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51840" windowHeight="21120" tabRatio="911" firstSheet="0" activeTab="0" autoFilterDateGrouping="1"/>
  </bookViews>
  <sheets>
    <sheet name="VA-Disclaimer" sheetId="1" state="visible" r:id="rId1"/>
    <sheet name="Valuation" sheetId="2" state="visible" r:id="rId2"/>
    <sheet name="CXMODEL" sheetId="3" state="visible" r:id="rId3"/>
    <sheet name="Fleet" sheetId="4" state="visible" r:id="rId4"/>
    <sheet name="Monthly" sheetId="5" state="visible" r:id="rId5"/>
    <sheet name="FX" sheetId="6" state="visible" r:id="rId6"/>
    <sheet name="Fuel" sheetId="7" state="visible" r:id="rId7"/>
    <sheet name="SharePrice" sheetId="8" state="visible" r:id="rId8"/>
  </sheets>
  <definedNames>
    <definedName name="__Hub2">#REF!</definedName>
    <definedName name="__Hub3">#REF!</definedName>
    <definedName name="__Hub4">#REF!</definedName>
    <definedName name="__xx028">#REF!</definedName>
    <definedName name="__xx030">#REF!</definedName>
    <definedName name="__xx031">#REF!</definedName>
    <definedName name="__xx032">#REF!</definedName>
    <definedName name="__xx033">#REF!</definedName>
    <definedName name="__xx034">#REF!</definedName>
    <definedName name="__xx035">#REF!</definedName>
    <definedName name="__xx036">#REF!</definedName>
    <definedName name="__xx037">#REF!</definedName>
    <definedName name="__xx038">#REF!</definedName>
    <definedName name="__xx039">#REF!</definedName>
    <definedName name="__xx040">#REF!</definedName>
    <definedName name="__xx041">#REF!</definedName>
    <definedName name="__xx042">#REF!</definedName>
    <definedName name="__xx043">#REF!</definedName>
    <definedName name="__xx044">#REF!</definedName>
    <definedName name="__xx045">#REF!</definedName>
    <definedName name="__xx046">#REF!</definedName>
    <definedName name="__xx047">#REF!</definedName>
    <definedName name="__xx050">#REF!</definedName>
    <definedName name="__xx051">#REF!</definedName>
    <definedName name="__xx052">#REF!</definedName>
    <definedName name="__xx053">#REF!</definedName>
    <definedName name="__xx054">#REF!</definedName>
    <definedName name="__xx055">#REF!</definedName>
    <definedName name="__xx056">#REF!</definedName>
    <definedName name="__xx057">#REF!</definedName>
    <definedName name="__xx058">#REF!</definedName>
    <definedName name="__xx059">#REF!</definedName>
    <definedName name="__xx060">#REF!</definedName>
    <definedName name="__xx061">#REF!</definedName>
    <definedName name="__xx062">#REF!</definedName>
    <definedName name="__xx063">#REF!</definedName>
    <definedName name="__xx064">#REF!</definedName>
    <definedName name="__xx100">#REF!</definedName>
    <definedName name="__xx101">#REF!</definedName>
    <definedName name="__xx200">#REF!</definedName>
    <definedName name="__xx201">#REF!</definedName>
    <definedName name="__xx300">#REF!</definedName>
    <definedName name="__xx301">#REF!</definedName>
    <definedName name="__xx302">#REF!</definedName>
    <definedName name="__xx400">#REF!</definedName>
    <definedName name="__xx600">#REF!</definedName>
    <definedName name="_Hub2">#REF!</definedName>
    <definedName name="_Hub3">#REF!</definedName>
    <definedName name="_Hub4">#REF!</definedName>
    <definedName name="_Model_Path">"\\Ubsprod.msad.ubs.net\groupshares\GLOBAL\IB_RESEARCH_HKG\TRANSPORT\Ian - ASEAN Airlines\Cathay Pacific\Cathay Pacific Model Live.xlsx"</definedName>
    <definedName name="_UUID_" hidden="1">1113143</definedName>
    <definedName name="_xx028">#REF!</definedName>
    <definedName name="_xx030">#REF!</definedName>
    <definedName name="_xx031">#REF!</definedName>
    <definedName name="_xx032">#REF!</definedName>
    <definedName name="_xx033">#REF!</definedName>
    <definedName name="_xx034">#REF!</definedName>
    <definedName name="_xx035">#REF!</definedName>
    <definedName name="_xx036">#REF!</definedName>
    <definedName name="_xx037">#REF!</definedName>
    <definedName name="_xx038">#REF!</definedName>
    <definedName name="_xx039">#REF!</definedName>
    <definedName name="_xx040">#REF!</definedName>
    <definedName name="_xx041">#REF!</definedName>
    <definedName name="_xx042">#REF!</definedName>
    <definedName name="_xx043">#REF!</definedName>
    <definedName name="_xx044">#REF!</definedName>
    <definedName name="_xx045">#REF!</definedName>
    <definedName name="_xx046">#REF!</definedName>
    <definedName name="_xx047">#REF!</definedName>
    <definedName name="_xx050">#REF!</definedName>
    <definedName name="_xx051">#REF!</definedName>
    <definedName name="_xx052">#REF!</definedName>
    <definedName name="_xx053">#REF!</definedName>
    <definedName name="_xx054">#REF!</definedName>
    <definedName name="_xx055">#REF!</definedName>
    <definedName name="_xx056">#REF!</definedName>
    <definedName name="_xx057">#REF!</definedName>
    <definedName name="_xx058">#REF!</definedName>
    <definedName name="_xx059">#REF!</definedName>
    <definedName name="_xx060">#REF!</definedName>
    <definedName name="_xx061">#REF!</definedName>
    <definedName name="_xx062">#REF!</definedName>
    <definedName name="_xx063">#REF!</definedName>
    <definedName name="_xx064">#REF!</definedName>
    <definedName name="_xx100">#REF!</definedName>
    <definedName name="_xx101">#REF!</definedName>
    <definedName name="_xx200">#REF!</definedName>
    <definedName name="_xx201">#REF!</definedName>
    <definedName name="_xx300">#REF!</definedName>
    <definedName name="_xx301">#REF!</definedName>
    <definedName name="_xx302">#REF!</definedName>
    <definedName name="_xx400">#REF!</definedName>
    <definedName name="_xx600">#REF!</definedName>
    <definedName name="A" hidden="1">{"Graphic",#N/A,TRUE,"Graphic"}</definedName>
    <definedName name="AA_BAL_AC">#REF!</definedName>
    <definedName name="AA_BAL_AdvanceSales">#REF!</definedName>
    <definedName name="AA_BAL_AP">#REF!</definedName>
    <definedName name="AA_BAL_Associates">#REF!</definedName>
    <definedName name="AA_BAL_CapitalRedemptionReserve">#REF!</definedName>
    <definedName name="AA_BAL_Cash">#REF!</definedName>
    <definedName name="AA_BAL_Cash2">#REF!</definedName>
    <definedName name="AA_BAL_Cl1">#REF!</definedName>
    <definedName name="AA_BAL_Cl2">#REF!</definedName>
    <definedName name="AA_BAL_CPLTD">#REF!</definedName>
    <definedName name="AA_BAL_DeferredProfit">#REF!</definedName>
    <definedName name="AA_BAL_DividendDue">#REF!</definedName>
    <definedName name="AA_BAL_DTL">#REF!</definedName>
    <definedName name="AA_BAL_GoodwillWB">#REF!</definedName>
    <definedName name="AA_BAL_Inventory">#REF!</definedName>
    <definedName name="AA_BAL_LTD">#REF!</definedName>
    <definedName name="AA_BAL_LTInvestment">#REF!</definedName>
    <definedName name="AA_BAL_OCA">#REF!</definedName>
    <definedName name="AA_BAL_Other">#REF!</definedName>
    <definedName name="AA_BAL_OtherOpAssets">#REF!</definedName>
    <definedName name="AA_BAL_RetainedProfit">#REF!</definedName>
    <definedName name="AA_BAL_RetainedProfitBF">#REF!</definedName>
    <definedName name="AA_BAL_Security">#REF!</definedName>
    <definedName name="AA_BAL_ShareCapital">#REF!</definedName>
    <definedName name="AA_BAL_SharePremium">#REF!</definedName>
    <definedName name="AA_BAL_TaxDue">#REF!</definedName>
    <definedName name="AA_INC_Associates">#REF!</definedName>
    <definedName name="AA_INC_CNAC">#REF!</definedName>
    <definedName name="AA_INC_Dividend">#REF!</definedName>
    <definedName name="AA_INC_Extra">#REF!</definedName>
    <definedName name="AA_INC_Interest">#REF!</definedName>
    <definedName name="AA_INC_minority">#REF!</definedName>
    <definedName name="AA_INC_OpExpenses">#REF!</definedName>
    <definedName name="AA_INC_Other">#REF!</definedName>
    <definedName name="AA_INC_Others">#REF!</definedName>
    <definedName name="AA_INC_Revenue">#REF!</definedName>
    <definedName name="AA_INC_Taxation">#REF!</definedName>
    <definedName name="aaa" hidden="1">{"mult96",#N/A,FALSE,"PETCOMP";"est96",#N/A,FALSE,"PETCOMP";"mult95",#N/A,FALSE,"PETCOMP";"est95",#N/A,FALSE,"PETCOMP";"multltm",#N/A,FALSE,"PETCOMP";"resultltm",#N/A,FALSE,"PETCOMP"}</definedName>
    <definedName name="Abnormals">#REF!</definedName>
    <definedName name="Acquisitions">#REF!</definedName>
    <definedName name="adjdf">#REF!</definedName>
    <definedName name="Adjusted_EBIT">#REF!</definedName>
    <definedName name="Adjusted_EBITDA">#REF!</definedName>
    <definedName name="Aeroflot">#REF!</definedName>
    <definedName name="AET_CASH_EPS">#REF!</definedName>
    <definedName name="AET_CORE_EBITDA">#REF!</definedName>
    <definedName name="AET_Dep_Ammort">#REF!</definedName>
    <definedName name="AET_EBIT">#REF!</definedName>
    <definedName name="AET_Minorities">#REF!</definedName>
    <definedName name="AET_TANGIBLE_FIXED_ASSETS">#REF!</definedName>
    <definedName name="AET_Taxation">#REF!</definedName>
    <definedName name="AET_Turnover">#REF!</definedName>
    <definedName name="AET_WAGE_COSTS">#REF!</definedName>
    <definedName name="affiliates">#REF!</definedName>
    <definedName name="agag" hidden="1">{"adj95mult",#N/A,FALSE,"COMPCO";"adj95est",#N/A,FALSE,"COMPCO"}</definedName>
    <definedName name="age7to15yrs">#REF!</definedName>
    <definedName name="Aggregate_Scrip_Factor">#REF!</definedName>
    <definedName name="airline_gross_cash_flow">#REF!</definedName>
    <definedName name="Airport">#REF!</definedName>
    <definedName name="AKMODEL">#REF!</definedName>
    <definedName name="ALLINRATE">#REF!</definedName>
    <definedName name="Amortisation_Of_Intangible_Assets">#REF!</definedName>
    <definedName name="AMR_Corp">#REF!</definedName>
    <definedName name="anscount" hidden="1">2</definedName>
    <definedName name="APC">#REF!</definedName>
    <definedName name="APUBurnRate">#REF!</definedName>
    <definedName name="as">L28C4</definedName>
    <definedName name="ask">CXMODEL!$B$22:$JK$22</definedName>
    <definedName name="ask_employee">#REF!</definedName>
    <definedName name="Asset">L28C4</definedName>
    <definedName name="asset_under_constr">#REF!</definedName>
    <definedName name="Assets">#REF!</definedName>
    <definedName name="Assets_Other">#REF!</definedName>
    <definedName name="Associate_Adjustment">#REF!</definedName>
    <definedName name="Associates">#REF!</definedName>
    <definedName name="Associates_After_Tax">#REF!</definedName>
    <definedName name="Associates_Pre_Tax">#REF!</definedName>
    <definedName name="atk">CXMODEL!$B$4:$JK$4</definedName>
    <definedName name="atk_employee">#REF!</definedName>
    <definedName name="Aver_sh_price">#REF!</definedName>
    <definedName name="Average_Headcount">#REF!</definedName>
    <definedName name="average_ROI">CXMODEL!#REF!</definedName>
    <definedName name="B" hidden="1">{"Graphic",#N/A,TRUE,"Graphic"}</definedName>
    <definedName name="background_efficiency">#REF!</definedName>
    <definedName name="Bal">#REF!</definedName>
    <definedName name="BBB" hidden="1">{"mult96",#N/A,FALSE,"PETCOMP";"est96",#N/A,FALSE,"PETCOMP";"mult95",#N/A,FALSE,"PETCOMP";"est95",#N/A,FALSE,"PETCOMP";"multltm",#N/A,FALSE,"PETCOMP";"resultltm",#N/A,FALSE,"PETCOMP"}</definedName>
    <definedName name="BKI">#REF!</definedName>
    <definedName name="BKIfr4">#REF!</definedName>
    <definedName name="BKIhub">#REF!</definedName>
    <definedName name="BKIroll">#REF!</definedName>
    <definedName name="BoxPlot">"BoxPlot"</definedName>
    <definedName name="BS">#REF!</definedName>
    <definedName name="bs_cash">CXMODEL!$B$210:$JK$210</definedName>
    <definedName name="bs_current_assets">CXMODEL!$B$241:$JK$241</definedName>
    <definedName name="bs_current_liabilities">CXMODEL!$B$226:$JK$226</definedName>
    <definedName name="bs_equity">CXMODEL!$B$215:$JK$215</definedName>
    <definedName name="bs_gearing">CXMODEL!$B$254:$JK$254</definedName>
    <definedName name="bs_lease">CXMODEL!$B$214:$JK$214</definedName>
    <definedName name="bs_lt_debt">CXMODEL!$B$208:$JK$208</definedName>
    <definedName name="bs_net_debt">CXMODEL!$B$213:$JK$213</definedName>
    <definedName name="bs_st_debt">CXMODEL!$B$207:$JK$207</definedName>
    <definedName name="BS_test">#REF!</definedName>
    <definedName name="bs_wk_cap">CXMODEL!$B$250:$JK$250</definedName>
    <definedName name="Bubble">"Bubble"</definedName>
    <definedName name="BusinessPriceCopy">#REF!</definedName>
    <definedName name="BusinessPricePaste">#REF!</definedName>
    <definedName name="BusinessPriceReduction">#REF!</definedName>
    <definedName name="BusinessPriceReduction1988">#REF!</definedName>
    <definedName name="Candlestick">"Candlestick"</definedName>
    <definedName name="cap_cost_cov">#REF!</definedName>
    <definedName name="capacity_growth">CXMODEL!$B$5:$JK$5</definedName>
    <definedName name="Capex">#REF!</definedName>
    <definedName name="capex_cov">#REF!</definedName>
    <definedName name="capex_depn">#REF!</definedName>
    <definedName name="capex_mcpx">#REF!</definedName>
    <definedName name="Capital_Expenditure_Other">#REF!</definedName>
    <definedName name="Capital_Expenditure_Tangibles">#REF!</definedName>
    <definedName name="cargo_ask">#REF!</definedName>
    <definedName name="cargo_revenue">CXMODEL!$B$114:$JK$114</definedName>
    <definedName name="cargo_traffic_growth">CXMODEL!$B$55:$JK$55</definedName>
    <definedName name="Cargo_Yield">#REF!</definedName>
    <definedName name="cargo_yield_chg">CXMODEL!$B$58:$JK$58</definedName>
    <definedName name="Cash">#REF!</definedName>
    <definedName name="Cash_Equivalents">#REF!</definedName>
    <definedName name="Cash_Flow">#REF!</definedName>
    <definedName name="cash_gen">#REF!</definedName>
    <definedName name="cash_gen_norm">#REF!</definedName>
    <definedName name="Cashflow">#REF!</definedName>
    <definedName name="Cathay_interim_table">#REF!</definedName>
    <definedName name="cathay_PT">Valuation!$A$6:$K$27</definedName>
    <definedName name="Cathay_resulttable">#REF!</definedName>
    <definedName name="ccc" hidden="1">{"mult96",#N/A,FALSE,"PETCOMP";"est96",#N/A,FALSE,"PETCOMP";"mult95",#N/A,FALSE,"PETCOMP";"est95",#N/A,FALSE,"PETCOMP";"multltm",#N/A,FALSE,"PETCOMP";"resultltm",#N/A,FALSE,"PETCOMP"}</definedName>
    <definedName name="CEB_scenario">#REF!</definedName>
    <definedName name="Cellular_Sub" hidden="1">{"Outputs",#N/A,TRUE,"North America";"Outputs",#N/A,TRUE,"Europe";"Outputs",#N/A,TRUE,"Asia Pacific";"Outputs",#N/A,TRUE,"Latin America";"Outputs",#N/A,TRUE,"Wireless"}</definedName>
    <definedName name="ceps">CXMODEL!$B$167:$JK$167</definedName>
    <definedName name="cf_asset_sales">CXMODEL!$B$192:$JK$192</definedName>
    <definedName name="cf_capex">CXMODEL!$B$191:$JK$191</definedName>
    <definedName name="cf_cash_inflow">CXMODEL!$B$185:$JK$185</definedName>
    <definedName name="cf_dividend">CXMODEL!$B$188:$JK$188</definedName>
    <definedName name="cf_funding_cost">CXMODEL!$B$189:$JK$189</definedName>
    <definedName name="cf_investments">CXMODEL!$B$193:$JK$193</definedName>
    <definedName name="cf_net_cash_flow">CXMODEL!$B$202:$JK$202</definedName>
    <definedName name="cf_net_flow_pre_equity">CXMODEL!$B$196:$JK$196</definedName>
    <definedName name="cf_net_interest">CXMODEL!$B$186:$JK$186</definedName>
    <definedName name="cf_new_equity">CXMODEL!$B$198:$JK$198</definedName>
    <definedName name="cf_other">CXMODEL!#REF!</definedName>
    <definedName name="cf_tax">CXMODEL!$B$187:$JK$187</definedName>
    <definedName name="CFormats">#REF!</definedName>
    <definedName name="CFS">#REF!</definedName>
    <definedName name="CH_IM_PE" hidden="1">TRUE</definedName>
    <definedName name="change">#REF!</definedName>
    <definedName name="Change_In_Net_Working_Capital">#REF!</definedName>
    <definedName name="change_staff_pr">CXMODEL!$B$77:$JK$77</definedName>
    <definedName name="Chart">"Chart"</definedName>
    <definedName name="ChartImage">"ChartImage"</definedName>
    <definedName name="chub">#REF!</definedName>
    <definedName name="chub2">#REF!</definedName>
    <definedName name="chub3">#REF!</definedName>
    <definedName name="chub4">#REF!</definedName>
    <definedName name="CLF">#REF!</definedName>
    <definedName name="Closing_Net_Cash_Debt">#REF!</definedName>
    <definedName name="Code_00">#REF!</definedName>
    <definedName name="Code_01">#REF!</definedName>
    <definedName name="Code_95">#REF!</definedName>
    <definedName name="Code_96">#REF!</definedName>
    <definedName name="Code_97">#REF!</definedName>
    <definedName name="Code_98">#REF!</definedName>
    <definedName name="Code_99">#REF!</definedName>
    <definedName name="Code_Row">#REF!</definedName>
    <definedName name="codeDestination">#REF!</definedName>
    <definedName name="CODELK_Path">#REF!</definedName>
    <definedName name="COGS">#REF!</definedName>
    <definedName name="ColumnRange">"ColumnRange"</definedName>
    <definedName name="Company_Code">"AIR"</definedName>
    <definedName name="Cons">#REF!</definedName>
    <definedName name="ConsA">#REF!</definedName>
    <definedName name="core_airline_staff_nos">#REF!</definedName>
    <definedName name="Core_EBIT2">#REF!</definedName>
    <definedName name="Core_EBITDA2">#REF!</definedName>
    <definedName name="Core_GCF">#REF!</definedName>
    <definedName name="Core_OpFCF">#REF!</definedName>
    <definedName name="Cost_AircraftOperating">#REF!</definedName>
    <definedName name="Cost_AircraftUsage">#REF!</definedName>
    <definedName name="Cost_Amortisation">#REF!</definedName>
    <definedName name="Cost_Computers">#REF!</definedName>
    <definedName name="Cost_Depreciation">#REF!</definedName>
    <definedName name="Cost_Fuel">#REF!</definedName>
    <definedName name="Cost_Interest_Cash">#REF!</definedName>
    <definedName name="Cost_Interest_Debt">#REF!</definedName>
    <definedName name="Cost_Marketing">#REF!</definedName>
    <definedName name="Cost_Net_Interest_Expense">#REF!</definedName>
    <definedName name="Cost_Operating_Total">#REF!</definedName>
    <definedName name="Cost_OpLeasePayment">#REF!</definedName>
    <definedName name="Cost_Other">#REF!</definedName>
    <definedName name="Cost_Staff">#REF!</definedName>
    <definedName name="_xlnm.Criteria">#REF!</definedName>
    <definedName name="ctk">CXMODEL!$B$54:$JK$54</definedName>
    <definedName name="CTopics">#REF!</definedName>
    <definedName name="cu00.UserArea">#REF!</definedName>
    <definedName name="cu05.NumOfCols">COLUMNS(cu00.UserArea)</definedName>
    <definedName name="cu102.ShareScalingFactor" hidden="1">1000000</definedName>
    <definedName name="cu103.EmployeeScalingFactor" hidden="1">1000</definedName>
    <definedName name="cu107.DPSSymbol" hidden="1">"HK$"</definedName>
    <definedName name="cu107.EPSSymbol" hidden="1">"NT$"</definedName>
    <definedName name="cu107.ReportingCurrency">"TWD"</definedName>
    <definedName name="cu116.StockTable">{"TW2615","ORD",""}</definedName>
    <definedName name="cu117.LeadStock">"TW2615"</definedName>
    <definedName name="cu121.NoChangeOnRollover">{"SCRIP"}</definedName>
    <definedName name="cu124.EditableStockEvents">TRUE</definedName>
    <definedName name="cu128.CAPMES">"N"</definedName>
    <definedName name="cu128.ITEM1">"N"</definedName>
    <definedName name="cu128.ITEM10">"N"</definedName>
    <definedName name="cu128.ITEM11">"N"</definedName>
    <definedName name="cu128.ITEM12">"N"</definedName>
    <definedName name="cu128.ITEM2">"N"</definedName>
    <definedName name="cu128.ITEM3">"N"</definedName>
    <definedName name="cu128.ITEM4">"N"</definedName>
    <definedName name="cu128.ITEM5">"N"</definedName>
    <definedName name="cu128.ITEM6">"N"</definedName>
    <definedName name="cu128.ITEM7">"N"</definedName>
    <definedName name="cu128.ITEM8">"N"</definedName>
    <definedName name="cu128.ITEM9">"N"</definedName>
    <definedName name="cu20.ItemTypeCategory">#REF!</definedName>
    <definedName name="cu21.MonthTable">{"January","February","March","April","May","June","July","August","September","November","December"}</definedName>
    <definedName name="cu61.ScalingFactor">"M"</definedName>
    <definedName name="cu70.CompanyName">"ThunderBirds are Go!"</definedName>
    <definedName name="cu71.ScalingFactor" hidden="1">1000000</definedName>
    <definedName name="cu72.PriceCalcStock">"HK0003"</definedName>
    <definedName name="cumul_depn">CXMODEL!$B$234:$JK$234</definedName>
    <definedName name="Currency">#REF!</definedName>
    <definedName name="Currency2">#REF!</definedName>
    <definedName name="Current_Price_A">#REF!</definedName>
    <definedName name="Current_Price_B">#REF!</definedName>
    <definedName name="CurrMul">#REF!</definedName>
    <definedName name="Currrency">#REF!</definedName>
    <definedName name="CUSDfltFcastFinals">0</definedName>
    <definedName name="CUSDfltFcastInterims">5</definedName>
    <definedName name="CUSDfltHistFinals">5</definedName>
    <definedName name="CUSDfltHistInterims">5</definedName>
    <definedName name="CUSPassword" hidden="1">"MDL238GBWP678SDA16)E^CBC"</definedName>
    <definedName name="CUSSheetClass">"ASIN"</definedName>
    <definedName name="CUSSupportStaffAccess">FALSE</definedName>
    <definedName name="CUSTransactionID" hidden="1">1154792176.834</definedName>
    <definedName name="CUSUserAuthorised">TRUE</definedName>
    <definedName name="cx">#REF!</definedName>
    <definedName name="CX_chg">#REF!</definedName>
    <definedName name="CX_cost_breakdown">#REF!</definedName>
    <definedName name="CX_H220_review">#REF!</definedName>
    <definedName name="CX_result_table">#REF!</definedName>
    <definedName name="cx_roi">#REF!</definedName>
    <definedName name="CX_SOTP">Valuation!$A$6:$G$27</definedName>
    <definedName name="cxbs">#REF!</definedName>
    <definedName name="cxpl">#REF!</definedName>
    <definedName name="cz">#REF!</definedName>
    <definedName name="cz_roi">#REF!</definedName>
    <definedName name="czbs">#REF!</definedName>
    <definedName name="czpl">#REF!</definedName>
    <definedName name="dadasdad">L14C3</definedName>
    <definedName name="_xlnm.Database">#REF!</definedName>
    <definedName name="Database2">#REF!</definedName>
    <definedName name="date">CXMODEL!$B$3:$JK$3</definedName>
    <definedName name="Date_Row">#REF!</definedName>
    <definedName name="dateS4">#REF!</definedName>
    <definedName name="DaysBasis">#REF!</definedName>
    <definedName name="DB">"WIREHKPROD"</definedName>
    <definedName name="DCF">#REF!</definedName>
    <definedName name="ddd" hidden="1">{"DCF","UPSIDE CASE",FALSE,"Sheet1";"DCF","BASE CASE",FALSE,"Sheet1";"DCF","DOWNSIDE CASE",FALSE,"Sheet1"}</definedName>
    <definedName name="Debt">#REF!</definedName>
    <definedName name="debt_repay">#REF!</definedName>
    <definedName name="dep">CXMODEL!$B$129:$JK$129</definedName>
    <definedName name="depn">#REF!</definedName>
    <definedName name="depn_mcpx">#REF!</definedName>
    <definedName name="Depr_repl_value1">#REF!</definedName>
    <definedName name="Depr_repl_value2">#REF!</definedName>
    <definedName name="depreciation">CXMODEL!$B$129:$JK$129</definedName>
    <definedName name="df">{"TW2615","ORD",""}</definedName>
    <definedName name="DFMV__US">#REF!</definedName>
    <definedName name="Disposals">#REF!</definedName>
    <definedName name="dp">L14C3</definedName>
    <definedName name="Dpreciation">#REF!</definedName>
    <definedName name="dps">CXMODEL!$B$168:$JK$168</definedName>
    <definedName name="DSDDE_Path">#REF!</definedName>
    <definedName name="dsdsd" hidden="1">{"adj95mult",#N/A,FALSE,"COMPCO";"adj95est",#N/A,FALSE,"COMPCO"}</definedName>
    <definedName name="Dumbbell">"Dumbbell"</definedName>
    <definedName name="EBDRIT">#REF!</definedName>
    <definedName name="EBIT">#REF!</definedName>
    <definedName name="EBIT_NonCore">#REF!</definedName>
    <definedName name="EBITDA">#REF!</definedName>
    <definedName name="eee" hidden="1">{"Graphic",#N/A,TRUE,"Graphic"}</definedName>
    <definedName name="eff">{"January","February","March","April","May","June","July","August","September","November","December"}</definedName>
    <definedName name="effect_on_shareholding">#REF!</definedName>
    <definedName name="efrw">#REF!</definedName>
    <definedName name="efwas">#REF!</definedName>
    <definedName name="eps">CXMODEL!$B$165:$JK$165</definedName>
    <definedName name="EPS__Pre_Exceptional">#REF!</definedName>
    <definedName name="Equity">#REF!</definedName>
    <definedName name="Equity_Capital">#REF!</definedName>
    <definedName name="ESG">#REF!</definedName>
    <definedName name="ESGTable">#REF!</definedName>
    <definedName name="est" hidden="1">{"EVA",#N/A,FALSE,"EVA";"WACC",#N/A,FALSE,"WACC"}</definedName>
    <definedName name="est_chg">#REF!</definedName>
    <definedName name="ev">#REF!</definedName>
    <definedName name="EV__US">#REF!</definedName>
    <definedName name="EV_Adj_Row">#REF!</definedName>
    <definedName name="ev_debt">#REF!</definedName>
    <definedName name="EV_DFMV">#REF!</definedName>
    <definedName name="EV_EBITDA">#REF!</definedName>
    <definedName name="ev_fleet">#REF!</definedName>
    <definedName name="ev_opfcf">#REF!</definedName>
    <definedName name="EV_Row">#REF!</definedName>
    <definedName name="EV1a">#REF!</definedName>
    <definedName name="EV1b">#REF!</definedName>
    <definedName name="EVEBITDA2">#REF!</definedName>
    <definedName name="EVGCF">#REF!</definedName>
    <definedName name="EVGCF1b">#REF!</definedName>
    <definedName name="EVOpFCF">#REF!</definedName>
    <definedName name="EVOpFCF1b">#REF!</definedName>
    <definedName name="EVRC">#REF!</definedName>
    <definedName name="EVRC1b">#REF!</definedName>
    <definedName name="Excel_Version">#REF!</definedName>
    <definedName name="Exchange_Code">#REF!</definedName>
    <definedName name="ext_funding">#REF!</definedName>
    <definedName name="ExtFiles">#REF!</definedName>
    <definedName name="extraordinaries">#REF!</definedName>
    <definedName name="Extraordinary">#REF!</definedName>
    <definedName name="Extraordinary_Items_After_Tax">#REF!</definedName>
    <definedName name="Extraordinary_Items_Before_Tax">#REF!</definedName>
    <definedName name="f" hidden="1">{"EVA",#N/A,FALSE,"EVA";"WACC",#N/A,FALSE,"WACC"}</definedName>
    <definedName name="F.1985.03">#REF!</definedName>
    <definedName name="f.1986.03">#REF!</definedName>
    <definedName name="f.1987.03">#REF!</definedName>
    <definedName name="F.1987.12">#REF!</definedName>
    <definedName name="f.1988.03">#REF!</definedName>
    <definedName name="F.1988.12">#REF!</definedName>
    <definedName name="f.1989.03">#REF!</definedName>
    <definedName name="F.1989.12">#REF!</definedName>
    <definedName name="F.1995">#REF!</definedName>
    <definedName name="F.1996">#REF!</definedName>
    <definedName name="F.1997">#REF!</definedName>
    <definedName name="F.1998">#REF!</definedName>
    <definedName name="F.2009.03">#REF!</definedName>
    <definedName name="F.2010.03">#REF!</definedName>
    <definedName name="F.2011.03">#REF!</definedName>
    <definedName name="F.2012.03">#REF!</definedName>
    <definedName name="F.2013.03">#REF!</definedName>
    <definedName name="F.2014.03">#REF!</definedName>
    <definedName name="F.2015.03">#REF!</definedName>
    <definedName name="F.2015.12">#REF!</definedName>
    <definedName name="F.2016.12">#REF!</definedName>
    <definedName name="F.2020.12">#REF!</definedName>
    <definedName name="F.2021.12">#REF!</definedName>
    <definedName name="F.2022.12">#REF!</definedName>
    <definedName name="F.2023.12">#REF!</definedName>
    <definedName name="fcst_chg">#REF!</definedName>
    <definedName name="fd">COLUMNS(cu00.UserArea)</definedName>
    <definedName name="fda" hidden="1">{"Summary Page",#N/A,TRUE,"Summary Page";"Full Year - Main Model",#N/A,TRUE,"Summary Page";"Valuation section",#N/A,TRUE,"Summary Page"}</definedName>
    <definedName name="ff" hidden="1">{"adj95mult",#N/A,FALSE,"COMPCO";"adj95est",#N/A,FALSE,"COMPCO"}</definedName>
    <definedName name="ffefe" hidden="1">{"adj95mult",#N/A,FALSE,"COMPCO";"adj95est",#N/A,FALSE,"COMPCO"}</definedName>
    <definedName name="fgd">#REF!</definedName>
    <definedName name="fhfhjgjhgjh" hidden="1">{"Inputs",#N/A,FALSE,"US_FL";"Inputs",#N/A,FALSE,"EUROPE_FL";"Inputs",#N/A,FALSE,"ASIA_FL"}</definedName>
    <definedName name="Fleet">#REF!</definedName>
    <definedName name="fleet_efficiency">#REF!</definedName>
    <definedName name="fleet_value">CXMODEL!#REF!</definedName>
    <definedName name="forex">CXMODEL!$B$66:$JK$66</definedName>
    <definedName name="Formats">#REF!</definedName>
    <definedName name="Fred">#REF!</definedName>
    <definedName name="FREQS">#REF!</definedName>
    <definedName name="fsc">#REF!</definedName>
    <definedName name="fuel">CXMODEL!$B$122:$JK$122</definedName>
    <definedName name="fy20_review_table">#REF!</definedName>
    <definedName name="GCF">#REF!</definedName>
    <definedName name="grehtdhtfgh" hidden="1">{"DCF","UPSIDE CASE",FALSE,"Sheet1";"DCF","BASE CASE",FALSE,"Sheet1";"DCF","DOWNSIDE CASE",FALSE,"Sheet1"}</definedName>
    <definedName name="gross_cash_flow">CXMODEL!#REF!</definedName>
    <definedName name="Gross_Freight_Revenue">#REF!</definedName>
    <definedName name="gross_margin">CXMODEL!#REF!</definedName>
    <definedName name="H22_results">#REF!</definedName>
    <definedName name="Heatmap">"Heatmap"</definedName>
    <definedName name="Histogram">"Histogram"</definedName>
    <definedName name="Home_Turnover">#REF!</definedName>
    <definedName name="HSBCTbl_Table1">Key #REF!</definedName>
    <definedName name="Hub">#REF!</definedName>
    <definedName name="I1.2004.09">#REF!</definedName>
    <definedName name="I1.2005.09">#REF!</definedName>
    <definedName name="I1.2009.06">#REF!</definedName>
    <definedName name="I1.2015.06">#REF!</definedName>
    <definedName name="I1.2016.06">#REF!</definedName>
    <definedName name="I1.2020.06">#REF!</definedName>
    <definedName name="I1.2021.06">#REF!</definedName>
    <definedName name="I1.2022.06">#REF!</definedName>
    <definedName name="I1.2023.06">#REF!</definedName>
    <definedName name="I2.2004.03">#REF!</definedName>
    <definedName name="I2.2009.12">#REF!</definedName>
    <definedName name="I2.2015.12">#REF!</definedName>
    <definedName name="I2.2016.12">#REF!</definedName>
    <definedName name="I2.2020.12">#REF!</definedName>
    <definedName name="I2.2021.12">#REF!</definedName>
    <definedName name="I2.2022.12">#REF!</definedName>
    <definedName name="I2.2023.12">#REF!</definedName>
    <definedName name="IBES_2005">#REF!</definedName>
    <definedName name="IBES_2006">#REF!</definedName>
    <definedName name="IBES_2007">#REF!</definedName>
    <definedName name="IBES_2008">#REF!</definedName>
    <definedName name="IBES_2009">#REF!</definedName>
    <definedName name="IBES_2010">#REF!</definedName>
    <definedName name="Implied_Target_Valuation_Multiple">#REF!</definedName>
    <definedName name="Increase_In_Net_Cash">#REF!</definedName>
    <definedName name="inflation">#REF!</definedName>
    <definedName name="Insurance">#REF!</definedName>
    <definedName name="int">#REF!</definedName>
    <definedName name="Intangibles">#REF!</definedName>
    <definedName name="Interest">#REF!</definedName>
    <definedName name="Interest_Basis">#REF!</definedName>
    <definedName name="interest_in">CXMODEL!$B$137:$JK$137</definedName>
    <definedName name="interest_out">CXMODEL!$B$139:$JK$139</definedName>
    <definedName name="Interim_Results">#REF!</definedName>
    <definedName name="inv">#REF!</definedName>
    <definedName name="Investments">#REF!</definedName>
    <definedName name="Investments_otherassets">#REF!</definedName>
    <definedName name="IS">#REF!</definedName>
    <definedName name="JBroll">#REF!</definedName>
    <definedName name="JHB">#REF!</definedName>
    <definedName name="JHBhub">#REF!</definedName>
    <definedName name="jkj" hidden="1">{"mult96",#N/A,FALSE,"PETCOMP";"est96",#N/A,FALSE,"PETCOMP";"mult95",#N/A,FALSE,"PETCOMP";"est95",#N/A,FALSE,"PETCOMP";"multltm",#N/A,FALSE,"PETCOMP";"resultltm",#N/A,FALSE,"PETCOMP"}</definedName>
    <definedName name="KCH">#REF!</definedName>
    <definedName name="Key_metrics">#REF!</definedName>
    <definedName name="kn">#REF!</definedName>
    <definedName name="kna">#REF!</definedName>
    <definedName name="knb">#REF!</definedName>
    <definedName name="knbs">#REF!</definedName>
    <definedName name="knc">#REF!</definedName>
    <definedName name="knpl">#REF!</definedName>
    <definedName name="KUL">#REF!</definedName>
    <definedName name="kulfr4">#REF!</definedName>
    <definedName name="KULroll">#REF!</definedName>
    <definedName name="labels">#REF!</definedName>
    <definedName name="labour_employee">#REF!</definedName>
    <definedName name="labour_inflation">#REF!</definedName>
    <definedName name="Last_Update">#REF!</definedName>
    <definedName name="lease_rental">CXMODEL!$B$128:$JK$128</definedName>
    <definedName name="Liabilities">#REF!</definedName>
    <definedName name="limcount" hidden="1">2</definedName>
    <definedName name="Links">#REF!</definedName>
    <definedName name="liquidity">#REF!</definedName>
    <definedName name="LiveReqs">#REF!</definedName>
    <definedName name="load_factor">CXMODEL!$B$28:$JK$28</definedName>
    <definedName name="local_ROI">CXMODEL!#REF!</definedName>
    <definedName name="Maint_Capex1">#REF!</definedName>
    <definedName name="Maint_Capex2">#REF!</definedName>
    <definedName name="maint_cps_local">#REF!</definedName>
    <definedName name="maint_cpx_local">CXMODEL!#REF!</definedName>
    <definedName name="maintenance_capex">CXMODEL!#REF!</definedName>
    <definedName name="Manning">#REF!</definedName>
    <definedName name="Map">"Map"</definedName>
    <definedName name="Market_Cap">#REF!</definedName>
    <definedName name="Market_EV_EBIT">#REF!</definedName>
    <definedName name="Market_EV_EBITDA">#REF!</definedName>
    <definedName name="Market_EV_Sales">#REF!</definedName>
    <definedName name="Market_PE">#REF!</definedName>
    <definedName name="MemFree">#REF!</definedName>
    <definedName name="MemTotal">#REF!</definedName>
    <definedName name="minorities">#REF!</definedName>
    <definedName name="Minority_Dividends">#REF!</definedName>
    <definedName name="mkt_cap">#REF!</definedName>
    <definedName name="mm" hidden="1">{"adj95mult",#N/A,FALSE,"COMPCO";"adj95est",#N/A,FALSE,"COMPCO"}</definedName>
    <definedName name="Mod_Net_profit">#REF!</definedName>
    <definedName name="MODEL">#REF!</definedName>
    <definedName name="model_fin_lease">#REF!</definedName>
    <definedName name="model_rc">#REF!</definedName>
    <definedName name="Model_tc">#REF!</definedName>
    <definedName name="Movement_In_Provisions">#REF!</definedName>
    <definedName name="name_ranges">#REF!</definedName>
    <definedName name="Net_Debt">#REF!</definedName>
    <definedName name="net_dep_lease">#REF!</definedName>
    <definedName name="Net_Income_Adj_Earnings_PreAbnormal_Goodwill_Amort">#REF!</definedName>
    <definedName name="net_profit">CXMODEL!$B$159:$JK$159</definedName>
    <definedName name="Net_Profit_Group_Share">#REF!</definedName>
    <definedName name="Net_Profit_Other_Item">#REF!</definedName>
    <definedName name="netp">#REF!</definedName>
    <definedName name="new" hidden="1">{"Graphic",#N/A,TRUE,"Graphic"}</definedName>
    <definedName name="NIAT">#REF!</definedName>
    <definedName name="nnn" hidden="1">{"Graphic",#N/A,TRUE,"Graphic"}</definedName>
    <definedName name="North_America_Turnover">#REF!</definedName>
    <definedName name="NPAT">#REF!</definedName>
    <definedName name="NPAT_Adj">#REF!</definedName>
    <definedName name="NT">#REF!</definedName>
    <definedName name="NTA">#REF!</definedName>
    <definedName name="NTB">#REF!</definedName>
    <definedName name="NTBS">#REF!</definedName>
    <definedName name="NTC">#REF!</definedName>
    <definedName name="NTPL">#REF!</definedName>
    <definedName name="Number_shares_A">#REF!</definedName>
    <definedName name="Number_shares_B">#REF!</definedName>
    <definedName name="Off_BS_dep_repl_value">#REF!</definedName>
    <definedName name="Off_BS_depr_repl_value">#REF!</definedName>
    <definedName name="Off_BS_repl_value">#REF!</definedName>
    <definedName name="OHLC">"OHLC"</definedName>
    <definedName name="OldSegments">#REF!</definedName>
    <definedName name="one" hidden="1">{"adj95mult",#N/A,FALSE,"COMPCO";"adj95est",#N/A,FALSE,"COMPCO"}</definedName>
    <definedName name="ooo" hidden="1">{"Graphic",#N/A,TRUE,"Graphic"}</definedName>
    <definedName name="op_margin">CXMODEL!$B$134:$JK$134</definedName>
    <definedName name="op_profit">#REF!</definedName>
    <definedName name="operating_cost">CXMODEL!$B$131:$JK$131</definedName>
    <definedName name="operating_profit">#REF!</definedName>
    <definedName name="Operating_Sys">#REF!</definedName>
    <definedName name="Opex">#REF!</definedName>
    <definedName name="OpFCF">CXMODEL!#REF!</definedName>
    <definedName name="OpFcF__US">#REF!</definedName>
    <definedName name="OpFCF1">#REF!</definedName>
    <definedName name="OpFCF2">#REF!</definedName>
    <definedName name="other_costs">#REF!</definedName>
    <definedName name="other_direct_cost">#REF!</definedName>
    <definedName name="Other_Items_Cash_Flow">#REF!</definedName>
    <definedName name="Other_Items_Provisions">#REF!</definedName>
    <definedName name="other_non_op">#REF!</definedName>
    <definedName name="other_revenue">#REF!</definedName>
    <definedName name="Page1">#REF!</definedName>
    <definedName name="Page2">#REF!</definedName>
    <definedName name="Page3">#REF!</definedName>
    <definedName name="PalNew">#REF!</definedName>
    <definedName name="PALOld">#REF!</definedName>
    <definedName name="PandL">#REF!</definedName>
    <definedName name="Par_Value_Ordinary_Shares">#REF!</definedName>
    <definedName name="Parent">#REF!</definedName>
    <definedName name="Parent_Co_Dividend">#REF!</definedName>
    <definedName name="passenger">CXMODEL!$B$26:$JK$26</definedName>
    <definedName name="PAX">#REF!</definedName>
    <definedName name="pax_rev">#REF!</definedName>
    <definedName name="pax_revenue">CXMODEL!$B$112:$JK$112</definedName>
    <definedName name="pax_traffic_growth">CXMODEL!$B$25:$JK$25</definedName>
    <definedName name="pax_yield">#REF!</definedName>
    <definedName name="pax_yield_chg">CXMODEL!$B$30:$JK$30</definedName>
    <definedName name="PBT">#REF!</definedName>
    <definedName name="PBXNew">#REF!</definedName>
    <definedName name="PBXOld">#REF!</definedName>
    <definedName name="PEN">#REF!</definedName>
    <definedName name="Penfr4">#REF!</definedName>
    <definedName name="penroll">#REF!</definedName>
    <definedName name="pension">CXMODEL!$B$132:$JK$132</definedName>
    <definedName name="PER">#REF!</definedName>
    <definedName name="PEREL">#REF!</definedName>
    <definedName name="PerEndDateSerial">#REF!</definedName>
    <definedName name="peri_OpFCF">#REF!</definedName>
    <definedName name="Personnel_Costs">#REF!</definedName>
    <definedName name="PieChart">"PieChart"</definedName>
    <definedName name="pl_asset_sales">CXMODEL!$B$152:$JK$152</definedName>
    <definedName name="pl_net_interest">CXMODEL!$B$136:$JK$136</definedName>
    <definedName name="pl_net_profit">CXMODEL!$B$159:$JK$159</definedName>
    <definedName name="PLF">#REF!</definedName>
    <definedName name="PPEq">#REF!</definedName>
    <definedName name="ppp" hidden="1">{"DCF","UPSIDE CASE",FALSE,"Sheet1";"DCF","BASE CASE",FALSE,"Sheet1";"DCF","DOWNSIDE CASE",FALSE,"Sheet1"}</definedName>
    <definedName name="pre_ex_net_profit">#REF!</definedName>
    <definedName name="Pre_Except_Attributable_Ord_Shareholders">#REF!</definedName>
    <definedName name="Pre_Tax_Income">#REF!</definedName>
    <definedName name="Pre_Tax_Profit">#REF!</definedName>
    <definedName name="Pre_Tax_Profit_Other_Item">#REF!</definedName>
    <definedName name="PreTax_Income_Adj">#REF!</definedName>
    <definedName name="pretax_profit">CXMODEL!$B$154:$JK$154</definedName>
    <definedName name="PRICE">#REF!</definedName>
    <definedName name="PriceReductionCopy">#REF!</definedName>
    <definedName name="PriceReductionPaste">#REF!</definedName>
    <definedName name="PRICEREL">#REF!</definedName>
    <definedName name="Proceeds_From_Share_Issues">#REF!</definedName>
    <definedName name="Profit_after_tax">#REF!</definedName>
    <definedName name="Project">#REF!</definedName>
    <definedName name="ProjectedLIS">#REF!</definedName>
    <definedName name="PV_OpLease">#REF!</definedName>
    <definedName name="Q1.2011.03">#REF!</definedName>
    <definedName name="Q1.2012.03">#REF!</definedName>
    <definedName name="Q1.2013.03">#REF!</definedName>
    <definedName name="Q1.2014.03">#REF!</definedName>
    <definedName name="Q1.2015.03">#REF!</definedName>
    <definedName name="Q1.2016.03">#REF!</definedName>
    <definedName name="Q2.2011.06">#REF!</definedName>
    <definedName name="Q2.2012.06">#REF!</definedName>
    <definedName name="Q2.2013.06">#REF!</definedName>
    <definedName name="Q2.2014.06">#REF!</definedName>
    <definedName name="Q2.2015.06">#REF!</definedName>
    <definedName name="Q2.2016.06">#REF!</definedName>
    <definedName name="Q3.2011.09">#REF!</definedName>
    <definedName name="Q3.2012.09">#REF!</definedName>
    <definedName name="Q3.2013.09">#REF!</definedName>
    <definedName name="Q3.2014.09">#REF!</definedName>
    <definedName name="Q3.2015.09">#REF!</definedName>
    <definedName name="Q3.2016.09">#REF!</definedName>
    <definedName name="Q4.2009.03">#REF!</definedName>
    <definedName name="Q4.2010.03">#REF!</definedName>
    <definedName name="Q4.2011.03">#REF!</definedName>
    <definedName name="Q4.2011.12">#REF!</definedName>
    <definedName name="Q4.2012.03">#REF!</definedName>
    <definedName name="Q4.2012.12">#REF!</definedName>
    <definedName name="Q4.2013.03">#REF!</definedName>
    <definedName name="Q4.2013.12">#REF!</definedName>
    <definedName name="Q4.2014.03">#REF!</definedName>
    <definedName name="Q4.2014.12">#REF!</definedName>
    <definedName name="Q4.2015.03">#REF!</definedName>
    <definedName name="Q4.2015.12">#REF!</definedName>
    <definedName name="Q4.2016.12">#REF!</definedName>
    <definedName name="R_M">#REF!</definedName>
    <definedName name="RALNew">#REF!</definedName>
    <definedName name="RALOld">#REF!</definedName>
    <definedName name="Range_names">CXMODEL!$B$2:$JK$2</definedName>
    <definedName name="Rate">#REF!</definedName>
    <definedName name="RBXNew">#REF!</definedName>
    <definedName name="RBXOld">#REF!</definedName>
    <definedName name="Repayment_Interval">#REF!</definedName>
    <definedName name="Repayment_method">#REF!</definedName>
    <definedName name="RepaymentMethod">#REF!</definedName>
    <definedName name="Repl_value1">#REF!</definedName>
    <definedName name="Repl_value2">#REF!</definedName>
    <definedName name="Report">#REF!</definedName>
    <definedName name="Reported_Net_Income">#REF!</definedName>
    <definedName name="reqdetails">#REF!</definedName>
    <definedName name="ResidentialPriceCopy">#REF!</definedName>
    <definedName name="ResidentialPricePaste">#REF!</definedName>
    <definedName name="ResidentialPriceReduction">#REF!</definedName>
    <definedName name="ResidentialPriceReduction1988">#REF!</definedName>
    <definedName name="ResLines">#REF!</definedName>
    <definedName name="Rest_Of_Europe_Turnover">#REF!</definedName>
    <definedName name="Result">#REF!</definedName>
    <definedName name="Result_Table">#REF!</definedName>
    <definedName name="resulttable">#REF!</definedName>
    <definedName name="ret_rc1">#REF!</definedName>
    <definedName name="RetRC">#REF!</definedName>
    <definedName name="Reuters">#REF!</definedName>
    <definedName name="rev_growth">#REF!</definedName>
    <definedName name="rev_gwth">#REF!</definedName>
    <definedName name="Revenues_NonCore">#REF!</definedName>
    <definedName name="RMBNew">#REF!</definedName>
    <definedName name="RMBOld">#REF!</definedName>
    <definedName name="RMDNew">#REF!</definedName>
    <definedName name="RMDOld">#REF!</definedName>
    <definedName name="ROI">CXMODEL!#REF!</definedName>
    <definedName name="ROI_local">CXMODEL!#REF!</definedName>
    <definedName name="roi_ROI">#REF!</definedName>
    <definedName name="Roll">#REF!</definedName>
    <definedName name="rows_array">{"Garment",0,"Auto","Auto",""}</definedName>
    <definedName name="rpk">CXMODEL!$B$24:$JK$24</definedName>
    <definedName name="RTK">#REF!</definedName>
    <definedName name="Running_Costs">#REF!</definedName>
    <definedName name="s">{"TW2615","ORD",""}</definedName>
    <definedName name="salaries">CXMODEL!$B$120:$JK$120</definedName>
    <definedName name="Sales">#REF!</definedName>
    <definedName name="Sales_Cargo">#REF!</definedName>
    <definedName name="Sales_Other">#REF!</definedName>
    <definedName name="Sales_PAX">#REF!</definedName>
    <definedName name="Sales_Total">#REF!</definedName>
    <definedName name="Scatter">"Scatter"</definedName>
    <definedName name="Schedule">#REF!</definedName>
    <definedName name="Scrip_Adjusted_Net_DPS_Ordinary_Shares">#REF!</definedName>
    <definedName name="Scrip_Factor_Ordinary_Shares">#REF!</definedName>
    <definedName name="sds" hidden="1">{"EVA",#N/A,FALSE,"EVA";"WACC",#N/A,FALSE,"WACC"}</definedName>
    <definedName name="sencount" hidden="1">2</definedName>
    <definedName name="Series">"Series"</definedName>
    <definedName name="SESDemand">#REF!</definedName>
    <definedName name="Setup">#REF!</definedName>
    <definedName name="sFormat">#REF!</definedName>
    <definedName name="sFreq">#REF!</definedName>
    <definedName name="SGW_EPS">#REF!</definedName>
    <definedName name="Share_Price_A">#REF!</definedName>
    <definedName name="Share_Price_B">#REF!</definedName>
    <definedName name="shares_issued">CXMODEL!$B$170:$JK$170</definedName>
    <definedName name="ShowDetails">#REF!</definedName>
    <definedName name="sName">#N/A</definedName>
    <definedName name="solver_adj" hidden="1">#REF!,#REF!,#REF!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q_ROI">#REF!</definedName>
    <definedName name="Staff">#REF!</definedName>
    <definedName name="staff_nos">CXMODEL!$B$70:$JK$70</definedName>
    <definedName name="Stated_BVPS">#REF!</definedName>
    <definedName name="Stated_EPS">#REF!</definedName>
    <definedName name="Stock">#REF!</definedName>
    <definedName name="sTopic">#REF!</definedName>
    <definedName name="StProv">#REF!</definedName>
    <definedName name="Stripe">"Stripe"</definedName>
    <definedName name="summary_outlook">#REF!</definedName>
    <definedName name="SuspendRefUpd" hidden="1">FALSE</definedName>
    <definedName name="sw.ShowDisc" hidden="1">"Yes"</definedName>
    <definedName name="sYesNo">#REF!</definedName>
    <definedName name="Table">"Table"</definedName>
    <definedName name="TableName">#REF!</definedName>
    <definedName name="tax">CXMODEL!$B$155:$JK$155</definedName>
    <definedName name="Tax_Rate_for_Dividends_Ordinary_Shares">#REF!</definedName>
    <definedName name="TCPROJ">#REF!</definedName>
    <definedName name="Teledensity">#REF!</definedName>
    <definedName name="Template.WIRE">"DBACCESS"</definedName>
    <definedName name="Template.WIRE.DBAccess.CalcMode">"Async"</definedName>
    <definedName name="test" hidden="1">{"DCF","UPSIDE CASE",FALSE,"Sheet1";"DCF","BASE CASE",FALSE,"Sheet1";"DCF","DOWNSIDE CASE",FALSE,"Sheet1"}</definedName>
    <definedName name="tfa_gross_bk_value">CXMODEL!$B$233:$JK$233</definedName>
    <definedName name="tfa_net_bk_value">#REF!</definedName>
    <definedName name="tg_roi">#REF!</definedName>
    <definedName name="thub">#REF!</definedName>
    <definedName name="thub2">#REF!</definedName>
    <definedName name="thub3">#REF!</definedName>
    <definedName name="thub4">#REF!</definedName>
    <definedName name="Time_Charter_Revenue">#REF!</definedName>
    <definedName name="Title">#REF!</definedName>
    <definedName name="total_capex">#REF!</definedName>
    <definedName name="total_sales">CXMODEL!$B$118:$JK$118</definedName>
    <definedName name="total_staff_cost">CXMODEL!$B$121:$JK$121</definedName>
    <definedName name="TotalDemand">#REF!</definedName>
    <definedName name="TotalReqs">#REF!</definedName>
    <definedName name="TotalTime">#REF!</definedName>
    <definedName name="traffic_growth">#REF!</definedName>
    <definedName name="TreeMap">"TreeMap"</definedName>
    <definedName name="triplength">#REF!</definedName>
    <definedName name="TRNR_01ba065e8ee5442a9895bf253bb093bd_14944_1" hidden="1">SharePrice!$E$8</definedName>
    <definedName name="TRNR_0269d8bbbe5e4b3a8a8b1072ba99be69_6560_4" hidden="1">Fuel!$A$8</definedName>
    <definedName name="TRNR_04873fb93da44674a8268412a2f9c5d5_2982_2" hidden="1">SharePrice!$A$8</definedName>
    <definedName name="TRNR_064aeb8808924ee8a10069909a1bb783_11531_4" hidden="1">Fuel!$A$8</definedName>
    <definedName name="TRNR_07672d76b3164a6896939c00a2e9bc1c_6550_4" hidden="1">Fuel!$A$8</definedName>
    <definedName name="TRNR_0b930ffedc0041538bbe75e392975995_2989_2" hidden="1">SharePrice!$A$8</definedName>
    <definedName name="TRNR_0c157b2258be4428a94b9947526bbdf5_10087_2" hidden="1">SharePrice!$A$8</definedName>
    <definedName name="TRNR_101654309fe3408d94e89986157c2da3_14942_1" hidden="1">SharePrice!$E$8</definedName>
    <definedName name="TRNR_1367d2976c4f4da8a673984bfe2434d0_11607_4" hidden="1">Fuel!$A$8</definedName>
    <definedName name="TRNR_14e8537e07b54bff9d978839cf8c1358_6549_4" hidden="1">Fuel!$A$8</definedName>
    <definedName name="TRNR_15d9bd8af407436e9ba1b79a32f840d2_2970_2" hidden="1">SharePrice!$A$8</definedName>
    <definedName name="TRNR_162a59fe0f5e44eabea7a2245ab3235d_6490_4" hidden="1">Fuel!$A$8</definedName>
    <definedName name="TRNR_175a2b6f60dc4850bc29aba6b0ea258a_6566_4" hidden="1">Fuel!$A$8</definedName>
    <definedName name="TRNR_1c236fe372e242519cb693d04dd3e4c5_11749_4" hidden="1">Fuel!$A$8</definedName>
    <definedName name="TRNR_1d07a101834a476882d749e6f7b669f1_6464_4" hidden="1">Fuel!$A$8</definedName>
    <definedName name="TRNR_1db7762483b7469f81cc0d8ee87fc14b_11531_4" hidden="1">Fuel!$A$8</definedName>
    <definedName name="TRNR_1e1bba0522c847199483ae3fcddbf0e6_7140_1" hidden="1">SharePrice!$E$8</definedName>
    <definedName name="TRNR_251ed00ad66f4a49ab006975f5fe80e9_7865_1" hidden="1">#REF!</definedName>
    <definedName name="TRNR_2553715e76464563b50bf82173ee4520_7854_1" hidden="1">#REF!</definedName>
    <definedName name="TRNR_25ba51acd4b44d12867130e2a769c671_2983_2" hidden="1">SharePrice!$A$8</definedName>
    <definedName name="TRNR_25d7866598eb451086be10fe2514a7eb_2971_2" hidden="1">SharePrice!$A$8</definedName>
    <definedName name="TRNR_26636e27e2ce42cd8011ccdf1353d6f6_7141_1" hidden="1">SharePrice!$E$8</definedName>
    <definedName name="TRNR_273447fbe3e243e3b6d7aab124a1bda6_14961_1" hidden="1">SharePrice!$E$8</definedName>
    <definedName name="TRNR_297cece205bd46e6b27fd01010f0064a_6567_4" hidden="1">Fuel!$A$8</definedName>
    <definedName name="TRNR_29f46f8dd4c74c7fa301b9e380e0f1df_7769_1" hidden="1">#REF!</definedName>
    <definedName name="TRNR_2b3978ada9504d039e52b25ca10dce0c_11791_4" hidden="1">Fuel!$A$8</definedName>
    <definedName name="TRNR_2c566bcd9e4e4e2a91e70ca3badc6acb_9945_2" hidden="1">SharePrice!$A$8</definedName>
    <definedName name="TRNR_303a29aaef95405f9f4df6b1f33769ed_7871_1" hidden="1">#REF!</definedName>
    <definedName name="TRNR_35e149aa55af4d8db57ac3611cecce90_6572_4" hidden="1">Fuel!$A$8</definedName>
    <definedName name="TRNR_365081903a9a45c2bf167711b55c2f24_7872_1" hidden="1">#REF!</definedName>
    <definedName name="TRNR_40a64ed426c540d1baf38883b3b0a78d_7358_1" hidden="1">SharePrice!$E$8</definedName>
    <definedName name="TRNR_43136deb9d5d4801a1ed9e016b478211_7435_1" hidden="1">SharePrice!$E$8</definedName>
    <definedName name="TRNR_43a69b22ae9a4652b1c135bb608535b4_11636_4" hidden="1">Fuel!$A$8</definedName>
    <definedName name="TRNR_43ebea4369334c6eb91fc51a6cce5204_9945_2" hidden="1">SharePrice!$A$8</definedName>
    <definedName name="TRNR_46802adba4a24f6099afcfd362e52be2_14955_1" hidden="1">SharePrice!$E$8</definedName>
    <definedName name="TRNR_4a2939f2fdf6431a8da7dec29e22e54e_10129_2" hidden="1">SharePrice!$A$8</definedName>
    <definedName name="TRNR_4c801f55841d450bb1679398cc13f470_10086_2" hidden="1">SharePrice!$A$8</definedName>
    <definedName name="TRNR_4d2afa69587d4b6b83a8e606d150ba1f_14960_1" hidden="1">SharePrice!$E$8</definedName>
    <definedName name="TRNR_4da141af762b4235a0c210b30f1230b1_2972_2" hidden="1">SharePrice!$A$8</definedName>
    <definedName name="TRNR_504dcd2b7c0f41edbfb22cd998f07992_7795_1" hidden="1">#REF!</definedName>
    <definedName name="TRNR_53bdc8f11f1444b788f9a32e1f061127_9332_4" hidden="1">#REF!</definedName>
    <definedName name="TRNR_54a50dc8f4c8494087d2cb3ee21c51c9_11607_4" hidden="1">Fuel!$A$8</definedName>
    <definedName name="TRNR_550fafbd8da443e1be4b60886525a3e4_11636_4" hidden="1">Fuel!$A$8</definedName>
    <definedName name="TRNR_559c6923758340829dc518a9cd5b29c7_14945_1" hidden="1">SharePrice!$E$8</definedName>
    <definedName name="TRNR_595286d1ae004697acff40003f3e44e2_2982_2" hidden="1">SharePrice!$A$8</definedName>
    <definedName name="TRNR_5e19d92ff7624c8f9d35732d1defefc0_9868_2" hidden="1">SharePrice!$A$8</definedName>
    <definedName name="TRNR_5e7e0e539fef4344800b1643e05b8861_6475_4" hidden="1">Fuel!$A$8</definedName>
    <definedName name="TRNR_5e89e20ccd914f6c8862593a72f88fd0_1_4" hidden="1">#REF!</definedName>
    <definedName name="TRNR_623812df30714f56b68ca5870b06b1fc_11530_4" hidden="1">Fuel!$A$8</definedName>
    <definedName name="TRNR_650964f25f5a4496bf2e4f7a540b0f01_10089_2" hidden="1">SharePrice!$A$8</definedName>
    <definedName name="TRNR_6738b1be91bf4026881bcb38e0ae8581_6462_4" hidden="1">#REF!</definedName>
    <definedName name="TRNR_68b377f7151d4e5580b0699b7f89edda_7433_1" hidden="1">SharePrice!$E$8</definedName>
    <definedName name="TRNR_6a5f680f15794877a92849d13fea6924_6572_4" hidden="1">Fuel!$A$8</definedName>
    <definedName name="TRNR_6ea12b1bbcdd4f8b9517f576722287db_11607_4" hidden="1">Fuel!$A$8</definedName>
    <definedName name="TRNR_713bf6890ec34a99abef7c68244154c7_9974_2" hidden="1">SharePrice!$A$8</definedName>
    <definedName name="TRNR_74953b66341146318703477f99df3a5b_7872_1" hidden="1">#REF!</definedName>
    <definedName name="TRNR_76390c3fa98c486aab806d0c50d1cd9e_11825_4" hidden="1">Fuel!$A$8</definedName>
    <definedName name="TRNR_7a8eabcc77da445aa661f07e8e1ee329_7871_1" hidden="1">#REF!</definedName>
    <definedName name="TRNR_7b60c15b5b734daf9eaf1ffd88b4266e_6566_4" hidden="1">Fuel!$A$8</definedName>
    <definedName name="TRNR_7c07c1c58f53490da9231b4b3ccfd9df_7141_1" hidden="1">SharePrice!$E$8</definedName>
    <definedName name="TRNR_7c52ece7ea4e4083b143efbd92c9578f_11530_4" hidden="1">Fuel!$A$8</definedName>
    <definedName name="TRNR_7ca72f3450f34ea6b4b7aabf012d3b7d_6561_4" hidden="1">Fuel!$A$8</definedName>
    <definedName name="TRNR_7eaf58a586054dbca44af3631c30850a_6546_4" hidden="1">Fuel!$A$8</definedName>
    <definedName name="TRNR_7ee00035ab7e45c99cf035fadc44e00d_6550_4" hidden="1">Fuel!$A$8</definedName>
    <definedName name="TRNR_816859837dba48cf98f62b7d3f943fdb_6551_4" hidden="1">Fuel!$A$8</definedName>
    <definedName name="TRNR_83c2ef3644b24ee5b8084bbf9c37d25c_2989_2" hidden="1">SharePrice!$A$8</definedName>
    <definedName name="TRNR_8e30de3acae34dd7bc91832c19c1ecac_9869_2" hidden="1">SharePrice!$A$8</definedName>
    <definedName name="TRNR_902d85e58d3d4a19814a5580b26e4ab5_7217_1" hidden="1">SharePrice!$E$8</definedName>
    <definedName name="TRNR_908be86b29464fad9057927af5065d7b_14942_1" hidden="1">SharePrice!$E$8</definedName>
    <definedName name="TRNR_90ccde8c0dae4090a76d939aaa244735_9869_2" hidden="1">SharePrice!$A$8</definedName>
    <definedName name="TRNR_9507af4ffc01447c8917f326d7f0d4ad_11823_4" hidden="1">Fuel!$A$8</definedName>
    <definedName name="TRNR_952eae25e21447a09469dcc1027a18a0_2970_2" hidden="1">SharePrice!$A$8</definedName>
    <definedName name="TRNR_95d61853efab4c4e8532c1982893da42_6572_4" hidden="1">Fuel!$A$8</definedName>
    <definedName name="TRNR_96486ee603674d98a89771284d569c2b_10161_2" hidden="1">SharePrice!$A$8</definedName>
    <definedName name="TRNR_990777f460624549b8354421aacf921b_14960_1" hidden="1">SharePrice!$E$8</definedName>
    <definedName name="TRNR_9acbf221755b4446a3c3b846c5e3644a_2970_3" hidden="1">SharePrice!$A$8</definedName>
    <definedName name="TRNR_9baa80f4466040878674c974846ecddd_7361_1" hidden="1">SharePrice!$E$8</definedName>
    <definedName name="TRNR_9bfaa269016446658c6452b5be5a785a_11751_4" hidden="1">Fuel!$A$8</definedName>
    <definedName name="TRNR_9ebc5640b7a54b6f82d9da77363379ab_9869_2" hidden="1">SharePrice!$A$8</definedName>
    <definedName name="TRNR_a0b62329496c42309604d11df673899c_9869_2" hidden="1">SharePrice!$A$8</definedName>
    <definedName name="TRNR_a33deb8ae3b642eab06e783a7fc7e7b0_7865_1" hidden="1">#REF!</definedName>
    <definedName name="TRNR_a4a4f49733554c9ab4c805bc8f9b4b98_6462_4" hidden="1">#REF!</definedName>
    <definedName name="TRNR_a55b78abea0c4ca0a1643ba7da915064_7246_1" hidden="1">SharePrice!$E$8</definedName>
    <definedName name="TRNR_a9584b111f544a9c925e4fae416c9d4c_7866_1" hidden="1">#REF!</definedName>
    <definedName name="TRNR_ad72d15679734bc485f36123db25993f_7140_1" hidden="1">SharePrice!$E$8</definedName>
    <definedName name="TRNR_aec6258919eb48ff945106c8e7daf9dc_2989_2" hidden="1">SharePrice!$A$8</definedName>
    <definedName name="TRNR_afa8f4ff4eee4c119c42d2cb3c3faacf_7769_1" hidden="1">#REF!</definedName>
    <definedName name="TRNR_b0b66e7aac524bcd92ad9c519ca2f068_7872_1" hidden="1">#REF!</definedName>
    <definedName name="TRNR_b38c04fd7d3345e2b5a850cae049b4a5_7798_1" hidden="1">#REF!</definedName>
    <definedName name="TRNR_b3a97543247d4140978e76a6dc824521_7141_1" hidden="1">SharePrice!$E$8</definedName>
    <definedName name="TRNR_b513df32e012423e92fd259dd328cfc6_7359_1" hidden="1">SharePrice!$E$8</definedName>
    <definedName name="TRNR_b622254e01b94ad1b4eddcb0cbf4068a_6462_4" hidden="1">Fuel!$A$8</definedName>
    <definedName name="TRNR_b631c11e951044c984204801c33359eb_11531_4" hidden="1">Fuel!$A$8</definedName>
    <definedName name="TRNR_b72074392c154646b181bb47258e4b89_6493_4" hidden="1">Fuel!$A$8</definedName>
    <definedName name="TRNR_b7303bb58f144679851174f604f0f246_7851_1" hidden="1">#REF!</definedName>
    <definedName name="TRNR_b8b66312ca014e0fa54c1d25cff142a5_2970_2" hidden="1">SharePrice!$A$8</definedName>
    <definedName name="TRNR_ba00fcb0a6be492b827e9f65af6a849a_6464_4" hidden="1">Fuel!$A$8</definedName>
    <definedName name="TRNR_bac5c207fe684bd597943f65d7364acc_6572_4" hidden="1">Fuel!$A$8</definedName>
    <definedName name="TRNR_bc46813f909c4b809b32e7706172c1c5_7856_1" hidden="1">#REF!</definedName>
    <definedName name="TRNR_c051980d8dbe4ce0a051f66646d99239_11555_4" hidden="1">Fuel!$A$8</definedName>
    <definedName name="TRNR_c38531328ed94a1d8bfe9112e1a49745_7780_1" hidden="1">#REF!</definedName>
    <definedName name="TRNR_c3f56d9f81b648c09b0c9794d710e7df_2988_2" hidden="1">SharePrice!$A$8</definedName>
    <definedName name="TRNR_c62005c543044b4faeb51f22defd7bb5_14961_1" hidden="1">SharePrice!$E$8</definedName>
    <definedName name="TRNR_d4afd1a04f234ffb81776fc6c23e65db_14961_1" hidden="1">SharePrice!$E$8</definedName>
    <definedName name="TRNR_d733ff1af29b4e0a935be01da602fc70_7401_1" hidden="1">SharePrice!$E$8</definedName>
    <definedName name="TRNR_da55ef8c7c6d4e3f866c556268f5a4c3_9868_2" hidden="1">SharePrice!$A$8</definedName>
    <definedName name="TRNR_da95b1e80c964acab40c2505493e6e13_14966_1" hidden="1">SharePrice!$E$8</definedName>
    <definedName name="TRNR_dadc5aa67b294a8da434c5d53aae2621_2988_2" hidden="1">SharePrice!$A$8</definedName>
    <definedName name="TRNR_dff82de770e24198aaccfd946ac8c17d_2970_2" hidden="1">SharePrice!$A$8</definedName>
    <definedName name="TRNR_e0a5a8c9407f48a1a75639c68213d8ed_10163_2" hidden="1">SharePrice!$A$8</definedName>
    <definedName name="TRNR_e17c2dbe6358484097afb4c3f17d81db_6567_4" hidden="1">Fuel!$A$8</definedName>
    <definedName name="TRNR_e2b001613d2941e2bd3be5b845582f9e_14954_1" hidden="1">SharePrice!$E$8</definedName>
    <definedName name="TRNR_e7c6b39f861e45438522d9e176a5ca34_1_4" hidden="1">#REF!</definedName>
    <definedName name="TRNR_ea9a2089801c4be180020a3781364804_2973_2" hidden="1">SharePrice!$A$8</definedName>
    <definedName name="TRNR_eb4cfc2c714743e5a21f1e2ddd50422d_6567_4" hidden="1">Fuel!$A$8</definedName>
    <definedName name="TRNR_ec0efe1dd1844aceb30ac9c9a04114bd_7855_1" hidden="1">#REF!</definedName>
    <definedName name="TRNR_ed6ec133df704fafa00fb1752c77f52d_2970_1" hidden="1">SharePrice!$A$8</definedName>
    <definedName name="TRNR_ee56a0d4321d41ec87d222993e386c30_7217_1" hidden="1">SharePrice!$E$8</definedName>
    <definedName name="TRNR_f19271df72f14dd6b514f1337c9c632b_7855_1" hidden="1">#REF!</definedName>
    <definedName name="TRNR_f239f4e81faa4231976d8987f7c598de_7767_1" hidden="1">#REF!</definedName>
    <definedName name="TRNR_f3f773f8a8e842ae8d29f504343fd07d_11531_4" hidden="1">Fuel!$A$8</definedName>
    <definedName name="TRNR_f83590c1e2914cd4b66027861c034056_11748_4" hidden="1">Fuel!$A$8</definedName>
    <definedName name="TRNR_fd3dfd2b4c00496eb817490102d4104c_7141_1" hidden="1">SharePrice!$E$8</definedName>
    <definedName name="TRNR_fe094a91de43464589b0aed2b268ba81_14954_1" hidden="1">SharePrice!$E$8</definedName>
    <definedName name="TRNR_fe4080c419414318ae41267b0b5c7406_14944_1" hidden="1">SharePrice!$E$8</definedName>
    <definedName name="Unadjusted_Average_SII_Aggregate">#REF!</definedName>
    <definedName name="Unadjusted_Average_SII_Ordinary_Shares">#REF!</definedName>
    <definedName name="Unadjusted_EPS">#REF!</definedName>
    <definedName name="Unadjusted_Net_DPS_Ordinary_Shares">#REF!</definedName>
    <definedName name="Unadjusted_Y_E_Shares_In_Issue_Aggregate">#REF!</definedName>
    <definedName name="Unadjusted_Y_E_Shares_In_Issue_Ordinary_Shares">#REF!</definedName>
    <definedName name="unit_cash">#REF!</definedName>
    <definedName name="unit_cost">#REF!</definedName>
    <definedName name="unit_fuel">#REF!</definedName>
    <definedName name="unit_labour">#REF!</definedName>
    <definedName name="unit_misc">#REF!</definedName>
    <definedName name="Valuation">Valuation!$A$6:$H$27</definedName>
    <definedName name="values_array">{"Time","AVERAGE(Time)","YNNNN",FALSE}</definedName>
    <definedName name="Version.WIRE">1</definedName>
    <definedName name="Voyage_Costs">#REF!</definedName>
    <definedName name="vvv" hidden="1">{"DCF","UPSIDE CASE",FALSE,"Sheet1";"DCF","BASE CASE",FALSE,"Sheet1";"DCF","DOWNSIDE CASE",FALSE,"Sheet1"}</definedName>
    <definedName name="Waterfall">"Waterfall"</definedName>
    <definedName name="wrn.adj95." hidden="1">{"adj95mult",#N/A,FALSE,"COMPCO";"adj95est",#N/A,FALSE,"COMPCO"}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Economic._.Value._.Added._.Analysis." hidden="1">{"EVA",#N/A,FALSE,"EVA";"WACC",#N/A,FALSE,"WACC"}</definedName>
    <definedName name="wrn.Full._.Model." hidden="1">{"Asummary",#N/A,TRUE,"ASummary";"Crow'sNest Valuation",#N/A,TRUE,"ASummary";"Valuation",#N/A,TRUE,"ASummary";"Main Model",#N/A,TRUE,"Model"}</definedName>
    <definedName name="wrn.Full._.Model._.Print._.out." hidden="1">{#N/A,#N/A,TRUE,"Summary";#N/A,#N/A,TRUE,"Valuation";#N/A,#N/A,TRUE,"Model"}</definedName>
    <definedName name="wrn.Full._.Report." hidden="1">{#N/A,#N/A,FALSE,"Model"}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HMM._.Trade._.Reports." hidden="1">{"HMM - US Trade",#N/A,TRUE,"HMM";"HMM - European Trade",#N/A,TRUE,"HMM";"HMM - Korea/Asia",#N/A,TRUE,"HMM";"HMM - Total Trade",#N/A,TRUE,"HMM"}</definedName>
    <definedName name="wrn.Inputs." hidden="1">{"Inputs",#N/A,TRUE,"North America";"Inputs",#N/A,TRUE,"Europe";"Inputs",#N/A,TRUE,"Asia Pacific";"Inputs",#N/A,TRUE,"Latin America";"Inputs",#N/A,TRUE,"Wireless"}</definedName>
    <definedName name="wrn.Main._.Model." hidden="1">{#N/A,#N/A,FALSE,"Model"}</definedName>
    <definedName name="wrn.Model._.Summary." hidden="1">{#N/A,#N/A,FALSE,"Summary"}</definedName>
    <definedName name="wrn.OUTPUT." hidden="1">{"DCF","UPSIDE CASE",FALSE,"Sheet1";"DCF","BASE CASE",FALSE,"Sheet1";"DCF","DOWNSIDE CASE",FALSE,"Sheet1"}</definedName>
    <definedName name="wrn.PEWC1." hidden="1">{"Graphic",#N/A,TRUE,"Graphic"}</definedName>
    <definedName name="wrn.Print._.of._.Full._.Report." hidden="1">{"Summary Page",#N/A,TRUE,"Summary Page";"Full Year - Main Model",#N/A,TRUE,"Summary Page";"Valuation section",#N/A,TRUE,"Summary Page"}</definedName>
    <definedName name="wrn.Sum." hidden="1">{"FLIGHTPACK",#N/A,FALSE,"MTRAF";"FLASH",#N/A,FALSE,"MTRAF"}</definedName>
    <definedName name="wrn.Summary." hidden="1">{"Section 1",#N/A,TRUE,"Summary";"Section 2",#N/A,TRUE,"Summary";"Section 3",#N/A,TRUE,"Summary";"Section 4",#N/A,TRUE,"Summary"}</definedName>
    <definedName name="wrn.Telstra._.Inputs.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Valuation._.Summary." hidden="1">{#N/A,#N/A,FALSE,"Valuation"}</definedName>
    <definedName name="www" hidden="1">{"DCF","UPSIDE CASE",FALSE,"Sheet1";"DCF","BASE CASE",FALSE,"Sheet1";"DCF","DOWNSIDE CASE",FALSE,"Sheet1"}</definedName>
    <definedName name="xc">COLUMNS(cu00.UserArea)</definedName>
    <definedName name="xxAnalyst">#REF!</definedName>
    <definedName name="xxCompany">#REF!</definedName>
    <definedName name="xxCountry">#REF!</definedName>
    <definedName name="xxCurrency1">#REF!</definedName>
    <definedName name="xxCurrency2">#REF!</definedName>
    <definedName name="xxCurrency3">#REF!</definedName>
    <definedName name="xxExport">#REF!</definedName>
    <definedName name="xxForecast">#REF!</definedName>
    <definedName name="xxFYEnd">#REF!</definedName>
    <definedName name="xxInvestPlay">#REF!</definedName>
    <definedName name="xxPhone">#REF!</definedName>
    <definedName name="xxRationale">#REF!</definedName>
    <definedName name="xxReason">#REF!</definedName>
    <definedName name="xxRecom">#REF!</definedName>
    <definedName name="xxRecomLast">#REF!</definedName>
    <definedName name="xxRefFYEnd">#REF!</definedName>
    <definedName name="xxRefInvPlay">#REF!</definedName>
    <definedName name="xxRefRation">#REF!</definedName>
    <definedName name="xxRefRecom">#REF!</definedName>
    <definedName name="xxRefSector">#REF!</definedName>
    <definedName name="xxRefStatus">#REF!</definedName>
    <definedName name="xxReuters">#REF!</definedName>
    <definedName name="xxSector">#REF!</definedName>
    <definedName name="xxsharehold">#REF!</definedName>
    <definedName name="xxStatus">#REF!</definedName>
    <definedName name="xxTemplate">#REF!</definedName>
    <definedName name="xxTextLast">#REF!</definedName>
    <definedName name="Year_End_Headcount">#REF!</definedName>
    <definedName name="Year_to_December__HK__m">#REF!</definedName>
    <definedName name="Years_Row">#REF!</definedName>
    <definedName name="YesNo">#REF!</definedName>
    <definedName name="Yield">#REF!</definedName>
    <definedName name="Z_497A5DB9_EB5E_11D2_BF79_00C04FD8D8D2_.wvu.PrintArea" hidden="1">#REF!</definedName>
    <definedName name="Z_497A5DB9_EB5E_11D2_BF79_00C04FD8D8D2_.wvu.Rows" hidden="1">#REF!</definedName>
    <definedName name="Z_4EDA82B1_DC6C_11D2_BF6F_00C04FD8D8D2_.wvu.PrintArea" hidden="1">#REF!</definedName>
    <definedName name="Z_4EDA82B1_DC6C_11D2_BF6F_00C04FD8D8D2_.wvu.Rows" hidden="1">#REF!</definedName>
    <definedName name="zzSpreadsheetTitle">#REF!</definedName>
    <definedName name="background_efficiency" localSheetId="1">#REF!</definedName>
    <definedName name="Bal" localSheetId="1">#REF!</definedName>
    <definedName name="Cash" localSheetId="1">#REF!</definedName>
    <definedName name="CMPEDiscrepanciesFlag" localSheetId="1">TRUE</definedName>
    <definedName name="Cons" localSheetId="1">#REF!</definedName>
    <definedName name="cu107.EPSSymbol" localSheetId="1" hidden="1">"NT$"</definedName>
    <definedName name="cx" localSheetId="1">#REF!</definedName>
    <definedName name="cx_roi" localSheetId="1">#REF!</definedName>
    <definedName name="cxbs" localSheetId="1">#REF!</definedName>
    <definedName name="cxpl" localSheetId="1">#REF!</definedName>
    <definedName name="cz" localSheetId="1">#REF!</definedName>
    <definedName name="cz_roi" localSheetId="1">#REF!</definedName>
    <definedName name="czbs" localSheetId="1">#REF!</definedName>
    <definedName name="czpl" localSheetId="1">#REF!</definedName>
    <definedName name="extraordinaries" localSheetId="1">#REF!</definedName>
    <definedName name="F.2013.12" localSheetId="1">#REF!</definedName>
    <definedName name="F.2014.12" localSheetId="1">#REF!</definedName>
    <definedName name="fda" localSheetId="1" hidden="1">{"Summary Page",#N/A,TRUE,"Summary Page";"Full Year - Main Model",#N/A,TRUE,"Summary Page";"Valuation section",#N/A,TRUE,"Summary Page"}</definedName>
    <definedName name="inflation" localSheetId="1">#REF!</definedName>
    <definedName name="local_ROI" localSheetId="1">#REF!</definedName>
    <definedName name="maint_cps_local" localSheetId="1">#REF!</definedName>
    <definedName name="minorities" localSheetId="1">#REF!</definedName>
    <definedName name="PandL" localSheetId="1">#REF!</definedName>
    <definedName name="Parent" localSheetId="1">#REF!</definedName>
    <definedName name="Pre_Except_Attributable_Ord_Shareholders" localSheetId="1">#REF!</definedName>
    <definedName name="Q1.2013.03" localSheetId="1">#REF!</definedName>
    <definedName name="Q1.2014.03" localSheetId="1">#REF!</definedName>
    <definedName name="Q2.2013.06" localSheetId="1">#REF!</definedName>
    <definedName name="Q2.2014.06" localSheetId="1">#REF!</definedName>
    <definedName name="Q3.2013.09" localSheetId="1">#REF!</definedName>
    <definedName name="Q3.2014.09" localSheetId="1">#REF!</definedName>
    <definedName name="Q4.2013.12" localSheetId="1">#REF!</definedName>
    <definedName name="Q4.2014.12" localSheetId="1">#REF!</definedName>
    <definedName name="traffic_growth" localSheetId="1">#REF!</definedName>
    <definedName name="wrn.Full._.Model." localSheetId="1" hidden="1">{"Asummary",#N/A,TRUE,"ASummary";"Crow'sNest Valuation",#N/A,TRUE,"ASummary";"Valuation",#N/A,TRUE,"ASummary";"Main Model",#N/A,TRUE,"Model"}</definedName>
    <definedName name="wrn.Full._.Model._.Print._.out." localSheetId="1" hidden="1">{#N/A,#N/A,TRUE,"Summary";#N/A,#N/A,TRUE,"Valuation";#N/A,#N/A,TRUE,"Model"}</definedName>
    <definedName name="wrn.Full._.Report." localSheetId="1" hidden="1">{#N/A,#N/A,FALSE,"Model"}</definedName>
    <definedName name="wrn.HMM._.Trade._.Reports." localSheetId="1" hidden="1">{"HMM - US Trade",#N/A,TRUE,"HMM";"HMM - European Trade",#N/A,TRUE,"HMM";"HMM - Korea/Asia",#N/A,TRUE,"HMM";"HMM - Total Trade",#N/A,TRUE,"HMM"}</definedName>
    <definedName name="wrn.Main._.Model." localSheetId="1" hidden="1">{#N/A,#N/A,FALSE,"Model"}</definedName>
    <definedName name="wrn.Model._.Summary." localSheetId="1" hidden="1">{#N/A,#N/A,FALSE,"Summary"}</definedName>
    <definedName name="wrn.Print._.of._.Full._.Report." localSheetId="1" hidden="1">{"Summary Page",#N/A,TRUE,"Summary Page";"Full Year - Main Model",#N/A,TRUE,"Summary Page";"Valuation section",#N/A,TRUE,"Summary Page"}</definedName>
    <definedName name="wrn.Valuation._.Summary." localSheetId="1" hidden="1">{#N/A,#N/A,FALSE,"Valuation"}</definedName>
    <definedName name="ICF_Invest_In_Assoc_JVs" localSheetId="2">CXMODEL!$130:$130</definedName>
    <definedName name="minorities" localSheetId="2">CXMODEL!$B$158:$JK$158</definedName>
    <definedName name="Net_Acquisitions_Disposals" localSheetId="2">CXMODEL!$338:$338</definedName>
    <definedName name="Net_Cap_Expenditure_Intang_Fixed_Assets" localSheetId="2">CXMODEL!$337:$337</definedName>
    <definedName name="Net_Cap_Expenditure_Tang_Fixed_Assets" localSheetId="2">CXMODEL!$336:$336</definedName>
    <definedName name="Other_Invest_Changes" localSheetId="2">CXMODEL!$339:$339</definedName>
    <definedName name="_xlnm.Print_Titles" localSheetId="2">'CXMODEL'!$1:$1</definedName>
    <definedName name="_xlnm.Print_Area" localSheetId="2">'CXMODEL'!$B$1:$EI$170</definedName>
    <definedName name="_Model_Path" localSheetId="4">"\\UBSPROD.MSAD.UBS.NET\GroupShares\GLOBAL\IB_RESEARCH_HKG\TRANSPORT\Ian - ASEAN Airlines\Cathay Pacific\Cathay Pacific Model Live.xlsx"</definedName>
    <definedName name="A" localSheetId="4" hidden="1">{"Graphic",#N/A,TRUE,"Graphic"}</definedName>
    <definedName name="aaa" localSheetId="4" hidden="1">{"mult96",#N/A,FALSE,"PETCOMP";"est96",#N/A,FALSE,"PETCOMP";"mult95",#N/A,FALSE,"PETCOMP";"est95",#N/A,FALSE,"PETCOMP";"multltm",#N/A,FALSE,"PETCOMP";"resultltm",#N/A,FALSE,"PETCOMP"}</definedName>
    <definedName name="Acquisitions" localSheetId="4">#REF!</definedName>
    <definedName name="Aeroflot" localSheetId="4">#REF!</definedName>
    <definedName name="AET_CASH_EPS" localSheetId="4">#REF!</definedName>
    <definedName name="AET_CORE_EBITDA" localSheetId="4">#REF!</definedName>
    <definedName name="AET_Dep_Ammort" localSheetId="4">#REF!</definedName>
    <definedName name="AET_EBIT" localSheetId="4">#REF!</definedName>
    <definedName name="AET_Minorities" localSheetId="4">#REF!</definedName>
    <definedName name="AET_TANGIBLE_FIXED_ASSETS" localSheetId="4">#REF!</definedName>
    <definedName name="AET_Taxation" localSheetId="4">#REF!</definedName>
    <definedName name="AET_Turnover" localSheetId="4">#REF!</definedName>
    <definedName name="AET_WAGE_COSTS" localSheetId="4">#REF!</definedName>
    <definedName name="agag" localSheetId="4" hidden="1">{"adj95mult",#N/A,FALSE,"COMPCO";"adj95est",#N/A,FALSE,"COMPCO"}</definedName>
    <definedName name="Aggregate_Scrip_Factor" localSheetId="4">#REF!</definedName>
    <definedName name="AKMODEL" localSheetId="4">#REF!</definedName>
    <definedName name="Amortisation_Of_Intangible_Assets" localSheetId="4">#REF!</definedName>
    <definedName name="AMR_Corp" localSheetId="4">#REF!</definedName>
    <definedName name="as" localSheetId="4">L28C4</definedName>
    <definedName name="ask_employee" localSheetId="4">#REF!</definedName>
    <definedName name="Asset" localSheetId="4">L28C4</definedName>
    <definedName name="asset_under_constr" localSheetId="4">#REF!</definedName>
    <definedName name="Associate_Adjustment" localSheetId="4">#REF!</definedName>
    <definedName name="Associates_After_Tax" localSheetId="4">#REF!</definedName>
    <definedName name="Associates_Pre_Tax" localSheetId="4">#REF!</definedName>
    <definedName name="atk_employee" localSheetId="4">#REF!</definedName>
    <definedName name="Aver_sh_price" localSheetId="4">#REF!</definedName>
    <definedName name="Average_Headcount" localSheetId="4">#REF!</definedName>
    <definedName name="B" localSheetId="4" hidden="1">{"Graphic",#N/A,TRUE,"Graphic"}</definedName>
    <definedName name="Bal" localSheetId="4">#REF!</definedName>
    <definedName name="BBB" localSheetId="4" hidden="1">{"mult96",#N/A,FALSE,"PETCOMP";"est96",#N/A,FALSE,"PETCOMP";"mult95",#N/A,FALSE,"PETCOMP";"est95",#N/A,FALSE,"PETCOMP";"multltm",#N/A,FALSE,"PETCOMP";"resultltm",#N/A,FALSE,"PETCOMP"}</definedName>
    <definedName name="BKIhub" localSheetId="4">#REF!</definedName>
    <definedName name="BKIroll" localSheetId="4">#REF!</definedName>
    <definedName name="BusinessPriceCopy" localSheetId="4">#REF!</definedName>
    <definedName name="BusinessPricePaste" localSheetId="4">#REF!</definedName>
    <definedName name="BusinessPriceReduction" localSheetId="4">#REF!</definedName>
    <definedName name="BusinessPriceReduction1988" localSheetId="4">#REF!</definedName>
    <definedName name="cap_cost_cov" localSheetId="4">#REF!</definedName>
    <definedName name="capacity_growth" localSheetId="4">#REF!</definedName>
    <definedName name="capex_cov" localSheetId="4">#REF!</definedName>
    <definedName name="capex_depn" localSheetId="4">#REF!</definedName>
    <definedName name="capex_mcpx" localSheetId="4">#REF!</definedName>
    <definedName name="Capital_Expenditure_Other" localSheetId="4">#REF!</definedName>
    <definedName name="Capital_Expenditure_Tangibles" localSheetId="4">#REF!</definedName>
    <definedName name="cargo_ask" localSheetId="4">#REF!</definedName>
    <definedName name="Cash" localSheetId="4">#REF!</definedName>
    <definedName name="Cash_Flow" localSheetId="4">#REF!</definedName>
    <definedName name="cash_gen" localSheetId="4">#REF!</definedName>
    <definedName name="cash_gen_norm" localSheetId="4">#REF!</definedName>
    <definedName name="ccc" localSheetId="4" hidden="1">{"mult96",#N/A,FALSE,"PETCOMP";"est96",#N/A,FALSE,"PETCOMP";"mult95",#N/A,FALSE,"PETCOMP";"est95",#N/A,FALSE,"PETCOMP";"multltm",#N/A,FALSE,"PETCOMP";"resultltm",#N/A,FALSE,"PETCOMP"}</definedName>
    <definedName name="Cellular_Sub" localSheetId="4" hidden="1">{"Outputs",#N/A,TRUE,"North America";"Outputs",#N/A,TRUE,"Europe";"Outputs",#N/A,TRUE,"Asia Pacific";"Outputs",#N/A,TRUE,"Latin America";"Outputs",#N/A,TRUE,"Wireless"}</definedName>
    <definedName name="cf_other" localSheetId="4">#REF!</definedName>
    <definedName name="CFormats" localSheetId="4">#REF!</definedName>
    <definedName name="Change_In_Net_Working_Capital" localSheetId="4">#REF!</definedName>
    <definedName name="Closing_Net_Cash_Debt" localSheetId="4">#REF!</definedName>
    <definedName name="codeDestination" localSheetId="4">#REF!</definedName>
    <definedName name="CODELK_Path" localSheetId="4">#REF!</definedName>
    <definedName name="COGS" localSheetId="4">#REF!</definedName>
    <definedName name="Cons" localSheetId="4">#REF!</definedName>
    <definedName name="ConsA" localSheetId="4">#REF!</definedName>
    <definedName name="core_airline_staff_nos" localSheetId="4">#REF!</definedName>
    <definedName name="Core_EBIT2" localSheetId="4">#REF!</definedName>
    <definedName name="Core_EBITDA2" localSheetId="4">#REF!</definedName>
    <definedName name="Core_GCF" localSheetId="4">#REF!</definedName>
    <definedName name="Core_OpFCF" localSheetId="4">#REF!</definedName>
    <definedName name="CTopics" localSheetId="4">#REF!</definedName>
    <definedName name="cu00.UserArea" localSheetId="4">#REF!</definedName>
    <definedName name="cu05.NumOfCols" localSheetId="4">COLUMNS(Monthly!cu00.UserArea)</definedName>
    <definedName name="cu116.StockTable" localSheetId="4">{"TW2615","ORD",""}</definedName>
    <definedName name="cu121.NoChangeOnRollover" localSheetId="4">{"SCRIP"}</definedName>
    <definedName name="cu20.ItemTypeCategory" localSheetId="4">#REF!</definedName>
    <definedName name="cu21.MonthTable" localSheetId="4">{"January","February","March","April","May","June","July","August","September","November","December"}</definedName>
    <definedName name="CurrMul" localSheetId="4">#REF!</definedName>
    <definedName name="CUSTransactionID" localSheetId="4" hidden="1">1058220509.022</definedName>
    <definedName name="CX_chg" localSheetId="4">#REF!</definedName>
    <definedName name="CX_H220_review" localSheetId="4">#REF!</definedName>
    <definedName name="dadasdad" localSheetId="4">L14C3</definedName>
    <definedName name="dateS4" localSheetId="4">#REF!</definedName>
    <definedName name="ddd" localSheetId="4" hidden="1">{"DCF","UPSIDE CASE",FALSE,"Sheet1";"DCF","BASE CASE",FALSE,"Sheet1";"DCF","DOWNSIDE CASE",FALSE,"Sheet1"}</definedName>
    <definedName name="debt_repay" localSheetId="4">#REF!</definedName>
    <definedName name="depn" localSheetId="4">#REF!</definedName>
    <definedName name="depn_mcpx" localSheetId="4">#REF!</definedName>
    <definedName name="Depr_repl_value1" localSheetId="4">#REF!</definedName>
    <definedName name="Depr_repl_value2" localSheetId="4">#REF!</definedName>
    <definedName name="df" localSheetId="4">{"TW2615","ORD",""}</definedName>
    <definedName name="DFMV__US" localSheetId="4">#REF!</definedName>
    <definedName name="Disposals" localSheetId="4">#REF!</definedName>
    <definedName name="dp" localSheetId="4">L14C3</definedName>
    <definedName name="Dpreciation" localSheetId="4">#REF!</definedName>
    <definedName name="DSDDE_Path" localSheetId="4">#REF!</definedName>
    <definedName name="dsdsd" localSheetId="4" hidden="1">{"adj95mult",#N/A,FALSE,"COMPCO";"adj95est",#N/A,FALSE,"COMPCO"}</definedName>
    <definedName name="EBITDA" localSheetId="4">#REF!</definedName>
    <definedName name="eee" localSheetId="4" hidden="1">{"Graphic",#N/A,TRUE,"Graphic"}</definedName>
    <definedName name="eff" localSheetId="4">{"January","February","March","April","May","June","July","August","September","November","December"}</definedName>
    <definedName name="efrw" localSheetId="4">#REF!</definedName>
    <definedName name="efwas" localSheetId="4">#REF!</definedName>
    <definedName name="EPS__Pre_Exceptional" localSheetId="4">#REF!</definedName>
    <definedName name="Equity_Capital" localSheetId="4">#REF!</definedName>
    <definedName name="ESG" localSheetId="4">#REF!</definedName>
    <definedName name="ESGTable" localSheetId="4">#REF!</definedName>
    <definedName name="est" localSheetId="4" hidden="1">{"EVA",#N/A,FALSE,"EVA";"WACC",#N/A,FALSE,"WACC"}</definedName>
    <definedName name="EV__US" localSheetId="4">#REF!</definedName>
    <definedName name="ev_debt" localSheetId="4">#REF!</definedName>
    <definedName name="EV_DFMV" localSheetId="4">#REF!</definedName>
    <definedName name="EV_EBITDA" localSheetId="4">#REF!</definedName>
    <definedName name="ev_fleet" localSheetId="4">#REF!</definedName>
    <definedName name="ev_opfcf" localSheetId="4">#REF!</definedName>
    <definedName name="EV1a" localSheetId="4">#REF!</definedName>
    <definedName name="EV1b" localSheetId="4">#REF!</definedName>
    <definedName name="EVEBITDA2" localSheetId="4">#REF!</definedName>
    <definedName name="EVGCF" localSheetId="4">#REF!</definedName>
    <definedName name="EVGCF1b" localSheetId="4">#REF!</definedName>
    <definedName name="EVOpFCF" localSheetId="4">#REF!</definedName>
    <definedName name="EVOpFCF1b" localSheetId="4">#REF!</definedName>
    <definedName name="EVRC" localSheetId="4">#REF!</definedName>
    <definedName name="EVRC1b" localSheetId="4">#REF!</definedName>
    <definedName name="Excel_Version" localSheetId="4">#REF!</definedName>
    <definedName name="ext_funding" localSheetId="4">#REF!</definedName>
    <definedName name="ExtFiles" localSheetId="4">#REF!</definedName>
    <definedName name="extraordinaries" localSheetId="4">#REF!</definedName>
    <definedName name="Extraordinary_Items_After_Tax" localSheetId="4">#REF!</definedName>
    <definedName name="Extraordinary_Items_Before_Tax" localSheetId="4">#REF!</definedName>
    <definedName name="f" localSheetId="4" hidden="1">{"EVA",#N/A,FALSE,"EVA";"WACC",#N/A,FALSE,"WACC"}</definedName>
    <definedName name="F.1985.03" localSheetId="4">#REF!</definedName>
    <definedName name="f.1986.03" localSheetId="4">#REF!</definedName>
    <definedName name="f.1987.03" localSheetId="4">#REF!</definedName>
    <definedName name="F.1987.12" localSheetId="4">#REF!</definedName>
    <definedName name="f.1988.03" localSheetId="4">#REF!</definedName>
    <definedName name="F.1988.12" localSheetId="4">#REF!</definedName>
    <definedName name="f.1989.03" localSheetId="4">#REF!</definedName>
    <definedName name="F.1989.12" localSheetId="4">#REF!</definedName>
    <definedName name="F.1995" localSheetId="4">#REF!</definedName>
    <definedName name="F.1996" localSheetId="4">#REF!</definedName>
    <definedName name="F.1997" localSheetId="4">#REF!</definedName>
    <definedName name="F.1998" localSheetId="4">#REF!</definedName>
    <definedName name="F.2009.03" localSheetId="4">#REF!</definedName>
    <definedName name="F.2010.03" localSheetId="4">#REF!</definedName>
    <definedName name="F.2011.03" localSheetId="4">#REF!</definedName>
    <definedName name="F.2012.03" localSheetId="4">#REF!</definedName>
    <definedName name="F.2013.03" localSheetId="4">#REF!</definedName>
    <definedName name="F.2014.03" localSheetId="4">#REF!</definedName>
    <definedName name="F.2015.03" localSheetId="4">#REF!</definedName>
    <definedName name="F.2016.12" localSheetId="4">#REF!</definedName>
    <definedName name="fd" localSheetId="4">COLUMNS(Monthly!cu00.UserArea)</definedName>
    <definedName name="fda" localSheetId="4" hidden="1">{"Summary Page",#N/A,TRUE,"Summary Page";"Full Year - Main Model",#N/A,TRUE,"Summary Page";"Valuation section",#N/A,TRUE,"Summary Page"}</definedName>
    <definedName name="ff" localSheetId="4" hidden="1">{"adj95mult",#N/A,FALSE,"COMPCO";"adj95est",#N/A,FALSE,"COMPCO"}</definedName>
    <definedName name="ffefe" localSheetId="4" hidden="1">{"adj95mult",#N/A,FALSE,"COMPCO";"adj95est",#N/A,FALSE,"COMPCO"}</definedName>
    <definedName name="fgd" localSheetId="4">#REF!</definedName>
    <definedName name="fhfhjgjhgjh" localSheetId="4" hidden="1">{"Inputs",#N/A,FALSE,"US_FL";"Inputs",#N/A,FALSE,"EUROPE_FL";"Inputs",#N/A,FALSE,"ASIA_FL"}</definedName>
    <definedName name="Formats" localSheetId="4">#REF!</definedName>
    <definedName name="FREQS" localSheetId="4">#REF!</definedName>
    <definedName name="fsc" localSheetId="4">#REF!</definedName>
    <definedName name="fy20_review_table" localSheetId="4">#REF!</definedName>
    <definedName name="GCF" localSheetId="4">#REF!</definedName>
    <definedName name="grehtdhtfgh" localSheetId="4" hidden="1">{"DCF","UPSIDE CASE",FALSE,"Sheet1";"DCF","BASE CASE",FALSE,"Sheet1";"DCF","DOWNSIDE CASE",FALSE,"Sheet1"}</definedName>
    <definedName name="Gross_Freight_Revenue" localSheetId="4">#REF!</definedName>
    <definedName name="Home_Turnover" localSheetId="4">#REF!</definedName>
    <definedName name="HSBCTbl_Table1" localSheetId="4">Key #REF!</definedName>
    <definedName name="I1.2004.09" localSheetId="4">#REF!</definedName>
    <definedName name="I1.2005.09" localSheetId="4">#REF!</definedName>
    <definedName name="I2.2004.03" localSheetId="4">#REF!</definedName>
    <definedName name="Implied_Target_Valuation_Multiple" localSheetId="4">#REF!</definedName>
    <definedName name="Increase_In_Net_Cash" localSheetId="4">#REF!</definedName>
    <definedName name="Insurance" localSheetId="4">#REF!</definedName>
    <definedName name="Interest" localSheetId="4">#REF!</definedName>
    <definedName name="Investments_otherassets" localSheetId="4">#REF!</definedName>
    <definedName name="JBroll" localSheetId="4">#REF!</definedName>
    <definedName name="JHB" localSheetId="4">#REF!</definedName>
    <definedName name="jkj" localSheetId="4" hidden="1">{"mult96",#N/A,FALSE,"PETCOMP";"est96",#N/A,FALSE,"PETCOMP";"mult95",#N/A,FALSE,"PETCOMP";"est95",#N/A,FALSE,"PETCOMP";"multltm",#N/A,FALSE,"PETCOMP";"resultltm",#N/A,FALSE,"PETCOMP"}</definedName>
    <definedName name="Key_metrics" localSheetId="4">#REF!</definedName>
    <definedName name="kn" localSheetId="4">#REF!</definedName>
    <definedName name="kna" localSheetId="4">#REF!</definedName>
    <definedName name="knb" localSheetId="4">#REF!</definedName>
    <definedName name="knbs" localSheetId="4">#REF!</definedName>
    <definedName name="knc" localSheetId="4">#REF!</definedName>
    <definedName name="knpl" localSheetId="4">#REF!</definedName>
    <definedName name="KUL" localSheetId="4">#REF!</definedName>
    <definedName name="KULroll" localSheetId="4">#REF!</definedName>
    <definedName name="labour_employee" localSheetId="4">#REF!</definedName>
    <definedName name="labour_inflation" localSheetId="4">#REF!</definedName>
    <definedName name="Last_Update" localSheetId="4">#REF!</definedName>
    <definedName name="LiveReqs" localSheetId="4">#REF!</definedName>
    <definedName name="local_ROI" localSheetId="4">#REF!</definedName>
    <definedName name="Maint_Capex1" localSheetId="4">#REF!</definedName>
    <definedName name="Maint_Capex2" localSheetId="4">#REF!</definedName>
    <definedName name="Manning" localSheetId="4">#REF!</definedName>
    <definedName name="MemFree" localSheetId="4">#REF!</definedName>
    <definedName name="MemTotal" localSheetId="4">#REF!</definedName>
    <definedName name="minorities" localSheetId="4">#REF!</definedName>
    <definedName name="Minority_Dividends" localSheetId="4">#REF!</definedName>
    <definedName name="mkt_cap" localSheetId="4">#REF!</definedName>
    <definedName name="mm" localSheetId="4" hidden="1">{"adj95mult",#N/A,FALSE,"COMPCO";"adj95est",#N/A,FALSE,"COMPCO"}</definedName>
    <definedName name="MODEL" localSheetId="4">#REF!</definedName>
    <definedName name="model_fin_lease" localSheetId="4">#REF!</definedName>
    <definedName name="model_rc" localSheetId="4">#REF!</definedName>
    <definedName name="Model_tc" localSheetId="4">#REF!</definedName>
    <definedName name="Movement_In_Provisions" localSheetId="4">#REF!</definedName>
    <definedName name="name_ranges" localSheetId="4">#REF!</definedName>
    <definedName name="Net_Profit_Group_Share" localSheetId="4">#REF!</definedName>
    <definedName name="Net_Profit_Other_Item" localSheetId="4">#REF!</definedName>
    <definedName name="netp" localSheetId="4">#REF!</definedName>
    <definedName name="new" localSheetId="4" hidden="1">{"Graphic",#N/A,TRUE,"Graphic"}</definedName>
    <definedName name="nnn" localSheetId="4" hidden="1">{"Graphic",#N/A,TRUE,"Graphic"}</definedName>
    <definedName name="North_America_Turnover" localSheetId="4">#REF!</definedName>
    <definedName name="NT" localSheetId="4">#REF!</definedName>
    <definedName name="NTA" localSheetId="4">#REF!</definedName>
    <definedName name="NTB" localSheetId="4">#REF!</definedName>
    <definedName name="NTBS" localSheetId="4">#REF!</definedName>
    <definedName name="NTC" localSheetId="4">#REF!</definedName>
    <definedName name="NTPL" localSheetId="4">#REF!</definedName>
    <definedName name="Off_BS_dep_repl_value" localSheetId="4">#REF!</definedName>
    <definedName name="Off_BS_depr_repl_value" localSheetId="4">#REF!</definedName>
    <definedName name="Off_BS_repl_value" localSheetId="4">#REF!</definedName>
    <definedName name="one" localSheetId="4" hidden="1">{"adj95mult",#N/A,FALSE,"COMPCO";"adj95est",#N/A,FALSE,"COMPCO"}</definedName>
    <definedName name="ooo" localSheetId="4" hidden="1">{"Graphic",#N/A,TRUE,"Graphic"}</definedName>
    <definedName name="op_profit" localSheetId="4">#REF!</definedName>
    <definedName name="operating_profit" localSheetId="4">#REF!</definedName>
    <definedName name="Operating_Sys" localSheetId="4">#REF!</definedName>
    <definedName name="Opex" localSheetId="4">#REF!</definedName>
    <definedName name="OpFcF__US" localSheetId="4">#REF!</definedName>
    <definedName name="OpFCF1" localSheetId="4">#REF!</definedName>
    <definedName name="OpFCF2" localSheetId="4">#REF!</definedName>
    <definedName name="other_costs" localSheetId="4">#REF!</definedName>
    <definedName name="other_direct_cost" localSheetId="4">#REF!</definedName>
    <definedName name="Other_Items_Cash_Flow" localSheetId="4">#REF!</definedName>
    <definedName name="Other_Items_Provisions" localSheetId="4">#REF!</definedName>
    <definedName name="other_non_op" localSheetId="4">#REF!</definedName>
    <definedName name="Page1" localSheetId="4">#REF!</definedName>
    <definedName name="Page2" localSheetId="4">#REF!</definedName>
    <definedName name="Page3" localSheetId="4">#REF!</definedName>
    <definedName name="PandL" localSheetId="4">#REF!</definedName>
    <definedName name="Par_Value_Ordinary_Shares" localSheetId="4">#REF!</definedName>
    <definedName name="Parent" localSheetId="4">#REF!</definedName>
    <definedName name="Parent_Co_Dividend" localSheetId="4">#REF!</definedName>
    <definedName name="pax_rev" localSheetId="4">#REF!</definedName>
    <definedName name="pax_yield" localSheetId="4">#REF!</definedName>
    <definedName name="PEN" localSheetId="4">#REF!</definedName>
    <definedName name="penroll" localSheetId="4">#REF!</definedName>
    <definedName name="pension" localSheetId="4">#REF!</definedName>
    <definedName name="PER" localSheetId="4">#REF!</definedName>
    <definedName name="PEREL" localSheetId="4">#REF!</definedName>
    <definedName name="PerEndDateSerial" localSheetId="4">#REF!</definedName>
    <definedName name="peri_OpFCF" localSheetId="4">#REF!</definedName>
    <definedName name="Personnel_Costs" localSheetId="4">#REF!</definedName>
    <definedName name="ppp" localSheetId="4" hidden="1">{"DCF","UPSIDE CASE",FALSE,"Sheet1";"DCF","BASE CASE",FALSE,"Sheet1";"DCF","DOWNSIDE CASE",FALSE,"Sheet1"}</definedName>
    <definedName name="pre_ex_net_profit" localSheetId="4">#REF!</definedName>
    <definedName name="Pre_Tax_Profit" localSheetId="4">#REF!</definedName>
    <definedName name="Pre_Tax_Profit_Other_Item" localSheetId="4">#REF!</definedName>
    <definedName name="PRICE" localSheetId="4">#REF!</definedName>
    <definedName name="PriceReductionCopy" localSheetId="4">#REF!</definedName>
    <definedName name="PriceReductionPaste" localSheetId="4">#REF!</definedName>
    <definedName name="PRICEREL" localSheetId="4">#REF!</definedName>
    <definedName name="Proceeds_From_Share_Issues" localSheetId="4">#REF!</definedName>
    <definedName name="ProjectedLIS" localSheetId="4">#REF!</definedName>
    <definedName name="Q1.2015.03" localSheetId="4">#REF!</definedName>
    <definedName name="Q1.2016.03" localSheetId="4">#REF!</definedName>
    <definedName name="Q2.2015.06" localSheetId="4">#REF!</definedName>
    <definedName name="Q2.2016.06" localSheetId="4">#REF!</definedName>
    <definedName name="Q3.2015.09" localSheetId="4">#REF!</definedName>
    <definedName name="Q3.2016.09" localSheetId="4">#REF!</definedName>
    <definedName name="Q4.2009.03" localSheetId="4">#REF!</definedName>
    <definedName name="Q4.2010.03" localSheetId="4">#REF!</definedName>
    <definedName name="Q4.2011.03" localSheetId="4">#REF!</definedName>
    <definedName name="Q4.2012.03" localSheetId="4">#REF!</definedName>
    <definedName name="Q4.2013.03" localSheetId="4">#REF!</definedName>
    <definedName name="Q4.2014.03" localSheetId="4">#REF!</definedName>
    <definedName name="Q4.2015.03" localSheetId="4">#REF!</definedName>
    <definedName name="Q4.2015.12" localSheetId="4">#REF!</definedName>
    <definedName name="Q4.2016.12" localSheetId="4">#REF!</definedName>
    <definedName name="R_M" localSheetId="4">#REF!</definedName>
    <definedName name="Repl_value1" localSheetId="4">#REF!</definedName>
    <definedName name="Repl_value2" localSheetId="4">#REF!</definedName>
    <definedName name="Report" localSheetId="4">#REF!</definedName>
    <definedName name="reqdetails" localSheetId="4">#REF!</definedName>
    <definedName name="ResidentialPriceCopy" localSheetId="4">#REF!</definedName>
    <definedName name="ResidentialPricePaste" localSheetId="4">#REF!</definedName>
    <definedName name="ResidentialPriceReduction" localSheetId="4">#REF!</definedName>
    <definedName name="ResidentialPriceReduction1988" localSheetId="4">#REF!</definedName>
    <definedName name="Rest_Of_Europe_Turnover" localSheetId="4">#REF!</definedName>
    <definedName name="Result_Table" localSheetId="4">#REF!</definedName>
    <definedName name="ret_rc1" localSheetId="4">#REF!</definedName>
    <definedName name="RetRC" localSheetId="4">#REF!</definedName>
    <definedName name="Reuters" localSheetId="4">#REF!</definedName>
    <definedName name="rev_growth" localSheetId="4">#REF!</definedName>
    <definedName name="rev_gwth" localSheetId="4">#REF!</definedName>
    <definedName name="Roll" localSheetId="4">#REF!</definedName>
    <definedName name="rows_array" localSheetId="4">{"Garment",0,"Auto","Auto",""}</definedName>
    <definedName name="Running_Costs" localSheetId="4">#REF!</definedName>
    <definedName name="s" localSheetId="4">{"TW2615","ORD",""}</definedName>
    <definedName name="Sales" localSheetId="4">#REF!</definedName>
    <definedName name="Scrip_Adjusted_Net_DPS_Ordinary_Shares" localSheetId="4">#REF!</definedName>
    <definedName name="Scrip_Factor_Ordinary_Shares" localSheetId="4">#REF!</definedName>
    <definedName name="sds" localSheetId="4" hidden="1">{"EVA",#N/A,FALSE,"EVA";"WACC",#N/A,FALSE,"WACC"}</definedName>
    <definedName name="Setup" localSheetId="4">#REF!</definedName>
    <definedName name="sFormat" localSheetId="4">#REF!</definedName>
    <definedName name="sFreq" localSheetId="4">#REF!</definedName>
    <definedName name="SGW_EPS" localSheetId="4">#REF!</definedName>
    <definedName name="ShowDetails" localSheetId="4">#REF!</definedName>
    <definedName name="sq_ROI" localSheetId="4">#REF!</definedName>
    <definedName name="Stated_BVPS" localSheetId="4">#REF!</definedName>
    <definedName name="Stated_EPS" localSheetId="4">#REF!</definedName>
    <definedName name="sTopic" localSheetId="4">#REF!</definedName>
    <definedName name="StProv" localSheetId="4">#REF!</definedName>
    <definedName name="Tax_Rate_for_Dividends_Ordinary_Shares" localSheetId="4">#REF!</definedName>
    <definedName name="TCPROJ" localSheetId="4">#REF!</definedName>
    <definedName name="Teledensity" localSheetId="4">#REF!</definedName>
    <definedName name="test" localSheetId="4" hidden="1">{"DCF","UPSIDE CASE",FALSE,"Sheet1";"DCF","BASE CASE",FALSE,"Sheet1";"DCF","DOWNSIDE CASE",FALSE,"Sheet1"}</definedName>
    <definedName name="tfa_net_bk_value" localSheetId="4">#REF!</definedName>
    <definedName name="Time_Charter_Revenue" localSheetId="4">#REF!</definedName>
    <definedName name="Title" localSheetId="4">#REF!</definedName>
    <definedName name="total_capex" localSheetId="4">#REF!</definedName>
    <definedName name="TotalDemand" localSheetId="4">#REF!</definedName>
    <definedName name="TotalReqs" localSheetId="4">#REF!</definedName>
    <definedName name="TotalTime" localSheetId="4">#REF!</definedName>
    <definedName name="triplength" localSheetId="4">#REF!</definedName>
    <definedName name="TRNR_53bdc8f11f1444b788f9a32e1f061127_9332_4" localSheetId="4" hidden="1">#REF!</definedName>
    <definedName name="TRNR_5e89e20ccd914f6c8862593a72f88fd0_1_4" localSheetId="4" hidden="1">#REF!</definedName>
    <definedName name="TRNR_6738b1be91bf4026881bcb38e0ae8581_6462_4" localSheetId="4" hidden="1">#REF!</definedName>
    <definedName name="TRNR_a4a4f49733554c9ab4c805bc8f9b4b98_6462_4" localSheetId="4" hidden="1">#REF!</definedName>
    <definedName name="TRNR_e7c6b39f861e45438522d9e176a5ca34_1_4" localSheetId="4" hidden="1">#REF!</definedName>
    <definedName name="Unadjusted_Average_SII_Aggregate" localSheetId="4">#REF!</definedName>
    <definedName name="Unadjusted_Average_SII_Ordinary_Shares" localSheetId="4">#REF!</definedName>
    <definedName name="Unadjusted_EPS" localSheetId="4">#REF!</definedName>
    <definedName name="Unadjusted_Net_DPS_Ordinary_Shares" localSheetId="4">#REF!</definedName>
    <definedName name="Unadjusted_Y_E_Shares_In_Issue_Aggregate" localSheetId="4">#REF!</definedName>
    <definedName name="Unadjusted_Y_E_Shares_In_Issue_Ordinary_Shares" localSheetId="4">#REF!</definedName>
    <definedName name="unit_cash" localSheetId="4">#REF!</definedName>
    <definedName name="unit_cost" localSheetId="4">#REF!</definedName>
    <definedName name="unit_fuel" localSheetId="4">#REF!</definedName>
    <definedName name="unit_labour" localSheetId="4">#REF!</definedName>
    <definedName name="unit_misc" localSheetId="4">#REF!</definedName>
    <definedName name="values_array" localSheetId="4">{"Time","AVERAGE(Time)","YNNNN",FALSE}</definedName>
    <definedName name="vvv" localSheetId="4" hidden="1">{"DCF","UPSIDE CASE",FALSE,"Sheet1";"DCF","BASE CASE",FALSE,"Sheet1";"DCF","DOWNSIDE CASE",FALSE,"Sheet1"}</definedName>
    <definedName name="wrn.adj95." localSheetId="4" hidden="1">{"adj95mult",#N/A,FALSE,"COMPCO";"adj95est",#N/A,FALSE,"COMPCO"}</definedName>
    <definedName name="wrn.compco." localSheetId="4" hidden="1">{"mult96",#N/A,FALSE,"PETCOMP";"est96",#N/A,FALSE,"PETCOMP";"mult95",#N/A,FALSE,"PETCOMP";"est95",#N/A,FALSE,"PETCOMP";"multltm",#N/A,FALSE,"PETCOMP";"resultltm",#N/A,FALSE,"PETCOMP"}</definedName>
    <definedName name="wrn.Complete._.Report.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Economic._.Value._.Added._.Analysis." localSheetId="4" hidden="1">{"EVA",#N/A,FALSE,"EVA";"WACC",#N/A,FALSE,"WACC"}</definedName>
    <definedName name="wrn.Full._.Model." localSheetId="4" hidden="1">{"Asummary",#N/A,TRUE,"ASummary";"Crow'sNest Valuation",#N/A,TRUE,"ASummary";"Valuation",#N/A,TRUE,"ASummary";"Main Model",#N/A,TRUE,"Model"}</definedName>
    <definedName name="wrn.Full._.Model._.Print._.out." localSheetId="4" hidden="1">{#N/A,#N/A,TRUE,"Summary";#N/A,#N/A,TRUE,"Valuation";#N/A,#N/A,TRUE,"Model"}</definedName>
    <definedName name="wrn.Full._.Report." localSheetId="4" hidden="1">{#N/A,#N/A,FALSE,"Model"}</definedName>
    <definedName name="wrn.Global._.CompCo." localSheetId="4" hidden="1">{"Outputs",#N/A,TRUE,"North America";"Outputs",#N/A,TRUE,"Europe";"Outputs",#N/A,TRUE,"Asia Pacific";"Outputs",#N/A,TRUE,"Latin America";"Outputs",#N/A,TRUE,"Wireless"}</definedName>
    <definedName name="wrn.HMM._.Trade._.Reports." localSheetId="4" hidden="1">{"HMM - US Trade",#N/A,TRUE,"HMM";"HMM - European Trade",#N/A,TRUE,"HMM";"HMM - Korea/Asia",#N/A,TRUE,"HMM";"HMM - Total Trade",#N/A,TRUE,"HMM"}</definedName>
    <definedName name="wrn.Inputs." localSheetId="4" hidden="1">{"Inputs",#N/A,TRUE,"North America";"Inputs",#N/A,TRUE,"Europe";"Inputs",#N/A,TRUE,"Asia Pacific";"Inputs",#N/A,TRUE,"Latin America";"Inputs",#N/A,TRUE,"Wireless"}</definedName>
    <definedName name="wrn.Main._.Model." localSheetId="4" hidden="1">{#N/A,#N/A,FALSE,"Model"}</definedName>
    <definedName name="wrn.Model._.Summary." localSheetId="4" hidden="1">{#N/A,#N/A,FALSE,"Summary"}</definedName>
    <definedName name="wrn.OUTPUT." localSheetId="4" hidden="1">{"DCF","UPSIDE CASE",FALSE,"Sheet1";"DCF","BASE CASE",FALSE,"Sheet1";"DCF","DOWNSIDE CASE",FALSE,"Sheet1"}</definedName>
    <definedName name="wrn.PEWC1." localSheetId="4" hidden="1">{"Graphic",#N/A,TRUE,"Graphic"}</definedName>
    <definedName name="wrn.Print._.of._.Full._.Report." localSheetId="4" hidden="1">{"Summary Page",#N/A,TRUE,"Summary Page";"Full Year - Main Model",#N/A,TRUE,"Summary Page";"Valuation section",#N/A,TRUE,"Summary Page"}</definedName>
    <definedName name="wrn.Sum." localSheetId="4" hidden="1">{"FLIGHTPACK",#N/A,FALSE,"MTRAF";"FLASH",#N/A,FALSE,"MTRAF"}</definedName>
    <definedName name="wrn.Summary." localSheetId="4" hidden="1">{"Section 1",#N/A,TRUE,"Summary";"Section 2",#N/A,TRUE,"Summary";"Section 3",#N/A,TRUE,"Summary";"Section 4",#N/A,TRUE,"Summary"}</definedName>
    <definedName name="wrn.Telstra._.Inputs." localSheetId="4" hidden="1">{"Inputs",#N/A,FALSE,"US_FL";"Inputs",#N/A,FALSE,"EUROPE_FL";"Inputs",#N/A,FALSE,"ASIA_FL"}</definedName>
    <definedName name="wrn.Telstra._.Output." localSheetId="4" hidden="1">{"Output",#N/A,FALSE,"US_FL";"Output",#N/A,FALSE,"EUROPE_FL";"Output",#N/A,FALSE,"ASIA_FL"}</definedName>
    <definedName name="wrn.Valuation._.Summary." localSheetId="4" hidden="1">{#N/A,#N/A,FALSE,"Valuation"}</definedName>
    <definedName name="www" localSheetId="4" hidden="1">{"DCF","UPSIDE CASE",FALSE,"Sheet1";"DCF","BASE CASE",FALSE,"Sheet1";"DCF","DOWNSIDE CASE",FALSE,"Sheet1"}</definedName>
    <definedName name="xc" localSheetId="4">COLUMNS(Monthly!cu00.UserArea)</definedName>
    <definedName name="Year_End_Headcount" localSheetId="4">#REF!</definedName>
    <definedName name="Year_to_December__HK__m" localSheetId="4">#REF!</definedName>
    <definedName name="YesNo" localSheetId="4">#REF!</definedName>
    <definedName name="Z_497A5DB9_EB5E_11D2_BF79_00C04FD8D8D2_.wvu.PrintArea" localSheetId="4" hidden="1">#REF!</definedName>
    <definedName name="_Model_Path" localSheetId="7">"Z:\TRANSPORT\Airlines\Japan\Japan Airlines\JAL Model.xlsx"</definedName>
    <definedName name="cu107.DPSSymbol" localSheetId="7">"US$"</definedName>
    <definedName name="cu107.EPSSymbol" localSheetId="7">"US$"</definedName>
    <definedName name="CUSTransactionID" localSheetId="7" hidden="1">1078516734.283</definedName>
    <definedName name="DB" localSheetId="7">"WIREJPPROD"</definedName>
  </definedNames>
  <calcPr calcId="191029" calcMode="manual" fullCalcOnLoad="1" calcCompleted="0" calcOnSave="0"/>
</workbook>
</file>

<file path=xl/styles.xml><?xml version="1.0" encoding="utf-8"?>
<styleSheet xmlns="http://schemas.openxmlformats.org/spreadsheetml/2006/main">
  <numFmts count="189">
    <numFmt numFmtId="164" formatCode="#,##0.0"/>
    <numFmt numFmtId="165" formatCode="0.0%"/>
    <numFmt numFmtId="166" formatCode="0.0%;\(0.0%\)"/>
    <numFmt numFmtId="167" formatCode="#,##0.000"/>
    <numFmt numFmtId="168" formatCode="#,##0.000_);[Red]\(#,##0.000\)"/>
    <numFmt numFmtId="169" formatCode="#,##0.0;\(#,##0.0\)"/>
    <numFmt numFmtId="170" formatCode="#,##0.0;[Red]\-#,##0.0"/>
    <numFmt numFmtId="171" formatCode="0.0_);\(0.0\)"/>
    <numFmt numFmtId="172" formatCode="#,##0.0_);\(#,##0.0\)"/>
    <numFmt numFmtId="173" formatCode="#,##0.0_);[Red]\(#,##0.0\)"/>
    <numFmt numFmtId="174" formatCode="#,##0.000;\(#,##0.000\)"/>
    <numFmt numFmtId="175" formatCode="#,##0.00;\(#,##0.00\)"/>
    <numFmt numFmtId="176" formatCode="#,##0;\(#,##0\)"/>
    <numFmt numFmtId="177" formatCode="[$-409]d\-mmm\-yy;@"/>
    <numFmt numFmtId="178" formatCode="_(* #,##0_);_(* \(#,##0\);_(* &quot;-&quot;??_);_(@_)"/>
    <numFmt numFmtId="179" formatCode="0.0\x"/>
    <numFmt numFmtId="180" formatCode="_-[$$-C09]* #,##0.00_-;\-[$$-C09]* #,##0.00_-;_-[$$-C09]* &quot;-&quot;??_-;_-@_-"/>
    <numFmt numFmtId="181" formatCode="&quot;$&quot;#,##0.00"/>
    <numFmt numFmtId="182" formatCode="0.000"/>
    <numFmt numFmtId="183" formatCode="yyyy"/>
    <numFmt numFmtId="184" formatCode="[$-409]mmm\-yy;@"/>
    <numFmt numFmtId="185" formatCode="0.00\x"/>
    <numFmt numFmtId="186" formatCode="0.0"/>
    <numFmt numFmtId="187" formatCode="0.00_);[Red]\(0.00\)"/>
    <numFmt numFmtId="188" formatCode="0;_㰀"/>
    <numFmt numFmtId="189" formatCode="#,##0_ ;[Red]\-#,##0\ "/>
    <numFmt numFmtId="190" formatCode="#,##0.00_ "/>
    <numFmt numFmtId="191" formatCode="#,###&quot;—&quot;_);\(#,###&quot;—&quot;\)"/>
    <numFmt numFmtId="192" formatCode="#,##0\ \ ;\(#,##0\)\ "/>
    <numFmt numFmtId="193" formatCode="_ &quot;\&quot;* #,##0_ ;_ &quot;\&quot;* \-#,##0_ ;_ &quot;\&quot;* &quot;-&quot;_ ;_ @_ "/>
    <numFmt numFmtId="194" formatCode="#,##0\ "/>
    <numFmt numFmtId="195" formatCode="_(&quot;$&quot;* #,##0.00_);_(&quot;$&quot;* \(#,##0.00\);_(&quot;$&quot;* &quot;-&quot;??_);_(@_)"/>
    <numFmt numFmtId="196" formatCode="#,##0.0;[Red]\(#,##0.0\)"/>
    <numFmt numFmtId="197" formatCode="#\ ##0\ "/>
    <numFmt numFmtId="198" formatCode="0_);\(0\)"/>
    <numFmt numFmtId="199" formatCode="&quot;$&quot;#,##0.000_);[Red]\(&quot;$&quot;#,##0.000\)"/>
    <numFmt numFmtId="200" formatCode="0.00_);\(0.00\);0.00"/>
    <numFmt numFmtId="201" formatCode="\$#,##0\ ;\(\$#,##0\)"/>
    <numFmt numFmtId="202" formatCode="#,##0.0\);\(#,##0.0\)"/>
    <numFmt numFmtId="203" formatCode="&quot;$&quot;#,##0.00_);\(&quot;$&quot;#,##0.00\)"/>
    <numFmt numFmtId="204" formatCode="d/mm/yy\ h:mm\ AM/PM"/>
    <numFmt numFmtId="205" formatCode="0\A"/>
    <numFmt numFmtId="206" formatCode="0\F"/>
    <numFmt numFmtId="207" formatCode="_-* #,##0.00\ _D_M_-;\-* #,##0.00\ _D_M_-;_-* &quot;-&quot;??\ _D_M_-;_-@_-"/>
    <numFmt numFmtId="208" formatCode="#,##0,"/>
    <numFmt numFmtId="209" formatCode="#,##0,,"/>
    <numFmt numFmtId="210" formatCode="_ [$€-2]\ * #,##0.00_ ;_ [$€-2]\ * \-#,##0.00_ ;_ [$€-2]\ * &quot;-&quot;??_ "/>
    <numFmt numFmtId="211" formatCode="_(* #,##0.00000_);_(* \(#,##0.00000\);_(* &quot;-&quot;??_);_(@_)"/>
    <numFmt numFmtId="212" formatCode="#,##0.000_);\(#,##0.000\)"/>
    <numFmt numFmtId="213" formatCode="#,##0.0000\ ;\(#,##0.0000\)"/>
    <numFmt numFmtId="214" formatCode="\+\ #\ ??/??;[Red]\ \-\ #\ ??/??"/>
    <numFmt numFmtId="215" formatCode="_ &quot;\&quot;* #,##0.00_ ;_ &quot;\&quot;* \-#,##0.00_ ;_ &quot;\&quot;* &quot;-&quot;??_ ;_ @_ "/>
    <numFmt numFmtId="216" formatCode="#,##0;[Red]\(#,##0\)"/>
    <numFmt numFmtId="217" formatCode="_-* #,##0.00\ _F_-;\-* #,##0.00\ _F_-;_-* &quot;-&quot;??\ _F_-;_-@_-"/>
    <numFmt numFmtId="218" formatCode="_(#,##0.00_);[Red]\(#,##0.00\);_-* &quot;-&quot;??_-;_-@_-"/>
    <numFmt numFmtId="219" formatCode="0.00_);\(0.00\);0.00_)"/>
    <numFmt numFmtId="220" formatCode="&quot;$&quot;#,##0.00_);[Red]\(&quot;$&quot;#,##0.00\)"/>
    <numFmt numFmtId="221" formatCode="0.00000"/>
    <numFmt numFmtId="222" formatCode="\ 0.0%"/>
    <numFmt numFmtId="223" formatCode="#,##0.0\x_);\(#,##0.0\x\);#,##0.0\x_);@_)"/>
    <numFmt numFmtId="224" formatCode="0.00_)"/>
    <numFmt numFmtId="225" formatCode="#,##0.00_);\(#,##0.00\);&quot; --- &quot;"/>
    <numFmt numFmtId="226" formatCode="#,"/>
    <numFmt numFmtId="227" formatCode="#,##0.0\%_);\(#,##0.0\%\);#,##0.0\%_);@_)"/>
    <numFmt numFmtId="228" formatCode="0.00\%;\-0.00\%;0.00\%"/>
    <numFmt numFmtId="229" formatCode="0.000%"/>
    <numFmt numFmtId="230" formatCode="&quot;$&quot;#,##0_);\(&quot;$&quot;#,##0\)"/>
    <numFmt numFmtId="231" formatCode="_ * #,##0.00_ ;_ * \-#,##0.00_ ;_ * &quot;-&quot;??_ ;_ @_ "/>
    <numFmt numFmtId="232" formatCode="0.00;\-0.00;0.00"/>
    <numFmt numFmtId="233" formatCode="0.00\x;\-0.00\x;0.00\x"/>
    <numFmt numFmtId="234" formatCode="##0.00000"/>
    <numFmt numFmtId="235" formatCode="General;\-General;General;"/>
    <numFmt numFmtId="236" formatCode="#,##0.000\ ;\(#,##0.000\)"/>
    <numFmt numFmtId="237" formatCode="#,##0.00\ ;\(#,##0.00\)"/>
    <numFmt numFmtId="238" formatCode="_-* #,##0.00\ &quot;DM&quot;_-;\-* #,##0.00\ &quot;DM&quot;_-;_-* &quot;-&quot;??\ &quot;DM&quot;_-;_-@_-"/>
    <numFmt numFmtId="239" formatCode="General_)"/>
    <numFmt numFmtId="240" formatCode="ddmmmyy"/>
    <numFmt numFmtId="241" formatCode="_ * #,##0_ ;_ * \-#,##0_ ;_ * &quot;-&quot;_ ;_ @_ "/>
    <numFmt numFmtId="242" formatCode="&quot;£&quot;_(#,##0.00_);&quot;£&quot;\(#,##0.00\)"/>
    <numFmt numFmtId="243" formatCode="#,##0.0_)\x;\(#,##0.0\)\x"/>
    <numFmt numFmtId="244" formatCode="#,##0.0_)_x;\(#,##0.0\)_x"/>
    <numFmt numFmtId="245" formatCode="0.0_)\%;\(0.0\)\%"/>
    <numFmt numFmtId="246" formatCode="#,##0.0_)_%;\(#,##0.0\)_%"/>
    <numFmt numFmtId="247" formatCode="_-#,##0_-;\(#,##0\);_-\ \ &quot;-&quot;_-;_-@_-"/>
    <numFmt numFmtId="248" formatCode="_-#,##0.00_-;\(#,##0.00\);_-\ \ &quot;-&quot;_-;_-@_-"/>
    <numFmt numFmtId="249" formatCode="mmm/dd/yyyy;_-\ &quot;N/A&quot;_-;_-\ &quot;-&quot;_-"/>
    <numFmt numFmtId="250" formatCode="mmm/yyyy;_-\ &quot;N/A&quot;_-;_-\ &quot;-&quot;_-"/>
    <numFmt numFmtId="251" formatCode="_-#,##0%_-;\(#,##0%\);_-\ &quot;-&quot;_-"/>
    <numFmt numFmtId="252" formatCode="_-#,###,_-;\(#,###,\);_-\ \ &quot;-&quot;_-;_-@_-"/>
    <numFmt numFmtId="253" formatCode="_-#,###.00,_-;\(#,###.00,\);_-\ \ &quot;-&quot;_-;_-@_-"/>
    <numFmt numFmtId="254" formatCode="_-#0&quot;.&quot;0,_-;\(#0&quot;.&quot;0,\);_-\ \ &quot;-&quot;_-;_-@_-"/>
    <numFmt numFmtId="255" formatCode="_-#0&quot;.&quot;0000_-;\(#0&quot;.&quot;0000\);_-\ \ &quot;-&quot;_-;_-@_-"/>
    <numFmt numFmtId="256" formatCode="_(* #.#._);_(* \(#.#.\);_(* &quot;-&quot;_);_(@@"/>
    <numFmt numFmtId="257" formatCode="_(* #.;_(* \(#.;_(* &quot;-&quot;_);_(@@"/>
    <numFmt numFmtId="258" formatCode="_-* #,##0&quot;£¤&quot;_-;\-* #,##0&quot;£¤&quot;_-;_-* &quot;-&quot;&quot;£¤&quot;_-;_-"/>
    <numFmt numFmtId="259" formatCode="_-* #,##0.00&quot;£¤&quot;_-;\-* #,##0.00&quot;£¤&quot;_-;_-* &quot;-&quot;??&quot;£¤&quot;_-;_-"/>
    <numFmt numFmtId="260" formatCode="0.0\x_);&quot;Nm&quot;"/>
    <numFmt numFmtId="261" formatCode="#,##0.00_);\(#,##0.00\);\-\-_)"/>
    <numFmt numFmtId="262" formatCode="#,##0.0##;[Red]\-#,##0.0##"/>
    <numFmt numFmtId="263" formatCode="##\ ##"/>
    <numFmt numFmtId="264" formatCode="##\ ##\ #"/>
    <numFmt numFmtId="265" formatCode="##\ ##\ ##"/>
    <numFmt numFmtId="266" formatCode="##\ ##\ ##\ ###"/>
    <numFmt numFmtId="267" formatCode="#,##0.00_);\(#,##0.00\);\-_)"/>
    <numFmt numFmtId="268" formatCode="#,##0_);\(#,##0\);\-_)"/>
    <numFmt numFmtId="269" formatCode="#,##0_);\(#,##0\);\-\-_)"/>
    <numFmt numFmtId="270" formatCode="0&quot;e&quot;"/>
    <numFmt numFmtId="271" formatCode="_(&quot;$&quot;#,##0.0_);\(&quot;$&quot;#,##0.0\);_(&quot;$&quot;#,##0.0_)"/>
    <numFmt numFmtId="272" formatCode="d/mm/yy"/>
    <numFmt numFmtId="273" formatCode="_(#,##0.0\x_);\(#,##0.0\x\);_(#,##0.0\x_)"/>
    <numFmt numFmtId="274" formatCode="_(#,##0.0_);\(#,##0.0\);_(#,##0.0_)"/>
    <numFmt numFmtId="275" formatCode="_(#,##0.0%_);\(#,##0.0%\);_(#,##0.0%_)"/>
    <numFmt numFmtId="276" formatCode="_(###0_);\(###0\);_(###0_)"/>
    <numFmt numFmtId="277" formatCode="_)d/mm/yy_)"/>
    <numFmt numFmtId="278" formatCode="#,##0.0%;\(#,##0.0%\)"/>
    <numFmt numFmtId="279" formatCode="#,##0_);[Red]\(#,##0\);&quot;-&quot;_)"/>
    <numFmt numFmtId="280" formatCode="_(* #,##0.0_);_(* \(#,##0.0\);_(* &quot;-&quot;??_);_(@_)"/>
    <numFmt numFmtId="281" formatCode="0.00_);[Red]\(0.00\);&quot;-&quot;_)"/>
    <numFmt numFmtId="282" formatCode="0.0_);[Red]\(0.0\);&quot;-&quot;_)"/>
    <numFmt numFmtId="283" formatCode="_(* #,##0.0_);_(* \(#,##0.0\);_(* &quot;-&quot;?_);@_)"/>
    <numFmt numFmtId="284" formatCode="_(* #.0.;_(* \(#.0.;_(* &quot;-&quot;_);_(@@"/>
    <numFmt numFmtId="285" formatCode="_-&quot;£&quot;* #,##0_-;\-&quot;£&quot;* #,##0_-;_-&quot;£&quot;* &quot;-&quot;_-;_-@_-"/>
    <numFmt numFmtId="286" formatCode="0.000_)"/>
    <numFmt numFmtId="287" formatCode="_-* #,##0.00\ _€_-;\-* #,##0.00\ _€_-;_-* &quot;-&quot;??\ _€_-;_-@_-"/>
    <numFmt numFmtId="288" formatCode="_-* #,##0.00\ &quot;€&quot;_-;\-* #,##0.00\ &quot;€&quot;_-;_-* &quot;-&quot;??\ &quot;€&quot;_-;_-@_-"/>
    <numFmt numFmtId="289" formatCode="_(* #,##0.000_);_(* \(#,##0.000\);_(* &quot;-&quot;?_);_(@_)"/>
    <numFmt numFmtId="290" formatCode="_(* #,##0.00000_);_(* \(#,##0.00000\);_(* &quot;-&quot;?????_);_(@_)"/>
    <numFmt numFmtId="291" formatCode="0&quot; days&quot;"/>
    <numFmt numFmtId="292" formatCode="0&quot;E&quot;"/>
    <numFmt numFmtId="293" formatCode="_([$€-2]* #,##0.00_);_([$€-2]* \(#,##0.00\);_([$€-2]* &quot;-&quot;??_)"/>
    <numFmt numFmtId="294" formatCode="_ [$€]\ * #,##0.00_ ;_ [$€]\ * \-#,##0.00_ ;_ [$€]\ * &quot;-&quot;??_ ;_ @_ "/>
    <numFmt numFmtId="295" formatCode="_ [$€-2]* #,##0.00_ ;_ [$€-2]* \-#,##0.00_ ;_ [$€-2]* &quot;-&quot;??_ "/>
    <numFmt numFmtId="296" formatCode="0.0_);[Red]\(0.0\)"/>
    <numFmt numFmtId="297" formatCode="0.0_)"/>
    <numFmt numFmtId="298" formatCode="0.00%;\(0.00%\)"/>
    <numFmt numFmtId="299" formatCode="0.0%_);\(0.0%\)"/>
    <numFmt numFmtId="300" formatCode="m/d"/>
    <numFmt numFmtId="301" formatCode="&quot;HK$&quot;#,##0_);\(&quot;HK$&quot;#,##0\)"/>
    <numFmt numFmtId="302" formatCode="&quot;HK$&quot;#,##0.00_);\(&quot;HK$&quot;#,##0.00\)"/>
    <numFmt numFmtId="303" formatCode="yy"/>
    <numFmt numFmtId="304" formatCode="#,##0\ ;\(#,##0\);\ \-\ "/>
    <numFmt numFmtId="305" formatCode="&quot;￥&quot;#,##0.00;[Red]\-&quot;￥&quot;#,##0.00"/>
    <numFmt numFmtId="306" formatCode="_(#,##0_);\(#,##0\);_(#,##0_)"/>
    <numFmt numFmtId="307" formatCode="#,##0&quot; m2&quot;"/>
    <numFmt numFmtId="308" formatCode="0.0%;0.0%;\-\ "/>
    <numFmt numFmtId="309" formatCode="&quot;Mkt. Cap.: HK&quot;&quot;\&quot;#,##0&quot;m&quot;"/>
    <numFmt numFmtId="310" formatCode="_-* #,##0\ &quot;F&quot;_-;\-* #,##0\ &quot;F&quot;_-;_-* &quot;-&quot;\ &quot;F&quot;_-;_-@_-"/>
    <numFmt numFmtId="311" formatCode="_-* #,##0.00\ &quot;F&quot;_-;\-* #,##0.00\ &quot;F&quot;_-;_-* &quot;-&quot;??\ &quot;F&quot;_-;_-@_-"/>
    <numFmt numFmtId="312" formatCode="&quot;$&quot;#,##0_);[Red]\(&quot;$&quot;#,##0\)"/>
    <numFmt numFmtId="313" formatCode="\N&quot;$&quot;#,##0_);\(\N&quot;$&quot;#,##0\)"/>
    <numFmt numFmtId="314" formatCode="&quot;No&quot;;;&quot;Yes&quot;"/>
    <numFmt numFmtId="315" formatCode="###0_);\(###0\);\-\-_)"/>
    <numFmt numFmtId="316" formatCode="&quot;$&quot;0"/>
    <numFmt numFmtId="317" formatCode="_ &quot;\&quot;* #,##0.00_ ;_ &quot;\&quot;* &quot;\&quot;&quot;\&quot;&quot;\&quot;\-#,##0.00_ ;_ &quot;\&quot;* &quot;-&quot;??_ ;_ @_ "/>
    <numFmt numFmtId="318" formatCode="#,##0.0_);\(#,##0.0\);\-_)"/>
    <numFmt numFmtId="319" formatCode="#,##0.0&quot;x&quot;;\-#,##0.0&quot;x&quot;;0.0&quot;x&quot;"/>
    <numFmt numFmtId="320" formatCode="#,###.##000"/>
    <numFmt numFmtId="321" formatCode="_-&quot;?&quot;* #,##0_-;\-&quot;?&quot;* #,##0_-;_-&quot;?&quot;* &quot;-&quot;_-;_-@_-"/>
    <numFmt numFmtId="322" formatCode="_-&quot;?&quot;* #,##0.00_-;\-&quot;?&quot;* #,##0.00_-;_-&quot;?&quot;* &quot;-&quot;??_-;_-@_-"/>
    <numFmt numFmtId="323" formatCode="0.00%_);\(0.00%\)"/>
    <numFmt numFmtId="324" formatCode="#,##0.000;[Red]\(#,##0.000\)"/>
    <numFmt numFmtId="325" formatCode="0.00_);\(0.00\);&quot;-&quot;_)"/>
    <numFmt numFmtId="326" formatCode="0.0_);\(0.0\);&quot;-&quot;_)"/>
    <numFmt numFmtId="327" formatCode="#,##0.00;[Red]\(#,##0.00\)"/>
    <numFmt numFmtId="328" formatCode="&quot;$&quot;#,##0.00;[Red]\(&quot;$&quot;#,##0.00\)"/>
    <numFmt numFmtId="329" formatCode="mmm\ dd\,\ yyyy"/>
    <numFmt numFmtId="330" formatCode="&quot;$&quot;#,##0.0_);\(&quot;$&quot;#,##0.0\)"/>
    <numFmt numFmtId="331" formatCode="&quot;US$&quot;#,##0.00_);[Red]\(#,##0.00\)"/>
    <numFmt numFmtId="332" formatCode="&quot;US$&quot;#,##0.0_)&quot;m&quot;;[Red]\(#,##0.0\)"/>
    <numFmt numFmtId="333" formatCode="0&quot; years&quot;"/>
    <numFmt numFmtId="334" formatCode="yy\.mm\.dd"/>
    <numFmt numFmtId="335" formatCode="&quot;\&quot;#,##0.00;[Red]&quot;\&quot;\-#,##0.00"/>
    <numFmt numFmtId="336" formatCode="&quot;\&quot;#,##0;[Red]&quot;\&quot;\-#,##0"/>
    <numFmt numFmtId="337" formatCode="&quot;\&quot;#,##0;[Red]&quot;\&quot;&quot;\&quot;\-#,##0"/>
    <numFmt numFmtId="338" formatCode="&quot;\&quot;#,##0.00;[Red]&quot;\&quot;&quot;\&quot;&quot;\&quot;&quot;\&quot;&quot;\&quot;&quot;\&quot;\-#,##0.00"/>
    <numFmt numFmtId="339" formatCode="_(* #,##0_);_(* \(#,##0\);\-??_);_(* @_)_)"/>
    <numFmt numFmtId="340" formatCode="_(* #,##0.0_);_(* \(#,##0.0\);\-??_);_(* @_)_)"/>
    <numFmt numFmtId="341" formatCode="_(* #,##0.00_);_(* \(#,##0.00\);\-??_);_(* @_)_)"/>
    <numFmt numFmtId="342" formatCode="_(* #,##0.000_);_(* \(#,##0.000\);\-??_);_(* @_)_)"/>
    <numFmt numFmtId="343" formatCode="[Red][&gt;0]_(* #,##0.00_);[Red][&lt;0]_(* \(#,##0.00\);\-??_)"/>
    <numFmt numFmtId="344" formatCode="&quot;Ratios&quot;;&quot;Ratios&quot;"/>
    <numFmt numFmtId="345" formatCode="&quot;HK&quot;&quot;$&quot;0.00"/>
    <numFmt numFmtId="346" formatCode="&quot;£&quot;#,##0.00;[Red]\-&quot;£&quot;#,##0.00"/>
    <numFmt numFmtId="347" formatCode="_-&quot;£&quot;* #,##0.00_-;\-&quot;£&quot;* #,##0.00_-;_-&quot;£&quot;* &quot;-&quot;??_-;_-@_-"/>
    <numFmt numFmtId="348" formatCode=";;;* @_)"/>
    <numFmt numFmtId="349" formatCode="###&quot;E&quot;"/>
    <numFmt numFmtId="350" formatCode="#,##0_);\-#,##0_)"/>
    <numFmt numFmtId="351" formatCode="0.0000"/>
    <numFmt numFmtId="352" formatCode="_(@&quot; Manual&quot;_)"/>
  </numFmts>
  <fonts count="486">
    <font>
      <name val="Helvetica Condensed"/>
      <family val="2"/>
      <sz val="9"/>
    </font>
    <font>
      <name val="Arial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Frutiger 45 Light"/>
      <family val="2"/>
      <color theme="1"/>
      <sz val="10.5"/>
    </font>
    <font>
      <name val="Frutiger 45 Light"/>
      <family val="2"/>
      <sz val="10"/>
    </font>
    <font>
      <name val="Times New Roman"/>
      <family val="1"/>
      <sz val="10"/>
    </font>
    <font>
      <name val="Geneva"/>
      <family val="2"/>
      <sz val="10"/>
    </font>
    <font>
      <name val="Arial"/>
      <family val="2"/>
      <sz val="10"/>
    </font>
    <font>
      <name val="Helvetica Condensed"/>
      <family val="2"/>
      <sz val="9"/>
    </font>
    <font>
      <name val="Tahoma"/>
      <family val="2"/>
      <b val="1"/>
      <color indexed="81"/>
      <sz val="8"/>
    </font>
    <font>
      <name val="Arial Narrow"/>
      <family val="2"/>
      <sz val="10"/>
    </font>
    <font>
      <name val="Arial Narrow"/>
      <family val="2"/>
      <b val="1"/>
      <sz val="10"/>
    </font>
    <font>
      <name val="Courier"/>
      <family val="3"/>
      <sz val="10"/>
    </font>
    <font>
      <name val="Frutiger 45 Light"/>
      <family val="2"/>
      <sz val="10.5"/>
    </font>
    <font>
      <name val="Helvetica Condensed"/>
      <family val="2"/>
      <b val="1"/>
      <color indexed="10"/>
      <sz val="8"/>
    </font>
    <font>
      <name val="Helvetica Condensed"/>
      <family val="2"/>
      <i val="1"/>
      <sz val="8"/>
    </font>
    <font>
      <name val="Helvetica Condensed"/>
      <family val="2"/>
      <i val="1"/>
      <color indexed="8"/>
      <sz val="8"/>
    </font>
    <font>
      <name val="Helvetica Condensed"/>
      <family val="2"/>
      <color indexed="8"/>
      <sz val="8"/>
    </font>
    <font>
      <name val="Helvetica Condensed"/>
      <family val="2"/>
      <b val="1"/>
      <sz val="8"/>
    </font>
    <font>
      <name val="Helvetica Condensed"/>
      <family val="2"/>
      <sz val="8"/>
    </font>
    <font>
      <name val="Helvetica Condensed"/>
      <family val="2"/>
      <b val="1"/>
      <color indexed="8"/>
      <sz val="8"/>
    </font>
    <font>
      <name val="Helvetica Condensed"/>
      <family val="2"/>
      <b val="1"/>
      <i val="1"/>
      <color indexed="10"/>
      <sz val="8"/>
    </font>
    <font>
      <name val="Helvetica Condensed"/>
      <family val="2"/>
      <i val="1"/>
      <color indexed="10"/>
      <sz val="8"/>
    </font>
    <font>
      <name val="Helvetica Condensed"/>
      <family val="2"/>
      <i val="1"/>
      <color indexed="20"/>
      <sz val="8"/>
    </font>
    <font>
      <name val="Helvetica Condensed"/>
      <family val="2"/>
      <color indexed="16"/>
      <sz val="8"/>
    </font>
    <font>
      <name val="Helvetica Condensed"/>
      <family val="2"/>
      <b val="1"/>
      <i val="1"/>
      <color indexed="12"/>
      <sz val="8"/>
    </font>
    <font>
      <name val="Helvetica Condensed"/>
      <family val="2"/>
      <i val="1"/>
      <color indexed="12"/>
      <sz val="8"/>
    </font>
    <font>
      <name val="Arial"/>
      <family val="2"/>
      <sz val="8"/>
    </font>
    <font>
      <name val="Helvetica Condensed"/>
      <family val="2"/>
      <b val="1"/>
      <color indexed="12"/>
      <sz val="8"/>
    </font>
    <font>
      <name val="Helvetica Condensed"/>
      <family val="2"/>
      <b val="1"/>
      <color indexed="11"/>
      <sz val="8"/>
    </font>
    <font>
      <name val="Helvetica Condensed"/>
      <b val="1"/>
      <sz val="8"/>
    </font>
    <font>
      <name val="Helvetica Condensed"/>
      <sz val="8"/>
    </font>
    <font>
      <name val="Tahoma"/>
      <family val="2"/>
      <color indexed="81"/>
      <sz val="8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b val="1"/>
      <color indexed="81"/>
      <sz val="8"/>
    </font>
    <font>
      <name val="Arial"/>
      <family val="2"/>
      <color indexed="81"/>
      <sz val="8"/>
    </font>
    <font>
      <name val="MS Sans Serif"/>
      <family val="2"/>
      <sz val="24"/>
    </font>
    <font>
      <name val="MS Sans Serif"/>
      <family val="2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MS Sans Serif"/>
      <family val="2"/>
      <b val="1"/>
      <sz val="10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family val="2"/>
      <color indexed="12"/>
      <sz val="10"/>
      <u val="single"/>
    </font>
    <font>
      <name val="Arial"/>
      <family val="2"/>
      <b val="1"/>
      <color indexed="9"/>
      <sz val="10"/>
    </font>
    <font>
      <name val="Arial"/>
      <family val="2"/>
      <color indexed="12"/>
      <sz val="10"/>
    </font>
    <font>
      <name val="Arial"/>
      <family val="2"/>
      <color indexed="10"/>
      <sz val="10"/>
    </font>
    <font>
      <name val="Arial"/>
      <family val="2"/>
      <b val="1"/>
      <color indexed="12"/>
      <sz val="10"/>
    </font>
    <font>
      <name val="Arial"/>
      <family val="2"/>
      <color indexed="9"/>
      <sz val="10"/>
    </font>
    <font>
      <name val="Helvetica"/>
      <family val="2"/>
      <sz val="10"/>
    </font>
    <font>
      <name val="MS Sans Serif"/>
      <family val="2"/>
      <color indexed="8"/>
      <sz val="10"/>
    </font>
    <font>
      <name val="Arial"/>
      <family val="2"/>
      <b val="1"/>
      <sz val="9"/>
    </font>
    <font>
      <name val="돋움"/>
      <charset val="129"/>
      <family val="2"/>
      <sz val="11"/>
    </font>
    <font>
      <name val="Helv"/>
      <family val="2"/>
      <sz val="8.25"/>
    </font>
    <font>
      <name val="Helv"/>
      <family val="2"/>
      <sz val="12"/>
    </font>
    <font>
      <name val="宋体"/>
      <charset val="134"/>
      <color indexed="49"/>
      <sz val="11"/>
    </font>
    <font>
      <name val="宋体"/>
      <charset val="134"/>
      <color indexed="22"/>
      <sz val="11"/>
    </font>
    <font>
      <name val="Helvetica"/>
      <family val="2"/>
      <b val="1"/>
      <sz val="10"/>
    </font>
    <font>
      <name val="Helv"/>
      <family val="2"/>
      <sz val="10"/>
    </font>
    <font>
      <name val="Times New Roman"/>
      <family val="1"/>
      <sz val="8"/>
    </font>
    <font>
      <name val="Arial"/>
      <family val="2"/>
      <b val="1"/>
      <sz val="6"/>
    </font>
    <font>
      <name val="Arial"/>
      <family val="2"/>
      <b val="1"/>
      <sz val="8"/>
    </font>
    <font>
      <name val="Arial"/>
      <family val="2"/>
      <i val="1"/>
      <sz val="8"/>
    </font>
    <font>
      <name val="Times New Roman"/>
      <family val="1"/>
      <sz val="9"/>
    </font>
    <font>
      <name val="Gill Sans MT"/>
      <family val="2"/>
      <b val="1"/>
      <color indexed="9"/>
      <sz val="10"/>
    </font>
    <font>
      <name val="Times New Roman"/>
      <family val="1"/>
      <b val="1"/>
      <sz val="8"/>
    </font>
    <font>
      <name val="Times New Roman"/>
      <family val="1"/>
      <b val="1"/>
      <color indexed="8"/>
      <sz val="8"/>
    </font>
    <font>
      <name val="Times New Roman"/>
      <family val="1"/>
      <b val="1"/>
      <color indexed="12"/>
      <sz val="8"/>
    </font>
    <font>
      <name val="Times New Roman"/>
      <family val="1"/>
      <sz val="7"/>
    </font>
    <font>
      <name val="Arial"/>
      <family val="2"/>
      <b val="1"/>
      <color indexed="8"/>
      <sz val="8"/>
    </font>
    <font>
      <name val="Palatino"/>
      <family val="1"/>
      <b val="1"/>
      <sz val="10"/>
    </font>
    <font>
      <name val="Arial"/>
      <family val="2"/>
      <i val="1"/>
      <color indexed="10"/>
      <sz val="8"/>
    </font>
    <font>
      <name val="Times New Roman"/>
      <family val="1"/>
      <color indexed="8"/>
      <sz val="8"/>
    </font>
    <font>
      <name val="Arial"/>
      <family val="2"/>
      <b val="1"/>
      <color indexed="12"/>
      <sz val="8"/>
    </font>
    <font>
      <name val="Arial"/>
      <family val="2"/>
      <sz val="9"/>
    </font>
    <font>
      <name val="MS Sans Serif"/>
      <family val="2"/>
      <color indexed="22"/>
      <sz val="10"/>
    </font>
    <font>
      <name val="BERNHARD"/>
      <family val="2"/>
      <sz val="10"/>
    </font>
    <font>
      <name val="Helv"/>
      <family val="2"/>
      <sz val="8"/>
      <u val="single"/>
    </font>
    <font>
      <name val="MS Serif"/>
      <family val="1"/>
      <sz val="10"/>
    </font>
    <font>
      <name val="Helv"/>
      <family val="2"/>
      <sz val="8"/>
    </font>
    <font>
      <name val="Arial"/>
      <family val="2"/>
      <color indexed="9"/>
      <sz val="8"/>
    </font>
    <font>
      <name val="Arial"/>
      <family val="2"/>
      <color indexed="8"/>
      <sz val="8"/>
    </font>
    <font>
      <name val="Times New Roman"/>
      <family val="1"/>
      <b val="1"/>
      <sz val="9"/>
    </font>
    <font>
      <name val="Courier"/>
      <family val="3"/>
      <color indexed="8"/>
      <sz val="1"/>
    </font>
    <font>
      <name val="AngsanaUPC"/>
      <charset val="222"/>
      <family val="1"/>
      <sz val="14"/>
    </font>
    <font>
      <name val="Book Antiqua"/>
      <family val="1"/>
      <sz val="11"/>
    </font>
    <font>
      <name val="Courier"/>
      <family val="3"/>
      <b val="1"/>
      <color indexed="8"/>
      <sz val="1"/>
    </font>
    <font>
      <name val="MS Serif"/>
      <family val="1"/>
      <color indexed="16"/>
      <sz val="10"/>
    </font>
    <font>
      <name val="Times New Roman"/>
      <family val="1"/>
      <i val="1"/>
      <sz val="6"/>
    </font>
    <font>
      <name val="Times New Roman"/>
      <family val="1"/>
      <b val="1"/>
      <sz val="10"/>
    </font>
    <font>
      <name val="Helv"/>
      <family val="2"/>
      <b val="1"/>
      <color indexed="8"/>
      <sz val="14"/>
    </font>
    <font>
      <name val="Times New Roman"/>
      <family val="1"/>
      <i val="1"/>
      <color indexed="12"/>
      <sz val="8"/>
    </font>
    <font>
      <name val="Times New Roman"/>
      <family val="1"/>
      <b val="1"/>
      <sz val="12"/>
    </font>
    <font>
      <name val="Times New Roman"/>
      <family val="1"/>
      <b val="1"/>
      <i val="1"/>
      <sz val="10"/>
    </font>
    <font>
      <name val="Times New Roman"/>
      <family val="1"/>
      <i val="1"/>
      <sz val="10"/>
    </font>
    <font>
      <name val="Arial"/>
      <family val="2"/>
      <b val="1"/>
      <sz val="24"/>
    </font>
    <font>
      <name val="Helv"/>
      <family val="2"/>
      <b val="1"/>
      <sz val="12"/>
    </font>
    <font>
      <name val="Helv"/>
      <family val="2"/>
      <b val="1"/>
      <sz val="10"/>
    </font>
    <font>
      <name val="Arial"/>
      <family val="2"/>
      <b val="1"/>
      <color indexed="18"/>
      <sz val="11"/>
    </font>
    <font>
      <name val="Arial"/>
      <family val="2"/>
      <color indexed="20"/>
      <sz val="10"/>
      <u val="single"/>
    </font>
    <font>
      <name val="바탕체"/>
      <charset val="129"/>
      <family val="3"/>
      <sz val="12"/>
    </font>
    <font>
      <name val="Arial"/>
      <family val="2"/>
      <sz val="7"/>
    </font>
    <font>
      <name val="Arial"/>
      <family val="2"/>
      <color indexed="39"/>
      <sz val="8"/>
    </font>
    <font>
      <name val="MS Sans Serif"/>
      <family val="2"/>
      <color indexed="12"/>
      <sz val="10"/>
    </font>
    <font>
      <name val="Arial"/>
      <family val="2"/>
      <color indexed="12"/>
      <sz val="8"/>
    </font>
    <font>
      <name val="Gill Sans MT"/>
      <family val="2"/>
      <b val="1"/>
      <i val="1"/>
      <color indexed="8"/>
      <sz val="10"/>
    </font>
    <font>
      <name val="Times New Roman"/>
      <family val="1"/>
      <sz val="11"/>
    </font>
    <font>
      <name val="Palatino"/>
      <family val="1"/>
      <sz val="8"/>
    </font>
    <font>
      <name val="Small Fonts"/>
      <family val="2"/>
      <sz val="7"/>
    </font>
    <font>
      <name val="Helv"/>
      <family val="2"/>
      <b val="1"/>
      <i val="1"/>
      <sz val="16"/>
    </font>
    <font>
      <name val="Arial"/>
      <family val="2"/>
      <b val="1"/>
      <color indexed="62"/>
      <sz val="11"/>
    </font>
    <font>
      <name val="Times New Roman"/>
      <family val="1"/>
      <color indexed="12"/>
      <sz val="12"/>
    </font>
    <font>
      <name val="Helv"/>
      <family val="2"/>
      <i val="1"/>
      <sz val="10"/>
    </font>
    <font>
      <name val="Palatino"/>
      <family val="1"/>
      <sz val="10"/>
    </font>
    <font>
      <name val="Times New Roman"/>
      <family val="1"/>
      <b val="1"/>
      <sz val="26"/>
    </font>
    <font>
      <name val="Times New Roman"/>
      <family val="1"/>
      <b val="1"/>
      <sz val="18"/>
    </font>
    <font>
      <name val="Helvetica"/>
      <family val="2"/>
      <i val="1"/>
      <sz val="10"/>
    </font>
    <font>
      <name val="Tms Rmn"/>
      <family val="1"/>
      <sz val="10"/>
    </font>
    <font>
      <name val="MS Sans Serif"/>
      <family val="2"/>
      <color indexed="17"/>
      <sz val="10"/>
    </font>
    <font>
      <name val="Helv"/>
      <family val="2"/>
      <color indexed="10"/>
      <sz val="8"/>
    </font>
    <font>
      <name val="Times New Roman"/>
      <family val="1"/>
      <b val="1"/>
      <color indexed="10"/>
      <sz val="8"/>
    </font>
    <font>
      <name val="GillSans"/>
      <family val="2"/>
      <sz val="10"/>
    </font>
    <font>
      <name val="굴림체"/>
      <charset val="129"/>
      <family val="3"/>
      <sz val="12"/>
    </font>
    <font>
      <name val="Helv"/>
      <family val="2"/>
      <b val="1"/>
      <color indexed="8"/>
      <sz val="8"/>
    </font>
    <font>
      <name val="Symbol"/>
      <charset val="2"/>
      <family val="1"/>
      <b val="1"/>
      <color indexed="18"/>
      <sz val="10"/>
    </font>
    <font>
      <name val="Arial"/>
      <family val="2"/>
      <color indexed="8"/>
      <sz val="10"/>
    </font>
    <font>
      <name val="Times New Roman"/>
      <family val="1"/>
      <b val="1"/>
      <sz val="14"/>
      <u val="singleAccounting"/>
    </font>
    <font>
      <name val="Times New Roman"/>
      <family val="1"/>
      <i val="1"/>
      <sz val="14"/>
    </font>
    <font>
      <name val="Times New Roman"/>
      <family val="1"/>
      <sz val="14"/>
    </font>
    <font>
      <name val="Palatino"/>
      <family val="1"/>
      <color indexed="8"/>
      <sz val="10"/>
    </font>
    <font>
      <name val="AGaramond"/>
      <family val="2"/>
      <i val="1"/>
      <sz val="11"/>
    </font>
    <font>
      <name val="Wingdings"/>
      <charset val="2"/>
      <b val="1"/>
      <color indexed="8"/>
      <sz val="8"/>
    </font>
    <font>
      <name val="Wingdings"/>
      <charset val="2"/>
      <b val="1"/>
      <color indexed="10"/>
      <sz val="8"/>
    </font>
    <font>
      <name val="Wingdings"/>
      <charset val="2"/>
      <b val="1"/>
      <color indexed="9"/>
      <sz val="8"/>
    </font>
    <font>
      <name val="돋움"/>
      <charset val="129"/>
      <family val="2"/>
      <color indexed="36"/>
      <sz val="11"/>
      <u val="single"/>
    </font>
    <font>
      <name val="뼻뮝"/>
      <charset val="129"/>
      <family val="3"/>
      <sz val="14"/>
    </font>
    <font>
      <name val="굴림"/>
      <charset val="129"/>
      <family val="2"/>
      <sz val="12"/>
    </font>
    <font>
      <name val="명조"/>
      <charset val="129"/>
      <family val="3"/>
      <sz val="10"/>
    </font>
    <font>
      <name val="MS Sans Serif"/>
      <family val="2"/>
      <color indexed="24"/>
      <sz val="10"/>
    </font>
    <font>
      <name val="돋움"/>
      <charset val="129"/>
      <family val="2"/>
      <color indexed="12"/>
      <sz val="11"/>
      <u val="single"/>
    </font>
    <font>
      <name val="新細明體"/>
      <charset val="136"/>
      <family val="1"/>
      <sz val="12"/>
    </font>
    <font>
      <name val="宋体"/>
      <charset val="134"/>
      <sz val="12"/>
    </font>
    <font>
      <name val="Times New Roman"/>
      <family val="1"/>
      <sz val="12"/>
    </font>
    <font>
      <name val="宋体"/>
      <charset val="134"/>
      <color indexed="42"/>
      <sz val="11"/>
    </font>
    <font>
      <name val="宋体"/>
      <charset val="134"/>
      <color indexed="46"/>
      <sz val="11"/>
    </font>
    <font>
      <name val="宋体"/>
      <charset val="134"/>
      <b val="1"/>
      <color indexed="60"/>
      <sz val="18"/>
    </font>
    <font>
      <name val="宋体"/>
      <charset val="134"/>
      <b val="1"/>
      <color indexed="60"/>
      <sz val="15"/>
    </font>
    <font>
      <name val="宋体"/>
      <charset val="134"/>
      <b val="1"/>
      <color indexed="60"/>
      <sz val="13"/>
    </font>
    <font>
      <name val="宋体"/>
      <charset val="134"/>
      <b val="1"/>
      <color indexed="60"/>
      <sz val="11"/>
    </font>
    <font>
      <name val="宋体"/>
      <charset val="134"/>
      <b val="1"/>
      <color indexed="22"/>
      <sz val="11"/>
    </font>
    <font>
      <name val="宋体"/>
      <charset val="134"/>
      <b val="1"/>
      <color indexed="49"/>
      <sz val="11"/>
    </font>
    <font>
      <name val="Verdana"/>
      <family val="2"/>
      <color indexed="8"/>
      <sz val="8"/>
    </font>
    <font>
      <name val="宋体"/>
      <charset val="134"/>
      <i val="1"/>
      <color indexed="51"/>
      <sz val="11"/>
    </font>
    <font>
      <name val="宋体"/>
      <charset val="134"/>
      <color indexed="45"/>
      <sz val="11"/>
    </font>
    <font>
      <name val="宋体"/>
      <charset val="134"/>
      <b val="1"/>
      <color indexed="47"/>
      <sz val="11"/>
    </font>
    <font>
      <name val="Times New Roman"/>
      <family val="1"/>
      <color indexed="12"/>
      <sz val="9"/>
      <u val="single"/>
    </font>
    <font>
      <name val="宋体"/>
      <charset val="134"/>
      <color indexed="59"/>
      <sz val="11"/>
    </font>
    <font>
      <name val="宋体"/>
      <charset val="134"/>
      <b val="1"/>
      <color indexed="20"/>
      <sz val="11"/>
    </font>
    <font>
      <name val="宋体"/>
      <charset val="134"/>
      <color indexed="47"/>
      <sz val="11"/>
    </font>
    <font>
      <name val="Times New Roman"/>
      <family val="1"/>
      <color indexed="36"/>
      <sz val="9"/>
      <u val="single"/>
    </font>
    <font>
      <name val="Helvetica Condensed"/>
      <i val="1"/>
      <sz val="8"/>
    </font>
    <font>
      <name val="Helvetica Condensed"/>
      <i val="1"/>
      <color indexed="8"/>
      <sz val="8"/>
    </font>
    <font>
      <name val="MS Sans Serif"/>
      <family val="2"/>
      <b val="1"/>
      <sz val="12"/>
    </font>
    <font>
      <name val="Frutiger 45 Light"/>
      <family val="2"/>
      <color theme="1"/>
      <sz val="10.5"/>
    </font>
    <font>
      <name val="Helvetica Condensed"/>
      <family val="2"/>
      <b val="1"/>
      <color rgb="FFFF0000"/>
      <sz val="8"/>
    </font>
    <font>
      <name val="Helvetica Condensed"/>
      <family val="2"/>
      <color rgb="FFFF0000"/>
      <sz val="8"/>
    </font>
    <font>
      <name val="Helvetica Condensed"/>
      <family val="2"/>
      <i val="1"/>
      <color rgb="FFFF0000"/>
      <sz val="8"/>
    </font>
    <font>
      <name val="Helvetica Condensed"/>
      <family val="2"/>
      <i val="1"/>
      <color rgb="FF0000FF"/>
      <sz val="8"/>
    </font>
    <font>
      <name val="Helvetica Condensed"/>
      <family val="2"/>
      <color rgb="FF0000FF"/>
      <sz val="8"/>
    </font>
    <font>
      <name val="Cambria"/>
      <family val="2"/>
      <b val="1"/>
      <color theme="3"/>
      <sz val="18"/>
      <scheme val="major"/>
    </font>
    <font>
      <name val="Frutiger 45 Light"/>
      <family val="2"/>
      <b val="1"/>
      <color theme="3"/>
      <sz val="15"/>
    </font>
    <font>
      <name val="Frutiger 45 Light"/>
      <family val="2"/>
      <b val="1"/>
      <color theme="3"/>
      <sz val="13"/>
    </font>
    <font>
      <name val="Frutiger 45 Light"/>
      <family val="2"/>
      <b val="1"/>
      <color theme="3"/>
      <sz val="11"/>
    </font>
    <font>
      <name val="Frutiger 45 Light"/>
      <family val="2"/>
      <color rgb="FF006100"/>
      <sz val="8.5"/>
    </font>
    <font>
      <name val="Frutiger 45 Light"/>
      <family val="2"/>
      <color rgb="FF9C0006"/>
      <sz val="8.5"/>
    </font>
    <font>
      <name val="Frutiger 45 Light"/>
      <family val="2"/>
      <color rgb="FF9C6500"/>
      <sz val="8.5"/>
    </font>
    <font>
      <name val="Frutiger 45 Light"/>
      <family val="2"/>
      <color rgb="FF3F3F76"/>
      <sz val="8.5"/>
    </font>
    <font>
      <name val="Frutiger 45 Light"/>
      <family val="2"/>
      <b val="1"/>
      <color rgb="FF3F3F3F"/>
      <sz val="8.5"/>
    </font>
    <font>
      <name val="Frutiger 45 Light"/>
      <family val="2"/>
      <b val="1"/>
      <color rgb="FFFA7D00"/>
      <sz val="8.5"/>
    </font>
    <font>
      <name val="Frutiger 45 Light"/>
      <family val="2"/>
      <color rgb="FFFA7D00"/>
      <sz val="8.5"/>
    </font>
    <font>
      <name val="Frutiger 45 Light"/>
      <family val="2"/>
      <b val="1"/>
      <color theme="0"/>
      <sz val="8.5"/>
    </font>
    <font>
      <name val="Frutiger 45 Light"/>
      <family val="2"/>
      <color rgb="FFFF0000"/>
      <sz val="8.5"/>
    </font>
    <font>
      <name val="Frutiger 45 Light"/>
      <family val="2"/>
      <i val="1"/>
      <color rgb="FF7F7F7F"/>
      <sz val="8.5"/>
    </font>
    <font>
      <name val="Frutiger 45 Light"/>
      <family val="2"/>
      <b val="1"/>
      <color theme="1"/>
      <sz val="8.5"/>
    </font>
    <font>
      <name val="Helvetica Condensed"/>
      <b val="1"/>
      <color rgb="FFFF0000"/>
      <sz val="8"/>
    </font>
    <font>
      <name val="Helvetica Condensed"/>
      <b val="1"/>
      <i val="1"/>
      <color rgb="FF0000FF"/>
      <sz val="8"/>
    </font>
    <font>
      <name val="Helvetica Condensed"/>
      <b val="1"/>
      <i val="1"/>
      <sz val="8"/>
    </font>
    <font>
      <name val="Arial"/>
      <family val="2"/>
      <b val="1"/>
      <color indexed="9"/>
      <sz val="9"/>
    </font>
    <font>
      <name val="???"/>
      <charset val="129"/>
      <family val="1"/>
      <sz val="12"/>
    </font>
    <font>
      <name val="??"/>
      <charset val="129"/>
      <family val="3"/>
      <sz val="14"/>
    </font>
    <font>
      <name val="??"/>
      <charset val="129"/>
      <family val="3"/>
      <sz val="11"/>
    </font>
    <font>
      <name val="???"/>
      <charset val="129"/>
      <family val="3"/>
      <sz val="10"/>
    </font>
    <font>
      <name val="Arial"/>
      <family val="2"/>
      <color indexed="36"/>
      <sz val="8"/>
      <u val="single"/>
    </font>
    <font>
      <name val="Arial"/>
      <family val="2"/>
      <color indexed="12"/>
      <sz val="8"/>
      <u val="single"/>
    </font>
    <font>
      <name val="宋体"/>
      <charset val="134"/>
      <color indexed="10"/>
      <sz val="12"/>
    </font>
    <font>
      <name val="Times New Roman"/>
      <family val="1"/>
      <sz val="10"/>
      <u val="singleAccounting"/>
      <vertAlign val="subscript"/>
    </font>
    <font>
      <name val="Times New Roman"/>
      <family val="1"/>
      <i val="1"/>
      <sz val="9"/>
    </font>
    <font>
      <name val="Footlight MT Light"/>
      <family val="1"/>
      <color indexed="12"/>
      <sz val="10"/>
      <u val="single"/>
    </font>
    <font>
      <name val="ËÎ"/>
      <charset val="134"/>
      <family val="2"/>
      <sz val="12"/>
    </font>
    <font>
      <name val="ÈA¿µl"/>
      <charset val="136"/>
      <family val="3"/>
      <b val="1"/>
      <sz val="12"/>
    </font>
    <font>
      <name val="Arail "/>
      <family val="2"/>
      <sz val="10"/>
    </font>
    <font>
      <name val="Times New Roman"/>
      <family val="1"/>
      <sz val="18"/>
    </font>
    <font>
      <name val=".VnBook-AntiquaH"/>
      <family val="2"/>
      <i val="1"/>
      <color indexed="8"/>
      <sz val="12"/>
    </font>
    <font>
      <name val="Calibri"/>
      <family val="2"/>
      <color theme="1"/>
      <sz val="8"/>
      <scheme val="minor"/>
    </font>
    <font>
      <name val="宋体"/>
      <charset val="134"/>
      <color indexed="8"/>
      <sz val="11"/>
    </font>
    <font>
      <name val="Calibri"/>
      <family val="2"/>
      <color indexed="8"/>
      <sz val="11"/>
    </font>
    <font>
      <name val="Frutiger 45 Light"/>
      <family val="2"/>
      <color theme="1"/>
      <sz val="8"/>
    </font>
    <font>
      <name val="新細明體"/>
      <charset val="136"/>
      <family val="1"/>
      <color indexed="8"/>
      <sz val="12"/>
    </font>
    <font>
      <name val="Frutiger 45 Light"/>
      <family val="2"/>
      <color theme="1"/>
      <sz val="8.5"/>
    </font>
    <font>
      <name val=".VnBook-Antiqua"/>
      <family val="2"/>
      <b val="1"/>
      <color indexed="8"/>
      <sz val="12"/>
    </font>
    <font>
      <name val="Arial"/>
      <family val="2"/>
      <color indexed="12"/>
      <sz val="8.25"/>
      <u val="single"/>
    </font>
    <font>
      <name val="?Ia"/>
      <family val="1"/>
      <sz val="12"/>
    </font>
    <font>
      <name val="Arial"/>
      <family val="2"/>
      <sz val="12"/>
    </font>
    <font>
      <name val=".VnBook-Antiqua"/>
      <family val="2"/>
      <i val="1"/>
      <color indexed="8"/>
      <sz val="12"/>
    </font>
    <font>
      <name val="宋体"/>
      <charset val="134"/>
      <color indexed="9"/>
      <sz val="11"/>
    </font>
    <font>
      <name val="Calibri"/>
      <family val="2"/>
      <color indexed="9"/>
      <sz val="11"/>
    </font>
    <font>
      <name val="新細明體"/>
      <charset val="136"/>
      <family val="1"/>
      <color indexed="9"/>
      <sz val="12"/>
    </font>
    <font>
      <name val="Arial"/>
      <family val="2"/>
      <color theme="0"/>
      <sz val="9"/>
    </font>
    <font>
      <name val="Frutiger 45 Light"/>
      <family val="2"/>
      <color rgb="FF0070C0"/>
      <sz val="8"/>
    </font>
    <font>
      <name val="½jßz"/>
      <family val="1"/>
      <sz val="11"/>
    </font>
    <font>
      <name val="â·ö ¸þ"/>
      <family val="3"/>
      <sz val="12"/>
    </font>
    <font>
      <name val="¹UAAA¼"/>
      <charset val="129"/>
      <family val="3"/>
      <sz val="12"/>
    </font>
    <font>
      <name val="Tms Rmn"/>
      <family val="1"/>
      <b val="1"/>
      <sz val="12"/>
    </font>
    <font>
      <name val="Helv"/>
      <family val="2"/>
      <sz val="9"/>
    </font>
    <font>
      <name val="Helv"/>
      <family val="2"/>
      <b val="1"/>
      <sz val="9"/>
    </font>
    <font>
      <name val="Arial"/>
      <family val="2"/>
      <color theme="1"/>
      <sz val="9"/>
    </font>
    <font>
      <name val="L Univers 45 Light"/>
      <family val="2"/>
      <color indexed="39"/>
      <sz val="10"/>
    </font>
    <font>
      <name val="Calibri"/>
      <family val="2"/>
      <color indexed="20"/>
      <sz val="11"/>
    </font>
    <font>
      <name val="宋体"/>
      <charset val="134"/>
      <color indexed="20"/>
      <sz val="11"/>
    </font>
    <font>
      <name val="MS Sans Serif"/>
      <family val="2"/>
      <sz val="9"/>
    </font>
    <font>
      <name val="Times New Roman"/>
      <family val="1"/>
      <color indexed="8"/>
      <sz val="12"/>
    </font>
    <font>
      <name val="Tms Rmn"/>
      <family val="1"/>
      <color indexed="12"/>
      <sz val="8"/>
    </font>
    <font>
      <name val="Sabon"/>
      <family val="2"/>
      <sz val="8"/>
    </font>
    <font>
      <name val="Arial"/>
      <family val="2"/>
      <b val="1"/>
      <color indexed="24"/>
      <sz val="8"/>
    </font>
    <font>
      <name val="Arial"/>
      <family val="2"/>
      <b val="1"/>
      <color indexed="24"/>
      <sz val="9"/>
    </font>
    <font>
      <name val="Arial"/>
      <family val="2"/>
      <b val="1"/>
      <color indexed="24"/>
      <sz val="11"/>
    </font>
    <font>
      <name val="Arial"/>
      <family val="2"/>
      <b val="1"/>
      <i val="1"/>
      <sz val="9"/>
    </font>
    <font>
      <name val="Times New Roman"/>
      <family val="1"/>
      <b val="1"/>
      <color indexed="8"/>
      <sz val="10"/>
    </font>
    <font>
      <name val="Calibri"/>
      <family val="2"/>
      <b val="1"/>
      <color indexed="52"/>
      <sz val="11"/>
    </font>
    <font>
      <name val="宋体"/>
      <charset val="134"/>
      <b val="1"/>
      <color indexed="52"/>
      <sz val="11"/>
    </font>
    <font>
      <name val="Calibri"/>
      <family val="2"/>
      <b val="1"/>
      <color indexed="9"/>
      <sz val="11"/>
    </font>
    <font>
      <name val="宋体"/>
      <charset val="134"/>
      <b val="1"/>
      <color indexed="9"/>
      <sz val="11"/>
    </font>
    <font>
      <name val="Arial"/>
      <family val="2"/>
      <b val="1"/>
      <i val="1"/>
      <sz val="8"/>
    </font>
    <font>
      <name val="Courier New"/>
      <family val="3"/>
      <sz val="10"/>
    </font>
    <font>
      <name val="Book Antiqua"/>
      <family val="1"/>
      <b val="1"/>
      <sz val="8"/>
    </font>
    <font>
      <name val="Tms Rmn"/>
      <family val="1"/>
      <b val="1"/>
      <sz val="13"/>
    </font>
    <font>
      <name val="Arial"/>
      <family val="2"/>
      <color indexed="12"/>
      <sz val="11"/>
    </font>
    <font>
      <name val="Tms Rmn"/>
      <family val="1"/>
      <sz val="9"/>
    </font>
    <font>
      <name val="Tms Rmn"/>
      <family val="1"/>
      <sz val="11"/>
    </font>
    <font>
      <name val="Century Schoolbook"/>
      <family val="1"/>
      <color indexed="39"/>
      <sz val="10"/>
    </font>
    <font>
      <name val="Arial Unicode MS"/>
      <charset val="134"/>
      <family val="2"/>
      <color indexed="8"/>
      <sz val="10"/>
    </font>
    <font>
      <name val="Tms Rmn"/>
      <family val="1"/>
      <sz val="13"/>
    </font>
    <font>
      <name val="Arial"/>
      <family val="2"/>
      <sz val="24"/>
    </font>
    <font>
      <name val="Times New Roman"/>
      <family val="1"/>
      <b val="1"/>
      <sz val="11"/>
    </font>
    <font>
      <name val="Times"/>
      <family val="1"/>
      <b val="1"/>
      <i val="1"/>
      <sz val="13"/>
    </font>
    <font>
      <name val="Book Antiqua"/>
      <family val="1"/>
      <sz val="10"/>
    </font>
    <font>
      <name val="Times New Roman"/>
      <family val="1"/>
      <b val="1"/>
      <color indexed="17"/>
      <sz val="10"/>
    </font>
    <font>
      <name val="Times New Roman"/>
      <family val="1"/>
      <color indexed="12"/>
      <sz val="9"/>
    </font>
    <font>
      <name val="Tms Rmn"/>
      <family val="1"/>
      <sz val="12"/>
    </font>
    <font>
      <name val="Helvetica"/>
      <family val="2"/>
      <sz val="7"/>
    </font>
    <font>
      <name val="Helv"/>
      <family val="2"/>
      <b val="1"/>
      <i val="1"/>
      <sz val="12"/>
    </font>
    <font>
      <name val="Calibri"/>
      <family val="2"/>
      <i val="1"/>
      <color indexed="23"/>
      <sz val="11"/>
    </font>
    <font>
      <name val="宋体"/>
      <charset val="134"/>
      <i val="1"/>
      <color indexed="23"/>
      <sz val="11"/>
    </font>
    <font>
      <name val="Calibri"/>
      <family val="2"/>
      <color indexed="17"/>
      <sz val="11"/>
    </font>
    <font>
      <name val="宋体"/>
      <charset val="134"/>
      <color indexed="17"/>
      <sz val="11"/>
    </font>
    <font>
      <name val="MS Sans Serif"/>
      <family val="2"/>
      <b val="1"/>
      <color indexed="13"/>
      <sz val="10"/>
    </font>
    <font>
      <name val="Arial MT"/>
      <family val="2"/>
      <sz val="12"/>
    </font>
    <font>
      <name val="Univers"/>
      <family val="2"/>
      <color indexed="12"/>
      <sz val="10"/>
    </font>
    <font>
      <name val="Futura UBS Bk"/>
      <family val="2"/>
      <sz val="9"/>
    </font>
    <font>
      <name val="Palatino"/>
      <family val="1"/>
      <b val="1"/>
      <sz val="8"/>
    </font>
    <font>
      <name val="Tms Rmn"/>
      <family val="1"/>
      <b val="1"/>
      <i val="1"/>
      <sz val="24"/>
    </font>
    <font>
      <name val="Times New Roman"/>
      <family val="1"/>
      <b val="1"/>
      <i val="1"/>
      <sz val="15"/>
    </font>
    <font>
      <name val="Calibri"/>
      <family val="2"/>
      <b val="1"/>
      <color indexed="62"/>
      <sz val="15"/>
    </font>
    <font>
      <name val="Arial"/>
      <family val="2"/>
      <b val="1"/>
      <sz val="18"/>
    </font>
    <font>
      <name val="宋体"/>
      <charset val="134"/>
      <b val="1"/>
      <color indexed="48"/>
      <sz val="15"/>
    </font>
    <font>
      <name val="Calibri"/>
      <family val="2"/>
      <b val="1"/>
      <color indexed="56"/>
      <sz val="15"/>
    </font>
    <font>
      <name val="Calibri"/>
      <family val="2"/>
      <b val="1"/>
      <color theme="0"/>
      <sz val="8"/>
      <scheme val="minor"/>
    </font>
    <font>
      <name val="Calibri"/>
      <family val="2"/>
      <b val="1"/>
      <color indexed="62"/>
      <sz val="13"/>
    </font>
    <font>
      <name val="宋体"/>
      <charset val="134"/>
      <b val="1"/>
      <color indexed="48"/>
      <sz val="13"/>
    </font>
    <font>
      <name val="Calibri"/>
      <family val="2"/>
      <b val="1"/>
      <color indexed="56"/>
      <sz val="13"/>
    </font>
    <font>
      <name val="Calibri"/>
      <family val="2"/>
      <b val="1"/>
      <sz val="8"/>
      <scheme val="minor"/>
    </font>
    <font>
      <name val="Calibri"/>
      <family val="2"/>
      <b val="1"/>
      <color indexed="62"/>
      <sz val="11"/>
    </font>
    <font>
      <name val="宋体"/>
      <charset val="134"/>
      <b val="1"/>
      <color indexed="48"/>
      <sz val="11"/>
    </font>
    <font>
      <name val="Calibri"/>
      <family val="2"/>
      <b val="1"/>
      <color indexed="56"/>
      <sz val="11"/>
    </font>
    <font>
      <name val="VeticaBlack"/>
      <family val="2"/>
      <sz val="8"/>
    </font>
    <font>
      <name val="Times New Roman"/>
      <family val="1"/>
      <b val="1"/>
      <i val="1"/>
      <sz val="12"/>
    </font>
    <font>
      <name val="MS Sans Serif"/>
      <family val="2"/>
      <b val="1"/>
      <sz val="8"/>
    </font>
    <font>
      <name val="Times New Roman"/>
      <family val="1"/>
      <color indexed="12"/>
      <sz val="10"/>
      <u val="single"/>
    </font>
    <font>
      <name val="宋体"/>
      <charset val="134"/>
      <color indexed="12"/>
      <sz val="12"/>
      <u val="single"/>
    </font>
    <font>
      <name val="Wingdings"/>
      <charset val="2"/>
      <b val="1"/>
      <color indexed="56"/>
      <sz val="10"/>
    </font>
    <font>
      <name val="Arial"/>
      <family val="2"/>
      <b val="1"/>
      <color indexed="56"/>
      <sz val="8"/>
      <u val="single"/>
    </font>
    <font>
      <name val="ÈA¿µl"/>
      <charset val="136"/>
      <family val="3"/>
      <sz val="12"/>
    </font>
    <font>
      <name val="Calibri"/>
      <family val="2"/>
      <color indexed="62"/>
      <sz val="11"/>
    </font>
    <font>
      <name val="宋体"/>
      <charset val="134"/>
      <color indexed="62"/>
      <sz val="11"/>
    </font>
    <font>
      <name val="Calibri"/>
      <family val="2"/>
      <color indexed="52"/>
      <sz val="11"/>
    </font>
    <font>
      <name val="宋体"/>
      <charset val="134"/>
      <color indexed="52"/>
      <sz val="11"/>
    </font>
    <font>
      <name val="Arial Narrow"/>
      <family val="2"/>
      <i val="1"/>
      <color indexed="20"/>
      <sz val="9"/>
    </font>
    <font>
      <name val="Helv"/>
      <family val="2"/>
      <color indexed="8"/>
      <sz val="9"/>
    </font>
    <font>
      <name val="Arial"/>
      <family val="2"/>
      <b val="1"/>
      <color indexed="17"/>
      <sz val="10"/>
    </font>
    <font>
      <name val="Frutiger 45 Light"/>
      <family val="2"/>
      <i val="1"/>
      <color theme="3"/>
      <sz val="8"/>
    </font>
    <font>
      <name val="Calibri"/>
      <family val="2"/>
      <color indexed="60"/>
      <sz val="11"/>
    </font>
    <font>
      <name val="宋体"/>
      <charset val="134"/>
      <color indexed="19"/>
      <sz val="11"/>
    </font>
    <font>
      <name val="Arial"/>
      <family val="2"/>
      <color indexed="17"/>
      <sz val="10"/>
    </font>
    <font>
      <name val="Courier"/>
      <family val="3"/>
      <sz val="12"/>
    </font>
    <font>
      <name val="Frutiger 55 Roman"/>
      <family val="2"/>
      <color theme="1"/>
      <sz val="11"/>
    </font>
    <font>
      <name val="TimesNewRomanPS"/>
      <family val="1"/>
      <sz val="10"/>
    </font>
    <font>
      <name val="Tahoma"/>
      <family val="2"/>
      <sz val="10"/>
    </font>
    <font>
      <name val="Frutiger 45 Light"/>
      <family val="2"/>
      <sz val="9"/>
    </font>
    <font>
      <name val="Book Antiqua"/>
      <family val="1"/>
      <sz val="8"/>
    </font>
    <font>
      <name val="Arial Narrow"/>
      <family val="2"/>
      <sz val="8.5"/>
    </font>
    <font>
      <name val="Helv"/>
      <family val="2"/>
      <b val="1"/>
      <color indexed="17"/>
      <sz val="10"/>
    </font>
    <font>
      <name val="ÐÂ¼šÃ÷ów"/>
      <family val="3"/>
      <sz val="12"/>
    </font>
    <font>
      <name val="ÐÂ¼"/>
      <charset val="136"/>
      <family val="1"/>
      <sz val="12"/>
    </font>
    <font>
      <name val="Arial"/>
      <family val="2"/>
      <color indexed="36"/>
      <sz val="8.25"/>
      <u val="single"/>
    </font>
    <font>
      <name val="helvetica"/>
      <family val="2"/>
      <sz val="8"/>
    </font>
    <font>
      <name val="Calibri"/>
      <family val="2"/>
      <b val="1"/>
      <color indexed="63"/>
      <sz val="11"/>
    </font>
    <font>
      <name val="宋体"/>
      <charset val="134"/>
      <b val="1"/>
      <color indexed="44"/>
      <sz val="11"/>
    </font>
    <font>
      <name val="Times New Roman"/>
      <family val="1"/>
      <color indexed="8"/>
      <sz val="11"/>
    </font>
    <font>
      <name val="Times New Roman"/>
      <family val="1"/>
      <b val="1"/>
      <i val="1"/>
      <color indexed="8"/>
      <sz val="11"/>
    </font>
    <font>
      <name val="Times New Roman"/>
      <family val="1"/>
      <b val="1"/>
      <color indexed="16"/>
      <sz val="11"/>
    </font>
    <font>
      <name val="Arial"/>
      <family val="2"/>
      <b val="1"/>
      <color indexed="21"/>
      <sz val="11"/>
    </font>
    <font>
      <name val="Times New Roman"/>
      <family val="1"/>
      <b val="1"/>
      <color indexed="8"/>
      <sz val="22"/>
    </font>
    <font>
      <name val="UBSHeadline"/>
      <family val="1"/>
      <sz val="22"/>
    </font>
    <font>
      <name val="Helv"/>
      <family val="2"/>
      <i val="1"/>
      <sz val="9"/>
    </font>
    <font>
      <name val="Frutiger 55 Roman"/>
      <family val="2"/>
      <color indexed="8"/>
      <sz val="11"/>
    </font>
    <font>
      <name val="Frutiger 45 Light"/>
      <family val="2"/>
      <color indexed="8"/>
      <sz val="10.5"/>
    </font>
    <font>
      <name val="Univers"/>
      <family val="2"/>
      <sz val="10"/>
    </font>
    <font>
      <name val="ＭＳ ゴシック"/>
      <charset val="128"/>
      <family val="3"/>
      <sz val="12"/>
    </font>
    <font>
      <name val="Wingdings"/>
      <charset val="2"/>
      <sz val="8"/>
    </font>
    <font>
      <name val="Times New Roman"/>
      <family val="1"/>
      <color indexed="8"/>
      <sz val="10"/>
    </font>
    <font>
      <name val="Arial"/>
      <family val="2"/>
      <b val="1"/>
      <color indexed="8"/>
      <sz val="10"/>
    </font>
    <font>
      <name val="Arial"/>
      <family val="2"/>
      <b val="1"/>
      <color indexed="39"/>
      <sz val="10"/>
    </font>
    <font>
      <name val="Arial"/>
      <family val="2"/>
      <b val="1"/>
      <color indexed="8"/>
      <sz val="12"/>
    </font>
    <font>
      <name val="Arial"/>
      <family val="2"/>
      <color indexed="39"/>
      <sz val="10"/>
    </font>
    <font>
      <name val="Arial"/>
      <family val="2"/>
      <color indexed="48"/>
      <sz val="19"/>
    </font>
    <font>
      <name val="Arial"/>
      <family val="2"/>
      <b val="1"/>
      <sz val="13"/>
    </font>
    <font>
      <name val="Arial"/>
      <family val="2"/>
      <b val="1"/>
      <color indexed="9"/>
      <sz val="8"/>
    </font>
    <font>
      <name val="Times New Roman"/>
      <family val="1"/>
      <b val="1"/>
      <color indexed="12"/>
      <sz val="9"/>
    </font>
    <font>
      <name val="Arial"/>
      <family val="2"/>
      <b val="1"/>
      <sz val="14"/>
    </font>
    <font>
      <name val="Times New Roman"/>
      <family val="1"/>
      <sz val="10"/>
      <u val="singleAccounting"/>
    </font>
    <font>
      <name val="Arial"/>
      <family val="2"/>
      <i val="1"/>
      <sz val="7"/>
    </font>
    <font>
      <name val="MS Sans Serif"/>
      <family val="2"/>
      <sz val="8"/>
    </font>
    <font>
      <name val="MS Sans Serif"/>
      <family val="2"/>
      <sz val="12"/>
    </font>
    <font>
      <name val="Helv"/>
      <family val="2"/>
      <b val="1"/>
      <sz val="9"/>
      <u val="single"/>
    </font>
    <font>
      <name val="Arial"/>
      <family val="2"/>
      <b val="1"/>
      <color indexed="16"/>
      <sz val="10"/>
    </font>
    <font>
      <name val="Cambria"/>
      <family val="1"/>
      <b val="1"/>
      <color indexed="62"/>
      <sz val="18"/>
    </font>
    <font>
      <name val="Arial"/>
      <family val="2"/>
      <b val="1"/>
      <sz val="9"/>
      <u val="single"/>
    </font>
    <font>
      <name val="Arial"/>
      <family val="2"/>
      <sz val="11"/>
    </font>
    <font>
      <name val="宋体"/>
      <charset val="134"/>
      <b val="1"/>
      <color indexed="48"/>
      <sz val="18"/>
    </font>
    <font>
      <name val="Arial"/>
      <family val="2"/>
      <b val="1"/>
      <sz val="7"/>
    </font>
    <font>
      <name val="Helv"/>
      <family val="2"/>
      <b val="1"/>
      <color indexed="9"/>
      <sz val="9"/>
    </font>
    <font>
      <name val="Times New Roman"/>
      <family val="1"/>
      <sz val="10"/>
      <u val="single"/>
    </font>
    <font>
      <name val="Times New Roman"/>
      <family val="1"/>
      <sz val="11"/>
      <u val="single"/>
    </font>
    <font>
      <name val="Times New Roman"/>
      <family val="1"/>
      <sz val="16"/>
    </font>
    <font>
      <name val="Calibri"/>
      <family val="2"/>
      <b val="1"/>
      <color indexed="8"/>
      <sz val="11"/>
    </font>
    <font>
      <name val="宋体"/>
      <charset val="134"/>
      <b val="1"/>
      <color indexed="8"/>
      <sz val="11"/>
    </font>
    <font>
      <name val="Helv"/>
      <family val="2"/>
      <color indexed="16"/>
      <sz val="8"/>
    </font>
    <font>
      <name val="Calibri"/>
      <family val="2"/>
      <color indexed="10"/>
      <sz val="11"/>
    </font>
    <font>
      <name val="宋体"/>
      <charset val="134"/>
      <color indexed="10"/>
      <sz val="11"/>
    </font>
    <font>
      <name val="CG Times (WN)"/>
      <family val="1"/>
      <b val="1"/>
      <color indexed="18"/>
      <sz val="10"/>
    </font>
    <font>
      <name val="ｹﾙﾅﾁﾃｼ"/>
      <charset val="128"/>
      <family val="2"/>
      <sz val="12"/>
    </font>
    <font>
      <name val="ＭＳ 明朝"/>
      <charset val="128"/>
      <family val="3"/>
      <sz val="22"/>
    </font>
    <font>
      <name val="ｵｸｿ "/>
      <charset val="128"/>
      <family val="3"/>
      <sz val="11"/>
    </font>
    <font>
      <name val="明朝"/>
      <charset val="128"/>
      <family val="3"/>
      <color indexed="12"/>
      <sz val="11"/>
      <u val="single"/>
    </font>
    <font>
      <name val="明朝"/>
      <charset val="128"/>
      <family val="1"/>
      <sz val="11"/>
    </font>
    <font>
      <name val="바탕체"/>
      <family val="3"/>
      <sz val="12"/>
    </font>
    <font>
      <name val="新細明體"/>
      <charset val="136"/>
      <family val="1"/>
      <color indexed="19"/>
      <sz val="12"/>
    </font>
    <font>
      <name val="楷体"/>
      <charset val="134"/>
      <family val="2"/>
      <sz val="10"/>
    </font>
    <font>
      <name val="新細明體"/>
      <charset val="136"/>
      <family val="1"/>
      <b val="1"/>
      <color indexed="8"/>
      <sz val="12"/>
    </font>
    <font>
      <name val="新細明體"/>
      <charset val="136"/>
      <family val="1"/>
      <color indexed="20"/>
      <sz val="12"/>
    </font>
    <font>
      <name val="宋体"/>
      <charset val="134"/>
      <color indexed="21"/>
      <sz val="11"/>
    </font>
    <font>
      <name val="新細明體"/>
      <charset val="136"/>
      <family val="1"/>
      <color indexed="17"/>
      <sz val="12"/>
    </font>
    <font>
      <name val="宋体"/>
      <charset val="134"/>
      <color indexed="17"/>
      <sz val="10"/>
    </font>
    <font>
      <name val="柧挬"/>
      <charset val="134"/>
      <family val="3"/>
      <sz val="14"/>
    </font>
    <font>
      <name val="宋体"/>
      <charset val="134"/>
      <color indexed="14"/>
      <sz val="11"/>
    </font>
    <font>
      <name val="宋体"/>
      <charset val="134"/>
      <color indexed="20"/>
      <sz val="10"/>
    </font>
    <font>
      <name val="Arial"/>
      <family val="2"/>
      <color indexed="36"/>
      <sz val="7.5"/>
      <u val="single"/>
    </font>
    <font>
      <name val="宋体"/>
      <charset val="134"/>
      <family val="3"/>
      <sz val="12"/>
    </font>
    <font>
      <name val="華康中楷體"/>
      <charset val="136"/>
      <family val="3"/>
      <sz val="12"/>
    </font>
    <font>
      <name val="柧挬"/>
      <charset val="134"/>
      <family val="3"/>
      <sz val="12"/>
    </font>
    <font>
      <name val="宋体"/>
      <charset val="134"/>
      <b val="1"/>
      <color indexed="56"/>
      <sz val="15"/>
    </font>
    <font>
      <name val="宋体"/>
      <charset val="134"/>
      <b val="1"/>
      <color indexed="17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17"/>
      <sz val="13"/>
    </font>
    <font>
      <name val="宋体"/>
      <charset val="134"/>
      <b val="1"/>
      <color indexed="56"/>
      <sz val="11"/>
    </font>
    <font>
      <name val="宋体"/>
      <charset val="134"/>
      <b val="1"/>
      <color indexed="17"/>
      <sz val="11"/>
    </font>
    <font>
      <name val="宋体"/>
      <charset val="134"/>
      <b val="1"/>
      <color indexed="56"/>
      <sz val="18"/>
    </font>
    <font>
      <name val="宋体"/>
      <charset val="134"/>
      <b val="1"/>
      <color indexed="17"/>
      <sz val="18"/>
    </font>
    <font>
      <name val="楷体"/>
      <charset val="134"/>
      <family val="2"/>
      <b val="1"/>
      <sz val="14"/>
    </font>
    <font>
      <name val="ＭＳ Ｐゴシック"/>
      <charset val="128"/>
      <family val="2"/>
      <sz val="10"/>
    </font>
    <font>
      <name val="新細明體"/>
      <charset val="136"/>
      <family val="1"/>
      <b val="1"/>
      <color indexed="62"/>
      <sz val="18"/>
    </font>
    <font>
      <name val="新細明體"/>
      <charset val="136"/>
      <family val="1"/>
      <b val="1"/>
      <color indexed="62"/>
      <sz val="15"/>
    </font>
    <font>
      <name val="新細明體"/>
      <charset val="136"/>
      <family val="1"/>
      <b val="1"/>
      <color indexed="62"/>
      <sz val="13"/>
    </font>
    <font>
      <name val="新細明體"/>
      <charset val="136"/>
      <family val="1"/>
      <b val="1"/>
      <color indexed="62"/>
      <sz val="11"/>
    </font>
    <font>
      <name val="新細明體"/>
      <charset val="136"/>
      <family val="1"/>
      <b val="1"/>
      <color indexed="9"/>
      <sz val="12"/>
    </font>
    <font>
      <name val="華康中楷體"/>
      <charset val="136"/>
      <family val="3"/>
      <b val="1"/>
      <sz val="12"/>
    </font>
    <font>
      <name val="官帕眉"/>
      <charset val="134"/>
      <family val="3"/>
      <sz val="12"/>
    </font>
    <font>
      <name val="明朝"/>
      <charset val="128"/>
      <family val="3"/>
      <color indexed="36"/>
      <sz val="11"/>
      <u val="single"/>
    </font>
    <font>
      <name val="新細明體"/>
      <charset val="136"/>
      <family val="1"/>
      <b val="1"/>
      <color indexed="10"/>
      <sz val="12"/>
    </font>
    <font>
      <name val="新細明體"/>
      <charset val="136"/>
      <family val="1"/>
      <i val="1"/>
      <color indexed="23"/>
      <sz val="12"/>
    </font>
    <font>
      <name val="新細明體"/>
      <charset val="136"/>
      <family val="1"/>
      <color indexed="10"/>
      <sz val="12"/>
    </font>
    <font>
      <name val="宋体"/>
      <charset val="134"/>
      <b val="1"/>
      <color indexed="51"/>
      <sz val="11"/>
    </font>
    <font>
      <name val="新細明體"/>
      <charset val="136"/>
      <family val="1"/>
      <color indexed="62"/>
      <sz val="12"/>
    </font>
    <font>
      <name val="新細明體"/>
      <charset val="136"/>
      <family val="1"/>
      <b val="1"/>
      <color indexed="63"/>
      <sz val="12"/>
    </font>
    <font>
      <name val="宋体"/>
      <charset val="134"/>
      <b val="1"/>
      <color indexed="63"/>
      <sz val="11"/>
    </font>
    <font>
      <name val="宋体"/>
      <charset val="134"/>
      <b val="1"/>
      <color indexed="59"/>
      <sz val="11"/>
    </font>
    <font>
      <name val="宋体"/>
      <charset val="134"/>
      <color indexed="60"/>
      <sz val="11"/>
    </font>
    <font>
      <name val="奔覆眉"/>
      <charset val="134"/>
      <family val="3"/>
      <sz val="10"/>
    </font>
    <font>
      <name val="宋体"/>
      <charset val="134"/>
      <color indexed="51"/>
      <sz val="11"/>
    </font>
    <font>
      <name val="Arial"/>
      <family val="2"/>
      <b val="1"/>
      <color theme="0"/>
      <sz val="8"/>
    </font>
    <font>
      <name val="Arial"/>
      <family val="2"/>
      <color theme="0"/>
      <sz val="8"/>
    </font>
    <font>
      <name val="Arial"/>
      <family val="2"/>
      <i val="1"/>
      <color theme="0"/>
      <sz val="8"/>
    </font>
    <font>
      <name val="Helvetica Condensed"/>
      <b val="1"/>
      <i val="1"/>
      <color indexed="10"/>
      <sz val="8"/>
    </font>
    <font>
      <name val="Helvetica Condensed"/>
      <i val="1"/>
      <color rgb="FFFF0000"/>
      <sz val="8"/>
    </font>
    <font>
      <name val="Helvetica Condensed"/>
      <b val="1"/>
      <color indexed="8"/>
      <sz val="8"/>
    </font>
    <font>
      <name val="Arial"/>
      <family val="2"/>
      <color rgb="FF0000FF"/>
      <sz val="8"/>
    </font>
    <font>
      <name val="Helvetica Condensed"/>
      <family val="2"/>
      <i val="1"/>
      <color rgb="FF00B050"/>
      <sz val="8"/>
    </font>
    <font>
      <name val="Arial"/>
      <family val="2"/>
      <color rgb="FFFF0000"/>
      <sz val="8"/>
    </font>
    <font>
      <name val="Verdana"/>
      <family val="2"/>
      <sz val="10"/>
    </font>
    <font>
      <name val="????"/>
      <charset val="136"/>
      <family val="2"/>
      <sz val="12"/>
    </font>
    <font>
      <name val="Helv"/>
      <sz val="12"/>
    </font>
    <font>
      <name val="MS Sans Serif"/>
      <family val="2"/>
      <color indexed="11"/>
      <sz val="10"/>
    </font>
    <font>
      <name val="Times New Roman"/>
      <family val="1"/>
      <color indexed="12"/>
      <sz val="8"/>
    </font>
    <font>
      <name val="Arial"/>
      <family val="2"/>
      <color indexed="8"/>
      <sz val="7"/>
    </font>
    <font>
      <name val="Times New Roman"/>
      <family val="1"/>
      <b val="1"/>
      <i val="1"/>
      <color indexed="8"/>
      <sz val="8"/>
    </font>
    <font>
      <name val="Arial"/>
      <family val="2"/>
      <b val="1"/>
      <color indexed="37"/>
      <sz val="9"/>
    </font>
    <font>
      <name val="MS Sans Serif"/>
      <family val="2"/>
      <b val="1"/>
      <color indexed="11"/>
      <sz val="10"/>
    </font>
    <font>
      <name val="Calibri"/>
      <family val="2"/>
      <color indexed="19"/>
      <sz val="11"/>
    </font>
    <font>
      <name val="MS Sans Serif"/>
      <family val="2"/>
      <sz val="16"/>
    </font>
    <font>
      <name val="Calibri"/>
      <family val="2"/>
      <color indexed="8"/>
      <sz val="11"/>
      <scheme val="minor"/>
    </font>
    <font>
      <name val="Frutiger 45 Light"/>
      <family val="2"/>
      <sz val="8"/>
    </font>
    <font>
      <name val="Frutiger 45 Light"/>
      <family val="2"/>
      <b val="1"/>
      <sz val="8"/>
    </font>
    <font>
      <name val="Frutiger 45 Light"/>
      <family val="2"/>
      <b val="1"/>
      <sz val="8"/>
      <u val="single"/>
    </font>
    <font>
      <name val="Frutiger 45 Light"/>
      <family val="2"/>
      <color indexed="9"/>
      <sz val="8"/>
    </font>
    <font>
      <name val="Frutiger 45 Light"/>
      <family val="2"/>
      <b val="1"/>
      <color theme="0"/>
      <sz val="8"/>
    </font>
    <font>
      <name val="Frutiger 45 Light"/>
      <family val="2"/>
      <color rgb="FFFF0000"/>
      <sz val="8"/>
    </font>
    <font>
      <name val="Frutiger 45 Light"/>
      <family val="2"/>
      <b val="1"/>
      <color indexed="10"/>
      <sz val="8"/>
    </font>
    <font>
      <name val="Helvetica Condensed"/>
      <family val="2"/>
      <color rgb="FF00B050"/>
      <sz val="8"/>
    </font>
    <font>
      <name val="Helvetica Condensed"/>
      <color rgb="FF0000FF"/>
      <sz val="8"/>
    </font>
    <font>
      <name val="Frutiger 45 Light"/>
      <family val="2"/>
      <b val="1"/>
      <color theme="0"/>
      <sz val="10"/>
    </font>
    <font>
      <name val="Frutiger 45 Light"/>
      <family val="2"/>
      <b val="1"/>
      <sz val="10"/>
    </font>
    <font>
      <name val="Frutiger 45 Light"/>
      <family val="2"/>
      <color rgb="FF0000FF"/>
      <sz val="10"/>
    </font>
    <font>
      <name val="Frutiger 45 Light"/>
      <family val="2"/>
      <b val="1"/>
      <color rgb="FF000000"/>
      <sz val="8"/>
    </font>
    <font>
      <name val="Frutiger 45 Light"/>
      <family val="2"/>
      <color theme="1"/>
      <sz val="10"/>
    </font>
    <font>
      <name val="Calibri"/>
      <family val="2"/>
      <b val="1"/>
      <color rgb="FF0000FF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0000"/>
      <sz val="11"/>
      <scheme val="minor"/>
    </font>
    <font>
      <name val="Helvetica Condensed"/>
      <b val="1"/>
      <color indexed="10"/>
      <sz val="8"/>
    </font>
    <font>
      <name val="Helvetica Condensed"/>
      <b val="1"/>
      <color rgb="FF0000FF"/>
      <sz val="8"/>
    </font>
    <font>
      <name val="Helvetica Condensed"/>
      <color rgb="FFFF0000"/>
      <sz val="8"/>
    </font>
    <font>
      <name val="Helvetica Condensed"/>
      <color indexed="8"/>
      <sz val="8"/>
    </font>
    <font>
      <name val="Frutiger 45 Light"/>
      <family val="2"/>
      <b val="1"/>
      <color theme="1"/>
      <sz val="11"/>
    </font>
    <font>
      <name val="Frutiger 45 Light"/>
      <family val="2"/>
      <color theme="1"/>
      <sz val="11"/>
    </font>
    <font>
      <name val="Frutiger 45 Light"/>
      <family val="2"/>
      <b val="1"/>
      <color theme="1"/>
      <sz val="10"/>
    </font>
    <font>
      <name val="Arial"/>
      <family val="2"/>
      <color rgb="FF00B050"/>
      <sz val="8"/>
    </font>
    <font>
      <name val="Frutiger 45 Light"/>
      <family val="2"/>
      <i val="1"/>
      <color theme="1"/>
      <sz val="11"/>
    </font>
    <font>
      <name val="Frutiger 45 Light"/>
      <family val="2"/>
      <b val="1"/>
      <i val="1"/>
      <color theme="1"/>
      <sz val="11"/>
    </font>
    <font>
      <name val="Arial"/>
      <family val="2"/>
      <b val="1"/>
      <color theme="0"/>
      <sz val="11"/>
    </font>
    <font>
      <name val="Arial"/>
      <family val="2"/>
      <color theme="0"/>
      <sz val="11"/>
    </font>
    <font>
      <name val="Arial"/>
      <family val="2"/>
      <i val="1"/>
      <color indexed="63"/>
      <sz val="11"/>
    </font>
    <font>
      <name val="Helvetica Condensed"/>
      <sz val="9"/>
    </font>
    <font>
      <name val="Helvetica Condensed"/>
      <i val="1"/>
      <color rgb="FF0000FF"/>
      <sz val="8"/>
    </font>
    <font>
      <name val="Helvetica Condensed"/>
      <family val="2"/>
      <i val="1"/>
      <color rgb="FFC00000"/>
      <sz val="8"/>
    </font>
    <font>
      <name val="Helvetica Condensed"/>
      <b val="1"/>
      <i val="1"/>
      <color indexed="8"/>
      <sz val="8"/>
    </font>
    <font>
      <name val="Arial"/>
      <family val="2"/>
      <color rgb="FF0070C0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rgb="FF0070C0"/>
      <sz val="10"/>
    </font>
    <font>
      <name val="Tahoma"/>
      <family val="2"/>
      <color indexed="81"/>
      <sz val="14"/>
    </font>
    <font>
      <name val="Tahoma"/>
      <family val="2"/>
      <b val="1"/>
      <color indexed="81"/>
      <sz val="14"/>
    </font>
    <font>
      <name val="Helvetica Condensed"/>
      <color indexed="10"/>
      <sz val="8"/>
    </font>
    <font>
      <name val="Helvetica Condensed"/>
      <color indexed="12"/>
      <sz val="8"/>
    </font>
    <font>
      <name val="Helvetica Condensed"/>
      <color theme="1"/>
      <sz val="8"/>
    </font>
    <font>
      <name val="Helvetica Condensed"/>
      <b val="1"/>
      <color theme="1"/>
      <sz val="8"/>
    </font>
    <font>
      <name val="Helvetica Condensed"/>
      <b val="1"/>
      <color indexed="12"/>
      <sz val="8"/>
    </font>
    <font>
      <name val="Frutiger 45 Light"/>
      <family val="2"/>
      <b val="1"/>
      <color rgb="FF00B050"/>
      <sz val="8"/>
      <u val="single"/>
    </font>
    <font>
      <name val="Frutiger 45 Light"/>
      <family val="2"/>
      <b val="1"/>
      <color rgb="FF0000FF"/>
      <sz val="10"/>
    </font>
    <font>
      <name val="Helvetica Condensed"/>
      <family val="2"/>
      <color rgb="FF008000"/>
      <sz val="8"/>
    </font>
    <font>
      <name val="Frutiger 45 Light"/>
      <family val="2"/>
      <color rgb="FF0000FF"/>
      <sz val="8"/>
    </font>
    <font>
      <name val="Arial"/>
      <family val="2"/>
      <b val="1"/>
      <color theme="1"/>
      <sz val="11"/>
    </font>
    <font>
      <name val="Tahoma"/>
      <family val="2"/>
      <b val="1"/>
      <color indexed="81"/>
      <sz val="12"/>
    </font>
    <font>
      <name val="Tahoma"/>
      <charset val="1"/>
      <b val="1"/>
      <color indexed="81"/>
      <sz val="12"/>
    </font>
  </fonts>
  <fills count="116">
    <fill>
      <patternFill/>
    </fill>
    <fill>
      <patternFill patternType="gray125"/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4"/>
      </patternFill>
    </fill>
    <fill>
      <patternFill patternType="solid">
        <fgColor indexed="23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mediumGray">
        <fgColor indexed="22"/>
      </patternFill>
    </fill>
    <fill>
      <patternFill patternType="lightGray">
        <fgColor indexed="12"/>
      </patternFill>
    </fill>
    <fill>
      <patternFill patternType="gray0625"/>
    </fill>
    <fill>
      <patternFill patternType="solid">
        <fgColor indexed="17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</patternFill>
    </fill>
    <fill>
      <patternFill patternType="solid">
        <fgColor indexed="29"/>
        <bgColor indexed="64"/>
      </patternFill>
    </fill>
    <fill>
      <patternFill patternType="solid">
        <fgColor indexed="12"/>
      </patternFill>
    </fill>
    <fill>
      <patternFill patternType="mediumGray"/>
    </fill>
    <fill>
      <patternFill patternType="solid">
        <fgColor indexed="9"/>
      </patternFill>
    </fill>
    <fill>
      <patternFill patternType="solid">
        <fgColor indexed="58"/>
      </patternFill>
    </fill>
    <fill>
      <patternFill patternType="solid">
        <fgColor indexed="56"/>
      </patternFill>
    </fill>
    <fill>
      <patternFill patternType="solid">
        <fgColor indexed="21"/>
      </patternFill>
    </fill>
    <fill>
      <patternFill patternType="solid">
        <fgColor indexed="40"/>
      </patternFill>
    </fill>
    <fill>
      <patternFill patternType="solid">
        <fgColor indexed="13"/>
        <bgColor indexed="64"/>
      </patternFill>
    </fill>
    <fill>
      <patternFill patternType="gray0625"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indexed="23"/>
        <bgColor indexed="64"/>
      </patternFill>
    </fill>
    <fill>
      <patternFill patternType="solid">
        <fgColor theme="4"/>
      </patternFill>
    </fill>
    <fill>
      <patternFill patternType="solid">
        <fgColor theme="8" tint="0.7999816888943144"/>
        <bgColor indexed="65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5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9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45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8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5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60"/>
      </patternFill>
    </fill>
    <fill>
      <patternFill patternType="solid">
        <fgColor indexed="36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8"/>
      </patternFill>
    </fill>
    <fill>
      <patternFill patternType="solid">
        <fgColor indexed="57"/>
      </patternFill>
    </fill>
    <fill>
      <patternFill patternType="solid">
        <fgColor indexed="14"/>
      </patternFill>
    </fill>
    <fill>
      <patternFill patternType="solid">
        <fgColor indexed="55"/>
      </patternFill>
    </fill>
    <fill>
      <patternFill patternType="solid">
        <fgColor indexed="18"/>
      </patternFill>
    </fill>
    <fill>
      <patternFill patternType="solid">
        <fgColor rgb="FF6C87B3"/>
        <bgColor indexed="64"/>
      </patternFill>
    </fill>
    <fill>
      <patternFill patternType="solid">
        <fgColor indexed="20"/>
      </patternFill>
    </fill>
    <fill>
      <patternFill patternType="solid">
        <fgColor rgb="FFFFFFE5"/>
        <bgColor indexed="64"/>
      </patternFill>
    </fill>
    <fill>
      <patternFill patternType="lightGray">
        <fgColor indexed="13"/>
      </patternFill>
    </fill>
    <fill>
      <patternFill patternType="gray0625">
        <fgColor indexed="22"/>
      </patternFill>
    </fill>
    <fill>
      <patternFill patternType="lightGray">
        <fgColor indexed="10"/>
      </patternFill>
    </fill>
    <fill>
      <patternFill patternType="darkVertical"/>
    </fill>
    <fill>
      <patternFill patternType="solid">
        <fgColor indexed="4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63"/>
        <bgColor indexed="64"/>
      </patternFill>
    </fill>
    <fill>
      <patternFill patternType="gray125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8"/>
      </patternFill>
    </fill>
    <fill>
      <patternFill patternType="mediumGray">
        <fgColor indexed="11"/>
      </patternFill>
    </fill>
    <fill>
      <patternFill patternType="lightGray">
        <fgColor indexed="11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55"/>
        <bgColor indexed="64"/>
      </patternFill>
    </fill>
    <fill>
      <patternFill patternType="gray0625">
        <bgColor rgb="FF0070C0"/>
      </patternFill>
    </fill>
    <fill>
      <patternFill patternType="solid">
        <fgColor rgb="FF00645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rgb="FFA1CCE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</fills>
  <borders count="24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4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indexed="63"/>
      </bottom>
      <diagonal/>
    </border>
    <border>
      <left/>
      <right/>
      <top/>
      <bottom style="medium">
        <color indexed="62"/>
      </bottom>
      <diagonal/>
    </border>
    <border>
      <left style="double">
        <color indexed="20"/>
      </left>
      <right style="double">
        <color indexed="20"/>
      </right>
      <top style="double">
        <color indexed="20"/>
      </top>
      <bottom style="double">
        <color indexed="20"/>
      </bottom>
      <diagonal/>
    </border>
    <border>
      <left/>
      <right/>
      <top style="thin">
        <color indexed="58"/>
      </top>
      <bottom style="double">
        <color indexed="5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/>
      <bottom style="double">
        <color indexed="47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ck">
        <color indexed="64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44"/>
      </left>
      <right style="double">
        <color indexed="44"/>
      </right>
      <top style="double">
        <color indexed="44"/>
      </top>
      <bottom style="double">
        <color indexed="4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8"/>
      </bottom>
      <diagonal/>
    </border>
    <border>
      <left/>
      <right/>
      <top/>
      <bottom style="medium">
        <color rgb="FF6C87B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8"/>
      </bottom>
      <diagonal/>
    </border>
    <border>
      <left/>
      <right/>
      <top/>
      <bottom style="medium">
        <color indexed="3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double">
        <color indexed="52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/>
      <bottom style="thin">
        <color indexed="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7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59"/>
      </left>
      <right style="double">
        <color indexed="59"/>
      </right>
      <top style="double">
        <color indexed="59"/>
      </top>
      <bottom style="double">
        <color indexed="59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8"/>
      </top>
      <bottom style="double">
        <color indexed="58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8"/>
      </top>
      <bottom style="double">
        <color indexed="5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/>
      <right/>
      <top style="medium">
        <color indexed="45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8"/>
      </top>
      <bottom style="double">
        <color indexed="5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45"/>
      </top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8"/>
      </top>
      <bottom style="double">
        <color indexed="5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45"/>
      </top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8"/>
      </top>
      <bottom style="double">
        <color indexed="5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A1CCE4"/>
      </top>
      <bottom style="thin">
        <color rgb="FFA1CCE4"/>
      </bottom>
      <diagonal/>
    </border>
    <border>
      <left/>
      <right style="thin">
        <color rgb="FFA1CCE4"/>
      </right>
      <top style="thin">
        <color rgb="FFA1CCE4"/>
      </top>
      <bottom style="thin">
        <color rgb="FFA1CCE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rgb="FFA1CCE4"/>
      </bottom>
      <diagonal/>
    </border>
    <border>
      <left/>
      <right/>
      <top style="medium">
        <color indexed="64"/>
      </top>
      <bottom style="thin">
        <color rgb="FFA1CCE4"/>
      </bottom>
      <diagonal/>
    </border>
    <border>
      <left/>
      <right style="thin">
        <color rgb="FFA1CCE4"/>
      </right>
      <top style="medium">
        <color indexed="64"/>
      </top>
      <bottom style="thin">
        <color rgb="FFA1CCE4"/>
      </bottom>
      <diagonal/>
    </border>
    <border>
      <left/>
      <right style="medium">
        <color indexed="64"/>
      </right>
      <top style="medium">
        <color indexed="64"/>
      </top>
      <bottom style="thin">
        <color rgb="FFA1CCE4"/>
      </bottom>
      <diagonal/>
    </border>
    <border>
      <left style="medium">
        <color indexed="64"/>
      </left>
      <right/>
      <top style="thin">
        <color rgb="FFA1CCE4"/>
      </top>
      <bottom style="thin">
        <color rgb="FFA1CCE4"/>
      </bottom>
      <diagonal/>
    </border>
    <border>
      <left/>
      <right style="medium">
        <color indexed="64"/>
      </right>
      <top style="thin">
        <color rgb="FFA1CCE4"/>
      </top>
      <bottom style="thin">
        <color rgb="FFA1CCE4"/>
      </bottom>
      <diagonal/>
    </border>
    <border>
      <left style="thin">
        <color rgb="FFB8B3A2"/>
      </left>
      <right/>
      <top style="medium">
        <color rgb="FFB8B3A2"/>
      </top>
      <bottom style="thin">
        <color rgb="FFB8B3A2"/>
      </bottom>
      <diagonal/>
    </border>
    <border>
      <left/>
      <right/>
      <top style="medium">
        <color rgb="FFB8B3A2"/>
      </top>
      <bottom style="thin">
        <color rgb="FFB8B3A2"/>
      </bottom>
      <diagonal/>
    </border>
    <border>
      <left/>
      <right style="thin">
        <color rgb="FFB8B3A2"/>
      </right>
      <top style="medium">
        <color rgb="FFB8B3A2"/>
      </top>
      <bottom style="thin">
        <color rgb="FFB8B3A2"/>
      </bottom>
      <diagonal/>
    </border>
  </borders>
  <cellStyleXfs count="22425">
    <xf numFmtId="164" fontId="10" fillId="0" borderId="0"/>
    <xf numFmtId="191" fontId="52" fillId="0" borderId="0"/>
    <xf numFmtId="0" fontId="43" fillId="0" borderId="0"/>
    <xf numFmtId="37" fontId="52" fillId="0" borderId="0"/>
    <xf numFmtId="192" fontId="52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54" fillId="0" borderId="0" applyAlignment="1">
      <alignment horizontal="center" vertical="center"/>
    </xf>
    <xf numFmtId="193" fontId="55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6" fillId="0" borderId="0"/>
    <xf numFmtId="186" fontId="56" fillId="0" borderId="1" applyAlignment="1">
      <alignment horizontal="right"/>
    </xf>
    <xf numFmtId="165" fontId="29" fillId="0" borderId="0"/>
    <xf numFmtId="3" fontId="52" fillId="0" borderId="0"/>
    <xf numFmtId="194" fontId="52" fillId="0" borderId="0"/>
    <xf numFmtId="0" fontId="57" fillId="0" borderId="0" applyProtection="1">
      <protection locked="0" hidden="0"/>
    </xf>
    <xf numFmtId="0" fontId="58" fillId="3" borderId="0" applyAlignment="1">
      <alignment vertical="center"/>
    </xf>
    <xf numFmtId="0" fontId="58" fillId="4" borderId="0" applyAlignment="1">
      <alignment vertical="center"/>
    </xf>
    <xf numFmtId="0" fontId="58" fillId="4" borderId="0" applyAlignment="1">
      <alignment vertical="center"/>
    </xf>
    <xf numFmtId="0" fontId="58" fillId="3" borderId="0" applyAlignment="1">
      <alignment vertical="center"/>
    </xf>
    <xf numFmtId="0" fontId="58" fillId="3" borderId="0" applyAlignment="1">
      <alignment vertical="center"/>
    </xf>
    <xf numFmtId="0" fontId="58" fillId="4" borderId="0" applyAlignment="1">
      <alignment vertical="center"/>
    </xf>
    <xf numFmtId="0" fontId="58" fillId="6" borderId="0" applyAlignment="1">
      <alignment vertical="center"/>
    </xf>
    <xf numFmtId="0" fontId="58" fillId="7" borderId="0" applyAlignment="1">
      <alignment vertical="center"/>
    </xf>
    <xf numFmtId="0" fontId="58" fillId="7" borderId="0" applyAlignment="1">
      <alignment vertical="center"/>
    </xf>
    <xf numFmtId="0" fontId="58" fillId="6" borderId="0" applyAlignment="1">
      <alignment vertical="center"/>
    </xf>
    <xf numFmtId="0" fontId="58" fillId="6" borderId="0" applyAlignment="1">
      <alignment vertical="center"/>
    </xf>
    <xf numFmtId="0" fontId="58" fillId="8" borderId="0" applyAlignment="1">
      <alignment vertical="center"/>
    </xf>
    <xf numFmtId="0" fontId="59" fillId="9" borderId="0" applyAlignment="1">
      <alignment vertical="center"/>
    </xf>
    <xf numFmtId="0" fontId="59" fillId="2" borderId="0" applyAlignment="1">
      <alignment vertical="center"/>
    </xf>
    <xf numFmtId="0" fontId="59" fillId="10" borderId="0" applyAlignment="1">
      <alignment vertical="center"/>
    </xf>
    <xf numFmtId="0" fontId="59" fillId="9" borderId="0" applyAlignment="1">
      <alignment vertical="center"/>
    </xf>
    <xf numFmtId="0" fontId="59" fillId="9" borderId="0" applyAlignment="1">
      <alignment vertical="center"/>
    </xf>
    <xf numFmtId="0" fontId="59" fillId="11" borderId="0" applyAlignment="1">
      <alignment vertical="center"/>
    </xf>
    <xf numFmtId="42" fontId="9" fillId="0" borderId="0"/>
    <xf numFmtId="0" fontId="9" fillId="0" borderId="0"/>
    <xf numFmtId="195" fontId="9" fillId="0" borderId="0"/>
    <xf numFmtId="0" fontId="9" fillId="0" borderId="0"/>
    <xf numFmtId="0" fontId="9" fillId="0" borderId="0"/>
    <xf numFmtId="0" fontId="60" fillId="0" borderId="0" applyAlignment="1">
      <alignment horizontal="right"/>
    </xf>
    <xf numFmtId="0" fontId="61" fillId="0" borderId="0"/>
    <xf numFmtId="0" fontId="62" fillId="0" borderId="0" applyAlignment="1" applyProtection="1">
      <alignment horizontal="center" wrapText="1"/>
      <protection locked="0" hidden="0"/>
    </xf>
    <xf numFmtId="0" fontId="63" fillId="0" borderId="201"/>
    <xf numFmtId="0" fontId="64" fillId="0" borderId="201"/>
    <xf numFmtId="0" fontId="65" fillId="0" borderId="201"/>
    <xf numFmtId="0" fontId="29" fillId="0" borderId="201"/>
    <xf numFmtId="41" fontId="9" fillId="0" borderId="0"/>
    <xf numFmtId="0" fontId="9" fillId="0" borderId="0"/>
    <xf numFmtId="0" fontId="9" fillId="0" borderId="0"/>
    <xf numFmtId="0" fontId="9" fillId="0" borderId="0"/>
    <xf numFmtId="0" fontId="14" fillId="0" borderId="0" applyAlignment="1">
      <alignment vertical="center"/>
    </xf>
    <xf numFmtId="0" fontId="66" fillId="0" borderId="0"/>
    <xf numFmtId="2" fontId="67" fillId="12" borderId="0" applyAlignment="1">
      <alignment vertical="center"/>
    </xf>
    <xf numFmtId="0" fontId="51" fillId="13" borderId="0" applyProtection="1">
      <protection locked="1" hidden="1"/>
    </xf>
    <xf numFmtId="1" fontId="68" fillId="0" borderId="0" applyAlignment="1" applyProtection="1">
      <alignment horizontal="right" wrapText="1"/>
      <protection locked="0" hidden="0"/>
    </xf>
    <xf numFmtId="196" fontId="69" fillId="0" borderId="0" applyAlignment="1" applyProtection="1">
      <alignment horizontal="right"/>
      <protection locked="0" hidden="0"/>
    </xf>
    <xf numFmtId="1" fontId="68" fillId="0" borderId="0" applyAlignment="1" applyProtection="1">
      <alignment horizontal="right" wrapText="1"/>
      <protection locked="0" hidden="0"/>
    </xf>
    <xf numFmtId="0" fontId="70" fillId="0" borderId="0" applyProtection="1">
      <protection locked="0" hidden="0"/>
    </xf>
    <xf numFmtId="196" fontId="50" fillId="0" borderId="0" applyProtection="1">
      <protection locked="0" hidden="0"/>
    </xf>
    <xf numFmtId="197" fontId="71" fillId="0" borderId="0"/>
    <xf numFmtId="0" fontId="62" fillId="0" borderId="3"/>
    <xf numFmtId="0" fontId="62" fillId="0" borderId="4"/>
    <xf numFmtId="0" fontId="9" fillId="0" borderId="0"/>
    <xf numFmtId="0" fontId="9" fillId="0" borderId="0"/>
    <xf numFmtId="0" fontId="55" fillId="0" borderId="0"/>
    <xf numFmtId="38" fontId="72" fillId="14" borderId="5" applyAlignment="1">
      <alignment horizontal="right"/>
    </xf>
    <xf numFmtId="9" fontId="40" fillId="0" borderId="0"/>
    <xf numFmtId="3" fontId="40" fillId="0" borderId="0"/>
    <xf numFmtId="172" fontId="73" fillId="0" borderId="0"/>
    <xf numFmtId="0" fontId="74" fillId="0" borderId="0"/>
    <xf numFmtId="1" fontId="75" fillId="0" borderId="0" applyProtection="1">
      <protection locked="0" hidden="0"/>
    </xf>
    <xf numFmtId="0" fontId="64" fillId="15" borderId="209"/>
    <xf numFmtId="0" fontId="29" fillId="0" borderId="7"/>
    <xf numFmtId="0" fontId="76" fillId="14" borderId="0" applyAlignment="1" applyProtection="1">
      <alignment horizontal="left"/>
      <protection locked="0" hidden="0"/>
    </xf>
    <xf numFmtId="0" fontId="40" fillId="0" borderId="0" applyAlignment="1" applyProtection="1">
      <alignment horizontal="center" wrapText="1"/>
      <protection locked="1" hidden="1"/>
    </xf>
    <xf numFmtId="0" fontId="13" fillId="0" borderId="0"/>
    <xf numFmtId="40" fontId="8" fillId="0" borderId="0"/>
    <xf numFmtId="198" fontId="9" fillId="0" borderId="0"/>
    <xf numFmtId="198" fontId="9" fillId="0" borderId="0"/>
    <xf numFmtId="198" fontId="9" fillId="0" borderId="0"/>
    <xf numFmtId="198" fontId="9" fillId="0" borderId="0"/>
    <xf numFmtId="198" fontId="9" fillId="0" borderId="0"/>
    <xf numFmtId="198" fontId="9" fillId="0" borderId="0"/>
    <xf numFmtId="198" fontId="9" fillId="0" borderId="0"/>
    <xf numFmtId="198" fontId="9" fillId="0" borderId="0"/>
    <xf numFmtId="38" fontId="40" fillId="0" borderId="0"/>
    <xf numFmtId="43" fontId="6" fillId="0" borderId="0"/>
    <xf numFmtId="43" fontId="77" fillId="0" borderId="0"/>
    <xf numFmtId="43" fontId="9" fillId="0" borderId="0"/>
    <xf numFmtId="43" fontId="9" fillId="0" borderId="0"/>
    <xf numFmtId="199" fontId="9" fillId="0" borderId="0"/>
    <xf numFmtId="173" fontId="8" fillId="0" borderId="0"/>
    <xf numFmtId="43" fontId="15" fillId="0" borderId="0" applyAlignment="1">
      <alignment vertical="center"/>
    </xf>
    <xf numFmtId="3" fontId="78" fillId="0" borderId="0"/>
    <xf numFmtId="0" fontId="79" fillId="0" borderId="0"/>
    <xf numFmtId="0" fontId="61" fillId="0" borderId="0"/>
    <xf numFmtId="0" fontId="79" fillId="0" borderId="0"/>
    <xf numFmtId="0" fontId="61" fillId="0" borderId="0"/>
    <xf numFmtId="0" fontId="39" fillId="16" borderId="0" applyAlignment="1">
      <alignment horizontal="center" vertical="center" wrapText="1"/>
    </xf>
    <xf numFmtId="3" fontId="80" fillId="17" borderId="0"/>
    <xf numFmtId="3" fontId="80" fillId="17" borderId="0"/>
    <xf numFmtId="3" fontId="80" fillId="17" borderId="0"/>
    <xf numFmtId="0" fontId="81" fillId="0" borderId="0" applyAlignment="1">
      <alignment horizontal="left"/>
    </xf>
    <xf numFmtId="0" fontId="14" fillId="0" borderId="0"/>
    <xf numFmtId="200" fontId="40" fillId="0" borderId="0" applyAlignment="1" applyProtection="1">
      <alignment horizontal="right"/>
      <protection locked="0" hidden="0"/>
    </xf>
    <xf numFmtId="195" fontId="10" fillId="0" borderId="0"/>
    <xf numFmtId="201" fontId="78" fillId="0" borderId="0"/>
    <xf numFmtId="202" fontId="9" fillId="0" borderId="0"/>
    <xf numFmtId="203" fontId="82" fillId="0" borderId="0"/>
    <xf numFmtId="0" fontId="40" fillId="0" borderId="0" applyProtection="1">
      <protection locked="0" hidden="0"/>
    </xf>
    <xf numFmtId="3" fontId="82" fillId="18" borderId="8"/>
    <xf numFmtId="3" fontId="82" fillId="18" borderId="8"/>
    <xf numFmtId="0" fontId="83" fillId="13" borderId="0" applyProtection="1">
      <protection locked="0" hidden="0"/>
    </xf>
    <xf numFmtId="204" fontId="9" fillId="0" borderId="0" applyAlignment="1">
      <alignment horizontal="center"/>
    </xf>
    <xf numFmtId="17" fontId="85" fillId="0" borderId="230"/>
    <xf numFmtId="205" fontId="9" fillId="0" borderId="0"/>
    <xf numFmtId="206" fontId="9" fillId="0" borderId="0"/>
    <xf numFmtId="14" fontId="40" fillId="0" borderId="0"/>
    <xf numFmtId="172" fontId="29" fillId="0" borderId="0"/>
    <xf numFmtId="172" fontId="29" fillId="0" borderId="0"/>
    <xf numFmtId="172" fontId="29" fillId="0" borderId="0"/>
    <xf numFmtId="2" fontId="72" fillId="20" borderId="0" applyAlignment="1" applyProtection="1">
      <alignment horizontal="left"/>
      <protection locked="1" hidden="1"/>
    </xf>
    <xf numFmtId="207" fontId="9" fillId="0" borderId="0"/>
    <xf numFmtId="0" fontId="86" fillId="0" borderId="0" applyProtection="1">
      <protection locked="0" hidden="0"/>
    </xf>
    <xf numFmtId="165" fontId="87" fillId="0" borderId="0"/>
    <xf numFmtId="208" fontId="88" fillId="0" borderId="0"/>
    <xf numFmtId="209" fontId="88" fillId="0" borderId="0"/>
    <xf numFmtId="0" fontId="89" fillId="0" borderId="0" applyProtection="1">
      <protection locked="0" hidden="0"/>
    </xf>
    <xf numFmtId="0" fontId="89" fillId="0" borderId="0" applyProtection="1">
      <protection locked="0" hidden="0"/>
    </xf>
    <xf numFmtId="0" fontId="90" fillId="0" borderId="0" applyAlignment="1">
      <alignment horizontal="left"/>
    </xf>
    <xf numFmtId="210" fontId="9" fillId="0" borderId="0"/>
    <xf numFmtId="0" fontId="86" fillId="0" borderId="0" applyProtection="1">
      <protection locked="0" hidden="0"/>
    </xf>
    <xf numFmtId="0" fontId="86" fillId="0" borderId="0" applyProtection="1">
      <protection locked="0" hidden="0"/>
    </xf>
    <xf numFmtId="0" fontId="86" fillId="0" borderId="0" applyProtection="1">
      <protection locked="0" hidden="0"/>
    </xf>
    <xf numFmtId="0" fontId="86" fillId="0" borderId="0" applyProtection="1">
      <protection locked="0" hidden="0"/>
    </xf>
    <xf numFmtId="0" fontId="86" fillId="0" borderId="0" applyProtection="1">
      <protection locked="0" hidden="0"/>
    </xf>
    <xf numFmtId="0" fontId="86" fillId="0" borderId="0" applyProtection="1">
      <protection locked="0" hidden="0"/>
    </xf>
    <xf numFmtId="0" fontId="86" fillId="0" borderId="0" applyProtection="1">
      <protection locked="0" hidden="0"/>
    </xf>
    <xf numFmtId="0" fontId="40" fillId="0" borderId="0"/>
    <xf numFmtId="0" fontId="86" fillId="0" borderId="0" applyProtection="1">
      <protection locked="0" hidden="0"/>
    </xf>
    <xf numFmtId="43" fontId="9" fillId="0" borderId="0"/>
    <xf numFmtId="211" fontId="9" fillId="0" borderId="0"/>
    <xf numFmtId="0" fontId="86" fillId="0" borderId="0" applyProtection="1">
      <protection locked="0" hidden="0"/>
    </xf>
    <xf numFmtId="212" fontId="82" fillId="0" borderId="0"/>
    <xf numFmtId="0" fontId="91" fillId="0" borderId="0"/>
    <xf numFmtId="213" fontId="64" fillId="0" borderId="0"/>
    <xf numFmtId="214" fontId="66" fillId="0" borderId="0" applyProtection="1">
      <protection locked="0" hidden="0"/>
    </xf>
    <xf numFmtId="13" fontId="66" fillId="0" borderId="0" applyProtection="1">
      <protection locked="0" hidden="0"/>
    </xf>
    <xf numFmtId="0" fontId="92" fillId="0" borderId="10" applyAlignment="1">
      <alignment horizontal="center"/>
    </xf>
    <xf numFmtId="175" fontId="93" fillId="5" borderId="11" applyProtection="1">
      <protection locked="0" hidden="0"/>
    </xf>
    <xf numFmtId="38" fontId="29" fillId="21" borderId="0"/>
    <xf numFmtId="165" fontId="94" fillId="0" borderId="0" applyAlignment="1" applyProtection="1">
      <alignment horizontal="right"/>
      <protection locked="0" hidden="0"/>
    </xf>
    <xf numFmtId="0" fontId="95" fillId="0" borderId="0"/>
    <xf numFmtId="0" fontId="96" fillId="0" borderId="0"/>
    <xf numFmtId="0" fontId="97" fillId="0" borderId="0"/>
    <xf numFmtId="0" fontId="98" fillId="0" borderId="3"/>
    <xf numFmtId="0" fontId="99" fillId="22" borderId="12"/>
    <xf numFmtId="0" fontId="41" fillId="0" borderId="13" applyAlignment="1">
      <alignment horizontal="left" vertical="center"/>
    </xf>
    <xf numFmtId="0" fontId="41" fillId="0" borderId="228" applyAlignment="1">
      <alignment horizontal="left" vertical="center"/>
    </xf>
    <xf numFmtId="0" fontId="100" fillId="0" borderId="0"/>
    <xf numFmtId="0" fontId="101" fillId="0" borderId="0"/>
    <xf numFmtId="0" fontId="46" fillId="0" borderId="0" applyAlignment="1" applyProtection="1">
      <alignment vertical="top"/>
      <protection locked="0" hidden="0"/>
    </xf>
    <xf numFmtId="0" fontId="102" fillId="0" borderId="0" applyAlignment="1" applyProtection="1">
      <alignment vertical="top"/>
      <protection locked="0" hidden="0"/>
    </xf>
    <xf numFmtId="215" fontId="103" fillId="0" borderId="0"/>
    <xf numFmtId="216" fontId="104" fillId="0" borderId="0"/>
    <xf numFmtId="165" fontId="9" fillId="23" borderId="221"/>
    <xf numFmtId="10" fontId="29" fillId="24" borderId="221"/>
    <xf numFmtId="13" fontId="68" fillId="0" borderId="5" applyAlignment="1" applyProtection="1">
      <alignment horizontal="right" wrapText="1"/>
      <protection locked="0" hidden="0"/>
    </xf>
    <xf numFmtId="217" fontId="7" fillId="25" borderId="0"/>
    <xf numFmtId="211" fontId="9" fillId="26" borderId="0"/>
    <xf numFmtId="173" fontId="105" fillId="24" borderId="0" applyProtection="1">
      <protection locked="0" hidden="0"/>
    </xf>
    <xf numFmtId="0" fontId="9" fillId="27" borderId="0"/>
    <xf numFmtId="10" fontId="106" fillId="0" borderId="0" applyProtection="1">
      <protection locked="0" hidden="0"/>
    </xf>
    <xf numFmtId="218" fontId="29" fillId="23" borderId="0" applyProtection="1">
      <protection locked="0" hidden="0"/>
    </xf>
    <xf numFmtId="15" fontId="106" fillId="0" borderId="0" applyProtection="1">
      <protection locked="0" hidden="0"/>
    </xf>
    <xf numFmtId="2" fontId="106" fillId="0" borderId="7" applyProtection="1">
      <protection locked="0" hidden="0"/>
    </xf>
    <xf numFmtId="0" fontId="107" fillId="23" borderId="0" applyAlignment="1" applyProtection="1">
      <alignment horizontal="left"/>
      <protection locked="0" hidden="0"/>
    </xf>
    <xf numFmtId="10" fontId="107" fillId="23" borderId="0" applyAlignment="1" applyProtection="1">
      <alignment horizontal="left"/>
      <protection locked="0" hidden="0"/>
    </xf>
    <xf numFmtId="0" fontId="9" fillId="0" borderId="0"/>
    <xf numFmtId="0" fontId="106" fillId="0" borderId="0" applyProtection="1">
      <protection locked="0" hidden="0"/>
    </xf>
    <xf numFmtId="0" fontId="9" fillId="0" borderId="0" applyAlignment="1" applyProtection="1">
      <alignment horizontal="right"/>
      <protection locked="0" hidden="0"/>
    </xf>
    <xf numFmtId="0" fontId="108" fillId="0" borderId="0"/>
    <xf numFmtId="219" fontId="40" fillId="0" borderId="0" applyAlignment="1" applyProtection="1">
      <alignment horizontal="right"/>
      <protection locked="0" hidden="0"/>
    </xf>
    <xf numFmtId="0" fontId="43" fillId="28" borderId="202" applyAlignment="1">
      <alignment horizontal="left" vertical="center" wrapText="1"/>
    </xf>
    <xf numFmtId="15" fontId="9" fillId="0" borderId="0"/>
    <xf numFmtId="193" fontId="103" fillId="0" borderId="0"/>
    <xf numFmtId="172" fontId="7" fillId="0" borderId="0" applyAlignment="1">
      <alignment horizontal="left"/>
    </xf>
    <xf numFmtId="212" fontId="7" fillId="0" borderId="0"/>
    <xf numFmtId="220" fontId="51" fillId="29" borderId="203"/>
    <xf numFmtId="217" fontId="7" fillId="30" borderId="0"/>
    <xf numFmtId="0" fontId="9" fillId="0" borderId="0"/>
    <xf numFmtId="4" fontId="109" fillId="0" borderId="0"/>
    <xf numFmtId="0" fontId="9" fillId="0" borderId="0"/>
    <xf numFmtId="42" fontId="9" fillId="0" borderId="0"/>
    <xf numFmtId="195" fontId="9" fillId="0" borderId="0"/>
    <xf numFmtId="0" fontId="9" fillId="0" borderId="0"/>
    <xf numFmtId="0" fontId="9" fillId="0" borderId="0"/>
    <xf numFmtId="221" fontId="7" fillId="0" borderId="0"/>
    <xf numFmtId="222" fontId="7" fillId="0" borderId="0"/>
    <xf numFmtId="0" fontId="86" fillId="0" borderId="0" applyProtection="1">
      <protection locked="0" hidden="0"/>
    </xf>
    <xf numFmtId="223" fontId="110" fillId="0" borderId="0" applyAlignment="1">
      <alignment horizontal="right"/>
    </xf>
    <xf numFmtId="37" fontId="111" fillId="0" borderId="0"/>
    <xf numFmtId="37" fontId="29" fillId="0" borderId="0"/>
    <xf numFmtId="37" fontId="29" fillId="0" borderId="0"/>
    <xf numFmtId="37" fontId="29" fillId="0" borderId="0"/>
    <xf numFmtId="0" fontId="14" fillId="0" borderId="0"/>
    <xf numFmtId="224" fontId="1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166" fillId="0" borderId="0"/>
    <xf numFmtId="0" fontId="44" fillId="0" borderId="0"/>
    <xf numFmtId="49" fontId="113" fillId="0" borderId="0" applyAlignment="1">
      <alignment horizontal="left"/>
    </xf>
    <xf numFmtId="0" fontId="7" fillId="0" borderId="0"/>
    <xf numFmtId="172" fontId="114" fillId="0" borderId="0" applyAlignment="1" applyProtection="1">
      <alignment horizontal="left"/>
      <protection locked="0" hidden="0"/>
    </xf>
    <xf numFmtId="172" fontId="95" fillId="0" borderId="0" applyAlignment="1" applyProtection="1">
      <alignment horizontal="left"/>
      <protection locked="0" hidden="0"/>
    </xf>
    <xf numFmtId="0" fontId="115" fillId="0" borderId="7"/>
    <xf numFmtId="225" fontId="45" fillId="0" borderId="0"/>
    <xf numFmtId="172" fontId="116" fillId="0" borderId="0"/>
    <xf numFmtId="43" fontId="9" fillId="0" borderId="0"/>
    <xf numFmtId="41" fontId="9" fillId="0" borderId="0"/>
    <xf numFmtId="226" fontId="89" fillId="0" borderId="0" applyProtection="1">
      <protection locked="0" hidden="0"/>
    </xf>
    <xf numFmtId="0" fontId="9" fillId="0" borderId="0" applyAlignment="1">
      <alignment horizontal="centerContinuous"/>
    </xf>
    <xf numFmtId="0" fontId="117" fillId="0" borderId="0" applyAlignment="1">
      <alignment horizontal="left"/>
    </xf>
    <xf numFmtId="0" fontId="117" fillId="0" borderId="0" applyAlignment="1">
      <alignment horizontal="left"/>
    </xf>
    <xf numFmtId="0" fontId="118" fillId="0" borderId="0" applyAlignment="1">
      <alignment horizontal="left"/>
    </xf>
    <xf numFmtId="0" fontId="9" fillId="0" borderId="0" applyAlignment="1">
      <alignment horizontal="centerContinuous"/>
    </xf>
    <xf numFmtId="165" fontId="119" fillId="0" borderId="0" applyAlignment="1">
      <alignment vertical="top"/>
    </xf>
    <xf numFmtId="14" fontId="62" fillId="0" borderId="0" applyAlignment="1" applyProtection="1">
      <alignment horizontal="center" wrapText="1"/>
      <protection locked="0" hidden="0"/>
    </xf>
    <xf numFmtId="9" fontId="8" fillId="0" borderId="0"/>
    <xf numFmtId="9" fontId="9" fillId="0" borderId="0"/>
    <xf numFmtId="165" fontId="9" fillId="0" borderId="0"/>
    <xf numFmtId="10" fontId="9" fillId="0" borderId="0"/>
    <xf numFmtId="9" fontId="6" fillId="0" borderId="0"/>
    <xf numFmtId="9" fontId="77" fillId="0" borderId="0"/>
    <xf numFmtId="9" fontId="9" fillId="0" borderId="0"/>
    <xf numFmtId="9" fontId="9" fillId="0" borderId="0"/>
    <xf numFmtId="227" fontId="62" fillId="0" borderId="0" applyAlignment="1">
      <alignment horizontal="right"/>
    </xf>
    <xf numFmtId="9" fontId="40" fillId="0" borderId="210"/>
    <xf numFmtId="228" fontId="40" fillId="0" borderId="0" applyAlignment="1" applyProtection="1">
      <alignment horizontal="right"/>
      <protection locked="0" hidden="0"/>
    </xf>
    <xf numFmtId="229" fontId="82" fillId="0" borderId="0"/>
    <xf numFmtId="2" fontId="9" fillId="0" borderId="0"/>
    <xf numFmtId="0" fontId="86" fillId="0" borderId="0" applyProtection="1">
      <protection locked="0" hidden="0"/>
    </xf>
    <xf numFmtId="9" fontId="9" fillId="0" borderId="0"/>
    <xf numFmtId="230" fontId="120" fillId="0" borderId="0"/>
    <xf numFmtId="0" fontId="9" fillId="0" borderId="19"/>
    <xf numFmtId="38" fontId="121" fillId="0" borderId="0"/>
    <xf numFmtId="9" fontId="40" fillId="0" borderId="0"/>
    <xf numFmtId="0" fontId="40" fillId="0" borderId="0" applyAlignment="1">
      <alignment horizontal="left"/>
    </xf>
    <xf numFmtId="15" fontId="40" fillId="0" borderId="0"/>
    <xf numFmtId="4" fontId="40" fillId="0" borderId="0"/>
    <xf numFmtId="0" fontId="43" fillId="0" borderId="3" applyAlignment="1">
      <alignment horizontal="center"/>
    </xf>
    <xf numFmtId="3" fontId="40" fillId="0" borderId="0"/>
    <xf numFmtId="0" fontId="40" fillId="15" borderId="0"/>
    <xf numFmtId="1" fontId="9" fillId="0" borderId="7" applyAlignment="1">
      <alignment horizontal="center" vertical="center"/>
    </xf>
    <xf numFmtId="231" fontId="103" fillId="0" borderId="0"/>
    <xf numFmtId="232" fontId="40" fillId="0" borderId="0" applyAlignment="1" applyProtection="1">
      <alignment horizontal="right"/>
      <protection locked="0" hidden="0"/>
    </xf>
    <xf numFmtId="233" fontId="40" fillId="0" borderId="0" applyAlignment="1" applyProtection="1">
      <alignment horizontal="right"/>
      <protection locked="0" hidden="0"/>
    </xf>
    <xf numFmtId="0" fontId="122" fillId="0" borderId="1" applyAlignment="1">
      <alignment horizontal="right"/>
    </xf>
    <xf numFmtId="0" fontId="123" fillId="0" borderId="0" applyProtection="1">
      <protection locked="0" hidden="0"/>
    </xf>
    <xf numFmtId="172" fontId="73" fillId="0" borderId="13" applyAlignment="1">
      <alignment horizontal="right" vertical="center"/>
    </xf>
    <xf numFmtId="176" fontId="7" fillId="0" borderId="0" applyAlignment="1">
      <alignment horizontal="left"/>
    </xf>
    <xf numFmtId="0" fontId="124" fillId="0" borderId="0" applyAlignment="1">
      <alignment horizontal="right" vertical="center"/>
    </xf>
    <xf numFmtId="38" fontId="82" fillId="0" borderId="0"/>
    <xf numFmtId="0" fontId="9" fillId="0" borderId="0"/>
    <xf numFmtId="193" fontId="125" fillId="0" borderId="0"/>
    <xf numFmtId="234" fontId="106" fillId="0" borderId="0" applyAlignment="1" applyProtection="1">
      <alignment horizontal="right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41" fontId="9" fillId="0" borderId="0"/>
    <xf numFmtId="43" fontId="9" fillId="0" borderId="0"/>
    <xf numFmtId="3" fontId="82" fillId="28" borderId="5"/>
    <xf numFmtId="3" fontId="82" fillId="28" borderId="5"/>
    <xf numFmtId="0" fontId="82" fillId="28" borderId="0"/>
    <xf numFmtId="0" fontId="82" fillId="28" borderId="0"/>
    <xf numFmtId="0" fontId="82" fillId="28" borderId="0"/>
    <xf numFmtId="0" fontId="61" fillId="31" borderId="0"/>
    <xf numFmtId="235" fontId="40" fillId="0" borderId="0" applyProtection="1">
      <protection locked="0" hidden="0"/>
    </xf>
    <xf numFmtId="0" fontId="14" fillId="0" borderId="0" applyAlignment="1">
      <alignment vertical="center"/>
    </xf>
    <xf numFmtId="40" fontId="126" fillId="0" borderId="0" applyAlignment="1">
      <alignment horizontal="right"/>
    </xf>
    <xf numFmtId="218" fontId="29" fillId="0" borderId="0" applyProtection="1">
      <protection locked="0" hidden="0"/>
    </xf>
    <xf numFmtId="0" fontId="77" fillId="0" borderId="0"/>
    <xf numFmtId="0" fontId="127" fillId="0" borderId="201"/>
    <xf numFmtId="0" fontId="128" fillId="0" borderId="1" applyAlignment="1">
      <alignment horizontal="center"/>
    </xf>
    <xf numFmtId="3" fontId="9" fillId="0" borderId="221" applyAlignment="1">
      <alignment vertical="center"/>
    </xf>
    <xf numFmtId="0" fontId="54" fillId="0" borderId="0" applyAlignment="1">
      <alignment horizontal="center" vertical="center"/>
    </xf>
    <xf numFmtId="0" fontId="54" fillId="0" borderId="0"/>
    <xf numFmtId="0" fontId="44" fillId="0" borderId="0" applyAlignment="1">
      <alignment horizontal="left"/>
    </xf>
    <xf numFmtId="0" fontId="71" fillId="0" borderId="0" applyAlignment="1">
      <alignment horizontal="left" vertical="top"/>
    </xf>
    <xf numFmtId="0" fontId="129" fillId="0" borderId="0" applyAlignment="1">
      <alignment horizontal="center" vertical="center"/>
    </xf>
    <xf numFmtId="0" fontId="130" fillId="0" borderId="0" applyAlignment="1">
      <alignment vertical="top"/>
    </xf>
    <xf numFmtId="0" fontId="131" fillId="0" borderId="0" applyAlignment="1">
      <alignment vertical="center"/>
    </xf>
    <xf numFmtId="0" fontId="95" fillId="0" borderId="0"/>
    <xf numFmtId="176" fontId="48" fillId="23" borderId="0"/>
    <xf numFmtId="236" fontId="64" fillId="0" borderId="0" applyAlignment="1">
      <alignment horizontal="right"/>
    </xf>
    <xf numFmtId="179" fontId="132" fillId="0" borderId="0" applyAlignment="1">
      <alignment horizontal="right" vertical="center"/>
    </xf>
    <xf numFmtId="0" fontId="133" fillId="1" borderId="0" applyAlignment="1">
      <alignment horizontal="left" vertical="center"/>
    </xf>
    <xf numFmtId="0" fontId="40" fillId="0" borderId="0"/>
    <xf numFmtId="0" fontId="54" fillId="0" borderId="228" applyAlignment="1">
      <alignment horizontal="center" wrapText="1"/>
    </xf>
    <xf numFmtId="4" fontId="61" fillId="0" borderId="0"/>
    <xf numFmtId="237" fontId="29" fillId="0" borderId="0" applyAlignment="1">
      <alignment horizontal="right"/>
    </xf>
    <xf numFmtId="20" fontId="40" fillId="0" borderId="0"/>
    <xf numFmtId="3" fontId="82" fillId="5" borderId="0"/>
    <xf numFmtId="3" fontId="82" fillId="5" borderId="0"/>
    <xf numFmtId="3" fontId="82" fillId="0" borderId="0" applyAlignment="1">
      <alignment horizontal="center"/>
    </xf>
    <xf numFmtId="3" fontId="82" fillId="0" borderId="0" applyAlignment="1">
      <alignment horizontal="center"/>
    </xf>
    <xf numFmtId="0" fontId="82" fillId="0" borderId="0"/>
    <xf numFmtId="0" fontId="82" fillId="0" borderId="0"/>
    <xf numFmtId="0" fontId="14" fillId="0" borderId="0"/>
    <xf numFmtId="173" fontId="29" fillId="24" borderId="5" applyAlignment="1">
      <alignment horizontal="right"/>
    </xf>
    <xf numFmtId="173" fontId="64" fillId="24" borderId="5"/>
    <xf numFmtId="0" fontId="40" fillId="0" borderId="0"/>
    <xf numFmtId="17" fontId="40" fillId="0" borderId="0" applyAlignment="1" applyProtection="1">
      <alignment horizontal="left"/>
      <protection locked="0" hidden="0"/>
    </xf>
    <xf numFmtId="17" fontId="40" fillId="0" borderId="0" applyAlignment="1" applyProtection="1">
      <alignment horizontal="left"/>
      <protection locked="0" hidden="0"/>
    </xf>
    <xf numFmtId="17" fontId="40" fillId="0" borderId="0" applyAlignment="1" applyProtection="1">
      <alignment horizontal="left"/>
      <protection locked="0" hidden="0"/>
    </xf>
    <xf numFmtId="0" fontId="61" fillId="0" borderId="0"/>
    <xf numFmtId="182" fontId="7" fillId="0" borderId="0"/>
    <xf numFmtId="37" fontId="7" fillId="0" borderId="0"/>
    <xf numFmtId="238" fontId="9" fillId="0" borderId="0"/>
    <xf numFmtId="0" fontId="57" fillId="0" borderId="20"/>
    <xf numFmtId="0" fontId="134" fillId="0" borderId="201"/>
    <xf numFmtId="0" fontId="135" fillId="0" borderId="201"/>
    <xf numFmtId="0" fontId="136" fillId="0" borderId="201"/>
    <xf numFmtId="215" fontId="103" fillId="0" borderId="0"/>
    <xf numFmtId="239" fontId="62" fillId="0" borderId="0" applyAlignment="1">
      <alignment horizontal="right"/>
    </xf>
    <xf numFmtId="240" fontId="29" fillId="23" borderId="0"/>
    <xf numFmtId="0" fontId="66" fillId="28" borderId="0"/>
    <xf numFmtId="0" fontId="62" fillId="0" borderId="0" applyAlignment="1" applyProtection="1">
      <alignment horizontal="right"/>
      <protection locked="1" hidden="1"/>
    </xf>
    <xf numFmtId="0" fontId="137" fillId="0" borderId="0" applyAlignment="1" applyProtection="1">
      <alignment vertical="top"/>
      <protection locked="0" hidden="0"/>
    </xf>
    <xf numFmtId="40" fontId="138" fillId="0" borderId="0"/>
    <xf numFmtId="38" fontId="138" fillId="0" borderId="0"/>
    <xf numFmtId="0" fontId="9" fillId="0" borderId="0"/>
    <xf numFmtId="0" fontId="9" fillId="0" borderId="0"/>
    <xf numFmtId="0" fontId="138" fillId="0" borderId="0"/>
    <xf numFmtId="0" fontId="138" fillId="0" borderId="0"/>
    <xf numFmtId="0" fontId="9" fillId="0" borderId="0"/>
    <xf numFmtId="0" fontId="55" fillId="0" borderId="0"/>
    <xf numFmtId="41" fontId="139" fillId="0" borderId="0"/>
    <xf numFmtId="0" fontId="140" fillId="0" borderId="21"/>
    <xf numFmtId="4" fontId="141" fillId="0" borderId="0"/>
    <xf numFmtId="3" fontId="141" fillId="0" borderId="0"/>
    <xf numFmtId="0" fontId="9" fillId="0" borderId="0"/>
    <xf numFmtId="231" fontId="125" fillId="0" borderId="0"/>
    <xf numFmtId="0" fontId="103" fillId="0" borderId="0"/>
    <xf numFmtId="0" fontId="103" fillId="0" borderId="0"/>
    <xf numFmtId="0" fontId="103" fillId="0" borderId="0"/>
    <xf numFmtId="9" fontId="141" fillId="0" borderId="0"/>
    <xf numFmtId="0" fontId="103" fillId="0" borderId="0"/>
    <xf numFmtId="0" fontId="142" fillId="0" borderId="0" applyAlignment="1" applyProtection="1">
      <alignment vertical="top"/>
      <protection locked="0" hidden="0"/>
    </xf>
    <xf numFmtId="0" fontId="141" fillId="0" borderId="0"/>
    <xf numFmtId="0" fontId="141" fillId="0" borderId="0"/>
    <xf numFmtId="43" fontId="143" fillId="0" borderId="0"/>
    <xf numFmtId="0" fontId="146" fillId="8" borderId="0" applyAlignment="1">
      <alignment vertical="center"/>
    </xf>
    <xf numFmtId="0" fontId="147" fillId="32" borderId="0" applyAlignment="1">
      <alignment vertical="center"/>
    </xf>
    <xf numFmtId="0" fontId="53" fillId="0" borderId="0"/>
    <xf numFmtId="0" fontId="59" fillId="33" borderId="0" applyAlignment="1">
      <alignment vertical="center"/>
    </xf>
    <xf numFmtId="0" fontId="59" fillId="2" borderId="0" applyAlignment="1">
      <alignment vertical="center"/>
    </xf>
    <xf numFmtId="0" fontId="59" fillId="18" borderId="0" applyAlignment="1">
      <alignment vertical="center"/>
    </xf>
    <xf numFmtId="0" fontId="59" fillId="34" borderId="0" applyAlignment="1">
      <alignment vertical="center"/>
    </xf>
    <xf numFmtId="0" fontId="59" fillId="33" borderId="0" applyAlignment="1">
      <alignment vertical="center"/>
    </xf>
    <xf numFmtId="0" fontId="59" fillId="35" borderId="0" applyAlignment="1">
      <alignment vertical="center"/>
    </xf>
    <xf numFmtId="0" fontId="148" fillId="0" borderId="0" applyAlignment="1">
      <alignment vertical="center"/>
    </xf>
    <xf numFmtId="0" fontId="149" fillId="0" borderId="22" applyAlignment="1">
      <alignment vertical="center"/>
    </xf>
    <xf numFmtId="0" fontId="150" fillId="0" borderId="23" applyAlignment="1">
      <alignment vertical="center"/>
    </xf>
    <xf numFmtId="0" fontId="151" fillId="0" borderId="24" applyAlignment="1">
      <alignment vertical="center"/>
    </xf>
    <xf numFmtId="0" fontId="151" fillId="0" borderId="0" applyAlignment="1">
      <alignment vertical="center"/>
    </xf>
    <xf numFmtId="0" fontId="9" fillId="0" borderId="0"/>
    <xf numFmtId="0" fontId="152" fillId="28" borderId="25" applyAlignment="1">
      <alignment vertical="center"/>
    </xf>
    <xf numFmtId="0" fontId="153" fillId="0" borderId="224" applyAlignment="1">
      <alignment vertical="center"/>
    </xf>
    <xf numFmtId="0" fontId="154" fillId="4" borderId="225" applyAlignment="1">
      <alignment vertical="center"/>
    </xf>
    <xf numFmtId="0" fontId="155" fillId="0" borderId="0" applyAlignment="1">
      <alignment vertical="center"/>
    </xf>
    <xf numFmtId="0" fontId="156" fillId="0" borderId="0" applyAlignment="1">
      <alignment vertical="center"/>
    </xf>
    <xf numFmtId="0" fontId="157" fillId="36" borderId="226" applyAlignment="1">
      <alignment vertical="center"/>
    </xf>
    <xf numFmtId="0" fontId="158" fillId="0" borderId="0" applyAlignment="1" applyProtection="1">
      <alignment vertical="top"/>
      <protection locked="0" hidden="0"/>
    </xf>
    <xf numFmtId="0" fontId="159" fillId="7" borderId="226" applyAlignment="1">
      <alignment vertical="center"/>
    </xf>
    <xf numFmtId="0" fontId="160" fillId="36" borderId="227" applyAlignment="1">
      <alignment vertical="center"/>
    </xf>
    <xf numFmtId="0" fontId="161" fillId="7" borderId="0" applyAlignment="1">
      <alignment vertical="center"/>
    </xf>
    <xf numFmtId="0" fontId="161" fillId="0" borderId="30" applyAlignment="1">
      <alignment vertical="center"/>
    </xf>
    <xf numFmtId="0" fontId="162" fillId="0" borderId="0" applyAlignment="1" applyProtection="1">
      <alignment vertical="top"/>
      <protection locked="0" hidden="0"/>
    </xf>
    <xf numFmtId="0" fontId="172" fillId="0" borderId="0"/>
    <xf numFmtId="0" fontId="173" fillId="0" borderId="33"/>
    <xf numFmtId="0" fontId="174" fillId="0" borderId="34"/>
    <xf numFmtId="0" fontId="175" fillId="0" borderId="35"/>
    <xf numFmtId="0" fontId="175" fillId="0" borderId="0"/>
    <xf numFmtId="0" fontId="176" fillId="44" borderId="0"/>
    <xf numFmtId="0" fontId="177" fillId="45" borderId="0"/>
    <xf numFmtId="0" fontId="178" fillId="46" borderId="0"/>
    <xf numFmtId="0" fontId="179" fillId="47" borderId="36"/>
    <xf numFmtId="0" fontId="180" fillId="48" borderId="37"/>
    <xf numFmtId="0" fontId="181" fillId="48" borderId="36"/>
    <xf numFmtId="0" fontId="182" fillId="0" borderId="38"/>
    <xf numFmtId="0" fontId="183" fillId="49" borderId="39"/>
    <xf numFmtId="0" fontId="184" fillId="0" borderId="0"/>
    <xf numFmtId="0" fontId="10" fillId="50" borderId="40"/>
    <xf numFmtId="0" fontId="185" fillId="0" borderId="0"/>
    <xf numFmtId="0" fontId="186" fillId="0" borderId="41"/>
    <xf numFmtId="0" fontId="9" fillId="0" borderId="0"/>
    <xf numFmtId="0" fontId="144" fillId="0" borderId="0"/>
    <xf numFmtId="0" fontId="77" fillId="0" borderId="0"/>
    <xf numFmtId="9" fontId="15" fillId="0" borderId="0"/>
    <xf numFmtId="0" fontId="43" fillId="0" borderId="0"/>
    <xf numFmtId="0" fontId="9" fillId="0" borderId="0"/>
    <xf numFmtId="230" fontId="145" fillId="0" borderId="0"/>
    <xf numFmtId="203" fontId="145" fillId="0" borderId="0"/>
    <xf numFmtId="165" fontId="145" fillId="0" borderId="0"/>
    <xf numFmtId="0" fontId="145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172" fontId="7" fillId="0" borderId="0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39" fontId="7" fillId="0" borderId="0"/>
    <xf numFmtId="212" fontId="145" fillId="0" borderId="0"/>
    <xf numFmtId="172" fontId="7" fillId="0" borderId="0"/>
    <xf numFmtId="2" fontId="145" fillId="0" borderId="0"/>
    <xf numFmtId="212" fontId="145" fillId="0" borderId="0"/>
    <xf numFmtId="0" fontId="191" fillId="0" borderId="0"/>
    <xf numFmtId="0" fontId="192" fillId="0" borderId="0"/>
    <xf numFmtId="241" fontId="191" fillId="0" borderId="0"/>
    <xf numFmtId="0" fontId="9" fillId="0" borderId="0"/>
    <xf numFmtId="0" fontId="191" fillId="0" borderId="0"/>
    <xf numFmtId="0" fontId="191" fillId="0" borderId="0"/>
    <xf numFmtId="0" fontId="9" fillId="0" borderId="0" applyProtection="1">
      <protection locked="0" hidden="0"/>
    </xf>
    <xf numFmtId="0" fontId="46" fillId="0" borderId="0" applyAlignment="1" applyProtection="1">
      <alignment vertical="top"/>
      <protection locked="0" hidden="0"/>
    </xf>
    <xf numFmtId="40" fontId="192" fillId="0" borderId="0"/>
    <xf numFmtId="38" fontId="192" fillId="0" borderId="0"/>
    <xf numFmtId="9" fontId="193" fillId="0" borderId="0"/>
    <xf numFmtId="0" fontId="19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2" fillId="0" borderId="0" applyAlignment="1" applyProtection="1">
      <alignment vertical="top"/>
      <protection locked="0" hidden="0"/>
    </xf>
    <xf numFmtId="0" fontId="195" fillId="0" borderId="0" applyAlignment="1" applyProtection="1">
      <alignment vertical="top"/>
      <protection locked="0" hidden="0"/>
    </xf>
    <xf numFmtId="0" fontId="196" fillId="0" borderId="0" applyAlignment="1" applyProtection="1">
      <alignment vertical="top"/>
      <protection locked="0" hidden="0"/>
    </xf>
    <xf numFmtId="49" fontId="7" fillId="0" borderId="0" applyAlignment="1">
      <alignment horizontal="left"/>
    </xf>
    <xf numFmtId="49" fontId="7" fillId="0" borderId="0" applyAlignment="1">
      <alignment horizontal="left"/>
    </xf>
    <xf numFmtId="49" fontId="7" fillId="0" borderId="0" applyAlignment="1">
      <alignment horizontal="left"/>
    </xf>
    <xf numFmtId="49" fontId="7" fillId="0" borderId="0" applyAlignment="1">
      <alignment horizontal="left"/>
    </xf>
    <xf numFmtId="49" fontId="7" fillId="0" borderId="0" applyAlignment="1">
      <alignment horizontal="left"/>
    </xf>
    <xf numFmtId="49" fontId="7" fillId="0" borderId="0" applyAlignment="1">
      <alignment horizontal="left"/>
    </xf>
    <xf numFmtId="49" fontId="7" fillId="0" borderId="0" applyAlignment="1">
      <alignment horizontal="left"/>
    </xf>
    <xf numFmtId="49" fontId="7" fillId="0" borderId="0" applyAlignment="1">
      <alignment horizontal="left"/>
    </xf>
    <xf numFmtId="0" fontId="19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1">
      <protection locked="0" hidden="0"/>
    </xf>
    <xf numFmtId="0" fontId="9" fillId="0" borderId="0"/>
    <xf numFmtId="0" fontId="145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128" fillId="0" borderId="0" applyAlignment="1" applyProtection="1">
      <alignment vertical="top"/>
      <protection locked="0" hidden="0"/>
    </xf>
    <xf numFmtId="0" fontId="9" fillId="0" borderId="0" applyProtection="1">
      <protection locked="0" hidden="0"/>
    </xf>
    <xf numFmtId="0" fontId="145" fillId="0" borderId="0" applyProtection="1">
      <protection locked="0" hidden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 applyAlignment="1">
      <alignment vertical="center"/>
    </xf>
    <xf numFmtId="0" fontId="40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8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/>
    <xf numFmtId="0" fontId="9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42" fontId="9" fillId="0" borderId="0"/>
    <xf numFmtId="39" fontId="9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61" fillId="0" borderId="0" applyProtection="1">
      <protection locked="0" hidden="0"/>
    </xf>
    <xf numFmtId="0" fontId="61" fillId="0" borderId="0" applyProtection="1">
      <protection locked="0" hidden="0"/>
    </xf>
    <xf numFmtId="0" fontId="61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128" fillId="0" borderId="0" applyAlignment="1" applyProtection="1">
      <alignment vertical="top"/>
      <protection locked="0" hidden="0"/>
    </xf>
    <xf numFmtId="0" fontId="9" fillId="0" borderId="0" applyProtection="1">
      <protection locked="0" hidden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 applyAlignment="1">
      <alignment vertical="center"/>
    </xf>
    <xf numFmtId="243" fontId="9" fillId="0" borderId="0"/>
    <xf numFmtId="244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/>
    <xf numFmtId="0" fontId="9" fillId="0" borderId="0"/>
    <xf numFmtId="245" fontId="9" fillId="0" borderId="0"/>
    <xf numFmtId="246" fontId="9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0" borderId="0"/>
    <xf numFmtId="0" fontId="9" fillId="0" borderId="0" applyProtection="1">
      <protection locked="0" hidden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1">
      <protection locked="0" hidden="0"/>
    </xf>
    <xf numFmtId="0" fontId="9" fillId="0" borderId="0"/>
    <xf numFmtId="0" fontId="61" fillId="0" borderId="0" applyProtection="1">
      <protection locked="0" hidden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14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128" fillId="0" borderId="0" applyAlignment="1" applyProtection="1">
      <alignment vertical="top"/>
      <protection locked="0" hidden="0"/>
    </xf>
    <xf numFmtId="0" fontId="61" fillId="0" borderId="0" applyProtection="1">
      <protection locked="0" hidden="0"/>
    </xf>
    <xf numFmtId="0" fontId="9" fillId="0" borderId="0"/>
    <xf numFmtId="0" fontId="9" fillId="0" borderId="0"/>
    <xf numFmtId="0" fontId="61" fillId="0" borderId="0" applyProtection="1">
      <protection locked="0" hidden="0"/>
    </xf>
    <xf numFmtId="0" fontId="145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61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61" fillId="0" borderId="0"/>
    <xf numFmtId="0" fontId="61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247" fontId="7" fillId="0" borderId="0" applyAlignment="1">
      <alignment horizontal="right"/>
    </xf>
    <xf numFmtId="247" fontId="7" fillId="0" borderId="0" applyAlignment="1">
      <alignment horizontal="right"/>
    </xf>
    <xf numFmtId="248" fontId="7" fillId="0" borderId="0" applyAlignment="1">
      <alignment horizontal="right"/>
    </xf>
    <xf numFmtId="248" fontId="7" fillId="0" borderId="0" applyAlignment="1">
      <alignment horizontal="right"/>
    </xf>
    <xf numFmtId="249" fontId="198" fillId="0" borderId="0" applyAlignment="1">
      <alignment horizontal="center"/>
    </xf>
    <xf numFmtId="249" fontId="198" fillId="0" borderId="0" applyAlignment="1">
      <alignment horizontal="center"/>
    </xf>
    <xf numFmtId="250" fontId="198" fillId="0" borderId="0" applyAlignment="1">
      <alignment horizontal="center"/>
    </xf>
    <xf numFmtId="250" fontId="198" fillId="0" borderId="0" applyAlignment="1">
      <alignment horizontal="center"/>
    </xf>
    <xf numFmtId="251" fontId="199" fillId="0" borderId="0" applyAlignment="1">
      <alignment horizontal="right"/>
    </xf>
    <xf numFmtId="251" fontId="199" fillId="0" borderId="0" applyAlignment="1">
      <alignment horizontal="right"/>
    </xf>
    <xf numFmtId="252" fontId="7" fillId="0" borderId="0" applyAlignment="1">
      <alignment horizontal="right"/>
    </xf>
    <xf numFmtId="252" fontId="7" fillId="0" borderId="0" applyAlignment="1">
      <alignment horizontal="right"/>
    </xf>
    <xf numFmtId="253" fontId="7" fillId="0" borderId="0" applyAlignment="1">
      <alignment horizontal="right"/>
    </xf>
    <xf numFmtId="253" fontId="7" fillId="0" borderId="0" applyAlignment="1">
      <alignment horizontal="right"/>
    </xf>
    <xf numFmtId="254" fontId="7" fillId="0" borderId="0" applyAlignment="1">
      <alignment horizontal="right"/>
    </xf>
    <xf numFmtId="254" fontId="7" fillId="0" borderId="0" applyAlignment="1">
      <alignment horizontal="right"/>
    </xf>
    <xf numFmtId="255" fontId="7" fillId="0" borderId="0" applyAlignment="1">
      <alignment horizontal="right"/>
    </xf>
    <xf numFmtId="255" fontId="7" fillId="0" borderId="0" applyAlignment="1">
      <alignment horizontal="right"/>
    </xf>
    <xf numFmtId="43" fontId="41" fillId="19" borderId="205"/>
    <xf numFmtId="43" fontId="41" fillId="19" borderId="205"/>
    <xf numFmtId="43" fontId="41" fillId="19" borderId="205"/>
    <xf numFmtId="43" fontId="41" fillId="19" borderId="205"/>
    <xf numFmtId="43" fontId="41" fillId="19" borderId="205"/>
    <xf numFmtId="256" fontId="9" fillId="0" borderId="0"/>
    <xf numFmtId="0" fontId="145" fillId="0" borderId="0"/>
    <xf numFmtId="257" fontId="9" fillId="0" borderId="0"/>
    <xf numFmtId="0" fontId="200" fillId="0" borderId="0" applyAlignment="1" applyProtection="1">
      <alignment vertical="top"/>
      <protection locked="0" hidden="0"/>
    </xf>
    <xf numFmtId="0" fontId="145" fillId="0" borderId="0" applyProtection="1">
      <protection locked="0" hidden="0"/>
    </xf>
    <xf numFmtId="258" fontId="201" fillId="0" borderId="0"/>
    <xf numFmtId="259" fontId="201" fillId="0" borderId="0"/>
    <xf numFmtId="0" fontId="6" fillId="0" borderId="0"/>
    <xf numFmtId="0" fontId="6" fillId="0" borderId="0"/>
    <xf numFmtId="0" fontId="46" fillId="0" borderId="0" applyAlignment="1" applyProtection="1">
      <alignment vertical="top"/>
      <protection locked="0" hidden="0"/>
    </xf>
    <xf numFmtId="49" fontId="41" fillId="19" borderId="0" applyAlignment="1">
      <alignment horizontal="right"/>
    </xf>
    <xf numFmtId="49" fontId="202" fillId="19" borderId="0" applyAlignment="1">
      <alignment horizontal="right"/>
    </xf>
    <xf numFmtId="3" fontId="7" fillId="0" borderId="0"/>
    <xf numFmtId="9" fontId="29" fillId="0" borderId="0"/>
    <xf numFmtId="0" fontId="145" fillId="0" borderId="0"/>
    <xf numFmtId="186" fontId="56" fillId="0" borderId="1" applyAlignment="1">
      <alignment horizontal="right"/>
    </xf>
    <xf numFmtId="186" fontId="56" fillId="0" borderId="1" applyAlignment="1">
      <alignment horizontal="right"/>
    </xf>
    <xf numFmtId="186" fontId="56" fillId="0" borderId="1" applyAlignment="1">
      <alignment horizontal="right"/>
    </xf>
    <xf numFmtId="186" fontId="56" fillId="0" borderId="1" applyAlignment="1">
      <alignment horizontal="right"/>
    </xf>
    <xf numFmtId="2" fontId="56" fillId="0" borderId="1" applyAlignment="1">
      <alignment horizontal="right"/>
    </xf>
    <xf numFmtId="2" fontId="56" fillId="0" borderId="1" applyAlignment="1">
      <alignment horizontal="right"/>
    </xf>
    <xf numFmtId="2" fontId="56" fillId="0" borderId="1" applyAlignment="1">
      <alignment horizontal="right"/>
    </xf>
    <xf numFmtId="2" fontId="56" fillId="0" borderId="1" applyAlignment="1">
      <alignment horizontal="right"/>
    </xf>
    <xf numFmtId="10" fontId="29" fillId="0" borderId="0"/>
    <xf numFmtId="2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82" fillId="0" borderId="0" applyAlignment="1">
      <alignment horizontal="left"/>
    </xf>
    <xf numFmtId="3" fontId="82" fillId="0" borderId="0" applyAlignment="1">
      <alignment horizontal="left"/>
    </xf>
    <xf numFmtId="3" fontId="82" fillId="0" borderId="0" applyAlignment="1">
      <alignment horizontal="left"/>
    </xf>
    <xf numFmtId="1" fontId="40" fillId="0" borderId="0"/>
    <xf numFmtId="1" fontId="40" fillId="0" borderId="0"/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1" fontId="40" fillId="0" borderId="0"/>
    <xf numFmtId="1" fontId="40" fillId="0" borderId="0"/>
    <xf numFmtId="3" fontId="82" fillId="0" borderId="0" applyAlignment="1">
      <alignment horizontal="left"/>
    </xf>
    <xf numFmtId="3" fontId="82" fillId="0" borderId="0" applyAlignment="1">
      <alignment horizontal="left"/>
    </xf>
    <xf numFmtId="3" fontId="82" fillId="0" borderId="0" applyAlignment="1">
      <alignment horizontal="left"/>
    </xf>
    <xf numFmtId="231" fontId="203" fillId="0" borderId="0" applyAlignment="1">
      <alignment horizontal="left"/>
    </xf>
    <xf numFmtId="231" fontId="203" fillId="0" borderId="0" applyAlignment="1">
      <alignment horizontal="left"/>
    </xf>
    <xf numFmtId="172" fontId="29" fillId="0" borderId="0"/>
    <xf numFmtId="0" fontId="7" fillId="0" borderId="0" applyAlignment="1">
      <alignment horizontal="left"/>
    </xf>
    <xf numFmtId="172" fontId="145" fillId="0" borderId="0"/>
    <xf numFmtId="0" fontId="131" fillId="0" borderId="0"/>
    <xf numFmtId="0" fontId="204" fillId="0" borderId="0" applyAlignment="1">
      <alignment horizontal="centerContinuous"/>
    </xf>
    <xf numFmtId="0" fontId="9" fillId="0" borderId="48" applyAlignment="1">
      <alignment horizontal="left"/>
    </xf>
    <xf numFmtId="0" fontId="205" fillId="21" borderId="0"/>
    <xf numFmtId="260" fontId="206" fillId="0" borderId="0"/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8" fillId="57" borderId="0"/>
    <xf numFmtId="0" fontId="208" fillId="58" borderId="0"/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8" fillId="2" borderId="0"/>
    <xf numFmtId="0" fontId="208" fillId="60" borderId="0"/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8" fillId="61" borderId="0"/>
    <xf numFmtId="0" fontId="208" fillId="62" borderId="0"/>
    <xf numFmtId="0" fontId="207" fillId="32" borderId="0" applyAlignment="1">
      <alignment vertical="center"/>
    </xf>
    <xf numFmtId="0" fontId="207" fillId="32" borderId="0" applyAlignment="1">
      <alignment vertical="center"/>
    </xf>
    <xf numFmtId="0" fontId="207" fillId="32" borderId="0" applyAlignment="1">
      <alignment vertical="center"/>
    </xf>
    <xf numFmtId="0" fontId="207" fillId="32" borderId="0" applyAlignment="1">
      <alignment vertical="center"/>
    </xf>
    <xf numFmtId="0" fontId="208" fillId="63" borderId="0"/>
    <xf numFmtId="0" fontId="208" fillId="58" borderId="0"/>
    <xf numFmtId="0" fontId="209" fillId="53" borderId="0"/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8" fillId="64" borderId="0"/>
    <xf numFmtId="0" fontId="208" fillId="65" borderId="0"/>
    <xf numFmtId="0" fontId="207" fillId="66" borderId="0" applyAlignment="1">
      <alignment vertical="center"/>
    </xf>
    <xf numFmtId="0" fontId="207" fillId="66" borderId="0" applyAlignment="1">
      <alignment vertical="center"/>
    </xf>
    <xf numFmtId="0" fontId="207" fillId="66" borderId="0" applyAlignment="1">
      <alignment vertical="center"/>
    </xf>
    <xf numFmtId="0" fontId="207" fillId="66" borderId="0" applyAlignment="1">
      <alignment vertical="center"/>
    </xf>
    <xf numFmtId="0" fontId="208" fillId="60" borderId="0"/>
    <xf numFmtId="0" fontId="207" fillId="27" borderId="0" applyAlignment="1">
      <alignment vertical="center"/>
    </xf>
    <xf numFmtId="0" fontId="207" fillId="27" borderId="0" applyAlignment="1">
      <alignment vertical="center"/>
    </xf>
    <xf numFmtId="0" fontId="207" fillId="27" borderId="0" applyAlignment="1">
      <alignment vertical="center"/>
    </xf>
    <xf numFmtId="0" fontId="207" fillId="27" borderId="0" applyAlignment="1">
      <alignment vertical="center"/>
    </xf>
    <xf numFmtId="0" fontId="207" fillId="27" borderId="0" applyAlignment="1">
      <alignment vertical="center"/>
    </xf>
    <xf numFmtId="0" fontId="58" fillId="3" borderId="0" applyAlignment="1">
      <alignment vertical="center"/>
    </xf>
    <xf numFmtId="0" fontId="207" fillId="39" borderId="0" applyAlignment="1">
      <alignment vertical="center"/>
    </xf>
    <xf numFmtId="0" fontId="207" fillId="67" borderId="0" applyAlignment="1">
      <alignment vertical="center"/>
    </xf>
    <xf numFmtId="0" fontId="207" fillId="67" borderId="0" applyAlignment="1">
      <alignment vertical="center"/>
    </xf>
    <xf numFmtId="0" fontId="207" fillId="67" borderId="0" applyAlignment="1">
      <alignment vertical="center"/>
    </xf>
    <xf numFmtId="0" fontId="207" fillId="67" borderId="0" applyAlignment="1">
      <alignment vertical="center"/>
    </xf>
    <xf numFmtId="0" fontId="207" fillId="67" borderId="0" applyAlignment="1">
      <alignment vertical="center"/>
    </xf>
    <xf numFmtId="0" fontId="58" fillId="4" borderId="0" applyAlignment="1">
      <alignment vertical="center"/>
    </xf>
    <xf numFmtId="0" fontId="207" fillId="24" borderId="0" applyAlignment="1">
      <alignment vertical="center"/>
    </xf>
    <xf numFmtId="0" fontId="207" fillId="19" borderId="0" applyAlignment="1">
      <alignment vertical="center"/>
    </xf>
    <xf numFmtId="0" fontId="207" fillId="19" borderId="0" applyAlignment="1">
      <alignment vertical="center"/>
    </xf>
    <xf numFmtId="0" fontId="207" fillId="19" borderId="0" applyAlignment="1">
      <alignment vertical="center"/>
    </xf>
    <xf numFmtId="0" fontId="207" fillId="19" borderId="0" applyAlignment="1">
      <alignment vertical="center"/>
    </xf>
    <xf numFmtId="0" fontId="207" fillId="19" borderId="0" applyAlignment="1">
      <alignment vertical="center"/>
    </xf>
    <xf numFmtId="0" fontId="58" fillId="4" borderId="0" applyAlignment="1">
      <alignment vertical="center"/>
    </xf>
    <xf numFmtId="0" fontId="207" fillId="23" borderId="0" applyAlignment="1">
      <alignment vertical="center"/>
    </xf>
    <xf numFmtId="0" fontId="207" fillId="26" borderId="0" applyAlignment="1">
      <alignment vertical="center"/>
    </xf>
    <xf numFmtId="0" fontId="207" fillId="26" borderId="0" applyAlignment="1">
      <alignment vertical="center"/>
    </xf>
    <xf numFmtId="0" fontId="207" fillId="26" borderId="0" applyAlignment="1">
      <alignment vertical="center"/>
    </xf>
    <xf numFmtId="0" fontId="207" fillId="26" borderId="0" applyAlignment="1">
      <alignment vertical="center"/>
    </xf>
    <xf numFmtId="0" fontId="207" fillId="26" borderId="0" applyAlignment="1">
      <alignment vertical="center"/>
    </xf>
    <xf numFmtId="0" fontId="58" fillId="3" borderId="0" applyAlignment="1">
      <alignment vertical="center"/>
    </xf>
    <xf numFmtId="0" fontId="207" fillId="68" borderId="0" applyAlignment="1">
      <alignment vertical="center"/>
    </xf>
    <xf numFmtId="0" fontId="207" fillId="69" borderId="0" applyAlignment="1">
      <alignment vertical="center"/>
    </xf>
    <xf numFmtId="0" fontId="207" fillId="69" borderId="0" applyAlignment="1">
      <alignment vertical="center"/>
    </xf>
    <xf numFmtId="0" fontId="207" fillId="69" borderId="0" applyAlignment="1">
      <alignment vertical="center"/>
    </xf>
    <xf numFmtId="0" fontId="207" fillId="69" borderId="0" applyAlignment="1">
      <alignment vertical="center"/>
    </xf>
    <xf numFmtId="0" fontId="207" fillId="69" borderId="0" applyAlignment="1">
      <alignment vertical="center"/>
    </xf>
    <xf numFmtId="0" fontId="58" fillId="3" borderId="0" applyAlignment="1">
      <alignment vertical="center"/>
    </xf>
    <xf numFmtId="0" fontId="207" fillId="39" borderId="0" applyAlignment="1">
      <alignment vertical="center"/>
    </xf>
    <xf numFmtId="0" fontId="207" fillId="70" borderId="0" applyAlignment="1">
      <alignment vertical="center"/>
    </xf>
    <xf numFmtId="0" fontId="207" fillId="70" borderId="0" applyAlignment="1">
      <alignment vertical="center"/>
    </xf>
    <xf numFmtId="0" fontId="207" fillId="70" borderId="0" applyAlignment="1">
      <alignment vertical="center"/>
    </xf>
    <xf numFmtId="0" fontId="207" fillId="70" borderId="0" applyAlignment="1">
      <alignment vertical="center"/>
    </xf>
    <xf numFmtId="0" fontId="207" fillId="70" borderId="0" applyAlignment="1">
      <alignment vertical="center"/>
    </xf>
    <xf numFmtId="0" fontId="58" fillId="4" borderId="0" applyAlignment="1">
      <alignment vertical="center"/>
    </xf>
    <xf numFmtId="0" fontId="207" fillId="70" borderId="0" applyAlignment="1">
      <alignment vertical="center"/>
    </xf>
    <xf numFmtId="0" fontId="210" fillId="71" borderId="0" applyAlignment="1">
      <alignment vertical="center"/>
    </xf>
    <xf numFmtId="0" fontId="210" fillId="62" borderId="0" applyAlignment="1">
      <alignment vertical="center"/>
    </xf>
    <xf numFmtId="0" fontId="210" fillId="62" borderId="0" applyAlignment="1">
      <alignment vertical="center"/>
    </xf>
    <xf numFmtId="0" fontId="210" fillId="60" borderId="0" applyAlignment="1">
      <alignment vertical="center"/>
    </xf>
    <xf numFmtId="0" fontId="210" fillId="71" borderId="0" applyAlignment="1">
      <alignment vertical="center"/>
    </xf>
    <xf numFmtId="0" fontId="210" fillId="62" borderId="0" applyAlignment="1">
      <alignment vertical="center"/>
    </xf>
    <xf numFmtId="0" fontId="7" fillId="0" borderId="0"/>
    <xf numFmtId="261" fontId="211" fillId="0" borderId="0"/>
    <xf numFmtId="262" fontId="66" fillId="0" borderId="48"/>
    <xf numFmtId="0" fontId="212" fillId="21" borderId="0"/>
    <xf numFmtId="0" fontId="9" fillId="0" borderId="0"/>
    <xf numFmtId="0" fontId="213" fillId="0" borderId="0" applyAlignment="1" applyProtection="1">
      <alignment vertical="top"/>
      <protection locked="0" hidden="0"/>
    </xf>
    <xf numFmtId="0" fontId="214" fillId="0" borderId="0"/>
    <xf numFmtId="0" fontId="214" fillId="0" borderId="0"/>
    <xf numFmtId="0" fontId="214" fillId="0" borderId="0"/>
    <xf numFmtId="42" fontId="215" fillId="0" borderId="0"/>
    <xf numFmtId="195" fontId="215" fillId="0" borderId="0"/>
    <xf numFmtId="0" fontId="145" fillId="0" borderId="0"/>
    <xf numFmtId="263" fontId="62" fillId="0" borderId="221" applyAlignment="1">
      <alignment horizontal="left"/>
    </xf>
    <xf numFmtId="0" fontId="216" fillId="0" borderId="0" applyAlignment="1">
      <alignment wrapText="1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0" fontId="207" fillId="72" borderId="0" applyAlignment="1">
      <alignment vertical="center"/>
    </xf>
    <xf numFmtId="0" fontId="207" fillId="72" borderId="0" applyAlignment="1">
      <alignment vertical="center"/>
    </xf>
    <xf numFmtId="0" fontId="207" fillId="72" borderId="0" applyAlignment="1">
      <alignment vertical="center"/>
    </xf>
    <xf numFmtId="0" fontId="207" fillId="72" borderId="0" applyAlignment="1">
      <alignment vertical="center"/>
    </xf>
    <xf numFmtId="0" fontId="208" fillId="71" borderId="0"/>
    <xf numFmtId="0" fontId="208" fillId="58" borderId="0"/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8" fillId="58" borderId="0"/>
    <xf numFmtId="0" fontId="208" fillId="60" borderId="0"/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8" fillId="5" borderId="0"/>
    <xf numFmtId="0" fontId="208" fillId="62" borderId="0"/>
    <xf numFmtId="0" fontId="207" fillId="73" borderId="0" applyAlignment="1">
      <alignment vertical="center"/>
    </xf>
    <xf numFmtId="0" fontId="207" fillId="73" borderId="0" applyAlignment="1">
      <alignment vertical="center"/>
    </xf>
    <xf numFmtId="0" fontId="207" fillId="73" borderId="0" applyAlignment="1">
      <alignment vertical="center"/>
    </xf>
    <xf numFmtId="0" fontId="207" fillId="73" borderId="0" applyAlignment="1">
      <alignment vertical="center"/>
    </xf>
    <xf numFmtId="0" fontId="208" fillId="63" borderId="0"/>
    <xf numFmtId="0" fontId="208" fillId="58" borderId="0"/>
    <xf numFmtId="0" fontId="207" fillId="72" borderId="0" applyAlignment="1">
      <alignment vertical="center"/>
    </xf>
    <xf numFmtId="0" fontId="207" fillId="72" borderId="0" applyAlignment="1">
      <alignment vertical="center"/>
    </xf>
    <xf numFmtId="0" fontId="207" fillId="72" borderId="0" applyAlignment="1">
      <alignment vertical="center"/>
    </xf>
    <xf numFmtId="0" fontId="207" fillId="72" borderId="0" applyAlignment="1">
      <alignment vertical="center"/>
    </xf>
    <xf numFmtId="0" fontId="208" fillId="71" borderId="0"/>
    <xf numFmtId="0" fontId="207" fillId="66" borderId="0" applyAlignment="1">
      <alignment vertical="center"/>
    </xf>
    <xf numFmtId="0" fontId="207" fillId="66" borderId="0" applyAlignment="1">
      <alignment vertical="center"/>
    </xf>
    <xf numFmtId="0" fontId="207" fillId="66" borderId="0" applyAlignment="1">
      <alignment vertical="center"/>
    </xf>
    <xf numFmtId="0" fontId="207" fillId="66" borderId="0" applyAlignment="1">
      <alignment vertical="center"/>
    </xf>
    <xf numFmtId="0" fontId="208" fillId="74" borderId="0"/>
    <xf numFmtId="0" fontId="208" fillId="60" borderId="0"/>
    <xf numFmtId="0" fontId="207" fillId="55" borderId="0" applyAlignment="1">
      <alignment vertical="center"/>
    </xf>
    <xf numFmtId="0" fontId="207" fillId="55" borderId="0" applyAlignment="1">
      <alignment vertical="center"/>
    </xf>
    <xf numFmtId="0" fontId="207" fillId="55" borderId="0" applyAlignment="1">
      <alignment vertical="center"/>
    </xf>
    <xf numFmtId="0" fontId="207" fillId="55" borderId="0" applyAlignment="1">
      <alignment vertical="center"/>
    </xf>
    <xf numFmtId="0" fontId="207" fillId="55" borderId="0" applyAlignment="1">
      <alignment vertical="center"/>
    </xf>
    <xf numFmtId="0" fontId="58" fillId="6" borderId="0" applyAlignment="1">
      <alignment vertical="center"/>
    </xf>
    <xf numFmtId="0" fontId="207" fillId="69" borderId="0" applyAlignment="1">
      <alignment vertical="center"/>
    </xf>
    <xf numFmtId="0" fontId="207" fillId="29" borderId="0" applyAlignment="1">
      <alignment vertical="center"/>
    </xf>
    <xf numFmtId="0" fontId="207" fillId="29" borderId="0" applyAlignment="1">
      <alignment vertical="center"/>
    </xf>
    <xf numFmtId="0" fontId="207" fillId="29" borderId="0" applyAlignment="1">
      <alignment vertical="center"/>
    </xf>
    <xf numFmtId="0" fontId="207" fillId="29" borderId="0" applyAlignment="1">
      <alignment vertical="center"/>
    </xf>
    <xf numFmtId="0" fontId="207" fillId="29" borderId="0" applyAlignment="1">
      <alignment vertical="center"/>
    </xf>
    <xf numFmtId="0" fontId="58" fillId="7" borderId="0" applyAlignment="1">
      <alignment vertical="center"/>
    </xf>
    <xf numFmtId="0" fontId="207" fillId="24" borderId="0" applyAlignment="1">
      <alignment vertical="center"/>
    </xf>
    <xf numFmtId="0" fontId="207" fillId="20" borderId="0" applyAlignment="1">
      <alignment vertical="center"/>
    </xf>
    <xf numFmtId="0" fontId="207" fillId="20" borderId="0" applyAlignment="1">
      <alignment vertical="center"/>
    </xf>
    <xf numFmtId="0" fontId="207" fillId="20" borderId="0" applyAlignment="1">
      <alignment vertical="center"/>
    </xf>
    <xf numFmtId="0" fontId="207" fillId="20" borderId="0" applyAlignment="1">
      <alignment vertical="center"/>
    </xf>
    <xf numFmtId="0" fontId="207" fillId="20" borderId="0" applyAlignment="1">
      <alignment vertical="center"/>
    </xf>
    <xf numFmtId="0" fontId="58" fillId="7" borderId="0" applyAlignment="1">
      <alignment vertical="center"/>
    </xf>
    <xf numFmtId="0" fontId="207" fillId="23" borderId="0" applyAlignment="1">
      <alignment vertical="center"/>
    </xf>
    <xf numFmtId="0" fontId="207" fillId="26" borderId="0" applyAlignment="1">
      <alignment vertical="center"/>
    </xf>
    <xf numFmtId="0" fontId="207" fillId="26" borderId="0" applyAlignment="1">
      <alignment vertical="center"/>
    </xf>
    <xf numFmtId="0" fontId="207" fillId="26" borderId="0" applyAlignment="1">
      <alignment vertical="center"/>
    </xf>
    <xf numFmtId="0" fontId="207" fillId="26" borderId="0" applyAlignment="1">
      <alignment vertical="center"/>
    </xf>
    <xf numFmtId="0" fontId="207" fillId="26" borderId="0" applyAlignment="1">
      <alignment vertical="center"/>
    </xf>
    <xf numFmtId="0" fontId="58" fillId="6" borderId="0" applyAlignment="1">
      <alignment vertical="center"/>
    </xf>
    <xf numFmtId="0" fontId="207" fillId="75" borderId="0" applyAlignment="1">
      <alignment vertical="center"/>
    </xf>
    <xf numFmtId="0" fontId="207" fillId="55" borderId="0" applyAlignment="1">
      <alignment vertical="center"/>
    </xf>
    <xf numFmtId="0" fontId="207" fillId="55" borderId="0" applyAlignment="1">
      <alignment vertical="center"/>
    </xf>
    <xf numFmtId="0" fontId="207" fillId="55" borderId="0" applyAlignment="1">
      <alignment vertical="center"/>
    </xf>
    <xf numFmtId="0" fontId="207" fillId="55" borderId="0" applyAlignment="1">
      <alignment vertical="center"/>
    </xf>
    <xf numFmtId="0" fontId="207" fillId="55" borderId="0" applyAlignment="1">
      <alignment vertical="center"/>
    </xf>
    <xf numFmtId="0" fontId="58" fillId="6" borderId="0" applyAlignment="1">
      <alignment vertical="center"/>
    </xf>
    <xf numFmtId="0" fontId="207" fillId="69" borderId="0" applyAlignment="1">
      <alignment vertical="center"/>
    </xf>
    <xf numFmtId="0" fontId="207" fillId="76" borderId="0" applyAlignment="1">
      <alignment vertical="center"/>
    </xf>
    <xf numFmtId="0" fontId="207" fillId="76" borderId="0" applyAlignment="1">
      <alignment vertical="center"/>
    </xf>
    <xf numFmtId="0" fontId="207" fillId="76" borderId="0" applyAlignment="1">
      <alignment vertical="center"/>
    </xf>
    <xf numFmtId="0" fontId="207" fillId="76" borderId="0" applyAlignment="1">
      <alignment vertical="center"/>
    </xf>
    <xf numFmtId="0" fontId="207" fillId="76" borderId="0" applyAlignment="1">
      <alignment vertical="center"/>
    </xf>
    <xf numFmtId="0" fontId="58" fillId="8" borderId="0" applyAlignment="1">
      <alignment vertical="center"/>
    </xf>
    <xf numFmtId="0" fontId="207" fillId="70" borderId="0" applyAlignment="1">
      <alignment vertical="center"/>
    </xf>
    <xf numFmtId="0" fontId="210" fillId="71" borderId="0" applyAlignment="1">
      <alignment vertical="center"/>
    </xf>
    <xf numFmtId="0" fontId="210" fillId="3" borderId="0" applyAlignment="1">
      <alignment vertical="center"/>
    </xf>
    <xf numFmtId="0" fontId="210" fillId="62" borderId="0" applyAlignment="1">
      <alignment vertical="center"/>
    </xf>
    <xf numFmtId="0" fontId="210" fillId="2" borderId="0" applyAlignment="1">
      <alignment vertical="center"/>
    </xf>
    <xf numFmtId="0" fontId="210" fillId="71" borderId="0" applyAlignment="1">
      <alignment vertical="center"/>
    </xf>
    <xf numFmtId="0" fontId="210" fillId="62" borderId="0" applyAlignment="1">
      <alignment vertical="center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0" fontId="217" fillId="72" borderId="0" applyAlignment="1">
      <alignment vertical="center"/>
    </xf>
    <xf numFmtId="0" fontId="217" fillId="72" borderId="0" applyAlignment="1">
      <alignment vertical="center"/>
    </xf>
    <xf numFmtId="0" fontId="217" fillId="72" borderId="0" applyAlignment="1">
      <alignment vertical="center"/>
    </xf>
    <xf numFmtId="0" fontId="217" fillId="72" borderId="0" applyAlignment="1">
      <alignment vertical="center"/>
    </xf>
    <xf numFmtId="0" fontId="218" fillId="77" borderId="0"/>
    <xf numFmtId="0" fontId="218" fillId="59" borderId="0"/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8" fillId="58" borderId="0"/>
    <xf numFmtId="0" fontId="218" fillId="60" borderId="0"/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8" fillId="5" borderId="0"/>
    <xf numFmtId="0" fontId="218" fillId="62" borderId="0"/>
    <xf numFmtId="0" fontId="217" fillId="78" borderId="0" applyAlignment="1">
      <alignment vertical="center"/>
    </xf>
    <xf numFmtId="0" fontId="217" fillId="78" borderId="0" applyAlignment="1">
      <alignment vertical="center"/>
    </xf>
    <xf numFmtId="0" fontId="217" fillId="78" borderId="0" applyAlignment="1">
      <alignment vertical="center"/>
    </xf>
    <xf numFmtId="0" fontId="217" fillId="78" borderId="0" applyAlignment="1">
      <alignment vertical="center"/>
    </xf>
    <xf numFmtId="0" fontId="218" fillId="79" borderId="0"/>
    <xf numFmtId="0" fontId="218" fillId="73" borderId="0"/>
    <xf numFmtId="0" fontId="217" fillId="72" borderId="0" applyAlignment="1">
      <alignment vertical="center"/>
    </xf>
    <xf numFmtId="0" fontId="217" fillId="72" borderId="0" applyAlignment="1">
      <alignment vertical="center"/>
    </xf>
    <xf numFmtId="0" fontId="217" fillId="72" borderId="0" applyAlignment="1">
      <alignment vertical="center"/>
    </xf>
    <xf numFmtId="0" fontId="217" fillId="72" borderId="0" applyAlignment="1">
      <alignment vertical="center"/>
    </xf>
    <xf numFmtId="0" fontId="218" fillId="59" borderId="0"/>
    <xf numFmtId="0" fontId="217" fillId="58" borderId="0" applyAlignment="1">
      <alignment vertical="center"/>
    </xf>
    <xf numFmtId="0" fontId="217" fillId="58" borderId="0" applyAlignment="1">
      <alignment vertical="center"/>
    </xf>
    <xf numFmtId="0" fontId="217" fillId="58" borderId="0" applyAlignment="1">
      <alignment vertical="center"/>
    </xf>
    <xf numFmtId="0" fontId="217" fillId="58" borderId="0" applyAlignment="1">
      <alignment vertical="center"/>
    </xf>
    <xf numFmtId="0" fontId="218" fillId="8" borderId="0"/>
    <xf numFmtId="0" fontId="218" fillId="60" borderId="0"/>
    <xf numFmtId="0" fontId="217" fillId="80" borderId="0" applyAlignment="1">
      <alignment vertical="center"/>
    </xf>
    <xf numFmtId="0" fontId="217" fillId="80" borderId="0" applyAlignment="1">
      <alignment vertical="center"/>
    </xf>
    <xf numFmtId="0" fontId="217" fillId="80" borderId="0" applyAlignment="1">
      <alignment vertical="center"/>
    </xf>
    <xf numFmtId="0" fontId="217" fillId="80" borderId="0" applyAlignment="1">
      <alignment vertical="center"/>
    </xf>
    <xf numFmtId="0" fontId="217" fillId="80" borderId="0" applyAlignment="1">
      <alignment vertical="center"/>
    </xf>
    <xf numFmtId="0" fontId="59" fillId="9" borderId="0" applyAlignment="1">
      <alignment vertical="center"/>
    </xf>
    <xf numFmtId="0" fontId="59" fillId="69" borderId="0" applyAlignment="1">
      <alignment vertical="center"/>
    </xf>
    <xf numFmtId="0" fontId="217" fillId="29" borderId="0" applyAlignment="1">
      <alignment vertical="center"/>
    </xf>
    <xf numFmtId="0" fontId="217" fillId="29" borderId="0" applyAlignment="1">
      <alignment vertical="center"/>
    </xf>
    <xf numFmtId="0" fontId="217" fillId="29" borderId="0" applyAlignment="1">
      <alignment vertical="center"/>
    </xf>
    <xf numFmtId="0" fontId="217" fillId="29" borderId="0" applyAlignment="1">
      <alignment vertical="center"/>
    </xf>
    <xf numFmtId="0" fontId="217" fillId="29" borderId="0" applyAlignment="1">
      <alignment vertical="center"/>
    </xf>
    <xf numFmtId="0" fontId="59" fillId="2" borderId="0" applyAlignment="1">
      <alignment vertical="center"/>
    </xf>
    <xf numFmtId="0" fontId="59" fillId="81" borderId="0" applyAlignment="1">
      <alignment vertical="center"/>
    </xf>
    <xf numFmtId="0" fontId="217" fillId="20" borderId="0" applyAlignment="1">
      <alignment vertical="center"/>
    </xf>
    <xf numFmtId="0" fontId="217" fillId="20" borderId="0" applyAlignment="1">
      <alignment vertical="center"/>
    </xf>
    <xf numFmtId="0" fontId="217" fillId="20" borderId="0" applyAlignment="1">
      <alignment vertical="center"/>
    </xf>
    <xf numFmtId="0" fontId="217" fillId="20" borderId="0" applyAlignment="1">
      <alignment vertical="center"/>
    </xf>
    <xf numFmtId="0" fontId="217" fillId="20" borderId="0" applyAlignment="1">
      <alignment vertical="center"/>
    </xf>
    <xf numFmtId="0" fontId="59" fillId="10" borderId="0" applyAlignment="1">
      <alignment vertical="center"/>
    </xf>
    <xf numFmtId="0" fontId="59" fillId="23" borderId="0" applyAlignment="1">
      <alignment vertical="center"/>
    </xf>
    <xf numFmtId="0" fontId="217" fillId="82" borderId="0" applyAlignment="1">
      <alignment vertical="center"/>
    </xf>
    <xf numFmtId="0" fontId="217" fillId="82" borderId="0" applyAlignment="1">
      <alignment vertical="center"/>
    </xf>
    <xf numFmtId="0" fontId="217" fillId="82" borderId="0" applyAlignment="1">
      <alignment vertical="center"/>
    </xf>
    <xf numFmtId="0" fontId="217" fillId="82" borderId="0" applyAlignment="1">
      <alignment vertical="center"/>
    </xf>
    <xf numFmtId="0" fontId="217" fillId="82" borderId="0" applyAlignment="1">
      <alignment vertical="center"/>
    </xf>
    <xf numFmtId="0" fontId="59" fillId="9" borderId="0" applyAlignment="1">
      <alignment vertical="center"/>
    </xf>
    <xf numFmtId="0" fontId="59" fillId="14" borderId="0" applyAlignment="1">
      <alignment vertical="center"/>
    </xf>
    <xf numFmtId="0" fontId="217" fillId="54" borderId="0" applyAlignment="1">
      <alignment vertical="center"/>
    </xf>
    <xf numFmtId="0" fontId="217" fillId="54" borderId="0" applyAlignment="1">
      <alignment vertical="center"/>
    </xf>
    <xf numFmtId="0" fontId="217" fillId="54" borderId="0" applyAlignment="1">
      <alignment vertical="center"/>
    </xf>
    <xf numFmtId="0" fontId="217" fillId="54" borderId="0" applyAlignment="1">
      <alignment vertical="center"/>
    </xf>
    <xf numFmtId="0" fontId="217" fillId="54" borderId="0" applyAlignment="1">
      <alignment vertical="center"/>
    </xf>
    <xf numFmtId="0" fontId="59" fillId="9" borderId="0" applyAlignment="1">
      <alignment vertical="center"/>
    </xf>
    <xf numFmtId="0" fontId="59" fillId="69" borderId="0" applyAlignment="1">
      <alignment vertical="center"/>
    </xf>
    <xf numFmtId="0" fontId="217" fillId="81" borderId="0" applyAlignment="1">
      <alignment vertical="center"/>
    </xf>
    <xf numFmtId="0" fontId="217" fillId="81" borderId="0" applyAlignment="1">
      <alignment vertical="center"/>
    </xf>
    <xf numFmtId="0" fontId="217" fillId="81" borderId="0" applyAlignment="1">
      <alignment vertical="center"/>
    </xf>
    <xf numFmtId="0" fontId="217" fillId="81" borderId="0" applyAlignment="1">
      <alignment vertical="center"/>
    </xf>
    <xf numFmtId="0" fontId="217" fillId="81" borderId="0" applyAlignment="1">
      <alignment vertical="center"/>
    </xf>
    <xf numFmtId="0" fontId="59" fillId="11" borderId="0" applyAlignment="1">
      <alignment vertical="center"/>
    </xf>
    <xf numFmtId="0" fontId="59" fillId="70" borderId="0" applyAlignment="1">
      <alignment vertical="center"/>
    </xf>
    <xf numFmtId="0" fontId="219" fillId="71" borderId="0" applyAlignment="1">
      <alignment vertical="center"/>
    </xf>
    <xf numFmtId="0" fontId="219" fillId="3" borderId="0" applyAlignment="1">
      <alignment vertical="center"/>
    </xf>
    <xf numFmtId="0" fontId="219" fillId="74" borderId="0" applyAlignment="1">
      <alignment vertical="center"/>
    </xf>
    <xf numFmtId="0" fontId="219" fillId="2" borderId="0" applyAlignment="1">
      <alignment vertical="center"/>
    </xf>
    <xf numFmtId="0" fontId="219" fillId="71" borderId="0" applyAlignment="1">
      <alignment vertical="center"/>
    </xf>
    <xf numFmtId="0" fontId="219" fillId="62" borderId="0" applyAlignment="1">
      <alignment vertical="center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0" fontId="66" fillId="0" borderId="0" applyAlignment="1">
      <alignment horizontal="left"/>
    </xf>
    <xf numFmtId="0" fontId="66" fillId="0" borderId="0" applyAlignment="1">
      <alignment horizontal="left"/>
    </xf>
    <xf numFmtId="0" fontId="66" fillId="0" borderId="0" applyAlignment="1">
      <alignment horizontal="left"/>
    </xf>
    <xf numFmtId="267" fontId="9" fillId="0" borderId="0"/>
    <xf numFmtId="268" fontId="9" fillId="0" borderId="0"/>
    <xf numFmtId="0" fontId="217" fillId="83" borderId="0" applyAlignment="1">
      <alignment vertical="center"/>
    </xf>
    <xf numFmtId="0" fontId="217" fillId="83" borderId="0" applyAlignment="1">
      <alignment vertical="center"/>
    </xf>
    <xf numFmtId="0" fontId="217" fillId="83" borderId="0" applyAlignment="1">
      <alignment vertical="center"/>
    </xf>
    <xf numFmtId="0" fontId="217" fillId="83" borderId="0" applyAlignment="1">
      <alignment vertical="center"/>
    </xf>
    <xf numFmtId="0" fontId="218" fillId="9" borderId="0"/>
    <xf numFmtId="0" fontId="220" fillId="52" borderId="0"/>
    <xf numFmtId="0" fontId="218" fillId="59" borderId="0"/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8" fillId="7" borderId="0"/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8" fillId="84" borderId="0"/>
    <xf numFmtId="0" fontId="217" fillId="10" borderId="0" applyAlignment="1">
      <alignment vertical="center"/>
    </xf>
    <xf numFmtId="0" fontId="217" fillId="10" borderId="0" applyAlignment="1">
      <alignment vertical="center"/>
    </xf>
    <xf numFmtId="0" fontId="217" fillId="10" borderId="0" applyAlignment="1">
      <alignment vertical="center"/>
    </xf>
    <xf numFmtId="0" fontId="217" fillId="10" borderId="0" applyAlignment="1">
      <alignment vertical="center"/>
    </xf>
    <xf numFmtId="0" fontId="218" fillId="79" borderId="0"/>
    <xf numFmtId="0" fontId="218" fillId="10" borderId="0"/>
    <xf numFmtId="0" fontId="217" fillId="83" borderId="0" applyAlignment="1">
      <alignment vertical="center"/>
    </xf>
    <xf numFmtId="0" fontId="217" fillId="83" borderId="0" applyAlignment="1">
      <alignment vertical="center"/>
    </xf>
    <xf numFmtId="0" fontId="217" fillId="83" borderId="0" applyAlignment="1">
      <alignment vertical="center"/>
    </xf>
    <xf numFmtId="0" fontId="217" fillId="83" borderId="0" applyAlignment="1">
      <alignment vertical="center"/>
    </xf>
    <xf numFmtId="0" fontId="218" fillId="59" borderId="0"/>
    <xf numFmtId="0" fontId="217" fillId="63" borderId="0" applyAlignment="1">
      <alignment vertical="center"/>
    </xf>
    <xf numFmtId="0" fontId="217" fillId="63" borderId="0" applyAlignment="1">
      <alignment vertical="center"/>
    </xf>
    <xf numFmtId="0" fontId="217" fillId="63" borderId="0" applyAlignment="1">
      <alignment vertical="center"/>
    </xf>
    <xf numFmtId="0" fontId="217" fillId="63" borderId="0" applyAlignment="1">
      <alignment vertical="center"/>
    </xf>
    <xf numFmtId="0" fontId="218" fillId="3" borderId="0"/>
    <xf numFmtId="269" fontId="221" fillId="0" borderId="0"/>
    <xf numFmtId="1" fontId="206" fillId="0" borderId="0"/>
    <xf numFmtId="0" fontId="222" fillId="28" borderId="0" applyAlignment="1" applyProtection="1">
      <alignment horizontal="center"/>
      <protection locked="0" hidden="1"/>
    </xf>
    <xf numFmtId="9" fontId="223" fillId="0" borderId="0"/>
    <xf numFmtId="0" fontId="224" fillId="0" borderId="0"/>
    <xf numFmtId="0" fontId="224" fillId="0" borderId="0"/>
    <xf numFmtId="14" fontId="215" fillId="19" borderId="0"/>
    <xf numFmtId="0" fontId="9" fillId="0" borderId="0"/>
    <xf numFmtId="0" fontId="162" fillId="0" borderId="0" applyAlignment="1" applyProtection="1">
      <alignment vertical="top"/>
      <protection locked="0" hidden="0"/>
    </xf>
    <xf numFmtId="17" fontId="9" fillId="0" borderId="0"/>
    <xf numFmtId="0" fontId="225" fillId="0" borderId="0"/>
    <xf numFmtId="1" fontId="226" fillId="0" borderId="0" applyAlignment="1">
      <alignment horizontal="center" vertical="center"/>
    </xf>
    <xf numFmtId="270" fontId="227" fillId="0" borderId="0" applyAlignment="1">
      <alignment horizontal="right"/>
    </xf>
    <xf numFmtId="0" fontId="9" fillId="0" borderId="0"/>
    <xf numFmtId="0" fontId="215" fillId="0" borderId="0"/>
    <xf numFmtId="0" fontId="63" fillId="0" borderId="201"/>
    <xf numFmtId="0" fontId="64" fillId="0" borderId="201"/>
    <xf numFmtId="0" fontId="65" fillId="0" borderId="201"/>
    <xf numFmtId="0" fontId="29" fillId="0" borderId="201"/>
    <xf numFmtId="0" fontId="29" fillId="0" borderId="201"/>
    <xf numFmtId="9" fontId="228" fillId="42" borderId="5"/>
    <xf numFmtId="271" fontId="29" fillId="0" borderId="206" applyAlignment="1" applyProtection="1">
      <alignment horizontal="center" vertical="center"/>
      <protection locked="0" hidden="0"/>
    </xf>
    <xf numFmtId="272" fontId="29" fillId="0" borderId="206" applyAlignment="1" applyProtection="1">
      <alignment horizontal="center" vertical="center"/>
      <protection locked="0" hidden="0"/>
    </xf>
    <xf numFmtId="273" fontId="29" fillId="0" borderId="206" applyAlignment="1" applyProtection="1">
      <alignment horizontal="center" vertical="center"/>
      <protection locked="0" hidden="0"/>
    </xf>
    <xf numFmtId="274" fontId="29" fillId="0" borderId="206" applyAlignment="1" applyProtection="1">
      <alignment horizontal="center" vertical="center"/>
      <protection locked="0" hidden="0"/>
    </xf>
    <xf numFmtId="275" fontId="29" fillId="0" borderId="206" applyAlignment="1" applyProtection="1">
      <alignment horizontal="center" vertical="center"/>
      <protection locked="0" hidden="0"/>
    </xf>
    <xf numFmtId="276" fontId="29" fillId="0" borderId="206" applyAlignment="1" applyProtection="1">
      <alignment horizontal="center" vertical="center"/>
      <protection locked="0" hidden="0"/>
    </xf>
    <xf numFmtId="0" fontId="29" fillId="0" borderId="206" applyAlignment="1" applyProtection="1">
      <alignment vertical="center"/>
      <protection locked="0" hidden="0"/>
    </xf>
    <xf numFmtId="271" fontId="29" fillId="0" borderId="206" applyAlignment="1" applyProtection="1">
      <alignment horizontal="right" vertical="center"/>
      <protection locked="0" hidden="0"/>
    </xf>
    <xf numFmtId="277" fontId="29" fillId="0" borderId="206" applyAlignment="1" applyProtection="1">
      <alignment horizontal="right" vertical="center"/>
      <protection locked="0" hidden="0"/>
    </xf>
    <xf numFmtId="273" fontId="29" fillId="0" borderId="206" applyAlignment="1" applyProtection="1">
      <alignment horizontal="right" vertical="center"/>
      <protection locked="0" hidden="0"/>
    </xf>
    <xf numFmtId="274" fontId="29" fillId="0" borderId="206" applyAlignment="1" applyProtection="1">
      <alignment horizontal="right" vertical="center"/>
      <protection locked="0" hidden="0"/>
    </xf>
    <xf numFmtId="275" fontId="29" fillId="0" borderId="206" applyAlignment="1" applyProtection="1">
      <alignment horizontal="right" vertical="center"/>
      <protection locked="0" hidden="0"/>
    </xf>
    <xf numFmtId="276" fontId="29" fillId="0" borderId="206" applyAlignment="1" applyProtection="1">
      <alignment horizontal="right" vertical="center"/>
      <protection locked="0" hidden="0"/>
    </xf>
    <xf numFmtId="0" fontId="224" fillId="0" borderId="0"/>
    <xf numFmtId="0" fontId="224" fillId="0" borderId="0"/>
    <xf numFmtId="0" fontId="14" fillId="0" borderId="0" applyAlignment="1">
      <alignment vertical="center"/>
    </xf>
    <xf numFmtId="170" fontId="229" fillId="0" borderId="0"/>
    <xf numFmtId="278" fontId="229" fillId="0" borderId="0"/>
    <xf numFmtId="3" fontId="229" fillId="0" borderId="0"/>
    <xf numFmtId="0" fontId="114" fillId="0" borderId="0"/>
    <xf numFmtId="0" fontId="231" fillId="85" borderId="0" applyAlignment="1">
      <alignment vertical="center"/>
    </xf>
    <xf numFmtId="0" fontId="231" fillId="85" borderId="0" applyAlignment="1">
      <alignment vertical="center"/>
    </xf>
    <xf numFmtId="0" fontId="231" fillId="85" borderId="0" applyAlignment="1">
      <alignment vertical="center"/>
    </xf>
    <xf numFmtId="0" fontId="231" fillId="85" borderId="0" applyAlignment="1">
      <alignment vertical="center"/>
    </xf>
    <xf numFmtId="0" fontId="230" fillId="2" borderId="0"/>
    <xf numFmtId="39" fontId="232" fillId="0" borderId="50"/>
    <xf numFmtId="39" fontId="232" fillId="0" borderId="50"/>
    <xf numFmtId="39" fontId="232" fillId="0" borderId="50"/>
    <xf numFmtId="39" fontId="232" fillId="0" borderId="50"/>
    <xf numFmtId="39" fontId="232" fillId="0" borderId="50"/>
    <xf numFmtId="39" fontId="232" fillId="0" borderId="50"/>
    <xf numFmtId="39" fontId="232" fillId="0" borderId="50"/>
    <xf numFmtId="0" fontId="233" fillId="0" borderId="0"/>
    <xf numFmtId="1" fontId="68" fillId="0" borderId="0" applyAlignment="1" applyProtection="1">
      <alignment horizontal="right" wrapText="1"/>
      <protection locked="0" hidden="0"/>
    </xf>
    <xf numFmtId="1" fontId="68" fillId="0" borderId="0" applyAlignment="1" applyProtection="1">
      <alignment horizontal="right" wrapText="1"/>
      <protection locked="0" hidden="0"/>
    </xf>
    <xf numFmtId="38" fontId="62" fillId="0" borderId="0"/>
    <xf numFmtId="0" fontId="234" fillId="0" borderId="0"/>
    <xf numFmtId="196" fontId="50" fillId="0" borderId="0" applyProtection="1">
      <protection locked="0" hidden="0"/>
    </xf>
    <xf numFmtId="279" fontId="29" fillId="24" borderId="202" applyAlignment="1" applyProtection="1">
      <alignment horizontal="right"/>
      <protection locked="0" hidden="0"/>
    </xf>
    <xf numFmtId="280" fontId="29" fillId="0" borderId="0" applyAlignment="1">
      <alignment horizontal="right"/>
    </xf>
    <xf numFmtId="279" fontId="29" fillId="24" borderId="202" applyAlignment="1" applyProtection="1">
      <alignment horizontal="right"/>
      <protection locked="0" hidden="0"/>
    </xf>
    <xf numFmtId="281" fontId="29" fillId="19" borderId="202" applyAlignment="1" applyProtection="1">
      <alignment horizontal="right"/>
      <protection locked="0" hidden="0"/>
    </xf>
    <xf numFmtId="178" fontId="29" fillId="0" borderId="0" applyAlignment="1">
      <alignment horizontal="right"/>
    </xf>
    <xf numFmtId="281" fontId="29" fillId="19" borderId="202" applyAlignment="1" applyProtection="1">
      <alignment horizontal="right"/>
      <protection locked="0" hidden="0"/>
    </xf>
    <xf numFmtId="282" fontId="29" fillId="24" borderId="202" applyAlignment="1" applyProtection="1">
      <alignment horizontal="right"/>
      <protection locked="0" hidden="0"/>
    </xf>
    <xf numFmtId="173" fontId="29" fillId="0" borderId="0" applyAlignment="1">
      <alignment horizontal="right"/>
    </xf>
    <xf numFmtId="282" fontId="29" fillId="24" borderId="202" applyAlignment="1" applyProtection="1">
      <alignment horizontal="right"/>
      <protection locked="0" hidden="0"/>
    </xf>
    <xf numFmtId="0" fontId="40" fillId="73" borderId="0" applyAlignment="1">
      <alignment horizontal="left"/>
    </xf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1" fontId="235" fillId="0" borderId="199" applyAlignment="1">
      <alignment horizontal="right"/>
    </xf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0" fontId="62" fillId="0" borderId="4"/>
    <xf numFmtId="49" fontId="236" fillId="0" borderId="0" applyAlignment="1">
      <alignment horizontal="left"/>
    </xf>
    <xf numFmtId="49" fontId="236" fillId="0" borderId="0" applyAlignment="1">
      <alignment horizontal="left"/>
    </xf>
    <xf numFmtId="283" fontId="77" fillId="0" borderId="0"/>
    <xf numFmtId="283" fontId="77" fillId="0" borderId="0"/>
    <xf numFmtId="165" fontId="29" fillId="0" borderId="0"/>
    <xf numFmtId="165" fontId="29" fillId="0" borderId="0"/>
    <xf numFmtId="49" fontId="29" fillId="0" borderId="0" applyAlignment="1">
      <alignment horizontal="left"/>
    </xf>
    <xf numFmtId="49" fontId="29" fillId="0" borderId="0" applyAlignment="1">
      <alignment horizontal="left"/>
    </xf>
    <xf numFmtId="49" fontId="237" fillId="0" borderId="52" applyAlignment="1">
      <alignment horizontal="left" wrapText="1"/>
    </xf>
    <xf numFmtId="49" fontId="237" fillId="0" borderId="52" applyAlignment="1">
      <alignment horizontal="left" wrapText="1"/>
    </xf>
    <xf numFmtId="49" fontId="237" fillId="0" borderId="0" applyAlignment="1">
      <alignment horizontal="left" wrapText="1"/>
    </xf>
    <xf numFmtId="49" fontId="237" fillId="0" borderId="0" applyAlignment="1">
      <alignment horizontal="left" wrapText="1"/>
    </xf>
    <xf numFmtId="49" fontId="238" fillId="0" borderId="0" applyAlignment="1">
      <alignment horizontal="left"/>
    </xf>
    <xf numFmtId="49" fontId="238" fillId="0" borderId="0" applyAlignment="1">
      <alignment horizontal="left"/>
    </xf>
    <xf numFmtId="284" fontId="9" fillId="0" borderId="0"/>
    <xf numFmtId="0" fontId="239" fillId="0" borderId="0"/>
    <xf numFmtId="0" fontId="240" fillId="0" borderId="0"/>
    <xf numFmtId="0" fontId="224" fillId="0" borderId="0"/>
    <xf numFmtId="0" fontId="240" fillId="0" borderId="0"/>
    <xf numFmtId="0" fontId="240" fillId="0" borderId="0"/>
    <xf numFmtId="0" fontId="240" fillId="0" borderId="0"/>
    <xf numFmtId="0" fontId="240" fillId="0" borderId="0"/>
    <xf numFmtId="0" fontId="145" fillId="0" borderId="0" applyAlignment="1">
      <alignment horizontal="centerContinuous"/>
    </xf>
    <xf numFmtId="0" fontId="240" fillId="0" borderId="0"/>
    <xf numFmtId="0" fontId="240" fillId="0" borderId="0"/>
    <xf numFmtId="0" fontId="240" fillId="0" borderId="0"/>
    <xf numFmtId="0" fontId="240" fillId="0" borderId="0"/>
    <xf numFmtId="0" fontId="240" fillId="0" borderId="0"/>
    <xf numFmtId="0" fontId="145" fillId="0" borderId="0" applyAlignment="1">
      <alignment horizontal="centerContinuous"/>
    </xf>
    <xf numFmtId="241" fontId="145" fillId="0" borderId="0"/>
    <xf numFmtId="231" fontId="145" fillId="0" borderId="0"/>
    <xf numFmtId="0" fontId="201" fillId="0" borderId="0"/>
    <xf numFmtId="0" fontId="201" fillId="0" borderId="0"/>
    <xf numFmtId="0" fontId="9" fillId="0" borderId="0"/>
    <xf numFmtId="43" fontId="9" fillId="0" borderId="0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1" fillId="73" borderId="211"/>
    <xf numFmtId="0" fontId="241" fillId="73" borderId="211"/>
    <xf numFmtId="0" fontId="241" fillId="32" borderId="211"/>
    <xf numFmtId="0" fontId="241" fillId="32" borderId="211"/>
    <xf numFmtId="0" fontId="241" fillId="32" borderId="211"/>
    <xf numFmtId="0" fontId="29" fillId="0" borderId="0" applyAlignment="1" applyProtection="1">
      <alignment horizontal="center" vertical="center"/>
      <protection locked="0" hidden="0"/>
    </xf>
    <xf numFmtId="271" fontId="29" fillId="0" borderId="0" applyAlignment="1">
      <alignment horizontal="center" vertical="center"/>
    </xf>
    <xf numFmtId="272" fontId="29" fillId="0" borderId="0" applyAlignment="1">
      <alignment horizontal="center" vertical="center"/>
    </xf>
    <xf numFmtId="273" fontId="29" fillId="0" borderId="0" applyAlignment="1">
      <alignment horizontal="center" vertical="center"/>
    </xf>
    <xf numFmtId="274" fontId="29" fillId="0" borderId="0" applyAlignment="1">
      <alignment horizontal="center" vertical="center"/>
    </xf>
    <xf numFmtId="275" fontId="29" fillId="0" borderId="0" applyAlignment="1">
      <alignment horizontal="center" vertical="center"/>
    </xf>
    <xf numFmtId="276" fontId="29" fillId="0" borderId="0" applyAlignment="1">
      <alignment horizontal="center" vertical="center"/>
    </xf>
    <xf numFmtId="0" fontId="244" fillId="36" borderId="55" applyAlignment="1">
      <alignment vertical="center"/>
    </xf>
    <xf numFmtId="0" fontId="244" fillId="36" borderId="55" applyAlignment="1">
      <alignment vertical="center"/>
    </xf>
    <xf numFmtId="0" fontId="244" fillId="36" borderId="55" applyAlignment="1">
      <alignment vertical="center"/>
    </xf>
    <xf numFmtId="0" fontId="244" fillId="36" borderId="55" applyAlignment="1">
      <alignment vertical="center"/>
    </xf>
    <xf numFmtId="0" fontId="243" fillId="86" borderId="54"/>
    <xf numFmtId="0" fontId="29" fillId="0" borderId="0"/>
    <xf numFmtId="0" fontId="245" fillId="0" borderId="0"/>
    <xf numFmtId="0" fontId="29" fillId="0" borderId="0"/>
    <xf numFmtId="0" fontId="29" fillId="0" borderId="7"/>
    <xf numFmtId="0" fontId="246" fillId="0" borderId="0"/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40" fillId="0" borderId="0" applyAlignment="1" applyProtection="1">
      <alignment horizontal="center" wrapText="1"/>
      <protection locked="1" hidden="1"/>
    </xf>
    <xf numFmtId="0" fontId="9" fillId="0" borderId="0" applyAlignment="1" applyProtection="1">
      <alignment horizontal="center" wrapText="1"/>
      <protection locked="1" hidden="1"/>
    </xf>
    <xf numFmtId="0" fontId="249" fillId="0" borderId="0" applyAlignment="1">
      <alignment horizontal="right"/>
    </xf>
    <xf numFmtId="0" fontId="64" fillId="0" borderId="204" applyAlignment="1">
      <alignment horizontal="center"/>
    </xf>
    <xf numFmtId="285" fontId="250" fillId="0" borderId="0"/>
    <xf numFmtId="198" fontId="9" fillId="0" borderId="0"/>
    <xf numFmtId="286" fontId="251" fillId="0" borderId="0"/>
    <xf numFmtId="285" fontId="250" fillId="0" borderId="0"/>
    <xf numFmtId="198" fontId="9" fillId="0" borderId="0"/>
    <xf numFmtId="286" fontId="251" fillId="0" borderId="0"/>
    <xf numFmtId="285" fontId="250" fillId="0" borderId="0"/>
    <xf numFmtId="198" fontId="9" fillId="0" borderId="0"/>
    <xf numFmtId="286" fontId="251" fillId="0" borderId="0"/>
    <xf numFmtId="285" fontId="250" fillId="0" borderId="0"/>
    <xf numFmtId="198" fontId="9" fillId="0" borderId="0"/>
    <xf numFmtId="286" fontId="251" fillId="0" borderId="0"/>
    <xf numFmtId="285" fontId="250" fillId="0" borderId="0"/>
    <xf numFmtId="198" fontId="9" fillId="0" borderId="0"/>
    <xf numFmtId="286" fontId="251" fillId="0" borderId="0"/>
    <xf numFmtId="285" fontId="250" fillId="0" borderId="0"/>
    <xf numFmtId="198" fontId="9" fillId="0" borderId="0"/>
    <xf numFmtId="286" fontId="251" fillId="0" borderId="0"/>
    <xf numFmtId="285" fontId="250" fillId="0" borderId="0"/>
    <xf numFmtId="198" fontId="9" fillId="0" borderId="0"/>
    <xf numFmtId="286" fontId="251" fillId="0" borderId="0"/>
    <xf numFmtId="285" fontId="250" fillId="0" borderId="0"/>
    <xf numFmtId="198" fontId="9" fillId="0" borderId="0"/>
    <xf numFmtId="286" fontId="251" fillId="0" borderId="0"/>
    <xf numFmtId="0" fontId="252" fillId="0" borderId="0" applyAlignment="1">
      <alignment horizontal="right"/>
    </xf>
    <xf numFmtId="39" fontId="14" fillId="0" borderId="0"/>
    <xf numFmtId="43" fontId="15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231" fontId="7" fillId="0" borderId="0"/>
    <xf numFmtId="231" fontId="9" fillId="0" borderId="0"/>
    <xf numFmtId="248" fontId="7" fillId="0" borderId="0" applyAlignment="1">
      <alignment horizontal="right"/>
    </xf>
    <xf numFmtId="43" fontId="7" fillId="0" borderId="0"/>
    <xf numFmtId="287" fontId="9" fillId="0" borderId="0"/>
    <xf numFmtId="43" fontId="9" fillId="0" borderId="0"/>
    <xf numFmtId="231" fontId="144" fillId="0" borderId="0"/>
    <xf numFmtId="43" fontId="9" fillId="0" borderId="0"/>
    <xf numFmtId="43" fontId="208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231" fontId="9" fillId="0" borderId="0" applyAlignment="1">
      <alignment vertical="center"/>
    </xf>
    <xf numFmtId="248" fontId="7" fillId="0" borderId="0" applyAlignment="1">
      <alignment horizontal="right"/>
    </xf>
    <xf numFmtId="43" fontId="145" fillId="0" borderId="0"/>
    <xf numFmtId="231" fontId="9" fillId="0" borderId="0"/>
    <xf numFmtId="231" fontId="144" fillId="0" borderId="0" applyAlignment="1">
      <alignment vertical="center"/>
    </xf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231" fontId="128" fillId="0" borderId="0"/>
    <xf numFmtId="248" fontId="7" fillId="0" borderId="0" applyAlignment="1">
      <alignment horizontal="right"/>
    </xf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15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231" fontId="253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253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15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15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199" fontId="9" fillId="0" borderId="0"/>
    <xf numFmtId="37" fontId="254" fillId="0" borderId="0"/>
    <xf numFmtId="172" fontId="254" fillId="0" borderId="0"/>
    <xf numFmtId="39" fontId="254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9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9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9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9" fillId="0" borderId="0"/>
    <xf numFmtId="0" fontId="39" fillId="16" borderId="0" applyAlignment="1">
      <alignment horizontal="center" vertical="center" wrapText="1"/>
    </xf>
    <xf numFmtId="0" fontId="255" fillId="16" borderId="0" applyAlignment="1">
      <alignment horizontal="center" vertical="center" wrapText="1"/>
    </xf>
    <xf numFmtId="0" fontId="39" fillId="16" borderId="0" applyAlignment="1">
      <alignment horizontal="center" vertical="center" wrapText="1"/>
    </xf>
    <xf numFmtId="239" fontId="256" fillId="0" borderId="0" applyAlignment="1">
      <alignment horizontal="left"/>
    </xf>
    <xf numFmtId="0" fontId="145" fillId="0" borderId="3" applyAlignment="1">
      <alignment horizontal="centerContinuous"/>
    </xf>
    <xf numFmtId="0" fontId="257" fillId="0" borderId="0"/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220" fontId="7" fillId="0" borderId="0"/>
    <xf numFmtId="182" fontId="9" fillId="0" borderId="0" applyAlignment="1" applyProtection="1">
      <alignment horizontal="right"/>
      <protection locked="0" hidden="0"/>
    </xf>
    <xf numFmtId="200" fontId="40" fillId="0" borderId="0" applyAlignment="1" applyProtection="1">
      <alignment horizontal="right"/>
      <protection locked="0" hidden="0"/>
    </xf>
    <xf numFmtId="0" fontId="258" fillId="0" borderId="0"/>
    <xf numFmtId="288" fontId="9" fillId="0" borderId="0"/>
    <xf numFmtId="230" fontId="254" fillId="0" borderId="0"/>
    <xf numFmtId="203" fontId="254" fillId="0" borderId="0"/>
    <xf numFmtId="201" fontId="78" fillId="0" borderId="0"/>
    <xf numFmtId="0" fontId="55" fillId="0" borderId="0"/>
    <xf numFmtId="0" fontId="40" fillId="0" borderId="0" applyProtection="1">
      <protection locked="0" hidden="0"/>
    </xf>
    <xf numFmtId="230" fontId="145" fillId="0" borderId="0"/>
    <xf numFmtId="203" fontId="145" fillId="0" borderId="0"/>
    <xf numFmtId="239" fontId="9" fillId="0" borderId="0"/>
    <xf numFmtId="39" fontId="145" fillId="0" borderId="0"/>
    <xf numFmtId="289" fontId="9" fillId="0" borderId="0"/>
    <xf numFmtId="290" fontId="9" fillId="0" borderId="0"/>
    <xf numFmtId="0" fontId="110" fillId="0" borderId="0" applyAlignment="1">
      <alignment horizontal="right"/>
    </xf>
    <xf numFmtId="0" fontId="9" fillId="21" borderId="229"/>
    <xf numFmtId="0" fontId="9" fillId="21" borderId="229"/>
    <xf numFmtId="14" fontId="60" fillId="0" borderId="0" applyAlignment="1">
      <alignment horizontal="left"/>
    </xf>
    <xf numFmtId="17" fontId="85" fillId="0" borderId="230"/>
    <xf numFmtId="17" fontId="85" fillId="0" borderId="230"/>
    <xf numFmtId="17" fontId="85" fillId="0" borderId="230"/>
    <xf numFmtId="17" fontId="85" fillId="0" borderId="230"/>
    <xf numFmtId="15" fontId="259" fillId="0" borderId="0"/>
    <xf numFmtId="15" fontId="206" fillId="0" borderId="0"/>
    <xf numFmtId="291" fontId="206" fillId="0" borderId="0"/>
    <xf numFmtId="15" fontId="215" fillId="19" borderId="0"/>
    <xf numFmtId="14" fontId="215" fillId="19" borderId="0"/>
    <xf numFmtId="14" fontId="145" fillId="0" borderId="0" applyAlignment="1">
      <alignment horizontal="right"/>
    </xf>
    <xf numFmtId="39" fontId="29" fillId="0" borderId="0"/>
    <xf numFmtId="212" fontId="29" fillId="0" borderId="0"/>
    <xf numFmtId="41" fontId="128" fillId="0" borderId="0"/>
    <xf numFmtId="167" fontId="7" fillId="0" borderId="0"/>
    <xf numFmtId="165" fontId="87" fillId="0" borderId="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220" fontId="114" fillId="0" borderId="0"/>
    <xf numFmtId="0" fontId="145" fillId="0" borderId="50"/>
    <xf numFmtId="0" fontId="261" fillId="0" borderId="0"/>
    <xf numFmtId="173" fontId="262" fillId="27" borderId="0" applyAlignment="1">
      <alignment horizontal="right"/>
    </xf>
    <xf numFmtId="0" fontId="145" fillId="0" borderId="0"/>
    <xf numFmtId="37" fontId="263" fillId="0" borderId="0"/>
    <xf numFmtId="292" fontId="206" fillId="0" borderId="0"/>
    <xf numFmtId="293" fontId="7" fillId="0" borderId="0"/>
    <xf numFmtId="294" fontId="9" fillId="0" borderId="0"/>
    <xf numFmtId="210" fontId="9" fillId="0" borderId="0"/>
    <xf numFmtId="295" fontId="144" fillId="0" borderId="0"/>
    <xf numFmtId="0" fontId="265" fillId="0" borderId="0" applyAlignment="1">
      <alignment vertical="center"/>
    </xf>
    <xf numFmtId="0" fontId="265" fillId="0" borderId="0" applyAlignment="1">
      <alignment vertical="center"/>
    </xf>
    <xf numFmtId="0" fontId="265" fillId="0" borderId="0" applyAlignment="1">
      <alignment vertical="center"/>
    </xf>
    <xf numFmtId="0" fontId="265" fillId="0" borderId="0" applyAlignment="1">
      <alignment vertical="center"/>
    </xf>
    <xf numFmtId="0" fontId="264" fillId="0" borderId="0"/>
    <xf numFmtId="0" fontId="40" fillId="0" borderId="0"/>
    <xf numFmtId="296" fontId="29" fillId="0" borderId="0" applyAlignment="1">
      <alignment horizontal="right"/>
    </xf>
    <xf numFmtId="43" fontId="9" fillId="0" borderId="0"/>
    <xf numFmtId="279" fontId="29" fillId="0" borderId="0" applyAlignment="1">
      <alignment horizontal="right"/>
    </xf>
    <xf numFmtId="2" fontId="9" fillId="0" borderId="0"/>
    <xf numFmtId="0" fontId="200" fillId="0" borderId="0" applyAlignment="1" applyProtection="1">
      <alignment vertical="top"/>
      <protection locked="0" hidden="0"/>
    </xf>
    <xf numFmtId="0" fontId="104" fillId="0" borderId="0"/>
    <xf numFmtId="214" fontId="66" fillId="0" borderId="0" applyProtection="1">
      <protection locked="0" hidden="0"/>
    </xf>
    <xf numFmtId="13" fontId="66" fillId="0" borderId="0" applyProtection="1">
      <protection locked="0" hidden="0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" fillId="0" borderId="0"/>
    <xf numFmtId="0" fontId="267" fillId="56" borderId="0" applyAlignment="1">
      <alignment vertical="center"/>
    </xf>
    <xf numFmtId="0" fontId="267" fillId="56" borderId="0" applyAlignment="1">
      <alignment vertical="center"/>
    </xf>
    <xf numFmtId="0" fontId="267" fillId="56" borderId="0" applyAlignment="1">
      <alignment vertical="center"/>
    </xf>
    <xf numFmtId="0" fontId="267" fillId="56" borderId="0" applyAlignment="1">
      <alignment vertical="center"/>
    </xf>
    <xf numFmtId="0" fontId="266" fillId="61" borderId="0"/>
    <xf numFmtId="0" fontId="268" fillId="87" borderId="0" applyAlignment="1">
      <alignment horizontal="left"/>
    </xf>
    <xf numFmtId="38" fontId="29" fillId="21" borderId="0"/>
    <xf numFmtId="38" fontId="29" fillId="21" borderId="0"/>
    <xf numFmtId="297" fontId="269" fillId="0" borderId="0"/>
    <xf numFmtId="297" fontId="269" fillId="0" borderId="0"/>
    <xf numFmtId="0" fontId="40" fillId="0" borderId="0"/>
    <xf numFmtId="0" fontId="40" fillId="0" borderId="0"/>
    <xf numFmtId="0" fontId="40" fillId="0" borderId="0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9" fontId="270" fillId="24" borderId="221"/>
    <xf numFmtId="172" fontId="271" fillId="19" borderId="0"/>
    <xf numFmtId="37" fontId="57" fillId="0" borderId="0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41" fillId="0" borderId="13" applyAlignment="1">
      <alignment horizontal="left" vertical="center"/>
    </xf>
    <xf numFmtId="0" fontId="41" fillId="0" borderId="13" applyAlignment="1">
      <alignment horizontal="left" vertical="center"/>
    </xf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272" fillId="0" borderId="0" applyAlignment="1">
      <alignment horizontal="center"/>
    </xf>
    <xf numFmtId="37" fontId="273" fillId="0" borderId="0"/>
    <xf numFmtId="0" fontId="274" fillId="0" borderId="0"/>
    <xf numFmtId="0" fontId="276" fillId="0" borderId="0"/>
    <xf numFmtId="0" fontId="277" fillId="0" borderId="58" applyAlignment="1">
      <alignment vertical="center"/>
    </xf>
    <xf numFmtId="0" fontId="277" fillId="0" borderId="58" applyAlignment="1">
      <alignment vertical="center"/>
    </xf>
    <xf numFmtId="0" fontId="277" fillId="0" borderId="58" applyAlignment="1">
      <alignment vertical="center"/>
    </xf>
    <xf numFmtId="0" fontId="278" fillId="0" borderId="59"/>
    <xf numFmtId="0" fontId="275" fillId="0" borderId="57"/>
    <xf numFmtId="269" fontId="279" fillId="88" borderId="0"/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1" fillId="0" borderId="0"/>
    <xf numFmtId="0" fontId="281" fillId="0" borderId="62" applyAlignment="1">
      <alignment vertical="center"/>
    </xf>
    <xf numFmtId="0" fontId="281" fillId="0" borderId="62" applyAlignment="1">
      <alignment vertical="center"/>
    </xf>
    <xf numFmtId="0" fontId="281" fillId="0" borderId="62" applyAlignment="1">
      <alignment vertical="center"/>
    </xf>
    <xf numFmtId="0" fontId="282" fillId="0" borderId="61"/>
    <xf numFmtId="0" fontId="280" fillId="0" borderId="61"/>
    <xf numFmtId="269" fontId="283" fillId="0" borderId="63"/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0" borderId="0"/>
    <xf numFmtId="0" fontId="285" fillId="0" borderId="65" applyAlignment="1">
      <alignment vertical="center"/>
    </xf>
    <xf numFmtId="0" fontId="285" fillId="0" borderId="65" applyAlignment="1">
      <alignment vertical="center"/>
    </xf>
    <xf numFmtId="0" fontId="285" fillId="0" borderId="65" applyAlignment="1">
      <alignment vertical="center"/>
    </xf>
    <xf numFmtId="0" fontId="286" fillId="0" borderId="66"/>
    <xf numFmtId="0" fontId="284" fillId="0" borderId="64"/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285" fillId="0" borderId="0" applyAlignment="1">
      <alignment vertical="center"/>
    </xf>
    <xf numFmtId="0" fontId="285" fillId="0" borderId="0" applyAlignment="1">
      <alignment vertical="center"/>
    </xf>
    <xf numFmtId="0" fontId="285" fillId="0" borderId="0" applyAlignment="1">
      <alignment vertical="center"/>
    </xf>
    <xf numFmtId="0" fontId="285" fillId="0" borderId="0" applyAlignment="1">
      <alignment vertical="center"/>
    </xf>
    <xf numFmtId="0" fontId="286" fillId="0" borderId="0"/>
    <xf numFmtId="0" fontId="284" fillId="0" borderId="0"/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287" fillId="0" borderId="0"/>
    <xf numFmtId="0" fontId="288" fillId="0" borderId="0" applyAlignment="1">
      <alignment horizontal="left" vertical="center"/>
    </xf>
    <xf numFmtId="0" fontId="288" fillId="0" borderId="0" applyAlignment="1">
      <alignment horizontal="left" vertical="center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100" fillId="0" borderId="0"/>
    <xf numFmtId="0" fontId="268" fillId="89" borderId="0" applyAlignment="1">
      <alignment horizontal="left"/>
    </xf>
    <xf numFmtId="300" fontId="251" fillId="0" borderId="0" applyProtection="1">
      <protection locked="0" hidden="0"/>
    </xf>
    <xf numFmtId="0" fontId="289" fillId="0" borderId="3" applyAlignment="1">
      <alignment horizontal="center"/>
    </xf>
    <xf numFmtId="0" fontId="289" fillId="0" borderId="0" applyAlignment="1">
      <alignment horizontal="center"/>
    </xf>
    <xf numFmtId="164" fontId="9" fillId="0" borderId="200" applyAlignment="1">
      <alignment horizontal="right"/>
    </xf>
    <xf numFmtId="301" fontId="14" fillId="0" borderId="0"/>
    <xf numFmtId="302" fontId="14" fillId="0" borderId="0"/>
    <xf numFmtId="0" fontId="290" fillId="0" borderId="0" applyAlignment="1" applyProtection="1">
      <alignment vertical="top"/>
      <protection locked="0" hidden="0"/>
    </xf>
    <xf numFmtId="0" fontId="12" fillId="0" borderId="0" applyAlignment="1" applyProtection="1">
      <alignment vertical="top"/>
      <protection locked="0" hidden="0"/>
    </xf>
    <xf numFmtId="0" fontId="46" fillId="0" borderId="0" applyAlignment="1" applyProtection="1">
      <alignment vertical="top"/>
      <protection locked="0" hidden="0"/>
    </xf>
    <xf numFmtId="0" fontId="291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0" fontId="292" fillId="0" borderId="0" applyAlignment="1" applyProtection="1">
      <alignment horizontal="center" vertical="center"/>
      <protection locked="0" hidden="0"/>
    </xf>
    <xf numFmtId="0" fontId="293" fillId="0" borderId="0" applyAlignment="1" applyProtection="1">
      <alignment horizontal="left" vertical="center"/>
      <protection locked="0" hidden="0"/>
    </xf>
    <xf numFmtId="0" fontId="9" fillId="0" borderId="0"/>
    <xf numFmtId="0" fontId="9" fillId="0" borderId="0"/>
    <xf numFmtId="49" fontId="9" fillId="0" borderId="0"/>
    <xf numFmtId="49" fontId="215" fillId="19" borderId="0"/>
    <xf numFmtId="49" fontId="294" fillId="19" borderId="0"/>
    <xf numFmtId="165" fontId="9" fillId="23" borderId="221"/>
    <xf numFmtId="165" fontId="9" fillId="23" borderId="221"/>
    <xf numFmtId="165" fontId="9" fillId="23" borderId="221"/>
    <xf numFmtId="10" fontId="29" fillId="24" borderId="221"/>
    <xf numFmtId="10" fontId="29" fillId="24" borderId="221"/>
    <xf numFmtId="10" fontId="29" fillId="24" borderId="221"/>
    <xf numFmtId="10" fontId="29" fillId="39" borderId="221"/>
    <xf numFmtId="10" fontId="29" fillId="24" borderId="221"/>
    <xf numFmtId="10" fontId="29" fillId="24" borderId="221"/>
    <xf numFmtId="10" fontId="29" fillId="24" borderId="221"/>
    <xf numFmtId="10" fontId="29" fillId="39" borderId="22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269" fontId="221" fillId="90" borderId="68"/>
    <xf numFmtId="0" fontId="295" fillId="60" borderId="211"/>
    <xf numFmtId="0" fontId="295" fillId="60" borderId="211"/>
    <xf numFmtId="269" fontId="221" fillId="90" borderId="68"/>
    <xf numFmtId="0" fontId="295" fillId="60" borderId="211"/>
    <xf numFmtId="0" fontId="295" fillId="60" borderId="211"/>
    <xf numFmtId="269" fontId="221" fillId="90" borderId="68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13" fontId="68" fillId="0" borderId="5" applyAlignment="1" applyProtection="1">
      <alignment horizontal="right" wrapText="1"/>
      <protection locked="0" hidden="0"/>
    </xf>
    <xf numFmtId="217" fontId="7" fillId="25" borderId="0"/>
    <xf numFmtId="216" fontId="9" fillId="24" borderId="221"/>
    <xf numFmtId="172" fontId="114" fillId="0" borderId="0" applyProtection="1">
      <protection locked="0" hidden="0"/>
    </xf>
    <xf numFmtId="240" fontId="107" fillId="23" borderId="0" applyAlignment="1" applyProtection="1">
      <alignment horizontal="left"/>
      <protection locked="0" hidden="0"/>
    </xf>
    <xf numFmtId="15" fontId="106" fillId="0" borderId="0" applyProtection="1">
      <protection locked="0" hidden="0"/>
    </xf>
    <xf numFmtId="2" fontId="106" fillId="0" borderId="7" applyProtection="1">
      <protection locked="0" hidden="0"/>
    </xf>
    <xf numFmtId="0" fontId="9" fillId="0" borderId="0"/>
    <xf numFmtId="0" fontId="40" fillId="0" borderId="0" applyAlignment="1" applyProtection="1">
      <alignment horizontal="right"/>
      <protection locked="0" hidden="0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303" fontId="9" fillId="0" borderId="0" applyAlignment="1" applyProtection="1">
      <alignment horizontal="right"/>
      <protection locked="0" hidden="0"/>
    </xf>
    <xf numFmtId="219" fontId="40" fillId="0" borderId="0" applyAlignment="1" applyProtection="1">
      <alignment horizontal="right"/>
      <protection locked="0" hidden="0"/>
    </xf>
    <xf numFmtId="0" fontId="29" fillId="0" borderId="0"/>
    <xf numFmtId="0" fontId="64" fillId="0" borderId="0"/>
    <xf numFmtId="0" fontId="29" fillId="0" borderId="0"/>
    <xf numFmtId="0" fontId="40" fillId="0" borderId="0" applyAlignment="1" applyProtection="1">
      <alignment horizontal="right"/>
      <protection locked="0" hidden="0"/>
    </xf>
    <xf numFmtId="304" fontId="9" fillId="92" borderId="0"/>
    <xf numFmtId="0" fontId="43" fillId="28" borderId="202" applyAlignment="1">
      <alignment horizontal="left" vertical="center" wrapText="1"/>
    </xf>
    <xf numFmtId="0" fontId="43" fillId="28" borderId="202" applyAlignment="1">
      <alignment horizontal="left" vertical="center" wrapText="1"/>
    </xf>
    <xf numFmtId="0" fontId="43" fillId="28" borderId="202" applyAlignment="1">
      <alignment horizontal="left" vertical="center" wrapText="1"/>
    </xf>
    <xf numFmtId="0" fontId="44" fillId="37" borderId="202" applyAlignment="1">
      <alignment horizontal="left" vertical="center" wrapText="1"/>
    </xf>
    <xf numFmtId="203" fontId="114" fillId="0" borderId="0"/>
    <xf numFmtId="15" fontId="9" fillId="0" borderId="0"/>
    <xf numFmtId="0" fontId="144" fillId="0" borderId="0"/>
    <xf numFmtId="0" fontId="73" fillId="0" borderId="0"/>
    <xf numFmtId="305" fontId="51" fillId="29" borderId="203"/>
    <xf numFmtId="305" fontId="51" fillId="29" borderId="203"/>
    <xf numFmtId="220" fontId="51" fillId="29" borderId="203"/>
    <xf numFmtId="220" fontId="51" fillId="29" borderId="203"/>
    <xf numFmtId="220" fontId="51" fillId="29" borderId="203"/>
    <xf numFmtId="305" fontId="51" fillId="29" borderId="203"/>
    <xf numFmtId="0" fontId="298" fillId="0" borderId="70" applyAlignment="1">
      <alignment vertical="center"/>
    </xf>
    <xf numFmtId="0" fontId="298" fillId="0" borderId="70" applyAlignment="1">
      <alignment vertical="center"/>
    </xf>
    <xf numFmtId="0" fontId="298" fillId="0" borderId="70" applyAlignment="1">
      <alignment vertical="center"/>
    </xf>
    <xf numFmtId="0" fontId="298" fillId="0" borderId="70" applyAlignment="1">
      <alignment vertical="center"/>
    </xf>
    <xf numFmtId="0" fontId="297" fillId="0" borderId="70"/>
    <xf numFmtId="217" fontId="7" fillId="30" borderId="0"/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14" fontId="226" fillId="0" borderId="0"/>
    <xf numFmtId="307" fontId="226" fillId="0" borderId="0"/>
    <xf numFmtId="308" fontId="299" fillId="92" borderId="0" applyAlignment="1">
      <alignment horizontal="right"/>
    </xf>
    <xf numFmtId="41" fontId="9" fillId="0" borderId="0"/>
    <xf numFmtId="43" fontId="9" fillId="0" borderId="0"/>
    <xf numFmtId="309" fontId="235" fillId="0" borderId="0" applyAlignment="1">
      <alignment horizontal="right"/>
    </xf>
    <xf numFmtId="17" fontId="226" fillId="0" borderId="0"/>
    <xf numFmtId="17" fontId="221" fillId="0" borderId="0"/>
    <xf numFmtId="172" fontId="9" fillId="0" borderId="0"/>
    <xf numFmtId="0" fontId="41" fillId="0" borderId="0" applyAlignment="1">
      <alignment horizontal="left" vertical="center"/>
    </xf>
    <xf numFmtId="42" fontId="9" fillId="0" borderId="0"/>
    <xf numFmtId="195" fontId="9" fillId="0" borderId="0"/>
    <xf numFmtId="310" fontId="9" fillId="0" borderId="0"/>
    <xf numFmtId="311" fontId="9" fillId="0" borderId="0"/>
    <xf numFmtId="312" fontId="40" fillId="0" borderId="0"/>
    <xf numFmtId="220" fontId="40" fillId="0" borderId="0"/>
    <xf numFmtId="260" fontId="206" fillId="0" borderId="0"/>
    <xf numFmtId="0" fontId="145" fillId="0" borderId="0" applyAlignment="1">
      <alignment horizontal="centerContinuous"/>
    </xf>
    <xf numFmtId="313" fontId="300" fillId="31" borderId="0"/>
    <xf numFmtId="0" fontId="301" fillId="0" borderId="0" applyAlignment="1">
      <alignment horizontal="right"/>
    </xf>
    <xf numFmtId="269" fontId="302" fillId="0" borderId="0"/>
    <xf numFmtId="0" fontId="304" fillId="66" borderId="0" applyAlignment="1">
      <alignment vertical="center"/>
    </xf>
    <xf numFmtId="0" fontId="304" fillId="66" borderId="0" applyAlignment="1">
      <alignment vertical="center"/>
    </xf>
    <xf numFmtId="0" fontId="304" fillId="66" borderId="0" applyAlignment="1">
      <alignment vertical="center"/>
    </xf>
    <xf numFmtId="0" fontId="304" fillId="66" borderId="0" applyAlignment="1">
      <alignment vertical="center"/>
    </xf>
    <xf numFmtId="0" fontId="303" fillId="62" borderId="0"/>
    <xf numFmtId="0" fontId="7" fillId="0" borderId="0"/>
    <xf numFmtId="0" fontId="305" fillId="0" borderId="71"/>
    <xf numFmtId="314" fontId="206" fillId="0" borderId="0"/>
    <xf numFmtId="315" fontId="206" fillId="0" borderId="0"/>
    <xf numFmtId="316" fontId="9" fillId="0" borderId="0"/>
    <xf numFmtId="0" fontId="112" fillId="0" borderId="0"/>
    <xf numFmtId="317" fontId="144" fillId="0" borderId="0"/>
    <xf numFmtId="0" fontId="112" fillId="0" borderId="0"/>
    <xf numFmtId="1" fontId="9" fillId="0" borderId="0"/>
    <xf numFmtId="186" fontId="9" fillId="0" borderId="0"/>
    <xf numFmtId="2" fontId="9" fillId="0" borderId="0"/>
    <xf numFmtId="0" fontId="253" fillId="0" borderId="0" applyProtection="1">
      <protection locked="0" hidden="0"/>
    </xf>
    <xf numFmtId="0" fontId="15" fillId="0" borderId="0"/>
    <xf numFmtId="0" fontId="207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207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4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9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7" fillId="0" borderId="0"/>
    <xf numFmtId="269" fontId="206" fillId="0" borderId="0"/>
    <xf numFmtId="0" fontId="9" fillId="0" borderId="0"/>
    <xf numFmtId="0" fontId="77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269" fontId="206" fillId="0" borderId="0"/>
    <xf numFmtId="0" fontId="9" fillId="0" borderId="0"/>
    <xf numFmtId="0" fontId="9" fillId="0" borderId="0"/>
    <xf numFmtId="269" fontId="20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44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9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7" fillId="0" borderId="0" applyProtection="1">
      <protection locked="0" hidden="0"/>
    </xf>
    <xf numFmtId="0" fontId="9" fillId="0" borderId="0"/>
    <xf numFmtId="0" fontId="7" fillId="0" borderId="0" applyProtection="1">
      <protection locked="0" hidden="0"/>
    </xf>
    <xf numFmtId="0" fontId="7" fillId="0" borderId="0" applyProtection="1">
      <protection locked="0" hidden="0"/>
    </xf>
    <xf numFmtId="0" fontId="9" fillId="0" borderId="0"/>
    <xf numFmtId="0" fontId="29" fillId="0" borderId="0" applyAlignment="1">
      <alignment horizontal="center"/>
    </xf>
    <xf numFmtId="0" fontId="77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5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5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5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 applyProtection="1">
      <protection locked="0" hidden="0"/>
    </xf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306" fillId="0" borderId="0" applyProtection="1">
      <protection locked="0" hidden="0"/>
    </xf>
    <xf numFmtId="0" fontId="128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207" fillId="0" borderId="0" applyAlignment="1">
      <alignment vertical="center"/>
    </xf>
    <xf numFmtId="0" fontId="9" fillId="0" borderId="0"/>
    <xf numFmtId="0" fontId="207" fillId="0" borderId="0" applyAlignment="1">
      <alignment vertical="center"/>
    </xf>
    <xf numFmtId="0" fontId="9" fillId="0" borderId="0"/>
    <xf numFmtId="0" fontId="207" fillId="0" borderId="0" applyAlignment="1">
      <alignment vertical="center"/>
    </xf>
    <xf numFmtId="0" fontId="9" fillId="0" borderId="0"/>
    <xf numFmtId="0" fontId="207" fillId="0" borderId="0" applyAlignment="1">
      <alignment vertical="center"/>
    </xf>
    <xf numFmtId="0" fontId="9" fillId="0" borderId="0"/>
    <xf numFmtId="0" fontId="207" fillId="0" borderId="0" applyAlignment="1">
      <alignment vertical="center"/>
    </xf>
    <xf numFmtId="0" fontId="9" fillId="0" borderId="0"/>
    <xf numFmtId="0" fontId="207" fillId="0" borderId="0" applyAlignment="1">
      <alignment vertical="center"/>
    </xf>
    <xf numFmtId="0" fontId="9" fillId="0" borderId="0"/>
    <xf numFmtId="0" fontId="207" fillId="0" borderId="0" applyAlignment="1">
      <alignment vertical="center"/>
    </xf>
    <xf numFmtId="0" fontId="9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 applyProtection="1">
      <protection locked="0" hidden="0"/>
    </xf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 applyProtection="1">
      <protection locked="0" hidden="0"/>
    </xf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8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8" fillId="0" borderId="0" applyProtection="1">
      <protection locked="0" hidden="0"/>
    </xf>
    <xf numFmtId="0" fontId="15" fillId="0" borderId="0"/>
    <xf numFmtId="0" fontId="207" fillId="0" borderId="0" applyAlignment="1">
      <alignment vertical="center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8" fillId="0" borderId="0" applyProtection="1">
      <protection locked="0" hidden="0"/>
    </xf>
    <xf numFmtId="0" fontId="15" fillId="0" borderId="0"/>
    <xf numFmtId="0" fontId="207" fillId="0" borderId="0" applyAlignment="1">
      <alignment vertical="center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9" fillId="0" borderId="0"/>
    <xf numFmtId="0" fontId="128" fillId="0" borderId="0" applyProtection="1">
      <protection locked="0" hidden="0"/>
    </xf>
    <xf numFmtId="0" fontId="15" fillId="0" borderId="0"/>
    <xf numFmtId="0" fontId="207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8" fontId="308" fillId="0" borderId="0"/>
    <xf numFmtId="0" fontId="9" fillId="0" borderId="0"/>
    <xf numFmtId="0" fontId="9" fillId="0" borderId="0"/>
    <xf numFmtId="38" fontId="7" fillId="0" borderId="0" applyAlignment="1">
      <alignment horizontal="right"/>
    </xf>
    <xf numFmtId="0" fontId="309" fillId="0" borderId="0"/>
    <xf numFmtId="0" fontId="9" fillId="0" borderId="0"/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8" fillId="66" borderId="213"/>
    <xf numFmtId="0" fontId="208" fillId="66" borderId="213"/>
    <xf numFmtId="0" fontId="6" fillId="62" borderId="213"/>
    <xf numFmtId="0" fontId="6" fillId="62" borderId="213"/>
    <xf numFmtId="0" fontId="6" fillId="62" borderId="213"/>
    <xf numFmtId="0" fontId="115" fillId="0" borderId="7"/>
    <xf numFmtId="314" fontId="209" fillId="0" borderId="0"/>
    <xf numFmtId="225" fontId="45" fillId="0" borderId="0"/>
    <xf numFmtId="172" fontId="116" fillId="0" borderId="0"/>
    <xf numFmtId="318" fontId="310" fillId="0" borderId="0"/>
    <xf numFmtId="0" fontId="29" fillId="0" borderId="0"/>
    <xf numFmtId="0" fontId="64" fillId="0" borderId="0"/>
    <xf numFmtId="0" fontId="245" fillId="0" borderId="0"/>
    <xf numFmtId="0" fontId="64" fillId="0" borderId="0"/>
    <xf numFmtId="0" fontId="311" fillId="0" borderId="0"/>
    <xf numFmtId="0" fontId="29" fillId="0" borderId="0"/>
    <xf numFmtId="319" fontId="312" fillId="0" borderId="0"/>
    <xf numFmtId="0" fontId="226" fillId="0" borderId="7"/>
    <xf numFmtId="0" fontId="227" fillId="0" borderId="7"/>
    <xf numFmtId="320" fontId="313" fillId="0" borderId="0" applyAlignment="1" applyProtection="1">
      <alignment horizontal="center"/>
      <protection locked="0" hidden="0"/>
    </xf>
    <xf numFmtId="0" fontId="145" fillId="0" borderId="0"/>
    <xf numFmtId="0" fontId="314" fillId="0" borderId="0"/>
    <xf numFmtId="0" fontId="145" fillId="0" borderId="0"/>
    <xf numFmtId="0" fontId="145" fillId="0" borderId="0"/>
    <xf numFmtId="321" fontId="315" fillId="0" borderId="0"/>
    <xf numFmtId="322" fontId="315" fillId="0" borderId="0"/>
    <xf numFmtId="0" fontId="62" fillId="0" borderId="0"/>
    <xf numFmtId="43" fontId="62" fillId="0" borderId="0"/>
    <xf numFmtId="0" fontId="316" fillId="0" borderId="0" applyAlignment="1" applyProtection="1">
      <alignment vertical="top"/>
      <protection locked="0" hidden="0"/>
    </xf>
    <xf numFmtId="169" fontId="317" fillId="0" borderId="0" applyAlignment="1">
      <alignment horizontal="right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8" fillId="73" borderId="214"/>
    <xf numFmtId="0" fontId="318" fillId="73" borderId="214"/>
    <xf numFmtId="0" fontId="318" fillId="32" borderId="214"/>
    <xf numFmtId="0" fontId="318" fillId="32" borderId="214"/>
    <xf numFmtId="0" fontId="318" fillId="32" borderId="214"/>
    <xf numFmtId="40" fontId="320" fillId="39" borderId="0" applyAlignment="1">
      <alignment horizontal="right"/>
    </xf>
    <xf numFmtId="40" fontId="320" fillId="39" borderId="0" applyAlignment="1">
      <alignment horizontal="right"/>
    </xf>
    <xf numFmtId="40" fontId="128" fillId="39" borderId="0" applyAlignment="1">
      <alignment horizontal="right"/>
    </xf>
    <xf numFmtId="0" fontId="321" fillId="39" borderId="0" applyAlignment="1">
      <alignment horizontal="right"/>
    </xf>
    <xf numFmtId="0" fontId="322" fillId="39" borderId="31"/>
    <xf numFmtId="0" fontId="323" fillId="0" borderId="0" applyAlignment="1">
      <alignment horizontal="centerContinuous"/>
    </xf>
    <xf numFmtId="0" fontId="323" fillId="0" borderId="0" applyAlignment="1">
      <alignment horizontal="centerContinuous"/>
    </xf>
    <xf numFmtId="0" fontId="324" fillId="0" borderId="0" applyAlignment="1">
      <alignment horizontal="centerContinuous"/>
    </xf>
    <xf numFmtId="3" fontId="12" fillId="39" borderId="0"/>
    <xf numFmtId="9" fontId="145" fillId="0" borderId="216"/>
    <xf numFmtId="9" fontId="145" fillId="0" borderId="216"/>
    <xf numFmtId="0" fontId="40" fillId="17" borderId="0"/>
    <xf numFmtId="0" fontId="92" fillId="0" borderId="76"/>
    <xf numFmtId="0" fontId="7" fillId="19" borderId="0"/>
    <xf numFmtId="0" fontId="29" fillId="14" borderId="7" applyAlignment="1">
      <alignment horizontal="center"/>
    </xf>
    <xf numFmtId="0" fontId="29" fillId="14" borderId="7" applyAlignment="1">
      <alignment horizontal="center"/>
    </xf>
    <xf numFmtId="0" fontId="29" fillId="55" borderId="7" applyAlignment="1">
      <alignment horizontal="center"/>
    </xf>
    <xf numFmtId="0" fontId="29" fillId="55" borderId="7" applyAlignment="1">
      <alignment horizontal="center"/>
    </xf>
    <xf numFmtId="0" fontId="7" fillId="0" borderId="77"/>
    <xf numFmtId="0" fontId="7" fillId="0" borderId="77"/>
    <xf numFmtId="0" fontId="7" fillId="0" borderId="207"/>
    <xf numFmtId="0" fontId="92" fillId="0" borderId="79"/>
    <xf numFmtId="239" fontId="325" fillId="0" borderId="10" applyAlignment="1">
      <alignment vertical="center"/>
    </xf>
    <xf numFmtId="323" fontId="29" fillId="0" borderId="0"/>
    <xf numFmtId="0" fontId="326" fillId="0" borderId="7"/>
    <xf numFmtId="165" fontId="9" fillId="0" borderId="0"/>
    <xf numFmtId="10" fontId="9" fillId="0" borderId="0"/>
    <xf numFmtId="10" fontId="9" fillId="0" borderId="0"/>
    <xf numFmtId="10" fontId="144" fillId="0" borderId="0"/>
    <xf numFmtId="9" fontId="327" fillId="0" borderId="0" applyAlignment="1">
      <alignment vertical="center"/>
    </xf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327" fillId="0" borderId="0" applyAlignment="1">
      <alignment vertical="center"/>
    </xf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7" fillId="0" borderId="0"/>
    <xf numFmtId="9" fontId="9" fillId="0" borderId="0"/>
    <xf numFmtId="251" fontId="199" fillId="0" borderId="0" applyAlignment="1">
      <alignment horizontal="right"/>
    </xf>
    <xf numFmtId="9" fontId="9" fillId="0" borderId="0"/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128" fillId="0" borderId="0"/>
    <xf numFmtId="9" fontId="328" fillId="0" borderId="0"/>
    <xf numFmtId="9" fontId="328" fillId="0" borderId="0"/>
    <xf numFmtId="9" fontId="328" fillId="0" borderId="0"/>
    <xf numFmtId="9" fontId="328" fillId="0" borderId="0"/>
    <xf numFmtId="9" fontId="328" fillId="0" borderId="0"/>
    <xf numFmtId="9" fontId="328" fillId="0" borderId="0"/>
    <xf numFmtId="9" fontId="144" fillId="0" borderId="0" applyAlignment="1">
      <alignment vertical="center"/>
    </xf>
    <xf numFmtId="9" fontId="77" fillId="0" borderId="0"/>
    <xf numFmtId="251" fontId="199" fillId="0" borderId="0" applyAlignment="1">
      <alignment horizontal="right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9" fillId="0" borderId="0"/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9" fillId="0" borderId="0"/>
    <xf numFmtId="9" fontId="15" fillId="0" borderId="0"/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9" fillId="0" borderId="0"/>
    <xf numFmtId="9" fontId="9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5" fillId="0" borderId="0"/>
    <xf numFmtId="9" fontId="8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5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208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327" fillId="0" borderId="0" applyAlignment="1">
      <alignment vertical="center"/>
    </xf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206" fillId="0" borderId="0"/>
    <xf numFmtId="9" fontId="9" fillId="0" borderId="0"/>
    <xf numFmtId="9" fontId="9" fillId="0" borderId="0"/>
    <xf numFmtId="9" fontId="206" fillId="0" borderId="0"/>
    <xf numFmtId="9" fontId="9" fillId="0" borderId="0"/>
    <xf numFmtId="9" fontId="9" fillId="0" borderId="0"/>
    <xf numFmtId="9" fontId="206" fillId="0" borderId="0"/>
    <xf numFmtId="9" fontId="9" fillId="0" borderId="0"/>
    <xf numFmtId="323" fontId="329" fillId="0" borderId="0"/>
    <xf numFmtId="9" fontId="40" fillId="0" borderId="210"/>
    <xf numFmtId="324" fontId="9" fillId="0" borderId="0" applyAlignment="1" applyProtection="1">
      <alignment horizontal="right"/>
      <protection locked="0" hidden="0"/>
    </xf>
    <xf numFmtId="228" fontId="40" fillId="0" borderId="0" applyAlignment="1" applyProtection="1">
      <alignment horizontal="right"/>
      <protection locked="0" hidden="0"/>
    </xf>
    <xf numFmtId="0" fontId="64" fillId="0" borderId="0" applyAlignment="1">
      <alignment vertical="center"/>
    </xf>
    <xf numFmtId="325" fontId="29" fillId="0" borderId="0" applyAlignment="1">
      <alignment horizontal="right"/>
    </xf>
    <xf numFmtId="38" fontId="29" fillId="0" borderId="0" applyAlignment="1">
      <alignment horizontal="right"/>
    </xf>
    <xf numFmtId="0" fontId="116" fillId="0" borderId="0"/>
    <xf numFmtId="0" fontId="47" fillId="41" borderId="0"/>
    <xf numFmtId="186" fontId="128" fillId="0" borderId="0"/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0" fontId="330" fillId="0" borderId="0" applyAlignment="1">
      <alignment horizontal="left"/>
    </xf>
    <xf numFmtId="176" fontId="9" fillId="0" borderId="0"/>
    <xf numFmtId="1" fontId="9" fillId="0" borderId="7" applyAlignment="1">
      <alignment horizontal="center" vertical="center"/>
    </xf>
    <xf numFmtId="0" fontId="7" fillId="0" borderId="0" applyAlignment="1">
      <alignment vertical="top"/>
    </xf>
    <xf numFmtId="173" fontId="9" fillId="0" borderId="0"/>
    <xf numFmtId="172" fontId="9" fillId="0" borderId="0" applyAlignment="1" applyProtection="1">
      <alignment horizontal="right"/>
      <protection locked="0" hidden="0"/>
    </xf>
    <xf numFmtId="232" fontId="40" fillId="0" borderId="0" applyAlignment="1" applyProtection="1">
      <alignment horizontal="right"/>
      <protection locked="0" hidden="0"/>
    </xf>
    <xf numFmtId="326" fontId="29" fillId="0" borderId="0" applyAlignment="1">
      <alignment horizontal="right"/>
    </xf>
    <xf numFmtId="327" fontId="9" fillId="0" borderId="0" applyAlignment="1" applyProtection="1">
      <alignment horizontal="right"/>
      <protection locked="0" hidden="0"/>
    </xf>
    <xf numFmtId="233" fontId="40" fillId="0" borderId="0" applyAlignment="1" applyProtection="1">
      <alignment horizontal="right"/>
      <protection locked="0" hidden="0"/>
    </xf>
    <xf numFmtId="0" fontId="122" fillId="0" borderId="1" applyAlignment="1">
      <alignment horizontal="right"/>
    </xf>
    <xf numFmtId="0" fontId="122" fillId="0" borderId="1" applyAlignment="1">
      <alignment horizontal="right"/>
    </xf>
    <xf numFmtId="0" fontId="122" fillId="0" borderId="1" applyAlignment="1">
      <alignment horizontal="right"/>
    </xf>
    <xf numFmtId="0" fontId="122" fillId="0" borderId="1" applyAlignment="1">
      <alignment horizontal="right"/>
    </xf>
    <xf numFmtId="0" fontId="331" fillId="94" borderId="0" applyAlignment="1">
      <alignment horizontal="center"/>
    </xf>
    <xf numFmtId="176" fontId="7" fillId="0" borderId="0" applyAlignment="1">
      <alignment horizontal="left"/>
    </xf>
    <xf numFmtId="271" fontId="29" fillId="0" borderId="0" applyAlignment="1">
      <alignment horizontal="right" vertical="center"/>
    </xf>
    <xf numFmtId="277" fontId="29" fillId="0" borderId="0" applyAlignment="1">
      <alignment horizontal="right" vertical="center"/>
    </xf>
    <xf numFmtId="273" fontId="29" fillId="0" borderId="0" applyAlignment="1">
      <alignment horizontal="right" vertical="center"/>
    </xf>
    <xf numFmtId="274" fontId="29" fillId="0" borderId="0" applyAlignment="1">
      <alignment horizontal="right" vertical="center"/>
    </xf>
    <xf numFmtId="275" fontId="29" fillId="0" borderId="0" applyAlignment="1">
      <alignment horizontal="right" vertical="center"/>
    </xf>
    <xf numFmtId="276" fontId="29" fillId="0" borderId="0" applyAlignment="1">
      <alignment horizontal="right" vertical="center"/>
    </xf>
    <xf numFmtId="0" fontId="104" fillId="0" borderId="0"/>
    <xf numFmtId="0" fontId="9" fillId="0" borderId="0"/>
    <xf numFmtId="241" fontId="7" fillId="0" borderId="0"/>
    <xf numFmtId="0" fontId="144" fillId="0" borderId="0"/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172" fontId="332" fillId="0" borderId="0"/>
    <xf numFmtId="172" fontId="332" fillId="0" borderId="0"/>
    <xf numFmtId="172" fontId="332" fillId="0" borderId="0"/>
    <xf numFmtId="172" fontId="332" fillId="0" borderId="0"/>
    <xf numFmtId="172" fontId="332" fillId="0" borderId="0"/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4" fontId="333" fillId="62" borderId="217" applyAlignment="1">
      <alignment vertical="center"/>
    </xf>
    <xf numFmtId="4" fontId="334" fillId="23" borderId="217" applyAlignment="1">
      <alignment vertical="center"/>
    </xf>
    <xf numFmtId="4" fontId="333" fillId="23" borderId="217" applyAlignment="1">
      <alignment horizontal="left" vertical="center"/>
    </xf>
    <xf numFmtId="0" fontId="333" fillId="23" borderId="217" applyAlignment="1">
      <alignment horizontal="left" vertical="top"/>
    </xf>
    <xf numFmtId="4" fontId="333" fillId="95" borderId="0" applyAlignment="1">
      <alignment horizontal="left" vertical="center"/>
    </xf>
    <xf numFmtId="4" fontId="128" fillId="2" borderId="217" applyAlignment="1">
      <alignment horizontal="right" vertical="center"/>
    </xf>
    <xf numFmtId="4" fontId="128" fillId="58" borderId="217" applyAlignment="1">
      <alignment horizontal="right" vertical="center"/>
    </xf>
    <xf numFmtId="4" fontId="128" fillId="7" borderId="217" applyAlignment="1">
      <alignment horizontal="right" vertical="center"/>
    </xf>
    <xf numFmtId="4" fontId="128" fillId="74" borderId="217" applyAlignment="1">
      <alignment horizontal="right" vertical="center"/>
    </xf>
    <xf numFmtId="4" fontId="128" fillId="8" borderId="217" applyAlignment="1">
      <alignment horizontal="right" vertical="center"/>
    </xf>
    <xf numFmtId="4" fontId="128" fillId="3" borderId="217" applyAlignment="1">
      <alignment horizontal="right" vertical="center"/>
    </xf>
    <xf numFmtId="4" fontId="128" fillId="84" borderId="217" applyAlignment="1">
      <alignment horizontal="right" vertical="center"/>
    </xf>
    <xf numFmtId="4" fontId="128" fillId="4" borderId="217" applyAlignment="1">
      <alignment horizontal="right" vertical="center"/>
    </xf>
    <xf numFmtId="4" fontId="128" fillId="5" borderId="217" applyAlignment="1">
      <alignment horizontal="right" vertical="center"/>
    </xf>
    <xf numFmtId="4" fontId="333" fillId="96" borderId="208" applyAlignment="1">
      <alignment horizontal="left" vertical="center"/>
    </xf>
    <xf numFmtId="4" fontId="128" fillId="65" borderId="0" applyAlignment="1">
      <alignment horizontal="left" vertical="center"/>
    </xf>
    <xf numFmtId="4" fontId="335" fillId="75" borderId="0" applyAlignment="1">
      <alignment horizontal="left" vertical="center"/>
    </xf>
    <xf numFmtId="4" fontId="128" fillId="36" borderId="217" applyAlignment="1">
      <alignment horizontal="right" vertical="center"/>
    </xf>
    <xf numFmtId="4" fontId="128" fillId="65" borderId="0" applyAlignment="1">
      <alignment horizontal="left" vertical="center"/>
    </xf>
    <xf numFmtId="4" fontId="128" fillId="95" borderId="0" applyAlignment="1">
      <alignment horizontal="left" vertical="center"/>
    </xf>
    <xf numFmtId="0" fontId="9" fillId="75" borderId="217" applyAlignment="1">
      <alignment horizontal="left" vertical="center"/>
    </xf>
    <xf numFmtId="0" fontId="9" fillId="75" borderId="217" applyAlignment="1">
      <alignment horizontal="left" vertical="top"/>
    </xf>
    <xf numFmtId="0" fontId="9" fillId="95" borderId="217" applyAlignment="1">
      <alignment horizontal="left" vertical="center"/>
    </xf>
    <xf numFmtId="0" fontId="9" fillId="95" borderId="217" applyAlignment="1">
      <alignment horizontal="left" vertical="top"/>
    </xf>
    <xf numFmtId="0" fontId="9" fillId="55" borderId="217" applyAlignment="1">
      <alignment horizontal="left" vertical="center"/>
    </xf>
    <xf numFmtId="0" fontId="9" fillId="55" borderId="217" applyAlignment="1">
      <alignment horizontal="left" vertical="top"/>
    </xf>
    <xf numFmtId="0" fontId="9" fillId="14" borderId="217" applyAlignment="1">
      <alignment horizontal="left" vertical="center"/>
    </xf>
    <xf numFmtId="0" fontId="9" fillId="14" borderId="217" applyAlignment="1">
      <alignment horizontal="left" vertical="top"/>
    </xf>
    <xf numFmtId="4" fontId="128" fillId="24" borderId="217" applyAlignment="1">
      <alignment vertical="center"/>
    </xf>
    <xf numFmtId="4" fontId="336" fillId="24" borderId="217" applyAlignment="1">
      <alignment vertical="center"/>
    </xf>
    <xf numFmtId="4" fontId="128" fillId="24" borderId="217" applyAlignment="1">
      <alignment horizontal="left" vertical="center"/>
    </xf>
    <xf numFmtId="0" fontId="128" fillId="24" borderId="217" applyAlignment="1">
      <alignment horizontal="left" vertical="top"/>
    </xf>
    <xf numFmtId="4" fontId="128" fillId="65" borderId="217" applyAlignment="1">
      <alignment horizontal="right" vertical="center"/>
    </xf>
    <xf numFmtId="4" fontId="336" fillId="65" borderId="217" applyAlignment="1">
      <alignment horizontal="right" vertical="center"/>
    </xf>
    <xf numFmtId="4" fontId="128" fillId="36" borderId="217" applyAlignment="1">
      <alignment horizontal="left" vertical="center"/>
    </xf>
    <xf numFmtId="0" fontId="128" fillId="95" borderId="217" applyAlignment="1">
      <alignment horizontal="left" vertical="top"/>
    </xf>
    <xf numFmtId="4" fontId="337" fillId="25" borderId="0" applyAlignment="1">
      <alignment horizontal="left" vertical="center"/>
    </xf>
    <xf numFmtId="4" fontId="49" fillId="65" borderId="217" applyAlignment="1">
      <alignment horizontal="right" vertical="center"/>
    </xf>
    <xf numFmtId="328" fontId="9" fillId="0" borderId="0" applyAlignment="1" applyProtection="1">
      <alignment horizontal="right"/>
      <protection locked="1" hidden="1"/>
    </xf>
    <xf numFmtId="234" fontId="106" fillId="0" borderId="0" applyAlignment="1" applyProtection="1">
      <alignment horizontal="right"/>
      <protection locked="1" hidden="1"/>
    </xf>
    <xf numFmtId="0" fontId="338" fillId="0" borderId="0" applyAlignment="1">
      <alignment horizontal="left" vertical="center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339" fillId="12" borderId="0" applyAlignment="1">
      <alignment horizontal="right"/>
    </xf>
    <xf numFmtId="0" fontId="339" fillId="12" borderId="0" applyAlignment="1">
      <alignment horizontal="right"/>
    </xf>
    <xf numFmtId="0" fontId="7" fillId="97" borderId="0"/>
    <xf numFmtId="0" fontId="7" fillId="97" borderId="0"/>
    <xf numFmtId="0" fontId="7" fillId="97" borderId="0"/>
    <xf numFmtId="0" fontId="7" fillId="97" borderId="0"/>
    <xf numFmtId="0" fontId="7" fillId="97" borderId="0"/>
    <xf numFmtId="0" fontId="7" fillId="97" borderId="0"/>
    <xf numFmtId="0" fontId="7" fillId="97" borderId="0"/>
    <xf numFmtId="0" fontId="7" fillId="97" borderId="0"/>
    <xf numFmtId="0" fontId="331" fillId="1" borderId="228" applyAlignment="1">
      <alignment horizontal="center"/>
    </xf>
    <xf numFmtId="0" fontId="331" fillId="1" borderId="228" applyAlignment="1">
      <alignment horizontal="center"/>
    </xf>
    <xf numFmtId="196" fontId="340" fillId="98" borderId="0" applyProtection="1">
      <protection locked="0" hidden="0"/>
    </xf>
    <xf numFmtId="0" fontId="82" fillId="28" borderId="5"/>
    <xf numFmtId="0" fontId="61" fillId="31" borderId="0"/>
    <xf numFmtId="0" fontId="61" fillId="31" borderId="0"/>
    <xf numFmtId="196" fontId="340" fillId="98" borderId="0" applyProtection="1">
      <protection locked="0" hidden="0"/>
    </xf>
    <xf numFmtId="196" fontId="340" fillId="98" borderId="0" applyProtection="1">
      <protection locked="0" hidden="0"/>
    </xf>
    <xf numFmtId="196" fontId="340" fillId="98" borderId="0" applyProtection="1">
      <protection locked="0" hidden="0"/>
    </xf>
    <xf numFmtId="196" fontId="340" fillId="98" borderId="0" applyProtection="1">
      <protection locked="0" hidden="0"/>
    </xf>
    <xf numFmtId="196" fontId="340" fillId="98" borderId="0" applyProtection="1">
      <protection locked="0" hidden="0"/>
    </xf>
    <xf numFmtId="0" fontId="341" fillId="0" borderId="0" applyAlignment="1">
      <alignment horizontal="left" vertical="center"/>
    </xf>
    <xf numFmtId="41" fontId="342" fillId="0" borderId="0"/>
    <xf numFmtId="0" fontId="343" fillId="0" borderId="0" applyProtection="1">
      <protection locked="0" hidden="0"/>
    </xf>
    <xf numFmtId="0" fontId="344" fillId="0" borderId="0" applyAlignment="1">
      <alignment horizontal="center"/>
    </xf>
    <xf numFmtId="0" fontId="12" fillId="0" borderId="0"/>
    <xf numFmtId="3" fontId="9" fillId="21" borderId="218"/>
    <xf numFmtId="4" fontId="9" fillId="21" borderId="218"/>
    <xf numFmtId="168" fontId="9" fillId="21" borderId="218"/>
    <xf numFmtId="173" fontId="9" fillId="21" borderId="84"/>
    <xf numFmtId="10" fontId="9" fillId="21" borderId="218"/>
    <xf numFmtId="9" fontId="9" fillId="21" borderId="218"/>
    <xf numFmtId="2" fontId="9" fillId="21" borderId="218"/>
    <xf numFmtId="0" fontId="9" fillId="0" borderId="0"/>
    <xf numFmtId="312" fontId="9" fillId="0" borderId="0" applyProtection="1">
      <protection locked="0" hidden="0"/>
    </xf>
    <xf numFmtId="235" fontId="40" fillId="0" borderId="0" applyProtection="1">
      <protection locked="0" hidden="0"/>
    </xf>
    <xf numFmtId="0" fontId="145" fillId="0" borderId="0"/>
    <xf numFmtId="0" fontId="165" fillId="0" borderId="221" applyAlignment="1">
      <alignment horizontal="center"/>
    </xf>
    <xf numFmtId="0" fontId="9" fillId="0" borderId="0"/>
    <xf numFmtId="0" fontId="14" fillId="0" borderId="0" applyAlignment="1">
      <alignment vertical="center"/>
    </xf>
    <xf numFmtId="0" fontId="9" fillId="0" borderId="0" applyProtection="1">
      <protection locked="0" hidden="0"/>
    </xf>
    <xf numFmtId="0" fontId="165" fillId="0" borderId="221" applyAlignment="1">
      <alignment horizontal="center"/>
    </xf>
    <xf numFmtId="329" fontId="9" fillId="0" borderId="0" applyAlignment="1">
      <alignment wrapText="1"/>
    </xf>
    <xf numFmtId="0" fontId="165" fillId="0" borderId="221" applyAlignment="1">
      <alignment horizontal="center"/>
    </xf>
    <xf numFmtId="0" fontId="165" fillId="0" borderId="221" applyAlignment="1">
      <alignment horizontal="center"/>
    </xf>
    <xf numFmtId="0" fontId="165" fillId="0" borderId="0" applyAlignment="1">
      <alignment horizontal="center" vertical="center"/>
    </xf>
    <xf numFmtId="0" fontId="345" fillId="99" borderId="0" applyAlignment="1">
      <alignment horizontal="left" vertical="center"/>
    </xf>
    <xf numFmtId="37" fontId="57" fillId="0" borderId="0"/>
    <xf numFmtId="0" fontId="346" fillId="0" borderId="7"/>
    <xf numFmtId="0" fontId="92" fillId="0" borderId="0" applyAlignment="1">
      <alignment horizontal="left"/>
    </xf>
    <xf numFmtId="0" fontId="127" fillId="0" borderId="201"/>
    <xf numFmtId="0" fontId="128" fillId="0" borderId="1" applyAlignment="1">
      <alignment horizontal="center"/>
    </xf>
    <xf numFmtId="0" fontId="128" fillId="0" borderId="1" applyAlignment="1">
      <alignment horizontal="center"/>
    </xf>
    <xf numFmtId="0" fontId="128" fillId="0" borderId="1" applyAlignment="1">
      <alignment horizontal="center"/>
    </xf>
    <xf numFmtId="165" fontId="66" fillId="0" borderId="0"/>
    <xf numFmtId="0" fontId="226" fillId="1" borderId="85"/>
    <xf numFmtId="0" fontId="61" fillId="0" borderId="0"/>
    <xf numFmtId="3" fontId="9" fillId="0" borderId="221" applyAlignment="1">
      <alignment vertic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347" fillId="0" borderId="0" applyAlignment="1">
      <alignment horizontal="left"/>
    </xf>
    <xf numFmtId="0" fontId="104" fillId="0" borderId="0" applyProtection="1">
      <protection locked="0" hidden="0"/>
    </xf>
    <xf numFmtId="0" fontId="44" fillId="0" borderId="0" applyAlignment="1">
      <alignment horizontal="left"/>
    </xf>
    <xf numFmtId="3" fontId="9" fillId="0" borderId="221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0" fontId="145" fillId="0" borderId="0"/>
    <xf numFmtId="0" fontId="99" fillId="0" borderId="0"/>
    <xf numFmtId="0" fontId="41" fillId="0" borderId="0"/>
    <xf numFmtId="0" fontId="349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330" fontId="350" fillId="10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51" fillId="0" borderId="0" applyAlignment="1">
      <alignment vertical="center"/>
    </xf>
    <xf numFmtId="0" fontId="348" fillId="0" borderId="0"/>
    <xf numFmtId="0" fontId="348" fillId="0" borderId="0"/>
    <xf numFmtId="0" fontId="348" fillId="0" borderId="0"/>
    <xf numFmtId="0" fontId="348" fillId="0" borderId="0"/>
    <xf numFmtId="0" fontId="351" fillId="0" borderId="0" applyAlignment="1">
      <alignment vertical="center"/>
    </xf>
    <xf numFmtId="0" fontId="351" fillId="0" borderId="0" applyAlignment="1">
      <alignment vertical="center"/>
    </xf>
    <xf numFmtId="327" fontId="190" fillId="100" borderId="0"/>
    <xf numFmtId="0" fontId="348" fillId="0" borderId="0"/>
    <xf numFmtId="0" fontId="348" fillId="0" borderId="0"/>
    <xf numFmtId="0" fontId="348" fillId="0" borderId="0"/>
    <xf numFmtId="0" fontId="61" fillId="0" borderId="0" applyAlignment="1">
      <alignment horizontal="center"/>
    </xf>
    <xf numFmtId="0" fontId="352" fillId="0" borderId="0"/>
    <xf numFmtId="0" fontId="54" fillId="0" borderId="0"/>
    <xf numFmtId="0" fontId="40" fillId="0" borderId="0"/>
    <xf numFmtId="0" fontId="9" fillId="0" borderId="0"/>
    <xf numFmtId="0" fontId="40" fillId="0" borderId="0"/>
    <xf numFmtId="38" fontId="353" fillId="40" borderId="204" applyAlignment="1">
      <alignment horizontal="center"/>
    </xf>
    <xf numFmtId="3" fontId="353" fillId="100" borderId="0" applyAlignment="1">
      <alignment horizontal="left" vertical="center"/>
    </xf>
    <xf numFmtId="0" fontId="7" fillId="0" borderId="0"/>
    <xf numFmtId="0" fontId="354" fillId="0" borderId="0"/>
    <xf numFmtId="0" fontId="109" fillId="0" borderId="0"/>
    <xf numFmtId="0" fontId="355" fillId="0" borderId="0"/>
    <xf numFmtId="0" fontId="145" fillId="0" borderId="0"/>
    <xf numFmtId="0" fontId="131" fillId="0" borderId="0"/>
    <xf numFmtId="0" fontId="356" fillId="0" borderId="0"/>
    <xf numFmtId="0" fontId="54" fillId="0" borderId="228" applyAlignment="1">
      <alignment horizontal="center" wrapText="1"/>
    </xf>
    <xf numFmtId="172" fontId="9" fillId="0" borderId="119"/>
    <xf numFmtId="172" fontId="9" fillId="0" borderId="119"/>
    <xf numFmtId="172" fontId="9" fillId="0" borderId="119"/>
    <xf numFmtId="172" fontId="9" fillId="0" borderId="119"/>
    <xf numFmtId="172" fontId="9" fillId="0" borderId="119"/>
    <xf numFmtId="172" fontId="9" fillId="0" borderId="119"/>
    <xf numFmtId="0" fontId="86" fillId="0" borderId="205" applyProtection="1">
      <protection locked="0" hidden="0"/>
    </xf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357" fillId="0" borderId="219"/>
    <xf numFmtId="0" fontId="357" fillId="0" borderId="219"/>
    <xf numFmtId="0" fontId="357" fillId="0" borderId="219"/>
    <xf numFmtId="0" fontId="9" fillId="0" borderId="0"/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230" fontId="145" fillId="0" borderId="89"/>
    <xf numFmtId="3" fontId="82" fillId="5" borderId="0"/>
    <xf numFmtId="3" fontId="82" fillId="5" borderId="0"/>
    <xf numFmtId="3" fontId="82" fillId="5" borderId="0"/>
    <xf numFmtId="0" fontId="359" fillId="0" borderId="0"/>
    <xf numFmtId="331" fontId="44" fillId="0" borderId="0"/>
    <xf numFmtId="301" fontId="14" fillId="0" borderId="0"/>
    <xf numFmtId="302" fontId="14" fillId="0" borderId="0"/>
    <xf numFmtId="332" fontId="9" fillId="0" borderId="0" applyAlignment="1">
      <alignment horizontal="right"/>
    </xf>
    <xf numFmtId="0" fontId="40" fillId="0" borderId="0"/>
    <xf numFmtId="42" fontId="9" fillId="0" borderId="0"/>
    <xf numFmtId="195" fontId="9" fillId="0" borderId="0"/>
    <xf numFmtId="42" fontId="128" fillId="0" borderId="0"/>
    <xf numFmtId="0" fontId="361" fillId="0" borderId="0" applyAlignment="1">
      <alignment vertical="center"/>
    </xf>
    <xf numFmtId="0" fontId="361" fillId="0" borderId="0" applyAlignment="1">
      <alignment vertical="center"/>
    </xf>
    <xf numFmtId="0" fontId="361" fillId="0" borderId="0" applyAlignment="1">
      <alignment vertical="center"/>
    </xf>
    <xf numFmtId="0" fontId="361" fillId="0" borderId="0" applyAlignment="1">
      <alignment vertical="center"/>
    </xf>
    <xf numFmtId="0" fontId="360" fillId="0" borderId="0"/>
    <xf numFmtId="0" fontId="57" fillId="0" borderId="20"/>
    <xf numFmtId="0" fontId="9" fillId="0" borderId="0" applyProtection="1">
      <protection locked="0" hidden="0"/>
    </xf>
    <xf numFmtId="0" fontId="134" fillId="0" borderId="201"/>
    <xf numFmtId="0" fontId="135" fillId="0" borderId="201"/>
    <xf numFmtId="0" fontId="136" fillId="0" borderId="201"/>
    <xf numFmtId="41" fontId="9" fillId="0" borderId="0" applyAlignment="1">
      <alignment wrapText="1"/>
    </xf>
    <xf numFmtId="239" fontId="62" fillId="0" borderId="0" applyAlignment="1">
      <alignment horizontal="right"/>
    </xf>
    <xf numFmtId="292" fontId="9" fillId="0" borderId="0"/>
    <xf numFmtId="0" fontId="362" fillId="101" borderId="0" applyAlignment="1">
      <alignment horizontal="lef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333" fontId="209" fillId="0" borderId="0"/>
    <xf numFmtId="0" fontId="66" fillId="28" borderId="0"/>
    <xf numFmtId="9" fontId="363" fillId="0" borderId="0"/>
    <xf numFmtId="0" fontId="364" fillId="0" borderId="0" applyAlignment="1">
      <alignment vertical="center"/>
    </xf>
    <xf numFmtId="241" fontId="365" fillId="0" borderId="0"/>
    <xf numFmtId="231" fontId="365" fillId="0" borderId="0"/>
    <xf numFmtId="193" fontId="365" fillId="0" borderId="0"/>
    <xf numFmtId="215" fontId="365" fillId="0" borderId="0"/>
    <xf numFmtId="0" fontId="365" fillId="0" borderId="0"/>
    <xf numFmtId="0" fontId="366" fillId="0" borderId="0" applyAlignment="1" applyProtection="1">
      <alignment vertical="top"/>
      <protection locked="0" hidden="0"/>
    </xf>
    <xf numFmtId="1" fontId="367" fillId="0" borderId="0"/>
    <xf numFmtId="0" fontId="62" fillId="0" borderId="0"/>
    <xf numFmtId="0" fontId="9" fillId="0" borderId="0"/>
    <xf numFmtId="0" fontId="12" fillId="0" borderId="0"/>
    <xf numFmtId="41" fontId="62" fillId="0" borderId="0"/>
    <xf numFmtId="43" fontId="62" fillId="0" borderId="0"/>
    <xf numFmtId="9" fontId="145" fillId="0" borderId="0"/>
    <xf numFmtId="9" fontId="368" fillId="0" borderId="0"/>
    <xf numFmtId="231" fontId="9" fillId="0" borderId="0"/>
    <xf numFmtId="0" fontId="125" fillId="0" borderId="0"/>
    <xf numFmtId="0" fontId="145" fillId="0" borderId="0"/>
    <xf numFmtId="0" fontId="369" fillId="62" borderId="0" applyAlignment="1">
      <alignment vertical="center"/>
    </xf>
    <xf numFmtId="0" fontId="370" fillId="0" borderId="32" applyAlignment="1">
      <alignment horizontal="left"/>
    </xf>
    <xf numFmtId="0" fontId="370" fillId="0" borderId="32" applyAlignment="1">
      <alignment horizontal="left"/>
    </xf>
    <xf numFmtId="0" fontId="370" fillId="0" borderId="32" applyAlignment="1">
      <alignment horizontal="left"/>
    </xf>
    <xf numFmtId="0" fontId="15" fillId="62" borderId="213" applyAlignment="1">
      <alignment vertical="center"/>
    </xf>
    <xf numFmtId="0" fontId="200" fillId="0" borderId="0" applyAlignment="1" applyProtection="1">
      <alignment vertical="top"/>
      <protection locked="0" hidden="0"/>
    </xf>
    <xf numFmtId="0" fontId="43" fillId="0" borderId="0"/>
    <xf numFmtId="41" fontId="144" fillId="0" borderId="0"/>
    <xf numFmtId="43" fontId="144" fillId="0" borderId="0"/>
    <xf numFmtId="231" fontId="144" fillId="0" borderId="0" applyAlignment="1">
      <alignment vertical="center"/>
    </xf>
    <xf numFmtId="231" fontId="144" fillId="0" borderId="0" applyAlignment="1">
      <alignment vertical="center"/>
    </xf>
    <xf numFmtId="231" fontId="144" fillId="0" borderId="0" applyAlignment="1">
      <alignment vertical="center"/>
    </xf>
    <xf numFmtId="43" fontId="9" fillId="0" borderId="0"/>
    <xf numFmtId="43" fontId="9" fillId="0" borderId="0"/>
    <xf numFmtId="43" fontId="9" fillId="0" borderId="0"/>
    <xf numFmtId="43" fontId="145" fillId="0" borderId="0"/>
    <xf numFmtId="231" fontId="207" fillId="0" borderId="0"/>
    <xf numFmtId="43" fontId="9" fillId="0" borderId="0"/>
    <xf numFmtId="231" fontId="207" fillId="0" borderId="0" applyAlignment="1">
      <alignment vertical="center"/>
    </xf>
    <xf numFmtId="41" fontId="207" fillId="0" borderId="0" applyAlignment="1">
      <alignment vertical="center"/>
    </xf>
    <xf numFmtId="41" fontId="62" fillId="0" borderId="0"/>
    <xf numFmtId="43" fontId="62" fillId="0" borderId="0"/>
    <xf numFmtId="241" fontId="7" fillId="0" borderId="0"/>
    <xf numFmtId="231" fontId="7" fillId="0" borderId="0"/>
    <xf numFmtId="0" fontId="371" fillId="0" borderId="222" applyAlignment="1">
      <alignment vertical="center"/>
    </xf>
    <xf numFmtId="0" fontId="9" fillId="0" borderId="46" applyAlignment="1">
      <alignment horizontal="left"/>
    </xf>
    <xf numFmtId="0" fontId="372" fillId="63" borderId="0" applyAlignment="1">
      <alignment vertical="center"/>
    </xf>
    <xf numFmtId="0" fontId="372" fillId="2" borderId="0" applyAlignment="1">
      <alignment vertical="center"/>
    </xf>
    <xf numFmtId="0" fontId="372" fillId="63" borderId="0" applyAlignment="1">
      <alignment vertical="center"/>
    </xf>
    <xf numFmtId="0" fontId="372" fillId="63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146" fillId="8" borderId="0" applyAlignment="1">
      <alignment vertical="center"/>
    </xf>
    <xf numFmtId="0" fontId="267" fillId="69" borderId="0" applyAlignment="1">
      <alignment vertical="center"/>
    </xf>
    <xf numFmtId="0" fontId="267" fillId="69" borderId="0" applyAlignment="1">
      <alignment vertical="center"/>
    </xf>
    <xf numFmtId="0" fontId="373" fillId="19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373" fillId="19" borderId="0" applyAlignment="1">
      <alignment vertical="center"/>
    </xf>
    <xf numFmtId="0" fontId="373" fillId="19" borderId="0" applyAlignment="1">
      <alignment vertical="center"/>
    </xf>
    <xf numFmtId="0" fontId="373" fillId="19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374" fillId="61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267" fillId="61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375" fillId="19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374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373" fillId="19" borderId="0" applyAlignment="1">
      <alignment vertical="center"/>
    </xf>
    <xf numFmtId="0" fontId="373" fillId="19" borderId="0" applyAlignment="1">
      <alignment vertical="center"/>
    </xf>
    <xf numFmtId="0" fontId="373" fillId="19" borderId="0" applyAlignment="1">
      <alignment vertical="center"/>
    </xf>
    <xf numFmtId="0" fontId="373" fillId="19" borderId="0" applyAlignment="1">
      <alignment vertical="center"/>
    </xf>
    <xf numFmtId="0" fontId="267" fillId="69" borderId="0" applyAlignment="1">
      <alignment vertical="center"/>
    </xf>
    <xf numFmtId="0" fontId="267" fillId="69" borderId="0" applyAlignment="1">
      <alignment vertical="center"/>
    </xf>
    <xf numFmtId="40" fontId="376" fillId="0" borderId="0"/>
    <xf numFmtId="38" fontId="376" fillId="0" borderId="0"/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147" fillId="32" borderId="0" applyAlignment="1">
      <alignment vertical="center"/>
    </xf>
    <xf numFmtId="0" fontId="231" fillId="26" borderId="0" applyAlignment="1">
      <alignment vertical="center"/>
    </xf>
    <xf numFmtId="0" fontId="231" fillId="26" borderId="0" applyAlignment="1">
      <alignment vertical="center"/>
    </xf>
    <xf numFmtId="0" fontId="377" fillId="67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377" fillId="67" borderId="0" applyAlignment="1">
      <alignment vertical="center"/>
    </xf>
    <xf numFmtId="0" fontId="377" fillId="67" borderId="0" applyAlignment="1">
      <alignment vertical="center"/>
    </xf>
    <xf numFmtId="0" fontId="377" fillId="67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378" fillId="67" borderId="0" applyAlignment="1">
      <alignment vertical="center"/>
    </xf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377" fillId="67" borderId="0" applyAlignment="1">
      <alignment vertical="center"/>
    </xf>
    <xf numFmtId="0" fontId="377" fillId="67" borderId="0" applyAlignment="1">
      <alignment vertical="center"/>
    </xf>
    <xf numFmtId="0" fontId="377" fillId="67" borderId="0" applyAlignment="1">
      <alignment vertical="center"/>
    </xf>
    <xf numFmtId="0" fontId="377" fillId="67" borderId="0" applyAlignment="1">
      <alignment vertical="center"/>
    </xf>
    <xf numFmtId="0" fontId="231" fillId="26" borderId="0" applyAlignment="1">
      <alignment vertical="center"/>
    </xf>
    <xf numFmtId="0" fontId="231" fillId="26" borderId="0" applyAlignment="1">
      <alignment vertical="center"/>
    </xf>
    <xf numFmtId="0" fontId="379" fillId="0" borderId="0" applyAlignment="1" applyProtection="1">
      <alignment vertical="top"/>
      <protection locked="0" hidden="0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144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380" fillId="0" borderId="0"/>
    <xf numFmtId="0" fontId="144" fillId="0" borderId="0" applyAlignment="1">
      <alignment vertical="center"/>
    </xf>
    <xf numFmtId="0" fontId="144" fillId="0" borderId="0" applyAlignment="1">
      <alignment vertical="center"/>
    </xf>
    <xf numFmtId="0" fontId="207" fillId="0" borderId="0" applyAlignment="1" applyProtection="1">
      <alignment vertical="center"/>
      <protection locked="0" hidden="0"/>
    </xf>
    <xf numFmtId="0" fontId="144" fillId="0" borderId="0" applyAlignment="1">
      <alignment vertical="center"/>
    </xf>
    <xf numFmtId="0" fontId="207" fillId="0" borderId="0"/>
    <xf numFmtId="0" fontId="144" fillId="0" borderId="0" applyAlignment="1">
      <alignment vertical="center"/>
    </xf>
    <xf numFmtId="0" fontId="144" fillId="0" borderId="0" applyAlignment="1">
      <alignment vertical="center"/>
    </xf>
    <xf numFmtId="0" fontId="207" fillId="0" borderId="0"/>
    <xf numFmtId="0" fontId="144" fillId="0" borderId="0" applyAlignment="1">
      <alignment vertical="center"/>
    </xf>
    <xf numFmtId="0" fontId="9" fillId="0" borderId="0" applyProtection="1">
      <protection locked="0" hidden="0"/>
    </xf>
    <xf numFmtId="0" fontId="7" fillId="0" borderId="0" applyProtection="1">
      <protection locked="0" hidden="0"/>
    </xf>
    <xf numFmtId="0" fontId="380" fillId="0" borderId="0"/>
    <xf numFmtId="0" fontId="380" fillId="0" borderId="0"/>
    <xf numFmtId="0" fontId="380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128" fillId="0" borderId="0" applyProtection="1">
      <protection locked="0" hidden="0"/>
    </xf>
    <xf numFmtId="0" fontId="128" fillId="0" borderId="0" applyProtection="1">
      <protection locked="0" hidden="0"/>
    </xf>
    <xf numFmtId="0" fontId="144" fillId="0" borderId="0"/>
    <xf numFmtId="0" fontId="7" fillId="0" borderId="0" applyProtection="1">
      <protection locked="0" hidden="0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9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306" fillId="0" borderId="0" applyProtection="1">
      <protection locked="0" hidden="0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14" fontId="215" fillId="19" borderId="0"/>
    <xf numFmtId="0" fontId="217" fillId="103" borderId="0" applyAlignment="1">
      <alignment vertical="center"/>
    </xf>
    <xf numFmtId="0" fontId="217" fillId="103" borderId="0" applyAlignment="1">
      <alignment vertical="center"/>
    </xf>
    <xf numFmtId="0" fontId="217" fillId="103" borderId="0" applyAlignment="1">
      <alignment vertical="center"/>
    </xf>
    <xf numFmtId="0" fontId="217" fillId="103" borderId="0" applyAlignment="1">
      <alignment vertical="center"/>
    </xf>
    <xf numFmtId="0" fontId="217" fillId="103" borderId="0" applyAlignment="1">
      <alignment vertical="center"/>
    </xf>
    <xf numFmtId="0" fontId="59" fillId="33" borderId="0" applyAlignment="1">
      <alignment vertical="center"/>
    </xf>
    <xf numFmtId="0" fontId="59" fillId="104" borderId="0" applyAlignment="1">
      <alignment vertical="center"/>
    </xf>
    <xf numFmtId="0" fontId="217" fillId="41" borderId="0" applyAlignment="1">
      <alignment vertical="center"/>
    </xf>
    <xf numFmtId="0" fontId="217" fillId="41" borderId="0" applyAlignment="1">
      <alignment vertical="center"/>
    </xf>
    <xf numFmtId="0" fontId="217" fillId="41" borderId="0" applyAlignment="1">
      <alignment vertical="center"/>
    </xf>
    <xf numFmtId="0" fontId="217" fillId="41" borderId="0" applyAlignment="1">
      <alignment vertical="center"/>
    </xf>
    <xf numFmtId="0" fontId="217" fillId="41" borderId="0" applyAlignment="1">
      <alignment vertical="center"/>
    </xf>
    <xf numFmtId="0" fontId="59" fillId="2" borderId="0" applyAlignment="1">
      <alignment vertical="center"/>
    </xf>
    <xf numFmtId="0" fontId="59" fillId="41" borderId="0" applyAlignment="1">
      <alignment vertical="center"/>
    </xf>
    <xf numFmtId="0" fontId="217" fillId="104" borderId="0" applyAlignment="1">
      <alignment vertical="center"/>
    </xf>
    <xf numFmtId="0" fontId="217" fillId="104" borderId="0" applyAlignment="1">
      <alignment vertical="center"/>
    </xf>
    <xf numFmtId="0" fontId="217" fillId="104" borderId="0" applyAlignment="1">
      <alignment vertical="center"/>
    </xf>
    <xf numFmtId="0" fontId="217" fillId="104" borderId="0" applyAlignment="1">
      <alignment vertical="center"/>
    </xf>
    <xf numFmtId="0" fontId="217" fillId="104" borderId="0" applyAlignment="1">
      <alignment vertical="center"/>
    </xf>
    <xf numFmtId="0" fontId="59" fillId="18" borderId="0" applyAlignment="1">
      <alignment vertical="center"/>
    </xf>
    <xf numFmtId="0" fontId="59" fillId="37" borderId="0" applyAlignment="1">
      <alignment vertical="center"/>
    </xf>
    <xf numFmtId="0" fontId="217" fillId="82" borderId="0" applyAlignment="1">
      <alignment vertical="center"/>
    </xf>
    <xf numFmtId="0" fontId="217" fillId="82" borderId="0" applyAlignment="1">
      <alignment vertical="center"/>
    </xf>
    <xf numFmtId="0" fontId="217" fillId="82" borderId="0" applyAlignment="1">
      <alignment vertical="center"/>
    </xf>
    <xf numFmtId="0" fontId="217" fillId="82" borderId="0" applyAlignment="1">
      <alignment vertical="center"/>
    </xf>
    <xf numFmtId="0" fontId="217" fillId="82" borderId="0" applyAlignment="1">
      <alignment vertical="center"/>
    </xf>
    <xf numFmtId="0" fontId="59" fillId="34" borderId="0" applyAlignment="1">
      <alignment vertical="center"/>
    </xf>
    <xf numFmtId="0" fontId="59" fillId="51" borderId="0" applyAlignment="1">
      <alignment vertical="center"/>
    </xf>
    <xf numFmtId="0" fontId="217" fillId="54" borderId="0" applyAlignment="1">
      <alignment vertical="center"/>
    </xf>
    <xf numFmtId="0" fontId="217" fillId="54" borderId="0" applyAlignment="1">
      <alignment vertical="center"/>
    </xf>
    <xf numFmtId="0" fontId="217" fillId="54" borderId="0" applyAlignment="1">
      <alignment vertical="center"/>
    </xf>
    <xf numFmtId="0" fontId="217" fillId="54" borderId="0" applyAlignment="1">
      <alignment vertical="center"/>
    </xf>
    <xf numFmtId="0" fontId="217" fillId="54" borderId="0" applyAlignment="1">
      <alignment vertical="center"/>
    </xf>
    <xf numFmtId="0" fontId="59" fillId="33" borderId="0" applyAlignment="1">
      <alignment vertical="center"/>
    </xf>
    <xf numFmtId="0" fontId="59" fillId="54" borderId="0" applyAlignment="1">
      <alignment vertical="center"/>
    </xf>
    <xf numFmtId="0" fontId="217" fillId="105" borderId="0" applyAlignment="1">
      <alignment vertical="center"/>
    </xf>
    <xf numFmtId="0" fontId="217" fillId="105" borderId="0" applyAlignment="1">
      <alignment vertical="center"/>
    </xf>
    <xf numFmtId="0" fontId="217" fillId="105" borderId="0" applyAlignment="1">
      <alignment vertical="center"/>
    </xf>
    <xf numFmtId="0" fontId="217" fillId="105" borderId="0" applyAlignment="1">
      <alignment vertical="center"/>
    </xf>
    <xf numFmtId="0" fontId="217" fillId="105" borderId="0" applyAlignment="1">
      <alignment vertical="center"/>
    </xf>
    <xf numFmtId="0" fontId="59" fillId="35" borderId="0" applyAlignment="1">
      <alignment vertical="center"/>
    </xf>
    <xf numFmtId="0" fontId="59" fillId="106" borderId="0" applyAlignment="1">
      <alignment vertical="center"/>
    </xf>
    <xf numFmtId="0" fontId="376" fillId="0" borderId="0"/>
    <xf numFmtId="0" fontId="376" fillId="0" borderId="0"/>
    <xf numFmtId="1" fontId="9" fillId="0" borderId="32" applyAlignment="1">
      <alignment horizontal="center"/>
    </xf>
    <xf numFmtId="1" fontId="9" fillId="0" borderId="32" applyAlignment="1">
      <alignment horizontal="center"/>
    </xf>
    <xf numFmtId="1" fontId="9" fillId="0" borderId="32" applyAlignment="1">
      <alignment horizontal="center"/>
    </xf>
    <xf numFmtId="49" fontId="9" fillId="0" borderId="0"/>
    <xf numFmtId="49" fontId="381" fillId="19" borderId="0"/>
    <xf numFmtId="49" fontId="215" fillId="19" borderId="0"/>
    <xf numFmtId="334" fontId="9" fillId="0" borderId="32" applyAlignment="1">
      <alignment horizontal="right"/>
    </xf>
    <xf numFmtId="334" fontId="9" fillId="0" borderId="32" applyAlignment="1">
      <alignment horizontal="right"/>
    </xf>
    <xf numFmtId="334" fontId="9" fillId="0" borderId="32" applyAlignment="1">
      <alignment horizontal="right"/>
    </xf>
    <xf numFmtId="0" fontId="382" fillId="0" borderId="0"/>
    <xf numFmtId="0" fontId="7" fillId="0" borderId="0"/>
    <xf numFmtId="0" fontId="306" fillId="0" borderId="0"/>
    <xf numFmtId="0" fontId="383" fillId="0" borderId="59" applyAlignment="1">
      <alignment vertical="center"/>
    </xf>
    <xf numFmtId="0" fontId="383" fillId="0" borderId="59" applyAlignment="1">
      <alignment vertical="center"/>
    </xf>
    <xf numFmtId="0" fontId="383" fillId="0" borderId="59" applyAlignment="1">
      <alignment vertical="center"/>
    </xf>
    <xf numFmtId="0" fontId="383" fillId="0" borderId="59" applyAlignment="1">
      <alignment vertical="center"/>
    </xf>
    <xf numFmtId="0" fontId="383" fillId="0" borderId="59" applyAlignment="1">
      <alignment vertical="center"/>
    </xf>
    <xf numFmtId="0" fontId="149" fillId="0" borderId="22" applyAlignment="1">
      <alignment vertical="center"/>
    </xf>
    <xf numFmtId="0" fontId="384" fillId="0" borderId="93" applyAlignment="1">
      <alignment vertical="center"/>
    </xf>
    <xf numFmtId="0" fontId="148" fillId="0" borderId="0" applyAlignment="1">
      <alignment vertical="center"/>
    </xf>
    <xf numFmtId="0" fontId="148" fillId="0" borderId="0" applyAlignment="1">
      <alignment vertical="center"/>
    </xf>
    <xf numFmtId="0" fontId="148" fillId="0" borderId="0" applyAlignment="1">
      <alignment vertical="center"/>
    </xf>
    <xf numFmtId="0" fontId="385" fillId="0" borderId="61" applyAlignment="1">
      <alignment vertical="center"/>
    </xf>
    <xf numFmtId="0" fontId="385" fillId="0" borderId="61" applyAlignment="1">
      <alignment vertical="center"/>
    </xf>
    <xf numFmtId="0" fontId="385" fillId="0" borderId="61" applyAlignment="1">
      <alignment vertical="center"/>
    </xf>
    <xf numFmtId="0" fontId="385" fillId="0" borderId="61" applyAlignment="1">
      <alignment vertical="center"/>
    </xf>
    <xf numFmtId="0" fontId="385" fillId="0" borderId="61" applyAlignment="1">
      <alignment vertical="center"/>
    </xf>
    <xf numFmtId="0" fontId="150" fillId="0" borderId="23" applyAlignment="1">
      <alignment vertical="center"/>
    </xf>
    <xf numFmtId="0" fontId="386" fillId="0" borderId="94" applyAlignment="1">
      <alignment vertical="center"/>
    </xf>
    <xf numFmtId="0" fontId="387" fillId="0" borderId="66" applyAlignment="1">
      <alignment vertical="center"/>
    </xf>
    <xf numFmtId="0" fontId="387" fillId="0" borderId="66" applyAlignment="1">
      <alignment vertical="center"/>
    </xf>
    <xf numFmtId="0" fontId="387" fillId="0" borderId="66" applyAlignment="1">
      <alignment vertical="center"/>
    </xf>
    <xf numFmtId="0" fontId="387" fillId="0" borderId="66" applyAlignment="1">
      <alignment vertical="center"/>
    </xf>
    <xf numFmtId="0" fontId="387" fillId="0" borderId="66" applyAlignment="1">
      <alignment vertical="center"/>
    </xf>
    <xf numFmtId="0" fontId="151" fillId="0" borderId="24" applyAlignment="1">
      <alignment vertical="center"/>
    </xf>
    <xf numFmtId="0" fontId="388" fillId="0" borderId="95" applyAlignment="1">
      <alignment vertical="center"/>
    </xf>
    <xf numFmtId="0" fontId="387" fillId="0" borderId="0" applyAlignment="1">
      <alignment vertical="center"/>
    </xf>
    <xf numFmtId="0" fontId="387" fillId="0" borderId="0" applyAlignment="1">
      <alignment vertical="center"/>
    </xf>
    <xf numFmtId="0" fontId="387" fillId="0" borderId="0" applyAlignment="1">
      <alignment vertical="center"/>
    </xf>
    <xf numFmtId="0" fontId="387" fillId="0" borderId="0" applyAlignment="1">
      <alignment vertical="center"/>
    </xf>
    <xf numFmtId="0" fontId="387" fillId="0" borderId="0" applyAlignment="1">
      <alignment vertical="center"/>
    </xf>
    <xf numFmtId="0" fontId="151" fillId="0" borderId="0" applyAlignment="1">
      <alignment vertical="center"/>
    </xf>
    <xf numFmtId="0" fontId="388" fillId="0" borderId="0" applyAlignment="1">
      <alignment vertical="center"/>
    </xf>
    <xf numFmtId="0" fontId="389" fillId="0" borderId="0" applyAlignment="1">
      <alignment vertical="center"/>
    </xf>
    <xf numFmtId="0" fontId="389" fillId="0" borderId="0" applyAlignment="1">
      <alignment vertical="center"/>
    </xf>
    <xf numFmtId="0" fontId="389" fillId="0" borderId="0" applyAlignment="1">
      <alignment vertical="center"/>
    </xf>
    <xf numFmtId="0" fontId="389" fillId="0" borderId="0" applyAlignment="1">
      <alignment vertical="center"/>
    </xf>
    <xf numFmtId="0" fontId="389" fillId="0" borderId="0" applyAlignment="1">
      <alignment vertical="center"/>
    </xf>
    <xf numFmtId="0" fontId="390" fillId="0" borderId="0" applyAlignment="1">
      <alignment vertical="center"/>
    </xf>
    <xf numFmtId="0" fontId="391" fillId="0" borderId="46" applyAlignment="1">
      <alignment horizontal="center"/>
    </xf>
    <xf numFmtId="0" fontId="145" fillId="0" borderId="0"/>
    <xf numFmtId="0" fontId="9" fillId="0" borderId="0" applyProtection="1">
      <protection locked="0" hidden="0"/>
    </xf>
    <xf numFmtId="0" fontId="144" fillId="0" borderId="0"/>
    <xf numFmtId="231" fontId="9" fillId="0" borderId="0"/>
    <xf numFmtId="241" fontId="9" fillId="0" borderId="0"/>
    <xf numFmtId="40" fontId="392" fillId="0" borderId="0"/>
    <xf numFmtId="38" fontId="392" fillId="0" borderId="0"/>
    <xf numFmtId="0" fontId="244" fillId="107" borderId="54" applyAlignment="1">
      <alignment vertical="center"/>
    </xf>
    <xf numFmtId="0" fontId="244" fillId="107" borderId="54" applyAlignment="1">
      <alignment vertical="center"/>
    </xf>
    <xf numFmtId="0" fontId="244" fillId="107" borderId="54" applyAlignment="1">
      <alignment vertical="center"/>
    </xf>
    <xf numFmtId="0" fontId="244" fillId="107" borderId="54" applyAlignment="1">
      <alignment vertical="center"/>
    </xf>
    <xf numFmtId="0" fontId="244" fillId="107" borderId="54" applyAlignment="1">
      <alignment vertical="center"/>
    </xf>
    <xf numFmtId="0" fontId="152" fillId="28" borderId="25" applyAlignment="1">
      <alignment vertical="center"/>
    </xf>
    <xf numFmtId="0" fontId="152" fillId="14" borderId="96" applyAlignment="1">
      <alignment vertical="center"/>
    </xf>
    <xf numFmtId="0" fontId="9" fillId="0" borderId="0"/>
    <xf numFmtId="0" fontId="393" fillId="0" borderId="0" applyAlignment="1">
      <alignment vertical="center"/>
    </xf>
    <xf numFmtId="0" fontId="394" fillId="0" borderId="97" applyAlignment="1">
      <alignment vertical="center"/>
    </xf>
    <xf numFmtId="0" fontId="395" fillId="0" borderId="98" applyAlignment="1">
      <alignment vertical="center"/>
    </xf>
    <xf numFmtId="0" fontId="396" fillId="0" borderId="99" applyAlignment="1">
      <alignment vertical="center"/>
    </xf>
    <xf numFmtId="0" fontId="396" fillId="0" borderId="0" applyAlignment="1">
      <alignment vertical="center"/>
    </xf>
    <xf numFmtId="0" fontId="393" fillId="0" borderId="0" applyAlignment="1">
      <alignment vertical="center"/>
    </xf>
    <xf numFmtId="0" fontId="397" fillId="86" borderId="54" applyAlignment="1">
      <alignment vertical="center"/>
    </xf>
    <xf numFmtId="49" fontId="398" fillId="19" borderId="0" applyAlignment="1">
      <alignment horizontal="right"/>
    </xf>
    <xf numFmtId="49" fontId="41" fillId="19" borderId="0" applyAlignment="1">
      <alignment horizontal="right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19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153" fillId="0" borderId="224" applyAlignment="1">
      <alignment vertical="center"/>
    </xf>
    <xf numFmtId="0" fontId="358" fillId="0" borderId="102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154" fillId="4" borderId="225" applyAlignment="1">
      <alignment vertical="center"/>
    </xf>
    <xf numFmtId="0" fontId="207" fillId="66" borderId="213" applyAlignment="1">
      <alignment vertical="center"/>
    </xf>
    <xf numFmtId="0" fontId="144" fillId="23" borderId="104" applyAlignment="1">
      <alignment vertical="center"/>
    </xf>
    <xf numFmtId="335" fontId="399" fillId="0" borderId="0"/>
    <xf numFmtId="336" fontId="399" fillId="0" borderId="0"/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9" fillId="0" borderId="0"/>
    <xf numFmtId="9" fontId="144" fillId="0" borderId="0" applyAlignment="1">
      <alignment vertical="center"/>
    </xf>
    <xf numFmtId="9" fontId="207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9" fillId="0" borderId="0"/>
    <xf numFmtId="9" fontId="207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9" fillId="0" borderId="0"/>
    <xf numFmtId="42" fontId="62" fillId="0" borderId="0"/>
    <xf numFmtId="42" fontId="9" fillId="0" borderId="0"/>
    <xf numFmtId="195" fontId="62" fillId="0" borderId="0"/>
    <xf numFmtId="43" fontId="41" fillId="19" borderId="205"/>
    <xf numFmtId="43" fontId="41" fillId="19" borderId="205"/>
    <xf numFmtId="43" fontId="41" fillId="19" borderId="205"/>
    <xf numFmtId="43" fontId="41" fillId="19" borderId="205"/>
    <xf numFmtId="0" fontId="9" fillId="0" borderId="46" applyAlignment="1">
      <alignment horizontal="right"/>
    </xf>
    <xf numFmtId="335" fontId="392" fillId="0" borderId="0"/>
    <xf numFmtId="336" fontId="392" fillId="0" borderId="0"/>
    <xf numFmtId="0" fontId="400" fillId="0" borderId="0" applyAlignment="1" applyProtection="1">
      <alignment vertical="top"/>
      <protection locked="0" hidden="0"/>
    </xf>
    <xf numFmtId="0" fontId="265" fillId="0" borderId="0" applyAlignment="1">
      <alignment vertical="center"/>
    </xf>
    <xf numFmtId="0" fontId="265" fillId="0" borderId="0" applyAlignment="1">
      <alignment vertical="center"/>
    </xf>
    <xf numFmtId="0" fontId="265" fillId="0" borderId="0" applyAlignment="1">
      <alignment vertical="center"/>
    </xf>
    <xf numFmtId="0" fontId="265" fillId="0" borderId="0" applyAlignment="1">
      <alignment vertical="center"/>
    </xf>
    <xf numFmtId="0" fontId="265" fillId="0" borderId="0" applyAlignment="1">
      <alignment vertical="center"/>
    </xf>
    <xf numFmtId="0" fontId="155" fillId="0" borderId="0" applyAlignment="1">
      <alignment vertical="center"/>
    </xf>
    <xf numFmtId="0" fontId="265" fillId="0" borderId="0" applyAlignment="1">
      <alignment vertical="center"/>
    </xf>
    <xf numFmtId="0" fontId="401" fillId="32" borderId="211" applyAlignment="1">
      <alignment vertical="center"/>
    </xf>
    <xf numFmtId="0" fontId="402" fillId="0" borderId="0" applyAlignment="1">
      <alignment vertical="center"/>
    </xf>
    <xf numFmtId="0" fontId="403" fillId="0" borderId="0" applyAlignment="1">
      <alignment vertical="center"/>
    </xf>
    <xf numFmtId="0" fontId="361" fillId="0" borderId="0" applyAlignment="1">
      <alignment vertical="center"/>
    </xf>
    <xf numFmtId="0" fontId="361" fillId="0" borderId="0" applyAlignment="1">
      <alignment vertical="center"/>
    </xf>
    <xf numFmtId="0" fontId="361" fillId="0" borderId="0" applyAlignment="1">
      <alignment vertical="center"/>
    </xf>
    <xf numFmtId="0" fontId="361" fillId="0" borderId="0" applyAlignment="1">
      <alignment vertical="center"/>
    </xf>
    <xf numFmtId="0" fontId="361" fillId="0" borderId="0" applyAlignment="1">
      <alignment vertical="center"/>
    </xf>
    <xf numFmtId="0" fontId="156" fillId="0" borderId="0" applyAlignment="1">
      <alignment vertical="center"/>
    </xf>
    <xf numFmtId="0" fontId="361" fillId="0" borderId="0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157" fillId="36" borderId="226" applyAlignment="1">
      <alignment vertical="center"/>
    </xf>
    <xf numFmtId="0" fontId="242" fillId="73" borderId="211" applyAlignment="1">
      <alignment vertical="center"/>
    </xf>
    <xf numFmtId="0" fontId="404" fillId="39" borderId="211" applyAlignment="1">
      <alignment vertical="center"/>
    </xf>
    <xf numFmtId="42" fontId="145" fillId="0" borderId="0"/>
    <xf numFmtId="42" fontId="143" fillId="0" borderId="0"/>
    <xf numFmtId="195" fontId="145" fillId="0" borderId="0"/>
    <xf numFmtId="42" fontId="62" fillId="0" borderId="0"/>
    <xf numFmtId="195" fontId="62" fillId="0" borderId="0"/>
    <xf numFmtId="0" fontId="219" fillId="34" borderId="0" applyAlignment="1">
      <alignment vertical="center"/>
    </xf>
    <xf numFmtId="0" fontId="219" fillId="3" borderId="0" applyAlignment="1">
      <alignment vertical="center"/>
    </xf>
    <xf numFmtId="0" fontId="219" fillId="74" borderId="0" applyAlignment="1">
      <alignment vertical="center"/>
    </xf>
    <xf numFmtId="0" fontId="219" fillId="10" borderId="0" applyAlignment="1">
      <alignment vertical="center"/>
    </xf>
    <xf numFmtId="0" fontId="219" fillId="59" borderId="0" applyAlignment="1">
      <alignment vertical="center"/>
    </xf>
    <xf numFmtId="0" fontId="219" fillId="7" borderId="0" applyAlignment="1">
      <alignment vertical="center"/>
    </xf>
    <xf numFmtId="0" fontId="405" fillId="62" borderId="211" applyAlignment="1">
      <alignment vertical="center"/>
    </xf>
    <xf numFmtId="0" fontId="406" fillId="32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159" fillId="7" borderId="226" applyAlignment="1">
      <alignment vertical="center"/>
    </xf>
    <xf numFmtId="0" fontId="296" fillId="70" borderId="211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160" fillId="36" borderId="227" applyAlignment="1">
      <alignment vertical="center"/>
    </xf>
    <xf numFmtId="0" fontId="407" fillId="73" borderId="214" applyAlignment="1">
      <alignment vertical="center"/>
    </xf>
    <xf numFmtId="0" fontId="408" fillId="39" borderId="109" applyAlignment="1">
      <alignment vertical="center"/>
    </xf>
    <xf numFmtId="0" fontId="409" fillId="23" borderId="0" applyAlignment="1">
      <alignment vertical="center"/>
    </xf>
    <xf numFmtId="0" fontId="409" fillId="23" borderId="0" applyAlignment="1">
      <alignment vertical="center"/>
    </xf>
    <xf numFmtId="0" fontId="409" fillId="23" borderId="0" applyAlignment="1">
      <alignment vertical="center"/>
    </xf>
    <xf numFmtId="0" fontId="409" fillId="23" borderId="0" applyAlignment="1">
      <alignment vertical="center"/>
    </xf>
    <xf numFmtId="0" fontId="409" fillId="23" borderId="0" applyAlignment="1">
      <alignment vertical="center"/>
    </xf>
    <xf numFmtId="0" fontId="161" fillId="7" borderId="0" applyAlignment="1">
      <alignment vertical="center"/>
    </xf>
    <xf numFmtId="0" fontId="409" fillId="23" borderId="0" applyAlignment="1">
      <alignment vertical="center"/>
    </xf>
    <xf numFmtId="195" fontId="9" fillId="0" borderId="0"/>
    <xf numFmtId="42" fontId="9" fillId="0" borderId="0"/>
    <xf numFmtId="0" fontId="403" fillId="0" borderId="110" applyAlignment="1">
      <alignment vertical="center"/>
    </xf>
    <xf numFmtId="0" fontId="370" fillId="0" borderId="32" applyAlignment="1">
      <alignment horizontal="center"/>
    </xf>
    <xf numFmtId="0" fontId="370" fillId="0" borderId="32" applyAlignment="1">
      <alignment horizontal="center"/>
    </xf>
    <xf numFmtId="0" fontId="370" fillId="0" borderId="32" applyAlignment="1">
      <alignment horizontal="center"/>
    </xf>
    <xf numFmtId="0" fontId="410" fillId="0" borderId="0"/>
    <xf numFmtId="0" fontId="298" fillId="0" borderId="70" applyAlignment="1">
      <alignment vertical="center"/>
    </xf>
    <xf numFmtId="0" fontId="298" fillId="0" borderId="70" applyAlignment="1">
      <alignment vertical="center"/>
    </xf>
    <xf numFmtId="0" fontId="298" fillId="0" borderId="70" applyAlignment="1">
      <alignment vertical="center"/>
    </xf>
    <xf numFmtId="0" fontId="298" fillId="0" borderId="70" applyAlignment="1">
      <alignment vertical="center"/>
    </xf>
    <xf numFmtId="0" fontId="298" fillId="0" borderId="70" applyAlignment="1">
      <alignment vertical="center"/>
    </xf>
    <xf numFmtId="0" fontId="161" fillId="0" borderId="30" applyAlignment="1">
      <alignment vertical="center"/>
    </xf>
    <xf numFmtId="0" fontId="411" fillId="0" borderId="111" applyAlignment="1">
      <alignment vertical="center"/>
    </xf>
    <xf numFmtId="337" fontId="9" fillId="0" borderId="0"/>
    <xf numFmtId="338" fontId="9" fillId="0" borderId="0"/>
    <xf numFmtId="0" fontId="15" fillId="0" borderId="0"/>
    <xf numFmtId="0" fontId="64" fillId="15" borderId="209"/>
    <xf numFmtId="17" fontId="85" fillId="0" borderId="230"/>
    <xf numFmtId="0" fontId="41" fillId="0" borderId="228" applyAlignment="1">
      <alignment horizontal="left" vertical="center"/>
    </xf>
    <xf numFmtId="165" fontId="9" fillId="23" borderId="221"/>
    <xf numFmtId="10" fontId="29" fillId="24" borderId="221"/>
    <xf numFmtId="9" fontId="40" fillId="0" borderId="120"/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3" fontId="9" fillId="0" borderId="221" applyAlignment="1">
      <alignment vertical="center"/>
    </xf>
    <xf numFmtId="0" fontId="54" fillId="0" borderId="228" applyAlignment="1">
      <alignment horizontal="center" wrapText="1"/>
    </xf>
    <xf numFmtId="0" fontId="153" fillId="0" borderId="224" applyAlignment="1">
      <alignment vertical="center"/>
    </xf>
    <xf numFmtId="0" fontId="154" fillId="4" borderId="225" applyAlignment="1">
      <alignment vertical="center"/>
    </xf>
    <xf numFmtId="0" fontId="157" fillId="36" borderId="226" applyAlignment="1">
      <alignment vertical="center"/>
    </xf>
    <xf numFmtId="0" fontId="159" fillId="7" borderId="226" applyAlignment="1">
      <alignment vertical="center"/>
    </xf>
    <xf numFmtId="0" fontId="160" fillId="36" borderId="227" applyAlignment="1">
      <alignment vertical="center"/>
    </xf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0" fontId="241" fillId="32" borderId="211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1" fillId="73" borderId="211"/>
    <xf numFmtId="0" fontId="241" fillId="73" borderId="211"/>
    <xf numFmtId="0" fontId="241" fillId="32" borderId="211"/>
    <xf numFmtId="0" fontId="241" fillId="32" borderId="211"/>
    <xf numFmtId="0" fontId="241" fillId="32" borderId="211"/>
    <xf numFmtId="0" fontId="9" fillId="21" borderId="229"/>
    <xf numFmtId="0" fontId="9" fillId="21" borderId="229"/>
    <xf numFmtId="17" fontId="85" fillId="0" borderId="230"/>
    <xf numFmtId="17" fontId="85" fillId="0" borderId="230"/>
    <xf numFmtId="17" fontId="85" fillId="0" borderId="230"/>
    <xf numFmtId="17" fontId="85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295" fillId="60" borderId="211"/>
    <xf numFmtId="165" fontId="9" fillId="23" borderId="221"/>
    <xf numFmtId="165" fontId="9" fillId="23" borderId="221"/>
    <xf numFmtId="165" fontId="9" fillId="23" borderId="221"/>
    <xf numFmtId="10" fontId="29" fillId="24" borderId="221"/>
    <xf numFmtId="10" fontId="29" fillId="24" borderId="221"/>
    <xf numFmtId="10" fontId="29" fillId="24" borderId="221"/>
    <xf numFmtId="10" fontId="29" fillId="39" borderId="221"/>
    <xf numFmtId="10" fontId="29" fillId="24" borderId="221"/>
    <xf numFmtId="10" fontId="29" fillId="24" borderId="221"/>
    <xf numFmtId="10" fontId="29" fillId="24" borderId="22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0" fontId="6" fillId="62" borderId="213"/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8" fillId="66" borderId="213"/>
    <xf numFmtId="0" fontId="208" fillId="66" borderId="213"/>
    <xf numFmtId="0" fontId="6" fillId="62" borderId="213"/>
    <xf numFmtId="0" fontId="6" fillId="62" borderId="213"/>
    <xf numFmtId="0" fontId="6" fillId="62" borderId="213"/>
    <xf numFmtId="0" fontId="318" fillId="32" borderId="214"/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8" fillId="73" borderId="214"/>
    <xf numFmtId="0" fontId="318" fillId="73" borderId="214"/>
    <xf numFmtId="0" fontId="318" fillId="32" borderId="214"/>
    <xf numFmtId="0" fontId="318" fillId="32" borderId="214"/>
    <xf numFmtId="0" fontId="318" fillId="32" borderId="214"/>
    <xf numFmtId="9" fontId="145" fillId="0" borderId="216"/>
    <xf numFmtId="9" fontId="145" fillId="0" borderId="216"/>
    <xf numFmtId="9" fontId="40" fillId="0" borderId="120"/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4" fontId="333" fillId="62" borderId="217" applyAlignment="1">
      <alignment vertical="center"/>
    </xf>
    <xf numFmtId="4" fontId="334" fillId="23" borderId="217" applyAlignment="1">
      <alignment vertical="center"/>
    </xf>
    <xf numFmtId="4" fontId="333" fillId="23" borderId="217" applyAlignment="1">
      <alignment horizontal="left" vertical="center"/>
    </xf>
    <xf numFmtId="0" fontId="333" fillId="23" borderId="217" applyAlignment="1">
      <alignment horizontal="left" vertical="top"/>
    </xf>
    <xf numFmtId="4" fontId="128" fillId="2" borderId="217" applyAlignment="1">
      <alignment horizontal="right" vertical="center"/>
    </xf>
    <xf numFmtId="4" fontId="128" fillId="58" borderId="217" applyAlignment="1">
      <alignment horizontal="right" vertical="center"/>
    </xf>
    <xf numFmtId="4" fontId="128" fillId="7" borderId="217" applyAlignment="1">
      <alignment horizontal="right" vertical="center"/>
    </xf>
    <xf numFmtId="4" fontId="128" fillId="74" borderId="217" applyAlignment="1">
      <alignment horizontal="right" vertical="center"/>
    </xf>
    <xf numFmtId="4" fontId="128" fillId="8" borderId="217" applyAlignment="1">
      <alignment horizontal="right" vertical="center"/>
    </xf>
    <xf numFmtId="4" fontId="128" fillId="3" borderId="217" applyAlignment="1">
      <alignment horizontal="right" vertical="center"/>
    </xf>
    <xf numFmtId="4" fontId="128" fillId="84" borderId="217" applyAlignment="1">
      <alignment horizontal="right" vertical="center"/>
    </xf>
    <xf numFmtId="4" fontId="128" fillId="4" borderId="217" applyAlignment="1">
      <alignment horizontal="right" vertical="center"/>
    </xf>
    <xf numFmtId="4" fontId="128" fillId="5" borderId="217" applyAlignment="1">
      <alignment horizontal="right" vertical="center"/>
    </xf>
    <xf numFmtId="4" fontId="128" fillId="36" borderId="217" applyAlignment="1">
      <alignment horizontal="right" vertical="center"/>
    </xf>
    <xf numFmtId="0" fontId="9" fillId="75" borderId="217" applyAlignment="1">
      <alignment horizontal="left" vertical="center"/>
    </xf>
    <xf numFmtId="0" fontId="9" fillId="75" borderId="217" applyAlignment="1">
      <alignment horizontal="left" vertical="top"/>
    </xf>
    <xf numFmtId="0" fontId="9" fillId="95" borderId="217" applyAlignment="1">
      <alignment horizontal="left" vertical="center"/>
    </xf>
    <xf numFmtId="0" fontId="9" fillId="95" borderId="217" applyAlignment="1">
      <alignment horizontal="left" vertical="top"/>
    </xf>
    <xf numFmtId="0" fontId="9" fillId="55" borderId="217" applyAlignment="1">
      <alignment horizontal="left" vertical="center"/>
    </xf>
    <xf numFmtId="0" fontId="9" fillId="55" borderId="217" applyAlignment="1">
      <alignment horizontal="left" vertical="top"/>
    </xf>
    <xf numFmtId="0" fontId="9" fillId="14" borderId="217" applyAlignment="1">
      <alignment horizontal="left" vertical="center"/>
    </xf>
    <xf numFmtId="0" fontId="9" fillId="14" borderId="217" applyAlignment="1">
      <alignment horizontal="left" vertical="top"/>
    </xf>
    <xf numFmtId="4" fontId="128" fillId="24" borderId="217" applyAlignment="1">
      <alignment vertical="center"/>
    </xf>
    <xf numFmtId="4" fontId="336" fillId="24" borderId="217" applyAlignment="1">
      <alignment vertical="center"/>
    </xf>
    <xf numFmtId="4" fontId="128" fillId="24" borderId="217" applyAlignment="1">
      <alignment horizontal="left" vertical="center"/>
    </xf>
    <xf numFmtId="0" fontId="128" fillId="24" borderId="217" applyAlignment="1">
      <alignment horizontal="left" vertical="top"/>
    </xf>
    <xf numFmtId="4" fontId="128" fillId="65" borderId="217" applyAlignment="1">
      <alignment horizontal="right" vertical="center"/>
    </xf>
    <xf numFmtId="4" fontId="336" fillId="65" borderId="217" applyAlignment="1">
      <alignment horizontal="right" vertical="center"/>
    </xf>
    <xf numFmtId="4" fontId="128" fillId="36" borderId="217" applyAlignment="1">
      <alignment horizontal="left" vertical="center"/>
    </xf>
    <xf numFmtId="0" fontId="128" fillId="95" borderId="217" applyAlignment="1">
      <alignment horizontal="left" vertical="top"/>
    </xf>
    <xf numFmtId="4" fontId="49" fillId="65" borderId="217" applyAlignment="1">
      <alignment horizontal="right" vertical="center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331" fillId="1" borderId="228" applyAlignment="1">
      <alignment horizontal="center"/>
    </xf>
    <xf numFmtId="0" fontId="331" fillId="1" borderId="228" applyAlignment="1">
      <alignment horizontal="center"/>
    </xf>
    <xf numFmtId="3" fontId="9" fillId="21" borderId="218"/>
    <xf numFmtId="4" fontId="9" fillId="21" borderId="218"/>
    <xf numFmtId="168" fontId="9" fillId="21" borderId="218"/>
    <xf numFmtId="10" fontId="9" fillId="21" borderId="218"/>
    <xf numFmtId="9" fontId="9" fillId="21" borderId="218"/>
    <xf numFmtId="2" fontId="9" fillId="21" borderId="218"/>
    <xf numFmtId="0" fontId="165" fillId="0" borderId="221" applyAlignment="1">
      <alignment horizontal="center"/>
    </xf>
    <xf numFmtId="0" fontId="165" fillId="0" borderId="221" applyAlignment="1">
      <alignment horizontal="center"/>
    </xf>
    <xf numFmtId="0" fontId="165" fillId="0" borderId="221" applyAlignment="1">
      <alignment horizont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0" fontId="54" fillId="0" borderId="228" applyAlignment="1">
      <alignment horizontal="center" wrapText="1"/>
    </xf>
    <xf numFmtId="172" fontId="9" fillId="0" borderId="119"/>
    <xf numFmtId="172" fontId="9" fillId="0" borderId="119"/>
    <xf numFmtId="172" fontId="9" fillId="0" borderId="119"/>
    <xf numFmtId="172" fontId="9" fillId="0" borderId="119"/>
    <xf numFmtId="172" fontId="9" fillId="0" borderId="119"/>
    <xf numFmtId="172" fontId="9" fillId="0" borderId="119"/>
    <xf numFmtId="0" fontId="357" fillId="0" borderId="219"/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357" fillId="0" borderId="219"/>
    <xf numFmtId="0" fontId="357" fillId="0" borderId="219"/>
    <xf numFmtId="0" fontId="357" fillId="0" borderId="219"/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15" fillId="62" borderId="213" applyAlignment="1">
      <alignment vertical="center"/>
    </xf>
    <xf numFmtId="0" fontId="371" fillId="0" borderId="222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19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153" fillId="0" borderId="224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154" fillId="4" borderId="225" applyAlignment="1">
      <alignment vertical="center"/>
    </xf>
    <xf numFmtId="0" fontId="207" fillId="66" borderId="213" applyAlignment="1">
      <alignment vertical="center"/>
    </xf>
    <xf numFmtId="0" fontId="401" fillId="32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157" fillId="36" borderId="226" applyAlignment="1">
      <alignment vertical="center"/>
    </xf>
    <xf numFmtId="0" fontId="242" fillId="73" borderId="211" applyAlignment="1">
      <alignment vertical="center"/>
    </xf>
    <xf numFmtId="0" fontId="405" fillId="62" borderId="211" applyAlignment="1">
      <alignment vertical="center"/>
    </xf>
    <xf numFmtId="0" fontId="406" fillId="32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159" fillId="7" borderId="226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160" fillId="36" borderId="227" applyAlignment="1">
      <alignment vertical="center"/>
    </xf>
    <xf numFmtId="0" fontId="407" fillId="73" borderId="214" applyAlignment="1">
      <alignment vertical="center"/>
    </xf>
    <xf numFmtId="4" fontId="333" fillId="96" borderId="208" applyAlignment="1">
      <alignment horizontal="left" vertical="center"/>
    </xf>
    <xf numFmtId="0" fontId="242" fillId="32" borderId="211" applyAlignment="1">
      <alignment vertical="center"/>
    </xf>
    <xf numFmtId="1" fontId="235" fillId="0" borderId="199" applyAlignment="1">
      <alignment horizontal="right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165" fontId="9" fillId="23" borderId="221"/>
    <xf numFmtId="10" fontId="29" fillId="24" borderId="221"/>
    <xf numFmtId="262" fontId="69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371" fillId="0" borderId="222" applyAlignment="1">
      <alignment vertical="center"/>
    </xf>
    <xf numFmtId="0" fontId="242" fillId="32" borderId="211" applyAlignment="1">
      <alignment vertical="center"/>
    </xf>
    <xf numFmtId="0" fontId="241" fillId="73" borderId="211"/>
    <xf numFmtId="17" fontId="85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298" fontId="64" fillId="24" borderId="221"/>
    <xf numFmtId="298" fontId="64" fillId="24" borderId="221"/>
    <xf numFmtId="165" fontId="9" fillId="23" borderId="221"/>
    <xf numFmtId="10" fontId="29" fillId="24" borderId="221"/>
    <xf numFmtId="10" fontId="29" fillId="24" borderId="221"/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07" fillId="24" borderId="213" applyAlignment="1">
      <alignment vertical="center"/>
    </xf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358" fillId="0" borderId="220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3" fontId="9" fillId="0" borderId="221" applyAlignment="1">
      <alignment vertical="center"/>
    </xf>
    <xf numFmtId="0" fontId="242" fillId="21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160" fillId="36" borderId="227" applyAlignment="1">
      <alignment vertical="center"/>
    </xf>
    <xf numFmtId="0" fontId="407" fillId="73" borderId="214" applyAlignment="1">
      <alignment vertical="center"/>
    </xf>
    <xf numFmtId="0" fontId="159" fillId="7" borderId="226" applyAlignment="1">
      <alignment vertical="center"/>
    </xf>
    <xf numFmtId="0" fontId="160" fillId="36" borderId="227" applyAlignment="1">
      <alignment vertical="center"/>
    </xf>
    <xf numFmtId="263" fontId="62" fillId="0" borderId="221" applyAlignment="1">
      <alignment horizontal="left"/>
    </xf>
    <xf numFmtId="0" fontId="241" fillId="73" borderId="211"/>
    <xf numFmtId="0" fontId="241" fillId="73" borderId="211"/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70" fillId="91" borderId="221" applyAlignment="1">
      <alignment horizontal="right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8" fillId="66" borderId="213"/>
    <xf numFmtId="0" fontId="6" fillId="62" borderId="213"/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8" fillId="73" borderId="214"/>
    <xf numFmtId="0" fontId="318" fillId="32" borderId="214"/>
    <xf numFmtId="9" fontId="145" fillId="0" borderId="216"/>
    <xf numFmtId="4" fontId="128" fillId="3" borderId="217" applyAlignment="1">
      <alignment horizontal="right" vertical="center"/>
    </xf>
    <xf numFmtId="4" fontId="128" fillId="84" borderId="217" applyAlignment="1">
      <alignment horizontal="right" vertical="center"/>
    </xf>
    <xf numFmtId="4" fontId="128" fillId="36" borderId="217" applyAlignment="1">
      <alignment horizontal="right" vertical="center"/>
    </xf>
    <xf numFmtId="0" fontId="9" fillId="95" borderId="217" applyAlignment="1">
      <alignment horizontal="left" vertical="center"/>
    </xf>
    <xf numFmtId="0" fontId="9" fillId="55" borderId="217" applyAlignment="1">
      <alignment horizontal="left" vertical="top"/>
    </xf>
    <xf numFmtId="0" fontId="9" fillId="14" borderId="217" applyAlignment="1">
      <alignment horizontal="left" vertical="center"/>
    </xf>
    <xf numFmtId="0" fontId="9" fillId="14" borderId="217" applyAlignment="1">
      <alignment horizontal="left" vertical="top"/>
    </xf>
    <xf numFmtId="0" fontId="128" fillId="24" borderId="217" applyAlignment="1">
      <alignment horizontal="left" vertical="top"/>
    </xf>
    <xf numFmtId="4" fontId="128" fillId="36" borderId="217" applyAlignment="1">
      <alignment horizontal="left" vertical="center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331" fillId="1" borderId="228" applyAlignment="1">
      <alignment horizontal="center"/>
    </xf>
    <xf numFmtId="0" fontId="331" fillId="1" borderId="228" applyAlignment="1">
      <alignment horizontal="center"/>
    </xf>
    <xf numFmtId="3" fontId="9" fillId="21" borderId="218"/>
    <xf numFmtId="4" fontId="9" fillId="21" borderId="218"/>
    <xf numFmtId="168" fontId="9" fillId="21" borderId="218"/>
    <xf numFmtId="10" fontId="9" fillId="21" borderId="218"/>
    <xf numFmtId="262" fontId="69" fillId="102" borderId="221" applyAlignment="1">
      <alignment horizontal="right"/>
    </xf>
    <xf numFmtId="0" fontId="319" fillId="32" borderId="215" applyAlignment="1">
      <alignment vertical="center"/>
    </xf>
    <xf numFmtId="0" fontId="153" fillId="0" borderId="224" applyAlignment="1">
      <alignment vertical="center"/>
    </xf>
    <xf numFmtId="0" fontId="154" fillId="4" borderId="225" applyAlignment="1">
      <alignment vertical="center"/>
    </xf>
    <xf numFmtId="0" fontId="154" fillId="4" borderId="225" applyAlignment="1">
      <alignment vertical="center"/>
    </xf>
    <xf numFmtId="0" fontId="157" fillId="36" borderId="226" applyAlignment="1">
      <alignment vertical="center"/>
    </xf>
    <xf numFmtId="0" fontId="65" fillId="0" borderId="201"/>
    <xf numFmtId="0" fontId="159" fillId="7" borderId="226" applyAlignment="1">
      <alignment vertical="center"/>
    </xf>
    <xf numFmtId="0" fontId="160" fillId="36" borderId="227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70" fillId="91" borderId="221" applyAlignment="1">
      <alignment horizontal="right"/>
    </xf>
    <xf numFmtId="0" fontId="64" fillId="0" borderId="221" applyAlignment="1">
      <alignment horizontal="center" vertical="center"/>
    </xf>
    <xf numFmtId="0" fontId="208" fillId="66" borderId="213"/>
    <xf numFmtId="0" fontId="6" fillId="62" borderId="213"/>
    <xf numFmtId="4" fontId="128" fillId="58" borderId="217" applyAlignment="1">
      <alignment horizontal="right" vertical="center"/>
    </xf>
    <xf numFmtId="0" fontId="357" fillId="0" borderId="219"/>
    <xf numFmtId="0" fontId="357" fillId="0" borderId="219"/>
    <xf numFmtId="0" fontId="357" fillId="0" borderId="219"/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135" fillId="0" borderId="201"/>
    <xf numFmtId="0" fontId="136" fillId="0" borderId="201"/>
    <xf numFmtId="0" fontId="135" fillId="0" borderId="201"/>
    <xf numFmtId="0" fontId="134" fillId="0" borderId="201"/>
    <xf numFmtId="0" fontId="134" fillId="0" borderId="201"/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38" fontId="353" fillId="40" borderId="204" applyAlignment="1">
      <alignment horizontal="center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38" fontId="353" fillId="40" borderId="204" applyAlignment="1">
      <alignment horizontal="center"/>
    </xf>
    <xf numFmtId="0" fontId="127" fillId="0" borderId="201"/>
    <xf numFmtId="0" fontId="165" fillId="0" borderId="221" applyAlignment="1">
      <alignment horizontal="center"/>
    </xf>
    <xf numFmtId="0" fontId="127" fillId="0" borderId="201"/>
    <xf numFmtId="0" fontId="165" fillId="0" borderId="221" applyAlignment="1">
      <alignment horizontal="center"/>
    </xf>
    <xf numFmtId="4" fontId="333" fillId="96" borderId="208" applyAlignment="1">
      <alignment horizontal="left" vertical="center"/>
    </xf>
    <xf numFmtId="1" fontId="235" fillId="0" borderId="199" applyAlignment="1">
      <alignment horizontal="right"/>
    </xf>
    <xf numFmtId="0" fontId="241" fillId="32" borderId="211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1" fillId="32" borderId="211"/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0" fontId="241" fillId="32" borderId="211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1" fillId="73" borderId="211"/>
    <xf numFmtId="0" fontId="241" fillId="73" borderId="211"/>
    <xf numFmtId="0" fontId="241" fillId="32" borderId="211"/>
    <xf numFmtId="0" fontId="241" fillId="32" borderId="211"/>
    <xf numFmtId="0" fontId="241" fillId="32" borderId="211"/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71" fontId="29" fillId="0" borderId="206" applyAlignment="1" applyProtection="1">
      <alignment horizontal="center" vertical="center"/>
      <protection locked="0" hidden="0"/>
    </xf>
    <xf numFmtId="272" fontId="29" fillId="0" borderId="206" applyAlignment="1" applyProtection="1">
      <alignment horizontal="center" vertical="center"/>
      <protection locked="0" hidden="0"/>
    </xf>
    <xf numFmtId="273" fontId="29" fillId="0" borderId="206" applyAlignment="1" applyProtection="1">
      <alignment horizontal="center" vertical="center"/>
      <protection locked="0" hidden="0"/>
    </xf>
    <xf numFmtId="274" fontId="29" fillId="0" borderId="206" applyAlignment="1" applyProtection="1">
      <alignment horizontal="center" vertical="center"/>
      <protection locked="0" hidden="0"/>
    </xf>
    <xf numFmtId="275" fontId="29" fillId="0" borderId="206" applyAlignment="1" applyProtection="1">
      <alignment horizontal="center" vertical="center"/>
      <protection locked="0" hidden="0"/>
    </xf>
    <xf numFmtId="276" fontId="29" fillId="0" borderId="206" applyAlignment="1" applyProtection="1">
      <alignment horizontal="center" vertical="center"/>
      <protection locked="0" hidden="0"/>
    </xf>
    <xf numFmtId="0" fontId="29" fillId="0" borderId="206" applyAlignment="1" applyProtection="1">
      <alignment vertical="center"/>
      <protection locked="0" hidden="0"/>
    </xf>
    <xf numFmtId="271" fontId="29" fillId="0" borderId="206" applyAlignment="1" applyProtection="1">
      <alignment horizontal="right" vertical="center"/>
      <protection locked="0" hidden="0"/>
    </xf>
    <xf numFmtId="277" fontId="29" fillId="0" borderId="206" applyAlignment="1" applyProtection="1">
      <alignment horizontal="right" vertical="center"/>
      <protection locked="0" hidden="0"/>
    </xf>
    <xf numFmtId="273" fontId="29" fillId="0" borderId="206" applyAlignment="1" applyProtection="1">
      <alignment horizontal="right" vertical="center"/>
      <protection locked="0" hidden="0"/>
    </xf>
    <xf numFmtId="274" fontId="29" fillId="0" borderId="206" applyAlignment="1" applyProtection="1">
      <alignment horizontal="right" vertical="center"/>
      <protection locked="0" hidden="0"/>
    </xf>
    <xf numFmtId="275" fontId="29" fillId="0" borderId="206" applyAlignment="1" applyProtection="1">
      <alignment horizontal="right" vertical="center"/>
      <protection locked="0" hidden="0"/>
    </xf>
    <xf numFmtId="276" fontId="29" fillId="0" borderId="206" applyAlignment="1" applyProtection="1">
      <alignment horizontal="right" vertical="center"/>
      <protection locked="0" hidden="0"/>
    </xf>
    <xf numFmtId="1" fontId="235" fillId="0" borderId="199" applyAlignment="1">
      <alignment horizontal="right"/>
    </xf>
    <xf numFmtId="0" fontId="241" fillId="32" borderId="211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1" fillId="73" borderId="211"/>
    <xf numFmtId="0" fontId="241" fillId="73" borderId="211"/>
    <xf numFmtId="0" fontId="241" fillId="32" borderId="211"/>
    <xf numFmtId="0" fontId="241" fillId="32" borderId="211"/>
    <xf numFmtId="0" fontId="241" fillId="32" borderId="211"/>
    <xf numFmtId="0" fontId="7" fillId="0" borderId="207"/>
    <xf numFmtId="164" fontId="9" fillId="0" borderId="200" applyAlignment="1">
      <alignment horizontal="right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7" fillId="0" borderId="207"/>
    <xf numFmtId="164" fontId="9" fillId="0" borderId="200" applyAlignment="1">
      <alignment horizontal="right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164" fontId="9" fillId="0" borderId="200" applyAlignment="1">
      <alignment horizontal="right"/>
    </xf>
    <xf numFmtId="0" fontId="295" fillId="60" borderId="211"/>
    <xf numFmtId="165" fontId="9" fillId="23" borderId="221"/>
    <xf numFmtId="165" fontId="9" fillId="23" borderId="221"/>
    <xf numFmtId="165" fontId="9" fillId="23" borderId="221"/>
    <xf numFmtId="10" fontId="29" fillId="24" borderId="221"/>
    <xf numFmtId="10" fontId="29" fillId="24" borderId="221"/>
    <xf numFmtId="10" fontId="29" fillId="24" borderId="221"/>
    <xf numFmtId="10" fontId="29" fillId="39" borderId="221"/>
    <xf numFmtId="10" fontId="29" fillId="24" borderId="221"/>
    <xf numFmtId="10" fontId="29" fillId="24" borderId="221"/>
    <xf numFmtId="10" fontId="29" fillId="24" borderId="22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5" fontId="51" fillId="29" borderId="203"/>
    <xf numFmtId="220" fontId="51" fillId="29" borderId="203"/>
    <xf numFmtId="220" fontId="51" fillId="29" borderId="203"/>
    <xf numFmtId="220" fontId="51" fillId="29" borderId="203"/>
    <xf numFmtId="305" fontId="51" fillId="29" borderId="203"/>
    <xf numFmtId="305" fontId="51" fillId="29" borderId="203"/>
    <xf numFmtId="0" fontId="44" fillId="37" borderId="202" applyAlignment="1">
      <alignment horizontal="left" vertical="center" wrapText="1"/>
    </xf>
    <xf numFmtId="0" fontId="43" fillId="28" borderId="202" applyAlignment="1">
      <alignment horizontal="left" vertical="center" wrapText="1"/>
    </xf>
    <xf numFmtId="0" fontId="43" fillId="28" borderId="202" applyAlignment="1">
      <alignment horizontal="left" vertical="center" wrapText="1"/>
    </xf>
    <xf numFmtId="0" fontId="43" fillId="28" borderId="202" applyAlignment="1">
      <alignment horizontal="left" vertical="center" wrapText="1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6" fillId="62" borderId="213"/>
    <xf numFmtId="0" fontId="6" fillId="62" borderId="213"/>
    <xf numFmtId="0" fontId="295" fillId="60" borderId="211"/>
    <xf numFmtId="0" fontId="318" fillId="32" borderId="214"/>
    <xf numFmtId="0" fontId="319" fillId="32" borderId="215" applyAlignment="1">
      <alignment vertical="center"/>
    </xf>
    <xf numFmtId="0" fontId="319" fillId="32" borderId="215" applyAlignment="1">
      <alignment vertical="center"/>
    </xf>
    <xf numFmtId="164" fontId="9" fillId="0" borderId="200" applyAlignment="1">
      <alignment horizontal="right"/>
    </xf>
    <xf numFmtId="0" fontId="318" fillId="73" borderId="214"/>
    <xf numFmtId="0" fontId="318" fillId="32" borderId="214"/>
    <xf numFmtId="0" fontId="318" fillId="32" borderId="214"/>
    <xf numFmtId="0" fontId="318" fillId="32" borderId="214"/>
    <xf numFmtId="9" fontId="145" fillId="0" borderId="216"/>
    <xf numFmtId="9" fontId="145" fillId="0" borderId="216"/>
    <xf numFmtId="305" fontId="51" fillId="29" borderId="203"/>
    <xf numFmtId="220" fontId="51" fillId="29" borderId="203"/>
    <xf numFmtId="220" fontId="51" fillId="29" borderId="203"/>
    <xf numFmtId="220" fontId="51" fillId="29" borderId="203"/>
    <xf numFmtId="305" fontId="51" fillId="29" borderId="203"/>
    <xf numFmtId="305" fontId="51" fillId="29" borderId="203"/>
    <xf numFmtId="0" fontId="44" fillId="37" borderId="202" applyAlignment="1">
      <alignment horizontal="left" vertical="center" wrapText="1"/>
    </xf>
    <xf numFmtId="0" fontId="43" fillId="28" borderId="202" applyAlignment="1">
      <alignment horizontal="left" vertical="center" wrapText="1"/>
    </xf>
    <xf numFmtId="0" fontId="43" fillId="28" borderId="202" applyAlignment="1">
      <alignment horizontal="left" vertical="center" wrapText="1"/>
    </xf>
    <xf numFmtId="0" fontId="43" fillId="28" borderId="202" applyAlignment="1">
      <alignment horizontal="left" vertical="center" wrapText="1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6" fillId="62" borderId="213"/>
    <xf numFmtId="0" fontId="6" fillId="62" borderId="213"/>
    <xf numFmtId="0" fontId="295" fillId="60" borderId="211"/>
    <xf numFmtId="0" fontId="318" fillId="32" borderId="214"/>
    <xf numFmtId="0" fontId="319" fillId="32" borderId="215" applyAlignment="1">
      <alignment vertical="center"/>
    </xf>
    <xf numFmtId="0" fontId="319" fillId="32" borderId="215" applyAlignment="1">
      <alignment vertical="center"/>
    </xf>
    <xf numFmtId="164" fontId="9" fillId="0" borderId="200" applyAlignment="1">
      <alignment horizontal="right"/>
    </xf>
    <xf numFmtId="0" fontId="318" fillId="73" borderId="214"/>
    <xf numFmtId="0" fontId="318" fillId="32" borderId="214"/>
    <xf numFmtId="0" fontId="318" fillId="32" borderId="214"/>
    <xf numFmtId="0" fontId="318" fillId="32" borderId="214"/>
    <xf numFmtId="9" fontId="145" fillId="0" borderId="216"/>
    <xf numFmtId="9" fontId="145" fillId="0" borderId="216"/>
    <xf numFmtId="4" fontId="333" fillId="62" borderId="217" applyAlignment="1">
      <alignment vertical="center"/>
    </xf>
    <xf numFmtId="4" fontId="334" fillId="23" borderId="217" applyAlignment="1">
      <alignment vertical="center"/>
    </xf>
    <xf numFmtId="4" fontId="333" fillId="23" borderId="217" applyAlignment="1">
      <alignment horizontal="left" vertical="center"/>
    </xf>
    <xf numFmtId="0" fontId="333" fillId="23" borderId="217" applyAlignment="1">
      <alignment horizontal="left" vertical="top"/>
    </xf>
    <xf numFmtId="4" fontId="128" fillId="8" borderId="217" applyAlignment="1">
      <alignment horizontal="right" vertical="center"/>
    </xf>
    <xf numFmtId="4" fontId="128" fillId="3" borderId="217" applyAlignment="1">
      <alignment horizontal="right" vertical="center"/>
    </xf>
    <xf numFmtId="4" fontId="128" fillId="84" borderId="217" applyAlignment="1">
      <alignment horizontal="right" vertical="center"/>
    </xf>
    <xf numFmtId="4" fontId="128" fillId="4" borderId="217" applyAlignment="1">
      <alignment horizontal="right" vertical="center"/>
    </xf>
    <xf numFmtId="4" fontId="128" fillId="36" borderId="217" applyAlignment="1">
      <alignment horizontal="right" vertical="center"/>
    </xf>
    <xf numFmtId="0" fontId="9" fillId="75" borderId="217" applyAlignment="1">
      <alignment horizontal="left" vertical="center"/>
    </xf>
    <xf numFmtId="0" fontId="9" fillId="75" borderId="217" applyAlignment="1">
      <alignment horizontal="left" vertical="top"/>
    </xf>
    <xf numFmtId="0" fontId="9" fillId="95" borderId="217" applyAlignment="1">
      <alignment horizontal="left" vertical="top"/>
    </xf>
    <xf numFmtId="0" fontId="9" fillId="55" borderId="217" applyAlignment="1">
      <alignment horizontal="left" vertical="center"/>
    </xf>
    <xf numFmtId="0" fontId="9" fillId="14" borderId="217" applyAlignment="1">
      <alignment horizontal="left" vertical="top"/>
    </xf>
    <xf numFmtId="4" fontId="128" fillId="24" borderId="217" applyAlignment="1">
      <alignment vertical="center"/>
    </xf>
    <xf numFmtId="4" fontId="336" fillId="24" borderId="217" applyAlignment="1">
      <alignment vertical="center"/>
    </xf>
    <xf numFmtId="4" fontId="128" fillId="65" borderId="217" applyAlignment="1">
      <alignment horizontal="right" vertical="center"/>
    </xf>
    <xf numFmtId="4" fontId="336" fillId="65" borderId="217" applyAlignment="1">
      <alignment horizontal="right" vertical="center"/>
    </xf>
    <xf numFmtId="4" fontId="128" fillId="36" borderId="217" applyAlignment="1">
      <alignment horizontal="left" vertical="center"/>
    </xf>
    <xf numFmtId="0" fontId="128" fillId="95" borderId="217" applyAlignment="1">
      <alignment horizontal="left" vertical="top"/>
    </xf>
    <xf numFmtId="4" fontId="49" fillId="65" borderId="217" applyAlignment="1">
      <alignment horizontal="right" vertical="center"/>
    </xf>
    <xf numFmtId="4" fontId="9" fillId="21" borderId="218"/>
    <xf numFmtId="168" fontId="9" fillId="21" borderId="218"/>
    <xf numFmtId="10" fontId="9" fillId="21" borderId="218"/>
    <xf numFmtId="9" fontId="9" fillId="21" borderId="218"/>
    <xf numFmtId="1" fontId="235" fillId="0" borderId="199" applyAlignment="1">
      <alignment horizontal="right"/>
    </xf>
    <xf numFmtId="282" fontId="29" fillId="24" borderId="202" applyAlignment="1" applyProtection="1">
      <alignment horizontal="right"/>
      <protection locked="0" hidden="0"/>
    </xf>
    <xf numFmtId="282" fontId="29" fillId="24" borderId="202" applyAlignment="1" applyProtection="1">
      <alignment horizontal="right"/>
      <protection locked="0" hidden="0"/>
    </xf>
    <xf numFmtId="281" fontId="29" fillId="19" borderId="202" applyAlignment="1" applyProtection="1">
      <alignment horizontal="right"/>
      <protection locked="0" hidden="0"/>
    </xf>
    <xf numFmtId="281" fontId="29" fillId="19" borderId="202" applyAlignment="1" applyProtection="1">
      <alignment horizontal="right"/>
      <protection locked="0" hidden="0"/>
    </xf>
    <xf numFmtId="279" fontId="29" fillId="24" borderId="202" applyAlignment="1" applyProtection="1">
      <alignment horizontal="right"/>
      <protection locked="0" hidden="0"/>
    </xf>
    <xf numFmtId="279" fontId="29" fillId="24" borderId="202" applyAlignment="1" applyProtection="1">
      <alignment horizontal="right"/>
      <protection locked="0" hidden="0"/>
    </xf>
    <xf numFmtId="38" fontId="353" fillId="40" borderId="204" applyAlignment="1">
      <alignment horizontal="center"/>
    </xf>
    <xf numFmtId="276" fontId="29" fillId="0" borderId="206" applyAlignment="1" applyProtection="1">
      <alignment horizontal="right" vertical="center"/>
      <protection locked="0" hidden="0"/>
    </xf>
    <xf numFmtId="275" fontId="29" fillId="0" borderId="206" applyAlignment="1" applyProtection="1">
      <alignment horizontal="right" vertical="center"/>
      <protection locked="0" hidden="0"/>
    </xf>
    <xf numFmtId="274" fontId="29" fillId="0" borderId="206" applyAlignment="1" applyProtection="1">
      <alignment horizontal="right" vertical="center"/>
      <protection locked="0" hidden="0"/>
    </xf>
    <xf numFmtId="273" fontId="29" fillId="0" borderId="206" applyAlignment="1" applyProtection="1">
      <alignment horizontal="right" vertical="center"/>
      <protection locked="0" hidden="0"/>
    </xf>
    <xf numFmtId="277" fontId="29" fillId="0" borderId="206" applyAlignment="1" applyProtection="1">
      <alignment horizontal="right" vertical="center"/>
      <protection locked="0" hidden="0"/>
    </xf>
    <xf numFmtId="271" fontId="29" fillId="0" borderId="206" applyAlignment="1" applyProtection="1">
      <alignment horizontal="right" vertical="center"/>
      <protection locked="0" hidden="0"/>
    </xf>
    <xf numFmtId="0" fontId="29" fillId="0" borderId="206" applyAlignment="1" applyProtection="1">
      <alignment vertical="center"/>
      <protection locked="0" hidden="0"/>
    </xf>
    <xf numFmtId="276" fontId="29" fillId="0" borderId="206" applyAlignment="1" applyProtection="1">
      <alignment horizontal="center" vertical="center"/>
      <protection locked="0" hidden="0"/>
    </xf>
    <xf numFmtId="275" fontId="29" fillId="0" borderId="206" applyAlignment="1" applyProtection="1">
      <alignment horizontal="center" vertical="center"/>
      <protection locked="0" hidden="0"/>
    </xf>
    <xf numFmtId="274" fontId="29" fillId="0" borderId="206" applyAlignment="1" applyProtection="1">
      <alignment horizontal="center" vertical="center"/>
      <protection locked="0" hidden="0"/>
    </xf>
    <xf numFmtId="273" fontId="29" fillId="0" borderId="206" applyAlignment="1" applyProtection="1">
      <alignment horizontal="center" vertical="center"/>
      <protection locked="0" hidden="0"/>
    </xf>
    <xf numFmtId="272" fontId="29" fillId="0" borderId="206" applyAlignment="1" applyProtection="1">
      <alignment horizontal="center" vertical="center"/>
      <protection locked="0" hidden="0"/>
    </xf>
    <xf numFmtId="271" fontId="29" fillId="0" borderId="206" applyAlignment="1" applyProtection="1">
      <alignment horizontal="center" vertical="center"/>
      <protection locked="0" hidden="0"/>
    </xf>
    <xf numFmtId="0" fontId="29" fillId="0" borderId="201"/>
    <xf numFmtId="0" fontId="64" fillId="0" borderId="201"/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357" fillId="0" borderId="219"/>
    <xf numFmtId="0" fontId="357" fillId="0" borderId="219"/>
    <xf numFmtId="0" fontId="357" fillId="0" borderId="219"/>
    <xf numFmtId="0" fontId="6" fillId="62" borderId="213"/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8" fillId="66" borderId="213"/>
    <xf numFmtId="0" fontId="208" fillId="66" borderId="213"/>
    <xf numFmtId="0" fontId="6" fillId="62" borderId="213"/>
    <xf numFmtId="0" fontId="6" fillId="62" borderId="213"/>
    <xf numFmtId="0" fontId="6" fillId="62" borderId="213"/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318" fillId="32" borderId="214"/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8" fillId="73" borderId="214"/>
    <xf numFmtId="0" fontId="318" fillId="73" borderId="214"/>
    <xf numFmtId="0" fontId="318" fillId="32" borderId="214"/>
    <xf numFmtId="0" fontId="318" fillId="32" borderId="214"/>
    <xf numFmtId="0" fontId="318" fillId="32" borderId="214"/>
    <xf numFmtId="9" fontId="145" fillId="0" borderId="216"/>
    <xf numFmtId="9" fontId="145" fillId="0" borderId="216"/>
    <xf numFmtId="0" fontId="15" fillId="62" borderId="213" applyAlignment="1">
      <alignment vertical="center"/>
    </xf>
    <xf numFmtId="0" fontId="7" fillId="0" borderId="207"/>
    <xf numFmtId="43" fontId="41" fillId="19" borderId="205"/>
    <xf numFmtId="43" fontId="41" fillId="19" borderId="205"/>
    <xf numFmtId="43" fontId="41" fillId="19" borderId="205"/>
    <xf numFmtId="43" fontId="41" fillId="19" borderId="205"/>
    <xf numFmtId="43" fontId="41" fillId="19" borderId="205"/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19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4" fontId="333" fillId="62" borderId="217" applyAlignment="1">
      <alignment vertical="center"/>
    </xf>
    <xf numFmtId="4" fontId="334" fillId="23" borderId="217" applyAlignment="1">
      <alignment vertical="center"/>
    </xf>
    <xf numFmtId="4" fontId="333" fillId="23" borderId="217" applyAlignment="1">
      <alignment horizontal="left" vertical="center"/>
    </xf>
    <xf numFmtId="0" fontId="333" fillId="23" borderId="217" applyAlignment="1">
      <alignment horizontal="left" vertical="top"/>
    </xf>
    <xf numFmtId="0" fontId="358" fillId="0" borderId="223" applyAlignment="1">
      <alignment vertical="center"/>
    </xf>
    <xf numFmtId="4" fontId="128" fillId="2" borderId="217" applyAlignment="1">
      <alignment horizontal="right" vertical="center"/>
    </xf>
    <xf numFmtId="4" fontId="128" fillId="58" borderId="217" applyAlignment="1">
      <alignment horizontal="right" vertical="center"/>
    </xf>
    <xf numFmtId="4" fontId="128" fillId="7" borderId="217" applyAlignment="1">
      <alignment horizontal="right" vertical="center"/>
    </xf>
    <xf numFmtId="4" fontId="128" fillId="74" borderId="217" applyAlignment="1">
      <alignment horizontal="right" vertical="center"/>
    </xf>
    <xf numFmtId="4" fontId="128" fillId="8" borderId="217" applyAlignment="1">
      <alignment horizontal="right" vertical="center"/>
    </xf>
    <xf numFmtId="4" fontId="128" fillId="3" borderId="217" applyAlignment="1">
      <alignment horizontal="right" vertical="center"/>
    </xf>
    <xf numFmtId="4" fontId="128" fillId="84" borderId="217" applyAlignment="1">
      <alignment horizontal="right" vertical="center"/>
    </xf>
    <xf numFmtId="4" fontId="128" fillId="4" borderId="217" applyAlignment="1">
      <alignment horizontal="right" vertical="center"/>
    </xf>
    <xf numFmtId="4" fontId="128" fillId="5" borderId="217" applyAlignment="1">
      <alignment horizontal="right"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4" fontId="128" fillId="36" borderId="217" applyAlignment="1">
      <alignment horizontal="right"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9" fillId="75" borderId="217" applyAlignment="1">
      <alignment horizontal="left" vertical="center"/>
    </xf>
    <xf numFmtId="0" fontId="9" fillId="75" borderId="217" applyAlignment="1">
      <alignment horizontal="left" vertical="top"/>
    </xf>
    <xf numFmtId="0" fontId="9" fillId="95" borderId="217" applyAlignment="1">
      <alignment horizontal="left" vertical="top"/>
    </xf>
    <xf numFmtId="0" fontId="9" fillId="55" borderId="217" applyAlignment="1">
      <alignment horizontal="left" vertical="center"/>
    </xf>
    <xf numFmtId="4" fontId="128" fillId="24" borderId="217" applyAlignment="1">
      <alignment vertical="center"/>
    </xf>
    <xf numFmtId="4" fontId="336" fillId="24" borderId="217" applyAlignment="1">
      <alignment vertical="center"/>
    </xf>
    <xf numFmtId="4" fontId="128" fillId="24" borderId="217" applyAlignment="1">
      <alignment horizontal="left" vertical="center"/>
    </xf>
    <xf numFmtId="4" fontId="336" fillId="65" borderId="217" applyAlignment="1">
      <alignment horizontal="right" vertical="center"/>
    </xf>
    <xf numFmtId="4" fontId="128" fillId="36" borderId="217" applyAlignment="1">
      <alignment horizontal="left" vertical="center"/>
    </xf>
    <xf numFmtId="0" fontId="128" fillId="95" borderId="217" applyAlignment="1">
      <alignment horizontal="left" vertical="top"/>
    </xf>
    <xf numFmtId="0" fontId="358" fillId="0" borderId="223" applyAlignment="1">
      <alignment vertical="center"/>
    </xf>
    <xf numFmtId="4" fontId="49" fillId="65" borderId="217" applyAlignment="1">
      <alignment horizontal="right" vertical="center"/>
    </xf>
    <xf numFmtId="0" fontId="358" fillId="0" borderId="22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66" borderId="213" applyAlignment="1">
      <alignment vertical="center"/>
    </xf>
    <xf numFmtId="168" fontId="9" fillId="21" borderId="218"/>
    <xf numFmtId="10" fontId="9" fillId="21" borderId="218"/>
    <xf numFmtId="9" fontId="9" fillId="21" borderId="218"/>
    <xf numFmtId="2" fontId="9" fillId="21" borderId="218"/>
    <xf numFmtId="0" fontId="165" fillId="0" borderId="221" applyAlignment="1">
      <alignment horizontal="center"/>
    </xf>
    <xf numFmtId="0" fontId="401" fillId="32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157" fillId="36" borderId="226" applyAlignment="1">
      <alignment vertical="center"/>
    </xf>
    <xf numFmtId="0" fontId="242" fillId="73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1" fontId="235" fillId="0" borderId="199" applyAlignment="1">
      <alignment horizontal="right"/>
    </xf>
    <xf numFmtId="0" fontId="159" fillId="7" borderId="226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160" fillId="36" borderId="227" applyAlignment="1">
      <alignment vertical="center"/>
    </xf>
    <xf numFmtId="0" fontId="407" fillId="73" borderId="214" applyAlignment="1">
      <alignment vertical="center"/>
    </xf>
    <xf numFmtId="282" fontId="29" fillId="24" borderId="202" applyAlignment="1" applyProtection="1">
      <alignment horizontal="right"/>
      <protection locked="0" hidden="0"/>
    </xf>
    <xf numFmtId="282" fontId="29" fillId="24" borderId="202" applyAlignment="1" applyProtection="1">
      <alignment horizontal="right"/>
      <protection locked="0" hidden="0"/>
    </xf>
    <xf numFmtId="281" fontId="29" fillId="19" borderId="202" applyAlignment="1" applyProtection="1">
      <alignment horizontal="right"/>
      <protection locked="0" hidden="0"/>
    </xf>
    <xf numFmtId="281" fontId="29" fillId="19" borderId="202" applyAlignment="1" applyProtection="1">
      <alignment horizontal="right"/>
      <protection locked="0" hidden="0"/>
    </xf>
    <xf numFmtId="279" fontId="29" fillId="24" borderId="202" applyAlignment="1" applyProtection="1">
      <alignment horizontal="right"/>
      <protection locked="0" hidden="0"/>
    </xf>
    <xf numFmtId="279" fontId="29" fillId="24" borderId="202" applyAlignment="1" applyProtection="1">
      <alignment horizontal="right"/>
      <protection locked="0" hidden="0"/>
    </xf>
    <xf numFmtId="0" fontId="41" fillId="0" borderId="228" applyAlignment="1">
      <alignment horizontal="left" vertical="center"/>
    </xf>
    <xf numFmtId="165" fontId="9" fillId="23" borderId="221"/>
    <xf numFmtId="10" fontId="29" fillId="24" borderId="221"/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54" fillId="4" borderId="225" applyAlignment="1">
      <alignment vertical="center"/>
    </xf>
    <xf numFmtId="0" fontId="157" fillId="36" borderId="226" applyAlignment="1">
      <alignment vertical="center"/>
    </xf>
    <xf numFmtId="0" fontId="159" fillId="7" borderId="226" applyAlignment="1">
      <alignment vertical="center"/>
    </xf>
    <xf numFmtId="0" fontId="160" fillId="36" borderId="227" applyAlignment="1">
      <alignment vertical="center"/>
    </xf>
    <xf numFmtId="276" fontId="29" fillId="0" borderId="206" applyAlignment="1" applyProtection="1">
      <alignment horizontal="right" vertical="center"/>
      <protection locked="0" hidden="0"/>
    </xf>
    <xf numFmtId="275" fontId="29" fillId="0" borderId="206" applyAlignment="1" applyProtection="1">
      <alignment horizontal="right" vertical="center"/>
      <protection locked="0" hidden="0"/>
    </xf>
    <xf numFmtId="274" fontId="29" fillId="0" borderId="206" applyAlignment="1" applyProtection="1">
      <alignment horizontal="right" vertical="center"/>
      <protection locked="0" hidden="0"/>
    </xf>
    <xf numFmtId="273" fontId="29" fillId="0" borderId="206" applyAlignment="1" applyProtection="1">
      <alignment horizontal="right" vertical="center"/>
      <protection locked="0" hidden="0"/>
    </xf>
    <xf numFmtId="277" fontId="29" fillId="0" borderId="206" applyAlignment="1" applyProtection="1">
      <alignment horizontal="right" vertical="center"/>
      <protection locked="0" hidden="0"/>
    </xf>
    <xf numFmtId="271" fontId="29" fillId="0" borderId="206" applyAlignment="1" applyProtection="1">
      <alignment horizontal="right" vertical="center"/>
      <protection locked="0" hidden="0"/>
    </xf>
    <xf numFmtId="0" fontId="29" fillId="0" borderId="206" applyAlignment="1" applyProtection="1">
      <alignment vertical="center"/>
      <protection locked="0" hidden="0"/>
    </xf>
    <xf numFmtId="276" fontId="29" fillId="0" borderId="206" applyAlignment="1" applyProtection="1">
      <alignment horizontal="center" vertical="center"/>
      <protection locked="0" hidden="0"/>
    </xf>
    <xf numFmtId="275" fontId="29" fillId="0" borderId="206" applyAlignment="1" applyProtection="1">
      <alignment horizontal="center" vertical="center"/>
      <protection locked="0" hidden="0"/>
    </xf>
    <xf numFmtId="274" fontId="29" fillId="0" borderId="206" applyAlignment="1" applyProtection="1">
      <alignment horizontal="center" vertical="center"/>
      <protection locked="0" hidden="0"/>
    </xf>
    <xf numFmtId="273" fontId="29" fillId="0" borderId="206" applyAlignment="1" applyProtection="1">
      <alignment horizontal="center" vertical="center"/>
      <protection locked="0" hidden="0"/>
    </xf>
    <xf numFmtId="272" fontId="29" fillId="0" borderId="206" applyAlignment="1" applyProtection="1">
      <alignment horizontal="center" vertical="center"/>
      <protection locked="0" hidden="0"/>
    </xf>
    <xf numFmtId="271" fontId="29" fillId="0" borderId="206" applyAlignment="1" applyProtection="1">
      <alignment horizontal="center" vertical="center"/>
      <protection locked="0" hidden="0"/>
    </xf>
    <xf numFmtId="0" fontId="29" fillId="0" borderId="201"/>
    <xf numFmtId="0" fontId="65" fillId="0" borderId="201"/>
    <xf numFmtId="0" fontId="64" fillId="0" borderId="201"/>
    <xf numFmtId="0" fontId="63" fillId="0" borderId="201"/>
    <xf numFmtId="263" fontId="62" fillId="0" borderId="221" applyAlignment="1">
      <alignment horizontal="left"/>
    </xf>
    <xf numFmtId="263" fontId="62" fillId="0" borderId="221" applyAlignment="1">
      <alignment horizontal="left"/>
    </xf>
    <xf numFmtId="0" fontId="357" fillId="0" borderId="219"/>
    <xf numFmtId="0" fontId="358" fillId="0" borderId="220" applyAlignment="1">
      <alignment vertical="center"/>
    </xf>
    <xf numFmtId="0" fontId="358" fillId="0" borderId="220" applyAlignment="1">
      <alignment vertical="center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0" fontId="241" fillId="32" borderId="211"/>
    <xf numFmtId="0" fontId="242" fillId="32" borderId="211" applyAlignment="1">
      <alignment vertical="center"/>
    </xf>
    <xf numFmtId="0" fontId="357" fillId="0" borderId="219"/>
    <xf numFmtId="0" fontId="357" fillId="0" borderId="219"/>
    <xf numFmtId="0" fontId="357" fillId="0" borderId="219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1" fillId="73" borderId="211"/>
    <xf numFmtId="0" fontId="241" fillId="32" borderId="211"/>
    <xf numFmtId="17" fontId="85" fillId="0" borderId="230"/>
    <xf numFmtId="17" fontId="85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0" fontId="41" fillId="0" borderId="228" applyAlignment="1">
      <alignment horizontal="left" vertical="center"/>
    </xf>
    <xf numFmtId="0" fontId="295" fillId="60" borderId="211"/>
    <xf numFmtId="165" fontId="9" fillId="23" borderId="221"/>
    <xf numFmtId="10" fontId="29" fillId="24" borderId="221"/>
    <xf numFmtId="10" fontId="29" fillId="39" borderId="221"/>
    <xf numFmtId="10" fontId="29" fillId="24" borderId="22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5" fillId="60" borderId="211"/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70" fillId="91" borderId="221" applyAlignment="1">
      <alignment horizontal="right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6" fillId="62" borderId="213"/>
    <xf numFmtId="0" fontId="6" fillId="62" borderId="213"/>
    <xf numFmtId="0" fontId="319" fillId="32" borderId="215" applyAlignment="1">
      <alignment vertical="center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8" fillId="73" borderId="214"/>
    <xf numFmtId="0" fontId="318" fillId="32" borderId="214"/>
    <xf numFmtId="0" fontId="318" fillId="32" borderId="214"/>
    <xf numFmtId="0" fontId="318" fillId="32" borderId="214"/>
    <xf numFmtId="9" fontId="145" fillId="0" borderId="216"/>
    <xf numFmtId="9" fontId="145" fillId="0" borderId="216"/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4" fontId="333" fillId="62" borderId="217" applyAlignment="1">
      <alignment vertical="center"/>
    </xf>
    <xf numFmtId="0" fontId="165" fillId="16" borderId="221" applyAlignment="1" applyProtection="1">
      <alignment horizontal="center" vertical="center" wrapText="1"/>
      <protection locked="1" hidden="1"/>
    </xf>
    <xf numFmtId="0" fontId="331" fillId="1" borderId="228" applyAlignment="1">
      <alignment horizontal="center"/>
    </xf>
    <xf numFmtId="168" fontId="9" fillId="21" borderId="218"/>
    <xf numFmtId="0" fontId="15" fillId="62" borderId="213" applyAlignment="1">
      <alignment vertical="center"/>
    </xf>
    <xf numFmtId="10" fontId="9" fillId="21" borderId="218"/>
    <xf numFmtId="9" fontId="9" fillId="21" borderId="218"/>
    <xf numFmtId="0" fontId="165" fillId="0" borderId="221" applyAlignment="1">
      <alignment horizontal="center"/>
    </xf>
    <xf numFmtId="3" fontId="9" fillId="0" borderId="221" applyAlignment="1">
      <alignment vertical="center"/>
    </xf>
    <xf numFmtId="0" fontId="357" fillId="0" borderId="219"/>
    <xf numFmtId="0" fontId="358" fillId="0" borderId="220" applyAlignment="1">
      <alignment vertical="center"/>
    </xf>
    <xf numFmtId="0" fontId="357" fillId="0" borderId="219"/>
    <xf numFmtId="0" fontId="371" fillId="0" borderId="222" applyAlignment="1">
      <alignment vertical="center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0" fontId="160" fillId="36" borderId="227" applyAlignment="1">
      <alignment vertical="center"/>
    </xf>
    <xf numFmtId="0" fontId="159" fillId="7" borderId="226" applyAlignment="1">
      <alignment vertical="center"/>
    </xf>
    <xf numFmtId="0" fontId="157" fillId="36" borderId="226" applyAlignment="1">
      <alignment vertical="center"/>
    </xf>
    <xf numFmtId="0" fontId="154" fillId="4" borderId="225" applyAlignment="1">
      <alignment vertical="center"/>
    </xf>
    <xf numFmtId="0" fontId="153" fillId="0" borderId="224" applyAlignment="1">
      <alignment vertical="center"/>
    </xf>
    <xf numFmtId="0" fontId="136" fillId="0" borderId="201"/>
    <xf numFmtId="0" fontId="135" fillId="0" borderId="201"/>
    <xf numFmtId="0" fontId="127" fillId="0" borderId="201"/>
    <xf numFmtId="0" fontId="43" fillId="28" borderId="202" applyAlignment="1">
      <alignment horizontal="left" vertical="center" wrapText="1"/>
    </xf>
    <xf numFmtId="0" fontId="319" fillId="32" borderId="215" applyAlignment="1">
      <alignment vertical="center"/>
    </xf>
    <xf numFmtId="0" fontId="318" fillId="73" borderId="214"/>
    <xf numFmtId="43" fontId="41" fillId="19" borderId="205"/>
    <xf numFmtId="43" fontId="41" fillId="19" borderId="205"/>
    <xf numFmtId="43" fontId="41" fillId="19" borderId="205"/>
    <xf numFmtId="43" fontId="41" fillId="19" borderId="205"/>
    <xf numFmtId="43" fontId="41" fillId="19" borderId="205"/>
    <xf numFmtId="0" fontId="9" fillId="95" borderId="217" applyAlignment="1">
      <alignment horizontal="left" vertical="center"/>
    </xf>
    <xf numFmtId="0" fontId="9" fillId="55" borderId="217" applyAlignment="1">
      <alignment horizontal="left" vertical="top"/>
    </xf>
    <xf numFmtId="0" fontId="9" fillId="14" borderId="217" applyAlignment="1">
      <alignment horizontal="left"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19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153" fillId="0" borderId="224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4" fontId="333" fillId="62" borderId="217" applyAlignment="1">
      <alignment vertical="center"/>
    </xf>
    <xf numFmtId="4" fontId="334" fillId="23" borderId="217" applyAlignment="1">
      <alignment vertical="center"/>
    </xf>
    <xf numFmtId="4" fontId="333" fillId="23" borderId="217" applyAlignment="1">
      <alignment horizontal="left" vertical="center"/>
    </xf>
    <xf numFmtId="0" fontId="333" fillId="23" borderId="217" applyAlignment="1">
      <alignment horizontal="left" vertical="top"/>
    </xf>
    <xf numFmtId="0" fontId="207" fillId="24" borderId="213" applyAlignment="1">
      <alignment vertical="center"/>
    </xf>
    <xf numFmtId="4" fontId="128" fillId="2" borderId="217" applyAlignment="1">
      <alignment horizontal="right" vertical="center"/>
    </xf>
    <xf numFmtId="4" fontId="128" fillId="58" borderId="217" applyAlignment="1">
      <alignment horizontal="right" vertical="center"/>
    </xf>
    <xf numFmtId="4" fontId="128" fillId="7" borderId="217" applyAlignment="1">
      <alignment horizontal="right" vertical="center"/>
    </xf>
    <xf numFmtId="4" fontId="128" fillId="74" borderId="217" applyAlignment="1">
      <alignment horizontal="right" vertical="center"/>
    </xf>
    <xf numFmtId="4" fontId="128" fillId="8" borderId="217" applyAlignment="1">
      <alignment horizontal="right" vertical="center"/>
    </xf>
    <xf numFmtId="4" fontId="128" fillId="3" borderId="217" applyAlignment="1">
      <alignment horizontal="right" vertical="center"/>
    </xf>
    <xf numFmtId="4" fontId="128" fillId="84" borderId="217" applyAlignment="1">
      <alignment horizontal="right" vertical="center"/>
    </xf>
    <xf numFmtId="4" fontId="128" fillId="4" borderId="217" applyAlignment="1">
      <alignment horizontal="right" vertical="center"/>
    </xf>
    <xf numFmtId="4" fontId="128" fillId="5" borderId="217" applyAlignment="1">
      <alignment horizontal="right" vertical="center"/>
    </xf>
    <xf numFmtId="4" fontId="333" fillId="96" borderId="208" applyAlignment="1">
      <alignment horizontal="left"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4" fontId="128" fillId="36" borderId="217" applyAlignment="1">
      <alignment horizontal="right" vertical="center"/>
    </xf>
    <xf numFmtId="0" fontId="207" fillId="24" borderId="213" applyAlignment="1">
      <alignment vertical="center"/>
    </xf>
    <xf numFmtId="0" fontId="9" fillId="75" borderId="217" applyAlignment="1">
      <alignment horizontal="left" vertical="center"/>
    </xf>
    <xf numFmtId="0" fontId="9" fillId="75" borderId="217" applyAlignment="1">
      <alignment horizontal="left" vertical="top"/>
    </xf>
    <xf numFmtId="0" fontId="9" fillId="95" borderId="217" applyAlignment="1">
      <alignment horizontal="left" vertical="center"/>
    </xf>
    <xf numFmtId="0" fontId="9" fillId="95" borderId="217" applyAlignment="1">
      <alignment horizontal="left" vertical="top"/>
    </xf>
    <xf numFmtId="0" fontId="9" fillId="55" borderId="217" applyAlignment="1">
      <alignment horizontal="left" vertical="center"/>
    </xf>
    <xf numFmtId="0" fontId="9" fillId="55" borderId="217" applyAlignment="1">
      <alignment horizontal="left" vertical="top"/>
    </xf>
    <xf numFmtId="0" fontId="9" fillId="14" borderId="217" applyAlignment="1">
      <alignment horizontal="left" vertical="center"/>
    </xf>
    <xf numFmtId="0" fontId="9" fillId="14" borderId="217" applyAlignment="1">
      <alignment horizontal="left" vertical="top"/>
    </xf>
    <xf numFmtId="4" fontId="128" fillId="24" borderId="217" applyAlignment="1">
      <alignment vertical="center"/>
    </xf>
    <xf numFmtId="4" fontId="336" fillId="24" borderId="217" applyAlignment="1">
      <alignment vertical="center"/>
    </xf>
    <xf numFmtId="4" fontId="128" fillId="24" borderId="217" applyAlignment="1">
      <alignment horizontal="left" vertical="center"/>
    </xf>
    <xf numFmtId="0" fontId="128" fillId="24" borderId="217" applyAlignment="1">
      <alignment horizontal="left" vertical="top"/>
    </xf>
    <xf numFmtId="4" fontId="128" fillId="65" borderId="217" applyAlignment="1">
      <alignment horizontal="right" vertical="center"/>
    </xf>
    <xf numFmtId="4" fontId="336" fillId="65" borderId="217" applyAlignment="1">
      <alignment horizontal="right" vertical="center"/>
    </xf>
    <xf numFmtId="4" fontId="128" fillId="36" borderId="217" applyAlignment="1">
      <alignment horizontal="left" vertical="center"/>
    </xf>
    <xf numFmtId="0" fontId="128" fillId="95" borderId="217" applyAlignment="1">
      <alignment horizontal="left" vertical="top"/>
    </xf>
    <xf numFmtId="0" fontId="207" fillId="24" borderId="213" applyAlignment="1">
      <alignment vertical="center"/>
    </xf>
    <xf numFmtId="4" fontId="49" fillId="65" borderId="217" applyAlignment="1">
      <alignment horizontal="right" vertical="center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63" fillId="0" borderId="201"/>
    <xf numFmtId="0" fontId="357" fillId="0" borderId="219"/>
    <xf numFmtId="3" fontId="9" fillId="21" borderId="218"/>
    <xf numFmtId="4" fontId="9" fillId="21" borderId="218"/>
    <xf numFmtId="168" fontId="9" fillId="21" borderId="218"/>
    <xf numFmtId="10" fontId="9" fillId="21" borderId="218"/>
    <xf numFmtId="9" fontId="9" fillId="21" borderId="218"/>
    <xf numFmtId="2" fontId="9" fillId="21" borderId="218"/>
    <xf numFmtId="0" fontId="401" fillId="32" borderId="211" applyAlignment="1">
      <alignment vertical="center"/>
    </xf>
    <xf numFmtId="0" fontId="165" fillId="0" borderId="221" applyAlignment="1">
      <alignment horizontal="center"/>
    </xf>
    <xf numFmtId="0" fontId="165" fillId="0" borderId="221" applyAlignment="1">
      <alignment horizontal="center"/>
    </xf>
    <xf numFmtId="0" fontId="165" fillId="0" borderId="221" applyAlignment="1">
      <alignment horizontal="center"/>
    </xf>
    <xf numFmtId="0" fontId="154" fillId="4" borderId="225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157" fillId="36" borderId="226" applyAlignment="1">
      <alignment vertical="center"/>
    </xf>
    <xf numFmtId="0" fontId="242" fillId="73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159" fillId="7" borderId="226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5" fillId="62" borderId="211" applyAlignment="1">
      <alignment vertical="center"/>
    </xf>
    <xf numFmtId="0" fontId="406" fillId="32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41" fillId="32" borderId="211"/>
    <xf numFmtId="0" fontId="9" fillId="21" borderId="229"/>
    <xf numFmtId="0" fontId="9" fillId="21" borderId="229"/>
    <xf numFmtId="165" fontId="9" fillId="23" borderId="221"/>
    <xf numFmtId="10" fontId="29" fillId="24" borderId="221"/>
    <xf numFmtId="10" fontId="29" fillId="24" borderId="22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64" fillId="15" borderId="209"/>
    <xf numFmtId="17" fontId="85" fillId="0" borderId="230"/>
    <xf numFmtId="0" fontId="41" fillId="0" borderId="228" applyAlignment="1">
      <alignment horizontal="left" vertical="center"/>
    </xf>
    <xf numFmtId="165" fontId="9" fillId="23" borderId="221"/>
    <xf numFmtId="10" fontId="29" fillId="24" borderId="221"/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3" fontId="9" fillId="0" borderId="221" applyAlignment="1">
      <alignment vertical="center"/>
    </xf>
    <xf numFmtId="0" fontId="54" fillId="0" borderId="228" applyAlignment="1">
      <alignment horizontal="center" wrapText="1"/>
    </xf>
    <xf numFmtId="0" fontId="153" fillId="0" borderId="224" applyAlignment="1">
      <alignment vertical="center"/>
    </xf>
    <xf numFmtId="0" fontId="154" fillId="4" borderId="225" applyAlignment="1">
      <alignment vertical="center"/>
    </xf>
    <xf numFmtId="0" fontId="157" fillId="36" borderId="226" applyAlignment="1">
      <alignment vertical="center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0" fontId="357" fillId="0" borderId="219"/>
    <xf numFmtId="265" fontId="62" fillId="0" borderId="221" applyAlignment="1">
      <alignment horizontal="left"/>
    </xf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358" fillId="0" borderId="220" applyAlignment="1">
      <alignment vertical="center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0" fontId="241" fillId="32" borderId="211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357" fillId="0" borderId="219"/>
    <xf numFmtId="0" fontId="357" fillId="0" borderId="219"/>
    <xf numFmtId="0" fontId="357" fillId="0" borderId="219"/>
    <xf numFmtId="0" fontId="242" fillId="32" borderId="211" applyAlignment="1">
      <alignment vertical="center"/>
    </xf>
    <xf numFmtId="0" fontId="241" fillId="32" borderId="211"/>
    <xf numFmtId="0" fontId="241" fillId="32" borderId="211"/>
    <xf numFmtId="0" fontId="9" fillId="21" borderId="229"/>
    <xf numFmtId="17" fontId="85" fillId="0" borderId="230"/>
    <xf numFmtId="17" fontId="85" fillId="0" borderId="230"/>
    <xf numFmtId="17" fontId="85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295" fillId="60" borderId="211"/>
    <xf numFmtId="165" fontId="9" fillId="23" borderId="221"/>
    <xf numFmtId="165" fontId="9" fillId="23" borderId="221"/>
    <xf numFmtId="165" fontId="9" fillId="23" borderId="221"/>
    <xf numFmtId="10" fontId="29" fillId="24" borderId="221"/>
    <xf numFmtId="10" fontId="29" fillId="39" borderId="221"/>
    <xf numFmtId="10" fontId="29" fillId="24" borderId="221"/>
    <xf numFmtId="10" fontId="29" fillId="24" borderId="221"/>
    <xf numFmtId="10" fontId="29" fillId="24" borderId="22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0" fontId="6" fillId="62" borderId="213"/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6" fillId="62" borderId="213"/>
    <xf numFmtId="0" fontId="318" fillId="32" borderId="214"/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8" fillId="73" borderId="214"/>
    <xf numFmtId="0" fontId="318" fillId="32" borderId="214"/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318" fillId="32" borderId="214"/>
    <xf numFmtId="9" fontId="145" fillId="0" borderId="216"/>
    <xf numFmtId="0" fontId="63" fillId="0" borderId="201"/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4" fontId="333" fillId="62" borderId="217" applyAlignment="1">
      <alignment vertical="center"/>
    </xf>
    <xf numFmtId="4" fontId="334" fillId="23" borderId="217" applyAlignment="1">
      <alignment vertical="center"/>
    </xf>
    <xf numFmtId="4" fontId="333" fillId="23" borderId="217" applyAlignment="1">
      <alignment horizontal="left" vertical="center"/>
    </xf>
    <xf numFmtId="0" fontId="333" fillId="23" borderId="217" applyAlignment="1">
      <alignment horizontal="left" vertical="top"/>
    </xf>
    <xf numFmtId="4" fontId="128" fillId="2" borderId="217" applyAlignment="1">
      <alignment horizontal="right" vertical="center"/>
    </xf>
    <xf numFmtId="4" fontId="128" fillId="7" borderId="217" applyAlignment="1">
      <alignment horizontal="right" vertical="center"/>
    </xf>
    <xf numFmtId="4" fontId="128" fillId="74" borderId="217" applyAlignment="1">
      <alignment horizontal="right" vertical="center"/>
    </xf>
    <xf numFmtId="4" fontId="128" fillId="8" borderId="217" applyAlignment="1">
      <alignment horizontal="right" vertical="center"/>
    </xf>
    <xf numFmtId="4" fontId="128" fillId="24" borderId="217" applyAlignment="1">
      <alignment horizontal="left" vertical="center"/>
    </xf>
    <xf numFmtId="0" fontId="165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9" fontId="9" fillId="21" borderId="218"/>
    <xf numFmtId="2" fontId="9" fillId="21" borderId="218"/>
    <xf numFmtId="0" fontId="165" fillId="0" borderId="221" applyAlignment="1">
      <alignment horizontal="center"/>
    </xf>
    <xf numFmtId="0" fontId="165" fillId="0" borderId="221" applyAlignment="1">
      <alignment horizontal="center"/>
    </xf>
    <xf numFmtId="0" fontId="165" fillId="0" borderId="221" applyAlignment="1">
      <alignment horizontal="center"/>
    </xf>
    <xf numFmtId="0" fontId="15" fillId="62" borderId="213" applyAlignment="1">
      <alignment vertic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0" fontId="54" fillId="0" borderId="228" applyAlignment="1">
      <alignment horizontal="center" wrapText="1"/>
    </xf>
    <xf numFmtId="264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0" fontId="357" fillId="0" borderId="219"/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358" fillId="0" borderId="220" applyAlignment="1">
      <alignment vertical="center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0" fontId="371" fillId="0" borderId="222" applyAlignment="1">
      <alignment vertical="center"/>
    </xf>
    <xf numFmtId="0" fontId="160" fillId="36" borderId="227" applyAlignment="1">
      <alignment vertical="center"/>
    </xf>
    <xf numFmtId="0" fontId="159" fillId="7" borderId="226" applyAlignment="1">
      <alignment vertical="center"/>
    </xf>
    <xf numFmtId="0" fontId="157" fillId="36" borderId="226" applyAlignment="1">
      <alignment vertical="center"/>
    </xf>
    <xf numFmtId="0" fontId="154" fillId="4" borderId="225" applyAlignment="1">
      <alignment vertical="center"/>
    </xf>
    <xf numFmtId="0" fontId="153" fillId="0" borderId="224" applyAlignment="1">
      <alignment vertical="center"/>
    </xf>
    <xf numFmtId="0" fontId="295" fillId="60" borderId="211"/>
    <xf numFmtId="0" fontId="64" fillId="0" borderId="221" applyAlignment="1">
      <alignment horizontal="center" vertical="center"/>
    </xf>
    <xf numFmtId="0" fontId="318" fillId="32" borderId="214"/>
    <xf numFmtId="0" fontId="319" fillId="32" borderId="215" applyAlignment="1">
      <alignment vertical="center"/>
    </xf>
    <xf numFmtId="0" fontId="41" fillId="16" borderId="221" applyAlignment="1" applyProtection="1">
      <alignment horizontal="center" vertical="center" wrapText="1"/>
      <protection locked="1" hidden="1"/>
    </xf>
    <xf numFmtId="220" fontId="51" fillId="29" borderId="203"/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136" fillId="0" borderId="201"/>
    <xf numFmtId="0" fontId="136" fillId="0" borderId="201"/>
    <xf numFmtId="0" fontId="135" fillId="0" borderId="201"/>
    <xf numFmtId="0" fontId="134" fillId="0" borderId="201"/>
    <xf numFmtId="0" fontId="127" fillId="0" borderId="201"/>
    <xf numFmtId="0" fontId="295" fillId="60" borderId="211"/>
    <xf numFmtId="0" fontId="295" fillId="60" borderId="211"/>
    <xf numFmtId="220" fontId="51" fillId="29" borderId="203"/>
    <xf numFmtId="0" fontId="43" fillId="28" borderId="202" applyAlignment="1">
      <alignment horizontal="left" vertical="center" wrapText="1"/>
    </xf>
    <xf numFmtId="0" fontId="319" fillId="32" borderId="215" applyAlignment="1">
      <alignment vertical="center"/>
    </xf>
    <xf numFmtId="0" fontId="318" fillId="73" borderId="214"/>
    <xf numFmtId="4" fontId="128" fillId="2" borderId="217" applyAlignment="1">
      <alignment horizontal="right" vertical="center"/>
    </xf>
    <xf numFmtId="4" fontId="128" fillId="58" borderId="217" applyAlignment="1">
      <alignment horizontal="right" vertical="center"/>
    </xf>
    <xf numFmtId="4" fontId="128" fillId="7" borderId="217" applyAlignment="1">
      <alignment horizontal="right" vertical="center"/>
    </xf>
    <xf numFmtId="4" fontId="128" fillId="74" borderId="217" applyAlignment="1">
      <alignment horizontal="right" vertical="center"/>
    </xf>
    <xf numFmtId="4" fontId="128" fillId="5" borderId="217" applyAlignment="1">
      <alignment horizontal="right" vertical="center"/>
    </xf>
    <xf numFmtId="2" fontId="9" fillId="21" borderId="218"/>
    <xf numFmtId="0" fontId="165" fillId="0" borderId="221" applyAlignment="1">
      <alignment horizontal="center"/>
    </xf>
    <xf numFmtId="0" fontId="9" fillId="95" borderId="217" applyAlignment="1">
      <alignment horizontal="left" vertical="center"/>
    </xf>
    <xf numFmtId="0" fontId="9" fillId="55" borderId="217" applyAlignment="1">
      <alignment horizontal="left" vertical="top"/>
    </xf>
    <xf numFmtId="0" fontId="9" fillId="14" borderId="217" applyAlignment="1">
      <alignment horizontal="left" vertical="top"/>
    </xf>
    <xf numFmtId="0" fontId="128" fillId="24" borderId="217" applyAlignment="1">
      <alignment horizontal="left" vertical="top"/>
    </xf>
    <xf numFmtId="4" fontId="128" fillId="65" borderId="217" applyAlignment="1">
      <alignment horizontal="right" vertical="center"/>
    </xf>
    <xf numFmtId="0" fontId="358" fillId="0" borderId="223" applyAlignment="1">
      <alignment vertical="center"/>
    </xf>
    <xf numFmtId="0" fontId="207" fillId="24" borderId="21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19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153" fillId="0" borderId="224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154" fillId="4" borderId="225" applyAlignment="1">
      <alignment vertical="center"/>
    </xf>
    <xf numFmtId="0" fontId="207" fillId="66" borderId="213" applyAlignment="1">
      <alignment vertical="center"/>
    </xf>
    <xf numFmtId="3" fontId="9" fillId="21" borderId="218"/>
    <xf numFmtId="4" fontId="9" fillId="21" borderId="218"/>
    <xf numFmtId="0" fontId="242" fillId="21" borderId="211" applyAlignment="1">
      <alignment vertical="center"/>
    </xf>
    <xf numFmtId="0" fontId="296" fillId="70" borderId="211" applyAlignment="1">
      <alignment vertical="center"/>
    </xf>
    <xf numFmtId="17" fontId="85" fillId="0" borderId="230"/>
    <xf numFmtId="0" fontId="153" fillId="0" borderId="224" applyAlignment="1">
      <alignment vertical="center"/>
    </xf>
    <xf numFmtId="38" fontId="353" fillId="40" borderId="204" applyAlignment="1">
      <alignment horizontal="center"/>
    </xf>
    <xf numFmtId="0" fontId="29" fillId="0" borderId="201"/>
    <xf numFmtId="0" fontId="65" fillId="0" borderId="201"/>
    <xf numFmtId="0" fontId="64" fillId="0" borderId="201"/>
    <xf numFmtId="0" fontId="63" fillId="0" borderId="201"/>
    <xf numFmtId="263" fontId="62" fillId="0" borderId="221" applyAlignment="1">
      <alignment horizontal="left"/>
    </xf>
    <xf numFmtId="263" fontId="62" fillId="0" borderId="221" applyAlignment="1">
      <alignment horizontal="left"/>
    </xf>
    <xf numFmtId="264" fontId="62" fillId="0" borderId="221" applyAlignment="1">
      <alignment horizontal="left"/>
    </xf>
    <xf numFmtId="0" fontId="358" fillId="0" borderId="220" applyAlignment="1">
      <alignment vertical="center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5" fillId="60" borderId="211"/>
    <xf numFmtId="0" fontId="29" fillId="0" borderId="221" applyAlignment="1">
      <alignment horizontal="center" vertical="center"/>
    </xf>
    <xf numFmtId="0" fontId="6" fillId="62" borderId="213"/>
    <xf numFmtId="0" fontId="319" fillId="32" borderId="215" applyAlignment="1">
      <alignment vertical="center"/>
    </xf>
    <xf numFmtId="0" fontId="401" fillId="32" borderId="211" applyAlignment="1">
      <alignment vertical="center"/>
    </xf>
    <xf numFmtId="0" fontId="207" fillId="66" borderId="213" applyAlignment="1">
      <alignment vertical="center"/>
    </xf>
    <xf numFmtId="3" fontId="9" fillId="21" borderId="218"/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157" fillId="36" borderId="226" applyAlignment="1">
      <alignment vertical="center"/>
    </xf>
    <xf numFmtId="0" fontId="242" fillId="73" borderId="211" applyAlignment="1">
      <alignment vertical="center"/>
    </xf>
    <xf numFmtId="0" fontId="29" fillId="0" borderId="201"/>
    <xf numFmtId="0" fontId="64" fillId="0" borderId="201"/>
    <xf numFmtId="0" fontId="405" fillId="62" borderId="211" applyAlignment="1">
      <alignment vertical="center"/>
    </xf>
    <xf numFmtId="0" fontId="406" fillId="32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159" fillId="7" borderId="226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160" fillId="36" borderId="227" applyAlignment="1">
      <alignment vertical="center"/>
    </xf>
    <xf numFmtId="0" fontId="407" fillId="73" borderId="214" applyAlignment="1">
      <alignment vertical="center"/>
    </xf>
    <xf numFmtId="0" fontId="405" fillId="62" borderId="211" applyAlignment="1">
      <alignment vertical="center"/>
    </xf>
    <xf numFmtId="0" fontId="406" fillId="32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41" fillId="32" borderId="211"/>
    <xf numFmtId="0" fontId="9" fillId="21" borderId="229"/>
    <xf numFmtId="17" fontId="85" fillId="0" borderId="230"/>
    <xf numFmtId="10" fontId="29" fillId="24" borderId="221"/>
    <xf numFmtId="10" fontId="29" fillId="24" borderId="22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64" fillId="15" borderId="209"/>
    <xf numFmtId="17" fontId="85" fillId="0" borderId="230"/>
    <xf numFmtId="0" fontId="41" fillId="0" borderId="228" applyAlignment="1">
      <alignment horizontal="left" vertical="center"/>
    </xf>
    <xf numFmtId="165" fontId="9" fillId="23" borderId="221"/>
    <xf numFmtId="10" fontId="29" fillId="24" borderId="221"/>
    <xf numFmtId="17" fontId="85" fillId="0" borderId="230"/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3" fontId="9" fillId="0" borderId="221" applyAlignment="1">
      <alignment vertical="center"/>
    </xf>
    <xf numFmtId="0" fontId="54" fillId="0" borderId="228" applyAlignment="1">
      <alignment horizontal="center" wrapText="1"/>
    </xf>
    <xf numFmtId="0" fontId="153" fillId="0" borderId="224" applyAlignment="1">
      <alignment vertical="center"/>
    </xf>
    <xf numFmtId="0" fontId="154" fillId="4" borderId="225" applyAlignment="1">
      <alignment vertical="center"/>
    </xf>
    <xf numFmtId="0" fontId="157" fillId="36" borderId="226" applyAlignment="1">
      <alignment vertical="center"/>
    </xf>
    <xf numFmtId="0" fontId="159" fillId="7" borderId="226" applyAlignment="1">
      <alignment vertical="center"/>
    </xf>
    <xf numFmtId="0" fontId="160" fillId="36" borderId="227" applyAlignment="1">
      <alignment vertical="center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0" fontId="241" fillId="32" borderId="211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1" fillId="73" borderId="211"/>
    <xf numFmtId="0" fontId="241" fillId="73" borderId="211"/>
    <xf numFmtId="0" fontId="241" fillId="32" borderId="211"/>
    <xf numFmtId="0" fontId="241" fillId="32" borderId="211"/>
    <xf numFmtId="0" fontId="241" fillId="32" borderId="211"/>
    <xf numFmtId="0" fontId="9" fillId="21" borderId="229"/>
    <xf numFmtId="0" fontId="9" fillId="21" borderId="229"/>
    <xf numFmtId="17" fontId="85" fillId="0" borderId="230"/>
    <xf numFmtId="17" fontId="85" fillId="0" borderId="230"/>
    <xf numFmtId="17" fontId="85" fillId="0" borderId="230"/>
    <xf numFmtId="17" fontId="85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295" fillId="60" borderId="211"/>
    <xf numFmtId="165" fontId="9" fillId="23" borderId="221"/>
    <xf numFmtId="165" fontId="9" fillId="23" borderId="221"/>
    <xf numFmtId="165" fontId="9" fillId="23" borderId="221"/>
    <xf numFmtId="10" fontId="29" fillId="24" borderId="221"/>
    <xf numFmtId="10" fontId="29" fillId="24" borderId="221"/>
    <xf numFmtId="10" fontId="29" fillId="24" borderId="221"/>
    <xf numFmtId="10" fontId="29" fillId="39" borderId="221"/>
    <xf numFmtId="10" fontId="29" fillId="24" borderId="221"/>
    <xf numFmtId="10" fontId="29" fillId="24" borderId="221"/>
    <xf numFmtId="10" fontId="29" fillId="24" borderId="22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0" fontId="6" fillId="62" borderId="213"/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8" fillId="66" borderId="213"/>
    <xf numFmtId="0" fontId="208" fillId="66" borderId="213"/>
    <xf numFmtId="0" fontId="6" fillId="62" borderId="213"/>
    <xf numFmtId="0" fontId="6" fillId="62" borderId="213"/>
    <xf numFmtId="0" fontId="6" fillId="62" borderId="213"/>
    <xf numFmtId="0" fontId="318" fillId="32" borderId="214"/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8" fillId="73" borderId="214"/>
    <xf numFmtId="0" fontId="318" fillId="73" borderId="214"/>
    <xf numFmtId="0" fontId="318" fillId="32" borderId="214"/>
    <xf numFmtId="0" fontId="318" fillId="32" borderId="214"/>
    <xf numFmtId="0" fontId="318" fillId="32" borderId="214"/>
    <xf numFmtId="9" fontId="145" fillId="0" borderId="216"/>
    <xf numFmtId="9" fontId="145" fillId="0" borderId="216"/>
    <xf numFmtId="0" fontId="241" fillId="32" borderId="211"/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4" fontId="333" fillId="62" borderId="217" applyAlignment="1">
      <alignment vertical="center"/>
    </xf>
    <xf numFmtId="4" fontId="334" fillId="23" borderId="217" applyAlignment="1">
      <alignment vertical="center"/>
    </xf>
    <xf numFmtId="4" fontId="333" fillId="23" borderId="217" applyAlignment="1">
      <alignment horizontal="left" vertical="center"/>
    </xf>
    <xf numFmtId="0" fontId="333" fillId="23" borderId="217" applyAlignment="1">
      <alignment horizontal="left" vertical="top"/>
    </xf>
    <xf numFmtId="4" fontId="128" fillId="2" borderId="217" applyAlignment="1">
      <alignment horizontal="right" vertical="center"/>
    </xf>
    <xf numFmtId="4" fontId="128" fillId="58" borderId="217" applyAlignment="1">
      <alignment horizontal="right" vertical="center"/>
    </xf>
    <xf numFmtId="4" fontId="128" fillId="7" borderId="217" applyAlignment="1">
      <alignment horizontal="right" vertical="center"/>
    </xf>
    <xf numFmtId="4" fontId="128" fillId="74" borderId="217" applyAlignment="1">
      <alignment horizontal="right" vertical="center"/>
    </xf>
    <xf numFmtId="4" fontId="128" fillId="8" borderId="217" applyAlignment="1">
      <alignment horizontal="right" vertical="center"/>
    </xf>
    <xf numFmtId="4" fontId="128" fillId="3" borderId="217" applyAlignment="1">
      <alignment horizontal="right" vertical="center"/>
    </xf>
    <xf numFmtId="4" fontId="128" fillId="84" borderId="217" applyAlignment="1">
      <alignment horizontal="right" vertical="center"/>
    </xf>
    <xf numFmtId="4" fontId="128" fillId="4" borderId="217" applyAlignment="1">
      <alignment horizontal="right" vertical="center"/>
    </xf>
    <xf numFmtId="4" fontId="128" fillId="5" borderId="217" applyAlignment="1">
      <alignment horizontal="right" vertical="center"/>
    </xf>
    <xf numFmtId="4" fontId="128" fillId="36" borderId="217" applyAlignment="1">
      <alignment horizontal="right" vertical="center"/>
    </xf>
    <xf numFmtId="0" fontId="9" fillId="75" borderId="217" applyAlignment="1">
      <alignment horizontal="left" vertical="center"/>
    </xf>
    <xf numFmtId="0" fontId="9" fillId="75" borderId="217" applyAlignment="1">
      <alignment horizontal="left" vertical="top"/>
    </xf>
    <xf numFmtId="0" fontId="9" fillId="95" borderId="217" applyAlignment="1">
      <alignment horizontal="left" vertical="center"/>
    </xf>
    <xf numFmtId="0" fontId="9" fillId="95" borderId="217" applyAlignment="1">
      <alignment horizontal="left" vertical="top"/>
    </xf>
    <xf numFmtId="0" fontId="9" fillId="55" borderId="217" applyAlignment="1">
      <alignment horizontal="left" vertical="center"/>
    </xf>
    <xf numFmtId="0" fontId="9" fillId="55" borderId="217" applyAlignment="1">
      <alignment horizontal="left" vertical="top"/>
    </xf>
    <xf numFmtId="0" fontId="9" fillId="14" borderId="217" applyAlignment="1">
      <alignment horizontal="left" vertical="center"/>
    </xf>
    <xf numFmtId="0" fontId="9" fillId="14" borderId="217" applyAlignment="1">
      <alignment horizontal="left" vertical="top"/>
    </xf>
    <xf numFmtId="4" fontId="128" fillId="24" borderId="217" applyAlignment="1">
      <alignment vertical="center"/>
    </xf>
    <xf numFmtId="4" fontId="336" fillId="24" borderId="217" applyAlignment="1">
      <alignment vertical="center"/>
    </xf>
    <xf numFmtId="4" fontId="128" fillId="24" borderId="217" applyAlignment="1">
      <alignment horizontal="left" vertical="center"/>
    </xf>
    <xf numFmtId="0" fontId="128" fillId="24" borderId="217" applyAlignment="1">
      <alignment horizontal="left" vertical="top"/>
    </xf>
    <xf numFmtId="4" fontId="128" fillId="65" borderId="217" applyAlignment="1">
      <alignment horizontal="right" vertical="center"/>
    </xf>
    <xf numFmtId="4" fontId="336" fillId="65" borderId="217" applyAlignment="1">
      <alignment horizontal="right" vertical="center"/>
    </xf>
    <xf numFmtId="4" fontId="128" fillId="36" borderId="217" applyAlignment="1">
      <alignment horizontal="left" vertical="center"/>
    </xf>
    <xf numFmtId="0" fontId="128" fillId="95" borderId="217" applyAlignment="1">
      <alignment horizontal="left" vertical="top"/>
    </xf>
    <xf numFmtId="4" fontId="49" fillId="65" borderId="217" applyAlignment="1">
      <alignment horizontal="right" vertical="center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331" fillId="1" borderId="228" applyAlignment="1">
      <alignment horizontal="center"/>
    </xf>
    <xf numFmtId="0" fontId="331" fillId="1" borderId="228" applyAlignment="1">
      <alignment horizontal="center"/>
    </xf>
    <xf numFmtId="3" fontId="9" fillId="21" borderId="218"/>
    <xf numFmtId="4" fontId="9" fillId="21" borderId="218"/>
    <xf numFmtId="168" fontId="9" fillId="21" borderId="218"/>
    <xf numFmtId="10" fontId="9" fillId="21" borderId="218"/>
    <xf numFmtId="9" fontId="9" fillId="21" borderId="218"/>
    <xf numFmtId="2" fontId="9" fillId="21" borderId="218"/>
    <xf numFmtId="0" fontId="165" fillId="0" borderId="221" applyAlignment="1">
      <alignment horizontal="center"/>
    </xf>
    <xf numFmtId="0" fontId="165" fillId="0" borderId="221" applyAlignment="1">
      <alignment horizontal="center"/>
    </xf>
    <xf numFmtId="0" fontId="165" fillId="0" borderId="221" applyAlignment="1">
      <alignment horizont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0" fontId="54" fillId="0" borderId="228" applyAlignment="1">
      <alignment horizontal="center" wrapText="1"/>
    </xf>
    <xf numFmtId="265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0" fontId="357" fillId="0" borderId="219"/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357" fillId="0" borderId="219"/>
    <xf numFmtId="0" fontId="357" fillId="0" borderId="219"/>
    <xf numFmtId="0" fontId="357" fillId="0" borderId="219"/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15" fillId="62" borderId="213" applyAlignment="1">
      <alignment vertical="center"/>
    </xf>
    <xf numFmtId="0" fontId="371" fillId="0" borderId="222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19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153" fillId="0" borderId="224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154" fillId="4" borderId="225" applyAlignment="1">
      <alignment vertical="center"/>
    </xf>
    <xf numFmtId="0" fontId="207" fillId="66" borderId="213" applyAlignment="1">
      <alignment vertical="center"/>
    </xf>
    <xf numFmtId="0" fontId="401" fillId="32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157" fillId="36" borderId="226" applyAlignment="1">
      <alignment vertical="center"/>
    </xf>
    <xf numFmtId="0" fontId="242" fillId="73" borderId="211" applyAlignment="1">
      <alignment vertical="center"/>
    </xf>
    <xf numFmtId="0" fontId="405" fillId="62" borderId="211" applyAlignment="1">
      <alignment vertical="center"/>
    </xf>
    <xf numFmtId="0" fontId="406" fillId="32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159" fillId="7" borderId="226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160" fillId="36" borderId="227" applyAlignment="1">
      <alignment vertical="center"/>
    </xf>
    <xf numFmtId="0" fontId="407" fillId="73" borderId="214" applyAlignment="1">
      <alignment vertical="center"/>
    </xf>
    <xf numFmtId="0" fontId="295" fillId="60" borderId="211"/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70" fillId="91" borderId="221" applyAlignment="1">
      <alignment horizontal="right"/>
    </xf>
    <xf numFmtId="0" fontId="64" fillId="0" borderId="221" applyAlignment="1">
      <alignment horizontal="center" vertical="center"/>
    </xf>
    <xf numFmtId="0" fontId="208" fillId="66" borderId="213"/>
    <xf numFmtId="0" fontId="208" fillId="66" borderId="213"/>
    <xf numFmtId="4" fontId="128" fillId="2" borderId="217" applyAlignment="1">
      <alignment horizontal="right" vertical="center"/>
    </xf>
    <xf numFmtId="0" fontId="358" fillId="0" borderId="220" applyAlignment="1">
      <alignment vertical="center"/>
    </xf>
    <xf numFmtId="0" fontId="357" fillId="0" borderId="219"/>
    <xf numFmtId="0" fontId="357" fillId="0" borderId="219"/>
    <xf numFmtId="262" fontId="69" fillId="102" borderId="221" applyAlignment="1">
      <alignment horizontal="right"/>
    </xf>
    <xf numFmtId="262" fontId="70" fillId="102" borderId="221" applyAlignment="1">
      <alignment horizontal="right"/>
    </xf>
    <xf numFmtId="0" fontId="296" fillId="58" borderId="211" applyAlignment="1">
      <alignment vertical="center"/>
    </xf>
    <xf numFmtId="0" fontId="295" fillId="60" borderId="211"/>
    <xf numFmtId="0" fontId="128" fillId="24" borderId="217" applyAlignment="1">
      <alignment horizontal="left" vertical="top"/>
    </xf>
    <xf numFmtId="4" fontId="128" fillId="24" borderId="217" applyAlignment="1">
      <alignment horizontal="left" vertical="center"/>
    </xf>
    <xf numFmtId="0" fontId="358" fillId="0" borderId="220" applyAlignment="1">
      <alignment vertical="center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4" fontId="49" fillId="65" borderId="217" applyAlignment="1">
      <alignment horizontal="right" vertical="center"/>
    </xf>
    <xf numFmtId="4" fontId="336" fillId="65" borderId="217" applyAlignment="1">
      <alignment horizontal="right" vertical="center"/>
    </xf>
    <xf numFmtId="4" fontId="128" fillId="24" borderId="217" applyAlignment="1">
      <alignment horizontal="left" vertical="center"/>
    </xf>
    <xf numFmtId="4" fontId="336" fillId="24" borderId="217" applyAlignment="1">
      <alignment vertical="center"/>
    </xf>
    <xf numFmtId="0" fontId="9" fillId="55" borderId="217" applyAlignment="1">
      <alignment horizontal="left" vertical="top"/>
    </xf>
    <xf numFmtId="0" fontId="9" fillId="55" borderId="217" applyAlignment="1">
      <alignment horizontal="left" vertical="center"/>
    </xf>
    <xf numFmtId="0" fontId="9" fillId="75" borderId="217" applyAlignment="1">
      <alignment horizontal="left" vertical="top"/>
    </xf>
    <xf numFmtId="4" fontId="128" fillId="3" borderId="217" applyAlignment="1">
      <alignment horizontal="right" vertical="center"/>
    </xf>
    <xf numFmtId="4" fontId="128" fillId="8" borderId="217" applyAlignment="1">
      <alignment horizontal="right" vertical="center"/>
    </xf>
    <xf numFmtId="4" fontId="128" fillId="74" borderId="217" applyAlignment="1">
      <alignment horizontal="right" vertical="center"/>
    </xf>
    <xf numFmtId="4" fontId="128" fillId="7" borderId="217" applyAlignment="1">
      <alignment horizontal="right" vertical="center"/>
    </xf>
    <xf numFmtId="4" fontId="128" fillId="58" borderId="217" applyAlignment="1">
      <alignment horizontal="right" vertical="center"/>
    </xf>
    <xf numFmtId="0" fontId="333" fillId="23" borderId="217" applyAlignment="1">
      <alignment horizontal="left" vertical="top"/>
    </xf>
    <xf numFmtId="4" fontId="333" fillId="23" borderId="217" applyAlignment="1">
      <alignment horizontal="left" vertical="center"/>
    </xf>
    <xf numFmtId="0" fontId="318" fillId="73" borderId="214"/>
    <xf numFmtId="0" fontId="6" fillId="62" borderId="213"/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306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0" fontId="295" fillId="60" borderId="211"/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54" fillId="0" borderId="228" applyAlignment="1">
      <alignment horizontal="center" wrapText="1"/>
    </xf>
    <xf numFmtId="3" fontId="9" fillId="0" borderId="221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153" fillId="0" borderId="224" applyAlignment="1">
      <alignment vertical="center"/>
    </xf>
    <xf numFmtId="0" fontId="358" fillId="0" borderId="223" applyAlignment="1">
      <alignment vertical="center"/>
    </xf>
    <xf numFmtId="0" fontId="65" fillId="0" borderId="201"/>
    <xf numFmtId="43" fontId="41" fillId="19" borderId="205"/>
    <xf numFmtId="43" fontId="41" fillId="19" borderId="205"/>
    <xf numFmtId="43" fontId="41" fillId="19" borderId="205"/>
    <xf numFmtId="43" fontId="41" fillId="19" borderId="205"/>
    <xf numFmtId="0" fontId="295" fillId="60" borderId="211"/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41" fillId="32" borderId="211"/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9" fillId="14" borderId="217" applyAlignment="1">
      <alignment horizontal="left" vertical="center"/>
    </xf>
    <xf numFmtId="0" fontId="6" fillId="62" borderId="213"/>
    <xf numFmtId="4" fontId="128" fillId="4" borderId="217" applyAlignment="1">
      <alignment horizontal="right" vertical="center"/>
    </xf>
    <xf numFmtId="4" fontId="128" fillId="65" borderId="217" applyAlignment="1">
      <alignment horizontal="right" vertical="center"/>
    </xf>
    <xf numFmtId="0" fontId="128" fillId="95" borderId="217" applyAlignment="1">
      <alignment horizontal="left" vertical="top"/>
    </xf>
    <xf numFmtId="4" fontId="49" fillId="65" borderId="217" applyAlignment="1">
      <alignment horizontal="right" vertical="center"/>
    </xf>
    <xf numFmtId="4" fontId="336" fillId="65" borderId="217" applyAlignment="1">
      <alignment horizontal="right" vertical="center"/>
    </xf>
    <xf numFmtId="4" fontId="128" fillId="24" borderId="217" applyAlignment="1">
      <alignment vertical="center"/>
    </xf>
    <xf numFmtId="4" fontId="336" fillId="24" borderId="217" applyAlignment="1">
      <alignment vertical="center"/>
    </xf>
    <xf numFmtId="0" fontId="9" fillId="75" borderId="217" applyAlignment="1">
      <alignment horizontal="left" vertical="center"/>
    </xf>
    <xf numFmtId="0" fontId="9" fillId="95" borderId="217" applyAlignment="1">
      <alignment horizontal="left" vertical="top"/>
    </xf>
    <xf numFmtId="0" fontId="9" fillId="55" borderId="217" applyAlignment="1">
      <alignment horizontal="left" vertical="center"/>
    </xf>
    <xf numFmtId="0" fontId="9" fillId="75" borderId="217" applyAlignment="1">
      <alignment horizontal="left" vertical="top"/>
    </xf>
    <xf numFmtId="4" fontId="128" fillId="5" borderId="217" applyAlignment="1">
      <alignment horizontal="right" vertical="center"/>
    </xf>
    <xf numFmtId="0" fontId="134" fillId="0" borderId="201"/>
    <xf numFmtId="2" fontId="9" fillId="21" borderId="218"/>
    <xf numFmtId="3" fontId="9" fillId="0" borderId="221" applyAlignment="1">
      <alignment vertical="center"/>
    </xf>
    <xf numFmtId="3" fontId="9" fillId="0" borderId="221" applyAlignment="1">
      <alignment vertical="center"/>
    </xf>
    <xf numFmtId="0" fontId="54" fillId="0" borderId="228" applyAlignment="1">
      <alignment horizontal="center" wrapText="1"/>
    </xf>
    <xf numFmtId="0" fontId="165" fillId="0" borderId="221" applyAlignment="1">
      <alignment horizontal="center"/>
    </xf>
    <xf numFmtId="0" fontId="165" fillId="0" borderId="221" applyAlignment="1">
      <alignment horizontal="center"/>
    </xf>
    <xf numFmtId="4" fontId="334" fillId="23" borderId="217" applyAlignment="1">
      <alignment vertical="center"/>
    </xf>
    <xf numFmtId="0" fontId="331" fillId="1" borderId="228" applyAlignment="1">
      <alignment horizontal="center"/>
    </xf>
    <xf numFmtId="3" fontId="9" fillId="21" borderId="218"/>
    <xf numFmtId="4" fontId="9" fillId="21" borderId="218"/>
    <xf numFmtId="4" fontId="128" fillId="5" borderId="217" applyAlignment="1">
      <alignment horizontal="right" vertical="center"/>
    </xf>
    <xf numFmtId="0" fontId="9" fillId="14" borderId="217" applyAlignment="1">
      <alignment horizontal="left" vertical="center"/>
    </xf>
    <xf numFmtId="298" fontId="64" fillId="24" borderId="221"/>
    <xf numFmtId="298" fontId="64" fillId="24" borderId="221"/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298" fontId="64" fillId="24" borderId="221"/>
    <xf numFmtId="298" fontId="64" fillId="24" borderId="221"/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8" fillId="66" borderId="213"/>
    <xf numFmtId="0" fontId="208" fillId="66" borderId="213"/>
    <xf numFmtId="0" fontId="6" fillId="62" borderId="213"/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9" fontId="40" fillId="0" borderId="210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41" fillId="73" borderId="211"/>
    <xf numFmtId="0" fontId="241" fillId="32" borderId="211"/>
    <xf numFmtId="0" fontId="241" fillId="73" borderId="211"/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15" fillId="62" borderId="213" applyAlignment="1">
      <alignment vertical="center"/>
    </xf>
    <xf numFmtId="0" fontId="371" fillId="0" borderId="222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19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153" fillId="0" borderId="224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154" fillId="4" borderId="225" applyAlignment="1">
      <alignment vertical="center"/>
    </xf>
    <xf numFmtId="0" fontId="207" fillId="66" borderId="213" applyAlignment="1">
      <alignment vertical="center"/>
    </xf>
    <xf numFmtId="0" fontId="401" fillId="32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157" fillId="36" borderId="226" applyAlignment="1">
      <alignment vertical="center"/>
    </xf>
    <xf numFmtId="0" fontId="242" fillId="73" borderId="211" applyAlignment="1">
      <alignment vertical="center"/>
    </xf>
    <xf numFmtId="0" fontId="405" fillId="62" borderId="211" applyAlignment="1">
      <alignment vertical="center"/>
    </xf>
    <xf numFmtId="0" fontId="406" fillId="32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159" fillId="7" borderId="226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160" fillId="36" borderId="227" applyAlignment="1">
      <alignment vertical="center"/>
    </xf>
    <xf numFmtId="0" fontId="407" fillId="73" borderId="214" applyAlignment="1">
      <alignment vertical="center"/>
    </xf>
    <xf numFmtId="9" fontId="40" fillId="0" borderId="210"/>
    <xf numFmtId="43" fontId="41" fillId="19" borderId="205"/>
    <xf numFmtId="43" fontId="41" fillId="19" borderId="205"/>
    <xf numFmtId="43" fontId="41" fillId="19" borderId="205"/>
    <xf numFmtId="43" fontId="41" fillId="19" borderId="205"/>
    <xf numFmtId="0" fontId="64" fillId="15" borderId="209"/>
    <xf numFmtId="0" fontId="6" fillId="62" borderId="213"/>
    <xf numFmtId="4" fontId="128" fillId="84" borderId="217" applyAlignment="1">
      <alignment horizontal="right" vertical="center"/>
    </xf>
    <xf numFmtId="0" fontId="128" fillId="24" borderId="217" applyAlignment="1">
      <alignment horizontal="left" vertical="top"/>
    </xf>
    <xf numFmtId="4" fontId="128" fillId="36" borderId="217" applyAlignment="1">
      <alignment horizontal="left" vertical="center"/>
    </xf>
    <xf numFmtId="0" fontId="128" fillId="95" borderId="217" applyAlignment="1">
      <alignment horizontal="left" vertical="top"/>
    </xf>
    <xf numFmtId="4" fontId="128" fillId="65" borderId="217" applyAlignment="1">
      <alignment horizontal="right" vertical="center"/>
    </xf>
    <xf numFmtId="0" fontId="9" fillId="14" borderId="217" applyAlignment="1">
      <alignment horizontal="left" vertical="top"/>
    </xf>
    <xf numFmtId="4" fontId="128" fillId="24" borderId="217" applyAlignment="1">
      <alignment vertical="center"/>
    </xf>
    <xf numFmtId="4" fontId="128" fillId="36" borderId="217" applyAlignment="1">
      <alignment horizontal="right" vertical="center"/>
    </xf>
    <xf numFmtId="0" fontId="9" fillId="95" borderId="217" applyAlignment="1">
      <alignment horizontal="left" vertical="center"/>
    </xf>
    <xf numFmtId="0" fontId="9" fillId="95" borderId="217" applyAlignment="1">
      <alignment horizontal="left" vertical="top"/>
    </xf>
    <xf numFmtId="0" fontId="9" fillId="75" borderId="217" applyAlignment="1">
      <alignment horizontal="left" vertical="center"/>
    </xf>
    <xf numFmtId="4" fontId="128" fillId="4" borderId="217" applyAlignment="1">
      <alignment horizontal="right" vertical="center"/>
    </xf>
    <xf numFmtId="0" fontId="208" fillId="66" borderId="213"/>
    <xf numFmtId="0" fontId="208" fillId="66" borderId="213"/>
    <xf numFmtId="0" fontId="6" fillId="62" borderId="213"/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15" fillId="62" borderId="213" applyAlignment="1">
      <alignment vertical="center"/>
    </xf>
    <xf numFmtId="0" fontId="371" fillId="0" borderId="222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19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153" fillId="0" borderId="224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154" fillId="4" borderId="225" applyAlignment="1">
      <alignment vertical="center"/>
    </xf>
    <xf numFmtId="0" fontId="207" fillId="66" borderId="213" applyAlignment="1">
      <alignment vertical="center"/>
    </xf>
    <xf numFmtId="0" fontId="401" fillId="32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157" fillId="36" borderId="226" applyAlignment="1">
      <alignment vertical="center"/>
    </xf>
    <xf numFmtId="0" fontId="242" fillId="73" borderId="211" applyAlignment="1">
      <alignment vertical="center"/>
    </xf>
    <xf numFmtId="0" fontId="405" fillId="62" borderId="211" applyAlignment="1">
      <alignment vertical="center"/>
    </xf>
    <xf numFmtId="0" fontId="406" fillId="32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159" fillId="7" borderId="226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160" fillId="36" borderId="227" applyAlignment="1">
      <alignment vertical="center"/>
    </xf>
    <xf numFmtId="0" fontId="407" fillId="73" borderId="214" applyAlignment="1">
      <alignment vertical="center"/>
    </xf>
    <xf numFmtId="0" fontId="9" fillId="0" borderId="0"/>
    <xf numFmtId="0" fontId="421" fillId="0" borderId="0"/>
    <xf numFmtId="0" fontId="9" fillId="0" borderId="0"/>
    <xf numFmtId="0" fontId="9" fillId="0" borderId="0"/>
    <xf numFmtId="0" fontId="42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14" fillId="0" borderId="0"/>
    <xf numFmtId="0" fontId="423" fillId="0" borderId="0" applyProtection="1">
      <protection locked="0" hidden="0"/>
    </xf>
    <xf numFmtId="0" fontId="424" fillId="0" borderId="0" applyAlignment="1">
      <alignment horizontal="right"/>
    </xf>
    <xf numFmtId="0" fontId="208" fillId="62" borderId="0"/>
    <xf numFmtId="0" fontId="208" fillId="62" borderId="0"/>
    <xf numFmtId="0" fontId="208" fillId="60" borderId="0"/>
    <xf numFmtId="0" fontId="208" fillId="62" borderId="0"/>
    <xf numFmtId="0" fontId="208" fillId="71" borderId="0"/>
    <xf numFmtId="0" fontId="208" fillId="62" borderId="0"/>
    <xf numFmtId="0" fontId="208" fillId="62" borderId="0"/>
    <xf numFmtId="0" fontId="208" fillId="60" borderId="0"/>
    <xf numFmtId="0" fontId="208" fillId="71" borderId="0"/>
    <xf numFmtId="0" fontId="208" fillId="62" borderId="0"/>
    <xf numFmtId="0" fontId="208" fillId="57" borderId="0"/>
    <xf numFmtId="0" fontId="208" fillId="2" borderId="0"/>
    <xf numFmtId="0" fontId="208" fillId="61" borderId="0"/>
    <xf numFmtId="0" fontId="208" fillId="63" borderId="0"/>
    <xf numFmtId="0" fontId="208" fillId="64" borderId="0"/>
    <xf numFmtId="0" fontId="208" fillId="60" borderId="0"/>
    <xf numFmtId="0" fontId="208" fillId="3" borderId="0"/>
    <xf numFmtId="0" fontId="208" fillId="62" borderId="0"/>
    <xf numFmtId="0" fontId="208" fillId="2" borderId="0"/>
    <xf numFmtId="0" fontId="208" fillId="62" borderId="0"/>
    <xf numFmtId="0" fontId="208" fillId="71" borderId="0"/>
    <xf numFmtId="0" fontId="208" fillId="3" borderId="0"/>
    <xf numFmtId="0" fontId="208" fillId="62" borderId="0"/>
    <xf numFmtId="0" fontId="208" fillId="2" borderId="0"/>
    <xf numFmtId="0" fontId="208" fillId="71" borderId="0"/>
    <xf numFmtId="0" fontId="208" fillId="62" borderId="0"/>
    <xf numFmtId="0" fontId="208" fillId="71" borderId="0"/>
    <xf numFmtId="0" fontId="208" fillId="58" borderId="0"/>
    <xf numFmtId="0" fontId="208" fillId="5" borderId="0"/>
    <xf numFmtId="0" fontId="208" fillId="63" borderId="0"/>
    <xf numFmtId="0" fontId="208" fillId="71" borderId="0"/>
    <xf numFmtId="0" fontId="208" fillId="74" borderId="0"/>
    <xf numFmtId="0" fontId="218" fillId="71" borderId="0"/>
    <xf numFmtId="0" fontId="218" fillId="3" borderId="0"/>
    <xf numFmtId="0" fontId="218" fillId="74" borderId="0"/>
    <xf numFmtId="0" fontId="218" fillId="2" borderId="0"/>
    <xf numFmtId="0" fontId="218" fillId="71" borderId="0"/>
    <xf numFmtId="0" fontId="218" fillId="62" borderId="0"/>
    <xf numFmtId="0" fontId="218" fillId="71" borderId="0"/>
    <xf numFmtId="0" fontId="218" fillId="3" borderId="0"/>
    <xf numFmtId="0" fontId="218" fillId="74" borderId="0"/>
    <xf numFmtId="0" fontId="218" fillId="2" borderId="0"/>
    <xf numFmtId="0" fontId="218" fillId="71" borderId="0"/>
    <xf numFmtId="0" fontId="218" fillId="62" borderId="0"/>
    <xf numFmtId="0" fontId="218" fillId="77" borderId="0"/>
    <xf numFmtId="0" fontId="218" fillId="58" borderId="0"/>
    <xf numFmtId="0" fontId="218" fillId="5" borderId="0"/>
    <xf numFmtId="0" fontId="218" fillId="79" borderId="0"/>
    <xf numFmtId="0" fontId="218" fillId="59" borderId="0"/>
    <xf numFmtId="0" fontId="218" fillId="8" borderId="0"/>
    <xf numFmtId="0" fontId="218" fillId="34" borderId="0"/>
    <xf numFmtId="0" fontId="218" fillId="3" borderId="0"/>
    <xf numFmtId="0" fontId="218" fillId="74" borderId="0"/>
    <xf numFmtId="0" fontId="218" fillId="10" borderId="0"/>
    <xf numFmtId="0" fontId="218" fillId="7" borderId="0"/>
    <xf numFmtId="339" fontId="29" fillId="0" borderId="0" applyProtection="1">
      <protection locked="1" hidden="1"/>
    </xf>
    <xf numFmtId="340" fontId="62" fillId="112" borderId="0" applyProtection="1">
      <protection locked="1" hidden="1"/>
    </xf>
    <xf numFmtId="341" fontId="29" fillId="0" borderId="0" applyProtection="1">
      <protection locked="1" hidden="1"/>
    </xf>
    <xf numFmtId="342" fontId="425" fillId="21" borderId="0" applyProtection="1">
      <protection locked="0" hidden="0"/>
    </xf>
    <xf numFmtId="0" fontId="9" fillId="0" borderId="0"/>
    <xf numFmtId="0" fontId="9" fillId="0" borderId="0"/>
    <xf numFmtId="39" fontId="426" fillId="0" borderId="0" applyAlignment="1">
      <alignment horizontal="right" vertical="center"/>
    </xf>
    <xf numFmtId="0" fontId="100" fillId="0" borderId="0" applyAlignment="1">
      <alignment horizontal="right"/>
    </xf>
    <xf numFmtId="0" fontId="107" fillId="0" borderId="0" applyProtection="1">
      <protection locked="0" hidden="0"/>
    </xf>
    <xf numFmtId="343" fontId="427" fillId="0" borderId="0" applyProtection="1">
      <protection locked="1" hidden="1"/>
    </xf>
    <xf numFmtId="230" fontId="9" fillId="0" borderId="0"/>
    <xf numFmtId="2" fontId="9" fillId="0" borderId="0"/>
    <xf numFmtId="176" fontId="9" fillId="0" borderId="0" applyAlignment="1">
      <alignment horizontal="right"/>
    </xf>
    <xf numFmtId="165" fontId="9" fillId="0" borderId="0" applyAlignment="1">
      <alignment horizontal="right"/>
    </xf>
    <xf numFmtId="344" fontId="9" fillId="0" borderId="0"/>
    <xf numFmtId="0" fontId="70" fillId="0" borderId="0" applyProtection="1">
      <protection locked="0" hidden="0"/>
    </xf>
    <xf numFmtId="239" fontId="7" fillId="0" borderId="0" applyAlignment="1">
      <alignment vertical="top"/>
    </xf>
    <xf numFmtId="239" fontId="71" fillId="0" borderId="0" applyAlignment="1">
      <alignment horizontal="left"/>
    </xf>
    <xf numFmtId="0" fontId="266" fillId="61" borderId="0"/>
    <xf numFmtId="0" fontId="266" fillId="61" borderId="0"/>
    <xf numFmtId="0" fontId="241" fillId="73" borderId="211"/>
    <xf numFmtId="0" fontId="243" fillId="86" borderId="54"/>
    <xf numFmtId="0" fontId="297" fillId="0" borderId="70"/>
    <xf numFmtId="0" fontId="243" fillId="86" borderId="54"/>
    <xf numFmtId="0" fontId="360" fillId="0" borderId="110"/>
    <xf numFmtId="0" fontId="352" fillId="39" borderId="0" applyAlignment="1" applyProtection="1">
      <alignment vertical="center"/>
      <protection locked="0" hidden="0"/>
    </xf>
    <xf numFmtId="172" fontId="9" fillId="0" borderId="0"/>
    <xf numFmtId="0" fontId="9" fillId="0" borderId="0"/>
    <xf numFmtId="0" fontId="9" fillId="0" borderId="0" applyAlignment="1" applyProtection="1">
      <alignment horizontal="center" wrapText="1"/>
      <protection locked="1" hidden="1"/>
    </xf>
    <xf numFmtId="0" fontId="40" fillId="0" borderId="0" applyAlignment="1" applyProtection="1">
      <alignment horizontal="center" wrapText="1"/>
      <protection locked="1" hidden="1"/>
    </xf>
    <xf numFmtId="286" fontId="251" fillId="0" borderId="0"/>
    <xf numFmtId="37" fontId="57" fillId="0" borderId="0"/>
    <xf numFmtId="286" fontId="251" fillId="0" borderId="0"/>
    <xf numFmtId="37" fontId="57" fillId="0" borderId="0"/>
    <xf numFmtId="286" fontId="251" fillId="0" borderId="0"/>
    <xf numFmtId="37" fontId="57" fillId="0" borderId="0"/>
    <xf numFmtId="286" fontId="251" fillId="0" borderId="0"/>
    <xf numFmtId="37" fontId="57" fillId="0" borderId="0"/>
    <xf numFmtId="286" fontId="251" fillId="0" borderId="0"/>
    <xf numFmtId="37" fontId="57" fillId="0" borderId="0"/>
    <xf numFmtId="280" fontId="9" fillId="0" borderId="0"/>
    <xf numFmtId="286" fontId="251" fillId="0" borderId="0"/>
    <xf numFmtId="0" fontId="10" fillId="0" borderId="0"/>
    <xf numFmtId="280" fontId="9" fillId="0" borderId="0"/>
    <xf numFmtId="286" fontId="251" fillId="0" borderId="0"/>
    <xf numFmtId="0" fontId="10" fillId="0" borderId="0"/>
    <xf numFmtId="280" fontId="9" fillId="0" borderId="0"/>
    <xf numFmtId="280" fontId="9" fillId="0" borderId="0"/>
    <xf numFmtId="41" fontId="9" fillId="0" borderId="0"/>
    <xf numFmtId="41" fontId="9" fillId="0" borderId="0"/>
    <xf numFmtId="41" fontId="9" fillId="0" borderId="0"/>
    <xf numFmtId="41" fontId="9" fillId="0" borderId="0"/>
    <xf numFmtId="41" fontId="15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175" fontId="12" fillId="0" borderId="0"/>
    <xf numFmtId="0" fontId="10" fillId="0" borderId="0"/>
    <xf numFmtId="43" fontId="166" fillId="0" borderId="0"/>
    <xf numFmtId="43" fontId="9" fillId="0" borderId="0"/>
    <xf numFmtId="43" fontId="9" fillId="0" borderId="0"/>
    <xf numFmtId="43" fontId="15" fillId="0" borderId="0"/>
    <xf numFmtId="43" fontId="15" fillId="0" borderId="0"/>
    <xf numFmtId="43" fontId="15" fillId="0" borderId="0"/>
    <xf numFmtId="43" fontId="9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172" fontId="8" fillId="0" borderId="0"/>
    <xf numFmtId="39" fontId="8" fillId="0" borderId="0"/>
    <xf numFmtId="0" fontId="61" fillId="0" borderId="0"/>
    <xf numFmtId="0" fontId="61" fillId="0" borderId="0"/>
    <xf numFmtId="4" fontId="9" fillId="0" borderId="0" applyAlignment="1">
      <alignment vertical="center"/>
    </xf>
    <xf numFmtId="186" fontId="9" fillId="0" borderId="0" applyAlignment="1" applyProtection="1">
      <alignment horizontal="right"/>
      <protection locked="0" hidden="0"/>
    </xf>
    <xf numFmtId="186" fontId="9" fillId="0" borderId="0" applyAlignment="1" applyProtection="1">
      <alignment horizontal="right"/>
      <protection locked="0" hidden="0"/>
    </xf>
    <xf numFmtId="345" fontId="57" fillId="0" borderId="0" applyAlignment="1" applyProtection="1">
      <alignment horizontal="right"/>
      <protection locked="0" hidden="0"/>
    </xf>
    <xf numFmtId="0" fontId="10" fillId="0" borderId="0"/>
    <xf numFmtId="0" fontId="423" fillId="0" borderId="0"/>
    <xf numFmtId="0" fontId="423" fillId="0" borderId="0"/>
    <xf numFmtId="195" fontId="166" fillId="0" borderId="0"/>
    <xf numFmtId="346" fontId="40" fillId="0" borderId="0"/>
    <xf numFmtId="201" fontId="78" fillId="0" borderId="0"/>
    <xf numFmtId="203" fontId="82" fillId="0" borderId="0"/>
    <xf numFmtId="3" fontId="82" fillId="18" borderId="8"/>
    <xf numFmtId="3" fontId="82" fillId="18" borderId="8"/>
    <xf numFmtId="14" fontId="60" fillId="0" borderId="0" applyAlignment="1">
      <alignment horizontal="left"/>
    </xf>
    <xf numFmtId="14" fontId="100" fillId="0" borderId="0" applyAlignment="1">
      <alignment horizontal="left"/>
    </xf>
    <xf numFmtId="205" fontId="9" fillId="0" borderId="0"/>
    <xf numFmtId="205" fontId="9" fillId="0" borderId="0"/>
    <xf numFmtId="206" fontId="9" fillId="0" borderId="0"/>
    <xf numFmtId="206" fontId="9" fillId="0" borderId="0"/>
    <xf numFmtId="347" fontId="9" fillId="0" borderId="0" applyAlignment="1">
      <alignment horizontal="right"/>
    </xf>
    <xf numFmtId="347" fontId="9" fillId="0" borderId="0" applyAlignment="1">
      <alignment horizontal="right"/>
    </xf>
    <xf numFmtId="0" fontId="145" fillId="0" borderId="0" applyAlignment="1">
      <alignment vertical="center"/>
    </xf>
    <xf numFmtId="0" fontId="286" fillId="0" borderId="0"/>
    <xf numFmtId="0" fontId="218" fillId="34" borderId="0"/>
    <xf numFmtId="0" fontId="218" fillId="3" borderId="0"/>
    <xf numFmtId="0" fontId="218" fillId="74" borderId="0"/>
    <xf numFmtId="0" fontId="218" fillId="10" borderId="0"/>
    <xf numFmtId="0" fontId="218" fillId="59" borderId="0"/>
    <xf numFmtId="0" fontId="218" fillId="7" borderId="0"/>
    <xf numFmtId="0" fontId="218" fillId="9" borderId="0"/>
    <xf numFmtId="0" fontId="218" fillId="7" borderId="0"/>
    <xf numFmtId="0" fontId="218" fillId="84" borderId="0"/>
    <xf numFmtId="0" fontId="218" fillId="79" borderId="0"/>
    <xf numFmtId="0" fontId="218" fillId="59" borderId="0"/>
    <xf numFmtId="0" fontId="218" fillId="3" borderId="0"/>
    <xf numFmtId="0" fontId="425" fillId="0" borderId="0" applyAlignment="1" applyProtection="1">
      <alignment horizontal="left"/>
      <protection locked="0" hidden="0"/>
    </xf>
    <xf numFmtId="0" fontId="295" fillId="60" borderId="211"/>
    <xf numFmtId="348" fontId="427" fillId="0" borderId="0" applyAlignment="1" applyProtection="1">
      <alignment horizontal="center"/>
      <protection locked="1" hidden="1"/>
    </xf>
    <xf numFmtId="349" fontId="29" fillId="0" borderId="0" applyAlignment="1" applyProtection="1">
      <alignment horizontal="right"/>
      <protection locked="1" hidden="1"/>
    </xf>
    <xf numFmtId="350" fontId="75" fillId="0" borderId="231" applyAlignment="1" applyProtection="1">
      <alignment horizontal="right"/>
      <protection locked="1" hidden="1"/>
    </xf>
    <xf numFmtId="211" fontId="9" fillId="0" borderId="0"/>
    <xf numFmtId="212" fontId="82" fillId="0" borderId="0"/>
    <xf numFmtId="0" fontId="428" fillId="21" borderId="228" applyAlignment="1">
      <alignment vertical="center"/>
    </xf>
    <xf numFmtId="37" fontId="423" fillId="0" borderId="0"/>
    <xf numFmtId="0" fontId="286" fillId="0" borderId="0"/>
    <xf numFmtId="0" fontId="46" fillId="0" borderId="0" applyAlignment="1" applyProtection="1">
      <alignment vertical="top"/>
      <protection locked="0" hidden="0"/>
    </xf>
    <xf numFmtId="0" fontId="10" fillId="0" borderId="0"/>
    <xf numFmtId="0" fontId="9" fillId="0" borderId="0" applyAlignment="1" applyProtection="1">
      <alignment vertical="top"/>
      <protection locked="0" hidden="0"/>
    </xf>
    <xf numFmtId="0" fontId="230" fillId="2" borderId="0"/>
    <xf numFmtId="0" fontId="230" fillId="63" borderId="0"/>
    <xf numFmtId="239" fontId="423" fillId="0" borderId="0"/>
    <xf numFmtId="211" fontId="9" fillId="26" borderId="0"/>
    <xf numFmtId="0" fontId="9" fillId="27" borderId="0"/>
    <xf numFmtId="0" fontId="429" fillId="0" borderId="0" applyAlignment="1">
      <alignment horizontal="right"/>
    </xf>
    <xf numFmtId="0" fontId="424" fillId="0" borderId="0" applyAlignment="1">
      <alignment horizontal="right"/>
    </xf>
    <xf numFmtId="0" fontId="9" fillId="0" borderId="0" applyAlignment="1" applyProtection="1">
      <alignment horizontal="right"/>
      <protection locked="0" hidden="0"/>
    </xf>
    <xf numFmtId="0" fontId="9" fillId="0" borderId="0" applyAlignment="1" applyProtection="1">
      <alignment horizontal="right"/>
      <protection locked="0" hidden="0"/>
    </xf>
    <xf numFmtId="0" fontId="9" fillId="0" borderId="0" applyAlignment="1" applyProtection="1">
      <alignment horizontal="right"/>
      <protection locked="0" hidden="0"/>
    </xf>
    <xf numFmtId="0" fontId="9" fillId="0" borderId="0" applyAlignment="1">
      <alignment horizontal="right"/>
    </xf>
    <xf numFmtId="351" fontId="9" fillId="0" borderId="0" applyAlignment="1" applyProtection="1">
      <alignment horizontal="right"/>
      <protection locked="0" hidden="0"/>
    </xf>
    <xf numFmtId="351" fontId="9" fillId="0" borderId="0" applyAlignment="1" applyProtection="1">
      <alignment horizontal="right"/>
      <protection locked="0" hidden="0"/>
    </xf>
    <xf numFmtId="164" fontId="57" fillId="0" borderId="0" applyAlignment="1" applyProtection="1">
      <alignment horizontal="right"/>
      <protection locked="0" hidden="0"/>
    </xf>
    <xf numFmtId="0" fontId="10" fillId="0" borderId="0"/>
    <xf numFmtId="38" fontId="40" fillId="0" borderId="0"/>
    <xf numFmtId="40" fontId="40" fillId="0" borderId="0"/>
    <xf numFmtId="352" fontId="425" fillId="0" borderId="0" applyProtection="1">
      <protection locked="1" hidden="1"/>
    </xf>
    <xf numFmtId="0" fontId="69" fillId="0" borderId="0" applyAlignment="1" applyProtection="1">
      <alignment horizontal="center"/>
      <protection locked="1" hidden="1"/>
    </xf>
    <xf numFmtId="0" fontId="430" fillId="62" borderId="0"/>
    <xf numFmtId="0" fontId="431" fillId="25" borderId="0" applyProtection="1">
      <protection locked="1" hidden="1"/>
    </xf>
    <xf numFmtId="315" fontId="211" fillId="0" borderId="0"/>
    <xf numFmtId="1" fontId="9" fillId="0" borderId="0"/>
    <xf numFmtId="1" fontId="9" fillId="0" borderId="0"/>
    <xf numFmtId="0" fontId="9" fillId="0" borderId="0"/>
    <xf numFmtId="0" fontId="9" fillId="0" borderId="0"/>
    <xf numFmtId="0" fontId="15" fillId="0" borderId="0"/>
    <xf numFmtId="0" fontId="432" fillId="0" borderId="0"/>
    <xf numFmtId="0" fontId="10" fillId="0" borderId="0"/>
    <xf numFmtId="0" fontId="9" fillId="0" borderId="0"/>
    <xf numFmtId="0" fontId="166" fillId="0" borderId="0"/>
    <xf numFmtId="173" fontId="64" fillId="0" borderId="0"/>
    <xf numFmtId="0" fontId="4" fillId="0" borderId="0"/>
    <xf numFmtId="9" fontId="4" fillId="0" borderId="0"/>
    <xf numFmtId="0" fontId="4" fillId="0" borderId="0"/>
    <xf numFmtId="164" fontId="10" fillId="0" borderId="0"/>
    <xf numFmtId="0" fontId="15" fillId="0" borderId="0"/>
    <xf numFmtId="9" fontId="8" fillId="0" borderId="0"/>
    <xf numFmtId="0" fontId="4" fillId="0" borderId="0"/>
  </cellStyleXfs>
  <cellXfs count="1361">
    <xf numFmtId="164" fontId="0" fillId="0" borderId="0" pivotButton="0" quotePrefix="0" xfId="0"/>
    <xf numFmtId="164" fontId="16" fillId="38" borderId="0" applyProtection="1" pivotButton="0" quotePrefix="0" xfId="0">
      <protection locked="1" hidden="1"/>
    </xf>
    <xf numFmtId="164" fontId="17" fillId="0" borderId="0" applyProtection="1" pivotButton="0" quotePrefix="0" xfId="0">
      <protection locked="1" hidden="1"/>
    </xf>
    <xf numFmtId="165" fontId="17" fillId="0" borderId="0" applyProtection="1" pivotButton="0" quotePrefix="0" xfId="283">
      <protection locked="1" hidden="1"/>
    </xf>
    <xf numFmtId="164" fontId="18" fillId="0" borderId="0" applyProtection="1" pivotButton="0" quotePrefix="0" xfId="0">
      <protection locked="1" hidden="1"/>
    </xf>
    <xf numFmtId="165" fontId="18" fillId="0" borderId="0" applyProtection="1" pivotButton="0" quotePrefix="0" xfId="283">
      <protection locked="1" hidden="1"/>
    </xf>
    <xf numFmtId="164" fontId="17" fillId="0" borderId="0" applyAlignment="1" applyProtection="1" pivotButton="0" quotePrefix="0" xfId="0">
      <alignment horizontal="right"/>
      <protection locked="1" hidden="1"/>
    </xf>
    <xf numFmtId="164" fontId="19" fillId="0" borderId="0" applyAlignment="1" applyProtection="1" pivotButton="0" quotePrefix="0" xfId="0">
      <alignment horizontal="right"/>
      <protection locked="1" hidden="1"/>
    </xf>
    <xf numFmtId="164" fontId="18" fillId="0" borderId="0" applyAlignment="1" applyProtection="1" pivotButton="0" quotePrefix="0" xfId="0">
      <alignment horizontal="right"/>
      <protection locked="1" hidden="1"/>
    </xf>
    <xf numFmtId="164" fontId="19" fillId="0" borderId="0" applyProtection="1" pivotButton="0" quotePrefix="0" xfId="0">
      <protection locked="1" hidden="1"/>
    </xf>
    <xf numFmtId="164" fontId="21" fillId="0" borderId="0" applyAlignment="1" applyProtection="1" pivotButton="0" quotePrefix="0" xfId="0">
      <alignment horizontal="right"/>
      <protection locked="1" hidden="1"/>
    </xf>
    <xf numFmtId="164" fontId="21" fillId="0" borderId="0" applyProtection="1" pivotButton="0" quotePrefix="0" xfId="0">
      <protection locked="1" hidden="1"/>
    </xf>
    <xf numFmtId="164" fontId="20" fillId="0" borderId="10" applyAlignment="1" applyProtection="1" pivotButton="0" quotePrefix="0" xfId="0">
      <alignment horizontal="left"/>
      <protection locked="1" hidden="1"/>
    </xf>
    <xf numFmtId="164" fontId="20" fillId="0" borderId="10" applyAlignment="1" applyProtection="1" pivotButton="0" quotePrefix="1" xfId="0">
      <alignment horizontal="right"/>
      <protection locked="1" hidden="1"/>
    </xf>
    <xf numFmtId="164" fontId="20" fillId="0" borderId="10" applyAlignment="1" applyProtection="1" pivotButton="0" quotePrefix="0" xfId="0">
      <alignment horizontal="right"/>
      <protection locked="1" hidden="1"/>
    </xf>
    <xf numFmtId="164" fontId="22" fillId="0" borderId="10" applyAlignment="1" applyProtection="1" pivotButton="0" quotePrefix="0" xfId="0">
      <alignment horizontal="right"/>
      <protection locked="1" hidden="1"/>
    </xf>
    <xf numFmtId="164" fontId="22" fillId="0" borderId="0" applyAlignment="1" applyProtection="1" pivotButton="0" quotePrefix="0" xfId="0">
      <alignment horizontal="right"/>
      <protection locked="1" hidden="1"/>
    </xf>
    <xf numFmtId="164" fontId="20" fillId="0" borderId="0" applyAlignment="1" applyProtection="1" pivotButton="0" quotePrefix="0" xfId="0">
      <alignment horizontal="right"/>
      <protection locked="1" hidden="1"/>
    </xf>
    <xf numFmtId="164" fontId="20" fillId="0" borderId="0" applyProtection="1" pivotButton="0" quotePrefix="0" xfId="0">
      <protection locked="1" hidden="1"/>
    </xf>
    <xf numFmtId="3" fontId="23" fillId="38" borderId="0" applyProtection="1" pivotButton="0" quotePrefix="0" xfId="0">
      <protection locked="1" hidden="1"/>
    </xf>
    <xf numFmtId="3" fontId="17" fillId="0" borderId="0" applyProtection="1" pivotButton="0" quotePrefix="0" xfId="0">
      <protection locked="1" hidden="1"/>
    </xf>
    <xf numFmtId="3" fontId="18" fillId="0" borderId="0" applyProtection="1" pivotButton="0" quotePrefix="0" xfId="0">
      <protection locked="1" hidden="1"/>
    </xf>
    <xf numFmtId="3" fontId="18" fillId="0" borderId="0" applyProtection="1" pivotButton="0" quotePrefix="0" xfId="283">
      <protection locked="1" hidden="1"/>
    </xf>
    <xf numFmtId="3" fontId="17" fillId="0" borderId="0" applyAlignment="1" applyProtection="1" pivotButton="0" quotePrefix="0" xfId="0">
      <alignment horizontal="right"/>
      <protection locked="1" hidden="1"/>
    </xf>
    <xf numFmtId="3" fontId="18" fillId="0" borderId="0" applyAlignment="1" applyProtection="1" pivotButton="0" quotePrefix="0" xfId="0">
      <alignment horizontal="right"/>
      <protection locked="1" hidden="1"/>
    </xf>
    <xf numFmtId="9" fontId="18" fillId="0" borderId="0" applyAlignment="1" applyProtection="1" pivotButton="0" quotePrefix="0" xfId="283">
      <alignment horizontal="right"/>
      <protection locked="1" hidden="1"/>
    </xf>
    <xf numFmtId="9" fontId="17" fillId="0" borderId="0" applyAlignment="1" applyProtection="1" pivotButton="0" quotePrefix="0" xfId="283">
      <alignment horizontal="right"/>
      <protection locked="1" hidden="1"/>
    </xf>
    <xf numFmtId="165" fontId="16" fillId="38" borderId="0" applyProtection="1" pivotButton="0" quotePrefix="0" xfId="283">
      <protection locked="1" hidden="1"/>
    </xf>
    <xf numFmtId="165" fontId="21" fillId="0" borderId="0" applyProtection="1" pivotButton="0" quotePrefix="0" xfId="283">
      <protection locked="1" hidden="1"/>
    </xf>
    <xf numFmtId="165" fontId="19" fillId="0" borderId="0" applyProtection="1" pivotButton="0" quotePrefix="0" xfId="283">
      <protection locked="1" hidden="1"/>
    </xf>
    <xf numFmtId="165" fontId="19" fillId="0" borderId="0" applyProtection="1" pivotButton="0" quotePrefix="0" xfId="283">
      <protection locked="1" hidden="1"/>
    </xf>
    <xf numFmtId="165" fontId="21" fillId="0" borderId="0" applyAlignment="1" applyProtection="1" pivotButton="0" quotePrefix="0" xfId="283">
      <alignment horizontal="right"/>
      <protection locked="1" hidden="1"/>
    </xf>
    <xf numFmtId="165" fontId="19" fillId="0" borderId="0" applyAlignment="1" applyProtection="1" pivotButton="0" quotePrefix="0" xfId="0">
      <alignment horizontal="right"/>
      <protection locked="1" hidden="1"/>
    </xf>
    <xf numFmtId="166" fontId="21" fillId="0" borderId="0" applyAlignment="1" applyProtection="1" pivotButton="0" quotePrefix="0" xfId="283">
      <alignment horizontal="right"/>
      <protection locked="1" hidden="1"/>
    </xf>
    <xf numFmtId="166" fontId="21" fillId="0" borderId="0" applyAlignment="1" applyProtection="1" pivotButton="0" quotePrefix="0" xfId="283">
      <alignment horizontal="right"/>
      <protection locked="1" hidden="1"/>
    </xf>
    <xf numFmtId="9" fontId="21" fillId="0" borderId="0" applyAlignment="1" applyProtection="1" pivotButton="0" quotePrefix="0" xfId="283">
      <alignment horizontal="right"/>
      <protection locked="1" hidden="1"/>
    </xf>
    <xf numFmtId="165" fontId="19" fillId="0" borderId="0" applyProtection="1" pivotButton="0" quotePrefix="0" xfId="283">
      <protection locked="1" hidden="1"/>
    </xf>
    <xf numFmtId="3" fontId="24" fillId="38" borderId="0" applyProtection="1" pivotButton="0" quotePrefix="0" xfId="0">
      <protection locked="1" hidden="1"/>
    </xf>
    <xf numFmtId="165" fontId="18" fillId="0" borderId="0" applyProtection="1" pivotButton="0" quotePrefix="0" xfId="283">
      <protection locked="1" hidden="1"/>
    </xf>
    <xf numFmtId="9" fontId="17" fillId="0" borderId="0" applyProtection="1" pivotButton="0" quotePrefix="0" xfId="283">
      <protection locked="1" hidden="1"/>
    </xf>
    <xf numFmtId="38" fontId="17" fillId="0" borderId="0" applyAlignment="1" applyProtection="1" pivotButton="0" quotePrefix="0" xfId="129">
      <alignment horizontal="right"/>
      <protection locked="1" hidden="1"/>
    </xf>
    <xf numFmtId="165" fontId="17" fillId="0" borderId="0" applyAlignment="1" applyProtection="1" pivotButton="0" quotePrefix="0" xfId="283">
      <alignment horizontal="right"/>
      <protection locked="1" hidden="1"/>
    </xf>
    <xf numFmtId="165" fontId="17" fillId="0" borderId="0" applyAlignment="1" applyProtection="1" pivotButton="0" quotePrefix="0" xfId="283">
      <alignment horizontal="right"/>
      <protection locked="1" hidden="1"/>
    </xf>
    <xf numFmtId="3" fontId="21" fillId="0" borderId="0" applyAlignment="1" applyProtection="1" pivotButton="0" quotePrefix="0" xfId="0">
      <alignment horizontal="right"/>
      <protection locked="1" hidden="1"/>
    </xf>
    <xf numFmtId="3" fontId="24" fillId="38" borderId="0" applyProtection="1" pivotButton="0" quotePrefix="0" xfId="283">
      <protection locked="1" hidden="1"/>
    </xf>
    <xf numFmtId="3" fontId="17" fillId="0" borderId="0" applyProtection="1" pivotButton="0" quotePrefix="0" xfId="283">
      <protection locked="1" hidden="1"/>
    </xf>
    <xf numFmtId="3" fontId="18" fillId="0" borderId="0" applyProtection="1" pivotButton="0" quotePrefix="0" xfId="283">
      <protection locked="1" hidden="1"/>
    </xf>
    <xf numFmtId="3" fontId="18" fillId="0" borderId="0" applyProtection="1" pivotButton="0" quotePrefix="0" xfId="283">
      <protection locked="1" hidden="1"/>
    </xf>
    <xf numFmtId="3" fontId="17" fillId="0" borderId="0" applyAlignment="1" applyProtection="1" pivotButton="0" quotePrefix="0" xfId="283">
      <alignment horizontal="right"/>
      <protection locked="1" hidden="1"/>
    </xf>
    <xf numFmtId="3" fontId="18" fillId="0" borderId="0" applyProtection="1" pivotButton="0" quotePrefix="0" xfId="283">
      <protection locked="1" hidden="1"/>
    </xf>
    <xf numFmtId="3" fontId="18" fillId="0" borderId="0" applyProtection="1" pivotButton="0" quotePrefix="0" xfId="283">
      <protection locked="1" hidden="1"/>
    </xf>
    <xf numFmtId="9" fontId="17" fillId="0" borderId="0" applyAlignment="1" applyProtection="1" pivotButton="0" quotePrefix="0" xfId="283">
      <alignment horizontal="right"/>
      <protection locked="1" hidden="1"/>
    </xf>
    <xf numFmtId="9" fontId="21" fillId="0" borderId="0" applyAlignment="1" applyProtection="1" pivotButton="0" quotePrefix="0" xfId="283">
      <alignment horizontal="right"/>
      <protection locked="1" hidden="1"/>
    </xf>
    <xf numFmtId="165" fontId="19" fillId="0" borderId="0" applyProtection="1" pivotButton="0" quotePrefix="0" xfId="283">
      <protection locked="1" hidden="1"/>
    </xf>
    <xf numFmtId="165" fontId="21" fillId="0" borderId="0" applyAlignment="1" applyProtection="1" pivotButton="0" quotePrefix="0" xfId="283">
      <alignment horizontal="right"/>
      <protection locked="1" hidden="1"/>
    </xf>
    <xf numFmtId="165" fontId="21" fillId="0" borderId="0" applyAlignment="1" applyProtection="1" pivotButton="0" quotePrefix="0" xfId="283">
      <alignment horizontal="right"/>
      <protection locked="1" hidden="1"/>
    </xf>
    <xf numFmtId="4" fontId="24" fillId="38" borderId="0" applyProtection="1" pivotButton="0" quotePrefix="0" xfId="0">
      <protection locked="1" hidden="1"/>
    </xf>
    <xf numFmtId="4" fontId="17" fillId="0" borderId="0" applyProtection="1" pivotButton="0" quotePrefix="0" xfId="0">
      <protection locked="1" hidden="1"/>
    </xf>
    <xf numFmtId="4" fontId="18" fillId="0" borderId="0" applyProtection="1" pivotButton="0" quotePrefix="0" xfId="0">
      <protection locked="1" hidden="1"/>
    </xf>
    <xf numFmtId="167" fontId="18" fillId="0" borderId="0" applyProtection="1" pivotButton="0" quotePrefix="0" xfId="0">
      <protection locked="1" hidden="1"/>
    </xf>
    <xf numFmtId="168" fontId="18" fillId="0" borderId="0" applyProtection="1" pivotButton="0" quotePrefix="0" xfId="129">
      <protection locked="1" hidden="1"/>
    </xf>
    <xf numFmtId="9" fontId="18" fillId="0" borderId="0" applyProtection="1" pivotButton="0" quotePrefix="0" xfId="283">
      <protection locked="1" hidden="1"/>
    </xf>
    <xf numFmtId="4" fontId="18" fillId="0" borderId="0" applyAlignment="1" applyProtection="1" pivotButton="0" quotePrefix="0" xfId="0">
      <alignment horizontal="right"/>
      <protection locked="1" hidden="1"/>
    </xf>
    <xf numFmtId="4" fontId="17" fillId="0" borderId="0" applyAlignment="1" applyProtection="1" pivotButton="0" quotePrefix="0" xfId="0">
      <alignment horizontal="right"/>
      <protection locked="1" hidden="1"/>
    </xf>
    <xf numFmtId="167" fontId="17" fillId="0" borderId="0" applyAlignment="1" applyProtection="1" pivotButton="0" quotePrefix="0" xfId="0">
      <alignment horizontal="right"/>
      <protection locked="1" hidden="1"/>
    </xf>
    <xf numFmtId="167" fontId="18" fillId="0" borderId="0" applyAlignment="1" applyProtection="1" pivotButton="0" quotePrefix="0" xfId="0">
      <alignment horizontal="right"/>
      <protection locked="1" hidden="1"/>
    </xf>
    <xf numFmtId="167" fontId="17" fillId="0" borderId="0" applyProtection="1" pivotButton="0" quotePrefix="0" xfId="0">
      <protection locked="1" hidden="1"/>
    </xf>
    <xf numFmtId="168" fontId="18" fillId="0" borderId="0" applyProtection="1" pivotButton="0" quotePrefix="0" xfId="129">
      <protection locked="1" hidden="1"/>
    </xf>
    <xf numFmtId="164" fontId="16" fillId="38" borderId="0" applyAlignment="1" applyProtection="1" pivotButton="0" quotePrefix="0" xfId="0">
      <alignment horizontal="left"/>
      <protection locked="1" hidden="1"/>
    </xf>
    <xf numFmtId="9" fontId="19" fillId="0" borderId="0" applyProtection="1" pivotButton="0" quotePrefix="0" xfId="283">
      <protection locked="1" hidden="1"/>
    </xf>
    <xf numFmtId="165" fontId="18" fillId="0" borderId="0" applyAlignment="1" applyProtection="1" pivotButton="0" quotePrefix="0" xfId="283">
      <alignment horizontal="right"/>
      <protection locked="1" hidden="1"/>
    </xf>
    <xf numFmtId="3" fontId="25" fillId="0" borderId="0" applyAlignment="1" applyProtection="1" pivotButton="0" quotePrefix="0" xfId="0">
      <alignment horizontal="right"/>
      <protection locked="1" hidden="1"/>
    </xf>
    <xf numFmtId="165" fontId="21" fillId="0" borderId="10" applyProtection="1" pivotButton="0" quotePrefix="0" xfId="283">
      <protection locked="1" hidden="1"/>
    </xf>
    <xf numFmtId="165" fontId="19" fillId="0" borderId="10" applyProtection="1" pivotButton="0" quotePrefix="0" xfId="283">
      <protection locked="1" hidden="1"/>
    </xf>
    <xf numFmtId="166" fontId="19" fillId="0" borderId="10" applyProtection="1" pivotButton="0" quotePrefix="0" xfId="283">
      <protection locked="1" hidden="1"/>
    </xf>
    <xf numFmtId="165" fontId="19" fillId="0" borderId="10" applyProtection="1" pivotButton="0" quotePrefix="0" xfId="283">
      <protection locked="1" hidden="1"/>
    </xf>
    <xf numFmtId="165" fontId="21" fillId="0" borderId="10" applyAlignment="1" applyProtection="1" pivotButton="0" quotePrefix="0" xfId="283">
      <alignment horizontal="right"/>
      <protection locked="1" hidden="1"/>
    </xf>
    <xf numFmtId="165" fontId="19" fillId="0" borderId="10" applyAlignment="1" applyProtection="1" pivotButton="0" quotePrefix="0" xfId="0">
      <alignment horizontal="right"/>
      <protection locked="1" hidden="1"/>
    </xf>
    <xf numFmtId="166" fontId="21" fillId="0" borderId="10" applyAlignment="1" applyProtection="1" pivotButton="0" quotePrefix="0" xfId="283">
      <alignment horizontal="right"/>
      <protection locked="1" hidden="1"/>
    </xf>
    <xf numFmtId="167" fontId="17" fillId="0" borderId="10" applyAlignment="1" applyProtection="1" pivotButton="0" quotePrefix="0" xfId="0">
      <alignment horizontal="right"/>
      <protection locked="1" hidden="1"/>
    </xf>
    <xf numFmtId="166" fontId="16" fillId="38" borderId="0" applyAlignment="1" applyProtection="1" pivotButton="0" quotePrefix="0" xfId="0">
      <alignment horizontal="left"/>
      <protection locked="1" hidden="1"/>
    </xf>
    <xf numFmtId="166" fontId="21" fillId="0" borderId="0" applyProtection="1" pivotButton="0" quotePrefix="0" xfId="0">
      <protection locked="1" hidden="1"/>
    </xf>
    <xf numFmtId="166" fontId="21" fillId="0" borderId="0" applyAlignment="1" applyProtection="1" pivotButton="0" quotePrefix="0" xfId="0">
      <alignment horizontal="right"/>
      <protection locked="1" hidden="1"/>
    </xf>
    <xf numFmtId="166" fontId="18" fillId="0" borderId="0" applyAlignment="1" applyProtection="1" pivotButton="0" quotePrefix="0" xfId="0">
      <alignment horizontal="right"/>
      <protection locked="1" hidden="1"/>
    </xf>
    <xf numFmtId="166" fontId="23" fillId="38" borderId="0" applyProtection="1" pivotButton="0" quotePrefix="0" xfId="0">
      <protection locked="1" hidden="1"/>
    </xf>
    <xf numFmtId="166" fontId="17" fillId="0" borderId="0" applyProtection="1" pivotButton="0" quotePrefix="0" xfId="0">
      <protection locked="1" hidden="1"/>
    </xf>
    <xf numFmtId="166" fontId="18" fillId="0" borderId="0" applyProtection="1" pivotButton="0" quotePrefix="0" xfId="283">
      <protection locked="1" hidden="1"/>
    </xf>
    <xf numFmtId="166" fontId="18" fillId="0" borderId="0" applyProtection="1" pivotButton="0" quotePrefix="0" xfId="283">
      <protection locked="1" hidden="1"/>
    </xf>
    <xf numFmtId="166" fontId="17" fillId="0" borderId="0" applyProtection="1" pivotButton="0" quotePrefix="0" xfId="283">
      <protection locked="1" hidden="1"/>
    </xf>
    <xf numFmtId="166" fontId="18" fillId="0" borderId="0" applyProtection="1" pivotButton="0" quotePrefix="0" xfId="283">
      <protection locked="1" hidden="1"/>
    </xf>
    <xf numFmtId="166" fontId="17" fillId="0" borderId="0" applyAlignment="1" applyProtection="1" pivotButton="0" quotePrefix="0" xfId="0">
      <alignment horizontal="right"/>
      <protection locked="1" hidden="1"/>
    </xf>
    <xf numFmtId="165" fontId="18" fillId="0" borderId="0" applyProtection="1" pivotButton="0" quotePrefix="0" xfId="283">
      <protection locked="1" hidden="1"/>
    </xf>
    <xf numFmtId="166" fontId="18" fillId="0" borderId="0" applyProtection="1" pivotButton="0" quotePrefix="0" xfId="283">
      <protection locked="1" hidden="1"/>
    </xf>
    <xf numFmtId="38" fontId="18" fillId="0" borderId="0" applyProtection="1" pivotButton="0" quotePrefix="0" xfId="129">
      <protection locked="1" hidden="1"/>
    </xf>
    <xf numFmtId="164" fontId="23" fillId="38" borderId="0" applyProtection="1" pivotButton="0" quotePrefix="0" xfId="0">
      <protection locked="1" hidden="1"/>
    </xf>
    <xf numFmtId="4" fontId="17" fillId="0" borderId="10" applyProtection="1" pivotButton="0" quotePrefix="0" xfId="0">
      <protection locked="1" hidden="1"/>
    </xf>
    <xf numFmtId="4" fontId="18" fillId="0" borderId="10" applyProtection="1" pivotButton="0" quotePrefix="0" xfId="0">
      <protection locked="1" hidden="1"/>
    </xf>
    <xf numFmtId="164" fontId="17" fillId="0" borderId="10" applyAlignment="1" applyProtection="1" pivotButton="0" quotePrefix="0" xfId="0">
      <alignment horizontal="right"/>
      <protection locked="1" hidden="1"/>
    </xf>
    <xf numFmtId="164" fontId="18" fillId="0" borderId="10" applyAlignment="1" applyProtection="1" pivotButton="0" quotePrefix="0" xfId="0">
      <alignment horizontal="right"/>
      <protection locked="1" hidden="1"/>
    </xf>
    <xf numFmtId="4" fontId="17" fillId="0" borderId="10" applyAlignment="1" applyProtection="1" pivotButton="0" quotePrefix="0" xfId="0">
      <alignment horizontal="right"/>
      <protection locked="1" hidden="1"/>
    </xf>
    <xf numFmtId="4" fontId="21" fillId="0" borderId="0" applyAlignment="1" applyProtection="1" pivotButton="0" quotePrefix="0" xfId="0">
      <alignment horizontal="right"/>
      <protection locked="1" hidden="1"/>
    </xf>
    <xf numFmtId="38" fontId="21" fillId="0" borderId="0" applyAlignment="1" applyProtection="1" pivotButton="0" quotePrefix="0" xfId="129">
      <alignment horizontal="right"/>
      <protection locked="1" hidden="1"/>
    </xf>
    <xf numFmtId="164" fontId="26" fillId="0" borderId="0" applyProtection="1" pivotButton="0" quotePrefix="0" xfId="0">
      <protection locked="1" hidden="1"/>
    </xf>
    <xf numFmtId="164" fontId="21" fillId="0" borderId="0" applyAlignment="1" applyProtection="1" pivotButton="0" quotePrefix="0" xfId="129">
      <alignment horizontal="right"/>
      <protection locked="1" hidden="1"/>
    </xf>
    <xf numFmtId="38" fontId="21" fillId="0" borderId="0" applyProtection="1" pivotButton="0" quotePrefix="0" xfId="129">
      <protection locked="1" hidden="1"/>
    </xf>
    <xf numFmtId="9" fontId="21" fillId="0" borderId="0" applyProtection="1" pivotButton="0" quotePrefix="0" xfId="283">
      <protection locked="1" hidden="1"/>
    </xf>
    <xf numFmtId="164" fontId="26" fillId="0" borderId="0" applyAlignment="1" applyProtection="1" pivotButton="0" quotePrefix="0" xfId="0">
      <alignment horizontal="right"/>
      <protection locked="1" hidden="1"/>
    </xf>
    <xf numFmtId="164" fontId="22" fillId="0" borderId="0" applyProtection="1" pivotButton="0" quotePrefix="0" xfId="0">
      <protection locked="1" hidden="1"/>
    </xf>
    <xf numFmtId="165" fontId="20" fillId="0" borderId="0" applyProtection="1" pivotButton="0" quotePrefix="0" xfId="283">
      <protection locked="1" hidden="1"/>
    </xf>
    <xf numFmtId="9" fontId="22" fillId="0" borderId="0" applyAlignment="1" applyProtection="1" pivotButton="0" quotePrefix="0" xfId="283">
      <alignment horizontal="right"/>
      <protection locked="1" hidden="1"/>
    </xf>
    <xf numFmtId="9" fontId="20" fillId="0" borderId="0" applyAlignment="1" applyProtection="1" pivotButton="0" quotePrefix="0" xfId="283">
      <alignment horizontal="right"/>
      <protection locked="1" hidden="1"/>
    </xf>
    <xf numFmtId="3" fontId="20" fillId="0" borderId="0" applyAlignment="1" applyProtection="1" pivotButton="0" quotePrefix="0" xfId="0">
      <alignment horizontal="right"/>
      <protection locked="1" hidden="1"/>
    </xf>
    <xf numFmtId="165" fontId="27" fillId="38" borderId="0" applyProtection="1" pivotButton="0" quotePrefix="0" xfId="0">
      <protection locked="1" hidden="1"/>
    </xf>
    <xf numFmtId="165" fontId="18" fillId="0" borderId="0" applyAlignment="1" applyProtection="1" pivotButton="0" quotePrefix="0" xfId="0">
      <alignment horizontal="right"/>
      <protection locked="1" hidden="1"/>
    </xf>
    <xf numFmtId="165" fontId="21" fillId="0" borderId="0" applyProtection="1" pivotButton="0" quotePrefix="0" xfId="0">
      <protection locked="1" hidden="1"/>
    </xf>
    <xf numFmtId="40" fontId="19" fillId="0" borderId="0" applyProtection="1" pivotButton="0" quotePrefix="0" xfId="129">
      <protection locked="1" hidden="1"/>
    </xf>
    <xf numFmtId="38" fontId="19" fillId="0" borderId="0" applyProtection="1" pivotButton="0" quotePrefix="0" xfId="129">
      <protection locked="1" hidden="1"/>
    </xf>
    <xf numFmtId="9" fontId="19" fillId="0" borderId="0" applyProtection="1" pivotButton="0" quotePrefix="0" xfId="283">
      <protection locked="1" hidden="1"/>
    </xf>
    <xf numFmtId="9" fontId="21" fillId="0" borderId="0" applyAlignment="1" applyProtection="1" pivotButton="0" quotePrefix="0" xfId="283">
      <alignment horizontal="right"/>
      <protection locked="1" hidden="1"/>
    </xf>
    <xf numFmtId="165" fontId="21" fillId="0" borderId="0" applyAlignment="1" applyProtection="1" pivotButton="0" quotePrefix="0" xfId="0">
      <alignment horizontal="right"/>
      <protection locked="1" hidden="1"/>
    </xf>
    <xf numFmtId="3" fontId="19" fillId="0" borderId="0" applyProtection="1" pivotButton="0" quotePrefix="0" xfId="0">
      <protection locked="1" hidden="1"/>
    </xf>
    <xf numFmtId="9" fontId="21" fillId="0" borderId="0" applyProtection="1" pivotButton="0" quotePrefix="0" xfId="0">
      <protection locked="1" hidden="1"/>
    </xf>
    <xf numFmtId="169" fontId="21" fillId="0" borderId="0" applyAlignment="1" applyProtection="1" pivotButton="0" quotePrefix="0" xfId="0">
      <alignment horizontal="right"/>
      <protection locked="1" hidden="1"/>
    </xf>
    <xf numFmtId="167" fontId="19" fillId="0" borderId="0" applyProtection="1" pivotButton="0" quotePrefix="0" xfId="0">
      <protection locked="1" hidden="1"/>
    </xf>
    <xf numFmtId="169" fontId="22" fillId="0" borderId="0" applyProtection="1" pivotButton="0" quotePrefix="0" xfId="0">
      <protection locked="1" hidden="1"/>
    </xf>
    <xf numFmtId="3" fontId="22" fillId="0" borderId="0" applyProtection="1" pivotButton="0" quotePrefix="0" xfId="0">
      <protection locked="1" hidden="1"/>
    </xf>
    <xf numFmtId="165" fontId="19" fillId="0" borderId="0" applyProtection="1" pivotButton="0" quotePrefix="0" xfId="0">
      <protection locked="1" hidden="1"/>
    </xf>
    <xf numFmtId="169" fontId="21" fillId="0" borderId="0" applyProtection="1" pivotButton="0" quotePrefix="0" xfId="0">
      <protection locked="1" hidden="1"/>
    </xf>
    <xf numFmtId="170" fontId="21" fillId="0" borderId="0" applyProtection="1" pivotButton="0" quotePrefix="0" xfId="129">
      <protection locked="1" hidden="1"/>
    </xf>
    <xf numFmtId="170" fontId="21" fillId="0" borderId="0" applyProtection="1" pivotButton="0" quotePrefix="0" xfId="129">
      <protection locked="1" hidden="1"/>
    </xf>
    <xf numFmtId="171" fontId="21" fillId="0" borderId="0" applyProtection="1" pivotButton="0" quotePrefix="0" xfId="0">
      <protection locked="1" hidden="1"/>
    </xf>
    <xf numFmtId="172" fontId="21" fillId="0" borderId="0" applyProtection="1" pivotButton="0" quotePrefix="0" xfId="0">
      <protection locked="1" hidden="1"/>
    </xf>
    <xf numFmtId="173" fontId="19" fillId="0" borderId="0" applyProtection="1" pivotButton="0" quotePrefix="0" xfId="129">
      <protection locked="1" hidden="1"/>
    </xf>
    <xf numFmtId="164" fontId="16" fillId="0" borderId="0" applyProtection="1" pivotButton="0" quotePrefix="0" xfId="0">
      <protection locked="1" hidden="1"/>
    </xf>
    <xf numFmtId="165" fontId="17" fillId="0" borderId="0" applyProtection="1" pivotButton="0" quotePrefix="0" xfId="283">
      <protection locked="1" hidden="1"/>
    </xf>
    <xf numFmtId="165" fontId="17" fillId="0" borderId="0" applyProtection="1" pivotButton="0" quotePrefix="0" xfId="283">
      <protection locked="1" hidden="1"/>
    </xf>
    <xf numFmtId="3" fontId="17" fillId="0" borderId="0" applyAlignment="1" applyProtection="1" pivotButton="0" quotePrefix="0" xfId="283">
      <alignment horizontal="right"/>
      <protection locked="1" hidden="1"/>
    </xf>
    <xf numFmtId="169" fontId="16" fillId="38" borderId="0" applyProtection="1" pivotButton="0" quotePrefix="0" xfId="0">
      <protection locked="1" hidden="1"/>
    </xf>
    <xf numFmtId="169" fontId="19" fillId="0" borderId="0" applyProtection="1" pivotButton="0" quotePrefix="0" xfId="0">
      <protection locked="1" hidden="1"/>
    </xf>
    <xf numFmtId="169" fontId="19" fillId="0" borderId="0" applyAlignment="1" applyProtection="1" pivotButton="0" quotePrefix="0" xfId="0">
      <alignment horizontal="right"/>
      <protection locked="1" hidden="1"/>
    </xf>
    <xf numFmtId="169" fontId="30" fillId="38" borderId="0" applyProtection="1" pivotButton="0" quotePrefix="0" xfId="0">
      <protection locked="1" hidden="1"/>
    </xf>
    <xf numFmtId="169" fontId="28" fillId="0" borderId="0" applyProtection="1" pivotButton="0" quotePrefix="0" xfId="0">
      <protection locked="1" hidden="1"/>
    </xf>
    <xf numFmtId="169" fontId="18" fillId="0" borderId="0" applyProtection="1" pivotButton="0" quotePrefix="0" xfId="0">
      <protection locked="1" hidden="1"/>
    </xf>
    <xf numFmtId="169" fontId="18" fillId="39" borderId="0" applyProtection="1" pivotButton="0" quotePrefix="0" xfId="0">
      <protection locked="1" hidden="1"/>
    </xf>
    <xf numFmtId="169" fontId="28" fillId="0" borderId="0" applyAlignment="1" applyProtection="1" pivotButton="0" quotePrefix="0" xfId="0">
      <alignment horizontal="right"/>
      <protection locked="1" hidden="1"/>
    </xf>
    <xf numFmtId="169" fontId="17" fillId="0" borderId="0" applyProtection="1" pivotButton="0" quotePrefix="0" xfId="0">
      <protection locked="1" hidden="1"/>
    </xf>
    <xf numFmtId="9" fontId="18" fillId="0" borderId="0" applyProtection="1" pivotButton="0" quotePrefix="0" xfId="283">
      <protection locked="1" hidden="1"/>
    </xf>
    <xf numFmtId="169" fontId="20" fillId="0" borderId="0" applyProtection="1" pivotButton="0" quotePrefix="0" xfId="0">
      <protection locked="1" hidden="1"/>
    </xf>
    <xf numFmtId="169" fontId="20" fillId="0" borderId="0" applyAlignment="1" applyProtection="1" pivotButton="0" quotePrefix="0" xfId="0">
      <alignment horizontal="right"/>
      <protection locked="1" hidden="1"/>
    </xf>
    <xf numFmtId="169" fontId="22" fillId="0" borderId="0" applyAlignment="1" applyProtection="1" pivotButton="0" quotePrefix="0" xfId="0">
      <alignment horizontal="right"/>
      <protection locked="1" hidden="1"/>
    </xf>
    <xf numFmtId="165" fontId="21" fillId="0" borderId="0" applyAlignment="1" applyProtection="1" pivotButton="0" quotePrefix="0" xfId="283">
      <alignment horizontal="right"/>
      <protection locked="1" hidden="1"/>
    </xf>
    <xf numFmtId="172" fontId="21" fillId="0" borderId="0" applyAlignment="1" applyProtection="1" pivotButton="0" quotePrefix="0" xfId="0">
      <alignment horizontal="right"/>
      <protection locked="1" hidden="1"/>
    </xf>
    <xf numFmtId="172" fontId="19" fillId="0" borderId="0" applyProtection="1" pivotButton="0" quotePrefix="0" xfId="0">
      <protection locked="1" hidden="1"/>
    </xf>
    <xf numFmtId="172" fontId="31" fillId="38" borderId="0" applyProtection="1" pivotButton="0" quotePrefix="0" xfId="0">
      <protection locked="1" hidden="1"/>
    </xf>
    <xf numFmtId="172" fontId="19" fillId="0" borderId="0" applyAlignment="1" applyProtection="1" pivotButton="0" quotePrefix="0" xfId="0">
      <alignment horizontal="right"/>
      <protection locked="1" hidden="1"/>
    </xf>
    <xf numFmtId="164" fontId="31" fillId="38" borderId="0" applyProtection="1" pivotButton="0" quotePrefix="0" xfId="0">
      <protection locked="1" hidden="1"/>
    </xf>
    <xf numFmtId="38" fontId="22" fillId="0" borderId="0" applyProtection="1" pivotButton="0" quotePrefix="0" xfId="129">
      <protection locked="1" hidden="1"/>
    </xf>
    <xf numFmtId="38" fontId="22" fillId="0" borderId="0" applyProtection="1" pivotButton="0" quotePrefix="0" xfId="129">
      <protection locked="1" hidden="1"/>
    </xf>
    <xf numFmtId="9" fontId="22" fillId="0" borderId="0" applyProtection="1" pivotButton="0" quotePrefix="0" xfId="283">
      <protection locked="1" hidden="1"/>
    </xf>
    <xf numFmtId="165" fontId="22" fillId="0" borderId="0" applyProtection="1" pivotButton="0" quotePrefix="0" xfId="283">
      <protection locked="1" hidden="1"/>
    </xf>
    <xf numFmtId="4" fontId="21" fillId="0" borderId="0" applyProtection="1" pivotButton="0" quotePrefix="0" xfId="0">
      <protection locked="1" hidden="1"/>
    </xf>
    <xf numFmtId="4" fontId="19" fillId="0" borderId="0" applyProtection="1" pivotButton="0" quotePrefix="0" xfId="0">
      <protection locked="1" hidden="1"/>
    </xf>
    <xf numFmtId="174" fontId="21" fillId="0" borderId="0" applyAlignment="1" applyProtection="1" pivotButton="0" quotePrefix="0" xfId="0">
      <alignment horizontal="right"/>
      <protection locked="1" hidden="1"/>
    </xf>
    <xf numFmtId="175" fontId="21" fillId="0" borderId="0" applyAlignment="1" applyProtection="1" pivotButton="0" quotePrefix="0" xfId="0">
      <alignment horizontal="right"/>
      <protection locked="1" hidden="1"/>
    </xf>
    <xf numFmtId="4" fontId="19" fillId="0" borderId="0" applyAlignment="1" applyProtection="1" pivotButton="0" quotePrefix="0" xfId="0">
      <alignment horizontal="right"/>
      <protection locked="1" hidden="1"/>
    </xf>
    <xf numFmtId="175" fontId="19" fillId="0" borderId="0" applyAlignment="1" applyProtection="1" pivotButton="0" quotePrefix="0" xfId="0">
      <alignment horizontal="right"/>
      <protection locked="1" hidden="1"/>
    </xf>
    <xf numFmtId="167" fontId="21" fillId="0" borderId="0" applyAlignment="1" applyProtection="1" pivotButton="0" quotePrefix="0" xfId="0">
      <alignment horizontal="right"/>
      <protection locked="1" hidden="1"/>
    </xf>
    <xf numFmtId="165" fontId="23" fillId="38" borderId="0" applyProtection="1" pivotButton="0" quotePrefix="0" xfId="0">
      <protection locked="1" hidden="1"/>
    </xf>
    <xf numFmtId="165" fontId="17" fillId="0" borderId="0" applyProtection="1" pivotButton="0" quotePrefix="0" xfId="0">
      <protection locked="1" hidden="1"/>
    </xf>
    <xf numFmtId="165" fontId="18" fillId="0" borderId="0" applyProtection="1" pivotButton="0" quotePrefix="0" xfId="283">
      <protection locked="1" hidden="1"/>
    </xf>
    <xf numFmtId="173" fontId="18" fillId="0" borderId="0" applyProtection="1" pivotButton="0" quotePrefix="0" xfId="129">
      <protection locked="1" hidden="1"/>
    </xf>
    <xf numFmtId="165" fontId="17" fillId="0" borderId="0" applyAlignment="1" applyProtection="1" pivotButton="0" quotePrefix="0" xfId="0">
      <alignment horizontal="right"/>
      <protection locked="1" hidden="1"/>
    </xf>
    <xf numFmtId="175" fontId="21" fillId="0" borderId="0" applyProtection="1" pivotButton="0" quotePrefix="0" xfId="0">
      <protection locked="1" hidden="1"/>
    </xf>
    <xf numFmtId="40" fontId="19" fillId="0" borderId="0" applyProtection="1" pivotButton="0" quotePrefix="0" xfId="129">
      <protection locked="1" hidden="1"/>
    </xf>
    <xf numFmtId="9" fontId="19" fillId="0" borderId="0" applyProtection="1" pivotButton="0" quotePrefix="0" xfId="0">
      <protection locked="1" hidden="1"/>
    </xf>
    <xf numFmtId="38" fontId="19" fillId="0" borderId="0" applyProtection="1" pivotButton="0" quotePrefix="0" xfId="129">
      <protection locked="1" hidden="1"/>
    </xf>
    <xf numFmtId="9" fontId="19" fillId="0" borderId="0" applyProtection="1" pivotButton="0" quotePrefix="0" xfId="283">
      <protection locked="1" hidden="1"/>
    </xf>
    <xf numFmtId="169" fontId="16" fillId="38" borderId="0" applyAlignment="1" applyProtection="1" pivotButton="0" quotePrefix="0" xfId="0">
      <alignment horizontal="left"/>
      <protection locked="1" hidden="1"/>
    </xf>
    <xf numFmtId="173" fontId="21" fillId="0" borderId="0" applyAlignment="1" applyProtection="1" pivotButton="0" quotePrefix="0" xfId="129">
      <alignment horizontal="right"/>
      <protection locked="1" hidden="1"/>
    </xf>
    <xf numFmtId="9" fontId="17" fillId="0" borderId="0" applyAlignment="1" applyProtection="1" pivotButton="0" quotePrefix="0" xfId="283">
      <alignment horizontal="right"/>
      <protection locked="1" hidden="1"/>
    </xf>
    <xf numFmtId="9" fontId="17" fillId="0" borderId="0" applyProtection="1" pivotButton="0" quotePrefix="0" xfId="283">
      <protection locked="1" hidden="1"/>
    </xf>
    <xf numFmtId="9" fontId="17" fillId="0" borderId="0" applyProtection="1" pivotButton="0" quotePrefix="0" xfId="283">
      <protection locked="1" hidden="1"/>
    </xf>
    <xf numFmtId="173" fontId="17" fillId="0" borderId="0" applyProtection="1" pivotButton="0" quotePrefix="0" xfId="129">
      <protection locked="1" hidden="1"/>
    </xf>
    <xf numFmtId="169" fontId="17" fillId="0" borderId="0" applyAlignment="1" applyProtection="1" pivotButton="0" quotePrefix="0" xfId="0">
      <alignment horizontal="right"/>
      <protection locked="1" hidden="1"/>
    </xf>
    <xf numFmtId="169" fontId="18" fillId="0" borderId="0" applyAlignment="1" applyProtection="1" pivotButton="0" quotePrefix="0" xfId="0">
      <alignment horizontal="right"/>
      <protection locked="1" hidden="1"/>
    </xf>
    <xf numFmtId="175" fontId="17" fillId="0" borderId="0" applyProtection="1" pivotButton="0" quotePrefix="0" xfId="0">
      <protection locked="1" hidden="1"/>
    </xf>
    <xf numFmtId="169" fontId="27" fillId="38" borderId="0" applyAlignment="1" applyProtection="1" pivotButton="0" quotePrefix="0" xfId="0">
      <alignment horizontal="left"/>
      <protection locked="1" hidden="1"/>
    </xf>
    <xf numFmtId="175" fontId="28" fillId="0" borderId="0" applyProtection="1" pivotButton="0" quotePrefix="0" xfId="0">
      <protection locked="1" hidden="1"/>
    </xf>
    <xf numFmtId="166" fontId="22" fillId="0" borderId="0" applyProtection="1" pivotButton="0" quotePrefix="0" xfId="283">
      <protection locked="1" hidden="1"/>
    </xf>
    <xf numFmtId="166" fontId="20" fillId="0" borderId="0" applyProtection="1" pivotButton="0" quotePrefix="0" xfId="283">
      <protection locked="1" hidden="1"/>
    </xf>
    <xf numFmtId="166" fontId="20" fillId="0" borderId="0" applyProtection="1" pivotButton="0" quotePrefix="0" xfId="283">
      <protection locked="1" hidden="1"/>
    </xf>
    <xf numFmtId="166" fontId="20" fillId="0" borderId="0" applyAlignment="1" applyProtection="1" pivotButton="0" quotePrefix="0" xfId="283">
      <alignment horizontal="right"/>
      <protection locked="1" hidden="1"/>
    </xf>
    <xf numFmtId="166" fontId="20" fillId="0" borderId="0" applyProtection="1" pivotButton="0" quotePrefix="0" xfId="283">
      <protection locked="1" hidden="1"/>
    </xf>
    <xf numFmtId="164" fontId="22" fillId="0" borderId="10" applyAlignment="1" applyProtection="1" pivotButton="0" quotePrefix="1" xfId="0">
      <alignment horizontal="right"/>
      <protection locked="1" hidden="1"/>
    </xf>
    <xf numFmtId="3" fontId="21" fillId="0" borderId="0" applyProtection="1" pivotButton="0" quotePrefix="0" xfId="0">
      <protection locked="1" hidden="1"/>
    </xf>
    <xf numFmtId="164" fontId="21" fillId="0" borderId="0" applyAlignment="1" applyProtection="1" pivotButton="0" quotePrefix="0" xfId="0">
      <alignment horizontal="left"/>
      <protection locked="1" hidden="1"/>
    </xf>
    <xf numFmtId="165" fontId="19" fillId="0" borderId="0" applyProtection="1" pivotButton="0" quotePrefix="0" xfId="283">
      <protection locked="1" hidden="1"/>
    </xf>
    <xf numFmtId="9" fontId="21" fillId="0" borderId="0" applyAlignment="1" applyProtection="1" pivotButton="0" quotePrefix="0" xfId="283">
      <alignment horizontal="center"/>
      <protection locked="1" hidden="1"/>
    </xf>
    <xf numFmtId="165" fontId="21" fillId="0" borderId="0" applyAlignment="1" applyProtection="1" pivotButton="0" quotePrefix="0" xfId="283">
      <alignment horizontal="center"/>
      <protection locked="1" hidden="1"/>
    </xf>
    <xf numFmtId="165" fontId="21" fillId="0" borderId="0" applyAlignment="1" applyProtection="1" pivotButton="0" quotePrefix="0" xfId="283">
      <alignment horizontal="center"/>
      <protection locked="1" hidden="1"/>
    </xf>
    <xf numFmtId="176" fontId="21" fillId="0" borderId="0" applyAlignment="1" applyProtection="1" pivotButton="0" quotePrefix="0" xfId="0">
      <alignment horizontal="right"/>
      <protection locked="1" hidden="1"/>
    </xf>
    <xf numFmtId="165" fontId="21" fillId="0" borderId="0" applyProtection="1" pivotButton="0" quotePrefix="0" xfId="283">
      <protection locked="1" hidden="1"/>
    </xf>
    <xf numFmtId="9" fontId="21" fillId="0" borderId="0" applyProtection="1" pivotButton="0" quotePrefix="0" xfId="283">
      <protection locked="1" hidden="1"/>
    </xf>
    <xf numFmtId="165" fontId="21" fillId="0" borderId="0" applyProtection="1" pivotButton="0" quotePrefix="0" xfId="283">
      <protection locked="1" hidden="1"/>
    </xf>
    <xf numFmtId="9" fontId="21" fillId="0" borderId="0" applyProtection="1" pivotButton="0" quotePrefix="0" xfId="283">
      <protection locked="1" hidden="1"/>
    </xf>
    <xf numFmtId="164" fontId="32" fillId="0" borderId="0" applyProtection="1" pivotButton="0" quotePrefix="0" xfId="0">
      <protection locked="1" hidden="1"/>
    </xf>
    <xf numFmtId="0" fontId="32" fillId="0" borderId="0" applyProtection="1" pivotButton="0" quotePrefix="0" xfId="0">
      <protection locked="1" hidden="1"/>
    </xf>
    <xf numFmtId="164" fontId="33" fillId="0" borderId="0" applyProtection="1" pivotButton="0" quotePrefix="0" xfId="0">
      <protection locked="1" hidden="1"/>
    </xf>
    <xf numFmtId="9" fontId="21" fillId="0" borderId="0" applyProtection="1" pivotButton="0" quotePrefix="0" xfId="283">
      <protection locked="1" hidden="1"/>
    </xf>
    <xf numFmtId="169" fontId="168" fillId="0" borderId="0" applyProtection="1" pivotButton="0" quotePrefix="0" xfId="0">
      <protection locked="1" hidden="1"/>
    </xf>
    <xf numFmtId="9" fontId="19" fillId="0" borderId="0" applyProtection="1" pivotButton="0" quotePrefix="0" xfId="129">
      <protection locked="1" hidden="1"/>
    </xf>
    <xf numFmtId="166" fontId="169" fillId="42" borderId="0" applyProtection="1" pivotButton="0" quotePrefix="0" xfId="283">
      <protection locked="1" hidden="1"/>
    </xf>
    <xf numFmtId="169" fontId="19" fillId="43" borderId="0" applyProtection="1" pivotButton="0" quotePrefix="0" xfId="0">
      <protection locked="1" hidden="1"/>
    </xf>
    <xf numFmtId="169" fontId="18" fillId="43" borderId="0" applyProtection="1" pivotButton="0" quotePrefix="0" xfId="0">
      <protection locked="1" hidden="1"/>
    </xf>
    <xf numFmtId="40" fontId="19" fillId="0" borderId="0" applyProtection="1" pivotButton="0" quotePrefix="0" xfId="129">
      <protection locked="1" hidden="1"/>
    </xf>
    <xf numFmtId="166" fontId="22" fillId="0" borderId="10" applyProtection="1" pivotButton="0" quotePrefix="0" xfId="283">
      <protection locked="1" hidden="1"/>
    </xf>
    <xf numFmtId="9" fontId="19" fillId="0" borderId="0" applyProtection="1" pivotButton="0" quotePrefix="0" xfId="283">
      <protection locked="1" hidden="1"/>
    </xf>
    <xf numFmtId="3" fontId="170" fillId="0" borderId="0" applyProtection="1" pivotButton="0" quotePrefix="0" xfId="0">
      <protection locked="1" hidden="1"/>
    </xf>
    <xf numFmtId="3" fontId="170" fillId="0" borderId="0" applyProtection="1" pivotButton="0" quotePrefix="0" xfId="283">
      <protection locked="1" hidden="1"/>
    </xf>
    <xf numFmtId="164" fontId="171" fillId="0" borderId="0" applyProtection="1" pivotButton="0" quotePrefix="0" xfId="0">
      <protection locked="1" hidden="1"/>
    </xf>
    <xf numFmtId="169" fontId="171" fillId="0" borderId="0" applyProtection="1" pivotButton="0" quotePrefix="0" xfId="0">
      <protection locked="1" hidden="1"/>
    </xf>
    <xf numFmtId="172" fontId="171" fillId="0" borderId="0" applyProtection="1" pivotButton="0" quotePrefix="0" xfId="0">
      <protection locked="1" hidden="1"/>
    </xf>
    <xf numFmtId="4" fontId="171" fillId="0" borderId="0" applyProtection="1" pivotButton="0" quotePrefix="0" xfId="0">
      <protection locked="1" hidden="1"/>
    </xf>
    <xf numFmtId="3" fontId="21" fillId="39" borderId="0" applyProtection="1" pivotButton="0" quotePrefix="0" xfId="0">
      <protection locked="1" hidden="1"/>
    </xf>
    <xf numFmtId="3" fontId="20" fillId="0" borderId="0" applyProtection="1" pivotButton="0" quotePrefix="0" xfId="0">
      <protection locked="1" hidden="1"/>
    </xf>
    <xf numFmtId="38" fontId="21" fillId="0" borderId="0" applyProtection="1" pivotButton="0" quotePrefix="0" xfId="129">
      <protection locked="1" hidden="1"/>
    </xf>
    <xf numFmtId="9" fontId="21" fillId="0" borderId="0" applyProtection="1" pivotButton="0" quotePrefix="0" xfId="283">
      <protection locked="1" hidden="1"/>
    </xf>
    <xf numFmtId="165" fontId="21" fillId="0" borderId="0" applyProtection="1" pivotButton="0" quotePrefix="0" xfId="283">
      <protection locked="1" hidden="1"/>
    </xf>
    <xf numFmtId="38" fontId="21" fillId="0" borderId="0" applyProtection="1" pivotButton="0" quotePrefix="0" xfId="129">
      <protection locked="1" hidden="1"/>
    </xf>
    <xf numFmtId="4" fontId="171" fillId="0" borderId="0" applyAlignment="1" applyProtection="1" pivotButton="0" quotePrefix="0" xfId="0">
      <alignment horizontal="right"/>
      <protection locked="1" hidden="1"/>
    </xf>
    <xf numFmtId="165" fontId="19" fillId="0" borderId="10" applyProtection="1" pivotButton="0" quotePrefix="0" xfId="283">
      <protection locked="1" hidden="1"/>
    </xf>
    <xf numFmtId="166" fontId="169" fillId="0" borderId="0" applyProtection="1" pivotButton="0" quotePrefix="0" xfId="283">
      <protection locked="1" hidden="1"/>
    </xf>
    <xf numFmtId="166" fontId="169" fillId="0" borderId="0" applyProtection="1" pivotButton="0" quotePrefix="0" xfId="283">
      <protection locked="1" hidden="1"/>
    </xf>
    <xf numFmtId="166" fontId="18" fillId="0" borderId="0" applyProtection="1" pivotButton="0" quotePrefix="0" xfId="283">
      <protection locked="1" hidden="1"/>
    </xf>
    <xf numFmtId="38" fontId="21" fillId="0" borderId="0" applyProtection="1" pivotButton="0" quotePrefix="0" xfId="129">
      <protection locked="1" hidden="1"/>
    </xf>
    <xf numFmtId="165" fontId="21" fillId="0" borderId="0" applyProtection="1" pivotButton="0" quotePrefix="0" xfId="283">
      <protection locked="1" hidden="1"/>
    </xf>
    <xf numFmtId="38" fontId="19" fillId="0" borderId="0" applyProtection="1" pivotButton="0" quotePrefix="0" xfId="129">
      <protection locked="1" hidden="1"/>
    </xf>
    <xf numFmtId="3" fontId="171" fillId="0" borderId="0" applyProtection="1" pivotButton="0" quotePrefix="0" xfId="0">
      <protection locked="1" hidden="1"/>
    </xf>
    <xf numFmtId="164" fontId="20" fillId="0" borderId="0" applyProtection="1" pivotButton="0" quotePrefix="1" xfId="0">
      <protection locked="1" hidden="1"/>
    </xf>
    <xf numFmtId="0" fontId="0" fillId="0" borderId="0" pivotButton="0" quotePrefix="0" xfId="0"/>
    <xf numFmtId="164" fontId="168" fillId="0" borderId="0" applyProtection="1" pivotButton="0" quotePrefix="0" xfId="0">
      <protection locked="1" hidden="1"/>
    </xf>
    <xf numFmtId="169" fontId="168" fillId="43" borderId="0" applyProtection="1" pivotButton="0" quotePrefix="0" xfId="0">
      <protection locked="1" hidden="1"/>
    </xf>
    <xf numFmtId="3" fontId="28" fillId="0" borderId="0" applyProtection="1" pivotButton="0" quotePrefix="0" xfId="0">
      <protection locked="1" hidden="1"/>
    </xf>
    <xf numFmtId="3" fontId="21" fillId="0" borderId="0" applyProtection="1" pivotButton="0" quotePrefix="0" xfId="283">
      <protection locked="1" hidden="1"/>
    </xf>
    <xf numFmtId="3" fontId="21" fillId="0" borderId="0" applyProtection="1" pivotButton="0" quotePrefix="0" xfId="283">
      <protection locked="1" hidden="1"/>
    </xf>
    <xf numFmtId="3" fontId="21" fillId="0" borderId="0" applyAlignment="1" applyProtection="1" pivotButton="0" quotePrefix="0" xfId="283">
      <alignment horizontal="right"/>
      <protection locked="1" hidden="1"/>
    </xf>
    <xf numFmtId="3" fontId="21" fillId="0" borderId="0" applyAlignment="1" applyProtection="1" pivotButton="0" quotePrefix="0" xfId="129">
      <alignment horizontal="right"/>
      <protection locked="1" hidden="1"/>
    </xf>
    <xf numFmtId="3" fontId="21" fillId="0" borderId="0" applyAlignment="1" applyProtection="1" pivotButton="0" quotePrefix="0" xfId="283">
      <alignment horizontal="right"/>
      <protection locked="1" hidden="1"/>
    </xf>
    <xf numFmtId="3" fontId="21" fillId="0" borderId="0" applyAlignment="1" applyProtection="1" pivotButton="0" quotePrefix="0" xfId="158">
      <alignment horizontal="right"/>
      <protection locked="1" hidden="1"/>
    </xf>
    <xf numFmtId="3" fontId="20" fillId="0" borderId="0" applyProtection="1" pivotButton="0" quotePrefix="0" xfId="283">
      <protection locked="1" hidden="1"/>
    </xf>
    <xf numFmtId="3" fontId="21" fillId="0" borderId="0" applyProtection="1" pivotButton="0" quotePrefix="0" xfId="129">
      <protection locked="1" hidden="1"/>
    </xf>
    <xf numFmtId="3" fontId="17" fillId="0" borderId="0" applyProtection="1" pivotButton="0" quotePrefix="0" xfId="129">
      <protection locked="1" hidden="1"/>
    </xf>
    <xf numFmtId="3" fontId="20" fillId="0" borderId="0" applyProtection="1" pivotButton="0" quotePrefix="0" xfId="129">
      <protection locked="1" hidden="1"/>
    </xf>
    <xf numFmtId="176" fontId="171" fillId="0" borderId="0" applyProtection="1" pivotButton="0" quotePrefix="0" xfId="0">
      <protection locked="1" hidden="1"/>
    </xf>
    <xf numFmtId="176" fontId="21" fillId="0" borderId="0" applyProtection="1" pivotButton="0" quotePrefix="0" xfId="0">
      <protection locked="1" hidden="1"/>
    </xf>
    <xf numFmtId="176" fontId="21" fillId="0" borderId="0" applyProtection="1" pivotButton="0" quotePrefix="0" xfId="283">
      <protection locked="1" hidden="1"/>
    </xf>
    <xf numFmtId="176" fontId="21" fillId="0" borderId="0" applyProtection="1" pivotButton="0" quotePrefix="0" xfId="283">
      <protection locked="1" hidden="1"/>
    </xf>
    <xf numFmtId="176" fontId="21" fillId="0" borderId="0" applyAlignment="1" applyProtection="1" pivotButton="0" quotePrefix="0" xfId="283">
      <alignment horizontal="right"/>
      <protection locked="1" hidden="1"/>
    </xf>
    <xf numFmtId="176" fontId="171" fillId="0" borderId="0" applyAlignment="1" applyProtection="1" pivotButton="0" quotePrefix="0" xfId="0">
      <alignment horizontal="right"/>
      <protection locked="1" hidden="1"/>
    </xf>
    <xf numFmtId="176" fontId="22" fillId="0" borderId="0" applyProtection="1" pivotButton="0" quotePrefix="0" xfId="0">
      <protection locked="1" hidden="1"/>
    </xf>
    <xf numFmtId="176" fontId="20" fillId="0" borderId="0" applyProtection="1" pivotButton="0" quotePrefix="0" xfId="0">
      <protection locked="1" hidden="1"/>
    </xf>
    <xf numFmtId="176" fontId="20" fillId="0" borderId="0" applyProtection="1" pivotButton="0" quotePrefix="0" xfId="283">
      <protection locked="1" hidden="1"/>
    </xf>
    <xf numFmtId="176" fontId="20" fillId="0" borderId="0" applyAlignment="1" applyProtection="1" pivotButton="0" quotePrefix="0" xfId="0">
      <alignment horizontal="right"/>
      <protection locked="1" hidden="1"/>
    </xf>
    <xf numFmtId="176" fontId="20" fillId="0" borderId="0" applyProtection="1" pivotButton="0" quotePrefix="0" xfId="283">
      <protection locked="1" hidden="1"/>
    </xf>
    <xf numFmtId="176" fontId="20" fillId="0" borderId="0" applyAlignment="1" applyProtection="1" pivotButton="0" quotePrefix="0" xfId="283">
      <alignment horizontal="right"/>
      <protection locked="1" hidden="1"/>
    </xf>
    <xf numFmtId="176" fontId="21" fillId="0" borderId="0" applyProtection="1" pivotButton="0" quotePrefix="0" xfId="129">
      <protection locked="1" hidden="1"/>
    </xf>
    <xf numFmtId="3" fontId="168" fillId="0" borderId="0" applyProtection="1" pivotButton="0" quotePrefix="0" xfId="0">
      <protection locked="1" hidden="1"/>
    </xf>
    <xf numFmtId="3" fontId="22" fillId="0" borderId="0" applyProtection="1" pivotButton="0" quotePrefix="0" xfId="129">
      <protection locked="1" hidden="1"/>
    </xf>
    <xf numFmtId="9" fontId="18" fillId="0" borderId="0" applyProtection="1" pivotButton="0" quotePrefix="0" xfId="283">
      <protection locked="1" hidden="1"/>
    </xf>
    <xf numFmtId="3" fontId="21" fillId="0" borderId="0" applyProtection="1" pivotButton="0" quotePrefix="0" xfId="283">
      <protection locked="1" hidden="1"/>
    </xf>
    <xf numFmtId="3" fontId="188" fillId="0" borderId="0" applyProtection="1" pivotButton="0" quotePrefix="0" xfId="0">
      <protection locked="1" hidden="1"/>
    </xf>
    <xf numFmtId="169" fontId="189" fillId="0" borderId="0" applyProtection="1" pivotButton="0" quotePrefix="0" xfId="0">
      <protection locked="1" hidden="1"/>
    </xf>
    <xf numFmtId="164" fontId="412" fillId="108" borderId="0" applyAlignment="1" applyProtection="1" pivotButton="0" quotePrefix="0" xfId="0">
      <alignment horizontal="left"/>
      <protection locked="1" hidden="1"/>
    </xf>
    <xf numFmtId="165" fontId="415" fillId="38" borderId="0" applyProtection="1" pivotButton="0" quotePrefix="0" xfId="283">
      <protection locked="1" hidden="1"/>
    </xf>
    <xf numFmtId="165" fontId="163" fillId="0" borderId="0" applyProtection="1" pivotButton="0" quotePrefix="0" xfId="283">
      <protection locked="1" hidden="1"/>
    </xf>
    <xf numFmtId="165" fontId="164" fillId="0" borderId="0" applyProtection="1" pivotButton="0" quotePrefix="0" xfId="283">
      <protection locked="1" hidden="1"/>
    </xf>
    <xf numFmtId="166" fontId="164" fillId="0" borderId="0" applyProtection="1" pivotButton="0" quotePrefix="0" xfId="283">
      <protection locked="1" hidden="1"/>
    </xf>
    <xf numFmtId="165" fontId="164" fillId="0" borderId="0" applyProtection="1" pivotButton="0" quotePrefix="0" xfId="283">
      <protection locked="1" hidden="1"/>
    </xf>
    <xf numFmtId="38" fontId="164" fillId="0" borderId="0" applyProtection="1" pivotButton="0" quotePrefix="0" xfId="129">
      <protection locked="1" hidden="1"/>
    </xf>
    <xf numFmtId="165" fontId="163" fillId="0" borderId="0" applyAlignment="1" applyProtection="1" pivotButton="0" quotePrefix="0" xfId="283">
      <alignment horizontal="right"/>
      <protection locked="1" hidden="1"/>
    </xf>
    <xf numFmtId="165" fontId="164" fillId="0" borderId="0" applyAlignment="1" applyProtection="1" pivotButton="0" quotePrefix="0" xfId="0">
      <alignment horizontal="right"/>
      <protection locked="1" hidden="1"/>
    </xf>
    <xf numFmtId="166" fontId="163" fillId="0" borderId="0" applyAlignment="1" applyProtection="1" pivotButton="0" quotePrefix="0" xfId="283">
      <alignment horizontal="right"/>
      <protection locked="1" hidden="1"/>
    </xf>
    <xf numFmtId="166" fontId="163" fillId="0" borderId="0" applyAlignment="1" applyProtection="1" pivotButton="0" quotePrefix="0" xfId="283">
      <alignment horizontal="right"/>
      <protection locked="1" hidden="1"/>
    </xf>
    <xf numFmtId="166" fontId="163" fillId="0" borderId="0" applyAlignment="1" applyProtection="1" pivotButton="0" quotePrefix="0" xfId="283">
      <alignment horizontal="right"/>
      <protection locked="1" hidden="1"/>
    </xf>
    <xf numFmtId="9" fontId="163" fillId="0" borderId="0" applyAlignment="1" applyProtection="1" pivotButton="0" quotePrefix="0" xfId="283">
      <alignment horizontal="right"/>
      <protection locked="1" hidden="1"/>
    </xf>
    <xf numFmtId="165" fontId="164" fillId="0" borderId="0" applyProtection="1" pivotButton="0" quotePrefix="0" xfId="283">
      <protection locked="1" hidden="1"/>
    </xf>
    <xf numFmtId="166" fontId="164" fillId="0" borderId="0" applyProtection="1" pivotButton="0" quotePrefix="0" xfId="283">
      <protection locked="1" hidden="1"/>
    </xf>
    <xf numFmtId="165" fontId="163" fillId="0" borderId="0" applyProtection="1" pivotButton="0" quotePrefix="0" xfId="283">
      <protection locked="1" hidden="1"/>
    </xf>
    <xf numFmtId="38" fontId="164" fillId="0" borderId="0" applyProtection="1" pivotButton="0" quotePrefix="0" xfId="129">
      <protection locked="1" hidden="1"/>
    </xf>
    <xf numFmtId="165" fontId="164" fillId="0" borderId="0" applyProtection="1" pivotButton="0" quotePrefix="0" xfId="283">
      <protection locked="1" hidden="1"/>
    </xf>
    <xf numFmtId="9" fontId="163" fillId="0" borderId="0" applyAlignment="1" applyProtection="1" pivotButton="0" quotePrefix="0" xfId="283">
      <alignment horizontal="right"/>
      <protection locked="1" hidden="1"/>
    </xf>
    <xf numFmtId="164" fontId="415" fillId="38" borderId="0" applyAlignment="1" applyProtection="1" pivotButton="0" quotePrefix="0" xfId="0">
      <alignment horizontal="left"/>
      <protection locked="1" hidden="1"/>
    </xf>
    <xf numFmtId="166" fontId="163" fillId="0" borderId="0" applyProtection="1" pivotButton="0" quotePrefix="0" xfId="283">
      <protection locked="1" hidden="1"/>
    </xf>
    <xf numFmtId="9" fontId="164" fillId="0" borderId="0" applyProtection="1" pivotButton="0" quotePrefix="0" xfId="283">
      <protection locked="1" hidden="1"/>
    </xf>
    <xf numFmtId="164" fontId="164" fillId="0" borderId="0" applyAlignment="1" applyProtection="1" pivotButton="0" quotePrefix="0" xfId="0">
      <alignment horizontal="right"/>
      <protection locked="1" hidden="1"/>
    </xf>
    <xf numFmtId="165" fontId="163" fillId="0" borderId="0" applyAlignment="1" applyProtection="1" pivotButton="0" quotePrefix="0" xfId="283">
      <alignment horizontal="right"/>
      <protection locked="1" hidden="1"/>
    </xf>
    <xf numFmtId="167" fontId="163" fillId="0" borderId="0" applyAlignment="1" applyProtection="1" pivotButton="0" quotePrefix="0" xfId="0">
      <alignment horizontal="right"/>
      <protection locked="1" hidden="1"/>
    </xf>
    <xf numFmtId="165" fontId="163" fillId="0" borderId="0" applyAlignment="1" applyProtection="1" pivotButton="0" quotePrefix="0" xfId="283">
      <alignment horizontal="right"/>
      <protection locked="1" hidden="1"/>
    </xf>
    <xf numFmtId="166" fontId="169" fillId="43" borderId="0" applyProtection="1" pivotButton="0" quotePrefix="0" xfId="283">
      <protection locked="1" hidden="1"/>
    </xf>
    <xf numFmtId="164" fontId="64" fillId="0" borderId="0" pivotButton="0" quotePrefix="0" xfId="0"/>
    <xf numFmtId="164" fontId="29" fillId="0" borderId="0" pivotButton="0" quotePrefix="0" xfId="0"/>
    <xf numFmtId="9" fontId="29" fillId="0" borderId="0" pivotButton="0" quotePrefix="0" xfId="283"/>
    <xf numFmtId="164" fontId="412" fillId="109" borderId="10" applyAlignment="1" applyProtection="1" pivotButton="0" quotePrefix="1" xfId="0">
      <alignment horizontal="right"/>
      <protection locked="1" hidden="1"/>
    </xf>
    <xf numFmtId="164" fontId="412" fillId="109" borderId="10" applyAlignment="1" applyProtection="1" pivotButton="0" quotePrefix="0" xfId="0">
      <alignment horizontal="right"/>
      <protection locked="1" hidden="1"/>
    </xf>
    <xf numFmtId="164" fontId="412" fillId="109" borderId="0" applyAlignment="1" applyProtection="1" pivotButton="0" quotePrefix="0" xfId="0">
      <alignment horizontal="right"/>
      <protection locked="1" hidden="1"/>
    </xf>
    <xf numFmtId="164" fontId="412" fillId="109" borderId="10" applyAlignment="1" applyProtection="1" pivotButton="0" quotePrefix="0" xfId="0">
      <alignment horizontal="left"/>
      <protection locked="1" hidden="1"/>
    </xf>
    <xf numFmtId="166" fontId="412" fillId="109" borderId="0" applyProtection="1" pivotButton="0" quotePrefix="0" xfId="0">
      <protection locked="1" hidden="1"/>
    </xf>
    <xf numFmtId="164" fontId="412" fillId="109" borderId="115" applyAlignment="1" applyProtection="1" pivotButton="0" quotePrefix="0" xfId="0">
      <alignment horizontal="right"/>
      <protection locked="1" hidden="1"/>
    </xf>
    <xf numFmtId="164" fontId="412" fillId="109" borderId="0" applyProtection="1" pivotButton="0" quotePrefix="0" xfId="0">
      <protection locked="1" hidden="1"/>
    </xf>
    <xf numFmtId="9" fontId="163" fillId="0" borderId="0" applyProtection="1" pivotButton="0" quotePrefix="0" xfId="283">
      <protection locked="1" hidden="1"/>
    </xf>
    <xf numFmtId="169" fontId="20" fillId="0" borderId="112" applyProtection="1" pivotButton="0" quotePrefix="0" xfId="0">
      <protection locked="1" hidden="1"/>
    </xf>
    <xf numFmtId="169" fontId="20" fillId="0" borderId="113" applyProtection="1" pivotButton="0" quotePrefix="0" xfId="0">
      <protection locked="1" hidden="1"/>
    </xf>
    <xf numFmtId="169" fontId="22" fillId="0" borderId="113" applyProtection="1" pivotButton="0" quotePrefix="0" xfId="0">
      <protection locked="1" hidden="1"/>
    </xf>
    <xf numFmtId="176" fontId="22" fillId="0" borderId="113" applyProtection="1" pivotButton="0" quotePrefix="0" xfId="0">
      <protection locked="1" hidden="1"/>
    </xf>
    <xf numFmtId="176" fontId="20" fillId="0" borderId="113" applyProtection="1" pivotButton="0" quotePrefix="0" xfId="0">
      <protection locked="1" hidden="1"/>
    </xf>
    <xf numFmtId="3" fontId="419" fillId="0" borderId="0" applyProtection="1" pivotButton="0" quotePrefix="0" xfId="0">
      <protection locked="1" hidden="1"/>
    </xf>
    <xf numFmtId="3" fontId="169" fillId="43" borderId="0" applyProtection="1" pivotButton="0" quotePrefix="0" xfId="0">
      <protection locked="1" hidden="1"/>
    </xf>
    <xf numFmtId="9" fontId="19" fillId="0" borderId="0" applyProtection="1" pivotButton="0" quotePrefix="0" xfId="283">
      <protection locked="1" hidden="1"/>
    </xf>
    <xf numFmtId="164" fontId="418" fillId="0" borderId="0" pivotButton="0" quotePrefix="0" xfId="0"/>
    <xf numFmtId="3" fontId="417" fillId="0" borderId="0" applyProtection="1" pivotButton="0" quotePrefix="0" xfId="0">
      <protection locked="1" hidden="1"/>
    </xf>
    <xf numFmtId="0" fontId="32" fillId="0" borderId="0" applyAlignment="1" applyProtection="1" pivotButton="0" quotePrefix="0" xfId="0">
      <alignment horizontal="right"/>
      <protection locked="1" hidden="1"/>
    </xf>
    <xf numFmtId="9" fontId="419" fillId="0" borderId="0" applyProtection="1" pivotButton="0" quotePrefix="0" xfId="283">
      <protection locked="1" hidden="1"/>
    </xf>
    <xf numFmtId="0" fontId="433" fillId="0" borderId="0" pivotButton="0" quotePrefix="0" xfId="267"/>
    <xf numFmtId="177" fontId="434" fillId="0" borderId="0" applyAlignment="1" pivotButton="0" quotePrefix="0" xfId="267">
      <alignment horizontal="right"/>
    </xf>
    <xf numFmtId="0" fontId="433" fillId="0" borderId="0" applyAlignment="1" pivotButton="0" quotePrefix="0" xfId="267">
      <alignment horizontal="right"/>
    </xf>
    <xf numFmtId="3" fontId="433" fillId="0" borderId="0" applyAlignment="1" pivotButton="0" quotePrefix="0" xfId="267">
      <alignment horizontal="right"/>
    </xf>
    <xf numFmtId="0" fontId="435" fillId="0" borderId="0" pivotButton="0" quotePrefix="0" xfId="267"/>
    <xf numFmtId="0" fontId="436" fillId="0" borderId="0" pivotButton="0" quotePrefix="0" xfId="267"/>
    <xf numFmtId="166" fontId="437" fillId="109" borderId="0" applyProtection="1" pivotButton="0" quotePrefix="0" xfId="0">
      <protection locked="1" hidden="1"/>
    </xf>
    <xf numFmtId="166" fontId="437" fillId="109" borderId="0" applyAlignment="1" applyProtection="1" pivotButton="0" quotePrefix="0" xfId="0">
      <alignment horizontal="right"/>
      <protection locked="1" hidden="1"/>
    </xf>
    <xf numFmtId="0" fontId="433" fillId="0" borderId="0" applyAlignment="1" pivotButton="0" quotePrefix="0" xfId="332">
      <alignment vertical="center"/>
    </xf>
    <xf numFmtId="165" fontId="433" fillId="0" borderId="0" pivotButton="0" quotePrefix="0" xfId="283"/>
    <xf numFmtId="178" fontId="433" fillId="0" borderId="0" pivotButton="0" quotePrefix="0" xfId="145"/>
    <xf numFmtId="165" fontId="433" fillId="0" borderId="0" applyAlignment="1" pivotButton="0" quotePrefix="0" xfId="332">
      <alignment vertical="center"/>
    </xf>
    <xf numFmtId="165" fontId="433" fillId="0" borderId="0" applyAlignment="1" pivotButton="0" quotePrefix="0" xfId="283">
      <alignment horizontal="right"/>
    </xf>
    <xf numFmtId="3" fontId="433" fillId="0" borderId="0" pivotButton="0" quotePrefix="0" xfId="267"/>
    <xf numFmtId="179" fontId="433" fillId="0" borderId="0" applyAlignment="1" pivotButton="0" quotePrefix="0" xfId="267">
      <alignment horizontal="right"/>
    </xf>
    <xf numFmtId="0" fontId="434" fillId="0" borderId="0" pivotButton="0" quotePrefix="0" xfId="267"/>
    <xf numFmtId="38" fontId="434" fillId="0" borderId="0" pivotButton="0" quotePrefix="0" xfId="129"/>
    <xf numFmtId="9" fontId="438" fillId="0" borderId="0" pivotButton="0" quotePrefix="0" xfId="283"/>
    <xf numFmtId="38" fontId="433" fillId="0" borderId="0" pivotButton="0" quotePrefix="0" xfId="129"/>
    <xf numFmtId="38" fontId="434" fillId="0" borderId="0" pivotButton="0" quotePrefix="0" xfId="267"/>
    <xf numFmtId="173" fontId="433" fillId="0" borderId="0" pivotButton="0" quotePrefix="0" xfId="129"/>
    <xf numFmtId="9" fontId="433" fillId="0" borderId="0" pivotButton="0" quotePrefix="0" xfId="283"/>
    <xf numFmtId="43" fontId="433" fillId="0" borderId="0" pivotButton="0" quotePrefix="0" xfId="267"/>
    <xf numFmtId="179" fontId="433" fillId="0" borderId="0" pivotButton="0" quotePrefix="0" xfId="267"/>
    <xf numFmtId="0" fontId="434" fillId="110" borderId="114" applyAlignment="1" pivotButton="0" quotePrefix="0" xfId="63">
      <alignment horizontal="left"/>
    </xf>
    <xf numFmtId="9" fontId="434" fillId="110" borderId="116" pivotButton="0" quotePrefix="0" xfId="287"/>
    <xf numFmtId="0" fontId="434" fillId="110" borderId="1" pivotButton="0" quotePrefix="0" xfId="267"/>
    <xf numFmtId="180" fontId="434" fillId="110" borderId="31" pivotButton="0" quotePrefix="0" xfId="158"/>
    <xf numFmtId="0" fontId="433" fillId="110" borderId="1" pivotButton="0" quotePrefix="0" xfId="63"/>
    <xf numFmtId="37" fontId="433" fillId="110" borderId="31" pivotButton="0" quotePrefix="0" xfId="63"/>
    <xf numFmtId="0" fontId="434" fillId="110" borderId="1" pivotButton="0" quotePrefix="0" xfId="15949"/>
    <xf numFmtId="165" fontId="434" fillId="110" borderId="31" pivotButton="0" quotePrefix="0" xfId="287"/>
    <xf numFmtId="0" fontId="433" fillId="110" borderId="1" pivotButton="0" quotePrefix="0" xfId="15949"/>
    <xf numFmtId="165" fontId="433" fillId="110" borderId="31" pivotButton="0" quotePrefix="0" xfId="287"/>
    <xf numFmtId="0" fontId="439" fillId="110" borderId="43" pivotButton="0" quotePrefix="0" xfId="15949"/>
    <xf numFmtId="37" fontId="439" fillId="110" borderId="32" applyAlignment="1" pivotButton="0" quotePrefix="0" xfId="63">
      <alignment horizontal="right"/>
    </xf>
    <xf numFmtId="9" fontId="433" fillId="0" borderId="0" pivotButton="0" quotePrefix="0" xfId="267"/>
    <xf numFmtId="10" fontId="433" fillId="0" borderId="0" pivotButton="0" quotePrefix="0" xfId="267"/>
    <xf numFmtId="0" fontId="434" fillId="0" borderId="0" applyAlignment="1" pivotButton="0" quotePrefix="0" xfId="267">
      <alignment horizontal="right"/>
    </xf>
    <xf numFmtId="1" fontId="433" fillId="0" borderId="0" pivotButton="0" quotePrefix="0" xfId="267"/>
    <xf numFmtId="178" fontId="433" fillId="0" borderId="0" pivotButton="0" quotePrefix="0" xfId="267"/>
    <xf numFmtId="178" fontId="434" fillId="0" borderId="0" pivotButton="0" quotePrefix="0" xfId="267"/>
    <xf numFmtId="2" fontId="433" fillId="0" borderId="0" pivotButton="0" quotePrefix="0" xfId="267"/>
    <xf numFmtId="181" fontId="433" fillId="0" borderId="0" pivotButton="0" quotePrefix="0" xfId="267"/>
    <xf numFmtId="165" fontId="19" fillId="0" borderId="232" applyProtection="1" pivotButton="0" quotePrefix="0" xfId="283">
      <protection locked="1" hidden="1"/>
    </xf>
    <xf numFmtId="4" fontId="18" fillId="0" borderId="232" applyProtection="1" pivotButton="0" quotePrefix="0" xfId="0">
      <protection locked="1" hidden="1"/>
    </xf>
    <xf numFmtId="164" fontId="22" fillId="0" borderId="232" applyAlignment="1" applyProtection="1" pivotButton="0" quotePrefix="0" xfId="0">
      <alignment horizontal="right"/>
      <protection locked="1" hidden="1"/>
    </xf>
    <xf numFmtId="164" fontId="412" fillId="108" borderId="0" applyAlignment="1" applyProtection="1" pivotButton="0" quotePrefix="0" xfId="0">
      <alignment horizontal="left" vertical="center" wrapText="1"/>
      <protection locked="1" hidden="1"/>
    </xf>
    <xf numFmtId="164" fontId="414" fillId="109" borderId="10" applyAlignment="1" applyProtection="1" pivotButton="0" quotePrefix="0" xfId="0">
      <alignment horizontal="left" vertical="center" wrapText="1"/>
      <protection locked="1" hidden="1"/>
    </xf>
    <xf numFmtId="9" fontId="412" fillId="109" borderId="56" applyAlignment="1" applyProtection="1" pivotButton="0" quotePrefix="0" xfId="283">
      <alignment horizontal="right" vertical="center" wrapText="1"/>
      <protection locked="1" hidden="1"/>
    </xf>
    <xf numFmtId="164" fontId="412" fillId="109" borderId="0" applyAlignment="1" applyProtection="1" pivotButton="0" quotePrefix="0" xfId="0">
      <alignment horizontal="right" vertical="center" wrapText="1"/>
      <protection locked="1" hidden="1"/>
    </xf>
    <xf numFmtId="164" fontId="412" fillId="109" borderId="0" applyAlignment="1" applyProtection="1" pivotButton="0" quotePrefix="0" xfId="0">
      <alignment vertical="center" wrapText="1"/>
      <protection locked="1" hidden="1"/>
    </xf>
    <xf numFmtId="164" fontId="413" fillId="109" borderId="0" applyAlignment="1" pivotButton="0" quotePrefix="0" xfId="0">
      <alignment vertical="center" wrapText="1"/>
    </xf>
    <xf numFmtId="165" fontId="170" fillId="0" borderId="0" applyProtection="1" pivotButton="0" quotePrefix="0" xfId="283">
      <protection locked="1" hidden="1"/>
    </xf>
    <xf numFmtId="166" fontId="17" fillId="38" borderId="0" applyAlignment="1" applyProtection="1" pivotButton="0" quotePrefix="0" xfId="0">
      <alignment horizontal="left"/>
      <protection locked="1" hidden="1"/>
    </xf>
    <xf numFmtId="168" fontId="17" fillId="0" borderId="0" applyProtection="1" pivotButton="0" quotePrefix="0" xfId="129">
      <protection locked="1" hidden="1"/>
    </xf>
    <xf numFmtId="168" fontId="17" fillId="0" borderId="0" applyProtection="1" pivotButton="0" quotePrefix="0" xfId="129">
      <protection locked="1" hidden="1"/>
    </xf>
    <xf numFmtId="168" fontId="17" fillId="0" borderId="0" applyProtection="1" pivotButton="0" quotePrefix="0" xfId="129">
      <protection locked="1" hidden="1"/>
    </xf>
    <xf numFmtId="168" fontId="17" fillId="39" borderId="0" applyProtection="1" pivotButton="0" quotePrefix="0" xfId="129">
      <protection locked="1" hidden="1"/>
    </xf>
    <xf numFmtId="182" fontId="17" fillId="38" borderId="0" applyAlignment="1" applyProtection="1" pivotButton="0" quotePrefix="0" xfId="0">
      <alignment horizontal="left"/>
      <protection locked="1" hidden="1"/>
    </xf>
    <xf numFmtId="182" fontId="17" fillId="0" borderId="0" applyProtection="1" pivotButton="0" quotePrefix="0" xfId="0">
      <protection locked="1" hidden="1"/>
    </xf>
    <xf numFmtId="182" fontId="17" fillId="0" borderId="0" applyAlignment="1" applyProtection="1" pivotButton="0" quotePrefix="0" xfId="0">
      <alignment horizontal="right"/>
      <protection locked="1" hidden="1"/>
    </xf>
    <xf numFmtId="38" fontId="17" fillId="0" borderId="0" applyProtection="1" pivotButton="0" quotePrefix="0" xfId="129">
      <protection locked="1" hidden="1"/>
    </xf>
    <xf numFmtId="168" fontId="17" fillId="0" borderId="0" applyProtection="1" pivotButton="0" quotePrefix="0" xfId="129">
      <protection locked="1" hidden="1"/>
    </xf>
    <xf numFmtId="165" fontId="20" fillId="38" borderId="0" applyProtection="1" pivotButton="0" quotePrefix="0" xfId="0">
      <protection locked="1" hidden="1"/>
    </xf>
    <xf numFmtId="165" fontId="33" fillId="0" borderId="0" applyProtection="1" pivotButton="0" quotePrefix="0" xfId="283">
      <protection locked="1" hidden="1"/>
    </xf>
    <xf numFmtId="165" fontId="168" fillId="0" borderId="0" applyAlignment="1" applyProtection="1" pivotButton="0" quotePrefix="0" xfId="283">
      <alignment horizontal="right"/>
      <protection locked="1" hidden="1"/>
    </xf>
    <xf numFmtId="183" fontId="21" fillId="0" borderId="0" applyProtection="1" pivotButton="0" quotePrefix="0" xfId="0">
      <protection locked="1" hidden="1"/>
    </xf>
    <xf numFmtId="183" fontId="29" fillId="0" borderId="0" applyProtection="1" pivotButton="0" quotePrefix="0" xfId="0">
      <protection locked="1" hidden="1"/>
    </xf>
    <xf numFmtId="183" fontId="21" fillId="0" borderId="0" applyAlignment="1" applyProtection="1" pivotButton="0" quotePrefix="0" xfId="0">
      <alignment horizontal="right"/>
      <protection locked="1" hidden="1"/>
    </xf>
    <xf numFmtId="164" fontId="440" fillId="0" borderId="0" applyProtection="1" pivotButton="0" quotePrefix="0" xfId="0">
      <protection locked="1" hidden="1"/>
    </xf>
    <xf numFmtId="164" fontId="441" fillId="0" borderId="0" applyProtection="1" pivotButton="0" quotePrefix="0" xfId="0">
      <protection locked="1" hidden="1"/>
    </xf>
    <xf numFmtId="164" fontId="6" fillId="0" borderId="0" pivotButton="0" quotePrefix="0" xfId="0"/>
    <xf numFmtId="3" fontId="441" fillId="0" borderId="0" applyProtection="1" pivotButton="0" quotePrefix="0" xfId="283">
      <protection locked="1" hidden="1"/>
    </xf>
    <xf numFmtId="166" fontId="17" fillId="42" borderId="0" applyProtection="1" pivotButton="0" quotePrefix="0" xfId="283">
      <protection locked="1" hidden="1"/>
    </xf>
    <xf numFmtId="166" fontId="17" fillId="42" borderId="0" applyProtection="1" pivotButton="0" quotePrefix="0" xfId="283">
      <protection locked="1" hidden="1"/>
    </xf>
    <xf numFmtId="9" fontId="169" fillId="43" borderId="0" applyProtection="1" pivotButton="0" quotePrefix="0" xfId="283">
      <protection locked="1" hidden="1"/>
    </xf>
    <xf numFmtId="165" fontId="168" fillId="43" borderId="0" applyProtection="1" pivotButton="0" quotePrefix="0" xfId="283">
      <protection locked="1" hidden="1"/>
    </xf>
    <xf numFmtId="9" fontId="168" fillId="43" borderId="0" applyProtection="1" pivotButton="0" quotePrefix="0" xfId="283">
      <protection locked="1" hidden="1"/>
    </xf>
    <xf numFmtId="165" fontId="416" fillId="43" borderId="0" applyProtection="1" pivotButton="0" quotePrefix="0" xfId="283">
      <protection locked="1" hidden="1"/>
    </xf>
    <xf numFmtId="165" fontId="169" fillId="43" borderId="0" applyProtection="1" pivotButton="0" quotePrefix="0" xfId="283">
      <protection locked="1" hidden="1"/>
    </xf>
    <xf numFmtId="3" fontId="168" fillId="43" borderId="0" applyProtection="1" pivotButton="0" quotePrefix="0" xfId="0">
      <protection locked="1" hidden="1"/>
    </xf>
    <xf numFmtId="176" fontId="168" fillId="43" borderId="0" applyProtection="1" pivotButton="0" quotePrefix="0" xfId="0">
      <protection locked="1" hidden="1"/>
    </xf>
    <xf numFmtId="2" fontId="19" fillId="0" borderId="0" applyProtection="1" pivotButton="0" quotePrefix="0" xfId="283">
      <protection locked="1" hidden="1"/>
    </xf>
    <xf numFmtId="164" fontId="412" fillId="109" borderId="0" pivotButton="0" quotePrefix="0" xfId="0"/>
    <xf numFmtId="176" fontId="20" fillId="0" borderId="228" applyProtection="1" pivotButton="0" quotePrefix="0" xfId="0">
      <protection locked="1" hidden="1"/>
    </xf>
    <xf numFmtId="0" fontId="445" fillId="113" borderId="117" pivotButton="0" quotePrefix="0" xfId="267"/>
    <xf numFmtId="2" fontId="445" fillId="113" borderId="233" applyAlignment="1" applyProtection="1" pivotButton="0" quotePrefix="0" xfId="0">
      <alignment horizontal="center"/>
      <protection locked="1" hidden="1"/>
    </xf>
    <xf numFmtId="2" fontId="445" fillId="113" borderId="234" applyAlignment="1" applyProtection="1" pivotButton="0" quotePrefix="0" xfId="0">
      <alignment horizontal="center"/>
      <protection locked="1" hidden="1"/>
    </xf>
    <xf numFmtId="4" fontId="168" fillId="0" borderId="0" applyProtection="1" pivotButton="0" quotePrefix="0" xfId="0">
      <protection locked="1" hidden="1"/>
    </xf>
    <xf numFmtId="164" fontId="443" fillId="0" borderId="0" pivotButton="0" quotePrefix="0" xfId="0"/>
    <xf numFmtId="164" fontId="6" fillId="0" borderId="0" applyAlignment="1" pivotButton="0" quotePrefix="0" xfId="0">
      <alignment horizontal="right"/>
    </xf>
    <xf numFmtId="164" fontId="443" fillId="0" borderId="3" pivotButton="0" quotePrefix="0" xfId="0"/>
    <xf numFmtId="184" fontId="443" fillId="0" borderId="3" applyAlignment="1" pivotButton="0" quotePrefix="0" xfId="0">
      <alignment horizontal="right"/>
    </xf>
    <xf numFmtId="164" fontId="442" fillId="111" borderId="3" pivotButton="0" quotePrefix="0" xfId="0"/>
    <xf numFmtId="164" fontId="443" fillId="114" borderId="0" pivotButton="0" quotePrefix="0" xfId="0"/>
    <xf numFmtId="164" fontId="6" fillId="114" borderId="0" applyAlignment="1" pivotButton="0" quotePrefix="0" xfId="0">
      <alignment horizontal="right"/>
    </xf>
    <xf numFmtId="164" fontId="6" fillId="0" borderId="0" applyAlignment="1" pivotButton="0" quotePrefix="0" xfId="0">
      <alignment horizontal="left" indent="1"/>
    </xf>
    <xf numFmtId="9" fontId="6" fillId="0" borderId="0" applyAlignment="1" pivotButton="0" quotePrefix="0" xfId="283">
      <alignment horizontal="right"/>
    </xf>
    <xf numFmtId="0" fontId="442" fillId="111" borderId="3" applyAlignment="1" pivotButton="0" quotePrefix="0" xfId="0">
      <alignment horizontal="right"/>
    </xf>
    <xf numFmtId="3" fontId="6" fillId="0" borderId="0" applyAlignment="1" pivotButton="0" quotePrefix="0" xfId="0">
      <alignment horizontal="right"/>
    </xf>
    <xf numFmtId="3" fontId="444" fillId="0" borderId="0" applyAlignment="1" pivotButton="0" quotePrefix="0" xfId="0">
      <alignment horizontal="right"/>
    </xf>
    <xf numFmtId="3" fontId="443" fillId="0" borderId="0" applyAlignment="1" pivotButton="0" quotePrefix="0" xfId="0">
      <alignment horizontal="right"/>
    </xf>
    <xf numFmtId="3" fontId="443" fillId="114" borderId="0" applyAlignment="1" pivotButton="0" quotePrefix="0" xfId="0">
      <alignment horizontal="right"/>
    </xf>
    <xf numFmtId="0" fontId="442" fillId="111" borderId="3" applyAlignment="1" pivotButton="0" quotePrefix="0" xfId="0">
      <alignment horizontal="right" wrapText="1"/>
    </xf>
    <xf numFmtId="3" fontId="169" fillId="0" borderId="0" applyProtection="1" pivotButton="0" quotePrefix="0" xfId="0">
      <protection locked="1" hidden="1"/>
    </xf>
    <xf numFmtId="9" fontId="18" fillId="0" borderId="0" applyProtection="1" pivotButton="0" quotePrefix="0" xfId="283">
      <protection locked="1" hidden="1"/>
    </xf>
    <xf numFmtId="165" fontId="170" fillId="0" borderId="0" applyProtection="1" pivotButton="0" quotePrefix="0" xfId="283">
      <protection locked="1" hidden="1"/>
    </xf>
    <xf numFmtId="169" fontId="170" fillId="0" borderId="0" applyAlignment="1" applyProtection="1" pivotButton="0" quotePrefix="0" xfId="0">
      <alignment horizontal="right"/>
      <protection locked="1" hidden="1"/>
    </xf>
    <xf numFmtId="165" fontId="169" fillId="43" borderId="0" applyProtection="1" pivotButton="0" quotePrefix="0" xfId="283">
      <protection locked="1" hidden="1"/>
    </xf>
    <xf numFmtId="3" fontId="169" fillId="43" borderId="0" applyAlignment="1" applyProtection="1" pivotButton="0" quotePrefix="0" xfId="0">
      <alignment horizontal="right"/>
      <protection locked="1" hidden="1"/>
    </xf>
    <xf numFmtId="2" fontId="445" fillId="113" borderId="236" applyProtection="1" pivotButton="0" quotePrefix="0" xfId="0">
      <protection locked="1" hidden="1"/>
    </xf>
    <xf numFmtId="1" fontId="445" fillId="113" borderId="237" applyAlignment="1" applyProtection="1" pivotButton="0" quotePrefix="0" xfId="0">
      <alignment horizontal="center"/>
      <protection locked="1" hidden="1"/>
    </xf>
    <xf numFmtId="1" fontId="445" fillId="113" borderId="238" applyAlignment="1" applyProtection="1" pivotButton="0" quotePrefix="0" xfId="0">
      <alignment horizontal="center"/>
      <protection locked="1" hidden="1"/>
    </xf>
    <xf numFmtId="1" fontId="445" fillId="113" borderId="239" applyAlignment="1" applyProtection="1" pivotButton="0" quotePrefix="0" xfId="0">
      <alignment horizontal="center"/>
      <protection locked="1" hidden="1"/>
    </xf>
    <xf numFmtId="0" fontId="433" fillId="0" borderId="141" applyAlignment="1" pivotButton="0" quotePrefix="0" xfId="332">
      <alignment vertical="center"/>
    </xf>
    <xf numFmtId="165" fontId="433" fillId="0" borderId="0" applyAlignment="1" pivotButton="0" quotePrefix="0" xfId="283">
      <alignment horizontal="center"/>
    </xf>
    <xf numFmtId="165" fontId="433" fillId="0" borderId="142" applyAlignment="1" pivotButton="0" quotePrefix="0" xfId="283">
      <alignment horizontal="center"/>
    </xf>
    <xf numFmtId="165" fontId="433" fillId="0" borderId="0" applyAlignment="1" pivotButton="0" quotePrefix="0" xfId="267">
      <alignment horizontal="center"/>
    </xf>
    <xf numFmtId="9" fontId="433" fillId="0" borderId="0" applyAlignment="1" pivotButton="0" quotePrefix="0" xfId="283">
      <alignment horizontal="center"/>
    </xf>
    <xf numFmtId="0" fontId="433" fillId="0" borderId="0" applyAlignment="1" pivotButton="0" quotePrefix="0" xfId="267">
      <alignment horizontal="center"/>
    </xf>
    <xf numFmtId="0" fontId="433" fillId="0" borderId="142" applyAlignment="1" pivotButton="0" quotePrefix="0" xfId="267">
      <alignment horizontal="center"/>
    </xf>
    <xf numFmtId="185" fontId="433" fillId="0" borderId="0" pivotButton="0" quotePrefix="0" xfId="267"/>
    <xf numFmtId="0" fontId="433" fillId="0" borderId="142" pivotButton="0" quotePrefix="0" xfId="267"/>
    <xf numFmtId="0" fontId="433" fillId="0" borderId="141" pivotButton="0" quotePrefix="0" xfId="267"/>
    <xf numFmtId="165" fontId="433" fillId="0" borderId="0" applyAlignment="1" pivotButton="0" quotePrefix="0" xfId="283">
      <alignment horizontal="center"/>
    </xf>
    <xf numFmtId="14" fontId="433" fillId="0" borderId="0" applyAlignment="1" pivotButton="0" quotePrefix="0" xfId="267">
      <alignment horizontal="right"/>
    </xf>
    <xf numFmtId="14" fontId="433" fillId="0" borderId="142" applyAlignment="1" pivotButton="0" quotePrefix="0" xfId="267">
      <alignment horizontal="right"/>
    </xf>
    <xf numFmtId="2" fontId="445" fillId="113" borderId="240" applyProtection="1" pivotButton="0" quotePrefix="0" xfId="0">
      <protection locked="1" hidden="1"/>
    </xf>
    <xf numFmtId="2" fontId="445" fillId="113" borderId="241" applyAlignment="1" applyProtection="1" pivotButton="0" quotePrefix="0" xfId="0">
      <alignment horizontal="center"/>
      <protection locked="1" hidden="1"/>
    </xf>
    <xf numFmtId="2" fontId="433" fillId="0" borderId="0" applyAlignment="1" pivotButton="0" quotePrefix="0" xfId="267">
      <alignment horizontal="center"/>
    </xf>
    <xf numFmtId="2" fontId="433" fillId="0" borderId="142" applyAlignment="1" pivotButton="0" quotePrefix="0" xfId="267">
      <alignment horizontal="center"/>
    </xf>
    <xf numFmtId="43" fontId="433" fillId="0" borderId="3" pivotButton="0" quotePrefix="0" xfId="145"/>
    <xf numFmtId="0" fontId="433" fillId="0" borderId="3" pivotButton="0" quotePrefix="0" xfId="267"/>
    <xf numFmtId="9" fontId="433" fillId="0" borderId="3" pivotButton="0" quotePrefix="0" xfId="283"/>
    <xf numFmtId="0" fontId="434" fillId="0" borderId="3" applyAlignment="1" pivotButton="0" quotePrefix="0" xfId="267">
      <alignment horizontal="right"/>
    </xf>
    <xf numFmtId="0" fontId="433" fillId="0" borderId="143" pivotButton="0" quotePrefix="0" xfId="267"/>
    <xf numFmtId="2" fontId="17" fillId="0" borderId="0" applyProtection="1" pivotButton="0" quotePrefix="0" xfId="0">
      <protection locked="1" hidden="1"/>
    </xf>
    <xf numFmtId="164" fontId="29" fillId="0" borderId="0" applyProtection="1" pivotButton="0" quotePrefix="0" xfId="0">
      <protection locked="1" hidden="1"/>
    </xf>
    <xf numFmtId="164" fontId="84" fillId="0" borderId="0" applyProtection="1" pivotButton="0" quotePrefix="0" xfId="0">
      <protection locked="1" hidden="1"/>
    </xf>
    <xf numFmtId="164" fontId="72" fillId="0" borderId="0" applyAlignment="1" applyProtection="1" pivotButton="0" quotePrefix="0" xfId="0">
      <alignment horizontal="right"/>
      <protection locked="1" hidden="1"/>
    </xf>
    <xf numFmtId="164" fontId="29" fillId="0" borderId="0" applyAlignment="1" applyProtection="1" pivotButton="0" quotePrefix="0" xfId="0">
      <alignment horizontal="right"/>
      <protection locked="1" hidden="1"/>
    </xf>
    <xf numFmtId="164" fontId="84" fillId="0" borderId="0" applyAlignment="1" applyProtection="1" pivotButton="0" quotePrefix="0" xfId="0">
      <alignment horizontal="right"/>
      <protection locked="1" hidden="1"/>
    </xf>
    <xf numFmtId="165" fontId="29" fillId="0" borderId="0" applyProtection="1" pivotButton="0" quotePrefix="0" xfId="283">
      <protection locked="1" hidden="1"/>
    </xf>
    <xf numFmtId="9" fontId="29" fillId="0" borderId="0" applyProtection="1" pivotButton="0" quotePrefix="0" xfId="283">
      <protection locked="1" hidden="1"/>
    </xf>
    <xf numFmtId="9" fontId="29" fillId="0" borderId="0" applyProtection="1" pivotButton="0" quotePrefix="0" xfId="283">
      <protection locked="1" hidden="1"/>
    </xf>
    <xf numFmtId="164" fontId="420" fillId="43" borderId="0" applyProtection="1" pivotButton="0" quotePrefix="0" xfId="0">
      <protection locked="1" hidden="1"/>
    </xf>
    <xf numFmtId="9" fontId="420" fillId="43" borderId="0" applyProtection="1" pivotButton="0" quotePrefix="0" xfId="283">
      <protection locked="1" hidden="1"/>
    </xf>
    <xf numFmtId="186" fontId="29" fillId="0" borderId="0" applyProtection="1" pivotButton="0" quotePrefix="0" xfId="0">
      <protection locked="1" hidden="1"/>
    </xf>
    <xf numFmtId="164" fontId="418" fillId="0" borderId="0" applyProtection="1" pivotButton="0" quotePrefix="0" xfId="0">
      <protection locked="1" hidden="1"/>
    </xf>
    <xf numFmtId="164" fontId="21" fillId="0" borderId="0" pivotButton="0" quotePrefix="0" xfId="0"/>
    <xf numFmtId="164" fontId="420" fillId="43" borderId="0" pivotButton="0" quotePrefix="0" xfId="0"/>
    <xf numFmtId="183" fontId="21" fillId="0" borderId="0" pivotButton="0" quotePrefix="0" xfId="0"/>
    <xf numFmtId="164" fontId="64" fillId="0" borderId="0" applyProtection="1" pivotButton="0" quotePrefix="0" xfId="0">
      <protection locked="1" hidden="1"/>
    </xf>
    <xf numFmtId="164" fontId="72" fillId="0" borderId="0" applyProtection="1" pivotButton="0" quotePrefix="0" xfId="0">
      <protection locked="1" hidden="1"/>
    </xf>
    <xf numFmtId="38" fontId="64" fillId="0" borderId="0" applyProtection="1" pivotButton="0" quotePrefix="0" xfId="129">
      <protection locked="1" hidden="1"/>
    </xf>
    <xf numFmtId="38" fontId="64" fillId="0" borderId="0" applyProtection="1" pivotButton="0" quotePrefix="0" xfId="129">
      <protection locked="1" hidden="1"/>
    </xf>
    <xf numFmtId="164" fontId="64" fillId="0" borderId="0" applyAlignment="1" applyProtection="1" pivotButton="0" quotePrefix="0" xfId="0">
      <alignment horizontal="right"/>
      <protection locked="1" hidden="1"/>
    </xf>
    <xf numFmtId="38" fontId="64" fillId="0" borderId="0" applyProtection="1" pivotButton="0" quotePrefix="0" xfId="129">
      <protection locked="1" hidden="1"/>
    </xf>
    <xf numFmtId="166" fontId="169" fillId="43" borderId="0" applyProtection="1" pivotButton="0" quotePrefix="0" xfId="283">
      <protection locked="1" hidden="1"/>
    </xf>
    <xf numFmtId="10" fontId="21" fillId="0" borderId="0" applyAlignment="1" applyProtection="1" pivotButton="0" quotePrefix="0" xfId="283">
      <alignment horizontal="right"/>
      <protection locked="1" hidden="1"/>
    </xf>
    <xf numFmtId="164" fontId="418" fillId="0" borderId="0" applyAlignment="1" applyProtection="1" pivotButton="0" quotePrefix="0" xfId="0">
      <alignment horizontal="right" indent="1"/>
      <protection locked="1" hidden="1"/>
    </xf>
    <xf numFmtId="165" fontId="28" fillId="0" borderId="0" applyProtection="1" pivotButton="0" quotePrefix="0" xfId="283">
      <protection locked="1" hidden="1"/>
    </xf>
    <xf numFmtId="4" fontId="28" fillId="0" borderId="0" applyProtection="1" pivotButton="0" quotePrefix="0" xfId="0">
      <protection locked="1" hidden="1"/>
    </xf>
    <xf numFmtId="2" fontId="169" fillId="43" borderId="0" applyProtection="1" pivotButton="0" quotePrefix="0" xfId="0">
      <protection locked="1" hidden="1"/>
    </xf>
    <xf numFmtId="3" fontId="170" fillId="0" borderId="0" applyAlignment="1" applyProtection="1" pivotButton="0" quotePrefix="0" xfId="0">
      <alignment horizontal="right"/>
      <protection locked="1" hidden="1"/>
    </xf>
    <xf numFmtId="164" fontId="170" fillId="0" borderId="0" applyAlignment="1" applyProtection="1" pivotButton="0" quotePrefix="0" xfId="0">
      <alignment horizontal="right"/>
      <protection locked="1" hidden="1"/>
    </xf>
    <xf numFmtId="3" fontId="169" fillId="43" borderId="0" applyProtection="1" pivotButton="0" quotePrefix="0" xfId="283">
      <protection locked="1" hidden="1"/>
    </xf>
    <xf numFmtId="3" fontId="17" fillId="0" borderId="0" applyProtection="1" pivotButton="0" quotePrefix="0" xfId="283">
      <protection locked="1" hidden="1"/>
    </xf>
    <xf numFmtId="165" fontId="21" fillId="0" borderId="0" applyProtection="1" pivotButton="0" quotePrefix="0" xfId="283">
      <protection locked="1" hidden="1"/>
    </xf>
    <xf numFmtId="10" fontId="169" fillId="43" borderId="0" applyProtection="1" pivotButton="0" quotePrefix="0" xfId="283">
      <protection locked="1" hidden="1"/>
    </xf>
    <xf numFmtId="10" fontId="19" fillId="0" borderId="0" applyProtection="1" pivotButton="0" quotePrefix="0" xfId="283">
      <protection locked="1" hidden="1"/>
    </xf>
    <xf numFmtId="164" fontId="420" fillId="0" borderId="0" applyProtection="1" pivotButton="0" quotePrefix="0" xfId="0">
      <protection locked="1" hidden="1"/>
    </xf>
    <xf numFmtId="164" fontId="443" fillId="0" borderId="0" applyAlignment="1" pivotButton="0" quotePrefix="0" xfId="0">
      <alignment horizontal="center"/>
    </xf>
    <xf numFmtId="3" fontId="171" fillId="0" borderId="0" applyProtection="1" pivotButton="0" quotePrefix="0" xfId="283">
      <protection locked="1" hidden="1"/>
    </xf>
    <xf numFmtId="164" fontId="412" fillId="109" borderId="235" applyAlignment="1" applyProtection="1" pivotButton="0" quotePrefix="0" xfId="0">
      <alignment horizontal="right"/>
      <protection locked="1" hidden="1"/>
    </xf>
    <xf numFmtId="165" fontId="164" fillId="0" borderId="0" applyProtection="1" pivotButton="0" quotePrefix="0" xfId="283">
      <protection locked="1" hidden="1"/>
    </xf>
    <xf numFmtId="165" fontId="17" fillId="0" borderId="0" applyProtection="1" pivotButton="0" quotePrefix="0" xfId="283">
      <protection locked="1" hidden="1"/>
    </xf>
    <xf numFmtId="166" fontId="164" fillId="0" borderId="0" applyProtection="1" pivotButton="0" quotePrefix="0" xfId="283">
      <protection locked="1" hidden="1"/>
    </xf>
    <xf numFmtId="3" fontId="170" fillId="0" borderId="0" applyProtection="1" pivotButton="0" quotePrefix="0" xfId="283">
      <protection locked="1" hidden="1"/>
    </xf>
    <xf numFmtId="3" fontId="18" fillId="0" borderId="0" applyProtection="1" pivotButton="0" quotePrefix="0" xfId="283">
      <protection locked="1" hidden="1"/>
    </xf>
    <xf numFmtId="3" fontId="441" fillId="0" borderId="0" applyProtection="1" pivotButton="0" quotePrefix="0" xfId="283">
      <protection locked="1" hidden="1"/>
    </xf>
    <xf numFmtId="9" fontId="164" fillId="0" borderId="0" applyProtection="1" pivotButton="0" quotePrefix="0" xfId="283">
      <protection locked="1" hidden="1"/>
    </xf>
    <xf numFmtId="166" fontId="164" fillId="0" borderId="0" applyProtection="1" pivotButton="0" quotePrefix="0" xfId="283">
      <protection locked="1" hidden="1"/>
    </xf>
    <xf numFmtId="165" fontId="19" fillId="0" borderId="235" applyProtection="1" pivotButton="0" quotePrefix="0" xfId="283">
      <protection locked="1" hidden="1"/>
    </xf>
    <xf numFmtId="165" fontId="18" fillId="0" borderId="0" applyProtection="1" pivotButton="0" quotePrefix="0" xfId="283">
      <protection locked="1" hidden="1"/>
    </xf>
    <xf numFmtId="166" fontId="18" fillId="0" borderId="0" applyProtection="1" pivotButton="0" quotePrefix="0" xfId="283">
      <protection locked="1" hidden="1"/>
    </xf>
    <xf numFmtId="164" fontId="22" fillId="0" borderId="235" applyAlignment="1" applyProtection="1" pivotButton="0" quotePrefix="0" xfId="0">
      <alignment horizontal="right"/>
      <protection locked="1" hidden="1"/>
    </xf>
    <xf numFmtId="165" fontId="21" fillId="0" borderId="0" applyProtection="1" pivotButton="0" quotePrefix="0" xfId="283">
      <protection locked="1" hidden="1"/>
    </xf>
    <xf numFmtId="165" fontId="21" fillId="0" borderId="0" applyProtection="1" pivotButton="0" quotePrefix="0" xfId="283">
      <protection locked="1" hidden="1"/>
    </xf>
    <xf numFmtId="38" fontId="22" fillId="0" borderId="0" applyProtection="1" pivotButton="0" quotePrefix="0" xfId="129">
      <protection locked="1" hidden="1"/>
    </xf>
    <xf numFmtId="165" fontId="18" fillId="0" borderId="0" applyProtection="1" pivotButton="0" quotePrefix="0" xfId="283">
      <protection locked="1" hidden="1"/>
    </xf>
    <xf numFmtId="3" fontId="171" fillId="0" borderId="0" applyProtection="1" pivotButton="0" quotePrefix="0" xfId="283">
      <protection locked="1" hidden="1"/>
    </xf>
    <xf numFmtId="9" fontId="29" fillId="0" borderId="0" applyProtection="1" pivotButton="0" quotePrefix="0" xfId="283">
      <protection locked="1" hidden="1"/>
    </xf>
    <xf numFmtId="38" fontId="64" fillId="0" borderId="0" applyProtection="1" pivotButton="0" quotePrefix="0" xfId="129">
      <protection locked="1" hidden="1"/>
    </xf>
    <xf numFmtId="165" fontId="433" fillId="0" borderId="0" pivotButton="0" quotePrefix="0" xfId="267"/>
    <xf numFmtId="9" fontId="20" fillId="0" borderId="0" applyProtection="1" pivotButton="0" quotePrefix="0" xfId="283">
      <protection locked="1" hidden="1"/>
    </xf>
    <xf numFmtId="4" fontId="412" fillId="109" borderId="0" applyAlignment="1" applyProtection="1" pivotButton="0" quotePrefix="0" xfId="0">
      <alignment horizontal="right" vertical="center" wrapText="1"/>
      <protection locked="1" hidden="1"/>
    </xf>
    <xf numFmtId="9" fontId="20" fillId="0" borderId="0" applyProtection="1" pivotButton="0" quotePrefix="0" xfId="283">
      <protection locked="1" hidden="1"/>
    </xf>
    <xf numFmtId="4" fontId="419" fillId="0" borderId="0" applyProtection="1" pivotButton="0" quotePrefix="0" xfId="0">
      <protection locked="1" hidden="1"/>
    </xf>
    <xf numFmtId="4" fontId="419" fillId="0" borderId="10" applyProtection="1" pivotButton="0" quotePrefix="0" xfId="0">
      <protection locked="1" hidden="1"/>
    </xf>
    <xf numFmtId="4" fontId="419" fillId="0" borderId="235" applyProtection="1" pivotButton="0" quotePrefix="0" xfId="0">
      <protection locked="1" hidden="1"/>
    </xf>
    <xf numFmtId="186" fontId="433" fillId="0" borderId="0" pivotButton="0" quotePrefix="0" xfId="267"/>
    <xf numFmtId="164" fontId="451" fillId="38" borderId="0" applyProtection="1" pivotButton="0" quotePrefix="0" xfId="0">
      <protection locked="1" hidden="1"/>
    </xf>
    <xf numFmtId="3" fontId="452" fillId="0" borderId="0" applyProtection="1" pivotButton="0" quotePrefix="0" xfId="0">
      <protection locked="1" hidden="1"/>
    </xf>
    <xf numFmtId="3" fontId="32" fillId="0" borderId="0" applyProtection="1" pivotButton="0" quotePrefix="0" xfId="0">
      <protection locked="1" hidden="1"/>
    </xf>
    <xf numFmtId="164" fontId="32" fillId="0" borderId="0" applyAlignment="1" applyProtection="1" pivotButton="0" quotePrefix="0" xfId="0">
      <alignment horizontal="right"/>
      <protection locked="1" hidden="1"/>
    </xf>
    <xf numFmtId="164" fontId="417" fillId="0" borderId="0" applyAlignment="1" applyProtection="1" pivotButton="0" quotePrefix="0" xfId="0">
      <alignment horizontal="right"/>
      <protection locked="1" hidden="1"/>
    </xf>
    <xf numFmtId="164" fontId="32" fillId="0" borderId="0" pivotButton="0" quotePrefix="0" xfId="0"/>
    <xf numFmtId="164" fontId="453" fillId="0" borderId="0" applyProtection="1" pivotButton="0" quotePrefix="0" xfId="0">
      <protection locked="1" hidden="1"/>
    </xf>
    <xf numFmtId="164" fontId="454" fillId="0" borderId="0" applyProtection="1" pivotButton="0" quotePrefix="0" xfId="0">
      <protection locked="1" hidden="1"/>
    </xf>
    <xf numFmtId="0" fontId="455" fillId="0" borderId="0" pivotButton="0" quotePrefix="0" xfId="22435"/>
    <xf numFmtId="0" fontId="456" fillId="0" borderId="0" pivotButton="0" quotePrefix="0" xfId="22435"/>
    <xf numFmtId="14" fontId="456" fillId="0" borderId="0" pivotButton="0" quotePrefix="0" xfId="22435"/>
    <xf numFmtId="14" fontId="455" fillId="0" borderId="0" pivotButton="0" quotePrefix="0" xfId="22435"/>
    <xf numFmtId="0" fontId="457" fillId="0" borderId="0" applyAlignment="1" pivotButton="0" quotePrefix="0" xfId="22435">
      <alignment horizontal="left"/>
    </xf>
    <xf numFmtId="0" fontId="446" fillId="0" borderId="0" pivotButton="0" quotePrefix="0" xfId="22435"/>
    <xf numFmtId="0" fontId="446" fillId="0" borderId="0" applyAlignment="1" pivotButton="0" quotePrefix="0" xfId="22435">
      <alignment horizontal="right"/>
    </xf>
    <xf numFmtId="0" fontId="446" fillId="0" borderId="0" applyAlignment="1" pivotButton="0" quotePrefix="0" xfId="22435">
      <alignment horizontal="left"/>
    </xf>
    <xf numFmtId="0" fontId="457" fillId="0" borderId="0" pivotButton="0" quotePrefix="0" xfId="22435"/>
    <xf numFmtId="0" fontId="457" fillId="0" borderId="0" applyAlignment="1" pivotButton="0" quotePrefix="0" xfId="22435">
      <alignment wrapText="1"/>
    </xf>
    <xf numFmtId="0" fontId="457" fillId="0" borderId="0" applyAlignment="1" pivotButton="0" quotePrefix="0" xfId="22435">
      <alignment horizontal="right" wrapText="1"/>
    </xf>
    <xf numFmtId="14" fontId="446" fillId="0" borderId="0" pivotButton="0" quotePrefix="0" xfId="22435"/>
    <xf numFmtId="184" fontId="446" fillId="0" borderId="0" applyAlignment="1" pivotButton="0" quotePrefix="0" xfId="22435">
      <alignment horizontal="left"/>
    </xf>
    <xf numFmtId="4" fontId="6" fillId="0" borderId="0" applyAlignment="1" pivotButton="0" quotePrefix="0" xfId="22435">
      <alignment horizontal="right"/>
    </xf>
    <xf numFmtId="164" fontId="458" fillId="0" borderId="0" applyProtection="1" pivotButton="0" quotePrefix="0" xfId="0">
      <protection locked="1" hidden="1"/>
    </xf>
    <xf numFmtId="186" fontId="458" fillId="0" borderId="0" applyProtection="1" pivotButton="0" quotePrefix="0" xfId="283">
      <protection locked="1" hidden="1"/>
    </xf>
    <xf numFmtId="0" fontId="456" fillId="0" borderId="117" pivotButton="0" quotePrefix="0" xfId="22435"/>
    <xf numFmtId="186" fontId="456" fillId="0" borderId="118" pivotButton="0" quotePrefix="0" xfId="22435"/>
    <xf numFmtId="10" fontId="456" fillId="0" borderId="118" pivotButton="0" quotePrefix="0" xfId="22436"/>
    <xf numFmtId="0" fontId="459" fillId="0" borderId="0" pivotButton="0" quotePrefix="0" xfId="22435"/>
    <xf numFmtId="0" fontId="456" fillId="0" borderId="0" applyAlignment="1" pivotButton="0" quotePrefix="0" xfId="22435">
      <alignment vertical="center" wrapText="1"/>
    </xf>
    <xf numFmtId="3" fontId="456" fillId="0" borderId="0" pivotButton="0" quotePrefix="0" xfId="22435"/>
    <xf numFmtId="9" fontId="456" fillId="0" borderId="0" pivotButton="0" quotePrefix="0" xfId="22436"/>
    <xf numFmtId="0" fontId="460" fillId="0" borderId="0" pivotButton="0" quotePrefix="0" xfId="22435"/>
    <xf numFmtId="3" fontId="21" fillId="0" borderId="0" applyProtection="1" pivotButton="0" quotePrefix="0" xfId="283">
      <protection locked="1" hidden="1"/>
    </xf>
    <xf numFmtId="9" fontId="17" fillId="0" borderId="0" applyProtection="1" pivotButton="0" quotePrefix="0" xfId="0">
      <protection locked="1" hidden="1"/>
    </xf>
    <xf numFmtId="184" fontId="461" fillId="0" borderId="0" applyAlignment="1" applyProtection="1" pivotButton="0" quotePrefix="0" xfId="22438">
      <alignment horizontal="right"/>
      <protection locked="1" hidden="1"/>
    </xf>
    <xf numFmtId="3" fontId="350" fillId="0" borderId="0" pivotButton="0" quotePrefix="0" xfId="22438"/>
    <xf numFmtId="3" fontId="42" fillId="0" borderId="0" pivotButton="0" quotePrefix="0" xfId="450"/>
    <xf numFmtId="0" fontId="350" fillId="0" borderId="0" pivotButton="0" quotePrefix="0" xfId="452"/>
    <xf numFmtId="165" fontId="42" fillId="0" borderId="0" pivotButton="0" quotePrefix="0" xfId="22440"/>
    <xf numFmtId="10" fontId="463" fillId="0" borderId="0" applyAlignment="1" pivotButton="0" quotePrefix="0" xfId="450">
      <alignment horizontal="left" indent="1"/>
    </xf>
    <xf numFmtId="3" fontId="17" fillId="0" borderId="0" applyAlignment="1" applyProtection="1" pivotButton="0" quotePrefix="0" xfId="0">
      <alignment horizontal="left" indent="1"/>
      <protection locked="1" hidden="1"/>
    </xf>
    <xf numFmtId="165" fontId="163" fillId="0" borderId="0" applyAlignment="1" applyProtection="1" pivotButton="0" quotePrefix="0" xfId="283">
      <alignment horizontal="left" indent="1"/>
      <protection locked="1" hidden="1"/>
    </xf>
    <xf numFmtId="3" fontId="17" fillId="0" borderId="0" applyAlignment="1" applyProtection="1" pivotButton="0" quotePrefix="0" xfId="283">
      <alignment horizontal="left" indent="1"/>
      <protection locked="1" hidden="1"/>
    </xf>
    <xf numFmtId="166" fontId="163" fillId="0" borderId="0" applyAlignment="1" applyProtection="1" pivotButton="0" quotePrefix="0" xfId="283">
      <alignment horizontal="left" indent="1"/>
      <protection locked="1" hidden="1"/>
    </xf>
    <xf numFmtId="165" fontId="21" fillId="0" borderId="10" applyAlignment="1" applyProtection="1" pivotButton="0" quotePrefix="0" xfId="283">
      <alignment horizontal="left" indent="1"/>
      <protection locked="1" hidden="1"/>
    </xf>
    <xf numFmtId="166" fontId="17" fillId="0" borderId="0" applyAlignment="1" applyProtection="1" pivotButton="0" quotePrefix="0" xfId="0">
      <alignment horizontal="left" indent="1"/>
      <protection locked="1" hidden="1"/>
    </xf>
    <xf numFmtId="165" fontId="350" fillId="0" borderId="0" pivotButton="0" quotePrefix="0" xfId="452"/>
    <xf numFmtId="9" fontId="350" fillId="0" borderId="0" pivotButton="0" quotePrefix="0" xfId="283"/>
    <xf numFmtId="3" fontId="465" fillId="0" borderId="0" applyProtection="1" pivotButton="0" quotePrefix="0" xfId="0">
      <protection locked="1" hidden="1"/>
    </xf>
    <xf numFmtId="3" fontId="17" fillId="42" borderId="0" applyProtection="1" pivotButton="0" quotePrefix="0" xfId="283">
      <protection locked="1" hidden="1"/>
    </xf>
    <xf numFmtId="186" fontId="433" fillId="0" borderId="0" applyAlignment="1" pivotButton="0" quotePrefix="0" xfId="267">
      <alignment horizontal="center"/>
    </xf>
    <xf numFmtId="165" fontId="21" fillId="0" borderId="0" applyAlignment="1" applyProtection="1" pivotButton="0" quotePrefix="0" xfId="283">
      <alignment horizontal="left" indent="1"/>
      <protection locked="1" hidden="1"/>
    </xf>
    <xf numFmtId="166" fontId="19" fillId="0" borderId="0" applyProtection="1" pivotButton="0" quotePrefix="0" xfId="283">
      <protection locked="1" hidden="1"/>
    </xf>
    <xf numFmtId="165" fontId="19" fillId="0" borderId="0" applyProtection="1" pivotButton="0" quotePrefix="0" xfId="283">
      <protection locked="1" hidden="1"/>
    </xf>
    <xf numFmtId="166" fontId="21" fillId="0" borderId="0" applyAlignment="1" applyProtection="1" pivotButton="0" quotePrefix="0" xfId="283">
      <alignment horizontal="right"/>
      <protection locked="1" hidden="1"/>
    </xf>
    <xf numFmtId="165" fontId="416" fillId="0" borderId="0" applyProtection="1" pivotButton="0" quotePrefix="0" xfId="283">
      <protection locked="1" hidden="1"/>
    </xf>
    <xf numFmtId="166" fontId="163" fillId="0" borderId="0" applyProtection="1" pivotButton="0" quotePrefix="0" xfId="283">
      <protection locked="1" hidden="1"/>
    </xf>
    <xf numFmtId="164" fontId="451" fillId="38" borderId="0" applyAlignment="1" applyProtection="1" pivotButton="0" quotePrefix="0" xfId="0">
      <alignment horizontal="left"/>
      <protection locked="1" hidden="1"/>
    </xf>
    <xf numFmtId="4" fontId="32" fillId="0" borderId="0" applyProtection="1" pivotButton="0" quotePrefix="0" xfId="0">
      <protection locked="1" hidden="1"/>
    </xf>
    <xf numFmtId="166" fontId="32" fillId="0" borderId="0" applyProtection="1" pivotButton="0" quotePrefix="0" xfId="283">
      <protection locked="1" hidden="1"/>
    </xf>
    <xf numFmtId="9" fontId="417" fillId="0" borderId="0" applyProtection="1" pivotButton="0" quotePrefix="0" xfId="283">
      <protection locked="1" hidden="1"/>
    </xf>
    <xf numFmtId="166" fontId="32" fillId="0" borderId="0" applyAlignment="1" applyProtection="1" pivotButton="0" quotePrefix="0" xfId="283">
      <alignment horizontal="right"/>
      <protection locked="1" hidden="1"/>
    </xf>
    <xf numFmtId="166" fontId="32" fillId="0" borderId="0" applyAlignment="1" applyProtection="1" pivotButton="0" quotePrefix="0" xfId="283">
      <alignment horizontal="right"/>
      <protection locked="1" hidden="1"/>
    </xf>
    <xf numFmtId="166" fontId="32" fillId="0" borderId="0" applyAlignment="1" applyProtection="1" pivotButton="0" quotePrefix="0" xfId="283">
      <alignment horizontal="right"/>
      <protection locked="1" hidden="1"/>
    </xf>
    <xf numFmtId="9" fontId="32" fillId="0" borderId="0" applyAlignment="1" applyProtection="1" pivotButton="0" quotePrefix="0" xfId="283">
      <alignment horizontal="right"/>
      <protection locked="1" hidden="1"/>
    </xf>
    <xf numFmtId="165" fontId="32" fillId="0" borderId="0" applyAlignment="1" applyProtection="1" pivotButton="0" quotePrefix="0" xfId="283">
      <alignment horizontal="right"/>
      <protection locked="1" hidden="1"/>
    </xf>
    <xf numFmtId="165" fontId="32" fillId="0" borderId="0" applyAlignment="1" applyProtection="1" pivotButton="0" quotePrefix="0" xfId="283">
      <alignment horizontal="right"/>
      <protection locked="1" hidden="1"/>
    </xf>
    <xf numFmtId="166" fontId="417" fillId="0" borderId="0" applyProtection="1" pivotButton="0" quotePrefix="0" xfId="283">
      <protection locked="1" hidden="1"/>
    </xf>
    <xf numFmtId="165" fontId="32" fillId="0" borderId="0" applyProtection="1" pivotButton="0" quotePrefix="0" xfId="283">
      <protection locked="1" hidden="1"/>
    </xf>
    <xf numFmtId="166" fontId="32" fillId="0" borderId="0" applyProtection="1" pivotButton="0" quotePrefix="0" xfId="283">
      <protection locked="1" hidden="1"/>
    </xf>
    <xf numFmtId="167" fontId="170" fillId="0" borderId="0" applyProtection="1" pivotButton="0" quotePrefix="0" xfId="283">
      <protection locked="1" hidden="1"/>
    </xf>
    <xf numFmtId="168" fontId="170" fillId="0" borderId="0" applyProtection="1" pivotButton="0" quotePrefix="0" xfId="129">
      <protection locked="1" hidden="1"/>
    </xf>
    <xf numFmtId="167" fontId="17" fillId="0" borderId="0" applyProtection="1" pivotButton="0" quotePrefix="0" xfId="283">
      <protection locked="1" hidden="1"/>
    </xf>
    <xf numFmtId="168" fontId="17" fillId="0" borderId="0" applyProtection="1" pivotButton="0" quotePrefix="0" xfId="129">
      <protection locked="1" hidden="1"/>
    </xf>
    <xf numFmtId="165" fontId="164" fillId="0" borderId="0" applyAlignment="1" applyProtection="1" pivotButton="0" quotePrefix="0" xfId="283">
      <alignment horizontal="right"/>
      <protection locked="1" hidden="1"/>
    </xf>
    <xf numFmtId="173" fontId="466" fillId="0" borderId="0" applyAlignment="1" applyProtection="1" pivotButton="0" quotePrefix="0" xfId="129">
      <alignment horizontal="right"/>
      <protection locked="1" hidden="1"/>
    </xf>
    <xf numFmtId="165" fontId="18" fillId="0" borderId="0" applyAlignment="1" applyProtection="1" pivotButton="0" quotePrefix="0" xfId="283">
      <alignment horizontal="right"/>
      <protection locked="1" hidden="1"/>
    </xf>
    <xf numFmtId="3" fontId="189" fillId="0" borderId="0" applyProtection="1" pivotButton="0" quotePrefix="0" xfId="0">
      <protection locked="1" hidden="1"/>
    </xf>
    <xf numFmtId="38" fontId="467" fillId="0" borderId="0" applyProtection="1" pivotButton="0" quotePrefix="0" xfId="129">
      <protection locked="1" hidden="1"/>
    </xf>
    <xf numFmtId="165" fontId="467" fillId="0" borderId="0" applyAlignment="1" applyProtection="1" pivotButton="0" quotePrefix="0" xfId="0">
      <alignment horizontal="right"/>
      <protection locked="1" hidden="1"/>
    </xf>
    <xf numFmtId="165" fontId="189" fillId="0" borderId="0" applyAlignment="1" applyProtection="1" pivotButton="0" quotePrefix="0" xfId="283">
      <alignment horizontal="right"/>
      <protection locked="1" hidden="1"/>
    </xf>
    <xf numFmtId="165" fontId="189" fillId="0" borderId="0" applyProtection="1" pivotButton="0" quotePrefix="0" xfId="283">
      <protection locked="1" hidden="1"/>
    </xf>
    <xf numFmtId="166" fontId="189" fillId="0" borderId="0" applyAlignment="1" applyProtection="1" pivotButton="0" quotePrefix="0" xfId="283">
      <alignment horizontal="right"/>
      <protection locked="1" hidden="1"/>
    </xf>
    <xf numFmtId="166" fontId="189" fillId="0" borderId="0" applyAlignment="1" applyProtection="1" pivotButton="0" quotePrefix="0" xfId="283">
      <alignment horizontal="right"/>
      <protection locked="1" hidden="1"/>
    </xf>
    <xf numFmtId="9" fontId="189" fillId="0" borderId="0" applyAlignment="1" applyProtection="1" pivotButton="0" quotePrefix="0" xfId="283">
      <alignment horizontal="right"/>
      <protection locked="1" hidden="1"/>
    </xf>
    <xf numFmtId="166" fontId="189" fillId="0" borderId="0" applyAlignment="1" applyProtection="1" pivotButton="0" quotePrefix="0" xfId="283">
      <alignment horizontal="right"/>
      <protection locked="1" hidden="1"/>
    </xf>
    <xf numFmtId="165" fontId="467" fillId="0" borderId="0" applyProtection="1" pivotButton="0" quotePrefix="0" xfId="283">
      <protection locked="1" hidden="1"/>
    </xf>
    <xf numFmtId="3" fontId="189" fillId="0" borderId="0" applyProtection="1" pivotButton="0" quotePrefix="0" xfId="283">
      <protection locked="1" hidden="1"/>
    </xf>
    <xf numFmtId="166" fontId="189" fillId="0" borderId="0" applyProtection="1" pivotButton="0" quotePrefix="0" xfId="283">
      <protection locked="1" hidden="1"/>
    </xf>
    <xf numFmtId="166" fontId="467" fillId="0" borderId="0" applyProtection="1" pivotButton="0" quotePrefix="0" xfId="283">
      <protection locked="1" hidden="1"/>
    </xf>
    <xf numFmtId="3" fontId="467" fillId="0" borderId="0" applyProtection="1" pivotButton="0" quotePrefix="0" xfId="0">
      <protection locked="1" hidden="1"/>
    </xf>
    <xf numFmtId="3" fontId="189" fillId="0" borderId="0" applyProtection="1" pivotButton="0" quotePrefix="0" xfId="283">
      <protection locked="1" hidden="1"/>
    </xf>
    <xf numFmtId="164" fontId="467" fillId="0" borderId="0" applyAlignment="1" applyProtection="1" pivotButton="0" quotePrefix="0" xfId="0">
      <alignment horizontal="right"/>
      <protection locked="1" hidden="1"/>
    </xf>
    <xf numFmtId="165" fontId="189" fillId="0" borderId="0" applyAlignment="1" applyProtection="1" pivotButton="0" quotePrefix="0" xfId="283">
      <alignment horizontal="right"/>
      <protection locked="1" hidden="1"/>
    </xf>
    <xf numFmtId="166" fontId="467" fillId="0" borderId="0" applyProtection="1" pivotButton="0" quotePrefix="0" xfId="283">
      <protection locked="1" hidden="1"/>
    </xf>
    <xf numFmtId="3" fontId="467" fillId="0" borderId="0" applyProtection="1" pivotButton="0" quotePrefix="0" xfId="283">
      <protection locked="1" hidden="1"/>
    </xf>
    <xf numFmtId="3" fontId="188" fillId="0" borderId="0" applyProtection="1" pivotButton="0" quotePrefix="0" xfId="283">
      <protection locked="1" hidden="1"/>
    </xf>
    <xf numFmtId="166" fontId="189" fillId="0" borderId="0" applyProtection="1" pivotButton="0" quotePrefix="0" xfId="283">
      <protection locked="1" hidden="1"/>
    </xf>
    <xf numFmtId="38" fontId="467" fillId="0" borderId="0" applyProtection="1" pivotButton="0" quotePrefix="0" xfId="129">
      <protection locked="1" hidden="1"/>
    </xf>
    <xf numFmtId="38" fontId="21" fillId="0" borderId="0" applyAlignment="1" applyProtection="1" pivotButton="0" quotePrefix="0" xfId="129">
      <alignment horizontal="right"/>
      <protection locked="1" hidden="1"/>
    </xf>
    <xf numFmtId="3" fontId="21" fillId="0" borderId="0" applyAlignment="1" applyProtection="1" pivotButton="0" quotePrefix="0" xfId="283">
      <alignment horizontal="right"/>
      <protection locked="1" hidden="1"/>
    </xf>
    <xf numFmtId="164" fontId="42" fillId="115" borderId="0" applyAlignment="1" applyProtection="1" pivotButton="0" quotePrefix="0" xfId="22438">
      <alignment horizontal="left"/>
      <protection locked="1" hidden="1"/>
    </xf>
    <xf numFmtId="184" fontId="461" fillId="115" borderId="0" applyAlignment="1" applyProtection="1" pivotButton="0" quotePrefix="0" xfId="22438">
      <alignment horizontal="left"/>
      <protection locked="1" hidden="1"/>
    </xf>
    <xf numFmtId="184" fontId="461" fillId="115" borderId="0" applyAlignment="1" applyProtection="1" pivotButton="0" quotePrefix="1" xfId="22438">
      <alignment horizontal="right"/>
      <protection locked="1" hidden="1"/>
    </xf>
    <xf numFmtId="184" fontId="461" fillId="115" borderId="0" applyAlignment="1" applyProtection="1" pivotButton="0" quotePrefix="0" xfId="22438">
      <alignment horizontal="right"/>
      <protection locked="1" hidden="1"/>
    </xf>
    <xf numFmtId="184" fontId="461" fillId="115" borderId="0" applyProtection="1" pivotButton="0" quotePrefix="0" xfId="22438">
      <protection locked="1" hidden="1"/>
    </xf>
    <xf numFmtId="184" fontId="462" fillId="115" borderId="0" pivotButton="0" quotePrefix="0" xfId="22438"/>
    <xf numFmtId="0" fontId="42" fillId="0" borderId="0" pivotButton="0" quotePrefix="0" xfId="452"/>
    <xf numFmtId="184" fontId="350" fillId="0" borderId="0" pivotButton="0" quotePrefix="0" xfId="452"/>
    <xf numFmtId="3" fontId="468" fillId="0" borderId="0" pivotButton="0" quotePrefix="0" xfId="452"/>
    <xf numFmtId="165" fontId="350" fillId="0" borderId="0" pivotButton="0" quotePrefix="0" xfId="283"/>
    <xf numFmtId="0" fontId="456" fillId="0" borderId="0" pivotButton="0" quotePrefix="1" xfId="22435"/>
    <xf numFmtId="0" fontId="446" fillId="0" borderId="0" pivotButton="0" quotePrefix="1" xfId="22435"/>
    <xf numFmtId="0" fontId="457" fillId="0" borderId="0" applyAlignment="1" pivotButton="0" quotePrefix="1" xfId="22435">
      <alignment wrapText="1"/>
    </xf>
    <xf numFmtId="164" fontId="469" fillId="0" borderId="0" pivotButton="0" quotePrefix="0" xfId="0"/>
    <xf numFmtId="164" fontId="469" fillId="0" borderId="3" pivotButton="0" quotePrefix="0" xfId="0"/>
    <xf numFmtId="165" fontId="468" fillId="0" borderId="0" pivotButton="0" quotePrefix="0" xfId="283"/>
    <xf numFmtId="164" fontId="470" fillId="0" borderId="0" pivotButton="0" quotePrefix="0" xfId="0"/>
    <xf numFmtId="164" fontId="469" fillId="0" borderId="0" applyAlignment="1" pivotButton="0" quotePrefix="0" xfId="0">
      <alignment horizontal="right"/>
    </xf>
    <xf numFmtId="3" fontId="471" fillId="0" borderId="0" applyAlignment="1" pivotButton="0" quotePrefix="0" xfId="0">
      <alignment horizontal="right"/>
    </xf>
    <xf numFmtId="3" fontId="469" fillId="0" borderId="0" applyAlignment="1" pivotButton="0" quotePrefix="0" xfId="0">
      <alignment horizontal="right"/>
    </xf>
    <xf numFmtId="164" fontId="469" fillId="0" borderId="3" applyAlignment="1" pivotButton="0" quotePrefix="0" xfId="0">
      <alignment horizontal="right"/>
    </xf>
    <xf numFmtId="3" fontId="469" fillId="0" borderId="3" applyAlignment="1" pivotButton="0" quotePrefix="0" xfId="0">
      <alignment horizontal="right"/>
    </xf>
    <xf numFmtId="0" fontId="350" fillId="0" borderId="0" applyAlignment="1" pivotButton="0" quotePrefix="0" xfId="452">
      <alignment horizontal="left" indent="1"/>
    </xf>
    <xf numFmtId="9" fontId="433" fillId="0" borderId="0" applyAlignment="1" pivotButton="0" quotePrefix="0" xfId="283">
      <alignment horizontal="center"/>
    </xf>
    <xf numFmtId="0" fontId="434" fillId="0" borderId="141" applyAlignment="1" pivotButton="0" quotePrefix="0" xfId="332">
      <alignment vertical="center"/>
    </xf>
    <xf numFmtId="2" fontId="434" fillId="0" borderId="0" applyAlignment="1" pivotButton="0" quotePrefix="0" xfId="267">
      <alignment horizontal="center"/>
    </xf>
    <xf numFmtId="181" fontId="445" fillId="113" borderId="118" applyAlignment="1" pivotButton="0" quotePrefix="0" xfId="267">
      <alignment horizontal="center"/>
    </xf>
    <xf numFmtId="169" fontId="33" fillId="0" borderId="0" applyProtection="1" pivotButton="0" quotePrefix="0" xfId="0">
      <protection locked="1" hidden="1"/>
    </xf>
    <xf numFmtId="169" fontId="32" fillId="0" borderId="0" applyProtection="1" pivotButton="0" quotePrefix="0" xfId="0">
      <protection locked="1" hidden="1"/>
    </xf>
    <xf numFmtId="3" fontId="441" fillId="0" borderId="0" applyProtection="1" pivotButton="0" quotePrefix="0" xfId="0">
      <protection locked="1" hidden="1"/>
    </xf>
    <xf numFmtId="3" fontId="453" fillId="0" borderId="0" applyProtection="1" pivotButton="0" quotePrefix="0" xfId="0">
      <protection locked="1" hidden="1"/>
    </xf>
    <xf numFmtId="3" fontId="33" fillId="0" borderId="0" applyProtection="1" pivotButton="0" quotePrefix="0" xfId="0">
      <protection locked="1" hidden="1"/>
    </xf>
    <xf numFmtId="169" fontId="451" fillId="38" borderId="0" applyProtection="1" pivotButton="0" quotePrefix="0" xfId="0">
      <protection locked="1" hidden="1"/>
    </xf>
    <xf numFmtId="169" fontId="417" fillId="0" borderId="0" applyProtection="1" pivotButton="0" quotePrefix="0" xfId="0">
      <protection locked="1" hidden="1"/>
    </xf>
    <xf numFmtId="169" fontId="32" fillId="0" borderId="0" applyAlignment="1" applyProtection="1" pivotButton="0" quotePrefix="0" xfId="0">
      <alignment horizontal="right"/>
      <protection locked="1" hidden="1"/>
    </xf>
    <xf numFmtId="169" fontId="417" fillId="0" borderId="0" applyAlignment="1" applyProtection="1" pivotButton="0" quotePrefix="0" xfId="0">
      <alignment horizontal="right"/>
      <protection locked="1" hidden="1"/>
    </xf>
    <xf numFmtId="9" fontId="32" fillId="0" borderId="0" applyAlignment="1" applyProtection="1" pivotButton="0" quotePrefix="0" xfId="283">
      <alignment horizontal="right"/>
      <protection locked="1" hidden="1"/>
    </xf>
    <xf numFmtId="175" fontId="32" fillId="0" borderId="0" applyProtection="1" pivotButton="0" quotePrefix="0" xfId="0">
      <protection locked="1" hidden="1"/>
    </xf>
    <xf numFmtId="9" fontId="32" fillId="0" borderId="0" applyProtection="1" pivotButton="0" quotePrefix="0" xfId="283">
      <protection locked="1" hidden="1"/>
    </xf>
    <xf numFmtId="3" fontId="163" fillId="0" borderId="0" applyProtection="1" pivotButton="0" quotePrefix="0" xfId="0">
      <protection locked="1" hidden="1"/>
    </xf>
    <xf numFmtId="169" fontId="451" fillId="0" borderId="0" applyProtection="1" pivotButton="0" quotePrefix="0" xfId="0">
      <protection locked="1" hidden="1"/>
    </xf>
    <xf numFmtId="169" fontId="454" fillId="0" borderId="0" applyProtection="1" pivotButton="0" quotePrefix="0" xfId="0">
      <protection locked="1" hidden="1"/>
    </xf>
    <xf numFmtId="169" fontId="33" fillId="0" borderId="0" applyAlignment="1" applyProtection="1" pivotButton="0" quotePrefix="0" xfId="0">
      <alignment horizontal="right"/>
      <protection locked="1" hidden="1"/>
    </xf>
    <xf numFmtId="169" fontId="454" fillId="0" borderId="0" applyAlignment="1" applyProtection="1" pivotButton="0" quotePrefix="0" xfId="0">
      <alignment horizontal="right"/>
      <protection locked="1" hidden="1"/>
    </xf>
    <xf numFmtId="164" fontId="16" fillId="0" borderId="0" applyAlignment="1" applyProtection="1" pivotButton="0" quotePrefix="0" xfId="0">
      <alignment horizontal="left"/>
      <protection locked="1" hidden="1"/>
    </xf>
    <xf numFmtId="166" fontId="16" fillId="0" borderId="0" applyProtection="1" pivotButton="0" quotePrefix="0" xfId="283">
      <protection locked="1" hidden="1"/>
    </xf>
    <xf numFmtId="166" fontId="20" fillId="0" borderId="10" applyProtection="1" pivotButton="0" quotePrefix="0" xfId="283">
      <protection locked="1" hidden="1"/>
    </xf>
    <xf numFmtId="166" fontId="22" fillId="0" borderId="10" applyProtection="1" pivotButton="0" quotePrefix="0" xfId="283">
      <protection locked="1" hidden="1"/>
    </xf>
    <xf numFmtId="166" fontId="22" fillId="0" borderId="235" applyProtection="1" pivotButton="0" quotePrefix="0" xfId="283">
      <protection locked="1" hidden="1"/>
    </xf>
    <xf numFmtId="1" fontId="20" fillId="0" borderId="0" applyAlignment="1" applyProtection="1" pivotButton="0" quotePrefix="0" xfId="283">
      <alignment horizontal="right"/>
      <protection locked="1" hidden="1"/>
    </xf>
    <xf numFmtId="166" fontId="20" fillId="0" borderId="0" applyAlignment="1" applyProtection="1" pivotButton="0" quotePrefix="0" xfId="283">
      <alignment horizontal="right"/>
      <protection locked="1" hidden="1"/>
    </xf>
    <xf numFmtId="166" fontId="22" fillId="0" borderId="0" applyAlignment="1" applyProtection="1" pivotButton="0" quotePrefix="0" xfId="283">
      <alignment horizontal="right"/>
      <protection locked="1" hidden="1"/>
    </xf>
    <xf numFmtId="9" fontId="168" fillId="0" borderId="0" applyProtection="1" pivotButton="0" quotePrefix="0" xfId="283">
      <protection locked="1" hidden="1"/>
    </xf>
    <xf numFmtId="1" fontId="168" fillId="43" borderId="0" applyProtection="1" pivotButton="0" quotePrefix="0" xfId="283">
      <protection locked="1" hidden="1"/>
    </xf>
    <xf numFmtId="3" fontId="16" fillId="38" borderId="0" applyProtection="1" pivotButton="0" quotePrefix="0" xfId="0">
      <protection locked="1" hidden="1"/>
    </xf>
    <xf numFmtId="3" fontId="22" fillId="0" borderId="0" applyAlignment="1" applyProtection="1" pivotButton="0" quotePrefix="0" xfId="0">
      <alignment horizontal="right"/>
      <protection locked="1" hidden="1"/>
    </xf>
    <xf numFmtId="3" fontId="22" fillId="23" borderId="0" applyProtection="1" pivotButton="0" quotePrefix="0" xfId="0">
      <protection locked="1" hidden="1"/>
    </xf>
    <xf numFmtId="3" fontId="19" fillId="0" borderId="0" applyAlignment="1" applyProtection="1" pivotButton="0" quotePrefix="0" xfId="0">
      <alignment horizontal="right"/>
      <protection locked="1" hidden="1"/>
    </xf>
    <xf numFmtId="3" fontId="21" fillId="23" borderId="0" applyProtection="1" pivotButton="0" quotePrefix="0" xfId="0">
      <protection locked="1" hidden="1"/>
    </xf>
    <xf numFmtId="3" fontId="18" fillId="23" borderId="0" applyProtection="1" pivotButton="0" quotePrefix="0" xfId="0">
      <protection locked="1" hidden="1"/>
    </xf>
    <xf numFmtId="3" fontId="451" fillId="38" borderId="0" applyProtection="1" pivotButton="0" quotePrefix="0" xfId="0">
      <protection locked="1" hidden="1"/>
    </xf>
    <xf numFmtId="3" fontId="467" fillId="0" borderId="0" applyProtection="1" pivotButton="0" quotePrefix="0" xfId="283">
      <protection locked="1" hidden="1"/>
    </xf>
    <xf numFmtId="3" fontId="189" fillId="0" borderId="0" applyAlignment="1" applyProtection="1" pivotButton="0" quotePrefix="0" xfId="0">
      <alignment horizontal="right"/>
      <protection locked="1" hidden="1"/>
    </xf>
    <xf numFmtId="3" fontId="417" fillId="0" borderId="0" applyAlignment="1" applyProtection="1" pivotButton="0" quotePrefix="0" xfId="0">
      <alignment horizontal="right"/>
      <protection locked="1" hidden="1"/>
    </xf>
    <xf numFmtId="3" fontId="467" fillId="0" borderId="0" applyAlignment="1" applyProtection="1" pivotButton="0" quotePrefix="0" xfId="0">
      <alignment horizontal="right"/>
      <protection locked="1" hidden="1"/>
    </xf>
    <xf numFmtId="3" fontId="467" fillId="23" borderId="0" applyProtection="1" pivotButton="0" quotePrefix="0" xfId="0">
      <protection locked="1" hidden="1"/>
    </xf>
    <xf numFmtId="3" fontId="167" fillId="38" borderId="0" applyProtection="1" pivotButton="0" quotePrefix="0" xfId="0">
      <protection locked="1" hidden="1"/>
    </xf>
    <xf numFmtId="3" fontId="168" fillId="0" borderId="0" applyProtection="1" pivotButton="0" quotePrefix="0" xfId="129">
      <protection locked="1" hidden="1"/>
    </xf>
    <xf numFmtId="3" fontId="168" fillId="0" borderId="0" applyProtection="1" pivotButton="0" quotePrefix="0" xfId="129">
      <protection locked="1" hidden="1"/>
    </xf>
    <xf numFmtId="3" fontId="168" fillId="0" borderId="0" applyAlignment="1" applyProtection="1" pivotButton="0" quotePrefix="0" xfId="283">
      <alignment horizontal="right"/>
      <protection locked="1" hidden="1"/>
    </xf>
    <xf numFmtId="3" fontId="168" fillId="0" borderId="0" applyAlignment="1" applyProtection="1" pivotButton="0" quotePrefix="0" xfId="0">
      <alignment horizontal="right"/>
      <protection locked="1" hidden="1"/>
    </xf>
    <xf numFmtId="3" fontId="167" fillId="0" borderId="0" applyProtection="1" pivotButton="0" quotePrefix="0" xfId="0">
      <protection locked="1" hidden="1"/>
    </xf>
    <xf numFmtId="3" fontId="167" fillId="23" borderId="0" applyProtection="1" pivotButton="0" quotePrefix="0" xfId="0">
      <protection locked="1" hidden="1"/>
    </xf>
    <xf numFmtId="3" fontId="21" fillId="0" borderId="0" applyAlignment="1" applyProtection="1" pivotButton="0" quotePrefix="0" xfId="0">
      <alignment horizontal="left" indent="1"/>
      <protection locked="1" hidden="1"/>
    </xf>
    <xf numFmtId="3" fontId="187" fillId="0" borderId="0" applyProtection="1" pivotButton="0" quotePrefix="0" xfId="0">
      <protection locked="1" hidden="1"/>
    </xf>
    <xf numFmtId="3" fontId="451" fillId="0" borderId="0" applyProtection="1" pivotButton="0" quotePrefix="0" xfId="0">
      <protection locked="1" hidden="1"/>
    </xf>
    <xf numFmtId="3" fontId="474" fillId="0" borderId="0" applyProtection="1" pivotButton="0" quotePrefix="0" xfId="0">
      <protection locked="1" hidden="1"/>
    </xf>
    <xf numFmtId="3" fontId="454" fillId="0" borderId="0" applyAlignment="1" applyProtection="1" pivotButton="0" quotePrefix="0" xfId="0">
      <alignment horizontal="right"/>
      <protection locked="1" hidden="1"/>
    </xf>
    <xf numFmtId="169" fontId="170" fillId="0" borderId="0" applyProtection="1" pivotButton="0" quotePrefix="0" xfId="0">
      <protection locked="1" hidden="1"/>
    </xf>
    <xf numFmtId="164" fontId="29" fillId="0" borderId="0" applyAlignment="1" applyProtection="1" pivotButton="0" quotePrefix="0" xfId="0">
      <alignment horizontal="left" indent="1"/>
      <protection locked="1" hidden="1"/>
    </xf>
    <xf numFmtId="9" fontId="64" fillId="0" borderId="0" applyProtection="1" pivotButton="0" quotePrefix="0" xfId="283">
      <protection locked="1" hidden="1"/>
    </xf>
    <xf numFmtId="166" fontId="33" fillId="0" borderId="0" applyAlignment="1" applyProtection="1" pivotButton="0" quotePrefix="0" xfId="0">
      <alignment horizontal="left" indent="1"/>
      <protection locked="1" hidden="1"/>
    </xf>
    <xf numFmtId="166" fontId="33" fillId="38" borderId="0" applyAlignment="1" applyProtection="1" pivotButton="0" quotePrefix="0" xfId="0">
      <alignment horizontal="left"/>
      <protection locked="1" hidden="1"/>
    </xf>
    <xf numFmtId="166" fontId="33" fillId="0" borderId="0" applyProtection="1" pivotButton="0" quotePrefix="0" xfId="0">
      <protection locked="1" hidden="1"/>
    </xf>
    <xf numFmtId="168" fontId="33" fillId="0" borderId="0" applyProtection="1" pivotButton="0" quotePrefix="0" xfId="129">
      <protection locked="1" hidden="1"/>
    </xf>
    <xf numFmtId="168" fontId="33" fillId="0" borderId="0" applyProtection="1" pivotButton="0" quotePrefix="0" xfId="129">
      <protection locked="1" hidden="1"/>
    </xf>
    <xf numFmtId="168" fontId="33" fillId="0" borderId="0" applyProtection="1" pivotButton="0" quotePrefix="0" xfId="129">
      <protection locked="1" hidden="1"/>
    </xf>
    <xf numFmtId="166" fontId="33" fillId="0" borderId="0" applyAlignment="1" applyProtection="1" pivotButton="0" quotePrefix="0" xfId="0">
      <alignment horizontal="right"/>
      <protection locked="1" hidden="1"/>
    </xf>
    <xf numFmtId="182" fontId="33" fillId="0" borderId="0" applyProtection="1" pivotButton="0" quotePrefix="0" xfId="0">
      <protection locked="1" hidden="1"/>
    </xf>
    <xf numFmtId="164" fontId="33" fillId="0" borderId="10" applyProtection="1" pivotButton="0" quotePrefix="0" xfId="0">
      <protection locked="1" hidden="1"/>
    </xf>
    <xf numFmtId="9" fontId="420" fillId="0" borderId="0" applyProtection="1" pivotButton="0" quotePrefix="0" xfId="283">
      <protection locked="1" hidden="1"/>
    </xf>
    <xf numFmtId="186" fontId="418" fillId="0" borderId="0" applyProtection="1" pivotButton="0" quotePrefix="0" xfId="0">
      <protection locked="1" hidden="1"/>
    </xf>
    <xf numFmtId="164" fontId="107" fillId="0" borderId="0" applyProtection="1" pivotButton="0" quotePrefix="0" xfId="0">
      <protection locked="1" hidden="1"/>
    </xf>
    <xf numFmtId="166" fontId="21" fillId="38" borderId="0" applyAlignment="1" applyProtection="1" pivotButton="0" quotePrefix="0" xfId="0">
      <alignment horizontal="left"/>
      <protection locked="1" hidden="1"/>
    </xf>
    <xf numFmtId="37" fontId="21" fillId="0" borderId="0" applyProtection="1" pivotButton="0" quotePrefix="0" xfId="0">
      <protection locked="1" hidden="1"/>
    </xf>
    <xf numFmtId="1" fontId="168" fillId="43" borderId="0" applyProtection="1" pivotButton="0" quotePrefix="0" xfId="0">
      <protection locked="1" hidden="1"/>
    </xf>
    <xf numFmtId="166" fontId="168" fillId="0" borderId="0" applyProtection="1" pivotButton="0" quotePrefix="0" xfId="0">
      <protection locked="1" hidden="1"/>
    </xf>
    <xf numFmtId="186" fontId="420" fillId="0" borderId="0" applyProtection="1" pivotButton="0" quotePrefix="0" xfId="283">
      <protection locked="1" hidden="1"/>
    </xf>
    <xf numFmtId="164" fontId="21" fillId="0" borderId="0" applyAlignment="1" applyProtection="1" pivotButton="0" quotePrefix="0" xfId="0">
      <alignment horizontal="left" indent="2"/>
      <protection locked="1" hidden="1"/>
    </xf>
    <xf numFmtId="2" fontId="19" fillId="0" borderId="0" applyProtection="1" pivotButton="0" quotePrefix="0" xfId="0">
      <protection locked="1" hidden="1"/>
    </xf>
    <xf numFmtId="169" fontId="33" fillId="0" borderId="0" applyAlignment="1" applyProtection="1" pivotButton="0" quotePrefix="0" xfId="0">
      <alignment horizontal="left" indent="1"/>
      <protection locked="1" hidden="1"/>
    </xf>
    <xf numFmtId="3" fontId="454" fillId="0" borderId="0" applyProtection="1" pivotButton="0" quotePrefix="0" xfId="0">
      <protection locked="1" hidden="1"/>
    </xf>
    <xf numFmtId="169" fontId="20" fillId="0" borderId="0" applyAlignment="1" applyProtection="1" pivotButton="0" quotePrefix="0" xfId="0">
      <alignment horizontal="left"/>
      <protection locked="1" hidden="1"/>
    </xf>
    <xf numFmtId="166" fontId="64" fillId="0" borderId="0" applyProtection="1" pivotButton="0" quotePrefix="0" xfId="0">
      <protection locked="1" hidden="1"/>
    </xf>
    <xf numFmtId="166" fontId="64" fillId="113" borderId="0" applyProtection="1" pivotButton="0" quotePrefix="0" xfId="0">
      <protection locked="1" hidden="1"/>
    </xf>
    <xf numFmtId="3" fontId="33" fillId="0" borderId="0" applyAlignment="1" applyProtection="1" pivotButton="0" quotePrefix="0" xfId="0">
      <alignment horizontal="right"/>
      <protection locked="1" hidden="1"/>
    </xf>
    <xf numFmtId="3" fontId="454" fillId="23" borderId="0" applyProtection="1" pivotButton="0" quotePrefix="0" xfId="0">
      <protection locked="1" hidden="1"/>
    </xf>
    <xf numFmtId="3" fontId="441" fillId="43" borderId="0" applyProtection="1" pivotButton="0" quotePrefix="0" xfId="0">
      <protection locked="1" hidden="1"/>
    </xf>
    <xf numFmtId="3" fontId="32" fillId="0" borderId="0" applyAlignment="1" applyProtection="1" pivotButton="0" quotePrefix="0" xfId="0">
      <alignment horizontal="right"/>
      <protection locked="1" hidden="1"/>
    </xf>
    <xf numFmtId="3" fontId="417" fillId="23" borderId="0" applyProtection="1" pivotButton="0" quotePrefix="0" xfId="0">
      <protection locked="1" hidden="1"/>
    </xf>
    <xf numFmtId="3" fontId="452" fillId="43" borderId="0" applyProtection="1" pivotButton="0" quotePrefix="0" xfId="0">
      <protection locked="1" hidden="1"/>
    </xf>
    <xf numFmtId="165" fontId="33" fillId="0" borderId="0" applyAlignment="1" applyProtection="1" pivotButton="0" quotePrefix="0" xfId="283">
      <alignment horizontal="left" indent="1"/>
      <protection locked="1" hidden="1"/>
    </xf>
    <xf numFmtId="165" fontId="475" fillId="38" borderId="0" applyAlignment="1" applyProtection="1" pivotButton="0" quotePrefix="0" xfId="283">
      <alignment horizontal="right"/>
      <protection locked="1" hidden="1"/>
    </xf>
    <xf numFmtId="165" fontId="33" fillId="0" borderId="0" applyAlignment="1" applyProtection="1" pivotButton="0" quotePrefix="0" xfId="283">
      <alignment horizontal="right"/>
      <protection locked="1" hidden="1"/>
    </xf>
    <xf numFmtId="165" fontId="33" fillId="0" borderId="0" applyAlignment="1" applyProtection="1" pivotButton="0" quotePrefix="0" xfId="283">
      <alignment horizontal="right"/>
      <protection locked="1" hidden="1"/>
    </xf>
    <xf numFmtId="9" fontId="33" fillId="0" borderId="0" applyAlignment="1" applyProtection="1" pivotButton="0" quotePrefix="0" xfId="283">
      <alignment horizontal="right"/>
      <protection locked="1" hidden="1"/>
    </xf>
    <xf numFmtId="9" fontId="33" fillId="0" borderId="0" applyAlignment="1" applyProtection="1" pivotButton="0" quotePrefix="0" xfId="283">
      <alignment horizontal="right"/>
      <protection locked="1" hidden="1"/>
    </xf>
    <xf numFmtId="165" fontId="33" fillId="0" borderId="0" applyAlignment="1" applyProtection="1" pivotButton="0" quotePrefix="0" xfId="283">
      <alignment horizontal="right"/>
      <protection locked="1" hidden="1"/>
    </xf>
    <xf numFmtId="165" fontId="33" fillId="0" borderId="0" applyAlignment="1" applyProtection="1" pivotButton="0" quotePrefix="0" xfId="0">
      <alignment horizontal="right"/>
      <protection locked="1" hidden="1"/>
    </xf>
    <xf numFmtId="165" fontId="33" fillId="0" borderId="0" applyAlignment="1" applyProtection="1" pivotButton="0" quotePrefix="0" xfId="283">
      <alignment horizontal="right"/>
      <protection locked="1" hidden="1"/>
    </xf>
    <xf numFmtId="38" fontId="33" fillId="0" borderId="0" applyAlignment="1" applyProtection="1" pivotButton="0" quotePrefix="0" xfId="129">
      <alignment horizontal="right"/>
      <protection locked="1" hidden="1"/>
    </xf>
    <xf numFmtId="165" fontId="475" fillId="0" borderId="0" applyAlignment="1" applyProtection="1" pivotButton="0" quotePrefix="0" xfId="283">
      <alignment horizontal="right"/>
      <protection locked="1" hidden="1"/>
    </xf>
    <xf numFmtId="9" fontId="454" fillId="0" borderId="0" applyProtection="1" pivotButton="0" quotePrefix="0" xfId="283">
      <protection locked="1" hidden="1"/>
    </xf>
    <xf numFmtId="173" fontId="33" fillId="0" borderId="0" applyAlignment="1" applyProtection="1" pivotButton="0" quotePrefix="0" xfId="129">
      <alignment horizontal="right"/>
      <protection locked="1" hidden="1"/>
    </xf>
    <xf numFmtId="3" fontId="476" fillId="0" borderId="0" applyProtection="1" pivotButton="0" quotePrefix="0" xfId="0">
      <protection locked="1" hidden="1"/>
    </xf>
    <xf numFmtId="3" fontId="477" fillId="0" borderId="0" applyProtection="1" pivotButton="0" quotePrefix="0" xfId="0">
      <protection locked="1" hidden="1"/>
    </xf>
    <xf numFmtId="169" fontId="33" fillId="0" borderId="0" applyAlignment="1" applyProtection="1" pivotButton="0" quotePrefix="0" xfId="0">
      <alignment horizontal="left" indent="2"/>
      <protection locked="1" hidden="1"/>
    </xf>
    <xf numFmtId="3" fontId="417" fillId="0" borderId="0" applyProtection="1" pivotButton="0" quotePrefix="0" xfId="283">
      <protection locked="1" hidden="1"/>
    </xf>
    <xf numFmtId="3" fontId="32" fillId="0" borderId="0" applyAlignment="1" applyProtection="1" pivotButton="0" quotePrefix="0" xfId="283">
      <alignment horizontal="right"/>
      <protection locked="1" hidden="1"/>
    </xf>
    <xf numFmtId="3" fontId="417" fillId="39" borderId="0" applyProtection="1" pivotButton="0" quotePrefix="0" xfId="0">
      <protection locked="1" hidden="1"/>
    </xf>
    <xf numFmtId="3" fontId="32" fillId="23" borderId="0" applyProtection="1" pivotButton="0" quotePrefix="0" xfId="0">
      <protection locked="1" hidden="1"/>
    </xf>
    <xf numFmtId="3" fontId="33" fillId="0" borderId="0" applyAlignment="1" applyProtection="1" pivotButton="0" quotePrefix="0" xfId="0">
      <alignment horizontal="left" indent="1"/>
      <protection locked="1" hidden="1"/>
    </xf>
    <xf numFmtId="3" fontId="32" fillId="0" borderId="0" applyAlignment="1" applyProtection="1" pivotButton="0" quotePrefix="0" xfId="283">
      <alignment horizontal="right"/>
      <protection locked="1" hidden="1"/>
    </xf>
    <xf numFmtId="3" fontId="33" fillId="0" borderId="0" applyAlignment="1" applyProtection="1" pivotButton="0" quotePrefix="0" xfId="0">
      <alignment horizontal="left" indent="2"/>
      <protection locked="1" hidden="1"/>
    </xf>
    <xf numFmtId="3" fontId="453" fillId="0" borderId="0" applyAlignment="1" applyProtection="1" pivotButton="0" quotePrefix="0" xfId="283">
      <alignment horizontal="right"/>
      <protection locked="1" hidden="1"/>
    </xf>
    <xf numFmtId="3" fontId="453" fillId="0" borderId="0" applyAlignment="1" applyProtection="1" pivotButton="0" quotePrefix="0" xfId="0">
      <alignment horizontal="right"/>
      <protection locked="1" hidden="1"/>
    </xf>
    <xf numFmtId="3" fontId="187" fillId="38" borderId="0" applyProtection="1" pivotButton="0" quotePrefix="0" xfId="0">
      <protection locked="1" hidden="1"/>
    </xf>
    <xf numFmtId="3" fontId="453" fillId="0" borderId="0" applyAlignment="1" applyProtection="1" pivotButton="0" quotePrefix="0" xfId="283">
      <alignment horizontal="right"/>
      <protection locked="1" hidden="1"/>
    </xf>
    <xf numFmtId="3" fontId="453" fillId="23" borderId="0" applyProtection="1" pivotButton="0" quotePrefix="0" xfId="0">
      <protection locked="1" hidden="1"/>
    </xf>
    <xf numFmtId="3" fontId="454" fillId="0" borderId="0" applyProtection="1" pivotButton="0" quotePrefix="0" xfId="283">
      <protection locked="1" hidden="1"/>
    </xf>
    <xf numFmtId="3" fontId="33" fillId="0" borderId="0" applyAlignment="1" applyProtection="1" pivotButton="0" quotePrefix="0" xfId="283">
      <alignment horizontal="right"/>
      <protection locked="1" hidden="1"/>
    </xf>
    <xf numFmtId="3" fontId="32" fillId="0" borderId="0" applyAlignment="1" applyProtection="1" pivotButton="0" quotePrefix="0" xfId="129">
      <alignment horizontal="right"/>
      <protection locked="1" hidden="1"/>
    </xf>
    <xf numFmtId="3" fontId="33" fillId="0" borderId="0" applyAlignment="1" applyProtection="1" pivotButton="0" quotePrefix="0" xfId="129">
      <alignment horizontal="right"/>
      <protection locked="1" hidden="1"/>
    </xf>
    <xf numFmtId="3" fontId="454" fillId="39" borderId="0" applyProtection="1" pivotButton="0" quotePrefix="0" xfId="0">
      <protection locked="1" hidden="1"/>
    </xf>
    <xf numFmtId="3" fontId="33" fillId="23" borderId="0" applyProtection="1" pivotButton="0" quotePrefix="0" xfId="0">
      <protection locked="1" hidden="1"/>
    </xf>
    <xf numFmtId="166" fontId="32" fillId="0" borderId="0" applyProtection="1" pivotButton="0" quotePrefix="0" xfId="283">
      <protection locked="1" hidden="1"/>
    </xf>
    <xf numFmtId="1" fontId="21" fillId="0" borderId="0" applyProtection="1" pivotButton="0" quotePrefix="0" xfId="283">
      <protection locked="1" hidden="1"/>
    </xf>
    <xf numFmtId="3" fontId="64" fillId="113" borderId="0" applyProtection="1" pivotButton="0" quotePrefix="0" xfId="0">
      <protection locked="1" hidden="1"/>
    </xf>
    <xf numFmtId="166" fontId="412" fillId="0" borderId="0" applyProtection="1" pivotButton="0" quotePrefix="0" xfId="0">
      <protection locked="1" hidden="1"/>
    </xf>
    <xf numFmtId="164" fontId="412" fillId="0" borderId="0" applyAlignment="1" applyProtection="1" pivotButton="0" quotePrefix="0" xfId="0">
      <alignment horizontal="right" vertical="center" wrapText="1"/>
      <protection locked="1" hidden="1"/>
    </xf>
    <xf numFmtId="164" fontId="412" fillId="0" borderId="0" applyAlignment="1" applyProtection="1" pivotButton="0" quotePrefix="0" xfId="0">
      <alignment horizontal="right"/>
      <protection locked="1" hidden="1"/>
    </xf>
    <xf numFmtId="175" fontId="19" fillId="0" borderId="0" applyProtection="1" pivotButton="0" quotePrefix="0" xfId="0">
      <protection locked="1" hidden="1"/>
    </xf>
    <xf numFmtId="169" fontId="478" fillId="0" borderId="0" applyProtection="1" pivotButton="0" quotePrefix="0" xfId="0">
      <protection locked="1" hidden="1"/>
    </xf>
    <xf numFmtId="169" fontId="475" fillId="0" borderId="0" applyProtection="1" pivotButton="0" quotePrefix="0" xfId="0">
      <protection locked="1" hidden="1"/>
    </xf>
    <xf numFmtId="164" fontId="417" fillId="0" borderId="0" applyProtection="1" pivotButton="0" quotePrefix="0" xfId="0">
      <protection locked="1" hidden="1"/>
    </xf>
    <xf numFmtId="1" fontId="441" fillId="0" borderId="0" applyProtection="1" pivotButton="0" quotePrefix="0" xfId="283">
      <protection locked="1" hidden="1"/>
    </xf>
    <xf numFmtId="1" fontId="441" fillId="0" borderId="0" applyProtection="1" pivotButton="0" quotePrefix="0" xfId="0">
      <protection locked="1" hidden="1"/>
    </xf>
    <xf numFmtId="176" fontId="32" fillId="0" borderId="0" applyProtection="1" pivotButton="0" quotePrefix="0" xfId="0">
      <protection locked="1" hidden="1"/>
    </xf>
    <xf numFmtId="176" fontId="17" fillId="0" borderId="0" applyProtection="1" pivotButton="0" quotePrefix="0" xfId="0">
      <protection locked="1" hidden="1"/>
    </xf>
    <xf numFmtId="176" fontId="33" fillId="0" borderId="0" applyProtection="1" pivotButton="0" quotePrefix="0" xfId="0">
      <protection locked="1" hidden="1"/>
    </xf>
    <xf numFmtId="176" fontId="19" fillId="0" borderId="0" applyProtection="1" pivotButton="0" quotePrefix="0" xfId="0">
      <protection locked="1" hidden="1"/>
    </xf>
    <xf numFmtId="176" fontId="452" fillId="0" borderId="0" applyProtection="1" pivotButton="0" quotePrefix="0" xfId="0">
      <protection locked="1" hidden="1"/>
    </xf>
    <xf numFmtId="176" fontId="454" fillId="0" borderId="0" applyProtection="1" pivotButton="0" quotePrefix="0" xfId="0">
      <protection locked="1" hidden="1"/>
    </xf>
    <xf numFmtId="176" fontId="441" fillId="0" borderId="0" applyProtection="1" pivotButton="0" quotePrefix="0" xfId="0">
      <protection locked="1" hidden="1"/>
    </xf>
    <xf numFmtId="176" fontId="453" fillId="0" borderId="0" applyProtection="1" pivotButton="0" quotePrefix="0" xfId="0">
      <protection locked="1" hidden="1"/>
    </xf>
    <xf numFmtId="176" fontId="19" fillId="0" borderId="0" applyProtection="1" pivotButton="0" quotePrefix="0" xfId="283">
      <protection locked="1" hidden="1"/>
    </xf>
    <xf numFmtId="176" fontId="21" fillId="0" borderId="0" pivotButton="0" quotePrefix="0" xfId="0"/>
    <xf numFmtId="176" fontId="32" fillId="0" borderId="0" pivotButton="0" quotePrefix="0" xfId="0"/>
    <xf numFmtId="10" fontId="170" fillId="0" borderId="0" applyProtection="1" pivotButton="0" quotePrefix="0" xfId="283">
      <protection locked="1" hidden="1"/>
    </xf>
    <xf numFmtId="10" fontId="170" fillId="0" borderId="0" applyProtection="1" pivotButton="0" quotePrefix="0" xfId="283">
      <protection locked="1" hidden="1"/>
    </xf>
    <xf numFmtId="164" fontId="171" fillId="0" borderId="0" applyAlignment="1" applyProtection="1" pivotButton="0" quotePrefix="0" xfId="0">
      <alignment horizontal="right"/>
      <protection locked="1" hidden="1"/>
    </xf>
    <xf numFmtId="3" fontId="163" fillId="0" borderId="0" applyProtection="1" pivotButton="0" quotePrefix="0" xfId="283">
      <protection locked="1" hidden="1"/>
    </xf>
    <xf numFmtId="4" fontId="170" fillId="0" borderId="0" applyProtection="1" pivotButton="0" quotePrefix="0" xfId="0">
      <protection locked="1" hidden="1"/>
    </xf>
    <xf numFmtId="3" fontId="164" fillId="0" borderId="0" applyProtection="1" pivotButton="0" quotePrefix="0" xfId="0">
      <protection locked="1" hidden="1"/>
    </xf>
    <xf numFmtId="165" fontId="24" fillId="38" borderId="0" applyProtection="1" pivotButton="0" quotePrefix="0" xfId="0">
      <protection locked="1" hidden="1"/>
    </xf>
    <xf numFmtId="165" fontId="18" fillId="0" borderId="0" applyProtection="1" pivotButton="0" quotePrefix="0" xfId="0">
      <protection locked="1" hidden="1"/>
    </xf>
    <xf numFmtId="165" fontId="18" fillId="0" borderId="0" applyProtection="1" pivotButton="0" quotePrefix="0" xfId="129">
      <protection locked="1" hidden="1"/>
    </xf>
    <xf numFmtId="2" fontId="467" fillId="0" borderId="0" applyProtection="1" pivotButton="0" quotePrefix="0" xfId="283">
      <protection locked="1" hidden="1"/>
    </xf>
    <xf numFmtId="165" fontId="170" fillId="0" borderId="0" applyProtection="1" pivotButton="0" quotePrefix="0" xfId="283">
      <protection locked="1" hidden="1"/>
    </xf>
    <xf numFmtId="3" fontId="441" fillId="0" borderId="0" applyProtection="1" pivotButton="0" quotePrefix="0" xfId="283">
      <protection locked="1" hidden="1"/>
    </xf>
    <xf numFmtId="4" fontId="170" fillId="0" borderId="0" applyProtection="1" pivotButton="0" quotePrefix="0" xfId="283">
      <protection locked="1" hidden="1"/>
    </xf>
    <xf numFmtId="3" fontId="170" fillId="0" borderId="0" applyProtection="1" pivotButton="0" quotePrefix="0" xfId="283">
      <protection locked="1" hidden="1"/>
    </xf>
    <xf numFmtId="38" fontId="17" fillId="0" borderId="0" applyAlignment="1" applyProtection="1" pivotButton="0" quotePrefix="0" xfId="129">
      <alignment horizontal="right"/>
      <protection locked="1" hidden="1"/>
    </xf>
    <xf numFmtId="9" fontId="18" fillId="0" borderId="0" applyProtection="1" pivotButton="0" quotePrefix="0" xfId="283">
      <protection locked="1" hidden="1"/>
    </xf>
    <xf numFmtId="4" fontId="170" fillId="0" borderId="0" applyProtection="1" pivotButton="0" quotePrefix="0" xfId="283">
      <protection locked="1" hidden="1"/>
    </xf>
    <xf numFmtId="166" fontId="416" fillId="43" borderId="0" applyAlignment="1" applyProtection="1" pivotButton="0" quotePrefix="0" xfId="283">
      <alignment horizontal="right"/>
      <protection locked="1" hidden="1"/>
    </xf>
    <xf numFmtId="3" fontId="17" fillId="43" borderId="0" applyProtection="1" pivotButton="0" quotePrefix="0" xfId="0">
      <protection locked="1" hidden="1"/>
    </xf>
    <xf numFmtId="14" fontId="479" fillId="0" borderId="0" applyAlignment="1" pivotButton="0" quotePrefix="0" xfId="267">
      <alignment horizontal="right"/>
    </xf>
    <xf numFmtId="169" fontId="21" fillId="0" borderId="0" applyAlignment="1" applyProtection="1" pivotButton="0" quotePrefix="0" xfId="0">
      <alignment horizontal="left" indent="2"/>
      <protection locked="1" hidden="1"/>
    </xf>
    <xf numFmtId="169" fontId="17" fillId="0" borderId="0" applyAlignment="1" applyProtection="1" pivotButton="0" quotePrefix="0" xfId="0">
      <alignment horizontal="left" indent="3"/>
      <protection locked="1" hidden="1"/>
    </xf>
    <xf numFmtId="3" fontId="33" fillId="0" borderId="0" applyProtection="1" pivotButton="0" quotePrefix="0" xfId="283">
      <protection locked="1" hidden="1"/>
    </xf>
    <xf numFmtId="3" fontId="441" fillId="0" borderId="0" applyAlignment="1" applyProtection="1" pivotButton="0" quotePrefix="0" xfId="0">
      <alignment horizontal="right"/>
      <protection locked="1" hidden="1"/>
    </xf>
    <xf numFmtId="3" fontId="33" fillId="0" borderId="0" applyProtection="1" pivotButton="0" quotePrefix="0" xfId="129">
      <protection locked="1" hidden="1"/>
    </xf>
    <xf numFmtId="164" fontId="451" fillId="0" borderId="0" applyProtection="1" pivotButton="0" quotePrefix="0" xfId="0">
      <protection locked="1" hidden="1"/>
    </xf>
    <xf numFmtId="164" fontId="33" fillId="0" borderId="0" applyAlignment="1" applyProtection="1" pivotButton="0" quotePrefix="0" xfId="0">
      <alignment horizontal="left" indent="1"/>
      <protection locked="1" hidden="1"/>
    </xf>
    <xf numFmtId="165" fontId="33" fillId="0" borderId="0" applyProtection="1" pivotButton="0" quotePrefix="0" xfId="283">
      <protection locked="1" hidden="1"/>
    </xf>
    <xf numFmtId="165" fontId="453" fillId="43" borderId="0" applyProtection="1" pivotButton="0" quotePrefix="0" xfId="283">
      <protection locked="1" hidden="1"/>
    </xf>
    <xf numFmtId="164" fontId="33" fillId="0" borderId="0" applyAlignment="1" applyProtection="1" pivotButton="0" quotePrefix="0" xfId="0">
      <alignment horizontal="right"/>
      <protection locked="1" hidden="1"/>
    </xf>
    <xf numFmtId="9" fontId="33" fillId="0" borderId="0" applyAlignment="1" applyProtection="1" pivotButton="0" quotePrefix="0" xfId="283">
      <alignment horizontal="right"/>
      <protection locked="1" hidden="1"/>
    </xf>
    <xf numFmtId="187" fontId="33" fillId="0" borderId="0" applyProtection="1" pivotButton="0" quotePrefix="0" xfId="129">
      <protection locked="1" hidden="1"/>
    </xf>
    <xf numFmtId="3" fontId="453" fillId="43" borderId="0" applyProtection="1" pivotButton="0" quotePrefix="0" xfId="0">
      <protection locked="1" hidden="1"/>
    </xf>
    <xf numFmtId="165" fontId="451" fillId="0" borderId="0" applyProtection="1" pivotButton="0" quotePrefix="0" xfId="283">
      <protection locked="1" hidden="1"/>
    </xf>
    <xf numFmtId="40" fontId="33" fillId="0" borderId="0" applyProtection="1" pivotButton="0" quotePrefix="0" xfId="129">
      <protection locked="1" hidden="1"/>
    </xf>
    <xf numFmtId="164" fontId="33" fillId="0" borderId="0" applyAlignment="1" applyProtection="1" pivotButton="0" quotePrefix="0" xfId="283">
      <alignment horizontal="right"/>
      <protection locked="1" hidden="1"/>
    </xf>
    <xf numFmtId="164" fontId="33" fillId="0" borderId="0" applyAlignment="1" applyProtection="1" pivotButton="0" quotePrefix="0" xfId="0">
      <alignment horizontal="left" indent="2"/>
      <protection locked="1" hidden="1"/>
    </xf>
    <xf numFmtId="165" fontId="33" fillId="0" borderId="0" applyAlignment="1" applyProtection="1" pivotButton="0" quotePrefix="0" xfId="283">
      <alignment horizontal="left" indent="2"/>
      <protection locked="1" hidden="1"/>
    </xf>
    <xf numFmtId="3" fontId="32" fillId="0" borderId="0" applyProtection="1" pivotButton="0" quotePrefix="0" xfId="283">
      <protection locked="1" hidden="1"/>
    </xf>
    <xf numFmtId="3" fontId="32" fillId="0" borderId="0" applyProtection="1" pivotButton="0" quotePrefix="0" xfId="129">
      <protection locked="1" hidden="1"/>
    </xf>
    <xf numFmtId="169" fontId="452" fillId="0" borderId="0" applyProtection="1" pivotButton="0" quotePrefix="0" xfId="0">
      <protection locked="1" hidden="1"/>
    </xf>
    <xf numFmtId="3" fontId="32" fillId="43" borderId="0" applyProtection="1" pivotButton="0" quotePrefix="0" xfId="0">
      <protection locked="1" hidden="1"/>
    </xf>
    <xf numFmtId="3" fontId="452" fillId="0" borderId="0" applyAlignment="1" applyProtection="1" pivotButton="0" quotePrefix="0" xfId="0">
      <alignment horizontal="right"/>
      <protection locked="1" hidden="1"/>
    </xf>
    <xf numFmtId="3" fontId="32" fillId="0" borderId="0" applyProtection="1" pivotButton="0" quotePrefix="0" xfId="283">
      <protection locked="1" hidden="1"/>
    </xf>
    <xf numFmtId="3" fontId="187" fillId="43" borderId="0" applyProtection="1" pivotButton="0" quotePrefix="0" xfId="0">
      <protection locked="1" hidden="1"/>
    </xf>
    <xf numFmtId="2" fontId="445" fillId="113" borderId="141" applyProtection="1" pivotButton="0" quotePrefix="0" xfId="0">
      <protection locked="1" hidden="1"/>
    </xf>
    <xf numFmtId="2" fontId="445" fillId="113" borderId="0" applyAlignment="1" applyProtection="1" pivotButton="0" quotePrefix="0" xfId="0">
      <alignment horizontal="center"/>
      <protection locked="1" hidden="1"/>
    </xf>
    <xf numFmtId="2" fontId="445" fillId="113" borderId="142" applyAlignment="1" applyProtection="1" pivotButton="0" quotePrefix="0" xfId="0">
      <alignment horizontal="center"/>
      <protection locked="1" hidden="1"/>
    </xf>
    <xf numFmtId="3" fontId="481" fillId="0" borderId="0" applyProtection="1" pivotButton="0" quotePrefix="0" xfId="0">
      <protection locked="1" hidden="1"/>
    </xf>
    <xf numFmtId="164" fontId="21" fillId="0" borderId="0" applyAlignment="1" applyProtection="1" pivotButton="0" quotePrefix="0" xfId="0">
      <alignment horizontal="left" indent="1"/>
      <protection locked="1" hidden="1"/>
    </xf>
    <xf numFmtId="10" fontId="21" fillId="0" borderId="0" applyProtection="1" pivotButton="0" quotePrefix="0" xfId="283">
      <protection locked="1" hidden="1"/>
    </xf>
    <xf numFmtId="10" fontId="21" fillId="0" borderId="0" applyAlignment="1" applyProtection="1" pivotButton="0" quotePrefix="0" xfId="283">
      <alignment horizontal="right"/>
      <protection locked="1" hidden="1"/>
    </xf>
    <xf numFmtId="164" fontId="163" fillId="0" borderId="0" applyProtection="1" pivotButton="0" quotePrefix="0" xfId="0">
      <protection locked="1" hidden="1"/>
    </xf>
    <xf numFmtId="9" fontId="163" fillId="0" borderId="0" applyProtection="1" pivotButton="0" quotePrefix="0" xfId="0">
      <protection locked="1" hidden="1"/>
    </xf>
    <xf numFmtId="9" fontId="164" fillId="0" borderId="0" applyProtection="1" pivotButton="0" quotePrefix="0" xfId="0">
      <protection locked="1" hidden="1"/>
    </xf>
    <xf numFmtId="9" fontId="21" fillId="0" borderId="0" applyAlignment="1" applyProtection="1" pivotButton="0" quotePrefix="0" xfId="283">
      <alignment horizontal="center"/>
      <protection locked="1" hidden="1"/>
    </xf>
    <xf numFmtId="165" fontId="21" fillId="0" borderId="0" applyAlignment="1" applyProtection="1" pivotButton="0" quotePrefix="0" xfId="283">
      <alignment horizontal="center"/>
      <protection locked="1" hidden="1"/>
    </xf>
    <xf numFmtId="164" fontId="452" fillId="0" borderId="0" applyProtection="1" pivotButton="0" quotePrefix="0" xfId="0">
      <protection locked="1" hidden="1"/>
    </xf>
    <xf numFmtId="164" fontId="456" fillId="0" borderId="0" pivotButton="0" quotePrefix="0" xfId="22435"/>
    <xf numFmtId="0" fontId="433" fillId="0" borderId="0" applyAlignment="1" pivotButton="0" quotePrefix="0" xfId="267">
      <alignment horizontal="left" indent="1"/>
    </xf>
    <xf numFmtId="0" fontId="482" fillId="0" borderId="0" pivotButton="0" quotePrefix="0" xfId="267"/>
    <xf numFmtId="2" fontId="412" fillId="109" borderId="0" applyProtection="1" pivotButton="0" quotePrefix="0" xfId="0">
      <protection locked="1" hidden="1"/>
    </xf>
    <xf numFmtId="2" fontId="412" fillId="109" borderId="56" applyAlignment="1" applyProtection="1" pivotButton="0" quotePrefix="0" xfId="283">
      <alignment horizontal="right" vertical="center" wrapText="1"/>
      <protection locked="1" hidden="1"/>
    </xf>
    <xf numFmtId="165" fontId="419" fillId="0" borderId="0" applyProtection="1" pivotButton="0" quotePrefix="0" xfId="283">
      <protection locked="1" hidden="1"/>
    </xf>
    <xf numFmtId="165" fontId="350" fillId="0" borderId="0" pivotButton="0" quotePrefix="0" xfId="5"/>
    <xf numFmtId="186" fontId="446" fillId="0" borderId="0" pivotButton="0" quotePrefix="0" xfId="22435"/>
    <xf numFmtId="1" fontId="434" fillId="0" borderId="0" pivotButton="0" quotePrefix="0" xfId="267"/>
    <xf numFmtId="9" fontId="42" fillId="0" borderId="0" pivotButton="0" quotePrefix="0" xfId="283"/>
    <xf numFmtId="165" fontId="483" fillId="0" borderId="0" pivotButton="0" quotePrefix="0" xfId="5"/>
    <xf numFmtId="3" fontId="483" fillId="0" borderId="0" pivotButton="0" quotePrefix="0" xfId="5"/>
    <xf numFmtId="165" fontId="42" fillId="0" borderId="0" pivotButton="0" quotePrefix="0" xfId="283"/>
    <xf numFmtId="9" fontId="446" fillId="0" borderId="0" pivotButton="0" quotePrefix="0" xfId="283"/>
    <xf numFmtId="9" fontId="446" fillId="0" borderId="0" applyAlignment="1" pivotButton="0" quotePrefix="0" xfId="283">
      <alignment horizontal="left"/>
    </xf>
    <xf numFmtId="165" fontId="209" fillId="0" borderId="0" applyAlignment="1" pivotButton="0" quotePrefix="0" xfId="267">
      <alignment horizontal="center"/>
    </xf>
    <xf numFmtId="2" fontId="20" fillId="0" borderId="0" applyProtection="1" pivotButton="0" quotePrefix="0" xfId="283">
      <protection locked="1" hidden="1"/>
    </xf>
    <xf numFmtId="165" fontId="1" fillId="0" borderId="0" pivotButton="0" quotePrefix="0" xfId="283"/>
    <xf numFmtId="3" fontId="1" fillId="0" borderId="0" pivotButton="0" quotePrefix="0" xfId="452"/>
    <xf numFmtId="165" fontId="1" fillId="0" borderId="0" pivotButton="0" quotePrefix="0" xfId="452"/>
    <xf numFmtId="37" fontId="1" fillId="0" borderId="0" pivotButton="0" quotePrefix="0" xfId="452"/>
    <xf numFmtId="185" fontId="433" fillId="0" borderId="0" applyAlignment="1" pivotButton="0" quotePrefix="0" xfId="267">
      <alignment horizontal="center"/>
    </xf>
    <xf numFmtId="164" fontId="461" fillId="111" borderId="242" applyAlignment="1" applyProtection="1" pivotButton="0" quotePrefix="0" xfId="22438">
      <alignment horizontal="left"/>
      <protection locked="1" hidden="1"/>
    </xf>
    <xf numFmtId="184" fontId="461" fillId="111" borderId="243" applyAlignment="1" applyProtection="1" pivotButton="0" quotePrefix="0" xfId="22438">
      <alignment horizontal="right"/>
      <protection locked="1" hidden="1"/>
    </xf>
    <xf numFmtId="184" fontId="461" fillId="111" borderId="243" applyAlignment="1" applyProtection="1" pivotButton="0" quotePrefix="1" xfId="22438">
      <alignment horizontal="right"/>
      <protection locked="1" hidden="1"/>
    </xf>
    <xf numFmtId="184" fontId="461" fillId="111" borderId="244" applyAlignment="1" applyProtection="1" pivotButton="0" quotePrefix="1" xfId="22438">
      <alignment horizontal="right"/>
      <protection locked="1" hidden="1"/>
    </xf>
    <xf numFmtId="164" fontId="483" fillId="113" borderId="0" pivotButton="0" quotePrefix="0" xfId="22438"/>
    <xf numFmtId="164" fontId="1" fillId="113" borderId="0" pivotButton="0" quotePrefix="0" xfId="22438"/>
    <xf numFmtId="3" fontId="1" fillId="113" borderId="0" applyAlignment="1" pivotButton="0" quotePrefix="0" xfId="22438">
      <alignment horizontal="right"/>
    </xf>
    <xf numFmtId="3" fontId="1" fillId="113" borderId="0" pivotButton="0" quotePrefix="0" xfId="22438"/>
    <xf numFmtId="188" fontId="483" fillId="0" borderId="0" applyAlignment="1" pivotButton="0" quotePrefix="0" xfId="450">
      <alignment horizontal="left"/>
    </xf>
    <xf numFmtId="3" fontId="483" fillId="0" borderId="0" pivotButton="0" quotePrefix="0" xfId="450"/>
    <xf numFmtId="3" fontId="483" fillId="0" borderId="0" applyAlignment="1" pivotButton="0" quotePrefix="0" xfId="5">
      <alignment vertical="center" wrapText="1"/>
    </xf>
    <xf numFmtId="10" fontId="1" fillId="0" borderId="0" applyAlignment="1" pivotButton="0" quotePrefix="0" xfId="450">
      <alignment horizontal="left" indent="1"/>
    </xf>
    <xf numFmtId="165" fontId="1" fillId="0" borderId="0" pivotButton="0" quotePrefix="0" xfId="5"/>
    <xf numFmtId="189" fontId="483" fillId="0" borderId="0" pivotButton="0" quotePrefix="0" xfId="450"/>
    <xf numFmtId="189" fontId="483" fillId="0" borderId="0" pivotButton="0" quotePrefix="0" xfId="5"/>
    <xf numFmtId="189" fontId="483" fillId="0" borderId="0" applyAlignment="1" pivotButton="0" quotePrefix="0" xfId="5">
      <alignment horizontal="right"/>
    </xf>
    <xf numFmtId="189" fontId="483" fillId="0" borderId="0" applyAlignment="1" pivotButton="0" quotePrefix="0" xfId="5">
      <alignment horizontal="right" vertical="center" wrapText="1"/>
    </xf>
    <xf numFmtId="189" fontId="483" fillId="0" borderId="0" applyAlignment="1" pivotButton="0" quotePrefix="0" xfId="5">
      <alignment wrapText="1"/>
    </xf>
    <xf numFmtId="37" fontId="1" fillId="0" borderId="0" pivotButton="0" quotePrefix="0" xfId="22438"/>
    <xf numFmtId="37" fontId="1" fillId="0" borderId="0" pivotButton="0" quotePrefix="0" xfId="0"/>
    <xf numFmtId="189" fontId="1" fillId="0" borderId="0" applyAlignment="1" pivotButton="0" quotePrefix="0" xfId="450">
      <alignment horizontal="left" indent="1"/>
    </xf>
    <xf numFmtId="189" fontId="1" fillId="0" borderId="0" pivotButton="0" quotePrefix="0" xfId="5"/>
    <xf numFmtId="189" fontId="1" fillId="0" borderId="0" pivotButton="0" quotePrefix="0" xfId="450"/>
    <xf numFmtId="189" fontId="1" fillId="0" borderId="0" applyAlignment="1" pivotButton="0" quotePrefix="0" xfId="5">
      <alignment horizontal="right"/>
    </xf>
    <xf numFmtId="189" fontId="1" fillId="0" borderId="0" applyAlignment="1" pivotButton="0" quotePrefix="0" xfId="5">
      <alignment horizontal="right" vertical="center" wrapText="1"/>
    </xf>
    <xf numFmtId="37" fontId="483" fillId="0" borderId="0" pivotButton="0" quotePrefix="0" xfId="0"/>
    <xf numFmtId="165" fontId="1" fillId="0" borderId="0" pivotButton="0" quotePrefix="0" xfId="453"/>
    <xf numFmtId="165" fontId="1" fillId="0" borderId="0" applyAlignment="1" pivotButton="0" quotePrefix="0" xfId="5">
      <alignment horizontal="right"/>
    </xf>
    <xf numFmtId="0" fontId="1" fillId="0" borderId="0" applyAlignment="1" pivotButton="0" quotePrefix="0" xfId="451">
      <alignment vertical="center"/>
    </xf>
    <xf numFmtId="0" fontId="1" fillId="0" borderId="0" applyAlignment="1" pivotButton="0" quotePrefix="0" xfId="22439">
      <alignment vertical="center"/>
    </xf>
    <xf numFmtId="0" fontId="1" fillId="0" borderId="0" pivotButton="0" quotePrefix="0" xfId="452"/>
    <xf numFmtId="188" fontId="483" fillId="0" borderId="0" pivotButton="0" quotePrefix="0" xfId="5"/>
    <xf numFmtId="188" fontId="483" fillId="0" borderId="0" pivotButton="0" quotePrefix="0" xfId="450"/>
    <xf numFmtId="188" fontId="483" fillId="0" borderId="0" applyAlignment="1" pivotButton="0" quotePrefix="0" xfId="5">
      <alignment vertical="center" wrapText="1"/>
    </xf>
    <xf numFmtId="38" fontId="483" fillId="0" borderId="0" pivotButton="0" quotePrefix="0" xfId="5"/>
    <xf numFmtId="190" fontId="483" fillId="0" borderId="0" pivotButton="0" quotePrefix="0" xfId="5"/>
    <xf numFmtId="37" fontId="483" fillId="0" borderId="0" pivotButton="0" quotePrefix="0" xfId="22438"/>
    <xf numFmtId="165" fontId="1" fillId="0" borderId="0" applyAlignment="1" pivotButton="0" quotePrefix="0" xfId="450">
      <alignment horizontal="left" indent="1"/>
    </xf>
    <xf numFmtId="165" fontId="483" fillId="0" borderId="0" applyAlignment="1" pivotButton="0" quotePrefix="0" xfId="22440">
      <alignment horizontal="left"/>
    </xf>
    <xf numFmtId="165" fontId="483" fillId="0" borderId="0" pivotButton="0" quotePrefix="0" xfId="22440"/>
    <xf numFmtId="165" fontId="483" fillId="0" borderId="0" pivotButton="0" quotePrefix="0" xfId="453"/>
    <xf numFmtId="164" fontId="483" fillId="0" borderId="0" applyAlignment="1" applyProtection="1" pivotButton="0" quotePrefix="0" xfId="22438">
      <alignment horizontal="left"/>
      <protection locked="1" hidden="1"/>
    </xf>
    <xf numFmtId="3" fontId="483" fillId="0" borderId="0" applyAlignment="1" applyProtection="1" pivotButton="0" quotePrefix="0" xfId="22438">
      <alignment horizontal="left"/>
      <protection locked="1" hidden="1"/>
    </xf>
    <xf numFmtId="3" fontId="483" fillId="0" borderId="0" applyAlignment="1" applyProtection="1" pivotButton="0" quotePrefix="1" xfId="22438">
      <alignment horizontal="right"/>
      <protection locked="1" hidden="1"/>
    </xf>
    <xf numFmtId="3" fontId="483" fillId="0" borderId="0" applyAlignment="1" applyProtection="1" pivotButton="0" quotePrefix="0" xfId="22438">
      <alignment horizontal="right"/>
      <protection locked="1" hidden="1"/>
    </xf>
    <xf numFmtId="3" fontId="483" fillId="0" borderId="0" applyProtection="1" pivotButton="0" quotePrefix="0" xfId="22438">
      <protection locked="1" hidden="1"/>
    </xf>
    <xf numFmtId="3" fontId="1" fillId="0" borderId="0" pivotButton="0" quotePrefix="0" xfId="22438"/>
    <xf numFmtId="165" fontId="1" fillId="0" borderId="0" pivotButton="0" quotePrefix="0" xfId="283"/>
    <xf numFmtId="14" fontId="447" fillId="0" borderId="0" pivotButton="0" quotePrefix="0" xfId="0"/>
    <xf numFmtId="0" fontId="450" fillId="0" borderId="0" pivotButton="0" quotePrefix="0" xfId="0"/>
    <xf numFmtId="0" fontId="448" fillId="0" borderId="0" pivotButton="0" quotePrefix="0" xfId="0"/>
    <xf numFmtId="14" fontId="448" fillId="0" borderId="0" pivotButton="0" quotePrefix="0" xfId="0"/>
    <xf numFmtId="14" fontId="0" fillId="0" borderId="0" pivotButton="0" quotePrefix="0" xfId="0"/>
    <xf numFmtId="0" fontId="449" fillId="0" borderId="0" pivotButton="0" quotePrefix="0" xfId="0"/>
    <xf numFmtId="164" fontId="464" fillId="0" borderId="0" pivotButton="0" quotePrefix="0" xfId="0"/>
    <xf numFmtId="0" fontId="464" fillId="0" borderId="0" pivotButton="0" quotePrefix="0" xfId="0"/>
    <xf numFmtId="10" fontId="163" fillId="0" borderId="0" applyProtection="1" pivotButton="0" quotePrefix="0" xfId="283">
      <protection locked="1" hidden="1"/>
    </xf>
    <xf numFmtId="184" fontId="480" fillId="0" borderId="3" applyAlignment="1" pivotButton="0" quotePrefix="0" xfId="0">
      <alignment horizontal="center"/>
    </xf>
    <xf numFmtId="177" fontId="434" fillId="0" borderId="0" applyAlignment="1" pivotButton="0" quotePrefix="0" xfId="267">
      <alignment horizontal="right"/>
    </xf>
    <xf numFmtId="165" fontId="433" fillId="0" borderId="0" pivotButton="0" quotePrefix="0" xfId="267"/>
    <xf numFmtId="166" fontId="437" fillId="109" borderId="0" applyProtection="1" pivotButton="0" quotePrefix="0" xfId="0">
      <protection locked="1" hidden="1"/>
    </xf>
    <xf numFmtId="166" fontId="437" fillId="109" borderId="0" applyAlignment="1" applyProtection="1" pivotButton="0" quotePrefix="0" xfId="0">
      <alignment horizontal="right"/>
      <protection locked="1" hidden="1"/>
    </xf>
    <xf numFmtId="165" fontId="433" fillId="0" borderId="0" applyAlignment="1" pivotButton="0" quotePrefix="0" xfId="283">
      <alignment horizontal="center"/>
    </xf>
    <xf numFmtId="165" fontId="433" fillId="0" borderId="142" applyAlignment="1" pivotButton="0" quotePrefix="0" xfId="283">
      <alignment horizontal="center"/>
    </xf>
    <xf numFmtId="178" fontId="433" fillId="0" borderId="0" pivotButton="0" quotePrefix="0" xfId="145"/>
    <xf numFmtId="165" fontId="433" fillId="0" borderId="0" applyAlignment="1" pivotButton="0" quotePrefix="0" xfId="267">
      <alignment horizontal="center"/>
    </xf>
    <xf numFmtId="165" fontId="433" fillId="0" borderId="0" applyAlignment="1" pivotButton="0" quotePrefix="0" xfId="332">
      <alignment vertical="center"/>
    </xf>
    <xf numFmtId="165" fontId="433" fillId="0" borderId="0" applyAlignment="1" pivotButton="0" quotePrefix="0" xfId="283">
      <alignment horizontal="right"/>
    </xf>
    <xf numFmtId="185" fontId="433" fillId="0" borderId="0" pivotButton="0" quotePrefix="0" xfId="267"/>
    <xf numFmtId="179" fontId="433" fillId="0" borderId="0" applyAlignment="1" pivotButton="0" quotePrefix="0" xfId="267">
      <alignment horizontal="right"/>
    </xf>
    <xf numFmtId="165" fontId="209" fillId="0" borderId="0" applyAlignment="1" pivotButton="0" quotePrefix="0" xfId="267">
      <alignment horizontal="center"/>
    </xf>
    <xf numFmtId="186" fontId="433" fillId="0" borderId="0" applyAlignment="1" pivotButton="0" quotePrefix="0" xfId="267">
      <alignment horizontal="center"/>
    </xf>
    <xf numFmtId="173" fontId="433" fillId="0" borderId="0" pivotButton="0" quotePrefix="0" xfId="129"/>
    <xf numFmtId="185" fontId="433" fillId="0" borderId="0" applyAlignment="1" pivotButton="0" quotePrefix="0" xfId="267">
      <alignment horizontal="center"/>
    </xf>
    <xf numFmtId="181" fontId="445" fillId="113" borderId="118" applyAlignment="1" pivotButton="0" quotePrefix="0" xfId="267">
      <alignment horizontal="center"/>
    </xf>
    <xf numFmtId="43" fontId="433" fillId="0" borderId="3" pivotButton="0" quotePrefix="0" xfId="145"/>
    <xf numFmtId="179" fontId="433" fillId="0" borderId="0" pivotButton="0" quotePrefix="0" xfId="267"/>
    <xf numFmtId="186" fontId="433" fillId="0" borderId="0" pivotButton="0" quotePrefix="0" xfId="267"/>
    <xf numFmtId="180" fontId="434" fillId="110" borderId="31" pivotButton="0" quotePrefix="0" xfId="158"/>
    <xf numFmtId="165" fontId="434" fillId="110" borderId="31" pivotButton="0" quotePrefix="0" xfId="287"/>
    <xf numFmtId="165" fontId="433" fillId="0" borderId="0" pivotButton="0" quotePrefix="0" xfId="283"/>
    <xf numFmtId="165" fontId="433" fillId="110" borderId="31" pivotButton="0" quotePrefix="0" xfId="287"/>
    <xf numFmtId="178" fontId="433" fillId="0" borderId="0" pivotButton="0" quotePrefix="0" xfId="267"/>
    <xf numFmtId="178" fontId="434" fillId="0" borderId="0" pivotButton="0" quotePrefix="0" xfId="267"/>
    <xf numFmtId="43" fontId="433" fillId="0" borderId="0" pivotButton="0" quotePrefix="0" xfId="267"/>
    <xf numFmtId="181" fontId="433" fillId="0" borderId="0" pivotButton="0" quotePrefix="0" xfId="267"/>
    <xf numFmtId="164" fontId="16" fillId="38" borderId="0" applyProtection="1" pivotButton="0" quotePrefix="0" xfId="0">
      <protection locked="1" hidden="1"/>
    </xf>
    <xf numFmtId="164" fontId="21" fillId="0" borderId="0" applyProtection="1" pivotButton="0" quotePrefix="0" xfId="0">
      <protection locked="1" hidden="1"/>
    </xf>
    <xf numFmtId="164" fontId="19" fillId="0" borderId="0" applyProtection="1" pivotButton="0" quotePrefix="0" xfId="0">
      <protection locked="1" hidden="1"/>
    </xf>
    <xf numFmtId="164" fontId="21" fillId="0" borderId="0" applyAlignment="1" applyProtection="1" pivotButton="0" quotePrefix="0" xfId="0">
      <alignment horizontal="right"/>
      <protection locked="1" hidden="1"/>
    </xf>
    <xf numFmtId="164" fontId="19" fillId="0" borderId="0" applyAlignment="1" applyProtection="1" pivotButton="0" quotePrefix="0" xfId="0">
      <alignment horizontal="right"/>
      <protection locked="1" hidden="1"/>
    </xf>
    <xf numFmtId="164" fontId="21" fillId="0" borderId="0" pivotButton="0" quotePrefix="0" xfId="0"/>
    <xf numFmtId="176" fontId="21" fillId="0" borderId="0" pivotButton="0" quotePrefix="0" xfId="0"/>
    <xf numFmtId="166" fontId="412" fillId="109" borderId="0" applyProtection="1" pivotButton="0" quotePrefix="0" xfId="0">
      <protection locked="1" hidden="1"/>
    </xf>
    <xf numFmtId="166" fontId="412" fillId="0" borderId="0" applyProtection="1" pivotButton="0" quotePrefix="0" xfId="0">
      <protection locked="1" hidden="1"/>
    </xf>
    <xf numFmtId="164" fontId="412" fillId="109" borderId="0" applyAlignment="1" applyProtection="1" pivotButton="0" quotePrefix="0" xfId="0">
      <alignment horizontal="right" vertical="center" wrapText="1"/>
      <protection locked="1" hidden="1"/>
    </xf>
    <xf numFmtId="164" fontId="412" fillId="108" borderId="0" applyAlignment="1" applyProtection="1" pivotButton="0" quotePrefix="0" xfId="0">
      <alignment horizontal="left" vertical="center" wrapText="1"/>
      <protection locked="1" hidden="1"/>
    </xf>
    <xf numFmtId="164" fontId="414" fillId="109" borderId="10" applyAlignment="1" applyProtection="1" pivotButton="0" quotePrefix="0" xfId="0">
      <alignment horizontal="left" vertical="center" wrapText="1"/>
      <protection locked="1" hidden="1"/>
    </xf>
    <xf numFmtId="164" fontId="412" fillId="0" borderId="0" applyAlignment="1" applyProtection="1" pivotButton="0" quotePrefix="0" xfId="0">
      <alignment horizontal="right" vertical="center" wrapText="1"/>
      <protection locked="1" hidden="1"/>
    </xf>
    <xf numFmtId="164" fontId="412" fillId="109" borderId="0" applyAlignment="1" applyProtection="1" pivotButton="0" quotePrefix="0" xfId="0">
      <alignment vertical="center" wrapText="1"/>
      <protection locked="1" hidden="1"/>
    </xf>
    <xf numFmtId="164" fontId="413" fillId="109" borderId="0" applyAlignment="1" pivotButton="0" quotePrefix="0" xfId="0">
      <alignment vertical="center" wrapText="1"/>
    </xf>
    <xf numFmtId="164" fontId="412" fillId="109" borderId="0" applyAlignment="1" applyProtection="1" pivotButton="0" quotePrefix="0" xfId="0">
      <alignment horizontal="right"/>
      <protection locked="1" hidden="1"/>
    </xf>
    <xf numFmtId="164" fontId="412" fillId="108" borderId="0" applyAlignment="1" applyProtection="1" pivotButton="0" quotePrefix="0" xfId="0">
      <alignment horizontal="left"/>
      <protection locked="1" hidden="1"/>
    </xf>
    <xf numFmtId="164" fontId="412" fillId="109" borderId="10" applyAlignment="1" applyProtection="1" pivotButton="0" quotePrefix="0" xfId="0">
      <alignment horizontal="left"/>
      <protection locked="1" hidden="1"/>
    </xf>
    <xf numFmtId="164" fontId="412" fillId="109" borderId="10" applyAlignment="1" applyProtection="1" pivotButton="0" quotePrefix="1" xfId="0">
      <alignment horizontal="right"/>
      <protection locked="1" hidden="1"/>
    </xf>
    <xf numFmtId="164" fontId="412" fillId="109" borderId="10" applyAlignment="1" applyProtection="1" pivotButton="0" quotePrefix="0" xfId="0">
      <alignment horizontal="right"/>
      <protection locked="1" hidden="1"/>
    </xf>
    <xf numFmtId="164" fontId="412" fillId="109" borderId="235" applyAlignment="1" applyProtection="1" pivotButton="0" quotePrefix="0" xfId="0">
      <alignment horizontal="right"/>
      <protection locked="1" hidden="1"/>
    </xf>
    <xf numFmtId="164" fontId="412" fillId="109" borderId="115" applyAlignment="1" applyProtection="1" pivotButton="0" quotePrefix="0" xfId="0">
      <alignment horizontal="right"/>
      <protection locked="1" hidden="1"/>
    </xf>
    <xf numFmtId="164" fontId="412" fillId="0" borderId="0" applyAlignment="1" applyProtection="1" pivotButton="0" quotePrefix="0" xfId="0">
      <alignment horizontal="right"/>
      <protection locked="1" hidden="1"/>
    </xf>
    <xf numFmtId="164" fontId="412" fillId="109" borderId="0" applyProtection="1" pivotButton="0" quotePrefix="0" xfId="0">
      <protection locked="1" hidden="1"/>
    </xf>
    <xf numFmtId="164" fontId="412" fillId="109" borderId="0" pivotButton="0" quotePrefix="0" xfId="0"/>
    <xf numFmtId="164" fontId="17" fillId="0" borderId="0" applyAlignment="1" applyProtection="1" pivotButton="0" quotePrefix="0" xfId="0">
      <alignment horizontal="right"/>
      <protection locked="1" hidden="1"/>
    </xf>
    <xf numFmtId="165" fontId="163" fillId="0" borderId="0" applyProtection="1" pivotButton="0" quotePrefix="0" xfId="283">
      <protection locked="1" hidden="1"/>
    </xf>
    <xf numFmtId="165" fontId="415" fillId="38" borderId="0" applyProtection="1" pivotButton="0" quotePrefix="0" xfId="283">
      <protection locked="1" hidden="1"/>
    </xf>
    <xf numFmtId="165" fontId="163" fillId="0" borderId="0" applyAlignment="1" applyProtection="1" pivotButton="0" quotePrefix="0" xfId="283">
      <alignment horizontal="left" indent="1"/>
      <protection locked="1" hidden="1"/>
    </xf>
    <xf numFmtId="165" fontId="164" fillId="0" borderId="0" applyProtection="1" pivotButton="0" quotePrefix="0" xfId="283">
      <protection locked="1" hidden="1"/>
    </xf>
    <xf numFmtId="166" fontId="164" fillId="0" borderId="0" applyProtection="1" pivotButton="0" quotePrefix="0" xfId="283">
      <protection locked="1" hidden="1"/>
    </xf>
    <xf numFmtId="165" fontId="163" fillId="0" borderId="0" applyAlignment="1" applyProtection="1" pivotButton="0" quotePrefix="0" xfId="283">
      <alignment horizontal="right"/>
      <protection locked="1" hidden="1"/>
    </xf>
    <xf numFmtId="165" fontId="164" fillId="0" borderId="0" applyAlignment="1" applyProtection="1" pivotButton="0" quotePrefix="0" xfId="0">
      <alignment horizontal="right"/>
      <protection locked="1" hidden="1"/>
    </xf>
    <xf numFmtId="166" fontId="163" fillId="0" borderId="0" applyAlignment="1" applyProtection="1" pivotButton="0" quotePrefix="0" xfId="283">
      <alignment horizontal="right"/>
      <protection locked="1" hidden="1"/>
    </xf>
    <xf numFmtId="165" fontId="21" fillId="0" borderId="0" applyProtection="1" pivotButton="0" quotePrefix="0" xfId="283">
      <protection locked="1" hidden="1"/>
    </xf>
    <xf numFmtId="167" fontId="17" fillId="0" borderId="0" applyProtection="1" pivotButton="0" quotePrefix="0" xfId="0">
      <protection locked="1" hidden="1"/>
    </xf>
    <xf numFmtId="166" fontId="163" fillId="0" borderId="0" applyAlignment="1" applyProtection="1" pivotButton="0" quotePrefix="0" xfId="283">
      <alignment horizontal="left" indent="1"/>
      <protection locked="1" hidden="1"/>
    </xf>
    <xf numFmtId="165" fontId="189" fillId="0" borderId="0" applyProtection="1" pivotButton="0" quotePrefix="0" xfId="283">
      <protection locked="1" hidden="1"/>
    </xf>
    <xf numFmtId="165" fontId="467" fillId="0" borderId="0" applyAlignment="1" applyProtection="1" pivotButton="0" quotePrefix="0" xfId="0">
      <alignment horizontal="right"/>
      <protection locked="1" hidden="1"/>
    </xf>
    <xf numFmtId="165" fontId="189" fillId="0" borderId="0" applyAlignment="1" applyProtection="1" pivotButton="0" quotePrefix="0" xfId="283">
      <alignment horizontal="right"/>
      <protection locked="1" hidden="1"/>
    </xf>
    <xf numFmtId="166" fontId="189" fillId="0" borderId="0" applyAlignment="1" applyProtection="1" pivotButton="0" quotePrefix="0" xfId="283">
      <alignment horizontal="right"/>
      <protection locked="1" hidden="1"/>
    </xf>
    <xf numFmtId="165" fontId="467" fillId="0" borderId="0" applyProtection="1" pivotButton="0" quotePrefix="0" xfId="283">
      <protection locked="1" hidden="1"/>
    </xf>
    <xf numFmtId="165" fontId="18" fillId="0" borderId="0" applyProtection="1" pivotButton="0" quotePrefix="0" xfId="283">
      <protection locked="1" hidden="1"/>
    </xf>
    <xf numFmtId="165" fontId="17" fillId="0" borderId="0" applyAlignment="1" applyProtection="1" pivotButton="0" quotePrefix="0" xfId="283">
      <alignment horizontal="right"/>
      <protection locked="1" hidden="1"/>
    </xf>
    <xf numFmtId="165" fontId="17" fillId="0" borderId="0" applyProtection="1" pivotButton="0" quotePrefix="0" xfId="283">
      <protection locked="1" hidden="1"/>
    </xf>
    <xf numFmtId="165" fontId="169" fillId="43" borderId="0" applyProtection="1" pivotButton="0" quotePrefix="0" xfId="283">
      <protection locked="1" hidden="1"/>
    </xf>
    <xf numFmtId="165" fontId="18" fillId="0" borderId="0" applyAlignment="1" applyProtection="1" pivotButton="0" quotePrefix="0" xfId="283">
      <alignment horizontal="right"/>
      <protection locked="1" hidden="1"/>
    </xf>
    <xf numFmtId="165" fontId="416" fillId="43" borderId="0" applyProtection="1" pivotButton="0" quotePrefix="0" xfId="283">
      <protection locked="1" hidden="1"/>
    </xf>
    <xf numFmtId="164" fontId="18" fillId="0" borderId="0" applyAlignment="1" applyProtection="1" pivotButton="0" quotePrefix="0" xfId="0">
      <alignment horizontal="right"/>
      <protection locked="1" hidden="1"/>
    </xf>
    <xf numFmtId="165" fontId="16" fillId="38" borderId="0" applyProtection="1" pivotButton="0" quotePrefix="0" xfId="283">
      <protection locked="1" hidden="1"/>
    </xf>
    <xf numFmtId="165" fontId="19" fillId="0" borderId="0" applyProtection="1" pivotButton="0" quotePrefix="0" xfId="283">
      <protection locked="1" hidden="1"/>
    </xf>
    <xf numFmtId="165" fontId="168" fillId="43" borderId="0" applyProtection="1" pivotButton="0" quotePrefix="0" xfId="283">
      <protection locked="1" hidden="1"/>
    </xf>
    <xf numFmtId="165" fontId="21" fillId="0" borderId="0" applyAlignment="1" applyProtection="1" pivotButton="0" quotePrefix="0" xfId="283">
      <alignment horizontal="right"/>
      <protection locked="1" hidden="1"/>
    </xf>
    <xf numFmtId="165" fontId="19" fillId="0" borderId="0" applyAlignment="1" applyProtection="1" pivotButton="0" quotePrefix="0" xfId="0">
      <alignment horizontal="right"/>
      <protection locked="1" hidden="1"/>
    </xf>
    <xf numFmtId="167" fontId="18" fillId="0" borderId="0" applyProtection="1" pivotButton="0" quotePrefix="0" xfId="0">
      <protection locked="1" hidden="1"/>
    </xf>
    <xf numFmtId="168" fontId="18" fillId="0" borderId="0" applyProtection="1" pivotButton="0" quotePrefix="0" xfId="129">
      <protection locked="1" hidden="1"/>
    </xf>
    <xf numFmtId="168" fontId="17" fillId="0" borderId="0" applyProtection="1" pivotButton="0" quotePrefix="0" xfId="129">
      <protection locked="1" hidden="1"/>
    </xf>
    <xf numFmtId="167" fontId="17" fillId="0" borderId="0" applyAlignment="1" applyProtection="1" pivotButton="0" quotePrefix="0" xfId="0">
      <alignment horizontal="right"/>
      <protection locked="1" hidden="1"/>
    </xf>
    <xf numFmtId="167" fontId="18" fillId="0" borderId="0" applyAlignment="1" applyProtection="1" pivotButton="0" quotePrefix="0" xfId="0">
      <alignment horizontal="right"/>
      <protection locked="1" hidden="1"/>
    </xf>
    <xf numFmtId="168" fontId="170" fillId="0" borderId="0" applyProtection="1" pivotButton="0" quotePrefix="0" xfId="129">
      <protection locked="1" hidden="1"/>
    </xf>
    <xf numFmtId="165" fontId="17" fillId="0" borderId="0" applyProtection="1" pivotButton="0" quotePrefix="0" xfId="0">
      <protection locked="1" hidden="1"/>
    </xf>
    <xf numFmtId="166" fontId="163" fillId="0" borderId="0" applyProtection="1" pivotButton="0" quotePrefix="0" xfId="283">
      <protection locked="1" hidden="1"/>
    </xf>
    <xf numFmtId="164" fontId="415" fillId="38" borderId="0" applyAlignment="1" applyProtection="1" pivotButton="0" quotePrefix="0" xfId="0">
      <alignment horizontal="left"/>
      <protection locked="1" hidden="1"/>
    </xf>
    <xf numFmtId="164" fontId="164" fillId="0" borderId="0" applyAlignment="1" applyProtection="1" pivotButton="0" quotePrefix="0" xfId="0">
      <alignment horizontal="right"/>
      <protection locked="1" hidden="1"/>
    </xf>
    <xf numFmtId="166" fontId="32" fillId="0" borderId="0" applyProtection="1" pivotButton="0" quotePrefix="0" xfId="283">
      <protection locked="1" hidden="1"/>
    </xf>
    <xf numFmtId="164" fontId="451" fillId="38" borderId="0" applyAlignment="1" applyProtection="1" pivotButton="0" quotePrefix="0" xfId="0">
      <alignment horizontal="left"/>
      <protection locked="1" hidden="1"/>
    </xf>
    <xf numFmtId="166" fontId="32" fillId="0" borderId="0" applyAlignment="1" applyProtection="1" pivotButton="0" quotePrefix="0" xfId="283">
      <alignment horizontal="right"/>
      <protection locked="1" hidden="1"/>
    </xf>
    <xf numFmtId="165" fontId="32" fillId="0" borderId="0" applyAlignment="1" applyProtection="1" pivotButton="0" quotePrefix="0" xfId="283">
      <alignment horizontal="right"/>
      <protection locked="1" hidden="1"/>
    </xf>
    <xf numFmtId="165" fontId="32" fillId="0" borderId="0" applyProtection="1" pivotButton="0" quotePrefix="0" xfId="283">
      <protection locked="1" hidden="1"/>
    </xf>
    <xf numFmtId="166" fontId="417" fillId="0" borderId="0" applyProtection="1" pivotButton="0" quotePrefix="0" xfId="283">
      <protection locked="1" hidden="1"/>
    </xf>
    <xf numFmtId="165" fontId="416" fillId="0" borderId="0" applyProtection="1" pivotButton="0" quotePrefix="0" xfId="283">
      <protection locked="1" hidden="1"/>
    </xf>
    <xf numFmtId="167" fontId="170" fillId="0" borderId="0" applyProtection="1" pivotButton="0" quotePrefix="0" xfId="283">
      <protection locked="1" hidden="1"/>
    </xf>
    <xf numFmtId="167" fontId="17" fillId="0" borderId="0" applyProtection="1" pivotButton="0" quotePrefix="0" xfId="283">
      <protection locked="1" hidden="1"/>
    </xf>
    <xf numFmtId="173" fontId="466" fillId="0" borderId="0" applyAlignment="1" applyProtection="1" pivotButton="0" quotePrefix="0" xfId="129">
      <alignment horizontal="right"/>
      <protection locked="1" hidden="1"/>
    </xf>
    <xf numFmtId="165" fontId="164" fillId="0" borderId="0" applyAlignment="1" applyProtection="1" pivotButton="0" quotePrefix="0" xfId="283">
      <alignment horizontal="right"/>
      <protection locked="1" hidden="1"/>
    </xf>
    <xf numFmtId="166" fontId="189" fillId="0" borderId="0" applyProtection="1" pivotButton="0" quotePrefix="0" xfId="283">
      <protection locked="1" hidden="1"/>
    </xf>
    <xf numFmtId="166" fontId="467" fillId="0" borderId="0" applyProtection="1" pivotButton="0" quotePrefix="0" xfId="283">
      <protection locked="1" hidden="1"/>
    </xf>
    <xf numFmtId="164" fontId="467" fillId="0" borderId="0" applyAlignment="1" applyProtection="1" pivotButton="0" quotePrefix="0" xfId="0">
      <alignment horizontal="right"/>
      <protection locked="1" hidden="1"/>
    </xf>
    <xf numFmtId="165" fontId="24" fillId="38" borderId="0" applyProtection="1" pivotButton="0" quotePrefix="0" xfId="0">
      <protection locked="1" hidden="1"/>
    </xf>
    <xf numFmtId="165" fontId="18" fillId="0" borderId="0" applyProtection="1" pivotButton="0" quotePrefix="0" xfId="0">
      <protection locked="1" hidden="1"/>
    </xf>
    <xf numFmtId="165" fontId="170" fillId="0" borderId="0" applyProtection="1" pivotButton="0" quotePrefix="0" xfId="283">
      <protection locked="1" hidden="1"/>
    </xf>
    <xf numFmtId="165" fontId="18" fillId="0" borderId="0" applyAlignment="1" applyProtection="1" pivotButton="0" quotePrefix="0" xfId="0">
      <alignment horizontal="right"/>
      <protection locked="1" hidden="1"/>
    </xf>
    <xf numFmtId="165" fontId="17" fillId="0" borderId="0" applyAlignment="1" applyProtection="1" pivotButton="0" quotePrefix="0" xfId="0">
      <alignment horizontal="right"/>
      <protection locked="1" hidden="1"/>
    </xf>
    <xf numFmtId="165" fontId="18" fillId="0" borderId="0" applyProtection="1" pivotButton="0" quotePrefix="0" xfId="129">
      <protection locked="1" hidden="1"/>
    </xf>
    <xf numFmtId="167" fontId="163" fillId="0" borderId="0" applyAlignment="1" applyProtection="1" pivotButton="0" quotePrefix="0" xfId="0">
      <alignment horizontal="right"/>
      <protection locked="1" hidden="1"/>
    </xf>
    <xf numFmtId="166" fontId="416" fillId="43" borderId="0" applyAlignment="1" applyProtection="1" pivotButton="0" quotePrefix="0" xfId="283">
      <alignment horizontal="right"/>
      <protection locked="1" hidden="1"/>
    </xf>
    <xf numFmtId="164" fontId="17" fillId="0" borderId="0" applyProtection="1" pivotButton="0" quotePrefix="0" xfId="0">
      <protection locked="1" hidden="1"/>
    </xf>
    <xf numFmtId="164" fontId="23" fillId="38" borderId="0" applyProtection="1" pivotButton="0" quotePrefix="0" xfId="0">
      <protection locked="1" hidden="1"/>
    </xf>
    <xf numFmtId="164" fontId="33" fillId="0" borderId="0" applyProtection="1" pivotButton="0" quotePrefix="0" xfId="0">
      <protection locked="1" hidden="1"/>
    </xf>
    <xf numFmtId="166" fontId="17" fillId="0" borderId="0" applyProtection="1" pivotButton="0" quotePrefix="0" xfId="0">
      <protection locked="1" hidden="1"/>
    </xf>
    <xf numFmtId="164" fontId="33" fillId="0" borderId="10" applyProtection="1" pivotButton="0" quotePrefix="0" xfId="0">
      <protection locked="1" hidden="1"/>
    </xf>
    <xf numFmtId="164" fontId="17" fillId="0" borderId="10" applyAlignment="1" applyProtection="1" pivotButton="0" quotePrefix="0" xfId="0">
      <alignment horizontal="right"/>
      <protection locked="1" hidden="1"/>
    </xf>
    <xf numFmtId="164" fontId="18" fillId="0" borderId="10" applyAlignment="1" applyProtection="1" pivotButton="0" quotePrefix="0" xfId="0">
      <alignment horizontal="right"/>
      <protection locked="1" hidden="1"/>
    </xf>
    <xf numFmtId="164" fontId="64" fillId="0" borderId="0" applyProtection="1" pivotButton="0" quotePrefix="0" xfId="0">
      <protection locked="1" hidden="1"/>
    </xf>
    <xf numFmtId="164" fontId="170" fillId="0" borderId="0" applyAlignment="1" applyProtection="1" pivotButton="0" quotePrefix="0" xfId="0">
      <alignment horizontal="right"/>
      <protection locked="1" hidden="1"/>
    </xf>
    <xf numFmtId="166" fontId="23" fillId="38" borderId="0" applyProtection="1" pivotButton="0" quotePrefix="0" xfId="0">
      <protection locked="1" hidden="1"/>
    </xf>
    <xf numFmtId="166" fontId="18" fillId="0" borderId="0" applyProtection="1" pivotButton="0" quotePrefix="0" xfId="283">
      <protection locked="1" hidden="1"/>
    </xf>
    <xf numFmtId="166" fontId="17" fillId="0" borderId="0" applyAlignment="1" applyProtection="1" pivotButton="0" quotePrefix="0" xfId="0">
      <alignment horizontal="right"/>
      <protection locked="1" hidden="1"/>
    </xf>
    <xf numFmtId="166" fontId="18" fillId="0" borderId="0" applyAlignment="1" applyProtection="1" pivotButton="0" quotePrefix="0" xfId="0">
      <alignment horizontal="right"/>
      <protection locked="1" hidden="1"/>
    </xf>
    <xf numFmtId="166" fontId="169" fillId="42" borderId="0" applyProtection="1" pivotButton="0" quotePrefix="0" xfId="283">
      <protection locked="1" hidden="1"/>
    </xf>
    <xf numFmtId="166" fontId="17" fillId="0" borderId="0" applyAlignment="1" applyProtection="1" pivotButton="0" quotePrefix="0" xfId="0">
      <alignment horizontal="left" indent="1"/>
      <protection locked="1" hidden="1"/>
    </xf>
    <xf numFmtId="166" fontId="169" fillId="43" borderId="0" applyProtection="1" pivotButton="0" quotePrefix="0" xfId="283">
      <protection locked="1" hidden="1"/>
    </xf>
    <xf numFmtId="166" fontId="169" fillId="0" borderId="0" applyProtection="1" pivotButton="0" quotePrefix="0" xfId="283">
      <protection locked="1" hidden="1"/>
    </xf>
    <xf numFmtId="166" fontId="17" fillId="42" borderId="0" applyProtection="1" pivotButton="0" quotePrefix="0" xfId="283">
      <protection locked="1" hidden="1"/>
    </xf>
    <xf numFmtId="164" fontId="18" fillId="0" borderId="0" applyProtection="1" pivotButton="0" quotePrefix="0" xfId="0">
      <protection locked="1" hidden="1"/>
    </xf>
    <xf numFmtId="165" fontId="21" fillId="0" borderId="10" applyAlignment="1" applyProtection="1" pivotButton="0" quotePrefix="0" xfId="283">
      <alignment horizontal="left" indent="1"/>
      <protection locked="1" hidden="1"/>
    </xf>
    <xf numFmtId="165" fontId="21" fillId="0" borderId="10" applyProtection="1" pivotButton="0" quotePrefix="0" xfId="283">
      <protection locked="1" hidden="1"/>
    </xf>
    <xf numFmtId="165" fontId="19" fillId="0" borderId="10" applyProtection="1" pivotButton="0" quotePrefix="0" xfId="283">
      <protection locked="1" hidden="1"/>
    </xf>
    <xf numFmtId="166" fontId="19" fillId="0" borderId="10" applyProtection="1" pivotButton="0" quotePrefix="0" xfId="283">
      <protection locked="1" hidden="1"/>
    </xf>
    <xf numFmtId="165" fontId="19" fillId="0" borderId="235" applyProtection="1" pivotButton="0" quotePrefix="0" xfId="283">
      <protection locked="1" hidden="1"/>
    </xf>
    <xf numFmtId="165" fontId="21" fillId="0" borderId="10" applyAlignment="1" applyProtection="1" pivotButton="0" quotePrefix="0" xfId="283">
      <alignment horizontal="right"/>
      <protection locked="1" hidden="1"/>
    </xf>
    <xf numFmtId="165" fontId="19" fillId="0" borderId="10" applyAlignment="1" applyProtection="1" pivotButton="0" quotePrefix="0" xfId="0">
      <alignment horizontal="right"/>
      <protection locked="1" hidden="1"/>
    </xf>
    <xf numFmtId="166" fontId="21" fillId="0" borderId="10" applyAlignment="1" applyProtection="1" pivotButton="0" quotePrefix="0" xfId="283">
      <alignment horizontal="right"/>
      <protection locked="1" hidden="1"/>
    </xf>
    <xf numFmtId="166" fontId="21" fillId="0" borderId="0" applyAlignment="1" applyProtection="1" pivotButton="0" quotePrefix="0" xfId="283">
      <alignment horizontal="right"/>
      <protection locked="1" hidden="1"/>
    </xf>
    <xf numFmtId="167" fontId="17" fillId="0" borderId="10" applyAlignment="1" applyProtection="1" pivotButton="0" quotePrefix="0" xfId="0">
      <alignment horizontal="right"/>
      <protection locked="1" hidden="1"/>
    </xf>
    <xf numFmtId="165" fontId="19" fillId="0" borderId="232" applyProtection="1" pivotButton="0" quotePrefix="0" xfId="283">
      <protection locked="1" hidden="1"/>
    </xf>
    <xf numFmtId="165" fontId="419" fillId="0" borderId="0" applyProtection="1" pivotButton="0" quotePrefix="0" xfId="283">
      <protection locked="1" hidden="1"/>
    </xf>
    <xf numFmtId="164" fontId="16" fillId="38" borderId="0" applyAlignment="1" applyProtection="1" pivotButton="0" quotePrefix="0" xfId="0">
      <alignment horizontal="left"/>
      <protection locked="1" hidden="1"/>
    </xf>
    <xf numFmtId="164" fontId="29" fillId="0" borderId="0" applyProtection="1" pivotButton="0" quotePrefix="0" xfId="0">
      <protection locked="1" hidden="1"/>
    </xf>
    <xf numFmtId="164" fontId="458" fillId="0" borderId="0" applyProtection="1" pivotButton="0" quotePrefix="0" xfId="0">
      <protection locked="1" hidden="1"/>
    </xf>
    <xf numFmtId="164" fontId="420" fillId="43" borderId="0" applyProtection="1" pivotButton="0" quotePrefix="0" xfId="0">
      <protection locked="1" hidden="1"/>
    </xf>
    <xf numFmtId="164" fontId="29" fillId="0" borderId="0" applyAlignment="1" applyProtection="1" pivotButton="0" quotePrefix="0" xfId="0">
      <alignment horizontal="right"/>
      <protection locked="1" hidden="1"/>
    </xf>
    <xf numFmtId="164" fontId="84" fillId="0" borderId="0" applyAlignment="1" applyProtection="1" pivotButton="0" quotePrefix="0" xfId="0">
      <alignment horizontal="right"/>
      <protection locked="1" hidden="1"/>
    </xf>
    <xf numFmtId="164" fontId="418" fillId="0" borderId="0" pivotButton="0" quotePrefix="0" xfId="0"/>
    <xf numFmtId="164" fontId="29" fillId="0" borderId="0" pivotButton="0" quotePrefix="0" xfId="0"/>
    <xf numFmtId="186" fontId="458" fillId="0" borderId="0" applyProtection="1" pivotButton="0" quotePrefix="0" xfId="283">
      <protection locked="1" hidden="1"/>
    </xf>
    <xf numFmtId="186" fontId="420" fillId="0" borderId="0" applyProtection="1" pivotButton="0" quotePrefix="0" xfId="283">
      <protection locked="1" hidden="1"/>
    </xf>
    <xf numFmtId="164" fontId="29" fillId="0" borderId="0" applyAlignment="1" applyProtection="1" pivotButton="0" quotePrefix="0" xfId="0">
      <alignment horizontal="left" indent="1"/>
      <protection locked="1" hidden="1"/>
    </xf>
    <xf numFmtId="164" fontId="64" fillId="0" borderId="0" applyAlignment="1" applyProtection="1" pivotButton="0" quotePrefix="0" xfId="0">
      <alignment horizontal="right"/>
      <protection locked="1" hidden="1"/>
    </xf>
    <xf numFmtId="164" fontId="72" fillId="0" borderId="0" applyAlignment="1" applyProtection="1" pivotButton="0" quotePrefix="0" xfId="0">
      <alignment horizontal="right"/>
      <protection locked="1" hidden="1"/>
    </xf>
    <xf numFmtId="164" fontId="84" fillId="0" borderId="0" applyProtection="1" pivotButton="0" quotePrefix="0" xfId="0">
      <protection locked="1" hidden="1"/>
    </xf>
    <xf numFmtId="164" fontId="420" fillId="0" borderId="0" applyProtection="1" pivotButton="0" quotePrefix="0" xfId="0">
      <protection locked="1" hidden="1"/>
    </xf>
    <xf numFmtId="164" fontId="418" fillId="0" borderId="0" applyAlignment="1" applyProtection="1" pivotButton="0" quotePrefix="0" xfId="0">
      <alignment horizontal="right" indent="1"/>
      <protection locked="1" hidden="1"/>
    </xf>
    <xf numFmtId="164" fontId="420" fillId="43" borderId="0" pivotButton="0" quotePrefix="0" xfId="0"/>
    <xf numFmtId="165" fontId="29" fillId="0" borderId="0" applyProtection="1" pivotButton="0" quotePrefix="0" xfId="283">
      <protection locked="1" hidden="1"/>
    </xf>
    <xf numFmtId="186" fontId="29" fillId="0" borderId="0" applyProtection="1" pivotButton="0" quotePrefix="0" xfId="0">
      <protection locked="1" hidden="1"/>
    </xf>
    <xf numFmtId="186" fontId="418" fillId="0" borderId="0" applyProtection="1" pivotButton="0" quotePrefix="0" xfId="0">
      <protection locked="1" hidden="1"/>
    </xf>
    <xf numFmtId="164" fontId="107" fillId="0" borderId="0" applyProtection="1" pivotButton="0" quotePrefix="0" xfId="0">
      <protection locked="1" hidden="1"/>
    </xf>
    <xf numFmtId="166" fontId="21" fillId="0" borderId="0" applyProtection="1" pivotButton="0" quotePrefix="0" xfId="0">
      <protection locked="1" hidden="1"/>
    </xf>
    <xf numFmtId="166" fontId="21" fillId="38" borderId="0" applyAlignment="1" applyProtection="1" pivotButton="0" quotePrefix="0" xfId="0">
      <alignment horizontal="left"/>
      <protection locked="1" hidden="1"/>
    </xf>
    <xf numFmtId="166" fontId="21" fillId="0" borderId="0" applyAlignment="1" applyProtection="1" pivotButton="0" quotePrefix="0" xfId="0">
      <alignment horizontal="right"/>
      <protection locked="1" hidden="1"/>
    </xf>
    <xf numFmtId="166" fontId="33" fillId="0" borderId="0" applyAlignment="1" applyProtection="1" pivotButton="0" quotePrefix="0" xfId="0">
      <alignment horizontal="left" indent="1"/>
      <protection locked="1" hidden="1"/>
    </xf>
    <xf numFmtId="166" fontId="168" fillId="0" borderId="0" applyProtection="1" pivotButton="0" quotePrefix="0" xfId="0">
      <protection locked="1" hidden="1"/>
    </xf>
    <xf numFmtId="164" fontId="72" fillId="0" borderId="0" applyProtection="1" pivotButton="0" quotePrefix="0" xfId="0">
      <protection locked="1" hidden="1"/>
    </xf>
    <xf numFmtId="164" fontId="64" fillId="0" borderId="0" pivotButton="0" quotePrefix="0" xfId="0"/>
    <xf numFmtId="164" fontId="16" fillId="0" borderId="0" applyProtection="1" pivotButton="0" quotePrefix="0" xfId="0">
      <protection locked="1" hidden="1"/>
    </xf>
    <xf numFmtId="164" fontId="418" fillId="0" borderId="0" applyProtection="1" pivotButton="0" quotePrefix="0" xfId="0">
      <protection locked="1" hidden="1"/>
    </xf>
    <xf numFmtId="165" fontId="21" fillId="0" borderId="0" applyAlignment="1" applyProtection="1" pivotButton="0" quotePrefix="0" xfId="283">
      <alignment horizontal="left" indent="1"/>
      <protection locked="1" hidden="1"/>
    </xf>
    <xf numFmtId="166" fontId="19" fillId="0" borderId="0" applyProtection="1" pivotButton="0" quotePrefix="0" xfId="283">
      <protection locked="1" hidden="1"/>
    </xf>
    <xf numFmtId="166" fontId="16" fillId="38" borderId="0" applyAlignment="1" applyProtection="1" pivotButton="0" quotePrefix="0" xfId="0">
      <alignment horizontal="left"/>
      <protection locked="1" hidden="1"/>
    </xf>
    <xf numFmtId="166" fontId="17" fillId="38" borderId="0" applyAlignment="1" applyProtection="1" pivotButton="0" quotePrefix="0" xfId="0">
      <alignment horizontal="left"/>
      <protection locked="1" hidden="1"/>
    </xf>
    <xf numFmtId="166" fontId="33" fillId="0" borderId="0" applyProtection="1" pivotButton="0" quotePrefix="0" xfId="0">
      <protection locked="1" hidden="1"/>
    </xf>
    <xf numFmtId="166" fontId="17" fillId="0" borderId="0" applyProtection="1" pivotButton="0" quotePrefix="0" xfId="283">
      <protection locked="1" hidden="1"/>
    </xf>
    <xf numFmtId="166" fontId="33" fillId="38" borderId="0" applyAlignment="1" applyProtection="1" pivotButton="0" quotePrefix="0" xfId="0">
      <alignment horizontal="left"/>
      <protection locked="1" hidden="1"/>
    </xf>
    <xf numFmtId="168" fontId="33" fillId="0" borderId="0" applyProtection="1" pivotButton="0" quotePrefix="0" xfId="129">
      <protection locked="1" hidden="1"/>
    </xf>
    <xf numFmtId="166" fontId="33" fillId="0" borderId="0" applyAlignment="1" applyProtection="1" pivotButton="0" quotePrefix="0" xfId="0">
      <alignment horizontal="right"/>
      <protection locked="1" hidden="1"/>
    </xf>
    <xf numFmtId="168" fontId="17" fillId="39" borderId="0" applyProtection="1" pivotButton="0" quotePrefix="0" xfId="129">
      <protection locked="1" hidden="1"/>
    </xf>
    <xf numFmtId="182" fontId="17" fillId="0" borderId="0" applyProtection="1" pivotButton="0" quotePrefix="0" xfId="0">
      <protection locked="1" hidden="1"/>
    </xf>
    <xf numFmtId="182" fontId="17" fillId="38" borderId="0" applyAlignment="1" applyProtection="1" pivotButton="0" quotePrefix="0" xfId="0">
      <alignment horizontal="left"/>
      <protection locked="1" hidden="1"/>
    </xf>
    <xf numFmtId="182" fontId="33" fillId="0" borderId="0" applyProtection="1" pivotButton="0" quotePrefix="0" xfId="0">
      <protection locked="1" hidden="1"/>
    </xf>
    <xf numFmtId="182" fontId="17" fillId="0" borderId="0" applyAlignment="1" applyProtection="1" pivotButton="0" quotePrefix="0" xfId="0">
      <alignment horizontal="right"/>
      <protection locked="1" hidden="1"/>
    </xf>
    <xf numFmtId="164" fontId="20" fillId="0" borderId="10" applyAlignment="1" applyProtection="1" pivotButton="0" quotePrefix="0" xfId="0">
      <alignment horizontal="left"/>
      <protection locked="1" hidden="1"/>
    </xf>
    <xf numFmtId="164" fontId="20" fillId="0" borderId="10" applyAlignment="1" applyProtection="1" pivotButton="0" quotePrefix="0" xfId="0">
      <alignment horizontal="right"/>
      <protection locked="1" hidden="1"/>
    </xf>
    <xf numFmtId="164" fontId="20" fillId="0" borderId="10" applyAlignment="1" applyProtection="1" pivotButton="0" quotePrefix="1" xfId="0">
      <alignment horizontal="right"/>
      <protection locked="1" hidden="1"/>
    </xf>
    <xf numFmtId="164" fontId="22" fillId="0" borderId="10" applyAlignment="1" applyProtection="1" pivotButton="0" quotePrefix="0" xfId="0">
      <alignment horizontal="right"/>
      <protection locked="1" hidden="1"/>
    </xf>
    <xf numFmtId="164" fontId="22" fillId="0" borderId="235" applyAlignment="1" applyProtection="1" pivotButton="0" quotePrefix="0" xfId="0">
      <alignment horizontal="right"/>
      <protection locked="1" hidden="1"/>
    </xf>
    <xf numFmtId="164" fontId="22" fillId="0" borderId="0" applyAlignment="1" applyProtection="1" pivotButton="0" quotePrefix="0" xfId="0">
      <alignment horizontal="right"/>
      <protection locked="1" hidden="1"/>
    </xf>
    <xf numFmtId="164" fontId="20" fillId="0" borderId="0" applyAlignment="1" applyProtection="1" pivotButton="0" quotePrefix="0" xfId="0">
      <alignment horizontal="right"/>
      <protection locked="1" hidden="1"/>
    </xf>
    <xf numFmtId="164" fontId="22" fillId="0" borderId="232" applyAlignment="1" applyProtection="1" pivotButton="0" quotePrefix="0" xfId="0">
      <alignment horizontal="right"/>
      <protection locked="1" hidden="1"/>
    </xf>
    <xf numFmtId="164" fontId="171" fillId="0" borderId="0" applyProtection="1" pivotButton="0" quotePrefix="0" xfId="0">
      <protection locked="1" hidden="1"/>
    </xf>
    <xf numFmtId="164" fontId="26" fillId="0" borderId="0" applyProtection="1" pivotButton="0" quotePrefix="0" xfId="0">
      <protection locked="1" hidden="1"/>
    </xf>
    <xf numFmtId="164" fontId="21" fillId="0" borderId="0" applyAlignment="1" applyProtection="1" pivotButton="0" quotePrefix="0" xfId="129">
      <alignment horizontal="right"/>
      <protection locked="1" hidden="1"/>
    </xf>
    <xf numFmtId="164" fontId="26" fillId="0" borderId="0" applyAlignment="1" applyProtection="1" pivotButton="0" quotePrefix="0" xfId="0">
      <alignment horizontal="right"/>
      <protection locked="1" hidden="1"/>
    </xf>
    <xf numFmtId="164" fontId="20" fillId="0" borderId="0" applyProtection="1" pivotButton="0" quotePrefix="0" xfId="0">
      <protection locked="1" hidden="1"/>
    </xf>
    <xf numFmtId="164" fontId="20" fillId="0" borderId="0" applyProtection="1" pivotButton="0" quotePrefix="1" xfId="0">
      <protection locked="1" hidden="1"/>
    </xf>
    <xf numFmtId="164" fontId="22" fillId="0" borderId="0" applyProtection="1" pivotButton="0" quotePrefix="0" xfId="0">
      <protection locked="1" hidden="1"/>
    </xf>
    <xf numFmtId="165" fontId="20" fillId="0" borderId="0" applyProtection="1" pivotButton="0" quotePrefix="0" xfId="283">
      <protection locked="1" hidden="1"/>
    </xf>
    <xf numFmtId="165" fontId="21" fillId="0" borderId="0" applyProtection="1" pivotButton="0" quotePrefix="0" xfId="0">
      <protection locked="1" hidden="1"/>
    </xf>
    <xf numFmtId="165" fontId="20" fillId="38" borderId="0" applyProtection="1" pivotButton="0" quotePrefix="0" xfId="0">
      <protection locked="1" hidden="1"/>
    </xf>
    <xf numFmtId="173" fontId="21" fillId="0" borderId="0" applyAlignment="1" applyProtection="1" pivotButton="0" quotePrefix="0" xfId="129">
      <alignment horizontal="right"/>
      <protection locked="1" hidden="1"/>
    </xf>
    <xf numFmtId="165" fontId="21" fillId="0" borderId="0" applyAlignment="1" applyProtection="1" pivotButton="0" quotePrefix="0" xfId="0">
      <alignment horizontal="right"/>
      <protection locked="1" hidden="1"/>
    </xf>
    <xf numFmtId="165" fontId="33" fillId="0" borderId="0" applyProtection="1" pivotButton="0" quotePrefix="0" xfId="283">
      <protection locked="1" hidden="1"/>
    </xf>
    <xf numFmtId="165" fontId="27" fillId="38" borderId="0" applyProtection="1" pivotButton="0" quotePrefix="0" xfId="0">
      <protection locked="1" hidden="1"/>
    </xf>
    <xf numFmtId="164" fontId="168" fillId="0" borderId="0" applyProtection="1" pivotButton="0" quotePrefix="0" xfId="0">
      <protection locked="1" hidden="1"/>
    </xf>
    <xf numFmtId="164" fontId="21" fillId="0" borderId="0" applyAlignment="1" applyProtection="1" pivotButton="0" quotePrefix="0" xfId="0">
      <alignment horizontal="left" indent="1"/>
      <protection locked="1" hidden="1"/>
    </xf>
    <xf numFmtId="165" fontId="21" fillId="0" borderId="0" applyAlignment="1" applyProtection="1" pivotButton="0" quotePrefix="0" xfId="283">
      <alignment horizontal="center"/>
      <protection locked="1" hidden="1"/>
    </xf>
    <xf numFmtId="165" fontId="168" fillId="0" borderId="0" applyAlignment="1" applyProtection="1" pivotButton="0" quotePrefix="0" xfId="283">
      <alignment horizontal="right"/>
      <protection locked="1" hidden="1"/>
    </xf>
    <xf numFmtId="167" fontId="19" fillId="0" borderId="0" applyProtection="1" pivotButton="0" quotePrefix="0" xfId="0">
      <protection locked="1" hidden="1"/>
    </xf>
    <xf numFmtId="169" fontId="22" fillId="0" borderId="0" applyProtection="1" pivotButton="0" quotePrefix="0" xfId="0">
      <protection locked="1" hidden="1"/>
    </xf>
    <xf numFmtId="165" fontId="19" fillId="0" borderId="0" applyProtection="1" pivotButton="0" quotePrefix="0" xfId="0">
      <protection locked="1" hidden="1"/>
    </xf>
    <xf numFmtId="169" fontId="21" fillId="0" borderId="0" applyProtection="1" pivotButton="0" quotePrefix="0" xfId="0">
      <protection locked="1" hidden="1"/>
    </xf>
    <xf numFmtId="170" fontId="21" fillId="0" borderId="0" applyProtection="1" pivotButton="0" quotePrefix="0" xfId="129">
      <protection locked="1" hidden="1"/>
    </xf>
    <xf numFmtId="171" fontId="21" fillId="0" borderId="0" applyProtection="1" pivotButton="0" quotePrefix="0" xfId="0">
      <protection locked="1" hidden="1"/>
    </xf>
    <xf numFmtId="172" fontId="21" fillId="0" borderId="0" applyProtection="1" pivotButton="0" quotePrefix="0" xfId="0">
      <protection locked="1" hidden="1"/>
    </xf>
    <xf numFmtId="169" fontId="32" fillId="0" borderId="0" applyProtection="1" pivotButton="0" quotePrefix="0" xfId="0">
      <protection locked="1" hidden="1"/>
    </xf>
    <xf numFmtId="169" fontId="451" fillId="38" borderId="0" applyProtection="1" pivotButton="0" quotePrefix="0" xfId="0">
      <protection locked="1" hidden="1"/>
    </xf>
    <xf numFmtId="169" fontId="417" fillId="0" borderId="0" applyProtection="1" pivotButton="0" quotePrefix="0" xfId="0">
      <protection locked="1" hidden="1"/>
    </xf>
    <xf numFmtId="164" fontId="451" fillId="38" borderId="0" applyProtection="1" pivotButton="0" quotePrefix="0" xfId="0">
      <protection locked="1" hidden="1"/>
    </xf>
    <xf numFmtId="164" fontId="33" fillId="0" borderId="0" applyAlignment="1" applyProtection="1" pivotButton="0" quotePrefix="0" xfId="0">
      <alignment horizontal="left" indent="1"/>
      <protection locked="1" hidden="1"/>
    </xf>
    <xf numFmtId="164" fontId="441" fillId="0" borderId="0" applyProtection="1" pivotButton="0" quotePrefix="0" xfId="0">
      <protection locked="1" hidden="1"/>
    </xf>
    <xf numFmtId="164" fontId="451" fillId="0" borderId="0" applyProtection="1" pivotButton="0" quotePrefix="0" xfId="0">
      <protection locked="1" hidden="1"/>
    </xf>
    <xf numFmtId="164" fontId="33" fillId="0" borderId="0" applyAlignment="1" applyProtection="1" pivotButton="0" quotePrefix="0" xfId="0">
      <alignment horizontal="left" indent="2"/>
      <protection locked="1" hidden="1"/>
    </xf>
    <xf numFmtId="165" fontId="453" fillId="43" borderId="0" applyProtection="1" pivotButton="0" quotePrefix="0" xfId="283">
      <protection locked="1" hidden="1"/>
    </xf>
    <xf numFmtId="164" fontId="33" fillId="0" borderId="0" applyAlignment="1" applyProtection="1" pivotButton="0" quotePrefix="0" xfId="0">
      <alignment horizontal="right"/>
      <protection locked="1" hidden="1"/>
    </xf>
    <xf numFmtId="187" fontId="33" fillId="0" borderId="0" applyProtection="1" pivotButton="0" quotePrefix="0" xfId="129">
      <protection locked="1" hidden="1"/>
    </xf>
    <xf numFmtId="165" fontId="451" fillId="0" borderId="0" applyProtection="1" pivotButton="0" quotePrefix="0" xfId="283">
      <protection locked="1" hidden="1"/>
    </xf>
    <xf numFmtId="165" fontId="33" fillId="0" borderId="0" applyAlignment="1" applyProtection="1" pivotButton="0" quotePrefix="0" xfId="283">
      <alignment horizontal="left" indent="2"/>
      <protection locked="1" hidden="1"/>
    </xf>
    <xf numFmtId="165" fontId="33" fillId="0" borderId="0" applyAlignment="1" applyProtection="1" pivotButton="0" quotePrefix="0" xfId="283">
      <alignment horizontal="right"/>
      <protection locked="1" hidden="1"/>
    </xf>
    <xf numFmtId="165" fontId="33" fillId="0" borderId="0" applyAlignment="1" applyProtection="1" pivotButton="0" quotePrefix="0" xfId="0">
      <alignment horizontal="right"/>
      <protection locked="1" hidden="1"/>
    </xf>
    <xf numFmtId="164" fontId="33" fillId="0" borderId="0" applyAlignment="1" applyProtection="1" pivotButton="0" quotePrefix="0" xfId="283">
      <alignment horizontal="right"/>
      <protection locked="1" hidden="1"/>
    </xf>
    <xf numFmtId="169" fontId="16" fillId="38" borderId="0" applyProtection="1" pivotButton="0" quotePrefix="0" xfId="0">
      <protection locked="1" hidden="1"/>
    </xf>
    <xf numFmtId="169" fontId="19" fillId="0" borderId="0" applyProtection="1" pivotButton="0" quotePrefix="0" xfId="0">
      <protection locked="1" hidden="1"/>
    </xf>
    <xf numFmtId="169" fontId="28" fillId="0" borderId="0" applyProtection="1" pivotButton="0" quotePrefix="0" xfId="0">
      <protection locked="1" hidden="1"/>
    </xf>
    <xf numFmtId="169" fontId="30" fillId="38" borderId="0" applyProtection="1" pivotButton="0" quotePrefix="0" xfId="0">
      <protection locked="1" hidden="1"/>
    </xf>
    <xf numFmtId="169" fontId="18" fillId="0" borderId="0" applyProtection="1" pivotButton="0" quotePrefix="0" xfId="0">
      <protection locked="1" hidden="1"/>
    </xf>
    <xf numFmtId="169" fontId="18" fillId="39" borderId="0" applyProtection="1" pivotButton="0" quotePrefix="0" xfId="0">
      <protection locked="1" hidden="1"/>
    </xf>
    <xf numFmtId="169" fontId="17" fillId="0" borderId="0" applyProtection="1" pivotButton="0" quotePrefix="0" xfId="0">
      <protection locked="1" hidden="1"/>
    </xf>
    <xf numFmtId="164" fontId="452" fillId="0" borderId="0" applyProtection="1" pivotButton="0" quotePrefix="0" xfId="0">
      <protection locked="1" hidden="1"/>
    </xf>
    <xf numFmtId="169" fontId="452" fillId="0" borderId="0" applyProtection="1" pivotButton="0" quotePrefix="0" xfId="0">
      <protection locked="1" hidden="1"/>
    </xf>
    <xf numFmtId="169" fontId="33" fillId="0" borderId="0" applyAlignment="1" applyProtection="1" pivotButton="0" quotePrefix="0" xfId="0">
      <alignment horizontal="left" indent="1"/>
      <protection locked="1" hidden="1"/>
    </xf>
    <xf numFmtId="169" fontId="21" fillId="0" borderId="0" applyAlignment="1" applyProtection="1" pivotButton="0" quotePrefix="0" xfId="0">
      <alignment horizontal="left" indent="2"/>
      <protection locked="1" hidden="1"/>
    </xf>
    <xf numFmtId="169" fontId="170" fillId="0" borderId="0" applyAlignment="1" applyProtection="1" pivotButton="0" quotePrefix="0" xfId="0">
      <alignment horizontal="right"/>
      <protection locked="1" hidden="1"/>
    </xf>
    <xf numFmtId="169" fontId="17" fillId="0" borderId="0" applyAlignment="1" applyProtection="1" pivotButton="0" quotePrefix="0" xfId="0">
      <alignment horizontal="left" indent="3"/>
      <protection locked="1" hidden="1"/>
    </xf>
    <xf numFmtId="169" fontId="33" fillId="0" borderId="0" applyAlignment="1" applyProtection="1" pivotButton="0" quotePrefix="0" xfId="0">
      <alignment horizontal="left" indent="2"/>
      <protection locked="1" hidden="1"/>
    </xf>
    <xf numFmtId="176" fontId="452" fillId="0" borderId="0" applyProtection="1" pivotButton="0" quotePrefix="0" xfId="0">
      <protection locked="1" hidden="1"/>
    </xf>
    <xf numFmtId="169" fontId="20" fillId="0" borderId="0" applyProtection="1" pivotButton="0" quotePrefix="0" xfId="0">
      <protection locked="1" hidden="1"/>
    </xf>
    <xf numFmtId="176" fontId="22" fillId="0" borderId="0" applyProtection="1" pivotButton="0" quotePrefix="0" xfId="0">
      <protection locked="1" hidden="1"/>
    </xf>
    <xf numFmtId="176" fontId="20" fillId="0" borderId="0" applyProtection="1" pivotButton="0" quotePrefix="0" xfId="0">
      <protection locked="1" hidden="1"/>
    </xf>
    <xf numFmtId="176" fontId="20" fillId="0" borderId="0" applyAlignment="1" applyProtection="1" pivotButton="0" quotePrefix="0" xfId="0">
      <alignment horizontal="right"/>
      <protection locked="1" hidden="1"/>
    </xf>
    <xf numFmtId="176" fontId="20" fillId="0" borderId="0" applyProtection="1" pivotButton="0" quotePrefix="0" xfId="283">
      <protection locked="1" hidden="1"/>
    </xf>
    <xf numFmtId="176" fontId="21" fillId="0" borderId="0" applyAlignment="1" applyProtection="1" pivotButton="0" quotePrefix="0" xfId="0">
      <alignment horizontal="right"/>
      <protection locked="1" hidden="1"/>
    </xf>
    <xf numFmtId="176" fontId="21" fillId="0" borderId="0" applyAlignment="1" applyProtection="1" pivotButton="0" quotePrefix="0" xfId="283">
      <alignment horizontal="right"/>
      <protection locked="1" hidden="1"/>
    </xf>
    <xf numFmtId="176" fontId="171" fillId="0" borderId="0" applyProtection="1" pivotButton="0" quotePrefix="0" xfId="0">
      <protection locked="1" hidden="1"/>
    </xf>
    <xf numFmtId="176" fontId="21" fillId="0" borderId="0" applyProtection="1" pivotButton="0" quotePrefix="0" xfId="0">
      <protection locked="1" hidden="1"/>
    </xf>
    <xf numFmtId="176" fontId="21" fillId="0" borderId="0" applyProtection="1" pivotButton="0" quotePrefix="0" xfId="129">
      <protection locked="1" hidden="1"/>
    </xf>
    <xf numFmtId="176" fontId="21" fillId="0" borderId="0" applyProtection="1" pivotButton="0" quotePrefix="0" xfId="283">
      <protection locked="1" hidden="1"/>
    </xf>
    <xf numFmtId="176" fontId="171" fillId="0" borderId="0" applyAlignment="1" applyProtection="1" pivotButton="0" quotePrefix="0" xfId="0">
      <alignment horizontal="right"/>
      <protection locked="1" hidden="1"/>
    </xf>
    <xf numFmtId="169" fontId="171" fillId="0" borderId="0" applyProtection="1" pivotButton="0" quotePrefix="0" xfId="0">
      <protection locked="1" hidden="1"/>
    </xf>
    <xf numFmtId="176" fontId="168" fillId="43" borderId="0" applyProtection="1" pivotButton="0" quotePrefix="0" xfId="0">
      <protection locked="1" hidden="1"/>
    </xf>
    <xf numFmtId="169" fontId="20" fillId="0" borderId="112" applyProtection="1" pivotButton="0" quotePrefix="0" xfId="0">
      <protection locked="1" hidden="1"/>
    </xf>
    <xf numFmtId="169" fontId="20" fillId="0" borderId="113" applyProtection="1" pivotButton="0" quotePrefix="0" xfId="0">
      <protection locked="1" hidden="1"/>
    </xf>
    <xf numFmtId="169" fontId="22" fillId="0" borderId="113" applyProtection="1" pivotButton="0" quotePrefix="0" xfId="0">
      <protection locked="1" hidden="1"/>
    </xf>
    <xf numFmtId="176" fontId="22" fillId="0" borderId="113" applyProtection="1" pivotButton="0" quotePrefix="0" xfId="0">
      <protection locked="1" hidden="1"/>
    </xf>
    <xf numFmtId="176" fontId="20" fillId="0" borderId="113" applyProtection="1" pivotButton="0" quotePrefix="0" xfId="0">
      <protection locked="1" hidden="1"/>
    </xf>
    <xf numFmtId="176" fontId="20" fillId="0" borderId="228" applyProtection="1" pivotButton="0" quotePrefix="0" xfId="0">
      <protection locked="1" hidden="1"/>
    </xf>
    <xf numFmtId="176" fontId="20" fillId="0" borderId="0" applyAlignment="1" applyProtection="1" pivotButton="0" quotePrefix="0" xfId="283">
      <alignment horizontal="right"/>
      <protection locked="1" hidden="1"/>
    </xf>
    <xf numFmtId="165" fontId="475" fillId="0" borderId="0" applyAlignment="1" applyProtection="1" pivotButton="0" quotePrefix="0" xfId="283">
      <alignment horizontal="right"/>
      <protection locked="1" hidden="1"/>
    </xf>
    <xf numFmtId="165" fontId="475" fillId="38" borderId="0" applyAlignment="1" applyProtection="1" pivotButton="0" quotePrefix="0" xfId="283">
      <alignment horizontal="right"/>
      <protection locked="1" hidden="1"/>
    </xf>
    <xf numFmtId="165" fontId="33" fillId="0" borderId="0" applyAlignment="1" applyProtection="1" pivotButton="0" quotePrefix="0" xfId="283">
      <alignment horizontal="left" indent="1"/>
      <protection locked="1" hidden="1"/>
    </xf>
    <xf numFmtId="175" fontId="19" fillId="0" borderId="0" applyProtection="1" pivotButton="0" quotePrefix="0" xfId="0">
      <protection locked="1" hidden="1"/>
    </xf>
    <xf numFmtId="169" fontId="21" fillId="0" borderId="0" applyAlignment="1" applyProtection="1" pivotButton="0" quotePrefix="0" xfId="0">
      <alignment horizontal="right"/>
      <protection locked="1" hidden="1"/>
    </xf>
    <xf numFmtId="169" fontId="19" fillId="0" borderId="0" applyAlignment="1" applyProtection="1" pivotButton="0" quotePrefix="0" xfId="0">
      <alignment horizontal="right"/>
      <protection locked="1" hidden="1"/>
    </xf>
    <xf numFmtId="169" fontId="168" fillId="0" borderId="0" applyProtection="1" pivotButton="0" quotePrefix="0" xfId="0">
      <protection locked="1" hidden="1"/>
    </xf>
    <xf numFmtId="172" fontId="19" fillId="0" borderId="0" applyProtection="1" pivotButton="0" quotePrefix="0" xfId="0">
      <protection locked="1" hidden="1"/>
    </xf>
    <xf numFmtId="172" fontId="171" fillId="0" borderId="0" applyProtection="1" pivotButton="0" quotePrefix="0" xfId="0">
      <protection locked="1" hidden="1"/>
    </xf>
    <xf numFmtId="172" fontId="31" fillId="38" borderId="0" applyProtection="1" pivotButton="0" quotePrefix="0" xfId="0">
      <protection locked="1" hidden="1"/>
    </xf>
    <xf numFmtId="172" fontId="21" fillId="0" borderId="0" applyAlignment="1" applyProtection="1" pivotButton="0" quotePrefix="0" xfId="0">
      <alignment horizontal="right"/>
      <protection locked="1" hidden="1"/>
    </xf>
    <xf numFmtId="172" fontId="19" fillId="0" borderId="0" applyAlignment="1" applyProtection="1" pivotButton="0" quotePrefix="0" xfId="0">
      <alignment horizontal="right"/>
      <protection locked="1" hidden="1"/>
    </xf>
    <xf numFmtId="164" fontId="31" fillId="38" borderId="0" applyProtection="1" pivotButton="0" quotePrefix="0" xfId="0">
      <protection locked="1" hidden="1"/>
    </xf>
    <xf numFmtId="165" fontId="22" fillId="0" borderId="0" applyProtection="1" pivotButton="0" quotePrefix="0" xfId="283">
      <protection locked="1" hidden="1"/>
    </xf>
    <xf numFmtId="174" fontId="21" fillId="0" borderId="0" applyAlignment="1" applyProtection="1" pivotButton="0" quotePrefix="0" xfId="0">
      <alignment horizontal="right"/>
      <protection locked="1" hidden="1"/>
    </xf>
    <xf numFmtId="175" fontId="21" fillId="0" borderId="0" applyAlignment="1" applyProtection="1" pivotButton="0" quotePrefix="0" xfId="0">
      <alignment horizontal="right"/>
      <protection locked="1" hidden="1"/>
    </xf>
    <xf numFmtId="175" fontId="19" fillId="0" borderId="0" applyAlignment="1" applyProtection="1" pivotButton="0" quotePrefix="0" xfId="0">
      <alignment horizontal="right"/>
      <protection locked="1" hidden="1"/>
    </xf>
    <xf numFmtId="167" fontId="21" fillId="0" borderId="0" applyAlignment="1" applyProtection="1" pivotButton="0" quotePrefix="0" xfId="0">
      <alignment horizontal="right"/>
      <protection locked="1" hidden="1"/>
    </xf>
    <xf numFmtId="165" fontId="23" fillId="38" borderId="0" applyProtection="1" pivotButton="0" quotePrefix="0" xfId="0">
      <protection locked="1" hidden="1"/>
    </xf>
    <xf numFmtId="173" fontId="18" fillId="0" borderId="0" applyProtection="1" pivotButton="0" quotePrefix="0" xfId="129">
      <protection locked="1" hidden="1"/>
    </xf>
    <xf numFmtId="169" fontId="168" fillId="43" borderId="0" applyProtection="1" pivotButton="0" quotePrefix="0" xfId="0">
      <protection locked="1" hidden="1"/>
    </xf>
    <xf numFmtId="164" fontId="171" fillId="0" borderId="0" applyAlignment="1" applyProtection="1" pivotButton="0" quotePrefix="0" xfId="0">
      <alignment horizontal="right"/>
      <protection locked="1" hidden="1"/>
    </xf>
    <xf numFmtId="173" fontId="19" fillId="0" borderId="0" applyProtection="1" pivotButton="0" quotePrefix="0" xfId="129">
      <protection locked="1" hidden="1"/>
    </xf>
    <xf numFmtId="169" fontId="20" fillId="0" borderId="0" applyAlignment="1" applyProtection="1" pivotButton="0" quotePrefix="0" xfId="0">
      <alignment horizontal="left"/>
      <protection locked="1" hidden="1"/>
    </xf>
    <xf numFmtId="166" fontId="64" fillId="0" borderId="0" applyProtection="1" pivotButton="0" quotePrefix="0" xfId="0">
      <protection locked="1" hidden="1"/>
    </xf>
    <xf numFmtId="169" fontId="16" fillId="38" borderId="0" applyAlignment="1" applyProtection="1" pivotButton="0" quotePrefix="0" xfId="0">
      <alignment horizontal="left"/>
      <protection locked="1" hidden="1"/>
    </xf>
    <xf numFmtId="166" fontId="64" fillId="113" borderId="0" applyProtection="1" pivotButton="0" quotePrefix="0" xfId="0">
      <protection locked="1" hidden="1"/>
    </xf>
    <xf numFmtId="173" fontId="17" fillId="0" borderId="0" applyProtection="1" pivotButton="0" quotePrefix="0" xfId="129">
      <protection locked="1" hidden="1"/>
    </xf>
    <xf numFmtId="169" fontId="33" fillId="0" borderId="0" applyProtection="1" pivotButton="0" quotePrefix="0" xfId="0">
      <protection locked="1" hidden="1"/>
    </xf>
    <xf numFmtId="169" fontId="170" fillId="0" borderId="0" applyProtection="1" pivotButton="0" quotePrefix="0" xfId="0">
      <protection locked="1" hidden="1"/>
    </xf>
    <xf numFmtId="169" fontId="17" fillId="0" borderId="0" applyAlignment="1" applyProtection="1" pivotButton="0" quotePrefix="0" xfId="0">
      <alignment horizontal="right"/>
      <protection locked="1" hidden="1"/>
    </xf>
    <xf numFmtId="169" fontId="18" fillId="0" borderId="0" applyAlignment="1" applyProtection="1" pivotButton="0" quotePrefix="0" xfId="0">
      <alignment horizontal="right"/>
      <protection locked="1" hidden="1"/>
    </xf>
    <xf numFmtId="169" fontId="32" fillId="0" borderId="0" applyAlignment="1" applyProtection="1" pivotButton="0" quotePrefix="0" xfId="0">
      <alignment horizontal="right"/>
      <protection locked="1" hidden="1"/>
    </xf>
    <xf numFmtId="169" fontId="417" fillId="0" borderId="0" applyAlignment="1" applyProtection="1" pivotButton="0" quotePrefix="0" xfId="0">
      <alignment horizontal="right"/>
      <protection locked="1" hidden="1"/>
    </xf>
    <xf numFmtId="169" fontId="189" fillId="0" borderId="0" applyProtection="1" pivotButton="0" quotePrefix="0" xfId="0">
      <protection locked="1" hidden="1"/>
    </xf>
    <xf numFmtId="175" fontId="21" fillId="0" borderId="0" applyProtection="1" pivotButton="0" quotePrefix="0" xfId="0">
      <protection locked="1" hidden="1"/>
    </xf>
    <xf numFmtId="175" fontId="32" fillId="0" borderId="0" applyProtection="1" pivotButton="0" quotePrefix="0" xfId="0">
      <protection locked="1" hidden="1"/>
    </xf>
    <xf numFmtId="175" fontId="17" fillId="0" borderId="0" applyProtection="1" pivotButton="0" quotePrefix="0" xfId="0">
      <protection locked="1" hidden="1"/>
    </xf>
    <xf numFmtId="176" fontId="32" fillId="0" borderId="0" applyProtection="1" pivotButton="0" quotePrefix="0" xfId="0">
      <protection locked="1" hidden="1"/>
    </xf>
    <xf numFmtId="169" fontId="20" fillId="0" borderId="0" applyAlignment="1" applyProtection="1" pivotButton="0" quotePrefix="0" xfId="0">
      <alignment horizontal="right"/>
      <protection locked="1" hidden="1"/>
    </xf>
    <xf numFmtId="169" fontId="22" fillId="0" borderId="0" applyAlignment="1" applyProtection="1" pivotButton="0" quotePrefix="0" xfId="0">
      <alignment horizontal="right"/>
      <protection locked="1" hidden="1"/>
    </xf>
    <xf numFmtId="176" fontId="17" fillId="0" borderId="0" applyProtection="1" pivotButton="0" quotePrefix="0" xfId="0">
      <protection locked="1" hidden="1"/>
    </xf>
    <xf numFmtId="164" fontId="21" fillId="0" borderId="0" applyAlignment="1" applyProtection="1" pivotButton="0" quotePrefix="0" xfId="0">
      <alignment horizontal="left" indent="2"/>
      <protection locked="1" hidden="1"/>
    </xf>
    <xf numFmtId="176" fontId="19" fillId="0" borderId="0" applyProtection="1" pivotButton="0" quotePrefix="0" xfId="0">
      <protection locked="1" hidden="1"/>
    </xf>
    <xf numFmtId="176" fontId="33" fillId="0" borderId="0" applyProtection="1" pivotButton="0" quotePrefix="0" xfId="0">
      <protection locked="1" hidden="1"/>
    </xf>
    <xf numFmtId="169" fontId="478" fillId="0" borderId="0" applyProtection="1" pivotButton="0" quotePrefix="0" xfId="0">
      <protection locked="1" hidden="1"/>
    </xf>
    <xf numFmtId="173" fontId="33" fillId="0" borderId="0" applyAlignment="1" applyProtection="1" pivotButton="0" quotePrefix="0" xfId="129">
      <alignment horizontal="right"/>
      <protection locked="1" hidden="1"/>
    </xf>
    <xf numFmtId="169" fontId="33" fillId="0" borderId="0" applyAlignment="1" applyProtection="1" pivotButton="0" quotePrefix="0" xfId="0">
      <alignment horizontal="right"/>
      <protection locked="1" hidden="1"/>
    </xf>
    <xf numFmtId="169" fontId="454" fillId="0" borderId="0" applyAlignment="1" applyProtection="1" pivotButton="0" quotePrefix="0" xfId="0">
      <alignment horizontal="right"/>
      <protection locked="1" hidden="1"/>
    </xf>
    <xf numFmtId="169" fontId="454" fillId="0" borderId="0" applyProtection="1" pivotButton="0" quotePrefix="0" xfId="0">
      <protection locked="1" hidden="1"/>
    </xf>
    <xf numFmtId="176" fontId="454" fillId="0" borderId="0" applyProtection="1" pivotButton="0" quotePrefix="0" xfId="0">
      <protection locked="1" hidden="1"/>
    </xf>
    <xf numFmtId="176" fontId="441" fillId="0" borderId="0" applyProtection="1" pivotButton="0" quotePrefix="0" xfId="0">
      <protection locked="1" hidden="1"/>
    </xf>
    <xf numFmtId="169" fontId="475" fillId="0" borderId="0" applyProtection="1" pivotButton="0" quotePrefix="0" xfId="0">
      <protection locked="1" hidden="1"/>
    </xf>
    <xf numFmtId="169" fontId="27" fillId="38" borderId="0" applyAlignment="1" applyProtection="1" pivotButton="0" quotePrefix="0" xfId="0">
      <alignment horizontal="left"/>
      <protection locked="1" hidden="1"/>
    </xf>
    <xf numFmtId="165" fontId="28" fillId="0" borderId="0" applyProtection="1" pivotButton="0" quotePrefix="0" xfId="283">
      <protection locked="1" hidden="1"/>
    </xf>
    <xf numFmtId="169" fontId="28" fillId="0" borderId="0" applyAlignment="1" applyProtection="1" pivotButton="0" quotePrefix="0" xfId="0">
      <alignment horizontal="right"/>
      <protection locked="1" hidden="1"/>
    </xf>
    <xf numFmtId="175" fontId="28" fillId="0" borderId="0" applyProtection="1" pivotButton="0" quotePrefix="0" xfId="0">
      <protection locked="1" hidden="1"/>
    </xf>
    <xf numFmtId="176" fontId="453" fillId="0" borderId="0" applyProtection="1" pivotButton="0" quotePrefix="0" xfId="0">
      <protection locked="1" hidden="1"/>
    </xf>
    <xf numFmtId="169" fontId="451" fillId="0" borderId="0" applyProtection="1" pivotButton="0" quotePrefix="0" xfId="0">
      <protection locked="1" hidden="1"/>
    </xf>
    <xf numFmtId="164" fontId="16" fillId="0" borderId="0" applyAlignment="1" applyProtection="1" pivotButton="0" quotePrefix="0" xfId="0">
      <alignment horizontal="left"/>
      <protection locked="1" hidden="1"/>
    </xf>
    <xf numFmtId="164" fontId="32" fillId="0" borderId="0" applyProtection="1" pivotButton="0" quotePrefix="0" xfId="0">
      <protection locked="1" hidden="1"/>
    </xf>
    <xf numFmtId="166" fontId="20" fillId="0" borderId="0" applyProtection="1" pivotButton="0" quotePrefix="0" xfId="283">
      <protection locked="1" hidden="1"/>
    </xf>
    <xf numFmtId="166" fontId="16" fillId="0" borderId="0" applyProtection="1" pivotButton="0" quotePrefix="0" xfId="283">
      <protection locked="1" hidden="1"/>
    </xf>
    <xf numFmtId="166" fontId="20" fillId="0" borderId="10" applyProtection="1" pivotButton="0" quotePrefix="0" xfId="283">
      <protection locked="1" hidden="1"/>
    </xf>
    <xf numFmtId="166" fontId="22" fillId="0" borderId="10" applyProtection="1" pivotButton="0" quotePrefix="0" xfId="283">
      <protection locked="1" hidden="1"/>
    </xf>
    <xf numFmtId="166" fontId="22" fillId="0" borderId="235" applyProtection="1" pivotButton="0" quotePrefix="0" xfId="283">
      <protection locked="1" hidden="1"/>
    </xf>
    <xf numFmtId="166" fontId="22" fillId="0" borderId="0" applyProtection="1" pivotButton="0" quotePrefix="0" xfId="283">
      <protection locked="1" hidden="1"/>
    </xf>
    <xf numFmtId="166" fontId="20" fillId="0" borderId="0" applyAlignment="1" applyProtection="1" pivotButton="0" quotePrefix="0" xfId="283">
      <alignment horizontal="right"/>
      <protection locked="1" hidden="1"/>
    </xf>
    <xf numFmtId="166" fontId="22" fillId="0" borderId="0" applyAlignment="1" applyProtection="1" pivotButton="0" quotePrefix="0" xfId="283">
      <alignment horizontal="right"/>
      <protection locked="1" hidden="1"/>
    </xf>
    <xf numFmtId="176" fontId="19" fillId="0" borderId="0" applyProtection="1" pivotButton="0" quotePrefix="0" xfId="283">
      <protection locked="1" hidden="1"/>
    </xf>
    <xf numFmtId="164" fontId="22" fillId="0" borderId="10" applyAlignment="1" applyProtection="1" pivotButton="0" quotePrefix="1" xfId="0">
      <alignment horizontal="right"/>
      <protection locked="1" hidden="1"/>
    </xf>
    <xf numFmtId="164" fontId="417" fillId="0" borderId="0" applyProtection="1" pivotButton="0" quotePrefix="0" xfId="0">
      <protection locked="1" hidden="1"/>
    </xf>
    <xf numFmtId="164" fontId="32" fillId="0" borderId="0" applyAlignment="1" applyProtection="1" pivotButton="0" quotePrefix="0" xfId="0">
      <alignment horizontal="right"/>
      <protection locked="1" hidden="1"/>
    </xf>
    <xf numFmtId="164" fontId="417" fillId="0" borderId="0" applyAlignment="1" applyProtection="1" pivotButton="0" quotePrefix="0" xfId="0">
      <alignment horizontal="right"/>
      <protection locked="1" hidden="1"/>
    </xf>
    <xf numFmtId="164" fontId="32" fillId="0" borderId="0" pivotButton="0" quotePrefix="0" xfId="0"/>
    <xf numFmtId="176" fontId="32" fillId="0" borderId="0" pivotButton="0" quotePrefix="0" xfId="0"/>
    <xf numFmtId="164" fontId="453" fillId="0" borderId="0" applyProtection="1" pivotButton="0" quotePrefix="0" xfId="0">
      <protection locked="1" hidden="1"/>
    </xf>
    <xf numFmtId="164" fontId="454" fillId="0" borderId="0" applyProtection="1" pivotButton="0" quotePrefix="0" xfId="0">
      <protection locked="1" hidden="1"/>
    </xf>
    <xf numFmtId="164" fontId="163" fillId="0" borderId="0" applyProtection="1" pivotButton="0" quotePrefix="0" xfId="0">
      <protection locked="1" hidden="1"/>
    </xf>
    <xf numFmtId="183" fontId="21" fillId="0" borderId="0" applyProtection="1" pivotButton="0" quotePrefix="0" xfId="0">
      <protection locked="1" hidden="1"/>
    </xf>
    <xf numFmtId="183" fontId="29" fillId="0" borderId="0" applyProtection="1" pivotButton="0" quotePrefix="0" xfId="0">
      <protection locked="1" hidden="1"/>
    </xf>
    <xf numFmtId="183" fontId="21" fillId="0" borderId="0" applyAlignment="1" applyProtection="1" pivotButton="0" quotePrefix="0" xfId="0">
      <alignment horizontal="right"/>
      <protection locked="1" hidden="1"/>
    </xf>
    <xf numFmtId="183" fontId="21" fillId="0" borderId="0" pivotButton="0" quotePrefix="0" xfId="0"/>
    <xf numFmtId="164" fontId="440" fillId="0" borderId="0" applyProtection="1" pivotButton="0" quotePrefix="0" xfId="0">
      <protection locked="1" hidden="1"/>
    </xf>
    <xf numFmtId="164" fontId="21" fillId="0" borderId="0" applyAlignment="1" applyProtection="1" pivotButton="0" quotePrefix="0" xfId="0">
      <alignment horizontal="left"/>
      <protection locked="1" hidden="1"/>
    </xf>
    <xf numFmtId="169" fontId="19" fillId="43" borderId="0" applyProtection="1" pivotButton="0" quotePrefix="0" xfId="0">
      <protection locked="1" hidden="1"/>
    </xf>
    <xf numFmtId="169" fontId="18" fillId="43" borderId="0" applyProtection="1" pivotButton="0" quotePrefix="0" xfId="0">
      <protection locked="1" hidden="1"/>
    </xf>
    <xf numFmtId="164" fontId="443" fillId="0" borderId="0" applyAlignment="1" pivotButton="0" quotePrefix="0" xfId="0">
      <alignment horizontal="center"/>
    </xf>
    <xf numFmtId="164" fontId="6" fillId="0" borderId="0" pivotButton="0" quotePrefix="0" xfId="0"/>
    <xf numFmtId="164" fontId="6" fillId="0" borderId="0" applyAlignment="1" pivotButton="0" quotePrefix="0" xfId="0">
      <alignment horizontal="right"/>
    </xf>
    <xf numFmtId="164" fontId="443" fillId="0" borderId="0" pivotButton="0" quotePrefix="0" xfId="0"/>
    <xf numFmtId="164" fontId="443" fillId="0" borderId="3" pivotButton="0" quotePrefix="0" xfId="0"/>
    <xf numFmtId="184" fontId="443" fillId="0" borderId="3" applyAlignment="1" pivotButton="0" quotePrefix="0" xfId="0">
      <alignment horizontal="right"/>
    </xf>
    <xf numFmtId="184" fontId="480" fillId="0" borderId="3" applyAlignment="1" pivotButton="0" quotePrefix="0" xfId="0">
      <alignment horizontal="center"/>
    </xf>
    <xf numFmtId="0" fontId="0" fillId="0" borderId="3" pivotButton="0" quotePrefix="0" xfId="0"/>
    <xf numFmtId="164" fontId="442" fillId="111" borderId="3" pivotButton="0" quotePrefix="0" xfId="0"/>
    <xf numFmtId="164" fontId="443" fillId="114" borderId="0" pivotButton="0" quotePrefix="0" xfId="0"/>
    <xf numFmtId="164" fontId="6" fillId="114" borderId="0" applyAlignment="1" pivotButton="0" quotePrefix="0" xfId="0">
      <alignment horizontal="right"/>
    </xf>
    <xf numFmtId="164" fontId="6" fillId="0" borderId="0" applyAlignment="1" pivotButton="0" quotePrefix="0" xfId="0">
      <alignment horizontal="left" indent="1"/>
    </xf>
    <xf numFmtId="164" fontId="469" fillId="0" borderId="0" pivotButton="0" quotePrefix="0" xfId="0"/>
    <xf numFmtId="164" fontId="470" fillId="0" borderId="0" pivotButton="0" quotePrefix="0" xfId="0"/>
    <xf numFmtId="164" fontId="469" fillId="0" borderId="0" applyAlignment="1" pivotButton="0" quotePrefix="0" xfId="0">
      <alignment horizontal="right"/>
    </xf>
    <xf numFmtId="164" fontId="469" fillId="0" borderId="3" pivotButton="0" quotePrefix="0" xfId="0"/>
    <xf numFmtId="164" fontId="469" fillId="0" borderId="3" applyAlignment="1" pivotButton="0" quotePrefix="0" xfId="0">
      <alignment horizontal="right"/>
    </xf>
    <xf numFmtId="184" fontId="461" fillId="0" borderId="0" applyAlignment="1" applyProtection="1" pivotButton="0" quotePrefix="0" xfId="22438">
      <alignment horizontal="right"/>
      <protection locked="1" hidden="1"/>
    </xf>
    <xf numFmtId="164" fontId="461" fillId="111" borderId="242" applyAlignment="1" applyProtection="1" pivotButton="0" quotePrefix="0" xfId="22438">
      <alignment horizontal="left"/>
      <protection locked="1" hidden="1"/>
    </xf>
    <xf numFmtId="184" fontId="461" fillId="111" borderId="243" applyAlignment="1" applyProtection="1" pivotButton="0" quotePrefix="0" xfId="22438">
      <alignment horizontal="right"/>
      <protection locked="1" hidden="1"/>
    </xf>
    <xf numFmtId="184" fontId="461" fillId="111" borderId="243" applyAlignment="1" applyProtection="1" pivotButton="0" quotePrefix="1" xfId="22438">
      <alignment horizontal="right"/>
      <protection locked="1" hidden="1"/>
    </xf>
    <xf numFmtId="184" fontId="461" fillId="111" borderId="244" applyAlignment="1" applyProtection="1" pivotButton="0" quotePrefix="1" xfId="22438">
      <alignment horizontal="right"/>
      <protection locked="1" hidden="1"/>
    </xf>
    <xf numFmtId="164" fontId="483" fillId="113" borderId="0" pivotButton="0" quotePrefix="0" xfId="22438"/>
    <xf numFmtId="164" fontId="1" fillId="113" borderId="0" pivotButton="0" quotePrefix="0" xfId="22438"/>
    <xf numFmtId="188" fontId="483" fillId="0" borderId="0" applyAlignment="1" pivotButton="0" quotePrefix="0" xfId="450">
      <alignment horizontal="left"/>
    </xf>
    <xf numFmtId="165" fontId="1" fillId="0" borderId="0" pivotButton="0" quotePrefix="0" xfId="5"/>
    <xf numFmtId="189" fontId="483" fillId="0" borderId="0" pivotButton="0" quotePrefix="0" xfId="450"/>
    <xf numFmtId="189" fontId="483" fillId="0" borderId="0" pivotButton="0" quotePrefix="0" xfId="5"/>
    <xf numFmtId="189" fontId="483" fillId="0" borderId="0" applyAlignment="1" pivotButton="0" quotePrefix="0" xfId="5">
      <alignment horizontal="right"/>
    </xf>
    <xf numFmtId="189" fontId="483" fillId="0" borderId="0" applyAlignment="1" pivotButton="0" quotePrefix="0" xfId="5">
      <alignment horizontal="right" vertical="center" wrapText="1"/>
    </xf>
    <xf numFmtId="189" fontId="483" fillId="0" borderId="0" applyAlignment="1" pivotButton="0" quotePrefix="0" xfId="5">
      <alignment wrapText="1"/>
    </xf>
    <xf numFmtId="189" fontId="1" fillId="0" borderId="0" applyAlignment="1" pivotButton="0" quotePrefix="0" xfId="450">
      <alignment horizontal="left" indent="1"/>
    </xf>
    <xf numFmtId="189" fontId="1" fillId="0" borderId="0" pivotButton="0" quotePrefix="0" xfId="5"/>
    <xf numFmtId="189" fontId="1" fillId="0" borderId="0" pivotButton="0" quotePrefix="0" xfId="450"/>
    <xf numFmtId="189" fontId="1" fillId="0" borderId="0" applyAlignment="1" pivotButton="0" quotePrefix="0" xfId="5">
      <alignment horizontal="right"/>
    </xf>
    <xf numFmtId="189" fontId="1" fillId="0" borderId="0" applyAlignment="1" pivotButton="0" quotePrefix="0" xfId="5">
      <alignment horizontal="right" vertical="center" wrapText="1"/>
    </xf>
    <xf numFmtId="165" fontId="1" fillId="0" borderId="0" pivotButton="0" quotePrefix="0" xfId="453"/>
    <xf numFmtId="165" fontId="1" fillId="0" borderId="0" applyAlignment="1" pivotButton="0" quotePrefix="0" xfId="5">
      <alignment horizontal="right"/>
    </xf>
    <xf numFmtId="165" fontId="42" fillId="0" borderId="0" pivotButton="0" quotePrefix="0" xfId="283"/>
    <xf numFmtId="188" fontId="483" fillId="0" borderId="0" pivotButton="0" quotePrefix="0" xfId="5"/>
    <xf numFmtId="188" fontId="483" fillId="0" borderId="0" pivotButton="0" quotePrefix="0" xfId="450"/>
    <xf numFmtId="188" fontId="483" fillId="0" borderId="0" applyAlignment="1" pivotButton="0" quotePrefix="0" xfId="5">
      <alignment vertical="center" wrapText="1"/>
    </xf>
    <xf numFmtId="190" fontId="483" fillId="0" borderId="0" pivotButton="0" quotePrefix="0" xfId="5"/>
    <xf numFmtId="165" fontId="1" fillId="0" borderId="0" applyAlignment="1" pivotButton="0" quotePrefix="0" xfId="450">
      <alignment horizontal="left" indent="1"/>
    </xf>
    <xf numFmtId="165" fontId="1" fillId="0" borderId="0" pivotButton="0" quotePrefix="0" xfId="452"/>
    <xf numFmtId="165" fontId="42" fillId="0" borderId="0" pivotButton="0" quotePrefix="0" xfId="22440"/>
    <xf numFmtId="165" fontId="483" fillId="0" borderId="0" applyAlignment="1" pivotButton="0" quotePrefix="0" xfId="22440">
      <alignment horizontal="left"/>
    </xf>
    <xf numFmtId="165" fontId="483" fillId="0" borderId="0" pivotButton="0" quotePrefix="0" xfId="22440"/>
    <xf numFmtId="165" fontId="483" fillId="0" borderId="0" pivotButton="0" quotePrefix="0" xfId="453"/>
    <xf numFmtId="165" fontId="483" fillId="0" borderId="0" pivotButton="0" quotePrefix="0" xfId="5"/>
    <xf numFmtId="164" fontId="483" fillId="0" borderId="0" applyAlignment="1" applyProtection="1" pivotButton="0" quotePrefix="0" xfId="22438">
      <alignment horizontal="left"/>
      <protection locked="1" hidden="1"/>
    </xf>
    <xf numFmtId="165" fontId="1" fillId="0" borderId="0" pivotButton="0" quotePrefix="0" xfId="283"/>
    <xf numFmtId="165" fontId="350" fillId="0" borderId="0" pivotButton="0" quotePrefix="0" xfId="283"/>
    <xf numFmtId="165" fontId="350" fillId="0" borderId="0" pivotButton="0" quotePrefix="0" xfId="452"/>
    <xf numFmtId="164" fontId="42" fillId="115" borderId="0" applyAlignment="1" applyProtection="1" pivotButton="0" quotePrefix="0" xfId="22438">
      <alignment horizontal="left"/>
      <protection locked="1" hidden="1"/>
    </xf>
    <xf numFmtId="184" fontId="461" fillId="115" borderId="0" applyAlignment="1" applyProtection="1" pivotButton="0" quotePrefix="0" xfId="22438">
      <alignment horizontal="left"/>
      <protection locked="1" hidden="1"/>
    </xf>
    <xf numFmtId="184" fontId="461" fillId="115" borderId="0" applyAlignment="1" applyProtection="1" pivotButton="0" quotePrefix="1" xfId="22438">
      <alignment horizontal="right"/>
      <protection locked="1" hidden="1"/>
    </xf>
    <xf numFmtId="184" fontId="461" fillId="115" borderId="0" applyAlignment="1" applyProtection="1" pivotButton="0" quotePrefix="0" xfId="22438">
      <alignment horizontal="right"/>
      <protection locked="1" hidden="1"/>
    </xf>
    <xf numFmtId="184" fontId="461" fillId="115" borderId="0" applyProtection="1" pivotButton="0" quotePrefix="0" xfId="22438">
      <protection locked="1" hidden="1"/>
    </xf>
    <xf numFmtId="184" fontId="462" fillId="115" borderId="0" pivotButton="0" quotePrefix="0" xfId="22438"/>
    <xf numFmtId="184" fontId="350" fillId="0" borderId="0" pivotButton="0" quotePrefix="0" xfId="452"/>
    <xf numFmtId="165" fontId="468" fillId="0" borderId="0" pivotButton="0" quotePrefix="0" xfId="283"/>
    <xf numFmtId="165" fontId="350" fillId="0" borderId="0" pivotButton="0" quotePrefix="0" xfId="5"/>
    <xf numFmtId="164" fontId="464" fillId="0" borderId="0" pivotButton="0" quotePrefix="0" xfId="0"/>
    <xf numFmtId="184" fontId="446" fillId="0" borderId="0" applyAlignment="1" pivotButton="0" quotePrefix="0" xfId="22435">
      <alignment horizontal="left"/>
    </xf>
    <xf numFmtId="186" fontId="446" fillId="0" borderId="0" pivotButton="0" quotePrefix="0" xfId="22435"/>
    <xf numFmtId="186" fontId="456" fillId="0" borderId="118" pivotButton="0" quotePrefix="0" xfId="22435"/>
    <xf numFmtId="164" fontId="456" fillId="0" borderId="0" pivotButton="0" quotePrefix="0" xfId="22435"/>
  </cellXfs>
  <cellStyles count="22425">
    <cellStyle name="Normal" xfId="0" builtinId="0"/>
    <cellStyle name="—" xfId="1"/>
    <cellStyle name="_x000a_386grabber=M" xfId="2"/>
    <cellStyle name="(1,000)" xfId="3"/>
    <cellStyle name="(1,000)x" xfId="4"/>
    <cellStyle name="******************************************" xfId="5"/>
    <cellStyle name="?" xfId="6"/>
    <cellStyle name="?_Iron ore_output" xfId="7"/>
    <cellStyle name="?_Iron ore_WIP" xfId="8"/>
    <cellStyle name="\" xfId="9"/>
    <cellStyle name="_~att3A2F" xfId="10"/>
    <cellStyle name="_AKMODEL" xfId="11"/>
    <cellStyle name="_ANGANG 00347" xfId="12"/>
    <cellStyle name="_ANGANG 00347_Chin Steel Industry_Master output" xfId="13"/>
    <cellStyle name="_ANGANG 00347_China_Steel_Industry_Master_Sheet" xfId="14"/>
    <cellStyle name="_ANGANG 00347_Copy of China Steel Industry data (hubert)" xfId="15"/>
    <cellStyle name="_ANGANG 00347_Copy of China steel output" xfId="16"/>
    <cellStyle name="_ANGANG 00347_monthly Crude by L&amp;M mills-1" xfId="17"/>
    <cellStyle name="_ANGANG 00347_monthly imp raw data-1" xfId="18"/>
    <cellStyle name="_ANGANG 00347_Monthly products by L&amp;M mills-1" xfId="19"/>
    <cellStyle name="_ANGANG 00347_steel category monthly outp-1" xfId="20"/>
    <cellStyle name="_ANGANG 00347_steel master file backup" xfId="21"/>
    <cellStyle name="_Book11" xfId="22"/>
    <cellStyle name="_Book11_Chin Steel Industry_Master output" xfId="23"/>
    <cellStyle name="_Book11_China_Steel_Industry_Master_Sheet" xfId="24"/>
    <cellStyle name="_Book11_Copy of China Steel Industry data (hubert)" xfId="25"/>
    <cellStyle name="_Book11_Copy of China steel output" xfId="26"/>
    <cellStyle name="_Book11_monthly Crude by L&amp;M mills-1" xfId="27"/>
    <cellStyle name="_Book11_monthly imp raw data-1" xfId="28"/>
    <cellStyle name="_Book11_Monthly products by L&amp;M mills-1" xfId="29"/>
    <cellStyle name="_Book11_steel category monthly outp-1" xfId="30"/>
    <cellStyle name="_Book11_steel master file backup" xfId="31"/>
    <cellStyle name="_Category_Mon Production" xfId="32"/>
    <cellStyle name="_Cemodel Wip" xfId="33"/>
    <cellStyle name="_China annual " xfId="34"/>
    <cellStyle name="_Fleet" xfId="35"/>
    <cellStyle name="_Jiangxi copper_model" xfId="36"/>
    <cellStyle name="_Jiangxi copper_model_Chin Steel Industry_Master output" xfId="37"/>
    <cellStyle name="_Jiangxi copper_model_China_Steel_Industry_Master_Sheet" xfId="38"/>
    <cellStyle name="_Jiangxi copper_model_Copy of China Steel Industry data (hubert)" xfId="39"/>
    <cellStyle name="_Jiangxi copper_model_Copy of China steel output" xfId="40"/>
    <cellStyle name="_Jiangxi copper_model_monthly Crude by L&amp;M mills-1" xfId="41"/>
    <cellStyle name="_Jiangxi copper_model_monthly imp raw data-1" xfId="42"/>
    <cellStyle name="_Jiangxi copper_model_Monthly products by L&amp;M mills-1" xfId="43"/>
    <cellStyle name="_Jiangxi copper_model_steel category monthly outp-1" xfId="44"/>
    <cellStyle name="_Jiangxi copper_model_steel master file backup" xfId="45"/>
    <cellStyle name="_Price History" xfId="46"/>
    <cellStyle name="_PRICEFORoct03" xfId="47"/>
    <cellStyle name="_Sector Report Chart_Dec05" xfId="48"/>
    <cellStyle name="_Sector Report Chart_Dec05_Chin Steel Industry_Master output" xfId="49"/>
    <cellStyle name="_Sector Report Chart_Dec05_China_Steel_Industry_Master_Sheet" xfId="50"/>
    <cellStyle name="_Sector Report Chart_Dec05_Copy of China Steel Industry data (hubert)" xfId="51"/>
    <cellStyle name="_Sector Report Chart_Dec05_Copy of China steel output" xfId="52"/>
    <cellStyle name="_Sector Report Chart_Dec05_monthly Crude by L&amp;M mills-1" xfId="53"/>
    <cellStyle name="_Sector Report Chart_Dec05_monthly imp raw data-1" xfId="54"/>
    <cellStyle name="_Sector Report Chart_Dec05_Monthly products by L&amp;M mills-1" xfId="55"/>
    <cellStyle name="_Sector Report Chart_Dec05_steel category monthly outp-1" xfId="56"/>
    <cellStyle name="_Sector Report Chart_Dec05_steel master file backup" xfId="57"/>
    <cellStyle name="_Standard Template OSW" xfId="58"/>
    <cellStyle name="_Standard Template OSW_CSD  OSW template2" xfId="59"/>
    <cellStyle name="_Standard Template OSW_Thai Shipping1" xfId="60"/>
    <cellStyle name="_UBS NOL Model WIP" xfId="61"/>
    <cellStyle name="_UBS OOIL Model_wip" xfId="62"/>
    <cellStyle name="§Q\?1@" xfId="63"/>
    <cellStyle name="0.0" xfId="64"/>
    <cellStyle name="0.0%" xfId="65"/>
    <cellStyle name="1,000" xfId="66"/>
    <cellStyle name="1,000x" xfId="67"/>
    <cellStyle name="1992" xfId="68"/>
    <cellStyle name="20% - 强调文字颜色 1" xfId="69"/>
    <cellStyle name="20% - 强调文字颜色 2" xfId="70"/>
    <cellStyle name="20% - 强调文字颜色 3" xfId="71"/>
    <cellStyle name="20% - 强调文字颜色 4" xfId="72"/>
    <cellStyle name="20% - 强调文字颜色 5" xfId="73"/>
    <cellStyle name="20% - 强调文字颜色 6" xfId="74"/>
    <cellStyle name="40% - 强调文字颜色 1" xfId="75"/>
    <cellStyle name="40% - 强调文字颜色 2" xfId="76"/>
    <cellStyle name="40% - 强调文字颜色 3" xfId="77"/>
    <cellStyle name="40% - 强调文字颜色 4" xfId="78"/>
    <cellStyle name="40% - 强调文字颜色 5" xfId="79"/>
    <cellStyle name="40% - 强调文字颜色 6" xfId="80"/>
    <cellStyle name="60% - 强调文字颜色 1" xfId="81"/>
    <cellStyle name="60% - 强调文字颜色 2" xfId="82"/>
    <cellStyle name="60% - 强调文字颜色 3" xfId="83"/>
    <cellStyle name="60% - 强调文字颜色 4" xfId="84"/>
    <cellStyle name="60% - 强调文字颜色 5" xfId="85"/>
    <cellStyle name="60% - 强调文字颜色 6" xfId="86"/>
    <cellStyle name="AeE­ [0]_¿u°￡" xfId="87"/>
    <cellStyle name="ÅëÈ­ [0]_cover " xfId="88"/>
    <cellStyle name="AeE­_¿u°￡" xfId="89"/>
    <cellStyle name="ÅëÈ­_cover " xfId="90"/>
    <cellStyle name="AFE" xfId="91"/>
    <cellStyle name="Analyst Name" xfId="92"/>
    <cellStyle name="Ȧormal_VALC" xfId="93"/>
    <cellStyle name="args.style" xfId="94"/>
    <cellStyle name="Arial6Bold" xfId="95"/>
    <cellStyle name="Arial8Bold" xfId="96"/>
    <cellStyle name="Arial8Italic" xfId="97"/>
    <cellStyle name="ArialNormal" xfId="98"/>
    <cellStyle name="AÞ¸¶ [0]_¿u°￡" xfId="99"/>
    <cellStyle name="ÄÞ¸¶ [0]_cover " xfId="100"/>
    <cellStyle name="AÞ¸¶_¿u°￡" xfId="101"/>
    <cellStyle name="ÄÞ¸¶_cover " xfId="102"/>
    <cellStyle name="ations]_x000d__x000a_Number=1_x000d__x000a_Microsoft Excel=0_x000d__x000a__x000d__x000a_[FileManager]_x000d__x000a_Flags=4_x000d__x000a_Column0=41_x000d__x000a_Column1=55_x000d__x000a_Column2=63_x000d_" xfId="103"/>
    <cellStyle name="Availability" xfId="104"/>
    <cellStyle name="B&amp;Wbold" xfId="105"/>
    <cellStyle name="Banner" xfId="106"/>
    <cellStyle name="Black Text" xfId="107"/>
    <cellStyle name="Black Text (No Wrap)" xfId="108"/>
    <cellStyle name="Black Text_110627 Czmodel Wip" xfId="109"/>
    <cellStyle name="Blue Text" xfId="110"/>
    <cellStyle name="Blue Text - Ariel 10" xfId="111"/>
    <cellStyle name="bolet" xfId="112"/>
    <cellStyle name="Border Heavy" xfId="113"/>
    <cellStyle name="Border Thin" xfId="114"/>
    <cellStyle name="C￥AØ_¿μ¾÷CoE² " xfId="115"/>
    <cellStyle name="Ç¥ÁØ_cover " xfId="116"/>
    <cellStyle name="Calc Currency (0)" xfId="117"/>
    <cellStyle name="Calc_0dp" xfId="118"/>
    <cellStyle name="Chart %" xfId="119"/>
    <cellStyle name="chart no." xfId="120"/>
    <cellStyle name="Chart Title" xfId="121"/>
    <cellStyle name="Checksum" xfId="122"/>
    <cellStyle name="CLEAR" xfId="123"/>
    <cellStyle name="Code" xfId="124"/>
    <cellStyle name="Code Section" xfId="125"/>
    <cellStyle name="Codes" xfId="126"/>
    <cellStyle name="ColHeading" xfId="127"/>
    <cellStyle name="ColumnHeading" xfId="128"/>
    <cellStyle name="Comma" xfId="129" builtinId="3"/>
    <cellStyle name="Comma  - Style1" xfId="130"/>
    <cellStyle name="Comma  - Style2" xfId="131"/>
    <cellStyle name="Comma  - Style3" xfId="132"/>
    <cellStyle name="Comma  - Style4" xfId="133"/>
    <cellStyle name="Comma  - Style5" xfId="134"/>
    <cellStyle name="Comma  - Style6" xfId="135"/>
    <cellStyle name="Comma  - Style7" xfId="136"/>
    <cellStyle name="Comma  - Style8" xfId="137"/>
    <cellStyle name="Comma [1]" xfId="138"/>
    <cellStyle name="Comma 2" xfId="139"/>
    <cellStyle name="Comma 3" xfId="140"/>
    <cellStyle name="Comma 4" xfId="141"/>
    <cellStyle name="Comma 4 2" xfId="142"/>
    <cellStyle name="comma zerodec" xfId="143"/>
    <cellStyle name="Comma(1)" xfId="144"/>
    <cellStyle name="Comma_STX Model_wip" xfId="145"/>
    <cellStyle name="Comma0" xfId="146"/>
    <cellStyle name="Comma0 - Modelo1" xfId="147"/>
    <cellStyle name="Comma0 - Style1" xfId="148"/>
    <cellStyle name="Comma1 - Modelo2" xfId="149"/>
    <cellStyle name="Comma1 - Style2" xfId="150"/>
    <cellStyle name="Company" xfId="151"/>
    <cellStyle name="Confirmed" xfId="152"/>
    <cellStyle name="Confirmed 2" xfId="153"/>
    <cellStyle name="Confirmed_Asiana model" xfId="154"/>
    <cellStyle name="Copied" xfId="155"/>
    <cellStyle name="COST1" xfId="156"/>
    <cellStyle name="CurRatio" xfId="157"/>
    <cellStyle name="Currency" xfId="158" builtinId="4"/>
    <cellStyle name="Currency0" xfId="159"/>
    <cellStyle name="Currency1" xfId="160"/>
    <cellStyle name="Currsmall" xfId="161"/>
    <cellStyle name="CUS.Work.Area" xfId="162"/>
    <cellStyle name="dark shade" xfId="163"/>
    <cellStyle name="dark shade 2" xfId="164"/>
    <cellStyle name="DarkBlue" xfId="165"/>
    <cellStyle name="Date" xfId="166"/>
    <cellStyle name="Date, mmm-yy" xfId="167"/>
    <cellStyle name="DateA" xfId="168"/>
    <cellStyle name="DateF" xfId="169"/>
    <cellStyle name="Datum" xfId="170"/>
    <cellStyle name="Decimal 1" xfId="171"/>
    <cellStyle name="Decimal 1 2" xfId="172"/>
    <cellStyle name="Decimal 1_Asiana model" xfId="173"/>
    <cellStyle name="Derive" xfId="174"/>
    <cellStyle name="Dezimal_airt-rev" xfId="175"/>
    <cellStyle name="Dia" xfId="176"/>
    <cellStyle name="Dollar (zero dec)" xfId="177"/>
    <cellStyle name="En miles" xfId="178"/>
    <cellStyle name="En millones" xfId="179"/>
    <cellStyle name="Encabez1" xfId="180"/>
    <cellStyle name="Encabez2" xfId="181"/>
    <cellStyle name="Entered" xfId="182"/>
    <cellStyle name="Euro" xfId="183"/>
    <cellStyle name="F2" xfId="184"/>
    <cellStyle name="F3" xfId="185"/>
    <cellStyle name="F4" xfId="186"/>
    <cellStyle name="F5" xfId="187"/>
    <cellStyle name="F6" xfId="188"/>
    <cellStyle name="F7" xfId="189"/>
    <cellStyle name="F8" xfId="190"/>
    <cellStyle name="facha" xfId="191"/>
    <cellStyle name="Fijo" xfId="192"/>
    <cellStyle name="Financials" xfId="193"/>
    <cellStyle name="Financials Bold" xfId="194"/>
    <cellStyle name="Financiero" xfId="195"/>
    <cellStyle name="Fixlong" xfId="196"/>
    <cellStyle name="Footnote" xfId="197"/>
    <cellStyle name="fourdecplace" xfId="198"/>
    <cellStyle name="Fraction Change" xfId="199"/>
    <cellStyle name="Fractions" xfId="200"/>
    <cellStyle name="Fyear" xfId="201"/>
    <cellStyle name="Green" xfId="202"/>
    <cellStyle name="Grey" xfId="203"/>
    <cellStyle name="Growth Rates/Margins" xfId="204"/>
    <cellStyle name="Head 1" xfId="205"/>
    <cellStyle name="Head 2" xfId="206"/>
    <cellStyle name="Head 3" xfId="207"/>
    <cellStyle name="Header" xfId="208"/>
    <cellStyle name="Header - Style1" xfId="209"/>
    <cellStyle name="Header1" xfId="210"/>
    <cellStyle name="Header2" xfId="211"/>
    <cellStyle name="heading" xfId="212"/>
    <cellStyle name="Headline2" xfId="213"/>
    <cellStyle name="Hipervínculo" xfId="214"/>
    <cellStyle name="Hyperlink seguido" xfId="215"/>
    <cellStyle name="iles|_x0005_h" xfId="216"/>
    <cellStyle name="Info_Main" xfId="217"/>
    <cellStyle name="Input %" xfId="218"/>
    <cellStyle name="Input [yellow]" xfId="219"/>
    <cellStyle name="Input Box" xfId="220"/>
    <cellStyle name="Input Cells" xfId="221"/>
    <cellStyle name="Input Other Sheet" xfId="222"/>
    <cellStyle name="Input Titles" xfId="223"/>
    <cellStyle name="Input Transfer Same Sheet" xfId="224"/>
    <cellStyle name="Input%" xfId="225"/>
    <cellStyle name="InputData" xfId="226"/>
    <cellStyle name="InputDate" xfId="227"/>
    <cellStyle name="InputDecimal" xfId="228"/>
    <cellStyle name="InputInfo" xfId="229"/>
    <cellStyle name="InputPercent" xfId="230"/>
    <cellStyle name="Inputs" xfId="231"/>
    <cellStyle name="InputValue" xfId="232"/>
    <cellStyle name="Integer" xfId="233"/>
    <cellStyle name="Italicbold" xfId="234"/>
    <cellStyle name="Item" xfId="235"/>
    <cellStyle name="ItemTypeClass" xfId="236"/>
    <cellStyle name="jo[" xfId="237"/>
    <cellStyle name="les" xfId="238"/>
    <cellStyle name="LEVERS69" xfId="239"/>
    <cellStyle name="LineItem" xfId="240"/>
    <cellStyle name="Link" xfId="241"/>
    <cellStyle name="Linked Cells" xfId="242"/>
    <cellStyle name="Millares [0]_10 AVERIAS MASIVAS + ANT" xfId="243"/>
    <cellStyle name="Millares [2]" xfId="244"/>
    <cellStyle name="Millares_10 AVERIAS MASIVAS + ANT" xfId="245"/>
    <cellStyle name="Moeda [0]_alocação por fontes" xfId="246"/>
    <cellStyle name="Moeda_alocação por fontes" xfId="247"/>
    <cellStyle name="Moneda [0]_10 AVERIAS MASIVAS + ANT" xfId="248"/>
    <cellStyle name="Moneda_10 AVERIAS MASIVAS + ANT" xfId="249"/>
    <cellStyle name="Monétaire [0]_!!!GO" xfId="250"/>
    <cellStyle name="Monétaire_!!!GO" xfId="251"/>
    <cellStyle name="Monetario" xfId="252"/>
    <cellStyle name="Multiple" xfId="253"/>
    <cellStyle name="no dec" xfId="254"/>
    <cellStyle name="No Decimal" xfId="255"/>
    <cellStyle name="No Decimal 2" xfId="256"/>
    <cellStyle name="No Decimal_Asiana model" xfId="257"/>
    <cellStyle name="No-definido" xfId="258"/>
    <cellStyle name="Normal - Style1" xfId="259"/>
    <cellStyle name="Normal 2" xfId="260"/>
    <cellStyle name="Normal 2 2" xfId="261"/>
    <cellStyle name="Normal 2_20081006 Axiom 2.15" xfId="262"/>
    <cellStyle name="Normal 3" xfId="263"/>
    <cellStyle name="Normal 4" xfId="264"/>
    <cellStyle name="Normal Bold" xfId="265"/>
    <cellStyle name="Normal Title Blue" xfId="266"/>
    <cellStyle name="Normal_UBS YMM Model New" xfId="267"/>
    <cellStyle name="NormalBlue" xfId="268"/>
    <cellStyle name="NormalBold" xfId="269"/>
    <cellStyle name="Notes" xfId="270"/>
    <cellStyle name="Nulos" xfId="271"/>
    <cellStyle name="Number" xfId="272"/>
    <cellStyle name="Œ…‹æØ‚è [0.00]_Region Orders (2)" xfId="273"/>
    <cellStyle name="Œ…‹æØ‚è_Region Orders (2)" xfId="274"/>
    <cellStyle name="Oficio" xfId="275"/>
    <cellStyle name="Page" xfId="276"/>
    <cellStyle name="Page Heading" xfId="277"/>
    <cellStyle name="Page Heading Large" xfId="278"/>
    <cellStyle name="Page Heading Small" xfId="279"/>
    <cellStyle name="Page_110627 Czmodel Wip" xfId="280"/>
    <cellStyle name="PctLine" xfId="281"/>
    <cellStyle name="per.style" xfId="282"/>
    <cellStyle name="Percent" xfId="283" builtinId="5"/>
    <cellStyle name="Percent [0]" xfId="284"/>
    <cellStyle name="Percent [1]" xfId="285"/>
    <cellStyle name="Percent [2]" xfId="286"/>
    <cellStyle name="Percent 2" xfId="287"/>
    <cellStyle name="Percent 3" xfId="288"/>
    <cellStyle name="Percent 4" xfId="289"/>
    <cellStyle name="Percent 4 2" xfId="290"/>
    <cellStyle name="Percent Hard" xfId="291"/>
    <cellStyle name="PERCENTAGE" xfId="292"/>
    <cellStyle name="PercentChange" xfId="293"/>
    <cellStyle name="Perlong" xfId="294"/>
    <cellStyle name="Porcentagem_Cenário Básico" xfId="295"/>
    <cellStyle name="Porcentaje" xfId="296"/>
    <cellStyle name="Porcentual_mov_dolar" xfId="297"/>
    <cellStyle name="pricing" xfId="298"/>
    <cellStyle name="Project" xfId="299"/>
    <cellStyle name="projection" xfId="300"/>
    <cellStyle name="Prozent_Anadat" xfId="301"/>
    <cellStyle name="PSChar" xfId="302"/>
    <cellStyle name="PSDate" xfId="303"/>
    <cellStyle name="PSDec" xfId="304"/>
    <cellStyle name="PSHeading" xfId="305"/>
    <cellStyle name="PSInt" xfId="306"/>
    <cellStyle name="PSSpacer" xfId="307"/>
    <cellStyle name="Quantity" xfId="308"/>
    <cellStyle name="R?" xfId="309"/>
    <cellStyle name="Ratio" xfId="310"/>
    <cellStyle name="RatioX" xfId="311"/>
    <cellStyle name="Red" xfId="312"/>
    <cellStyle name="Red Text" xfId="313"/>
    <cellStyle name="Result" xfId="314"/>
    <cellStyle name="RevList" xfId="315"/>
    <cellStyle name="Right" xfId="316"/>
    <cellStyle name="RM" xfId="317"/>
    <cellStyle name="Role" xfId="318"/>
    <cellStyle name="sche|_x0005_" xfId="319"/>
    <cellStyle name="ScripFactor" xfId="320"/>
    <cellStyle name="SectionHeading" xfId="321"/>
    <cellStyle name="SectionHeading 2" xfId="322"/>
    <cellStyle name="Separador de milhares [0]_ANALISE_backup 14_08_1345" xfId="323"/>
    <cellStyle name="Separador de milhares_ANALISE_backup 14_08_1345" xfId="324"/>
    <cellStyle name="Shade" xfId="325"/>
    <cellStyle name="Shade 2" xfId="326"/>
    <cellStyle name="shaded" xfId="327"/>
    <cellStyle name="shaded 2" xfId="328"/>
    <cellStyle name="shaded_5JMODEL" xfId="329"/>
    <cellStyle name="shading" xfId="330"/>
    <cellStyle name="Standard" xfId="331"/>
    <cellStyle name="Style 1" xfId="332"/>
    <cellStyle name="Subtotal" xfId="333"/>
    <cellStyle name="SubtotalData" xfId="334"/>
    <cellStyle name="Summary" xfId="335"/>
    <cellStyle name="SymbolBlue" xfId="336"/>
    <cellStyle name="Synopsis" xfId="337"/>
    <cellStyle name="Table" xfId="338"/>
    <cellStyle name="Table Col Head" xfId="339"/>
    <cellStyle name="Table Sub Head" xfId="340"/>
    <cellStyle name="Table Title" xfId="341"/>
    <cellStyle name="Table Units" xfId="342"/>
    <cellStyle name="TableColumnHeading" xfId="343"/>
    <cellStyle name="TableSubTitleItalic" xfId="344"/>
    <cellStyle name="TableText" xfId="345"/>
    <cellStyle name="TableTitle" xfId="346"/>
    <cellStyle name="Thousands" xfId="347"/>
    <cellStyle name="threedecplace" xfId="348"/>
    <cellStyle name="Times" xfId="349"/>
    <cellStyle name="title2" xfId="350"/>
    <cellStyle name="Titles" xfId="351"/>
    <cellStyle name="Top Row" xfId="352"/>
    <cellStyle name="Tusental_NPV" xfId="353"/>
    <cellStyle name="twodecplace" xfId="354"/>
    <cellStyle name="Uhrzeit" xfId="355"/>
    <cellStyle name="underline" xfId="356"/>
    <cellStyle name="underline 2" xfId="357"/>
    <cellStyle name="unshade" xfId="358"/>
    <cellStyle name="unshade 2" xfId="359"/>
    <cellStyle name="unshaded" xfId="360"/>
    <cellStyle name="unshaded 2" xfId="361"/>
    <cellStyle name="ûóÆÞï`" xfId="362"/>
    <cellStyle name="Use_1dp" xfId="363"/>
    <cellStyle name="UseB_1dp" xfId="364"/>
    <cellStyle name="vaca" xfId="365"/>
    <cellStyle name="ValDate" xfId="366"/>
    <cellStyle name="ValDate 2" xfId="367"/>
    <cellStyle name="ValDate_Asiana model" xfId="368"/>
    <cellStyle name="Valuta_NPV" xfId="369"/>
    <cellStyle name="Vpershare" xfId="370"/>
    <cellStyle name="Vstandard" xfId="371"/>
    <cellStyle name="Währung_airt-rev" xfId="372"/>
    <cellStyle name="WHead - Style2" xfId="373"/>
    <cellStyle name="WingdingsBlack" xfId="374"/>
    <cellStyle name="WingdingsRed" xfId="375"/>
    <cellStyle name="WingdingsWhite" xfId="376"/>
    <cellStyle name="XLS'|_x0005_t" xfId="377"/>
    <cellStyle name="Year" xfId="378"/>
    <cellStyle name="YearEnd" xfId="379"/>
    <cellStyle name="Yellow" xfId="380"/>
    <cellStyle name="ZZ_Balance" xfId="381"/>
    <cellStyle name="뒤에 오는 하이퍼링크" xfId="382"/>
    <cellStyle name="똿뗦먛귟 [0.00]_PRODUCT DETAIL Q1" xfId="383"/>
    <cellStyle name="똿뗦먛귟_PRODUCT DETAIL Q1" xfId="384"/>
    <cellStyle name="묮뎋 [0.00]_PRODUCT DETAIL Q1" xfId="385"/>
    <cellStyle name="묮뎋_PRODUCT DETAIL Q1" xfId="386"/>
    <cellStyle name="믅됞 [0.00]_PRODUCT DETAIL Q1" xfId="387"/>
    <cellStyle name="믅됞_PRODUCT DETAIL Q1" xfId="388"/>
    <cellStyle name="뷭?_BOOKSHIP" xfId="389"/>
    <cellStyle name="셈迷?XLS!check_filesche|_x0005_" xfId="390"/>
    <cellStyle name="쉼표 [0]_(0131)00vs01수출_판매" xfId="391"/>
    <cellStyle name="안건회계법인" xfId="392"/>
    <cellStyle name="자리수" xfId="393"/>
    <cellStyle name="자리수0" xfId="394"/>
    <cellStyle name="콤마 [0]_ 2팀층별 " xfId="395"/>
    <cellStyle name="콤마,_x0005__x0014_" xfId="396"/>
    <cellStyle name="콤마_ 2팀층별 " xfId="397"/>
    <cellStyle name="통화 [0]_11월21일" xfId="398"/>
    <cellStyle name="통화_11월21일" xfId="399"/>
    <cellStyle name="퍼센트" xfId="400"/>
    <cellStyle name="표준_ 97년 경영분석(안)" xfId="401"/>
    <cellStyle name="하이퍼링크" xfId="402"/>
    <cellStyle name="화폐기호" xfId="403"/>
    <cellStyle name="화폐기호0" xfId="404"/>
    <cellStyle name="千分位 2_1007外資" xfId="405"/>
    <cellStyle name="好" xfId="406"/>
    <cellStyle name="差" xfId="407"/>
    <cellStyle name="常规_！！！国航盈利预测－上调油价及升值预期-080319" xfId="408"/>
    <cellStyle name="强调文字颜色 1" xfId="409"/>
    <cellStyle name="强调文字颜色 2" xfId="410"/>
    <cellStyle name="强调文字颜色 3" xfId="411"/>
    <cellStyle name="强调文字颜色 4" xfId="412"/>
    <cellStyle name="强调文字颜色 5" xfId="413"/>
    <cellStyle name="强调文字颜色 6" xfId="414"/>
    <cellStyle name="标题" xfId="415"/>
    <cellStyle name="标题 1" xfId="416"/>
    <cellStyle name="标题 2" xfId="417"/>
    <cellStyle name="标题 3" xfId="418"/>
    <cellStyle name="标题 4" xfId="419"/>
    <cellStyle name="样式 1" xfId="420"/>
    <cellStyle name="检查单元格" xfId="421"/>
    <cellStyle name="汇总" xfId="422"/>
    <cellStyle name="注释" xfId="423"/>
    <cellStyle name="解释性文本" xfId="424"/>
    <cellStyle name="警告文本" xfId="425"/>
    <cellStyle name="计算" xfId="426"/>
    <cellStyle name="超連結" xfId="427"/>
    <cellStyle name="输入" xfId="428"/>
    <cellStyle name="输出" xfId="429"/>
    <cellStyle name="适中" xfId="430"/>
    <cellStyle name="链接单元格" xfId="431"/>
    <cellStyle name="隨後的超連結" xfId="432"/>
    <cellStyle name="Title" xfId="433" builtinId="15" hidden="1"/>
    <cellStyle name="Heading 1" xfId="434" builtinId="16" hidden="1"/>
    <cellStyle name="Heading 2" xfId="435" builtinId="17" hidden="1"/>
    <cellStyle name="Heading 3" xfId="436" builtinId="18" hidden="1"/>
    <cellStyle name="Heading 4" xfId="437" builtinId="19" hidden="1"/>
    <cellStyle name="Good" xfId="438" builtinId="26" hidden="1"/>
    <cellStyle name="Bad" xfId="439" builtinId="27" hidden="1"/>
    <cellStyle name="Neutral" xfId="440" builtinId="28" hidden="1"/>
    <cellStyle name="Input" xfId="441" builtinId="20" hidden="1"/>
    <cellStyle name="Output" xfId="442" builtinId="21" hidden="1"/>
    <cellStyle name="Calculation" xfId="443" builtinId="22" hidden="1"/>
    <cellStyle name="Linked Cell" xfId="444" builtinId="24" hidden="1"/>
    <cellStyle name="Check Cell" xfId="445" builtinId="23" hidden="1"/>
    <cellStyle name="Warning Text" xfId="446" builtinId="11" hidden="1"/>
    <cellStyle name="Note" xfId="447" builtinId="10" hidden="1"/>
    <cellStyle name="Explanatory Text" xfId="448" builtinId="53" hidden="1"/>
    <cellStyle name="Total" xfId="449" builtinId="25" hidden="1"/>
    <cellStyle name="Normal_data to Virginia" xfId="450"/>
    <cellStyle name="Normal_20131028  航空公司综合数据—全民航9月数据" xfId="451"/>
    <cellStyle name="Normal 5" xfId="452"/>
    <cellStyle name="Percent 5" xfId="453"/>
    <cellStyle name="_x000a_386grabber=M 2" xfId="454"/>
    <cellStyle name="_x000a_386grabber=M 3" xfId="455"/>
    <cellStyle name="$" xfId="456"/>
    <cellStyle name="$." xfId="457"/>
    <cellStyle name="%" xfId="458"/>
    <cellStyle name="%." xfId="459"/>
    <cellStyle name="****************************************** 2" xfId="460"/>
    <cellStyle name="****************************************** 2 2" xfId="461"/>
    <cellStyle name="****************************************** 2 3" xfId="462"/>
    <cellStyle name="****************************************** 3" xfId="463"/>
    <cellStyle name="****************************************** 4" xfId="464"/>
    <cellStyle name="." xfId="465"/>
    <cellStyle name=". 2" xfId="466"/>
    <cellStyle name=". 2 10" xfId="467"/>
    <cellStyle name=". 2 2" xfId="468"/>
    <cellStyle name=". 2 2 2" xfId="469"/>
    <cellStyle name=". 2 2 3" xfId="470"/>
    <cellStyle name=". 2 2 4" xfId="471"/>
    <cellStyle name=". 2 2 5" xfId="472"/>
    <cellStyle name=". 2 2 6" xfId="473"/>
    <cellStyle name=". 2 2 7" xfId="474"/>
    <cellStyle name=". 2 2 8" xfId="475"/>
    <cellStyle name=". 2 3" xfId="476"/>
    <cellStyle name=". 2 3 2" xfId="477"/>
    <cellStyle name=". 2 3 3" xfId="478"/>
    <cellStyle name=". 2 3 4" xfId="479"/>
    <cellStyle name=". 2 3 5" xfId="480"/>
    <cellStyle name=". 2 3 6" xfId="481"/>
    <cellStyle name=". 2 3 7" xfId="482"/>
    <cellStyle name=". 2 3 8" xfId="483"/>
    <cellStyle name=". 2 4" xfId="484"/>
    <cellStyle name=". 2 5" xfId="485"/>
    <cellStyle name=". 2 6" xfId="486"/>
    <cellStyle name=". 2 7" xfId="487"/>
    <cellStyle name=". 2 8" xfId="488"/>
    <cellStyle name=". 2 9" xfId="489"/>
    <cellStyle name=".0" xfId="490"/>
    <cellStyle name=".0\" xfId="491"/>
    <cellStyle name=".0\ 2" xfId="492"/>
    <cellStyle name=".0\ 2 2" xfId="493"/>
    <cellStyle name=".0\ 2 2 2" xfId="494"/>
    <cellStyle name=".0\ 2 3" xfId="495"/>
    <cellStyle name=".0\ 3" xfId="496"/>
    <cellStyle name=".0\ 3 2" xfId="497"/>
    <cellStyle name=".0\ 4" xfId="498"/>
    <cellStyle name=".0\ 4 2" xfId="499"/>
    <cellStyle name=".0\ 4 2 2" xfId="500"/>
    <cellStyle name=".0\ 4 3" xfId="501"/>
    <cellStyle name=".0\ 5" xfId="502"/>
    <cellStyle name=".00" xfId="503"/>
    <cellStyle name=".000" xfId="504"/>
    <cellStyle name=".1" xfId="505"/>
    <cellStyle name=".2" xfId="506"/>
    <cellStyle name=".3" xfId="507"/>
    <cellStyle name="??" xfId="508"/>
    <cellStyle name="?? [0.00]_PRODUCT DETAIL Q1" xfId="509"/>
    <cellStyle name="?? [0]_??" xfId="510"/>
    <cellStyle name="?? 2" xfId="511"/>
    <cellStyle name="?? 3" xfId="512"/>
    <cellStyle name="?? 4" xfId="513"/>
    <cellStyle name="??&amp;O龡&amp;H?_x0008_??_x0007__x0001__x0001_" xfId="514"/>
    <cellStyle name="???" xfId="515"/>
    <cellStyle name="???? [0.00]_PRODUCT DETAIL Q1" xfId="516"/>
    <cellStyle name="????_PRODUCT DETAIL Q1" xfId="517"/>
    <cellStyle name="???_???" xfId="518"/>
    <cellStyle name="??_(????)??????" xfId="519"/>
    <cellStyle name="?_Avg. daily traffic" xfId="520"/>
    <cellStyle name="?_Balance sheet" xfId="521"/>
    <cellStyle name="?_BNP shipping database_04APR2011" xfId="522"/>
    <cellStyle name="?_Book1" xfId="523"/>
    <cellStyle name="?_Book2" xfId="524"/>
    <cellStyle name="?_Book5" xfId="525"/>
    <cellStyle name="?_China Utilities all charts" xfId="526"/>
    <cellStyle name="?_China Utilities charts" xfId="527"/>
    <cellStyle name="?_ChinaPowerGenerationJune10" xfId="528"/>
    <cellStyle name="?_Coal_WIP" xfId="529"/>
    <cellStyle name="?_Domestic freight rate" xfId="530"/>
    <cellStyle name="?_Expressway databank-M" xfId="531"/>
    <cellStyle name="?_Expressway databank-workbook" xfId="532"/>
    <cellStyle name="?_International" xfId="533"/>
    <cellStyle name="?_Monthly Throughput" xfId="534"/>
    <cellStyle name="?_New ports weekly_WIP" xfId="535"/>
    <cellStyle name="?_Prints" xfId="536"/>
    <cellStyle name="?_QHD coal inventory" xfId="537"/>
    <cellStyle name="?_Result comps" xfId="538"/>
    <cellStyle name="?_shareholdings" xfId="539"/>
    <cellStyle name="?_Throughput0110" xfId="540"/>
    <cellStyle name="?_Throughput0511" xfId="541"/>
    <cellStyle name="?_Throughput201111" xfId="542"/>
    <cellStyle name="?_Toll" xfId="543"/>
    <cellStyle name="?_traffic breakdown by vehicle type" xfId="544"/>
    <cellStyle name="?_Traffic Vol breakdown by car classification (version 1)" xfId="545"/>
    <cellStyle name="?_Worksheet-mandy" xfId="546"/>
    <cellStyle name="?_ZJE 20091101" xfId="547"/>
    <cellStyle name="?H?????W?s??" xfId="548"/>
    <cellStyle name="?H?¨¢???W?s??" xfId="549"/>
    <cellStyle name="?W?s??" xfId="550"/>
    <cellStyle name="@_text" xfId="551"/>
    <cellStyle name="@_text 2" xfId="552"/>
    <cellStyle name="@_text_CIP" xfId="553"/>
    <cellStyle name="@_text_Lina-Update" xfId="554"/>
    <cellStyle name="@_text_ZA－货币资金2009.6(n)" xfId="555"/>
    <cellStyle name="@_text_子公司借款" xfId="556"/>
    <cellStyle name="@_text_追踪表" xfId="557"/>
    <cellStyle name="@_text_追踪表_审计资料0912" xfId="558"/>
    <cellStyle name="@ET_Style?CF_Style_1" xfId="559"/>
    <cellStyle name="_~4988258" xfId="560"/>
    <cellStyle name="_~4988258_BNP shipping database_04APR2011" xfId="561"/>
    <cellStyle name="_~4988258_Book1" xfId="562"/>
    <cellStyle name="_~4988258_Book2" xfId="563"/>
    <cellStyle name="_~4988258_Book5" xfId="564"/>
    <cellStyle name="_0912loan movement-陈怡" xfId="565"/>
    <cellStyle name="_1H08 power generation" xfId="566"/>
    <cellStyle name="_2007年终审计资料（纽约）" xfId="567"/>
    <cellStyle name="_airchina wip" xfId="568"/>
    <cellStyle name="_ANGANG 00347_Angang_347HK__Aug.07" xfId="569"/>
    <cellStyle name="_ANGANG 00347_Angang_347HK__Aug07" xfId="570"/>
    <cellStyle name="_ANGANG 00347_Angang_347HK__Aug07_Sensitivity" xfId="571"/>
    <cellStyle name="_ANGANG 00347_Capex &amp; Depr (FY)" xfId="572"/>
    <cellStyle name="_ANGANG 00347_Copy of Baosteel_model_Aug07_v2_sensitivity" xfId="573"/>
    <cellStyle name="_ANGANG 00347_FS(FY)" xfId="574"/>
    <cellStyle name="_ANGANG 00347_FS(Quarterly)" xfId="575"/>
    <cellStyle name="_ANGANG 00347_Note" xfId="576"/>
    <cellStyle name="_ANGANG 00347_ratio analysis" xfId="577"/>
    <cellStyle name="_ANGANG 00347_Sensitivity - 2008" xfId="578"/>
    <cellStyle name="_ANGANG 00347_Sensitivity - 2010" xfId="579"/>
    <cellStyle name="_ANGANG 00347_Wuhan Steel_Aug07" xfId="580"/>
    <cellStyle name="_Angang_347HK__Aug.07" xfId="581"/>
    <cellStyle name="_Angang_347HK__Aug07" xfId="582"/>
    <cellStyle name="_Angang_347HK__Aug07_Sensitivity" xfId="583"/>
    <cellStyle name="_Balance sheet" xfId="584"/>
    <cellStyle name="_Baosteel_model" xfId="585"/>
    <cellStyle name="_Baosteel_model_Angang_347HK__Aug.07" xfId="586"/>
    <cellStyle name="_Baosteel_model_Angang_347HK__Aug07" xfId="587"/>
    <cellStyle name="_Baosteel_model_Angang_347HK__Aug07_Sensitivity" xfId="588"/>
    <cellStyle name="_Baosteel_model_Aug07" xfId="589"/>
    <cellStyle name="_Baosteel_model_Aug07_v2" xfId="590"/>
    <cellStyle name="_Baosteel_model_Capex &amp; Depr (FY)" xfId="591"/>
    <cellStyle name="_Baosteel_model_Copy of Baosteel_model_Aug07_v2_sensitivity" xfId="592"/>
    <cellStyle name="_Baosteel_model_FS(FY)" xfId="593"/>
    <cellStyle name="_Baosteel_model_FS(Quarterly)" xfId="594"/>
    <cellStyle name="_Baosteel_Model_June 06" xfId="595"/>
    <cellStyle name="_Baosteel_model_Note" xfId="596"/>
    <cellStyle name="_Baosteel_model_ratio analysis" xfId="597"/>
    <cellStyle name="_Baosteel_model_Sensitivity - 2008" xfId="598"/>
    <cellStyle name="_Baosteel_model_Sensitivity - 2010" xfId="599"/>
    <cellStyle name="_Baosteel_model_Wuhan Steel_Aug07" xfId="600"/>
    <cellStyle name="_BNP shippig database - July2009" xfId="601"/>
    <cellStyle name="_Book1" xfId="602"/>
    <cellStyle name="_Book11_Angang_347HK__Aug.07" xfId="603"/>
    <cellStyle name="_Book11_Angang_347HK__Aug07" xfId="604"/>
    <cellStyle name="_Book11_Angang_347HK__Aug07_Sensitivity" xfId="605"/>
    <cellStyle name="_Book11_Capex &amp; Depr (FY)" xfId="606"/>
    <cellStyle name="_Book11_Copy of Baosteel_model_Aug07_v2_sensitivity" xfId="607"/>
    <cellStyle name="_Book11_FS(FY)" xfId="608"/>
    <cellStyle name="_Book11_FS(Quarterly)" xfId="609"/>
    <cellStyle name="_Book11_Note" xfId="610"/>
    <cellStyle name="_Book11_POSCO -June 2006" xfId="611"/>
    <cellStyle name="_Book11_ratio analysis" xfId="612"/>
    <cellStyle name="_Book11_Sensitivity - 2008" xfId="613"/>
    <cellStyle name="_Book11_Sensitivity - 2010" xfId="614"/>
    <cellStyle name="_Book11_Wuhan Steel_Aug07" xfId="615"/>
    <cellStyle name="_Book3" xfId="616"/>
    <cellStyle name="_Bridge" xfId="617"/>
    <cellStyle name="_BS" xfId="618"/>
    <cellStyle name="_BS_1" xfId="619"/>
    <cellStyle name="_BS_Master" xfId="620"/>
    <cellStyle name="_BS_Sensitivity analysis" xfId="621"/>
    <cellStyle name="_BS_Sensitivity_10" xfId="622"/>
    <cellStyle name="_BS_Valuation" xfId="623"/>
    <cellStyle name="_BS_Valuation_Master" xfId="624"/>
    <cellStyle name="_bulk shipping market" xfId="625"/>
    <cellStyle name="_bulk shipping market_BNP shipping database_04APR2011" xfId="626"/>
    <cellStyle name="_bulk shipping market_Book1" xfId="627"/>
    <cellStyle name="_bulk shipping market_Book2" xfId="628"/>
    <cellStyle name="_bulk shipping market_Book5" xfId="629"/>
    <cellStyle name="_Capex &amp; Depr (FY)" xfId="630"/>
    <cellStyle name="_Cash &amp; Bank WP" xfId="631"/>
    <cellStyle name="_Cash &amp; Bank WP_0912loan movement-陈怡" xfId="632"/>
    <cellStyle name="_Cash &amp; Bank WP_FEWP" xfId="633"/>
    <cellStyle name="_Cash &amp; Bank WP_Lead" xfId="634"/>
    <cellStyle name="_Cash &amp; Bank WP_Loan Disclosure" xfId="635"/>
    <cellStyle name="_Cash &amp; Bank WP_Loan Disclosure_0912loan movement-陈怡" xfId="636"/>
    <cellStyle name="_Cash &amp; Bank WP_Loan Disclosure_FEWP" xfId="637"/>
    <cellStyle name="_Cash &amp; Bank WP_Loan Disclosure_Lead" xfId="638"/>
    <cellStyle name="_Cash &amp; Bank WP_Loan Disclosure_借款Breakdown" xfId="639"/>
    <cellStyle name="_Cash &amp; Bank WP_Loan Disclosure0704" xfId="640"/>
    <cellStyle name="_Cash &amp; Bank WP_Loan Disclosure0704_0912loan movement-陈怡" xfId="641"/>
    <cellStyle name="_Cash &amp; Bank WP_Loan Disclosure0704_FEWP" xfId="642"/>
    <cellStyle name="_Cash &amp; Bank WP_Loan Disclosure0704_Lead" xfId="643"/>
    <cellStyle name="_Cash &amp; Bank WP_Loan Disclosure0704_借款Breakdown" xfId="644"/>
    <cellStyle name="_Cash &amp; Bank WP_借款Breakdown" xfId="645"/>
    <cellStyle name="_Cash &amp; bank_Loan FAR_" xfId="646"/>
    <cellStyle name="_Cash&amp;bank WP" xfId="647"/>
    <cellStyle name="_cash-lead" xfId="648"/>
    <cellStyle name="_CFS" xfId="649"/>
    <cellStyle name="_chart" xfId="650"/>
    <cellStyle name="_China aviation data" xfId="651"/>
    <cellStyle name="_China Coal Database" xfId="652"/>
    <cellStyle name="_China Utilities all charts" xfId="653"/>
    <cellStyle name="_China Utilities charts" xfId="654"/>
    <cellStyle name="_China_Steel_Summary" xfId="655"/>
    <cellStyle name="_ChinaPowerData_request" xfId="656"/>
    <cellStyle name="_ChinaPowerGenerationJune10" xfId="657"/>
    <cellStyle name="_Chinese airline quarterly result analysis" xfId="658"/>
    <cellStyle name="_Clipsal Hong Kong Limited working paper Dec 2005" xfId="659"/>
    <cellStyle name="_CMHI0510" xfId="660"/>
    <cellStyle name="_coal datas" xfId="661"/>
    <cellStyle name="_coal price" xfId="662"/>
    <cellStyle name="_coal_data_updated" xfId="663"/>
    <cellStyle name="_Coal_WIP" xfId="664"/>
    <cellStyle name="_Comma" xfId="665"/>
    <cellStyle name="_container shipping database" xfId="666"/>
    <cellStyle name="_container shipping database_BNP shipping database_04APR2011" xfId="667"/>
    <cellStyle name="_container shipping database_Book1" xfId="668"/>
    <cellStyle name="_container shipping database_Book2" xfId="669"/>
    <cellStyle name="_container shipping database_Book5" xfId="670"/>
    <cellStyle name="_Copy of Baosteel_model_Aug07_v2_sensitivity" xfId="671"/>
    <cellStyle name="_Copy of OBS 审计资料明细" xfId="672"/>
    <cellStyle name="_Copy of OBS 审计资料明细_0912审计资料-SAL样板-new" xfId="673"/>
    <cellStyle name="_Copy of OBS 审计资料明细_112233" xfId="674"/>
    <cellStyle name="_Copy of OBS 审计资料明细_2009 12审计资料pwc-new (2)" xfId="675"/>
    <cellStyle name="_Copy of OBS 审计资料明细_审计资料0912" xfId="676"/>
    <cellStyle name="_Copy of OBS 审计资料明细_审计资料3" xfId="677"/>
    <cellStyle name="_Copy of OBS 审计资料明细_审计资料3_审计资料-new" xfId="678"/>
    <cellStyle name="_Copy of OBS 审计资料明细_审计资料3_审计资料-new_0912审计资料-SAL样板-new" xfId="679"/>
    <cellStyle name="_Copy of OBS 审计资料明细_审计资料3_审计资料-new_112233" xfId="680"/>
    <cellStyle name="_Copy of OBS 审计资料明细_审计资料3_审计资料-new_2009 12审计资料pwc-new (2)" xfId="681"/>
    <cellStyle name="_Copy of OBS 审计资料明细_审计资料3_审计资料-new_审计资料0912" xfId="682"/>
    <cellStyle name="_Copy of OBS 审计资料明细_审计资料3_审计资料-new_审计资料-SAL样板-2" xfId="683"/>
    <cellStyle name="_Copy of OBS 审计资料明细_审计资料3_审计资料-new_审计资料-SAL样板-new (1) (2)" xfId="684"/>
    <cellStyle name="_Copy of OBS 审计资料明细_审计资料3_审计资料-new_审计资料-SAL样板-new (2)" xfId="685"/>
    <cellStyle name="_Copy of OBS 审计资料明细_审计资料3_审计资料-new_审计资料-SAL样板-new (3)" xfId="686"/>
    <cellStyle name="_Copy of OBS 审计资料明细_审计资料3_审计资料-new_审计资料-SAL样板-new (4)" xfId="687"/>
    <cellStyle name="_Copy of OBS 审计资料明细_审计资料3_审计资料-new_审计资料-SAL样板-new (6)" xfId="688"/>
    <cellStyle name="_Copy of OBS 审计资料明细_审计资料3_审计资料-new_审计资料-SAL样板-new (7)" xfId="689"/>
    <cellStyle name="_Copy of OBS 审计资料明细_审计资料3_审计资料-new_核对表" xfId="690"/>
    <cellStyle name="_Copy of OBS 审计资料明细_审计资料3_审计资料-new_货币资金NEW (3)" xfId="691"/>
    <cellStyle name="_Copy of OBS 审计资料明细_审计资料3_审计资料-new_货币资金NEW (4)" xfId="692"/>
    <cellStyle name="_Copy of OBS 审计资料明细_审计资料3_审计资料-new_追踪表" xfId="693"/>
    <cellStyle name="_Copy of OBS 审计资料明细_审计资料-SAL样板-2" xfId="694"/>
    <cellStyle name="_Copy of OBS 审计资料明细_审计资料-SAL样板-new (1) (2)" xfId="695"/>
    <cellStyle name="_Copy of OBS 审计资料明细_审计资料-SAL样板-new (2)" xfId="696"/>
    <cellStyle name="_Copy of OBS 审计资料明细_审计资料-SAL样板-new (3)" xfId="697"/>
    <cellStyle name="_Copy of OBS 审计资料明细_审计资料-SAL样板-new (4)" xfId="698"/>
    <cellStyle name="_Copy of OBS 审计资料明细_审计资料-SAL样板-new (6)" xfId="699"/>
    <cellStyle name="_Copy of OBS 审计资料明细_审计资料-SAL样板-new (7)" xfId="700"/>
    <cellStyle name="_Copy of OBS 审计资料明细_核对表" xfId="701"/>
    <cellStyle name="_Copy of OBS 审计资料明细_货币资金NEW (3)" xfId="702"/>
    <cellStyle name="_Copy of OBS 审计资料明细_货币资金NEW (4)" xfId="703"/>
    <cellStyle name="_Copy of OBS 审计资料明细_追踪表" xfId="704"/>
    <cellStyle name="_Copy of 上航FFP所需资料" xfId="705"/>
    <cellStyle name="_Copy of 上航FFP所需资料_0912审计资料-SAL样板-new" xfId="706"/>
    <cellStyle name="_Copy of 上航FFP所需资料_112233" xfId="707"/>
    <cellStyle name="_Copy of 上航FFP所需资料_2009 12审计资料pwc-new (2)" xfId="708"/>
    <cellStyle name="_Copy of 上航FFP所需资料_审计资料0912" xfId="709"/>
    <cellStyle name="_Copy of 上航FFP所需资料_审计资料-SAL样板-2" xfId="710"/>
    <cellStyle name="_Copy of 上航FFP所需资料_审计资料-SAL样板-new (1) (2)" xfId="711"/>
    <cellStyle name="_Copy of 上航FFP所需资料_审计资料-SAL样板-new (2)" xfId="712"/>
    <cellStyle name="_Copy of 上航FFP所需资料_审计资料-SAL样板-new (3)" xfId="713"/>
    <cellStyle name="_Copy of 上航FFP所需资料_审计资料-SAL样板-new (4)" xfId="714"/>
    <cellStyle name="_Copy of 上航FFP所需资料_审计资料-SAL样板-new (6)" xfId="715"/>
    <cellStyle name="_Copy of 上航FFP所需资料_审计资料-SAL样板-new (7)" xfId="716"/>
    <cellStyle name="_Copy of 上航FFP所需资料_核对表" xfId="717"/>
    <cellStyle name="_Copy of 上航FFP所需资料_货币资金NEW (3)" xfId="718"/>
    <cellStyle name="_Copy of 上航FFP所需资料_货币资金NEW (4)" xfId="719"/>
    <cellStyle name="_Copy of 上航FFP所需资料_追踪表" xfId="720"/>
    <cellStyle name="_Copy of 上航提供资料-FA team" xfId="721"/>
    <cellStyle name="_Copy of 需要上航提供的信息-expense team" xfId="722"/>
    <cellStyle name="_Copy of 需要上航提供的信息-expense team_0912审计资料-SAL样板-new" xfId="723"/>
    <cellStyle name="_Copy of 需要上航提供的信息-expense team_112233" xfId="724"/>
    <cellStyle name="_Copy of 需要上航提供的信息-expense team_2009 12审计资料pwc-new (2)" xfId="725"/>
    <cellStyle name="_Copy of 需要上航提供的信息-expense team_审计资料0912" xfId="726"/>
    <cellStyle name="_Copy of 需要上航提供的信息-expense team_审计资料-SAL样板-2" xfId="727"/>
    <cellStyle name="_Copy of 需要上航提供的信息-expense team_审计资料-SAL样板-new (1) (2)" xfId="728"/>
    <cellStyle name="_Copy of 需要上航提供的信息-expense team_审计资料-SAL样板-new (2)" xfId="729"/>
    <cellStyle name="_Copy of 需要上航提供的信息-expense team_审计资料-SAL样板-new (3)" xfId="730"/>
    <cellStyle name="_Copy of 需要上航提供的信息-expense team_审计资料-SAL样板-new (4)" xfId="731"/>
    <cellStyle name="_Copy of 需要上航提供的信息-expense team_审计资料-SAL样板-new (6)" xfId="732"/>
    <cellStyle name="_Copy of 需要上航提供的信息-expense team_审计资料-SAL样板-new (7)" xfId="733"/>
    <cellStyle name="_Copy of 需要上航提供的信息-expense team_核对表" xfId="734"/>
    <cellStyle name="_Copy of 需要上航提供的信息-expense team_货币资金NEW (3)" xfId="735"/>
    <cellStyle name="_Copy of 需要上航提供的信息-expense team_货币资金NEW (4)" xfId="736"/>
    <cellStyle name="_Copy of 需要上航提供的信息-expense team_追踪表" xfId="737"/>
    <cellStyle name="_Cost" xfId="738"/>
    <cellStyle name="_CRC" xfId="739"/>
    <cellStyle name="_CSD_Apr09" xfId="740"/>
    <cellStyle name="_CSDC-08" xfId="741"/>
    <cellStyle name="_CSDC-08_BNP shipping database_04APR2011" xfId="742"/>
    <cellStyle name="_CSDC-08_Book1" xfId="743"/>
    <cellStyle name="_CSDC-08_Book2" xfId="744"/>
    <cellStyle name="_CSDC-08_Book5" xfId="745"/>
    <cellStyle name="_Currency" xfId="746"/>
    <cellStyle name="_CurrencySpace" xfId="747"/>
    <cellStyle name="_Czmodel Wip" xfId="748"/>
    <cellStyle name="_Domestic bulk shipping rate" xfId="749"/>
    <cellStyle name="_Domestic bulk shipping rate_BNP shipping database_04APR2011" xfId="750"/>
    <cellStyle name="_Domestic bulk shipping rate_Book1" xfId="751"/>
    <cellStyle name="_Domestic bulk shipping rate_Book2" xfId="752"/>
    <cellStyle name="_Domestic bulk shipping rate_Book5" xfId="753"/>
    <cellStyle name="_ET_STYLE_NoName_00_" xfId="754"/>
    <cellStyle name="_ET_STYLE_NoName_00__loan-2008.12.31 v5" xfId="755"/>
    <cellStyle name="_ET_STYLE_NoName_00__loan-2008.12.31 v5_Loan2008-12v3" xfId="756"/>
    <cellStyle name="_ET_STYLE_NoName_00__Loan2008-12v3" xfId="757"/>
    <cellStyle name="_ET_STYLE_NoName_00__短期借款version1" xfId="758"/>
    <cellStyle name="_ET_STYLE_NoName_00__短期借款version1_Loan2008-12v3" xfId="759"/>
    <cellStyle name="_ET_STYLE_NoName_00__票据version1" xfId="760"/>
    <cellStyle name="_ET_STYLE_NoName_00__长期借款versoin1" xfId="761"/>
    <cellStyle name="_ET_STYLE_NoName_00__长期借款versoin1_Loan2008-12v3" xfId="762"/>
    <cellStyle name="_Fair value of long-term bank loan" xfId="763"/>
    <cellStyle name="_Fair value of long-term bank loan_0912loan movement-陈怡" xfId="764"/>
    <cellStyle name="_Fair value of long-term bank loan_FEWP" xfId="765"/>
    <cellStyle name="_Fair value of long-term bank loan_Lead" xfId="766"/>
    <cellStyle name="_Fair value of long-term bank loan_借款Breakdown" xfId="767"/>
    <cellStyle name="_FEWP" xfId="768"/>
    <cellStyle name="_financial highlight BS _yiyi" xfId="769"/>
    <cellStyle name="_fore_rev" xfId="770"/>
    <cellStyle name="_forecast" xfId="771"/>
    <cellStyle name="_FS(FY)" xfId="772"/>
    <cellStyle name="_FS(Quarterly)" xfId="773"/>
    <cellStyle name="_Gold mines" xfId="774"/>
    <cellStyle name="_H112" xfId="775"/>
    <cellStyle name="_Iron-ore inventory at ports" xfId="776"/>
    <cellStyle name="_Iron-ore inventory at ports_BNP shipping database_04APR2011" xfId="777"/>
    <cellStyle name="_Iron-ore inventory at ports_Book1" xfId="778"/>
    <cellStyle name="_Iron-ore inventory at ports_Book2" xfId="779"/>
    <cellStyle name="_Iron-ore inventory at ports_Book5" xfId="780"/>
    <cellStyle name="_Jiangxi Copper-model-wenyuan" xfId="781"/>
    <cellStyle name="_Jiangxi Copper-model-wenyuan_Angang_347HK__Aug.07" xfId="782"/>
    <cellStyle name="_Jiangxi Copper-model-wenyuan_Angang_347HK__Aug07" xfId="783"/>
    <cellStyle name="_Jiangxi Copper-model-wenyuan_Angang_347HK__Aug07_Sensitivity" xfId="784"/>
    <cellStyle name="_Jiangxi Copper-model-wenyuan_Capex &amp; Depr (FY)" xfId="785"/>
    <cellStyle name="_Jiangxi Copper-model-wenyuan_Copy of Baosteel_model_Aug07_v2_sensitivity" xfId="786"/>
    <cellStyle name="_Jiangxi Copper-model-wenyuan_FS(FY)" xfId="787"/>
    <cellStyle name="_Jiangxi Copper-model-wenyuan_FS(Quarterly)" xfId="788"/>
    <cellStyle name="_Jiangxi Copper-model-wenyuan_Note" xfId="789"/>
    <cellStyle name="_Jiangxi Copper-model-wenyuan_ratio analysis" xfId="790"/>
    <cellStyle name="_Jiangxi Copper-model-wenyuan_Sensitivity - 2008" xfId="791"/>
    <cellStyle name="_Jiangxi Copper-model-wenyuan_Sensitivity - 2010" xfId="792"/>
    <cellStyle name="_Jiangxi Copper-model-wenyuan_Wuhan Steel_Aug07" xfId="793"/>
    <cellStyle name="_Lead" xfId="794"/>
    <cellStyle name="_Lina-Update" xfId="795"/>
    <cellStyle name="_Loan &amp; Interest Movement 0714" xfId="796"/>
    <cellStyle name="_Loan confirmation control sheet" xfId="797"/>
    <cellStyle name="_Loan Control Sheet-0803" xfId="798"/>
    <cellStyle name="_Loan WP" xfId="799"/>
    <cellStyle name="_Loan WP_0912loan movement-陈怡" xfId="800"/>
    <cellStyle name="_Loan WP_FEWP" xfId="801"/>
    <cellStyle name="_Loan WP_Lead" xfId="802"/>
    <cellStyle name="_Loan WP_借款Breakdown" xfId="803"/>
    <cellStyle name="_loan-2008.12.31" xfId="804"/>
    <cellStyle name="_loanWP_091231" xfId="805"/>
    <cellStyle name="_Maanshan_323HK_Aug07_sensitivity" xfId="806"/>
    <cellStyle name="_Market share" xfId="807"/>
    <cellStyle name="_marketing for JP" xfId="808"/>
    <cellStyle name="_master" xfId="809"/>
    <cellStyle name="_Master_1" xfId="810"/>
    <cellStyle name="_Master_2" xfId="811"/>
    <cellStyle name="_Monthly updates" xfId="812"/>
    <cellStyle name="_Multiple" xfId="813"/>
    <cellStyle name="_MultipleSpace" xfId="814"/>
    <cellStyle name="_Note" xfId="815"/>
    <cellStyle name="_Note_1" xfId="816"/>
    <cellStyle name="_Notes &amp; Assumptions" xfId="817"/>
    <cellStyle name="_Notes payable disclosure" xfId="818"/>
    <cellStyle name="_Notes payable disclosure_0912loan movement-陈怡" xfId="819"/>
    <cellStyle name="_Notes payable disclosure_FEWP" xfId="820"/>
    <cellStyle name="_Notes payable disclosure_Lead" xfId="821"/>
    <cellStyle name="_Notes payable disclosure_借款Breakdown" xfId="822"/>
    <cellStyle name="_Notes Payable WP" xfId="823"/>
    <cellStyle name="_Notes Payable WP_0912loan movement-陈怡" xfId="824"/>
    <cellStyle name="_Notes Payable WP_FEWP" xfId="825"/>
    <cellStyle name="_Notes Payable WP_Lead" xfId="826"/>
    <cellStyle name="_Notes Payable WP_借款Breakdown" xfId="827"/>
    <cellStyle name="_OECD" xfId="828"/>
    <cellStyle name="_P&amp;L" xfId="829"/>
    <cellStyle name="_Percent" xfId="830"/>
    <cellStyle name="_PercentSpace" xfId="831"/>
    <cellStyle name="_PL" xfId="832"/>
    <cellStyle name="_POSCO -June 2006" xfId="833"/>
    <cellStyle name="_power&amp;coal_data_weeklyupdated" xfId="834"/>
    <cellStyle name="_power_data_12Jun09" xfId="835"/>
    <cellStyle name="_Q" xfId="836"/>
    <cellStyle name="_Q_1" xfId="837"/>
    <cellStyle name="_Q_Q" xfId="838"/>
    <cellStyle name="_Q_Q_1" xfId="839"/>
    <cellStyle name="_QIC (P Barnes) on Earnings Upgrades_20070706" xfId="840"/>
    <cellStyle name="_ratio analysis" xfId="841"/>
    <cellStyle name="_Result comps" xfId="842"/>
    <cellStyle name="_Revenue breakdown" xfId="843"/>
    <cellStyle name="_Sales quantity of self-produced gold" xfId="844"/>
    <cellStyle name="_Sam's FAR Feb.16" xfId="845"/>
    <cellStyle name="_Sensitivity - 2008" xfId="846"/>
    <cellStyle name="_Sensitivity - 2010" xfId="847"/>
    <cellStyle name="_Sensitivity analysis" xfId="848"/>
    <cellStyle name="_Sensitivity_10" xfId="849"/>
    <cellStyle name="_SHA Cash and bank Control Sheet-0629" xfId="850"/>
    <cellStyle name="_shareholdings" xfId="851"/>
    <cellStyle name="_Sheet1" xfId="852"/>
    <cellStyle name="_Sheet5" xfId="853"/>
    <cellStyle name="_Sheet5_BNP shipping database_04APR2011" xfId="854"/>
    <cellStyle name="_Sheet5_Book1" xfId="855"/>
    <cellStyle name="_Sheet5_Book2" xfId="856"/>
    <cellStyle name="_Sheet5_Book5" xfId="857"/>
    <cellStyle name="_Standard Template OSW (UBS Shipbuilding)" xfId="858"/>
    <cellStyle name="_traffic breakdown by vehicle type" xfId="859"/>
    <cellStyle name="_Tyndall - CS Price forecasts 20070706" xfId="860"/>
    <cellStyle name="_UBS Valuation Model v17" xfId="861"/>
    <cellStyle name="_VAL" xfId="862"/>
    <cellStyle name="_VALS" xfId="863"/>
    <cellStyle name="_Valuation" xfId="864"/>
    <cellStyle name="_Valuation_Master" xfId="865"/>
    <cellStyle name="_Weekly airline price update" xfId="866"/>
    <cellStyle name="_Weekly Container_updates20120206" xfId="867"/>
    <cellStyle name="_Weekly Dry Bulk Updates_20120207" xfId="868"/>
    <cellStyle name="_Weekly Dry Bulk Updates_20120604" xfId="869"/>
    <cellStyle name="_Worksheet in (Read-Only) Step - Obtain a detailed analysis of loans and long-term debt" xfId="870"/>
    <cellStyle name="_Worksheet in (Read-Only) Step - Perform substantive analytical procedures - Cash 实施实" xfId="871"/>
    <cellStyle name="_Worksheet in (Read-Only) Step - Perform substantive analytical procedures - Notes payable, l" xfId="872"/>
    <cellStyle name="_Worksheet in (Read-Only) Step - Test interest expense and the ending accrued interest payabl" xfId="873"/>
    <cellStyle name="_Wuhan Steel_Aug07" xfId="874"/>
    <cellStyle name="_Wumart" xfId="875"/>
    <cellStyle name="_ZA－货币资金2009.6(n)" xfId="876"/>
    <cellStyle name="_Zhaojin mines long-term production plan-revised version" xfId="877"/>
    <cellStyle name="_ZhaojinNewCorrection" xfId="878"/>
    <cellStyle name="_ZhaojinNew-updated Feb.5th09" xfId="879"/>
    <cellStyle name="_ZhaojinNew-updated Nov.10th" xfId="880"/>
    <cellStyle name="_上航提供资料-FA team" xfId="881"/>
    <cellStyle name="_上货航 Loan" xfId="882"/>
    <cellStyle name="_借款Breakdown" xfId="883"/>
    <cellStyle name="_周报(2009年06月01日)_张龙、李大刚、诸勤秒" xfId="884"/>
    <cellStyle name="_国旅 Loan" xfId="885"/>
    <cellStyle name="_审计资料" xfId="886"/>
    <cellStyle name="_审计资料_0912审计资料-SAL样板-new" xfId="887"/>
    <cellStyle name="_审计资料_112233" xfId="888"/>
    <cellStyle name="_审计资料_2009 12审计资料pwc-new (2)" xfId="889"/>
    <cellStyle name="_审计资料_审计资料0912" xfId="890"/>
    <cellStyle name="_审计资料_审计资料3" xfId="891"/>
    <cellStyle name="_审计资料_审计资料3_审计资料-new" xfId="892"/>
    <cellStyle name="_审计资料_审计资料3_审计资料-new_0912审计资料-SAL样板-new" xfId="893"/>
    <cellStyle name="_审计资料_审计资料3_审计资料-new_112233" xfId="894"/>
    <cellStyle name="_审计资料_审计资料3_审计资料-new_2009 12审计资料pwc-new (2)" xfId="895"/>
    <cellStyle name="_审计资料_审计资料3_审计资料-new_审计资料0912" xfId="896"/>
    <cellStyle name="_审计资料_审计资料3_审计资料-new_审计资料-SAL样板-2" xfId="897"/>
    <cellStyle name="_审计资料_审计资料3_审计资料-new_审计资料-SAL样板-new (1) (2)" xfId="898"/>
    <cellStyle name="_审计资料_审计资料3_审计资料-new_审计资料-SAL样板-new (2)" xfId="899"/>
    <cellStyle name="_审计资料_审计资料3_审计资料-new_审计资料-SAL样板-new (3)" xfId="900"/>
    <cellStyle name="_审计资料_审计资料3_审计资料-new_审计资料-SAL样板-new (4)" xfId="901"/>
    <cellStyle name="_审计资料_审计资料3_审计资料-new_审计资料-SAL样板-new (6)" xfId="902"/>
    <cellStyle name="_审计资料_审计资料3_审计资料-new_审计资料-SAL样板-new (7)" xfId="903"/>
    <cellStyle name="_审计资料_审计资料3_审计资料-new_核对表" xfId="904"/>
    <cellStyle name="_审计资料_审计资料3_审计资料-new_货币资金NEW (3)" xfId="905"/>
    <cellStyle name="_审计资料_审计资料3_审计资料-new_货币资金NEW (4)" xfId="906"/>
    <cellStyle name="_审计资料_审计资料3_审计资料-new_追踪表" xfId="907"/>
    <cellStyle name="_审计资料_审计资料-SAL样板-2" xfId="908"/>
    <cellStyle name="_审计资料_审计资料-SAL样板-new (1) (2)" xfId="909"/>
    <cellStyle name="_审计资料_审计资料-SAL样板-new (2)" xfId="910"/>
    <cellStyle name="_审计资料_审计资料-SAL样板-new (3)" xfId="911"/>
    <cellStyle name="_审计资料_审计资料-SAL样板-new (4)" xfId="912"/>
    <cellStyle name="_审计资料_审计资料-SAL样板-new (6)" xfId="913"/>
    <cellStyle name="_审计资料_审计资料-SAL样板-new (7)" xfId="914"/>
    <cellStyle name="_审计资料_核对表" xfId="915"/>
    <cellStyle name="_审计资料_货币资金NEW (3)" xfId="916"/>
    <cellStyle name="_审计资料_货币资金NEW (4)" xfId="917"/>
    <cellStyle name="_审计资料_追踪表" xfId="918"/>
    <cellStyle name="_审计资料-new" xfId="919"/>
    <cellStyle name="_审计资料-new_0912审计资料-SAL样板-new" xfId="920"/>
    <cellStyle name="_审计资料-new_112233" xfId="921"/>
    <cellStyle name="_审计资料-new_2009 12审计资料pwc-new (2)" xfId="922"/>
    <cellStyle name="_审计资料-new_审计资料0912" xfId="923"/>
    <cellStyle name="_审计资料-new_审计资料-SAL样板-2" xfId="924"/>
    <cellStyle name="_审计资料-new_审计资料-SAL样板-new (1) (2)" xfId="925"/>
    <cellStyle name="_审计资料-new_审计资料-SAL样板-new (2)" xfId="926"/>
    <cellStyle name="_审计资料-new_审计资料-SAL样板-new (3)" xfId="927"/>
    <cellStyle name="_审计资料-new_审计资料-SAL样板-new (4)" xfId="928"/>
    <cellStyle name="_审计资料-new_审计资料-SAL样板-new (6)" xfId="929"/>
    <cellStyle name="_审计资料-new_审计资料-SAL样板-new (7)" xfId="930"/>
    <cellStyle name="_审计资料-new_核对表" xfId="931"/>
    <cellStyle name="_审计资料-new_货币资金NEW (3)" xfId="932"/>
    <cellStyle name="_审计资料-new_货币资金NEW (4)" xfId="933"/>
    <cellStyle name="_审计资料-new_追踪表" xfId="934"/>
    <cellStyle name="_煤耗" xfId="935"/>
    <cellStyle name="_短期借款" xfId="936"/>
    <cellStyle name="_资产部汇总全公司部分0806" xfId="937"/>
    <cellStyle name="_资产部汇总全公司部分0806_0912审计资料-SAL样板-new" xfId="938"/>
    <cellStyle name="_资产部汇总全公司部分0806_112233" xfId="939"/>
    <cellStyle name="_资产部汇总全公司部分0806_2009 12审计资料pwc-new (2)" xfId="940"/>
    <cellStyle name="_资产部汇总全公司部分0806_审计资料0912" xfId="941"/>
    <cellStyle name="_资产部汇总全公司部分0806_审计资料-SAL样板-2" xfId="942"/>
    <cellStyle name="_资产部汇总全公司部分0806_审计资料-SAL样板-new (1) (2)" xfId="943"/>
    <cellStyle name="_资产部汇总全公司部分0806_审计资料-SAL样板-new (2)" xfId="944"/>
    <cellStyle name="_资产部汇总全公司部分0806_审计资料-SAL样板-new (3)" xfId="945"/>
    <cellStyle name="_资产部汇总全公司部分0806_审计资料-SAL样板-new (4)" xfId="946"/>
    <cellStyle name="_资产部汇总全公司部分0806_审计资料-SAL样板-new (6)" xfId="947"/>
    <cellStyle name="_资产部汇总全公司部分0806_审计资料-SAL样板-new (7)" xfId="948"/>
    <cellStyle name="_资产部汇总全公司部分0806_核对表" xfId="949"/>
    <cellStyle name="_资产部汇总全公司部分0806_货币资金NEW (3)" xfId="950"/>
    <cellStyle name="_资产部汇总全公司部分0806_货币资金NEW (4)" xfId="951"/>
    <cellStyle name="_资产部汇总全公司部分0806_追踪表" xfId="952"/>
    <cellStyle name="{Comma [0]}" xfId="953"/>
    <cellStyle name="{Comma [0]} 2" xfId="954"/>
    <cellStyle name="{Comma}" xfId="955"/>
    <cellStyle name="{Comma} 2" xfId="956"/>
    <cellStyle name="{Date}" xfId="957"/>
    <cellStyle name="{Date} 2" xfId="958"/>
    <cellStyle name="{Month}" xfId="959"/>
    <cellStyle name="{Month} 2" xfId="960"/>
    <cellStyle name="{Percent}" xfId="961"/>
    <cellStyle name="{Percent} 2" xfId="962"/>
    <cellStyle name="{Thousand [0]}" xfId="963"/>
    <cellStyle name="{Thousand [0]} 2" xfId="964"/>
    <cellStyle name="{Thousand}" xfId="965"/>
    <cellStyle name="{Thousand} 2" xfId="966"/>
    <cellStyle name="{Z'0000(1 dec)}" xfId="967"/>
    <cellStyle name="{Z'0000(1 dec)} 2" xfId="968"/>
    <cellStyle name="{Z'0000(4 dec)}" xfId="969"/>
    <cellStyle name="{Z'0000(4 dec)} 2" xfId="970"/>
    <cellStyle name="¿µ" xfId="971"/>
    <cellStyle name="¿µ 2" xfId="972"/>
    <cellStyle name="¿µ 2 2" xfId="973"/>
    <cellStyle name="¿µ 2 2 2" xfId="974"/>
    <cellStyle name="¿µ 3" xfId="975"/>
    <cellStyle name="£ BP" xfId="976"/>
    <cellStyle name="¤@¯ë_Account Reports (1)" xfId="977"/>
    <cellStyle name="¥ JY" xfId="978"/>
    <cellStyle name="¥Vn¥VC¥Vp[¥V¥A¥V¡°¥VN" xfId="979"/>
    <cellStyle name="=C:\WINNT\SYSTEM32\COMMAND.COM" xfId="980"/>
    <cellStyle name="»õ±Ò[0]_laroux" xfId="981"/>
    <cellStyle name="»õ±Ò_laroux" xfId="982"/>
    <cellStyle name="§Q\?1@ 2" xfId="983"/>
    <cellStyle name="§Q\?1@_China Airlines" xfId="984"/>
    <cellStyle name="¶W³sµ²" xfId="985"/>
    <cellStyle name="ÚËî}(Ó¢)" xfId="986"/>
    <cellStyle name="ÚËî}(ÖÐ)" xfId="987"/>
    <cellStyle name="0" xfId="988"/>
    <cellStyle name="0%" xfId="989"/>
    <cellStyle name="0,0_x000d__x000a_NA_x000d__x000a_" xfId="990"/>
    <cellStyle name="0.0 2" xfId="991"/>
    <cellStyle name="0.0 2 2" xfId="992"/>
    <cellStyle name="0.0 3" xfId="993"/>
    <cellStyle name="0.0_ARCELOR_MITTAL" xfId="994"/>
    <cellStyle name="0.00" xfId="995"/>
    <cellStyle name="0.00 2" xfId="996"/>
    <cellStyle name="0.00 2 2" xfId="997"/>
    <cellStyle name="0.00 3" xfId="998"/>
    <cellStyle name="0.00%" xfId="999"/>
    <cellStyle name="0.00_ARCELOR_MITTAL" xfId="1000"/>
    <cellStyle name="0_ARCELOR_MITTAL" xfId="1001"/>
    <cellStyle name="0_ARCELOR_MITTAL 2" xfId="1002"/>
    <cellStyle name="0_ARCELOR_MITTAL 2 2" xfId="1003"/>
    <cellStyle name="0_ARCELOR_MITTAL 3" xfId="1004"/>
    <cellStyle name="0_BS" xfId="1005"/>
    <cellStyle name="0_CF" xfId="1006"/>
    <cellStyle name="0_Companies overview" xfId="1007"/>
    <cellStyle name="0_Data and charts-2" xfId="1008"/>
    <cellStyle name="0_Division -C steel" xfId="1009"/>
    <cellStyle name="0_Kloeckner-model" xfId="1010"/>
    <cellStyle name="0_Kloeckner-model 2" xfId="1011"/>
    <cellStyle name="0_Kloeckner-model 2 2" xfId="1012"/>
    <cellStyle name="0_Kloeckner-model 3" xfId="1013"/>
    <cellStyle name="0_STEEL" xfId="1014"/>
    <cellStyle name="0_STEEL 2" xfId="1015"/>
    <cellStyle name="0_STEEL 2 2" xfId="1016"/>
    <cellStyle name="0_STEEL 3" xfId="1017"/>
    <cellStyle name="0_table" xfId="1018"/>
    <cellStyle name="0_Thyssen Financials" xfId="1019"/>
    <cellStyle name="0_TK model" xfId="1020"/>
    <cellStyle name="0_TK model-18dec07" xfId="1021"/>
    <cellStyle name="0_Valuation summary" xfId="1022"/>
    <cellStyle name="1" xfId="1023"/>
    <cellStyle name="1 2" xfId="1024"/>
    <cellStyle name="1,comma" xfId="1025"/>
    <cellStyle name="10" xfId="1026"/>
    <cellStyle name="12" xfId="1027"/>
    <cellStyle name="14" xfId="1028"/>
    <cellStyle name="18" xfId="1029"/>
    <cellStyle name="1parte" xfId="1030"/>
    <cellStyle name="2" xfId="1031"/>
    <cellStyle name="20% - Accent1 2" xfId="1032"/>
    <cellStyle name="20% - Accent1 2 2" xfId="1033"/>
    <cellStyle name="20% - Accent1 3" xfId="1034"/>
    <cellStyle name="20% - Accent1 4" xfId="1035"/>
    <cellStyle name="20% - Accent1 5" xfId="1036"/>
    <cellStyle name="20% - Accent1 6" xfId="1037"/>
    <cellStyle name="20% - Accent1 7" xfId="1038"/>
    <cellStyle name="20% - Accent2 2" xfId="1039"/>
    <cellStyle name="20% - Accent2 3" xfId="1040"/>
    <cellStyle name="20% - Accent2 4" xfId="1041"/>
    <cellStyle name="20% - Accent2 5" xfId="1042"/>
    <cellStyle name="20% - Accent2 6" xfId="1043"/>
    <cellStyle name="20% - Accent2 7" xfId="1044"/>
    <cellStyle name="20% - Accent3 2" xfId="1045"/>
    <cellStyle name="20% - Accent3 3" xfId="1046"/>
    <cellStyle name="20% - Accent3 4" xfId="1047"/>
    <cellStyle name="20% - Accent3 5" xfId="1048"/>
    <cellStyle name="20% - Accent3 6" xfId="1049"/>
    <cellStyle name="20% - Accent3 7" xfId="1050"/>
    <cellStyle name="20% - Accent4 2" xfId="1051"/>
    <cellStyle name="20% - Accent4 3" xfId="1052"/>
    <cellStyle name="20% - Accent4 4" xfId="1053"/>
    <cellStyle name="20% - Accent4 5" xfId="1054"/>
    <cellStyle name="20% - Accent4 6" xfId="1055"/>
    <cellStyle name="20% - Accent4 7" xfId="1056"/>
    <cellStyle name="20% - Accent5 2" xfId="1057"/>
    <cellStyle name="20% - Accent5 2 2" xfId="1058"/>
    <cellStyle name="20% - Accent5 3" xfId="1059"/>
    <cellStyle name="20% - Accent5 4" xfId="1060"/>
    <cellStyle name="20% - Accent5 5" xfId="1061"/>
    <cellStyle name="20% - Accent5 6" xfId="1062"/>
    <cellStyle name="20% - Accent5 7" xfId="1063"/>
    <cellStyle name="20% - Accent6 2" xfId="1064"/>
    <cellStyle name="20% - Accent6 3" xfId="1065"/>
    <cellStyle name="20% - Accent6 4" xfId="1066"/>
    <cellStyle name="20% - Accent6 5" xfId="1067"/>
    <cellStyle name="20% - Accent6 6" xfId="1068"/>
    <cellStyle name="20% - 强调文字颜色 1 2" xfId="1069"/>
    <cellStyle name="20% - 强调文字颜色 1 3" xfId="1070"/>
    <cellStyle name="20% - 强调文字颜色 1 4" xfId="1071"/>
    <cellStyle name="20% - 强调文字颜色 1 5" xfId="1072"/>
    <cellStyle name="20% - 强调文字颜色 1 6" xfId="1073"/>
    <cellStyle name="20% - 强调文字颜色 1 7" xfId="1074"/>
    <cellStyle name="20% - 强调文字颜色 1_20130813  航空公司综合数据—国航7月数据" xfId="1075"/>
    <cellStyle name="20% - 强调文字颜色 2 2" xfId="1076"/>
    <cellStyle name="20% - 强调文字颜色 2 3" xfId="1077"/>
    <cellStyle name="20% - 强调文字颜色 2 4" xfId="1078"/>
    <cellStyle name="20% - 强调文字颜色 2 5" xfId="1079"/>
    <cellStyle name="20% - 强调文字颜色 2 6" xfId="1080"/>
    <cellStyle name="20% - 强调文字颜色 2 7" xfId="1081"/>
    <cellStyle name="20% - 强调文字颜色 2_20130813  航空公司综合数据—国航7月数据" xfId="1082"/>
    <cellStyle name="20% - 强调文字颜色 3 2" xfId="1083"/>
    <cellStyle name="20% - 强调文字颜色 3 3" xfId="1084"/>
    <cellStyle name="20% - 强调文字颜色 3 4" xfId="1085"/>
    <cellStyle name="20% - 强调文字颜色 3 5" xfId="1086"/>
    <cellStyle name="20% - 强调文字颜色 3 6" xfId="1087"/>
    <cellStyle name="20% - 强调文字颜色 3 7" xfId="1088"/>
    <cellStyle name="20% - 强调文字颜色 3_20130813  航空公司综合数据—国航7月数据" xfId="1089"/>
    <cellStyle name="20% - 强调文字颜色 4 2" xfId="1090"/>
    <cellStyle name="20% - 强调文字颜色 4 3" xfId="1091"/>
    <cellStyle name="20% - 强调文字颜色 4 4" xfId="1092"/>
    <cellStyle name="20% - 强调文字颜色 4 5" xfId="1093"/>
    <cellStyle name="20% - 强调文字颜色 4 6" xfId="1094"/>
    <cellStyle name="20% - 强调文字颜色 4 7" xfId="1095"/>
    <cellStyle name="20% - 强调文字颜色 4_20130813  航空公司综合数据—国航7月数据" xfId="1096"/>
    <cellStyle name="20% - 强调文字颜色 5 2" xfId="1097"/>
    <cellStyle name="20% - 强调文字颜色 5 3" xfId="1098"/>
    <cellStyle name="20% - 强调文字颜色 5 4" xfId="1099"/>
    <cellStyle name="20% - 强调文字颜色 5 5" xfId="1100"/>
    <cellStyle name="20% - 强调文字颜色 5 6" xfId="1101"/>
    <cellStyle name="20% - 强调文字颜色 5 7" xfId="1102"/>
    <cellStyle name="20% - 强调文字颜色 5_20130813  航空公司综合数据—国航7月数据" xfId="1103"/>
    <cellStyle name="20% - 强调文字颜色 6 2" xfId="1104"/>
    <cellStyle name="20% - 强调文字颜色 6 3" xfId="1105"/>
    <cellStyle name="20% - 强调文字颜色 6 4" xfId="1106"/>
    <cellStyle name="20% - 强调文字颜色 6 5" xfId="1107"/>
    <cellStyle name="20% - 强调文字颜色 6 6" xfId="1108"/>
    <cellStyle name="20% - 强调文字颜色 6 7" xfId="1109"/>
    <cellStyle name="20% - 强调文字颜色 6_20130813  航空公司综合数据—国航7月数据" xfId="1110"/>
    <cellStyle name="20% - 輔色1" xfId="1111"/>
    <cellStyle name="20% - 輔色2" xfId="1112"/>
    <cellStyle name="20% - 輔色3" xfId="1113"/>
    <cellStyle name="20% - 輔色4" xfId="1114"/>
    <cellStyle name="20% - 輔色5" xfId="1115"/>
    <cellStyle name="20% - 輔色6" xfId="1116"/>
    <cellStyle name="24" xfId="1117"/>
    <cellStyle name="2dp" xfId="1118"/>
    <cellStyle name="2parte" xfId="1119"/>
    <cellStyle name="3" xfId="1120"/>
    <cellStyle name="³£¹æ_0012A3" xfId="1121"/>
    <cellStyle name="³¬¼¶Á´½Ó" xfId="1122"/>
    <cellStyle name="3f1?0]_assumption(tj))" xfId="1123"/>
    <cellStyle name="3f1?assumption(tj)t" xfId="1124"/>
    <cellStyle name="3f1?p&amp;l(tj)i" xfId="1125"/>
    <cellStyle name="³f¹ô [0]_audit schedule" xfId="1126"/>
    <cellStyle name="³f¹ô_audit schedule" xfId="1127"/>
    <cellStyle name="3L1a_assumption(tj)" xfId="1128"/>
    <cellStyle name="4" xfId="1129"/>
    <cellStyle name="4 2" xfId="1130"/>
    <cellStyle name="4 3" xfId="1131"/>
    <cellStyle name="4 3 2" xfId="1132"/>
    <cellStyle name="4 3 2 2" xfId="1133"/>
    <cellStyle name="4 3 2 2 2" xfId="1134"/>
    <cellStyle name="4 3 3" xfId="1135"/>
    <cellStyle name="4 3 3 2" xfId="1136"/>
    <cellStyle name="40% - Accent1 2" xfId="1137"/>
    <cellStyle name="40% - Accent1 3" xfId="1138"/>
    <cellStyle name="40% - Accent1 4" xfId="1139"/>
    <cellStyle name="40% - Accent1 5" xfId="1140"/>
    <cellStyle name="40% - Accent1 6" xfId="1141"/>
    <cellStyle name="40% - Accent1 7" xfId="1142"/>
    <cellStyle name="40% - Accent2 2" xfId="1143"/>
    <cellStyle name="40% - Accent2 3" xfId="1144"/>
    <cellStyle name="40% - Accent2 4" xfId="1145"/>
    <cellStyle name="40% - Accent2 5" xfId="1146"/>
    <cellStyle name="40% - Accent2 6" xfId="1147"/>
    <cellStyle name="40% - Accent2 7" xfId="1148"/>
    <cellStyle name="40% - Accent3 2" xfId="1149"/>
    <cellStyle name="40% - Accent3 3" xfId="1150"/>
    <cellStyle name="40% - Accent3 4" xfId="1151"/>
    <cellStyle name="40% - Accent3 5" xfId="1152"/>
    <cellStyle name="40% - Accent3 6" xfId="1153"/>
    <cellStyle name="40% - Accent3 7" xfId="1154"/>
    <cellStyle name="40% - Accent4 2" xfId="1155"/>
    <cellStyle name="40% - Accent4 3" xfId="1156"/>
    <cellStyle name="40% - Accent4 4" xfId="1157"/>
    <cellStyle name="40% - Accent4 5" xfId="1158"/>
    <cellStyle name="40% - Accent4 6" xfId="1159"/>
    <cellStyle name="40% - Accent4 7" xfId="1160"/>
    <cellStyle name="40% - Accent5 2" xfId="1161"/>
    <cellStyle name="40% - Accent5 3" xfId="1162"/>
    <cellStyle name="40% - Accent5 4" xfId="1163"/>
    <cellStyle name="40% - Accent5 5" xfId="1164"/>
    <cellStyle name="40% - Accent5 6" xfId="1165"/>
    <cellStyle name="40% - Accent6 2" xfId="1166"/>
    <cellStyle name="40% - Accent6 3" xfId="1167"/>
    <cellStyle name="40% - Accent6 4" xfId="1168"/>
    <cellStyle name="40% - Accent6 5" xfId="1169"/>
    <cellStyle name="40% - Accent6 6" xfId="1170"/>
    <cellStyle name="40% - Accent6 7" xfId="1171"/>
    <cellStyle name="40% - 强调文字颜色 1 2" xfId="1172"/>
    <cellStyle name="40% - 强调文字颜色 1 3" xfId="1173"/>
    <cellStyle name="40% - 强调文字颜色 1 4" xfId="1174"/>
    <cellStyle name="40% - 强调文字颜色 1 5" xfId="1175"/>
    <cellStyle name="40% - 强调文字颜色 1 6" xfId="1176"/>
    <cellStyle name="40% - 强调文字颜色 1 7" xfId="1177"/>
    <cellStyle name="40% - 强调文字颜色 1_20130813  航空公司综合数据—国航7月数据" xfId="1178"/>
    <cellStyle name="40% - 强调文字颜色 2 2" xfId="1179"/>
    <cellStyle name="40% - 强调文字颜色 2 3" xfId="1180"/>
    <cellStyle name="40% - 强调文字颜色 2 4" xfId="1181"/>
    <cellStyle name="40% - 强调文字颜色 2 5" xfId="1182"/>
    <cellStyle name="40% - 强调文字颜色 2 6" xfId="1183"/>
    <cellStyle name="40% - 强调文字颜色 2 7" xfId="1184"/>
    <cellStyle name="40% - 强调文字颜色 2_20130813  航空公司综合数据—国航7月数据" xfId="1185"/>
    <cellStyle name="40% - 强调文字颜色 3 2" xfId="1186"/>
    <cellStyle name="40% - 强调文字颜色 3 3" xfId="1187"/>
    <cellStyle name="40% - 强调文字颜色 3 4" xfId="1188"/>
    <cellStyle name="40% - 强调文字颜色 3 5" xfId="1189"/>
    <cellStyle name="40% - 强调文字颜色 3 6" xfId="1190"/>
    <cellStyle name="40% - 强调文字颜色 3 7" xfId="1191"/>
    <cellStyle name="40% - 强调文字颜色 3_20130813  航空公司综合数据—国航7月数据" xfId="1192"/>
    <cellStyle name="40% - 强调文字颜色 4 2" xfId="1193"/>
    <cellStyle name="40% - 强调文字颜色 4 3" xfId="1194"/>
    <cellStyle name="40% - 强调文字颜色 4 4" xfId="1195"/>
    <cellStyle name="40% - 强调文字颜色 4 5" xfId="1196"/>
    <cellStyle name="40% - 强调文字颜色 4 6" xfId="1197"/>
    <cellStyle name="40% - 强调文字颜色 4 7" xfId="1198"/>
    <cellStyle name="40% - 强调文字颜色 4_20130813  航空公司综合数据—国航7月数据" xfId="1199"/>
    <cellStyle name="40% - 强调文字颜色 5 2" xfId="1200"/>
    <cellStyle name="40% - 强调文字颜色 5 3" xfId="1201"/>
    <cellStyle name="40% - 强调文字颜色 5 4" xfId="1202"/>
    <cellStyle name="40% - 强调文字颜色 5 5" xfId="1203"/>
    <cellStyle name="40% - 强调文字颜色 5 6" xfId="1204"/>
    <cellStyle name="40% - 强调文字颜色 5 7" xfId="1205"/>
    <cellStyle name="40% - 强调文字颜色 5_20130813  航空公司综合数据—国航7月数据" xfId="1206"/>
    <cellStyle name="40% - 强调文字颜色 6 2" xfId="1207"/>
    <cellStyle name="40% - 强调文字颜色 6 3" xfId="1208"/>
    <cellStyle name="40% - 强调文字颜色 6 4" xfId="1209"/>
    <cellStyle name="40% - 强调文字颜色 6 5" xfId="1210"/>
    <cellStyle name="40% - 强调文字颜色 6 6" xfId="1211"/>
    <cellStyle name="40% - 强调文字颜色 6 7" xfId="1212"/>
    <cellStyle name="40% - 强调文字颜色 6_20130813  航空公司综合数据—国航7月数据" xfId="1213"/>
    <cellStyle name="40% - 輔色1" xfId="1214"/>
    <cellStyle name="40% - 輔色2" xfId="1215"/>
    <cellStyle name="40% - 輔色3" xfId="1216"/>
    <cellStyle name="40% - 輔色4" xfId="1217"/>
    <cellStyle name="40% - 輔色5" xfId="1218"/>
    <cellStyle name="40% - 輔色6" xfId="1219"/>
    <cellStyle name="5" xfId="1220"/>
    <cellStyle name="5 2" xfId="1221"/>
    <cellStyle name="5 2 2" xfId="1222"/>
    <cellStyle name="5 2 2 2" xfId="1223"/>
    <cellStyle name="5 3" xfId="1224"/>
    <cellStyle name="5 3 2" xfId="1225"/>
    <cellStyle name="6" xfId="1226"/>
    <cellStyle name="6 2" xfId="1227"/>
    <cellStyle name="6 2 2" xfId="1228"/>
    <cellStyle name="6 2 2 2" xfId="1229"/>
    <cellStyle name="6 3" xfId="1230"/>
    <cellStyle name="6 3 2" xfId="1231"/>
    <cellStyle name="60% - Accent1 2" xfId="1232"/>
    <cellStyle name="60% - Accent1 3" xfId="1233"/>
    <cellStyle name="60% - Accent1 4" xfId="1234"/>
    <cellStyle name="60% - Accent1 5" xfId="1235"/>
    <cellStyle name="60% - Accent1 6" xfId="1236"/>
    <cellStyle name="60% - Accent1 7" xfId="1237"/>
    <cellStyle name="60% - Accent2 2" xfId="1238"/>
    <cellStyle name="60% - Accent2 3" xfId="1239"/>
    <cellStyle name="60% - Accent2 4" xfId="1240"/>
    <cellStyle name="60% - Accent2 5" xfId="1241"/>
    <cellStyle name="60% - Accent2 6" xfId="1242"/>
    <cellStyle name="60% - Accent2 7" xfId="1243"/>
    <cellStyle name="60% - Accent3 2" xfId="1244"/>
    <cellStyle name="60% - Accent3 3" xfId="1245"/>
    <cellStyle name="60% - Accent3 4" xfId="1246"/>
    <cellStyle name="60% - Accent3 5" xfId="1247"/>
    <cellStyle name="60% - Accent3 6" xfId="1248"/>
    <cellStyle name="60% - Accent3 7" xfId="1249"/>
    <cellStyle name="60% - Accent4 2" xfId="1250"/>
    <cellStyle name="60% - Accent4 3" xfId="1251"/>
    <cellStyle name="60% - Accent4 4" xfId="1252"/>
    <cellStyle name="60% - Accent4 5" xfId="1253"/>
    <cellStyle name="60% - Accent4 6" xfId="1254"/>
    <cellStyle name="60% - Accent4 7" xfId="1255"/>
    <cellStyle name="60% - Accent5 2" xfId="1256"/>
    <cellStyle name="60% - Accent5 3" xfId="1257"/>
    <cellStyle name="60% - Accent5 4" xfId="1258"/>
    <cellStyle name="60% - Accent5 5" xfId="1259"/>
    <cellStyle name="60% - Accent5 6" xfId="1260"/>
    <cellStyle name="60% - Accent6 2" xfId="1261"/>
    <cellStyle name="60% - Accent6 3" xfId="1262"/>
    <cellStyle name="60% - Accent6 4" xfId="1263"/>
    <cellStyle name="60% - Accent6 5" xfId="1264"/>
    <cellStyle name="60% - Accent6 6" xfId="1265"/>
    <cellStyle name="60% - Accent6 7" xfId="1266"/>
    <cellStyle name="60% - 强调文字颜色 1 2" xfId="1267"/>
    <cellStyle name="60% - 强调文字颜色 1 3" xfId="1268"/>
    <cellStyle name="60% - 强调文字颜色 1 4" xfId="1269"/>
    <cellStyle name="60% - 强调文字颜色 1 5" xfId="1270"/>
    <cellStyle name="60% - 强调文字颜色 1 6" xfId="1271"/>
    <cellStyle name="60% - 强调文字颜色 1 7" xfId="1272"/>
    <cellStyle name="60% - 强调文字颜色 1_20130813  航空公司综合数据—国航7月数据" xfId="1273"/>
    <cellStyle name="60% - 强调文字颜色 2 2" xfId="1274"/>
    <cellStyle name="60% - 强调文字颜色 2 3" xfId="1275"/>
    <cellStyle name="60% - 强调文字颜色 2 4" xfId="1276"/>
    <cellStyle name="60% - 强调文字颜色 2 5" xfId="1277"/>
    <cellStyle name="60% - 强调文字颜色 2 6" xfId="1278"/>
    <cellStyle name="60% - 强调文字颜色 2 7" xfId="1279"/>
    <cellStyle name="60% - 强调文字颜色 2_20130813  航空公司综合数据—国航7月数据" xfId="1280"/>
    <cellStyle name="60% - 强调文字颜色 3 2" xfId="1281"/>
    <cellStyle name="60% - 强调文字颜色 3 3" xfId="1282"/>
    <cellStyle name="60% - 强调文字颜色 3 4" xfId="1283"/>
    <cellStyle name="60% - 强调文字颜色 3 5" xfId="1284"/>
    <cellStyle name="60% - 强调文字颜色 3 6" xfId="1285"/>
    <cellStyle name="60% - 强调文字颜色 3 7" xfId="1286"/>
    <cellStyle name="60% - 强调文字颜色 3_20130813  航空公司综合数据—国航7月数据" xfId="1287"/>
    <cellStyle name="60% - 强调文字颜色 4 2" xfId="1288"/>
    <cellStyle name="60% - 强调文字颜色 4 3" xfId="1289"/>
    <cellStyle name="60% - 强调文字颜色 4 4" xfId="1290"/>
    <cellStyle name="60% - 强调文字颜色 4 5" xfId="1291"/>
    <cellStyle name="60% - 强调文字颜色 4 6" xfId="1292"/>
    <cellStyle name="60% - 强调文字颜色 4 7" xfId="1293"/>
    <cellStyle name="60% - 强调文字颜色 4_20130813  航空公司综合数据—国航7月数据" xfId="1294"/>
    <cellStyle name="60% - 强调文字颜色 5 2" xfId="1295"/>
    <cellStyle name="60% - 强调文字颜色 5 3" xfId="1296"/>
    <cellStyle name="60% - 强调文字颜色 5 4" xfId="1297"/>
    <cellStyle name="60% - 强调文字颜色 5 5" xfId="1298"/>
    <cellStyle name="60% - 强调文字颜色 5 6" xfId="1299"/>
    <cellStyle name="60% - 强调文字颜色 5 7" xfId="1300"/>
    <cellStyle name="60% - 强调文字颜色 5_20130813  航空公司综合数据—国航7月数据" xfId="1301"/>
    <cellStyle name="60% - 强调文字颜色 6 2" xfId="1302"/>
    <cellStyle name="60% - 强调文字颜色 6 3" xfId="1303"/>
    <cellStyle name="60% - 强调文字颜色 6 4" xfId="1304"/>
    <cellStyle name="60% - 强调文字颜色 6 5" xfId="1305"/>
    <cellStyle name="60% - 强调文字颜色 6 6" xfId="1306"/>
    <cellStyle name="60% - 强调文字颜色 6 7" xfId="1307"/>
    <cellStyle name="60% - 强调文字颜色 6_20130813  航空公司综合数据—国航7月数据" xfId="1308"/>
    <cellStyle name="60% - 輔色1" xfId="1309"/>
    <cellStyle name="60% - 輔色2" xfId="1310"/>
    <cellStyle name="60% - 輔色3" xfId="1311"/>
    <cellStyle name="60% - 輔色4" xfId="1312"/>
    <cellStyle name="60% - 輔色5" xfId="1313"/>
    <cellStyle name="60% - 輔色6" xfId="1314"/>
    <cellStyle name="9" xfId="1315"/>
    <cellStyle name="9 2" xfId="1316"/>
    <cellStyle name="9 2 2" xfId="1317"/>
    <cellStyle name="9 2 2 2" xfId="1318"/>
    <cellStyle name="9 3" xfId="1319"/>
    <cellStyle name="9 3 2" xfId="1320"/>
    <cellStyle name="9_20130813  航空公司综合数据—国航7月数据" xfId="1321"/>
    <cellStyle name="9_big three data re" xfId="1322"/>
    <cellStyle name="9_Financials" xfId="1323"/>
    <cellStyle name="99,999.00; -" xfId="1324"/>
    <cellStyle name="99,999; -" xfId="1325"/>
    <cellStyle name="Accent1 2" xfId="1326"/>
    <cellStyle name="Accent1 3" xfId="1327"/>
    <cellStyle name="Accent1 4" xfId="1328"/>
    <cellStyle name="Accent1 5" xfId="1329"/>
    <cellStyle name="Accent1 6" xfId="1330"/>
    <cellStyle name="Accent1 7" xfId="1331"/>
    <cellStyle name="Accent1 8" xfId="1332"/>
    <cellStyle name="Accent2 2" xfId="1333"/>
    <cellStyle name="Accent2 3" xfId="1334"/>
    <cellStyle name="Accent2 4" xfId="1335"/>
    <cellStyle name="Accent2 5" xfId="1336"/>
    <cellStyle name="Accent2 6" xfId="1337"/>
    <cellStyle name="Accent3 2" xfId="1338"/>
    <cellStyle name="Accent3 3" xfId="1339"/>
    <cellStyle name="Accent3 4" xfId="1340"/>
    <cellStyle name="Accent3 5" xfId="1341"/>
    <cellStyle name="Accent3 6" xfId="1342"/>
    <cellStyle name="Accent4 2" xfId="1343"/>
    <cellStyle name="Accent4 3" xfId="1344"/>
    <cellStyle name="Accent4 4" xfId="1345"/>
    <cellStyle name="Accent4 5" xfId="1346"/>
    <cellStyle name="Accent4 6" xfId="1347"/>
    <cellStyle name="Accent4 7" xfId="1348"/>
    <cellStyle name="Accent5 2" xfId="1349"/>
    <cellStyle name="Accent5 3" xfId="1350"/>
    <cellStyle name="Accent5 4" xfId="1351"/>
    <cellStyle name="Accent5 5" xfId="1352"/>
    <cellStyle name="Accent5 6" xfId="1353"/>
    <cellStyle name="Accent6 2" xfId="1354"/>
    <cellStyle name="Accent6 3" xfId="1355"/>
    <cellStyle name="Accent6 4" xfId="1356"/>
    <cellStyle name="Accent6 5" xfId="1357"/>
    <cellStyle name="Accent6 6" xfId="1358"/>
    <cellStyle name="Actruallized input" xfId="1359"/>
    <cellStyle name="Actruallized year" xfId="1360"/>
    <cellStyle name="add" xfId="1361"/>
    <cellStyle name="ÁÈµú»Õ_95" xfId="1362"/>
    <cellStyle name="AeE­ [0]_INQUIRY ¿µ¾÷AßAø " xfId="1363"/>
    <cellStyle name="AeE­_INQUIRY ¿µ¾÷AßAø " xfId="1364"/>
    <cellStyle name="ÄêÔÂÈÕ" xfId="1365"/>
    <cellStyle name="ÆÕÍ¨_98-02" xfId="1366"/>
    <cellStyle name="ÀH«áªº¶W³sµ²" xfId="1367"/>
    <cellStyle name="Alex Date" xfId="1368"/>
    <cellStyle name="Andre's Title" xfId="1369"/>
    <cellStyle name="Año" xfId="1370"/>
    <cellStyle name="Años" xfId="1371"/>
    <cellStyle name="Arial 10" xfId="1372"/>
    <cellStyle name="Arial 12" xfId="1373"/>
    <cellStyle name="Arial6Bold 2" xfId="1374"/>
    <cellStyle name="Arial8Bold 2" xfId="1375"/>
    <cellStyle name="Arial8Italic 2" xfId="1376"/>
    <cellStyle name="ArialNormal 2" xfId="1377"/>
    <cellStyle name="ArialNormal_20130813  航空公司综合数据—国航7月数据" xfId="1378"/>
    <cellStyle name="Assumption" xfId="1379"/>
    <cellStyle name="Assumptions Center Currency" xfId="1380"/>
    <cellStyle name="Assumptions Center Date" xfId="1381"/>
    <cellStyle name="Assumptions Center Multiple" xfId="1382"/>
    <cellStyle name="Assumptions Center Number" xfId="1383"/>
    <cellStyle name="Assumptions Center Percentage" xfId="1384"/>
    <cellStyle name="Assumptions Center Year" xfId="1385"/>
    <cellStyle name="Assumptions Heading" xfId="1386"/>
    <cellStyle name="Assumptions Right Currency" xfId="1387"/>
    <cellStyle name="Assumptions Right Date" xfId="1388"/>
    <cellStyle name="Assumptions Right Multiple" xfId="1389"/>
    <cellStyle name="Assumptions Right Number" xfId="1390"/>
    <cellStyle name="Assumptions Right Percentage" xfId="1391"/>
    <cellStyle name="Assumptions Right Year" xfId="1392"/>
    <cellStyle name="AÞ¸¶ [0]_INQUIRY ¿µ¾÷AßAø " xfId="1393"/>
    <cellStyle name="AÞ¸¶_INQUIRY ¿µ¾÷AßAø " xfId="1394"/>
    <cellStyle name="ations]_x000d__x000a_Number=1_x000d__x000a_Microsoft Excel=0_x000d__x000a__x000d__x000a_[FileManager]_x000d__x000a_Flags=4_x000d__x000a_Column0=41_x000d__x000a_Column1=55_x000d__x000a_Column2=63_x000d_ 2" xfId="1395"/>
    <cellStyle name="Azul" xfId="1396"/>
    <cellStyle name="Azul1" xfId="1397"/>
    <cellStyle name="Azul2" xfId="1398"/>
    <cellStyle name="b" xfId="1399"/>
    <cellStyle name="Bad 2" xfId="1400"/>
    <cellStyle name="Bad 3" xfId="1401"/>
    <cellStyle name="Bad 4" xfId="1402"/>
    <cellStyle name="Bad 5" xfId="1403"/>
    <cellStyle name="Bad 6" xfId="1404"/>
    <cellStyle name="bborder" xfId="1405"/>
    <cellStyle name="bborder 2" xfId="1406"/>
    <cellStyle name="bborder 2 2" xfId="1407"/>
    <cellStyle name="bborder 2 2 2" xfId="1408"/>
    <cellStyle name="bborder 3" xfId="1409"/>
    <cellStyle name="bborder 3 2" xfId="1410"/>
    <cellStyle name="bborder 3 2 2" xfId="1411"/>
    <cellStyle name="bl" xfId="1412"/>
    <cellStyle name="Black Text 2" xfId="1413"/>
    <cellStyle name="Black Text 3" xfId="1414"/>
    <cellStyle name="Blank" xfId="1415"/>
    <cellStyle name="Blue" xfId="1416"/>
    <cellStyle name="Blue Text - Ariel 10 2" xfId="1417"/>
    <cellStyle name="BNPPPFinancials" xfId="1418"/>
    <cellStyle name="BNPPPFinancials 2" xfId="1419"/>
    <cellStyle name="BNPPPFinancials 3" xfId="1420"/>
    <cellStyle name="BNPPPPerShare" xfId="1421"/>
    <cellStyle name="BNPPPPerShare 2" xfId="1422"/>
    <cellStyle name="BNPPPPerShare 3" xfId="1423"/>
    <cellStyle name="BNPPPRatios" xfId="1424"/>
    <cellStyle name="BNPPPRatios 2" xfId="1425"/>
    <cellStyle name="BNPPPRatios 3" xfId="1426"/>
    <cellStyle name="BODY1" xfId="1427"/>
    <cellStyle name="Bold/Border" xfId="1428"/>
    <cellStyle name="Bold/Border 2" xfId="1429"/>
    <cellStyle name="Bold/Border 2 10" xfId="1430"/>
    <cellStyle name="Bold/Border 2 2" xfId="1431"/>
    <cellStyle name="Bold/Border 2 2 2" xfId="1432"/>
    <cellStyle name="Bold/Border 2 2 3" xfId="1433"/>
    <cellStyle name="Bold/Border 2 2 4" xfId="1434"/>
    <cellStyle name="Bold/Border 2 2 5" xfId="1435"/>
    <cellStyle name="Bold/Border 2 2 6" xfId="1436"/>
    <cellStyle name="Bold/Border 2 2 7" xfId="1437"/>
    <cellStyle name="Bold/Border 2 2 8" xfId="1438"/>
    <cellStyle name="Bold/Border 2 3" xfId="1439"/>
    <cellStyle name="Bold/Border 2 3 2" xfId="1440"/>
    <cellStyle name="Bold/Border 2 3 3" xfId="1441"/>
    <cellStyle name="Bold/Border 2 3 4" xfId="1442"/>
    <cellStyle name="Bold/Border 2 3 5" xfId="1443"/>
    <cellStyle name="Bold/Border 2 3 6" xfId="1444"/>
    <cellStyle name="Bold/Border 2 3 7" xfId="1445"/>
    <cellStyle name="Bold/Border 2 3 8" xfId="1446"/>
    <cellStyle name="Bold/Border 2 4" xfId="1447"/>
    <cellStyle name="Bold/Border 2 5" xfId="1448"/>
    <cellStyle name="Bold/Border 2 6" xfId="1449"/>
    <cellStyle name="Bold/Border 2 7" xfId="1450"/>
    <cellStyle name="Bold/Border 2 8" xfId="1451"/>
    <cellStyle name="Bold/Border 2 9" xfId="1452"/>
    <cellStyle name="Border" xfId="1453"/>
    <cellStyle name="border 2" xfId="1454"/>
    <cellStyle name="border 2 2" xfId="1455"/>
    <cellStyle name="border 2 2 2" xfId="1456"/>
    <cellStyle name="border 2 2 3" xfId="1457"/>
    <cellStyle name="border 3" xfId="1458"/>
    <cellStyle name="border 3 2" xfId="1459"/>
    <cellStyle name="border 3 2 2" xfId="1460"/>
    <cellStyle name="border 3 2 2 2" xfId="1461"/>
    <cellStyle name="border 3 2 2 3" xfId="1462"/>
    <cellStyle name="border 3 2 3" xfId="1463"/>
    <cellStyle name="border 3 2 3 2" xfId="1464"/>
    <cellStyle name="border 3 2 3 3" xfId="1465"/>
    <cellStyle name="border 3 2 4" xfId="1466"/>
    <cellStyle name="border 3 2 5" xfId="1467"/>
    <cellStyle name="border 3 3" xfId="1468"/>
    <cellStyle name="border 3 3 2" xfId="1469"/>
    <cellStyle name="border 3 3 3" xfId="1470"/>
    <cellStyle name="border 4" xfId="1471"/>
    <cellStyle name="border 4 2" xfId="1472"/>
    <cellStyle name="border 4 3" xfId="1473"/>
    <cellStyle name="Border Thin 2" xfId="1474"/>
    <cellStyle name="Brand Align Left Text" xfId="1475"/>
    <cellStyle name="Brand Align Left Text 2" xfId="1476"/>
    <cellStyle name="Brand Default" xfId="1477"/>
    <cellStyle name="Brand Default 2" xfId="1478"/>
    <cellStyle name="Brand Percent" xfId="1479"/>
    <cellStyle name="Brand Percent 2" xfId="1480"/>
    <cellStyle name="Brand Source" xfId="1481"/>
    <cellStyle name="Brand Source 2" xfId="1482"/>
    <cellStyle name="Brand Subtitle with Underline" xfId="1483"/>
    <cellStyle name="Brand Subtitle with Underline 2" xfId="1484"/>
    <cellStyle name="Brand Subtitle without Underline" xfId="1485"/>
    <cellStyle name="Brand Subtitle without Underline 2" xfId="1486"/>
    <cellStyle name="Brand Title" xfId="1487"/>
    <cellStyle name="Brand Title 2" xfId="1488"/>
    <cellStyle name="Bullet" xfId="1489"/>
    <cellStyle name="Business Description" xfId="1490"/>
    <cellStyle name="c" xfId="1491"/>
    <cellStyle name="C?AØ_¿µ¾÷CoE² " xfId="1492"/>
    <cellStyle name="c_0670.HK" xfId="1493"/>
    <cellStyle name="c_0670.HK_Balance" xfId="1494"/>
    <cellStyle name="c_0670.HK_Cashflow" xfId="1495"/>
    <cellStyle name="c_0670.HK_Interim" xfId="1496"/>
    <cellStyle name="c_ASP0824F" xfId="1497"/>
    <cellStyle name="c_DCF" xfId="1498"/>
    <cellStyle name="c_DCF_0670.HK" xfId="1499"/>
    <cellStyle name="c_DCF_0670.HK_Balance" xfId="1500"/>
    <cellStyle name="c_DCF_0670.HK_Cashflow" xfId="1501"/>
    <cellStyle name="c_DCF_0670.HK_Interim" xfId="1502"/>
    <cellStyle name="c_PWAY6" xfId="1503"/>
    <cellStyle name="Ç§·ÖÎ»[0]_06" xfId="1504"/>
    <cellStyle name="Ç§·ÖÎ»_06" xfId="1505"/>
    <cellStyle name="Ç§Î»[0]_laroux" xfId="1506"/>
    <cellStyle name="Ç§Î»_laroux" xfId="1507"/>
    <cellStyle name="Ç§Î»·Ö¸ô[0]_0012A3" xfId="1508"/>
    <cellStyle name="Ç§Î»·Ö¸ô_0012A3" xfId="1509"/>
    <cellStyle name="Calculation 2" xfId="1510"/>
    <cellStyle name="Calculation 2 2" xfId="1511"/>
    <cellStyle name="Calculation 3" xfId="1512"/>
    <cellStyle name="Calculation 3 2" xfId="1513"/>
    <cellStyle name="Calculation 4" xfId="1514"/>
    <cellStyle name="Calculation 4 2" xfId="1515"/>
    <cellStyle name="Calculation 5" xfId="1516"/>
    <cellStyle name="Calculation 5 2" xfId="1517"/>
    <cellStyle name="Calculation 6" xfId="1518"/>
    <cellStyle name="Calculation 6 2" xfId="1519"/>
    <cellStyle name="Calculation 7" xfId="1520"/>
    <cellStyle name="Calculation 7 2" xfId="1521"/>
    <cellStyle name="Calculation 8" xfId="1522"/>
    <cellStyle name="Cell Link" xfId="1523"/>
    <cellStyle name="Center Currency" xfId="1524"/>
    <cellStyle name="Center Date" xfId="1525"/>
    <cellStyle name="Center Multiple" xfId="1526"/>
    <cellStyle name="Center Number" xfId="1527"/>
    <cellStyle name="Center Percentage" xfId="1528"/>
    <cellStyle name="Center Year" xfId="1529"/>
    <cellStyle name="Check Cell 2" xfId="1530"/>
    <cellStyle name="Check Cell 3" xfId="1531"/>
    <cellStyle name="Check Cell 4" xfId="1532"/>
    <cellStyle name="Check Cell 5" xfId="1533"/>
    <cellStyle name="Check Cell 6" xfId="1534"/>
    <cellStyle name="Co. Names" xfId="1535"/>
    <cellStyle name="Co. Names - Bold" xfId="1536"/>
    <cellStyle name="Co. Names_Break-Up" xfId="1537"/>
    <cellStyle name="Code Section 2" xfId="1538"/>
    <cellStyle name="Code_20130813  航空公司综合数据—国航7月数据" xfId="1539"/>
    <cellStyle name="COL HEADINGS" xfId="1540"/>
    <cellStyle name="COL HEADINGS 2" xfId="1541"/>
    <cellStyle name="COL HEADINGS 2 2" xfId="1542"/>
    <cellStyle name="COL HEADINGS 2 2 2" xfId="1543"/>
    <cellStyle name="COL HEADINGS 2 2 3" xfId="1544"/>
    <cellStyle name="COL HEADINGS 3" xfId="1545"/>
    <cellStyle name="COL HEADINGS 3 2" xfId="1546"/>
    <cellStyle name="COL HEADINGS 3 2 2" xfId="1547"/>
    <cellStyle name="COL HEADINGS 3 2 2 2" xfId="1548"/>
    <cellStyle name="COL HEADINGS 3 2 2 3" xfId="1549"/>
    <cellStyle name="COL HEADINGS 3 2 3" xfId="1550"/>
    <cellStyle name="COL HEADINGS 3 2 3 2" xfId="1551"/>
    <cellStyle name="COL HEADINGS 3 2 3 3" xfId="1552"/>
    <cellStyle name="COL HEADINGS 3 2 4" xfId="1553"/>
    <cellStyle name="COL HEADINGS 3 2 5" xfId="1554"/>
    <cellStyle name="COL HEADINGS 3 3" xfId="1555"/>
    <cellStyle name="COL HEADINGS 3 3 2" xfId="1556"/>
    <cellStyle name="COL HEADINGS 3 3 3" xfId="1557"/>
    <cellStyle name="COL HEADINGS 4" xfId="1558"/>
    <cellStyle name="COL HEADINGS 4 2" xfId="1559"/>
    <cellStyle name="COL HEADINGS 4 3" xfId="1560"/>
    <cellStyle name="Col Heads" xfId="1561"/>
    <cellStyle name="Col Heads 2" xfId="1562"/>
    <cellStyle name="Col Heads 2 2" xfId="1563"/>
    <cellStyle name="Col Heads 2 2 2" xfId="1564"/>
    <cellStyle name="Col Heads 2 2 3" xfId="1565"/>
    <cellStyle name="Col Heads 3" xfId="1566"/>
    <cellStyle name="Col Heads 3 2" xfId="1567"/>
    <cellStyle name="Col Heads 3 2 2" xfId="1568"/>
    <cellStyle name="Col Heads 3 2 2 2" xfId="1569"/>
    <cellStyle name="Col Heads 3 2 2 3" xfId="1570"/>
    <cellStyle name="Col Heads 3 2 3" xfId="1571"/>
    <cellStyle name="Col Heads 3 2 3 2" xfId="1572"/>
    <cellStyle name="Col Heads 3 2 3 3" xfId="1573"/>
    <cellStyle name="Col Heads 3 2 4" xfId="1574"/>
    <cellStyle name="Col Heads 3 2 5" xfId="1575"/>
    <cellStyle name="Col Heads 3 3" xfId="1576"/>
    <cellStyle name="Col Heads 3 3 2" xfId="1577"/>
    <cellStyle name="Col Heads 3 3 3" xfId="1578"/>
    <cellStyle name="Col Heads 4" xfId="1579"/>
    <cellStyle name="Col Heads 4 2" xfId="1580"/>
    <cellStyle name="Col Heads 4 3" xfId="1581"/>
    <cellStyle name="ColHeading 2" xfId="1582"/>
    <cellStyle name="ColHeading 3" xfId="1583"/>
    <cellStyle name="Column Title" xfId="1584"/>
    <cellStyle name="Column_Title" xfId="1585"/>
    <cellStyle name="Comma  - Style1 2" xfId="1586"/>
    <cellStyle name="Comma  - Style1 3" xfId="1587"/>
    <cellStyle name="Comma  - Style1 4" xfId="1588"/>
    <cellStyle name="Comma  - Style2 2" xfId="1589"/>
    <cellStyle name="Comma  - Style2 3" xfId="1590"/>
    <cellStyle name="Comma  - Style2 4" xfId="1591"/>
    <cellStyle name="Comma  - Style3 2" xfId="1592"/>
    <cellStyle name="Comma  - Style3 3" xfId="1593"/>
    <cellStyle name="Comma  - Style3 4" xfId="1594"/>
    <cellStyle name="Comma  - Style4 2" xfId="1595"/>
    <cellStyle name="Comma  - Style4 3" xfId="1596"/>
    <cellStyle name="Comma  - Style4 4" xfId="1597"/>
    <cellStyle name="Comma  - Style5 2" xfId="1598"/>
    <cellStyle name="Comma  - Style5 3" xfId="1599"/>
    <cellStyle name="Comma  - Style5 4" xfId="1600"/>
    <cellStyle name="Comma  - Style6 2" xfId="1601"/>
    <cellStyle name="Comma  - Style6 3" xfId="1602"/>
    <cellStyle name="Comma  - Style6 4" xfId="1603"/>
    <cellStyle name="Comma  - Style7 2" xfId="1604"/>
    <cellStyle name="Comma  - Style7 3" xfId="1605"/>
    <cellStyle name="Comma  - Style7 4" xfId="1606"/>
    <cellStyle name="Comma  - Style8 2" xfId="1607"/>
    <cellStyle name="Comma  - Style8 3" xfId="1608"/>
    <cellStyle name="Comma  - Style8 4" xfId="1609"/>
    <cellStyle name="Comma ," xfId="1610"/>
    <cellStyle name="Comma [2]" xfId="1611"/>
    <cellStyle name="Comma 10" xfId="1612"/>
    <cellStyle name="Comma 100" xfId="1613"/>
    <cellStyle name="Comma 101" xfId="1614"/>
    <cellStyle name="Comma 102" xfId="1615"/>
    <cellStyle name="Comma 103" xfId="1616"/>
    <cellStyle name="Comma 104" xfId="1617"/>
    <cellStyle name="Comma 105" xfId="1618"/>
    <cellStyle name="Comma 106" xfId="1619"/>
    <cellStyle name="Comma 107" xfId="1620"/>
    <cellStyle name="Comma 108" xfId="1621"/>
    <cellStyle name="Comma 109" xfId="1622"/>
    <cellStyle name="Comma 11" xfId="1623"/>
    <cellStyle name="Comma 110" xfId="1624"/>
    <cellStyle name="Comma 111" xfId="1625"/>
    <cellStyle name="Comma 112" xfId="1626"/>
    <cellStyle name="Comma 113" xfId="1627"/>
    <cellStyle name="Comma 114" xfId="1628"/>
    <cellStyle name="Comma 115" xfId="1629"/>
    <cellStyle name="Comma 116" xfId="1630"/>
    <cellStyle name="Comma 117" xfId="1631"/>
    <cellStyle name="Comma 118" xfId="1632"/>
    <cellStyle name="Comma 119" xfId="1633"/>
    <cellStyle name="Comma 12" xfId="1634"/>
    <cellStyle name="Comma 13" xfId="1635"/>
    <cellStyle name="Comma 14" xfId="1636"/>
    <cellStyle name="Comma 15" xfId="1637"/>
    <cellStyle name="Comma 16" xfId="1638"/>
    <cellStyle name="Comma 17" xfId="1639"/>
    <cellStyle name="Comma 18" xfId="1640"/>
    <cellStyle name="Comma 19" xfId="1641"/>
    <cellStyle name="Comma 2 2" xfId="1642"/>
    <cellStyle name="Comma 2 3" xfId="1643"/>
    <cellStyle name="Comma 2 4" xfId="1644"/>
    <cellStyle name="Comma 2 5" xfId="1645"/>
    <cellStyle name="Comma 2 6" xfId="1646"/>
    <cellStyle name="Comma 2 7" xfId="1647"/>
    <cellStyle name="Comma 2_20130813  航空公司综合数据—国航7月数据" xfId="1648"/>
    <cellStyle name="Comma 20" xfId="1649"/>
    <cellStyle name="Comma 21" xfId="1650"/>
    <cellStyle name="Comma 22" xfId="1651"/>
    <cellStyle name="Comma 23" xfId="1652"/>
    <cellStyle name="Comma 24" xfId="1653"/>
    <cellStyle name="Comma 25" xfId="1654"/>
    <cellStyle name="Comma 26" xfId="1655"/>
    <cellStyle name="Comma 27" xfId="1656"/>
    <cellStyle name="Comma 28" xfId="1657"/>
    <cellStyle name="Comma 29" xfId="1658"/>
    <cellStyle name="Comma 3 2" xfId="1659"/>
    <cellStyle name="Comma 3 3" xfId="1660"/>
    <cellStyle name="Comma 3 4" xfId="1661"/>
    <cellStyle name="Comma 3 5" xfId="1662"/>
    <cellStyle name="Comma 3_20130813  航空公司综合数据—国航7月数据" xfId="1663"/>
    <cellStyle name="Comma 30" xfId="1664"/>
    <cellStyle name="Comma 31" xfId="1665"/>
    <cellStyle name="Comma 32" xfId="1666"/>
    <cellStyle name="Comma 33" xfId="1667"/>
    <cellStyle name="Comma 34" xfId="1668"/>
    <cellStyle name="Comma 35" xfId="1669"/>
    <cellStyle name="Comma 36" xfId="1670"/>
    <cellStyle name="Comma 37" xfId="1671"/>
    <cellStyle name="Comma 38" xfId="1672"/>
    <cellStyle name="Comma 39" xfId="1673"/>
    <cellStyle name="Comma 4 3" xfId="1674"/>
    <cellStyle name="Comma 4_20130813  航空公司综合数据—国航7月数据" xfId="1675"/>
    <cellStyle name="Comma 40" xfId="1676"/>
    <cellStyle name="Comma 41" xfId="1677"/>
    <cellStyle name="Comma 42" xfId="1678"/>
    <cellStyle name="Comma 43" xfId="1679"/>
    <cellStyle name="Comma 44" xfId="1680"/>
    <cellStyle name="Comma 45" xfId="1681"/>
    <cellStyle name="Comma 46" xfId="1682"/>
    <cellStyle name="Comma 47" xfId="1683"/>
    <cellStyle name="Comma 48" xfId="1684"/>
    <cellStyle name="Comma 49" xfId="1685"/>
    <cellStyle name="Comma 5" xfId="1686"/>
    <cellStyle name="Comma 50" xfId="1687"/>
    <cellStyle name="Comma 51" xfId="1688"/>
    <cellStyle name="Comma 52" xfId="1689"/>
    <cellStyle name="Comma 53" xfId="1690"/>
    <cellStyle name="Comma 54" xfId="1691"/>
    <cellStyle name="Comma 55" xfId="1692"/>
    <cellStyle name="Comma 55 10" xfId="1693"/>
    <cellStyle name="Comma 55 10 2" xfId="1694"/>
    <cellStyle name="Comma 55 10 2 2" xfId="1695"/>
    <cellStyle name="Comma 55 10 3" xfId="1696"/>
    <cellStyle name="Comma 55 11" xfId="1697"/>
    <cellStyle name="Comma 55 11 2" xfId="1698"/>
    <cellStyle name="Comma 55 12" xfId="1699"/>
    <cellStyle name="Comma 55 2" xfId="1700"/>
    <cellStyle name="Comma 55 2 10" xfId="1701"/>
    <cellStyle name="Comma 55 2 2" xfId="1702"/>
    <cellStyle name="Comma 55 2 2 2" xfId="1703"/>
    <cellStyle name="Comma 55 2 2 2 2" xfId="1704"/>
    <cellStyle name="Comma 55 2 2 2 2 2" xfId="1705"/>
    <cellStyle name="Comma 55 2 2 2 2 2 2" xfId="1706"/>
    <cellStyle name="Comma 55 2 2 2 2 2 2 2" xfId="1707"/>
    <cellStyle name="Comma 55 2 2 2 2 2 3" xfId="1708"/>
    <cellStyle name="Comma 55 2 2 2 2 3" xfId="1709"/>
    <cellStyle name="Comma 55 2 2 2 2 3 2" xfId="1710"/>
    <cellStyle name="Comma 55 2 2 2 2 4" xfId="1711"/>
    <cellStyle name="Comma 55 2 2 2 3" xfId="1712"/>
    <cellStyle name="Comma 55 2 2 2 3 2" xfId="1713"/>
    <cellStyle name="Comma 55 2 2 2 3 2 2" xfId="1714"/>
    <cellStyle name="Comma 55 2 2 2 3 2 2 2" xfId="1715"/>
    <cellStyle name="Comma 55 2 2 2 3 2 3" xfId="1716"/>
    <cellStyle name="Comma 55 2 2 2 3 3" xfId="1717"/>
    <cellStyle name="Comma 55 2 2 2 3 3 2" xfId="1718"/>
    <cellStyle name="Comma 55 2 2 2 3 4" xfId="1719"/>
    <cellStyle name="Comma 55 2 2 2 4" xfId="1720"/>
    <cellStyle name="Comma 55 2 2 2 4 2" xfId="1721"/>
    <cellStyle name="Comma 55 2 2 2 4 2 2" xfId="1722"/>
    <cellStyle name="Comma 55 2 2 2 4 3" xfId="1723"/>
    <cellStyle name="Comma 55 2 2 2 5" xfId="1724"/>
    <cellStyle name="Comma 55 2 2 2 5 2" xfId="1725"/>
    <cellStyle name="Comma 55 2 2 2 6" xfId="1726"/>
    <cellStyle name="Comma 55 2 2 3" xfId="1727"/>
    <cellStyle name="Comma 55 2 2 3 2" xfId="1728"/>
    <cellStyle name="Comma 55 2 2 3 2 2" xfId="1729"/>
    <cellStyle name="Comma 55 2 2 3 2 2 2" xfId="1730"/>
    <cellStyle name="Comma 55 2 2 3 2 3" xfId="1731"/>
    <cellStyle name="Comma 55 2 2 3 3" xfId="1732"/>
    <cellStyle name="Comma 55 2 2 3 3 2" xfId="1733"/>
    <cellStyle name="Comma 55 2 2 3 4" xfId="1734"/>
    <cellStyle name="Comma 55 2 2 4" xfId="1735"/>
    <cellStyle name="Comma 55 2 2 4 2" xfId="1736"/>
    <cellStyle name="Comma 55 2 2 4 2 2" xfId="1737"/>
    <cellStyle name="Comma 55 2 2 4 2 2 2" xfId="1738"/>
    <cellStyle name="Comma 55 2 2 4 2 3" xfId="1739"/>
    <cellStyle name="Comma 55 2 2 4 3" xfId="1740"/>
    <cellStyle name="Comma 55 2 2 4 3 2" xfId="1741"/>
    <cellStyle name="Comma 55 2 2 4 4" xfId="1742"/>
    <cellStyle name="Comma 55 2 2 5" xfId="1743"/>
    <cellStyle name="Comma 55 2 2 5 2" xfId="1744"/>
    <cellStyle name="Comma 55 2 2 5 2 2" xfId="1745"/>
    <cellStyle name="Comma 55 2 2 5 3" xfId="1746"/>
    <cellStyle name="Comma 55 2 2 6" xfId="1747"/>
    <cellStyle name="Comma 55 2 2 6 2" xfId="1748"/>
    <cellStyle name="Comma 55 2 2 7" xfId="1749"/>
    <cellStyle name="Comma 55 2 3" xfId="1750"/>
    <cellStyle name="Comma 55 2 3 2" xfId="1751"/>
    <cellStyle name="Comma 55 2 3 2 2" xfId="1752"/>
    <cellStyle name="Comma 55 2 3 2 2 2" xfId="1753"/>
    <cellStyle name="Comma 55 2 3 2 2 2 2" xfId="1754"/>
    <cellStyle name="Comma 55 2 3 2 2 3" xfId="1755"/>
    <cellStyle name="Comma 55 2 3 2 3" xfId="1756"/>
    <cellStyle name="Comma 55 2 3 2 3 2" xfId="1757"/>
    <cellStyle name="Comma 55 2 3 2 4" xfId="1758"/>
    <cellStyle name="Comma 55 2 3 3" xfId="1759"/>
    <cellStyle name="Comma 55 2 3 3 2" xfId="1760"/>
    <cellStyle name="Comma 55 2 3 3 2 2" xfId="1761"/>
    <cellStyle name="Comma 55 2 3 3 2 2 2" xfId="1762"/>
    <cellStyle name="Comma 55 2 3 3 2 3" xfId="1763"/>
    <cellStyle name="Comma 55 2 3 3 3" xfId="1764"/>
    <cellStyle name="Comma 55 2 3 3 3 2" xfId="1765"/>
    <cellStyle name="Comma 55 2 3 3 4" xfId="1766"/>
    <cellStyle name="Comma 55 2 3 4" xfId="1767"/>
    <cellStyle name="Comma 55 2 3 4 2" xfId="1768"/>
    <cellStyle name="Comma 55 2 3 4 2 2" xfId="1769"/>
    <cellStyle name="Comma 55 2 3 4 3" xfId="1770"/>
    <cellStyle name="Comma 55 2 3 5" xfId="1771"/>
    <cellStyle name="Comma 55 2 3 5 2" xfId="1772"/>
    <cellStyle name="Comma 55 2 3 6" xfId="1773"/>
    <cellStyle name="Comma 55 2 4" xfId="1774"/>
    <cellStyle name="Comma 55 2 4 2" xfId="1775"/>
    <cellStyle name="Comma 55 2 4 2 2" xfId="1776"/>
    <cellStyle name="Comma 55 2 4 2 2 2" xfId="1777"/>
    <cellStyle name="Comma 55 2 4 2 2 2 2" xfId="1778"/>
    <cellStyle name="Comma 55 2 4 2 2 3" xfId="1779"/>
    <cellStyle name="Comma 55 2 4 2 3" xfId="1780"/>
    <cellStyle name="Comma 55 2 4 2 3 2" xfId="1781"/>
    <cellStyle name="Comma 55 2 4 2 4" xfId="1782"/>
    <cellStyle name="Comma 55 2 4 3" xfId="1783"/>
    <cellStyle name="Comma 55 2 4 3 2" xfId="1784"/>
    <cellStyle name="Comma 55 2 4 3 2 2" xfId="1785"/>
    <cellStyle name="Comma 55 2 4 3 2 2 2" xfId="1786"/>
    <cellStyle name="Comma 55 2 4 3 2 3" xfId="1787"/>
    <cellStyle name="Comma 55 2 4 3 3" xfId="1788"/>
    <cellStyle name="Comma 55 2 4 3 3 2" xfId="1789"/>
    <cellStyle name="Comma 55 2 4 3 4" xfId="1790"/>
    <cellStyle name="Comma 55 2 4 4" xfId="1791"/>
    <cellStyle name="Comma 55 2 4 4 2" xfId="1792"/>
    <cellStyle name="Comma 55 2 4 4 2 2" xfId="1793"/>
    <cellStyle name="Comma 55 2 4 4 3" xfId="1794"/>
    <cellStyle name="Comma 55 2 4 5" xfId="1795"/>
    <cellStyle name="Comma 55 2 4 5 2" xfId="1796"/>
    <cellStyle name="Comma 55 2 4 6" xfId="1797"/>
    <cellStyle name="Comma 55 2 5" xfId="1798"/>
    <cellStyle name="Comma 55 2 5 2" xfId="1799"/>
    <cellStyle name="Comma 55 2 5 2 2" xfId="1800"/>
    <cellStyle name="Comma 55 2 5 2 2 2" xfId="1801"/>
    <cellStyle name="Comma 55 2 5 2 3" xfId="1802"/>
    <cellStyle name="Comma 55 2 5 3" xfId="1803"/>
    <cellStyle name="Comma 55 2 5 3 2" xfId="1804"/>
    <cellStyle name="Comma 55 2 5 4" xfId="1805"/>
    <cellStyle name="Comma 55 2 6" xfId="1806"/>
    <cellStyle name="Comma 55 2 6 2" xfId="1807"/>
    <cellStyle name="Comma 55 2 6 2 2" xfId="1808"/>
    <cellStyle name="Comma 55 2 6 2 2 2" xfId="1809"/>
    <cellStyle name="Comma 55 2 6 2 3" xfId="1810"/>
    <cellStyle name="Comma 55 2 6 3" xfId="1811"/>
    <cellStyle name="Comma 55 2 6 3 2" xfId="1812"/>
    <cellStyle name="Comma 55 2 6 4" xfId="1813"/>
    <cellStyle name="Comma 55 2 7" xfId="1814"/>
    <cellStyle name="Comma 55 2 7 2" xfId="1815"/>
    <cellStyle name="Comma 55 2 7 2 2" xfId="1816"/>
    <cellStyle name="Comma 55 2 7 2 2 2" xfId="1817"/>
    <cellStyle name="Comma 55 2 7 2 3" xfId="1818"/>
    <cellStyle name="Comma 55 2 7 3" xfId="1819"/>
    <cellStyle name="Comma 55 2 7 3 2" xfId="1820"/>
    <cellStyle name="Comma 55 2 7 4" xfId="1821"/>
    <cellStyle name="Comma 55 2 8" xfId="1822"/>
    <cellStyle name="Comma 55 2 8 2" xfId="1823"/>
    <cellStyle name="Comma 55 2 8 2 2" xfId="1824"/>
    <cellStyle name="Comma 55 2 8 3" xfId="1825"/>
    <cellStyle name="Comma 55 2 9" xfId="1826"/>
    <cellStyle name="Comma 55 2 9 2" xfId="1827"/>
    <cellStyle name="Comma 55 3" xfId="1828"/>
    <cellStyle name="Comma 55 3 2" xfId="1829"/>
    <cellStyle name="Comma 55 3 2 2" xfId="1830"/>
    <cellStyle name="Comma 55 3 2 2 2" xfId="1831"/>
    <cellStyle name="Comma 55 3 2 2 2 2" xfId="1832"/>
    <cellStyle name="Comma 55 3 2 2 2 2 2" xfId="1833"/>
    <cellStyle name="Comma 55 3 2 2 2 2 2 2" xfId="1834"/>
    <cellStyle name="Comma 55 3 2 2 2 2 3" xfId="1835"/>
    <cellStyle name="Comma 55 3 2 2 2 3" xfId="1836"/>
    <cellStyle name="Comma 55 3 2 2 2 3 2" xfId="1837"/>
    <cellStyle name="Comma 55 3 2 2 2 4" xfId="1838"/>
    <cellStyle name="Comma 55 3 2 2 3" xfId="1839"/>
    <cellStyle name="Comma 55 3 2 2 3 2" xfId="1840"/>
    <cellStyle name="Comma 55 3 2 2 3 2 2" xfId="1841"/>
    <cellStyle name="Comma 55 3 2 2 3 2 2 2" xfId="1842"/>
    <cellStyle name="Comma 55 3 2 2 3 2 3" xfId="1843"/>
    <cellStyle name="Comma 55 3 2 2 3 3" xfId="1844"/>
    <cellStyle name="Comma 55 3 2 2 3 3 2" xfId="1845"/>
    <cellStyle name="Comma 55 3 2 2 3 4" xfId="1846"/>
    <cellStyle name="Comma 55 3 2 2 4" xfId="1847"/>
    <cellStyle name="Comma 55 3 2 2 4 2" xfId="1848"/>
    <cellStyle name="Comma 55 3 2 2 4 2 2" xfId="1849"/>
    <cellStyle name="Comma 55 3 2 2 4 3" xfId="1850"/>
    <cellStyle name="Comma 55 3 2 2 5" xfId="1851"/>
    <cellStyle name="Comma 55 3 2 2 5 2" xfId="1852"/>
    <cellStyle name="Comma 55 3 2 2 6" xfId="1853"/>
    <cellStyle name="Comma 55 3 2 3" xfId="1854"/>
    <cellStyle name="Comma 55 3 2 3 2" xfId="1855"/>
    <cellStyle name="Comma 55 3 2 3 2 2" xfId="1856"/>
    <cellStyle name="Comma 55 3 2 3 2 2 2" xfId="1857"/>
    <cellStyle name="Comma 55 3 2 3 2 3" xfId="1858"/>
    <cellStyle name="Comma 55 3 2 3 3" xfId="1859"/>
    <cellStyle name="Comma 55 3 2 3 3 2" xfId="1860"/>
    <cellStyle name="Comma 55 3 2 3 4" xfId="1861"/>
    <cellStyle name="Comma 55 3 2 4" xfId="1862"/>
    <cellStyle name="Comma 55 3 2 4 2" xfId="1863"/>
    <cellStyle name="Comma 55 3 2 4 2 2" xfId="1864"/>
    <cellStyle name="Comma 55 3 2 4 2 2 2" xfId="1865"/>
    <cellStyle name="Comma 55 3 2 4 2 3" xfId="1866"/>
    <cellStyle name="Comma 55 3 2 4 3" xfId="1867"/>
    <cellStyle name="Comma 55 3 2 4 3 2" xfId="1868"/>
    <cellStyle name="Comma 55 3 2 4 4" xfId="1869"/>
    <cellStyle name="Comma 55 3 2 5" xfId="1870"/>
    <cellStyle name="Comma 55 3 2 5 2" xfId="1871"/>
    <cellStyle name="Comma 55 3 2 5 2 2" xfId="1872"/>
    <cellStyle name="Comma 55 3 2 5 3" xfId="1873"/>
    <cellStyle name="Comma 55 3 2 6" xfId="1874"/>
    <cellStyle name="Comma 55 3 2 6 2" xfId="1875"/>
    <cellStyle name="Comma 55 3 2 7" xfId="1876"/>
    <cellStyle name="Comma 55 3 3" xfId="1877"/>
    <cellStyle name="Comma 55 3 3 2" xfId="1878"/>
    <cellStyle name="Comma 55 3 3 2 2" xfId="1879"/>
    <cellStyle name="Comma 55 3 3 2 2 2" xfId="1880"/>
    <cellStyle name="Comma 55 3 3 2 2 2 2" xfId="1881"/>
    <cellStyle name="Comma 55 3 3 2 2 3" xfId="1882"/>
    <cellStyle name="Comma 55 3 3 2 3" xfId="1883"/>
    <cellStyle name="Comma 55 3 3 2 3 2" xfId="1884"/>
    <cellStyle name="Comma 55 3 3 2 4" xfId="1885"/>
    <cellStyle name="Comma 55 3 3 3" xfId="1886"/>
    <cellStyle name="Comma 55 3 3 3 2" xfId="1887"/>
    <cellStyle name="Comma 55 3 3 3 2 2" xfId="1888"/>
    <cellStyle name="Comma 55 3 3 3 2 2 2" xfId="1889"/>
    <cellStyle name="Comma 55 3 3 3 2 3" xfId="1890"/>
    <cellStyle name="Comma 55 3 3 3 3" xfId="1891"/>
    <cellStyle name="Comma 55 3 3 3 3 2" xfId="1892"/>
    <cellStyle name="Comma 55 3 3 3 4" xfId="1893"/>
    <cellStyle name="Comma 55 3 3 4" xfId="1894"/>
    <cellStyle name="Comma 55 3 3 4 2" xfId="1895"/>
    <cellStyle name="Comma 55 3 3 4 2 2" xfId="1896"/>
    <cellStyle name="Comma 55 3 3 4 3" xfId="1897"/>
    <cellStyle name="Comma 55 3 3 5" xfId="1898"/>
    <cellStyle name="Comma 55 3 3 5 2" xfId="1899"/>
    <cellStyle name="Comma 55 3 3 6" xfId="1900"/>
    <cellStyle name="Comma 55 3 4" xfId="1901"/>
    <cellStyle name="Comma 55 3 4 2" xfId="1902"/>
    <cellStyle name="Comma 55 3 4 2 2" xfId="1903"/>
    <cellStyle name="Comma 55 3 4 2 2 2" xfId="1904"/>
    <cellStyle name="Comma 55 3 4 2 2 2 2" xfId="1905"/>
    <cellStyle name="Comma 55 3 4 2 2 3" xfId="1906"/>
    <cellStyle name="Comma 55 3 4 2 3" xfId="1907"/>
    <cellStyle name="Comma 55 3 4 2 3 2" xfId="1908"/>
    <cellStyle name="Comma 55 3 4 2 4" xfId="1909"/>
    <cellStyle name="Comma 55 3 4 3" xfId="1910"/>
    <cellStyle name="Comma 55 3 4 3 2" xfId="1911"/>
    <cellStyle name="Comma 55 3 4 3 2 2" xfId="1912"/>
    <cellStyle name="Comma 55 3 4 3 2 2 2" xfId="1913"/>
    <cellStyle name="Comma 55 3 4 3 2 3" xfId="1914"/>
    <cellStyle name="Comma 55 3 4 3 3" xfId="1915"/>
    <cellStyle name="Comma 55 3 4 3 3 2" xfId="1916"/>
    <cellStyle name="Comma 55 3 4 3 4" xfId="1917"/>
    <cellStyle name="Comma 55 3 4 4" xfId="1918"/>
    <cellStyle name="Comma 55 3 4 4 2" xfId="1919"/>
    <cellStyle name="Comma 55 3 4 4 2 2" xfId="1920"/>
    <cellStyle name="Comma 55 3 4 4 3" xfId="1921"/>
    <cellStyle name="Comma 55 3 4 5" xfId="1922"/>
    <cellStyle name="Comma 55 3 4 5 2" xfId="1923"/>
    <cellStyle name="Comma 55 3 4 6" xfId="1924"/>
    <cellStyle name="Comma 55 3 5" xfId="1925"/>
    <cellStyle name="Comma 55 3 5 2" xfId="1926"/>
    <cellStyle name="Comma 55 3 5 2 2" xfId="1927"/>
    <cellStyle name="Comma 55 3 5 2 2 2" xfId="1928"/>
    <cellStyle name="Comma 55 3 5 2 3" xfId="1929"/>
    <cellStyle name="Comma 55 3 5 3" xfId="1930"/>
    <cellStyle name="Comma 55 3 5 3 2" xfId="1931"/>
    <cellStyle name="Comma 55 3 5 4" xfId="1932"/>
    <cellStyle name="Comma 55 3 6" xfId="1933"/>
    <cellStyle name="Comma 55 3 6 2" xfId="1934"/>
    <cellStyle name="Comma 55 3 6 2 2" xfId="1935"/>
    <cellStyle name="Comma 55 3 6 2 2 2" xfId="1936"/>
    <cellStyle name="Comma 55 3 6 2 3" xfId="1937"/>
    <cellStyle name="Comma 55 3 6 3" xfId="1938"/>
    <cellStyle name="Comma 55 3 6 3 2" xfId="1939"/>
    <cellStyle name="Comma 55 3 6 4" xfId="1940"/>
    <cellStyle name="Comma 55 3 7" xfId="1941"/>
    <cellStyle name="Comma 55 3 7 2" xfId="1942"/>
    <cellStyle name="Comma 55 3 7 2 2" xfId="1943"/>
    <cellStyle name="Comma 55 3 7 3" xfId="1944"/>
    <cellStyle name="Comma 55 3 8" xfId="1945"/>
    <cellStyle name="Comma 55 3 8 2" xfId="1946"/>
    <cellStyle name="Comma 55 3 9" xfId="1947"/>
    <cellStyle name="Comma 55 4" xfId="1948"/>
    <cellStyle name="Comma 55 4 2" xfId="1949"/>
    <cellStyle name="Comma 55 4 2 2" xfId="1950"/>
    <cellStyle name="Comma 55 4 2 2 2" xfId="1951"/>
    <cellStyle name="Comma 55 4 2 2 2 2" xfId="1952"/>
    <cellStyle name="Comma 55 4 2 2 2 2 2" xfId="1953"/>
    <cellStyle name="Comma 55 4 2 2 2 3" xfId="1954"/>
    <cellStyle name="Comma 55 4 2 2 3" xfId="1955"/>
    <cellStyle name="Comma 55 4 2 2 3 2" xfId="1956"/>
    <cellStyle name="Comma 55 4 2 2 4" xfId="1957"/>
    <cellStyle name="Comma 55 4 2 3" xfId="1958"/>
    <cellStyle name="Comma 55 4 2 3 2" xfId="1959"/>
    <cellStyle name="Comma 55 4 2 3 2 2" xfId="1960"/>
    <cellStyle name="Comma 55 4 2 3 2 2 2" xfId="1961"/>
    <cellStyle name="Comma 55 4 2 3 2 3" xfId="1962"/>
    <cellStyle name="Comma 55 4 2 3 3" xfId="1963"/>
    <cellStyle name="Comma 55 4 2 3 3 2" xfId="1964"/>
    <cellStyle name="Comma 55 4 2 3 4" xfId="1965"/>
    <cellStyle name="Comma 55 4 2 4" xfId="1966"/>
    <cellStyle name="Comma 55 4 2 4 2" xfId="1967"/>
    <cellStyle name="Comma 55 4 2 4 2 2" xfId="1968"/>
    <cellStyle name="Comma 55 4 2 4 3" xfId="1969"/>
    <cellStyle name="Comma 55 4 2 5" xfId="1970"/>
    <cellStyle name="Comma 55 4 2 5 2" xfId="1971"/>
    <cellStyle name="Comma 55 4 2 6" xfId="1972"/>
    <cellStyle name="Comma 55 4 3" xfId="1973"/>
    <cellStyle name="Comma 55 4 3 2" xfId="1974"/>
    <cellStyle name="Comma 55 4 3 2 2" xfId="1975"/>
    <cellStyle name="Comma 55 4 3 2 2 2" xfId="1976"/>
    <cellStyle name="Comma 55 4 3 2 3" xfId="1977"/>
    <cellStyle name="Comma 55 4 3 3" xfId="1978"/>
    <cellStyle name="Comma 55 4 3 3 2" xfId="1979"/>
    <cellStyle name="Comma 55 4 3 4" xfId="1980"/>
    <cellStyle name="Comma 55 4 4" xfId="1981"/>
    <cellStyle name="Comma 55 4 4 2" xfId="1982"/>
    <cellStyle name="Comma 55 4 4 2 2" xfId="1983"/>
    <cellStyle name="Comma 55 4 4 2 2 2" xfId="1984"/>
    <cellStyle name="Comma 55 4 4 2 3" xfId="1985"/>
    <cellStyle name="Comma 55 4 4 3" xfId="1986"/>
    <cellStyle name="Comma 55 4 4 3 2" xfId="1987"/>
    <cellStyle name="Comma 55 4 4 4" xfId="1988"/>
    <cellStyle name="Comma 55 4 5" xfId="1989"/>
    <cellStyle name="Comma 55 4 5 2" xfId="1990"/>
    <cellStyle name="Comma 55 4 5 2 2" xfId="1991"/>
    <cellStyle name="Comma 55 4 5 3" xfId="1992"/>
    <cellStyle name="Comma 55 4 6" xfId="1993"/>
    <cellStyle name="Comma 55 4 6 2" xfId="1994"/>
    <cellStyle name="Comma 55 4 7" xfId="1995"/>
    <cellStyle name="Comma 55 5" xfId="1996"/>
    <cellStyle name="Comma 55 5 2" xfId="1997"/>
    <cellStyle name="Comma 55 5 2 2" xfId="1998"/>
    <cellStyle name="Comma 55 5 2 2 2" xfId="1999"/>
    <cellStyle name="Comma 55 5 2 2 2 2" xfId="2000"/>
    <cellStyle name="Comma 55 5 2 2 3" xfId="2001"/>
    <cellStyle name="Comma 55 5 2 3" xfId="2002"/>
    <cellStyle name="Comma 55 5 2 3 2" xfId="2003"/>
    <cellStyle name="Comma 55 5 2 4" xfId="2004"/>
    <cellStyle name="Comma 55 5 3" xfId="2005"/>
    <cellStyle name="Comma 55 5 3 2" xfId="2006"/>
    <cellStyle name="Comma 55 5 3 2 2" xfId="2007"/>
    <cellStyle name="Comma 55 5 3 2 2 2" xfId="2008"/>
    <cellStyle name="Comma 55 5 3 2 3" xfId="2009"/>
    <cellStyle name="Comma 55 5 3 3" xfId="2010"/>
    <cellStyle name="Comma 55 5 3 3 2" xfId="2011"/>
    <cellStyle name="Comma 55 5 3 4" xfId="2012"/>
    <cellStyle name="Comma 55 5 4" xfId="2013"/>
    <cellStyle name="Comma 55 5 4 2" xfId="2014"/>
    <cellStyle name="Comma 55 5 4 2 2" xfId="2015"/>
    <cellStyle name="Comma 55 5 4 3" xfId="2016"/>
    <cellStyle name="Comma 55 5 5" xfId="2017"/>
    <cellStyle name="Comma 55 5 5 2" xfId="2018"/>
    <cellStyle name="Comma 55 5 6" xfId="2019"/>
    <cellStyle name="Comma 55 6" xfId="2020"/>
    <cellStyle name="Comma 55 6 2" xfId="2021"/>
    <cellStyle name="Comma 55 6 2 2" xfId="2022"/>
    <cellStyle name="Comma 55 6 2 2 2" xfId="2023"/>
    <cellStyle name="Comma 55 6 2 2 2 2" xfId="2024"/>
    <cellStyle name="Comma 55 6 2 2 3" xfId="2025"/>
    <cellStyle name="Comma 55 6 2 3" xfId="2026"/>
    <cellStyle name="Comma 55 6 2 3 2" xfId="2027"/>
    <cellStyle name="Comma 55 6 2 4" xfId="2028"/>
    <cellStyle name="Comma 55 6 3" xfId="2029"/>
    <cellStyle name="Comma 55 6 3 2" xfId="2030"/>
    <cellStyle name="Comma 55 6 3 2 2" xfId="2031"/>
    <cellStyle name="Comma 55 6 3 2 2 2" xfId="2032"/>
    <cellStyle name="Comma 55 6 3 2 3" xfId="2033"/>
    <cellStyle name="Comma 55 6 3 3" xfId="2034"/>
    <cellStyle name="Comma 55 6 3 3 2" xfId="2035"/>
    <cellStyle name="Comma 55 6 3 4" xfId="2036"/>
    <cellStyle name="Comma 55 6 4" xfId="2037"/>
    <cellStyle name="Comma 55 6 4 2" xfId="2038"/>
    <cellStyle name="Comma 55 6 4 2 2" xfId="2039"/>
    <cellStyle name="Comma 55 6 4 3" xfId="2040"/>
    <cellStyle name="Comma 55 6 5" xfId="2041"/>
    <cellStyle name="Comma 55 6 5 2" xfId="2042"/>
    <cellStyle name="Comma 55 6 6" xfId="2043"/>
    <cellStyle name="Comma 55 7" xfId="2044"/>
    <cellStyle name="Comma 55 7 2" xfId="2045"/>
    <cellStyle name="Comma 55 7 2 2" xfId="2046"/>
    <cellStyle name="Comma 55 7 2 2 2" xfId="2047"/>
    <cellStyle name="Comma 55 7 2 3" xfId="2048"/>
    <cellStyle name="Comma 55 7 3" xfId="2049"/>
    <cellStyle name="Comma 55 7 3 2" xfId="2050"/>
    <cellStyle name="Comma 55 7 4" xfId="2051"/>
    <cellStyle name="Comma 55 8" xfId="2052"/>
    <cellStyle name="Comma 55 8 2" xfId="2053"/>
    <cellStyle name="Comma 55 8 2 2" xfId="2054"/>
    <cellStyle name="Comma 55 8 2 2 2" xfId="2055"/>
    <cellStyle name="Comma 55 8 2 3" xfId="2056"/>
    <cellStyle name="Comma 55 8 3" xfId="2057"/>
    <cellStyle name="Comma 55 8 3 2" xfId="2058"/>
    <cellStyle name="Comma 55 8 4" xfId="2059"/>
    <cellStyle name="Comma 55 9" xfId="2060"/>
    <cellStyle name="Comma 55 9 2" xfId="2061"/>
    <cellStyle name="Comma 55 9 2 2" xfId="2062"/>
    <cellStyle name="Comma 55 9 2 2 2" xfId="2063"/>
    <cellStyle name="Comma 55 9 2 3" xfId="2064"/>
    <cellStyle name="Comma 55 9 3" xfId="2065"/>
    <cellStyle name="Comma 55 9 3 2" xfId="2066"/>
    <cellStyle name="Comma 55 9 4" xfId="2067"/>
    <cellStyle name="Comma 56" xfId="2068"/>
    <cellStyle name="Comma 57" xfId="2069"/>
    <cellStyle name="Comma 58" xfId="2070"/>
    <cellStyle name="Comma 59" xfId="2071"/>
    <cellStyle name="Comma 6" xfId="2072"/>
    <cellStyle name="Comma 60" xfId="2073"/>
    <cellStyle name="Comma 61" xfId="2074"/>
    <cellStyle name="Comma 62" xfId="2075"/>
    <cellStyle name="Comma 63" xfId="2076"/>
    <cellStyle name="Comma 64" xfId="2077"/>
    <cellStyle name="Comma 65" xfId="2078"/>
    <cellStyle name="Comma 66" xfId="2079"/>
    <cellStyle name="Comma 67" xfId="2080"/>
    <cellStyle name="Comma 68" xfId="2081"/>
    <cellStyle name="Comma 69" xfId="2082"/>
    <cellStyle name="Comma 7" xfId="2083"/>
    <cellStyle name="Comma 70" xfId="2084"/>
    <cellStyle name="Comma 71" xfId="2085"/>
    <cellStyle name="Comma 72" xfId="2086"/>
    <cellStyle name="Comma 73" xfId="2087"/>
    <cellStyle name="Comma 74" xfId="2088"/>
    <cellStyle name="Comma 75" xfId="2089"/>
    <cellStyle name="Comma 76" xfId="2090"/>
    <cellStyle name="Comma 77" xfId="2091"/>
    <cellStyle name="Comma 78" xfId="2092"/>
    <cellStyle name="Comma 79" xfId="2093"/>
    <cellStyle name="Comma 8" xfId="2094"/>
    <cellStyle name="Comma 80" xfId="2095"/>
    <cellStyle name="Comma 81" xfId="2096"/>
    <cellStyle name="Comma 82" xfId="2097"/>
    <cellStyle name="Comma 83" xfId="2098"/>
    <cellStyle name="Comma 84" xfId="2099"/>
    <cellStyle name="Comma 85" xfId="2100"/>
    <cellStyle name="Comma 86" xfId="2101"/>
    <cellStyle name="Comma 87" xfId="2102"/>
    <cellStyle name="Comma 88" xfId="2103"/>
    <cellStyle name="Comma 89" xfId="2104"/>
    <cellStyle name="Comma 9" xfId="2105"/>
    <cellStyle name="Comma 90" xfId="2106"/>
    <cellStyle name="Comma 91" xfId="2107"/>
    <cellStyle name="Comma 92" xfId="2108"/>
    <cellStyle name="Comma 93" xfId="2109"/>
    <cellStyle name="Comma 94" xfId="2110"/>
    <cellStyle name="Comma 95" xfId="2111"/>
    <cellStyle name="Comma 96" xfId="2112"/>
    <cellStyle name="Comma 97" xfId="2113"/>
    <cellStyle name="Comma 98" xfId="2114"/>
    <cellStyle name="Comma 99" xfId="2115"/>
    <cellStyle name="comma zerodec 2" xfId="2116"/>
    <cellStyle name="Comma,0" xfId="2117"/>
    <cellStyle name="Comma,1" xfId="2118"/>
    <cellStyle name="Comma,2" xfId="2119"/>
    <cellStyle name="Comma0 10" xfId="2120"/>
    <cellStyle name="Comma0 11" xfId="2121"/>
    <cellStyle name="Comma0 12" xfId="2122"/>
    <cellStyle name="Comma0 13" xfId="2123"/>
    <cellStyle name="Comma0 14" xfId="2124"/>
    <cellStyle name="Comma0 15" xfId="2125"/>
    <cellStyle name="Comma0 16" xfId="2126"/>
    <cellStyle name="Comma0 17" xfId="2127"/>
    <cellStyle name="Comma0 18" xfId="2128"/>
    <cellStyle name="Comma0 19" xfId="2129"/>
    <cellStyle name="Comma0 2" xfId="2130"/>
    <cellStyle name="Comma0 20" xfId="2131"/>
    <cellStyle name="Comma0 21" xfId="2132"/>
    <cellStyle name="Comma0 22" xfId="2133"/>
    <cellStyle name="Comma0 23" xfId="2134"/>
    <cellStyle name="Comma0 24" xfId="2135"/>
    <cellStyle name="Comma0 25" xfId="2136"/>
    <cellStyle name="Comma0 26" xfId="2137"/>
    <cellStyle name="Comma0 27" xfId="2138"/>
    <cellStyle name="Comma0 28" xfId="2139"/>
    <cellStyle name="Comma0 29" xfId="2140"/>
    <cellStyle name="Comma0 3" xfId="2141"/>
    <cellStyle name="Comma0 30" xfId="2142"/>
    <cellStyle name="Comma0 31" xfId="2143"/>
    <cellStyle name="Comma0 32" xfId="2144"/>
    <cellStyle name="Comma0 33" xfId="2145"/>
    <cellStyle name="Comma0 34" xfId="2146"/>
    <cellStyle name="Comma0 35" xfId="2147"/>
    <cellStyle name="Comma0 36" xfId="2148"/>
    <cellStyle name="Comma0 37" xfId="2149"/>
    <cellStyle name="Comma0 38" xfId="2150"/>
    <cellStyle name="Comma0 39" xfId="2151"/>
    <cellStyle name="Comma0 4" xfId="2152"/>
    <cellStyle name="Comma0 40" xfId="2153"/>
    <cellStyle name="Comma0 41" xfId="2154"/>
    <cellStyle name="Comma0 42" xfId="2155"/>
    <cellStyle name="Comma0 43" xfId="2156"/>
    <cellStyle name="Comma0 5" xfId="2157"/>
    <cellStyle name="Comma0 6" xfId="2158"/>
    <cellStyle name="Comma0 7" xfId="2159"/>
    <cellStyle name="Comma0 8" xfId="2160"/>
    <cellStyle name="Comma0 9" xfId="2161"/>
    <cellStyle name="Comma0_7.6. Monthly updates" xfId="2162"/>
    <cellStyle name="Company 2" xfId="2163"/>
    <cellStyle name="Company 3" xfId="2164"/>
    <cellStyle name="Company_Book3" xfId="2165"/>
    <cellStyle name="CompanyName" xfId="2166"/>
    <cellStyle name="cr" xfId="2167"/>
    <cellStyle name="crosshead" xfId="2168"/>
    <cellStyle name="cu" xfId="2169"/>
    <cellStyle name="cu 2" xfId="2170"/>
    <cellStyle name="cu 2 10" xfId="2171"/>
    <cellStyle name="cu 2 2" xfId="2172"/>
    <cellStyle name="cu 2 2 2" xfId="2173"/>
    <cellStyle name="cu 2 2 3" xfId="2174"/>
    <cellStyle name="cu 2 2 4" xfId="2175"/>
    <cellStyle name="cu 2 2 5" xfId="2176"/>
    <cellStyle name="cu 2 2 6" xfId="2177"/>
    <cellStyle name="cu 2 2 7" xfId="2178"/>
    <cellStyle name="cu 2 2 8" xfId="2179"/>
    <cellStyle name="cu 2 3" xfId="2180"/>
    <cellStyle name="cu 2 3 2" xfId="2181"/>
    <cellStyle name="cu 2 3 3" xfId="2182"/>
    <cellStyle name="cu 2 3 4" xfId="2183"/>
    <cellStyle name="cu 2 3 5" xfId="2184"/>
    <cellStyle name="cu 2 3 6" xfId="2185"/>
    <cellStyle name="cu 2 3 7" xfId="2186"/>
    <cellStyle name="cu 2 3 8" xfId="2187"/>
    <cellStyle name="cu 2 4" xfId="2188"/>
    <cellStyle name="cu 2 5" xfId="2189"/>
    <cellStyle name="cu 2 6" xfId="2190"/>
    <cellStyle name="cu 2 7" xfId="2191"/>
    <cellStyle name="cu 2 8" xfId="2192"/>
    <cellStyle name="cu 2 9" xfId="2193"/>
    <cellStyle name="CU-HK$" xfId="2194"/>
    <cellStyle name="CurRatio 2" xfId="2195"/>
    <cellStyle name="CurRatio 3" xfId="2196"/>
    <cellStyle name="Currency [2]" xfId="2197"/>
    <cellStyle name="Currency 2" xfId="2198"/>
    <cellStyle name="Currency,0" xfId="2199"/>
    <cellStyle name="Currency,2" xfId="2200"/>
    <cellStyle name="Currency0 2" xfId="2201"/>
    <cellStyle name="Currency1 2" xfId="2202"/>
    <cellStyle name="CUS.Work.Area 2" xfId="2203"/>
    <cellStyle name="d" xfId="2204"/>
    <cellStyle name="d." xfId="2205"/>
    <cellStyle name="d1" xfId="2206"/>
    <cellStyle name="d2" xfId="2207"/>
    <cellStyle name="d3" xfId="2208"/>
    <cellStyle name="Dash" xfId="2209"/>
    <cellStyle name="data" xfId="2210"/>
    <cellStyle name="DataSheet Style" xfId="2211"/>
    <cellStyle name="DataSheet Style 2" xfId="2212"/>
    <cellStyle name="Date 2" xfId="2213"/>
    <cellStyle name="Date, mmm-yy 2" xfId="2214"/>
    <cellStyle name="Date, mmm-yy 2 2" xfId="2215"/>
    <cellStyle name="Date, mmm-yy 2 2 2" xfId="2216"/>
    <cellStyle name="Date, mmm-yy 2 3" xfId="2217"/>
    <cellStyle name="Date_20130813  航空公司综合数据—国航7月数据" xfId="2218"/>
    <cellStyle name="Dates EUR" xfId="2219"/>
    <cellStyle name="days" xfId="2220"/>
    <cellStyle name="ddmmmyy" xfId="2221"/>
    <cellStyle name="ddmmyy" xfId="2222"/>
    <cellStyle name="ddmmyy(白)" xfId="2223"/>
    <cellStyle name="Decimal 2" xfId="2224"/>
    <cellStyle name="Decimal 3" xfId="2225"/>
    <cellStyle name="Dezimal [0]_Algeciras - La Linea" xfId="2226"/>
    <cellStyle name="Dollar" xfId="2227"/>
    <cellStyle name="Dollar (zero dec) 2" xfId="2228"/>
    <cellStyle name="Download" xfId="2229"/>
    <cellStyle name="Download 2" xfId="2230"/>
    <cellStyle name="Download 2 2" xfId="2231"/>
    <cellStyle name="Download 2 2 2" xfId="2232"/>
    <cellStyle name="Download 2 3" xfId="2233"/>
    <cellStyle name="Download 3" xfId="2234"/>
    <cellStyle name="Download 3 2" xfId="2235"/>
    <cellStyle name="Download 4" xfId="2236"/>
    <cellStyle name="Download 4 2" xfId="2237"/>
    <cellStyle name="Download 4 2 2" xfId="2238"/>
    <cellStyle name="Download 4 3" xfId="2239"/>
    <cellStyle name="Download 5" xfId="2240"/>
    <cellStyle name="DQ" xfId="2241"/>
    <cellStyle name="du" xfId="2242"/>
    <cellStyle name="E&amp;Y House" xfId="2243"/>
    <cellStyle name="Eingabe" xfId="2244"/>
    <cellStyle name="essay" xfId="2245"/>
    <cellStyle name="essay - Style1" xfId="2246"/>
    <cellStyle name="Estimate year" xfId="2247"/>
    <cellStyle name="Euro 2" xfId="2248"/>
    <cellStyle name="Euro 3" xfId="2249"/>
    <cellStyle name="Euro 4" xfId="2250"/>
    <cellStyle name="Euro_20130813  航空公司综合数据—国航7月数据" xfId="2251"/>
    <cellStyle name="Explanatory Text 2" xfId="2252"/>
    <cellStyle name="Explanatory Text 3" xfId="2253"/>
    <cellStyle name="Explanatory Text 4" xfId="2254"/>
    <cellStyle name="Explanatory Text 5" xfId="2255"/>
    <cellStyle name="Explanatory Text 6" xfId="2256"/>
    <cellStyle name="facha 2" xfId="2257"/>
    <cellStyle name="Financials 2" xfId="2258"/>
    <cellStyle name="Financials 3" xfId="2259"/>
    <cellStyle name="Financials_RESEARCHWISE" xfId="2260"/>
    <cellStyle name="Fixed" xfId="2261"/>
    <cellStyle name="ƒnƒCƒp[ƒŠƒ“ƒN" xfId="2262"/>
    <cellStyle name="Footnotes" xfId="2263"/>
    <cellStyle name="Fraction Change 2" xfId="2264"/>
    <cellStyle name="Fractions 2" xfId="2265"/>
    <cellStyle name="Fyear 2" xfId="2266"/>
    <cellStyle name="Fyear 2 2" xfId="2267"/>
    <cellStyle name="Fyear 2 2 2" xfId="2268"/>
    <cellStyle name="Fyear 2 2 3" xfId="2269"/>
    <cellStyle name="Fyear 3" xfId="2270"/>
    <cellStyle name="Fyear 3 2" xfId="2271"/>
    <cellStyle name="Fyear 3 2 2" xfId="2272"/>
    <cellStyle name="Fyear 3 2 2 2" xfId="2273"/>
    <cellStyle name="Fyear 3 2 2 3" xfId="2274"/>
    <cellStyle name="Fyear 3 2 3" xfId="2275"/>
    <cellStyle name="Fyear 3 2 3 2" xfId="2276"/>
    <cellStyle name="Fyear 3 2 3 3" xfId="2277"/>
    <cellStyle name="Fyear 3 2 4" xfId="2278"/>
    <cellStyle name="Fyear 3 2 5" xfId="2279"/>
    <cellStyle name="Fyear 3 3" xfId="2280"/>
    <cellStyle name="Fyear 3 3 2" xfId="2281"/>
    <cellStyle name="Fyear 3 3 3" xfId="2282"/>
    <cellStyle name="Fyear 4" xfId="2283"/>
    <cellStyle name="Fyear 4 2" xfId="2284"/>
    <cellStyle name="Fyear 4 3" xfId="2285"/>
    <cellStyle name="Gilsans" xfId="2286"/>
    <cellStyle name="Good 2" xfId="2287"/>
    <cellStyle name="Good 3" xfId="2288"/>
    <cellStyle name="Good 4" xfId="2289"/>
    <cellStyle name="Good 5" xfId="2290"/>
    <cellStyle name="Good 6" xfId="2291"/>
    <cellStyle name="GRAMDTOTAL" xfId="2292"/>
    <cellStyle name="Grey 2" xfId="2293"/>
    <cellStyle name="Grey 3" xfId="2294"/>
    <cellStyle name="GWN Table Body" xfId="2295"/>
    <cellStyle name="GWN Table Header" xfId="2296"/>
    <cellStyle name="GWN Table Left Header" xfId="2297"/>
    <cellStyle name="GWN Table Note" xfId="2298"/>
    <cellStyle name="GWN Table Title" xfId="2299"/>
    <cellStyle name="hard no" xfId="2300"/>
    <cellStyle name="hard no 2" xfId="2301"/>
    <cellStyle name="hard no 2 2" xfId="2302"/>
    <cellStyle name="hard no 2 2 2" xfId="2303"/>
    <cellStyle name="hard no 3" xfId="2304"/>
    <cellStyle name="hard no 3 2" xfId="2305"/>
    <cellStyle name="hard no." xfId="2306"/>
    <cellStyle name="hard no. 2" xfId="2307"/>
    <cellStyle name="hard no. 2 2" xfId="2308"/>
    <cellStyle name="hard no. 2 2 2" xfId="2309"/>
    <cellStyle name="hard no. 3" xfId="2310"/>
    <cellStyle name="hard no. 3 2" xfId="2311"/>
    <cellStyle name="hard no_Acerinox-model" xfId="2312"/>
    <cellStyle name="hardno" xfId="2313"/>
    <cellStyle name="Head - Style2" xfId="2314"/>
    <cellStyle name="Header 10" xfId="2315"/>
    <cellStyle name="Header 11" xfId="2316"/>
    <cellStyle name="Header 12" xfId="2317"/>
    <cellStyle name="Header 13" xfId="2318"/>
    <cellStyle name="Header 14" xfId="2319"/>
    <cellStyle name="Header 15" xfId="2320"/>
    <cellStyle name="Header 16" xfId="2321"/>
    <cellStyle name="Header 17" xfId="2322"/>
    <cellStyle name="Header 18" xfId="2323"/>
    <cellStyle name="Header 19" xfId="2324"/>
    <cellStyle name="Header 2" xfId="2325"/>
    <cellStyle name="Header 20" xfId="2326"/>
    <cellStyle name="Header 21" xfId="2327"/>
    <cellStyle name="Header 22" xfId="2328"/>
    <cellStyle name="Header 23" xfId="2329"/>
    <cellStyle name="Header 24" xfId="2330"/>
    <cellStyle name="Header 25" xfId="2331"/>
    <cellStyle name="Header 26" xfId="2332"/>
    <cellStyle name="Header 27" xfId="2333"/>
    <cellStyle name="Header 28" xfId="2334"/>
    <cellStyle name="Header 29" xfId="2335"/>
    <cellStyle name="Header 3" xfId="2336"/>
    <cellStyle name="Header 30" xfId="2337"/>
    <cellStyle name="Header 31" xfId="2338"/>
    <cellStyle name="Header 32" xfId="2339"/>
    <cellStyle name="Header 33" xfId="2340"/>
    <cellStyle name="Header 34" xfId="2341"/>
    <cellStyle name="Header 35" xfId="2342"/>
    <cellStyle name="Header 36" xfId="2343"/>
    <cellStyle name="Header 37" xfId="2344"/>
    <cellStyle name="Header 38" xfId="2345"/>
    <cellStyle name="Header 39" xfId="2346"/>
    <cellStyle name="Header 4" xfId="2347"/>
    <cellStyle name="Header 40" xfId="2348"/>
    <cellStyle name="Header 5" xfId="2349"/>
    <cellStyle name="Header 6" xfId="2350"/>
    <cellStyle name="Header 7" xfId="2351"/>
    <cellStyle name="Header 8" xfId="2352"/>
    <cellStyle name="Header 9" xfId="2353"/>
    <cellStyle name="Header1 2" xfId="2354"/>
    <cellStyle name="Header1_20130813  航空公司综合数据—国航7月数据" xfId="2355"/>
    <cellStyle name="Header2 2" xfId="2356"/>
    <cellStyle name="Header2 2 2" xfId="2357"/>
    <cellStyle name="Header2 3" xfId="2358"/>
    <cellStyle name="Header2_20130813  航空公司综合数据—国航7月数据" xfId="2359"/>
    <cellStyle name="headers" xfId="2360"/>
    <cellStyle name="headin - Style2" xfId="2361"/>
    <cellStyle name="Heading (1)" xfId="2362"/>
    <cellStyle name="Heading 1 2" xfId="2363"/>
    <cellStyle name="Heading 1 3" xfId="2364"/>
    <cellStyle name="Heading 1 4" xfId="2365"/>
    <cellStyle name="Heading 1 5" xfId="2366"/>
    <cellStyle name="Heading 1 6" xfId="2367"/>
    <cellStyle name="Heading 1 7" xfId="2368"/>
    <cellStyle name="Heading 1 UBS" xfId="2369"/>
    <cellStyle name="Heading 10" xfId="2370"/>
    <cellStyle name="Heading 11" xfId="2371"/>
    <cellStyle name="Heading 12" xfId="2372"/>
    <cellStyle name="Heading 13" xfId="2373"/>
    <cellStyle name="Heading 14" xfId="2374"/>
    <cellStyle name="Heading 15" xfId="2375"/>
    <cellStyle name="Heading 16" xfId="2376"/>
    <cellStyle name="Heading 17" xfId="2377"/>
    <cellStyle name="Heading 18" xfId="2378"/>
    <cellStyle name="Heading 19" xfId="2379"/>
    <cellStyle name="Heading 2 2" xfId="2380"/>
    <cellStyle name="Heading 2 3" xfId="2381"/>
    <cellStyle name="Heading 2 4" xfId="2382"/>
    <cellStyle name="Heading 2 5" xfId="2383"/>
    <cellStyle name="Heading 2 6" xfId="2384"/>
    <cellStyle name="Heading 2 7" xfId="2385"/>
    <cellStyle name="Heading 2 UBS" xfId="2386"/>
    <cellStyle name="Heading 20" xfId="2387"/>
    <cellStyle name="Heading 21" xfId="2388"/>
    <cellStyle name="Heading 22" xfId="2389"/>
    <cellStyle name="Heading 23" xfId="2390"/>
    <cellStyle name="Heading 24" xfId="2391"/>
    <cellStyle name="Heading 25" xfId="2392"/>
    <cellStyle name="Heading 26" xfId="2393"/>
    <cellStyle name="Heading 27" xfId="2394"/>
    <cellStyle name="Heading 28" xfId="2395"/>
    <cellStyle name="Heading 29" xfId="2396"/>
    <cellStyle name="Heading 3 2" xfId="2397"/>
    <cellStyle name="Heading 3 3" xfId="2398"/>
    <cellStyle name="Heading 3 4" xfId="2399"/>
    <cellStyle name="Heading 3 5" xfId="2400"/>
    <cellStyle name="Heading 3 6" xfId="2401"/>
    <cellStyle name="Heading 3 7" xfId="2402"/>
    <cellStyle name="Heading 30" xfId="2403"/>
    <cellStyle name="Heading 31" xfId="2404"/>
    <cellStyle name="Heading 32" xfId="2405"/>
    <cellStyle name="Heading 33" xfId="2406"/>
    <cellStyle name="Heading 34" xfId="2407"/>
    <cellStyle name="Heading 35" xfId="2408"/>
    <cellStyle name="Heading 36" xfId="2409"/>
    <cellStyle name="Heading 37" xfId="2410"/>
    <cellStyle name="Heading 38" xfId="2411"/>
    <cellStyle name="Heading 39" xfId="2412"/>
    <cellStyle name="Heading 4 2" xfId="2413"/>
    <cellStyle name="Heading 4 3" xfId="2414"/>
    <cellStyle name="Heading 4 4" xfId="2415"/>
    <cellStyle name="Heading 4 5" xfId="2416"/>
    <cellStyle name="Heading 4 6" xfId="2417"/>
    <cellStyle name="Heading 4 7" xfId="2418"/>
    <cellStyle name="Heading 40" xfId="2419"/>
    <cellStyle name="Heading 41" xfId="2420"/>
    <cellStyle name="Heading 42" xfId="2421"/>
    <cellStyle name="Heading 43" xfId="2422"/>
    <cellStyle name="Heading 44" xfId="2423"/>
    <cellStyle name="Heading 45" xfId="2424"/>
    <cellStyle name="Heading 46" xfId="2425"/>
    <cellStyle name="Heading 5" xfId="2426"/>
    <cellStyle name="heading 6" xfId="2427"/>
    <cellStyle name="heading 7" xfId="2428"/>
    <cellStyle name="Heading 8" xfId="2429"/>
    <cellStyle name="Heading 9" xfId="2430"/>
    <cellStyle name="heading_5JMODEL" xfId="2431"/>
    <cellStyle name="HEADING1" xfId="2432"/>
    <cellStyle name="Heading2" xfId="2433"/>
    <cellStyle name="HEADINGS" xfId="2434"/>
    <cellStyle name="HEADINGSTOP" xfId="2435"/>
    <cellStyle name="HK$" xfId="2436"/>
    <cellStyle name="HK$ [0]" xfId="2437"/>
    <cellStyle name="HK$ [2]" xfId="2438"/>
    <cellStyle name="Hyperlink 2" xfId="2439"/>
    <cellStyle name="Hyperlink 2 2" xfId="2440"/>
    <cellStyle name="Hyperlink 3" xfId="2441"/>
    <cellStyle name="Hyperlink 4" xfId="2442"/>
    <cellStyle name="Hyperlink 5" xfId="2443"/>
    <cellStyle name="Hyperlink Arrow" xfId="2444"/>
    <cellStyle name="Hyperlink Text" xfId="2445"/>
    <cellStyle name="Î¡Ýá [0]_95" xfId="2446"/>
    <cellStyle name="Î¡Ýá_95" xfId="2447"/>
    <cellStyle name="ÎÄ×Ö" xfId="2448"/>
    <cellStyle name="ÎÄ×Ö(Ó¢)" xfId="2449"/>
    <cellStyle name="ÎÄ×Ö(ÖÐ¿¬)" xfId="2450"/>
    <cellStyle name="Input % 2" xfId="2451"/>
    <cellStyle name="Input % 2 2" xfId="2452"/>
    <cellStyle name="Input % 3" xfId="2453"/>
    <cellStyle name="Input [yellow] 2" xfId="2454"/>
    <cellStyle name="Input [yellow] 2 2" xfId="2455"/>
    <cellStyle name="Input [yellow] 2 2 2" xfId="2456"/>
    <cellStyle name="Input [yellow] 3" xfId="2457"/>
    <cellStyle name="Input [yellow] 3 2" xfId="2458"/>
    <cellStyle name="Input [yellow] 4" xfId="2459"/>
    <cellStyle name="Input [yellow] 4 2" xfId="2460"/>
    <cellStyle name="Input [yellow]_20130813  航空公司综合数据—国航7月数据" xfId="2461"/>
    <cellStyle name="Input 10" xfId="2462"/>
    <cellStyle name="Input 10 2" xfId="2463"/>
    <cellStyle name="Input 11" xfId="2464"/>
    <cellStyle name="Input 11 2" xfId="2465"/>
    <cellStyle name="Input 12" xfId="2466"/>
    <cellStyle name="Input 12 2" xfId="2467"/>
    <cellStyle name="Input 12 3" xfId="2468"/>
    <cellStyle name="Input 13" xfId="2469"/>
    <cellStyle name="Input 13 2" xfId="2470"/>
    <cellStyle name="Input 13 3" xfId="2471"/>
    <cellStyle name="Input 14" xfId="2472"/>
    <cellStyle name="Input 14 2" xfId="2473"/>
    <cellStyle name="Input 14 3" xfId="2474"/>
    <cellStyle name="Input 15" xfId="2475"/>
    <cellStyle name="Input 15 2" xfId="2476"/>
    <cellStyle name="Input 16" xfId="2477"/>
    <cellStyle name="Input 16 2" xfId="2478"/>
    <cellStyle name="Input 17" xfId="2479"/>
    <cellStyle name="Input 18" xfId="2480"/>
    <cellStyle name="Input 19" xfId="2481"/>
    <cellStyle name="Input 2" xfId="2482"/>
    <cellStyle name="Input 2 2" xfId="2483"/>
    <cellStyle name="Input 2 2 2" xfId="2484"/>
    <cellStyle name="Input 20" xfId="2485"/>
    <cellStyle name="Input 21" xfId="2486"/>
    <cellStyle name="Input 22" xfId="2487"/>
    <cellStyle name="Input 23" xfId="2488"/>
    <cellStyle name="Input 24" xfId="2489"/>
    <cellStyle name="Input 25" xfId="2490"/>
    <cellStyle name="Input 26" xfId="2491"/>
    <cellStyle name="Input 27" xfId="2492"/>
    <cellStyle name="Input 28" xfId="2493"/>
    <cellStyle name="Input 29" xfId="2494"/>
    <cellStyle name="Input 3" xfId="2495"/>
    <cellStyle name="Input 3 2" xfId="2496"/>
    <cellStyle name="Input 30" xfId="2497"/>
    <cellStyle name="Input 31" xfId="2498"/>
    <cellStyle name="Input 32" xfId="2499"/>
    <cellStyle name="Input 33" xfId="2500"/>
    <cellStyle name="Input 34" xfId="2501"/>
    <cellStyle name="Input 35" xfId="2502"/>
    <cellStyle name="Input 36" xfId="2503"/>
    <cellStyle name="Input 37" xfId="2504"/>
    <cellStyle name="Input 38" xfId="2505"/>
    <cellStyle name="Input 39" xfId="2506"/>
    <cellStyle name="Input 4" xfId="2507"/>
    <cellStyle name="Input 4 2" xfId="2508"/>
    <cellStyle name="Input 40" xfId="2509"/>
    <cellStyle name="Input 41" xfId="2510"/>
    <cellStyle name="Input 42" xfId="2511"/>
    <cellStyle name="Input 5" xfId="2512"/>
    <cellStyle name="Input 5 2" xfId="2513"/>
    <cellStyle name="Input 6" xfId="2514"/>
    <cellStyle name="Input 6 2" xfId="2515"/>
    <cellStyle name="Input 7" xfId="2516"/>
    <cellStyle name="Input 7 2" xfId="2517"/>
    <cellStyle name="Input 8" xfId="2518"/>
    <cellStyle name="Input 8 2" xfId="2519"/>
    <cellStyle name="Input 9" xfId="2520"/>
    <cellStyle name="Input 9 2" xfId="2521"/>
    <cellStyle name="Input Box 2" xfId="2522"/>
    <cellStyle name="Input Cells 2" xfId="2523"/>
    <cellStyle name="Input_(0#)" xfId="2524"/>
    <cellStyle name="InputBlueFont" xfId="2525"/>
    <cellStyle name="InputDate 2" xfId="2526"/>
    <cellStyle name="InputDate 3" xfId="2527"/>
    <cellStyle name="InputDecimal 2" xfId="2528"/>
    <cellStyle name="Inputs 2" xfId="2529"/>
    <cellStyle name="Integer 2" xfId="2530"/>
    <cellStyle name="IntInputBk" xfId="2531"/>
    <cellStyle name="IntInputBk 2" xfId="2532"/>
    <cellStyle name="IntInputBk 2 2" xfId="2533"/>
    <cellStyle name="IntInputBk 2 2 2" xfId="2534"/>
    <cellStyle name="IntInputBk 3" xfId="2535"/>
    <cellStyle name="IntInputBk 3 2" xfId="2536"/>
    <cellStyle name="IntInputBu" xfId="2537"/>
    <cellStyle name="IntInputBu 2" xfId="2538"/>
    <cellStyle name="IntInputBu 2 2" xfId="2539"/>
    <cellStyle name="IntInputBu 2 2 2" xfId="2540"/>
    <cellStyle name="IntInputBu 3" xfId="2541"/>
    <cellStyle name="IntInputBu 3 2" xfId="2542"/>
    <cellStyle name="Item 2" xfId="2543"/>
    <cellStyle name="Item 3" xfId="2544"/>
    <cellStyle name="Item Descriptions" xfId="2545"/>
    <cellStyle name="Item Descriptions - Bold" xfId="2546"/>
    <cellStyle name="Item Descriptions_6079BX" xfId="2547"/>
    <cellStyle name="Item_ACX-wire" xfId="2548"/>
    <cellStyle name="Items_Optional" xfId="2549"/>
    <cellStyle name="ItemTypeClass 2" xfId="2550"/>
    <cellStyle name="ItemTypeClass 2 2" xfId="2551"/>
    <cellStyle name="ItemTypeClass 3" xfId="2552"/>
    <cellStyle name="ItemTypeClass 4" xfId="2553"/>
    <cellStyle name="iu" xfId="2554"/>
    <cellStyle name="jo[ 2" xfId="2555"/>
    <cellStyle name="Legal 8½ x 14 in" xfId="2556"/>
    <cellStyle name="Line" xfId="2557"/>
    <cellStyle name="Link 2" xfId="2558"/>
    <cellStyle name="Link 2 2" xfId="2559"/>
    <cellStyle name="Link 3" xfId="2560"/>
    <cellStyle name="Link 3 2" xfId="2561"/>
    <cellStyle name="Link 4" xfId="2562"/>
    <cellStyle name="Link 5" xfId="2563"/>
    <cellStyle name="Linked Cell 2" xfId="2564"/>
    <cellStyle name="Linked Cell 3" xfId="2565"/>
    <cellStyle name="Linked Cell 4" xfId="2566"/>
    <cellStyle name="Linked Cell 5" xfId="2567"/>
    <cellStyle name="Linked Cell 6" xfId="2568"/>
    <cellStyle name="Linked Cells 2" xfId="2569"/>
    <cellStyle name="Lookup Table Heading" xfId="2570"/>
    <cellStyle name="Lookup Table Heading 2" xfId="2571"/>
    <cellStyle name="Lookup Table Heading 2 2" xfId="2572"/>
    <cellStyle name="Lookup Table Heading 2 2 2" xfId="2573"/>
    <cellStyle name="Lookup Table Heading 3" xfId="2574"/>
    <cellStyle name="Lookup Table Heading 3 2" xfId="2575"/>
    <cellStyle name="Lookup Table Label" xfId="2576"/>
    <cellStyle name="Lookup Table Label 2" xfId="2577"/>
    <cellStyle name="Lookup Table Label 2 2" xfId="2578"/>
    <cellStyle name="Lookup Table Label 2 2 2" xfId="2579"/>
    <cellStyle name="Lookup Table Label 3" xfId="2580"/>
    <cellStyle name="Lookup Table Label 3 2" xfId="2581"/>
    <cellStyle name="Lookup Table Number" xfId="2582"/>
    <cellStyle name="Lookup Table Number 2" xfId="2583"/>
    <cellStyle name="Lookup Table Number 2 2" xfId="2584"/>
    <cellStyle name="Lookup Table Number 2 2 2" xfId="2585"/>
    <cellStyle name="Lookup Table Number 3" xfId="2586"/>
    <cellStyle name="Lookup Table Number 3 2" xfId="2587"/>
    <cellStyle name="m/d/y" xfId="2588"/>
    <cellStyle name="m2" xfId="2589"/>
    <cellStyle name="Margin" xfId="2590"/>
    <cellStyle name="Milliers [0]_      " xfId="2591"/>
    <cellStyle name="Milliers_      " xfId="2592"/>
    <cellStyle name="Mkt Cap" xfId="2593"/>
    <cellStyle name="mmm/yy" xfId="2594"/>
    <cellStyle name="mmm-yy" xfId="2595"/>
    <cellStyle name="Model" xfId="2596"/>
    <cellStyle name="Model Name" xfId="2597"/>
    <cellStyle name="Mon?aire [0]_      " xfId="2598"/>
    <cellStyle name="Mon?aire_      " xfId="2599"/>
    <cellStyle name="Mon¨¦taire [0]_&lt;&lt;&lt;400000&gt;&gt;&gt;" xfId="2600"/>
    <cellStyle name="Mon¨¦taire_&lt;&lt;&lt;400000&gt;&gt;&gt;" xfId="2601"/>
    <cellStyle name="Monšaire [0]_AR1194" xfId="2602"/>
    <cellStyle name="Monšaire_AR1194" xfId="2603"/>
    <cellStyle name="Multiple 1dp" xfId="2604"/>
    <cellStyle name="n" xfId="2605"/>
    <cellStyle name="N$ (0)" xfId="2606"/>
    <cellStyle name="Name" xfId="2607"/>
    <cellStyle name="name tag" xfId="2608"/>
    <cellStyle name="Neutral 2" xfId="2609"/>
    <cellStyle name="Neutral 3" xfId="2610"/>
    <cellStyle name="Neutral 4" xfId="2611"/>
    <cellStyle name="Neutral 5" xfId="2612"/>
    <cellStyle name="Neutral 6" xfId="2613"/>
    <cellStyle name="New Times Roman" xfId="2614"/>
    <cellStyle name="NewAcct" xfId="2615"/>
    <cellStyle name="Nil balance Yes" xfId="2616"/>
    <cellStyle name="No Commas" xfId="2617"/>
    <cellStyle name="Normal - Style1 2" xfId="2618"/>
    <cellStyle name="Normal - Style1 3" xfId="2619"/>
    <cellStyle name="Normal - Style1 4" xfId="2620"/>
    <cellStyle name="Normal - Style1_20130813  航空公司综合数据—国航7月数据" xfId="2621"/>
    <cellStyle name="Normal (0)" xfId="2622"/>
    <cellStyle name="Normal (1)" xfId="2623"/>
    <cellStyle name="Normal (2)" xfId="2624"/>
    <cellStyle name="Normal 10" xfId="2625"/>
    <cellStyle name="Normal 10 2" xfId="2626"/>
    <cellStyle name="Normal 10 3" xfId="2627"/>
    <cellStyle name="Normal 100" xfId="2628"/>
    <cellStyle name="Normal 101" xfId="2629"/>
    <cellStyle name="Normal 102" xfId="2630"/>
    <cellStyle name="Normal 103" xfId="2631"/>
    <cellStyle name="Normal 104" xfId="2632"/>
    <cellStyle name="Normal 105" xfId="2633"/>
    <cellStyle name="Normal 106" xfId="2634"/>
    <cellStyle name="Normal 107" xfId="2635"/>
    <cellStyle name="Normal 108" xfId="2636"/>
    <cellStyle name="Normal 109" xfId="2637"/>
    <cellStyle name="Normal 11" xfId="2638"/>
    <cellStyle name="Normal 11 2" xfId="2639"/>
    <cellStyle name="Normal 11 3" xfId="2640"/>
    <cellStyle name="Normal 110" xfId="2641"/>
    <cellStyle name="Normal 111" xfId="2642"/>
    <cellStyle name="Normal 112" xfId="2643"/>
    <cellStyle name="Normal 113" xfId="2644"/>
    <cellStyle name="Normal 114" xfId="2645"/>
    <cellStyle name="Normal 115" xfId="2646"/>
    <cellStyle name="Normal 116" xfId="2647"/>
    <cellStyle name="Normal 117" xfId="2648"/>
    <cellStyle name="Normal 117 10" xfId="2649"/>
    <cellStyle name="Normal 117 10 2" xfId="2650"/>
    <cellStyle name="Normal 117 10 2 2" xfId="2651"/>
    <cellStyle name="Normal 117 10 3" xfId="2652"/>
    <cellStyle name="Normal 117 11" xfId="2653"/>
    <cellStyle name="Normal 117 11 2" xfId="2654"/>
    <cellStyle name="Normal 117 12" xfId="2655"/>
    <cellStyle name="Normal 117 2" xfId="2656"/>
    <cellStyle name="Normal 117 2 10" xfId="2657"/>
    <cellStyle name="Normal 117 2 2" xfId="2658"/>
    <cellStyle name="Normal 117 2 2 2" xfId="2659"/>
    <cellStyle name="Normal 117 2 2 2 2" xfId="2660"/>
    <cellStyle name="Normal 117 2 2 2 2 2" xfId="2661"/>
    <cellStyle name="Normal 117 2 2 2 2 2 2" xfId="2662"/>
    <cellStyle name="Normal 117 2 2 2 2 2 2 2" xfId="2663"/>
    <cellStyle name="Normal 117 2 2 2 2 2 3" xfId="2664"/>
    <cellStyle name="Normal 117 2 2 2 2 3" xfId="2665"/>
    <cellStyle name="Normal 117 2 2 2 2 3 2" xfId="2666"/>
    <cellStyle name="Normal 117 2 2 2 2 4" xfId="2667"/>
    <cellStyle name="Normal 117 2 2 2 3" xfId="2668"/>
    <cellStyle name="Normal 117 2 2 2 3 2" xfId="2669"/>
    <cellStyle name="Normal 117 2 2 2 3 2 2" xfId="2670"/>
    <cellStyle name="Normal 117 2 2 2 3 2 2 2" xfId="2671"/>
    <cellStyle name="Normal 117 2 2 2 3 2 3" xfId="2672"/>
    <cellStyle name="Normal 117 2 2 2 3 3" xfId="2673"/>
    <cellStyle name="Normal 117 2 2 2 3 3 2" xfId="2674"/>
    <cellStyle name="Normal 117 2 2 2 3 4" xfId="2675"/>
    <cellStyle name="Normal 117 2 2 2 4" xfId="2676"/>
    <cellStyle name="Normal 117 2 2 2 4 2" xfId="2677"/>
    <cellStyle name="Normal 117 2 2 2 4 2 2" xfId="2678"/>
    <cellStyle name="Normal 117 2 2 2 4 3" xfId="2679"/>
    <cellStyle name="Normal 117 2 2 2 5" xfId="2680"/>
    <cellStyle name="Normal 117 2 2 2 5 2" xfId="2681"/>
    <cellStyle name="Normal 117 2 2 2 6" xfId="2682"/>
    <cellStyle name="Normal 117 2 2 3" xfId="2683"/>
    <cellStyle name="Normal 117 2 2 3 2" xfId="2684"/>
    <cellStyle name="Normal 117 2 2 3 2 2" xfId="2685"/>
    <cellStyle name="Normal 117 2 2 3 2 2 2" xfId="2686"/>
    <cellStyle name="Normal 117 2 2 3 2 3" xfId="2687"/>
    <cellStyle name="Normal 117 2 2 3 3" xfId="2688"/>
    <cellStyle name="Normal 117 2 2 3 3 2" xfId="2689"/>
    <cellStyle name="Normal 117 2 2 3 4" xfId="2690"/>
    <cellStyle name="Normal 117 2 2 4" xfId="2691"/>
    <cellStyle name="Normal 117 2 2 4 2" xfId="2692"/>
    <cellStyle name="Normal 117 2 2 4 2 2" xfId="2693"/>
    <cellStyle name="Normal 117 2 2 4 2 2 2" xfId="2694"/>
    <cellStyle name="Normal 117 2 2 4 2 3" xfId="2695"/>
    <cellStyle name="Normal 117 2 2 4 3" xfId="2696"/>
    <cellStyle name="Normal 117 2 2 4 3 2" xfId="2697"/>
    <cellStyle name="Normal 117 2 2 4 4" xfId="2698"/>
    <cellStyle name="Normal 117 2 2 5" xfId="2699"/>
    <cellStyle name="Normal 117 2 2 5 2" xfId="2700"/>
    <cellStyle name="Normal 117 2 2 5 2 2" xfId="2701"/>
    <cellStyle name="Normal 117 2 2 5 3" xfId="2702"/>
    <cellStyle name="Normal 117 2 2 6" xfId="2703"/>
    <cellStyle name="Normal 117 2 2 6 2" xfId="2704"/>
    <cellStyle name="Normal 117 2 2 7" xfId="2705"/>
    <cellStyle name="Normal 117 2 3" xfId="2706"/>
    <cellStyle name="Normal 117 2 3 2" xfId="2707"/>
    <cellStyle name="Normal 117 2 3 2 2" xfId="2708"/>
    <cellStyle name="Normal 117 2 3 2 2 2" xfId="2709"/>
    <cellStyle name="Normal 117 2 3 2 2 2 2" xfId="2710"/>
    <cellStyle name="Normal 117 2 3 2 2 3" xfId="2711"/>
    <cellStyle name="Normal 117 2 3 2 3" xfId="2712"/>
    <cellStyle name="Normal 117 2 3 2 3 2" xfId="2713"/>
    <cellStyle name="Normal 117 2 3 2 4" xfId="2714"/>
    <cellStyle name="Normal 117 2 3 3" xfId="2715"/>
    <cellStyle name="Normal 117 2 3 3 2" xfId="2716"/>
    <cellStyle name="Normal 117 2 3 3 2 2" xfId="2717"/>
    <cellStyle name="Normal 117 2 3 3 2 2 2" xfId="2718"/>
    <cellStyle name="Normal 117 2 3 3 2 3" xfId="2719"/>
    <cellStyle name="Normal 117 2 3 3 3" xfId="2720"/>
    <cellStyle name="Normal 117 2 3 3 3 2" xfId="2721"/>
    <cellStyle name="Normal 117 2 3 3 4" xfId="2722"/>
    <cellStyle name="Normal 117 2 3 4" xfId="2723"/>
    <cellStyle name="Normal 117 2 3 4 2" xfId="2724"/>
    <cellStyle name="Normal 117 2 3 4 2 2" xfId="2725"/>
    <cellStyle name="Normal 117 2 3 4 3" xfId="2726"/>
    <cellStyle name="Normal 117 2 3 5" xfId="2727"/>
    <cellStyle name="Normal 117 2 3 5 2" xfId="2728"/>
    <cellStyle name="Normal 117 2 3 6" xfId="2729"/>
    <cellStyle name="Normal 117 2 4" xfId="2730"/>
    <cellStyle name="Normal 117 2 4 2" xfId="2731"/>
    <cellStyle name="Normal 117 2 4 2 2" xfId="2732"/>
    <cellStyle name="Normal 117 2 4 2 2 2" xfId="2733"/>
    <cellStyle name="Normal 117 2 4 2 2 2 2" xfId="2734"/>
    <cellStyle name="Normal 117 2 4 2 2 3" xfId="2735"/>
    <cellStyle name="Normal 117 2 4 2 3" xfId="2736"/>
    <cellStyle name="Normal 117 2 4 2 3 2" xfId="2737"/>
    <cellStyle name="Normal 117 2 4 2 4" xfId="2738"/>
    <cellStyle name="Normal 117 2 4 3" xfId="2739"/>
    <cellStyle name="Normal 117 2 4 3 2" xfId="2740"/>
    <cellStyle name="Normal 117 2 4 3 2 2" xfId="2741"/>
    <cellStyle name="Normal 117 2 4 3 2 2 2" xfId="2742"/>
    <cellStyle name="Normal 117 2 4 3 2 3" xfId="2743"/>
    <cellStyle name="Normal 117 2 4 3 3" xfId="2744"/>
    <cellStyle name="Normal 117 2 4 3 3 2" xfId="2745"/>
    <cellStyle name="Normal 117 2 4 3 4" xfId="2746"/>
    <cellStyle name="Normal 117 2 4 4" xfId="2747"/>
    <cellStyle name="Normal 117 2 4 4 2" xfId="2748"/>
    <cellStyle name="Normal 117 2 4 4 2 2" xfId="2749"/>
    <cellStyle name="Normal 117 2 4 4 3" xfId="2750"/>
    <cellStyle name="Normal 117 2 4 5" xfId="2751"/>
    <cellStyle name="Normal 117 2 4 5 2" xfId="2752"/>
    <cellStyle name="Normal 117 2 4 6" xfId="2753"/>
    <cellStyle name="Normal 117 2 5" xfId="2754"/>
    <cellStyle name="Normal 117 2 5 2" xfId="2755"/>
    <cellStyle name="Normal 117 2 5 2 2" xfId="2756"/>
    <cellStyle name="Normal 117 2 5 2 2 2" xfId="2757"/>
    <cellStyle name="Normal 117 2 5 2 3" xfId="2758"/>
    <cellStyle name="Normal 117 2 5 3" xfId="2759"/>
    <cellStyle name="Normal 117 2 5 3 2" xfId="2760"/>
    <cellStyle name="Normal 117 2 5 4" xfId="2761"/>
    <cellStyle name="Normal 117 2 6" xfId="2762"/>
    <cellStyle name="Normal 117 2 6 2" xfId="2763"/>
    <cellStyle name="Normal 117 2 6 2 2" xfId="2764"/>
    <cellStyle name="Normal 117 2 6 2 2 2" xfId="2765"/>
    <cellStyle name="Normal 117 2 6 2 3" xfId="2766"/>
    <cellStyle name="Normal 117 2 6 3" xfId="2767"/>
    <cellStyle name="Normal 117 2 6 3 2" xfId="2768"/>
    <cellStyle name="Normal 117 2 6 4" xfId="2769"/>
    <cellStyle name="Normal 117 2 7" xfId="2770"/>
    <cellStyle name="Normal 117 2 7 2" xfId="2771"/>
    <cellStyle name="Normal 117 2 7 2 2" xfId="2772"/>
    <cellStyle name="Normal 117 2 7 2 2 2" xfId="2773"/>
    <cellStyle name="Normal 117 2 7 2 3" xfId="2774"/>
    <cellStyle name="Normal 117 2 7 3" xfId="2775"/>
    <cellStyle name="Normal 117 2 7 3 2" xfId="2776"/>
    <cellStyle name="Normal 117 2 7 4" xfId="2777"/>
    <cellStyle name="Normal 117 2 8" xfId="2778"/>
    <cellStyle name="Normal 117 2 8 2" xfId="2779"/>
    <cellStyle name="Normal 117 2 8 2 2" xfId="2780"/>
    <cellStyle name="Normal 117 2 8 3" xfId="2781"/>
    <cellStyle name="Normal 117 2 9" xfId="2782"/>
    <cellStyle name="Normal 117 2 9 2" xfId="2783"/>
    <cellStyle name="Normal 117 3" xfId="2784"/>
    <cellStyle name="Normal 117 3 2" xfId="2785"/>
    <cellStyle name="Normal 117 3 2 2" xfId="2786"/>
    <cellStyle name="Normal 117 3 2 2 2" xfId="2787"/>
    <cellStyle name="Normal 117 3 2 2 2 2" xfId="2788"/>
    <cellStyle name="Normal 117 3 2 2 2 2 2" xfId="2789"/>
    <cellStyle name="Normal 117 3 2 2 2 2 2 2" xfId="2790"/>
    <cellStyle name="Normal 117 3 2 2 2 2 3" xfId="2791"/>
    <cellStyle name="Normal 117 3 2 2 2 3" xfId="2792"/>
    <cellStyle name="Normal 117 3 2 2 2 3 2" xfId="2793"/>
    <cellStyle name="Normal 117 3 2 2 2 4" xfId="2794"/>
    <cellStyle name="Normal 117 3 2 2 3" xfId="2795"/>
    <cellStyle name="Normal 117 3 2 2 3 2" xfId="2796"/>
    <cellStyle name="Normal 117 3 2 2 3 2 2" xfId="2797"/>
    <cellStyle name="Normal 117 3 2 2 3 2 2 2" xfId="2798"/>
    <cellStyle name="Normal 117 3 2 2 3 2 3" xfId="2799"/>
    <cellStyle name="Normal 117 3 2 2 3 3" xfId="2800"/>
    <cellStyle name="Normal 117 3 2 2 3 3 2" xfId="2801"/>
    <cellStyle name="Normal 117 3 2 2 3 4" xfId="2802"/>
    <cellStyle name="Normal 117 3 2 2 4" xfId="2803"/>
    <cellStyle name="Normal 117 3 2 2 4 2" xfId="2804"/>
    <cellStyle name="Normal 117 3 2 2 4 2 2" xfId="2805"/>
    <cellStyle name="Normal 117 3 2 2 4 3" xfId="2806"/>
    <cellStyle name="Normal 117 3 2 2 5" xfId="2807"/>
    <cellStyle name="Normal 117 3 2 2 5 2" xfId="2808"/>
    <cellStyle name="Normal 117 3 2 2 6" xfId="2809"/>
    <cellStyle name="Normal 117 3 2 3" xfId="2810"/>
    <cellStyle name="Normal 117 3 2 3 2" xfId="2811"/>
    <cellStyle name="Normal 117 3 2 3 2 2" xfId="2812"/>
    <cellStyle name="Normal 117 3 2 3 2 2 2" xfId="2813"/>
    <cellStyle name="Normal 117 3 2 3 2 3" xfId="2814"/>
    <cellStyle name="Normal 117 3 2 3 3" xfId="2815"/>
    <cellStyle name="Normal 117 3 2 3 3 2" xfId="2816"/>
    <cellStyle name="Normal 117 3 2 3 4" xfId="2817"/>
    <cellStyle name="Normal 117 3 2 4" xfId="2818"/>
    <cellStyle name="Normal 117 3 2 4 2" xfId="2819"/>
    <cellStyle name="Normal 117 3 2 4 2 2" xfId="2820"/>
    <cellStyle name="Normal 117 3 2 4 2 2 2" xfId="2821"/>
    <cellStyle name="Normal 117 3 2 4 2 3" xfId="2822"/>
    <cellStyle name="Normal 117 3 2 4 3" xfId="2823"/>
    <cellStyle name="Normal 117 3 2 4 3 2" xfId="2824"/>
    <cellStyle name="Normal 117 3 2 4 4" xfId="2825"/>
    <cellStyle name="Normal 117 3 2 5" xfId="2826"/>
    <cellStyle name="Normal 117 3 2 5 2" xfId="2827"/>
    <cellStyle name="Normal 117 3 2 5 2 2" xfId="2828"/>
    <cellStyle name="Normal 117 3 2 5 3" xfId="2829"/>
    <cellStyle name="Normal 117 3 2 6" xfId="2830"/>
    <cellStyle name="Normal 117 3 2 6 2" xfId="2831"/>
    <cellStyle name="Normal 117 3 2 7" xfId="2832"/>
    <cellStyle name="Normal 117 3 3" xfId="2833"/>
    <cellStyle name="Normal 117 3 3 2" xfId="2834"/>
    <cellStyle name="Normal 117 3 3 2 2" xfId="2835"/>
    <cellStyle name="Normal 117 3 3 2 2 2" xfId="2836"/>
    <cellStyle name="Normal 117 3 3 2 2 2 2" xfId="2837"/>
    <cellStyle name="Normal 117 3 3 2 2 3" xfId="2838"/>
    <cellStyle name="Normal 117 3 3 2 3" xfId="2839"/>
    <cellStyle name="Normal 117 3 3 2 3 2" xfId="2840"/>
    <cellStyle name="Normal 117 3 3 2 4" xfId="2841"/>
    <cellStyle name="Normal 117 3 3 3" xfId="2842"/>
    <cellStyle name="Normal 117 3 3 3 2" xfId="2843"/>
    <cellStyle name="Normal 117 3 3 3 2 2" xfId="2844"/>
    <cellStyle name="Normal 117 3 3 3 2 2 2" xfId="2845"/>
    <cellStyle name="Normal 117 3 3 3 2 3" xfId="2846"/>
    <cellStyle name="Normal 117 3 3 3 3" xfId="2847"/>
    <cellStyle name="Normal 117 3 3 3 3 2" xfId="2848"/>
    <cellStyle name="Normal 117 3 3 3 4" xfId="2849"/>
    <cellStyle name="Normal 117 3 3 4" xfId="2850"/>
    <cellStyle name="Normal 117 3 3 4 2" xfId="2851"/>
    <cellStyle name="Normal 117 3 3 4 2 2" xfId="2852"/>
    <cellStyle name="Normal 117 3 3 4 3" xfId="2853"/>
    <cellStyle name="Normal 117 3 3 5" xfId="2854"/>
    <cellStyle name="Normal 117 3 3 5 2" xfId="2855"/>
    <cellStyle name="Normal 117 3 3 6" xfId="2856"/>
    <cellStyle name="Normal 117 3 4" xfId="2857"/>
    <cellStyle name="Normal 117 3 4 2" xfId="2858"/>
    <cellStyle name="Normal 117 3 4 2 2" xfId="2859"/>
    <cellStyle name="Normal 117 3 4 2 2 2" xfId="2860"/>
    <cellStyle name="Normal 117 3 4 2 2 2 2" xfId="2861"/>
    <cellStyle name="Normal 117 3 4 2 2 3" xfId="2862"/>
    <cellStyle name="Normal 117 3 4 2 3" xfId="2863"/>
    <cellStyle name="Normal 117 3 4 2 3 2" xfId="2864"/>
    <cellStyle name="Normal 117 3 4 2 4" xfId="2865"/>
    <cellStyle name="Normal 117 3 4 3" xfId="2866"/>
    <cellStyle name="Normal 117 3 4 3 2" xfId="2867"/>
    <cellStyle name="Normal 117 3 4 3 2 2" xfId="2868"/>
    <cellStyle name="Normal 117 3 4 3 2 2 2" xfId="2869"/>
    <cellStyle name="Normal 117 3 4 3 2 3" xfId="2870"/>
    <cellStyle name="Normal 117 3 4 3 3" xfId="2871"/>
    <cellStyle name="Normal 117 3 4 3 3 2" xfId="2872"/>
    <cellStyle name="Normal 117 3 4 3 4" xfId="2873"/>
    <cellStyle name="Normal 117 3 4 4" xfId="2874"/>
    <cellStyle name="Normal 117 3 4 4 2" xfId="2875"/>
    <cellStyle name="Normal 117 3 4 4 2 2" xfId="2876"/>
    <cellStyle name="Normal 117 3 4 4 3" xfId="2877"/>
    <cellStyle name="Normal 117 3 4 5" xfId="2878"/>
    <cellStyle name="Normal 117 3 4 5 2" xfId="2879"/>
    <cellStyle name="Normal 117 3 4 6" xfId="2880"/>
    <cellStyle name="Normal 117 3 5" xfId="2881"/>
    <cellStyle name="Normal 117 3 5 2" xfId="2882"/>
    <cellStyle name="Normal 117 3 5 2 2" xfId="2883"/>
    <cellStyle name="Normal 117 3 5 2 2 2" xfId="2884"/>
    <cellStyle name="Normal 117 3 5 2 3" xfId="2885"/>
    <cellStyle name="Normal 117 3 5 3" xfId="2886"/>
    <cellStyle name="Normal 117 3 5 3 2" xfId="2887"/>
    <cellStyle name="Normal 117 3 5 4" xfId="2888"/>
    <cellStyle name="Normal 117 3 6" xfId="2889"/>
    <cellStyle name="Normal 117 3 6 2" xfId="2890"/>
    <cellStyle name="Normal 117 3 6 2 2" xfId="2891"/>
    <cellStyle name="Normal 117 3 6 2 2 2" xfId="2892"/>
    <cellStyle name="Normal 117 3 6 2 3" xfId="2893"/>
    <cellStyle name="Normal 117 3 6 3" xfId="2894"/>
    <cellStyle name="Normal 117 3 6 3 2" xfId="2895"/>
    <cellStyle name="Normal 117 3 6 4" xfId="2896"/>
    <cellStyle name="Normal 117 3 7" xfId="2897"/>
    <cellStyle name="Normal 117 3 7 2" xfId="2898"/>
    <cellStyle name="Normal 117 3 7 2 2" xfId="2899"/>
    <cellStyle name="Normal 117 3 7 3" xfId="2900"/>
    <cellStyle name="Normal 117 3 8" xfId="2901"/>
    <cellStyle name="Normal 117 3 8 2" xfId="2902"/>
    <cellStyle name="Normal 117 3 9" xfId="2903"/>
    <cellStyle name="Normal 117 4" xfId="2904"/>
    <cellStyle name="Normal 117 4 2" xfId="2905"/>
    <cellStyle name="Normal 117 4 2 2" xfId="2906"/>
    <cellStyle name="Normal 117 4 2 2 2" xfId="2907"/>
    <cellStyle name="Normal 117 4 2 2 2 2" xfId="2908"/>
    <cellStyle name="Normal 117 4 2 2 2 2 2" xfId="2909"/>
    <cellStyle name="Normal 117 4 2 2 2 3" xfId="2910"/>
    <cellStyle name="Normal 117 4 2 2 3" xfId="2911"/>
    <cellStyle name="Normal 117 4 2 2 3 2" xfId="2912"/>
    <cellStyle name="Normal 117 4 2 2 4" xfId="2913"/>
    <cellStyle name="Normal 117 4 2 3" xfId="2914"/>
    <cellStyle name="Normal 117 4 2 3 2" xfId="2915"/>
    <cellStyle name="Normal 117 4 2 3 2 2" xfId="2916"/>
    <cellStyle name="Normal 117 4 2 3 2 2 2" xfId="2917"/>
    <cellStyle name="Normal 117 4 2 3 2 3" xfId="2918"/>
    <cellStyle name="Normal 117 4 2 3 3" xfId="2919"/>
    <cellStyle name="Normal 117 4 2 3 3 2" xfId="2920"/>
    <cellStyle name="Normal 117 4 2 3 4" xfId="2921"/>
    <cellStyle name="Normal 117 4 2 4" xfId="2922"/>
    <cellStyle name="Normal 117 4 2 4 2" xfId="2923"/>
    <cellStyle name="Normal 117 4 2 4 2 2" xfId="2924"/>
    <cellStyle name="Normal 117 4 2 4 3" xfId="2925"/>
    <cellStyle name="Normal 117 4 2 5" xfId="2926"/>
    <cellStyle name="Normal 117 4 2 5 2" xfId="2927"/>
    <cellStyle name="Normal 117 4 2 6" xfId="2928"/>
    <cellStyle name="Normal 117 4 3" xfId="2929"/>
    <cellStyle name="Normal 117 4 3 2" xfId="2930"/>
    <cellStyle name="Normal 117 4 3 2 2" xfId="2931"/>
    <cellStyle name="Normal 117 4 3 2 2 2" xfId="2932"/>
    <cellStyle name="Normal 117 4 3 2 3" xfId="2933"/>
    <cellStyle name="Normal 117 4 3 3" xfId="2934"/>
    <cellStyle name="Normal 117 4 3 3 2" xfId="2935"/>
    <cellStyle name="Normal 117 4 3 4" xfId="2936"/>
    <cellStyle name="Normal 117 4 4" xfId="2937"/>
    <cellStyle name="Normal 117 4 4 2" xfId="2938"/>
    <cellStyle name="Normal 117 4 4 2 2" xfId="2939"/>
    <cellStyle name="Normal 117 4 4 2 2 2" xfId="2940"/>
    <cellStyle name="Normal 117 4 4 2 3" xfId="2941"/>
    <cellStyle name="Normal 117 4 4 3" xfId="2942"/>
    <cellStyle name="Normal 117 4 4 3 2" xfId="2943"/>
    <cellStyle name="Normal 117 4 4 4" xfId="2944"/>
    <cellStyle name="Normal 117 4 5" xfId="2945"/>
    <cellStyle name="Normal 117 4 5 2" xfId="2946"/>
    <cellStyle name="Normal 117 4 5 2 2" xfId="2947"/>
    <cellStyle name="Normal 117 4 5 3" xfId="2948"/>
    <cellStyle name="Normal 117 4 6" xfId="2949"/>
    <cellStyle name="Normal 117 4 6 2" xfId="2950"/>
    <cellStyle name="Normal 117 4 7" xfId="2951"/>
    <cellStyle name="Normal 117 5" xfId="2952"/>
    <cellStyle name="Normal 117 5 2" xfId="2953"/>
    <cellStyle name="Normal 117 5 2 2" xfId="2954"/>
    <cellStyle name="Normal 117 5 2 2 2" xfId="2955"/>
    <cellStyle name="Normal 117 5 2 2 2 2" xfId="2956"/>
    <cellStyle name="Normal 117 5 2 2 3" xfId="2957"/>
    <cellStyle name="Normal 117 5 2 3" xfId="2958"/>
    <cellStyle name="Normal 117 5 2 3 2" xfId="2959"/>
    <cellStyle name="Normal 117 5 2 4" xfId="2960"/>
    <cellStyle name="Normal 117 5 3" xfId="2961"/>
    <cellStyle name="Normal 117 5 3 2" xfId="2962"/>
    <cellStyle name="Normal 117 5 3 2 2" xfId="2963"/>
    <cellStyle name="Normal 117 5 3 2 2 2" xfId="2964"/>
    <cellStyle name="Normal 117 5 3 2 3" xfId="2965"/>
    <cellStyle name="Normal 117 5 3 3" xfId="2966"/>
    <cellStyle name="Normal 117 5 3 3 2" xfId="2967"/>
    <cellStyle name="Normal 117 5 3 4" xfId="2968"/>
    <cellStyle name="Normal 117 5 4" xfId="2969"/>
    <cellStyle name="Normal 117 5 4 2" xfId="2970"/>
    <cellStyle name="Normal 117 5 4 2 2" xfId="2971"/>
    <cellStyle name="Normal 117 5 4 3" xfId="2972"/>
    <cellStyle name="Normal 117 5 5" xfId="2973"/>
    <cellStyle name="Normal 117 5 5 2" xfId="2974"/>
    <cellStyle name="Normal 117 5 6" xfId="2975"/>
    <cellStyle name="Normal 117 6" xfId="2976"/>
    <cellStyle name="Normal 117 6 2" xfId="2977"/>
    <cellStyle name="Normal 117 6 2 2" xfId="2978"/>
    <cellStyle name="Normal 117 6 2 2 2" xfId="2979"/>
    <cellStyle name="Normal 117 6 2 2 2 2" xfId="2980"/>
    <cellStyle name="Normal 117 6 2 2 3" xfId="2981"/>
    <cellStyle name="Normal 117 6 2 3" xfId="2982"/>
    <cellStyle name="Normal 117 6 2 3 2" xfId="2983"/>
    <cellStyle name="Normal 117 6 2 4" xfId="2984"/>
    <cellStyle name="Normal 117 6 3" xfId="2985"/>
    <cellStyle name="Normal 117 6 3 2" xfId="2986"/>
    <cellStyle name="Normal 117 6 3 2 2" xfId="2987"/>
    <cellStyle name="Normal 117 6 3 2 2 2" xfId="2988"/>
    <cellStyle name="Normal 117 6 3 2 3" xfId="2989"/>
    <cellStyle name="Normal 117 6 3 3" xfId="2990"/>
    <cellStyle name="Normal 117 6 3 3 2" xfId="2991"/>
    <cellStyle name="Normal 117 6 3 4" xfId="2992"/>
    <cellStyle name="Normal 117 6 4" xfId="2993"/>
    <cellStyle name="Normal 117 6 4 2" xfId="2994"/>
    <cellStyle name="Normal 117 6 4 2 2" xfId="2995"/>
    <cellStyle name="Normal 117 6 4 3" xfId="2996"/>
    <cellStyle name="Normal 117 6 5" xfId="2997"/>
    <cellStyle name="Normal 117 6 5 2" xfId="2998"/>
    <cellStyle name="Normal 117 6 6" xfId="2999"/>
    <cellStyle name="Normal 117 7" xfId="3000"/>
    <cellStyle name="Normal 117 7 2" xfId="3001"/>
    <cellStyle name="Normal 117 7 2 2" xfId="3002"/>
    <cellStyle name="Normal 117 7 2 2 2" xfId="3003"/>
    <cellStyle name="Normal 117 7 2 3" xfId="3004"/>
    <cellStyle name="Normal 117 7 3" xfId="3005"/>
    <cellStyle name="Normal 117 7 3 2" xfId="3006"/>
    <cellStyle name="Normal 117 7 4" xfId="3007"/>
    <cellStyle name="Normal 117 8" xfId="3008"/>
    <cellStyle name="Normal 117 8 2" xfId="3009"/>
    <cellStyle name="Normal 117 8 2 2" xfId="3010"/>
    <cellStyle name="Normal 117 8 2 2 2" xfId="3011"/>
    <cellStyle name="Normal 117 8 2 3" xfId="3012"/>
    <cellStyle name="Normal 117 8 3" xfId="3013"/>
    <cellStyle name="Normal 117 8 3 2" xfId="3014"/>
    <cellStyle name="Normal 117 8 4" xfId="3015"/>
    <cellStyle name="Normal 117 9" xfId="3016"/>
    <cellStyle name="Normal 117 9 2" xfId="3017"/>
    <cellStyle name="Normal 117 9 2 2" xfId="3018"/>
    <cellStyle name="Normal 117 9 2 2 2" xfId="3019"/>
    <cellStyle name="Normal 117 9 2 3" xfId="3020"/>
    <cellStyle name="Normal 117 9 3" xfId="3021"/>
    <cellStyle name="Normal 117 9 3 2" xfId="3022"/>
    <cellStyle name="Normal 117 9 4" xfId="3023"/>
    <cellStyle name="Normal 118" xfId="3024"/>
    <cellStyle name="Normal 119" xfId="3025"/>
    <cellStyle name="Normal 12" xfId="3026"/>
    <cellStyle name="Normal 12 10" xfId="3027"/>
    <cellStyle name="Normal 12 10 2" xfId="3028"/>
    <cellStyle name="Normal 12 10 2 2" xfId="3029"/>
    <cellStyle name="Normal 12 10 2 2 2" xfId="3030"/>
    <cellStyle name="Normal 12 10 2 3" xfId="3031"/>
    <cellStyle name="Normal 12 10 3" xfId="3032"/>
    <cellStyle name="Normal 12 10 3 2" xfId="3033"/>
    <cellStyle name="Normal 12 10 4" xfId="3034"/>
    <cellStyle name="Normal 12 11" xfId="3035"/>
    <cellStyle name="Normal 12 11 2" xfId="3036"/>
    <cellStyle name="Normal 12 11 2 2" xfId="3037"/>
    <cellStyle name="Normal 12 11 2 2 2" xfId="3038"/>
    <cellStyle name="Normal 12 11 2 3" xfId="3039"/>
    <cellStyle name="Normal 12 11 3" xfId="3040"/>
    <cellStyle name="Normal 12 11 3 2" xfId="3041"/>
    <cellStyle name="Normal 12 11 4" xfId="3042"/>
    <cellStyle name="Normal 12 12" xfId="3043"/>
    <cellStyle name="Normal 12 12 2" xfId="3044"/>
    <cellStyle name="Normal 12 12 2 2" xfId="3045"/>
    <cellStyle name="Normal 12 12 3" xfId="3046"/>
    <cellStyle name="Normal 12 13" xfId="3047"/>
    <cellStyle name="Normal 12 13 2" xfId="3048"/>
    <cellStyle name="Normal 12 14" xfId="3049"/>
    <cellStyle name="Normal 12 2" xfId="3050"/>
    <cellStyle name="Normal 12 3" xfId="3051"/>
    <cellStyle name="Normal 12 4" xfId="3052"/>
    <cellStyle name="Normal 12 4 10" xfId="3053"/>
    <cellStyle name="Normal 12 4 2" xfId="3054"/>
    <cellStyle name="Normal 12 4 2 2" xfId="3055"/>
    <cellStyle name="Normal 12 4 2 2 2" xfId="3056"/>
    <cellStyle name="Normal 12 4 2 2 2 2" xfId="3057"/>
    <cellStyle name="Normal 12 4 2 2 2 2 2" xfId="3058"/>
    <cellStyle name="Normal 12 4 2 2 2 2 2 2" xfId="3059"/>
    <cellStyle name="Normal 12 4 2 2 2 2 3" xfId="3060"/>
    <cellStyle name="Normal 12 4 2 2 2 3" xfId="3061"/>
    <cellStyle name="Normal 12 4 2 2 2 3 2" xfId="3062"/>
    <cellStyle name="Normal 12 4 2 2 2 4" xfId="3063"/>
    <cellStyle name="Normal 12 4 2 2 3" xfId="3064"/>
    <cellStyle name="Normal 12 4 2 2 3 2" xfId="3065"/>
    <cellStyle name="Normal 12 4 2 2 3 2 2" xfId="3066"/>
    <cellStyle name="Normal 12 4 2 2 3 2 2 2" xfId="3067"/>
    <cellStyle name="Normal 12 4 2 2 3 2 3" xfId="3068"/>
    <cellStyle name="Normal 12 4 2 2 3 3" xfId="3069"/>
    <cellStyle name="Normal 12 4 2 2 3 3 2" xfId="3070"/>
    <cellStyle name="Normal 12 4 2 2 3 4" xfId="3071"/>
    <cellStyle name="Normal 12 4 2 2 4" xfId="3072"/>
    <cellStyle name="Normal 12 4 2 2 4 2" xfId="3073"/>
    <cellStyle name="Normal 12 4 2 2 4 2 2" xfId="3074"/>
    <cellStyle name="Normal 12 4 2 2 4 3" xfId="3075"/>
    <cellStyle name="Normal 12 4 2 2 5" xfId="3076"/>
    <cellStyle name="Normal 12 4 2 2 5 2" xfId="3077"/>
    <cellStyle name="Normal 12 4 2 2 6" xfId="3078"/>
    <cellStyle name="Normal 12 4 2 3" xfId="3079"/>
    <cellStyle name="Normal 12 4 2 3 2" xfId="3080"/>
    <cellStyle name="Normal 12 4 2 3 2 2" xfId="3081"/>
    <cellStyle name="Normal 12 4 2 3 2 2 2" xfId="3082"/>
    <cellStyle name="Normal 12 4 2 3 2 3" xfId="3083"/>
    <cellStyle name="Normal 12 4 2 3 3" xfId="3084"/>
    <cellStyle name="Normal 12 4 2 3 3 2" xfId="3085"/>
    <cellStyle name="Normal 12 4 2 3 4" xfId="3086"/>
    <cellStyle name="Normal 12 4 2 4" xfId="3087"/>
    <cellStyle name="Normal 12 4 2 4 2" xfId="3088"/>
    <cellStyle name="Normal 12 4 2 4 2 2" xfId="3089"/>
    <cellStyle name="Normal 12 4 2 4 2 2 2" xfId="3090"/>
    <cellStyle name="Normal 12 4 2 4 2 3" xfId="3091"/>
    <cellStyle name="Normal 12 4 2 4 3" xfId="3092"/>
    <cellStyle name="Normal 12 4 2 4 3 2" xfId="3093"/>
    <cellStyle name="Normal 12 4 2 4 4" xfId="3094"/>
    <cellStyle name="Normal 12 4 2 5" xfId="3095"/>
    <cellStyle name="Normal 12 4 2 5 2" xfId="3096"/>
    <cellStyle name="Normal 12 4 2 5 2 2" xfId="3097"/>
    <cellStyle name="Normal 12 4 2 5 3" xfId="3098"/>
    <cellStyle name="Normal 12 4 2 6" xfId="3099"/>
    <cellStyle name="Normal 12 4 2 6 2" xfId="3100"/>
    <cellStyle name="Normal 12 4 2 7" xfId="3101"/>
    <cellStyle name="Normal 12 4 3" xfId="3102"/>
    <cellStyle name="Normal 12 4 3 2" xfId="3103"/>
    <cellStyle name="Normal 12 4 3 2 2" xfId="3104"/>
    <cellStyle name="Normal 12 4 3 2 2 2" xfId="3105"/>
    <cellStyle name="Normal 12 4 3 2 2 2 2" xfId="3106"/>
    <cellStyle name="Normal 12 4 3 2 2 3" xfId="3107"/>
    <cellStyle name="Normal 12 4 3 2 3" xfId="3108"/>
    <cellStyle name="Normal 12 4 3 2 3 2" xfId="3109"/>
    <cellStyle name="Normal 12 4 3 2 4" xfId="3110"/>
    <cellStyle name="Normal 12 4 3 3" xfId="3111"/>
    <cellStyle name="Normal 12 4 3 3 2" xfId="3112"/>
    <cellStyle name="Normal 12 4 3 3 2 2" xfId="3113"/>
    <cellStyle name="Normal 12 4 3 3 2 2 2" xfId="3114"/>
    <cellStyle name="Normal 12 4 3 3 2 3" xfId="3115"/>
    <cellStyle name="Normal 12 4 3 3 3" xfId="3116"/>
    <cellStyle name="Normal 12 4 3 3 3 2" xfId="3117"/>
    <cellStyle name="Normal 12 4 3 3 4" xfId="3118"/>
    <cellStyle name="Normal 12 4 3 4" xfId="3119"/>
    <cellStyle name="Normal 12 4 3 4 2" xfId="3120"/>
    <cellStyle name="Normal 12 4 3 4 2 2" xfId="3121"/>
    <cellStyle name="Normal 12 4 3 4 3" xfId="3122"/>
    <cellStyle name="Normal 12 4 3 5" xfId="3123"/>
    <cellStyle name="Normal 12 4 3 5 2" xfId="3124"/>
    <cellStyle name="Normal 12 4 3 6" xfId="3125"/>
    <cellStyle name="Normal 12 4 4" xfId="3126"/>
    <cellStyle name="Normal 12 4 4 2" xfId="3127"/>
    <cellStyle name="Normal 12 4 4 2 2" xfId="3128"/>
    <cellStyle name="Normal 12 4 4 2 2 2" xfId="3129"/>
    <cellStyle name="Normal 12 4 4 2 2 2 2" xfId="3130"/>
    <cellStyle name="Normal 12 4 4 2 2 3" xfId="3131"/>
    <cellStyle name="Normal 12 4 4 2 3" xfId="3132"/>
    <cellStyle name="Normal 12 4 4 2 3 2" xfId="3133"/>
    <cellStyle name="Normal 12 4 4 2 4" xfId="3134"/>
    <cellStyle name="Normal 12 4 4 3" xfId="3135"/>
    <cellStyle name="Normal 12 4 4 3 2" xfId="3136"/>
    <cellStyle name="Normal 12 4 4 3 2 2" xfId="3137"/>
    <cellStyle name="Normal 12 4 4 3 2 2 2" xfId="3138"/>
    <cellStyle name="Normal 12 4 4 3 2 3" xfId="3139"/>
    <cellStyle name="Normal 12 4 4 3 3" xfId="3140"/>
    <cellStyle name="Normal 12 4 4 3 3 2" xfId="3141"/>
    <cellStyle name="Normal 12 4 4 3 4" xfId="3142"/>
    <cellStyle name="Normal 12 4 4 4" xfId="3143"/>
    <cellStyle name="Normal 12 4 4 4 2" xfId="3144"/>
    <cellStyle name="Normal 12 4 4 4 2 2" xfId="3145"/>
    <cellStyle name="Normal 12 4 4 4 3" xfId="3146"/>
    <cellStyle name="Normal 12 4 4 5" xfId="3147"/>
    <cellStyle name="Normal 12 4 4 5 2" xfId="3148"/>
    <cellStyle name="Normal 12 4 4 6" xfId="3149"/>
    <cellStyle name="Normal 12 4 5" xfId="3150"/>
    <cellStyle name="Normal 12 4 5 2" xfId="3151"/>
    <cellStyle name="Normal 12 4 5 2 2" xfId="3152"/>
    <cellStyle name="Normal 12 4 5 2 2 2" xfId="3153"/>
    <cellStyle name="Normal 12 4 5 2 3" xfId="3154"/>
    <cellStyle name="Normal 12 4 5 3" xfId="3155"/>
    <cellStyle name="Normal 12 4 5 3 2" xfId="3156"/>
    <cellStyle name="Normal 12 4 5 4" xfId="3157"/>
    <cellStyle name="Normal 12 4 6" xfId="3158"/>
    <cellStyle name="Normal 12 4 6 2" xfId="3159"/>
    <cellStyle name="Normal 12 4 6 2 2" xfId="3160"/>
    <cellStyle name="Normal 12 4 6 2 2 2" xfId="3161"/>
    <cellStyle name="Normal 12 4 6 2 3" xfId="3162"/>
    <cellStyle name="Normal 12 4 6 3" xfId="3163"/>
    <cellStyle name="Normal 12 4 6 3 2" xfId="3164"/>
    <cellStyle name="Normal 12 4 6 4" xfId="3165"/>
    <cellStyle name="Normal 12 4 7" xfId="3166"/>
    <cellStyle name="Normal 12 4 7 2" xfId="3167"/>
    <cellStyle name="Normal 12 4 7 2 2" xfId="3168"/>
    <cellStyle name="Normal 12 4 7 2 2 2" xfId="3169"/>
    <cellStyle name="Normal 12 4 7 2 3" xfId="3170"/>
    <cellStyle name="Normal 12 4 7 3" xfId="3171"/>
    <cellStyle name="Normal 12 4 7 3 2" xfId="3172"/>
    <cellStyle name="Normal 12 4 7 4" xfId="3173"/>
    <cellStyle name="Normal 12 4 8" xfId="3174"/>
    <cellStyle name="Normal 12 4 8 2" xfId="3175"/>
    <cellStyle name="Normal 12 4 8 2 2" xfId="3176"/>
    <cellStyle name="Normal 12 4 8 3" xfId="3177"/>
    <cellStyle name="Normal 12 4 9" xfId="3178"/>
    <cellStyle name="Normal 12 4 9 2" xfId="3179"/>
    <cellStyle name="Normal 12 5" xfId="3180"/>
    <cellStyle name="Normal 12 5 2" xfId="3181"/>
    <cellStyle name="Normal 12 5 2 2" xfId="3182"/>
    <cellStyle name="Normal 12 5 2 2 2" xfId="3183"/>
    <cellStyle name="Normal 12 5 2 2 2 2" xfId="3184"/>
    <cellStyle name="Normal 12 5 2 2 2 2 2" xfId="3185"/>
    <cellStyle name="Normal 12 5 2 2 2 2 2 2" xfId="3186"/>
    <cellStyle name="Normal 12 5 2 2 2 2 3" xfId="3187"/>
    <cellStyle name="Normal 12 5 2 2 2 3" xfId="3188"/>
    <cellStyle name="Normal 12 5 2 2 2 3 2" xfId="3189"/>
    <cellStyle name="Normal 12 5 2 2 2 4" xfId="3190"/>
    <cellStyle name="Normal 12 5 2 2 3" xfId="3191"/>
    <cellStyle name="Normal 12 5 2 2 3 2" xfId="3192"/>
    <cellStyle name="Normal 12 5 2 2 3 2 2" xfId="3193"/>
    <cellStyle name="Normal 12 5 2 2 3 2 2 2" xfId="3194"/>
    <cellStyle name="Normal 12 5 2 2 3 2 3" xfId="3195"/>
    <cellStyle name="Normal 12 5 2 2 3 3" xfId="3196"/>
    <cellStyle name="Normal 12 5 2 2 3 3 2" xfId="3197"/>
    <cellStyle name="Normal 12 5 2 2 3 4" xfId="3198"/>
    <cellStyle name="Normal 12 5 2 2 4" xfId="3199"/>
    <cellStyle name="Normal 12 5 2 2 4 2" xfId="3200"/>
    <cellStyle name="Normal 12 5 2 2 4 2 2" xfId="3201"/>
    <cellStyle name="Normal 12 5 2 2 4 3" xfId="3202"/>
    <cellStyle name="Normal 12 5 2 2 5" xfId="3203"/>
    <cellStyle name="Normal 12 5 2 2 5 2" xfId="3204"/>
    <cellStyle name="Normal 12 5 2 2 6" xfId="3205"/>
    <cellStyle name="Normal 12 5 2 3" xfId="3206"/>
    <cellStyle name="Normal 12 5 2 3 2" xfId="3207"/>
    <cellStyle name="Normal 12 5 2 3 2 2" xfId="3208"/>
    <cellStyle name="Normal 12 5 2 3 2 2 2" xfId="3209"/>
    <cellStyle name="Normal 12 5 2 3 2 3" xfId="3210"/>
    <cellStyle name="Normal 12 5 2 3 3" xfId="3211"/>
    <cellStyle name="Normal 12 5 2 3 3 2" xfId="3212"/>
    <cellStyle name="Normal 12 5 2 3 4" xfId="3213"/>
    <cellStyle name="Normal 12 5 2 4" xfId="3214"/>
    <cellStyle name="Normal 12 5 2 4 2" xfId="3215"/>
    <cellStyle name="Normal 12 5 2 4 2 2" xfId="3216"/>
    <cellStyle name="Normal 12 5 2 4 2 2 2" xfId="3217"/>
    <cellStyle name="Normal 12 5 2 4 2 3" xfId="3218"/>
    <cellStyle name="Normal 12 5 2 4 3" xfId="3219"/>
    <cellStyle name="Normal 12 5 2 4 3 2" xfId="3220"/>
    <cellStyle name="Normal 12 5 2 4 4" xfId="3221"/>
    <cellStyle name="Normal 12 5 2 5" xfId="3222"/>
    <cellStyle name="Normal 12 5 2 5 2" xfId="3223"/>
    <cellStyle name="Normal 12 5 2 5 2 2" xfId="3224"/>
    <cellStyle name="Normal 12 5 2 5 3" xfId="3225"/>
    <cellStyle name="Normal 12 5 2 6" xfId="3226"/>
    <cellStyle name="Normal 12 5 2 6 2" xfId="3227"/>
    <cellStyle name="Normal 12 5 2 7" xfId="3228"/>
    <cellStyle name="Normal 12 5 3" xfId="3229"/>
    <cellStyle name="Normal 12 5 3 2" xfId="3230"/>
    <cellStyle name="Normal 12 5 3 2 2" xfId="3231"/>
    <cellStyle name="Normal 12 5 3 2 2 2" xfId="3232"/>
    <cellStyle name="Normal 12 5 3 2 2 2 2" xfId="3233"/>
    <cellStyle name="Normal 12 5 3 2 2 3" xfId="3234"/>
    <cellStyle name="Normal 12 5 3 2 3" xfId="3235"/>
    <cellStyle name="Normal 12 5 3 2 3 2" xfId="3236"/>
    <cellStyle name="Normal 12 5 3 2 4" xfId="3237"/>
    <cellStyle name="Normal 12 5 3 3" xfId="3238"/>
    <cellStyle name="Normal 12 5 3 3 2" xfId="3239"/>
    <cellStyle name="Normal 12 5 3 3 2 2" xfId="3240"/>
    <cellStyle name="Normal 12 5 3 3 2 2 2" xfId="3241"/>
    <cellStyle name="Normal 12 5 3 3 2 3" xfId="3242"/>
    <cellStyle name="Normal 12 5 3 3 3" xfId="3243"/>
    <cellStyle name="Normal 12 5 3 3 3 2" xfId="3244"/>
    <cellStyle name="Normal 12 5 3 3 4" xfId="3245"/>
    <cellStyle name="Normal 12 5 3 4" xfId="3246"/>
    <cellStyle name="Normal 12 5 3 4 2" xfId="3247"/>
    <cellStyle name="Normal 12 5 3 4 2 2" xfId="3248"/>
    <cellStyle name="Normal 12 5 3 4 3" xfId="3249"/>
    <cellStyle name="Normal 12 5 3 5" xfId="3250"/>
    <cellStyle name="Normal 12 5 3 5 2" xfId="3251"/>
    <cellStyle name="Normal 12 5 3 6" xfId="3252"/>
    <cellStyle name="Normal 12 5 4" xfId="3253"/>
    <cellStyle name="Normal 12 5 4 2" xfId="3254"/>
    <cellStyle name="Normal 12 5 4 2 2" xfId="3255"/>
    <cellStyle name="Normal 12 5 4 2 2 2" xfId="3256"/>
    <cellStyle name="Normal 12 5 4 2 2 2 2" xfId="3257"/>
    <cellStyle name="Normal 12 5 4 2 2 3" xfId="3258"/>
    <cellStyle name="Normal 12 5 4 2 3" xfId="3259"/>
    <cellStyle name="Normal 12 5 4 2 3 2" xfId="3260"/>
    <cellStyle name="Normal 12 5 4 2 4" xfId="3261"/>
    <cellStyle name="Normal 12 5 4 3" xfId="3262"/>
    <cellStyle name="Normal 12 5 4 3 2" xfId="3263"/>
    <cellStyle name="Normal 12 5 4 3 2 2" xfId="3264"/>
    <cellStyle name="Normal 12 5 4 3 2 2 2" xfId="3265"/>
    <cellStyle name="Normal 12 5 4 3 2 3" xfId="3266"/>
    <cellStyle name="Normal 12 5 4 3 3" xfId="3267"/>
    <cellStyle name="Normal 12 5 4 3 3 2" xfId="3268"/>
    <cellStyle name="Normal 12 5 4 3 4" xfId="3269"/>
    <cellStyle name="Normal 12 5 4 4" xfId="3270"/>
    <cellStyle name="Normal 12 5 4 4 2" xfId="3271"/>
    <cellStyle name="Normal 12 5 4 4 2 2" xfId="3272"/>
    <cellStyle name="Normal 12 5 4 4 3" xfId="3273"/>
    <cellStyle name="Normal 12 5 4 5" xfId="3274"/>
    <cellStyle name="Normal 12 5 4 5 2" xfId="3275"/>
    <cellStyle name="Normal 12 5 4 6" xfId="3276"/>
    <cellStyle name="Normal 12 5 5" xfId="3277"/>
    <cellStyle name="Normal 12 5 5 2" xfId="3278"/>
    <cellStyle name="Normal 12 5 5 2 2" xfId="3279"/>
    <cellStyle name="Normal 12 5 5 2 2 2" xfId="3280"/>
    <cellStyle name="Normal 12 5 5 2 3" xfId="3281"/>
    <cellStyle name="Normal 12 5 5 3" xfId="3282"/>
    <cellStyle name="Normal 12 5 5 3 2" xfId="3283"/>
    <cellStyle name="Normal 12 5 5 4" xfId="3284"/>
    <cellStyle name="Normal 12 5 6" xfId="3285"/>
    <cellStyle name="Normal 12 5 6 2" xfId="3286"/>
    <cellStyle name="Normal 12 5 6 2 2" xfId="3287"/>
    <cellStyle name="Normal 12 5 6 2 2 2" xfId="3288"/>
    <cellStyle name="Normal 12 5 6 2 3" xfId="3289"/>
    <cellStyle name="Normal 12 5 6 3" xfId="3290"/>
    <cellStyle name="Normal 12 5 6 3 2" xfId="3291"/>
    <cellStyle name="Normal 12 5 6 4" xfId="3292"/>
    <cellStyle name="Normal 12 5 7" xfId="3293"/>
    <cellStyle name="Normal 12 5 7 2" xfId="3294"/>
    <cellStyle name="Normal 12 5 7 2 2" xfId="3295"/>
    <cellStyle name="Normal 12 5 7 3" xfId="3296"/>
    <cellStyle name="Normal 12 5 8" xfId="3297"/>
    <cellStyle name="Normal 12 5 8 2" xfId="3298"/>
    <cellStyle name="Normal 12 5 9" xfId="3299"/>
    <cellStyle name="Normal 12 6" xfId="3300"/>
    <cellStyle name="Normal 12 6 2" xfId="3301"/>
    <cellStyle name="Normal 12 6 2 2" xfId="3302"/>
    <cellStyle name="Normal 12 6 2 2 2" xfId="3303"/>
    <cellStyle name="Normal 12 6 2 2 2 2" xfId="3304"/>
    <cellStyle name="Normal 12 6 2 2 2 2 2" xfId="3305"/>
    <cellStyle name="Normal 12 6 2 2 2 3" xfId="3306"/>
    <cellStyle name="Normal 12 6 2 2 3" xfId="3307"/>
    <cellStyle name="Normal 12 6 2 2 3 2" xfId="3308"/>
    <cellStyle name="Normal 12 6 2 2 4" xfId="3309"/>
    <cellStyle name="Normal 12 6 2 3" xfId="3310"/>
    <cellStyle name="Normal 12 6 2 3 2" xfId="3311"/>
    <cellStyle name="Normal 12 6 2 3 2 2" xfId="3312"/>
    <cellStyle name="Normal 12 6 2 3 2 2 2" xfId="3313"/>
    <cellStyle name="Normal 12 6 2 3 2 3" xfId="3314"/>
    <cellStyle name="Normal 12 6 2 3 3" xfId="3315"/>
    <cellStyle name="Normal 12 6 2 3 3 2" xfId="3316"/>
    <cellStyle name="Normal 12 6 2 3 4" xfId="3317"/>
    <cellStyle name="Normal 12 6 2 4" xfId="3318"/>
    <cellStyle name="Normal 12 6 2 4 2" xfId="3319"/>
    <cellStyle name="Normal 12 6 2 4 2 2" xfId="3320"/>
    <cellStyle name="Normal 12 6 2 4 3" xfId="3321"/>
    <cellStyle name="Normal 12 6 2 5" xfId="3322"/>
    <cellStyle name="Normal 12 6 2 5 2" xfId="3323"/>
    <cellStyle name="Normal 12 6 2 6" xfId="3324"/>
    <cellStyle name="Normal 12 6 3" xfId="3325"/>
    <cellStyle name="Normal 12 6 3 2" xfId="3326"/>
    <cellStyle name="Normal 12 6 3 2 2" xfId="3327"/>
    <cellStyle name="Normal 12 6 3 2 2 2" xfId="3328"/>
    <cellStyle name="Normal 12 6 3 2 3" xfId="3329"/>
    <cellStyle name="Normal 12 6 3 3" xfId="3330"/>
    <cellStyle name="Normal 12 6 3 3 2" xfId="3331"/>
    <cellStyle name="Normal 12 6 3 4" xfId="3332"/>
    <cellStyle name="Normal 12 6 4" xfId="3333"/>
    <cellStyle name="Normal 12 6 4 2" xfId="3334"/>
    <cellStyle name="Normal 12 6 4 2 2" xfId="3335"/>
    <cellStyle name="Normal 12 6 4 2 2 2" xfId="3336"/>
    <cellStyle name="Normal 12 6 4 2 3" xfId="3337"/>
    <cellStyle name="Normal 12 6 4 3" xfId="3338"/>
    <cellStyle name="Normal 12 6 4 3 2" xfId="3339"/>
    <cellStyle name="Normal 12 6 4 4" xfId="3340"/>
    <cellStyle name="Normal 12 6 5" xfId="3341"/>
    <cellStyle name="Normal 12 6 5 2" xfId="3342"/>
    <cellStyle name="Normal 12 6 5 2 2" xfId="3343"/>
    <cellStyle name="Normal 12 6 5 3" xfId="3344"/>
    <cellStyle name="Normal 12 6 6" xfId="3345"/>
    <cellStyle name="Normal 12 6 6 2" xfId="3346"/>
    <cellStyle name="Normal 12 6 7" xfId="3347"/>
    <cellStyle name="Normal 12 7" xfId="3348"/>
    <cellStyle name="Normal 12 7 2" xfId="3349"/>
    <cellStyle name="Normal 12 7 2 2" xfId="3350"/>
    <cellStyle name="Normal 12 7 2 2 2" xfId="3351"/>
    <cellStyle name="Normal 12 7 2 2 2 2" xfId="3352"/>
    <cellStyle name="Normal 12 7 2 2 3" xfId="3353"/>
    <cellStyle name="Normal 12 7 2 3" xfId="3354"/>
    <cellStyle name="Normal 12 7 2 3 2" xfId="3355"/>
    <cellStyle name="Normal 12 7 2 4" xfId="3356"/>
    <cellStyle name="Normal 12 7 3" xfId="3357"/>
    <cellStyle name="Normal 12 7 3 2" xfId="3358"/>
    <cellStyle name="Normal 12 7 3 2 2" xfId="3359"/>
    <cellStyle name="Normal 12 7 3 2 2 2" xfId="3360"/>
    <cellStyle name="Normal 12 7 3 2 3" xfId="3361"/>
    <cellStyle name="Normal 12 7 3 3" xfId="3362"/>
    <cellStyle name="Normal 12 7 3 3 2" xfId="3363"/>
    <cellStyle name="Normal 12 7 3 4" xfId="3364"/>
    <cellStyle name="Normal 12 7 4" xfId="3365"/>
    <cellStyle name="Normal 12 7 4 2" xfId="3366"/>
    <cellStyle name="Normal 12 7 4 2 2" xfId="3367"/>
    <cellStyle name="Normal 12 7 4 3" xfId="3368"/>
    <cellStyle name="Normal 12 7 5" xfId="3369"/>
    <cellStyle name="Normal 12 7 5 2" xfId="3370"/>
    <cellStyle name="Normal 12 7 6" xfId="3371"/>
    <cellStyle name="Normal 12 8" xfId="3372"/>
    <cellStyle name="Normal 12 8 2" xfId="3373"/>
    <cellStyle name="Normal 12 8 2 2" xfId="3374"/>
    <cellStyle name="Normal 12 8 2 2 2" xfId="3375"/>
    <cellStyle name="Normal 12 8 2 2 2 2" xfId="3376"/>
    <cellStyle name="Normal 12 8 2 2 3" xfId="3377"/>
    <cellStyle name="Normal 12 8 2 3" xfId="3378"/>
    <cellStyle name="Normal 12 8 2 3 2" xfId="3379"/>
    <cellStyle name="Normal 12 8 2 4" xfId="3380"/>
    <cellStyle name="Normal 12 8 3" xfId="3381"/>
    <cellStyle name="Normal 12 8 3 2" xfId="3382"/>
    <cellStyle name="Normal 12 8 3 2 2" xfId="3383"/>
    <cellStyle name="Normal 12 8 3 2 2 2" xfId="3384"/>
    <cellStyle name="Normal 12 8 3 2 3" xfId="3385"/>
    <cellStyle name="Normal 12 8 3 3" xfId="3386"/>
    <cellStyle name="Normal 12 8 3 3 2" xfId="3387"/>
    <cellStyle name="Normal 12 8 3 4" xfId="3388"/>
    <cellStyle name="Normal 12 8 4" xfId="3389"/>
    <cellStyle name="Normal 12 8 4 2" xfId="3390"/>
    <cellStyle name="Normal 12 8 4 2 2" xfId="3391"/>
    <cellStyle name="Normal 12 8 4 3" xfId="3392"/>
    <cellStyle name="Normal 12 8 5" xfId="3393"/>
    <cellStyle name="Normal 12 8 5 2" xfId="3394"/>
    <cellStyle name="Normal 12 8 6" xfId="3395"/>
    <cellStyle name="Normal 12 9" xfId="3396"/>
    <cellStyle name="Normal 12 9 2" xfId="3397"/>
    <cellStyle name="Normal 12 9 2 2" xfId="3398"/>
    <cellStyle name="Normal 12 9 2 2 2" xfId="3399"/>
    <cellStyle name="Normal 12 9 2 3" xfId="3400"/>
    <cellStyle name="Normal 12 9 3" xfId="3401"/>
    <cellStyle name="Normal 12 9 3 2" xfId="3402"/>
    <cellStyle name="Normal 12 9 4" xfId="3403"/>
    <cellStyle name="Normal 120" xfId="3404"/>
    <cellStyle name="Normal 121" xfId="3405"/>
    <cellStyle name="Normal 122" xfId="3406"/>
    <cellStyle name="Normal 123" xfId="3407"/>
    <cellStyle name="Normal 124" xfId="3408"/>
    <cellStyle name="Normal 125" xfId="3409"/>
    <cellStyle name="Normal 126" xfId="3410"/>
    <cellStyle name="Normal 127" xfId="3411"/>
    <cellStyle name="Normal 128" xfId="3412"/>
    <cellStyle name="Normal 129" xfId="3413"/>
    <cellStyle name="Normal 13" xfId="3414"/>
    <cellStyle name="Normal 13 10" xfId="3415"/>
    <cellStyle name="Normal 13 10 2" xfId="3416"/>
    <cellStyle name="Normal 13 10 2 2" xfId="3417"/>
    <cellStyle name="Normal 13 10 2 2 2" xfId="3418"/>
    <cellStyle name="Normal 13 10 2 3" xfId="3419"/>
    <cellStyle name="Normal 13 10 3" xfId="3420"/>
    <cellStyle name="Normal 13 10 3 2" xfId="3421"/>
    <cellStyle name="Normal 13 10 4" xfId="3422"/>
    <cellStyle name="Normal 13 11" xfId="3423"/>
    <cellStyle name="Normal 13 11 2" xfId="3424"/>
    <cellStyle name="Normal 13 11 2 2" xfId="3425"/>
    <cellStyle name="Normal 13 11 3" xfId="3426"/>
    <cellStyle name="Normal 13 12" xfId="3427"/>
    <cellStyle name="Normal 13 12 2" xfId="3428"/>
    <cellStyle name="Normal 13 13" xfId="3429"/>
    <cellStyle name="Normal 13 2" xfId="3430"/>
    <cellStyle name="Normal 13 3" xfId="3431"/>
    <cellStyle name="Normal 13 3 10" xfId="3432"/>
    <cellStyle name="Normal 13 3 2" xfId="3433"/>
    <cellStyle name="Normal 13 3 2 2" xfId="3434"/>
    <cellStyle name="Normal 13 3 2 2 2" xfId="3435"/>
    <cellStyle name="Normal 13 3 2 2 2 2" xfId="3436"/>
    <cellStyle name="Normal 13 3 2 2 2 2 2" xfId="3437"/>
    <cellStyle name="Normal 13 3 2 2 2 2 2 2" xfId="3438"/>
    <cellStyle name="Normal 13 3 2 2 2 2 3" xfId="3439"/>
    <cellStyle name="Normal 13 3 2 2 2 3" xfId="3440"/>
    <cellStyle name="Normal 13 3 2 2 2 3 2" xfId="3441"/>
    <cellStyle name="Normal 13 3 2 2 2 4" xfId="3442"/>
    <cellStyle name="Normal 13 3 2 2 3" xfId="3443"/>
    <cellStyle name="Normal 13 3 2 2 3 2" xfId="3444"/>
    <cellStyle name="Normal 13 3 2 2 3 2 2" xfId="3445"/>
    <cellStyle name="Normal 13 3 2 2 3 2 2 2" xfId="3446"/>
    <cellStyle name="Normal 13 3 2 2 3 2 3" xfId="3447"/>
    <cellStyle name="Normal 13 3 2 2 3 3" xfId="3448"/>
    <cellStyle name="Normal 13 3 2 2 3 3 2" xfId="3449"/>
    <cellStyle name="Normal 13 3 2 2 3 4" xfId="3450"/>
    <cellStyle name="Normal 13 3 2 2 4" xfId="3451"/>
    <cellStyle name="Normal 13 3 2 2 4 2" xfId="3452"/>
    <cellStyle name="Normal 13 3 2 2 4 2 2" xfId="3453"/>
    <cellStyle name="Normal 13 3 2 2 4 3" xfId="3454"/>
    <cellStyle name="Normal 13 3 2 2 5" xfId="3455"/>
    <cellStyle name="Normal 13 3 2 2 5 2" xfId="3456"/>
    <cellStyle name="Normal 13 3 2 2 6" xfId="3457"/>
    <cellStyle name="Normal 13 3 2 3" xfId="3458"/>
    <cellStyle name="Normal 13 3 2 3 2" xfId="3459"/>
    <cellStyle name="Normal 13 3 2 3 2 2" xfId="3460"/>
    <cellStyle name="Normal 13 3 2 3 2 2 2" xfId="3461"/>
    <cellStyle name="Normal 13 3 2 3 2 3" xfId="3462"/>
    <cellStyle name="Normal 13 3 2 3 3" xfId="3463"/>
    <cellStyle name="Normal 13 3 2 3 3 2" xfId="3464"/>
    <cellStyle name="Normal 13 3 2 3 4" xfId="3465"/>
    <cellStyle name="Normal 13 3 2 4" xfId="3466"/>
    <cellStyle name="Normal 13 3 2 4 2" xfId="3467"/>
    <cellStyle name="Normal 13 3 2 4 2 2" xfId="3468"/>
    <cellStyle name="Normal 13 3 2 4 2 2 2" xfId="3469"/>
    <cellStyle name="Normal 13 3 2 4 2 3" xfId="3470"/>
    <cellStyle name="Normal 13 3 2 4 3" xfId="3471"/>
    <cellStyle name="Normal 13 3 2 4 3 2" xfId="3472"/>
    <cellStyle name="Normal 13 3 2 4 4" xfId="3473"/>
    <cellStyle name="Normal 13 3 2 5" xfId="3474"/>
    <cellStyle name="Normal 13 3 2 5 2" xfId="3475"/>
    <cellStyle name="Normal 13 3 2 5 2 2" xfId="3476"/>
    <cellStyle name="Normal 13 3 2 5 3" xfId="3477"/>
    <cellStyle name="Normal 13 3 2 6" xfId="3478"/>
    <cellStyle name="Normal 13 3 2 6 2" xfId="3479"/>
    <cellStyle name="Normal 13 3 2 7" xfId="3480"/>
    <cellStyle name="Normal 13 3 3" xfId="3481"/>
    <cellStyle name="Normal 13 3 3 2" xfId="3482"/>
    <cellStyle name="Normal 13 3 3 2 2" xfId="3483"/>
    <cellStyle name="Normal 13 3 3 2 2 2" xfId="3484"/>
    <cellStyle name="Normal 13 3 3 2 2 2 2" xfId="3485"/>
    <cellStyle name="Normal 13 3 3 2 2 3" xfId="3486"/>
    <cellStyle name="Normal 13 3 3 2 3" xfId="3487"/>
    <cellStyle name="Normal 13 3 3 2 3 2" xfId="3488"/>
    <cellStyle name="Normal 13 3 3 2 4" xfId="3489"/>
    <cellStyle name="Normal 13 3 3 3" xfId="3490"/>
    <cellStyle name="Normal 13 3 3 3 2" xfId="3491"/>
    <cellStyle name="Normal 13 3 3 3 2 2" xfId="3492"/>
    <cellStyle name="Normal 13 3 3 3 2 2 2" xfId="3493"/>
    <cellStyle name="Normal 13 3 3 3 2 3" xfId="3494"/>
    <cellStyle name="Normal 13 3 3 3 3" xfId="3495"/>
    <cellStyle name="Normal 13 3 3 3 3 2" xfId="3496"/>
    <cellStyle name="Normal 13 3 3 3 4" xfId="3497"/>
    <cellStyle name="Normal 13 3 3 4" xfId="3498"/>
    <cellStyle name="Normal 13 3 3 4 2" xfId="3499"/>
    <cellStyle name="Normal 13 3 3 4 2 2" xfId="3500"/>
    <cellStyle name="Normal 13 3 3 4 3" xfId="3501"/>
    <cellStyle name="Normal 13 3 3 5" xfId="3502"/>
    <cellStyle name="Normal 13 3 3 5 2" xfId="3503"/>
    <cellStyle name="Normal 13 3 3 6" xfId="3504"/>
    <cellStyle name="Normal 13 3 4" xfId="3505"/>
    <cellStyle name="Normal 13 3 4 2" xfId="3506"/>
    <cellStyle name="Normal 13 3 4 2 2" xfId="3507"/>
    <cellStyle name="Normal 13 3 4 2 2 2" xfId="3508"/>
    <cellStyle name="Normal 13 3 4 2 2 2 2" xfId="3509"/>
    <cellStyle name="Normal 13 3 4 2 2 3" xfId="3510"/>
    <cellStyle name="Normal 13 3 4 2 3" xfId="3511"/>
    <cellStyle name="Normal 13 3 4 2 3 2" xfId="3512"/>
    <cellStyle name="Normal 13 3 4 2 4" xfId="3513"/>
    <cellStyle name="Normal 13 3 4 3" xfId="3514"/>
    <cellStyle name="Normal 13 3 4 3 2" xfId="3515"/>
    <cellStyle name="Normal 13 3 4 3 2 2" xfId="3516"/>
    <cellStyle name="Normal 13 3 4 3 2 2 2" xfId="3517"/>
    <cellStyle name="Normal 13 3 4 3 2 3" xfId="3518"/>
    <cellStyle name="Normal 13 3 4 3 3" xfId="3519"/>
    <cellStyle name="Normal 13 3 4 3 3 2" xfId="3520"/>
    <cellStyle name="Normal 13 3 4 3 4" xfId="3521"/>
    <cellStyle name="Normal 13 3 4 4" xfId="3522"/>
    <cellStyle name="Normal 13 3 4 4 2" xfId="3523"/>
    <cellStyle name="Normal 13 3 4 4 2 2" xfId="3524"/>
    <cellStyle name="Normal 13 3 4 4 3" xfId="3525"/>
    <cellStyle name="Normal 13 3 4 5" xfId="3526"/>
    <cellStyle name="Normal 13 3 4 5 2" xfId="3527"/>
    <cellStyle name="Normal 13 3 4 6" xfId="3528"/>
    <cellStyle name="Normal 13 3 5" xfId="3529"/>
    <cellStyle name="Normal 13 3 5 2" xfId="3530"/>
    <cellStyle name="Normal 13 3 5 2 2" xfId="3531"/>
    <cellStyle name="Normal 13 3 5 2 2 2" xfId="3532"/>
    <cellStyle name="Normal 13 3 5 2 3" xfId="3533"/>
    <cellStyle name="Normal 13 3 5 3" xfId="3534"/>
    <cellStyle name="Normal 13 3 5 3 2" xfId="3535"/>
    <cellStyle name="Normal 13 3 5 4" xfId="3536"/>
    <cellStyle name="Normal 13 3 6" xfId="3537"/>
    <cellStyle name="Normal 13 3 6 2" xfId="3538"/>
    <cellStyle name="Normal 13 3 6 2 2" xfId="3539"/>
    <cellStyle name="Normal 13 3 6 2 2 2" xfId="3540"/>
    <cellStyle name="Normal 13 3 6 2 3" xfId="3541"/>
    <cellStyle name="Normal 13 3 6 3" xfId="3542"/>
    <cellStyle name="Normal 13 3 6 3 2" xfId="3543"/>
    <cellStyle name="Normal 13 3 6 4" xfId="3544"/>
    <cellStyle name="Normal 13 3 7" xfId="3545"/>
    <cellStyle name="Normal 13 3 7 2" xfId="3546"/>
    <cellStyle name="Normal 13 3 7 2 2" xfId="3547"/>
    <cellStyle name="Normal 13 3 7 2 2 2" xfId="3548"/>
    <cellStyle name="Normal 13 3 7 2 3" xfId="3549"/>
    <cellStyle name="Normal 13 3 7 3" xfId="3550"/>
    <cellStyle name="Normal 13 3 7 3 2" xfId="3551"/>
    <cellStyle name="Normal 13 3 7 4" xfId="3552"/>
    <cellStyle name="Normal 13 3 8" xfId="3553"/>
    <cellStyle name="Normal 13 3 8 2" xfId="3554"/>
    <cellStyle name="Normal 13 3 8 2 2" xfId="3555"/>
    <cellStyle name="Normal 13 3 8 3" xfId="3556"/>
    <cellStyle name="Normal 13 3 9" xfId="3557"/>
    <cellStyle name="Normal 13 3 9 2" xfId="3558"/>
    <cellStyle name="Normal 13 4" xfId="3559"/>
    <cellStyle name="Normal 13 4 2" xfId="3560"/>
    <cellStyle name="Normal 13 4 2 2" xfId="3561"/>
    <cellStyle name="Normal 13 4 2 2 2" xfId="3562"/>
    <cellStyle name="Normal 13 4 2 2 2 2" xfId="3563"/>
    <cellStyle name="Normal 13 4 2 2 2 2 2" xfId="3564"/>
    <cellStyle name="Normal 13 4 2 2 2 2 2 2" xfId="3565"/>
    <cellStyle name="Normal 13 4 2 2 2 2 3" xfId="3566"/>
    <cellStyle name="Normal 13 4 2 2 2 3" xfId="3567"/>
    <cellStyle name="Normal 13 4 2 2 2 3 2" xfId="3568"/>
    <cellStyle name="Normal 13 4 2 2 2 4" xfId="3569"/>
    <cellStyle name="Normal 13 4 2 2 3" xfId="3570"/>
    <cellStyle name="Normal 13 4 2 2 3 2" xfId="3571"/>
    <cellStyle name="Normal 13 4 2 2 3 2 2" xfId="3572"/>
    <cellStyle name="Normal 13 4 2 2 3 2 2 2" xfId="3573"/>
    <cellStyle name="Normal 13 4 2 2 3 2 3" xfId="3574"/>
    <cellStyle name="Normal 13 4 2 2 3 3" xfId="3575"/>
    <cellStyle name="Normal 13 4 2 2 3 3 2" xfId="3576"/>
    <cellStyle name="Normal 13 4 2 2 3 4" xfId="3577"/>
    <cellStyle name="Normal 13 4 2 2 4" xfId="3578"/>
    <cellStyle name="Normal 13 4 2 2 4 2" xfId="3579"/>
    <cellStyle name="Normal 13 4 2 2 4 2 2" xfId="3580"/>
    <cellStyle name="Normal 13 4 2 2 4 3" xfId="3581"/>
    <cellStyle name="Normal 13 4 2 2 5" xfId="3582"/>
    <cellStyle name="Normal 13 4 2 2 5 2" xfId="3583"/>
    <cellStyle name="Normal 13 4 2 2 6" xfId="3584"/>
    <cellStyle name="Normal 13 4 2 3" xfId="3585"/>
    <cellStyle name="Normal 13 4 2 3 2" xfId="3586"/>
    <cellStyle name="Normal 13 4 2 3 2 2" xfId="3587"/>
    <cellStyle name="Normal 13 4 2 3 2 2 2" xfId="3588"/>
    <cellStyle name="Normal 13 4 2 3 2 3" xfId="3589"/>
    <cellStyle name="Normal 13 4 2 3 3" xfId="3590"/>
    <cellStyle name="Normal 13 4 2 3 3 2" xfId="3591"/>
    <cellStyle name="Normal 13 4 2 3 4" xfId="3592"/>
    <cellStyle name="Normal 13 4 2 4" xfId="3593"/>
    <cellStyle name="Normal 13 4 2 4 2" xfId="3594"/>
    <cellStyle name="Normal 13 4 2 4 2 2" xfId="3595"/>
    <cellStyle name="Normal 13 4 2 4 2 2 2" xfId="3596"/>
    <cellStyle name="Normal 13 4 2 4 2 3" xfId="3597"/>
    <cellStyle name="Normal 13 4 2 4 3" xfId="3598"/>
    <cellStyle name="Normal 13 4 2 4 3 2" xfId="3599"/>
    <cellStyle name="Normal 13 4 2 4 4" xfId="3600"/>
    <cellStyle name="Normal 13 4 2 5" xfId="3601"/>
    <cellStyle name="Normal 13 4 2 5 2" xfId="3602"/>
    <cellStyle name="Normal 13 4 2 5 2 2" xfId="3603"/>
    <cellStyle name="Normal 13 4 2 5 3" xfId="3604"/>
    <cellStyle name="Normal 13 4 2 6" xfId="3605"/>
    <cellStyle name="Normal 13 4 2 6 2" xfId="3606"/>
    <cellStyle name="Normal 13 4 2 7" xfId="3607"/>
    <cellStyle name="Normal 13 4 3" xfId="3608"/>
    <cellStyle name="Normal 13 4 3 2" xfId="3609"/>
    <cellStyle name="Normal 13 4 3 2 2" xfId="3610"/>
    <cellStyle name="Normal 13 4 3 2 2 2" xfId="3611"/>
    <cellStyle name="Normal 13 4 3 2 2 2 2" xfId="3612"/>
    <cellStyle name="Normal 13 4 3 2 2 3" xfId="3613"/>
    <cellStyle name="Normal 13 4 3 2 3" xfId="3614"/>
    <cellStyle name="Normal 13 4 3 2 3 2" xfId="3615"/>
    <cellStyle name="Normal 13 4 3 2 4" xfId="3616"/>
    <cellStyle name="Normal 13 4 3 3" xfId="3617"/>
    <cellStyle name="Normal 13 4 3 3 2" xfId="3618"/>
    <cellStyle name="Normal 13 4 3 3 2 2" xfId="3619"/>
    <cellStyle name="Normal 13 4 3 3 2 2 2" xfId="3620"/>
    <cellStyle name="Normal 13 4 3 3 2 3" xfId="3621"/>
    <cellStyle name="Normal 13 4 3 3 3" xfId="3622"/>
    <cellStyle name="Normal 13 4 3 3 3 2" xfId="3623"/>
    <cellStyle name="Normal 13 4 3 3 4" xfId="3624"/>
    <cellStyle name="Normal 13 4 3 4" xfId="3625"/>
    <cellStyle name="Normal 13 4 3 4 2" xfId="3626"/>
    <cellStyle name="Normal 13 4 3 4 2 2" xfId="3627"/>
    <cellStyle name="Normal 13 4 3 4 3" xfId="3628"/>
    <cellStyle name="Normal 13 4 3 5" xfId="3629"/>
    <cellStyle name="Normal 13 4 3 5 2" xfId="3630"/>
    <cellStyle name="Normal 13 4 3 6" xfId="3631"/>
    <cellStyle name="Normal 13 4 4" xfId="3632"/>
    <cellStyle name="Normal 13 4 4 2" xfId="3633"/>
    <cellStyle name="Normal 13 4 4 2 2" xfId="3634"/>
    <cellStyle name="Normal 13 4 4 2 2 2" xfId="3635"/>
    <cellStyle name="Normal 13 4 4 2 2 2 2" xfId="3636"/>
    <cellStyle name="Normal 13 4 4 2 2 3" xfId="3637"/>
    <cellStyle name="Normal 13 4 4 2 3" xfId="3638"/>
    <cellStyle name="Normal 13 4 4 2 3 2" xfId="3639"/>
    <cellStyle name="Normal 13 4 4 2 4" xfId="3640"/>
    <cellStyle name="Normal 13 4 4 3" xfId="3641"/>
    <cellStyle name="Normal 13 4 4 3 2" xfId="3642"/>
    <cellStyle name="Normal 13 4 4 3 2 2" xfId="3643"/>
    <cellStyle name="Normal 13 4 4 3 2 2 2" xfId="3644"/>
    <cellStyle name="Normal 13 4 4 3 2 3" xfId="3645"/>
    <cellStyle name="Normal 13 4 4 3 3" xfId="3646"/>
    <cellStyle name="Normal 13 4 4 3 3 2" xfId="3647"/>
    <cellStyle name="Normal 13 4 4 3 4" xfId="3648"/>
    <cellStyle name="Normal 13 4 4 4" xfId="3649"/>
    <cellStyle name="Normal 13 4 4 4 2" xfId="3650"/>
    <cellStyle name="Normal 13 4 4 4 2 2" xfId="3651"/>
    <cellStyle name="Normal 13 4 4 4 3" xfId="3652"/>
    <cellStyle name="Normal 13 4 4 5" xfId="3653"/>
    <cellStyle name="Normal 13 4 4 5 2" xfId="3654"/>
    <cellStyle name="Normal 13 4 4 6" xfId="3655"/>
    <cellStyle name="Normal 13 4 5" xfId="3656"/>
    <cellStyle name="Normal 13 4 5 2" xfId="3657"/>
    <cellStyle name="Normal 13 4 5 2 2" xfId="3658"/>
    <cellStyle name="Normal 13 4 5 2 2 2" xfId="3659"/>
    <cellStyle name="Normal 13 4 5 2 3" xfId="3660"/>
    <cellStyle name="Normal 13 4 5 3" xfId="3661"/>
    <cellStyle name="Normal 13 4 5 3 2" xfId="3662"/>
    <cellStyle name="Normal 13 4 5 4" xfId="3663"/>
    <cellStyle name="Normal 13 4 6" xfId="3664"/>
    <cellStyle name="Normal 13 4 6 2" xfId="3665"/>
    <cellStyle name="Normal 13 4 6 2 2" xfId="3666"/>
    <cellStyle name="Normal 13 4 6 2 2 2" xfId="3667"/>
    <cellStyle name="Normal 13 4 6 2 3" xfId="3668"/>
    <cellStyle name="Normal 13 4 6 3" xfId="3669"/>
    <cellStyle name="Normal 13 4 6 3 2" xfId="3670"/>
    <cellStyle name="Normal 13 4 6 4" xfId="3671"/>
    <cellStyle name="Normal 13 4 7" xfId="3672"/>
    <cellStyle name="Normal 13 4 7 2" xfId="3673"/>
    <cellStyle name="Normal 13 4 7 2 2" xfId="3674"/>
    <cellStyle name="Normal 13 4 7 3" xfId="3675"/>
    <cellStyle name="Normal 13 4 8" xfId="3676"/>
    <cellStyle name="Normal 13 4 8 2" xfId="3677"/>
    <cellStyle name="Normal 13 4 9" xfId="3678"/>
    <cellStyle name="Normal 13 5" xfId="3679"/>
    <cellStyle name="Normal 13 5 2" xfId="3680"/>
    <cellStyle name="Normal 13 5 2 2" xfId="3681"/>
    <cellStyle name="Normal 13 5 2 2 2" xfId="3682"/>
    <cellStyle name="Normal 13 5 2 2 2 2" xfId="3683"/>
    <cellStyle name="Normal 13 5 2 2 2 2 2" xfId="3684"/>
    <cellStyle name="Normal 13 5 2 2 2 3" xfId="3685"/>
    <cellStyle name="Normal 13 5 2 2 3" xfId="3686"/>
    <cellStyle name="Normal 13 5 2 2 3 2" xfId="3687"/>
    <cellStyle name="Normal 13 5 2 2 4" xfId="3688"/>
    <cellStyle name="Normal 13 5 2 3" xfId="3689"/>
    <cellStyle name="Normal 13 5 2 3 2" xfId="3690"/>
    <cellStyle name="Normal 13 5 2 3 2 2" xfId="3691"/>
    <cellStyle name="Normal 13 5 2 3 2 2 2" xfId="3692"/>
    <cellStyle name="Normal 13 5 2 3 2 3" xfId="3693"/>
    <cellStyle name="Normal 13 5 2 3 3" xfId="3694"/>
    <cellStyle name="Normal 13 5 2 3 3 2" xfId="3695"/>
    <cellStyle name="Normal 13 5 2 3 4" xfId="3696"/>
    <cellStyle name="Normal 13 5 2 4" xfId="3697"/>
    <cellStyle name="Normal 13 5 2 4 2" xfId="3698"/>
    <cellStyle name="Normal 13 5 2 4 2 2" xfId="3699"/>
    <cellStyle name="Normal 13 5 2 4 3" xfId="3700"/>
    <cellStyle name="Normal 13 5 2 5" xfId="3701"/>
    <cellStyle name="Normal 13 5 2 5 2" xfId="3702"/>
    <cellStyle name="Normal 13 5 2 6" xfId="3703"/>
    <cellStyle name="Normal 13 5 3" xfId="3704"/>
    <cellStyle name="Normal 13 5 3 2" xfId="3705"/>
    <cellStyle name="Normal 13 5 3 2 2" xfId="3706"/>
    <cellStyle name="Normal 13 5 3 2 2 2" xfId="3707"/>
    <cellStyle name="Normal 13 5 3 2 3" xfId="3708"/>
    <cellStyle name="Normal 13 5 3 3" xfId="3709"/>
    <cellStyle name="Normal 13 5 3 3 2" xfId="3710"/>
    <cellStyle name="Normal 13 5 3 4" xfId="3711"/>
    <cellStyle name="Normal 13 5 4" xfId="3712"/>
    <cellStyle name="Normal 13 5 4 2" xfId="3713"/>
    <cellStyle name="Normal 13 5 4 2 2" xfId="3714"/>
    <cellStyle name="Normal 13 5 4 2 2 2" xfId="3715"/>
    <cellStyle name="Normal 13 5 4 2 3" xfId="3716"/>
    <cellStyle name="Normal 13 5 4 3" xfId="3717"/>
    <cellStyle name="Normal 13 5 4 3 2" xfId="3718"/>
    <cellStyle name="Normal 13 5 4 4" xfId="3719"/>
    <cellStyle name="Normal 13 5 5" xfId="3720"/>
    <cellStyle name="Normal 13 5 5 2" xfId="3721"/>
    <cellStyle name="Normal 13 5 5 2 2" xfId="3722"/>
    <cellStyle name="Normal 13 5 5 3" xfId="3723"/>
    <cellStyle name="Normal 13 5 6" xfId="3724"/>
    <cellStyle name="Normal 13 5 6 2" xfId="3725"/>
    <cellStyle name="Normal 13 5 7" xfId="3726"/>
    <cellStyle name="Normal 13 6" xfId="3727"/>
    <cellStyle name="Normal 13 6 2" xfId="3728"/>
    <cellStyle name="Normal 13 6 2 2" xfId="3729"/>
    <cellStyle name="Normal 13 6 2 2 2" xfId="3730"/>
    <cellStyle name="Normal 13 6 2 2 2 2" xfId="3731"/>
    <cellStyle name="Normal 13 6 2 2 3" xfId="3732"/>
    <cellStyle name="Normal 13 6 2 3" xfId="3733"/>
    <cellStyle name="Normal 13 6 2 3 2" xfId="3734"/>
    <cellStyle name="Normal 13 6 2 4" xfId="3735"/>
    <cellStyle name="Normal 13 6 3" xfId="3736"/>
    <cellStyle name="Normal 13 6 3 2" xfId="3737"/>
    <cellStyle name="Normal 13 6 3 2 2" xfId="3738"/>
    <cellStyle name="Normal 13 6 3 2 2 2" xfId="3739"/>
    <cellStyle name="Normal 13 6 3 2 3" xfId="3740"/>
    <cellStyle name="Normal 13 6 3 3" xfId="3741"/>
    <cellStyle name="Normal 13 6 3 3 2" xfId="3742"/>
    <cellStyle name="Normal 13 6 3 4" xfId="3743"/>
    <cellStyle name="Normal 13 6 4" xfId="3744"/>
    <cellStyle name="Normal 13 6 4 2" xfId="3745"/>
    <cellStyle name="Normal 13 6 4 2 2" xfId="3746"/>
    <cellStyle name="Normal 13 6 4 3" xfId="3747"/>
    <cellStyle name="Normal 13 6 5" xfId="3748"/>
    <cellStyle name="Normal 13 6 5 2" xfId="3749"/>
    <cellStyle name="Normal 13 6 6" xfId="3750"/>
    <cellStyle name="Normal 13 7" xfId="3751"/>
    <cellStyle name="Normal 13 7 2" xfId="3752"/>
    <cellStyle name="Normal 13 7 2 2" xfId="3753"/>
    <cellStyle name="Normal 13 7 2 2 2" xfId="3754"/>
    <cellStyle name="Normal 13 7 2 2 2 2" xfId="3755"/>
    <cellStyle name="Normal 13 7 2 2 3" xfId="3756"/>
    <cellStyle name="Normal 13 7 2 3" xfId="3757"/>
    <cellStyle name="Normal 13 7 2 3 2" xfId="3758"/>
    <cellStyle name="Normal 13 7 2 4" xfId="3759"/>
    <cellStyle name="Normal 13 7 3" xfId="3760"/>
    <cellStyle name="Normal 13 7 3 2" xfId="3761"/>
    <cellStyle name="Normal 13 7 3 2 2" xfId="3762"/>
    <cellStyle name="Normal 13 7 3 2 2 2" xfId="3763"/>
    <cellStyle name="Normal 13 7 3 2 3" xfId="3764"/>
    <cellStyle name="Normal 13 7 3 3" xfId="3765"/>
    <cellStyle name="Normal 13 7 3 3 2" xfId="3766"/>
    <cellStyle name="Normal 13 7 3 4" xfId="3767"/>
    <cellStyle name="Normal 13 7 4" xfId="3768"/>
    <cellStyle name="Normal 13 7 4 2" xfId="3769"/>
    <cellStyle name="Normal 13 7 4 2 2" xfId="3770"/>
    <cellStyle name="Normal 13 7 4 3" xfId="3771"/>
    <cellStyle name="Normal 13 7 5" xfId="3772"/>
    <cellStyle name="Normal 13 7 5 2" xfId="3773"/>
    <cellStyle name="Normal 13 7 6" xfId="3774"/>
    <cellStyle name="Normal 13 8" xfId="3775"/>
    <cellStyle name="Normal 13 8 2" xfId="3776"/>
    <cellStyle name="Normal 13 8 2 2" xfId="3777"/>
    <cellStyle name="Normal 13 8 2 2 2" xfId="3778"/>
    <cellStyle name="Normal 13 8 2 3" xfId="3779"/>
    <cellStyle name="Normal 13 8 3" xfId="3780"/>
    <cellStyle name="Normal 13 8 3 2" xfId="3781"/>
    <cellStyle name="Normal 13 8 4" xfId="3782"/>
    <cellStyle name="Normal 13 9" xfId="3783"/>
    <cellStyle name="Normal 13 9 2" xfId="3784"/>
    <cellStyle name="Normal 13 9 2 2" xfId="3785"/>
    <cellStyle name="Normal 13 9 2 2 2" xfId="3786"/>
    <cellStyle name="Normal 13 9 2 3" xfId="3787"/>
    <cellStyle name="Normal 13 9 3" xfId="3788"/>
    <cellStyle name="Normal 13 9 3 2" xfId="3789"/>
    <cellStyle name="Normal 13 9 4" xfId="3790"/>
    <cellStyle name="Normal 130" xfId="3791"/>
    <cellStyle name="Normal 131" xfId="3792"/>
    <cellStyle name="Normal 132" xfId="3793"/>
    <cellStyle name="Normal 133" xfId="3794"/>
    <cellStyle name="Normal 134" xfId="3795"/>
    <cellStyle name="Normal 135" xfId="3796"/>
    <cellStyle name="Normal 136" xfId="3797"/>
    <cellStyle name="Normal 137" xfId="3798"/>
    <cellStyle name="Normal 138" xfId="3799"/>
    <cellStyle name="Normal 139" xfId="3800"/>
    <cellStyle name="Normal 14" xfId="3801"/>
    <cellStyle name="Normal 14 10" xfId="3802"/>
    <cellStyle name="Normal 14 10 2" xfId="3803"/>
    <cellStyle name="Normal 14 10 2 2" xfId="3804"/>
    <cellStyle name="Normal 14 10 2 2 2" xfId="3805"/>
    <cellStyle name="Normal 14 10 2 3" xfId="3806"/>
    <cellStyle name="Normal 14 10 3" xfId="3807"/>
    <cellStyle name="Normal 14 10 3 2" xfId="3808"/>
    <cellStyle name="Normal 14 10 4" xfId="3809"/>
    <cellStyle name="Normal 14 11" xfId="3810"/>
    <cellStyle name="Normal 14 11 2" xfId="3811"/>
    <cellStyle name="Normal 14 11 2 2" xfId="3812"/>
    <cellStyle name="Normal 14 11 3" xfId="3813"/>
    <cellStyle name="Normal 14 12" xfId="3814"/>
    <cellStyle name="Normal 14 12 2" xfId="3815"/>
    <cellStyle name="Normal 14 13" xfId="3816"/>
    <cellStyle name="Normal 14 2" xfId="3817"/>
    <cellStyle name="Normal 14 3" xfId="3818"/>
    <cellStyle name="Normal 14 3 10" xfId="3819"/>
    <cellStyle name="Normal 14 3 2" xfId="3820"/>
    <cellStyle name="Normal 14 3 2 2" xfId="3821"/>
    <cellStyle name="Normal 14 3 2 2 2" xfId="3822"/>
    <cellStyle name="Normal 14 3 2 2 2 2" xfId="3823"/>
    <cellStyle name="Normal 14 3 2 2 2 2 2" xfId="3824"/>
    <cellStyle name="Normal 14 3 2 2 2 2 2 2" xfId="3825"/>
    <cellStyle name="Normal 14 3 2 2 2 2 3" xfId="3826"/>
    <cellStyle name="Normal 14 3 2 2 2 3" xfId="3827"/>
    <cellStyle name="Normal 14 3 2 2 2 3 2" xfId="3828"/>
    <cellStyle name="Normal 14 3 2 2 2 4" xfId="3829"/>
    <cellStyle name="Normal 14 3 2 2 3" xfId="3830"/>
    <cellStyle name="Normal 14 3 2 2 3 2" xfId="3831"/>
    <cellStyle name="Normal 14 3 2 2 3 2 2" xfId="3832"/>
    <cellStyle name="Normal 14 3 2 2 3 2 2 2" xfId="3833"/>
    <cellStyle name="Normal 14 3 2 2 3 2 3" xfId="3834"/>
    <cellStyle name="Normal 14 3 2 2 3 3" xfId="3835"/>
    <cellStyle name="Normal 14 3 2 2 3 3 2" xfId="3836"/>
    <cellStyle name="Normal 14 3 2 2 3 4" xfId="3837"/>
    <cellStyle name="Normal 14 3 2 2 4" xfId="3838"/>
    <cellStyle name="Normal 14 3 2 2 4 2" xfId="3839"/>
    <cellStyle name="Normal 14 3 2 2 4 2 2" xfId="3840"/>
    <cellStyle name="Normal 14 3 2 2 4 3" xfId="3841"/>
    <cellStyle name="Normal 14 3 2 2 5" xfId="3842"/>
    <cellStyle name="Normal 14 3 2 2 5 2" xfId="3843"/>
    <cellStyle name="Normal 14 3 2 2 6" xfId="3844"/>
    <cellStyle name="Normal 14 3 2 3" xfId="3845"/>
    <cellStyle name="Normal 14 3 2 3 2" xfId="3846"/>
    <cellStyle name="Normal 14 3 2 3 2 2" xfId="3847"/>
    <cellStyle name="Normal 14 3 2 3 2 2 2" xfId="3848"/>
    <cellStyle name="Normal 14 3 2 3 2 3" xfId="3849"/>
    <cellStyle name="Normal 14 3 2 3 3" xfId="3850"/>
    <cellStyle name="Normal 14 3 2 3 3 2" xfId="3851"/>
    <cellStyle name="Normal 14 3 2 3 4" xfId="3852"/>
    <cellStyle name="Normal 14 3 2 4" xfId="3853"/>
    <cellStyle name="Normal 14 3 2 4 2" xfId="3854"/>
    <cellStyle name="Normal 14 3 2 4 2 2" xfId="3855"/>
    <cellStyle name="Normal 14 3 2 4 2 2 2" xfId="3856"/>
    <cellStyle name="Normal 14 3 2 4 2 3" xfId="3857"/>
    <cellStyle name="Normal 14 3 2 4 3" xfId="3858"/>
    <cellStyle name="Normal 14 3 2 4 3 2" xfId="3859"/>
    <cellStyle name="Normal 14 3 2 4 4" xfId="3860"/>
    <cellStyle name="Normal 14 3 2 5" xfId="3861"/>
    <cellStyle name="Normal 14 3 2 5 2" xfId="3862"/>
    <cellStyle name="Normal 14 3 2 5 2 2" xfId="3863"/>
    <cellStyle name="Normal 14 3 2 5 3" xfId="3864"/>
    <cellStyle name="Normal 14 3 2 6" xfId="3865"/>
    <cellStyle name="Normal 14 3 2 6 2" xfId="3866"/>
    <cellStyle name="Normal 14 3 2 7" xfId="3867"/>
    <cellStyle name="Normal 14 3 3" xfId="3868"/>
    <cellStyle name="Normal 14 3 3 2" xfId="3869"/>
    <cellStyle name="Normal 14 3 3 2 2" xfId="3870"/>
    <cellStyle name="Normal 14 3 3 2 2 2" xfId="3871"/>
    <cellStyle name="Normal 14 3 3 2 2 2 2" xfId="3872"/>
    <cellStyle name="Normal 14 3 3 2 2 3" xfId="3873"/>
    <cellStyle name="Normal 14 3 3 2 3" xfId="3874"/>
    <cellStyle name="Normal 14 3 3 2 3 2" xfId="3875"/>
    <cellStyle name="Normal 14 3 3 2 4" xfId="3876"/>
    <cellStyle name="Normal 14 3 3 3" xfId="3877"/>
    <cellStyle name="Normal 14 3 3 3 2" xfId="3878"/>
    <cellStyle name="Normal 14 3 3 3 2 2" xfId="3879"/>
    <cellStyle name="Normal 14 3 3 3 2 2 2" xfId="3880"/>
    <cellStyle name="Normal 14 3 3 3 2 3" xfId="3881"/>
    <cellStyle name="Normal 14 3 3 3 3" xfId="3882"/>
    <cellStyle name="Normal 14 3 3 3 3 2" xfId="3883"/>
    <cellStyle name="Normal 14 3 3 3 4" xfId="3884"/>
    <cellStyle name="Normal 14 3 3 4" xfId="3885"/>
    <cellStyle name="Normal 14 3 3 4 2" xfId="3886"/>
    <cellStyle name="Normal 14 3 3 4 2 2" xfId="3887"/>
    <cellStyle name="Normal 14 3 3 4 3" xfId="3888"/>
    <cellStyle name="Normal 14 3 3 5" xfId="3889"/>
    <cellStyle name="Normal 14 3 3 5 2" xfId="3890"/>
    <cellStyle name="Normal 14 3 3 6" xfId="3891"/>
    <cellStyle name="Normal 14 3 4" xfId="3892"/>
    <cellStyle name="Normal 14 3 4 2" xfId="3893"/>
    <cellStyle name="Normal 14 3 4 2 2" xfId="3894"/>
    <cellStyle name="Normal 14 3 4 2 2 2" xfId="3895"/>
    <cellStyle name="Normal 14 3 4 2 2 2 2" xfId="3896"/>
    <cellStyle name="Normal 14 3 4 2 2 3" xfId="3897"/>
    <cellStyle name="Normal 14 3 4 2 3" xfId="3898"/>
    <cellStyle name="Normal 14 3 4 2 3 2" xfId="3899"/>
    <cellStyle name="Normal 14 3 4 2 4" xfId="3900"/>
    <cellStyle name="Normal 14 3 4 3" xfId="3901"/>
    <cellStyle name="Normal 14 3 4 3 2" xfId="3902"/>
    <cellStyle name="Normal 14 3 4 3 2 2" xfId="3903"/>
    <cellStyle name="Normal 14 3 4 3 2 2 2" xfId="3904"/>
    <cellStyle name="Normal 14 3 4 3 2 3" xfId="3905"/>
    <cellStyle name="Normal 14 3 4 3 3" xfId="3906"/>
    <cellStyle name="Normal 14 3 4 3 3 2" xfId="3907"/>
    <cellStyle name="Normal 14 3 4 3 4" xfId="3908"/>
    <cellStyle name="Normal 14 3 4 4" xfId="3909"/>
    <cellStyle name="Normal 14 3 4 4 2" xfId="3910"/>
    <cellStyle name="Normal 14 3 4 4 2 2" xfId="3911"/>
    <cellStyle name="Normal 14 3 4 4 3" xfId="3912"/>
    <cellStyle name="Normal 14 3 4 5" xfId="3913"/>
    <cellStyle name="Normal 14 3 4 5 2" xfId="3914"/>
    <cellStyle name="Normal 14 3 4 6" xfId="3915"/>
    <cellStyle name="Normal 14 3 5" xfId="3916"/>
    <cellStyle name="Normal 14 3 5 2" xfId="3917"/>
    <cellStyle name="Normal 14 3 5 2 2" xfId="3918"/>
    <cellStyle name="Normal 14 3 5 2 2 2" xfId="3919"/>
    <cellStyle name="Normal 14 3 5 2 3" xfId="3920"/>
    <cellStyle name="Normal 14 3 5 3" xfId="3921"/>
    <cellStyle name="Normal 14 3 5 3 2" xfId="3922"/>
    <cellStyle name="Normal 14 3 5 4" xfId="3923"/>
    <cellStyle name="Normal 14 3 6" xfId="3924"/>
    <cellStyle name="Normal 14 3 6 2" xfId="3925"/>
    <cellStyle name="Normal 14 3 6 2 2" xfId="3926"/>
    <cellStyle name="Normal 14 3 6 2 2 2" xfId="3927"/>
    <cellStyle name="Normal 14 3 6 2 3" xfId="3928"/>
    <cellStyle name="Normal 14 3 6 3" xfId="3929"/>
    <cellStyle name="Normal 14 3 6 3 2" xfId="3930"/>
    <cellStyle name="Normal 14 3 6 4" xfId="3931"/>
    <cellStyle name="Normal 14 3 7" xfId="3932"/>
    <cellStyle name="Normal 14 3 7 2" xfId="3933"/>
    <cellStyle name="Normal 14 3 7 2 2" xfId="3934"/>
    <cellStyle name="Normal 14 3 7 2 2 2" xfId="3935"/>
    <cellStyle name="Normal 14 3 7 2 3" xfId="3936"/>
    <cellStyle name="Normal 14 3 7 3" xfId="3937"/>
    <cellStyle name="Normal 14 3 7 3 2" xfId="3938"/>
    <cellStyle name="Normal 14 3 7 4" xfId="3939"/>
    <cellStyle name="Normal 14 3 8" xfId="3940"/>
    <cellStyle name="Normal 14 3 8 2" xfId="3941"/>
    <cellStyle name="Normal 14 3 8 2 2" xfId="3942"/>
    <cellStyle name="Normal 14 3 8 3" xfId="3943"/>
    <cellStyle name="Normal 14 3 9" xfId="3944"/>
    <cellStyle name="Normal 14 3 9 2" xfId="3945"/>
    <cellStyle name="Normal 14 4" xfId="3946"/>
    <cellStyle name="Normal 14 4 2" xfId="3947"/>
    <cellStyle name="Normal 14 4 2 2" xfId="3948"/>
    <cellStyle name="Normal 14 4 2 2 2" xfId="3949"/>
    <cellStyle name="Normal 14 4 2 2 2 2" xfId="3950"/>
    <cellStyle name="Normal 14 4 2 2 2 2 2" xfId="3951"/>
    <cellStyle name="Normal 14 4 2 2 2 2 2 2" xfId="3952"/>
    <cellStyle name="Normal 14 4 2 2 2 2 3" xfId="3953"/>
    <cellStyle name="Normal 14 4 2 2 2 3" xfId="3954"/>
    <cellStyle name="Normal 14 4 2 2 2 3 2" xfId="3955"/>
    <cellStyle name="Normal 14 4 2 2 2 4" xfId="3956"/>
    <cellStyle name="Normal 14 4 2 2 3" xfId="3957"/>
    <cellStyle name="Normal 14 4 2 2 3 2" xfId="3958"/>
    <cellStyle name="Normal 14 4 2 2 3 2 2" xfId="3959"/>
    <cellStyle name="Normal 14 4 2 2 3 2 2 2" xfId="3960"/>
    <cellStyle name="Normal 14 4 2 2 3 2 3" xfId="3961"/>
    <cellStyle name="Normal 14 4 2 2 3 3" xfId="3962"/>
    <cellStyle name="Normal 14 4 2 2 3 3 2" xfId="3963"/>
    <cellStyle name="Normal 14 4 2 2 3 4" xfId="3964"/>
    <cellStyle name="Normal 14 4 2 2 4" xfId="3965"/>
    <cellStyle name="Normal 14 4 2 2 4 2" xfId="3966"/>
    <cellStyle name="Normal 14 4 2 2 4 2 2" xfId="3967"/>
    <cellStyle name="Normal 14 4 2 2 4 3" xfId="3968"/>
    <cellStyle name="Normal 14 4 2 2 5" xfId="3969"/>
    <cellStyle name="Normal 14 4 2 2 5 2" xfId="3970"/>
    <cellStyle name="Normal 14 4 2 2 6" xfId="3971"/>
    <cellStyle name="Normal 14 4 2 3" xfId="3972"/>
    <cellStyle name="Normal 14 4 2 3 2" xfId="3973"/>
    <cellStyle name="Normal 14 4 2 3 2 2" xfId="3974"/>
    <cellStyle name="Normal 14 4 2 3 2 2 2" xfId="3975"/>
    <cellStyle name="Normal 14 4 2 3 2 3" xfId="3976"/>
    <cellStyle name="Normal 14 4 2 3 3" xfId="3977"/>
    <cellStyle name="Normal 14 4 2 3 3 2" xfId="3978"/>
    <cellStyle name="Normal 14 4 2 3 4" xfId="3979"/>
    <cellStyle name="Normal 14 4 2 4" xfId="3980"/>
    <cellStyle name="Normal 14 4 2 4 2" xfId="3981"/>
    <cellStyle name="Normal 14 4 2 4 2 2" xfId="3982"/>
    <cellStyle name="Normal 14 4 2 4 2 2 2" xfId="3983"/>
    <cellStyle name="Normal 14 4 2 4 2 3" xfId="3984"/>
    <cellStyle name="Normal 14 4 2 4 3" xfId="3985"/>
    <cellStyle name="Normal 14 4 2 4 3 2" xfId="3986"/>
    <cellStyle name="Normal 14 4 2 4 4" xfId="3987"/>
    <cellStyle name="Normal 14 4 2 5" xfId="3988"/>
    <cellStyle name="Normal 14 4 2 5 2" xfId="3989"/>
    <cellStyle name="Normal 14 4 2 5 2 2" xfId="3990"/>
    <cellStyle name="Normal 14 4 2 5 3" xfId="3991"/>
    <cellStyle name="Normal 14 4 2 6" xfId="3992"/>
    <cellStyle name="Normal 14 4 2 6 2" xfId="3993"/>
    <cellStyle name="Normal 14 4 2 7" xfId="3994"/>
    <cellStyle name="Normal 14 4 3" xfId="3995"/>
    <cellStyle name="Normal 14 4 3 2" xfId="3996"/>
    <cellStyle name="Normal 14 4 3 2 2" xfId="3997"/>
    <cellStyle name="Normal 14 4 3 2 2 2" xfId="3998"/>
    <cellStyle name="Normal 14 4 3 2 2 2 2" xfId="3999"/>
    <cellStyle name="Normal 14 4 3 2 2 3" xfId="4000"/>
    <cellStyle name="Normal 14 4 3 2 3" xfId="4001"/>
    <cellStyle name="Normal 14 4 3 2 3 2" xfId="4002"/>
    <cellStyle name="Normal 14 4 3 2 4" xfId="4003"/>
    <cellStyle name="Normal 14 4 3 3" xfId="4004"/>
    <cellStyle name="Normal 14 4 3 3 2" xfId="4005"/>
    <cellStyle name="Normal 14 4 3 3 2 2" xfId="4006"/>
    <cellStyle name="Normal 14 4 3 3 2 2 2" xfId="4007"/>
    <cellStyle name="Normal 14 4 3 3 2 3" xfId="4008"/>
    <cellStyle name="Normal 14 4 3 3 3" xfId="4009"/>
    <cellStyle name="Normal 14 4 3 3 3 2" xfId="4010"/>
    <cellStyle name="Normal 14 4 3 3 4" xfId="4011"/>
    <cellStyle name="Normal 14 4 3 4" xfId="4012"/>
    <cellStyle name="Normal 14 4 3 4 2" xfId="4013"/>
    <cellStyle name="Normal 14 4 3 4 2 2" xfId="4014"/>
    <cellStyle name="Normal 14 4 3 4 3" xfId="4015"/>
    <cellStyle name="Normal 14 4 3 5" xfId="4016"/>
    <cellStyle name="Normal 14 4 3 5 2" xfId="4017"/>
    <cellStyle name="Normal 14 4 3 6" xfId="4018"/>
    <cellStyle name="Normal 14 4 4" xfId="4019"/>
    <cellStyle name="Normal 14 4 4 2" xfId="4020"/>
    <cellStyle name="Normal 14 4 4 2 2" xfId="4021"/>
    <cellStyle name="Normal 14 4 4 2 2 2" xfId="4022"/>
    <cellStyle name="Normal 14 4 4 2 2 2 2" xfId="4023"/>
    <cellStyle name="Normal 14 4 4 2 2 3" xfId="4024"/>
    <cellStyle name="Normal 14 4 4 2 3" xfId="4025"/>
    <cellStyle name="Normal 14 4 4 2 3 2" xfId="4026"/>
    <cellStyle name="Normal 14 4 4 2 4" xfId="4027"/>
    <cellStyle name="Normal 14 4 4 3" xfId="4028"/>
    <cellStyle name="Normal 14 4 4 3 2" xfId="4029"/>
    <cellStyle name="Normal 14 4 4 3 2 2" xfId="4030"/>
    <cellStyle name="Normal 14 4 4 3 2 2 2" xfId="4031"/>
    <cellStyle name="Normal 14 4 4 3 2 3" xfId="4032"/>
    <cellStyle name="Normal 14 4 4 3 3" xfId="4033"/>
    <cellStyle name="Normal 14 4 4 3 3 2" xfId="4034"/>
    <cellStyle name="Normal 14 4 4 3 4" xfId="4035"/>
    <cellStyle name="Normal 14 4 4 4" xfId="4036"/>
    <cellStyle name="Normal 14 4 4 4 2" xfId="4037"/>
    <cellStyle name="Normal 14 4 4 4 2 2" xfId="4038"/>
    <cellStyle name="Normal 14 4 4 4 3" xfId="4039"/>
    <cellStyle name="Normal 14 4 4 5" xfId="4040"/>
    <cellStyle name="Normal 14 4 4 5 2" xfId="4041"/>
    <cellStyle name="Normal 14 4 4 6" xfId="4042"/>
    <cellStyle name="Normal 14 4 5" xfId="4043"/>
    <cellStyle name="Normal 14 4 5 2" xfId="4044"/>
    <cellStyle name="Normal 14 4 5 2 2" xfId="4045"/>
    <cellStyle name="Normal 14 4 5 2 2 2" xfId="4046"/>
    <cellStyle name="Normal 14 4 5 2 3" xfId="4047"/>
    <cellStyle name="Normal 14 4 5 3" xfId="4048"/>
    <cellStyle name="Normal 14 4 5 3 2" xfId="4049"/>
    <cellStyle name="Normal 14 4 5 4" xfId="4050"/>
    <cellStyle name="Normal 14 4 6" xfId="4051"/>
    <cellStyle name="Normal 14 4 6 2" xfId="4052"/>
    <cellStyle name="Normal 14 4 6 2 2" xfId="4053"/>
    <cellStyle name="Normal 14 4 6 2 2 2" xfId="4054"/>
    <cellStyle name="Normal 14 4 6 2 3" xfId="4055"/>
    <cellStyle name="Normal 14 4 6 3" xfId="4056"/>
    <cellStyle name="Normal 14 4 6 3 2" xfId="4057"/>
    <cellStyle name="Normal 14 4 6 4" xfId="4058"/>
    <cellStyle name="Normal 14 4 7" xfId="4059"/>
    <cellStyle name="Normal 14 4 7 2" xfId="4060"/>
    <cellStyle name="Normal 14 4 7 2 2" xfId="4061"/>
    <cellStyle name="Normal 14 4 7 3" xfId="4062"/>
    <cellStyle name="Normal 14 4 8" xfId="4063"/>
    <cellStyle name="Normal 14 4 8 2" xfId="4064"/>
    <cellStyle name="Normal 14 4 9" xfId="4065"/>
    <cellStyle name="Normal 14 5" xfId="4066"/>
    <cellStyle name="Normal 14 5 2" xfId="4067"/>
    <cellStyle name="Normal 14 5 2 2" xfId="4068"/>
    <cellStyle name="Normal 14 5 2 2 2" xfId="4069"/>
    <cellStyle name="Normal 14 5 2 2 2 2" xfId="4070"/>
    <cellStyle name="Normal 14 5 2 2 2 2 2" xfId="4071"/>
    <cellStyle name="Normal 14 5 2 2 2 3" xfId="4072"/>
    <cellStyle name="Normal 14 5 2 2 3" xfId="4073"/>
    <cellStyle name="Normal 14 5 2 2 3 2" xfId="4074"/>
    <cellStyle name="Normal 14 5 2 2 4" xfId="4075"/>
    <cellStyle name="Normal 14 5 2 3" xfId="4076"/>
    <cellStyle name="Normal 14 5 2 3 2" xfId="4077"/>
    <cellStyle name="Normal 14 5 2 3 2 2" xfId="4078"/>
    <cellStyle name="Normal 14 5 2 3 2 2 2" xfId="4079"/>
    <cellStyle name="Normal 14 5 2 3 2 3" xfId="4080"/>
    <cellStyle name="Normal 14 5 2 3 3" xfId="4081"/>
    <cellStyle name="Normal 14 5 2 3 3 2" xfId="4082"/>
    <cellStyle name="Normal 14 5 2 3 4" xfId="4083"/>
    <cellStyle name="Normal 14 5 2 4" xfId="4084"/>
    <cellStyle name="Normal 14 5 2 4 2" xfId="4085"/>
    <cellStyle name="Normal 14 5 2 4 2 2" xfId="4086"/>
    <cellStyle name="Normal 14 5 2 4 3" xfId="4087"/>
    <cellStyle name="Normal 14 5 2 5" xfId="4088"/>
    <cellStyle name="Normal 14 5 2 5 2" xfId="4089"/>
    <cellStyle name="Normal 14 5 2 6" xfId="4090"/>
    <cellStyle name="Normal 14 5 3" xfId="4091"/>
    <cellStyle name="Normal 14 5 3 2" xfId="4092"/>
    <cellStyle name="Normal 14 5 3 2 2" xfId="4093"/>
    <cellStyle name="Normal 14 5 3 2 2 2" xfId="4094"/>
    <cellStyle name="Normal 14 5 3 2 3" xfId="4095"/>
    <cellStyle name="Normal 14 5 3 3" xfId="4096"/>
    <cellStyle name="Normal 14 5 3 3 2" xfId="4097"/>
    <cellStyle name="Normal 14 5 3 4" xfId="4098"/>
    <cellStyle name="Normal 14 5 4" xfId="4099"/>
    <cellStyle name="Normal 14 5 4 2" xfId="4100"/>
    <cellStyle name="Normal 14 5 4 2 2" xfId="4101"/>
    <cellStyle name="Normal 14 5 4 2 2 2" xfId="4102"/>
    <cellStyle name="Normal 14 5 4 2 3" xfId="4103"/>
    <cellStyle name="Normal 14 5 4 3" xfId="4104"/>
    <cellStyle name="Normal 14 5 4 3 2" xfId="4105"/>
    <cellStyle name="Normal 14 5 4 4" xfId="4106"/>
    <cellStyle name="Normal 14 5 5" xfId="4107"/>
    <cellStyle name="Normal 14 5 5 2" xfId="4108"/>
    <cellStyle name="Normal 14 5 5 2 2" xfId="4109"/>
    <cellStyle name="Normal 14 5 5 3" xfId="4110"/>
    <cellStyle name="Normal 14 5 6" xfId="4111"/>
    <cellStyle name="Normal 14 5 6 2" xfId="4112"/>
    <cellStyle name="Normal 14 5 7" xfId="4113"/>
    <cellStyle name="Normal 14 6" xfId="4114"/>
    <cellStyle name="Normal 14 6 2" xfId="4115"/>
    <cellStyle name="Normal 14 6 2 2" xfId="4116"/>
    <cellStyle name="Normal 14 6 2 2 2" xfId="4117"/>
    <cellStyle name="Normal 14 6 2 2 2 2" xfId="4118"/>
    <cellStyle name="Normal 14 6 2 2 3" xfId="4119"/>
    <cellStyle name="Normal 14 6 2 3" xfId="4120"/>
    <cellStyle name="Normal 14 6 2 3 2" xfId="4121"/>
    <cellStyle name="Normal 14 6 2 4" xfId="4122"/>
    <cellStyle name="Normal 14 6 3" xfId="4123"/>
    <cellStyle name="Normal 14 6 3 2" xfId="4124"/>
    <cellStyle name="Normal 14 6 3 2 2" xfId="4125"/>
    <cellStyle name="Normal 14 6 3 2 2 2" xfId="4126"/>
    <cellStyle name="Normal 14 6 3 2 3" xfId="4127"/>
    <cellStyle name="Normal 14 6 3 3" xfId="4128"/>
    <cellStyle name="Normal 14 6 3 3 2" xfId="4129"/>
    <cellStyle name="Normal 14 6 3 4" xfId="4130"/>
    <cellStyle name="Normal 14 6 4" xfId="4131"/>
    <cellStyle name="Normal 14 6 4 2" xfId="4132"/>
    <cellStyle name="Normal 14 6 4 2 2" xfId="4133"/>
    <cellStyle name="Normal 14 6 4 3" xfId="4134"/>
    <cellStyle name="Normal 14 6 5" xfId="4135"/>
    <cellStyle name="Normal 14 6 5 2" xfId="4136"/>
    <cellStyle name="Normal 14 6 6" xfId="4137"/>
    <cellStyle name="Normal 14 7" xfId="4138"/>
    <cellStyle name="Normal 14 7 2" xfId="4139"/>
    <cellStyle name="Normal 14 7 2 2" xfId="4140"/>
    <cellStyle name="Normal 14 7 2 2 2" xfId="4141"/>
    <cellStyle name="Normal 14 7 2 2 2 2" xfId="4142"/>
    <cellStyle name="Normal 14 7 2 2 3" xfId="4143"/>
    <cellStyle name="Normal 14 7 2 3" xfId="4144"/>
    <cellStyle name="Normal 14 7 2 3 2" xfId="4145"/>
    <cellStyle name="Normal 14 7 2 4" xfId="4146"/>
    <cellStyle name="Normal 14 7 3" xfId="4147"/>
    <cellStyle name="Normal 14 7 3 2" xfId="4148"/>
    <cellStyle name="Normal 14 7 3 2 2" xfId="4149"/>
    <cellStyle name="Normal 14 7 3 2 2 2" xfId="4150"/>
    <cellStyle name="Normal 14 7 3 2 3" xfId="4151"/>
    <cellStyle name="Normal 14 7 3 3" xfId="4152"/>
    <cellStyle name="Normal 14 7 3 3 2" xfId="4153"/>
    <cellStyle name="Normal 14 7 3 4" xfId="4154"/>
    <cellStyle name="Normal 14 7 4" xfId="4155"/>
    <cellStyle name="Normal 14 7 4 2" xfId="4156"/>
    <cellStyle name="Normal 14 7 4 2 2" xfId="4157"/>
    <cellStyle name="Normal 14 7 4 3" xfId="4158"/>
    <cellStyle name="Normal 14 7 5" xfId="4159"/>
    <cellStyle name="Normal 14 7 5 2" xfId="4160"/>
    <cellStyle name="Normal 14 7 6" xfId="4161"/>
    <cellStyle name="Normal 14 8" xfId="4162"/>
    <cellStyle name="Normal 14 8 2" xfId="4163"/>
    <cellStyle name="Normal 14 8 2 2" xfId="4164"/>
    <cellStyle name="Normal 14 8 2 2 2" xfId="4165"/>
    <cellStyle name="Normal 14 8 2 3" xfId="4166"/>
    <cellStyle name="Normal 14 8 3" xfId="4167"/>
    <cellStyle name="Normal 14 8 3 2" xfId="4168"/>
    <cellStyle name="Normal 14 8 4" xfId="4169"/>
    <cellStyle name="Normal 14 9" xfId="4170"/>
    <cellStyle name="Normal 14 9 2" xfId="4171"/>
    <cellStyle name="Normal 14 9 2 2" xfId="4172"/>
    <cellStyle name="Normal 14 9 2 2 2" xfId="4173"/>
    <cellStyle name="Normal 14 9 2 3" xfId="4174"/>
    <cellStyle name="Normal 14 9 3" xfId="4175"/>
    <cellStyle name="Normal 14 9 3 2" xfId="4176"/>
    <cellStyle name="Normal 14 9 4" xfId="4177"/>
    <cellStyle name="Normal 140" xfId="4178"/>
    <cellStyle name="Normal 141" xfId="4179"/>
    <cellStyle name="Normal 142" xfId="4180"/>
    <cellStyle name="Normal 143" xfId="4181"/>
    <cellStyle name="Normal 144" xfId="4182"/>
    <cellStyle name="Normal 145" xfId="4183"/>
    <cellStyle name="Normal 146" xfId="4184"/>
    <cellStyle name="Normal 147" xfId="4185"/>
    <cellStyle name="Normal 148" xfId="4186"/>
    <cellStyle name="Normal 149" xfId="4187"/>
    <cellStyle name="Normal 15" xfId="4188"/>
    <cellStyle name="Normal 15 10" xfId="4189"/>
    <cellStyle name="Normal 15 10 2" xfId="4190"/>
    <cellStyle name="Normal 15 10 2 2" xfId="4191"/>
    <cellStyle name="Normal 15 10 2 2 2" xfId="4192"/>
    <cellStyle name="Normal 15 10 2 3" xfId="4193"/>
    <cellStyle name="Normal 15 10 3" xfId="4194"/>
    <cellStyle name="Normal 15 10 3 2" xfId="4195"/>
    <cellStyle name="Normal 15 10 4" xfId="4196"/>
    <cellStyle name="Normal 15 11" xfId="4197"/>
    <cellStyle name="Normal 15 11 2" xfId="4198"/>
    <cellStyle name="Normal 15 11 2 2" xfId="4199"/>
    <cellStyle name="Normal 15 11 3" xfId="4200"/>
    <cellStyle name="Normal 15 12" xfId="4201"/>
    <cellStyle name="Normal 15 12 2" xfId="4202"/>
    <cellStyle name="Normal 15 13" xfId="4203"/>
    <cellStyle name="Normal 15 2" xfId="4204"/>
    <cellStyle name="Normal 15 3" xfId="4205"/>
    <cellStyle name="Normal 15 3 10" xfId="4206"/>
    <cellStyle name="Normal 15 3 2" xfId="4207"/>
    <cellStyle name="Normal 15 3 2 2" xfId="4208"/>
    <cellStyle name="Normal 15 3 2 2 2" xfId="4209"/>
    <cellStyle name="Normal 15 3 2 2 2 2" xfId="4210"/>
    <cellStyle name="Normal 15 3 2 2 2 2 2" xfId="4211"/>
    <cellStyle name="Normal 15 3 2 2 2 2 2 2" xfId="4212"/>
    <cellStyle name="Normal 15 3 2 2 2 2 3" xfId="4213"/>
    <cellStyle name="Normal 15 3 2 2 2 3" xfId="4214"/>
    <cellStyle name="Normal 15 3 2 2 2 3 2" xfId="4215"/>
    <cellStyle name="Normal 15 3 2 2 2 4" xfId="4216"/>
    <cellStyle name="Normal 15 3 2 2 3" xfId="4217"/>
    <cellStyle name="Normal 15 3 2 2 3 2" xfId="4218"/>
    <cellStyle name="Normal 15 3 2 2 3 2 2" xfId="4219"/>
    <cellStyle name="Normal 15 3 2 2 3 2 2 2" xfId="4220"/>
    <cellStyle name="Normal 15 3 2 2 3 2 3" xfId="4221"/>
    <cellStyle name="Normal 15 3 2 2 3 3" xfId="4222"/>
    <cellStyle name="Normal 15 3 2 2 3 3 2" xfId="4223"/>
    <cellStyle name="Normal 15 3 2 2 3 4" xfId="4224"/>
    <cellStyle name="Normal 15 3 2 2 4" xfId="4225"/>
    <cellStyle name="Normal 15 3 2 2 4 2" xfId="4226"/>
    <cellStyle name="Normal 15 3 2 2 4 2 2" xfId="4227"/>
    <cellStyle name="Normal 15 3 2 2 4 3" xfId="4228"/>
    <cellStyle name="Normal 15 3 2 2 5" xfId="4229"/>
    <cellStyle name="Normal 15 3 2 2 5 2" xfId="4230"/>
    <cellStyle name="Normal 15 3 2 2 6" xfId="4231"/>
    <cellStyle name="Normal 15 3 2 3" xfId="4232"/>
    <cellStyle name="Normal 15 3 2 3 2" xfId="4233"/>
    <cellStyle name="Normal 15 3 2 3 2 2" xfId="4234"/>
    <cellStyle name="Normal 15 3 2 3 2 2 2" xfId="4235"/>
    <cellStyle name="Normal 15 3 2 3 2 3" xfId="4236"/>
    <cellStyle name="Normal 15 3 2 3 3" xfId="4237"/>
    <cellStyle name="Normal 15 3 2 3 3 2" xfId="4238"/>
    <cellStyle name="Normal 15 3 2 3 4" xfId="4239"/>
    <cellStyle name="Normal 15 3 2 4" xfId="4240"/>
    <cellStyle name="Normal 15 3 2 4 2" xfId="4241"/>
    <cellStyle name="Normal 15 3 2 4 2 2" xfId="4242"/>
    <cellStyle name="Normal 15 3 2 4 2 2 2" xfId="4243"/>
    <cellStyle name="Normal 15 3 2 4 2 3" xfId="4244"/>
    <cellStyle name="Normal 15 3 2 4 3" xfId="4245"/>
    <cellStyle name="Normal 15 3 2 4 3 2" xfId="4246"/>
    <cellStyle name="Normal 15 3 2 4 4" xfId="4247"/>
    <cellStyle name="Normal 15 3 2 5" xfId="4248"/>
    <cellStyle name="Normal 15 3 2 5 2" xfId="4249"/>
    <cellStyle name="Normal 15 3 2 5 2 2" xfId="4250"/>
    <cellStyle name="Normal 15 3 2 5 3" xfId="4251"/>
    <cellStyle name="Normal 15 3 2 6" xfId="4252"/>
    <cellStyle name="Normal 15 3 2 6 2" xfId="4253"/>
    <cellStyle name="Normal 15 3 2 7" xfId="4254"/>
    <cellStyle name="Normal 15 3 3" xfId="4255"/>
    <cellStyle name="Normal 15 3 3 2" xfId="4256"/>
    <cellStyle name="Normal 15 3 3 2 2" xfId="4257"/>
    <cellStyle name="Normal 15 3 3 2 2 2" xfId="4258"/>
    <cellStyle name="Normal 15 3 3 2 2 2 2" xfId="4259"/>
    <cellStyle name="Normal 15 3 3 2 2 3" xfId="4260"/>
    <cellStyle name="Normal 15 3 3 2 3" xfId="4261"/>
    <cellStyle name="Normal 15 3 3 2 3 2" xfId="4262"/>
    <cellStyle name="Normal 15 3 3 2 4" xfId="4263"/>
    <cellStyle name="Normal 15 3 3 3" xfId="4264"/>
    <cellStyle name="Normal 15 3 3 3 2" xfId="4265"/>
    <cellStyle name="Normal 15 3 3 3 2 2" xfId="4266"/>
    <cellStyle name="Normal 15 3 3 3 2 2 2" xfId="4267"/>
    <cellStyle name="Normal 15 3 3 3 2 3" xfId="4268"/>
    <cellStyle name="Normal 15 3 3 3 3" xfId="4269"/>
    <cellStyle name="Normal 15 3 3 3 3 2" xfId="4270"/>
    <cellStyle name="Normal 15 3 3 3 4" xfId="4271"/>
    <cellStyle name="Normal 15 3 3 4" xfId="4272"/>
    <cellStyle name="Normal 15 3 3 4 2" xfId="4273"/>
    <cellStyle name="Normal 15 3 3 4 2 2" xfId="4274"/>
    <cellStyle name="Normal 15 3 3 4 3" xfId="4275"/>
    <cellStyle name="Normal 15 3 3 5" xfId="4276"/>
    <cellStyle name="Normal 15 3 3 5 2" xfId="4277"/>
    <cellStyle name="Normal 15 3 3 6" xfId="4278"/>
    <cellStyle name="Normal 15 3 4" xfId="4279"/>
    <cellStyle name="Normal 15 3 4 2" xfId="4280"/>
    <cellStyle name="Normal 15 3 4 2 2" xfId="4281"/>
    <cellStyle name="Normal 15 3 4 2 2 2" xfId="4282"/>
    <cellStyle name="Normal 15 3 4 2 2 2 2" xfId="4283"/>
    <cellStyle name="Normal 15 3 4 2 2 3" xfId="4284"/>
    <cellStyle name="Normal 15 3 4 2 3" xfId="4285"/>
    <cellStyle name="Normal 15 3 4 2 3 2" xfId="4286"/>
    <cellStyle name="Normal 15 3 4 2 4" xfId="4287"/>
    <cellStyle name="Normal 15 3 4 3" xfId="4288"/>
    <cellStyle name="Normal 15 3 4 3 2" xfId="4289"/>
    <cellStyle name="Normal 15 3 4 3 2 2" xfId="4290"/>
    <cellStyle name="Normal 15 3 4 3 2 2 2" xfId="4291"/>
    <cellStyle name="Normal 15 3 4 3 2 3" xfId="4292"/>
    <cellStyle name="Normal 15 3 4 3 3" xfId="4293"/>
    <cellStyle name="Normal 15 3 4 3 3 2" xfId="4294"/>
    <cellStyle name="Normal 15 3 4 3 4" xfId="4295"/>
    <cellStyle name="Normal 15 3 4 4" xfId="4296"/>
    <cellStyle name="Normal 15 3 4 4 2" xfId="4297"/>
    <cellStyle name="Normal 15 3 4 4 2 2" xfId="4298"/>
    <cellStyle name="Normal 15 3 4 4 3" xfId="4299"/>
    <cellStyle name="Normal 15 3 4 5" xfId="4300"/>
    <cellStyle name="Normal 15 3 4 5 2" xfId="4301"/>
    <cellStyle name="Normal 15 3 4 6" xfId="4302"/>
    <cellStyle name="Normal 15 3 5" xfId="4303"/>
    <cellStyle name="Normal 15 3 5 2" xfId="4304"/>
    <cellStyle name="Normal 15 3 5 2 2" xfId="4305"/>
    <cellStyle name="Normal 15 3 5 2 2 2" xfId="4306"/>
    <cellStyle name="Normal 15 3 5 2 3" xfId="4307"/>
    <cellStyle name="Normal 15 3 5 3" xfId="4308"/>
    <cellStyle name="Normal 15 3 5 3 2" xfId="4309"/>
    <cellStyle name="Normal 15 3 5 4" xfId="4310"/>
    <cellStyle name="Normal 15 3 6" xfId="4311"/>
    <cellStyle name="Normal 15 3 6 2" xfId="4312"/>
    <cellStyle name="Normal 15 3 6 2 2" xfId="4313"/>
    <cellStyle name="Normal 15 3 6 2 2 2" xfId="4314"/>
    <cellStyle name="Normal 15 3 6 2 3" xfId="4315"/>
    <cellStyle name="Normal 15 3 6 3" xfId="4316"/>
    <cellStyle name="Normal 15 3 6 3 2" xfId="4317"/>
    <cellStyle name="Normal 15 3 6 4" xfId="4318"/>
    <cellStyle name="Normal 15 3 7" xfId="4319"/>
    <cellStyle name="Normal 15 3 7 2" xfId="4320"/>
    <cellStyle name="Normal 15 3 7 2 2" xfId="4321"/>
    <cellStyle name="Normal 15 3 7 2 2 2" xfId="4322"/>
    <cellStyle name="Normal 15 3 7 2 3" xfId="4323"/>
    <cellStyle name="Normal 15 3 7 3" xfId="4324"/>
    <cellStyle name="Normal 15 3 7 3 2" xfId="4325"/>
    <cellStyle name="Normal 15 3 7 4" xfId="4326"/>
    <cellStyle name="Normal 15 3 8" xfId="4327"/>
    <cellStyle name="Normal 15 3 8 2" xfId="4328"/>
    <cellStyle name="Normal 15 3 8 2 2" xfId="4329"/>
    <cellStyle name="Normal 15 3 8 3" xfId="4330"/>
    <cellStyle name="Normal 15 3 9" xfId="4331"/>
    <cellStyle name="Normal 15 3 9 2" xfId="4332"/>
    <cellStyle name="Normal 15 4" xfId="4333"/>
    <cellStyle name="Normal 15 4 2" xfId="4334"/>
    <cellStyle name="Normal 15 4 2 2" xfId="4335"/>
    <cellStyle name="Normal 15 4 2 2 2" xfId="4336"/>
    <cellStyle name="Normal 15 4 2 2 2 2" xfId="4337"/>
    <cellStyle name="Normal 15 4 2 2 2 2 2" xfId="4338"/>
    <cellStyle name="Normal 15 4 2 2 2 2 2 2" xfId="4339"/>
    <cellStyle name="Normal 15 4 2 2 2 2 3" xfId="4340"/>
    <cellStyle name="Normal 15 4 2 2 2 3" xfId="4341"/>
    <cellStyle name="Normal 15 4 2 2 2 3 2" xfId="4342"/>
    <cellStyle name="Normal 15 4 2 2 2 4" xfId="4343"/>
    <cellStyle name="Normal 15 4 2 2 3" xfId="4344"/>
    <cellStyle name="Normal 15 4 2 2 3 2" xfId="4345"/>
    <cellStyle name="Normal 15 4 2 2 3 2 2" xfId="4346"/>
    <cellStyle name="Normal 15 4 2 2 3 2 2 2" xfId="4347"/>
    <cellStyle name="Normal 15 4 2 2 3 2 3" xfId="4348"/>
    <cellStyle name="Normal 15 4 2 2 3 3" xfId="4349"/>
    <cellStyle name="Normal 15 4 2 2 3 3 2" xfId="4350"/>
    <cellStyle name="Normal 15 4 2 2 3 4" xfId="4351"/>
    <cellStyle name="Normal 15 4 2 2 4" xfId="4352"/>
    <cellStyle name="Normal 15 4 2 2 4 2" xfId="4353"/>
    <cellStyle name="Normal 15 4 2 2 4 2 2" xfId="4354"/>
    <cellStyle name="Normal 15 4 2 2 4 3" xfId="4355"/>
    <cellStyle name="Normal 15 4 2 2 5" xfId="4356"/>
    <cellStyle name="Normal 15 4 2 2 5 2" xfId="4357"/>
    <cellStyle name="Normal 15 4 2 2 6" xfId="4358"/>
    <cellStyle name="Normal 15 4 2 3" xfId="4359"/>
    <cellStyle name="Normal 15 4 2 3 2" xfId="4360"/>
    <cellStyle name="Normal 15 4 2 3 2 2" xfId="4361"/>
    <cellStyle name="Normal 15 4 2 3 2 2 2" xfId="4362"/>
    <cellStyle name="Normal 15 4 2 3 2 3" xfId="4363"/>
    <cellStyle name="Normal 15 4 2 3 3" xfId="4364"/>
    <cellStyle name="Normal 15 4 2 3 3 2" xfId="4365"/>
    <cellStyle name="Normal 15 4 2 3 4" xfId="4366"/>
    <cellStyle name="Normal 15 4 2 4" xfId="4367"/>
    <cellStyle name="Normal 15 4 2 4 2" xfId="4368"/>
    <cellStyle name="Normal 15 4 2 4 2 2" xfId="4369"/>
    <cellStyle name="Normal 15 4 2 4 2 2 2" xfId="4370"/>
    <cellStyle name="Normal 15 4 2 4 2 3" xfId="4371"/>
    <cellStyle name="Normal 15 4 2 4 3" xfId="4372"/>
    <cellStyle name="Normal 15 4 2 4 3 2" xfId="4373"/>
    <cellStyle name="Normal 15 4 2 4 4" xfId="4374"/>
    <cellStyle name="Normal 15 4 2 5" xfId="4375"/>
    <cellStyle name="Normal 15 4 2 5 2" xfId="4376"/>
    <cellStyle name="Normal 15 4 2 5 2 2" xfId="4377"/>
    <cellStyle name="Normal 15 4 2 5 3" xfId="4378"/>
    <cellStyle name="Normal 15 4 2 6" xfId="4379"/>
    <cellStyle name="Normal 15 4 2 6 2" xfId="4380"/>
    <cellStyle name="Normal 15 4 2 7" xfId="4381"/>
    <cellStyle name="Normal 15 4 3" xfId="4382"/>
    <cellStyle name="Normal 15 4 3 2" xfId="4383"/>
    <cellStyle name="Normal 15 4 3 2 2" xfId="4384"/>
    <cellStyle name="Normal 15 4 3 2 2 2" xfId="4385"/>
    <cellStyle name="Normal 15 4 3 2 2 2 2" xfId="4386"/>
    <cellStyle name="Normal 15 4 3 2 2 3" xfId="4387"/>
    <cellStyle name="Normal 15 4 3 2 3" xfId="4388"/>
    <cellStyle name="Normal 15 4 3 2 3 2" xfId="4389"/>
    <cellStyle name="Normal 15 4 3 2 4" xfId="4390"/>
    <cellStyle name="Normal 15 4 3 3" xfId="4391"/>
    <cellStyle name="Normal 15 4 3 3 2" xfId="4392"/>
    <cellStyle name="Normal 15 4 3 3 2 2" xfId="4393"/>
    <cellStyle name="Normal 15 4 3 3 2 2 2" xfId="4394"/>
    <cellStyle name="Normal 15 4 3 3 2 3" xfId="4395"/>
    <cellStyle name="Normal 15 4 3 3 3" xfId="4396"/>
    <cellStyle name="Normal 15 4 3 3 3 2" xfId="4397"/>
    <cellStyle name="Normal 15 4 3 3 4" xfId="4398"/>
    <cellStyle name="Normal 15 4 3 4" xfId="4399"/>
    <cellStyle name="Normal 15 4 3 4 2" xfId="4400"/>
    <cellStyle name="Normal 15 4 3 4 2 2" xfId="4401"/>
    <cellStyle name="Normal 15 4 3 4 3" xfId="4402"/>
    <cellStyle name="Normal 15 4 3 5" xfId="4403"/>
    <cellStyle name="Normal 15 4 3 5 2" xfId="4404"/>
    <cellStyle name="Normal 15 4 3 6" xfId="4405"/>
    <cellStyle name="Normal 15 4 4" xfId="4406"/>
    <cellStyle name="Normal 15 4 4 2" xfId="4407"/>
    <cellStyle name="Normal 15 4 4 2 2" xfId="4408"/>
    <cellStyle name="Normal 15 4 4 2 2 2" xfId="4409"/>
    <cellStyle name="Normal 15 4 4 2 2 2 2" xfId="4410"/>
    <cellStyle name="Normal 15 4 4 2 2 3" xfId="4411"/>
    <cellStyle name="Normal 15 4 4 2 3" xfId="4412"/>
    <cellStyle name="Normal 15 4 4 2 3 2" xfId="4413"/>
    <cellStyle name="Normal 15 4 4 2 4" xfId="4414"/>
    <cellStyle name="Normal 15 4 4 3" xfId="4415"/>
    <cellStyle name="Normal 15 4 4 3 2" xfId="4416"/>
    <cellStyle name="Normal 15 4 4 3 2 2" xfId="4417"/>
    <cellStyle name="Normal 15 4 4 3 2 2 2" xfId="4418"/>
    <cellStyle name="Normal 15 4 4 3 2 3" xfId="4419"/>
    <cellStyle name="Normal 15 4 4 3 3" xfId="4420"/>
    <cellStyle name="Normal 15 4 4 3 3 2" xfId="4421"/>
    <cellStyle name="Normal 15 4 4 3 4" xfId="4422"/>
    <cellStyle name="Normal 15 4 4 4" xfId="4423"/>
    <cellStyle name="Normal 15 4 4 4 2" xfId="4424"/>
    <cellStyle name="Normal 15 4 4 4 2 2" xfId="4425"/>
    <cellStyle name="Normal 15 4 4 4 3" xfId="4426"/>
    <cellStyle name="Normal 15 4 4 5" xfId="4427"/>
    <cellStyle name="Normal 15 4 4 5 2" xfId="4428"/>
    <cellStyle name="Normal 15 4 4 6" xfId="4429"/>
    <cellStyle name="Normal 15 4 5" xfId="4430"/>
    <cellStyle name="Normal 15 4 5 2" xfId="4431"/>
    <cellStyle name="Normal 15 4 5 2 2" xfId="4432"/>
    <cellStyle name="Normal 15 4 5 2 2 2" xfId="4433"/>
    <cellStyle name="Normal 15 4 5 2 3" xfId="4434"/>
    <cellStyle name="Normal 15 4 5 3" xfId="4435"/>
    <cellStyle name="Normal 15 4 5 3 2" xfId="4436"/>
    <cellStyle name="Normal 15 4 5 4" xfId="4437"/>
    <cellStyle name="Normal 15 4 6" xfId="4438"/>
    <cellStyle name="Normal 15 4 6 2" xfId="4439"/>
    <cellStyle name="Normal 15 4 6 2 2" xfId="4440"/>
    <cellStyle name="Normal 15 4 6 2 2 2" xfId="4441"/>
    <cellStyle name="Normal 15 4 6 2 3" xfId="4442"/>
    <cellStyle name="Normal 15 4 6 3" xfId="4443"/>
    <cellStyle name="Normal 15 4 6 3 2" xfId="4444"/>
    <cellStyle name="Normal 15 4 6 4" xfId="4445"/>
    <cellStyle name="Normal 15 4 7" xfId="4446"/>
    <cellStyle name="Normal 15 4 7 2" xfId="4447"/>
    <cellStyle name="Normal 15 4 7 2 2" xfId="4448"/>
    <cellStyle name="Normal 15 4 7 3" xfId="4449"/>
    <cellStyle name="Normal 15 4 8" xfId="4450"/>
    <cellStyle name="Normal 15 4 8 2" xfId="4451"/>
    <cellStyle name="Normal 15 4 9" xfId="4452"/>
    <cellStyle name="Normal 15 5" xfId="4453"/>
    <cellStyle name="Normal 15 5 2" xfId="4454"/>
    <cellStyle name="Normal 15 5 2 2" xfId="4455"/>
    <cellStyle name="Normal 15 5 2 2 2" xfId="4456"/>
    <cellStyle name="Normal 15 5 2 2 2 2" xfId="4457"/>
    <cellStyle name="Normal 15 5 2 2 2 2 2" xfId="4458"/>
    <cellStyle name="Normal 15 5 2 2 2 3" xfId="4459"/>
    <cellStyle name="Normal 15 5 2 2 3" xfId="4460"/>
    <cellStyle name="Normal 15 5 2 2 3 2" xfId="4461"/>
    <cellStyle name="Normal 15 5 2 2 4" xfId="4462"/>
    <cellStyle name="Normal 15 5 2 3" xfId="4463"/>
    <cellStyle name="Normal 15 5 2 3 2" xfId="4464"/>
    <cellStyle name="Normal 15 5 2 3 2 2" xfId="4465"/>
    <cellStyle name="Normal 15 5 2 3 2 2 2" xfId="4466"/>
    <cellStyle name="Normal 15 5 2 3 2 3" xfId="4467"/>
    <cellStyle name="Normal 15 5 2 3 3" xfId="4468"/>
    <cellStyle name="Normal 15 5 2 3 3 2" xfId="4469"/>
    <cellStyle name="Normal 15 5 2 3 4" xfId="4470"/>
    <cellStyle name="Normal 15 5 2 4" xfId="4471"/>
    <cellStyle name="Normal 15 5 2 4 2" xfId="4472"/>
    <cellStyle name="Normal 15 5 2 4 2 2" xfId="4473"/>
    <cellStyle name="Normal 15 5 2 4 3" xfId="4474"/>
    <cellStyle name="Normal 15 5 2 5" xfId="4475"/>
    <cellStyle name="Normal 15 5 2 5 2" xfId="4476"/>
    <cellStyle name="Normal 15 5 2 6" xfId="4477"/>
    <cellStyle name="Normal 15 5 3" xfId="4478"/>
    <cellStyle name="Normal 15 5 3 2" xfId="4479"/>
    <cellStyle name="Normal 15 5 3 2 2" xfId="4480"/>
    <cellStyle name="Normal 15 5 3 2 2 2" xfId="4481"/>
    <cellStyle name="Normal 15 5 3 2 3" xfId="4482"/>
    <cellStyle name="Normal 15 5 3 3" xfId="4483"/>
    <cellStyle name="Normal 15 5 3 3 2" xfId="4484"/>
    <cellStyle name="Normal 15 5 3 4" xfId="4485"/>
    <cellStyle name="Normal 15 5 4" xfId="4486"/>
    <cellStyle name="Normal 15 5 4 2" xfId="4487"/>
    <cellStyle name="Normal 15 5 4 2 2" xfId="4488"/>
    <cellStyle name="Normal 15 5 4 2 2 2" xfId="4489"/>
    <cellStyle name="Normal 15 5 4 2 3" xfId="4490"/>
    <cellStyle name="Normal 15 5 4 3" xfId="4491"/>
    <cellStyle name="Normal 15 5 4 3 2" xfId="4492"/>
    <cellStyle name="Normal 15 5 4 4" xfId="4493"/>
    <cellStyle name="Normal 15 5 5" xfId="4494"/>
    <cellStyle name="Normal 15 5 5 2" xfId="4495"/>
    <cellStyle name="Normal 15 5 5 2 2" xfId="4496"/>
    <cellStyle name="Normal 15 5 5 3" xfId="4497"/>
    <cellStyle name="Normal 15 5 6" xfId="4498"/>
    <cellStyle name="Normal 15 5 6 2" xfId="4499"/>
    <cellStyle name="Normal 15 5 7" xfId="4500"/>
    <cellStyle name="Normal 15 6" xfId="4501"/>
    <cellStyle name="Normal 15 6 2" xfId="4502"/>
    <cellStyle name="Normal 15 6 2 2" xfId="4503"/>
    <cellStyle name="Normal 15 6 2 2 2" xfId="4504"/>
    <cellStyle name="Normal 15 6 2 2 2 2" xfId="4505"/>
    <cellStyle name="Normal 15 6 2 2 3" xfId="4506"/>
    <cellStyle name="Normal 15 6 2 3" xfId="4507"/>
    <cellStyle name="Normal 15 6 2 3 2" xfId="4508"/>
    <cellStyle name="Normal 15 6 2 4" xfId="4509"/>
    <cellStyle name="Normal 15 6 3" xfId="4510"/>
    <cellStyle name="Normal 15 6 3 2" xfId="4511"/>
    <cellStyle name="Normal 15 6 3 2 2" xfId="4512"/>
    <cellStyle name="Normal 15 6 3 2 2 2" xfId="4513"/>
    <cellStyle name="Normal 15 6 3 2 3" xfId="4514"/>
    <cellStyle name="Normal 15 6 3 3" xfId="4515"/>
    <cellStyle name="Normal 15 6 3 3 2" xfId="4516"/>
    <cellStyle name="Normal 15 6 3 4" xfId="4517"/>
    <cellStyle name="Normal 15 6 4" xfId="4518"/>
    <cellStyle name="Normal 15 6 4 2" xfId="4519"/>
    <cellStyle name="Normal 15 6 4 2 2" xfId="4520"/>
    <cellStyle name="Normal 15 6 4 3" xfId="4521"/>
    <cellStyle name="Normal 15 6 5" xfId="4522"/>
    <cellStyle name="Normal 15 6 5 2" xfId="4523"/>
    <cellStyle name="Normal 15 6 6" xfId="4524"/>
    <cellStyle name="Normal 15 7" xfId="4525"/>
    <cellStyle name="Normal 15 7 2" xfId="4526"/>
    <cellStyle name="Normal 15 7 2 2" xfId="4527"/>
    <cellStyle name="Normal 15 7 2 2 2" xfId="4528"/>
    <cellStyle name="Normal 15 7 2 2 2 2" xfId="4529"/>
    <cellStyle name="Normal 15 7 2 2 3" xfId="4530"/>
    <cellStyle name="Normal 15 7 2 3" xfId="4531"/>
    <cellStyle name="Normal 15 7 2 3 2" xfId="4532"/>
    <cellStyle name="Normal 15 7 2 4" xfId="4533"/>
    <cellStyle name="Normal 15 7 3" xfId="4534"/>
    <cellStyle name="Normal 15 7 3 2" xfId="4535"/>
    <cellStyle name="Normal 15 7 3 2 2" xfId="4536"/>
    <cellStyle name="Normal 15 7 3 2 2 2" xfId="4537"/>
    <cellStyle name="Normal 15 7 3 2 3" xfId="4538"/>
    <cellStyle name="Normal 15 7 3 3" xfId="4539"/>
    <cellStyle name="Normal 15 7 3 3 2" xfId="4540"/>
    <cellStyle name="Normal 15 7 3 4" xfId="4541"/>
    <cellStyle name="Normal 15 7 4" xfId="4542"/>
    <cellStyle name="Normal 15 7 4 2" xfId="4543"/>
    <cellStyle name="Normal 15 7 4 2 2" xfId="4544"/>
    <cellStyle name="Normal 15 7 4 3" xfId="4545"/>
    <cellStyle name="Normal 15 7 5" xfId="4546"/>
    <cellStyle name="Normal 15 7 5 2" xfId="4547"/>
    <cellStyle name="Normal 15 7 6" xfId="4548"/>
    <cellStyle name="Normal 15 8" xfId="4549"/>
    <cellStyle name="Normal 15 8 2" xfId="4550"/>
    <cellStyle name="Normal 15 8 2 2" xfId="4551"/>
    <cellStyle name="Normal 15 8 2 2 2" xfId="4552"/>
    <cellStyle name="Normal 15 8 2 3" xfId="4553"/>
    <cellStyle name="Normal 15 8 3" xfId="4554"/>
    <cellStyle name="Normal 15 8 3 2" xfId="4555"/>
    <cellStyle name="Normal 15 8 4" xfId="4556"/>
    <cellStyle name="Normal 15 9" xfId="4557"/>
    <cellStyle name="Normal 15 9 2" xfId="4558"/>
    <cellStyle name="Normal 15 9 2 2" xfId="4559"/>
    <cellStyle name="Normal 15 9 2 2 2" xfId="4560"/>
    <cellStyle name="Normal 15 9 2 3" xfId="4561"/>
    <cellStyle name="Normal 15 9 3" xfId="4562"/>
    <cellStyle name="Normal 15 9 3 2" xfId="4563"/>
    <cellStyle name="Normal 15 9 4" xfId="4564"/>
    <cellStyle name="Normal 150" xfId="4565"/>
    <cellStyle name="Normal 151" xfId="4566"/>
    <cellStyle name="Normal 152" xfId="4567"/>
    <cellStyle name="Normal 153" xfId="4568"/>
    <cellStyle name="Normal 154" xfId="4569"/>
    <cellStyle name="Normal 155" xfId="4570"/>
    <cellStyle name="Normal 156" xfId="4571"/>
    <cellStyle name="Normal 157" xfId="4572"/>
    <cellStyle name="Normal 158" xfId="4573"/>
    <cellStyle name="Normal 159" xfId="4574"/>
    <cellStyle name="Normal 159 2" xfId="4575"/>
    <cellStyle name="Normal 159 3" xfId="4576"/>
    <cellStyle name="Normal 159 4" xfId="4577"/>
    <cellStyle name="Normal 16" xfId="4578"/>
    <cellStyle name="Normal 16 10" xfId="4579"/>
    <cellStyle name="Normal 16 10 2" xfId="4580"/>
    <cellStyle name="Normal 16 10 2 2" xfId="4581"/>
    <cellStyle name="Normal 16 10 2 2 2" xfId="4582"/>
    <cellStyle name="Normal 16 10 2 3" xfId="4583"/>
    <cellStyle name="Normal 16 10 3" xfId="4584"/>
    <cellStyle name="Normal 16 10 3 2" xfId="4585"/>
    <cellStyle name="Normal 16 10 4" xfId="4586"/>
    <cellStyle name="Normal 16 11" xfId="4587"/>
    <cellStyle name="Normal 16 11 2" xfId="4588"/>
    <cellStyle name="Normal 16 11 2 2" xfId="4589"/>
    <cellStyle name="Normal 16 11 3" xfId="4590"/>
    <cellStyle name="Normal 16 12" xfId="4591"/>
    <cellStyle name="Normal 16 12 2" xfId="4592"/>
    <cellStyle name="Normal 16 13" xfId="4593"/>
    <cellStyle name="Normal 16 2" xfId="4594"/>
    <cellStyle name="Normal 16 3" xfId="4595"/>
    <cellStyle name="Normal 16 3 10" xfId="4596"/>
    <cellStyle name="Normal 16 3 2" xfId="4597"/>
    <cellStyle name="Normal 16 3 2 2" xfId="4598"/>
    <cellStyle name="Normal 16 3 2 2 2" xfId="4599"/>
    <cellStyle name="Normal 16 3 2 2 2 2" xfId="4600"/>
    <cellStyle name="Normal 16 3 2 2 2 2 2" xfId="4601"/>
    <cellStyle name="Normal 16 3 2 2 2 2 2 2" xfId="4602"/>
    <cellStyle name="Normal 16 3 2 2 2 2 3" xfId="4603"/>
    <cellStyle name="Normal 16 3 2 2 2 3" xfId="4604"/>
    <cellStyle name="Normal 16 3 2 2 2 3 2" xfId="4605"/>
    <cellStyle name="Normal 16 3 2 2 2 4" xfId="4606"/>
    <cellStyle name="Normal 16 3 2 2 3" xfId="4607"/>
    <cellStyle name="Normal 16 3 2 2 3 2" xfId="4608"/>
    <cellStyle name="Normal 16 3 2 2 3 2 2" xfId="4609"/>
    <cellStyle name="Normal 16 3 2 2 3 2 2 2" xfId="4610"/>
    <cellStyle name="Normal 16 3 2 2 3 2 3" xfId="4611"/>
    <cellStyle name="Normal 16 3 2 2 3 3" xfId="4612"/>
    <cellStyle name="Normal 16 3 2 2 3 3 2" xfId="4613"/>
    <cellStyle name="Normal 16 3 2 2 3 4" xfId="4614"/>
    <cellStyle name="Normal 16 3 2 2 4" xfId="4615"/>
    <cellStyle name="Normal 16 3 2 2 4 2" xfId="4616"/>
    <cellStyle name="Normal 16 3 2 2 4 2 2" xfId="4617"/>
    <cellStyle name="Normal 16 3 2 2 4 3" xfId="4618"/>
    <cellStyle name="Normal 16 3 2 2 5" xfId="4619"/>
    <cellStyle name="Normal 16 3 2 2 5 2" xfId="4620"/>
    <cellStyle name="Normal 16 3 2 2 6" xfId="4621"/>
    <cellStyle name="Normal 16 3 2 3" xfId="4622"/>
    <cellStyle name="Normal 16 3 2 3 2" xfId="4623"/>
    <cellStyle name="Normal 16 3 2 3 2 2" xfId="4624"/>
    <cellStyle name="Normal 16 3 2 3 2 2 2" xfId="4625"/>
    <cellStyle name="Normal 16 3 2 3 2 3" xfId="4626"/>
    <cellStyle name="Normal 16 3 2 3 3" xfId="4627"/>
    <cellStyle name="Normal 16 3 2 3 3 2" xfId="4628"/>
    <cellStyle name="Normal 16 3 2 3 4" xfId="4629"/>
    <cellStyle name="Normal 16 3 2 4" xfId="4630"/>
    <cellStyle name="Normal 16 3 2 4 2" xfId="4631"/>
    <cellStyle name="Normal 16 3 2 4 2 2" xfId="4632"/>
    <cellStyle name="Normal 16 3 2 4 2 2 2" xfId="4633"/>
    <cellStyle name="Normal 16 3 2 4 2 3" xfId="4634"/>
    <cellStyle name="Normal 16 3 2 4 3" xfId="4635"/>
    <cellStyle name="Normal 16 3 2 4 3 2" xfId="4636"/>
    <cellStyle name="Normal 16 3 2 4 4" xfId="4637"/>
    <cellStyle name="Normal 16 3 2 5" xfId="4638"/>
    <cellStyle name="Normal 16 3 2 5 2" xfId="4639"/>
    <cellStyle name="Normal 16 3 2 5 2 2" xfId="4640"/>
    <cellStyle name="Normal 16 3 2 5 3" xfId="4641"/>
    <cellStyle name="Normal 16 3 2 6" xfId="4642"/>
    <cellStyle name="Normal 16 3 2 6 2" xfId="4643"/>
    <cellStyle name="Normal 16 3 2 7" xfId="4644"/>
    <cellStyle name="Normal 16 3 3" xfId="4645"/>
    <cellStyle name="Normal 16 3 3 2" xfId="4646"/>
    <cellStyle name="Normal 16 3 3 2 2" xfId="4647"/>
    <cellStyle name="Normal 16 3 3 2 2 2" xfId="4648"/>
    <cellStyle name="Normal 16 3 3 2 2 2 2" xfId="4649"/>
    <cellStyle name="Normal 16 3 3 2 2 3" xfId="4650"/>
    <cellStyle name="Normal 16 3 3 2 3" xfId="4651"/>
    <cellStyle name="Normal 16 3 3 2 3 2" xfId="4652"/>
    <cellStyle name="Normal 16 3 3 2 4" xfId="4653"/>
    <cellStyle name="Normal 16 3 3 3" xfId="4654"/>
    <cellStyle name="Normal 16 3 3 3 2" xfId="4655"/>
    <cellStyle name="Normal 16 3 3 3 2 2" xfId="4656"/>
    <cellStyle name="Normal 16 3 3 3 2 2 2" xfId="4657"/>
    <cellStyle name="Normal 16 3 3 3 2 3" xfId="4658"/>
    <cellStyle name="Normal 16 3 3 3 3" xfId="4659"/>
    <cellStyle name="Normal 16 3 3 3 3 2" xfId="4660"/>
    <cellStyle name="Normal 16 3 3 3 4" xfId="4661"/>
    <cellStyle name="Normal 16 3 3 4" xfId="4662"/>
    <cellStyle name="Normal 16 3 3 4 2" xfId="4663"/>
    <cellStyle name="Normal 16 3 3 4 2 2" xfId="4664"/>
    <cellStyle name="Normal 16 3 3 4 3" xfId="4665"/>
    <cellStyle name="Normal 16 3 3 5" xfId="4666"/>
    <cellStyle name="Normal 16 3 3 5 2" xfId="4667"/>
    <cellStyle name="Normal 16 3 3 6" xfId="4668"/>
    <cellStyle name="Normal 16 3 4" xfId="4669"/>
    <cellStyle name="Normal 16 3 4 2" xfId="4670"/>
    <cellStyle name="Normal 16 3 4 2 2" xfId="4671"/>
    <cellStyle name="Normal 16 3 4 2 2 2" xfId="4672"/>
    <cellStyle name="Normal 16 3 4 2 2 2 2" xfId="4673"/>
    <cellStyle name="Normal 16 3 4 2 2 3" xfId="4674"/>
    <cellStyle name="Normal 16 3 4 2 3" xfId="4675"/>
    <cellStyle name="Normal 16 3 4 2 3 2" xfId="4676"/>
    <cellStyle name="Normal 16 3 4 2 4" xfId="4677"/>
    <cellStyle name="Normal 16 3 4 3" xfId="4678"/>
    <cellStyle name="Normal 16 3 4 3 2" xfId="4679"/>
    <cellStyle name="Normal 16 3 4 3 2 2" xfId="4680"/>
    <cellStyle name="Normal 16 3 4 3 2 2 2" xfId="4681"/>
    <cellStyle name="Normal 16 3 4 3 2 3" xfId="4682"/>
    <cellStyle name="Normal 16 3 4 3 3" xfId="4683"/>
    <cellStyle name="Normal 16 3 4 3 3 2" xfId="4684"/>
    <cellStyle name="Normal 16 3 4 3 4" xfId="4685"/>
    <cellStyle name="Normal 16 3 4 4" xfId="4686"/>
    <cellStyle name="Normal 16 3 4 4 2" xfId="4687"/>
    <cellStyle name="Normal 16 3 4 4 2 2" xfId="4688"/>
    <cellStyle name="Normal 16 3 4 4 3" xfId="4689"/>
    <cellStyle name="Normal 16 3 4 5" xfId="4690"/>
    <cellStyle name="Normal 16 3 4 5 2" xfId="4691"/>
    <cellStyle name="Normal 16 3 4 6" xfId="4692"/>
    <cellStyle name="Normal 16 3 5" xfId="4693"/>
    <cellStyle name="Normal 16 3 5 2" xfId="4694"/>
    <cellStyle name="Normal 16 3 5 2 2" xfId="4695"/>
    <cellStyle name="Normal 16 3 5 2 2 2" xfId="4696"/>
    <cellStyle name="Normal 16 3 5 2 3" xfId="4697"/>
    <cellStyle name="Normal 16 3 5 3" xfId="4698"/>
    <cellStyle name="Normal 16 3 5 3 2" xfId="4699"/>
    <cellStyle name="Normal 16 3 5 4" xfId="4700"/>
    <cellStyle name="Normal 16 3 6" xfId="4701"/>
    <cellStyle name="Normal 16 3 6 2" xfId="4702"/>
    <cellStyle name="Normal 16 3 6 2 2" xfId="4703"/>
    <cellStyle name="Normal 16 3 6 2 2 2" xfId="4704"/>
    <cellStyle name="Normal 16 3 6 2 3" xfId="4705"/>
    <cellStyle name="Normal 16 3 6 3" xfId="4706"/>
    <cellStyle name="Normal 16 3 6 3 2" xfId="4707"/>
    <cellStyle name="Normal 16 3 6 4" xfId="4708"/>
    <cellStyle name="Normal 16 3 7" xfId="4709"/>
    <cellStyle name="Normal 16 3 7 2" xfId="4710"/>
    <cellStyle name="Normal 16 3 7 2 2" xfId="4711"/>
    <cellStyle name="Normal 16 3 7 2 2 2" xfId="4712"/>
    <cellStyle name="Normal 16 3 7 2 3" xfId="4713"/>
    <cellStyle name="Normal 16 3 7 3" xfId="4714"/>
    <cellStyle name="Normal 16 3 7 3 2" xfId="4715"/>
    <cellStyle name="Normal 16 3 7 4" xfId="4716"/>
    <cellStyle name="Normal 16 3 8" xfId="4717"/>
    <cellStyle name="Normal 16 3 8 2" xfId="4718"/>
    <cellStyle name="Normal 16 3 8 2 2" xfId="4719"/>
    <cellStyle name="Normal 16 3 8 3" xfId="4720"/>
    <cellStyle name="Normal 16 3 9" xfId="4721"/>
    <cellStyle name="Normal 16 3 9 2" xfId="4722"/>
    <cellStyle name="Normal 16 4" xfId="4723"/>
    <cellStyle name="Normal 16 4 2" xfId="4724"/>
    <cellStyle name="Normal 16 4 2 2" xfId="4725"/>
    <cellStyle name="Normal 16 4 2 2 2" xfId="4726"/>
    <cellStyle name="Normal 16 4 2 2 2 2" xfId="4727"/>
    <cellStyle name="Normal 16 4 2 2 2 2 2" xfId="4728"/>
    <cellStyle name="Normal 16 4 2 2 2 2 2 2" xfId="4729"/>
    <cellStyle name="Normal 16 4 2 2 2 2 3" xfId="4730"/>
    <cellStyle name="Normal 16 4 2 2 2 3" xfId="4731"/>
    <cellStyle name="Normal 16 4 2 2 2 3 2" xfId="4732"/>
    <cellStyle name="Normal 16 4 2 2 2 4" xfId="4733"/>
    <cellStyle name="Normal 16 4 2 2 3" xfId="4734"/>
    <cellStyle name="Normal 16 4 2 2 3 2" xfId="4735"/>
    <cellStyle name="Normal 16 4 2 2 3 2 2" xfId="4736"/>
    <cellStyle name="Normal 16 4 2 2 3 2 2 2" xfId="4737"/>
    <cellStyle name="Normal 16 4 2 2 3 2 3" xfId="4738"/>
    <cellStyle name="Normal 16 4 2 2 3 3" xfId="4739"/>
    <cellStyle name="Normal 16 4 2 2 3 3 2" xfId="4740"/>
    <cellStyle name="Normal 16 4 2 2 3 4" xfId="4741"/>
    <cellStyle name="Normal 16 4 2 2 4" xfId="4742"/>
    <cellStyle name="Normal 16 4 2 2 4 2" xfId="4743"/>
    <cellStyle name="Normal 16 4 2 2 4 2 2" xfId="4744"/>
    <cellStyle name="Normal 16 4 2 2 4 3" xfId="4745"/>
    <cellStyle name="Normal 16 4 2 2 5" xfId="4746"/>
    <cellStyle name="Normal 16 4 2 2 5 2" xfId="4747"/>
    <cellStyle name="Normal 16 4 2 2 6" xfId="4748"/>
    <cellStyle name="Normal 16 4 2 3" xfId="4749"/>
    <cellStyle name="Normal 16 4 2 3 2" xfId="4750"/>
    <cellStyle name="Normal 16 4 2 3 2 2" xfId="4751"/>
    <cellStyle name="Normal 16 4 2 3 2 2 2" xfId="4752"/>
    <cellStyle name="Normal 16 4 2 3 2 3" xfId="4753"/>
    <cellStyle name="Normal 16 4 2 3 3" xfId="4754"/>
    <cellStyle name="Normal 16 4 2 3 3 2" xfId="4755"/>
    <cellStyle name="Normal 16 4 2 3 4" xfId="4756"/>
    <cellStyle name="Normal 16 4 2 4" xfId="4757"/>
    <cellStyle name="Normal 16 4 2 4 2" xfId="4758"/>
    <cellStyle name="Normal 16 4 2 4 2 2" xfId="4759"/>
    <cellStyle name="Normal 16 4 2 4 2 2 2" xfId="4760"/>
    <cellStyle name="Normal 16 4 2 4 2 3" xfId="4761"/>
    <cellStyle name="Normal 16 4 2 4 3" xfId="4762"/>
    <cellStyle name="Normal 16 4 2 4 3 2" xfId="4763"/>
    <cellStyle name="Normal 16 4 2 4 4" xfId="4764"/>
    <cellStyle name="Normal 16 4 2 5" xfId="4765"/>
    <cellStyle name="Normal 16 4 2 5 2" xfId="4766"/>
    <cellStyle name="Normal 16 4 2 5 2 2" xfId="4767"/>
    <cellStyle name="Normal 16 4 2 5 3" xfId="4768"/>
    <cellStyle name="Normal 16 4 2 6" xfId="4769"/>
    <cellStyle name="Normal 16 4 2 6 2" xfId="4770"/>
    <cellStyle name="Normal 16 4 2 7" xfId="4771"/>
    <cellStyle name="Normal 16 4 3" xfId="4772"/>
    <cellStyle name="Normal 16 4 3 2" xfId="4773"/>
    <cellStyle name="Normal 16 4 3 2 2" xfId="4774"/>
    <cellStyle name="Normal 16 4 3 2 2 2" xfId="4775"/>
    <cellStyle name="Normal 16 4 3 2 2 2 2" xfId="4776"/>
    <cellStyle name="Normal 16 4 3 2 2 3" xfId="4777"/>
    <cellStyle name="Normal 16 4 3 2 3" xfId="4778"/>
    <cellStyle name="Normal 16 4 3 2 3 2" xfId="4779"/>
    <cellStyle name="Normal 16 4 3 2 4" xfId="4780"/>
    <cellStyle name="Normal 16 4 3 3" xfId="4781"/>
    <cellStyle name="Normal 16 4 3 3 2" xfId="4782"/>
    <cellStyle name="Normal 16 4 3 3 2 2" xfId="4783"/>
    <cellStyle name="Normal 16 4 3 3 2 2 2" xfId="4784"/>
    <cellStyle name="Normal 16 4 3 3 2 3" xfId="4785"/>
    <cellStyle name="Normal 16 4 3 3 3" xfId="4786"/>
    <cellStyle name="Normal 16 4 3 3 3 2" xfId="4787"/>
    <cellStyle name="Normal 16 4 3 3 4" xfId="4788"/>
    <cellStyle name="Normal 16 4 3 4" xfId="4789"/>
    <cellStyle name="Normal 16 4 3 4 2" xfId="4790"/>
    <cellStyle name="Normal 16 4 3 4 2 2" xfId="4791"/>
    <cellStyle name="Normal 16 4 3 4 3" xfId="4792"/>
    <cellStyle name="Normal 16 4 3 5" xfId="4793"/>
    <cellStyle name="Normal 16 4 3 5 2" xfId="4794"/>
    <cellStyle name="Normal 16 4 3 6" xfId="4795"/>
    <cellStyle name="Normal 16 4 4" xfId="4796"/>
    <cellStyle name="Normal 16 4 4 2" xfId="4797"/>
    <cellStyle name="Normal 16 4 4 2 2" xfId="4798"/>
    <cellStyle name="Normal 16 4 4 2 2 2" xfId="4799"/>
    <cellStyle name="Normal 16 4 4 2 2 2 2" xfId="4800"/>
    <cellStyle name="Normal 16 4 4 2 2 3" xfId="4801"/>
    <cellStyle name="Normal 16 4 4 2 3" xfId="4802"/>
    <cellStyle name="Normal 16 4 4 2 3 2" xfId="4803"/>
    <cellStyle name="Normal 16 4 4 2 4" xfId="4804"/>
    <cellStyle name="Normal 16 4 4 3" xfId="4805"/>
    <cellStyle name="Normal 16 4 4 3 2" xfId="4806"/>
    <cellStyle name="Normal 16 4 4 3 2 2" xfId="4807"/>
    <cellStyle name="Normal 16 4 4 3 2 2 2" xfId="4808"/>
    <cellStyle name="Normal 16 4 4 3 2 3" xfId="4809"/>
    <cellStyle name="Normal 16 4 4 3 3" xfId="4810"/>
    <cellStyle name="Normal 16 4 4 3 3 2" xfId="4811"/>
    <cellStyle name="Normal 16 4 4 3 4" xfId="4812"/>
    <cellStyle name="Normal 16 4 4 4" xfId="4813"/>
    <cellStyle name="Normal 16 4 4 4 2" xfId="4814"/>
    <cellStyle name="Normal 16 4 4 4 2 2" xfId="4815"/>
    <cellStyle name="Normal 16 4 4 4 3" xfId="4816"/>
    <cellStyle name="Normal 16 4 4 5" xfId="4817"/>
    <cellStyle name="Normal 16 4 4 5 2" xfId="4818"/>
    <cellStyle name="Normal 16 4 4 6" xfId="4819"/>
    <cellStyle name="Normal 16 4 5" xfId="4820"/>
    <cellStyle name="Normal 16 4 5 2" xfId="4821"/>
    <cellStyle name="Normal 16 4 5 2 2" xfId="4822"/>
    <cellStyle name="Normal 16 4 5 2 2 2" xfId="4823"/>
    <cellStyle name="Normal 16 4 5 2 3" xfId="4824"/>
    <cellStyle name="Normal 16 4 5 3" xfId="4825"/>
    <cellStyle name="Normal 16 4 5 3 2" xfId="4826"/>
    <cellStyle name="Normal 16 4 5 4" xfId="4827"/>
    <cellStyle name="Normal 16 4 6" xfId="4828"/>
    <cellStyle name="Normal 16 4 6 2" xfId="4829"/>
    <cellStyle name="Normal 16 4 6 2 2" xfId="4830"/>
    <cellStyle name="Normal 16 4 6 2 2 2" xfId="4831"/>
    <cellStyle name="Normal 16 4 6 2 3" xfId="4832"/>
    <cellStyle name="Normal 16 4 6 3" xfId="4833"/>
    <cellStyle name="Normal 16 4 6 3 2" xfId="4834"/>
    <cellStyle name="Normal 16 4 6 4" xfId="4835"/>
    <cellStyle name="Normal 16 4 7" xfId="4836"/>
    <cellStyle name="Normal 16 4 7 2" xfId="4837"/>
    <cellStyle name="Normal 16 4 7 2 2" xfId="4838"/>
    <cellStyle name="Normal 16 4 7 3" xfId="4839"/>
    <cellStyle name="Normal 16 4 8" xfId="4840"/>
    <cellStyle name="Normal 16 4 8 2" xfId="4841"/>
    <cellStyle name="Normal 16 4 9" xfId="4842"/>
    <cellStyle name="Normal 16 5" xfId="4843"/>
    <cellStyle name="Normal 16 5 2" xfId="4844"/>
    <cellStyle name="Normal 16 5 2 2" xfId="4845"/>
    <cellStyle name="Normal 16 5 2 2 2" xfId="4846"/>
    <cellStyle name="Normal 16 5 2 2 2 2" xfId="4847"/>
    <cellStyle name="Normal 16 5 2 2 2 2 2" xfId="4848"/>
    <cellStyle name="Normal 16 5 2 2 2 3" xfId="4849"/>
    <cellStyle name="Normal 16 5 2 2 3" xfId="4850"/>
    <cellStyle name="Normal 16 5 2 2 3 2" xfId="4851"/>
    <cellStyle name="Normal 16 5 2 2 4" xfId="4852"/>
    <cellStyle name="Normal 16 5 2 3" xfId="4853"/>
    <cellStyle name="Normal 16 5 2 3 2" xfId="4854"/>
    <cellStyle name="Normal 16 5 2 3 2 2" xfId="4855"/>
    <cellStyle name="Normal 16 5 2 3 2 2 2" xfId="4856"/>
    <cellStyle name="Normal 16 5 2 3 2 3" xfId="4857"/>
    <cellStyle name="Normal 16 5 2 3 3" xfId="4858"/>
    <cellStyle name="Normal 16 5 2 3 3 2" xfId="4859"/>
    <cellStyle name="Normal 16 5 2 3 4" xfId="4860"/>
    <cellStyle name="Normal 16 5 2 4" xfId="4861"/>
    <cellStyle name="Normal 16 5 2 4 2" xfId="4862"/>
    <cellStyle name="Normal 16 5 2 4 2 2" xfId="4863"/>
    <cellStyle name="Normal 16 5 2 4 3" xfId="4864"/>
    <cellStyle name="Normal 16 5 2 5" xfId="4865"/>
    <cellStyle name="Normal 16 5 2 5 2" xfId="4866"/>
    <cellStyle name="Normal 16 5 2 6" xfId="4867"/>
    <cellStyle name="Normal 16 5 3" xfId="4868"/>
    <cellStyle name="Normal 16 5 3 2" xfId="4869"/>
    <cellStyle name="Normal 16 5 3 2 2" xfId="4870"/>
    <cellStyle name="Normal 16 5 3 2 2 2" xfId="4871"/>
    <cellStyle name="Normal 16 5 3 2 3" xfId="4872"/>
    <cellStyle name="Normal 16 5 3 3" xfId="4873"/>
    <cellStyle name="Normal 16 5 3 3 2" xfId="4874"/>
    <cellStyle name="Normal 16 5 3 4" xfId="4875"/>
    <cellStyle name="Normal 16 5 4" xfId="4876"/>
    <cellStyle name="Normal 16 5 4 2" xfId="4877"/>
    <cellStyle name="Normal 16 5 4 2 2" xfId="4878"/>
    <cellStyle name="Normal 16 5 4 2 2 2" xfId="4879"/>
    <cellStyle name="Normal 16 5 4 2 3" xfId="4880"/>
    <cellStyle name="Normal 16 5 4 3" xfId="4881"/>
    <cellStyle name="Normal 16 5 4 3 2" xfId="4882"/>
    <cellStyle name="Normal 16 5 4 4" xfId="4883"/>
    <cellStyle name="Normal 16 5 5" xfId="4884"/>
    <cellStyle name="Normal 16 5 5 2" xfId="4885"/>
    <cellStyle name="Normal 16 5 5 2 2" xfId="4886"/>
    <cellStyle name="Normal 16 5 5 3" xfId="4887"/>
    <cellStyle name="Normal 16 5 6" xfId="4888"/>
    <cellStyle name="Normal 16 5 6 2" xfId="4889"/>
    <cellStyle name="Normal 16 5 7" xfId="4890"/>
    <cellStyle name="Normal 16 6" xfId="4891"/>
    <cellStyle name="Normal 16 6 2" xfId="4892"/>
    <cellStyle name="Normal 16 6 2 2" xfId="4893"/>
    <cellStyle name="Normal 16 6 2 2 2" xfId="4894"/>
    <cellStyle name="Normal 16 6 2 2 2 2" xfId="4895"/>
    <cellStyle name="Normal 16 6 2 2 3" xfId="4896"/>
    <cellStyle name="Normal 16 6 2 3" xfId="4897"/>
    <cellStyle name="Normal 16 6 2 3 2" xfId="4898"/>
    <cellStyle name="Normal 16 6 2 4" xfId="4899"/>
    <cellStyle name="Normal 16 6 3" xfId="4900"/>
    <cellStyle name="Normal 16 6 3 2" xfId="4901"/>
    <cellStyle name="Normal 16 6 3 2 2" xfId="4902"/>
    <cellStyle name="Normal 16 6 3 2 2 2" xfId="4903"/>
    <cellStyle name="Normal 16 6 3 2 3" xfId="4904"/>
    <cellStyle name="Normal 16 6 3 3" xfId="4905"/>
    <cellStyle name="Normal 16 6 3 3 2" xfId="4906"/>
    <cellStyle name="Normal 16 6 3 4" xfId="4907"/>
    <cellStyle name="Normal 16 6 4" xfId="4908"/>
    <cellStyle name="Normal 16 6 4 2" xfId="4909"/>
    <cellStyle name="Normal 16 6 4 2 2" xfId="4910"/>
    <cellStyle name="Normal 16 6 4 3" xfId="4911"/>
    <cellStyle name="Normal 16 6 5" xfId="4912"/>
    <cellStyle name="Normal 16 6 5 2" xfId="4913"/>
    <cellStyle name="Normal 16 6 6" xfId="4914"/>
    <cellStyle name="Normal 16 7" xfId="4915"/>
    <cellStyle name="Normal 16 7 2" xfId="4916"/>
    <cellStyle name="Normal 16 7 2 2" xfId="4917"/>
    <cellStyle name="Normal 16 7 2 2 2" xfId="4918"/>
    <cellStyle name="Normal 16 7 2 2 2 2" xfId="4919"/>
    <cellStyle name="Normal 16 7 2 2 3" xfId="4920"/>
    <cellStyle name="Normal 16 7 2 3" xfId="4921"/>
    <cellStyle name="Normal 16 7 2 3 2" xfId="4922"/>
    <cellStyle name="Normal 16 7 2 4" xfId="4923"/>
    <cellStyle name="Normal 16 7 3" xfId="4924"/>
    <cellStyle name="Normal 16 7 3 2" xfId="4925"/>
    <cellStyle name="Normal 16 7 3 2 2" xfId="4926"/>
    <cellStyle name="Normal 16 7 3 2 2 2" xfId="4927"/>
    <cellStyle name="Normal 16 7 3 2 3" xfId="4928"/>
    <cellStyle name="Normal 16 7 3 3" xfId="4929"/>
    <cellStyle name="Normal 16 7 3 3 2" xfId="4930"/>
    <cellStyle name="Normal 16 7 3 4" xfId="4931"/>
    <cellStyle name="Normal 16 7 4" xfId="4932"/>
    <cellStyle name="Normal 16 7 4 2" xfId="4933"/>
    <cellStyle name="Normal 16 7 4 2 2" xfId="4934"/>
    <cellStyle name="Normal 16 7 4 3" xfId="4935"/>
    <cellStyle name="Normal 16 7 5" xfId="4936"/>
    <cellStyle name="Normal 16 7 5 2" xfId="4937"/>
    <cellStyle name="Normal 16 7 6" xfId="4938"/>
    <cellStyle name="Normal 16 8" xfId="4939"/>
    <cellStyle name="Normal 16 8 2" xfId="4940"/>
    <cellStyle name="Normal 16 8 2 2" xfId="4941"/>
    <cellStyle name="Normal 16 8 2 2 2" xfId="4942"/>
    <cellStyle name="Normal 16 8 2 3" xfId="4943"/>
    <cellStyle name="Normal 16 8 3" xfId="4944"/>
    <cellStyle name="Normal 16 8 3 2" xfId="4945"/>
    <cellStyle name="Normal 16 8 4" xfId="4946"/>
    <cellStyle name="Normal 16 9" xfId="4947"/>
    <cellStyle name="Normal 16 9 2" xfId="4948"/>
    <cellStyle name="Normal 16 9 2 2" xfId="4949"/>
    <cellStyle name="Normal 16 9 2 2 2" xfId="4950"/>
    <cellStyle name="Normal 16 9 2 3" xfId="4951"/>
    <cellStyle name="Normal 16 9 3" xfId="4952"/>
    <cellStyle name="Normal 16 9 3 2" xfId="4953"/>
    <cellStyle name="Normal 16 9 4" xfId="4954"/>
    <cellStyle name="Normal 160" xfId="4955"/>
    <cellStyle name="Normal 160 2" xfId="4956"/>
    <cellStyle name="Normal 160 3" xfId="4957"/>
    <cellStyle name="Normal 161" xfId="4958"/>
    <cellStyle name="Normal 161 2" xfId="4959"/>
    <cellStyle name="Normal 161 3" xfId="4960"/>
    <cellStyle name="Normal 162" xfId="4961"/>
    <cellStyle name="Normal 163" xfId="4962"/>
    <cellStyle name="Normal 164" xfId="4963"/>
    <cellStyle name="Normal 165" xfId="4964"/>
    <cellStyle name="Normal 166" xfId="4965"/>
    <cellStyle name="Normal 167" xfId="4966"/>
    <cellStyle name="Normal 168" xfId="4967"/>
    <cellStyle name="Normal 169" xfId="4968"/>
    <cellStyle name="Normal 17" xfId="4969"/>
    <cellStyle name="Normal 17 10" xfId="4970"/>
    <cellStyle name="Normal 17 10 2" xfId="4971"/>
    <cellStyle name="Normal 17 10 2 2" xfId="4972"/>
    <cellStyle name="Normal 17 10 2 2 2" xfId="4973"/>
    <cellStyle name="Normal 17 10 2 3" xfId="4974"/>
    <cellStyle name="Normal 17 10 3" xfId="4975"/>
    <cellStyle name="Normal 17 10 3 2" xfId="4976"/>
    <cellStyle name="Normal 17 10 4" xfId="4977"/>
    <cellStyle name="Normal 17 11" xfId="4978"/>
    <cellStyle name="Normal 17 11 2" xfId="4979"/>
    <cellStyle name="Normal 17 11 2 2" xfId="4980"/>
    <cellStyle name="Normal 17 11 3" xfId="4981"/>
    <cellStyle name="Normal 17 12" xfId="4982"/>
    <cellStyle name="Normal 17 12 2" xfId="4983"/>
    <cellStyle name="Normal 17 13" xfId="4984"/>
    <cellStyle name="Normal 17 2" xfId="4985"/>
    <cellStyle name="Normal 17 3" xfId="4986"/>
    <cellStyle name="Normal 17 3 10" xfId="4987"/>
    <cellStyle name="Normal 17 3 2" xfId="4988"/>
    <cellStyle name="Normal 17 3 2 2" xfId="4989"/>
    <cellStyle name="Normal 17 3 2 2 2" xfId="4990"/>
    <cellStyle name="Normal 17 3 2 2 2 2" xfId="4991"/>
    <cellStyle name="Normal 17 3 2 2 2 2 2" xfId="4992"/>
    <cellStyle name="Normal 17 3 2 2 2 2 2 2" xfId="4993"/>
    <cellStyle name="Normal 17 3 2 2 2 2 3" xfId="4994"/>
    <cellStyle name="Normal 17 3 2 2 2 3" xfId="4995"/>
    <cellStyle name="Normal 17 3 2 2 2 3 2" xfId="4996"/>
    <cellStyle name="Normal 17 3 2 2 2 4" xfId="4997"/>
    <cellStyle name="Normal 17 3 2 2 3" xfId="4998"/>
    <cellStyle name="Normal 17 3 2 2 3 2" xfId="4999"/>
    <cellStyle name="Normal 17 3 2 2 3 2 2" xfId="5000"/>
    <cellStyle name="Normal 17 3 2 2 3 2 2 2" xfId="5001"/>
    <cellStyle name="Normal 17 3 2 2 3 2 3" xfId="5002"/>
    <cellStyle name="Normal 17 3 2 2 3 3" xfId="5003"/>
    <cellStyle name="Normal 17 3 2 2 3 3 2" xfId="5004"/>
    <cellStyle name="Normal 17 3 2 2 3 4" xfId="5005"/>
    <cellStyle name="Normal 17 3 2 2 4" xfId="5006"/>
    <cellStyle name="Normal 17 3 2 2 4 2" xfId="5007"/>
    <cellStyle name="Normal 17 3 2 2 4 2 2" xfId="5008"/>
    <cellStyle name="Normal 17 3 2 2 4 3" xfId="5009"/>
    <cellStyle name="Normal 17 3 2 2 5" xfId="5010"/>
    <cellStyle name="Normal 17 3 2 2 5 2" xfId="5011"/>
    <cellStyle name="Normal 17 3 2 2 6" xfId="5012"/>
    <cellStyle name="Normal 17 3 2 3" xfId="5013"/>
    <cellStyle name="Normal 17 3 2 3 2" xfId="5014"/>
    <cellStyle name="Normal 17 3 2 3 2 2" xfId="5015"/>
    <cellStyle name="Normal 17 3 2 3 2 2 2" xfId="5016"/>
    <cellStyle name="Normal 17 3 2 3 2 3" xfId="5017"/>
    <cellStyle name="Normal 17 3 2 3 3" xfId="5018"/>
    <cellStyle name="Normal 17 3 2 3 3 2" xfId="5019"/>
    <cellStyle name="Normal 17 3 2 3 4" xfId="5020"/>
    <cellStyle name="Normal 17 3 2 4" xfId="5021"/>
    <cellStyle name="Normal 17 3 2 4 2" xfId="5022"/>
    <cellStyle name="Normal 17 3 2 4 2 2" xfId="5023"/>
    <cellStyle name="Normal 17 3 2 4 2 2 2" xfId="5024"/>
    <cellStyle name="Normal 17 3 2 4 2 3" xfId="5025"/>
    <cellStyle name="Normal 17 3 2 4 3" xfId="5026"/>
    <cellStyle name="Normal 17 3 2 4 3 2" xfId="5027"/>
    <cellStyle name="Normal 17 3 2 4 4" xfId="5028"/>
    <cellStyle name="Normal 17 3 2 5" xfId="5029"/>
    <cellStyle name="Normal 17 3 2 5 2" xfId="5030"/>
    <cellStyle name="Normal 17 3 2 5 2 2" xfId="5031"/>
    <cellStyle name="Normal 17 3 2 5 3" xfId="5032"/>
    <cellStyle name="Normal 17 3 2 6" xfId="5033"/>
    <cellStyle name="Normal 17 3 2 6 2" xfId="5034"/>
    <cellStyle name="Normal 17 3 2 7" xfId="5035"/>
    <cellStyle name="Normal 17 3 3" xfId="5036"/>
    <cellStyle name="Normal 17 3 3 2" xfId="5037"/>
    <cellStyle name="Normal 17 3 3 2 2" xfId="5038"/>
    <cellStyle name="Normal 17 3 3 2 2 2" xfId="5039"/>
    <cellStyle name="Normal 17 3 3 2 2 2 2" xfId="5040"/>
    <cellStyle name="Normal 17 3 3 2 2 3" xfId="5041"/>
    <cellStyle name="Normal 17 3 3 2 3" xfId="5042"/>
    <cellStyle name="Normal 17 3 3 2 3 2" xfId="5043"/>
    <cellStyle name="Normal 17 3 3 2 4" xfId="5044"/>
    <cellStyle name="Normal 17 3 3 3" xfId="5045"/>
    <cellStyle name="Normal 17 3 3 3 2" xfId="5046"/>
    <cellStyle name="Normal 17 3 3 3 2 2" xfId="5047"/>
    <cellStyle name="Normal 17 3 3 3 2 2 2" xfId="5048"/>
    <cellStyle name="Normal 17 3 3 3 2 3" xfId="5049"/>
    <cellStyle name="Normal 17 3 3 3 3" xfId="5050"/>
    <cellStyle name="Normal 17 3 3 3 3 2" xfId="5051"/>
    <cellStyle name="Normal 17 3 3 3 4" xfId="5052"/>
    <cellStyle name="Normal 17 3 3 4" xfId="5053"/>
    <cellStyle name="Normal 17 3 3 4 2" xfId="5054"/>
    <cellStyle name="Normal 17 3 3 4 2 2" xfId="5055"/>
    <cellStyle name="Normal 17 3 3 4 3" xfId="5056"/>
    <cellStyle name="Normal 17 3 3 5" xfId="5057"/>
    <cellStyle name="Normal 17 3 3 5 2" xfId="5058"/>
    <cellStyle name="Normal 17 3 3 6" xfId="5059"/>
    <cellStyle name="Normal 17 3 4" xfId="5060"/>
    <cellStyle name="Normal 17 3 4 2" xfId="5061"/>
    <cellStyle name="Normal 17 3 4 2 2" xfId="5062"/>
    <cellStyle name="Normal 17 3 4 2 2 2" xfId="5063"/>
    <cellStyle name="Normal 17 3 4 2 2 2 2" xfId="5064"/>
    <cellStyle name="Normal 17 3 4 2 2 3" xfId="5065"/>
    <cellStyle name="Normal 17 3 4 2 3" xfId="5066"/>
    <cellStyle name="Normal 17 3 4 2 3 2" xfId="5067"/>
    <cellStyle name="Normal 17 3 4 2 4" xfId="5068"/>
    <cellStyle name="Normal 17 3 4 3" xfId="5069"/>
    <cellStyle name="Normal 17 3 4 3 2" xfId="5070"/>
    <cellStyle name="Normal 17 3 4 3 2 2" xfId="5071"/>
    <cellStyle name="Normal 17 3 4 3 2 2 2" xfId="5072"/>
    <cellStyle name="Normal 17 3 4 3 2 3" xfId="5073"/>
    <cellStyle name="Normal 17 3 4 3 3" xfId="5074"/>
    <cellStyle name="Normal 17 3 4 3 3 2" xfId="5075"/>
    <cellStyle name="Normal 17 3 4 3 4" xfId="5076"/>
    <cellStyle name="Normal 17 3 4 4" xfId="5077"/>
    <cellStyle name="Normal 17 3 4 4 2" xfId="5078"/>
    <cellStyle name="Normal 17 3 4 4 2 2" xfId="5079"/>
    <cellStyle name="Normal 17 3 4 4 3" xfId="5080"/>
    <cellStyle name="Normal 17 3 4 5" xfId="5081"/>
    <cellStyle name="Normal 17 3 4 5 2" xfId="5082"/>
    <cellStyle name="Normal 17 3 4 6" xfId="5083"/>
    <cellStyle name="Normal 17 3 5" xfId="5084"/>
    <cellStyle name="Normal 17 3 5 2" xfId="5085"/>
    <cellStyle name="Normal 17 3 5 2 2" xfId="5086"/>
    <cellStyle name="Normal 17 3 5 2 2 2" xfId="5087"/>
    <cellStyle name="Normal 17 3 5 2 3" xfId="5088"/>
    <cellStyle name="Normal 17 3 5 3" xfId="5089"/>
    <cellStyle name="Normal 17 3 5 3 2" xfId="5090"/>
    <cellStyle name="Normal 17 3 5 4" xfId="5091"/>
    <cellStyle name="Normal 17 3 6" xfId="5092"/>
    <cellStyle name="Normal 17 3 6 2" xfId="5093"/>
    <cellStyle name="Normal 17 3 6 2 2" xfId="5094"/>
    <cellStyle name="Normal 17 3 6 2 2 2" xfId="5095"/>
    <cellStyle name="Normal 17 3 6 2 3" xfId="5096"/>
    <cellStyle name="Normal 17 3 6 3" xfId="5097"/>
    <cellStyle name="Normal 17 3 6 3 2" xfId="5098"/>
    <cellStyle name="Normal 17 3 6 4" xfId="5099"/>
    <cellStyle name="Normal 17 3 7" xfId="5100"/>
    <cellStyle name="Normal 17 3 7 2" xfId="5101"/>
    <cellStyle name="Normal 17 3 7 2 2" xfId="5102"/>
    <cellStyle name="Normal 17 3 7 2 2 2" xfId="5103"/>
    <cellStyle name="Normal 17 3 7 2 3" xfId="5104"/>
    <cellStyle name="Normal 17 3 7 3" xfId="5105"/>
    <cellStyle name="Normal 17 3 7 3 2" xfId="5106"/>
    <cellStyle name="Normal 17 3 7 4" xfId="5107"/>
    <cellStyle name="Normal 17 3 8" xfId="5108"/>
    <cellStyle name="Normal 17 3 8 2" xfId="5109"/>
    <cellStyle name="Normal 17 3 8 2 2" xfId="5110"/>
    <cellStyle name="Normal 17 3 8 3" xfId="5111"/>
    <cellStyle name="Normal 17 3 9" xfId="5112"/>
    <cellStyle name="Normal 17 3 9 2" xfId="5113"/>
    <cellStyle name="Normal 17 4" xfId="5114"/>
    <cellStyle name="Normal 17 4 2" xfId="5115"/>
    <cellStyle name="Normal 17 4 2 2" xfId="5116"/>
    <cellStyle name="Normal 17 4 2 2 2" xfId="5117"/>
    <cellStyle name="Normal 17 4 2 2 2 2" xfId="5118"/>
    <cellStyle name="Normal 17 4 2 2 2 2 2" xfId="5119"/>
    <cellStyle name="Normal 17 4 2 2 2 2 2 2" xfId="5120"/>
    <cellStyle name="Normal 17 4 2 2 2 2 3" xfId="5121"/>
    <cellStyle name="Normal 17 4 2 2 2 3" xfId="5122"/>
    <cellStyle name="Normal 17 4 2 2 2 3 2" xfId="5123"/>
    <cellStyle name="Normal 17 4 2 2 2 4" xfId="5124"/>
    <cellStyle name="Normal 17 4 2 2 3" xfId="5125"/>
    <cellStyle name="Normal 17 4 2 2 3 2" xfId="5126"/>
    <cellStyle name="Normal 17 4 2 2 3 2 2" xfId="5127"/>
    <cellStyle name="Normal 17 4 2 2 3 2 2 2" xfId="5128"/>
    <cellStyle name="Normal 17 4 2 2 3 2 3" xfId="5129"/>
    <cellStyle name="Normal 17 4 2 2 3 3" xfId="5130"/>
    <cellStyle name="Normal 17 4 2 2 3 3 2" xfId="5131"/>
    <cellStyle name="Normal 17 4 2 2 3 4" xfId="5132"/>
    <cellStyle name="Normal 17 4 2 2 4" xfId="5133"/>
    <cellStyle name="Normal 17 4 2 2 4 2" xfId="5134"/>
    <cellStyle name="Normal 17 4 2 2 4 2 2" xfId="5135"/>
    <cellStyle name="Normal 17 4 2 2 4 3" xfId="5136"/>
    <cellStyle name="Normal 17 4 2 2 5" xfId="5137"/>
    <cellStyle name="Normal 17 4 2 2 5 2" xfId="5138"/>
    <cellStyle name="Normal 17 4 2 2 6" xfId="5139"/>
    <cellStyle name="Normal 17 4 2 3" xfId="5140"/>
    <cellStyle name="Normal 17 4 2 3 2" xfId="5141"/>
    <cellStyle name="Normal 17 4 2 3 2 2" xfId="5142"/>
    <cellStyle name="Normal 17 4 2 3 2 2 2" xfId="5143"/>
    <cellStyle name="Normal 17 4 2 3 2 3" xfId="5144"/>
    <cellStyle name="Normal 17 4 2 3 3" xfId="5145"/>
    <cellStyle name="Normal 17 4 2 3 3 2" xfId="5146"/>
    <cellStyle name="Normal 17 4 2 3 4" xfId="5147"/>
    <cellStyle name="Normal 17 4 2 4" xfId="5148"/>
    <cellStyle name="Normal 17 4 2 4 2" xfId="5149"/>
    <cellStyle name="Normal 17 4 2 4 2 2" xfId="5150"/>
    <cellStyle name="Normal 17 4 2 4 2 2 2" xfId="5151"/>
    <cellStyle name="Normal 17 4 2 4 2 3" xfId="5152"/>
    <cellStyle name="Normal 17 4 2 4 3" xfId="5153"/>
    <cellStyle name="Normal 17 4 2 4 3 2" xfId="5154"/>
    <cellStyle name="Normal 17 4 2 4 4" xfId="5155"/>
    <cellStyle name="Normal 17 4 2 5" xfId="5156"/>
    <cellStyle name="Normal 17 4 2 5 2" xfId="5157"/>
    <cellStyle name="Normal 17 4 2 5 2 2" xfId="5158"/>
    <cellStyle name="Normal 17 4 2 5 3" xfId="5159"/>
    <cellStyle name="Normal 17 4 2 6" xfId="5160"/>
    <cellStyle name="Normal 17 4 2 6 2" xfId="5161"/>
    <cellStyle name="Normal 17 4 2 7" xfId="5162"/>
    <cellStyle name="Normal 17 4 3" xfId="5163"/>
    <cellStyle name="Normal 17 4 3 2" xfId="5164"/>
    <cellStyle name="Normal 17 4 3 2 2" xfId="5165"/>
    <cellStyle name="Normal 17 4 3 2 2 2" xfId="5166"/>
    <cellStyle name="Normal 17 4 3 2 2 2 2" xfId="5167"/>
    <cellStyle name="Normal 17 4 3 2 2 3" xfId="5168"/>
    <cellStyle name="Normal 17 4 3 2 3" xfId="5169"/>
    <cellStyle name="Normal 17 4 3 2 3 2" xfId="5170"/>
    <cellStyle name="Normal 17 4 3 2 4" xfId="5171"/>
    <cellStyle name="Normal 17 4 3 3" xfId="5172"/>
    <cellStyle name="Normal 17 4 3 3 2" xfId="5173"/>
    <cellStyle name="Normal 17 4 3 3 2 2" xfId="5174"/>
    <cellStyle name="Normal 17 4 3 3 2 2 2" xfId="5175"/>
    <cellStyle name="Normal 17 4 3 3 2 3" xfId="5176"/>
    <cellStyle name="Normal 17 4 3 3 3" xfId="5177"/>
    <cellStyle name="Normal 17 4 3 3 3 2" xfId="5178"/>
    <cellStyle name="Normal 17 4 3 3 4" xfId="5179"/>
    <cellStyle name="Normal 17 4 3 4" xfId="5180"/>
    <cellStyle name="Normal 17 4 3 4 2" xfId="5181"/>
    <cellStyle name="Normal 17 4 3 4 2 2" xfId="5182"/>
    <cellStyle name="Normal 17 4 3 4 3" xfId="5183"/>
    <cellStyle name="Normal 17 4 3 5" xfId="5184"/>
    <cellStyle name="Normal 17 4 3 5 2" xfId="5185"/>
    <cellStyle name="Normal 17 4 3 6" xfId="5186"/>
    <cellStyle name="Normal 17 4 4" xfId="5187"/>
    <cellStyle name="Normal 17 4 4 2" xfId="5188"/>
    <cellStyle name="Normal 17 4 4 2 2" xfId="5189"/>
    <cellStyle name="Normal 17 4 4 2 2 2" xfId="5190"/>
    <cellStyle name="Normal 17 4 4 2 2 2 2" xfId="5191"/>
    <cellStyle name="Normal 17 4 4 2 2 3" xfId="5192"/>
    <cellStyle name="Normal 17 4 4 2 3" xfId="5193"/>
    <cellStyle name="Normal 17 4 4 2 3 2" xfId="5194"/>
    <cellStyle name="Normal 17 4 4 2 4" xfId="5195"/>
    <cellStyle name="Normal 17 4 4 3" xfId="5196"/>
    <cellStyle name="Normal 17 4 4 3 2" xfId="5197"/>
    <cellStyle name="Normal 17 4 4 3 2 2" xfId="5198"/>
    <cellStyle name="Normal 17 4 4 3 2 2 2" xfId="5199"/>
    <cellStyle name="Normal 17 4 4 3 2 3" xfId="5200"/>
    <cellStyle name="Normal 17 4 4 3 3" xfId="5201"/>
    <cellStyle name="Normal 17 4 4 3 3 2" xfId="5202"/>
    <cellStyle name="Normal 17 4 4 3 4" xfId="5203"/>
    <cellStyle name="Normal 17 4 4 4" xfId="5204"/>
    <cellStyle name="Normal 17 4 4 4 2" xfId="5205"/>
    <cellStyle name="Normal 17 4 4 4 2 2" xfId="5206"/>
    <cellStyle name="Normal 17 4 4 4 3" xfId="5207"/>
    <cellStyle name="Normal 17 4 4 5" xfId="5208"/>
    <cellStyle name="Normal 17 4 4 5 2" xfId="5209"/>
    <cellStyle name="Normal 17 4 4 6" xfId="5210"/>
    <cellStyle name="Normal 17 4 5" xfId="5211"/>
    <cellStyle name="Normal 17 4 5 2" xfId="5212"/>
    <cellStyle name="Normal 17 4 5 2 2" xfId="5213"/>
    <cellStyle name="Normal 17 4 5 2 2 2" xfId="5214"/>
    <cellStyle name="Normal 17 4 5 2 3" xfId="5215"/>
    <cellStyle name="Normal 17 4 5 3" xfId="5216"/>
    <cellStyle name="Normal 17 4 5 3 2" xfId="5217"/>
    <cellStyle name="Normal 17 4 5 4" xfId="5218"/>
    <cellStyle name="Normal 17 4 6" xfId="5219"/>
    <cellStyle name="Normal 17 4 6 2" xfId="5220"/>
    <cellStyle name="Normal 17 4 6 2 2" xfId="5221"/>
    <cellStyle name="Normal 17 4 6 2 2 2" xfId="5222"/>
    <cellStyle name="Normal 17 4 6 2 3" xfId="5223"/>
    <cellStyle name="Normal 17 4 6 3" xfId="5224"/>
    <cellStyle name="Normal 17 4 6 3 2" xfId="5225"/>
    <cellStyle name="Normal 17 4 6 4" xfId="5226"/>
    <cellStyle name="Normal 17 4 7" xfId="5227"/>
    <cellStyle name="Normal 17 4 7 2" xfId="5228"/>
    <cellStyle name="Normal 17 4 7 2 2" xfId="5229"/>
    <cellStyle name="Normal 17 4 7 3" xfId="5230"/>
    <cellStyle name="Normal 17 4 8" xfId="5231"/>
    <cellStyle name="Normal 17 4 8 2" xfId="5232"/>
    <cellStyle name="Normal 17 4 9" xfId="5233"/>
    <cellStyle name="Normal 17 5" xfId="5234"/>
    <cellStyle name="Normal 17 5 2" xfId="5235"/>
    <cellStyle name="Normal 17 5 2 2" xfId="5236"/>
    <cellStyle name="Normal 17 5 2 2 2" xfId="5237"/>
    <cellStyle name="Normal 17 5 2 2 2 2" xfId="5238"/>
    <cellStyle name="Normal 17 5 2 2 2 2 2" xfId="5239"/>
    <cellStyle name="Normal 17 5 2 2 2 3" xfId="5240"/>
    <cellStyle name="Normal 17 5 2 2 3" xfId="5241"/>
    <cellStyle name="Normal 17 5 2 2 3 2" xfId="5242"/>
    <cellStyle name="Normal 17 5 2 2 4" xfId="5243"/>
    <cellStyle name="Normal 17 5 2 3" xfId="5244"/>
    <cellStyle name="Normal 17 5 2 3 2" xfId="5245"/>
    <cellStyle name="Normal 17 5 2 3 2 2" xfId="5246"/>
    <cellStyle name="Normal 17 5 2 3 2 2 2" xfId="5247"/>
    <cellStyle name="Normal 17 5 2 3 2 3" xfId="5248"/>
    <cellStyle name="Normal 17 5 2 3 3" xfId="5249"/>
    <cellStyle name="Normal 17 5 2 3 3 2" xfId="5250"/>
    <cellStyle name="Normal 17 5 2 3 4" xfId="5251"/>
    <cellStyle name="Normal 17 5 2 4" xfId="5252"/>
    <cellStyle name="Normal 17 5 2 4 2" xfId="5253"/>
    <cellStyle name="Normal 17 5 2 4 2 2" xfId="5254"/>
    <cellStyle name="Normal 17 5 2 4 3" xfId="5255"/>
    <cellStyle name="Normal 17 5 2 5" xfId="5256"/>
    <cellStyle name="Normal 17 5 2 5 2" xfId="5257"/>
    <cellStyle name="Normal 17 5 2 6" xfId="5258"/>
    <cellStyle name="Normal 17 5 3" xfId="5259"/>
    <cellStyle name="Normal 17 5 3 2" xfId="5260"/>
    <cellStyle name="Normal 17 5 3 2 2" xfId="5261"/>
    <cellStyle name="Normal 17 5 3 2 2 2" xfId="5262"/>
    <cellStyle name="Normal 17 5 3 2 3" xfId="5263"/>
    <cellStyle name="Normal 17 5 3 3" xfId="5264"/>
    <cellStyle name="Normal 17 5 3 3 2" xfId="5265"/>
    <cellStyle name="Normal 17 5 3 4" xfId="5266"/>
    <cellStyle name="Normal 17 5 4" xfId="5267"/>
    <cellStyle name="Normal 17 5 4 2" xfId="5268"/>
    <cellStyle name="Normal 17 5 4 2 2" xfId="5269"/>
    <cellStyle name="Normal 17 5 4 2 2 2" xfId="5270"/>
    <cellStyle name="Normal 17 5 4 2 3" xfId="5271"/>
    <cellStyle name="Normal 17 5 4 3" xfId="5272"/>
    <cellStyle name="Normal 17 5 4 3 2" xfId="5273"/>
    <cellStyle name="Normal 17 5 4 4" xfId="5274"/>
    <cellStyle name="Normal 17 5 5" xfId="5275"/>
    <cellStyle name="Normal 17 5 5 2" xfId="5276"/>
    <cellStyle name="Normal 17 5 5 2 2" xfId="5277"/>
    <cellStyle name="Normal 17 5 5 3" xfId="5278"/>
    <cellStyle name="Normal 17 5 6" xfId="5279"/>
    <cellStyle name="Normal 17 5 6 2" xfId="5280"/>
    <cellStyle name="Normal 17 5 7" xfId="5281"/>
    <cellStyle name="Normal 17 6" xfId="5282"/>
    <cellStyle name="Normal 17 6 2" xfId="5283"/>
    <cellStyle name="Normal 17 6 2 2" xfId="5284"/>
    <cellStyle name="Normal 17 6 2 2 2" xfId="5285"/>
    <cellStyle name="Normal 17 6 2 2 2 2" xfId="5286"/>
    <cellStyle name="Normal 17 6 2 2 3" xfId="5287"/>
    <cellStyle name="Normal 17 6 2 3" xfId="5288"/>
    <cellStyle name="Normal 17 6 2 3 2" xfId="5289"/>
    <cellStyle name="Normal 17 6 2 4" xfId="5290"/>
    <cellStyle name="Normal 17 6 3" xfId="5291"/>
    <cellStyle name="Normal 17 6 3 2" xfId="5292"/>
    <cellStyle name="Normal 17 6 3 2 2" xfId="5293"/>
    <cellStyle name="Normal 17 6 3 2 2 2" xfId="5294"/>
    <cellStyle name="Normal 17 6 3 2 3" xfId="5295"/>
    <cellStyle name="Normal 17 6 3 3" xfId="5296"/>
    <cellStyle name="Normal 17 6 3 3 2" xfId="5297"/>
    <cellStyle name="Normal 17 6 3 4" xfId="5298"/>
    <cellStyle name="Normal 17 6 4" xfId="5299"/>
    <cellStyle name="Normal 17 6 4 2" xfId="5300"/>
    <cellStyle name="Normal 17 6 4 2 2" xfId="5301"/>
    <cellStyle name="Normal 17 6 4 3" xfId="5302"/>
    <cellStyle name="Normal 17 6 5" xfId="5303"/>
    <cellStyle name="Normal 17 6 5 2" xfId="5304"/>
    <cellStyle name="Normal 17 6 6" xfId="5305"/>
    <cellStyle name="Normal 17 7" xfId="5306"/>
    <cellStyle name="Normal 17 7 2" xfId="5307"/>
    <cellStyle name="Normal 17 7 2 2" xfId="5308"/>
    <cellStyle name="Normal 17 7 2 2 2" xfId="5309"/>
    <cellStyle name="Normal 17 7 2 2 2 2" xfId="5310"/>
    <cellStyle name="Normal 17 7 2 2 3" xfId="5311"/>
    <cellStyle name="Normal 17 7 2 3" xfId="5312"/>
    <cellStyle name="Normal 17 7 2 3 2" xfId="5313"/>
    <cellStyle name="Normal 17 7 2 4" xfId="5314"/>
    <cellStyle name="Normal 17 7 3" xfId="5315"/>
    <cellStyle name="Normal 17 7 3 2" xfId="5316"/>
    <cellStyle name="Normal 17 7 3 2 2" xfId="5317"/>
    <cellStyle name="Normal 17 7 3 2 2 2" xfId="5318"/>
    <cellStyle name="Normal 17 7 3 2 3" xfId="5319"/>
    <cellStyle name="Normal 17 7 3 3" xfId="5320"/>
    <cellStyle name="Normal 17 7 3 3 2" xfId="5321"/>
    <cellStyle name="Normal 17 7 3 4" xfId="5322"/>
    <cellStyle name="Normal 17 7 4" xfId="5323"/>
    <cellStyle name="Normal 17 7 4 2" xfId="5324"/>
    <cellStyle name="Normal 17 7 4 2 2" xfId="5325"/>
    <cellStyle name="Normal 17 7 4 3" xfId="5326"/>
    <cellStyle name="Normal 17 7 5" xfId="5327"/>
    <cellStyle name="Normal 17 7 5 2" xfId="5328"/>
    <cellStyle name="Normal 17 7 6" xfId="5329"/>
    <cellStyle name="Normal 17 8" xfId="5330"/>
    <cellStyle name="Normal 17 8 2" xfId="5331"/>
    <cellStyle name="Normal 17 8 2 2" xfId="5332"/>
    <cellStyle name="Normal 17 8 2 2 2" xfId="5333"/>
    <cellStyle name="Normal 17 8 2 3" xfId="5334"/>
    <cellStyle name="Normal 17 8 3" xfId="5335"/>
    <cellStyle name="Normal 17 8 3 2" xfId="5336"/>
    <cellStyle name="Normal 17 8 4" xfId="5337"/>
    <cellStyle name="Normal 17 9" xfId="5338"/>
    <cellStyle name="Normal 17 9 2" xfId="5339"/>
    <cellStyle name="Normal 17 9 2 2" xfId="5340"/>
    <cellStyle name="Normal 17 9 2 2 2" xfId="5341"/>
    <cellStyle name="Normal 17 9 2 3" xfId="5342"/>
    <cellStyle name="Normal 17 9 3" xfId="5343"/>
    <cellStyle name="Normal 17 9 3 2" xfId="5344"/>
    <cellStyle name="Normal 17 9 4" xfId="5345"/>
    <cellStyle name="Normal 170" xfId="5346"/>
    <cellStyle name="Normal 171" xfId="5347"/>
    <cellStyle name="Normal 172" xfId="5348"/>
    <cellStyle name="Normal 173" xfId="5349"/>
    <cellStyle name="Normal 174" xfId="5350"/>
    <cellStyle name="Normal 175" xfId="5351"/>
    <cellStyle name="Normal 176" xfId="5352"/>
    <cellStyle name="Normal 177" xfId="5353"/>
    <cellStyle name="Normal 178" xfId="5354"/>
    <cellStyle name="Normal 179" xfId="5355"/>
    <cellStyle name="Normal 18" xfId="5356"/>
    <cellStyle name="Normal 18 10" xfId="5357"/>
    <cellStyle name="Normal 18 10 2" xfId="5358"/>
    <cellStyle name="Normal 18 10 2 2" xfId="5359"/>
    <cellStyle name="Normal 18 10 2 2 2" xfId="5360"/>
    <cellStyle name="Normal 18 10 2 3" xfId="5361"/>
    <cellStyle name="Normal 18 10 3" xfId="5362"/>
    <cellStyle name="Normal 18 10 3 2" xfId="5363"/>
    <cellStyle name="Normal 18 10 4" xfId="5364"/>
    <cellStyle name="Normal 18 11" xfId="5365"/>
    <cellStyle name="Normal 18 11 2" xfId="5366"/>
    <cellStyle name="Normal 18 11 2 2" xfId="5367"/>
    <cellStyle name="Normal 18 11 3" xfId="5368"/>
    <cellStyle name="Normal 18 12" xfId="5369"/>
    <cellStyle name="Normal 18 12 2" xfId="5370"/>
    <cellStyle name="Normal 18 13" xfId="5371"/>
    <cellStyle name="Normal 18 2" xfId="5372"/>
    <cellStyle name="Normal 18 3" xfId="5373"/>
    <cellStyle name="Normal 18 3 10" xfId="5374"/>
    <cellStyle name="Normal 18 3 2" xfId="5375"/>
    <cellStyle name="Normal 18 3 2 2" xfId="5376"/>
    <cellStyle name="Normal 18 3 2 2 2" xfId="5377"/>
    <cellStyle name="Normal 18 3 2 2 2 2" xfId="5378"/>
    <cellStyle name="Normal 18 3 2 2 2 2 2" xfId="5379"/>
    <cellStyle name="Normal 18 3 2 2 2 2 2 2" xfId="5380"/>
    <cellStyle name="Normal 18 3 2 2 2 2 3" xfId="5381"/>
    <cellStyle name="Normal 18 3 2 2 2 3" xfId="5382"/>
    <cellStyle name="Normal 18 3 2 2 2 3 2" xfId="5383"/>
    <cellStyle name="Normal 18 3 2 2 2 4" xfId="5384"/>
    <cellStyle name="Normal 18 3 2 2 3" xfId="5385"/>
    <cellStyle name="Normal 18 3 2 2 3 2" xfId="5386"/>
    <cellStyle name="Normal 18 3 2 2 3 2 2" xfId="5387"/>
    <cellStyle name="Normal 18 3 2 2 3 2 2 2" xfId="5388"/>
    <cellStyle name="Normal 18 3 2 2 3 2 3" xfId="5389"/>
    <cellStyle name="Normal 18 3 2 2 3 3" xfId="5390"/>
    <cellStyle name="Normal 18 3 2 2 3 3 2" xfId="5391"/>
    <cellStyle name="Normal 18 3 2 2 3 4" xfId="5392"/>
    <cellStyle name="Normal 18 3 2 2 4" xfId="5393"/>
    <cellStyle name="Normal 18 3 2 2 4 2" xfId="5394"/>
    <cellStyle name="Normal 18 3 2 2 4 2 2" xfId="5395"/>
    <cellStyle name="Normal 18 3 2 2 4 3" xfId="5396"/>
    <cellStyle name="Normal 18 3 2 2 5" xfId="5397"/>
    <cellStyle name="Normal 18 3 2 2 5 2" xfId="5398"/>
    <cellStyle name="Normal 18 3 2 2 6" xfId="5399"/>
    <cellStyle name="Normal 18 3 2 3" xfId="5400"/>
    <cellStyle name="Normal 18 3 2 3 2" xfId="5401"/>
    <cellStyle name="Normal 18 3 2 3 2 2" xfId="5402"/>
    <cellStyle name="Normal 18 3 2 3 2 2 2" xfId="5403"/>
    <cellStyle name="Normal 18 3 2 3 2 3" xfId="5404"/>
    <cellStyle name="Normal 18 3 2 3 3" xfId="5405"/>
    <cellStyle name="Normal 18 3 2 3 3 2" xfId="5406"/>
    <cellStyle name="Normal 18 3 2 3 4" xfId="5407"/>
    <cellStyle name="Normal 18 3 2 4" xfId="5408"/>
    <cellStyle name="Normal 18 3 2 4 2" xfId="5409"/>
    <cellStyle name="Normal 18 3 2 4 2 2" xfId="5410"/>
    <cellStyle name="Normal 18 3 2 4 2 2 2" xfId="5411"/>
    <cellStyle name="Normal 18 3 2 4 2 3" xfId="5412"/>
    <cellStyle name="Normal 18 3 2 4 3" xfId="5413"/>
    <cellStyle name="Normal 18 3 2 4 3 2" xfId="5414"/>
    <cellStyle name="Normal 18 3 2 4 4" xfId="5415"/>
    <cellStyle name="Normal 18 3 2 5" xfId="5416"/>
    <cellStyle name="Normal 18 3 2 5 2" xfId="5417"/>
    <cellStyle name="Normal 18 3 2 5 2 2" xfId="5418"/>
    <cellStyle name="Normal 18 3 2 5 3" xfId="5419"/>
    <cellStyle name="Normal 18 3 2 6" xfId="5420"/>
    <cellStyle name="Normal 18 3 2 6 2" xfId="5421"/>
    <cellStyle name="Normal 18 3 2 7" xfId="5422"/>
    <cellStyle name="Normal 18 3 3" xfId="5423"/>
    <cellStyle name="Normal 18 3 3 2" xfId="5424"/>
    <cellStyle name="Normal 18 3 3 2 2" xfId="5425"/>
    <cellStyle name="Normal 18 3 3 2 2 2" xfId="5426"/>
    <cellStyle name="Normal 18 3 3 2 2 2 2" xfId="5427"/>
    <cellStyle name="Normal 18 3 3 2 2 3" xfId="5428"/>
    <cellStyle name="Normal 18 3 3 2 3" xfId="5429"/>
    <cellStyle name="Normal 18 3 3 2 3 2" xfId="5430"/>
    <cellStyle name="Normal 18 3 3 2 4" xfId="5431"/>
    <cellStyle name="Normal 18 3 3 3" xfId="5432"/>
    <cellStyle name="Normal 18 3 3 3 2" xfId="5433"/>
    <cellStyle name="Normal 18 3 3 3 2 2" xfId="5434"/>
    <cellStyle name="Normal 18 3 3 3 2 2 2" xfId="5435"/>
    <cellStyle name="Normal 18 3 3 3 2 3" xfId="5436"/>
    <cellStyle name="Normal 18 3 3 3 3" xfId="5437"/>
    <cellStyle name="Normal 18 3 3 3 3 2" xfId="5438"/>
    <cellStyle name="Normal 18 3 3 3 4" xfId="5439"/>
    <cellStyle name="Normal 18 3 3 4" xfId="5440"/>
    <cellStyle name="Normal 18 3 3 4 2" xfId="5441"/>
    <cellStyle name="Normal 18 3 3 4 2 2" xfId="5442"/>
    <cellStyle name="Normal 18 3 3 4 3" xfId="5443"/>
    <cellStyle name="Normal 18 3 3 5" xfId="5444"/>
    <cellStyle name="Normal 18 3 3 5 2" xfId="5445"/>
    <cellStyle name="Normal 18 3 3 6" xfId="5446"/>
    <cellStyle name="Normal 18 3 4" xfId="5447"/>
    <cellStyle name="Normal 18 3 4 2" xfId="5448"/>
    <cellStyle name="Normal 18 3 4 2 2" xfId="5449"/>
    <cellStyle name="Normal 18 3 4 2 2 2" xfId="5450"/>
    <cellStyle name="Normal 18 3 4 2 2 2 2" xfId="5451"/>
    <cellStyle name="Normal 18 3 4 2 2 3" xfId="5452"/>
    <cellStyle name="Normal 18 3 4 2 3" xfId="5453"/>
    <cellStyle name="Normal 18 3 4 2 3 2" xfId="5454"/>
    <cellStyle name="Normal 18 3 4 2 4" xfId="5455"/>
    <cellStyle name="Normal 18 3 4 3" xfId="5456"/>
    <cellStyle name="Normal 18 3 4 3 2" xfId="5457"/>
    <cellStyle name="Normal 18 3 4 3 2 2" xfId="5458"/>
    <cellStyle name="Normal 18 3 4 3 2 2 2" xfId="5459"/>
    <cellStyle name="Normal 18 3 4 3 2 3" xfId="5460"/>
    <cellStyle name="Normal 18 3 4 3 3" xfId="5461"/>
    <cellStyle name="Normal 18 3 4 3 3 2" xfId="5462"/>
    <cellStyle name="Normal 18 3 4 3 4" xfId="5463"/>
    <cellStyle name="Normal 18 3 4 4" xfId="5464"/>
    <cellStyle name="Normal 18 3 4 4 2" xfId="5465"/>
    <cellStyle name="Normal 18 3 4 4 2 2" xfId="5466"/>
    <cellStyle name="Normal 18 3 4 4 3" xfId="5467"/>
    <cellStyle name="Normal 18 3 4 5" xfId="5468"/>
    <cellStyle name="Normal 18 3 4 5 2" xfId="5469"/>
    <cellStyle name="Normal 18 3 4 6" xfId="5470"/>
    <cellStyle name="Normal 18 3 5" xfId="5471"/>
    <cellStyle name="Normal 18 3 5 2" xfId="5472"/>
    <cellStyle name="Normal 18 3 5 2 2" xfId="5473"/>
    <cellStyle name="Normal 18 3 5 2 2 2" xfId="5474"/>
    <cellStyle name="Normal 18 3 5 2 3" xfId="5475"/>
    <cellStyle name="Normal 18 3 5 3" xfId="5476"/>
    <cellStyle name="Normal 18 3 5 3 2" xfId="5477"/>
    <cellStyle name="Normal 18 3 5 4" xfId="5478"/>
    <cellStyle name="Normal 18 3 6" xfId="5479"/>
    <cellStyle name="Normal 18 3 6 2" xfId="5480"/>
    <cellStyle name="Normal 18 3 6 2 2" xfId="5481"/>
    <cellStyle name="Normal 18 3 6 2 2 2" xfId="5482"/>
    <cellStyle name="Normal 18 3 6 2 3" xfId="5483"/>
    <cellStyle name="Normal 18 3 6 3" xfId="5484"/>
    <cellStyle name="Normal 18 3 6 3 2" xfId="5485"/>
    <cellStyle name="Normal 18 3 6 4" xfId="5486"/>
    <cellStyle name="Normal 18 3 7" xfId="5487"/>
    <cellStyle name="Normal 18 3 7 2" xfId="5488"/>
    <cellStyle name="Normal 18 3 7 2 2" xfId="5489"/>
    <cellStyle name="Normal 18 3 7 2 2 2" xfId="5490"/>
    <cellStyle name="Normal 18 3 7 2 3" xfId="5491"/>
    <cellStyle name="Normal 18 3 7 3" xfId="5492"/>
    <cellStyle name="Normal 18 3 7 3 2" xfId="5493"/>
    <cellStyle name="Normal 18 3 7 4" xfId="5494"/>
    <cellStyle name="Normal 18 3 8" xfId="5495"/>
    <cellStyle name="Normal 18 3 8 2" xfId="5496"/>
    <cellStyle name="Normal 18 3 8 2 2" xfId="5497"/>
    <cellStyle name="Normal 18 3 8 3" xfId="5498"/>
    <cellStyle name="Normal 18 3 9" xfId="5499"/>
    <cellStyle name="Normal 18 3 9 2" xfId="5500"/>
    <cellStyle name="Normal 18 4" xfId="5501"/>
    <cellStyle name="Normal 18 4 2" xfId="5502"/>
    <cellStyle name="Normal 18 4 2 2" xfId="5503"/>
    <cellStyle name="Normal 18 4 2 2 2" xfId="5504"/>
    <cellStyle name="Normal 18 4 2 2 2 2" xfId="5505"/>
    <cellStyle name="Normal 18 4 2 2 2 2 2" xfId="5506"/>
    <cellStyle name="Normal 18 4 2 2 2 2 2 2" xfId="5507"/>
    <cellStyle name="Normal 18 4 2 2 2 2 3" xfId="5508"/>
    <cellStyle name="Normal 18 4 2 2 2 3" xfId="5509"/>
    <cellStyle name="Normal 18 4 2 2 2 3 2" xfId="5510"/>
    <cellStyle name="Normal 18 4 2 2 2 4" xfId="5511"/>
    <cellStyle name="Normal 18 4 2 2 3" xfId="5512"/>
    <cellStyle name="Normal 18 4 2 2 3 2" xfId="5513"/>
    <cellStyle name="Normal 18 4 2 2 3 2 2" xfId="5514"/>
    <cellStyle name="Normal 18 4 2 2 3 2 2 2" xfId="5515"/>
    <cellStyle name="Normal 18 4 2 2 3 2 3" xfId="5516"/>
    <cellStyle name="Normal 18 4 2 2 3 3" xfId="5517"/>
    <cellStyle name="Normal 18 4 2 2 3 3 2" xfId="5518"/>
    <cellStyle name="Normal 18 4 2 2 3 4" xfId="5519"/>
    <cellStyle name="Normal 18 4 2 2 4" xfId="5520"/>
    <cellStyle name="Normal 18 4 2 2 4 2" xfId="5521"/>
    <cellStyle name="Normal 18 4 2 2 4 2 2" xfId="5522"/>
    <cellStyle name="Normal 18 4 2 2 4 3" xfId="5523"/>
    <cellStyle name="Normal 18 4 2 2 5" xfId="5524"/>
    <cellStyle name="Normal 18 4 2 2 5 2" xfId="5525"/>
    <cellStyle name="Normal 18 4 2 2 6" xfId="5526"/>
    <cellStyle name="Normal 18 4 2 3" xfId="5527"/>
    <cellStyle name="Normal 18 4 2 3 2" xfId="5528"/>
    <cellStyle name="Normal 18 4 2 3 2 2" xfId="5529"/>
    <cellStyle name="Normal 18 4 2 3 2 2 2" xfId="5530"/>
    <cellStyle name="Normal 18 4 2 3 2 3" xfId="5531"/>
    <cellStyle name="Normal 18 4 2 3 3" xfId="5532"/>
    <cellStyle name="Normal 18 4 2 3 3 2" xfId="5533"/>
    <cellStyle name="Normal 18 4 2 3 4" xfId="5534"/>
    <cellStyle name="Normal 18 4 2 4" xfId="5535"/>
    <cellStyle name="Normal 18 4 2 4 2" xfId="5536"/>
    <cellStyle name="Normal 18 4 2 4 2 2" xfId="5537"/>
    <cellStyle name="Normal 18 4 2 4 2 2 2" xfId="5538"/>
    <cellStyle name="Normal 18 4 2 4 2 3" xfId="5539"/>
    <cellStyle name="Normal 18 4 2 4 3" xfId="5540"/>
    <cellStyle name="Normal 18 4 2 4 3 2" xfId="5541"/>
    <cellStyle name="Normal 18 4 2 4 4" xfId="5542"/>
    <cellStyle name="Normal 18 4 2 5" xfId="5543"/>
    <cellStyle name="Normal 18 4 2 5 2" xfId="5544"/>
    <cellStyle name="Normal 18 4 2 5 2 2" xfId="5545"/>
    <cellStyle name="Normal 18 4 2 5 3" xfId="5546"/>
    <cellStyle name="Normal 18 4 2 6" xfId="5547"/>
    <cellStyle name="Normal 18 4 2 6 2" xfId="5548"/>
    <cellStyle name="Normal 18 4 2 7" xfId="5549"/>
    <cellStyle name="Normal 18 4 3" xfId="5550"/>
    <cellStyle name="Normal 18 4 3 2" xfId="5551"/>
    <cellStyle name="Normal 18 4 3 2 2" xfId="5552"/>
    <cellStyle name="Normal 18 4 3 2 2 2" xfId="5553"/>
    <cellStyle name="Normal 18 4 3 2 2 2 2" xfId="5554"/>
    <cellStyle name="Normal 18 4 3 2 2 3" xfId="5555"/>
    <cellStyle name="Normal 18 4 3 2 3" xfId="5556"/>
    <cellStyle name="Normal 18 4 3 2 3 2" xfId="5557"/>
    <cellStyle name="Normal 18 4 3 2 4" xfId="5558"/>
    <cellStyle name="Normal 18 4 3 3" xfId="5559"/>
    <cellStyle name="Normal 18 4 3 3 2" xfId="5560"/>
    <cellStyle name="Normal 18 4 3 3 2 2" xfId="5561"/>
    <cellStyle name="Normal 18 4 3 3 2 2 2" xfId="5562"/>
    <cellStyle name="Normal 18 4 3 3 2 3" xfId="5563"/>
    <cellStyle name="Normal 18 4 3 3 3" xfId="5564"/>
    <cellStyle name="Normal 18 4 3 3 3 2" xfId="5565"/>
    <cellStyle name="Normal 18 4 3 3 4" xfId="5566"/>
    <cellStyle name="Normal 18 4 3 4" xfId="5567"/>
    <cellStyle name="Normal 18 4 3 4 2" xfId="5568"/>
    <cellStyle name="Normal 18 4 3 4 2 2" xfId="5569"/>
    <cellStyle name="Normal 18 4 3 4 3" xfId="5570"/>
    <cellStyle name="Normal 18 4 3 5" xfId="5571"/>
    <cellStyle name="Normal 18 4 3 5 2" xfId="5572"/>
    <cellStyle name="Normal 18 4 3 6" xfId="5573"/>
    <cellStyle name="Normal 18 4 4" xfId="5574"/>
    <cellStyle name="Normal 18 4 4 2" xfId="5575"/>
    <cellStyle name="Normal 18 4 4 2 2" xfId="5576"/>
    <cellStyle name="Normal 18 4 4 2 2 2" xfId="5577"/>
    <cellStyle name="Normal 18 4 4 2 2 2 2" xfId="5578"/>
    <cellStyle name="Normal 18 4 4 2 2 3" xfId="5579"/>
    <cellStyle name="Normal 18 4 4 2 3" xfId="5580"/>
    <cellStyle name="Normal 18 4 4 2 3 2" xfId="5581"/>
    <cellStyle name="Normal 18 4 4 2 4" xfId="5582"/>
    <cellStyle name="Normal 18 4 4 3" xfId="5583"/>
    <cellStyle name="Normal 18 4 4 3 2" xfId="5584"/>
    <cellStyle name="Normal 18 4 4 3 2 2" xfId="5585"/>
    <cellStyle name="Normal 18 4 4 3 2 2 2" xfId="5586"/>
    <cellStyle name="Normal 18 4 4 3 2 3" xfId="5587"/>
    <cellStyle name="Normal 18 4 4 3 3" xfId="5588"/>
    <cellStyle name="Normal 18 4 4 3 3 2" xfId="5589"/>
    <cellStyle name="Normal 18 4 4 3 4" xfId="5590"/>
    <cellStyle name="Normal 18 4 4 4" xfId="5591"/>
    <cellStyle name="Normal 18 4 4 4 2" xfId="5592"/>
    <cellStyle name="Normal 18 4 4 4 2 2" xfId="5593"/>
    <cellStyle name="Normal 18 4 4 4 3" xfId="5594"/>
    <cellStyle name="Normal 18 4 4 5" xfId="5595"/>
    <cellStyle name="Normal 18 4 4 5 2" xfId="5596"/>
    <cellStyle name="Normal 18 4 4 6" xfId="5597"/>
    <cellStyle name="Normal 18 4 5" xfId="5598"/>
    <cellStyle name="Normal 18 4 5 2" xfId="5599"/>
    <cellStyle name="Normal 18 4 5 2 2" xfId="5600"/>
    <cellStyle name="Normal 18 4 5 2 2 2" xfId="5601"/>
    <cellStyle name="Normal 18 4 5 2 3" xfId="5602"/>
    <cellStyle name="Normal 18 4 5 3" xfId="5603"/>
    <cellStyle name="Normal 18 4 5 3 2" xfId="5604"/>
    <cellStyle name="Normal 18 4 5 4" xfId="5605"/>
    <cellStyle name="Normal 18 4 6" xfId="5606"/>
    <cellStyle name="Normal 18 4 6 2" xfId="5607"/>
    <cellStyle name="Normal 18 4 6 2 2" xfId="5608"/>
    <cellStyle name="Normal 18 4 6 2 2 2" xfId="5609"/>
    <cellStyle name="Normal 18 4 6 2 3" xfId="5610"/>
    <cellStyle name="Normal 18 4 6 3" xfId="5611"/>
    <cellStyle name="Normal 18 4 6 3 2" xfId="5612"/>
    <cellStyle name="Normal 18 4 6 4" xfId="5613"/>
    <cellStyle name="Normal 18 4 7" xfId="5614"/>
    <cellStyle name="Normal 18 4 7 2" xfId="5615"/>
    <cellStyle name="Normal 18 4 7 2 2" xfId="5616"/>
    <cellStyle name="Normal 18 4 7 3" xfId="5617"/>
    <cellStyle name="Normal 18 4 8" xfId="5618"/>
    <cellStyle name="Normal 18 4 8 2" xfId="5619"/>
    <cellStyle name="Normal 18 4 9" xfId="5620"/>
    <cellStyle name="Normal 18 5" xfId="5621"/>
    <cellStyle name="Normal 18 5 2" xfId="5622"/>
    <cellStyle name="Normal 18 5 2 2" xfId="5623"/>
    <cellStyle name="Normal 18 5 2 2 2" xfId="5624"/>
    <cellStyle name="Normal 18 5 2 2 2 2" xfId="5625"/>
    <cellStyle name="Normal 18 5 2 2 2 2 2" xfId="5626"/>
    <cellStyle name="Normal 18 5 2 2 2 3" xfId="5627"/>
    <cellStyle name="Normal 18 5 2 2 3" xfId="5628"/>
    <cellStyle name="Normal 18 5 2 2 3 2" xfId="5629"/>
    <cellStyle name="Normal 18 5 2 2 4" xfId="5630"/>
    <cellStyle name="Normal 18 5 2 3" xfId="5631"/>
    <cellStyle name="Normal 18 5 2 3 2" xfId="5632"/>
    <cellStyle name="Normal 18 5 2 3 2 2" xfId="5633"/>
    <cellStyle name="Normal 18 5 2 3 2 2 2" xfId="5634"/>
    <cellStyle name="Normal 18 5 2 3 2 3" xfId="5635"/>
    <cellStyle name="Normal 18 5 2 3 3" xfId="5636"/>
    <cellStyle name="Normal 18 5 2 3 3 2" xfId="5637"/>
    <cellStyle name="Normal 18 5 2 3 4" xfId="5638"/>
    <cellStyle name="Normal 18 5 2 4" xfId="5639"/>
    <cellStyle name="Normal 18 5 2 4 2" xfId="5640"/>
    <cellStyle name="Normal 18 5 2 4 2 2" xfId="5641"/>
    <cellStyle name="Normal 18 5 2 4 3" xfId="5642"/>
    <cellStyle name="Normal 18 5 2 5" xfId="5643"/>
    <cellStyle name="Normal 18 5 2 5 2" xfId="5644"/>
    <cellStyle name="Normal 18 5 2 6" xfId="5645"/>
    <cellStyle name="Normal 18 5 3" xfId="5646"/>
    <cellStyle name="Normal 18 5 3 2" xfId="5647"/>
    <cellStyle name="Normal 18 5 3 2 2" xfId="5648"/>
    <cellStyle name="Normal 18 5 3 2 2 2" xfId="5649"/>
    <cellStyle name="Normal 18 5 3 2 3" xfId="5650"/>
    <cellStyle name="Normal 18 5 3 3" xfId="5651"/>
    <cellStyle name="Normal 18 5 3 3 2" xfId="5652"/>
    <cellStyle name="Normal 18 5 3 4" xfId="5653"/>
    <cellStyle name="Normal 18 5 4" xfId="5654"/>
    <cellStyle name="Normal 18 5 4 2" xfId="5655"/>
    <cellStyle name="Normal 18 5 4 2 2" xfId="5656"/>
    <cellStyle name="Normal 18 5 4 2 2 2" xfId="5657"/>
    <cellStyle name="Normal 18 5 4 2 3" xfId="5658"/>
    <cellStyle name="Normal 18 5 4 3" xfId="5659"/>
    <cellStyle name="Normal 18 5 4 3 2" xfId="5660"/>
    <cellStyle name="Normal 18 5 4 4" xfId="5661"/>
    <cellStyle name="Normal 18 5 5" xfId="5662"/>
    <cellStyle name="Normal 18 5 5 2" xfId="5663"/>
    <cellStyle name="Normal 18 5 5 2 2" xfId="5664"/>
    <cellStyle name="Normal 18 5 5 3" xfId="5665"/>
    <cellStyle name="Normal 18 5 6" xfId="5666"/>
    <cellStyle name="Normal 18 5 6 2" xfId="5667"/>
    <cellStyle name="Normal 18 5 7" xfId="5668"/>
    <cellStyle name="Normal 18 6" xfId="5669"/>
    <cellStyle name="Normal 18 6 2" xfId="5670"/>
    <cellStyle name="Normal 18 6 2 2" xfId="5671"/>
    <cellStyle name="Normal 18 6 2 2 2" xfId="5672"/>
    <cellStyle name="Normal 18 6 2 2 2 2" xfId="5673"/>
    <cellStyle name="Normal 18 6 2 2 3" xfId="5674"/>
    <cellStyle name="Normal 18 6 2 3" xfId="5675"/>
    <cellStyle name="Normal 18 6 2 3 2" xfId="5676"/>
    <cellStyle name="Normal 18 6 2 4" xfId="5677"/>
    <cellStyle name="Normal 18 6 3" xfId="5678"/>
    <cellStyle name="Normal 18 6 3 2" xfId="5679"/>
    <cellStyle name="Normal 18 6 3 2 2" xfId="5680"/>
    <cellStyle name="Normal 18 6 3 2 2 2" xfId="5681"/>
    <cellStyle name="Normal 18 6 3 2 3" xfId="5682"/>
    <cellStyle name="Normal 18 6 3 3" xfId="5683"/>
    <cellStyle name="Normal 18 6 3 3 2" xfId="5684"/>
    <cellStyle name="Normal 18 6 3 4" xfId="5685"/>
    <cellStyle name="Normal 18 6 4" xfId="5686"/>
    <cellStyle name="Normal 18 6 4 2" xfId="5687"/>
    <cellStyle name="Normal 18 6 4 2 2" xfId="5688"/>
    <cellStyle name="Normal 18 6 4 3" xfId="5689"/>
    <cellStyle name="Normal 18 6 5" xfId="5690"/>
    <cellStyle name="Normal 18 6 5 2" xfId="5691"/>
    <cellStyle name="Normal 18 6 6" xfId="5692"/>
    <cellStyle name="Normal 18 7" xfId="5693"/>
    <cellStyle name="Normal 18 7 2" xfId="5694"/>
    <cellStyle name="Normal 18 7 2 2" xfId="5695"/>
    <cellStyle name="Normal 18 7 2 2 2" xfId="5696"/>
    <cellStyle name="Normal 18 7 2 2 2 2" xfId="5697"/>
    <cellStyle name="Normal 18 7 2 2 3" xfId="5698"/>
    <cellStyle name="Normal 18 7 2 3" xfId="5699"/>
    <cellStyle name="Normal 18 7 2 3 2" xfId="5700"/>
    <cellStyle name="Normal 18 7 2 4" xfId="5701"/>
    <cellStyle name="Normal 18 7 3" xfId="5702"/>
    <cellStyle name="Normal 18 7 3 2" xfId="5703"/>
    <cellStyle name="Normal 18 7 3 2 2" xfId="5704"/>
    <cellStyle name="Normal 18 7 3 2 2 2" xfId="5705"/>
    <cellStyle name="Normal 18 7 3 2 3" xfId="5706"/>
    <cellStyle name="Normal 18 7 3 3" xfId="5707"/>
    <cellStyle name="Normal 18 7 3 3 2" xfId="5708"/>
    <cellStyle name="Normal 18 7 3 4" xfId="5709"/>
    <cellStyle name="Normal 18 7 4" xfId="5710"/>
    <cellStyle name="Normal 18 7 4 2" xfId="5711"/>
    <cellStyle name="Normal 18 7 4 2 2" xfId="5712"/>
    <cellStyle name="Normal 18 7 4 3" xfId="5713"/>
    <cellStyle name="Normal 18 7 5" xfId="5714"/>
    <cellStyle name="Normal 18 7 5 2" xfId="5715"/>
    <cellStyle name="Normal 18 7 6" xfId="5716"/>
    <cellStyle name="Normal 18 8" xfId="5717"/>
    <cellStyle name="Normal 18 8 2" xfId="5718"/>
    <cellStyle name="Normal 18 8 2 2" xfId="5719"/>
    <cellStyle name="Normal 18 8 2 2 2" xfId="5720"/>
    <cellStyle name="Normal 18 8 2 3" xfId="5721"/>
    <cellStyle name="Normal 18 8 3" xfId="5722"/>
    <cellStyle name="Normal 18 8 3 2" xfId="5723"/>
    <cellStyle name="Normal 18 8 4" xfId="5724"/>
    <cellStyle name="Normal 18 9" xfId="5725"/>
    <cellStyle name="Normal 18 9 2" xfId="5726"/>
    <cellStyle name="Normal 18 9 2 2" xfId="5727"/>
    <cellStyle name="Normal 18 9 2 2 2" xfId="5728"/>
    <cellStyle name="Normal 18 9 2 3" xfId="5729"/>
    <cellStyle name="Normal 18 9 3" xfId="5730"/>
    <cellStyle name="Normal 18 9 3 2" xfId="5731"/>
    <cellStyle name="Normal 18 9 4" xfId="5732"/>
    <cellStyle name="Normal 180" xfId="5733"/>
    <cellStyle name="Normal 181" xfId="5734"/>
    <cellStyle name="Normal 19" xfId="5735"/>
    <cellStyle name="Normal 19 10" xfId="5736"/>
    <cellStyle name="Normal 19 10 2" xfId="5737"/>
    <cellStyle name="Normal 19 10 2 2" xfId="5738"/>
    <cellStyle name="Normal 19 10 2 2 2" xfId="5739"/>
    <cellStyle name="Normal 19 10 2 3" xfId="5740"/>
    <cellStyle name="Normal 19 10 3" xfId="5741"/>
    <cellStyle name="Normal 19 10 3 2" xfId="5742"/>
    <cellStyle name="Normal 19 10 4" xfId="5743"/>
    <cellStyle name="Normal 19 11" xfId="5744"/>
    <cellStyle name="Normal 19 11 2" xfId="5745"/>
    <cellStyle name="Normal 19 11 2 2" xfId="5746"/>
    <cellStyle name="Normal 19 11 3" xfId="5747"/>
    <cellStyle name="Normal 19 12" xfId="5748"/>
    <cellStyle name="Normal 19 12 2" xfId="5749"/>
    <cellStyle name="Normal 19 13" xfId="5750"/>
    <cellStyle name="Normal 19 2" xfId="5751"/>
    <cellStyle name="Normal 19 3" xfId="5752"/>
    <cellStyle name="Normal 19 3 10" xfId="5753"/>
    <cellStyle name="Normal 19 3 2" xfId="5754"/>
    <cellStyle name="Normal 19 3 2 2" xfId="5755"/>
    <cellStyle name="Normal 19 3 2 2 2" xfId="5756"/>
    <cellStyle name="Normal 19 3 2 2 2 2" xfId="5757"/>
    <cellStyle name="Normal 19 3 2 2 2 2 2" xfId="5758"/>
    <cellStyle name="Normal 19 3 2 2 2 2 2 2" xfId="5759"/>
    <cellStyle name="Normal 19 3 2 2 2 2 3" xfId="5760"/>
    <cellStyle name="Normal 19 3 2 2 2 3" xfId="5761"/>
    <cellStyle name="Normal 19 3 2 2 2 3 2" xfId="5762"/>
    <cellStyle name="Normal 19 3 2 2 2 4" xfId="5763"/>
    <cellStyle name="Normal 19 3 2 2 3" xfId="5764"/>
    <cellStyle name="Normal 19 3 2 2 3 2" xfId="5765"/>
    <cellStyle name="Normal 19 3 2 2 3 2 2" xfId="5766"/>
    <cellStyle name="Normal 19 3 2 2 3 2 2 2" xfId="5767"/>
    <cellStyle name="Normal 19 3 2 2 3 2 3" xfId="5768"/>
    <cellStyle name="Normal 19 3 2 2 3 3" xfId="5769"/>
    <cellStyle name="Normal 19 3 2 2 3 3 2" xfId="5770"/>
    <cellStyle name="Normal 19 3 2 2 3 4" xfId="5771"/>
    <cellStyle name="Normal 19 3 2 2 4" xfId="5772"/>
    <cellStyle name="Normal 19 3 2 2 4 2" xfId="5773"/>
    <cellStyle name="Normal 19 3 2 2 4 2 2" xfId="5774"/>
    <cellStyle name="Normal 19 3 2 2 4 3" xfId="5775"/>
    <cellStyle name="Normal 19 3 2 2 5" xfId="5776"/>
    <cellStyle name="Normal 19 3 2 2 5 2" xfId="5777"/>
    <cellStyle name="Normal 19 3 2 2 6" xfId="5778"/>
    <cellStyle name="Normal 19 3 2 3" xfId="5779"/>
    <cellStyle name="Normal 19 3 2 3 2" xfId="5780"/>
    <cellStyle name="Normal 19 3 2 3 2 2" xfId="5781"/>
    <cellStyle name="Normal 19 3 2 3 2 2 2" xfId="5782"/>
    <cellStyle name="Normal 19 3 2 3 2 3" xfId="5783"/>
    <cellStyle name="Normal 19 3 2 3 3" xfId="5784"/>
    <cellStyle name="Normal 19 3 2 3 3 2" xfId="5785"/>
    <cellStyle name="Normal 19 3 2 3 4" xfId="5786"/>
    <cellStyle name="Normal 19 3 2 4" xfId="5787"/>
    <cellStyle name="Normal 19 3 2 4 2" xfId="5788"/>
    <cellStyle name="Normal 19 3 2 4 2 2" xfId="5789"/>
    <cellStyle name="Normal 19 3 2 4 2 2 2" xfId="5790"/>
    <cellStyle name="Normal 19 3 2 4 2 3" xfId="5791"/>
    <cellStyle name="Normal 19 3 2 4 3" xfId="5792"/>
    <cellStyle name="Normal 19 3 2 4 3 2" xfId="5793"/>
    <cellStyle name="Normal 19 3 2 4 4" xfId="5794"/>
    <cellStyle name="Normal 19 3 2 5" xfId="5795"/>
    <cellStyle name="Normal 19 3 2 5 2" xfId="5796"/>
    <cellStyle name="Normal 19 3 2 5 2 2" xfId="5797"/>
    <cellStyle name="Normal 19 3 2 5 3" xfId="5798"/>
    <cellStyle name="Normal 19 3 2 6" xfId="5799"/>
    <cellStyle name="Normal 19 3 2 6 2" xfId="5800"/>
    <cellStyle name="Normal 19 3 2 7" xfId="5801"/>
    <cellStyle name="Normal 19 3 3" xfId="5802"/>
    <cellStyle name="Normal 19 3 3 2" xfId="5803"/>
    <cellStyle name="Normal 19 3 3 2 2" xfId="5804"/>
    <cellStyle name="Normal 19 3 3 2 2 2" xfId="5805"/>
    <cellStyle name="Normal 19 3 3 2 2 2 2" xfId="5806"/>
    <cellStyle name="Normal 19 3 3 2 2 3" xfId="5807"/>
    <cellStyle name="Normal 19 3 3 2 3" xfId="5808"/>
    <cellStyle name="Normal 19 3 3 2 3 2" xfId="5809"/>
    <cellStyle name="Normal 19 3 3 2 4" xfId="5810"/>
    <cellStyle name="Normal 19 3 3 3" xfId="5811"/>
    <cellStyle name="Normal 19 3 3 3 2" xfId="5812"/>
    <cellStyle name="Normal 19 3 3 3 2 2" xfId="5813"/>
    <cellStyle name="Normal 19 3 3 3 2 2 2" xfId="5814"/>
    <cellStyle name="Normal 19 3 3 3 2 3" xfId="5815"/>
    <cellStyle name="Normal 19 3 3 3 3" xfId="5816"/>
    <cellStyle name="Normal 19 3 3 3 3 2" xfId="5817"/>
    <cellStyle name="Normal 19 3 3 3 4" xfId="5818"/>
    <cellStyle name="Normal 19 3 3 4" xfId="5819"/>
    <cellStyle name="Normal 19 3 3 4 2" xfId="5820"/>
    <cellStyle name="Normal 19 3 3 4 2 2" xfId="5821"/>
    <cellStyle name="Normal 19 3 3 4 3" xfId="5822"/>
    <cellStyle name="Normal 19 3 3 5" xfId="5823"/>
    <cellStyle name="Normal 19 3 3 5 2" xfId="5824"/>
    <cellStyle name="Normal 19 3 3 6" xfId="5825"/>
    <cellStyle name="Normal 19 3 4" xfId="5826"/>
    <cellStyle name="Normal 19 3 4 2" xfId="5827"/>
    <cellStyle name="Normal 19 3 4 2 2" xfId="5828"/>
    <cellStyle name="Normal 19 3 4 2 2 2" xfId="5829"/>
    <cellStyle name="Normal 19 3 4 2 2 2 2" xfId="5830"/>
    <cellStyle name="Normal 19 3 4 2 2 3" xfId="5831"/>
    <cellStyle name="Normal 19 3 4 2 3" xfId="5832"/>
    <cellStyle name="Normal 19 3 4 2 3 2" xfId="5833"/>
    <cellStyle name="Normal 19 3 4 2 4" xfId="5834"/>
    <cellStyle name="Normal 19 3 4 3" xfId="5835"/>
    <cellStyle name="Normal 19 3 4 3 2" xfId="5836"/>
    <cellStyle name="Normal 19 3 4 3 2 2" xfId="5837"/>
    <cellStyle name="Normal 19 3 4 3 2 2 2" xfId="5838"/>
    <cellStyle name="Normal 19 3 4 3 2 3" xfId="5839"/>
    <cellStyle name="Normal 19 3 4 3 3" xfId="5840"/>
    <cellStyle name="Normal 19 3 4 3 3 2" xfId="5841"/>
    <cellStyle name="Normal 19 3 4 3 4" xfId="5842"/>
    <cellStyle name="Normal 19 3 4 4" xfId="5843"/>
    <cellStyle name="Normal 19 3 4 4 2" xfId="5844"/>
    <cellStyle name="Normal 19 3 4 4 2 2" xfId="5845"/>
    <cellStyle name="Normal 19 3 4 4 3" xfId="5846"/>
    <cellStyle name="Normal 19 3 4 5" xfId="5847"/>
    <cellStyle name="Normal 19 3 4 5 2" xfId="5848"/>
    <cellStyle name="Normal 19 3 4 6" xfId="5849"/>
    <cellStyle name="Normal 19 3 5" xfId="5850"/>
    <cellStyle name="Normal 19 3 5 2" xfId="5851"/>
    <cellStyle name="Normal 19 3 5 2 2" xfId="5852"/>
    <cellStyle name="Normal 19 3 5 2 2 2" xfId="5853"/>
    <cellStyle name="Normal 19 3 5 2 3" xfId="5854"/>
    <cellStyle name="Normal 19 3 5 3" xfId="5855"/>
    <cellStyle name="Normal 19 3 5 3 2" xfId="5856"/>
    <cellStyle name="Normal 19 3 5 4" xfId="5857"/>
    <cellStyle name="Normal 19 3 6" xfId="5858"/>
    <cellStyle name="Normal 19 3 6 2" xfId="5859"/>
    <cellStyle name="Normal 19 3 6 2 2" xfId="5860"/>
    <cellStyle name="Normal 19 3 6 2 2 2" xfId="5861"/>
    <cellStyle name="Normal 19 3 6 2 3" xfId="5862"/>
    <cellStyle name="Normal 19 3 6 3" xfId="5863"/>
    <cellStyle name="Normal 19 3 6 3 2" xfId="5864"/>
    <cellStyle name="Normal 19 3 6 4" xfId="5865"/>
    <cellStyle name="Normal 19 3 7" xfId="5866"/>
    <cellStyle name="Normal 19 3 7 2" xfId="5867"/>
    <cellStyle name="Normal 19 3 7 2 2" xfId="5868"/>
    <cellStyle name="Normal 19 3 7 2 2 2" xfId="5869"/>
    <cellStyle name="Normal 19 3 7 2 3" xfId="5870"/>
    <cellStyle name="Normal 19 3 7 3" xfId="5871"/>
    <cellStyle name="Normal 19 3 7 3 2" xfId="5872"/>
    <cellStyle name="Normal 19 3 7 4" xfId="5873"/>
    <cellStyle name="Normal 19 3 8" xfId="5874"/>
    <cellStyle name="Normal 19 3 8 2" xfId="5875"/>
    <cellStyle name="Normal 19 3 8 2 2" xfId="5876"/>
    <cellStyle name="Normal 19 3 8 3" xfId="5877"/>
    <cellStyle name="Normal 19 3 9" xfId="5878"/>
    <cellStyle name="Normal 19 3 9 2" xfId="5879"/>
    <cellStyle name="Normal 19 4" xfId="5880"/>
    <cellStyle name="Normal 19 4 2" xfId="5881"/>
    <cellStyle name="Normal 19 4 2 2" xfId="5882"/>
    <cellStyle name="Normal 19 4 2 2 2" xfId="5883"/>
    <cellStyle name="Normal 19 4 2 2 2 2" xfId="5884"/>
    <cellStyle name="Normal 19 4 2 2 2 2 2" xfId="5885"/>
    <cellStyle name="Normal 19 4 2 2 2 2 2 2" xfId="5886"/>
    <cellStyle name="Normal 19 4 2 2 2 2 3" xfId="5887"/>
    <cellStyle name="Normal 19 4 2 2 2 3" xfId="5888"/>
    <cellStyle name="Normal 19 4 2 2 2 3 2" xfId="5889"/>
    <cellStyle name="Normal 19 4 2 2 2 4" xfId="5890"/>
    <cellStyle name="Normal 19 4 2 2 3" xfId="5891"/>
    <cellStyle name="Normal 19 4 2 2 3 2" xfId="5892"/>
    <cellStyle name="Normal 19 4 2 2 3 2 2" xfId="5893"/>
    <cellStyle name="Normal 19 4 2 2 3 2 2 2" xfId="5894"/>
    <cellStyle name="Normal 19 4 2 2 3 2 3" xfId="5895"/>
    <cellStyle name="Normal 19 4 2 2 3 3" xfId="5896"/>
    <cellStyle name="Normal 19 4 2 2 3 3 2" xfId="5897"/>
    <cellStyle name="Normal 19 4 2 2 3 4" xfId="5898"/>
    <cellStyle name="Normal 19 4 2 2 4" xfId="5899"/>
    <cellStyle name="Normal 19 4 2 2 4 2" xfId="5900"/>
    <cellStyle name="Normal 19 4 2 2 4 2 2" xfId="5901"/>
    <cellStyle name="Normal 19 4 2 2 4 3" xfId="5902"/>
    <cellStyle name="Normal 19 4 2 2 5" xfId="5903"/>
    <cellStyle name="Normal 19 4 2 2 5 2" xfId="5904"/>
    <cellStyle name="Normal 19 4 2 2 6" xfId="5905"/>
    <cellStyle name="Normal 19 4 2 3" xfId="5906"/>
    <cellStyle name="Normal 19 4 2 3 2" xfId="5907"/>
    <cellStyle name="Normal 19 4 2 3 2 2" xfId="5908"/>
    <cellStyle name="Normal 19 4 2 3 2 2 2" xfId="5909"/>
    <cellStyle name="Normal 19 4 2 3 2 3" xfId="5910"/>
    <cellStyle name="Normal 19 4 2 3 3" xfId="5911"/>
    <cellStyle name="Normal 19 4 2 3 3 2" xfId="5912"/>
    <cellStyle name="Normal 19 4 2 3 4" xfId="5913"/>
    <cellStyle name="Normal 19 4 2 4" xfId="5914"/>
    <cellStyle name="Normal 19 4 2 4 2" xfId="5915"/>
    <cellStyle name="Normal 19 4 2 4 2 2" xfId="5916"/>
    <cellStyle name="Normal 19 4 2 4 2 2 2" xfId="5917"/>
    <cellStyle name="Normal 19 4 2 4 2 3" xfId="5918"/>
    <cellStyle name="Normal 19 4 2 4 3" xfId="5919"/>
    <cellStyle name="Normal 19 4 2 4 3 2" xfId="5920"/>
    <cellStyle name="Normal 19 4 2 4 4" xfId="5921"/>
    <cellStyle name="Normal 19 4 2 5" xfId="5922"/>
    <cellStyle name="Normal 19 4 2 5 2" xfId="5923"/>
    <cellStyle name="Normal 19 4 2 5 2 2" xfId="5924"/>
    <cellStyle name="Normal 19 4 2 5 3" xfId="5925"/>
    <cellStyle name="Normal 19 4 2 6" xfId="5926"/>
    <cellStyle name="Normal 19 4 2 6 2" xfId="5927"/>
    <cellStyle name="Normal 19 4 2 7" xfId="5928"/>
    <cellStyle name="Normal 19 4 3" xfId="5929"/>
    <cellStyle name="Normal 19 4 3 2" xfId="5930"/>
    <cellStyle name="Normal 19 4 3 2 2" xfId="5931"/>
    <cellStyle name="Normal 19 4 3 2 2 2" xfId="5932"/>
    <cellStyle name="Normal 19 4 3 2 2 2 2" xfId="5933"/>
    <cellStyle name="Normal 19 4 3 2 2 3" xfId="5934"/>
    <cellStyle name="Normal 19 4 3 2 3" xfId="5935"/>
    <cellStyle name="Normal 19 4 3 2 3 2" xfId="5936"/>
    <cellStyle name="Normal 19 4 3 2 4" xfId="5937"/>
    <cellStyle name="Normal 19 4 3 3" xfId="5938"/>
    <cellStyle name="Normal 19 4 3 3 2" xfId="5939"/>
    <cellStyle name="Normal 19 4 3 3 2 2" xfId="5940"/>
    <cellStyle name="Normal 19 4 3 3 2 2 2" xfId="5941"/>
    <cellStyle name="Normal 19 4 3 3 2 3" xfId="5942"/>
    <cellStyle name="Normal 19 4 3 3 3" xfId="5943"/>
    <cellStyle name="Normal 19 4 3 3 3 2" xfId="5944"/>
    <cellStyle name="Normal 19 4 3 3 4" xfId="5945"/>
    <cellStyle name="Normal 19 4 3 4" xfId="5946"/>
    <cellStyle name="Normal 19 4 3 4 2" xfId="5947"/>
    <cellStyle name="Normal 19 4 3 4 2 2" xfId="5948"/>
    <cellStyle name="Normal 19 4 3 4 3" xfId="5949"/>
    <cellStyle name="Normal 19 4 3 5" xfId="5950"/>
    <cellStyle name="Normal 19 4 3 5 2" xfId="5951"/>
    <cellStyle name="Normal 19 4 3 6" xfId="5952"/>
    <cellStyle name="Normal 19 4 4" xfId="5953"/>
    <cellStyle name="Normal 19 4 4 2" xfId="5954"/>
    <cellStyle name="Normal 19 4 4 2 2" xfId="5955"/>
    <cellStyle name="Normal 19 4 4 2 2 2" xfId="5956"/>
    <cellStyle name="Normal 19 4 4 2 2 2 2" xfId="5957"/>
    <cellStyle name="Normal 19 4 4 2 2 3" xfId="5958"/>
    <cellStyle name="Normal 19 4 4 2 3" xfId="5959"/>
    <cellStyle name="Normal 19 4 4 2 3 2" xfId="5960"/>
    <cellStyle name="Normal 19 4 4 2 4" xfId="5961"/>
    <cellStyle name="Normal 19 4 4 3" xfId="5962"/>
    <cellStyle name="Normal 19 4 4 3 2" xfId="5963"/>
    <cellStyle name="Normal 19 4 4 3 2 2" xfId="5964"/>
    <cellStyle name="Normal 19 4 4 3 2 2 2" xfId="5965"/>
    <cellStyle name="Normal 19 4 4 3 2 3" xfId="5966"/>
    <cellStyle name="Normal 19 4 4 3 3" xfId="5967"/>
    <cellStyle name="Normal 19 4 4 3 3 2" xfId="5968"/>
    <cellStyle name="Normal 19 4 4 3 4" xfId="5969"/>
    <cellStyle name="Normal 19 4 4 4" xfId="5970"/>
    <cellStyle name="Normal 19 4 4 4 2" xfId="5971"/>
    <cellStyle name="Normal 19 4 4 4 2 2" xfId="5972"/>
    <cellStyle name="Normal 19 4 4 4 3" xfId="5973"/>
    <cellStyle name="Normal 19 4 4 5" xfId="5974"/>
    <cellStyle name="Normal 19 4 4 5 2" xfId="5975"/>
    <cellStyle name="Normal 19 4 4 6" xfId="5976"/>
    <cellStyle name="Normal 19 4 5" xfId="5977"/>
    <cellStyle name="Normal 19 4 5 2" xfId="5978"/>
    <cellStyle name="Normal 19 4 5 2 2" xfId="5979"/>
    <cellStyle name="Normal 19 4 5 2 2 2" xfId="5980"/>
    <cellStyle name="Normal 19 4 5 2 3" xfId="5981"/>
    <cellStyle name="Normal 19 4 5 3" xfId="5982"/>
    <cellStyle name="Normal 19 4 5 3 2" xfId="5983"/>
    <cellStyle name="Normal 19 4 5 4" xfId="5984"/>
    <cellStyle name="Normal 19 4 6" xfId="5985"/>
    <cellStyle name="Normal 19 4 6 2" xfId="5986"/>
    <cellStyle name="Normal 19 4 6 2 2" xfId="5987"/>
    <cellStyle name="Normal 19 4 6 2 2 2" xfId="5988"/>
    <cellStyle name="Normal 19 4 6 2 3" xfId="5989"/>
    <cellStyle name="Normal 19 4 6 3" xfId="5990"/>
    <cellStyle name="Normal 19 4 6 3 2" xfId="5991"/>
    <cellStyle name="Normal 19 4 6 4" xfId="5992"/>
    <cellStyle name="Normal 19 4 7" xfId="5993"/>
    <cellStyle name="Normal 19 4 7 2" xfId="5994"/>
    <cellStyle name="Normal 19 4 7 2 2" xfId="5995"/>
    <cellStyle name="Normal 19 4 7 3" xfId="5996"/>
    <cellStyle name="Normal 19 4 8" xfId="5997"/>
    <cellStyle name="Normal 19 4 8 2" xfId="5998"/>
    <cellStyle name="Normal 19 4 9" xfId="5999"/>
    <cellStyle name="Normal 19 5" xfId="6000"/>
    <cellStyle name="Normal 19 5 2" xfId="6001"/>
    <cellStyle name="Normal 19 5 2 2" xfId="6002"/>
    <cellStyle name="Normal 19 5 2 2 2" xfId="6003"/>
    <cellStyle name="Normal 19 5 2 2 2 2" xfId="6004"/>
    <cellStyle name="Normal 19 5 2 2 2 2 2" xfId="6005"/>
    <cellStyle name="Normal 19 5 2 2 2 3" xfId="6006"/>
    <cellStyle name="Normal 19 5 2 2 3" xfId="6007"/>
    <cellStyle name="Normal 19 5 2 2 3 2" xfId="6008"/>
    <cellStyle name="Normal 19 5 2 2 4" xfId="6009"/>
    <cellStyle name="Normal 19 5 2 3" xfId="6010"/>
    <cellStyle name="Normal 19 5 2 3 2" xfId="6011"/>
    <cellStyle name="Normal 19 5 2 3 2 2" xfId="6012"/>
    <cellStyle name="Normal 19 5 2 3 2 2 2" xfId="6013"/>
    <cellStyle name="Normal 19 5 2 3 2 3" xfId="6014"/>
    <cellStyle name="Normal 19 5 2 3 3" xfId="6015"/>
    <cellStyle name="Normal 19 5 2 3 3 2" xfId="6016"/>
    <cellStyle name="Normal 19 5 2 3 4" xfId="6017"/>
    <cellStyle name="Normal 19 5 2 4" xfId="6018"/>
    <cellStyle name="Normal 19 5 2 4 2" xfId="6019"/>
    <cellStyle name="Normal 19 5 2 4 2 2" xfId="6020"/>
    <cellStyle name="Normal 19 5 2 4 3" xfId="6021"/>
    <cellStyle name="Normal 19 5 2 5" xfId="6022"/>
    <cellStyle name="Normal 19 5 2 5 2" xfId="6023"/>
    <cellStyle name="Normal 19 5 2 6" xfId="6024"/>
    <cellStyle name="Normal 19 5 3" xfId="6025"/>
    <cellStyle name="Normal 19 5 3 2" xfId="6026"/>
    <cellStyle name="Normal 19 5 3 2 2" xfId="6027"/>
    <cellStyle name="Normal 19 5 3 2 2 2" xfId="6028"/>
    <cellStyle name="Normal 19 5 3 2 3" xfId="6029"/>
    <cellStyle name="Normal 19 5 3 3" xfId="6030"/>
    <cellStyle name="Normal 19 5 3 3 2" xfId="6031"/>
    <cellStyle name="Normal 19 5 3 4" xfId="6032"/>
    <cellStyle name="Normal 19 5 4" xfId="6033"/>
    <cellStyle name="Normal 19 5 4 2" xfId="6034"/>
    <cellStyle name="Normal 19 5 4 2 2" xfId="6035"/>
    <cellStyle name="Normal 19 5 4 2 2 2" xfId="6036"/>
    <cellStyle name="Normal 19 5 4 2 3" xfId="6037"/>
    <cellStyle name="Normal 19 5 4 3" xfId="6038"/>
    <cellStyle name="Normal 19 5 4 3 2" xfId="6039"/>
    <cellStyle name="Normal 19 5 4 4" xfId="6040"/>
    <cellStyle name="Normal 19 5 5" xfId="6041"/>
    <cellStyle name="Normal 19 5 5 2" xfId="6042"/>
    <cellStyle name="Normal 19 5 5 2 2" xfId="6043"/>
    <cellStyle name="Normal 19 5 5 3" xfId="6044"/>
    <cellStyle name="Normal 19 5 6" xfId="6045"/>
    <cellStyle name="Normal 19 5 6 2" xfId="6046"/>
    <cellStyle name="Normal 19 5 7" xfId="6047"/>
    <cellStyle name="Normal 19 6" xfId="6048"/>
    <cellStyle name="Normal 19 6 2" xfId="6049"/>
    <cellStyle name="Normal 19 6 2 2" xfId="6050"/>
    <cellStyle name="Normal 19 6 2 2 2" xfId="6051"/>
    <cellStyle name="Normal 19 6 2 2 2 2" xfId="6052"/>
    <cellStyle name="Normal 19 6 2 2 3" xfId="6053"/>
    <cellStyle name="Normal 19 6 2 3" xfId="6054"/>
    <cellStyle name="Normal 19 6 2 3 2" xfId="6055"/>
    <cellStyle name="Normal 19 6 2 4" xfId="6056"/>
    <cellStyle name="Normal 19 6 3" xfId="6057"/>
    <cellStyle name="Normal 19 6 3 2" xfId="6058"/>
    <cellStyle name="Normal 19 6 3 2 2" xfId="6059"/>
    <cellStyle name="Normal 19 6 3 2 2 2" xfId="6060"/>
    <cellStyle name="Normal 19 6 3 2 3" xfId="6061"/>
    <cellStyle name="Normal 19 6 3 3" xfId="6062"/>
    <cellStyle name="Normal 19 6 3 3 2" xfId="6063"/>
    <cellStyle name="Normal 19 6 3 4" xfId="6064"/>
    <cellStyle name="Normal 19 6 4" xfId="6065"/>
    <cellStyle name="Normal 19 6 4 2" xfId="6066"/>
    <cellStyle name="Normal 19 6 4 2 2" xfId="6067"/>
    <cellStyle name="Normal 19 6 4 3" xfId="6068"/>
    <cellStyle name="Normal 19 6 5" xfId="6069"/>
    <cellStyle name="Normal 19 6 5 2" xfId="6070"/>
    <cellStyle name="Normal 19 6 6" xfId="6071"/>
    <cellStyle name="Normal 19 7" xfId="6072"/>
    <cellStyle name="Normal 19 7 2" xfId="6073"/>
    <cellStyle name="Normal 19 7 2 2" xfId="6074"/>
    <cellStyle name="Normal 19 7 2 2 2" xfId="6075"/>
    <cellStyle name="Normal 19 7 2 2 2 2" xfId="6076"/>
    <cellStyle name="Normal 19 7 2 2 3" xfId="6077"/>
    <cellStyle name="Normal 19 7 2 3" xfId="6078"/>
    <cellStyle name="Normal 19 7 2 3 2" xfId="6079"/>
    <cellStyle name="Normal 19 7 2 4" xfId="6080"/>
    <cellStyle name="Normal 19 7 3" xfId="6081"/>
    <cellStyle name="Normal 19 7 3 2" xfId="6082"/>
    <cellStyle name="Normal 19 7 3 2 2" xfId="6083"/>
    <cellStyle name="Normal 19 7 3 2 2 2" xfId="6084"/>
    <cellStyle name="Normal 19 7 3 2 3" xfId="6085"/>
    <cellStyle name="Normal 19 7 3 3" xfId="6086"/>
    <cellStyle name="Normal 19 7 3 3 2" xfId="6087"/>
    <cellStyle name="Normal 19 7 3 4" xfId="6088"/>
    <cellStyle name="Normal 19 7 4" xfId="6089"/>
    <cellStyle name="Normal 19 7 4 2" xfId="6090"/>
    <cellStyle name="Normal 19 7 4 2 2" xfId="6091"/>
    <cellStyle name="Normal 19 7 4 3" xfId="6092"/>
    <cellStyle name="Normal 19 7 5" xfId="6093"/>
    <cellStyle name="Normal 19 7 5 2" xfId="6094"/>
    <cellStyle name="Normal 19 7 6" xfId="6095"/>
    <cellStyle name="Normal 19 8" xfId="6096"/>
    <cellStyle name="Normal 19 8 2" xfId="6097"/>
    <cellStyle name="Normal 19 8 2 2" xfId="6098"/>
    <cellStyle name="Normal 19 8 2 2 2" xfId="6099"/>
    <cellStyle name="Normal 19 8 2 3" xfId="6100"/>
    <cellStyle name="Normal 19 8 3" xfId="6101"/>
    <cellStyle name="Normal 19 8 3 2" xfId="6102"/>
    <cellStyle name="Normal 19 8 4" xfId="6103"/>
    <cellStyle name="Normal 19 9" xfId="6104"/>
    <cellStyle name="Normal 19 9 2" xfId="6105"/>
    <cellStyle name="Normal 19 9 2 2" xfId="6106"/>
    <cellStyle name="Normal 19 9 2 2 2" xfId="6107"/>
    <cellStyle name="Normal 19 9 2 3" xfId="6108"/>
    <cellStyle name="Normal 19 9 3" xfId="6109"/>
    <cellStyle name="Normal 19 9 3 2" xfId="6110"/>
    <cellStyle name="Normal 19 9 4" xfId="6111"/>
    <cellStyle name="Normal 2 10" xfId="6112"/>
    <cellStyle name="Normal 2 10 2" xfId="6113"/>
    <cellStyle name="Normal 2 10 2 2" xfId="6114"/>
    <cellStyle name="Normal 2 10 2 2 2" xfId="6115"/>
    <cellStyle name="Normal 2 10 2 2 2 2" xfId="6116"/>
    <cellStyle name="Normal 2 10 2 2 3" xfId="6117"/>
    <cellStyle name="Normal 2 10 2 3" xfId="6118"/>
    <cellStyle name="Normal 2 10 2 3 2" xfId="6119"/>
    <cellStyle name="Normal 2 10 2 4" xfId="6120"/>
    <cellStyle name="Normal 2 10 3" xfId="6121"/>
    <cellStyle name="Normal 2 10 3 2" xfId="6122"/>
    <cellStyle name="Normal 2 10 3 2 2" xfId="6123"/>
    <cellStyle name="Normal 2 10 3 2 2 2" xfId="6124"/>
    <cellStyle name="Normal 2 10 3 2 3" xfId="6125"/>
    <cellStyle name="Normal 2 10 3 3" xfId="6126"/>
    <cellStyle name="Normal 2 10 3 3 2" xfId="6127"/>
    <cellStyle name="Normal 2 10 3 4" xfId="6128"/>
    <cellStyle name="Normal 2 10 4" xfId="6129"/>
    <cellStyle name="Normal 2 10 4 2" xfId="6130"/>
    <cellStyle name="Normal 2 10 4 2 2" xfId="6131"/>
    <cellStyle name="Normal 2 10 4 3" xfId="6132"/>
    <cellStyle name="Normal 2 10 5" xfId="6133"/>
    <cellStyle name="Normal 2 10 5 2" xfId="6134"/>
    <cellStyle name="Normal 2 10 6" xfId="6135"/>
    <cellStyle name="Normal 2 11" xfId="6136"/>
    <cellStyle name="Normal 2 11 2" xfId="6137"/>
    <cellStyle name="Normal 2 11 2 2" xfId="6138"/>
    <cellStyle name="Normal 2 11 2 2 2" xfId="6139"/>
    <cellStyle name="Normal 2 11 2 2 2 2" xfId="6140"/>
    <cellStyle name="Normal 2 11 2 2 3" xfId="6141"/>
    <cellStyle name="Normal 2 11 2 3" xfId="6142"/>
    <cellStyle name="Normal 2 11 2 3 2" xfId="6143"/>
    <cellStyle name="Normal 2 11 2 4" xfId="6144"/>
    <cellStyle name="Normal 2 11 3" xfId="6145"/>
    <cellStyle name="Normal 2 11 3 2" xfId="6146"/>
    <cellStyle name="Normal 2 11 3 2 2" xfId="6147"/>
    <cellStyle name="Normal 2 11 3 2 2 2" xfId="6148"/>
    <cellStyle name="Normal 2 11 3 2 3" xfId="6149"/>
    <cellStyle name="Normal 2 11 3 3" xfId="6150"/>
    <cellStyle name="Normal 2 11 3 3 2" xfId="6151"/>
    <cellStyle name="Normal 2 11 3 4" xfId="6152"/>
    <cellStyle name="Normal 2 11 4" xfId="6153"/>
    <cellStyle name="Normal 2 11 4 2" xfId="6154"/>
    <cellStyle name="Normal 2 11 4 2 2" xfId="6155"/>
    <cellStyle name="Normal 2 11 4 3" xfId="6156"/>
    <cellStyle name="Normal 2 11 5" xfId="6157"/>
    <cellStyle name="Normal 2 11 5 2" xfId="6158"/>
    <cellStyle name="Normal 2 11 6" xfId="6159"/>
    <cellStyle name="Normal 2 12" xfId="6160"/>
    <cellStyle name="Normal 2 12 2" xfId="6161"/>
    <cellStyle name="Normal 2 12 2 2" xfId="6162"/>
    <cellStyle name="Normal 2 12 2 2 2" xfId="6163"/>
    <cellStyle name="Normal 2 12 2 2 2 2" xfId="6164"/>
    <cellStyle name="Normal 2 12 2 2 3" xfId="6165"/>
    <cellStyle name="Normal 2 12 2 3" xfId="6166"/>
    <cellStyle name="Normal 2 12 2 3 2" xfId="6167"/>
    <cellStyle name="Normal 2 12 2 4" xfId="6168"/>
    <cellStyle name="Normal 2 12 3" xfId="6169"/>
    <cellStyle name="Normal 2 12 3 2" xfId="6170"/>
    <cellStyle name="Normal 2 12 3 2 2" xfId="6171"/>
    <cellStyle name="Normal 2 12 3 3" xfId="6172"/>
    <cellStyle name="Normal 2 12 4" xfId="6173"/>
    <cellStyle name="Normal 2 12 4 2" xfId="6174"/>
    <cellStyle name="Normal 2 12 5" xfId="6175"/>
    <cellStyle name="Normal 2 13" xfId="6176"/>
    <cellStyle name="Normal 2 13 2" xfId="6177"/>
    <cellStyle name="Normal 2 13 2 2" xfId="6178"/>
    <cellStyle name="Normal 2 13 3" xfId="6179"/>
    <cellStyle name="Normal 2 2 2" xfId="6180"/>
    <cellStyle name="Normal 2 2 3" xfId="6181"/>
    <cellStyle name="Normal 2 2 4" xfId="6182"/>
    <cellStyle name="Normal 2 2_20130813  航空公司综合数据—国航7月数据" xfId="6183"/>
    <cellStyle name="Normal 2 3" xfId="6184"/>
    <cellStyle name="Normal 2 4" xfId="6185"/>
    <cellStyle name="Normal 2 5" xfId="6186"/>
    <cellStyle name="Normal 2 6" xfId="6187"/>
    <cellStyle name="Normal 2 6 10" xfId="6188"/>
    <cellStyle name="Normal 2 6 10 2" xfId="6189"/>
    <cellStyle name="Normal 2 6 10 2 2" xfId="6190"/>
    <cellStyle name="Normal 2 6 10 3" xfId="6191"/>
    <cellStyle name="Normal 2 6 11" xfId="6192"/>
    <cellStyle name="Normal 2 6 11 2" xfId="6193"/>
    <cellStyle name="Normal 2 6 12" xfId="6194"/>
    <cellStyle name="Normal 2 6 2" xfId="6195"/>
    <cellStyle name="Normal 2 6 2 10" xfId="6196"/>
    <cellStyle name="Normal 2 6 2 2" xfId="6197"/>
    <cellStyle name="Normal 2 6 2 2 2" xfId="6198"/>
    <cellStyle name="Normal 2 6 2 2 2 2" xfId="6199"/>
    <cellStyle name="Normal 2 6 2 2 2 2 2" xfId="6200"/>
    <cellStyle name="Normal 2 6 2 2 2 2 2 2" xfId="6201"/>
    <cellStyle name="Normal 2 6 2 2 2 2 2 2 2" xfId="6202"/>
    <cellStyle name="Normal 2 6 2 2 2 2 2 3" xfId="6203"/>
    <cellStyle name="Normal 2 6 2 2 2 2 3" xfId="6204"/>
    <cellStyle name="Normal 2 6 2 2 2 2 3 2" xfId="6205"/>
    <cellStyle name="Normal 2 6 2 2 2 2 4" xfId="6206"/>
    <cellStyle name="Normal 2 6 2 2 2 3" xfId="6207"/>
    <cellStyle name="Normal 2 6 2 2 2 3 2" xfId="6208"/>
    <cellStyle name="Normal 2 6 2 2 2 3 2 2" xfId="6209"/>
    <cellStyle name="Normal 2 6 2 2 2 3 2 2 2" xfId="6210"/>
    <cellStyle name="Normal 2 6 2 2 2 3 2 3" xfId="6211"/>
    <cellStyle name="Normal 2 6 2 2 2 3 3" xfId="6212"/>
    <cellStyle name="Normal 2 6 2 2 2 3 3 2" xfId="6213"/>
    <cellStyle name="Normal 2 6 2 2 2 3 4" xfId="6214"/>
    <cellStyle name="Normal 2 6 2 2 2 4" xfId="6215"/>
    <cellStyle name="Normal 2 6 2 2 2 4 2" xfId="6216"/>
    <cellStyle name="Normal 2 6 2 2 2 4 2 2" xfId="6217"/>
    <cellStyle name="Normal 2 6 2 2 2 4 3" xfId="6218"/>
    <cellStyle name="Normal 2 6 2 2 2 5" xfId="6219"/>
    <cellStyle name="Normal 2 6 2 2 2 5 2" xfId="6220"/>
    <cellStyle name="Normal 2 6 2 2 2 6" xfId="6221"/>
    <cellStyle name="Normal 2 6 2 2 3" xfId="6222"/>
    <cellStyle name="Normal 2 6 2 2 3 2" xfId="6223"/>
    <cellStyle name="Normal 2 6 2 2 3 2 2" xfId="6224"/>
    <cellStyle name="Normal 2 6 2 2 3 2 2 2" xfId="6225"/>
    <cellStyle name="Normal 2 6 2 2 3 2 3" xfId="6226"/>
    <cellStyle name="Normal 2 6 2 2 3 3" xfId="6227"/>
    <cellStyle name="Normal 2 6 2 2 3 3 2" xfId="6228"/>
    <cellStyle name="Normal 2 6 2 2 3 4" xfId="6229"/>
    <cellStyle name="Normal 2 6 2 2 4" xfId="6230"/>
    <cellStyle name="Normal 2 6 2 2 4 2" xfId="6231"/>
    <cellStyle name="Normal 2 6 2 2 4 2 2" xfId="6232"/>
    <cellStyle name="Normal 2 6 2 2 4 2 2 2" xfId="6233"/>
    <cellStyle name="Normal 2 6 2 2 4 2 3" xfId="6234"/>
    <cellStyle name="Normal 2 6 2 2 4 3" xfId="6235"/>
    <cellStyle name="Normal 2 6 2 2 4 3 2" xfId="6236"/>
    <cellStyle name="Normal 2 6 2 2 4 4" xfId="6237"/>
    <cellStyle name="Normal 2 6 2 2 5" xfId="6238"/>
    <cellStyle name="Normal 2 6 2 2 5 2" xfId="6239"/>
    <cellStyle name="Normal 2 6 2 2 5 2 2" xfId="6240"/>
    <cellStyle name="Normal 2 6 2 2 5 3" xfId="6241"/>
    <cellStyle name="Normal 2 6 2 2 6" xfId="6242"/>
    <cellStyle name="Normal 2 6 2 2 6 2" xfId="6243"/>
    <cellStyle name="Normal 2 6 2 2 7" xfId="6244"/>
    <cellStyle name="Normal 2 6 2 3" xfId="6245"/>
    <cellStyle name="Normal 2 6 2 3 2" xfId="6246"/>
    <cellStyle name="Normal 2 6 2 3 2 2" xfId="6247"/>
    <cellStyle name="Normal 2 6 2 3 2 2 2" xfId="6248"/>
    <cellStyle name="Normal 2 6 2 3 2 2 2 2" xfId="6249"/>
    <cellStyle name="Normal 2 6 2 3 2 2 3" xfId="6250"/>
    <cellStyle name="Normal 2 6 2 3 2 3" xfId="6251"/>
    <cellStyle name="Normal 2 6 2 3 2 3 2" xfId="6252"/>
    <cellStyle name="Normal 2 6 2 3 2 4" xfId="6253"/>
    <cellStyle name="Normal 2 6 2 3 3" xfId="6254"/>
    <cellStyle name="Normal 2 6 2 3 3 2" xfId="6255"/>
    <cellStyle name="Normal 2 6 2 3 3 2 2" xfId="6256"/>
    <cellStyle name="Normal 2 6 2 3 3 2 2 2" xfId="6257"/>
    <cellStyle name="Normal 2 6 2 3 3 2 3" xfId="6258"/>
    <cellStyle name="Normal 2 6 2 3 3 3" xfId="6259"/>
    <cellStyle name="Normal 2 6 2 3 3 3 2" xfId="6260"/>
    <cellStyle name="Normal 2 6 2 3 3 4" xfId="6261"/>
    <cellStyle name="Normal 2 6 2 3 4" xfId="6262"/>
    <cellStyle name="Normal 2 6 2 3 4 2" xfId="6263"/>
    <cellStyle name="Normal 2 6 2 3 4 2 2" xfId="6264"/>
    <cellStyle name="Normal 2 6 2 3 4 3" xfId="6265"/>
    <cellStyle name="Normal 2 6 2 3 5" xfId="6266"/>
    <cellStyle name="Normal 2 6 2 3 5 2" xfId="6267"/>
    <cellStyle name="Normal 2 6 2 3 6" xfId="6268"/>
    <cellStyle name="Normal 2 6 2 4" xfId="6269"/>
    <cellStyle name="Normal 2 6 2 4 2" xfId="6270"/>
    <cellStyle name="Normal 2 6 2 4 2 2" xfId="6271"/>
    <cellStyle name="Normal 2 6 2 4 2 2 2" xfId="6272"/>
    <cellStyle name="Normal 2 6 2 4 2 2 2 2" xfId="6273"/>
    <cellStyle name="Normal 2 6 2 4 2 2 3" xfId="6274"/>
    <cellStyle name="Normal 2 6 2 4 2 3" xfId="6275"/>
    <cellStyle name="Normal 2 6 2 4 2 3 2" xfId="6276"/>
    <cellStyle name="Normal 2 6 2 4 2 4" xfId="6277"/>
    <cellStyle name="Normal 2 6 2 4 3" xfId="6278"/>
    <cellStyle name="Normal 2 6 2 4 3 2" xfId="6279"/>
    <cellStyle name="Normal 2 6 2 4 3 2 2" xfId="6280"/>
    <cellStyle name="Normal 2 6 2 4 3 2 2 2" xfId="6281"/>
    <cellStyle name="Normal 2 6 2 4 3 2 3" xfId="6282"/>
    <cellStyle name="Normal 2 6 2 4 3 3" xfId="6283"/>
    <cellStyle name="Normal 2 6 2 4 3 3 2" xfId="6284"/>
    <cellStyle name="Normal 2 6 2 4 3 4" xfId="6285"/>
    <cellStyle name="Normal 2 6 2 4 4" xfId="6286"/>
    <cellStyle name="Normal 2 6 2 4 4 2" xfId="6287"/>
    <cellStyle name="Normal 2 6 2 4 4 2 2" xfId="6288"/>
    <cellStyle name="Normal 2 6 2 4 4 3" xfId="6289"/>
    <cellStyle name="Normal 2 6 2 4 5" xfId="6290"/>
    <cellStyle name="Normal 2 6 2 4 5 2" xfId="6291"/>
    <cellStyle name="Normal 2 6 2 4 6" xfId="6292"/>
    <cellStyle name="Normal 2 6 2 5" xfId="6293"/>
    <cellStyle name="Normal 2 6 2 5 2" xfId="6294"/>
    <cellStyle name="Normal 2 6 2 5 2 2" xfId="6295"/>
    <cellStyle name="Normal 2 6 2 5 2 2 2" xfId="6296"/>
    <cellStyle name="Normal 2 6 2 5 2 3" xfId="6297"/>
    <cellStyle name="Normal 2 6 2 5 3" xfId="6298"/>
    <cellStyle name="Normal 2 6 2 5 3 2" xfId="6299"/>
    <cellStyle name="Normal 2 6 2 5 4" xfId="6300"/>
    <cellStyle name="Normal 2 6 2 6" xfId="6301"/>
    <cellStyle name="Normal 2 6 2 6 2" xfId="6302"/>
    <cellStyle name="Normal 2 6 2 6 2 2" xfId="6303"/>
    <cellStyle name="Normal 2 6 2 6 2 2 2" xfId="6304"/>
    <cellStyle name="Normal 2 6 2 6 2 3" xfId="6305"/>
    <cellStyle name="Normal 2 6 2 6 3" xfId="6306"/>
    <cellStyle name="Normal 2 6 2 6 3 2" xfId="6307"/>
    <cellStyle name="Normal 2 6 2 6 4" xfId="6308"/>
    <cellStyle name="Normal 2 6 2 7" xfId="6309"/>
    <cellStyle name="Normal 2 6 2 7 2" xfId="6310"/>
    <cellStyle name="Normal 2 6 2 7 2 2" xfId="6311"/>
    <cellStyle name="Normal 2 6 2 7 2 2 2" xfId="6312"/>
    <cellStyle name="Normal 2 6 2 7 2 3" xfId="6313"/>
    <cellStyle name="Normal 2 6 2 7 3" xfId="6314"/>
    <cellStyle name="Normal 2 6 2 7 3 2" xfId="6315"/>
    <cellStyle name="Normal 2 6 2 7 4" xfId="6316"/>
    <cellStyle name="Normal 2 6 2 8" xfId="6317"/>
    <cellStyle name="Normal 2 6 2 8 2" xfId="6318"/>
    <cellStyle name="Normal 2 6 2 8 2 2" xfId="6319"/>
    <cellStyle name="Normal 2 6 2 8 3" xfId="6320"/>
    <cellStyle name="Normal 2 6 2 9" xfId="6321"/>
    <cellStyle name="Normal 2 6 2 9 2" xfId="6322"/>
    <cellStyle name="Normal 2 6 3" xfId="6323"/>
    <cellStyle name="Normal 2 6 3 2" xfId="6324"/>
    <cellStyle name="Normal 2 6 3 2 2" xfId="6325"/>
    <cellStyle name="Normal 2 6 3 2 2 2" xfId="6326"/>
    <cellStyle name="Normal 2 6 3 2 2 2 2" xfId="6327"/>
    <cellStyle name="Normal 2 6 3 2 2 2 2 2" xfId="6328"/>
    <cellStyle name="Normal 2 6 3 2 2 2 2 2 2" xfId="6329"/>
    <cellStyle name="Normal 2 6 3 2 2 2 2 3" xfId="6330"/>
    <cellStyle name="Normal 2 6 3 2 2 2 3" xfId="6331"/>
    <cellStyle name="Normal 2 6 3 2 2 2 3 2" xfId="6332"/>
    <cellStyle name="Normal 2 6 3 2 2 2 4" xfId="6333"/>
    <cellStyle name="Normal 2 6 3 2 2 3" xfId="6334"/>
    <cellStyle name="Normal 2 6 3 2 2 3 2" xfId="6335"/>
    <cellStyle name="Normal 2 6 3 2 2 3 2 2" xfId="6336"/>
    <cellStyle name="Normal 2 6 3 2 2 3 2 2 2" xfId="6337"/>
    <cellStyle name="Normal 2 6 3 2 2 3 2 3" xfId="6338"/>
    <cellStyle name="Normal 2 6 3 2 2 3 3" xfId="6339"/>
    <cellStyle name="Normal 2 6 3 2 2 3 3 2" xfId="6340"/>
    <cellStyle name="Normal 2 6 3 2 2 3 4" xfId="6341"/>
    <cellStyle name="Normal 2 6 3 2 2 4" xfId="6342"/>
    <cellStyle name="Normal 2 6 3 2 2 4 2" xfId="6343"/>
    <cellStyle name="Normal 2 6 3 2 2 4 2 2" xfId="6344"/>
    <cellStyle name="Normal 2 6 3 2 2 4 3" xfId="6345"/>
    <cellStyle name="Normal 2 6 3 2 2 5" xfId="6346"/>
    <cellStyle name="Normal 2 6 3 2 2 5 2" xfId="6347"/>
    <cellStyle name="Normal 2 6 3 2 2 6" xfId="6348"/>
    <cellStyle name="Normal 2 6 3 2 3" xfId="6349"/>
    <cellStyle name="Normal 2 6 3 2 3 2" xfId="6350"/>
    <cellStyle name="Normal 2 6 3 2 3 2 2" xfId="6351"/>
    <cellStyle name="Normal 2 6 3 2 3 2 2 2" xfId="6352"/>
    <cellStyle name="Normal 2 6 3 2 3 2 3" xfId="6353"/>
    <cellStyle name="Normal 2 6 3 2 3 3" xfId="6354"/>
    <cellStyle name="Normal 2 6 3 2 3 3 2" xfId="6355"/>
    <cellStyle name="Normal 2 6 3 2 3 4" xfId="6356"/>
    <cellStyle name="Normal 2 6 3 2 4" xfId="6357"/>
    <cellStyle name="Normal 2 6 3 2 4 2" xfId="6358"/>
    <cellStyle name="Normal 2 6 3 2 4 2 2" xfId="6359"/>
    <cellStyle name="Normal 2 6 3 2 4 2 2 2" xfId="6360"/>
    <cellStyle name="Normal 2 6 3 2 4 2 3" xfId="6361"/>
    <cellStyle name="Normal 2 6 3 2 4 3" xfId="6362"/>
    <cellStyle name="Normal 2 6 3 2 4 3 2" xfId="6363"/>
    <cellStyle name="Normal 2 6 3 2 4 4" xfId="6364"/>
    <cellStyle name="Normal 2 6 3 2 5" xfId="6365"/>
    <cellStyle name="Normal 2 6 3 2 5 2" xfId="6366"/>
    <cellStyle name="Normal 2 6 3 2 5 2 2" xfId="6367"/>
    <cellStyle name="Normal 2 6 3 2 5 3" xfId="6368"/>
    <cellStyle name="Normal 2 6 3 2 6" xfId="6369"/>
    <cellStyle name="Normal 2 6 3 2 6 2" xfId="6370"/>
    <cellStyle name="Normal 2 6 3 2 7" xfId="6371"/>
    <cellStyle name="Normal 2 6 3 3" xfId="6372"/>
    <cellStyle name="Normal 2 6 3 3 2" xfId="6373"/>
    <cellStyle name="Normal 2 6 3 3 2 2" xfId="6374"/>
    <cellStyle name="Normal 2 6 3 3 2 2 2" xfId="6375"/>
    <cellStyle name="Normal 2 6 3 3 2 2 2 2" xfId="6376"/>
    <cellStyle name="Normal 2 6 3 3 2 2 3" xfId="6377"/>
    <cellStyle name="Normal 2 6 3 3 2 3" xfId="6378"/>
    <cellStyle name="Normal 2 6 3 3 2 3 2" xfId="6379"/>
    <cellStyle name="Normal 2 6 3 3 2 4" xfId="6380"/>
    <cellStyle name="Normal 2 6 3 3 3" xfId="6381"/>
    <cellStyle name="Normal 2 6 3 3 3 2" xfId="6382"/>
    <cellStyle name="Normal 2 6 3 3 3 2 2" xfId="6383"/>
    <cellStyle name="Normal 2 6 3 3 3 2 2 2" xfId="6384"/>
    <cellStyle name="Normal 2 6 3 3 3 2 3" xfId="6385"/>
    <cellStyle name="Normal 2 6 3 3 3 3" xfId="6386"/>
    <cellStyle name="Normal 2 6 3 3 3 3 2" xfId="6387"/>
    <cellStyle name="Normal 2 6 3 3 3 4" xfId="6388"/>
    <cellStyle name="Normal 2 6 3 3 4" xfId="6389"/>
    <cellStyle name="Normal 2 6 3 3 4 2" xfId="6390"/>
    <cellStyle name="Normal 2 6 3 3 4 2 2" xfId="6391"/>
    <cellStyle name="Normal 2 6 3 3 4 3" xfId="6392"/>
    <cellStyle name="Normal 2 6 3 3 5" xfId="6393"/>
    <cellStyle name="Normal 2 6 3 3 5 2" xfId="6394"/>
    <cellStyle name="Normal 2 6 3 3 6" xfId="6395"/>
    <cellStyle name="Normal 2 6 3 4" xfId="6396"/>
    <cellStyle name="Normal 2 6 3 4 2" xfId="6397"/>
    <cellStyle name="Normal 2 6 3 4 2 2" xfId="6398"/>
    <cellStyle name="Normal 2 6 3 4 2 2 2" xfId="6399"/>
    <cellStyle name="Normal 2 6 3 4 2 2 2 2" xfId="6400"/>
    <cellStyle name="Normal 2 6 3 4 2 2 3" xfId="6401"/>
    <cellStyle name="Normal 2 6 3 4 2 3" xfId="6402"/>
    <cellStyle name="Normal 2 6 3 4 2 3 2" xfId="6403"/>
    <cellStyle name="Normal 2 6 3 4 2 4" xfId="6404"/>
    <cellStyle name="Normal 2 6 3 4 3" xfId="6405"/>
    <cellStyle name="Normal 2 6 3 4 3 2" xfId="6406"/>
    <cellStyle name="Normal 2 6 3 4 3 2 2" xfId="6407"/>
    <cellStyle name="Normal 2 6 3 4 3 2 2 2" xfId="6408"/>
    <cellStyle name="Normal 2 6 3 4 3 2 3" xfId="6409"/>
    <cellStyle name="Normal 2 6 3 4 3 3" xfId="6410"/>
    <cellStyle name="Normal 2 6 3 4 3 3 2" xfId="6411"/>
    <cellStyle name="Normal 2 6 3 4 3 4" xfId="6412"/>
    <cellStyle name="Normal 2 6 3 4 4" xfId="6413"/>
    <cellStyle name="Normal 2 6 3 4 4 2" xfId="6414"/>
    <cellStyle name="Normal 2 6 3 4 4 2 2" xfId="6415"/>
    <cellStyle name="Normal 2 6 3 4 4 3" xfId="6416"/>
    <cellStyle name="Normal 2 6 3 4 5" xfId="6417"/>
    <cellStyle name="Normal 2 6 3 4 5 2" xfId="6418"/>
    <cellStyle name="Normal 2 6 3 4 6" xfId="6419"/>
    <cellStyle name="Normal 2 6 3 5" xfId="6420"/>
    <cellStyle name="Normal 2 6 3 5 2" xfId="6421"/>
    <cellStyle name="Normal 2 6 3 5 2 2" xfId="6422"/>
    <cellStyle name="Normal 2 6 3 5 2 2 2" xfId="6423"/>
    <cellStyle name="Normal 2 6 3 5 2 3" xfId="6424"/>
    <cellStyle name="Normal 2 6 3 5 3" xfId="6425"/>
    <cellStyle name="Normal 2 6 3 5 3 2" xfId="6426"/>
    <cellStyle name="Normal 2 6 3 5 4" xfId="6427"/>
    <cellStyle name="Normal 2 6 3 6" xfId="6428"/>
    <cellStyle name="Normal 2 6 3 6 2" xfId="6429"/>
    <cellStyle name="Normal 2 6 3 6 2 2" xfId="6430"/>
    <cellStyle name="Normal 2 6 3 6 2 2 2" xfId="6431"/>
    <cellStyle name="Normal 2 6 3 6 2 3" xfId="6432"/>
    <cellStyle name="Normal 2 6 3 6 3" xfId="6433"/>
    <cellStyle name="Normal 2 6 3 6 3 2" xfId="6434"/>
    <cellStyle name="Normal 2 6 3 6 4" xfId="6435"/>
    <cellStyle name="Normal 2 6 3 7" xfId="6436"/>
    <cellStyle name="Normal 2 6 3 7 2" xfId="6437"/>
    <cellStyle name="Normal 2 6 3 7 2 2" xfId="6438"/>
    <cellStyle name="Normal 2 6 3 7 3" xfId="6439"/>
    <cellStyle name="Normal 2 6 3 8" xfId="6440"/>
    <cellStyle name="Normal 2 6 3 8 2" xfId="6441"/>
    <cellStyle name="Normal 2 6 3 9" xfId="6442"/>
    <cellStyle name="Normal 2 6 4" xfId="6443"/>
    <cellStyle name="Normal 2 6 4 2" xfId="6444"/>
    <cellStyle name="Normal 2 6 4 2 2" xfId="6445"/>
    <cellStyle name="Normal 2 6 4 2 2 2" xfId="6446"/>
    <cellStyle name="Normal 2 6 4 2 2 2 2" xfId="6447"/>
    <cellStyle name="Normal 2 6 4 2 2 2 2 2" xfId="6448"/>
    <cellStyle name="Normal 2 6 4 2 2 2 3" xfId="6449"/>
    <cellStyle name="Normal 2 6 4 2 2 3" xfId="6450"/>
    <cellStyle name="Normal 2 6 4 2 2 3 2" xfId="6451"/>
    <cellStyle name="Normal 2 6 4 2 2 4" xfId="6452"/>
    <cellStyle name="Normal 2 6 4 2 3" xfId="6453"/>
    <cellStyle name="Normal 2 6 4 2 3 2" xfId="6454"/>
    <cellStyle name="Normal 2 6 4 2 3 2 2" xfId="6455"/>
    <cellStyle name="Normal 2 6 4 2 3 2 2 2" xfId="6456"/>
    <cellStyle name="Normal 2 6 4 2 3 2 3" xfId="6457"/>
    <cellStyle name="Normal 2 6 4 2 3 3" xfId="6458"/>
    <cellStyle name="Normal 2 6 4 2 3 3 2" xfId="6459"/>
    <cellStyle name="Normal 2 6 4 2 3 4" xfId="6460"/>
    <cellStyle name="Normal 2 6 4 2 4" xfId="6461"/>
    <cellStyle name="Normal 2 6 4 2 4 2" xfId="6462"/>
    <cellStyle name="Normal 2 6 4 2 4 2 2" xfId="6463"/>
    <cellStyle name="Normal 2 6 4 2 4 3" xfId="6464"/>
    <cellStyle name="Normal 2 6 4 2 5" xfId="6465"/>
    <cellStyle name="Normal 2 6 4 2 5 2" xfId="6466"/>
    <cellStyle name="Normal 2 6 4 2 6" xfId="6467"/>
    <cellStyle name="Normal 2 6 4 3" xfId="6468"/>
    <cellStyle name="Normal 2 6 4 3 2" xfId="6469"/>
    <cellStyle name="Normal 2 6 4 3 2 2" xfId="6470"/>
    <cellStyle name="Normal 2 6 4 3 2 2 2" xfId="6471"/>
    <cellStyle name="Normal 2 6 4 3 2 3" xfId="6472"/>
    <cellStyle name="Normal 2 6 4 3 3" xfId="6473"/>
    <cellStyle name="Normal 2 6 4 3 3 2" xfId="6474"/>
    <cellStyle name="Normal 2 6 4 3 4" xfId="6475"/>
    <cellStyle name="Normal 2 6 4 4" xfId="6476"/>
    <cellStyle name="Normal 2 6 4 4 2" xfId="6477"/>
    <cellStyle name="Normal 2 6 4 4 2 2" xfId="6478"/>
    <cellStyle name="Normal 2 6 4 4 2 2 2" xfId="6479"/>
    <cellStyle name="Normal 2 6 4 4 2 3" xfId="6480"/>
    <cellStyle name="Normal 2 6 4 4 3" xfId="6481"/>
    <cellStyle name="Normal 2 6 4 4 3 2" xfId="6482"/>
    <cellStyle name="Normal 2 6 4 4 4" xfId="6483"/>
    <cellStyle name="Normal 2 6 4 5" xfId="6484"/>
    <cellStyle name="Normal 2 6 4 5 2" xfId="6485"/>
    <cellStyle name="Normal 2 6 4 5 2 2" xfId="6486"/>
    <cellStyle name="Normal 2 6 4 5 3" xfId="6487"/>
    <cellStyle name="Normal 2 6 4 6" xfId="6488"/>
    <cellStyle name="Normal 2 6 4 6 2" xfId="6489"/>
    <cellStyle name="Normal 2 6 4 7" xfId="6490"/>
    <cellStyle name="Normal 2 6 5" xfId="6491"/>
    <cellStyle name="Normal 2 6 5 2" xfId="6492"/>
    <cellStyle name="Normal 2 6 5 2 2" xfId="6493"/>
    <cellStyle name="Normal 2 6 5 2 2 2" xfId="6494"/>
    <cellStyle name="Normal 2 6 5 2 2 2 2" xfId="6495"/>
    <cellStyle name="Normal 2 6 5 2 2 3" xfId="6496"/>
    <cellStyle name="Normal 2 6 5 2 3" xfId="6497"/>
    <cellStyle name="Normal 2 6 5 2 3 2" xfId="6498"/>
    <cellStyle name="Normal 2 6 5 2 4" xfId="6499"/>
    <cellStyle name="Normal 2 6 5 3" xfId="6500"/>
    <cellStyle name="Normal 2 6 5 3 2" xfId="6501"/>
    <cellStyle name="Normal 2 6 5 3 2 2" xfId="6502"/>
    <cellStyle name="Normal 2 6 5 3 2 2 2" xfId="6503"/>
    <cellStyle name="Normal 2 6 5 3 2 3" xfId="6504"/>
    <cellStyle name="Normal 2 6 5 3 3" xfId="6505"/>
    <cellStyle name="Normal 2 6 5 3 3 2" xfId="6506"/>
    <cellStyle name="Normal 2 6 5 3 4" xfId="6507"/>
    <cellStyle name="Normal 2 6 5 4" xfId="6508"/>
    <cellStyle name="Normal 2 6 5 4 2" xfId="6509"/>
    <cellStyle name="Normal 2 6 5 4 2 2" xfId="6510"/>
    <cellStyle name="Normal 2 6 5 4 3" xfId="6511"/>
    <cellStyle name="Normal 2 6 5 5" xfId="6512"/>
    <cellStyle name="Normal 2 6 5 5 2" xfId="6513"/>
    <cellStyle name="Normal 2 6 5 6" xfId="6514"/>
    <cellStyle name="Normal 2 6 6" xfId="6515"/>
    <cellStyle name="Normal 2 6 6 2" xfId="6516"/>
    <cellStyle name="Normal 2 6 6 2 2" xfId="6517"/>
    <cellStyle name="Normal 2 6 6 2 2 2" xfId="6518"/>
    <cellStyle name="Normal 2 6 6 2 2 2 2" xfId="6519"/>
    <cellStyle name="Normal 2 6 6 2 2 3" xfId="6520"/>
    <cellStyle name="Normal 2 6 6 2 3" xfId="6521"/>
    <cellStyle name="Normal 2 6 6 2 3 2" xfId="6522"/>
    <cellStyle name="Normal 2 6 6 2 4" xfId="6523"/>
    <cellStyle name="Normal 2 6 6 3" xfId="6524"/>
    <cellStyle name="Normal 2 6 6 3 2" xfId="6525"/>
    <cellStyle name="Normal 2 6 6 3 2 2" xfId="6526"/>
    <cellStyle name="Normal 2 6 6 3 2 2 2" xfId="6527"/>
    <cellStyle name="Normal 2 6 6 3 2 3" xfId="6528"/>
    <cellStyle name="Normal 2 6 6 3 3" xfId="6529"/>
    <cellStyle name="Normal 2 6 6 3 3 2" xfId="6530"/>
    <cellStyle name="Normal 2 6 6 3 4" xfId="6531"/>
    <cellStyle name="Normal 2 6 6 4" xfId="6532"/>
    <cellStyle name="Normal 2 6 6 4 2" xfId="6533"/>
    <cellStyle name="Normal 2 6 6 4 2 2" xfId="6534"/>
    <cellStyle name="Normal 2 6 6 4 3" xfId="6535"/>
    <cellStyle name="Normal 2 6 6 5" xfId="6536"/>
    <cellStyle name="Normal 2 6 6 5 2" xfId="6537"/>
    <cellStyle name="Normal 2 6 6 6" xfId="6538"/>
    <cellStyle name="Normal 2 6 7" xfId="6539"/>
    <cellStyle name="Normal 2 6 7 2" xfId="6540"/>
    <cellStyle name="Normal 2 6 7 2 2" xfId="6541"/>
    <cellStyle name="Normal 2 6 7 2 2 2" xfId="6542"/>
    <cellStyle name="Normal 2 6 7 2 3" xfId="6543"/>
    <cellStyle name="Normal 2 6 7 3" xfId="6544"/>
    <cellStyle name="Normal 2 6 7 3 2" xfId="6545"/>
    <cellStyle name="Normal 2 6 7 4" xfId="6546"/>
    <cellStyle name="Normal 2 6 8" xfId="6547"/>
    <cellStyle name="Normal 2 6 8 2" xfId="6548"/>
    <cellStyle name="Normal 2 6 8 2 2" xfId="6549"/>
    <cellStyle name="Normal 2 6 8 2 2 2" xfId="6550"/>
    <cellStyle name="Normal 2 6 8 2 3" xfId="6551"/>
    <cellStyle name="Normal 2 6 8 3" xfId="6552"/>
    <cellStyle name="Normal 2 6 8 3 2" xfId="6553"/>
    <cellStyle name="Normal 2 6 8 4" xfId="6554"/>
    <cellStyle name="Normal 2 6 9" xfId="6555"/>
    <cellStyle name="Normal 2 6 9 2" xfId="6556"/>
    <cellStyle name="Normal 2 6 9 2 2" xfId="6557"/>
    <cellStyle name="Normal 2 6 9 2 2 2" xfId="6558"/>
    <cellStyle name="Normal 2 6 9 2 3" xfId="6559"/>
    <cellStyle name="Normal 2 6 9 3" xfId="6560"/>
    <cellStyle name="Normal 2 6 9 3 2" xfId="6561"/>
    <cellStyle name="Normal 2 6 9 4" xfId="6562"/>
    <cellStyle name="Normal 2 7" xfId="6563"/>
    <cellStyle name="Normal 2 7 10" xfId="6564"/>
    <cellStyle name="Normal 2 7 10 2" xfId="6565"/>
    <cellStyle name="Normal 2 7 10 2 2" xfId="6566"/>
    <cellStyle name="Normal 2 7 10 3" xfId="6567"/>
    <cellStyle name="Normal 2 7 11" xfId="6568"/>
    <cellStyle name="Normal 2 7 11 2" xfId="6569"/>
    <cellStyle name="Normal 2 7 12" xfId="6570"/>
    <cellStyle name="Normal 2 7 2" xfId="6571"/>
    <cellStyle name="Normal 2 7 2 10" xfId="6572"/>
    <cellStyle name="Normal 2 7 2 2" xfId="6573"/>
    <cellStyle name="Normal 2 7 2 2 2" xfId="6574"/>
    <cellStyle name="Normal 2 7 2 2 2 2" xfId="6575"/>
    <cellStyle name="Normal 2 7 2 2 2 2 2" xfId="6576"/>
    <cellStyle name="Normal 2 7 2 2 2 2 2 2" xfId="6577"/>
    <cellStyle name="Normal 2 7 2 2 2 2 2 2 2" xfId="6578"/>
    <cellStyle name="Normal 2 7 2 2 2 2 2 3" xfId="6579"/>
    <cellStyle name="Normal 2 7 2 2 2 2 3" xfId="6580"/>
    <cellStyle name="Normal 2 7 2 2 2 2 3 2" xfId="6581"/>
    <cellStyle name="Normal 2 7 2 2 2 2 4" xfId="6582"/>
    <cellStyle name="Normal 2 7 2 2 2 3" xfId="6583"/>
    <cellStyle name="Normal 2 7 2 2 2 3 2" xfId="6584"/>
    <cellStyle name="Normal 2 7 2 2 2 3 2 2" xfId="6585"/>
    <cellStyle name="Normal 2 7 2 2 2 3 2 2 2" xfId="6586"/>
    <cellStyle name="Normal 2 7 2 2 2 3 2 3" xfId="6587"/>
    <cellStyle name="Normal 2 7 2 2 2 3 3" xfId="6588"/>
    <cellStyle name="Normal 2 7 2 2 2 3 3 2" xfId="6589"/>
    <cellStyle name="Normal 2 7 2 2 2 3 4" xfId="6590"/>
    <cellStyle name="Normal 2 7 2 2 2 4" xfId="6591"/>
    <cellStyle name="Normal 2 7 2 2 2 4 2" xfId="6592"/>
    <cellStyle name="Normal 2 7 2 2 2 4 2 2" xfId="6593"/>
    <cellStyle name="Normal 2 7 2 2 2 4 3" xfId="6594"/>
    <cellStyle name="Normal 2 7 2 2 2 5" xfId="6595"/>
    <cellStyle name="Normal 2 7 2 2 2 5 2" xfId="6596"/>
    <cellStyle name="Normal 2 7 2 2 2 6" xfId="6597"/>
    <cellStyle name="Normal 2 7 2 2 3" xfId="6598"/>
    <cellStyle name="Normal 2 7 2 2 3 2" xfId="6599"/>
    <cellStyle name="Normal 2 7 2 2 3 2 2" xfId="6600"/>
    <cellStyle name="Normal 2 7 2 2 3 2 2 2" xfId="6601"/>
    <cellStyle name="Normal 2 7 2 2 3 2 3" xfId="6602"/>
    <cellStyle name="Normal 2 7 2 2 3 3" xfId="6603"/>
    <cellStyle name="Normal 2 7 2 2 3 3 2" xfId="6604"/>
    <cellStyle name="Normal 2 7 2 2 3 4" xfId="6605"/>
    <cellStyle name="Normal 2 7 2 2 4" xfId="6606"/>
    <cellStyle name="Normal 2 7 2 2 4 2" xfId="6607"/>
    <cellStyle name="Normal 2 7 2 2 4 2 2" xfId="6608"/>
    <cellStyle name="Normal 2 7 2 2 4 2 2 2" xfId="6609"/>
    <cellStyle name="Normal 2 7 2 2 4 2 3" xfId="6610"/>
    <cellStyle name="Normal 2 7 2 2 4 3" xfId="6611"/>
    <cellStyle name="Normal 2 7 2 2 4 3 2" xfId="6612"/>
    <cellStyle name="Normal 2 7 2 2 4 4" xfId="6613"/>
    <cellStyle name="Normal 2 7 2 2 5" xfId="6614"/>
    <cellStyle name="Normal 2 7 2 2 5 2" xfId="6615"/>
    <cellStyle name="Normal 2 7 2 2 5 2 2" xfId="6616"/>
    <cellStyle name="Normal 2 7 2 2 5 3" xfId="6617"/>
    <cellStyle name="Normal 2 7 2 2 6" xfId="6618"/>
    <cellStyle name="Normal 2 7 2 2 6 2" xfId="6619"/>
    <cellStyle name="Normal 2 7 2 2 7" xfId="6620"/>
    <cellStyle name="Normal 2 7 2 3" xfId="6621"/>
    <cellStyle name="Normal 2 7 2 3 2" xfId="6622"/>
    <cellStyle name="Normal 2 7 2 3 2 2" xfId="6623"/>
    <cellStyle name="Normal 2 7 2 3 2 2 2" xfId="6624"/>
    <cellStyle name="Normal 2 7 2 3 2 2 2 2" xfId="6625"/>
    <cellStyle name="Normal 2 7 2 3 2 2 3" xfId="6626"/>
    <cellStyle name="Normal 2 7 2 3 2 3" xfId="6627"/>
    <cellStyle name="Normal 2 7 2 3 2 3 2" xfId="6628"/>
    <cellStyle name="Normal 2 7 2 3 2 4" xfId="6629"/>
    <cellStyle name="Normal 2 7 2 3 3" xfId="6630"/>
    <cellStyle name="Normal 2 7 2 3 3 2" xfId="6631"/>
    <cellStyle name="Normal 2 7 2 3 3 2 2" xfId="6632"/>
    <cellStyle name="Normal 2 7 2 3 3 2 2 2" xfId="6633"/>
    <cellStyle name="Normal 2 7 2 3 3 2 3" xfId="6634"/>
    <cellStyle name="Normal 2 7 2 3 3 3" xfId="6635"/>
    <cellStyle name="Normal 2 7 2 3 3 3 2" xfId="6636"/>
    <cellStyle name="Normal 2 7 2 3 3 4" xfId="6637"/>
    <cellStyle name="Normal 2 7 2 3 4" xfId="6638"/>
    <cellStyle name="Normal 2 7 2 3 4 2" xfId="6639"/>
    <cellStyle name="Normal 2 7 2 3 4 2 2" xfId="6640"/>
    <cellStyle name="Normal 2 7 2 3 4 3" xfId="6641"/>
    <cellStyle name="Normal 2 7 2 3 5" xfId="6642"/>
    <cellStyle name="Normal 2 7 2 3 5 2" xfId="6643"/>
    <cellStyle name="Normal 2 7 2 3 6" xfId="6644"/>
    <cellStyle name="Normal 2 7 2 4" xfId="6645"/>
    <cellStyle name="Normal 2 7 2 4 2" xfId="6646"/>
    <cellStyle name="Normal 2 7 2 4 2 2" xfId="6647"/>
    <cellStyle name="Normal 2 7 2 4 2 2 2" xfId="6648"/>
    <cellStyle name="Normal 2 7 2 4 2 2 2 2" xfId="6649"/>
    <cellStyle name="Normal 2 7 2 4 2 2 3" xfId="6650"/>
    <cellStyle name="Normal 2 7 2 4 2 3" xfId="6651"/>
    <cellStyle name="Normal 2 7 2 4 2 3 2" xfId="6652"/>
    <cellStyle name="Normal 2 7 2 4 2 4" xfId="6653"/>
    <cellStyle name="Normal 2 7 2 4 3" xfId="6654"/>
    <cellStyle name="Normal 2 7 2 4 3 2" xfId="6655"/>
    <cellStyle name="Normal 2 7 2 4 3 2 2" xfId="6656"/>
    <cellStyle name="Normal 2 7 2 4 3 2 2 2" xfId="6657"/>
    <cellStyle name="Normal 2 7 2 4 3 2 3" xfId="6658"/>
    <cellStyle name="Normal 2 7 2 4 3 3" xfId="6659"/>
    <cellStyle name="Normal 2 7 2 4 3 3 2" xfId="6660"/>
    <cellStyle name="Normal 2 7 2 4 3 4" xfId="6661"/>
    <cellStyle name="Normal 2 7 2 4 4" xfId="6662"/>
    <cellStyle name="Normal 2 7 2 4 4 2" xfId="6663"/>
    <cellStyle name="Normal 2 7 2 4 4 2 2" xfId="6664"/>
    <cellStyle name="Normal 2 7 2 4 4 3" xfId="6665"/>
    <cellStyle name="Normal 2 7 2 4 5" xfId="6666"/>
    <cellStyle name="Normal 2 7 2 4 5 2" xfId="6667"/>
    <cellStyle name="Normal 2 7 2 4 6" xfId="6668"/>
    <cellStyle name="Normal 2 7 2 5" xfId="6669"/>
    <cellStyle name="Normal 2 7 2 5 2" xfId="6670"/>
    <cellStyle name="Normal 2 7 2 5 2 2" xfId="6671"/>
    <cellStyle name="Normal 2 7 2 5 2 2 2" xfId="6672"/>
    <cellStyle name="Normal 2 7 2 5 2 3" xfId="6673"/>
    <cellStyle name="Normal 2 7 2 5 3" xfId="6674"/>
    <cellStyle name="Normal 2 7 2 5 3 2" xfId="6675"/>
    <cellStyle name="Normal 2 7 2 5 4" xfId="6676"/>
    <cellStyle name="Normal 2 7 2 6" xfId="6677"/>
    <cellStyle name="Normal 2 7 2 6 2" xfId="6678"/>
    <cellStyle name="Normal 2 7 2 6 2 2" xfId="6679"/>
    <cellStyle name="Normal 2 7 2 6 2 2 2" xfId="6680"/>
    <cellStyle name="Normal 2 7 2 6 2 3" xfId="6681"/>
    <cellStyle name="Normal 2 7 2 6 3" xfId="6682"/>
    <cellStyle name="Normal 2 7 2 6 3 2" xfId="6683"/>
    <cellStyle name="Normal 2 7 2 6 4" xfId="6684"/>
    <cellStyle name="Normal 2 7 2 7" xfId="6685"/>
    <cellStyle name="Normal 2 7 2 7 2" xfId="6686"/>
    <cellStyle name="Normal 2 7 2 7 2 2" xfId="6687"/>
    <cellStyle name="Normal 2 7 2 7 2 2 2" xfId="6688"/>
    <cellStyle name="Normal 2 7 2 7 2 3" xfId="6689"/>
    <cellStyle name="Normal 2 7 2 7 3" xfId="6690"/>
    <cellStyle name="Normal 2 7 2 7 3 2" xfId="6691"/>
    <cellStyle name="Normal 2 7 2 7 4" xfId="6692"/>
    <cellStyle name="Normal 2 7 2 8" xfId="6693"/>
    <cellStyle name="Normal 2 7 2 8 2" xfId="6694"/>
    <cellStyle name="Normal 2 7 2 8 2 2" xfId="6695"/>
    <cellStyle name="Normal 2 7 2 8 3" xfId="6696"/>
    <cellStyle name="Normal 2 7 2 9" xfId="6697"/>
    <cellStyle name="Normal 2 7 2 9 2" xfId="6698"/>
    <cellStyle name="Normal 2 7 3" xfId="6699"/>
    <cellStyle name="Normal 2 7 3 2" xfId="6700"/>
    <cellStyle name="Normal 2 7 3 2 2" xfId="6701"/>
    <cellStyle name="Normal 2 7 3 2 2 2" xfId="6702"/>
    <cellStyle name="Normal 2 7 3 2 2 2 2" xfId="6703"/>
    <cellStyle name="Normal 2 7 3 2 2 2 2 2" xfId="6704"/>
    <cellStyle name="Normal 2 7 3 2 2 2 2 2 2" xfId="6705"/>
    <cellStyle name="Normal 2 7 3 2 2 2 2 3" xfId="6706"/>
    <cellStyle name="Normal 2 7 3 2 2 2 3" xfId="6707"/>
    <cellStyle name="Normal 2 7 3 2 2 2 3 2" xfId="6708"/>
    <cellStyle name="Normal 2 7 3 2 2 2 4" xfId="6709"/>
    <cellStyle name="Normal 2 7 3 2 2 3" xfId="6710"/>
    <cellStyle name="Normal 2 7 3 2 2 3 2" xfId="6711"/>
    <cellStyle name="Normal 2 7 3 2 2 3 2 2" xfId="6712"/>
    <cellStyle name="Normal 2 7 3 2 2 3 2 2 2" xfId="6713"/>
    <cellStyle name="Normal 2 7 3 2 2 3 2 3" xfId="6714"/>
    <cellStyle name="Normal 2 7 3 2 2 3 3" xfId="6715"/>
    <cellStyle name="Normal 2 7 3 2 2 3 3 2" xfId="6716"/>
    <cellStyle name="Normal 2 7 3 2 2 3 4" xfId="6717"/>
    <cellStyle name="Normal 2 7 3 2 2 4" xfId="6718"/>
    <cellStyle name="Normal 2 7 3 2 2 4 2" xfId="6719"/>
    <cellStyle name="Normal 2 7 3 2 2 4 2 2" xfId="6720"/>
    <cellStyle name="Normal 2 7 3 2 2 4 3" xfId="6721"/>
    <cellStyle name="Normal 2 7 3 2 2 5" xfId="6722"/>
    <cellStyle name="Normal 2 7 3 2 2 5 2" xfId="6723"/>
    <cellStyle name="Normal 2 7 3 2 2 6" xfId="6724"/>
    <cellStyle name="Normal 2 7 3 2 3" xfId="6725"/>
    <cellStyle name="Normal 2 7 3 2 3 2" xfId="6726"/>
    <cellStyle name="Normal 2 7 3 2 3 2 2" xfId="6727"/>
    <cellStyle name="Normal 2 7 3 2 3 2 2 2" xfId="6728"/>
    <cellStyle name="Normal 2 7 3 2 3 2 3" xfId="6729"/>
    <cellStyle name="Normal 2 7 3 2 3 3" xfId="6730"/>
    <cellStyle name="Normal 2 7 3 2 3 3 2" xfId="6731"/>
    <cellStyle name="Normal 2 7 3 2 3 4" xfId="6732"/>
    <cellStyle name="Normal 2 7 3 2 4" xfId="6733"/>
    <cellStyle name="Normal 2 7 3 2 4 2" xfId="6734"/>
    <cellStyle name="Normal 2 7 3 2 4 2 2" xfId="6735"/>
    <cellStyle name="Normal 2 7 3 2 4 2 2 2" xfId="6736"/>
    <cellStyle name="Normal 2 7 3 2 4 2 3" xfId="6737"/>
    <cellStyle name="Normal 2 7 3 2 4 3" xfId="6738"/>
    <cellStyle name="Normal 2 7 3 2 4 3 2" xfId="6739"/>
    <cellStyle name="Normal 2 7 3 2 4 4" xfId="6740"/>
    <cellStyle name="Normal 2 7 3 2 5" xfId="6741"/>
    <cellStyle name="Normal 2 7 3 2 5 2" xfId="6742"/>
    <cellStyle name="Normal 2 7 3 2 5 2 2" xfId="6743"/>
    <cellStyle name="Normal 2 7 3 2 5 3" xfId="6744"/>
    <cellStyle name="Normal 2 7 3 2 6" xfId="6745"/>
    <cellStyle name="Normal 2 7 3 2 6 2" xfId="6746"/>
    <cellStyle name="Normal 2 7 3 2 7" xfId="6747"/>
    <cellStyle name="Normal 2 7 3 3" xfId="6748"/>
    <cellStyle name="Normal 2 7 3 3 2" xfId="6749"/>
    <cellStyle name="Normal 2 7 3 3 2 2" xfId="6750"/>
    <cellStyle name="Normal 2 7 3 3 2 2 2" xfId="6751"/>
    <cellStyle name="Normal 2 7 3 3 2 2 2 2" xfId="6752"/>
    <cellStyle name="Normal 2 7 3 3 2 2 3" xfId="6753"/>
    <cellStyle name="Normal 2 7 3 3 2 3" xfId="6754"/>
    <cellStyle name="Normal 2 7 3 3 2 3 2" xfId="6755"/>
    <cellStyle name="Normal 2 7 3 3 2 4" xfId="6756"/>
    <cellStyle name="Normal 2 7 3 3 3" xfId="6757"/>
    <cellStyle name="Normal 2 7 3 3 3 2" xfId="6758"/>
    <cellStyle name="Normal 2 7 3 3 3 2 2" xfId="6759"/>
    <cellStyle name="Normal 2 7 3 3 3 2 2 2" xfId="6760"/>
    <cellStyle name="Normal 2 7 3 3 3 2 3" xfId="6761"/>
    <cellStyle name="Normal 2 7 3 3 3 3" xfId="6762"/>
    <cellStyle name="Normal 2 7 3 3 3 3 2" xfId="6763"/>
    <cellStyle name="Normal 2 7 3 3 3 4" xfId="6764"/>
    <cellStyle name="Normal 2 7 3 3 4" xfId="6765"/>
    <cellStyle name="Normal 2 7 3 3 4 2" xfId="6766"/>
    <cellStyle name="Normal 2 7 3 3 4 2 2" xfId="6767"/>
    <cellStyle name="Normal 2 7 3 3 4 3" xfId="6768"/>
    <cellStyle name="Normal 2 7 3 3 5" xfId="6769"/>
    <cellStyle name="Normal 2 7 3 3 5 2" xfId="6770"/>
    <cellStyle name="Normal 2 7 3 3 6" xfId="6771"/>
    <cellStyle name="Normal 2 7 3 4" xfId="6772"/>
    <cellStyle name="Normal 2 7 3 4 2" xfId="6773"/>
    <cellStyle name="Normal 2 7 3 4 2 2" xfId="6774"/>
    <cellStyle name="Normal 2 7 3 4 2 2 2" xfId="6775"/>
    <cellStyle name="Normal 2 7 3 4 2 2 2 2" xfId="6776"/>
    <cellStyle name="Normal 2 7 3 4 2 2 3" xfId="6777"/>
    <cellStyle name="Normal 2 7 3 4 2 3" xfId="6778"/>
    <cellStyle name="Normal 2 7 3 4 2 3 2" xfId="6779"/>
    <cellStyle name="Normal 2 7 3 4 2 4" xfId="6780"/>
    <cellStyle name="Normal 2 7 3 4 3" xfId="6781"/>
    <cellStyle name="Normal 2 7 3 4 3 2" xfId="6782"/>
    <cellStyle name="Normal 2 7 3 4 3 2 2" xfId="6783"/>
    <cellStyle name="Normal 2 7 3 4 3 2 2 2" xfId="6784"/>
    <cellStyle name="Normal 2 7 3 4 3 2 3" xfId="6785"/>
    <cellStyle name="Normal 2 7 3 4 3 3" xfId="6786"/>
    <cellStyle name="Normal 2 7 3 4 3 3 2" xfId="6787"/>
    <cellStyle name="Normal 2 7 3 4 3 4" xfId="6788"/>
    <cellStyle name="Normal 2 7 3 4 4" xfId="6789"/>
    <cellStyle name="Normal 2 7 3 4 4 2" xfId="6790"/>
    <cellStyle name="Normal 2 7 3 4 4 2 2" xfId="6791"/>
    <cellStyle name="Normal 2 7 3 4 4 3" xfId="6792"/>
    <cellStyle name="Normal 2 7 3 4 5" xfId="6793"/>
    <cellStyle name="Normal 2 7 3 4 5 2" xfId="6794"/>
    <cellStyle name="Normal 2 7 3 4 6" xfId="6795"/>
    <cellStyle name="Normal 2 7 3 5" xfId="6796"/>
    <cellStyle name="Normal 2 7 3 5 2" xfId="6797"/>
    <cellStyle name="Normal 2 7 3 5 2 2" xfId="6798"/>
    <cellStyle name="Normal 2 7 3 5 2 2 2" xfId="6799"/>
    <cellStyle name="Normal 2 7 3 5 2 3" xfId="6800"/>
    <cellStyle name="Normal 2 7 3 5 3" xfId="6801"/>
    <cellStyle name="Normal 2 7 3 5 3 2" xfId="6802"/>
    <cellStyle name="Normal 2 7 3 5 4" xfId="6803"/>
    <cellStyle name="Normal 2 7 3 6" xfId="6804"/>
    <cellStyle name="Normal 2 7 3 6 2" xfId="6805"/>
    <cellStyle name="Normal 2 7 3 6 2 2" xfId="6806"/>
    <cellStyle name="Normal 2 7 3 6 2 2 2" xfId="6807"/>
    <cellStyle name="Normal 2 7 3 6 2 3" xfId="6808"/>
    <cellStyle name="Normal 2 7 3 6 3" xfId="6809"/>
    <cellStyle name="Normal 2 7 3 6 3 2" xfId="6810"/>
    <cellStyle name="Normal 2 7 3 6 4" xfId="6811"/>
    <cellStyle name="Normal 2 7 3 7" xfId="6812"/>
    <cellStyle name="Normal 2 7 3 7 2" xfId="6813"/>
    <cellStyle name="Normal 2 7 3 7 2 2" xfId="6814"/>
    <cellStyle name="Normal 2 7 3 7 3" xfId="6815"/>
    <cellStyle name="Normal 2 7 3 8" xfId="6816"/>
    <cellStyle name="Normal 2 7 3 8 2" xfId="6817"/>
    <cellStyle name="Normal 2 7 3 9" xfId="6818"/>
    <cellStyle name="Normal 2 7 4" xfId="6819"/>
    <cellStyle name="Normal 2 7 4 2" xfId="6820"/>
    <cellStyle name="Normal 2 7 4 2 2" xfId="6821"/>
    <cellStyle name="Normal 2 7 4 2 2 2" xfId="6822"/>
    <cellStyle name="Normal 2 7 4 2 2 2 2" xfId="6823"/>
    <cellStyle name="Normal 2 7 4 2 2 2 2 2" xfId="6824"/>
    <cellStyle name="Normal 2 7 4 2 2 2 3" xfId="6825"/>
    <cellStyle name="Normal 2 7 4 2 2 3" xfId="6826"/>
    <cellStyle name="Normal 2 7 4 2 2 3 2" xfId="6827"/>
    <cellStyle name="Normal 2 7 4 2 2 4" xfId="6828"/>
    <cellStyle name="Normal 2 7 4 2 3" xfId="6829"/>
    <cellStyle name="Normal 2 7 4 2 3 2" xfId="6830"/>
    <cellStyle name="Normal 2 7 4 2 3 2 2" xfId="6831"/>
    <cellStyle name="Normal 2 7 4 2 3 2 2 2" xfId="6832"/>
    <cellStyle name="Normal 2 7 4 2 3 2 3" xfId="6833"/>
    <cellStyle name="Normal 2 7 4 2 3 3" xfId="6834"/>
    <cellStyle name="Normal 2 7 4 2 3 3 2" xfId="6835"/>
    <cellStyle name="Normal 2 7 4 2 3 4" xfId="6836"/>
    <cellStyle name="Normal 2 7 4 2 4" xfId="6837"/>
    <cellStyle name="Normal 2 7 4 2 4 2" xfId="6838"/>
    <cellStyle name="Normal 2 7 4 2 4 2 2" xfId="6839"/>
    <cellStyle name="Normal 2 7 4 2 4 3" xfId="6840"/>
    <cellStyle name="Normal 2 7 4 2 5" xfId="6841"/>
    <cellStyle name="Normal 2 7 4 2 5 2" xfId="6842"/>
    <cellStyle name="Normal 2 7 4 2 6" xfId="6843"/>
    <cellStyle name="Normal 2 7 4 3" xfId="6844"/>
    <cellStyle name="Normal 2 7 4 3 2" xfId="6845"/>
    <cellStyle name="Normal 2 7 4 3 2 2" xfId="6846"/>
    <cellStyle name="Normal 2 7 4 3 2 2 2" xfId="6847"/>
    <cellStyle name="Normal 2 7 4 3 2 3" xfId="6848"/>
    <cellStyle name="Normal 2 7 4 3 3" xfId="6849"/>
    <cellStyle name="Normal 2 7 4 3 3 2" xfId="6850"/>
    <cellStyle name="Normal 2 7 4 3 4" xfId="6851"/>
    <cellStyle name="Normal 2 7 4 4" xfId="6852"/>
    <cellStyle name="Normal 2 7 4 4 2" xfId="6853"/>
    <cellStyle name="Normal 2 7 4 4 2 2" xfId="6854"/>
    <cellStyle name="Normal 2 7 4 4 2 2 2" xfId="6855"/>
    <cellStyle name="Normal 2 7 4 4 2 3" xfId="6856"/>
    <cellStyle name="Normal 2 7 4 4 3" xfId="6857"/>
    <cellStyle name="Normal 2 7 4 4 3 2" xfId="6858"/>
    <cellStyle name="Normal 2 7 4 4 4" xfId="6859"/>
    <cellStyle name="Normal 2 7 4 5" xfId="6860"/>
    <cellStyle name="Normal 2 7 4 5 2" xfId="6861"/>
    <cellStyle name="Normal 2 7 4 5 2 2" xfId="6862"/>
    <cellStyle name="Normal 2 7 4 5 3" xfId="6863"/>
    <cellStyle name="Normal 2 7 4 6" xfId="6864"/>
    <cellStyle name="Normal 2 7 4 6 2" xfId="6865"/>
    <cellStyle name="Normal 2 7 4 7" xfId="6866"/>
    <cellStyle name="Normal 2 7 5" xfId="6867"/>
    <cellStyle name="Normal 2 7 5 2" xfId="6868"/>
    <cellStyle name="Normal 2 7 5 2 2" xfId="6869"/>
    <cellStyle name="Normal 2 7 5 2 2 2" xfId="6870"/>
    <cellStyle name="Normal 2 7 5 2 2 2 2" xfId="6871"/>
    <cellStyle name="Normal 2 7 5 2 2 3" xfId="6872"/>
    <cellStyle name="Normal 2 7 5 2 3" xfId="6873"/>
    <cellStyle name="Normal 2 7 5 2 3 2" xfId="6874"/>
    <cellStyle name="Normal 2 7 5 2 4" xfId="6875"/>
    <cellStyle name="Normal 2 7 5 3" xfId="6876"/>
    <cellStyle name="Normal 2 7 5 3 2" xfId="6877"/>
    <cellStyle name="Normal 2 7 5 3 2 2" xfId="6878"/>
    <cellStyle name="Normal 2 7 5 3 2 2 2" xfId="6879"/>
    <cellStyle name="Normal 2 7 5 3 2 3" xfId="6880"/>
    <cellStyle name="Normal 2 7 5 3 3" xfId="6881"/>
    <cellStyle name="Normal 2 7 5 3 3 2" xfId="6882"/>
    <cellStyle name="Normal 2 7 5 3 4" xfId="6883"/>
    <cellStyle name="Normal 2 7 5 4" xfId="6884"/>
    <cellStyle name="Normal 2 7 5 4 2" xfId="6885"/>
    <cellStyle name="Normal 2 7 5 4 2 2" xfId="6886"/>
    <cellStyle name="Normal 2 7 5 4 3" xfId="6887"/>
    <cellStyle name="Normal 2 7 5 5" xfId="6888"/>
    <cellStyle name="Normal 2 7 5 5 2" xfId="6889"/>
    <cellStyle name="Normal 2 7 5 6" xfId="6890"/>
    <cellStyle name="Normal 2 7 6" xfId="6891"/>
    <cellStyle name="Normal 2 7 6 2" xfId="6892"/>
    <cellStyle name="Normal 2 7 6 2 2" xfId="6893"/>
    <cellStyle name="Normal 2 7 6 2 2 2" xfId="6894"/>
    <cellStyle name="Normal 2 7 6 2 2 2 2" xfId="6895"/>
    <cellStyle name="Normal 2 7 6 2 2 3" xfId="6896"/>
    <cellStyle name="Normal 2 7 6 2 3" xfId="6897"/>
    <cellStyle name="Normal 2 7 6 2 3 2" xfId="6898"/>
    <cellStyle name="Normal 2 7 6 2 4" xfId="6899"/>
    <cellStyle name="Normal 2 7 6 3" xfId="6900"/>
    <cellStyle name="Normal 2 7 6 3 2" xfId="6901"/>
    <cellStyle name="Normal 2 7 6 3 2 2" xfId="6902"/>
    <cellStyle name="Normal 2 7 6 3 2 2 2" xfId="6903"/>
    <cellStyle name="Normal 2 7 6 3 2 3" xfId="6904"/>
    <cellStyle name="Normal 2 7 6 3 3" xfId="6905"/>
    <cellStyle name="Normal 2 7 6 3 3 2" xfId="6906"/>
    <cellStyle name="Normal 2 7 6 3 4" xfId="6907"/>
    <cellStyle name="Normal 2 7 6 4" xfId="6908"/>
    <cellStyle name="Normal 2 7 6 4 2" xfId="6909"/>
    <cellStyle name="Normal 2 7 6 4 2 2" xfId="6910"/>
    <cellStyle name="Normal 2 7 6 4 3" xfId="6911"/>
    <cellStyle name="Normal 2 7 6 5" xfId="6912"/>
    <cellStyle name="Normal 2 7 6 5 2" xfId="6913"/>
    <cellStyle name="Normal 2 7 6 6" xfId="6914"/>
    <cellStyle name="Normal 2 7 7" xfId="6915"/>
    <cellStyle name="Normal 2 7 7 2" xfId="6916"/>
    <cellStyle name="Normal 2 7 7 2 2" xfId="6917"/>
    <cellStyle name="Normal 2 7 7 2 2 2" xfId="6918"/>
    <cellStyle name="Normal 2 7 7 2 3" xfId="6919"/>
    <cellStyle name="Normal 2 7 7 3" xfId="6920"/>
    <cellStyle name="Normal 2 7 7 3 2" xfId="6921"/>
    <cellStyle name="Normal 2 7 7 4" xfId="6922"/>
    <cellStyle name="Normal 2 7 8" xfId="6923"/>
    <cellStyle name="Normal 2 7 8 2" xfId="6924"/>
    <cellStyle name="Normal 2 7 8 2 2" xfId="6925"/>
    <cellStyle name="Normal 2 7 8 2 2 2" xfId="6926"/>
    <cellStyle name="Normal 2 7 8 2 3" xfId="6927"/>
    <cellStyle name="Normal 2 7 8 3" xfId="6928"/>
    <cellStyle name="Normal 2 7 8 3 2" xfId="6929"/>
    <cellStyle name="Normal 2 7 8 4" xfId="6930"/>
    <cellStyle name="Normal 2 7 9" xfId="6931"/>
    <cellStyle name="Normal 2 7 9 2" xfId="6932"/>
    <cellStyle name="Normal 2 7 9 2 2" xfId="6933"/>
    <cellStyle name="Normal 2 7 9 2 2 2" xfId="6934"/>
    <cellStyle name="Normal 2 7 9 2 3" xfId="6935"/>
    <cellStyle name="Normal 2 7 9 3" xfId="6936"/>
    <cellStyle name="Normal 2 7 9 3 2" xfId="6937"/>
    <cellStyle name="Normal 2 7 9 4" xfId="6938"/>
    <cellStyle name="Normal 2 8" xfId="6939"/>
    <cellStyle name="Normal 2 8 10" xfId="6940"/>
    <cellStyle name="Normal 2 8 10 2" xfId="6941"/>
    <cellStyle name="Normal 2 8 10 2 2" xfId="6942"/>
    <cellStyle name="Normal 2 8 10 3" xfId="6943"/>
    <cellStyle name="Normal 2 8 11" xfId="6944"/>
    <cellStyle name="Normal 2 8 11 2" xfId="6945"/>
    <cellStyle name="Normal 2 8 12" xfId="6946"/>
    <cellStyle name="Normal 2 8 2" xfId="6947"/>
    <cellStyle name="Normal 2 8 2 10" xfId="6948"/>
    <cellStyle name="Normal 2 8 2 2" xfId="6949"/>
    <cellStyle name="Normal 2 8 2 2 2" xfId="6950"/>
    <cellStyle name="Normal 2 8 2 2 2 2" xfId="6951"/>
    <cellStyle name="Normal 2 8 2 2 2 2 2" xfId="6952"/>
    <cellStyle name="Normal 2 8 2 2 2 2 2 2" xfId="6953"/>
    <cellStyle name="Normal 2 8 2 2 2 2 2 2 2" xfId="6954"/>
    <cellStyle name="Normal 2 8 2 2 2 2 2 3" xfId="6955"/>
    <cellStyle name="Normal 2 8 2 2 2 2 3" xfId="6956"/>
    <cellStyle name="Normal 2 8 2 2 2 2 3 2" xfId="6957"/>
    <cellStyle name="Normal 2 8 2 2 2 2 4" xfId="6958"/>
    <cellStyle name="Normal 2 8 2 2 2 3" xfId="6959"/>
    <cellStyle name="Normal 2 8 2 2 2 3 2" xfId="6960"/>
    <cellStyle name="Normal 2 8 2 2 2 3 2 2" xfId="6961"/>
    <cellStyle name="Normal 2 8 2 2 2 3 2 2 2" xfId="6962"/>
    <cellStyle name="Normal 2 8 2 2 2 3 2 3" xfId="6963"/>
    <cellStyle name="Normal 2 8 2 2 2 3 3" xfId="6964"/>
    <cellStyle name="Normal 2 8 2 2 2 3 3 2" xfId="6965"/>
    <cellStyle name="Normal 2 8 2 2 2 3 4" xfId="6966"/>
    <cellStyle name="Normal 2 8 2 2 2 4" xfId="6967"/>
    <cellStyle name="Normal 2 8 2 2 2 4 2" xfId="6968"/>
    <cellStyle name="Normal 2 8 2 2 2 4 2 2" xfId="6969"/>
    <cellStyle name="Normal 2 8 2 2 2 4 3" xfId="6970"/>
    <cellStyle name="Normal 2 8 2 2 2 5" xfId="6971"/>
    <cellStyle name="Normal 2 8 2 2 2 5 2" xfId="6972"/>
    <cellStyle name="Normal 2 8 2 2 2 6" xfId="6973"/>
    <cellStyle name="Normal 2 8 2 2 3" xfId="6974"/>
    <cellStyle name="Normal 2 8 2 2 3 2" xfId="6975"/>
    <cellStyle name="Normal 2 8 2 2 3 2 2" xfId="6976"/>
    <cellStyle name="Normal 2 8 2 2 3 2 2 2" xfId="6977"/>
    <cellStyle name="Normal 2 8 2 2 3 2 3" xfId="6978"/>
    <cellStyle name="Normal 2 8 2 2 3 3" xfId="6979"/>
    <cellStyle name="Normal 2 8 2 2 3 3 2" xfId="6980"/>
    <cellStyle name="Normal 2 8 2 2 3 4" xfId="6981"/>
    <cellStyle name="Normal 2 8 2 2 4" xfId="6982"/>
    <cellStyle name="Normal 2 8 2 2 4 2" xfId="6983"/>
    <cellStyle name="Normal 2 8 2 2 4 2 2" xfId="6984"/>
    <cellStyle name="Normal 2 8 2 2 4 2 2 2" xfId="6985"/>
    <cellStyle name="Normal 2 8 2 2 4 2 3" xfId="6986"/>
    <cellStyle name="Normal 2 8 2 2 4 3" xfId="6987"/>
    <cellStyle name="Normal 2 8 2 2 4 3 2" xfId="6988"/>
    <cellStyle name="Normal 2 8 2 2 4 4" xfId="6989"/>
    <cellStyle name="Normal 2 8 2 2 5" xfId="6990"/>
    <cellStyle name="Normal 2 8 2 2 5 2" xfId="6991"/>
    <cellStyle name="Normal 2 8 2 2 5 2 2" xfId="6992"/>
    <cellStyle name="Normal 2 8 2 2 5 3" xfId="6993"/>
    <cellStyle name="Normal 2 8 2 2 6" xfId="6994"/>
    <cellStyle name="Normal 2 8 2 2 6 2" xfId="6995"/>
    <cellStyle name="Normal 2 8 2 2 7" xfId="6996"/>
    <cellStyle name="Normal 2 8 2 3" xfId="6997"/>
    <cellStyle name="Normal 2 8 2 3 2" xfId="6998"/>
    <cellStyle name="Normal 2 8 2 3 2 2" xfId="6999"/>
    <cellStyle name="Normal 2 8 2 3 2 2 2" xfId="7000"/>
    <cellStyle name="Normal 2 8 2 3 2 2 2 2" xfId="7001"/>
    <cellStyle name="Normal 2 8 2 3 2 2 3" xfId="7002"/>
    <cellStyle name="Normal 2 8 2 3 2 3" xfId="7003"/>
    <cellStyle name="Normal 2 8 2 3 2 3 2" xfId="7004"/>
    <cellStyle name="Normal 2 8 2 3 2 4" xfId="7005"/>
    <cellStyle name="Normal 2 8 2 3 3" xfId="7006"/>
    <cellStyle name="Normal 2 8 2 3 3 2" xfId="7007"/>
    <cellStyle name="Normal 2 8 2 3 3 2 2" xfId="7008"/>
    <cellStyle name="Normal 2 8 2 3 3 2 2 2" xfId="7009"/>
    <cellStyle name="Normal 2 8 2 3 3 2 3" xfId="7010"/>
    <cellStyle name="Normal 2 8 2 3 3 3" xfId="7011"/>
    <cellStyle name="Normal 2 8 2 3 3 3 2" xfId="7012"/>
    <cellStyle name="Normal 2 8 2 3 3 4" xfId="7013"/>
    <cellStyle name="Normal 2 8 2 3 4" xfId="7014"/>
    <cellStyle name="Normal 2 8 2 3 4 2" xfId="7015"/>
    <cellStyle name="Normal 2 8 2 3 4 2 2" xfId="7016"/>
    <cellStyle name="Normal 2 8 2 3 4 3" xfId="7017"/>
    <cellStyle name="Normal 2 8 2 3 5" xfId="7018"/>
    <cellStyle name="Normal 2 8 2 3 5 2" xfId="7019"/>
    <cellStyle name="Normal 2 8 2 3 6" xfId="7020"/>
    <cellStyle name="Normal 2 8 2 4" xfId="7021"/>
    <cellStyle name="Normal 2 8 2 4 2" xfId="7022"/>
    <cellStyle name="Normal 2 8 2 4 2 2" xfId="7023"/>
    <cellStyle name="Normal 2 8 2 4 2 2 2" xfId="7024"/>
    <cellStyle name="Normal 2 8 2 4 2 2 2 2" xfId="7025"/>
    <cellStyle name="Normal 2 8 2 4 2 2 3" xfId="7026"/>
    <cellStyle name="Normal 2 8 2 4 2 3" xfId="7027"/>
    <cellStyle name="Normal 2 8 2 4 2 3 2" xfId="7028"/>
    <cellStyle name="Normal 2 8 2 4 2 4" xfId="7029"/>
    <cellStyle name="Normal 2 8 2 4 3" xfId="7030"/>
    <cellStyle name="Normal 2 8 2 4 3 2" xfId="7031"/>
    <cellStyle name="Normal 2 8 2 4 3 2 2" xfId="7032"/>
    <cellStyle name="Normal 2 8 2 4 3 2 2 2" xfId="7033"/>
    <cellStyle name="Normal 2 8 2 4 3 2 3" xfId="7034"/>
    <cellStyle name="Normal 2 8 2 4 3 3" xfId="7035"/>
    <cellStyle name="Normal 2 8 2 4 3 3 2" xfId="7036"/>
    <cellStyle name="Normal 2 8 2 4 3 4" xfId="7037"/>
    <cellStyle name="Normal 2 8 2 4 4" xfId="7038"/>
    <cellStyle name="Normal 2 8 2 4 4 2" xfId="7039"/>
    <cellStyle name="Normal 2 8 2 4 4 2 2" xfId="7040"/>
    <cellStyle name="Normal 2 8 2 4 4 3" xfId="7041"/>
    <cellStyle name="Normal 2 8 2 4 5" xfId="7042"/>
    <cellStyle name="Normal 2 8 2 4 5 2" xfId="7043"/>
    <cellStyle name="Normal 2 8 2 4 6" xfId="7044"/>
    <cellStyle name="Normal 2 8 2 5" xfId="7045"/>
    <cellStyle name="Normal 2 8 2 5 2" xfId="7046"/>
    <cellStyle name="Normal 2 8 2 5 2 2" xfId="7047"/>
    <cellStyle name="Normal 2 8 2 5 2 2 2" xfId="7048"/>
    <cellStyle name="Normal 2 8 2 5 2 3" xfId="7049"/>
    <cellStyle name="Normal 2 8 2 5 3" xfId="7050"/>
    <cellStyle name="Normal 2 8 2 5 3 2" xfId="7051"/>
    <cellStyle name="Normal 2 8 2 5 4" xfId="7052"/>
    <cellStyle name="Normal 2 8 2 6" xfId="7053"/>
    <cellStyle name="Normal 2 8 2 6 2" xfId="7054"/>
    <cellStyle name="Normal 2 8 2 6 2 2" xfId="7055"/>
    <cellStyle name="Normal 2 8 2 6 2 2 2" xfId="7056"/>
    <cellStyle name="Normal 2 8 2 6 2 3" xfId="7057"/>
    <cellStyle name="Normal 2 8 2 6 3" xfId="7058"/>
    <cellStyle name="Normal 2 8 2 6 3 2" xfId="7059"/>
    <cellStyle name="Normal 2 8 2 6 4" xfId="7060"/>
    <cellStyle name="Normal 2 8 2 7" xfId="7061"/>
    <cellStyle name="Normal 2 8 2 7 2" xfId="7062"/>
    <cellStyle name="Normal 2 8 2 7 2 2" xfId="7063"/>
    <cellStyle name="Normal 2 8 2 7 2 2 2" xfId="7064"/>
    <cellStyle name="Normal 2 8 2 7 2 3" xfId="7065"/>
    <cellStyle name="Normal 2 8 2 7 3" xfId="7066"/>
    <cellStyle name="Normal 2 8 2 7 3 2" xfId="7067"/>
    <cellStyle name="Normal 2 8 2 7 4" xfId="7068"/>
    <cellStyle name="Normal 2 8 2 8" xfId="7069"/>
    <cellStyle name="Normal 2 8 2 8 2" xfId="7070"/>
    <cellStyle name="Normal 2 8 2 8 2 2" xfId="7071"/>
    <cellStyle name="Normal 2 8 2 8 3" xfId="7072"/>
    <cellStyle name="Normal 2 8 2 9" xfId="7073"/>
    <cellStyle name="Normal 2 8 2 9 2" xfId="7074"/>
    <cellStyle name="Normal 2 8 3" xfId="7075"/>
    <cellStyle name="Normal 2 8 3 2" xfId="7076"/>
    <cellStyle name="Normal 2 8 3 2 2" xfId="7077"/>
    <cellStyle name="Normal 2 8 3 2 2 2" xfId="7078"/>
    <cellStyle name="Normal 2 8 3 2 2 2 2" xfId="7079"/>
    <cellStyle name="Normal 2 8 3 2 2 2 2 2" xfId="7080"/>
    <cellStyle name="Normal 2 8 3 2 2 2 2 2 2" xfId="7081"/>
    <cellStyle name="Normal 2 8 3 2 2 2 2 3" xfId="7082"/>
    <cellStyle name="Normal 2 8 3 2 2 2 3" xfId="7083"/>
    <cellStyle name="Normal 2 8 3 2 2 2 3 2" xfId="7084"/>
    <cellStyle name="Normal 2 8 3 2 2 2 4" xfId="7085"/>
    <cellStyle name="Normal 2 8 3 2 2 3" xfId="7086"/>
    <cellStyle name="Normal 2 8 3 2 2 3 2" xfId="7087"/>
    <cellStyle name="Normal 2 8 3 2 2 3 2 2" xfId="7088"/>
    <cellStyle name="Normal 2 8 3 2 2 3 2 2 2" xfId="7089"/>
    <cellStyle name="Normal 2 8 3 2 2 3 2 3" xfId="7090"/>
    <cellStyle name="Normal 2 8 3 2 2 3 3" xfId="7091"/>
    <cellStyle name="Normal 2 8 3 2 2 3 3 2" xfId="7092"/>
    <cellStyle name="Normal 2 8 3 2 2 3 4" xfId="7093"/>
    <cellStyle name="Normal 2 8 3 2 2 4" xfId="7094"/>
    <cellStyle name="Normal 2 8 3 2 2 4 2" xfId="7095"/>
    <cellStyle name="Normal 2 8 3 2 2 4 2 2" xfId="7096"/>
    <cellStyle name="Normal 2 8 3 2 2 4 3" xfId="7097"/>
    <cellStyle name="Normal 2 8 3 2 2 5" xfId="7098"/>
    <cellStyle name="Normal 2 8 3 2 2 5 2" xfId="7099"/>
    <cellStyle name="Normal 2 8 3 2 2 6" xfId="7100"/>
    <cellStyle name="Normal 2 8 3 2 3" xfId="7101"/>
    <cellStyle name="Normal 2 8 3 2 3 2" xfId="7102"/>
    <cellStyle name="Normal 2 8 3 2 3 2 2" xfId="7103"/>
    <cellStyle name="Normal 2 8 3 2 3 2 2 2" xfId="7104"/>
    <cellStyle name="Normal 2 8 3 2 3 2 3" xfId="7105"/>
    <cellStyle name="Normal 2 8 3 2 3 3" xfId="7106"/>
    <cellStyle name="Normal 2 8 3 2 3 3 2" xfId="7107"/>
    <cellStyle name="Normal 2 8 3 2 3 4" xfId="7108"/>
    <cellStyle name="Normal 2 8 3 2 4" xfId="7109"/>
    <cellStyle name="Normal 2 8 3 2 4 2" xfId="7110"/>
    <cellStyle name="Normal 2 8 3 2 4 2 2" xfId="7111"/>
    <cellStyle name="Normal 2 8 3 2 4 2 2 2" xfId="7112"/>
    <cellStyle name="Normal 2 8 3 2 4 2 3" xfId="7113"/>
    <cellStyle name="Normal 2 8 3 2 4 3" xfId="7114"/>
    <cellStyle name="Normal 2 8 3 2 4 3 2" xfId="7115"/>
    <cellStyle name="Normal 2 8 3 2 4 4" xfId="7116"/>
    <cellStyle name="Normal 2 8 3 2 5" xfId="7117"/>
    <cellStyle name="Normal 2 8 3 2 5 2" xfId="7118"/>
    <cellStyle name="Normal 2 8 3 2 5 2 2" xfId="7119"/>
    <cellStyle name="Normal 2 8 3 2 5 3" xfId="7120"/>
    <cellStyle name="Normal 2 8 3 2 6" xfId="7121"/>
    <cellStyle name="Normal 2 8 3 2 6 2" xfId="7122"/>
    <cellStyle name="Normal 2 8 3 2 7" xfId="7123"/>
    <cellStyle name="Normal 2 8 3 3" xfId="7124"/>
    <cellStyle name="Normal 2 8 3 3 2" xfId="7125"/>
    <cellStyle name="Normal 2 8 3 3 2 2" xfId="7126"/>
    <cellStyle name="Normal 2 8 3 3 2 2 2" xfId="7127"/>
    <cellStyle name="Normal 2 8 3 3 2 2 2 2" xfId="7128"/>
    <cellStyle name="Normal 2 8 3 3 2 2 3" xfId="7129"/>
    <cellStyle name="Normal 2 8 3 3 2 3" xfId="7130"/>
    <cellStyle name="Normal 2 8 3 3 2 3 2" xfId="7131"/>
    <cellStyle name="Normal 2 8 3 3 2 4" xfId="7132"/>
    <cellStyle name="Normal 2 8 3 3 3" xfId="7133"/>
    <cellStyle name="Normal 2 8 3 3 3 2" xfId="7134"/>
    <cellStyle name="Normal 2 8 3 3 3 2 2" xfId="7135"/>
    <cellStyle name="Normal 2 8 3 3 3 2 2 2" xfId="7136"/>
    <cellStyle name="Normal 2 8 3 3 3 2 3" xfId="7137"/>
    <cellStyle name="Normal 2 8 3 3 3 3" xfId="7138"/>
    <cellStyle name="Normal 2 8 3 3 3 3 2" xfId="7139"/>
    <cellStyle name="Normal 2 8 3 3 3 4" xfId="7140"/>
    <cellStyle name="Normal 2 8 3 3 4" xfId="7141"/>
    <cellStyle name="Normal 2 8 3 3 4 2" xfId="7142"/>
    <cellStyle name="Normal 2 8 3 3 4 2 2" xfId="7143"/>
    <cellStyle name="Normal 2 8 3 3 4 3" xfId="7144"/>
    <cellStyle name="Normal 2 8 3 3 5" xfId="7145"/>
    <cellStyle name="Normal 2 8 3 3 5 2" xfId="7146"/>
    <cellStyle name="Normal 2 8 3 3 6" xfId="7147"/>
    <cellStyle name="Normal 2 8 3 4" xfId="7148"/>
    <cellStyle name="Normal 2 8 3 4 2" xfId="7149"/>
    <cellStyle name="Normal 2 8 3 4 2 2" xfId="7150"/>
    <cellStyle name="Normal 2 8 3 4 2 2 2" xfId="7151"/>
    <cellStyle name="Normal 2 8 3 4 2 2 2 2" xfId="7152"/>
    <cellStyle name="Normal 2 8 3 4 2 2 3" xfId="7153"/>
    <cellStyle name="Normal 2 8 3 4 2 3" xfId="7154"/>
    <cellStyle name="Normal 2 8 3 4 2 3 2" xfId="7155"/>
    <cellStyle name="Normal 2 8 3 4 2 4" xfId="7156"/>
    <cellStyle name="Normal 2 8 3 4 3" xfId="7157"/>
    <cellStyle name="Normal 2 8 3 4 3 2" xfId="7158"/>
    <cellStyle name="Normal 2 8 3 4 3 2 2" xfId="7159"/>
    <cellStyle name="Normal 2 8 3 4 3 2 2 2" xfId="7160"/>
    <cellStyle name="Normal 2 8 3 4 3 2 3" xfId="7161"/>
    <cellStyle name="Normal 2 8 3 4 3 3" xfId="7162"/>
    <cellStyle name="Normal 2 8 3 4 3 3 2" xfId="7163"/>
    <cellStyle name="Normal 2 8 3 4 3 4" xfId="7164"/>
    <cellStyle name="Normal 2 8 3 4 4" xfId="7165"/>
    <cellStyle name="Normal 2 8 3 4 4 2" xfId="7166"/>
    <cellStyle name="Normal 2 8 3 4 4 2 2" xfId="7167"/>
    <cellStyle name="Normal 2 8 3 4 4 3" xfId="7168"/>
    <cellStyle name="Normal 2 8 3 4 5" xfId="7169"/>
    <cellStyle name="Normal 2 8 3 4 5 2" xfId="7170"/>
    <cellStyle name="Normal 2 8 3 4 6" xfId="7171"/>
    <cellStyle name="Normal 2 8 3 5" xfId="7172"/>
    <cellStyle name="Normal 2 8 3 5 2" xfId="7173"/>
    <cellStyle name="Normal 2 8 3 5 2 2" xfId="7174"/>
    <cellStyle name="Normal 2 8 3 5 2 2 2" xfId="7175"/>
    <cellStyle name="Normal 2 8 3 5 2 3" xfId="7176"/>
    <cellStyle name="Normal 2 8 3 5 3" xfId="7177"/>
    <cellStyle name="Normal 2 8 3 5 3 2" xfId="7178"/>
    <cellStyle name="Normal 2 8 3 5 4" xfId="7179"/>
    <cellStyle name="Normal 2 8 3 6" xfId="7180"/>
    <cellStyle name="Normal 2 8 3 6 2" xfId="7181"/>
    <cellStyle name="Normal 2 8 3 6 2 2" xfId="7182"/>
    <cellStyle name="Normal 2 8 3 6 2 2 2" xfId="7183"/>
    <cellStyle name="Normal 2 8 3 6 2 3" xfId="7184"/>
    <cellStyle name="Normal 2 8 3 6 3" xfId="7185"/>
    <cellStyle name="Normal 2 8 3 6 3 2" xfId="7186"/>
    <cellStyle name="Normal 2 8 3 6 4" xfId="7187"/>
    <cellStyle name="Normal 2 8 3 7" xfId="7188"/>
    <cellStyle name="Normal 2 8 3 7 2" xfId="7189"/>
    <cellStyle name="Normal 2 8 3 7 2 2" xfId="7190"/>
    <cellStyle name="Normal 2 8 3 7 3" xfId="7191"/>
    <cellStyle name="Normal 2 8 3 8" xfId="7192"/>
    <cellStyle name="Normal 2 8 3 8 2" xfId="7193"/>
    <cellStyle name="Normal 2 8 3 9" xfId="7194"/>
    <cellStyle name="Normal 2 8 4" xfId="7195"/>
    <cellStyle name="Normal 2 8 4 2" xfId="7196"/>
    <cellStyle name="Normal 2 8 4 2 2" xfId="7197"/>
    <cellStyle name="Normal 2 8 4 2 2 2" xfId="7198"/>
    <cellStyle name="Normal 2 8 4 2 2 2 2" xfId="7199"/>
    <cellStyle name="Normal 2 8 4 2 2 2 2 2" xfId="7200"/>
    <cellStyle name="Normal 2 8 4 2 2 2 3" xfId="7201"/>
    <cellStyle name="Normal 2 8 4 2 2 3" xfId="7202"/>
    <cellStyle name="Normal 2 8 4 2 2 3 2" xfId="7203"/>
    <cellStyle name="Normal 2 8 4 2 2 4" xfId="7204"/>
    <cellStyle name="Normal 2 8 4 2 3" xfId="7205"/>
    <cellStyle name="Normal 2 8 4 2 3 2" xfId="7206"/>
    <cellStyle name="Normal 2 8 4 2 3 2 2" xfId="7207"/>
    <cellStyle name="Normal 2 8 4 2 3 2 2 2" xfId="7208"/>
    <cellStyle name="Normal 2 8 4 2 3 2 3" xfId="7209"/>
    <cellStyle name="Normal 2 8 4 2 3 3" xfId="7210"/>
    <cellStyle name="Normal 2 8 4 2 3 3 2" xfId="7211"/>
    <cellStyle name="Normal 2 8 4 2 3 4" xfId="7212"/>
    <cellStyle name="Normal 2 8 4 2 4" xfId="7213"/>
    <cellStyle name="Normal 2 8 4 2 4 2" xfId="7214"/>
    <cellStyle name="Normal 2 8 4 2 4 2 2" xfId="7215"/>
    <cellStyle name="Normal 2 8 4 2 4 3" xfId="7216"/>
    <cellStyle name="Normal 2 8 4 2 5" xfId="7217"/>
    <cellStyle name="Normal 2 8 4 2 5 2" xfId="7218"/>
    <cellStyle name="Normal 2 8 4 2 6" xfId="7219"/>
    <cellStyle name="Normal 2 8 4 3" xfId="7220"/>
    <cellStyle name="Normal 2 8 4 3 2" xfId="7221"/>
    <cellStyle name="Normal 2 8 4 3 2 2" xfId="7222"/>
    <cellStyle name="Normal 2 8 4 3 2 2 2" xfId="7223"/>
    <cellStyle name="Normal 2 8 4 3 2 3" xfId="7224"/>
    <cellStyle name="Normal 2 8 4 3 3" xfId="7225"/>
    <cellStyle name="Normal 2 8 4 3 3 2" xfId="7226"/>
    <cellStyle name="Normal 2 8 4 3 4" xfId="7227"/>
    <cellStyle name="Normal 2 8 4 4" xfId="7228"/>
    <cellStyle name="Normal 2 8 4 4 2" xfId="7229"/>
    <cellStyle name="Normal 2 8 4 4 2 2" xfId="7230"/>
    <cellStyle name="Normal 2 8 4 4 2 2 2" xfId="7231"/>
    <cellStyle name="Normal 2 8 4 4 2 3" xfId="7232"/>
    <cellStyle name="Normal 2 8 4 4 3" xfId="7233"/>
    <cellStyle name="Normal 2 8 4 4 3 2" xfId="7234"/>
    <cellStyle name="Normal 2 8 4 4 4" xfId="7235"/>
    <cellStyle name="Normal 2 8 4 5" xfId="7236"/>
    <cellStyle name="Normal 2 8 4 5 2" xfId="7237"/>
    <cellStyle name="Normal 2 8 4 5 2 2" xfId="7238"/>
    <cellStyle name="Normal 2 8 4 5 3" xfId="7239"/>
    <cellStyle name="Normal 2 8 4 6" xfId="7240"/>
    <cellStyle name="Normal 2 8 4 6 2" xfId="7241"/>
    <cellStyle name="Normal 2 8 4 7" xfId="7242"/>
    <cellStyle name="Normal 2 8 5" xfId="7243"/>
    <cellStyle name="Normal 2 8 5 2" xfId="7244"/>
    <cellStyle name="Normal 2 8 5 2 2" xfId="7245"/>
    <cellStyle name="Normal 2 8 5 2 2 2" xfId="7246"/>
    <cellStyle name="Normal 2 8 5 2 2 2 2" xfId="7247"/>
    <cellStyle name="Normal 2 8 5 2 2 3" xfId="7248"/>
    <cellStyle name="Normal 2 8 5 2 3" xfId="7249"/>
    <cellStyle name="Normal 2 8 5 2 3 2" xfId="7250"/>
    <cellStyle name="Normal 2 8 5 2 4" xfId="7251"/>
    <cellStyle name="Normal 2 8 5 3" xfId="7252"/>
    <cellStyle name="Normal 2 8 5 3 2" xfId="7253"/>
    <cellStyle name="Normal 2 8 5 3 2 2" xfId="7254"/>
    <cellStyle name="Normal 2 8 5 3 2 2 2" xfId="7255"/>
    <cellStyle name="Normal 2 8 5 3 2 3" xfId="7256"/>
    <cellStyle name="Normal 2 8 5 3 3" xfId="7257"/>
    <cellStyle name="Normal 2 8 5 3 3 2" xfId="7258"/>
    <cellStyle name="Normal 2 8 5 3 4" xfId="7259"/>
    <cellStyle name="Normal 2 8 5 4" xfId="7260"/>
    <cellStyle name="Normal 2 8 5 4 2" xfId="7261"/>
    <cellStyle name="Normal 2 8 5 4 2 2" xfId="7262"/>
    <cellStyle name="Normal 2 8 5 4 3" xfId="7263"/>
    <cellStyle name="Normal 2 8 5 5" xfId="7264"/>
    <cellStyle name="Normal 2 8 5 5 2" xfId="7265"/>
    <cellStyle name="Normal 2 8 5 6" xfId="7266"/>
    <cellStyle name="Normal 2 8 6" xfId="7267"/>
    <cellStyle name="Normal 2 8 6 2" xfId="7268"/>
    <cellStyle name="Normal 2 8 6 2 2" xfId="7269"/>
    <cellStyle name="Normal 2 8 6 2 2 2" xfId="7270"/>
    <cellStyle name="Normal 2 8 6 2 2 2 2" xfId="7271"/>
    <cellStyle name="Normal 2 8 6 2 2 3" xfId="7272"/>
    <cellStyle name="Normal 2 8 6 2 3" xfId="7273"/>
    <cellStyle name="Normal 2 8 6 2 3 2" xfId="7274"/>
    <cellStyle name="Normal 2 8 6 2 4" xfId="7275"/>
    <cellStyle name="Normal 2 8 6 3" xfId="7276"/>
    <cellStyle name="Normal 2 8 6 3 2" xfId="7277"/>
    <cellStyle name="Normal 2 8 6 3 2 2" xfId="7278"/>
    <cellStyle name="Normal 2 8 6 3 2 2 2" xfId="7279"/>
    <cellStyle name="Normal 2 8 6 3 2 3" xfId="7280"/>
    <cellStyle name="Normal 2 8 6 3 3" xfId="7281"/>
    <cellStyle name="Normal 2 8 6 3 3 2" xfId="7282"/>
    <cellStyle name="Normal 2 8 6 3 4" xfId="7283"/>
    <cellStyle name="Normal 2 8 6 4" xfId="7284"/>
    <cellStyle name="Normal 2 8 6 4 2" xfId="7285"/>
    <cellStyle name="Normal 2 8 6 4 2 2" xfId="7286"/>
    <cellStyle name="Normal 2 8 6 4 3" xfId="7287"/>
    <cellStyle name="Normal 2 8 6 5" xfId="7288"/>
    <cellStyle name="Normal 2 8 6 5 2" xfId="7289"/>
    <cellStyle name="Normal 2 8 6 6" xfId="7290"/>
    <cellStyle name="Normal 2 8 7" xfId="7291"/>
    <cellStyle name="Normal 2 8 7 2" xfId="7292"/>
    <cellStyle name="Normal 2 8 7 2 2" xfId="7293"/>
    <cellStyle name="Normal 2 8 7 2 2 2" xfId="7294"/>
    <cellStyle name="Normal 2 8 7 2 3" xfId="7295"/>
    <cellStyle name="Normal 2 8 7 3" xfId="7296"/>
    <cellStyle name="Normal 2 8 7 3 2" xfId="7297"/>
    <cellStyle name="Normal 2 8 7 4" xfId="7298"/>
    <cellStyle name="Normal 2 8 8" xfId="7299"/>
    <cellStyle name="Normal 2 8 8 2" xfId="7300"/>
    <cellStyle name="Normal 2 8 8 2 2" xfId="7301"/>
    <cellStyle name="Normal 2 8 8 2 2 2" xfId="7302"/>
    <cellStyle name="Normal 2 8 8 2 3" xfId="7303"/>
    <cellStyle name="Normal 2 8 8 3" xfId="7304"/>
    <cellStyle name="Normal 2 8 8 3 2" xfId="7305"/>
    <cellStyle name="Normal 2 8 8 4" xfId="7306"/>
    <cellStyle name="Normal 2 8 9" xfId="7307"/>
    <cellStyle name="Normal 2 8 9 2" xfId="7308"/>
    <cellStyle name="Normal 2 8 9 2 2" xfId="7309"/>
    <cellStyle name="Normal 2 8 9 2 2 2" xfId="7310"/>
    <cellStyle name="Normal 2 8 9 2 3" xfId="7311"/>
    <cellStyle name="Normal 2 8 9 3" xfId="7312"/>
    <cellStyle name="Normal 2 8 9 3 2" xfId="7313"/>
    <cellStyle name="Normal 2 8 9 4" xfId="7314"/>
    <cellStyle name="Normal 2 9" xfId="7315"/>
    <cellStyle name="Normal 2 9 10" xfId="7316"/>
    <cellStyle name="Normal 2 9 10 2" xfId="7317"/>
    <cellStyle name="Normal 2 9 10 2 2" xfId="7318"/>
    <cellStyle name="Normal 2 9 10 3" xfId="7319"/>
    <cellStyle name="Normal 2 9 11" xfId="7320"/>
    <cellStyle name="Normal 2 9 11 2" xfId="7321"/>
    <cellStyle name="Normal 2 9 12" xfId="7322"/>
    <cellStyle name="Normal 2 9 2" xfId="7323"/>
    <cellStyle name="Normal 2 9 2 10" xfId="7324"/>
    <cellStyle name="Normal 2 9 2 2" xfId="7325"/>
    <cellStyle name="Normal 2 9 2 2 2" xfId="7326"/>
    <cellStyle name="Normal 2 9 2 2 2 2" xfId="7327"/>
    <cellStyle name="Normal 2 9 2 2 2 2 2" xfId="7328"/>
    <cellStyle name="Normal 2 9 2 2 2 2 2 2" xfId="7329"/>
    <cellStyle name="Normal 2 9 2 2 2 2 2 2 2" xfId="7330"/>
    <cellStyle name="Normal 2 9 2 2 2 2 2 3" xfId="7331"/>
    <cellStyle name="Normal 2 9 2 2 2 2 3" xfId="7332"/>
    <cellStyle name="Normal 2 9 2 2 2 2 3 2" xfId="7333"/>
    <cellStyle name="Normal 2 9 2 2 2 2 4" xfId="7334"/>
    <cellStyle name="Normal 2 9 2 2 2 3" xfId="7335"/>
    <cellStyle name="Normal 2 9 2 2 2 3 2" xfId="7336"/>
    <cellStyle name="Normal 2 9 2 2 2 3 2 2" xfId="7337"/>
    <cellStyle name="Normal 2 9 2 2 2 3 2 2 2" xfId="7338"/>
    <cellStyle name="Normal 2 9 2 2 2 3 2 3" xfId="7339"/>
    <cellStyle name="Normal 2 9 2 2 2 3 3" xfId="7340"/>
    <cellStyle name="Normal 2 9 2 2 2 3 3 2" xfId="7341"/>
    <cellStyle name="Normal 2 9 2 2 2 3 4" xfId="7342"/>
    <cellStyle name="Normal 2 9 2 2 2 4" xfId="7343"/>
    <cellStyle name="Normal 2 9 2 2 2 4 2" xfId="7344"/>
    <cellStyle name="Normal 2 9 2 2 2 4 2 2" xfId="7345"/>
    <cellStyle name="Normal 2 9 2 2 2 4 3" xfId="7346"/>
    <cellStyle name="Normal 2 9 2 2 2 5" xfId="7347"/>
    <cellStyle name="Normal 2 9 2 2 2 5 2" xfId="7348"/>
    <cellStyle name="Normal 2 9 2 2 2 6" xfId="7349"/>
    <cellStyle name="Normal 2 9 2 2 3" xfId="7350"/>
    <cellStyle name="Normal 2 9 2 2 3 2" xfId="7351"/>
    <cellStyle name="Normal 2 9 2 2 3 2 2" xfId="7352"/>
    <cellStyle name="Normal 2 9 2 2 3 2 2 2" xfId="7353"/>
    <cellStyle name="Normal 2 9 2 2 3 2 3" xfId="7354"/>
    <cellStyle name="Normal 2 9 2 2 3 3" xfId="7355"/>
    <cellStyle name="Normal 2 9 2 2 3 3 2" xfId="7356"/>
    <cellStyle name="Normal 2 9 2 2 3 4" xfId="7357"/>
    <cellStyle name="Normal 2 9 2 2 4" xfId="7358"/>
    <cellStyle name="Normal 2 9 2 2 4 2" xfId="7359"/>
    <cellStyle name="Normal 2 9 2 2 4 2 2" xfId="7360"/>
    <cellStyle name="Normal 2 9 2 2 4 2 2 2" xfId="7361"/>
    <cellStyle name="Normal 2 9 2 2 4 2 3" xfId="7362"/>
    <cellStyle name="Normal 2 9 2 2 4 3" xfId="7363"/>
    <cellStyle name="Normal 2 9 2 2 4 3 2" xfId="7364"/>
    <cellStyle name="Normal 2 9 2 2 4 4" xfId="7365"/>
    <cellStyle name="Normal 2 9 2 2 5" xfId="7366"/>
    <cellStyle name="Normal 2 9 2 2 5 2" xfId="7367"/>
    <cellStyle name="Normal 2 9 2 2 5 2 2" xfId="7368"/>
    <cellStyle name="Normal 2 9 2 2 5 3" xfId="7369"/>
    <cellStyle name="Normal 2 9 2 2 6" xfId="7370"/>
    <cellStyle name="Normal 2 9 2 2 6 2" xfId="7371"/>
    <cellStyle name="Normal 2 9 2 2 7" xfId="7372"/>
    <cellStyle name="Normal 2 9 2 3" xfId="7373"/>
    <cellStyle name="Normal 2 9 2 3 2" xfId="7374"/>
    <cellStyle name="Normal 2 9 2 3 2 2" xfId="7375"/>
    <cellStyle name="Normal 2 9 2 3 2 2 2" xfId="7376"/>
    <cellStyle name="Normal 2 9 2 3 2 2 2 2" xfId="7377"/>
    <cellStyle name="Normal 2 9 2 3 2 2 3" xfId="7378"/>
    <cellStyle name="Normal 2 9 2 3 2 3" xfId="7379"/>
    <cellStyle name="Normal 2 9 2 3 2 3 2" xfId="7380"/>
    <cellStyle name="Normal 2 9 2 3 2 4" xfId="7381"/>
    <cellStyle name="Normal 2 9 2 3 3" xfId="7382"/>
    <cellStyle name="Normal 2 9 2 3 3 2" xfId="7383"/>
    <cellStyle name="Normal 2 9 2 3 3 2 2" xfId="7384"/>
    <cellStyle name="Normal 2 9 2 3 3 2 2 2" xfId="7385"/>
    <cellStyle name="Normal 2 9 2 3 3 2 3" xfId="7386"/>
    <cellStyle name="Normal 2 9 2 3 3 3" xfId="7387"/>
    <cellStyle name="Normal 2 9 2 3 3 3 2" xfId="7388"/>
    <cellStyle name="Normal 2 9 2 3 3 4" xfId="7389"/>
    <cellStyle name="Normal 2 9 2 3 4" xfId="7390"/>
    <cellStyle name="Normal 2 9 2 3 4 2" xfId="7391"/>
    <cellStyle name="Normal 2 9 2 3 4 2 2" xfId="7392"/>
    <cellStyle name="Normal 2 9 2 3 4 3" xfId="7393"/>
    <cellStyle name="Normal 2 9 2 3 5" xfId="7394"/>
    <cellStyle name="Normal 2 9 2 3 5 2" xfId="7395"/>
    <cellStyle name="Normal 2 9 2 3 6" xfId="7396"/>
    <cellStyle name="Normal 2 9 2 4" xfId="7397"/>
    <cellStyle name="Normal 2 9 2 4 2" xfId="7398"/>
    <cellStyle name="Normal 2 9 2 4 2 2" xfId="7399"/>
    <cellStyle name="Normal 2 9 2 4 2 2 2" xfId="7400"/>
    <cellStyle name="Normal 2 9 2 4 2 2 2 2" xfId="7401"/>
    <cellStyle name="Normal 2 9 2 4 2 2 3" xfId="7402"/>
    <cellStyle name="Normal 2 9 2 4 2 3" xfId="7403"/>
    <cellStyle name="Normal 2 9 2 4 2 3 2" xfId="7404"/>
    <cellStyle name="Normal 2 9 2 4 2 4" xfId="7405"/>
    <cellStyle name="Normal 2 9 2 4 3" xfId="7406"/>
    <cellStyle name="Normal 2 9 2 4 3 2" xfId="7407"/>
    <cellStyle name="Normal 2 9 2 4 3 2 2" xfId="7408"/>
    <cellStyle name="Normal 2 9 2 4 3 2 2 2" xfId="7409"/>
    <cellStyle name="Normal 2 9 2 4 3 2 3" xfId="7410"/>
    <cellStyle name="Normal 2 9 2 4 3 3" xfId="7411"/>
    <cellStyle name="Normal 2 9 2 4 3 3 2" xfId="7412"/>
    <cellStyle name="Normal 2 9 2 4 3 4" xfId="7413"/>
    <cellStyle name="Normal 2 9 2 4 4" xfId="7414"/>
    <cellStyle name="Normal 2 9 2 4 4 2" xfId="7415"/>
    <cellStyle name="Normal 2 9 2 4 4 2 2" xfId="7416"/>
    <cellStyle name="Normal 2 9 2 4 4 3" xfId="7417"/>
    <cellStyle name="Normal 2 9 2 4 5" xfId="7418"/>
    <cellStyle name="Normal 2 9 2 4 5 2" xfId="7419"/>
    <cellStyle name="Normal 2 9 2 4 6" xfId="7420"/>
    <cellStyle name="Normal 2 9 2 5" xfId="7421"/>
    <cellStyle name="Normal 2 9 2 5 2" xfId="7422"/>
    <cellStyle name="Normal 2 9 2 5 2 2" xfId="7423"/>
    <cellStyle name="Normal 2 9 2 5 2 2 2" xfId="7424"/>
    <cellStyle name="Normal 2 9 2 5 2 3" xfId="7425"/>
    <cellStyle name="Normal 2 9 2 5 3" xfId="7426"/>
    <cellStyle name="Normal 2 9 2 5 3 2" xfId="7427"/>
    <cellStyle name="Normal 2 9 2 5 4" xfId="7428"/>
    <cellStyle name="Normal 2 9 2 6" xfId="7429"/>
    <cellStyle name="Normal 2 9 2 6 2" xfId="7430"/>
    <cellStyle name="Normal 2 9 2 6 2 2" xfId="7431"/>
    <cellStyle name="Normal 2 9 2 6 2 2 2" xfId="7432"/>
    <cellStyle name="Normal 2 9 2 6 2 3" xfId="7433"/>
    <cellStyle name="Normal 2 9 2 6 3" xfId="7434"/>
    <cellStyle name="Normal 2 9 2 6 3 2" xfId="7435"/>
    <cellStyle name="Normal 2 9 2 6 4" xfId="7436"/>
    <cellStyle name="Normal 2 9 2 7" xfId="7437"/>
    <cellStyle name="Normal 2 9 2 7 2" xfId="7438"/>
    <cellStyle name="Normal 2 9 2 7 2 2" xfId="7439"/>
    <cellStyle name="Normal 2 9 2 7 2 2 2" xfId="7440"/>
    <cellStyle name="Normal 2 9 2 7 2 3" xfId="7441"/>
    <cellStyle name="Normal 2 9 2 7 3" xfId="7442"/>
    <cellStyle name="Normal 2 9 2 7 3 2" xfId="7443"/>
    <cellStyle name="Normal 2 9 2 7 4" xfId="7444"/>
    <cellStyle name="Normal 2 9 2 8" xfId="7445"/>
    <cellStyle name="Normal 2 9 2 8 2" xfId="7446"/>
    <cellStyle name="Normal 2 9 2 8 2 2" xfId="7447"/>
    <cellStyle name="Normal 2 9 2 8 3" xfId="7448"/>
    <cellStyle name="Normal 2 9 2 9" xfId="7449"/>
    <cellStyle name="Normal 2 9 2 9 2" xfId="7450"/>
    <cellStyle name="Normal 2 9 3" xfId="7451"/>
    <cellStyle name="Normal 2 9 3 2" xfId="7452"/>
    <cellStyle name="Normal 2 9 3 2 2" xfId="7453"/>
    <cellStyle name="Normal 2 9 3 2 2 2" xfId="7454"/>
    <cellStyle name="Normal 2 9 3 2 2 2 2" xfId="7455"/>
    <cellStyle name="Normal 2 9 3 2 2 2 2 2" xfId="7456"/>
    <cellStyle name="Normal 2 9 3 2 2 2 2 2 2" xfId="7457"/>
    <cellStyle name="Normal 2 9 3 2 2 2 2 3" xfId="7458"/>
    <cellStyle name="Normal 2 9 3 2 2 2 3" xfId="7459"/>
    <cellStyle name="Normal 2 9 3 2 2 2 3 2" xfId="7460"/>
    <cellStyle name="Normal 2 9 3 2 2 2 4" xfId="7461"/>
    <cellStyle name="Normal 2 9 3 2 2 3" xfId="7462"/>
    <cellStyle name="Normal 2 9 3 2 2 3 2" xfId="7463"/>
    <cellStyle name="Normal 2 9 3 2 2 3 2 2" xfId="7464"/>
    <cellStyle name="Normal 2 9 3 2 2 3 2 2 2" xfId="7465"/>
    <cellStyle name="Normal 2 9 3 2 2 3 2 3" xfId="7466"/>
    <cellStyle name="Normal 2 9 3 2 2 3 3" xfId="7467"/>
    <cellStyle name="Normal 2 9 3 2 2 3 3 2" xfId="7468"/>
    <cellStyle name="Normal 2 9 3 2 2 3 4" xfId="7469"/>
    <cellStyle name="Normal 2 9 3 2 2 4" xfId="7470"/>
    <cellStyle name="Normal 2 9 3 2 2 4 2" xfId="7471"/>
    <cellStyle name="Normal 2 9 3 2 2 4 2 2" xfId="7472"/>
    <cellStyle name="Normal 2 9 3 2 2 4 3" xfId="7473"/>
    <cellStyle name="Normal 2 9 3 2 2 5" xfId="7474"/>
    <cellStyle name="Normal 2 9 3 2 2 5 2" xfId="7475"/>
    <cellStyle name="Normal 2 9 3 2 2 6" xfId="7476"/>
    <cellStyle name="Normal 2 9 3 2 3" xfId="7477"/>
    <cellStyle name="Normal 2 9 3 2 3 2" xfId="7478"/>
    <cellStyle name="Normal 2 9 3 2 3 2 2" xfId="7479"/>
    <cellStyle name="Normal 2 9 3 2 3 2 2 2" xfId="7480"/>
    <cellStyle name="Normal 2 9 3 2 3 2 3" xfId="7481"/>
    <cellStyle name="Normal 2 9 3 2 3 3" xfId="7482"/>
    <cellStyle name="Normal 2 9 3 2 3 3 2" xfId="7483"/>
    <cellStyle name="Normal 2 9 3 2 3 4" xfId="7484"/>
    <cellStyle name="Normal 2 9 3 2 4" xfId="7485"/>
    <cellStyle name="Normal 2 9 3 2 4 2" xfId="7486"/>
    <cellStyle name="Normal 2 9 3 2 4 2 2" xfId="7487"/>
    <cellStyle name="Normal 2 9 3 2 4 2 2 2" xfId="7488"/>
    <cellStyle name="Normal 2 9 3 2 4 2 3" xfId="7489"/>
    <cellStyle name="Normal 2 9 3 2 4 3" xfId="7490"/>
    <cellStyle name="Normal 2 9 3 2 4 3 2" xfId="7491"/>
    <cellStyle name="Normal 2 9 3 2 4 4" xfId="7492"/>
    <cellStyle name="Normal 2 9 3 2 5" xfId="7493"/>
    <cellStyle name="Normal 2 9 3 2 5 2" xfId="7494"/>
    <cellStyle name="Normal 2 9 3 2 5 2 2" xfId="7495"/>
    <cellStyle name="Normal 2 9 3 2 5 3" xfId="7496"/>
    <cellStyle name="Normal 2 9 3 2 6" xfId="7497"/>
    <cellStyle name="Normal 2 9 3 2 6 2" xfId="7498"/>
    <cellStyle name="Normal 2 9 3 2 7" xfId="7499"/>
    <cellStyle name="Normal 2 9 3 3" xfId="7500"/>
    <cellStyle name="Normal 2 9 3 3 2" xfId="7501"/>
    <cellStyle name="Normal 2 9 3 3 2 2" xfId="7502"/>
    <cellStyle name="Normal 2 9 3 3 2 2 2" xfId="7503"/>
    <cellStyle name="Normal 2 9 3 3 2 2 2 2" xfId="7504"/>
    <cellStyle name="Normal 2 9 3 3 2 2 3" xfId="7505"/>
    <cellStyle name="Normal 2 9 3 3 2 3" xfId="7506"/>
    <cellStyle name="Normal 2 9 3 3 2 3 2" xfId="7507"/>
    <cellStyle name="Normal 2 9 3 3 2 4" xfId="7508"/>
    <cellStyle name="Normal 2 9 3 3 3" xfId="7509"/>
    <cellStyle name="Normal 2 9 3 3 3 2" xfId="7510"/>
    <cellStyle name="Normal 2 9 3 3 3 2 2" xfId="7511"/>
    <cellStyle name="Normal 2 9 3 3 3 2 2 2" xfId="7512"/>
    <cellStyle name="Normal 2 9 3 3 3 2 3" xfId="7513"/>
    <cellStyle name="Normal 2 9 3 3 3 3" xfId="7514"/>
    <cellStyle name="Normal 2 9 3 3 3 3 2" xfId="7515"/>
    <cellStyle name="Normal 2 9 3 3 3 4" xfId="7516"/>
    <cellStyle name="Normal 2 9 3 3 4" xfId="7517"/>
    <cellStyle name="Normal 2 9 3 3 4 2" xfId="7518"/>
    <cellStyle name="Normal 2 9 3 3 4 2 2" xfId="7519"/>
    <cellStyle name="Normal 2 9 3 3 4 3" xfId="7520"/>
    <cellStyle name="Normal 2 9 3 3 5" xfId="7521"/>
    <cellStyle name="Normal 2 9 3 3 5 2" xfId="7522"/>
    <cellStyle name="Normal 2 9 3 3 6" xfId="7523"/>
    <cellStyle name="Normal 2 9 3 4" xfId="7524"/>
    <cellStyle name="Normal 2 9 3 4 2" xfId="7525"/>
    <cellStyle name="Normal 2 9 3 4 2 2" xfId="7526"/>
    <cellStyle name="Normal 2 9 3 4 2 2 2" xfId="7527"/>
    <cellStyle name="Normal 2 9 3 4 2 2 2 2" xfId="7528"/>
    <cellStyle name="Normal 2 9 3 4 2 2 3" xfId="7529"/>
    <cellStyle name="Normal 2 9 3 4 2 3" xfId="7530"/>
    <cellStyle name="Normal 2 9 3 4 2 3 2" xfId="7531"/>
    <cellStyle name="Normal 2 9 3 4 2 4" xfId="7532"/>
    <cellStyle name="Normal 2 9 3 4 3" xfId="7533"/>
    <cellStyle name="Normal 2 9 3 4 3 2" xfId="7534"/>
    <cellStyle name="Normal 2 9 3 4 3 2 2" xfId="7535"/>
    <cellStyle name="Normal 2 9 3 4 3 2 2 2" xfId="7536"/>
    <cellStyle name="Normal 2 9 3 4 3 2 3" xfId="7537"/>
    <cellStyle name="Normal 2 9 3 4 3 3" xfId="7538"/>
    <cellStyle name="Normal 2 9 3 4 3 3 2" xfId="7539"/>
    <cellStyle name="Normal 2 9 3 4 3 4" xfId="7540"/>
    <cellStyle name="Normal 2 9 3 4 4" xfId="7541"/>
    <cellStyle name="Normal 2 9 3 4 4 2" xfId="7542"/>
    <cellStyle name="Normal 2 9 3 4 4 2 2" xfId="7543"/>
    <cellStyle name="Normal 2 9 3 4 4 3" xfId="7544"/>
    <cellStyle name="Normal 2 9 3 4 5" xfId="7545"/>
    <cellStyle name="Normal 2 9 3 4 5 2" xfId="7546"/>
    <cellStyle name="Normal 2 9 3 4 6" xfId="7547"/>
    <cellStyle name="Normal 2 9 3 5" xfId="7548"/>
    <cellStyle name="Normal 2 9 3 5 2" xfId="7549"/>
    <cellStyle name="Normal 2 9 3 5 2 2" xfId="7550"/>
    <cellStyle name="Normal 2 9 3 5 2 2 2" xfId="7551"/>
    <cellStyle name="Normal 2 9 3 5 2 3" xfId="7552"/>
    <cellStyle name="Normal 2 9 3 5 3" xfId="7553"/>
    <cellStyle name="Normal 2 9 3 5 3 2" xfId="7554"/>
    <cellStyle name="Normal 2 9 3 5 4" xfId="7555"/>
    <cellStyle name="Normal 2 9 3 6" xfId="7556"/>
    <cellStyle name="Normal 2 9 3 6 2" xfId="7557"/>
    <cellStyle name="Normal 2 9 3 6 2 2" xfId="7558"/>
    <cellStyle name="Normal 2 9 3 6 2 2 2" xfId="7559"/>
    <cellStyle name="Normal 2 9 3 6 2 3" xfId="7560"/>
    <cellStyle name="Normal 2 9 3 6 3" xfId="7561"/>
    <cellStyle name="Normal 2 9 3 6 3 2" xfId="7562"/>
    <cellStyle name="Normal 2 9 3 6 4" xfId="7563"/>
    <cellStyle name="Normal 2 9 3 7" xfId="7564"/>
    <cellStyle name="Normal 2 9 3 7 2" xfId="7565"/>
    <cellStyle name="Normal 2 9 3 7 2 2" xfId="7566"/>
    <cellStyle name="Normal 2 9 3 7 3" xfId="7567"/>
    <cellStyle name="Normal 2 9 3 8" xfId="7568"/>
    <cellStyle name="Normal 2 9 3 8 2" xfId="7569"/>
    <cellStyle name="Normal 2 9 3 9" xfId="7570"/>
    <cellStyle name="Normal 2 9 4" xfId="7571"/>
    <cellStyle name="Normal 2 9 4 2" xfId="7572"/>
    <cellStyle name="Normal 2 9 4 2 2" xfId="7573"/>
    <cellStyle name="Normal 2 9 4 2 2 2" xfId="7574"/>
    <cellStyle name="Normal 2 9 4 2 2 2 2" xfId="7575"/>
    <cellStyle name="Normal 2 9 4 2 2 2 2 2" xfId="7576"/>
    <cellStyle name="Normal 2 9 4 2 2 2 3" xfId="7577"/>
    <cellStyle name="Normal 2 9 4 2 2 3" xfId="7578"/>
    <cellStyle name="Normal 2 9 4 2 2 3 2" xfId="7579"/>
    <cellStyle name="Normal 2 9 4 2 2 4" xfId="7580"/>
    <cellStyle name="Normal 2 9 4 2 3" xfId="7581"/>
    <cellStyle name="Normal 2 9 4 2 3 2" xfId="7582"/>
    <cellStyle name="Normal 2 9 4 2 3 2 2" xfId="7583"/>
    <cellStyle name="Normal 2 9 4 2 3 2 2 2" xfId="7584"/>
    <cellStyle name="Normal 2 9 4 2 3 2 3" xfId="7585"/>
    <cellStyle name="Normal 2 9 4 2 3 3" xfId="7586"/>
    <cellStyle name="Normal 2 9 4 2 3 3 2" xfId="7587"/>
    <cellStyle name="Normal 2 9 4 2 3 4" xfId="7588"/>
    <cellStyle name="Normal 2 9 4 2 4" xfId="7589"/>
    <cellStyle name="Normal 2 9 4 2 4 2" xfId="7590"/>
    <cellStyle name="Normal 2 9 4 2 4 2 2" xfId="7591"/>
    <cellStyle name="Normal 2 9 4 2 4 3" xfId="7592"/>
    <cellStyle name="Normal 2 9 4 2 5" xfId="7593"/>
    <cellStyle name="Normal 2 9 4 2 5 2" xfId="7594"/>
    <cellStyle name="Normal 2 9 4 2 6" xfId="7595"/>
    <cellStyle name="Normal 2 9 4 3" xfId="7596"/>
    <cellStyle name="Normal 2 9 4 3 2" xfId="7597"/>
    <cellStyle name="Normal 2 9 4 3 2 2" xfId="7598"/>
    <cellStyle name="Normal 2 9 4 3 2 2 2" xfId="7599"/>
    <cellStyle name="Normal 2 9 4 3 2 3" xfId="7600"/>
    <cellStyle name="Normal 2 9 4 3 3" xfId="7601"/>
    <cellStyle name="Normal 2 9 4 3 3 2" xfId="7602"/>
    <cellStyle name="Normal 2 9 4 3 4" xfId="7603"/>
    <cellStyle name="Normal 2 9 4 4" xfId="7604"/>
    <cellStyle name="Normal 2 9 4 4 2" xfId="7605"/>
    <cellStyle name="Normal 2 9 4 4 2 2" xfId="7606"/>
    <cellStyle name="Normal 2 9 4 4 2 2 2" xfId="7607"/>
    <cellStyle name="Normal 2 9 4 4 2 3" xfId="7608"/>
    <cellStyle name="Normal 2 9 4 4 3" xfId="7609"/>
    <cellStyle name="Normal 2 9 4 4 3 2" xfId="7610"/>
    <cellStyle name="Normal 2 9 4 4 4" xfId="7611"/>
    <cellStyle name="Normal 2 9 4 5" xfId="7612"/>
    <cellStyle name="Normal 2 9 4 5 2" xfId="7613"/>
    <cellStyle name="Normal 2 9 4 5 2 2" xfId="7614"/>
    <cellStyle name="Normal 2 9 4 5 3" xfId="7615"/>
    <cellStyle name="Normal 2 9 4 6" xfId="7616"/>
    <cellStyle name="Normal 2 9 4 6 2" xfId="7617"/>
    <cellStyle name="Normal 2 9 4 7" xfId="7618"/>
    <cellStyle name="Normal 2 9 5" xfId="7619"/>
    <cellStyle name="Normal 2 9 5 2" xfId="7620"/>
    <cellStyle name="Normal 2 9 5 2 2" xfId="7621"/>
    <cellStyle name="Normal 2 9 5 2 2 2" xfId="7622"/>
    <cellStyle name="Normal 2 9 5 2 2 2 2" xfId="7623"/>
    <cellStyle name="Normal 2 9 5 2 2 3" xfId="7624"/>
    <cellStyle name="Normal 2 9 5 2 3" xfId="7625"/>
    <cellStyle name="Normal 2 9 5 2 3 2" xfId="7626"/>
    <cellStyle name="Normal 2 9 5 2 4" xfId="7627"/>
    <cellStyle name="Normal 2 9 5 3" xfId="7628"/>
    <cellStyle name="Normal 2 9 5 3 2" xfId="7629"/>
    <cellStyle name="Normal 2 9 5 3 2 2" xfId="7630"/>
    <cellStyle name="Normal 2 9 5 3 2 2 2" xfId="7631"/>
    <cellStyle name="Normal 2 9 5 3 2 3" xfId="7632"/>
    <cellStyle name="Normal 2 9 5 3 3" xfId="7633"/>
    <cellStyle name="Normal 2 9 5 3 3 2" xfId="7634"/>
    <cellStyle name="Normal 2 9 5 3 4" xfId="7635"/>
    <cellStyle name="Normal 2 9 5 4" xfId="7636"/>
    <cellStyle name="Normal 2 9 5 4 2" xfId="7637"/>
    <cellStyle name="Normal 2 9 5 4 2 2" xfId="7638"/>
    <cellStyle name="Normal 2 9 5 4 3" xfId="7639"/>
    <cellStyle name="Normal 2 9 5 5" xfId="7640"/>
    <cellStyle name="Normal 2 9 5 5 2" xfId="7641"/>
    <cellStyle name="Normal 2 9 5 6" xfId="7642"/>
    <cellStyle name="Normal 2 9 6" xfId="7643"/>
    <cellStyle name="Normal 2 9 6 2" xfId="7644"/>
    <cellStyle name="Normal 2 9 6 2 2" xfId="7645"/>
    <cellStyle name="Normal 2 9 6 2 2 2" xfId="7646"/>
    <cellStyle name="Normal 2 9 6 2 2 2 2" xfId="7647"/>
    <cellStyle name="Normal 2 9 6 2 2 3" xfId="7648"/>
    <cellStyle name="Normal 2 9 6 2 3" xfId="7649"/>
    <cellStyle name="Normal 2 9 6 2 3 2" xfId="7650"/>
    <cellStyle name="Normal 2 9 6 2 4" xfId="7651"/>
    <cellStyle name="Normal 2 9 6 3" xfId="7652"/>
    <cellStyle name="Normal 2 9 6 3 2" xfId="7653"/>
    <cellStyle name="Normal 2 9 6 3 2 2" xfId="7654"/>
    <cellStyle name="Normal 2 9 6 3 2 2 2" xfId="7655"/>
    <cellStyle name="Normal 2 9 6 3 2 3" xfId="7656"/>
    <cellStyle name="Normal 2 9 6 3 3" xfId="7657"/>
    <cellStyle name="Normal 2 9 6 3 3 2" xfId="7658"/>
    <cellStyle name="Normal 2 9 6 3 4" xfId="7659"/>
    <cellStyle name="Normal 2 9 6 4" xfId="7660"/>
    <cellStyle name="Normal 2 9 6 4 2" xfId="7661"/>
    <cellStyle name="Normal 2 9 6 4 2 2" xfId="7662"/>
    <cellStyle name="Normal 2 9 6 4 3" xfId="7663"/>
    <cellStyle name="Normal 2 9 6 5" xfId="7664"/>
    <cellStyle name="Normal 2 9 6 5 2" xfId="7665"/>
    <cellStyle name="Normal 2 9 6 6" xfId="7666"/>
    <cellStyle name="Normal 2 9 7" xfId="7667"/>
    <cellStyle name="Normal 2 9 7 2" xfId="7668"/>
    <cellStyle name="Normal 2 9 7 2 2" xfId="7669"/>
    <cellStyle name="Normal 2 9 7 2 2 2" xfId="7670"/>
    <cellStyle name="Normal 2 9 7 2 3" xfId="7671"/>
    <cellStyle name="Normal 2 9 7 3" xfId="7672"/>
    <cellStyle name="Normal 2 9 7 3 2" xfId="7673"/>
    <cellStyle name="Normal 2 9 7 4" xfId="7674"/>
    <cellStyle name="Normal 2 9 8" xfId="7675"/>
    <cellStyle name="Normal 2 9 8 2" xfId="7676"/>
    <cellStyle name="Normal 2 9 8 2 2" xfId="7677"/>
    <cellStyle name="Normal 2 9 8 2 2 2" xfId="7678"/>
    <cellStyle name="Normal 2 9 8 2 3" xfId="7679"/>
    <cellStyle name="Normal 2 9 8 3" xfId="7680"/>
    <cellStyle name="Normal 2 9 8 3 2" xfId="7681"/>
    <cellStyle name="Normal 2 9 8 4" xfId="7682"/>
    <cellStyle name="Normal 2 9 9" xfId="7683"/>
    <cellStyle name="Normal 2 9 9 2" xfId="7684"/>
    <cellStyle name="Normal 2 9 9 2 2" xfId="7685"/>
    <cellStyle name="Normal 2 9 9 2 2 2" xfId="7686"/>
    <cellStyle name="Normal 2 9 9 2 3" xfId="7687"/>
    <cellStyle name="Normal 2 9 9 3" xfId="7688"/>
    <cellStyle name="Normal 2 9 9 3 2" xfId="7689"/>
    <cellStyle name="Normal 2 9 9 4" xfId="7690"/>
    <cellStyle name="Normal 20" xfId="7691"/>
    <cellStyle name="Normal 20 10" xfId="7692"/>
    <cellStyle name="Normal 20 10 2" xfId="7693"/>
    <cellStyle name="Normal 20 10 2 2" xfId="7694"/>
    <cellStyle name="Normal 20 10 2 2 2" xfId="7695"/>
    <cellStyle name="Normal 20 10 2 3" xfId="7696"/>
    <cellStyle name="Normal 20 10 3" xfId="7697"/>
    <cellStyle name="Normal 20 10 3 2" xfId="7698"/>
    <cellStyle name="Normal 20 10 4" xfId="7699"/>
    <cellStyle name="Normal 20 11" xfId="7700"/>
    <cellStyle name="Normal 20 11 2" xfId="7701"/>
    <cellStyle name="Normal 20 11 2 2" xfId="7702"/>
    <cellStyle name="Normal 20 11 3" xfId="7703"/>
    <cellStyle name="Normal 20 12" xfId="7704"/>
    <cellStyle name="Normal 20 12 2" xfId="7705"/>
    <cellStyle name="Normal 20 13" xfId="7706"/>
    <cellStyle name="Normal 20 2" xfId="7707"/>
    <cellStyle name="Normal 20 3" xfId="7708"/>
    <cellStyle name="Normal 20 3 10" xfId="7709"/>
    <cellStyle name="Normal 20 3 2" xfId="7710"/>
    <cellStyle name="Normal 20 3 2 2" xfId="7711"/>
    <cellStyle name="Normal 20 3 2 2 2" xfId="7712"/>
    <cellStyle name="Normal 20 3 2 2 2 2" xfId="7713"/>
    <cellStyle name="Normal 20 3 2 2 2 2 2" xfId="7714"/>
    <cellStyle name="Normal 20 3 2 2 2 2 2 2" xfId="7715"/>
    <cellStyle name="Normal 20 3 2 2 2 2 3" xfId="7716"/>
    <cellStyle name="Normal 20 3 2 2 2 3" xfId="7717"/>
    <cellStyle name="Normal 20 3 2 2 2 3 2" xfId="7718"/>
    <cellStyle name="Normal 20 3 2 2 2 4" xfId="7719"/>
    <cellStyle name="Normal 20 3 2 2 3" xfId="7720"/>
    <cellStyle name="Normal 20 3 2 2 3 2" xfId="7721"/>
    <cellStyle name="Normal 20 3 2 2 3 2 2" xfId="7722"/>
    <cellStyle name="Normal 20 3 2 2 3 2 2 2" xfId="7723"/>
    <cellStyle name="Normal 20 3 2 2 3 2 3" xfId="7724"/>
    <cellStyle name="Normal 20 3 2 2 3 3" xfId="7725"/>
    <cellStyle name="Normal 20 3 2 2 3 3 2" xfId="7726"/>
    <cellStyle name="Normal 20 3 2 2 3 4" xfId="7727"/>
    <cellStyle name="Normal 20 3 2 2 4" xfId="7728"/>
    <cellStyle name="Normal 20 3 2 2 4 2" xfId="7729"/>
    <cellStyle name="Normal 20 3 2 2 4 2 2" xfId="7730"/>
    <cellStyle name="Normal 20 3 2 2 4 3" xfId="7731"/>
    <cellStyle name="Normal 20 3 2 2 5" xfId="7732"/>
    <cellStyle name="Normal 20 3 2 2 5 2" xfId="7733"/>
    <cellStyle name="Normal 20 3 2 2 6" xfId="7734"/>
    <cellStyle name="Normal 20 3 2 3" xfId="7735"/>
    <cellStyle name="Normal 20 3 2 3 2" xfId="7736"/>
    <cellStyle name="Normal 20 3 2 3 2 2" xfId="7737"/>
    <cellStyle name="Normal 20 3 2 3 2 2 2" xfId="7738"/>
    <cellStyle name="Normal 20 3 2 3 2 3" xfId="7739"/>
    <cellStyle name="Normal 20 3 2 3 3" xfId="7740"/>
    <cellStyle name="Normal 20 3 2 3 3 2" xfId="7741"/>
    <cellStyle name="Normal 20 3 2 3 4" xfId="7742"/>
    <cellStyle name="Normal 20 3 2 4" xfId="7743"/>
    <cellStyle name="Normal 20 3 2 4 2" xfId="7744"/>
    <cellStyle name="Normal 20 3 2 4 2 2" xfId="7745"/>
    <cellStyle name="Normal 20 3 2 4 2 2 2" xfId="7746"/>
    <cellStyle name="Normal 20 3 2 4 2 3" xfId="7747"/>
    <cellStyle name="Normal 20 3 2 4 3" xfId="7748"/>
    <cellStyle name="Normal 20 3 2 4 3 2" xfId="7749"/>
    <cellStyle name="Normal 20 3 2 4 4" xfId="7750"/>
    <cellStyle name="Normal 20 3 2 5" xfId="7751"/>
    <cellStyle name="Normal 20 3 2 5 2" xfId="7752"/>
    <cellStyle name="Normal 20 3 2 5 2 2" xfId="7753"/>
    <cellStyle name="Normal 20 3 2 5 3" xfId="7754"/>
    <cellStyle name="Normal 20 3 2 6" xfId="7755"/>
    <cellStyle name="Normal 20 3 2 6 2" xfId="7756"/>
    <cellStyle name="Normal 20 3 2 7" xfId="7757"/>
    <cellStyle name="Normal 20 3 3" xfId="7758"/>
    <cellStyle name="Normal 20 3 3 2" xfId="7759"/>
    <cellStyle name="Normal 20 3 3 2 2" xfId="7760"/>
    <cellStyle name="Normal 20 3 3 2 2 2" xfId="7761"/>
    <cellStyle name="Normal 20 3 3 2 2 2 2" xfId="7762"/>
    <cellStyle name="Normal 20 3 3 2 2 3" xfId="7763"/>
    <cellStyle name="Normal 20 3 3 2 3" xfId="7764"/>
    <cellStyle name="Normal 20 3 3 2 3 2" xfId="7765"/>
    <cellStyle name="Normal 20 3 3 2 4" xfId="7766"/>
    <cellStyle name="Normal 20 3 3 3" xfId="7767"/>
    <cellStyle name="Normal 20 3 3 3 2" xfId="7768"/>
    <cellStyle name="Normal 20 3 3 3 2 2" xfId="7769"/>
    <cellStyle name="Normal 20 3 3 3 2 2 2" xfId="7770"/>
    <cellStyle name="Normal 20 3 3 3 2 3" xfId="7771"/>
    <cellStyle name="Normal 20 3 3 3 3" xfId="7772"/>
    <cellStyle name="Normal 20 3 3 3 3 2" xfId="7773"/>
    <cellStyle name="Normal 20 3 3 3 4" xfId="7774"/>
    <cellStyle name="Normal 20 3 3 4" xfId="7775"/>
    <cellStyle name="Normal 20 3 3 4 2" xfId="7776"/>
    <cellStyle name="Normal 20 3 3 4 2 2" xfId="7777"/>
    <cellStyle name="Normal 20 3 3 4 3" xfId="7778"/>
    <cellStyle name="Normal 20 3 3 5" xfId="7779"/>
    <cellStyle name="Normal 20 3 3 5 2" xfId="7780"/>
    <cellStyle name="Normal 20 3 3 6" xfId="7781"/>
    <cellStyle name="Normal 20 3 4" xfId="7782"/>
    <cellStyle name="Normal 20 3 4 2" xfId="7783"/>
    <cellStyle name="Normal 20 3 4 2 2" xfId="7784"/>
    <cellStyle name="Normal 20 3 4 2 2 2" xfId="7785"/>
    <cellStyle name="Normal 20 3 4 2 2 2 2" xfId="7786"/>
    <cellStyle name="Normal 20 3 4 2 2 3" xfId="7787"/>
    <cellStyle name="Normal 20 3 4 2 3" xfId="7788"/>
    <cellStyle name="Normal 20 3 4 2 3 2" xfId="7789"/>
    <cellStyle name="Normal 20 3 4 2 4" xfId="7790"/>
    <cellStyle name="Normal 20 3 4 3" xfId="7791"/>
    <cellStyle name="Normal 20 3 4 3 2" xfId="7792"/>
    <cellStyle name="Normal 20 3 4 3 2 2" xfId="7793"/>
    <cellStyle name="Normal 20 3 4 3 2 2 2" xfId="7794"/>
    <cellStyle name="Normal 20 3 4 3 2 3" xfId="7795"/>
    <cellStyle name="Normal 20 3 4 3 3" xfId="7796"/>
    <cellStyle name="Normal 20 3 4 3 3 2" xfId="7797"/>
    <cellStyle name="Normal 20 3 4 3 4" xfId="7798"/>
    <cellStyle name="Normal 20 3 4 4" xfId="7799"/>
    <cellStyle name="Normal 20 3 4 4 2" xfId="7800"/>
    <cellStyle name="Normal 20 3 4 4 2 2" xfId="7801"/>
    <cellStyle name="Normal 20 3 4 4 3" xfId="7802"/>
    <cellStyle name="Normal 20 3 4 5" xfId="7803"/>
    <cellStyle name="Normal 20 3 4 5 2" xfId="7804"/>
    <cellStyle name="Normal 20 3 4 6" xfId="7805"/>
    <cellStyle name="Normal 20 3 5" xfId="7806"/>
    <cellStyle name="Normal 20 3 5 2" xfId="7807"/>
    <cellStyle name="Normal 20 3 5 2 2" xfId="7808"/>
    <cellStyle name="Normal 20 3 5 2 2 2" xfId="7809"/>
    <cellStyle name="Normal 20 3 5 2 3" xfId="7810"/>
    <cellStyle name="Normal 20 3 5 3" xfId="7811"/>
    <cellStyle name="Normal 20 3 5 3 2" xfId="7812"/>
    <cellStyle name="Normal 20 3 5 4" xfId="7813"/>
    <cellStyle name="Normal 20 3 6" xfId="7814"/>
    <cellStyle name="Normal 20 3 6 2" xfId="7815"/>
    <cellStyle name="Normal 20 3 6 2 2" xfId="7816"/>
    <cellStyle name="Normal 20 3 6 2 2 2" xfId="7817"/>
    <cellStyle name="Normal 20 3 6 2 3" xfId="7818"/>
    <cellStyle name="Normal 20 3 6 3" xfId="7819"/>
    <cellStyle name="Normal 20 3 6 3 2" xfId="7820"/>
    <cellStyle name="Normal 20 3 6 4" xfId="7821"/>
    <cellStyle name="Normal 20 3 7" xfId="7822"/>
    <cellStyle name="Normal 20 3 7 2" xfId="7823"/>
    <cellStyle name="Normal 20 3 7 2 2" xfId="7824"/>
    <cellStyle name="Normal 20 3 7 2 2 2" xfId="7825"/>
    <cellStyle name="Normal 20 3 7 2 3" xfId="7826"/>
    <cellStyle name="Normal 20 3 7 3" xfId="7827"/>
    <cellStyle name="Normal 20 3 7 3 2" xfId="7828"/>
    <cellStyle name="Normal 20 3 7 4" xfId="7829"/>
    <cellStyle name="Normal 20 3 8" xfId="7830"/>
    <cellStyle name="Normal 20 3 8 2" xfId="7831"/>
    <cellStyle name="Normal 20 3 8 2 2" xfId="7832"/>
    <cellStyle name="Normal 20 3 8 3" xfId="7833"/>
    <cellStyle name="Normal 20 3 9" xfId="7834"/>
    <cellStyle name="Normal 20 3 9 2" xfId="7835"/>
    <cellStyle name="Normal 20 4" xfId="7836"/>
    <cellStyle name="Normal 20 4 2" xfId="7837"/>
    <cellStyle name="Normal 20 4 2 2" xfId="7838"/>
    <cellStyle name="Normal 20 4 2 2 2" xfId="7839"/>
    <cellStyle name="Normal 20 4 2 2 2 2" xfId="7840"/>
    <cellStyle name="Normal 20 4 2 2 2 2 2" xfId="7841"/>
    <cellStyle name="Normal 20 4 2 2 2 2 2 2" xfId="7842"/>
    <cellStyle name="Normal 20 4 2 2 2 2 3" xfId="7843"/>
    <cellStyle name="Normal 20 4 2 2 2 3" xfId="7844"/>
    <cellStyle name="Normal 20 4 2 2 2 3 2" xfId="7845"/>
    <cellStyle name="Normal 20 4 2 2 2 4" xfId="7846"/>
    <cellStyle name="Normal 20 4 2 2 3" xfId="7847"/>
    <cellStyle name="Normal 20 4 2 2 3 2" xfId="7848"/>
    <cellStyle name="Normal 20 4 2 2 3 2 2" xfId="7849"/>
    <cellStyle name="Normal 20 4 2 2 3 2 2 2" xfId="7850"/>
    <cellStyle name="Normal 20 4 2 2 3 2 3" xfId="7851"/>
    <cellStyle name="Normal 20 4 2 2 3 3" xfId="7852"/>
    <cellStyle name="Normal 20 4 2 2 3 3 2" xfId="7853"/>
    <cellStyle name="Normal 20 4 2 2 3 4" xfId="7854"/>
    <cellStyle name="Normal 20 4 2 2 4" xfId="7855"/>
    <cellStyle name="Normal 20 4 2 2 4 2" xfId="7856"/>
    <cellStyle name="Normal 20 4 2 2 4 2 2" xfId="7857"/>
    <cellStyle name="Normal 20 4 2 2 4 3" xfId="7858"/>
    <cellStyle name="Normal 20 4 2 2 5" xfId="7859"/>
    <cellStyle name="Normal 20 4 2 2 5 2" xfId="7860"/>
    <cellStyle name="Normal 20 4 2 2 6" xfId="7861"/>
    <cellStyle name="Normal 20 4 2 3" xfId="7862"/>
    <cellStyle name="Normal 20 4 2 3 2" xfId="7863"/>
    <cellStyle name="Normal 20 4 2 3 2 2" xfId="7864"/>
    <cellStyle name="Normal 20 4 2 3 2 2 2" xfId="7865"/>
    <cellStyle name="Normal 20 4 2 3 2 3" xfId="7866"/>
    <cellStyle name="Normal 20 4 2 3 3" xfId="7867"/>
    <cellStyle name="Normal 20 4 2 3 3 2" xfId="7868"/>
    <cellStyle name="Normal 20 4 2 3 4" xfId="7869"/>
    <cellStyle name="Normal 20 4 2 4" xfId="7870"/>
    <cellStyle name="Normal 20 4 2 4 2" xfId="7871"/>
    <cellStyle name="Normal 20 4 2 4 2 2" xfId="7872"/>
    <cellStyle name="Normal 20 4 2 4 2 2 2" xfId="7873"/>
    <cellStyle name="Normal 20 4 2 4 2 3" xfId="7874"/>
    <cellStyle name="Normal 20 4 2 4 3" xfId="7875"/>
    <cellStyle name="Normal 20 4 2 4 3 2" xfId="7876"/>
    <cellStyle name="Normal 20 4 2 4 4" xfId="7877"/>
    <cellStyle name="Normal 20 4 2 5" xfId="7878"/>
    <cellStyle name="Normal 20 4 2 5 2" xfId="7879"/>
    <cellStyle name="Normal 20 4 2 5 2 2" xfId="7880"/>
    <cellStyle name="Normal 20 4 2 5 3" xfId="7881"/>
    <cellStyle name="Normal 20 4 2 6" xfId="7882"/>
    <cellStyle name="Normal 20 4 2 6 2" xfId="7883"/>
    <cellStyle name="Normal 20 4 2 7" xfId="7884"/>
    <cellStyle name="Normal 20 4 3" xfId="7885"/>
    <cellStyle name="Normal 20 4 3 2" xfId="7886"/>
    <cellStyle name="Normal 20 4 3 2 2" xfId="7887"/>
    <cellStyle name="Normal 20 4 3 2 2 2" xfId="7888"/>
    <cellStyle name="Normal 20 4 3 2 2 2 2" xfId="7889"/>
    <cellStyle name="Normal 20 4 3 2 2 3" xfId="7890"/>
    <cellStyle name="Normal 20 4 3 2 3" xfId="7891"/>
    <cellStyle name="Normal 20 4 3 2 3 2" xfId="7892"/>
    <cellStyle name="Normal 20 4 3 2 4" xfId="7893"/>
    <cellStyle name="Normal 20 4 3 3" xfId="7894"/>
    <cellStyle name="Normal 20 4 3 3 2" xfId="7895"/>
    <cellStyle name="Normal 20 4 3 3 2 2" xfId="7896"/>
    <cellStyle name="Normal 20 4 3 3 2 2 2" xfId="7897"/>
    <cellStyle name="Normal 20 4 3 3 2 3" xfId="7898"/>
    <cellStyle name="Normal 20 4 3 3 3" xfId="7899"/>
    <cellStyle name="Normal 20 4 3 3 3 2" xfId="7900"/>
    <cellStyle name="Normal 20 4 3 3 4" xfId="7901"/>
    <cellStyle name="Normal 20 4 3 4" xfId="7902"/>
    <cellStyle name="Normal 20 4 3 4 2" xfId="7903"/>
    <cellStyle name="Normal 20 4 3 4 2 2" xfId="7904"/>
    <cellStyle name="Normal 20 4 3 4 3" xfId="7905"/>
    <cellStyle name="Normal 20 4 3 5" xfId="7906"/>
    <cellStyle name="Normal 20 4 3 5 2" xfId="7907"/>
    <cellStyle name="Normal 20 4 3 6" xfId="7908"/>
    <cellStyle name="Normal 20 4 4" xfId="7909"/>
    <cellStyle name="Normal 20 4 4 2" xfId="7910"/>
    <cellStyle name="Normal 20 4 4 2 2" xfId="7911"/>
    <cellStyle name="Normal 20 4 4 2 2 2" xfId="7912"/>
    <cellStyle name="Normal 20 4 4 2 2 2 2" xfId="7913"/>
    <cellStyle name="Normal 20 4 4 2 2 3" xfId="7914"/>
    <cellStyle name="Normal 20 4 4 2 3" xfId="7915"/>
    <cellStyle name="Normal 20 4 4 2 3 2" xfId="7916"/>
    <cellStyle name="Normal 20 4 4 2 4" xfId="7917"/>
    <cellStyle name="Normal 20 4 4 3" xfId="7918"/>
    <cellStyle name="Normal 20 4 4 3 2" xfId="7919"/>
    <cellStyle name="Normal 20 4 4 3 2 2" xfId="7920"/>
    <cellStyle name="Normal 20 4 4 3 2 2 2" xfId="7921"/>
    <cellStyle name="Normal 20 4 4 3 2 3" xfId="7922"/>
    <cellStyle name="Normal 20 4 4 3 3" xfId="7923"/>
    <cellStyle name="Normal 20 4 4 3 3 2" xfId="7924"/>
    <cellStyle name="Normal 20 4 4 3 4" xfId="7925"/>
    <cellStyle name="Normal 20 4 4 4" xfId="7926"/>
    <cellStyle name="Normal 20 4 4 4 2" xfId="7927"/>
    <cellStyle name="Normal 20 4 4 4 2 2" xfId="7928"/>
    <cellStyle name="Normal 20 4 4 4 3" xfId="7929"/>
    <cellStyle name="Normal 20 4 4 5" xfId="7930"/>
    <cellStyle name="Normal 20 4 4 5 2" xfId="7931"/>
    <cellStyle name="Normal 20 4 4 6" xfId="7932"/>
    <cellStyle name="Normal 20 4 5" xfId="7933"/>
    <cellStyle name="Normal 20 4 5 2" xfId="7934"/>
    <cellStyle name="Normal 20 4 5 2 2" xfId="7935"/>
    <cellStyle name="Normal 20 4 5 2 2 2" xfId="7936"/>
    <cellStyle name="Normal 20 4 5 2 3" xfId="7937"/>
    <cellStyle name="Normal 20 4 5 3" xfId="7938"/>
    <cellStyle name="Normal 20 4 5 3 2" xfId="7939"/>
    <cellStyle name="Normal 20 4 5 4" xfId="7940"/>
    <cellStyle name="Normal 20 4 6" xfId="7941"/>
    <cellStyle name="Normal 20 4 6 2" xfId="7942"/>
    <cellStyle name="Normal 20 4 6 2 2" xfId="7943"/>
    <cellStyle name="Normal 20 4 6 2 2 2" xfId="7944"/>
    <cellStyle name="Normal 20 4 6 2 3" xfId="7945"/>
    <cellStyle name="Normal 20 4 6 3" xfId="7946"/>
    <cellStyle name="Normal 20 4 6 3 2" xfId="7947"/>
    <cellStyle name="Normal 20 4 6 4" xfId="7948"/>
    <cellStyle name="Normal 20 4 7" xfId="7949"/>
    <cellStyle name="Normal 20 4 7 2" xfId="7950"/>
    <cellStyle name="Normal 20 4 7 2 2" xfId="7951"/>
    <cellStyle name="Normal 20 4 7 3" xfId="7952"/>
    <cellStyle name="Normal 20 4 8" xfId="7953"/>
    <cellStyle name="Normal 20 4 8 2" xfId="7954"/>
    <cellStyle name="Normal 20 4 9" xfId="7955"/>
    <cellStyle name="Normal 20 5" xfId="7956"/>
    <cellStyle name="Normal 20 5 2" xfId="7957"/>
    <cellStyle name="Normal 20 5 2 2" xfId="7958"/>
    <cellStyle name="Normal 20 5 2 2 2" xfId="7959"/>
    <cellStyle name="Normal 20 5 2 2 2 2" xfId="7960"/>
    <cellStyle name="Normal 20 5 2 2 2 2 2" xfId="7961"/>
    <cellStyle name="Normal 20 5 2 2 2 3" xfId="7962"/>
    <cellStyle name="Normal 20 5 2 2 3" xfId="7963"/>
    <cellStyle name="Normal 20 5 2 2 3 2" xfId="7964"/>
    <cellStyle name="Normal 20 5 2 2 4" xfId="7965"/>
    <cellStyle name="Normal 20 5 2 3" xfId="7966"/>
    <cellStyle name="Normal 20 5 2 3 2" xfId="7967"/>
    <cellStyle name="Normal 20 5 2 3 2 2" xfId="7968"/>
    <cellStyle name="Normal 20 5 2 3 2 2 2" xfId="7969"/>
    <cellStyle name="Normal 20 5 2 3 2 3" xfId="7970"/>
    <cellStyle name="Normal 20 5 2 3 3" xfId="7971"/>
    <cellStyle name="Normal 20 5 2 3 3 2" xfId="7972"/>
    <cellStyle name="Normal 20 5 2 3 4" xfId="7973"/>
    <cellStyle name="Normal 20 5 2 4" xfId="7974"/>
    <cellStyle name="Normal 20 5 2 4 2" xfId="7975"/>
    <cellStyle name="Normal 20 5 2 4 2 2" xfId="7976"/>
    <cellStyle name="Normal 20 5 2 4 3" xfId="7977"/>
    <cellStyle name="Normal 20 5 2 5" xfId="7978"/>
    <cellStyle name="Normal 20 5 2 5 2" xfId="7979"/>
    <cellStyle name="Normal 20 5 2 6" xfId="7980"/>
    <cellStyle name="Normal 20 5 3" xfId="7981"/>
    <cellStyle name="Normal 20 5 3 2" xfId="7982"/>
    <cellStyle name="Normal 20 5 3 2 2" xfId="7983"/>
    <cellStyle name="Normal 20 5 3 2 2 2" xfId="7984"/>
    <cellStyle name="Normal 20 5 3 2 3" xfId="7985"/>
    <cellStyle name="Normal 20 5 3 3" xfId="7986"/>
    <cellStyle name="Normal 20 5 3 3 2" xfId="7987"/>
    <cellStyle name="Normal 20 5 3 4" xfId="7988"/>
    <cellStyle name="Normal 20 5 4" xfId="7989"/>
    <cellStyle name="Normal 20 5 4 2" xfId="7990"/>
    <cellStyle name="Normal 20 5 4 2 2" xfId="7991"/>
    <cellStyle name="Normal 20 5 4 2 2 2" xfId="7992"/>
    <cellStyle name="Normal 20 5 4 2 3" xfId="7993"/>
    <cellStyle name="Normal 20 5 4 3" xfId="7994"/>
    <cellStyle name="Normal 20 5 4 3 2" xfId="7995"/>
    <cellStyle name="Normal 20 5 4 4" xfId="7996"/>
    <cellStyle name="Normal 20 5 5" xfId="7997"/>
    <cellStyle name="Normal 20 5 5 2" xfId="7998"/>
    <cellStyle name="Normal 20 5 5 2 2" xfId="7999"/>
    <cellStyle name="Normal 20 5 5 3" xfId="8000"/>
    <cellStyle name="Normal 20 5 6" xfId="8001"/>
    <cellStyle name="Normal 20 5 6 2" xfId="8002"/>
    <cellStyle name="Normal 20 5 7" xfId="8003"/>
    <cellStyle name="Normal 20 6" xfId="8004"/>
    <cellStyle name="Normal 20 6 2" xfId="8005"/>
    <cellStyle name="Normal 20 6 2 2" xfId="8006"/>
    <cellStyle name="Normal 20 6 2 2 2" xfId="8007"/>
    <cellStyle name="Normal 20 6 2 2 2 2" xfId="8008"/>
    <cellStyle name="Normal 20 6 2 2 3" xfId="8009"/>
    <cellStyle name="Normal 20 6 2 3" xfId="8010"/>
    <cellStyle name="Normal 20 6 2 3 2" xfId="8011"/>
    <cellStyle name="Normal 20 6 2 4" xfId="8012"/>
    <cellStyle name="Normal 20 6 3" xfId="8013"/>
    <cellStyle name="Normal 20 6 3 2" xfId="8014"/>
    <cellStyle name="Normal 20 6 3 2 2" xfId="8015"/>
    <cellStyle name="Normal 20 6 3 2 2 2" xfId="8016"/>
    <cellStyle name="Normal 20 6 3 2 3" xfId="8017"/>
    <cellStyle name="Normal 20 6 3 3" xfId="8018"/>
    <cellStyle name="Normal 20 6 3 3 2" xfId="8019"/>
    <cellStyle name="Normal 20 6 3 4" xfId="8020"/>
    <cellStyle name="Normal 20 6 4" xfId="8021"/>
    <cellStyle name="Normal 20 6 4 2" xfId="8022"/>
    <cellStyle name="Normal 20 6 4 2 2" xfId="8023"/>
    <cellStyle name="Normal 20 6 4 3" xfId="8024"/>
    <cellStyle name="Normal 20 6 5" xfId="8025"/>
    <cellStyle name="Normal 20 6 5 2" xfId="8026"/>
    <cellStyle name="Normal 20 6 6" xfId="8027"/>
    <cellStyle name="Normal 20 7" xfId="8028"/>
    <cellStyle name="Normal 20 7 2" xfId="8029"/>
    <cellStyle name="Normal 20 7 2 2" xfId="8030"/>
    <cellStyle name="Normal 20 7 2 2 2" xfId="8031"/>
    <cellStyle name="Normal 20 7 2 2 2 2" xfId="8032"/>
    <cellStyle name="Normal 20 7 2 2 3" xfId="8033"/>
    <cellStyle name="Normal 20 7 2 3" xfId="8034"/>
    <cellStyle name="Normal 20 7 2 3 2" xfId="8035"/>
    <cellStyle name="Normal 20 7 2 4" xfId="8036"/>
    <cellStyle name="Normal 20 7 3" xfId="8037"/>
    <cellStyle name="Normal 20 7 3 2" xfId="8038"/>
    <cellStyle name="Normal 20 7 3 2 2" xfId="8039"/>
    <cellStyle name="Normal 20 7 3 2 2 2" xfId="8040"/>
    <cellStyle name="Normal 20 7 3 2 3" xfId="8041"/>
    <cellStyle name="Normal 20 7 3 3" xfId="8042"/>
    <cellStyle name="Normal 20 7 3 3 2" xfId="8043"/>
    <cellStyle name="Normal 20 7 3 4" xfId="8044"/>
    <cellStyle name="Normal 20 7 4" xfId="8045"/>
    <cellStyle name="Normal 20 7 4 2" xfId="8046"/>
    <cellStyle name="Normal 20 7 4 2 2" xfId="8047"/>
    <cellStyle name="Normal 20 7 4 3" xfId="8048"/>
    <cellStyle name="Normal 20 7 5" xfId="8049"/>
    <cellStyle name="Normal 20 7 5 2" xfId="8050"/>
    <cellStyle name="Normal 20 7 6" xfId="8051"/>
    <cellStyle name="Normal 20 8" xfId="8052"/>
    <cellStyle name="Normal 20 8 2" xfId="8053"/>
    <cellStyle name="Normal 20 8 2 2" xfId="8054"/>
    <cellStyle name="Normal 20 8 2 2 2" xfId="8055"/>
    <cellStyle name="Normal 20 8 2 3" xfId="8056"/>
    <cellStyle name="Normal 20 8 3" xfId="8057"/>
    <cellStyle name="Normal 20 8 3 2" xfId="8058"/>
    <cellStyle name="Normal 20 8 4" xfId="8059"/>
    <cellStyle name="Normal 20 9" xfId="8060"/>
    <cellStyle name="Normal 20 9 2" xfId="8061"/>
    <cellStyle name="Normal 20 9 2 2" xfId="8062"/>
    <cellStyle name="Normal 20 9 2 2 2" xfId="8063"/>
    <cellStyle name="Normal 20 9 2 3" xfId="8064"/>
    <cellStyle name="Normal 20 9 3" xfId="8065"/>
    <cellStyle name="Normal 20 9 3 2" xfId="8066"/>
    <cellStyle name="Normal 20 9 4" xfId="8067"/>
    <cellStyle name="Normal 21" xfId="8068"/>
    <cellStyle name="Normal 21 10" xfId="8069"/>
    <cellStyle name="Normal 21 10 2" xfId="8070"/>
    <cellStyle name="Normal 21 10 2 2" xfId="8071"/>
    <cellStyle name="Normal 21 10 2 2 2" xfId="8072"/>
    <cellStyle name="Normal 21 10 2 3" xfId="8073"/>
    <cellStyle name="Normal 21 10 3" xfId="8074"/>
    <cellStyle name="Normal 21 10 3 2" xfId="8075"/>
    <cellStyle name="Normal 21 10 4" xfId="8076"/>
    <cellStyle name="Normal 21 11" xfId="8077"/>
    <cellStyle name="Normal 21 11 2" xfId="8078"/>
    <cellStyle name="Normal 21 11 2 2" xfId="8079"/>
    <cellStyle name="Normal 21 11 3" xfId="8080"/>
    <cellStyle name="Normal 21 12" xfId="8081"/>
    <cellStyle name="Normal 21 12 2" xfId="8082"/>
    <cellStyle name="Normal 21 13" xfId="8083"/>
    <cellStyle name="Normal 21 2" xfId="8084"/>
    <cellStyle name="Normal 21 3" xfId="8085"/>
    <cellStyle name="Normal 21 3 10" xfId="8086"/>
    <cellStyle name="Normal 21 3 2" xfId="8087"/>
    <cellStyle name="Normal 21 3 2 2" xfId="8088"/>
    <cellStyle name="Normal 21 3 2 2 2" xfId="8089"/>
    <cellStyle name="Normal 21 3 2 2 2 2" xfId="8090"/>
    <cellStyle name="Normal 21 3 2 2 2 2 2" xfId="8091"/>
    <cellStyle name="Normal 21 3 2 2 2 2 2 2" xfId="8092"/>
    <cellStyle name="Normal 21 3 2 2 2 2 3" xfId="8093"/>
    <cellStyle name="Normal 21 3 2 2 2 3" xfId="8094"/>
    <cellStyle name="Normal 21 3 2 2 2 3 2" xfId="8095"/>
    <cellStyle name="Normal 21 3 2 2 2 4" xfId="8096"/>
    <cellStyle name="Normal 21 3 2 2 3" xfId="8097"/>
    <cellStyle name="Normal 21 3 2 2 3 2" xfId="8098"/>
    <cellStyle name="Normal 21 3 2 2 3 2 2" xfId="8099"/>
    <cellStyle name="Normal 21 3 2 2 3 2 2 2" xfId="8100"/>
    <cellStyle name="Normal 21 3 2 2 3 2 3" xfId="8101"/>
    <cellStyle name="Normal 21 3 2 2 3 3" xfId="8102"/>
    <cellStyle name="Normal 21 3 2 2 3 3 2" xfId="8103"/>
    <cellStyle name="Normal 21 3 2 2 3 4" xfId="8104"/>
    <cellStyle name="Normal 21 3 2 2 4" xfId="8105"/>
    <cellStyle name="Normal 21 3 2 2 4 2" xfId="8106"/>
    <cellStyle name="Normal 21 3 2 2 4 2 2" xfId="8107"/>
    <cellStyle name="Normal 21 3 2 2 4 3" xfId="8108"/>
    <cellStyle name="Normal 21 3 2 2 5" xfId="8109"/>
    <cellStyle name="Normal 21 3 2 2 5 2" xfId="8110"/>
    <cellStyle name="Normal 21 3 2 2 6" xfId="8111"/>
    <cellStyle name="Normal 21 3 2 3" xfId="8112"/>
    <cellStyle name="Normal 21 3 2 3 2" xfId="8113"/>
    <cellStyle name="Normal 21 3 2 3 2 2" xfId="8114"/>
    <cellStyle name="Normal 21 3 2 3 2 2 2" xfId="8115"/>
    <cellStyle name="Normal 21 3 2 3 2 3" xfId="8116"/>
    <cellStyle name="Normal 21 3 2 3 3" xfId="8117"/>
    <cellStyle name="Normal 21 3 2 3 3 2" xfId="8118"/>
    <cellStyle name="Normal 21 3 2 3 4" xfId="8119"/>
    <cellStyle name="Normal 21 3 2 4" xfId="8120"/>
    <cellStyle name="Normal 21 3 2 4 2" xfId="8121"/>
    <cellStyle name="Normal 21 3 2 4 2 2" xfId="8122"/>
    <cellStyle name="Normal 21 3 2 4 2 2 2" xfId="8123"/>
    <cellStyle name="Normal 21 3 2 4 2 3" xfId="8124"/>
    <cellStyle name="Normal 21 3 2 4 3" xfId="8125"/>
    <cellStyle name="Normal 21 3 2 4 3 2" xfId="8126"/>
    <cellStyle name="Normal 21 3 2 4 4" xfId="8127"/>
    <cellStyle name="Normal 21 3 2 5" xfId="8128"/>
    <cellStyle name="Normal 21 3 2 5 2" xfId="8129"/>
    <cellStyle name="Normal 21 3 2 5 2 2" xfId="8130"/>
    <cellStyle name="Normal 21 3 2 5 3" xfId="8131"/>
    <cellStyle name="Normal 21 3 2 6" xfId="8132"/>
    <cellStyle name="Normal 21 3 2 6 2" xfId="8133"/>
    <cellStyle name="Normal 21 3 2 7" xfId="8134"/>
    <cellStyle name="Normal 21 3 3" xfId="8135"/>
    <cellStyle name="Normal 21 3 3 2" xfId="8136"/>
    <cellStyle name="Normal 21 3 3 2 2" xfId="8137"/>
    <cellStyle name="Normal 21 3 3 2 2 2" xfId="8138"/>
    <cellStyle name="Normal 21 3 3 2 2 2 2" xfId="8139"/>
    <cellStyle name="Normal 21 3 3 2 2 3" xfId="8140"/>
    <cellStyle name="Normal 21 3 3 2 3" xfId="8141"/>
    <cellStyle name="Normal 21 3 3 2 3 2" xfId="8142"/>
    <cellStyle name="Normal 21 3 3 2 4" xfId="8143"/>
    <cellStyle name="Normal 21 3 3 3" xfId="8144"/>
    <cellStyle name="Normal 21 3 3 3 2" xfId="8145"/>
    <cellStyle name="Normal 21 3 3 3 2 2" xfId="8146"/>
    <cellStyle name="Normal 21 3 3 3 2 2 2" xfId="8147"/>
    <cellStyle name="Normal 21 3 3 3 2 3" xfId="8148"/>
    <cellStyle name="Normal 21 3 3 3 3" xfId="8149"/>
    <cellStyle name="Normal 21 3 3 3 3 2" xfId="8150"/>
    <cellStyle name="Normal 21 3 3 3 4" xfId="8151"/>
    <cellStyle name="Normal 21 3 3 4" xfId="8152"/>
    <cellStyle name="Normal 21 3 3 4 2" xfId="8153"/>
    <cellStyle name="Normal 21 3 3 4 2 2" xfId="8154"/>
    <cellStyle name="Normal 21 3 3 4 3" xfId="8155"/>
    <cellStyle name="Normal 21 3 3 5" xfId="8156"/>
    <cellStyle name="Normal 21 3 3 5 2" xfId="8157"/>
    <cellStyle name="Normal 21 3 3 6" xfId="8158"/>
    <cellStyle name="Normal 21 3 4" xfId="8159"/>
    <cellStyle name="Normal 21 3 4 2" xfId="8160"/>
    <cellStyle name="Normal 21 3 4 2 2" xfId="8161"/>
    <cellStyle name="Normal 21 3 4 2 2 2" xfId="8162"/>
    <cellStyle name="Normal 21 3 4 2 2 2 2" xfId="8163"/>
    <cellStyle name="Normal 21 3 4 2 2 3" xfId="8164"/>
    <cellStyle name="Normal 21 3 4 2 3" xfId="8165"/>
    <cellStyle name="Normal 21 3 4 2 3 2" xfId="8166"/>
    <cellStyle name="Normal 21 3 4 2 4" xfId="8167"/>
    <cellStyle name="Normal 21 3 4 3" xfId="8168"/>
    <cellStyle name="Normal 21 3 4 3 2" xfId="8169"/>
    <cellStyle name="Normal 21 3 4 3 2 2" xfId="8170"/>
    <cellStyle name="Normal 21 3 4 3 2 2 2" xfId="8171"/>
    <cellStyle name="Normal 21 3 4 3 2 3" xfId="8172"/>
    <cellStyle name="Normal 21 3 4 3 3" xfId="8173"/>
    <cellStyle name="Normal 21 3 4 3 3 2" xfId="8174"/>
    <cellStyle name="Normal 21 3 4 3 4" xfId="8175"/>
    <cellStyle name="Normal 21 3 4 4" xfId="8176"/>
    <cellStyle name="Normal 21 3 4 4 2" xfId="8177"/>
    <cellStyle name="Normal 21 3 4 4 2 2" xfId="8178"/>
    <cellStyle name="Normal 21 3 4 4 3" xfId="8179"/>
    <cellStyle name="Normal 21 3 4 5" xfId="8180"/>
    <cellStyle name="Normal 21 3 4 5 2" xfId="8181"/>
    <cellStyle name="Normal 21 3 4 6" xfId="8182"/>
    <cellStyle name="Normal 21 3 5" xfId="8183"/>
    <cellStyle name="Normal 21 3 5 2" xfId="8184"/>
    <cellStyle name="Normal 21 3 5 2 2" xfId="8185"/>
    <cellStyle name="Normal 21 3 5 2 2 2" xfId="8186"/>
    <cellStyle name="Normal 21 3 5 2 3" xfId="8187"/>
    <cellStyle name="Normal 21 3 5 3" xfId="8188"/>
    <cellStyle name="Normal 21 3 5 3 2" xfId="8189"/>
    <cellStyle name="Normal 21 3 5 4" xfId="8190"/>
    <cellStyle name="Normal 21 3 6" xfId="8191"/>
    <cellStyle name="Normal 21 3 6 2" xfId="8192"/>
    <cellStyle name="Normal 21 3 6 2 2" xfId="8193"/>
    <cellStyle name="Normal 21 3 6 2 2 2" xfId="8194"/>
    <cellStyle name="Normal 21 3 6 2 3" xfId="8195"/>
    <cellStyle name="Normal 21 3 6 3" xfId="8196"/>
    <cellStyle name="Normal 21 3 6 3 2" xfId="8197"/>
    <cellStyle name="Normal 21 3 6 4" xfId="8198"/>
    <cellStyle name="Normal 21 3 7" xfId="8199"/>
    <cellStyle name="Normal 21 3 7 2" xfId="8200"/>
    <cellStyle name="Normal 21 3 7 2 2" xfId="8201"/>
    <cellStyle name="Normal 21 3 7 2 2 2" xfId="8202"/>
    <cellStyle name="Normal 21 3 7 2 3" xfId="8203"/>
    <cellStyle name="Normal 21 3 7 3" xfId="8204"/>
    <cellStyle name="Normal 21 3 7 3 2" xfId="8205"/>
    <cellStyle name="Normal 21 3 7 4" xfId="8206"/>
    <cellStyle name="Normal 21 3 8" xfId="8207"/>
    <cellStyle name="Normal 21 3 8 2" xfId="8208"/>
    <cellStyle name="Normal 21 3 8 2 2" xfId="8209"/>
    <cellStyle name="Normal 21 3 8 3" xfId="8210"/>
    <cellStyle name="Normal 21 3 9" xfId="8211"/>
    <cellStyle name="Normal 21 3 9 2" xfId="8212"/>
    <cellStyle name="Normal 21 4" xfId="8213"/>
    <cellStyle name="Normal 21 4 2" xfId="8214"/>
    <cellStyle name="Normal 21 4 2 2" xfId="8215"/>
    <cellStyle name="Normal 21 4 2 2 2" xfId="8216"/>
    <cellStyle name="Normal 21 4 2 2 2 2" xfId="8217"/>
    <cellStyle name="Normal 21 4 2 2 2 2 2" xfId="8218"/>
    <cellStyle name="Normal 21 4 2 2 2 2 2 2" xfId="8219"/>
    <cellStyle name="Normal 21 4 2 2 2 2 3" xfId="8220"/>
    <cellStyle name="Normal 21 4 2 2 2 3" xfId="8221"/>
    <cellStyle name="Normal 21 4 2 2 2 3 2" xfId="8222"/>
    <cellStyle name="Normal 21 4 2 2 2 4" xfId="8223"/>
    <cellStyle name="Normal 21 4 2 2 3" xfId="8224"/>
    <cellStyle name="Normal 21 4 2 2 3 2" xfId="8225"/>
    <cellStyle name="Normal 21 4 2 2 3 2 2" xfId="8226"/>
    <cellStyle name="Normal 21 4 2 2 3 2 2 2" xfId="8227"/>
    <cellStyle name="Normal 21 4 2 2 3 2 3" xfId="8228"/>
    <cellStyle name="Normal 21 4 2 2 3 3" xfId="8229"/>
    <cellStyle name="Normal 21 4 2 2 3 3 2" xfId="8230"/>
    <cellStyle name="Normal 21 4 2 2 3 4" xfId="8231"/>
    <cellStyle name="Normal 21 4 2 2 4" xfId="8232"/>
    <cellStyle name="Normal 21 4 2 2 4 2" xfId="8233"/>
    <cellStyle name="Normal 21 4 2 2 4 2 2" xfId="8234"/>
    <cellStyle name="Normal 21 4 2 2 4 3" xfId="8235"/>
    <cellStyle name="Normal 21 4 2 2 5" xfId="8236"/>
    <cellStyle name="Normal 21 4 2 2 5 2" xfId="8237"/>
    <cellStyle name="Normal 21 4 2 2 6" xfId="8238"/>
    <cellStyle name="Normal 21 4 2 3" xfId="8239"/>
    <cellStyle name="Normal 21 4 2 3 2" xfId="8240"/>
    <cellStyle name="Normal 21 4 2 3 2 2" xfId="8241"/>
    <cellStyle name="Normal 21 4 2 3 2 2 2" xfId="8242"/>
    <cellStyle name="Normal 21 4 2 3 2 3" xfId="8243"/>
    <cellStyle name="Normal 21 4 2 3 3" xfId="8244"/>
    <cellStyle name="Normal 21 4 2 3 3 2" xfId="8245"/>
    <cellStyle name="Normal 21 4 2 3 4" xfId="8246"/>
    <cellStyle name="Normal 21 4 2 4" xfId="8247"/>
    <cellStyle name="Normal 21 4 2 4 2" xfId="8248"/>
    <cellStyle name="Normal 21 4 2 4 2 2" xfId="8249"/>
    <cellStyle name="Normal 21 4 2 4 2 2 2" xfId="8250"/>
    <cellStyle name="Normal 21 4 2 4 2 3" xfId="8251"/>
    <cellStyle name="Normal 21 4 2 4 3" xfId="8252"/>
    <cellStyle name="Normal 21 4 2 4 3 2" xfId="8253"/>
    <cellStyle name="Normal 21 4 2 4 4" xfId="8254"/>
    <cellStyle name="Normal 21 4 2 5" xfId="8255"/>
    <cellStyle name="Normal 21 4 2 5 2" xfId="8256"/>
    <cellStyle name="Normal 21 4 2 5 2 2" xfId="8257"/>
    <cellStyle name="Normal 21 4 2 5 3" xfId="8258"/>
    <cellStyle name="Normal 21 4 2 6" xfId="8259"/>
    <cellStyle name="Normal 21 4 2 6 2" xfId="8260"/>
    <cellStyle name="Normal 21 4 2 7" xfId="8261"/>
    <cellStyle name="Normal 21 4 3" xfId="8262"/>
    <cellStyle name="Normal 21 4 3 2" xfId="8263"/>
    <cellStyle name="Normal 21 4 3 2 2" xfId="8264"/>
    <cellStyle name="Normal 21 4 3 2 2 2" xfId="8265"/>
    <cellStyle name="Normal 21 4 3 2 2 2 2" xfId="8266"/>
    <cellStyle name="Normal 21 4 3 2 2 3" xfId="8267"/>
    <cellStyle name="Normal 21 4 3 2 3" xfId="8268"/>
    <cellStyle name="Normal 21 4 3 2 3 2" xfId="8269"/>
    <cellStyle name="Normal 21 4 3 2 4" xfId="8270"/>
    <cellStyle name="Normal 21 4 3 3" xfId="8271"/>
    <cellStyle name="Normal 21 4 3 3 2" xfId="8272"/>
    <cellStyle name="Normal 21 4 3 3 2 2" xfId="8273"/>
    <cellStyle name="Normal 21 4 3 3 2 2 2" xfId="8274"/>
    <cellStyle name="Normal 21 4 3 3 2 3" xfId="8275"/>
    <cellStyle name="Normal 21 4 3 3 3" xfId="8276"/>
    <cellStyle name="Normal 21 4 3 3 3 2" xfId="8277"/>
    <cellStyle name="Normal 21 4 3 3 4" xfId="8278"/>
    <cellStyle name="Normal 21 4 3 4" xfId="8279"/>
    <cellStyle name="Normal 21 4 3 4 2" xfId="8280"/>
    <cellStyle name="Normal 21 4 3 4 2 2" xfId="8281"/>
    <cellStyle name="Normal 21 4 3 4 3" xfId="8282"/>
    <cellStyle name="Normal 21 4 3 5" xfId="8283"/>
    <cellStyle name="Normal 21 4 3 5 2" xfId="8284"/>
    <cellStyle name="Normal 21 4 3 6" xfId="8285"/>
    <cellStyle name="Normal 21 4 4" xfId="8286"/>
    <cellStyle name="Normal 21 4 4 2" xfId="8287"/>
    <cellStyle name="Normal 21 4 4 2 2" xfId="8288"/>
    <cellStyle name="Normal 21 4 4 2 2 2" xfId="8289"/>
    <cellStyle name="Normal 21 4 4 2 2 2 2" xfId="8290"/>
    <cellStyle name="Normal 21 4 4 2 2 3" xfId="8291"/>
    <cellStyle name="Normal 21 4 4 2 3" xfId="8292"/>
    <cellStyle name="Normal 21 4 4 2 3 2" xfId="8293"/>
    <cellStyle name="Normal 21 4 4 2 4" xfId="8294"/>
    <cellStyle name="Normal 21 4 4 3" xfId="8295"/>
    <cellStyle name="Normal 21 4 4 3 2" xfId="8296"/>
    <cellStyle name="Normal 21 4 4 3 2 2" xfId="8297"/>
    <cellStyle name="Normal 21 4 4 3 2 2 2" xfId="8298"/>
    <cellStyle name="Normal 21 4 4 3 2 3" xfId="8299"/>
    <cellStyle name="Normal 21 4 4 3 3" xfId="8300"/>
    <cellStyle name="Normal 21 4 4 3 3 2" xfId="8301"/>
    <cellStyle name="Normal 21 4 4 3 4" xfId="8302"/>
    <cellStyle name="Normal 21 4 4 4" xfId="8303"/>
    <cellStyle name="Normal 21 4 4 4 2" xfId="8304"/>
    <cellStyle name="Normal 21 4 4 4 2 2" xfId="8305"/>
    <cellStyle name="Normal 21 4 4 4 3" xfId="8306"/>
    <cellStyle name="Normal 21 4 4 5" xfId="8307"/>
    <cellStyle name="Normal 21 4 4 5 2" xfId="8308"/>
    <cellStyle name="Normal 21 4 4 6" xfId="8309"/>
    <cellStyle name="Normal 21 4 5" xfId="8310"/>
    <cellStyle name="Normal 21 4 5 2" xfId="8311"/>
    <cellStyle name="Normal 21 4 5 2 2" xfId="8312"/>
    <cellStyle name="Normal 21 4 5 2 2 2" xfId="8313"/>
    <cellStyle name="Normal 21 4 5 2 3" xfId="8314"/>
    <cellStyle name="Normal 21 4 5 3" xfId="8315"/>
    <cellStyle name="Normal 21 4 5 3 2" xfId="8316"/>
    <cellStyle name="Normal 21 4 5 4" xfId="8317"/>
    <cellStyle name="Normal 21 4 6" xfId="8318"/>
    <cellStyle name="Normal 21 4 6 2" xfId="8319"/>
    <cellStyle name="Normal 21 4 6 2 2" xfId="8320"/>
    <cellStyle name="Normal 21 4 6 2 2 2" xfId="8321"/>
    <cellStyle name="Normal 21 4 6 2 3" xfId="8322"/>
    <cellStyle name="Normal 21 4 6 3" xfId="8323"/>
    <cellStyle name="Normal 21 4 6 3 2" xfId="8324"/>
    <cellStyle name="Normal 21 4 6 4" xfId="8325"/>
    <cellStyle name="Normal 21 4 7" xfId="8326"/>
    <cellStyle name="Normal 21 4 7 2" xfId="8327"/>
    <cellStyle name="Normal 21 4 7 2 2" xfId="8328"/>
    <cellStyle name="Normal 21 4 7 3" xfId="8329"/>
    <cellStyle name="Normal 21 4 8" xfId="8330"/>
    <cellStyle name="Normal 21 4 8 2" xfId="8331"/>
    <cellStyle name="Normal 21 4 9" xfId="8332"/>
    <cellStyle name="Normal 21 5" xfId="8333"/>
    <cellStyle name="Normal 21 5 2" xfId="8334"/>
    <cellStyle name="Normal 21 5 2 2" xfId="8335"/>
    <cellStyle name="Normal 21 5 2 2 2" xfId="8336"/>
    <cellStyle name="Normal 21 5 2 2 2 2" xfId="8337"/>
    <cellStyle name="Normal 21 5 2 2 2 2 2" xfId="8338"/>
    <cellStyle name="Normal 21 5 2 2 2 3" xfId="8339"/>
    <cellStyle name="Normal 21 5 2 2 3" xfId="8340"/>
    <cellStyle name="Normal 21 5 2 2 3 2" xfId="8341"/>
    <cellStyle name="Normal 21 5 2 2 4" xfId="8342"/>
    <cellStyle name="Normal 21 5 2 3" xfId="8343"/>
    <cellStyle name="Normal 21 5 2 3 2" xfId="8344"/>
    <cellStyle name="Normal 21 5 2 3 2 2" xfId="8345"/>
    <cellStyle name="Normal 21 5 2 3 2 2 2" xfId="8346"/>
    <cellStyle name="Normal 21 5 2 3 2 3" xfId="8347"/>
    <cellStyle name="Normal 21 5 2 3 3" xfId="8348"/>
    <cellStyle name="Normal 21 5 2 3 3 2" xfId="8349"/>
    <cellStyle name="Normal 21 5 2 3 4" xfId="8350"/>
    <cellStyle name="Normal 21 5 2 4" xfId="8351"/>
    <cellStyle name="Normal 21 5 2 4 2" xfId="8352"/>
    <cellStyle name="Normal 21 5 2 4 2 2" xfId="8353"/>
    <cellStyle name="Normal 21 5 2 4 3" xfId="8354"/>
    <cellStyle name="Normal 21 5 2 5" xfId="8355"/>
    <cellStyle name="Normal 21 5 2 5 2" xfId="8356"/>
    <cellStyle name="Normal 21 5 2 6" xfId="8357"/>
    <cellStyle name="Normal 21 5 3" xfId="8358"/>
    <cellStyle name="Normal 21 5 3 2" xfId="8359"/>
    <cellStyle name="Normal 21 5 3 2 2" xfId="8360"/>
    <cellStyle name="Normal 21 5 3 2 2 2" xfId="8361"/>
    <cellStyle name="Normal 21 5 3 2 3" xfId="8362"/>
    <cellStyle name="Normal 21 5 3 3" xfId="8363"/>
    <cellStyle name="Normal 21 5 3 3 2" xfId="8364"/>
    <cellStyle name="Normal 21 5 3 4" xfId="8365"/>
    <cellStyle name="Normal 21 5 4" xfId="8366"/>
    <cellStyle name="Normal 21 5 4 2" xfId="8367"/>
    <cellStyle name="Normal 21 5 4 2 2" xfId="8368"/>
    <cellStyle name="Normal 21 5 4 2 2 2" xfId="8369"/>
    <cellStyle name="Normal 21 5 4 2 3" xfId="8370"/>
    <cellStyle name="Normal 21 5 4 3" xfId="8371"/>
    <cellStyle name="Normal 21 5 4 3 2" xfId="8372"/>
    <cellStyle name="Normal 21 5 4 4" xfId="8373"/>
    <cellStyle name="Normal 21 5 5" xfId="8374"/>
    <cellStyle name="Normal 21 5 5 2" xfId="8375"/>
    <cellStyle name="Normal 21 5 5 2 2" xfId="8376"/>
    <cellStyle name="Normal 21 5 5 3" xfId="8377"/>
    <cellStyle name="Normal 21 5 6" xfId="8378"/>
    <cellStyle name="Normal 21 5 7" xfId="8379"/>
    <cellStyle name="Normal 21 5 7 2" xfId="8380"/>
    <cellStyle name="Normal 21 5 8" xfId="8381"/>
    <cellStyle name="Normal 21 6" xfId="8382"/>
    <cellStyle name="Normal 21 6 2" xfId="8383"/>
    <cellStyle name="Normal 21 6 2 2" xfId="8384"/>
    <cellStyle name="Normal 21 6 2 2 2" xfId="8385"/>
    <cellStyle name="Normal 21 6 2 2 2 2" xfId="8386"/>
    <cellStyle name="Normal 21 6 2 2 3" xfId="8387"/>
    <cellStyle name="Normal 21 6 2 3" xfId="8388"/>
    <cellStyle name="Normal 21 6 2 3 2" xfId="8389"/>
    <cellStyle name="Normal 21 6 2 4" xfId="8390"/>
    <cellStyle name="Normal 21 6 3" xfId="8391"/>
    <cellStyle name="Normal 21 6 3 2" xfId="8392"/>
    <cellStyle name="Normal 21 6 3 2 2" xfId="8393"/>
    <cellStyle name="Normal 21 6 3 2 2 2" xfId="8394"/>
    <cellStyle name="Normal 21 6 3 2 3" xfId="8395"/>
    <cellStyle name="Normal 21 6 3 3" xfId="8396"/>
    <cellStyle name="Normal 21 6 3 3 2" xfId="8397"/>
    <cellStyle name="Normal 21 6 3 4" xfId="8398"/>
    <cellStyle name="Normal 21 6 4" xfId="8399"/>
    <cellStyle name="Normal 21 6 4 2" xfId="8400"/>
    <cellStyle name="Normal 21 6 4 2 2" xfId="8401"/>
    <cellStyle name="Normal 21 6 4 3" xfId="8402"/>
    <cellStyle name="Normal 21 6 5" xfId="8403"/>
    <cellStyle name="Normal 21 6 5 2" xfId="8404"/>
    <cellStyle name="Normal 21 6 6" xfId="8405"/>
    <cellStyle name="Normal 21 7" xfId="8406"/>
    <cellStyle name="Normal 21 7 2" xfId="8407"/>
    <cellStyle name="Normal 21 7 2 2" xfId="8408"/>
    <cellStyle name="Normal 21 7 2 2 2" xfId="8409"/>
    <cellStyle name="Normal 21 7 2 2 2 2" xfId="8410"/>
    <cellStyle name="Normal 21 7 2 2 3" xfId="8411"/>
    <cellStyle name="Normal 21 7 2 3" xfId="8412"/>
    <cellStyle name="Normal 21 7 2 3 2" xfId="8413"/>
    <cellStyle name="Normal 21 7 2 4" xfId="8414"/>
    <cellStyle name="Normal 21 7 3" xfId="8415"/>
    <cellStyle name="Normal 21 7 3 2" xfId="8416"/>
    <cellStyle name="Normal 21 7 3 2 2" xfId="8417"/>
    <cellStyle name="Normal 21 7 3 2 2 2" xfId="8418"/>
    <cellStyle name="Normal 21 7 3 2 3" xfId="8419"/>
    <cellStyle name="Normal 21 7 3 3" xfId="8420"/>
    <cellStyle name="Normal 21 7 3 3 2" xfId="8421"/>
    <cellStyle name="Normal 21 7 3 4" xfId="8422"/>
    <cellStyle name="Normal 21 7 4" xfId="8423"/>
    <cellStyle name="Normal 21 7 4 2" xfId="8424"/>
    <cellStyle name="Normal 21 7 4 2 2" xfId="8425"/>
    <cellStyle name="Normal 21 7 4 3" xfId="8426"/>
    <cellStyle name="Normal 21 7 5" xfId="8427"/>
    <cellStyle name="Normal 21 7 5 2" xfId="8428"/>
    <cellStyle name="Normal 21 7 6" xfId="8429"/>
    <cellStyle name="Normal 21 8" xfId="8430"/>
    <cellStyle name="Normal 21 8 2" xfId="8431"/>
    <cellStyle name="Normal 21 8 2 2" xfId="8432"/>
    <cellStyle name="Normal 21 8 2 2 2" xfId="8433"/>
    <cellStyle name="Normal 21 8 2 3" xfId="8434"/>
    <cellStyle name="Normal 21 8 3" xfId="8435"/>
    <cellStyle name="Normal 21 8 3 2" xfId="8436"/>
    <cellStyle name="Normal 21 8 4" xfId="8437"/>
    <cellStyle name="Normal 21 9" xfId="8438"/>
    <cellStyle name="Normal 21 9 2" xfId="8439"/>
    <cellStyle name="Normal 21 9 2 2" xfId="8440"/>
    <cellStyle name="Normal 21 9 2 2 2" xfId="8441"/>
    <cellStyle name="Normal 21 9 2 3" xfId="8442"/>
    <cellStyle name="Normal 21 9 3" xfId="8443"/>
    <cellStyle name="Normal 21 9 3 2" xfId="8444"/>
    <cellStyle name="Normal 21 9 4" xfId="8445"/>
    <cellStyle name="Normal 22" xfId="8446"/>
    <cellStyle name="Normal 22 10" xfId="8447"/>
    <cellStyle name="Normal 22 10 2" xfId="8448"/>
    <cellStyle name="Normal 22 10 2 2" xfId="8449"/>
    <cellStyle name="Normal 22 10 2 2 2" xfId="8450"/>
    <cellStyle name="Normal 22 10 2 3" xfId="8451"/>
    <cellStyle name="Normal 22 10 3" xfId="8452"/>
    <cellStyle name="Normal 22 10 3 2" xfId="8453"/>
    <cellStyle name="Normal 22 10 4" xfId="8454"/>
    <cellStyle name="Normal 22 11" xfId="8455"/>
    <cellStyle name="Normal 22 11 2" xfId="8456"/>
    <cellStyle name="Normal 22 11 2 2" xfId="8457"/>
    <cellStyle name="Normal 22 11 3" xfId="8458"/>
    <cellStyle name="Normal 22 12" xfId="8459"/>
    <cellStyle name="Normal 22 12 2" xfId="8460"/>
    <cellStyle name="Normal 22 13" xfId="8461"/>
    <cellStyle name="Normal 22 2" xfId="8462"/>
    <cellStyle name="Normal 22 3" xfId="8463"/>
    <cellStyle name="Normal 22 3 10" xfId="8464"/>
    <cellStyle name="Normal 22 3 2" xfId="8465"/>
    <cellStyle name="Normal 22 3 2 2" xfId="8466"/>
    <cellStyle name="Normal 22 3 2 2 2" xfId="8467"/>
    <cellStyle name="Normal 22 3 2 2 2 2" xfId="8468"/>
    <cellStyle name="Normal 22 3 2 2 2 2 2" xfId="8469"/>
    <cellStyle name="Normal 22 3 2 2 2 2 2 2" xfId="8470"/>
    <cellStyle name="Normal 22 3 2 2 2 2 3" xfId="8471"/>
    <cellStyle name="Normal 22 3 2 2 2 3" xfId="8472"/>
    <cellStyle name="Normal 22 3 2 2 2 3 2" xfId="8473"/>
    <cellStyle name="Normal 22 3 2 2 2 4" xfId="8474"/>
    <cellStyle name="Normal 22 3 2 2 3" xfId="8475"/>
    <cellStyle name="Normal 22 3 2 2 3 2" xfId="8476"/>
    <cellStyle name="Normal 22 3 2 2 3 2 2" xfId="8477"/>
    <cellStyle name="Normal 22 3 2 2 3 2 2 2" xfId="8478"/>
    <cellStyle name="Normal 22 3 2 2 3 2 3" xfId="8479"/>
    <cellStyle name="Normal 22 3 2 2 3 3" xfId="8480"/>
    <cellStyle name="Normal 22 3 2 2 3 3 2" xfId="8481"/>
    <cellStyle name="Normal 22 3 2 2 3 4" xfId="8482"/>
    <cellStyle name="Normal 22 3 2 2 4" xfId="8483"/>
    <cellStyle name="Normal 22 3 2 2 4 2" xfId="8484"/>
    <cellStyle name="Normal 22 3 2 2 4 2 2" xfId="8485"/>
    <cellStyle name="Normal 22 3 2 2 4 3" xfId="8486"/>
    <cellStyle name="Normal 22 3 2 2 5" xfId="8487"/>
    <cellStyle name="Normal 22 3 2 2 5 2" xfId="8488"/>
    <cellStyle name="Normal 22 3 2 2 6" xfId="8489"/>
    <cellStyle name="Normal 22 3 2 3" xfId="8490"/>
    <cellStyle name="Normal 22 3 2 3 2" xfId="8491"/>
    <cellStyle name="Normal 22 3 2 3 2 2" xfId="8492"/>
    <cellStyle name="Normal 22 3 2 3 2 2 2" xfId="8493"/>
    <cellStyle name="Normal 22 3 2 3 2 3" xfId="8494"/>
    <cellStyle name="Normal 22 3 2 3 3" xfId="8495"/>
    <cellStyle name="Normal 22 3 2 3 3 2" xfId="8496"/>
    <cellStyle name="Normal 22 3 2 3 4" xfId="8497"/>
    <cellStyle name="Normal 22 3 2 4" xfId="8498"/>
    <cellStyle name="Normal 22 3 2 4 2" xfId="8499"/>
    <cellStyle name="Normal 22 3 2 4 2 2" xfId="8500"/>
    <cellStyle name="Normal 22 3 2 4 2 2 2" xfId="8501"/>
    <cellStyle name="Normal 22 3 2 4 2 3" xfId="8502"/>
    <cellStyle name="Normal 22 3 2 4 3" xfId="8503"/>
    <cellStyle name="Normal 22 3 2 4 3 2" xfId="8504"/>
    <cellStyle name="Normal 22 3 2 4 4" xfId="8505"/>
    <cellStyle name="Normal 22 3 2 5" xfId="8506"/>
    <cellStyle name="Normal 22 3 2 5 2" xfId="8507"/>
    <cellStyle name="Normal 22 3 2 5 2 2" xfId="8508"/>
    <cellStyle name="Normal 22 3 2 5 3" xfId="8509"/>
    <cellStyle name="Normal 22 3 2 6" xfId="8510"/>
    <cellStyle name="Normal 22 3 2 6 2" xfId="8511"/>
    <cellStyle name="Normal 22 3 2 7" xfId="8512"/>
    <cellStyle name="Normal 22 3 3" xfId="8513"/>
    <cellStyle name="Normal 22 3 3 2" xfId="8514"/>
    <cellStyle name="Normal 22 3 3 2 2" xfId="8515"/>
    <cellStyle name="Normal 22 3 3 2 2 2" xfId="8516"/>
    <cellStyle name="Normal 22 3 3 2 2 2 2" xfId="8517"/>
    <cellStyle name="Normal 22 3 3 2 2 3" xfId="8518"/>
    <cellStyle name="Normal 22 3 3 2 3" xfId="8519"/>
    <cellStyle name="Normal 22 3 3 2 3 2" xfId="8520"/>
    <cellStyle name="Normal 22 3 3 2 4" xfId="8521"/>
    <cellStyle name="Normal 22 3 3 3" xfId="8522"/>
    <cellStyle name="Normal 22 3 3 3 2" xfId="8523"/>
    <cellStyle name="Normal 22 3 3 3 2 2" xfId="8524"/>
    <cellStyle name="Normal 22 3 3 3 2 2 2" xfId="8525"/>
    <cellStyle name="Normal 22 3 3 3 2 3" xfId="8526"/>
    <cellStyle name="Normal 22 3 3 3 3" xfId="8527"/>
    <cellStyle name="Normal 22 3 3 3 3 2" xfId="8528"/>
    <cellStyle name="Normal 22 3 3 3 4" xfId="8529"/>
    <cellStyle name="Normal 22 3 3 4" xfId="8530"/>
    <cellStyle name="Normal 22 3 3 4 2" xfId="8531"/>
    <cellStyle name="Normal 22 3 3 4 2 2" xfId="8532"/>
    <cellStyle name="Normal 22 3 3 4 3" xfId="8533"/>
    <cellStyle name="Normal 22 3 3 5" xfId="8534"/>
    <cellStyle name="Normal 22 3 3 5 2" xfId="8535"/>
    <cellStyle name="Normal 22 3 3 6" xfId="8536"/>
    <cellStyle name="Normal 22 3 4" xfId="8537"/>
    <cellStyle name="Normal 22 3 4 2" xfId="8538"/>
    <cellStyle name="Normal 22 3 4 2 2" xfId="8539"/>
    <cellStyle name="Normal 22 3 4 2 2 2" xfId="8540"/>
    <cellStyle name="Normal 22 3 4 2 2 2 2" xfId="8541"/>
    <cellStyle name="Normal 22 3 4 2 2 3" xfId="8542"/>
    <cellStyle name="Normal 22 3 4 2 3" xfId="8543"/>
    <cellStyle name="Normal 22 3 4 2 3 2" xfId="8544"/>
    <cellStyle name="Normal 22 3 4 2 4" xfId="8545"/>
    <cellStyle name="Normal 22 3 4 3" xfId="8546"/>
    <cellStyle name="Normal 22 3 4 3 2" xfId="8547"/>
    <cellStyle name="Normal 22 3 4 3 2 2" xfId="8548"/>
    <cellStyle name="Normal 22 3 4 3 2 2 2" xfId="8549"/>
    <cellStyle name="Normal 22 3 4 3 2 3" xfId="8550"/>
    <cellStyle name="Normal 22 3 4 3 3" xfId="8551"/>
    <cellStyle name="Normal 22 3 4 3 3 2" xfId="8552"/>
    <cellStyle name="Normal 22 3 4 3 4" xfId="8553"/>
    <cellStyle name="Normal 22 3 4 4" xfId="8554"/>
    <cellStyle name="Normal 22 3 4 4 2" xfId="8555"/>
    <cellStyle name="Normal 22 3 4 4 2 2" xfId="8556"/>
    <cellStyle name="Normal 22 3 4 4 3" xfId="8557"/>
    <cellStyle name="Normal 22 3 4 5" xfId="8558"/>
    <cellStyle name="Normal 22 3 4 5 2" xfId="8559"/>
    <cellStyle name="Normal 22 3 4 6" xfId="8560"/>
    <cellStyle name="Normal 22 3 5" xfId="8561"/>
    <cellStyle name="Normal 22 3 5 2" xfId="8562"/>
    <cellStyle name="Normal 22 3 5 2 2" xfId="8563"/>
    <cellStyle name="Normal 22 3 5 2 2 2" xfId="8564"/>
    <cellStyle name="Normal 22 3 5 2 3" xfId="8565"/>
    <cellStyle name="Normal 22 3 5 3" xfId="8566"/>
    <cellStyle name="Normal 22 3 5 3 2" xfId="8567"/>
    <cellStyle name="Normal 22 3 5 4" xfId="8568"/>
    <cellStyle name="Normal 22 3 6" xfId="8569"/>
    <cellStyle name="Normal 22 3 6 2" xfId="8570"/>
    <cellStyle name="Normal 22 3 6 2 2" xfId="8571"/>
    <cellStyle name="Normal 22 3 6 2 2 2" xfId="8572"/>
    <cellStyle name="Normal 22 3 6 2 3" xfId="8573"/>
    <cellStyle name="Normal 22 3 6 3" xfId="8574"/>
    <cellStyle name="Normal 22 3 6 3 2" xfId="8575"/>
    <cellStyle name="Normal 22 3 6 4" xfId="8576"/>
    <cellStyle name="Normal 22 3 7" xfId="8577"/>
    <cellStyle name="Normal 22 3 7 2" xfId="8578"/>
    <cellStyle name="Normal 22 3 7 2 2" xfId="8579"/>
    <cellStyle name="Normal 22 3 7 2 2 2" xfId="8580"/>
    <cellStyle name="Normal 22 3 7 2 3" xfId="8581"/>
    <cellStyle name="Normal 22 3 7 3" xfId="8582"/>
    <cellStyle name="Normal 22 3 7 3 2" xfId="8583"/>
    <cellStyle name="Normal 22 3 7 4" xfId="8584"/>
    <cellStyle name="Normal 22 3 8" xfId="8585"/>
    <cellStyle name="Normal 22 3 8 2" xfId="8586"/>
    <cellStyle name="Normal 22 3 8 2 2" xfId="8587"/>
    <cellStyle name="Normal 22 3 8 3" xfId="8588"/>
    <cellStyle name="Normal 22 3 9" xfId="8589"/>
    <cellStyle name="Normal 22 3 9 2" xfId="8590"/>
    <cellStyle name="Normal 22 4" xfId="8591"/>
    <cellStyle name="Normal 22 4 2" xfId="8592"/>
    <cellStyle name="Normal 22 4 2 2" xfId="8593"/>
    <cellStyle name="Normal 22 4 2 2 2" xfId="8594"/>
    <cellStyle name="Normal 22 4 2 2 2 2" xfId="8595"/>
    <cellStyle name="Normal 22 4 2 2 2 2 2" xfId="8596"/>
    <cellStyle name="Normal 22 4 2 2 2 2 2 2" xfId="8597"/>
    <cellStyle name="Normal 22 4 2 2 2 2 3" xfId="8598"/>
    <cellStyle name="Normal 22 4 2 2 2 3" xfId="8599"/>
    <cellStyle name="Normal 22 4 2 2 2 3 2" xfId="8600"/>
    <cellStyle name="Normal 22 4 2 2 2 4" xfId="8601"/>
    <cellStyle name="Normal 22 4 2 2 3" xfId="8602"/>
    <cellStyle name="Normal 22 4 2 2 3 2" xfId="8603"/>
    <cellStyle name="Normal 22 4 2 2 3 2 2" xfId="8604"/>
    <cellStyle name="Normal 22 4 2 2 3 2 2 2" xfId="8605"/>
    <cellStyle name="Normal 22 4 2 2 3 2 3" xfId="8606"/>
    <cellStyle name="Normal 22 4 2 2 3 3" xfId="8607"/>
    <cellStyle name="Normal 22 4 2 2 3 3 2" xfId="8608"/>
    <cellStyle name="Normal 22 4 2 2 3 4" xfId="8609"/>
    <cellStyle name="Normal 22 4 2 2 4" xfId="8610"/>
    <cellStyle name="Normal 22 4 2 2 4 2" xfId="8611"/>
    <cellStyle name="Normal 22 4 2 2 4 2 2" xfId="8612"/>
    <cellStyle name="Normal 22 4 2 2 4 3" xfId="8613"/>
    <cellStyle name="Normal 22 4 2 2 5" xfId="8614"/>
    <cellStyle name="Normal 22 4 2 2 5 2" xfId="8615"/>
    <cellStyle name="Normal 22 4 2 2 6" xfId="8616"/>
    <cellStyle name="Normal 22 4 2 3" xfId="8617"/>
    <cellStyle name="Normal 22 4 2 3 2" xfId="8618"/>
    <cellStyle name="Normal 22 4 2 3 2 2" xfId="8619"/>
    <cellStyle name="Normal 22 4 2 3 2 2 2" xfId="8620"/>
    <cellStyle name="Normal 22 4 2 3 2 3" xfId="8621"/>
    <cellStyle name="Normal 22 4 2 3 3" xfId="8622"/>
    <cellStyle name="Normal 22 4 2 3 3 2" xfId="8623"/>
    <cellStyle name="Normal 22 4 2 3 4" xfId="8624"/>
    <cellStyle name="Normal 22 4 2 4" xfId="8625"/>
    <cellStyle name="Normal 22 4 2 4 2" xfId="8626"/>
    <cellStyle name="Normal 22 4 2 4 2 2" xfId="8627"/>
    <cellStyle name="Normal 22 4 2 4 2 2 2" xfId="8628"/>
    <cellStyle name="Normal 22 4 2 4 2 3" xfId="8629"/>
    <cellStyle name="Normal 22 4 2 4 3" xfId="8630"/>
    <cellStyle name="Normal 22 4 2 4 3 2" xfId="8631"/>
    <cellStyle name="Normal 22 4 2 4 4" xfId="8632"/>
    <cellStyle name="Normal 22 4 2 5" xfId="8633"/>
    <cellStyle name="Normal 22 4 2 5 2" xfId="8634"/>
    <cellStyle name="Normal 22 4 2 5 2 2" xfId="8635"/>
    <cellStyle name="Normal 22 4 2 5 3" xfId="8636"/>
    <cellStyle name="Normal 22 4 2 6" xfId="8637"/>
    <cellStyle name="Normal 22 4 2 6 2" xfId="8638"/>
    <cellStyle name="Normal 22 4 2 7" xfId="8639"/>
    <cellStyle name="Normal 22 4 3" xfId="8640"/>
    <cellStyle name="Normal 22 4 3 2" xfId="8641"/>
    <cellStyle name="Normal 22 4 3 2 2" xfId="8642"/>
    <cellStyle name="Normal 22 4 3 2 2 2" xfId="8643"/>
    <cellStyle name="Normal 22 4 3 2 2 2 2" xfId="8644"/>
    <cellStyle name="Normal 22 4 3 2 2 3" xfId="8645"/>
    <cellStyle name="Normal 22 4 3 2 3" xfId="8646"/>
    <cellStyle name="Normal 22 4 3 2 3 2" xfId="8647"/>
    <cellStyle name="Normal 22 4 3 2 4" xfId="8648"/>
    <cellStyle name="Normal 22 4 3 3" xfId="8649"/>
    <cellStyle name="Normal 22 4 3 3 2" xfId="8650"/>
    <cellStyle name="Normal 22 4 3 3 2 2" xfId="8651"/>
    <cellStyle name="Normal 22 4 3 3 2 2 2" xfId="8652"/>
    <cellStyle name="Normal 22 4 3 3 2 3" xfId="8653"/>
    <cellStyle name="Normal 22 4 3 3 3" xfId="8654"/>
    <cellStyle name="Normal 22 4 3 3 3 2" xfId="8655"/>
    <cellStyle name="Normal 22 4 3 3 4" xfId="8656"/>
    <cellStyle name="Normal 22 4 3 4" xfId="8657"/>
    <cellStyle name="Normal 22 4 3 4 2" xfId="8658"/>
    <cellStyle name="Normal 22 4 3 4 2 2" xfId="8659"/>
    <cellStyle name="Normal 22 4 3 4 3" xfId="8660"/>
    <cellStyle name="Normal 22 4 3 5" xfId="8661"/>
    <cellStyle name="Normal 22 4 3 5 2" xfId="8662"/>
    <cellStyle name="Normal 22 4 3 6" xfId="8663"/>
    <cellStyle name="Normal 22 4 4" xfId="8664"/>
    <cellStyle name="Normal 22 4 4 2" xfId="8665"/>
    <cellStyle name="Normal 22 4 4 2 2" xfId="8666"/>
    <cellStyle name="Normal 22 4 4 2 2 2" xfId="8667"/>
    <cellStyle name="Normal 22 4 4 2 2 2 2" xfId="8668"/>
    <cellStyle name="Normal 22 4 4 2 2 3" xfId="8669"/>
    <cellStyle name="Normal 22 4 4 2 3" xfId="8670"/>
    <cellStyle name="Normal 22 4 4 2 3 2" xfId="8671"/>
    <cellStyle name="Normal 22 4 4 2 4" xfId="8672"/>
    <cellStyle name="Normal 22 4 4 3" xfId="8673"/>
    <cellStyle name="Normal 22 4 4 3 2" xfId="8674"/>
    <cellStyle name="Normal 22 4 4 3 2 2" xfId="8675"/>
    <cellStyle name="Normal 22 4 4 3 2 2 2" xfId="8676"/>
    <cellStyle name="Normal 22 4 4 3 2 3" xfId="8677"/>
    <cellStyle name="Normal 22 4 4 3 3" xfId="8678"/>
    <cellStyle name="Normal 22 4 4 3 3 2" xfId="8679"/>
    <cellStyle name="Normal 22 4 4 3 4" xfId="8680"/>
    <cellStyle name="Normal 22 4 4 4" xfId="8681"/>
    <cellStyle name="Normal 22 4 4 4 2" xfId="8682"/>
    <cellStyle name="Normal 22 4 4 4 2 2" xfId="8683"/>
    <cellStyle name="Normal 22 4 4 4 3" xfId="8684"/>
    <cellStyle name="Normal 22 4 4 5" xfId="8685"/>
    <cellStyle name="Normal 22 4 4 5 2" xfId="8686"/>
    <cellStyle name="Normal 22 4 4 6" xfId="8687"/>
    <cellStyle name="Normal 22 4 5" xfId="8688"/>
    <cellStyle name="Normal 22 4 5 2" xfId="8689"/>
    <cellStyle name="Normal 22 4 5 2 2" xfId="8690"/>
    <cellStyle name="Normal 22 4 5 2 2 2" xfId="8691"/>
    <cellStyle name="Normal 22 4 5 2 3" xfId="8692"/>
    <cellStyle name="Normal 22 4 5 3" xfId="8693"/>
    <cellStyle name="Normal 22 4 5 3 2" xfId="8694"/>
    <cellStyle name="Normal 22 4 5 4" xfId="8695"/>
    <cellStyle name="Normal 22 4 6" xfId="8696"/>
    <cellStyle name="Normal 22 4 6 2" xfId="8697"/>
    <cellStyle name="Normal 22 4 6 2 2" xfId="8698"/>
    <cellStyle name="Normal 22 4 6 2 2 2" xfId="8699"/>
    <cellStyle name="Normal 22 4 6 2 3" xfId="8700"/>
    <cellStyle name="Normal 22 4 6 3" xfId="8701"/>
    <cellStyle name="Normal 22 4 6 3 2" xfId="8702"/>
    <cellStyle name="Normal 22 4 6 4" xfId="8703"/>
    <cellStyle name="Normal 22 4 7" xfId="8704"/>
    <cellStyle name="Normal 22 4 7 2" xfId="8705"/>
    <cellStyle name="Normal 22 4 7 2 2" xfId="8706"/>
    <cellStyle name="Normal 22 4 7 3" xfId="8707"/>
    <cellStyle name="Normal 22 4 8" xfId="8708"/>
    <cellStyle name="Normal 22 4 8 2" xfId="8709"/>
    <cellStyle name="Normal 22 4 9" xfId="8710"/>
    <cellStyle name="Normal 22 5" xfId="8711"/>
    <cellStyle name="Normal 22 5 2" xfId="8712"/>
    <cellStyle name="Normal 22 5 2 2" xfId="8713"/>
    <cellStyle name="Normal 22 5 2 2 2" xfId="8714"/>
    <cellStyle name="Normal 22 5 2 2 2 2" xfId="8715"/>
    <cellStyle name="Normal 22 5 2 2 2 2 2" xfId="8716"/>
    <cellStyle name="Normal 22 5 2 2 2 3" xfId="8717"/>
    <cellStyle name="Normal 22 5 2 2 3" xfId="8718"/>
    <cellStyle name="Normal 22 5 2 2 3 2" xfId="8719"/>
    <cellStyle name="Normal 22 5 2 2 4" xfId="8720"/>
    <cellStyle name="Normal 22 5 2 3" xfId="8721"/>
    <cellStyle name="Normal 22 5 2 3 2" xfId="8722"/>
    <cellStyle name="Normal 22 5 2 3 2 2" xfId="8723"/>
    <cellStyle name="Normal 22 5 2 3 2 2 2" xfId="8724"/>
    <cellStyle name="Normal 22 5 2 3 2 3" xfId="8725"/>
    <cellStyle name="Normal 22 5 2 3 3" xfId="8726"/>
    <cellStyle name="Normal 22 5 2 3 3 2" xfId="8727"/>
    <cellStyle name="Normal 22 5 2 3 4" xfId="8728"/>
    <cellStyle name="Normal 22 5 2 4" xfId="8729"/>
    <cellStyle name="Normal 22 5 2 4 2" xfId="8730"/>
    <cellStyle name="Normal 22 5 2 4 2 2" xfId="8731"/>
    <cellStyle name="Normal 22 5 2 4 3" xfId="8732"/>
    <cellStyle name="Normal 22 5 2 5" xfId="8733"/>
    <cellStyle name="Normal 22 5 2 5 2" xfId="8734"/>
    <cellStyle name="Normal 22 5 2 6" xfId="8735"/>
    <cellStyle name="Normal 22 5 3" xfId="8736"/>
    <cellStyle name="Normal 22 5 3 2" xfId="8737"/>
    <cellStyle name="Normal 22 5 3 2 2" xfId="8738"/>
    <cellStyle name="Normal 22 5 3 2 2 2" xfId="8739"/>
    <cellStyle name="Normal 22 5 3 2 3" xfId="8740"/>
    <cellStyle name="Normal 22 5 3 3" xfId="8741"/>
    <cellStyle name="Normal 22 5 3 3 2" xfId="8742"/>
    <cellStyle name="Normal 22 5 3 4" xfId="8743"/>
    <cellStyle name="Normal 22 5 4" xfId="8744"/>
    <cellStyle name="Normal 22 5 4 2" xfId="8745"/>
    <cellStyle name="Normal 22 5 4 2 2" xfId="8746"/>
    <cellStyle name="Normal 22 5 4 2 2 2" xfId="8747"/>
    <cellStyle name="Normal 22 5 4 2 3" xfId="8748"/>
    <cellStyle name="Normal 22 5 4 3" xfId="8749"/>
    <cellStyle name="Normal 22 5 4 3 2" xfId="8750"/>
    <cellStyle name="Normal 22 5 4 4" xfId="8751"/>
    <cellStyle name="Normal 22 5 5" xfId="8752"/>
    <cellStyle name="Normal 22 5 5 2" xfId="8753"/>
    <cellStyle name="Normal 22 5 5 2 2" xfId="8754"/>
    <cellStyle name="Normal 22 5 5 3" xfId="8755"/>
    <cellStyle name="Normal 22 5 6" xfId="8756"/>
    <cellStyle name="Normal 22 5 6 2" xfId="8757"/>
    <cellStyle name="Normal 22 5 7" xfId="8758"/>
    <cellStyle name="Normal 22 6" xfId="8759"/>
    <cellStyle name="Normal 22 6 2" xfId="8760"/>
    <cellStyle name="Normal 22 6 2 2" xfId="8761"/>
    <cellStyle name="Normal 22 6 2 2 2" xfId="8762"/>
    <cellStyle name="Normal 22 6 2 2 2 2" xfId="8763"/>
    <cellStyle name="Normal 22 6 2 2 3" xfId="8764"/>
    <cellStyle name="Normal 22 6 2 3" xfId="8765"/>
    <cellStyle name="Normal 22 6 2 3 2" xfId="8766"/>
    <cellStyle name="Normal 22 6 2 4" xfId="8767"/>
    <cellStyle name="Normal 22 6 3" xfId="8768"/>
    <cellStyle name="Normal 22 6 3 2" xfId="8769"/>
    <cellStyle name="Normal 22 6 3 2 2" xfId="8770"/>
    <cellStyle name="Normal 22 6 3 2 2 2" xfId="8771"/>
    <cellStyle name="Normal 22 6 3 2 3" xfId="8772"/>
    <cellStyle name="Normal 22 6 3 3" xfId="8773"/>
    <cellStyle name="Normal 22 6 3 3 2" xfId="8774"/>
    <cellStyle name="Normal 22 6 3 4" xfId="8775"/>
    <cellStyle name="Normal 22 6 4" xfId="8776"/>
    <cellStyle name="Normal 22 6 4 2" xfId="8777"/>
    <cellStyle name="Normal 22 6 4 2 2" xfId="8778"/>
    <cellStyle name="Normal 22 6 4 3" xfId="8779"/>
    <cellStyle name="Normal 22 6 5" xfId="8780"/>
    <cellStyle name="Normal 22 6 5 2" xfId="8781"/>
    <cellStyle name="Normal 22 6 6" xfId="8782"/>
    <cellStyle name="Normal 22 7" xfId="8783"/>
    <cellStyle name="Normal 22 7 2" xfId="8784"/>
    <cellStyle name="Normal 22 7 2 2" xfId="8785"/>
    <cellStyle name="Normal 22 7 2 2 2" xfId="8786"/>
    <cellStyle name="Normal 22 7 2 2 2 2" xfId="8787"/>
    <cellStyle name="Normal 22 7 2 2 3" xfId="8788"/>
    <cellStyle name="Normal 22 7 2 3" xfId="8789"/>
    <cellStyle name="Normal 22 7 2 3 2" xfId="8790"/>
    <cellStyle name="Normal 22 7 2 4" xfId="8791"/>
    <cellStyle name="Normal 22 7 3" xfId="8792"/>
    <cellStyle name="Normal 22 7 3 2" xfId="8793"/>
    <cellStyle name="Normal 22 7 3 2 2" xfId="8794"/>
    <cellStyle name="Normal 22 7 3 2 2 2" xfId="8795"/>
    <cellStyle name="Normal 22 7 3 2 3" xfId="8796"/>
    <cellStyle name="Normal 22 7 3 3" xfId="8797"/>
    <cellStyle name="Normal 22 7 3 3 2" xfId="8798"/>
    <cellStyle name="Normal 22 7 3 4" xfId="8799"/>
    <cellStyle name="Normal 22 7 4" xfId="8800"/>
    <cellStyle name="Normal 22 7 4 2" xfId="8801"/>
    <cellStyle name="Normal 22 7 4 2 2" xfId="8802"/>
    <cellStyle name="Normal 22 7 4 3" xfId="8803"/>
    <cellStyle name="Normal 22 7 5" xfId="8804"/>
    <cellStyle name="Normal 22 7 5 2" xfId="8805"/>
    <cellStyle name="Normal 22 7 6" xfId="8806"/>
    <cellStyle name="Normal 22 8" xfId="8807"/>
    <cellStyle name="Normal 22 8 2" xfId="8808"/>
    <cellStyle name="Normal 22 8 2 2" xfId="8809"/>
    <cellStyle name="Normal 22 8 2 2 2" xfId="8810"/>
    <cellStyle name="Normal 22 8 2 3" xfId="8811"/>
    <cellStyle name="Normal 22 8 3" xfId="8812"/>
    <cellStyle name="Normal 22 8 3 2" xfId="8813"/>
    <cellStyle name="Normal 22 8 4" xfId="8814"/>
    <cellStyle name="Normal 22 9" xfId="8815"/>
    <cellStyle name="Normal 22 9 2" xfId="8816"/>
    <cellStyle name="Normal 22 9 2 2" xfId="8817"/>
    <cellStyle name="Normal 22 9 2 2 2" xfId="8818"/>
    <cellStyle name="Normal 22 9 2 3" xfId="8819"/>
    <cellStyle name="Normal 22 9 3" xfId="8820"/>
    <cellStyle name="Normal 22 9 3 2" xfId="8821"/>
    <cellStyle name="Normal 22 9 4" xfId="8822"/>
    <cellStyle name="Normal 23" xfId="8823"/>
    <cellStyle name="Normal 23 10" xfId="8824"/>
    <cellStyle name="Normal 23 10 2" xfId="8825"/>
    <cellStyle name="Normal 23 10 2 2" xfId="8826"/>
    <cellStyle name="Normal 23 10 2 2 2" xfId="8827"/>
    <cellStyle name="Normal 23 10 2 3" xfId="8828"/>
    <cellStyle name="Normal 23 10 3" xfId="8829"/>
    <cellStyle name="Normal 23 10 3 2" xfId="8830"/>
    <cellStyle name="Normal 23 10 4" xfId="8831"/>
    <cellStyle name="Normal 23 11" xfId="8832"/>
    <cellStyle name="Normal 23 11 2" xfId="8833"/>
    <cellStyle name="Normal 23 11 2 2" xfId="8834"/>
    <cellStyle name="Normal 23 11 3" xfId="8835"/>
    <cellStyle name="Normal 23 12" xfId="8836"/>
    <cellStyle name="Normal 23 12 2" xfId="8837"/>
    <cellStyle name="Normal 23 13" xfId="8838"/>
    <cellStyle name="Normal 23 2" xfId="8839"/>
    <cellStyle name="Normal 23 3" xfId="8840"/>
    <cellStyle name="Normal 23 3 10" xfId="8841"/>
    <cellStyle name="Normal 23 3 2" xfId="8842"/>
    <cellStyle name="Normal 23 3 2 2" xfId="8843"/>
    <cellStyle name="Normal 23 3 2 2 2" xfId="8844"/>
    <cellStyle name="Normal 23 3 2 2 2 2" xfId="8845"/>
    <cellStyle name="Normal 23 3 2 2 2 2 2" xfId="8846"/>
    <cellStyle name="Normal 23 3 2 2 2 2 2 2" xfId="8847"/>
    <cellStyle name="Normal 23 3 2 2 2 2 3" xfId="8848"/>
    <cellStyle name="Normal 23 3 2 2 2 3" xfId="8849"/>
    <cellStyle name="Normal 23 3 2 2 2 3 2" xfId="8850"/>
    <cellStyle name="Normal 23 3 2 2 2 4" xfId="8851"/>
    <cellStyle name="Normal 23 3 2 2 3" xfId="8852"/>
    <cellStyle name="Normal 23 3 2 2 3 2" xfId="8853"/>
    <cellStyle name="Normal 23 3 2 2 3 2 2" xfId="8854"/>
    <cellStyle name="Normal 23 3 2 2 3 2 2 2" xfId="8855"/>
    <cellStyle name="Normal 23 3 2 2 3 2 3" xfId="8856"/>
    <cellStyle name="Normal 23 3 2 2 3 3" xfId="8857"/>
    <cellStyle name="Normal 23 3 2 2 3 3 2" xfId="8858"/>
    <cellStyle name="Normal 23 3 2 2 3 4" xfId="8859"/>
    <cellStyle name="Normal 23 3 2 2 4" xfId="8860"/>
    <cellStyle name="Normal 23 3 2 2 4 2" xfId="8861"/>
    <cellStyle name="Normal 23 3 2 2 4 2 2" xfId="8862"/>
    <cellStyle name="Normal 23 3 2 2 4 3" xfId="8863"/>
    <cellStyle name="Normal 23 3 2 2 5" xfId="8864"/>
    <cellStyle name="Normal 23 3 2 2 5 2" xfId="8865"/>
    <cellStyle name="Normal 23 3 2 2 6" xfId="8866"/>
    <cellStyle name="Normal 23 3 2 3" xfId="8867"/>
    <cellStyle name="Normal 23 3 2 3 2" xfId="8868"/>
    <cellStyle name="Normal 23 3 2 3 2 2" xfId="8869"/>
    <cellStyle name="Normal 23 3 2 3 2 2 2" xfId="8870"/>
    <cellStyle name="Normal 23 3 2 3 2 3" xfId="8871"/>
    <cellStyle name="Normal 23 3 2 3 3" xfId="8872"/>
    <cellStyle name="Normal 23 3 2 3 3 2" xfId="8873"/>
    <cellStyle name="Normal 23 3 2 3 4" xfId="8874"/>
    <cellStyle name="Normal 23 3 2 4" xfId="8875"/>
    <cellStyle name="Normal 23 3 2 4 2" xfId="8876"/>
    <cellStyle name="Normal 23 3 2 4 2 2" xfId="8877"/>
    <cellStyle name="Normal 23 3 2 4 2 2 2" xfId="8878"/>
    <cellStyle name="Normal 23 3 2 4 2 3" xfId="8879"/>
    <cellStyle name="Normal 23 3 2 4 3" xfId="8880"/>
    <cellStyle name="Normal 23 3 2 4 3 2" xfId="8881"/>
    <cellStyle name="Normal 23 3 2 4 4" xfId="8882"/>
    <cellStyle name="Normal 23 3 2 5" xfId="8883"/>
    <cellStyle name="Normal 23 3 2 5 2" xfId="8884"/>
    <cellStyle name="Normal 23 3 2 5 2 2" xfId="8885"/>
    <cellStyle name="Normal 23 3 2 5 3" xfId="8886"/>
    <cellStyle name="Normal 23 3 2 6" xfId="8887"/>
    <cellStyle name="Normal 23 3 2 6 2" xfId="8888"/>
    <cellStyle name="Normal 23 3 2 7" xfId="8889"/>
    <cellStyle name="Normal 23 3 3" xfId="8890"/>
    <cellStyle name="Normal 23 3 3 2" xfId="8891"/>
    <cellStyle name="Normal 23 3 3 2 2" xfId="8892"/>
    <cellStyle name="Normal 23 3 3 2 2 2" xfId="8893"/>
    <cellStyle name="Normal 23 3 3 2 2 2 2" xfId="8894"/>
    <cellStyle name="Normal 23 3 3 2 2 3" xfId="8895"/>
    <cellStyle name="Normal 23 3 3 2 3" xfId="8896"/>
    <cellStyle name="Normal 23 3 3 2 3 2" xfId="8897"/>
    <cellStyle name="Normal 23 3 3 2 4" xfId="8898"/>
    <cellStyle name="Normal 23 3 3 3" xfId="8899"/>
    <cellStyle name="Normal 23 3 3 3 2" xfId="8900"/>
    <cellStyle name="Normal 23 3 3 3 2 2" xfId="8901"/>
    <cellStyle name="Normal 23 3 3 3 2 2 2" xfId="8902"/>
    <cellStyle name="Normal 23 3 3 3 2 3" xfId="8903"/>
    <cellStyle name="Normal 23 3 3 3 3" xfId="8904"/>
    <cellStyle name="Normal 23 3 3 3 3 2" xfId="8905"/>
    <cellStyle name="Normal 23 3 3 3 4" xfId="8906"/>
    <cellStyle name="Normal 23 3 3 4" xfId="8907"/>
    <cellStyle name="Normal 23 3 3 4 2" xfId="8908"/>
    <cellStyle name="Normal 23 3 3 4 2 2" xfId="8909"/>
    <cellStyle name="Normal 23 3 3 4 3" xfId="8910"/>
    <cellStyle name="Normal 23 3 3 5" xfId="8911"/>
    <cellStyle name="Normal 23 3 3 5 2" xfId="8912"/>
    <cellStyle name="Normal 23 3 3 6" xfId="8913"/>
    <cellStyle name="Normal 23 3 4" xfId="8914"/>
    <cellStyle name="Normal 23 3 4 2" xfId="8915"/>
    <cellStyle name="Normal 23 3 4 2 2" xfId="8916"/>
    <cellStyle name="Normal 23 3 4 2 2 2" xfId="8917"/>
    <cellStyle name="Normal 23 3 4 2 2 2 2" xfId="8918"/>
    <cellStyle name="Normal 23 3 4 2 2 3" xfId="8919"/>
    <cellStyle name="Normal 23 3 4 2 3" xfId="8920"/>
    <cellStyle name="Normal 23 3 4 2 3 2" xfId="8921"/>
    <cellStyle name="Normal 23 3 4 2 4" xfId="8922"/>
    <cellStyle name="Normal 23 3 4 3" xfId="8923"/>
    <cellStyle name="Normal 23 3 4 3 2" xfId="8924"/>
    <cellStyle name="Normal 23 3 4 3 2 2" xfId="8925"/>
    <cellStyle name="Normal 23 3 4 3 2 2 2" xfId="8926"/>
    <cellStyle name="Normal 23 3 4 3 2 3" xfId="8927"/>
    <cellStyle name="Normal 23 3 4 3 3" xfId="8928"/>
    <cellStyle name="Normal 23 3 4 3 3 2" xfId="8929"/>
    <cellStyle name="Normal 23 3 4 3 4" xfId="8930"/>
    <cellStyle name="Normal 23 3 4 4" xfId="8931"/>
    <cellStyle name="Normal 23 3 4 4 2" xfId="8932"/>
    <cellStyle name="Normal 23 3 4 4 2 2" xfId="8933"/>
    <cellStyle name="Normal 23 3 4 4 3" xfId="8934"/>
    <cellStyle name="Normal 23 3 4 5" xfId="8935"/>
    <cellStyle name="Normal 23 3 4 5 2" xfId="8936"/>
    <cellStyle name="Normal 23 3 4 6" xfId="8937"/>
    <cellStyle name="Normal 23 3 5" xfId="8938"/>
    <cellStyle name="Normal 23 3 5 2" xfId="8939"/>
    <cellStyle name="Normal 23 3 5 2 2" xfId="8940"/>
    <cellStyle name="Normal 23 3 5 2 2 2" xfId="8941"/>
    <cellStyle name="Normal 23 3 5 2 3" xfId="8942"/>
    <cellStyle name="Normal 23 3 5 3" xfId="8943"/>
    <cellStyle name="Normal 23 3 5 3 2" xfId="8944"/>
    <cellStyle name="Normal 23 3 5 4" xfId="8945"/>
    <cellStyle name="Normal 23 3 6" xfId="8946"/>
    <cellStyle name="Normal 23 3 6 2" xfId="8947"/>
    <cellStyle name="Normal 23 3 6 2 2" xfId="8948"/>
    <cellStyle name="Normal 23 3 6 2 2 2" xfId="8949"/>
    <cellStyle name="Normal 23 3 6 2 3" xfId="8950"/>
    <cellStyle name="Normal 23 3 6 3" xfId="8951"/>
    <cellStyle name="Normal 23 3 6 3 2" xfId="8952"/>
    <cellStyle name="Normal 23 3 6 4" xfId="8953"/>
    <cellStyle name="Normal 23 3 7" xfId="8954"/>
    <cellStyle name="Normal 23 3 7 2" xfId="8955"/>
    <cellStyle name="Normal 23 3 7 2 2" xfId="8956"/>
    <cellStyle name="Normal 23 3 7 2 2 2" xfId="8957"/>
    <cellStyle name="Normal 23 3 7 2 3" xfId="8958"/>
    <cellStyle name="Normal 23 3 7 3" xfId="8959"/>
    <cellStyle name="Normal 23 3 7 3 2" xfId="8960"/>
    <cellStyle name="Normal 23 3 7 4" xfId="8961"/>
    <cellStyle name="Normal 23 3 8" xfId="8962"/>
    <cellStyle name="Normal 23 3 8 2" xfId="8963"/>
    <cellStyle name="Normal 23 3 8 2 2" xfId="8964"/>
    <cellStyle name="Normal 23 3 8 3" xfId="8965"/>
    <cellStyle name="Normal 23 3 9" xfId="8966"/>
    <cellStyle name="Normal 23 3 9 2" xfId="8967"/>
    <cellStyle name="Normal 23 4" xfId="8968"/>
    <cellStyle name="Normal 23 4 2" xfId="8969"/>
    <cellStyle name="Normal 23 4 2 2" xfId="8970"/>
    <cellStyle name="Normal 23 4 2 2 2" xfId="8971"/>
    <cellStyle name="Normal 23 4 2 2 2 2" xfId="8972"/>
    <cellStyle name="Normal 23 4 2 2 2 2 2" xfId="8973"/>
    <cellStyle name="Normal 23 4 2 2 2 2 2 2" xfId="8974"/>
    <cellStyle name="Normal 23 4 2 2 2 2 3" xfId="8975"/>
    <cellStyle name="Normal 23 4 2 2 2 3" xfId="8976"/>
    <cellStyle name="Normal 23 4 2 2 2 3 2" xfId="8977"/>
    <cellStyle name="Normal 23 4 2 2 2 4" xfId="8978"/>
    <cellStyle name="Normal 23 4 2 2 3" xfId="8979"/>
    <cellStyle name="Normal 23 4 2 2 3 2" xfId="8980"/>
    <cellStyle name="Normal 23 4 2 2 3 2 2" xfId="8981"/>
    <cellStyle name="Normal 23 4 2 2 3 2 2 2" xfId="8982"/>
    <cellStyle name="Normal 23 4 2 2 3 2 3" xfId="8983"/>
    <cellStyle name="Normal 23 4 2 2 3 3" xfId="8984"/>
    <cellStyle name="Normal 23 4 2 2 3 3 2" xfId="8985"/>
    <cellStyle name="Normal 23 4 2 2 3 4" xfId="8986"/>
    <cellStyle name="Normal 23 4 2 2 4" xfId="8987"/>
    <cellStyle name="Normal 23 4 2 2 4 2" xfId="8988"/>
    <cellStyle name="Normal 23 4 2 2 4 2 2" xfId="8989"/>
    <cellStyle name="Normal 23 4 2 2 4 3" xfId="8990"/>
    <cellStyle name="Normal 23 4 2 2 5" xfId="8991"/>
    <cellStyle name="Normal 23 4 2 2 5 2" xfId="8992"/>
    <cellStyle name="Normal 23 4 2 2 6" xfId="8993"/>
    <cellStyle name="Normal 23 4 2 3" xfId="8994"/>
    <cellStyle name="Normal 23 4 2 3 2" xfId="8995"/>
    <cellStyle name="Normal 23 4 2 3 2 2" xfId="8996"/>
    <cellStyle name="Normal 23 4 2 3 2 2 2" xfId="8997"/>
    <cellStyle name="Normal 23 4 2 3 2 3" xfId="8998"/>
    <cellStyle name="Normal 23 4 2 3 3" xfId="8999"/>
    <cellStyle name="Normal 23 4 2 3 3 2" xfId="9000"/>
    <cellStyle name="Normal 23 4 2 3 4" xfId="9001"/>
    <cellStyle name="Normal 23 4 2 4" xfId="9002"/>
    <cellStyle name="Normal 23 4 2 4 2" xfId="9003"/>
    <cellStyle name="Normal 23 4 2 4 2 2" xfId="9004"/>
    <cellStyle name="Normal 23 4 2 4 2 2 2" xfId="9005"/>
    <cellStyle name="Normal 23 4 2 4 2 3" xfId="9006"/>
    <cellStyle name="Normal 23 4 2 4 3" xfId="9007"/>
    <cellStyle name="Normal 23 4 2 4 3 2" xfId="9008"/>
    <cellStyle name="Normal 23 4 2 4 4" xfId="9009"/>
    <cellStyle name="Normal 23 4 2 5" xfId="9010"/>
    <cellStyle name="Normal 23 4 2 5 2" xfId="9011"/>
    <cellStyle name="Normal 23 4 2 5 2 2" xfId="9012"/>
    <cellStyle name="Normal 23 4 2 5 3" xfId="9013"/>
    <cellStyle name="Normal 23 4 2 6" xfId="9014"/>
    <cellStyle name="Normal 23 4 2 6 2" xfId="9015"/>
    <cellStyle name="Normal 23 4 2 7" xfId="9016"/>
    <cellStyle name="Normal 23 4 3" xfId="9017"/>
    <cellStyle name="Normal 23 4 3 2" xfId="9018"/>
    <cellStyle name="Normal 23 4 3 2 2" xfId="9019"/>
    <cellStyle name="Normal 23 4 3 2 2 2" xfId="9020"/>
    <cellStyle name="Normal 23 4 3 2 2 2 2" xfId="9021"/>
    <cellStyle name="Normal 23 4 3 2 2 3" xfId="9022"/>
    <cellStyle name="Normal 23 4 3 2 3" xfId="9023"/>
    <cellStyle name="Normal 23 4 3 2 3 2" xfId="9024"/>
    <cellStyle name="Normal 23 4 3 2 4" xfId="9025"/>
    <cellStyle name="Normal 23 4 3 3" xfId="9026"/>
    <cellStyle name="Normal 23 4 3 3 2" xfId="9027"/>
    <cellStyle name="Normal 23 4 3 3 2 2" xfId="9028"/>
    <cellStyle name="Normal 23 4 3 3 2 2 2" xfId="9029"/>
    <cellStyle name="Normal 23 4 3 3 2 3" xfId="9030"/>
    <cellStyle name="Normal 23 4 3 3 3" xfId="9031"/>
    <cellStyle name="Normal 23 4 3 3 3 2" xfId="9032"/>
    <cellStyle name="Normal 23 4 3 3 4" xfId="9033"/>
    <cellStyle name="Normal 23 4 3 4" xfId="9034"/>
    <cellStyle name="Normal 23 4 3 4 2" xfId="9035"/>
    <cellStyle name="Normal 23 4 3 4 2 2" xfId="9036"/>
    <cellStyle name="Normal 23 4 3 4 3" xfId="9037"/>
    <cellStyle name="Normal 23 4 3 5" xfId="9038"/>
    <cellStyle name="Normal 23 4 3 5 2" xfId="9039"/>
    <cellStyle name="Normal 23 4 3 6" xfId="9040"/>
    <cellStyle name="Normal 23 4 4" xfId="9041"/>
    <cellStyle name="Normal 23 4 4 2" xfId="9042"/>
    <cellStyle name="Normal 23 4 4 2 2" xfId="9043"/>
    <cellStyle name="Normal 23 4 4 2 2 2" xfId="9044"/>
    <cellStyle name="Normal 23 4 4 2 2 2 2" xfId="9045"/>
    <cellStyle name="Normal 23 4 4 2 2 3" xfId="9046"/>
    <cellStyle name="Normal 23 4 4 2 3" xfId="9047"/>
    <cellStyle name="Normal 23 4 4 2 3 2" xfId="9048"/>
    <cellStyle name="Normal 23 4 4 2 4" xfId="9049"/>
    <cellStyle name="Normal 23 4 4 3" xfId="9050"/>
    <cellStyle name="Normal 23 4 4 3 2" xfId="9051"/>
    <cellStyle name="Normal 23 4 4 3 2 2" xfId="9052"/>
    <cellStyle name="Normal 23 4 4 3 2 2 2" xfId="9053"/>
    <cellStyle name="Normal 23 4 4 3 2 3" xfId="9054"/>
    <cellStyle name="Normal 23 4 4 3 3" xfId="9055"/>
    <cellStyle name="Normal 23 4 4 3 3 2" xfId="9056"/>
    <cellStyle name="Normal 23 4 4 3 4" xfId="9057"/>
    <cellStyle name="Normal 23 4 4 4" xfId="9058"/>
    <cellStyle name="Normal 23 4 4 4 2" xfId="9059"/>
    <cellStyle name="Normal 23 4 4 4 2 2" xfId="9060"/>
    <cellStyle name="Normal 23 4 4 4 3" xfId="9061"/>
    <cellStyle name="Normal 23 4 4 5" xfId="9062"/>
    <cellStyle name="Normal 23 4 4 5 2" xfId="9063"/>
    <cellStyle name="Normal 23 4 4 6" xfId="9064"/>
    <cellStyle name="Normal 23 4 5" xfId="9065"/>
    <cellStyle name="Normal 23 4 5 2" xfId="9066"/>
    <cellStyle name="Normal 23 4 5 2 2" xfId="9067"/>
    <cellStyle name="Normal 23 4 5 2 2 2" xfId="9068"/>
    <cellStyle name="Normal 23 4 5 2 3" xfId="9069"/>
    <cellStyle name="Normal 23 4 5 3" xfId="9070"/>
    <cellStyle name="Normal 23 4 5 3 2" xfId="9071"/>
    <cellStyle name="Normal 23 4 5 4" xfId="9072"/>
    <cellStyle name="Normal 23 4 6" xfId="9073"/>
    <cellStyle name="Normal 23 4 6 2" xfId="9074"/>
    <cellStyle name="Normal 23 4 6 2 2" xfId="9075"/>
    <cellStyle name="Normal 23 4 6 2 2 2" xfId="9076"/>
    <cellStyle name="Normal 23 4 6 2 3" xfId="9077"/>
    <cellStyle name="Normal 23 4 6 3" xfId="9078"/>
    <cellStyle name="Normal 23 4 6 3 2" xfId="9079"/>
    <cellStyle name="Normal 23 4 6 4" xfId="9080"/>
    <cellStyle name="Normal 23 4 7" xfId="9081"/>
    <cellStyle name="Normal 23 4 7 2" xfId="9082"/>
    <cellStyle name="Normal 23 4 7 2 2" xfId="9083"/>
    <cellStyle name="Normal 23 4 7 3" xfId="9084"/>
    <cellStyle name="Normal 23 4 8" xfId="9085"/>
    <cellStyle name="Normal 23 4 8 2" xfId="9086"/>
    <cellStyle name="Normal 23 4 9" xfId="9087"/>
    <cellStyle name="Normal 23 5" xfId="9088"/>
    <cellStyle name="Normal 23 5 2" xfId="9089"/>
    <cellStyle name="Normal 23 5 2 2" xfId="9090"/>
    <cellStyle name="Normal 23 5 2 2 2" xfId="9091"/>
    <cellStyle name="Normal 23 5 2 2 2 2" xfId="9092"/>
    <cellStyle name="Normal 23 5 2 2 2 2 2" xfId="9093"/>
    <cellStyle name="Normal 23 5 2 2 2 3" xfId="9094"/>
    <cellStyle name="Normal 23 5 2 2 3" xfId="9095"/>
    <cellStyle name="Normal 23 5 2 2 3 2" xfId="9096"/>
    <cellStyle name="Normal 23 5 2 2 4" xfId="9097"/>
    <cellStyle name="Normal 23 5 2 3" xfId="9098"/>
    <cellStyle name="Normal 23 5 2 3 2" xfId="9099"/>
    <cellStyle name="Normal 23 5 2 3 2 2" xfId="9100"/>
    <cellStyle name="Normal 23 5 2 3 2 2 2" xfId="9101"/>
    <cellStyle name="Normal 23 5 2 3 2 3" xfId="9102"/>
    <cellStyle name="Normal 23 5 2 3 3" xfId="9103"/>
    <cellStyle name="Normal 23 5 2 3 3 2" xfId="9104"/>
    <cellStyle name="Normal 23 5 2 3 4" xfId="9105"/>
    <cellStyle name="Normal 23 5 2 4" xfId="9106"/>
    <cellStyle name="Normal 23 5 2 4 2" xfId="9107"/>
    <cellStyle name="Normal 23 5 2 4 2 2" xfId="9108"/>
    <cellStyle name="Normal 23 5 2 4 3" xfId="9109"/>
    <cellStyle name="Normal 23 5 2 5" xfId="9110"/>
    <cellStyle name="Normal 23 5 2 5 2" xfId="9111"/>
    <cellStyle name="Normal 23 5 2 6" xfId="9112"/>
    <cellStyle name="Normal 23 5 3" xfId="9113"/>
    <cellStyle name="Normal 23 5 3 2" xfId="9114"/>
    <cellStyle name="Normal 23 5 3 2 2" xfId="9115"/>
    <cellStyle name="Normal 23 5 3 2 2 2" xfId="9116"/>
    <cellStyle name="Normal 23 5 3 2 3" xfId="9117"/>
    <cellStyle name="Normal 23 5 3 3" xfId="9118"/>
    <cellStyle name="Normal 23 5 3 3 2" xfId="9119"/>
    <cellStyle name="Normal 23 5 3 4" xfId="9120"/>
    <cellStyle name="Normal 23 5 4" xfId="9121"/>
    <cellStyle name="Normal 23 5 4 2" xfId="9122"/>
    <cellStyle name="Normal 23 5 4 2 2" xfId="9123"/>
    <cellStyle name="Normal 23 5 4 2 2 2" xfId="9124"/>
    <cellStyle name="Normal 23 5 4 2 3" xfId="9125"/>
    <cellStyle name="Normal 23 5 4 3" xfId="9126"/>
    <cellStyle name="Normal 23 5 4 3 2" xfId="9127"/>
    <cellStyle name="Normal 23 5 4 4" xfId="9128"/>
    <cellStyle name="Normal 23 5 5" xfId="9129"/>
    <cellStyle name="Normal 23 5 5 2" xfId="9130"/>
    <cellStyle name="Normal 23 5 5 2 2" xfId="9131"/>
    <cellStyle name="Normal 23 5 5 3" xfId="9132"/>
    <cellStyle name="Normal 23 5 6" xfId="9133"/>
    <cellStyle name="Normal 23 5 6 2" xfId="9134"/>
    <cellStyle name="Normal 23 5 7" xfId="9135"/>
    <cellStyle name="Normal 23 6" xfId="9136"/>
    <cellStyle name="Normal 23 6 2" xfId="9137"/>
    <cellStyle name="Normal 23 6 2 2" xfId="9138"/>
    <cellStyle name="Normal 23 6 2 2 2" xfId="9139"/>
    <cellStyle name="Normal 23 6 2 2 2 2" xfId="9140"/>
    <cellStyle name="Normal 23 6 2 2 3" xfId="9141"/>
    <cellStyle name="Normal 23 6 2 3" xfId="9142"/>
    <cellStyle name="Normal 23 6 2 3 2" xfId="9143"/>
    <cellStyle name="Normal 23 6 2 4" xfId="9144"/>
    <cellStyle name="Normal 23 6 3" xfId="9145"/>
    <cellStyle name="Normal 23 6 3 2" xfId="9146"/>
    <cellStyle name="Normal 23 6 3 2 2" xfId="9147"/>
    <cellStyle name="Normal 23 6 3 2 2 2" xfId="9148"/>
    <cellStyle name="Normal 23 6 3 2 3" xfId="9149"/>
    <cellStyle name="Normal 23 6 3 3" xfId="9150"/>
    <cellStyle name="Normal 23 6 3 3 2" xfId="9151"/>
    <cellStyle name="Normal 23 6 3 4" xfId="9152"/>
    <cellStyle name="Normal 23 6 4" xfId="9153"/>
    <cellStyle name="Normal 23 6 4 2" xfId="9154"/>
    <cellStyle name="Normal 23 6 4 2 2" xfId="9155"/>
    <cellStyle name="Normal 23 6 4 3" xfId="9156"/>
    <cellStyle name="Normal 23 6 5" xfId="9157"/>
    <cellStyle name="Normal 23 6 5 2" xfId="9158"/>
    <cellStyle name="Normal 23 6 6" xfId="9159"/>
    <cellStyle name="Normal 23 7" xfId="9160"/>
    <cellStyle name="Normal 23 7 2" xfId="9161"/>
    <cellStyle name="Normal 23 7 2 2" xfId="9162"/>
    <cellStyle name="Normal 23 7 2 2 2" xfId="9163"/>
    <cellStyle name="Normal 23 7 2 2 2 2" xfId="9164"/>
    <cellStyle name="Normal 23 7 2 2 3" xfId="9165"/>
    <cellStyle name="Normal 23 7 2 3" xfId="9166"/>
    <cellStyle name="Normal 23 7 2 3 2" xfId="9167"/>
    <cellStyle name="Normal 23 7 2 4" xfId="9168"/>
    <cellStyle name="Normal 23 7 3" xfId="9169"/>
    <cellStyle name="Normal 23 7 3 2" xfId="9170"/>
    <cellStyle name="Normal 23 7 3 2 2" xfId="9171"/>
    <cellStyle name="Normal 23 7 3 2 2 2" xfId="9172"/>
    <cellStyle name="Normal 23 7 3 2 3" xfId="9173"/>
    <cellStyle name="Normal 23 7 3 3" xfId="9174"/>
    <cellStyle name="Normal 23 7 3 3 2" xfId="9175"/>
    <cellStyle name="Normal 23 7 3 4" xfId="9176"/>
    <cellStyle name="Normal 23 7 4" xfId="9177"/>
    <cellStyle name="Normal 23 7 4 2" xfId="9178"/>
    <cellStyle name="Normal 23 7 4 2 2" xfId="9179"/>
    <cellStyle name="Normal 23 7 4 3" xfId="9180"/>
    <cellStyle name="Normal 23 7 5" xfId="9181"/>
    <cellStyle name="Normal 23 7 5 2" xfId="9182"/>
    <cellStyle name="Normal 23 7 6" xfId="9183"/>
    <cellStyle name="Normal 23 8" xfId="9184"/>
    <cellStyle name="Normal 23 8 2" xfId="9185"/>
    <cellStyle name="Normal 23 8 2 2" xfId="9186"/>
    <cellStyle name="Normal 23 8 2 2 2" xfId="9187"/>
    <cellStyle name="Normal 23 8 2 3" xfId="9188"/>
    <cellStyle name="Normal 23 8 3" xfId="9189"/>
    <cellStyle name="Normal 23 8 3 2" xfId="9190"/>
    <cellStyle name="Normal 23 8 4" xfId="9191"/>
    <cellStyle name="Normal 23 9" xfId="9192"/>
    <cellStyle name="Normal 23 9 2" xfId="9193"/>
    <cellStyle name="Normal 23 9 2 2" xfId="9194"/>
    <cellStyle name="Normal 23 9 2 2 2" xfId="9195"/>
    <cellStyle name="Normal 23 9 2 3" xfId="9196"/>
    <cellStyle name="Normal 23 9 3" xfId="9197"/>
    <cellStyle name="Normal 23 9 3 2" xfId="9198"/>
    <cellStyle name="Normal 23 9 4" xfId="9199"/>
    <cellStyle name="Normal 24" xfId="9200"/>
    <cellStyle name="Normal 24 10" xfId="9201"/>
    <cellStyle name="Normal 24 10 2" xfId="9202"/>
    <cellStyle name="Normal 24 10 2 2" xfId="9203"/>
    <cellStyle name="Normal 24 10 2 2 2" xfId="9204"/>
    <cellStyle name="Normal 24 10 2 3" xfId="9205"/>
    <cellStyle name="Normal 24 10 3" xfId="9206"/>
    <cellStyle name="Normal 24 10 3 2" xfId="9207"/>
    <cellStyle name="Normal 24 10 4" xfId="9208"/>
    <cellStyle name="Normal 24 11" xfId="9209"/>
    <cellStyle name="Normal 24 11 2" xfId="9210"/>
    <cellStyle name="Normal 24 11 2 2" xfId="9211"/>
    <cellStyle name="Normal 24 11 3" xfId="9212"/>
    <cellStyle name="Normal 24 12" xfId="9213"/>
    <cellStyle name="Normal 24 12 2" xfId="9214"/>
    <cellStyle name="Normal 24 13" xfId="9215"/>
    <cellStyle name="Normal 24 2" xfId="9216"/>
    <cellStyle name="Normal 24 3" xfId="9217"/>
    <cellStyle name="Normal 24 3 10" xfId="9218"/>
    <cellStyle name="Normal 24 3 2" xfId="9219"/>
    <cellStyle name="Normal 24 3 2 2" xfId="9220"/>
    <cellStyle name="Normal 24 3 2 2 2" xfId="9221"/>
    <cellStyle name="Normal 24 3 2 2 2 2" xfId="9222"/>
    <cellStyle name="Normal 24 3 2 2 2 2 2" xfId="9223"/>
    <cellStyle name="Normal 24 3 2 2 2 2 2 2" xfId="9224"/>
    <cellStyle name="Normal 24 3 2 2 2 2 3" xfId="9225"/>
    <cellStyle name="Normal 24 3 2 2 2 3" xfId="9226"/>
    <cellStyle name="Normal 24 3 2 2 2 3 2" xfId="9227"/>
    <cellStyle name="Normal 24 3 2 2 2 4" xfId="9228"/>
    <cellStyle name="Normal 24 3 2 2 3" xfId="9229"/>
    <cellStyle name="Normal 24 3 2 2 3 2" xfId="9230"/>
    <cellStyle name="Normal 24 3 2 2 3 2 2" xfId="9231"/>
    <cellStyle name="Normal 24 3 2 2 3 2 2 2" xfId="9232"/>
    <cellStyle name="Normal 24 3 2 2 3 2 3" xfId="9233"/>
    <cellStyle name="Normal 24 3 2 2 3 3" xfId="9234"/>
    <cellStyle name="Normal 24 3 2 2 3 3 2" xfId="9235"/>
    <cellStyle name="Normal 24 3 2 2 3 4" xfId="9236"/>
    <cellStyle name="Normal 24 3 2 2 4" xfId="9237"/>
    <cellStyle name="Normal 24 3 2 2 4 2" xfId="9238"/>
    <cellStyle name="Normal 24 3 2 2 4 2 2" xfId="9239"/>
    <cellStyle name="Normal 24 3 2 2 4 3" xfId="9240"/>
    <cellStyle name="Normal 24 3 2 2 5" xfId="9241"/>
    <cellStyle name="Normal 24 3 2 2 5 2" xfId="9242"/>
    <cellStyle name="Normal 24 3 2 2 6" xfId="9243"/>
    <cellStyle name="Normal 24 3 2 3" xfId="9244"/>
    <cellStyle name="Normal 24 3 2 3 2" xfId="9245"/>
    <cellStyle name="Normal 24 3 2 3 2 2" xfId="9246"/>
    <cellStyle name="Normal 24 3 2 3 2 2 2" xfId="9247"/>
    <cellStyle name="Normal 24 3 2 3 2 3" xfId="9248"/>
    <cellStyle name="Normal 24 3 2 3 3" xfId="9249"/>
    <cellStyle name="Normal 24 3 2 3 3 2" xfId="9250"/>
    <cellStyle name="Normal 24 3 2 3 4" xfId="9251"/>
    <cellStyle name="Normal 24 3 2 4" xfId="9252"/>
    <cellStyle name="Normal 24 3 2 4 2" xfId="9253"/>
    <cellStyle name="Normal 24 3 2 4 2 2" xfId="9254"/>
    <cellStyle name="Normal 24 3 2 4 2 2 2" xfId="9255"/>
    <cellStyle name="Normal 24 3 2 4 2 3" xfId="9256"/>
    <cellStyle name="Normal 24 3 2 4 3" xfId="9257"/>
    <cellStyle name="Normal 24 3 2 4 3 2" xfId="9258"/>
    <cellStyle name="Normal 24 3 2 4 4" xfId="9259"/>
    <cellStyle name="Normal 24 3 2 5" xfId="9260"/>
    <cellStyle name="Normal 24 3 2 5 2" xfId="9261"/>
    <cellStyle name="Normal 24 3 2 5 2 2" xfId="9262"/>
    <cellStyle name="Normal 24 3 2 5 3" xfId="9263"/>
    <cellStyle name="Normal 24 3 2 6" xfId="9264"/>
    <cellStyle name="Normal 24 3 2 6 2" xfId="9265"/>
    <cellStyle name="Normal 24 3 2 7" xfId="9266"/>
    <cellStyle name="Normal 24 3 3" xfId="9267"/>
    <cellStyle name="Normal 24 3 3 2" xfId="9268"/>
    <cellStyle name="Normal 24 3 3 2 2" xfId="9269"/>
    <cellStyle name="Normal 24 3 3 2 2 2" xfId="9270"/>
    <cellStyle name="Normal 24 3 3 2 2 2 2" xfId="9271"/>
    <cellStyle name="Normal 24 3 3 2 2 3" xfId="9272"/>
    <cellStyle name="Normal 24 3 3 2 3" xfId="9273"/>
    <cellStyle name="Normal 24 3 3 2 3 2" xfId="9274"/>
    <cellStyle name="Normal 24 3 3 2 4" xfId="9275"/>
    <cellStyle name="Normal 24 3 3 3" xfId="9276"/>
    <cellStyle name="Normal 24 3 3 3 2" xfId="9277"/>
    <cellStyle name="Normal 24 3 3 3 2 2" xfId="9278"/>
    <cellStyle name="Normal 24 3 3 3 2 2 2" xfId="9279"/>
    <cellStyle name="Normal 24 3 3 3 2 3" xfId="9280"/>
    <cellStyle name="Normal 24 3 3 3 3" xfId="9281"/>
    <cellStyle name="Normal 24 3 3 3 3 2" xfId="9282"/>
    <cellStyle name="Normal 24 3 3 3 4" xfId="9283"/>
    <cellStyle name="Normal 24 3 3 4" xfId="9284"/>
    <cellStyle name="Normal 24 3 3 4 2" xfId="9285"/>
    <cellStyle name="Normal 24 3 3 4 2 2" xfId="9286"/>
    <cellStyle name="Normal 24 3 3 4 3" xfId="9287"/>
    <cellStyle name="Normal 24 3 3 5" xfId="9288"/>
    <cellStyle name="Normal 24 3 3 5 2" xfId="9289"/>
    <cellStyle name="Normal 24 3 3 6" xfId="9290"/>
    <cellStyle name="Normal 24 3 4" xfId="9291"/>
    <cellStyle name="Normal 24 3 4 2" xfId="9292"/>
    <cellStyle name="Normal 24 3 4 2 2" xfId="9293"/>
    <cellStyle name="Normal 24 3 4 2 2 2" xfId="9294"/>
    <cellStyle name="Normal 24 3 4 2 2 2 2" xfId="9295"/>
    <cellStyle name="Normal 24 3 4 2 2 3" xfId="9296"/>
    <cellStyle name="Normal 24 3 4 2 3" xfId="9297"/>
    <cellStyle name="Normal 24 3 4 2 3 2" xfId="9298"/>
    <cellStyle name="Normal 24 3 4 2 4" xfId="9299"/>
    <cellStyle name="Normal 24 3 4 3" xfId="9300"/>
    <cellStyle name="Normal 24 3 4 3 2" xfId="9301"/>
    <cellStyle name="Normal 24 3 4 3 2 2" xfId="9302"/>
    <cellStyle name="Normal 24 3 4 3 2 2 2" xfId="9303"/>
    <cellStyle name="Normal 24 3 4 3 2 3" xfId="9304"/>
    <cellStyle name="Normal 24 3 4 3 3" xfId="9305"/>
    <cellStyle name="Normal 24 3 4 3 3 2" xfId="9306"/>
    <cellStyle name="Normal 24 3 4 3 4" xfId="9307"/>
    <cellStyle name="Normal 24 3 4 4" xfId="9308"/>
    <cellStyle name="Normal 24 3 4 4 2" xfId="9309"/>
    <cellStyle name="Normal 24 3 4 4 2 2" xfId="9310"/>
    <cellStyle name="Normal 24 3 4 4 3" xfId="9311"/>
    <cellStyle name="Normal 24 3 4 5" xfId="9312"/>
    <cellStyle name="Normal 24 3 4 5 2" xfId="9313"/>
    <cellStyle name="Normal 24 3 4 6" xfId="9314"/>
    <cellStyle name="Normal 24 3 5" xfId="9315"/>
    <cellStyle name="Normal 24 3 5 2" xfId="9316"/>
    <cellStyle name="Normal 24 3 5 2 2" xfId="9317"/>
    <cellStyle name="Normal 24 3 5 2 2 2" xfId="9318"/>
    <cellStyle name="Normal 24 3 5 2 3" xfId="9319"/>
    <cellStyle name="Normal 24 3 5 3" xfId="9320"/>
    <cellStyle name="Normal 24 3 5 3 2" xfId="9321"/>
    <cellStyle name="Normal 24 3 5 4" xfId="9322"/>
    <cellStyle name="Normal 24 3 6" xfId="9323"/>
    <cellStyle name="Normal 24 3 6 2" xfId="9324"/>
    <cellStyle name="Normal 24 3 6 2 2" xfId="9325"/>
    <cellStyle name="Normal 24 3 6 2 2 2" xfId="9326"/>
    <cellStyle name="Normal 24 3 6 2 3" xfId="9327"/>
    <cellStyle name="Normal 24 3 6 3" xfId="9328"/>
    <cellStyle name="Normal 24 3 6 3 2" xfId="9329"/>
    <cellStyle name="Normal 24 3 6 4" xfId="9330"/>
    <cellStyle name="Normal 24 3 7" xfId="9331"/>
    <cellStyle name="Normal 24 3 7 2" xfId="9332"/>
    <cellStyle name="Normal 24 3 7 2 2" xfId="9333"/>
    <cellStyle name="Normal 24 3 7 2 2 2" xfId="9334"/>
    <cellStyle name="Normal 24 3 7 2 3" xfId="9335"/>
    <cellStyle name="Normal 24 3 7 3" xfId="9336"/>
    <cellStyle name="Normal 24 3 7 3 2" xfId="9337"/>
    <cellStyle name="Normal 24 3 7 4" xfId="9338"/>
    <cellStyle name="Normal 24 3 8" xfId="9339"/>
    <cellStyle name="Normal 24 3 8 2" xfId="9340"/>
    <cellStyle name="Normal 24 3 8 2 2" xfId="9341"/>
    <cellStyle name="Normal 24 3 8 3" xfId="9342"/>
    <cellStyle name="Normal 24 3 9" xfId="9343"/>
    <cellStyle name="Normal 24 3 9 2" xfId="9344"/>
    <cellStyle name="Normal 24 4" xfId="9345"/>
    <cellStyle name="Normal 24 4 2" xfId="9346"/>
    <cellStyle name="Normal 24 4 2 2" xfId="9347"/>
    <cellStyle name="Normal 24 4 2 2 2" xfId="9348"/>
    <cellStyle name="Normal 24 4 2 2 2 2" xfId="9349"/>
    <cellStyle name="Normal 24 4 2 2 2 2 2" xfId="9350"/>
    <cellStyle name="Normal 24 4 2 2 2 2 2 2" xfId="9351"/>
    <cellStyle name="Normal 24 4 2 2 2 2 3" xfId="9352"/>
    <cellStyle name="Normal 24 4 2 2 2 3" xfId="9353"/>
    <cellStyle name="Normal 24 4 2 2 2 3 2" xfId="9354"/>
    <cellStyle name="Normal 24 4 2 2 2 4" xfId="9355"/>
    <cellStyle name="Normal 24 4 2 2 3" xfId="9356"/>
    <cellStyle name="Normal 24 4 2 2 3 2" xfId="9357"/>
    <cellStyle name="Normal 24 4 2 2 3 2 2" xfId="9358"/>
    <cellStyle name="Normal 24 4 2 2 3 2 2 2" xfId="9359"/>
    <cellStyle name="Normal 24 4 2 2 3 2 3" xfId="9360"/>
    <cellStyle name="Normal 24 4 2 2 3 3" xfId="9361"/>
    <cellStyle name="Normal 24 4 2 2 3 3 2" xfId="9362"/>
    <cellStyle name="Normal 24 4 2 2 3 4" xfId="9363"/>
    <cellStyle name="Normal 24 4 2 2 4" xfId="9364"/>
    <cellStyle name="Normal 24 4 2 2 4 2" xfId="9365"/>
    <cellStyle name="Normal 24 4 2 2 4 2 2" xfId="9366"/>
    <cellStyle name="Normal 24 4 2 2 4 3" xfId="9367"/>
    <cellStyle name="Normal 24 4 2 2 5" xfId="9368"/>
    <cellStyle name="Normal 24 4 2 2 5 2" xfId="9369"/>
    <cellStyle name="Normal 24 4 2 2 6" xfId="9370"/>
    <cellStyle name="Normal 24 4 2 3" xfId="9371"/>
    <cellStyle name="Normal 24 4 2 3 2" xfId="9372"/>
    <cellStyle name="Normal 24 4 2 3 2 2" xfId="9373"/>
    <cellStyle name="Normal 24 4 2 3 2 2 2" xfId="9374"/>
    <cellStyle name="Normal 24 4 2 3 2 3" xfId="9375"/>
    <cellStyle name="Normal 24 4 2 3 3" xfId="9376"/>
    <cellStyle name="Normal 24 4 2 3 3 2" xfId="9377"/>
    <cellStyle name="Normal 24 4 2 3 4" xfId="9378"/>
    <cellStyle name="Normal 24 4 2 4" xfId="9379"/>
    <cellStyle name="Normal 24 4 2 4 2" xfId="9380"/>
    <cellStyle name="Normal 24 4 2 4 2 2" xfId="9381"/>
    <cellStyle name="Normal 24 4 2 4 2 2 2" xfId="9382"/>
    <cellStyle name="Normal 24 4 2 4 2 3" xfId="9383"/>
    <cellStyle name="Normal 24 4 2 4 3" xfId="9384"/>
    <cellStyle name="Normal 24 4 2 4 3 2" xfId="9385"/>
    <cellStyle name="Normal 24 4 2 4 4" xfId="9386"/>
    <cellStyle name="Normal 24 4 2 5" xfId="9387"/>
    <cellStyle name="Normal 24 4 2 5 2" xfId="9388"/>
    <cellStyle name="Normal 24 4 2 5 2 2" xfId="9389"/>
    <cellStyle name="Normal 24 4 2 5 3" xfId="9390"/>
    <cellStyle name="Normal 24 4 2 6" xfId="9391"/>
    <cellStyle name="Normal 24 4 2 6 2" xfId="9392"/>
    <cellStyle name="Normal 24 4 2 7" xfId="9393"/>
    <cellStyle name="Normal 24 4 3" xfId="9394"/>
    <cellStyle name="Normal 24 4 3 2" xfId="9395"/>
    <cellStyle name="Normal 24 4 3 2 2" xfId="9396"/>
    <cellStyle name="Normal 24 4 3 2 2 2" xfId="9397"/>
    <cellStyle name="Normal 24 4 3 2 2 2 2" xfId="9398"/>
    <cellStyle name="Normal 24 4 3 2 2 3" xfId="9399"/>
    <cellStyle name="Normal 24 4 3 2 3" xfId="9400"/>
    <cellStyle name="Normal 24 4 3 2 3 2" xfId="9401"/>
    <cellStyle name="Normal 24 4 3 2 4" xfId="9402"/>
    <cellStyle name="Normal 24 4 3 3" xfId="9403"/>
    <cellStyle name="Normal 24 4 3 3 2" xfId="9404"/>
    <cellStyle name="Normal 24 4 3 3 2 2" xfId="9405"/>
    <cellStyle name="Normal 24 4 3 3 2 2 2" xfId="9406"/>
    <cellStyle name="Normal 24 4 3 3 2 3" xfId="9407"/>
    <cellStyle name="Normal 24 4 3 3 3" xfId="9408"/>
    <cellStyle name="Normal 24 4 3 3 3 2" xfId="9409"/>
    <cellStyle name="Normal 24 4 3 3 4" xfId="9410"/>
    <cellStyle name="Normal 24 4 3 4" xfId="9411"/>
    <cellStyle name="Normal 24 4 3 4 2" xfId="9412"/>
    <cellStyle name="Normal 24 4 3 4 2 2" xfId="9413"/>
    <cellStyle name="Normal 24 4 3 4 3" xfId="9414"/>
    <cellStyle name="Normal 24 4 3 5" xfId="9415"/>
    <cellStyle name="Normal 24 4 3 5 2" xfId="9416"/>
    <cellStyle name="Normal 24 4 3 6" xfId="9417"/>
    <cellStyle name="Normal 24 4 4" xfId="9418"/>
    <cellStyle name="Normal 24 4 4 2" xfId="9419"/>
    <cellStyle name="Normal 24 4 4 2 2" xfId="9420"/>
    <cellStyle name="Normal 24 4 4 2 2 2" xfId="9421"/>
    <cellStyle name="Normal 24 4 4 2 2 2 2" xfId="9422"/>
    <cellStyle name="Normal 24 4 4 2 2 3" xfId="9423"/>
    <cellStyle name="Normal 24 4 4 2 3" xfId="9424"/>
    <cellStyle name="Normal 24 4 4 2 3 2" xfId="9425"/>
    <cellStyle name="Normal 24 4 4 2 4" xfId="9426"/>
    <cellStyle name="Normal 24 4 4 3" xfId="9427"/>
    <cellStyle name="Normal 24 4 4 3 2" xfId="9428"/>
    <cellStyle name="Normal 24 4 4 3 2 2" xfId="9429"/>
    <cellStyle name="Normal 24 4 4 3 2 2 2" xfId="9430"/>
    <cellStyle name="Normal 24 4 4 3 2 3" xfId="9431"/>
    <cellStyle name="Normal 24 4 4 3 3" xfId="9432"/>
    <cellStyle name="Normal 24 4 4 3 3 2" xfId="9433"/>
    <cellStyle name="Normal 24 4 4 3 4" xfId="9434"/>
    <cellStyle name="Normal 24 4 4 4" xfId="9435"/>
    <cellStyle name="Normal 24 4 4 4 2" xfId="9436"/>
    <cellStyle name="Normal 24 4 4 4 2 2" xfId="9437"/>
    <cellStyle name="Normal 24 4 4 4 3" xfId="9438"/>
    <cellStyle name="Normal 24 4 4 5" xfId="9439"/>
    <cellStyle name="Normal 24 4 4 5 2" xfId="9440"/>
    <cellStyle name="Normal 24 4 4 6" xfId="9441"/>
    <cellStyle name="Normal 24 4 5" xfId="9442"/>
    <cellStyle name="Normal 24 4 5 2" xfId="9443"/>
    <cellStyle name="Normal 24 4 5 2 2" xfId="9444"/>
    <cellStyle name="Normal 24 4 5 2 2 2" xfId="9445"/>
    <cellStyle name="Normal 24 4 5 2 3" xfId="9446"/>
    <cellStyle name="Normal 24 4 5 3" xfId="9447"/>
    <cellStyle name="Normal 24 4 5 3 2" xfId="9448"/>
    <cellStyle name="Normal 24 4 5 4" xfId="9449"/>
    <cellStyle name="Normal 24 4 6" xfId="9450"/>
    <cellStyle name="Normal 24 4 6 2" xfId="9451"/>
    <cellStyle name="Normal 24 4 6 2 2" xfId="9452"/>
    <cellStyle name="Normal 24 4 6 2 2 2" xfId="9453"/>
    <cellStyle name="Normal 24 4 6 2 3" xfId="9454"/>
    <cellStyle name="Normal 24 4 6 3" xfId="9455"/>
    <cellStyle name="Normal 24 4 6 3 2" xfId="9456"/>
    <cellStyle name="Normal 24 4 6 4" xfId="9457"/>
    <cellStyle name="Normal 24 4 7" xfId="9458"/>
    <cellStyle name="Normal 24 4 7 2" xfId="9459"/>
    <cellStyle name="Normal 24 4 7 2 2" xfId="9460"/>
    <cellStyle name="Normal 24 4 7 3" xfId="9461"/>
    <cellStyle name="Normal 24 4 8" xfId="9462"/>
    <cellStyle name="Normal 24 4 8 2" xfId="9463"/>
    <cellStyle name="Normal 24 4 9" xfId="9464"/>
    <cellStyle name="Normal 24 5" xfId="9465"/>
    <cellStyle name="Normal 24 5 2" xfId="9466"/>
    <cellStyle name="Normal 24 5 2 2" xfId="9467"/>
    <cellStyle name="Normal 24 5 2 2 2" xfId="9468"/>
    <cellStyle name="Normal 24 5 2 2 2 2" xfId="9469"/>
    <cellStyle name="Normal 24 5 2 2 2 2 2" xfId="9470"/>
    <cellStyle name="Normal 24 5 2 2 2 3" xfId="9471"/>
    <cellStyle name="Normal 24 5 2 2 3" xfId="9472"/>
    <cellStyle name="Normal 24 5 2 2 3 2" xfId="9473"/>
    <cellStyle name="Normal 24 5 2 2 4" xfId="9474"/>
    <cellStyle name="Normal 24 5 2 3" xfId="9475"/>
    <cellStyle name="Normal 24 5 2 3 2" xfId="9476"/>
    <cellStyle name="Normal 24 5 2 3 2 2" xfId="9477"/>
    <cellStyle name="Normal 24 5 2 3 2 2 2" xfId="9478"/>
    <cellStyle name="Normal 24 5 2 3 2 3" xfId="9479"/>
    <cellStyle name="Normal 24 5 2 3 3" xfId="9480"/>
    <cellStyle name="Normal 24 5 2 3 3 2" xfId="9481"/>
    <cellStyle name="Normal 24 5 2 3 4" xfId="9482"/>
    <cellStyle name="Normal 24 5 2 4" xfId="9483"/>
    <cellStyle name="Normal 24 5 2 4 2" xfId="9484"/>
    <cellStyle name="Normal 24 5 2 4 2 2" xfId="9485"/>
    <cellStyle name="Normal 24 5 2 4 3" xfId="9486"/>
    <cellStyle name="Normal 24 5 2 5" xfId="9487"/>
    <cellStyle name="Normal 24 5 2 5 2" xfId="9488"/>
    <cellStyle name="Normal 24 5 2 6" xfId="9489"/>
    <cellStyle name="Normal 24 5 3" xfId="9490"/>
    <cellStyle name="Normal 24 5 3 2" xfId="9491"/>
    <cellStyle name="Normal 24 5 3 2 2" xfId="9492"/>
    <cellStyle name="Normal 24 5 3 2 2 2" xfId="9493"/>
    <cellStyle name="Normal 24 5 3 2 3" xfId="9494"/>
    <cellStyle name="Normal 24 5 3 3" xfId="9495"/>
    <cellStyle name="Normal 24 5 3 3 2" xfId="9496"/>
    <cellStyle name="Normal 24 5 3 4" xfId="9497"/>
    <cellStyle name="Normal 24 5 4" xfId="9498"/>
    <cellStyle name="Normal 24 5 4 2" xfId="9499"/>
    <cellStyle name="Normal 24 5 4 2 2" xfId="9500"/>
    <cellStyle name="Normal 24 5 4 2 2 2" xfId="9501"/>
    <cellStyle name="Normal 24 5 4 2 3" xfId="9502"/>
    <cellStyle name="Normal 24 5 4 3" xfId="9503"/>
    <cellStyle name="Normal 24 5 4 3 2" xfId="9504"/>
    <cellStyle name="Normal 24 5 4 4" xfId="9505"/>
    <cellStyle name="Normal 24 5 5" xfId="9506"/>
    <cellStyle name="Normal 24 5 5 2" xfId="9507"/>
    <cellStyle name="Normal 24 5 5 2 2" xfId="9508"/>
    <cellStyle name="Normal 24 5 5 3" xfId="9509"/>
    <cellStyle name="Normal 24 5 6" xfId="9510"/>
    <cellStyle name="Normal 24 5 6 2" xfId="9511"/>
    <cellStyle name="Normal 24 5 7" xfId="9512"/>
    <cellStyle name="Normal 24 6" xfId="9513"/>
    <cellStyle name="Normal 24 6 2" xfId="9514"/>
    <cellStyle name="Normal 24 6 2 2" xfId="9515"/>
    <cellStyle name="Normal 24 6 2 2 2" xfId="9516"/>
    <cellStyle name="Normal 24 6 2 2 2 2" xfId="9517"/>
    <cellStyle name="Normal 24 6 2 2 3" xfId="9518"/>
    <cellStyle name="Normal 24 6 2 3" xfId="9519"/>
    <cellStyle name="Normal 24 6 2 3 2" xfId="9520"/>
    <cellStyle name="Normal 24 6 2 4" xfId="9521"/>
    <cellStyle name="Normal 24 6 3" xfId="9522"/>
    <cellStyle name="Normal 24 6 3 2" xfId="9523"/>
    <cellStyle name="Normal 24 6 3 2 2" xfId="9524"/>
    <cellStyle name="Normal 24 6 3 2 2 2" xfId="9525"/>
    <cellStyle name="Normal 24 6 3 2 3" xfId="9526"/>
    <cellStyle name="Normal 24 6 3 3" xfId="9527"/>
    <cellStyle name="Normal 24 6 3 3 2" xfId="9528"/>
    <cellStyle name="Normal 24 6 3 4" xfId="9529"/>
    <cellStyle name="Normal 24 6 4" xfId="9530"/>
    <cellStyle name="Normal 24 6 4 2" xfId="9531"/>
    <cellStyle name="Normal 24 6 4 2 2" xfId="9532"/>
    <cellStyle name="Normal 24 6 4 3" xfId="9533"/>
    <cellStyle name="Normal 24 6 5" xfId="9534"/>
    <cellStyle name="Normal 24 6 5 2" xfId="9535"/>
    <cellStyle name="Normal 24 6 6" xfId="9536"/>
    <cellStyle name="Normal 24 7" xfId="9537"/>
    <cellStyle name="Normal 24 7 2" xfId="9538"/>
    <cellStyle name="Normal 24 7 2 2" xfId="9539"/>
    <cellStyle name="Normal 24 7 2 2 2" xfId="9540"/>
    <cellStyle name="Normal 24 7 2 2 2 2" xfId="9541"/>
    <cellStyle name="Normal 24 7 2 2 3" xfId="9542"/>
    <cellStyle name="Normal 24 7 2 3" xfId="9543"/>
    <cellStyle name="Normal 24 7 2 3 2" xfId="9544"/>
    <cellStyle name="Normal 24 7 2 4" xfId="9545"/>
    <cellStyle name="Normal 24 7 3" xfId="9546"/>
    <cellStyle name="Normal 24 7 3 2" xfId="9547"/>
    <cellStyle name="Normal 24 7 3 2 2" xfId="9548"/>
    <cellStyle name="Normal 24 7 3 2 2 2" xfId="9549"/>
    <cellStyle name="Normal 24 7 3 2 3" xfId="9550"/>
    <cellStyle name="Normal 24 7 3 3" xfId="9551"/>
    <cellStyle name="Normal 24 7 3 3 2" xfId="9552"/>
    <cellStyle name="Normal 24 7 3 4" xfId="9553"/>
    <cellStyle name="Normal 24 7 4" xfId="9554"/>
    <cellStyle name="Normal 24 7 4 2" xfId="9555"/>
    <cellStyle name="Normal 24 7 4 2 2" xfId="9556"/>
    <cellStyle name="Normal 24 7 4 3" xfId="9557"/>
    <cellStyle name="Normal 24 7 5" xfId="9558"/>
    <cellStyle name="Normal 24 7 5 2" xfId="9559"/>
    <cellStyle name="Normal 24 7 6" xfId="9560"/>
    <cellStyle name="Normal 24 8" xfId="9561"/>
    <cellStyle name="Normal 24 8 2" xfId="9562"/>
    <cellStyle name="Normal 24 8 2 2" xfId="9563"/>
    <cellStyle name="Normal 24 8 2 2 2" xfId="9564"/>
    <cellStyle name="Normal 24 8 2 3" xfId="9565"/>
    <cellStyle name="Normal 24 8 3" xfId="9566"/>
    <cellStyle name="Normal 24 8 3 2" xfId="9567"/>
    <cellStyle name="Normal 24 8 4" xfId="9568"/>
    <cellStyle name="Normal 24 9" xfId="9569"/>
    <cellStyle name="Normal 24 9 2" xfId="9570"/>
    <cellStyle name="Normal 24 9 2 2" xfId="9571"/>
    <cellStyle name="Normal 24 9 2 2 2" xfId="9572"/>
    <cellStyle name="Normal 24 9 2 3" xfId="9573"/>
    <cellStyle name="Normal 24 9 3" xfId="9574"/>
    <cellStyle name="Normal 24 9 3 2" xfId="9575"/>
    <cellStyle name="Normal 24 9 4" xfId="9576"/>
    <cellStyle name="Normal 25" xfId="9577"/>
    <cellStyle name="Normal 25 10" xfId="9578"/>
    <cellStyle name="Normal 25 10 2" xfId="9579"/>
    <cellStyle name="Normal 25 10 2 2" xfId="9580"/>
    <cellStyle name="Normal 25 10 2 2 2" xfId="9581"/>
    <cellStyle name="Normal 25 10 2 3" xfId="9582"/>
    <cellStyle name="Normal 25 10 3" xfId="9583"/>
    <cellStyle name="Normal 25 10 3 2" xfId="9584"/>
    <cellStyle name="Normal 25 10 4" xfId="9585"/>
    <cellStyle name="Normal 25 11" xfId="9586"/>
    <cellStyle name="Normal 25 11 2" xfId="9587"/>
    <cellStyle name="Normal 25 11 2 2" xfId="9588"/>
    <cellStyle name="Normal 25 11 3" xfId="9589"/>
    <cellStyle name="Normal 25 12" xfId="9590"/>
    <cellStyle name="Normal 25 12 2" xfId="9591"/>
    <cellStyle name="Normal 25 13" xfId="9592"/>
    <cellStyle name="Normal 25 2" xfId="9593"/>
    <cellStyle name="Normal 25 3" xfId="9594"/>
    <cellStyle name="Normal 25 3 10" xfId="9595"/>
    <cellStyle name="Normal 25 3 2" xfId="9596"/>
    <cellStyle name="Normal 25 3 2 2" xfId="9597"/>
    <cellStyle name="Normal 25 3 2 2 2" xfId="9598"/>
    <cellStyle name="Normal 25 3 2 2 2 2" xfId="9599"/>
    <cellStyle name="Normal 25 3 2 2 2 2 2" xfId="9600"/>
    <cellStyle name="Normal 25 3 2 2 2 2 2 2" xfId="9601"/>
    <cellStyle name="Normal 25 3 2 2 2 2 3" xfId="9602"/>
    <cellStyle name="Normal 25 3 2 2 2 3" xfId="9603"/>
    <cellStyle name="Normal 25 3 2 2 2 3 2" xfId="9604"/>
    <cellStyle name="Normal 25 3 2 2 2 4" xfId="9605"/>
    <cellStyle name="Normal 25 3 2 2 3" xfId="9606"/>
    <cellStyle name="Normal 25 3 2 2 3 2" xfId="9607"/>
    <cellStyle name="Normal 25 3 2 2 3 2 2" xfId="9608"/>
    <cellStyle name="Normal 25 3 2 2 3 2 2 2" xfId="9609"/>
    <cellStyle name="Normal 25 3 2 2 3 2 3" xfId="9610"/>
    <cellStyle name="Normal 25 3 2 2 3 3" xfId="9611"/>
    <cellStyle name="Normal 25 3 2 2 3 3 2" xfId="9612"/>
    <cellStyle name="Normal 25 3 2 2 3 4" xfId="9613"/>
    <cellStyle name="Normal 25 3 2 2 4" xfId="9614"/>
    <cellStyle name="Normal 25 3 2 2 4 2" xfId="9615"/>
    <cellStyle name="Normal 25 3 2 2 4 2 2" xfId="9616"/>
    <cellStyle name="Normal 25 3 2 2 4 3" xfId="9617"/>
    <cellStyle name="Normal 25 3 2 2 5" xfId="9618"/>
    <cellStyle name="Normal 25 3 2 2 5 2" xfId="9619"/>
    <cellStyle name="Normal 25 3 2 2 6" xfId="9620"/>
    <cellStyle name="Normal 25 3 2 3" xfId="9621"/>
    <cellStyle name="Normal 25 3 2 3 2" xfId="9622"/>
    <cellStyle name="Normal 25 3 2 3 2 2" xfId="9623"/>
    <cellStyle name="Normal 25 3 2 3 2 2 2" xfId="9624"/>
    <cellStyle name="Normal 25 3 2 3 2 3" xfId="9625"/>
    <cellStyle name="Normal 25 3 2 3 3" xfId="9626"/>
    <cellStyle name="Normal 25 3 2 3 3 2" xfId="9627"/>
    <cellStyle name="Normal 25 3 2 3 4" xfId="9628"/>
    <cellStyle name="Normal 25 3 2 4" xfId="9629"/>
    <cellStyle name="Normal 25 3 2 4 2" xfId="9630"/>
    <cellStyle name="Normal 25 3 2 4 2 2" xfId="9631"/>
    <cellStyle name="Normal 25 3 2 4 2 2 2" xfId="9632"/>
    <cellStyle name="Normal 25 3 2 4 2 3" xfId="9633"/>
    <cellStyle name="Normal 25 3 2 4 3" xfId="9634"/>
    <cellStyle name="Normal 25 3 2 4 3 2" xfId="9635"/>
    <cellStyle name="Normal 25 3 2 4 4" xfId="9636"/>
    <cellStyle name="Normal 25 3 2 5" xfId="9637"/>
    <cellStyle name="Normal 25 3 2 5 2" xfId="9638"/>
    <cellStyle name="Normal 25 3 2 5 2 2" xfId="9639"/>
    <cellStyle name="Normal 25 3 2 5 3" xfId="9640"/>
    <cellStyle name="Normal 25 3 2 6" xfId="9641"/>
    <cellStyle name="Normal 25 3 2 6 2" xfId="9642"/>
    <cellStyle name="Normal 25 3 2 7" xfId="9643"/>
    <cellStyle name="Normal 25 3 3" xfId="9644"/>
    <cellStyle name="Normal 25 3 3 2" xfId="9645"/>
    <cellStyle name="Normal 25 3 3 2 2" xfId="9646"/>
    <cellStyle name="Normal 25 3 3 2 2 2" xfId="9647"/>
    <cellStyle name="Normal 25 3 3 2 2 2 2" xfId="9648"/>
    <cellStyle name="Normal 25 3 3 2 2 3" xfId="9649"/>
    <cellStyle name="Normal 25 3 3 2 3" xfId="9650"/>
    <cellStyle name="Normal 25 3 3 2 3 2" xfId="9651"/>
    <cellStyle name="Normal 25 3 3 2 4" xfId="9652"/>
    <cellStyle name="Normal 25 3 3 3" xfId="9653"/>
    <cellStyle name="Normal 25 3 3 3 2" xfId="9654"/>
    <cellStyle name="Normal 25 3 3 3 2 2" xfId="9655"/>
    <cellStyle name="Normal 25 3 3 3 2 2 2" xfId="9656"/>
    <cellStyle name="Normal 25 3 3 3 2 3" xfId="9657"/>
    <cellStyle name="Normal 25 3 3 3 3" xfId="9658"/>
    <cellStyle name="Normal 25 3 3 3 3 2" xfId="9659"/>
    <cellStyle name="Normal 25 3 3 3 4" xfId="9660"/>
    <cellStyle name="Normal 25 3 3 4" xfId="9661"/>
    <cellStyle name="Normal 25 3 3 4 2" xfId="9662"/>
    <cellStyle name="Normal 25 3 3 4 2 2" xfId="9663"/>
    <cellStyle name="Normal 25 3 3 4 3" xfId="9664"/>
    <cellStyle name="Normal 25 3 3 5" xfId="9665"/>
    <cellStyle name="Normal 25 3 3 5 2" xfId="9666"/>
    <cellStyle name="Normal 25 3 3 6" xfId="9667"/>
    <cellStyle name="Normal 25 3 4" xfId="9668"/>
    <cellStyle name="Normal 25 3 4 2" xfId="9669"/>
    <cellStyle name="Normal 25 3 4 2 2" xfId="9670"/>
    <cellStyle name="Normal 25 3 4 2 2 2" xfId="9671"/>
    <cellStyle name="Normal 25 3 4 2 2 2 2" xfId="9672"/>
    <cellStyle name="Normal 25 3 4 2 2 3" xfId="9673"/>
    <cellStyle name="Normal 25 3 4 2 3" xfId="9674"/>
    <cellStyle name="Normal 25 3 4 2 3 2" xfId="9675"/>
    <cellStyle name="Normal 25 3 4 2 4" xfId="9676"/>
    <cellStyle name="Normal 25 3 4 3" xfId="9677"/>
    <cellStyle name="Normal 25 3 4 3 2" xfId="9678"/>
    <cellStyle name="Normal 25 3 4 3 2 2" xfId="9679"/>
    <cellStyle name="Normal 25 3 4 3 2 2 2" xfId="9680"/>
    <cellStyle name="Normal 25 3 4 3 2 3" xfId="9681"/>
    <cellStyle name="Normal 25 3 4 3 3" xfId="9682"/>
    <cellStyle name="Normal 25 3 4 3 3 2" xfId="9683"/>
    <cellStyle name="Normal 25 3 4 3 4" xfId="9684"/>
    <cellStyle name="Normal 25 3 4 4" xfId="9685"/>
    <cellStyle name="Normal 25 3 4 4 2" xfId="9686"/>
    <cellStyle name="Normal 25 3 4 4 2 2" xfId="9687"/>
    <cellStyle name="Normal 25 3 4 4 3" xfId="9688"/>
    <cellStyle name="Normal 25 3 4 5" xfId="9689"/>
    <cellStyle name="Normal 25 3 4 5 2" xfId="9690"/>
    <cellStyle name="Normal 25 3 4 6" xfId="9691"/>
    <cellStyle name="Normal 25 3 5" xfId="9692"/>
    <cellStyle name="Normal 25 3 5 2" xfId="9693"/>
    <cellStyle name="Normal 25 3 5 2 2" xfId="9694"/>
    <cellStyle name="Normal 25 3 5 2 2 2" xfId="9695"/>
    <cellStyle name="Normal 25 3 5 2 3" xfId="9696"/>
    <cellStyle name="Normal 25 3 5 3" xfId="9697"/>
    <cellStyle name="Normal 25 3 5 3 2" xfId="9698"/>
    <cellStyle name="Normal 25 3 5 4" xfId="9699"/>
    <cellStyle name="Normal 25 3 6" xfId="9700"/>
    <cellStyle name="Normal 25 3 6 2" xfId="9701"/>
    <cellStyle name="Normal 25 3 6 2 2" xfId="9702"/>
    <cellStyle name="Normal 25 3 6 2 2 2" xfId="9703"/>
    <cellStyle name="Normal 25 3 6 2 3" xfId="9704"/>
    <cellStyle name="Normal 25 3 6 3" xfId="9705"/>
    <cellStyle name="Normal 25 3 6 3 2" xfId="9706"/>
    <cellStyle name="Normal 25 3 6 4" xfId="9707"/>
    <cellStyle name="Normal 25 3 7" xfId="9708"/>
    <cellStyle name="Normal 25 3 7 2" xfId="9709"/>
    <cellStyle name="Normal 25 3 7 2 2" xfId="9710"/>
    <cellStyle name="Normal 25 3 7 2 2 2" xfId="9711"/>
    <cellStyle name="Normal 25 3 7 2 3" xfId="9712"/>
    <cellStyle name="Normal 25 3 7 3" xfId="9713"/>
    <cellStyle name="Normal 25 3 7 3 2" xfId="9714"/>
    <cellStyle name="Normal 25 3 7 4" xfId="9715"/>
    <cellStyle name="Normal 25 3 8" xfId="9716"/>
    <cellStyle name="Normal 25 3 8 2" xfId="9717"/>
    <cellStyle name="Normal 25 3 8 2 2" xfId="9718"/>
    <cellStyle name="Normal 25 3 8 3" xfId="9719"/>
    <cellStyle name="Normal 25 3 9" xfId="9720"/>
    <cellStyle name="Normal 25 3 9 2" xfId="9721"/>
    <cellStyle name="Normal 25 4" xfId="9722"/>
    <cellStyle name="Normal 25 4 2" xfId="9723"/>
    <cellStyle name="Normal 25 4 2 2" xfId="9724"/>
    <cellStyle name="Normal 25 4 2 2 2" xfId="9725"/>
    <cellStyle name="Normal 25 4 2 2 2 2" xfId="9726"/>
    <cellStyle name="Normal 25 4 2 2 2 2 2" xfId="9727"/>
    <cellStyle name="Normal 25 4 2 2 2 2 2 2" xfId="9728"/>
    <cellStyle name="Normal 25 4 2 2 2 2 3" xfId="9729"/>
    <cellStyle name="Normal 25 4 2 2 2 3" xfId="9730"/>
    <cellStyle name="Normal 25 4 2 2 2 3 2" xfId="9731"/>
    <cellStyle name="Normal 25 4 2 2 2 4" xfId="9732"/>
    <cellStyle name="Normal 25 4 2 2 3" xfId="9733"/>
    <cellStyle name="Normal 25 4 2 2 3 2" xfId="9734"/>
    <cellStyle name="Normal 25 4 2 2 3 2 2" xfId="9735"/>
    <cellStyle name="Normal 25 4 2 2 3 2 2 2" xfId="9736"/>
    <cellStyle name="Normal 25 4 2 2 3 2 3" xfId="9737"/>
    <cellStyle name="Normal 25 4 2 2 3 3" xfId="9738"/>
    <cellStyle name="Normal 25 4 2 2 3 3 2" xfId="9739"/>
    <cellStyle name="Normal 25 4 2 2 3 4" xfId="9740"/>
    <cellStyle name="Normal 25 4 2 2 4" xfId="9741"/>
    <cellStyle name="Normal 25 4 2 2 4 2" xfId="9742"/>
    <cellStyle name="Normal 25 4 2 2 4 2 2" xfId="9743"/>
    <cellStyle name="Normal 25 4 2 2 4 3" xfId="9744"/>
    <cellStyle name="Normal 25 4 2 2 5" xfId="9745"/>
    <cellStyle name="Normal 25 4 2 2 5 2" xfId="9746"/>
    <cellStyle name="Normal 25 4 2 2 6" xfId="9747"/>
    <cellStyle name="Normal 25 4 2 3" xfId="9748"/>
    <cellStyle name="Normal 25 4 2 3 2" xfId="9749"/>
    <cellStyle name="Normal 25 4 2 3 2 2" xfId="9750"/>
    <cellStyle name="Normal 25 4 2 3 2 2 2" xfId="9751"/>
    <cellStyle name="Normal 25 4 2 3 2 3" xfId="9752"/>
    <cellStyle name="Normal 25 4 2 3 3" xfId="9753"/>
    <cellStyle name="Normal 25 4 2 3 3 2" xfId="9754"/>
    <cellStyle name="Normal 25 4 2 3 4" xfId="9755"/>
    <cellStyle name="Normal 25 4 2 4" xfId="9756"/>
    <cellStyle name="Normal 25 4 2 4 2" xfId="9757"/>
    <cellStyle name="Normal 25 4 2 4 2 2" xfId="9758"/>
    <cellStyle name="Normal 25 4 2 4 2 2 2" xfId="9759"/>
    <cellStyle name="Normal 25 4 2 4 2 3" xfId="9760"/>
    <cellStyle name="Normal 25 4 2 4 3" xfId="9761"/>
    <cellStyle name="Normal 25 4 2 4 3 2" xfId="9762"/>
    <cellStyle name="Normal 25 4 2 4 4" xfId="9763"/>
    <cellStyle name="Normal 25 4 2 5" xfId="9764"/>
    <cellStyle name="Normal 25 4 2 5 2" xfId="9765"/>
    <cellStyle name="Normal 25 4 2 5 2 2" xfId="9766"/>
    <cellStyle name="Normal 25 4 2 5 3" xfId="9767"/>
    <cellStyle name="Normal 25 4 2 6" xfId="9768"/>
    <cellStyle name="Normal 25 4 2 6 2" xfId="9769"/>
    <cellStyle name="Normal 25 4 2 7" xfId="9770"/>
    <cellStyle name="Normal 25 4 3" xfId="9771"/>
    <cellStyle name="Normal 25 4 3 2" xfId="9772"/>
    <cellStyle name="Normal 25 4 3 2 2" xfId="9773"/>
    <cellStyle name="Normal 25 4 3 2 2 2" xfId="9774"/>
    <cellStyle name="Normal 25 4 3 2 2 2 2" xfId="9775"/>
    <cellStyle name="Normal 25 4 3 2 2 3" xfId="9776"/>
    <cellStyle name="Normal 25 4 3 2 3" xfId="9777"/>
    <cellStyle name="Normal 25 4 3 2 3 2" xfId="9778"/>
    <cellStyle name="Normal 25 4 3 2 4" xfId="9779"/>
    <cellStyle name="Normal 25 4 3 3" xfId="9780"/>
    <cellStyle name="Normal 25 4 3 3 2" xfId="9781"/>
    <cellStyle name="Normal 25 4 3 3 2 2" xfId="9782"/>
    <cellStyle name="Normal 25 4 3 3 2 2 2" xfId="9783"/>
    <cellStyle name="Normal 25 4 3 3 2 3" xfId="9784"/>
    <cellStyle name="Normal 25 4 3 3 3" xfId="9785"/>
    <cellStyle name="Normal 25 4 3 3 3 2" xfId="9786"/>
    <cellStyle name="Normal 25 4 3 3 4" xfId="9787"/>
    <cellStyle name="Normal 25 4 3 4" xfId="9788"/>
    <cellStyle name="Normal 25 4 3 4 2" xfId="9789"/>
    <cellStyle name="Normal 25 4 3 4 2 2" xfId="9790"/>
    <cellStyle name="Normal 25 4 3 4 3" xfId="9791"/>
    <cellStyle name="Normal 25 4 3 5" xfId="9792"/>
    <cellStyle name="Normal 25 4 3 5 2" xfId="9793"/>
    <cellStyle name="Normal 25 4 3 6" xfId="9794"/>
    <cellStyle name="Normal 25 4 4" xfId="9795"/>
    <cellStyle name="Normal 25 4 4 2" xfId="9796"/>
    <cellStyle name="Normal 25 4 4 2 2" xfId="9797"/>
    <cellStyle name="Normal 25 4 4 2 2 2" xfId="9798"/>
    <cellStyle name="Normal 25 4 4 2 2 2 2" xfId="9799"/>
    <cellStyle name="Normal 25 4 4 2 2 3" xfId="9800"/>
    <cellStyle name="Normal 25 4 4 2 3" xfId="9801"/>
    <cellStyle name="Normal 25 4 4 2 3 2" xfId="9802"/>
    <cellStyle name="Normal 25 4 4 2 4" xfId="9803"/>
    <cellStyle name="Normal 25 4 4 3" xfId="9804"/>
    <cellStyle name="Normal 25 4 4 3 2" xfId="9805"/>
    <cellStyle name="Normal 25 4 4 3 2 2" xfId="9806"/>
    <cellStyle name="Normal 25 4 4 3 2 2 2" xfId="9807"/>
    <cellStyle name="Normal 25 4 4 3 2 3" xfId="9808"/>
    <cellStyle name="Normal 25 4 4 3 3" xfId="9809"/>
    <cellStyle name="Normal 25 4 4 3 3 2" xfId="9810"/>
    <cellStyle name="Normal 25 4 4 3 4" xfId="9811"/>
    <cellStyle name="Normal 25 4 4 4" xfId="9812"/>
    <cellStyle name="Normal 25 4 4 4 2" xfId="9813"/>
    <cellStyle name="Normal 25 4 4 4 2 2" xfId="9814"/>
    <cellStyle name="Normal 25 4 4 4 3" xfId="9815"/>
    <cellStyle name="Normal 25 4 4 5" xfId="9816"/>
    <cellStyle name="Normal 25 4 4 5 2" xfId="9817"/>
    <cellStyle name="Normal 25 4 4 6" xfId="9818"/>
    <cellStyle name="Normal 25 4 5" xfId="9819"/>
    <cellStyle name="Normal 25 4 5 2" xfId="9820"/>
    <cellStyle name="Normal 25 4 5 2 2" xfId="9821"/>
    <cellStyle name="Normal 25 4 5 2 2 2" xfId="9822"/>
    <cellStyle name="Normal 25 4 5 2 3" xfId="9823"/>
    <cellStyle name="Normal 25 4 5 3" xfId="9824"/>
    <cellStyle name="Normal 25 4 5 3 2" xfId="9825"/>
    <cellStyle name="Normal 25 4 5 4" xfId="9826"/>
    <cellStyle name="Normal 25 4 6" xfId="9827"/>
    <cellStyle name="Normal 25 4 6 2" xfId="9828"/>
    <cellStyle name="Normal 25 4 6 2 2" xfId="9829"/>
    <cellStyle name="Normal 25 4 6 2 2 2" xfId="9830"/>
    <cellStyle name="Normal 25 4 6 2 3" xfId="9831"/>
    <cellStyle name="Normal 25 4 6 3" xfId="9832"/>
    <cellStyle name="Normal 25 4 6 3 2" xfId="9833"/>
    <cellStyle name="Normal 25 4 6 4" xfId="9834"/>
    <cellStyle name="Normal 25 4 7" xfId="9835"/>
    <cellStyle name="Normal 25 4 7 2" xfId="9836"/>
    <cellStyle name="Normal 25 4 7 2 2" xfId="9837"/>
    <cellStyle name="Normal 25 4 7 3" xfId="9838"/>
    <cellStyle name="Normal 25 4 8" xfId="9839"/>
    <cellStyle name="Normal 25 4 8 2" xfId="9840"/>
    <cellStyle name="Normal 25 4 9" xfId="9841"/>
    <cellStyle name="Normal 25 5" xfId="9842"/>
    <cellStyle name="Normal 25 5 2" xfId="9843"/>
    <cellStyle name="Normal 25 5 2 2" xfId="9844"/>
    <cellStyle name="Normal 25 5 2 2 2" xfId="9845"/>
    <cellStyle name="Normal 25 5 2 2 2 2" xfId="9846"/>
    <cellStyle name="Normal 25 5 2 2 2 2 2" xfId="9847"/>
    <cellStyle name="Normal 25 5 2 2 2 3" xfId="9848"/>
    <cellStyle name="Normal 25 5 2 2 3" xfId="9849"/>
    <cellStyle name="Normal 25 5 2 2 3 2" xfId="9850"/>
    <cellStyle name="Normal 25 5 2 2 4" xfId="9851"/>
    <cellStyle name="Normal 25 5 2 3" xfId="9852"/>
    <cellStyle name="Normal 25 5 2 3 2" xfId="9853"/>
    <cellStyle name="Normal 25 5 2 3 2 2" xfId="9854"/>
    <cellStyle name="Normal 25 5 2 3 2 2 2" xfId="9855"/>
    <cellStyle name="Normal 25 5 2 3 2 3" xfId="9856"/>
    <cellStyle name="Normal 25 5 2 3 3" xfId="9857"/>
    <cellStyle name="Normal 25 5 2 3 3 2" xfId="9858"/>
    <cellStyle name="Normal 25 5 2 3 4" xfId="9859"/>
    <cellStyle name="Normal 25 5 2 4" xfId="9860"/>
    <cellStyle name="Normal 25 5 2 4 2" xfId="9861"/>
    <cellStyle name="Normal 25 5 2 4 2 2" xfId="9862"/>
    <cellStyle name="Normal 25 5 2 4 3" xfId="9863"/>
    <cellStyle name="Normal 25 5 2 5" xfId="9864"/>
    <cellStyle name="Normal 25 5 2 5 2" xfId="9865"/>
    <cellStyle name="Normal 25 5 2 6" xfId="9866"/>
    <cellStyle name="Normal 25 5 3" xfId="9867"/>
    <cellStyle name="Normal 25 5 3 2" xfId="9868"/>
    <cellStyle name="Normal 25 5 3 2 2" xfId="9869"/>
    <cellStyle name="Normal 25 5 3 2 2 2" xfId="9870"/>
    <cellStyle name="Normal 25 5 3 2 3" xfId="9871"/>
    <cellStyle name="Normal 25 5 3 3" xfId="9872"/>
    <cellStyle name="Normal 25 5 3 3 2" xfId="9873"/>
    <cellStyle name="Normal 25 5 3 4" xfId="9874"/>
    <cellStyle name="Normal 25 5 4" xfId="9875"/>
    <cellStyle name="Normal 25 5 4 2" xfId="9876"/>
    <cellStyle name="Normal 25 5 4 2 2" xfId="9877"/>
    <cellStyle name="Normal 25 5 4 2 2 2" xfId="9878"/>
    <cellStyle name="Normal 25 5 4 2 3" xfId="9879"/>
    <cellStyle name="Normal 25 5 4 3" xfId="9880"/>
    <cellStyle name="Normal 25 5 4 3 2" xfId="9881"/>
    <cellStyle name="Normal 25 5 4 4" xfId="9882"/>
    <cellStyle name="Normal 25 5 5" xfId="9883"/>
    <cellStyle name="Normal 25 5 5 2" xfId="9884"/>
    <cellStyle name="Normal 25 5 5 2 2" xfId="9885"/>
    <cellStyle name="Normal 25 5 5 3" xfId="9886"/>
    <cellStyle name="Normal 25 5 6" xfId="9887"/>
    <cellStyle name="Normal 25 5 6 2" xfId="9888"/>
    <cellStyle name="Normal 25 5 7" xfId="9889"/>
    <cellStyle name="Normal 25 6" xfId="9890"/>
    <cellStyle name="Normal 25 6 2" xfId="9891"/>
    <cellStyle name="Normal 25 6 2 2" xfId="9892"/>
    <cellStyle name="Normal 25 6 2 2 2" xfId="9893"/>
    <cellStyle name="Normal 25 6 2 2 2 2" xfId="9894"/>
    <cellStyle name="Normal 25 6 2 2 3" xfId="9895"/>
    <cellStyle name="Normal 25 6 2 3" xfId="9896"/>
    <cellStyle name="Normal 25 6 2 3 2" xfId="9897"/>
    <cellStyle name="Normal 25 6 2 4" xfId="9898"/>
    <cellStyle name="Normal 25 6 3" xfId="9899"/>
    <cellStyle name="Normal 25 6 3 2" xfId="9900"/>
    <cellStyle name="Normal 25 6 3 2 2" xfId="9901"/>
    <cellStyle name="Normal 25 6 3 2 2 2" xfId="9902"/>
    <cellStyle name="Normal 25 6 3 2 3" xfId="9903"/>
    <cellStyle name="Normal 25 6 3 3" xfId="9904"/>
    <cellStyle name="Normal 25 6 3 3 2" xfId="9905"/>
    <cellStyle name="Normal 25 6 3 4" xfId="9906"/>
    <cellStyle name="Normal 25 6 4" xfId="9907"/>
    <cellStyle name="Normal 25 6 4 2" xfId="9908"/>
    <cellStyle name="Normal 25 6 4 2 2" xfId="9909"/>
    <cellStyle name="Normal 25 6 4 3" xfId="9910"/>
    <cellStyle name="Normal 25 6 5" xfId="9911"/>
    <cellStyle name="Normal 25 6 5 2" xfId="9912"/>
    <cellStyle name="Normal 25 6 6" xfId="9913"/>
    <cellStyle name="Normal 25 7" xfId="9914"/>
    <cellStyle name="Normal 25 7 2" xfId="9915"/>
    <cellStyle name="Normal 25 7 2 2" xfId="9916"/>
    <cellStyle name="Normal 25 7 2 2 2" xfId="9917"/>
    <cellStyle name="Normal 25 7 2 2 2 2" xfId="9918"/>
    <cellStyle name="Normal 25 7 2 2 3" xfId="9919"/>
    <cellStyle name="Normal 25 7 2 3" xfId="9920"/>
    <cellStyle name="Normal 25 7 2 3 2" xfId="9921"/>
    <cellStyle name="Normal 25 7 2 4" xfId="9922"/>
    <cellStyle name="Normal 25 7 3" xfId="9923"/>
    <cellStyle name="Normal 25 7 3 2" xfId="9924"/>
    <cellStyle name="Normal 25 7 3 2 2" xfId="9925"/>
    <cellStyle name="Normal 25 7 3 2 2 2" xfId="9926"/>
    <cellStyle name="Normal 25 7 3 2 3" xfId="9927"/>
    <cellStyle name="Normal 25 7 3 3" xfId="9928"/>
    <cellStyle name="Normal 25 7 3 3 2" xfId="9929"/>
    <cellStyle name="Normal 25 7 3 4" xfId="9930"/>
    <cellStyle name="Normal 25 7 4" xfId="9931"/>
    <cellStyle name="Normal 25 7 4 2" xfId="9932"/>
    <cellStyle name="Normal 25 7 4 2 2" xfId="9933"/>
    <cellStyle name="Normal 25 7 4 3" xfId="9934"/>
    <cellStyle name="Normal 25 7 5" xfId="9935"/>
    <cellStyle name="Normal 25 7 5 2" xfId="9936"/>
    <cellStyle name="Normal 25 7 6" xfId="9937"/>
    <cellStyle name="Normal 25 8" xfId="9938"/>
    <cellStyle name="Normal 25 8 2" xfId="9939"/>
    <cellStyle name="Normal 25 8 2 2" xfId="9940"/>
    <cellStyle name="Normal 25 8 2 2 2" xfId="9941"/>
    <cellStyle name="Normal 25 8 2 3" xfId="9942"/>
    <cellStyle name="Normal 25 8 3" xfId="9943"/>
    <cellStyle name="Normal 25 8 3 2" xfId="9944"/>
    <cellStyle name="Normal 25 8 4" xfId="9945"/>
    <cellStyle name="Normal 25 9" xfId="9946"/>
    <cellStyle name="Normal 25 9 2" xfId="9947"/>
    <cellStyle name="Normal 25 9 2 2" xfId="9948"/>
    <cellStyle name="Normal 25 9 2 2 2" xfId="9949"/>
    <cellStyle name="Normal 25 9 2 3" xfId="9950"/>
    <cellStyle name="Normal 25 9 3" xfId="9951"/>
    <cellStyle name="Normal 25 9 3 2" xfId="9952"/>
    <cellStyle name="Normal 25 9 4" xfId="9953"/>
    <cellStyle name="Normal 26" xfId="9954"/>
    <cellStyle name="Normal 26 10" xfId="9955"/>
    <cellStyle name="Normal 26 10 2" xfId="9956"/>
    <cellStyle name="Normal 26 10 2 2" xfId="9957"/>
    <cellStyle name="Normal 26 10 2 2 2" xfId="9958"/>
    <cellStyle name="Normal 26 10 2 3" xfId="9959"/>
    <cellStyle name="Normal 26 10 3" xfId="9960"/>
    <cellStyle name="Normal 26 10 3 2" xfId="9961"/>
    <cellStyle name="Normal 26 10 4" xfId="9962"/>
    <cellStyle name="Normal 26 11" xfId="9963"/>
    <cellStyle name="Normal 26 11 2" xfId="9964"/>
    <cellStyle name="Normal 26 11 2 2" xfId="9965"/>
    <cellStyle name="Normal 26 11 3" xfId="9966"/>
    <cellStyle name="Normal 26 12" xfId="9967"/>
    <cellStyle name="Normal 26 12 2" xfId="9968"/>
    <cellStyle name="Normal 26 13" xfId="9969"/>
    <cellStyle name="Normal 26 2" xfId="9970"/>
    <cellStyle name="Normal 26 3" xfId="9971"/>
    <cellStyle name="Normal 26 3 10" xfId="9972"/>
    <cellStyle name="Normal 26 3 2" xfId="9973"/>
    <cellStyle name="Normal 26 3 2 2" xfId="9974"/>
    <cellStyle name="Normal 26 3 2 2 2" xfId="9975"/>
    <cellStyle name="Normal 26 3 2 2 2 2" xfId="9976"/>
    <cellStyle name="Normal 26 3 2 2 2 2 2" xfId="9977"/>
    <cellStyle name="Normal 26 3 2 2 2 2 2 2" xfId="9978"/>
    <cellStyle name="Normal 26 3 2 2 2 2 3" xfId="9979"/>
    <cellStyle name="Normal 26 3 2 2 2 3" xfId="9980"/>
    <cellStyle name="Normal 26 3 2 2 2 3 2" xfId="9981"/>
    <cellStyle name="Normal 26 3 2 2 2 4" xfId="9982"/>
    <cellStyle name="Normal 26 3 2 2 3" xfId="9983"/>
    <cellStyle name="Normal 26 3 2 2 3 2" xfId="9984"/>
    <cellStyle name="Normal 26 3 2 2 3 2 2" xfId="9985"/>
    <cellStyle name="Normal 26 3 2 2 3 2 2 2" xfId="9986"/>
    <cellStyle name="Normal 26 3 2 2 3 2 3" xfId="9987"/>
    <cellStyle name="Normal 26 3 2 2 3 3" xfId="9988"/>
    <cellStyle name="Normal 26 3 2 2 3 3 2" xfId="9989"/>
    <cellStyle name="Normal 26 3 2 2 3 4" xfId="9990"/>
    <cellStyle name="Normal 26 3 2 2 4" xfId="9991"/>
    <cellStyle name="Normal 26 3 2 2 4 2" xfId="9992"/>
    <cellStyle name="Normal 26 3 2 2 4 2 2" xfId="9993"/>
    <cellStyle name="Normal 26 3 2 2 4 3" xfId="9994"/>
    <cellStyle name="Normal 26 3 2 2 5" xfId="9995"/>
    <cellStyle name="Normal 26 3 2 2 5 2" xfId="9996"/>
    <cellStyle name="Normal 26 3 2 2 6" xfId="9997"/>
    <cellStyle name="Normal 26 3 2 3" xfId="9998"/>
    <cellStyle name="Normal 26 3 2 3 2" xfId="9999"/>
    <cellStyle name="Normal 26 3 2 3 2 2" xfId="10000"/>
    <cellStyle name="Normal 26 3 2 3 2 2 2" xfId="10001"/>
    <cellStyle name="Normal 26 3 2 3 2 3" xfId="10002"/>
    <cellStyle name="Normal 26 3 2 3 3" xfId="10003"/>
    <cellStyle name="Normal 26 3 2 3 3 2" xfId="10004"/>
    <cellStyle name="Normal 26 3 2 3 4" xfId="10005"/>
    <cellStyle name="Normal 26 3 2 4" xfId="10006"/>
    <cellStyle name="Normal 26 3 2 4 2" xfId="10007"/>
    <cellStyle name="Normal 26 3 2 4 2 2" xfId="10008"/>
    <cellStyle name="Normal 26 3 2 4 2 2 2" xfId="10009"/>
    <cellStyle name="Normal 26 3 2 4 2 3" xfId="10010"/>
    <cellStyle name="Normal 26 3 2 4 3" xfId="10011"/>
    <cellStyle name="Normal 26 3 2 4 3 2" xfId="10012"/>
    <cellStyle name="Normal 26 3 2 4 4" xfId="10013"/>
    <cellStyle name="Normal 26 3 2 5" xfId="10014"/>
    <cellStyle name="Normal 26 3 2 5 2" xfId="10015"/>
    <cellStyle name="Normal 26 3 2 5 2 2" xfId="10016"/>
    <cellStyle name="Normal 26 3 2 5 3" xfId="10017"/>
    <cellStyle name="Normal 26 3 2 6" xfId="10018"/>
    <cellStyle name="Normal 26 3 2 6 2" xfId="10019"/>
    <cellStyle name="Normal 26 3 2 7" xfId="10020"/>
    <cellStyle name="Normal 26 3 3" xfId="10021"/>
    <cellStyle name="Normal 26 3 3 2" xfId="10022"/>
    <cellStyle name="Normal 26 3 3 2 2" xfId="10023"/>
    <cellStyle name="Normal 26 3 3 2 2 2" xfId="10024"/>
    <cellStyle name="Normal 26 3 3 2 2 2 2" xfId="10025"/>
    <cellStyle name="Normal 26 3 3 2 2 3" xfId="10026"/>
    <cellStyle name="Normal 26 3 3 2 3" xfId="10027"/>
    <cellStyle name="Normal 26 3 3 2 3 2" xfId="10028"/>
    <cellStyle name="Normal 26 3 3 2 4" xfId="10029"/>
    <cellStyle name="Normal 26 3 3 3" xfId="10030"/>
    <cellStyle name="Normal 26 3 3 3 2" xfId="10031"/>
    <cellStyle name="Normal 26 3 3 3 2 2" xfId="10032"/>
    <cellStyle name="Normal 26 3 3 3 2 2 2" xfId="10033"/>
    <cellStyle name="Normal 26 3 3 3 2 3" xfId="10034"/>
    <cellStyle name="Normal 26 3 3 3 3" xfId="10035"/>
    <cellStyle name="Normal 26 3 3 3 3 2" xfId="10036"/>
    <cellStyle name="Normal 26 3 3 3 4" xfId="10037"/>
    <cellStyle name="Normal 26 3 3 4" xfId="10038"/>
    <cellStyle name="Normal 26 3 3 4 2" xfId="10039"/>
    <cellStyle name="Normal 26 3 3 4 2 2" xfId="10040"/>
    <cellStyle name="Normal 26 3 3 4 3" xfId="10041"/>
    <cellStyle name="Normal 26 3 3 5" xfId="10042"/>
    <cellStyle name="Normal 26 3 3 5 2" xfId="10043"/>
    <cellStyle name="Normal 26 3 3 6" xfId="10044"/>
    <cellStyle name="Normal 26 3 4" xfId="10045"/>
    <cellStyle name="Normal 26 3 4 2" xfId="10046"/>
    <cellStyle name="Normal 26 3 4 2 2" xfId="10047"/>
    <cellStyle name="Normal 26 3 4 2 2 2" xfId="10048"/>
    <cellStyle name="Normal 26 3 4 2 2 2 2" xfId="10049"/>
    <cellStyle name="Normal 26 3 4 2 2 3" xfId="10050"/>
    <cellStyle name="Normal 26 3 4 2 3" xfId="10051"/>
    <cellStyle name="Normal 26 3 4 2 3 2" xfId="10052"/>
    <cellStyle name="Normal 26 3 4 2 4" xfId="10053"/>
    <cellStyle name="Normal 26 3 4 3" xfId="10054"/>
    <cellStyle name="Normal 26 3 4 3 2" xfId="10055"/>
    <cellStyle name="Normal 26 3 4 3 2 2" xfId="10056"/>
    <cellStyle name="Normal 26 3 4 3 2 2 2" xfId="10057"/>
    <cellStyle name="Normal 26 3 4 3 2 3" xfId="10058"/>
    <cellStyle name="Normal 26 3 4 3 3" xfId="10059"/>
    <cellStyle name="Normal 26 3 4 3 3 2" xfId="10060"/>
    <cellStyle name="Normal 26 3 4 3 4" xfId="10061"/>
    <cellStyle name="Normal 26 3 4 4" xfId="10062"/>
    <cellStyle name="Normal 26 3 4 4 2" xfId="10063"/>
    <cellStyle name="Normal 26 3 4 4 2 2" xfId="10064"/>
    <cellStyle name="Normal 26 3 4 4 3" xfId="10065"/>
    <cellStyle name="Normal 26 3 4 5" xfId="10066"/>
    <cellStyle name="Normal 26 3 4 5 2" xfId="10067"/>
    <cellStyle name="Normal 26 3 4 6" xfId="10068"/>
    <cellStyle name="Normal 26 3 5" xfId="10069"/>
    <cellStyle name="Normal 26 3 5 2" xfId="10070"/>
    <cellStyle name="Normal 26 3 5 2 2" xfId="10071"/>
    <cellStyle name="Normal 26 3 5 2 2 2" xfId="10072"/>
    <cellStyle name="Normal 26 3 5 2 3" xfId="10073"/>
    <cellStyle name="Normal 26 3 5 3" xfId="10074"/>
    <cellStyle name="Normal 26 3 5 3 2" xfId="10075"/>
    <cellStyle name="Normal 26 3 5 4" xfId="10076"/>
    <cellStyle name="Normal 26 3 6" xfId="10077"/>
    <cellStyle name="Normal 26 3 6 2" xfId="10078"/>
    <cellStyle name="Normal 26 3 6 2 2" xfId="10079"/>
    <cellStyle name="Normal 26 3 6 2 2 2" xfId="10080"/>
    <cellStyle name="Normal 26 3 6 2 3" xfId="10081"/>
    <cellStyle name="Normal 26 3 6 3" xfId="10082"/>
    <cellStyle name="Normal 26 3 6 3 2" xfId="10083"/>
    <cellStyle name="Normal 26 3 6 4" xfId="10084"/>
    <cellStyle name="Normal 26 3 7" xfId="10085"/>
    <cellStyle name="Normal 26 3 7 2" xfId="10086"/>
    <cellStyle name="Normal 26 3 7 2 2" xfId="10087"/>
    <cellStyle name="Normal 26 3 7 2 2 2" xfId="10088"/>
    <cellStyle name="Normal 26 3 7 2 3" xfId="10089"/>
    <cellStyle name="Normal 26 3 7 3" xfId="10090"/>
    <cellStyle name="Normal 26 3 7 3 2" xfId="10091"/>
    <cellStyle name="Normal 26 3 7 4" xfId="10092"/>
    <cellStyle name="Normal 26 3 8" xfId="10093"/>
    <cellStyle name="Normal 26 3 8 2" xfId="10094"/>
    <cellStyle name="Normal 26 3 8 2 2" xfId="10095"/>
    <cellStyle name="Normal 26 3 8 3" xfId="10096"/>
    <cellStyle name="Normal 26 3 9" xfId="10097"/>
    <cellStyle name="Normal 26 3 9 2" xfId="10098"/>
    <cellStyle name="Normal 26 4" xfId="10099"/>
    <cellStyle name="Normal 26 4 2" xfId="10100"/>
    <cellStyle name="Normal 26 4 2 2" xfId="10101"/>
    <cellStyle name="Normal 26 4 2 2 2" xfId="10102"/>
    <cellStyle name="Normal 26 4 2 2 2 2" xfId="10103"/>
    <cellStyle name="Normal 26 4 2 2 2 2 2" xfId="10104"/>
    <cellStyle name="Normal 26 4 2 2 2 2 2 2" xfId="10105"/>
    <cellStyle name="Normal 26 4 2 2 2 2 3" xfId="10106"/>
    <cellStyle name="Normal 26 4 2 2 2 3" xfId="10107"/>
    <cellStyle name="Normal 26 4 2 2 2 3 2" xfId="10108"/>
    <cellStyle name="Normal 26 4 2 2 2 4" xfId="10109"/>
    <cellStyle name="Normal 26 4 2 2 3" xfId="10110"/>
    <cellStyle name="Normal 26 4 2 2 3 2" xfId="10111"/>
    <cellStyle name="Normal 26 4 2 2 3 2 2" xfId="10112"/>
    <cellStyle name="Normal 26 4 2 2 3 2 2 2" xfId="10113"/>
    <cellStyle name="Normal 26 4 2 2 3 2 3" xfId="10114"/>
    <cellStyle name="Normal 26 4 2 2 3 3" xfId="10115"/>
    <cellStyle name="Normal 26 4 2 2 3 3 2" xfId="10116"/>
    <cellStyle name="Normal 26 4 2 2 3 4" xfId="10117"/>
    <cellStyle name="Normal 26 4 2 2 4" xfId="10118"/>
    <cellStyle name="Normal 26 4 2 2 4 2" xfId="10119"/>
    <cellStyle name="Normal 26 4 2 2 4 2 2" xfId="10120"/>
    <cellStyle name="Normal 26 4 2 2 4 3" xfId="10121"/>
    <cellStyle name="Normal 26 4 2 2 5" xfId="10122"/>
    <cellStyle name="Normal 26 4 2 2 5 2" xfId="10123"/>
    <cellStyle name="Normal 26 4 2 2 6" xfId="10124"/>
    <cellStyle name="Normal 26 4 2 3" xfId="10125"/>
    <cellStyle name="Normal 26 4 2 3 2" xfId="10126"/>
    <cellStyle name="Normal 26 4 2 3 2 2" xfId="10127"/>
    <cellStyle name="Normal 26 4 2 3 2 2 2" xfId="10128"/>
    <cellStyle name="Normal 26 4 2 3 2 3" xfId="10129"/>
    <cellStyle name="Normal 26 4 2 3 3" xfId="10130"/>
    <cellStyle name="Normal 26 4 2 3 3 2" xfId="10131"/>
    <cellStyle name="Normal 26 4 2 3 4" xfId="10132"/>
    <cellStyle name="Normal 26 4 2 4" xfId="10133"/>
    <cellStyle name="Normal 26 4 2 4 2" xfId="10134"/>
    <cellStyle name="Normal 26 4 2 4 2 2" xfId="10135"/>
    <cellStyle name="Normal 26 4 2 4 2 2 2" xfId="10136"/>
    <cellStyle name="Normal 26 4 2 4 2 3" xfId="10137"/>
    <cellStyle name="Normal 26 4 2 4 3" xfId="10138"/>
    <cellStyle name="Normal 26 4 2 4 3 2" xfId="10139"/>
    <cellStyle name="Normal 26 4 2 4 4" xfId="10140"/>
    <cellStyle name="Normal 26 4 2 5" xfId="10141"/>
    <cellStyle name="Normal 26 4 2 5 2" xfId="10142"/>
    <cellStyle name="Normal 26 4 2 5 2 2" xfId="10143"/>
    <cellStyle name="Normal 26 4 2 5 3" xfId="10144"/>
    <cellStyle name="Normal 26 4 2 6" xfId="10145"/>
    <cellStyle name="Normal 26 4 2 6 2" xfId="10146"/>
    <cellStyle name="Normal 26 4 2 7" xfId="10147"/>
    <cellStyle name="Normal 26 4 3" xfId="10148"/>
    <cellStyle name="Normal 26 4 3 2" xfId="10149"/>
    <cellStyle name="Normal 26 4 3 2 2" xfId="10150"/>
    <cellStyle name="Normal 26 4 3 2 2 2" xfId="10151"/>
    <cellStyle name="Normal 26 4 3 2 2 2 2" xfId="10152"/>
    <cellStyle name="Normal 26 4 3 2 2 3" xfId="10153"/>
    <cellStyle name="Normal 26 4 3 2 3" xfId="10154"/>
    <cellStyle name="Normal 26 4 3 2 3 2" xfId="10155"/>
    <cellStyle name="Normal 26 4 3 2 4" xfId="10156"/>
    <cellStyle name="Normal 26 4 3 3" xfId="10157"/>
    <cellStyle name="Normal 26 4 3 3 2" xfId="10158"/>
    <cellStyle name="Normal 26 4 3 3 2 2" xfId="10159"/>
    <cellStyle name="Normal 26 4 3 3 2 2 2" xfId="10160"/>
    <cellStyle name="Normal 26 4 3 3 2 3" xfId="10161"/>
    <cellStyle name="Normal 26 4 3 3 3" xfId="10162"/>
    <cellStyle name="Normal 26 4 3 3 3 2" xfId="10163"/>
    <cellStyle name="Normal 26 4 3 3 4" xfId="10164"/>
    <cellStyle name="Normal 26 4 3 4" xfId="10165"/>
    <cellStyle name="Normal 26 4 3 4 2" xfId="10166"/>
    <cellStyle name="Normal 26 4 3 4 2 2" xfId="10167"/>
    <cellStyle name="Normal 26 4 3 4 3" xfId="10168"/>
    <cellStyle name="Normal 26 4 3 5" xfId="10169"/>
    <cellStyle name="Normal 26 4 3 5 2" xfId="10170"/>
    <cellStyle name="Normal 26 4 3 6" xfId="10171"/>
    <cellStyle name="Normal 26 4 4" xfId="10172"/>
    <cellStyle name="Normal 26 4 4 2" xfId="10173"/>
    <cellStyle name="Normal 26 4 4 2 2" xfId="10174"/>
    <cellStyle name="Normal 26 4 4 2 2 2" xfId="10175"/>
    <cellStyle name="Normal 26 4 4 2 2 2 2" xfId="10176"/>
    <cellStyle name="Normal 26 4 4 2 2 3" xfId="10177"/>
    <cellStyle name="Normal 26 4 4 2 3" xfId="10178"/>
    <cellStyle name="Normal 26 4 4 2 3 2" xfId="10179"/>
    <cellStyle name="Normal 26 4 4 2 4" xfId="10180"/>
    <cellStyle name="Normal 26 4 4 3" xfId="10181"/>
    <cellStyle name="Normal 26 4 4 3 2" xfId="10182"/>
    <cellStyle name="Normal 26 4 4 3 2 2" xfId="10183"/>
    <cellStyle name="Normal 26 4 4 3 2 2 2" xfId="10184"/>
    <cellStyle name="Normal 26 4 4 3 2 3" xfId="10185"/>
    <cellStyle name="Normal 26 4 4 3 3" xfId="10186"/>
    <cellStyle name="Normal 26 4 4 3 3 2" xfId="10187"/>
    <cellStyle name="Normal 26 4 4 3 4" xfId="10188"/>
    <cellStyle name="Normal 26 4 4 4" xfId="10189"/>
    <cellStyle name="Normal 26 4 4 4 2" xfId="10190"/>
    <cellStyle name="Normal 26 4 4 4 2 2" xfId="10191"/>
    <cellStyle name="Normal 26 4 4 4 3" xfId="10192"/>
    <cellStyle name="Normal 26 4 4 5" xfId="10193"/>
    <cellStyle name="Normal 26 4 4 5 2" xfId="10194"/>
    <cellStyle name="Normal 26 4 4 6" xfId="10195"/>
    <cellStyle name="Normal 26 4 5" xfId="10196"/>
    <cellStyle name="Normal 26 4 5 2" xfId="10197"/>
    <cellStyle name="Normal 26 4 5 2 2" xfId="10198"/>
    <cellStyle name="Normal 26 4 5 2 2 2" xfId="10199"/>
    <cellStyle name="Normal 26 4 5 2 3" xfId="10200"/>
    <cellStyle name="Normal 26 4 5 3" xfId="10201"/>
    <cellStyle name="Normal 26 4 5 3 2" xfId="10202"/>
    <cellStyle name="Normal 26 4 5 4" xfId="10203"/>
    <cellStyle name="Normal 26 4 6" xfId="10204"/>
    <cellStyle name="Normal 26 4 6 2" xfId="10205"/>
    <cellStyle name="Normal 26 4 6 2 2" xfId="10206"/>
    <cellStyle name="Normal 26 4 6 2 2 2" xfId="10207"/>
    <cellStyle name="Normal 26 4 6 2 3" xfId="10208"/>
    <cellStyle name="Normal 26 4 6 3" xfId="10209"/>
    <cellStyle name="Normal 26 4 6 3 2" xfId="10210"/>
    <cellStyle name="Normal 26 4 6 4" xfId="10211"/>
    <cellStyle name="Normal 26 4 7" xfId="10212"/>
    <cellStyle name="Normal 26 4 7 2" xfId="10213"/>
    <cellStyle name="Normal 26 4 7 2 2" xfId="10214"/>
    <cellStyle name="Normal 26 4 7 3" xfId="10215"/>
    <cellStyle name="Normal 26 4 8" xfId="10216"/>
    <cellStyle name="Normal 26 4 8 2" xfId="10217"/>
    <cellStyle name="Normal 26 4 9" xfId="10218"/>
    <cellStyle name="Normal 26 5" xfId="10219"/>
    <cellStyle name="Normal 26 5 2" xfId="10220"/>
    <cellStyle name="Normal 26 5 2 2" xfId="10221"/>
    <cellStyle name="Normal 26 5 2 2 2" xfId="10222"/>
    <cellStyle name="Normal 26 5 2 2 2 2" xfId="10223"/>
    <cellStyle name="Normal 26 5 2 2 2 2 2" xfId="10224"/>
    <cellStyle name="Normal 26 5 2 2 2 3" xfId="10225"/>
    <cellStyle name="Normal 26 5 2 2 3" xfId="10226"/>
    <cellStyle name="Normal 26 5 2 2 3 2" xfId="10227"/>
    <cellStyle name="Normal 26 5 2 2 4" xfId="10228"/>
    <cellStyle name="Normal 26 5 2 3" xfId="10229"/>
    <cellStyle name="Normal 26 5 2 3 2" xfId="10230"/>
    <cellStyle name="Normal 26 5 2 3 2 2" xfId="10231"/>
    <cellStyle name="Normal 26 5 2 3 2 2 2" xfId="10232"/>
    <cellStyle name="Normal 26 5 2 3 2 3" xfId="10233"/>
    <cellStyle name="Normal 26 5 2 3 3" xfId="10234"/>
    <cellStyle name="Normal 26 5 2 3 3 2" xfId="10235"/>
    <cellStyle name="Normal 26 5 2 3 4" xfId="10236"/>
    <cellStyle name="Normal 26 5 2 4" xfId="10237"/>
    <cellStyle name="Normal 26 5 2 4 2" xfId="10238"/>
    <cellStyle name="Normal 26 5 2 4 2 2" xfId="10239"/>
    <cellStyle name="Normal 26 5 2 4 3" xfId="10240"/>
    <cellStyle name="Normal 26 5 2 5" xfId="10241"/>
    <cellStyle name="Normal 26 5 2 5 2" xfId="10242"/>
    <cellStyle name="Normal 26 5 2 6" xfId="10243"/>
    <cellStyle name="Normal 26 5 3" xfId="10244"/>
    <cellStyle name="Normal 26 5 3 2" xfId="10245"/>
    <cellStyle name="Normal 26 5 3 2 2" xfId="10246"/>
    <cellStyle name="Normal 26 5 3 2 2 2" xfId="10247"/>
    <cellStyle name="Normal 26 5 3 2 3" xfId="10248"/>
    <cellStyle name="Normal 26 5 3 3" xfId="10249"/>
    <cellStyle name="Normal 26 5 3 3 2" xfId="10250"/>
    <cellStyle name="Normal 26 5 3 4" xfId="10251"/>
    <cellStyle name="Normal 26 5 4" xfId="10252"/>
    <cellStyle name="Normal 26 5 4 2" xfId="10253"/>
    <cellStyle name="Normal 26 5 4 2 2" xfId="10254"/>
    <cellStyle name="Normal 26 5 4 2 2 2" xfId="10255"/>
    <cellStyle name="Normal 26 5 4 2 3" xfId="10256"/>
    <cellStyle name="Normal 26 5 4 3" xfId="10257"/>
    <cellStyle name="Normal 26 5 4 3 2" xfId="10258"/>
    <cellStyle name="Normal 26 5 4 4" xfId="10259"/>
    <cellStyle name="Normal 26 5 5" xfId="10260"/>
    <cellStyle name="Normal 26 5 5 2" xfId="10261"/>
    <cellStyle name="Normal 26 5 5 2 2" xfId="10262"/>
    <cellStyle name="Normal 26 5 5 3" xfId="10263"/>
    <cellStyle name="Normal 26 5 6" xfId="10264"/>
    <cellStyle name="Normal 26 5 6 2" xfId="10265"/>
    <cellStyle name="Normal 26 5 7" xfId="10266"/>
    <cellStyle name="Normal 26 6" xfId="10267"/>
    <cellStyle name="Normal 26 6 2" xfId="10268"/>
    <cellStyle name="Normal 26 6 2 2" xfId="10269"/>
    <cellStyle name="Normal 26 6 2 2 2" xfId="10270"/>
    <cellStyle name="Normal 26 6 2 2 2 2" xfId="10271"/>
    <cellStyle name="Normal 26 6 2 2 3" xfId="10272"/>
    <cellStyle name="Normal 26 6 2 3" xfId="10273"/>
    <cellStyle name="Normal 26 6 2 3 2" xfId="10274"/>
    <cellStyle name="Normal 26 6 2 4" xfId="10275"/>
    <cellStyle name="Normal 26 6 3" xfId="10276"/>
    <cellStyle name="Normal 26 6 3 2" xfId="10277"/>
    <cellStyle name="Normal 26 6 3 2 2" xfId="10278"/>
    <cellStyle name="Normal 26 6 3 2 2 2" xfId="10279"/>
    <cellStyle name="Normal 26 6 3 2 3" xfId="10280"/>
    <cellStyle name="Normal 26 6 3 3" xfId="10281"/>
    <cellStyle name="Normal 26 6 3 3 2" xfId="10282"/>
    <cellStyle name="Normal 26 6 3 4" xfId="10283"/>
    <cellStyle name="Normal 26 6 4" xfId="10284"/>
    <cellStyle name="Normal 26 6 4 2" xfId="10285"/>
    <cellStyle name="Normal 26 6 4 2 2" xfId="10286"/>
    <cellStyle name="Normal 26 6 4 3" xfId="10287"/>
    <cellStyle name="Normal 26 6 5" xfId="10288"/>
    <cellStyle name="Normal 26 6 5 2" xfId="10289"/>
    <cellStyle name="Normal 26 6 6" xfId="10290"/>
    <cellStyle name="Normal 26 7" xfId="10291"/>
    <cellStyle name="Normal 26 7 2" xfId="10292"/>
    <cellStyle name="Normal 26 7 2 2" xfId="10293"/>
    <cellStyle name="Normal 26 7 2 2 2" xfId="10294"/>
    <cellStyle name="Normal 26 7 2 2 2 2" xfId="10295"/>
    <cellStyle name="Normal 26 7 2 2 3" xfId="10296"/>
    <cellStyle name="Normal 26 7 2 3" xfId="10297"/>
    <cellStyle name="Normal 26 7 2 3 2" xfId="10298"/>
    <cellStyle name="Normal 26 7 2 4" xfId="10299"/>
    <cellStyle name="Normal 26 7 3" xfId="10300"/>
    <cellStyle name="Normal 26 7 3 2" xfId="10301"/>
    <cellStyle name="Normal 26 7 3 2 2" xfId="10302"/>
    <cellStyle name="Normal 26 7 3 2 2 2" xfId="10303"/>
    <cellStyle name="Normal 26 7 3 2 3" xfId="10304"/>
    <cellStyle name="Normal 26 7 3 3" xfId="10305"/>
    <cellStyle name="Normal 26 7 3 3 2" xfId="10306"/>
    <cellStyle name="Normal 26 7 3 4" xfId="10307"/>
    <cellStyle name="Normal 26 7 4" xfId="10308"/>
    <cellStyle name="Normal 26 7 4 2" xfId="10309"/>
    <cellStyle name="Normal 26 7 4 2 2" xfId="10310"/>
    <cellStyle name="Normal 26 7 4 3" xfId="10311"/>
    <cellStyle name="Normal 26 7 5" xfId="10312"/>
    <cellStyle name="Normal 26 7 5 2" xfId="10313"/>
    <cellStyle name="Normal 26 7 6" xfId="10314"/>
    <cellStyle name="Normal 26 8" xfId="10315"/>
    <cellStyle name="Normal 26 8 2" xfId="10316"/>
    <cellStyle name="Normal 26 8 2 2" xfId="10317"/>
    <cellStyle name="Normal 26 8 2 2 2" xfId="10318"/>
    <cellStyle name="Normal 26 8 2 3" xfId="10319"/>
    <cellStyle name="Normal 26 8 3" xfId="10320"/>
    <cellStyle name="Normal 26 8 3 2" xfId="10321"/>
    <cellStyle name="Normal 26 8 4" xfId="10322"/>
    <cellStyle name="Normal 26 9" xfId="10323"/>
    <cellStyle name="Normal 26 9 2" xfId="10324"/>
    <cellStyle name="Normal 26 9 2 2" xfId="10325"/>
    <cellStyle name="Normal 26 9 2 2 2" xfId="10326"/>
    <cellStyle name="Normal 26 9 2 3" xfId="10327"/>
    <cellStyle name="Normal 26 9 3" xfId="10328"/>
    <cellStyle name="Normal 26 9 3 2" xfId="10329"/>
    <cellStyle name="Normal 26 9 4" xfId="10330"/>
    <cellStyle name="Normal 27" xfId="10331"/>
    <cellStyle name="Normal 27 10" xfId="10332"/>
    <cellStyle name="Normal 27 10 2" xfId="10333"/>
    <cellStyle name="Normal 27 10 2 2" xfId="10334"/>
    <cellStyle name="Normal 27 10 2 2 2" xfId="10335"/>
    <cellStyle name="Normal 27 10 2 3" xfId="10336"/>
    <cellStyle name="Normal 27 10 3" xfId="10337"/>
    <cellStyle name="Normal 27 10 3 2" xfId="10338"/>
    <cellStyle name="Normal 27 10 4" xfId="10339"/>
    <cellStyle name="Normal 27 11" xfId="10340"/>
    <cellStyle name="Normal 27 11 2" xfId="10341"/>
    <cellStyle name="Normal 27 11 2 2" xfId="10342"/>
    <cellStyle name="Normal 27 11 3" xfId="10343"/>
    <cellStyle name="Normal 27 12" xfId="10344"/>
    <cellStyle name="Normal 27 12 2" xfId="10345"/>
    <cellStyle name="Normal 27 13" xfId="10346"/>
    <cellStyle name="Normal 27 2" xfId="10347"/>
    <cellStyle name="Normal 27 3" xfId="10348"/>
    <cellStyle name="Normal 27 3 10" xfId="10349"/>
    <cellStyle name="Normal 27 3 2" xfId="10350"/>
    <cellStyle name="Normal 27 3 2 2" xfId="10351"/>
    <cellStyle name="Normal 27 3 2 2 2" xfId="10352"/>
    <cellStyle name="Normal 27 3 2 2 2 2" xfId="10353"/>
    <cellStyle name="Normal 27 3 2 2 2 2 2" xfId="10354"/>
    <cellStyle name="Normal 27 3 2 2 2 2 2 2" xfId="10355"/>
    <cellStyle name="Normal 27 3 2 2 2 2 3" xfId="10356"/>
    <cellStyle name="Normal 27 3 2 2 2 3" xfId="10357"/>
    <cellStyle name="Normal 27 3 2 2 2 3 2" xfId="10358"/>
    <cellStyle name="Normal 27 3 2 2 2 4" xfId="10359"/>
    <cellStyle name="Normal 27 3 2 2 3" xfId="10360"/>
    <cellStyle name="Normal 27 3 2 2 3 2" xfId="10361"/>
    <cellStyle name="Normal 27 3 2 2 3 2 2" xfId="10362"/>
    <cellStyle name="Normal 27 3 2 2 3 2 2 2" xfId="10363"/>
    <cellStyle name="Normal 27 3 2 2 3 2 3" xfId="10364"/>
    <cellStyle name="Normal 27 3 2 2 3 3" xfId="10365"/>
    <cellStyle name="Normal 27 3 2 2 3 3 2" xfId="10366"/>
    <cellStyle name="Normal 27 3 2 2 3 4" xfId="10367"/>
    <cellStyle name="Normal 27 3 2 2 4" xfId="10368"/>
    <cellStyle name="Normal 27 3 2 2 4 2" xfId="10369"/>
    <cellStyle name="Normal 27 3 2 2 4 2 2" xfId="10370"/>
    <cellStyle name="Normal 27 3 2 2 4 3" xfId="10371"/>
    <cellStyle name="Normal 27 3 2 2 5" xfId="10372"/>
    <cellStyle name="Normal 27 3 2 2 5 2" xfId="10373"/>
    <cellStyle name="Normal 27 3 2 2 6" xfId="10374"/>
    <cellStyle name="Normal 27 3 2 3" xfId="10375"/>
    <cellStyle name="Normal 27 3 2 3 2" xfId="10376"/>
    <cellStyle name="Normal 27 3 2 3 2 2" xfId="10377"/>
    <cellStyle name="Normal 27 3 2 3 2 2 2" xfId="10378"/>
    <cellStyle name="Normal 27 3 2 3 2 3" xfId="10379"/>
    <cellStyle name="Normal 27 3 2 3 3" xfId="10380"/>
    <cellStyle name="Normal 27 3 2 3 3 2" xfId="10381"/>
    <cellStyle name="Normal 27 3 2 3 4" xfId="10382"/>
    <cellStyle name="Normal 27 3 2 4" xfId="10383"/>
    <cellStyle name="Normal 27 3 2 4 2" xfId="10384"/>
    <cellStyle name="Normal 27 3 2 4 2 2" xfId="10385"/>
    <cellStyle name="Normal 27 3 2 4 2 2 2" xfId="10386"/>
    <cellStyle name="Normal 27 3 2 4 2 3" xfId="10387"/>
    <cellStyle name="Normal 27 3 2 4 3" xfId="10388"/>
    <cellStyle name="Normal 27 3 2 4 3 2" xfId="10389"/>
    <cellStyle name="Normal 27 3 2 4 4" xfId="10390"/>
    <cellStyle name="Normal 27 3 2 5" xfId="10391"/>
    <cellStyle name="Normal 27 3 2 5 2" xfId="10392"/>
    <cellStyle name="Normal 27 3 2 5 2 2" xfId="10393"/>
    <cellStyle name="Normal 27 3 2 5 3" xfId="10394"/>
    <cellStyle name="Normal 27 3 2 6" xfId="10395"/>
    <cellStyle name="Normal 27 3 2 6 2" xfId="10396"/>
    <cellStyle name="Normal 27 3 2 7" xfId="10397"/>
    <cellStyle name="Normal 27 3 3" xfId="10398"/>
    <cellStyle name="Normal 27 3 3 2" xfId="10399"/>
    <cellStyle name="Normal 27 3 3 2 2" xfId="10400"/>
    <cellStyle name="Normal 27 3 3 2 2 2" xfId="10401"/>
    <cellStyle name="Normal 27 3 3 2 2 2 2" xfId="10402"/>
    <cellStyle name="Normal 27 3 3 2 2 3" xfId="10403"/>
    <cellStyle name="Normal 27 3 3 2 3" xfId="10404"/>
    <cellStyle name="Normal 27 3 3 2 3 2" xfId="10405"/>
    <cellStyle name="Normal 27 3 3 2 4" xfId="10406"/>
    <cellStyle name="Normal 27 3 3 3" xfId="10407"/>
    <cellStyle name="Normal 27 3 3 3 2" xfId="10408"/>
    <cellStyle name="Normal 27 3 3 3 2 2" xfId="10409"/>
    <cellStyle name="Normal 27 3 3 3 2 2 2" xfId="10410"/>
    <cellStyle name="Normal 27 3 3 3 2 3" xfId="10411"/>
    <cellStyle name="Normal 27 3 3 3 3" xfId="10412"/>
    <cellStyle name="Normal 27 3 3 3 3 2" xfId="10413"/>
    <cellStyle name="Normal 27 3 3 3 4" xfId="10414"/>
    <cellStyle name="Normal 27 3 3 4" xfId="10415"/>
    <cellStyle name="Normal 27 3 3 4 2" xfId="10416"/>
    <cellStyle name="Normal 27 3 3 4 2 2" xfId="10417"/>
    <cellStyle name="Normal 27 3 3 4 3" xfId="10418"/>
    <cellStyle name="Normal 27 3 3 5" xfId="10419"/>
    <cellStyle name="Normal 27 3 3 5 2" xfId="10420"/>
    <cellStyle name="Normal 27 3 3 6" xfId="10421"/>
    <cellStyle name="Normal 27 3 4" xfId="10422"/>
    <cellStyle name="Normal 27 3 4 2" xfId="10423"/>
    <cellStyle name="Normal 27 3 4 2 2" xfId="10424"/>
    <cellStyle name="Normal 27 3 4 2 2 2" xfId="10425"/>
    <cellStyle name="Normal 27 3 4 2 2 2 2" xfId="10426"/>
    <cellStyle name="Normal 27 3 4 2 2 3" xfId="10427"/>
    <cellStyle name="Normal 27 3 4 2 3" xfId="10428"/>
    <cellStyle name="Normal 27 3 4 2 3 2" xfId="10429"/>
    <cellStyle name="Normal 27 3 4 2 4" xfId="10430"/>
    <cellStyle name="Normal 27 3 4 3" xfId="10431"/>
    <cellStyle name="Normal 27 3 4 3 2" xfId="10432"/>
    <cellStyle name="Normal 27 3 4 3 2 2" xfId="10433"/>
    <cellStyle name="Normal 27 3 4 3 2 2 2" xfId="10434"/>
    <cellStyle name="Normal 27 3 4 3 2 3" xfId="10435"/>
    <cellStyle name="Normal 27 3 4 3 3" xfId="10436"/>
    <cellStyle name="Normal 27 3 4 3 3 2" xfId="10437"/>
    <cellStyle name="Normal 27 3 4 3 4" xfId="10438"/>
    <cellStyle name="Normal 27 3 4 4" xfId="10439"/>
    <cellStyle name="Normal 27 3 4 4 2" xfId="10440"/>
    <cellStyle name="Normal 27 3 4 4 2 2" xfId="10441"/>
    <cellStyle name="Normal 27 3 4 4 3" xfId="10442"/>
    <cellStyle name="Normal 27 3 4 5" xfId="10443"/>
    <cellStyle name="Normal 27 3 4 5 2" xfId="10444"/>
    <cellStyle name="Normal 27 3 4 6" xfId="10445"/>
    <cellStyle name="Normal 27 3 5" xfId="10446"/>
    <cellStyle name="Normal 27 3 5 2" xfId="10447"/>
    <cellStyle name="Normal 27 3 5 2 2" xfId="10448"/>
    <cellStyle name="Normal 27 3 5 2 2 2" xfId="10449"/>
    <cellStyle name="Normal 27 3 5 2 3" xfId="10450"/>
    <cellStyle name="Normal 27 3 5 3" xfId="10451"/>
    <cellStyle name="Normal 27 3 5 3 2" xfId="10452"/>
    <cellStyle name="Normal 27 3 5 4" xfId="10453"/>
    <cellStyle name="Normal 27 3 6" xfId="10454"/>
    <cellStyle name="Normal 27 3 6 2" xfId="10455"/>
    <cellStyle name="Normal 27 3 6 2 2" xfId="10456"/>
    <cellStyle name="Normal 27 3 6 2 2 2" xfId="10457"/>
    <cellStyle name="Normal 27 3 6 2 3" xfId="10458"/>
    <cellStyle name="Normal 27 3 6 3" xfId="10459"/>
    <cellStyle name="Normal 27 3 6 3 2" xfId="10460"/>
    <cellStyle name="Normal 27 3 6 4" xfId="10461"/>
    <cellStyle name="Normal 27 3 7" xfId="10462"/>
    <cellStyle name="Normal 27 3 7 2" xfId="10463"/>
    <cellStyle name="Normal 27 3 7 2 2" xfId="10464"/>
    <cellStyle name="Normal 27 3 7 2 2 2" xfId="10465"/>
    <cellStyle name="Normal 27 3 7 2 3" xfId="10466"/>
    <cellStyle name="Normal 27 3 7 3" xfId="10467"/>
    <cellStyle name="Normal 27 3 7 3 2" xfId="10468"/>
    <cellStyle name="Normal 27 3 7 4" xfId="10469"/>
    <cellStyle name="Normal 27 3 8" xfId="10470"/>
    <cellStyle name="Normal 27 3 8 2" xfId="10471"/>
    <cellStyle name="Normal 27 3 8 2 2" xfId="10472"/>
    <cellStyle name="Normal 27 3 8 3" xfId="10473"/>
    <cellStyle name="Normal 27 3 9" xfId="10474"/>
    <cellStyle name="Normal 27 3 9 2" xfId="10475"/>
    <cellStyle name="Normal 27 4" xfId="10476"/>
    <cellStyle name="Normal 27 4 2" xfId="10477"/>
    <cellStyle name="Normal 27 4 2 2" xfId="10478"/>
    <cellStyle name="Normal 27 4 2 2 2" xfId="10479"/>
    <cellStyle name="Normal 27 4 2 2 2 2" xfId="10480"/>
    <cellStyle name="Normal 27 4 2 2 2 2 2" xfId="10481"/>
    <cellStyle name="Normal 27 4 2 2 2 2 2 2" xfId="10482"/>
    <cellStyle name="Normal 27 4 2 2 2 2 3" xfId="10483"/>
    <cellStyle name="Normal 27 4 2 2 2 3" xfId="10484"/>
    <cellStyle name="Normal 27 4 2 2 2 3 2" xfId="10485"/>
    <cellStyle name="Normal 27 4 2 2 2 4" xfId="10486"/>
    <cellStyle name="Normal 27 4 2 2 3" xfId="10487"/>
    <cellStyle name="Normal 27 4 2 2 3 2" xfId="10488"/>
    <cellStyle name="Normal 27 4 2 2 3 2 2" xfId="10489"/>
    <cellStyle name="Normal 27 4 2 2 3 2 2 2" xfId="10490"/>
    <cellStyle name="Normal 27 4 2 2 3 2 3" xfId="10491"/>
    <cellStyle name="Normal 27 4 2 2 3 3" xfId="10492"/>
    <cellStyle name="Normal 27 4 2 2 3 3 2" xfId="10493"/>
    <cellStyle name="Normal 27 4 2 2 3 4" xfId="10494"/>
    <cellStyle name="Normal 27 4 2 2 4" xfId="10495"/>
    <cellStyle name="Normal 27 4 2 2 4 2" xfId="10496"/>
    <cellStyle name="Normal 27 4 2 2 4 2 2" xfId="10497"/>
    <cellStyle name="Normal 27 4 2 2 4 3" xfId="10498"/>
    <cellStyle name="Normal 27 4 2 2 5" xfId="10499"/>
    <cellStyle name="Normal 27 4 2 2 5 2" xfId="10500"/>
    <cellStyle name="Normal 27 4 2 2 6" xfId="10501"/>
    <cellStyle name="Normal 27 4 2 3" xfId="10502"/>
    <cellStyle name="Normal 27 4 2 3 2" xfId="10503"/>
    <cellStyle name="Normal 27 4 2 3 2 2" xfId="10504"/>
    <cellStyle name="Normal 27 4 2 3 2 2 2" xfId="10505"/>
    <cellStyle name="Normal 27 4 2 3 2 3" xfId="10506"/>
    <cellStyle name="Normal 27 4 2 3 3" xfId="10507"/>
    <cellStyle name="Normal 27 4 2 3 3 2" xfId="10508"/>
    <cellStyle name="Normal 27 4 2 3 4" xfId="10509"/>
    <cellStyle name="Normal 27 4 2 4" xfId="10510"/>
    <cellStyle name="Normal 27 4 2 4 2" xfId="10511"/>
    <cellStyle name="Normal 27 4 2 4 2 2" xfId="10512"/>
    <cellStyle name="Normal 27 4 2 4 2 2 2" xfId="10513"/>
    <cellStyle name="Normal 27 4 2 4 2 3" xfId="10514"/>
    <cellStyle name="Normal 27 4 2 4 3" xfId="10515"/>
    <cellStyle name="Normal 27 4 2 4 3 2" xfId="10516"/>
    <cellStyle name="Normal 27 4 2 4 4" xfId="10517"/>
    <cellStyle name="Normal 27 4 2 5" xfId="10518"/>
    <cellStyle name="Normal 27 4 2 5 2" xfId="10519"/>
    <cellStyle name="Normal 27 4 2 5 2 2" xfId="10520"/>
    <cellStyle name="Normal 27 4 2 5 3" xfId="10521"/>
    <cellStyle name="Normal 27 4 2 6" xfId="10522"/>
    <cellStyle name="Normal 27 4 2 6 2" xfId="10523"/>
    <cellStyle name="Normal 27 4 2 7" xfId="10524"/>
    <cellStyle name="Normal 27 4 3" xfId="10525"/>
    <cellStyle name="Normal 27 4 3 2" xfId="10526"/>
    <cellStyle name="Normal 27 4 3 2 2" xfId="10527"/>
    <cellStyle name="Normal 27 4 3 2 2 2" xfId="10528"/>
    <cellStyle name="Normal 27 4 3 2 2 2 2" xfId="10529"/>
    <cellStyle name="Normal 27 4 3 2 2 3" xfId="10530"/>
    <cellStyle name="Normal 27 4 3 2 3" xfId="10531"/>
    <cellStyle name="Normal 27 4 3 2 3 2" xfId="10532"/>
    <cellStyle name="Normal 27 4 3 2 4" xfId="10533"/>
    <cellStyle name="Normal 27 4 3 3" xfId="10534"/>
    <cellStyle name="Normal 27 4 3 3 2" xfId="10535"/>
    <cellStyle name="Normal 27 4 3 3 2 2" xfId="10536"/>
    <cellStyle name="Normal 27 4 3 3 2 2 2" xfId="10537"/>
    <cellStyle name="Normal 27 4 3 3 2 3" xfId="10538"/>
    <cellStyle name="Normal 27 4 3 3 3" xfId="10539"/>
    <cellStyle name="Normal 27 4 3 3 3 2" xfId="10540"/>
    <cellStyle name="Normal 27 4 3 3 4" xfId="10541"/>
    <cellStyle name="Normal 27 4 3 4" xfId="10542"/>
    <cellStyle name="Normal 27 4 3 4 2" xfId="10543"/>
    <cellStyle name="Normal 27 4 3 4 2 2" xfId="10544"/>
    <cellStyle name="Normal 27 4 3 4 3" xfId="10545"/>
    <cellStyle name="Normal 27 4 3 5" xfId="10546"/>
    <cellStyle name="Normal 27 4 3 5 2" xfId="10547"/>
    <cellStyle name="Normal 27 4 3 6" xfId="10548"/>
    <cellStyle name="Normal 27 4 4" xfId="10549"/>
    <cellStyle name="Normal 27 4 4 2" xfId="10550"/>
    <cellStyle name="Normal 27 4 4 2 2" xfId="10551"/>
    <cellStyle name="Normal 27 4 4 2 2 2" xfId="10552"/>
    <cellStyle name="Normal 27 4 4 2 2 2 2" xfId="10553"/>
    <cellStyle name="Normal 27 4 4 2 2 3" xfId="10554"/>
    <cellStyle name="Normal 27 4 4 2 3" xfId="10555"/>
    <cellStyle name="Normal 27 4 4 2 3 2" xfId="10556"/>
    <cellStyle name="Normal 27 4 4 2 4" xfId="10557"/>
    <cellStyle name="Normal 27 4 4 3" xfId="10558"/>
    <cellStyle name="Normal 27 4 4 3 2" xfId="10559"/>
    <cellStyle name="Normal 27 4 4 3 2 2" xfId="10560"/>
    <cellStyle name="Normal 27 4 4 3 2 2 2" xfId="10561"/>
    <cellStyle name="Normal 27 4 4 3 2 3" xfId="10562"/>
    <cellStyle name="Normal 27 4 4 3 3" xfId="10563"/>
    <cellStyle name="Normal 27 4 4 3 3 2" xfId="10564"/>
    <cellStyle name="Normal 27 4 4 3 4" xfId="10565"/>
    <cellStyle name="Normal 27 4 4 4" xfId="10566"/>
    <cellStyle name="Normal 27 4 4 4 2" xfId="10567"/>
    <cellStyle name="Normal 27 4 4 4 2 2" xfId="10568"/>
    <cellStyle name="Normal 27 4 4 4 3" xfId="10569"/>
    <cellStyle name="Normal 27 4 4 5" xfId="10570"/>
    <cellStyle name="Normal 27 4 4 5 2" xfId="10571"/>
    <cellStyle name="Normal 27 4 4 6" xfId="10572"/>
    <cellStyle name="Normal 27 4 5" xfId="10573"/>
    <cellStyle name="Normal 27 4 5 2" xfId="10574"/>
    <cellStyle name="Normal 27 4 5 2 2" xfId="10575"/>
    <cellStyle name="Normal 27 4 5 2 2 2" xfId="10576"/>
    <cellStyle name="Normal 27 4 5 2 3" xfId="10577"/>
    <cellStyle name="Normal 27 4 5 3" xfId="10578"/>
    <cellStyle name="Normal 27 4 5 3 2" xfId="10579"/>
    <cellStyle name="Normal 27 4 5 4" xfId="10580"/>
    <cellStyle name="Normal 27 4 6" xfId="10581"/>
    <cellStyle name="Normal 27 4 6 2" xfId="10582"/>
    <cellStyle name="Normal 27 4 6 2 2" xfId="10583"/>
    <cellStyle name="Normal 27 4 6 2 2 2" xfId="10584"/>
    <cellStyle name="Normal 27 4 6 2 3" xfId="10585"/>
    <cellStyle name="Normal 27 4 6 3" xfId="10586"/>
    <cellStyle name="Normal 27 4 6 3 2" xfId="10587"/>
    <cellStyle name="Normal 27 4 6 4" xfId="10588"/>
    <cellStyle name="Normal 27 4 7" xfId="10589"/>
    <cellStyle name="Normal 27 4 7 2" xfId="10590"/>
    <cellStyle name="Normal 27 4 7 2 2" xfId="10591"/>
    <cellStyle name="Normal 27 4 7 3" xfId="10592"/>
    <cellStyle name="Normal 27 4 8" xfId="10593"/>
    <cellStyle name="Normal 27 4 8 2" xfId="10594"/>
    <cellStyle name="Normal 27 4 9" xfId="10595"/>
    <cellStyle name="Normal 27 5" xfId="10596"/>
    <cellStyle name="Normal 27 5 2" xfId="10597"/>
    <cellStyle name="Normal 27 5 2 2" xfId="10598"/>
    <cellStyle name="Normal 27 5 2 2 2" xfId="10599"/>
    <cellStyle name="Normal 27 5 2 2 2 2" xfId="10600"/>
    <cellStyle name="Normal 27 5 2 2 2 2 2" xfId="10601"/>
    <cellStyle name="Normal 27 5 2 2 2 3" xfId="10602"/>
    <cellStyle name="Normal 27 5 2 2 3" xfId="10603"/>
    <cellStyle name="Normal 27 5 2 2 3 2" xfId="10604"/>
    <cellStyle name="Normal 27 5 2 2 4" xfId="10605"/>
    <cellStyle name="Normal 27 5 2 3" xfId="10606"/>
    <cellStyle name="Normal 27 5 2 3 2" xfId="10607"/>
    <cellStyle name="Normal 27 5 2 3 2 2" xfId="10608"/>
    <cellStyle name="Normal 27 5 2 3 2 2 2" xfId="10609"/>
    <cellStyle name="Normal 27 5 2 3 2 3" xfId="10610"/>
    <cellStyle name="Normal 27 5 2 3 3" xfId="10611"/>
    <cellStyle name="Normal 27 5 2 3 3 2" xfId="10612"/>
    <cellStyle name="Normal 27 5 2 3 4" xfId="10613"/>
    <cellStyle name="Normal 27 5 2 4" xfId="10614"/>
    <cellStyle name="Normal 27 5 2 4 2" xfId="10615"/>
    <cellStyle name="Normal 27 5 2 4 2 2" xfId="10616"/>
    <cellStyle name="Normal 27 5 2 4 3" xfId="10617"/>
    <cellStyle name="Normal 27 5 2 5" xfId="10618"/>
    <cellStyle name="Normal 27 5 2 5 2" xfId="10619"/>
    <cellStyle name="Normal 27 5 2 6" xfId="10620"/>
    <cellStyle name="Normal 27 5 3" xfId="10621"/>
    <cellStyle name="Normal 27 5 3 2" xfId="10622"/>
    <cellStyle name="Normal 27 5 3 2 2" xfId="10623"/>
    <cellStyle name="Normal 27 5 3 2 2 2" xfId="10624"/>
    <cellStyle name="Normal 27 5 3 2 3" xfId="10625"/>
    <cellStyle name="Normal 27 5 3 3" xfId="10626"/>
    <cellStyle name="Normal 27 5 3 3 2" xfId="10627"/>
    <cellStyle name="Normal 27 5 3 4" xfId="10628"/>
    <cellStyle name="Normal 27 5 4" xfId="10629"/>
    <cellStyle name="Normal 27 5 4 2" xfId="10630"/>
    <cellStyle name="Normal 27 5 4 2 2" xfId="10631"/>
    <cellStyle name="Normal 27 5 4 2 2 2" xfId="10632"/>
    <cellStyle name="Normal 27 5 4 2 3" xfId="10633"/>
    <cellStyle name="Normal 27 5 4 3" xfId="10634"/>
    <cellStyle name="Normal 27 5 4 3 2" xfId="10635"/>
    <cellStyle name="Normal 27 5 4 4" xfId="10636"/>
    <cellStyle name="Normal 27 5 5" xfId="10637"/>
    <cellStyle name="Normal 27 5 5 2" xfId="10638"/>
    <cellStyle name="Normal 27 5 5 2 2" xfId="10639"/>
    <cellStyle name="Normal 27 5 5 3" xfId="10640"/>
    <cellStyle name="Normal 27 5 6" xfId="10641"/>
    <cellStyle name="Normal 27 5 6 2" xfId="10642"/>
    <cellStyle name="Normal 27 5 7" xfId="10643"/>
    <cellStyle name="Normal 27 6" xfId="10644"/>
    <cellStyle name="Normal 27 6 2" xfId="10645"/>
    <cellStyle name="Normal 27 6 2 2" xfId="10646"/>
    <cellStyle name="Normal 27 6 2 2 2" xfId="10647"/>
    <cellStyle name="Normal 27 6 2 2 2 2" xfId="10648"/>
    <cellStyle name="Normal 27 6 2 2 3" xfId="10649"/>
    <cellStyle name="Normal 27 6 2 3" xfId="10650"/>
    <cellStyle name="Normal 27 6 2 3 2" xfId="10651"/>
    <cellStyle name="Normal 27 6 2 4" xfId="10652"/>
    <cellStyle name="Normal 27 6 3" xfId="10653"/>
    <cellStyle name="Normal 27 6 3 2" xfId="10654"/>
    <cellStyle name="Normal 27 6 3 2 2" xfId="10655"/>
    <cellStyle name="Normal 27 6 3 2 2 2" xfId="10656"/>
    <cellStyle name="Normal 27 6 3 2 3" xfId="10657"/>
    <cellStyle name="Normal 27 6 3 3" xfId="10658"/>
    <cellStyle name="Normal 27 6 3 3 2" xfId="10659"/>
    <cellStyle name="Normal 27 6 3 4" xfId="10660"/>
    <cellStyle name="Normal 27 6 4" xfId="10661"/>
    <cellStyle name="Normal 27 6 4 2" xfId="10662"/>
    <cellStyle name="Normal 27 6 4 2 2" xfId="10663"/>
    <cellStyle name="Normal 27 6 4 3" xfId="10664"/>
    <cellStyle name="Normal 27 6 5" xfId="10665"/>
    <cellStyle name="Normal 27 6 5 2" xfId="10666"/>
    <cellStyle name="Normal 27 6 6" xfId="10667"/>
    <cellStyle name="Normal 27 7" xfId="10668"/>
    <cellStyle name="Normal 27 7 2" xfId="10669"/>
    <cellStyle name="Normal 27 7 2 2" xfId="10670"/>
    <cellStyle name="Normal 27 7 2 2 2" xfId="10671"/>
    <cellStyle name="Normal 27 7 2 2 2 2" xfId="10672"/>
    <cellStyle name="Normal 27 7 2 2 3" xfId="10673"/>
    <cellStyle name="Normal 27 7 2 3" xfId="10674"/>
    <cellStyle name="Normal 27 7 2 3 2" xfId="10675"/>
    <cellStyle name="Normal 27 7 2 4" xfId="10676"/>
    <cellStyle name="Normal 27 7 3" xfId="10677"/>
    <cellStyle name="Normal 27 7 3 2" xfId="10678"/>
    <cellStyle name="Normal 27 7 3 2 2" xfId="10679"/>
    <cellStyle name="Normal 27 7 3 2 2 2" xfId="10680"/>
    <cellStyle name="Normal 27 7 3 2 3" xfId="10681"/>
    <cellStyle name="Normal 27 7 3 3" xfId="10682"/>
    <cellStyle name="Normal 27 7 3 3 2" xfId="10683"/>
    <cellStyle name="Normal 27 7 3 4" xfId="10684"/>
    <cellStyle name="Normal 27 7 4" xfId="10685"/>
    <cellStyle name="Normal 27 7 4 2" xfId="10686"/>
    <cellStyle name="Normal 27 7 4 2 2" xfId="10687"/>
    <cellStyle name="Normal 27 7 4 3" xfId="10688"/>
    <cellStyle name="Normal 27 7 5" xfId="10689"/>
    <cellStyle name="Normal 27 7 5 2" xfId="10690"/>
    <cellStyle name="Normal 27 7 6" xfId="10691"/>
    <cellStyle name="Normal 27 8" xfId="10692"/>
    <cellStyle name="Normal 27 8 2" xfId="10693"/>
    <cellStyle name="Normal 27 8 2 2" xfId="10694"/>
    <cellStyle name="Normal 27 8 2 2 2" xfId="10695"/>
    <cellStyle name="Normal 27 8 2 3" xfId="10696"/>
    <cellStyle name="Normal 27 8 3" xfId="10697"/>
    <cellStyle name="Normal 27 8 3 2" xfId="10698"/>
    <cellStyle name="Normal 27 8 4" xfId="10699"/>
    <cellStyle name="Normal 27 9" xfId="10700"/>
    <cellStyle name="Normal 27 9 2" xfId="10701"/>
    <cellStyle name="Normal 27 9 2 2" xfId="10702"/>
    <cellStyle name="Normal 27 9 2 2 2" xfId="10703"/>
    <cellStyle name="Normal 27 9 2 3" xfId="10704"/>
    <cellStyle name="Normal 27 9 3" xfId="10705"/>
    <cellStyle name="Normal 27 9 3 2" xfId="10706"/>
    <cellStyle name="Normal 27 9 4" xfId="10707"/>
    <cellStyle name="Normal 28" xfId="10708"/>
    <cellStyle name="Normal 28 10" xfId="10709"/>
    <cellStyle name="Normal 28 10 2" xfId="10710"/>
    <cellStyle name="Normal 28 10 2 2" xfId="10711"/>
    <cellStyle name="Normal 28 10 2 2 2" xfId="10712"/>
    <cellStyle name="Normal 28 10 2 3" xfId="10713"/>
    <cellStyle name="Normal 28 10 3" xfId="10714"/>
    <cellStyle name="Normal 28 10 3 2" xfId="10715"/>
    <cellStyle name="Normal 28 10 4" xfId="10716"/>
    <cellStyle name="Normal 28 11" xfId="10717"/>
    <cellStyle name="Normal 28 11 2" xfId="10718"/>
    <cellStyle name="Normal 28 11 2 2" xfId="10719"/>
    <cellStyle name="Normal 28 11 3" xfId="10720"/>
    <cellStyle name="Normal 28 12" xfId="10721"/>
    <cellStyle name="Normal 28 12 2" xfId="10722"/>
    <cellStyle name="Normal 28 13" xfId="10723"/>
    <cellStyle name="Normal 28 2" xfId="10724"/>
    <cellStyle name="Normal 28 3" xfId="10725"/>
    <cellStyle name="Normal 28 3 10" xfId="10726"/>
    <cellStyle name="Normal 28 3 2" xfId="10727"/>
    <cellStyle name="Normal 28 3 2 2" xfId="10728"/>
    <cellStyle name="Normal 28 3 2 2 2" xfId="10729"/>
    <cellStyle name="Normal 28 3 2 2 2 2" xfId="10730"/>
    <cellStyle name="Normal 28 3 2 2 2 2 2" xfId="10731"/>
    <cellStyle name="Normal 28 3 2 2 2 2 2 2" xfId="10732"/>
    <cellStyle name="Normal 28 3 2 2 2 2 3" xfId="10733"/>
    <cellStyle name="Normal 28 3 2 2 2 3" xfId="10734"/>
    <cellStyle name="Normal 28 3 2 2 2 3 2" xfId="10735"/>
    <cellStyle name="Normal 28 3 2 2 2 4" xfId="10736"/>
    <cellStyle name="Normal 28 3 2 2 3" xfId="10737"/>
    <cellStyle name="Normal 28 3 2 2 3 2" xfId="10738"/>
    <cellStyle name="Normal 28 3 2 2 3 2 2" xfId="10739"/>
    <cellStyle name="Normal 28 3 2 2 3 2 2 2" xfId="10740"/>
    <cellStyle name="Normal 28 3 2 2 3 2 3" xfId="10741"/>
    <cellStyle name="Normal 28 3 2 2 3 3" xfId="10742"/>
    <cellStyle name="Normal 28 3 2 2 3 3 2" xfId="10743"/>
    <cellStyle name="Normal 28 3 2 2 3 4" xfId="10744"/>
    <cellStyle name="Normal 28 3 2 2 4" xfId="10745"/>
    <cellStyle name="Normal 28 3 2 2 4 2" xfId="10746"/>
    <cellStyle name="Normal 28 3 2 2 4 2 2" xfId="10747"/>
    <cellStyle name="Normal 28 3 2 2 4 3" xfId="10748"/>
    <cellStyle name="Normal 28 3 2 2 5" xfId="10749"/>
    <cellStyle name="Normal 28 3 2 2 5 2" xfId="10750"/>
    <cellStyle name="Normal 28 3 2 2 6" xfId="10751"/>
    <cellStyle name="Normal 28 3 2 3" xfId="10752"/>
    <cellStyle name="Normal 28 3 2 3 2" xfId="10753"/>
    <cellStyle name="Normal 28 3 2 3 2 2" xfId="10754"/>
    <cellStyle name="Normal 28 3 2 3 2 2 2" xfId="10755"/>
    <cellStyle name="Normal 28 3 2 3 2 3" xfId="10756"/>
    <cellStyle name="Normal 28 3 2 3 3" xfId="10757"/>
    <cellStyle name="Normal 28 3 2 3 3 2" xfId="10758"/>
    <cellStyle name="Normal 28 3 2 3 4" xfId="10759"/>
    <cellStyle name="Normal 28 3 2 4" xfId="10760"/>
    <cellStyle name="Normal 28 3 2 4 2" xfId="10761"/>
    <cellStyle name="Normal 28 3 2 4 2 2" xfId="10762"/>
    <cellStyle name="Normal 28 3 2 4 2 2 2" xfId="10763"/>
    <cellStyle name="Normal 28 3 2 4 2 3" xfId="10764"/>
    <cellStyle name="Normal 28 3 2 4 3" xfId="10765"/>
    <cellStyle name="Normal 28 3 2 4 3 2" xfId="10766"/>
    <cellStyle name="Normal 28 3 2 4 4" xfId="10767"/>
    <cellStyle name="Normal 28 3 2 5" xfId="10768"/>
    <cellStyle name="Normal 28 3 2 5 2" xfId="10769"/>
    <cellStyle name="Normal 28 3 2 5 2 2" xfId="10770"/>
    <cellStyle name="Normal 28 3 2 5 3" xfId="10771"/>
    <cellStyle name="Normal 28 3 2 6" xfId="10772"/>
    <cellStyle name="Normal 28 3 2 6 2" xfId="10773"/>
    <cellStyle name="Normal 28 3 2 7" xfId="10774"/>
    <cellStyle name="Normal 28 3 3" xfId="10775"/>
    <cellStyle name="Normal 28 3 3 2" xfId="10776"/>
    <cellStyle name="Normal 28 3 3 2 2" xfId="10777"/>
    <cellStyle name="Normal 28 3 3 2 2 2" xfId="10778"/>
    <cellStyle name="Normal 28 3 3 2 2 2 2" xfId="10779"/>
    <cellStyle name="Normal 28 3 3 2 2 3" xfId="10780"/>
    <cellStyle name="Normal 28 3 3 2 3" xfId="10781"/>
    <cellStyle name="Normal 28 3 3 2 3 2" xfId="10782"/>
    <cellStyle name="Normal 28 3 3 2 4" xfId="10783"/>
    <cellStyle name="Normal 28 3 3 3" xfId="10784"/>
    <cellStyle name="Normal 28 3 3 3 2" xfId="10785"/>
    <cellStyle name="Normal 28 3 3 3 2 2" xfId="10786"/>
    <cellStyle name="Normal 28 3 3 3 2 2 2" xfId="10787"/>
    <cellStyle name="Normal 28 3 3 3 2 3" xfId="10788"/>
    <cellStyle name="Normal 28 3 3 3 3" xfId="10789"/>
    <cellStyle name="Normal 28 3 3 3 3 2" xfId="10790"/>
    <cellStyle name="Normal 28 3 3 3 4" xfId="10791"/>
    <cellStyle name="Normal 28 3 3 4" xfId="10792"/>
    <cellStyle name="Normal 28 3 3 4 2" xfId="10793"/>
    <cellStyle name="Normal 28 3 3 4 2 2" xfId="10794"/>
    <cellStyle name="Normal 28 3 3 4 3" xfId="10795"/>
    <cellStyle name="Normal 28 3 3 5" xfId="10796"/>
    <cellStyle name="Normal 28 3 3 5 2" xfId="10797"/>
    <cellStyle name="Normal 28 3 3 6" xfId="10798"/>
    <cellStyle name="Normal 28 3 4" xfId="10799"/>
    <cellStyle name="Normal 28 3 4 2" xfId="10800"/>
    <cellStyle name="Normal 28 3 4 2 2" xfId="10801"/>
    <cellStyle name="Normal 28 3 4 2 2 2" xfId="10802"/>
    <cellStyle name="Normal 28 3 4 2 2 2 2" xfId="10803"/>
    <cellStyle name="Normal 28 3 4 2 2 3" xfId="10804"/>
    <cellStyle name="Normal 28 3 4 2 3" xfId="10805"/>
    <cellStyle name="Normal 28 3 4 2 3 2" xfId="10806"/>
    <cellStyle name="Normal 28 3 4 2 4" xfId="10807"/>
    <cellStyle name="Normal 28 3 4 3" xfId="10808"/>
    <cellStyle name="Normal 28 3 4 3 2" xfId="10809"/>
    <cellStyle name="Normal 28 3 4 3 2 2" xfId="10810"/>
    <cellStyle name="Normal 28 3 4 3 2 2 2" xfId="10811"/>
    <cellStyle name="Normal 28 3 4 3 2 3" xfId="10812"/>
    <cellStyle name="Normal 28 3 4 3 3" xfId="10813"/>
    <cellStyle name="Normal 28 3 4 3 3 2" xfId="10814"/>
    <cellStyle name="Normal 28 3 4 3 4" xfId="10815"/>
    <cellStyle name="Normal 28 3 4 4" xfId="10816"/>
    <cellStyle name="Normal 28 3 4 4 2" xfId="10817"/>
    <cellStyle name="Normal 28 3 4 4 2 2" xfId="10818"/>
    <cellStyle name="Normal 28 3 4 4 3" xfId="10819"/>
    <cellStyle name="Normal 28 3 4 5" xfId="10820"/>
    <cellStyle name="Normal 28 3 4 5 2" xfId="10821"/>
    <cellStyle name="Normal 28 3 4 6" xfId="10822"/>
    <cellStyle name="Normal 28 3 5" xfId="10823"/>
    <cellStyle name="Normal 28 3 5 2" xfId="10824"/>
    <cellStyle name="Normal 28 3 5 2 2" xfId="10825"/>
    <cellStyle name="Normal 28 3 5 2 2 2" xfId="10826"/>
    <cellStyle name="Normal 28 3 5 2 3" xfId="10827"/>
    <cellStyle name="Normal 28 3 5 3" xfId="10828"/>
    <cellStyle name="Normal 28 3 5 3 2" xfId="10829"/>
    <cellStyle name="Normal 28 3 5 4" xfId="10830"/>
    <cellStyle name="Normal 28 3 6" xfId="10831"/>
    <cellStyle name="Normal 28 3 6 2" xfId="10832"/>
    <cellStyle name="Normal 28 3 6 2 2" xfId="10833"/>
    <cellStyle name="Normal 28 3 6 2 2 2" xfId="10834"/>
    <cellStyle name="Normal 28 3 6 2 3" xfId="10835"/>
    <cellStyle name="Normal 28 3 6 3" xfId="10836"/>
    <cellStyle name="Normal 28 3 6 3 2" xfId="10837"/>
    <cellStyle name="Normal 28 3 6 4" xfId="10838"/>
    <cellStyle name="Normal 28 3 7" xfId="10839"/>
    <cellStyle name="Normal 28 3 7 2" xfId="10840"/>
    <cellStyle name="Normal 28 3 7 2 2" xfId="10841"/>
    <cellStyle name="Normal 28 3 7 2 2 2" xfId="10842"/>
    <cellStyle name="Normal 28 3 7 2 3" xfId="10843"/>
    <cellStyle name="Normal 28 3 7 3" xfId="10844"/>
    <cellStyle name="Normal 28 3 7 3 2" xfId="10845"/>
    <cellStyle name="Normal 28 3 7 4" xfId="10846"/>
    <cellStyle name="Normal 28 3 8" xfId="10847"/>
    <cellStyle name="Normal 28 3 8 2" xfId="10848"/>
    <cellStyle name="Normal 28 3 8 2 2" xfId="10849"/>
    <cellStyle name="Normal 28 3 8 3" xfId="10850"/>
    <cellStyle name="Normal 28 3 9" xfId="10851"/>
    <cellStyle name="Normal 28 3 9 2" xfId="10852"/>
    <cellStyle name="Normal 28 4" xfId="10853"/>
    <cellStyle name="Normal 28 4 2" xfId="10854"/>
    <cellStyle name="Normal 28 4 2 2" xfId="10855"/>
    <cellStyle name="Normal 28 4 2 2 2" xfId="10856"/>
    <cellStyle name="Normal 28 4 2 2 2 2" xfId="10857"/>
    <cellStyle name="Normal 28 4 2 2 2 2 2" xfId="10858"/>
    <cellStyle name="Normal 28 4 2 2 2 2 2 2" xfId="10859"/>
    <cellStyle name="Normal 28 4 2 2 2 2 3" xfId="10860"/>
    <cellStyle name="Normal 28 4 2 2 2 3" xfId="10861"/>
    <cellStyle name="Normal 28 4 2 2 2 3 2" xfId="10862"/>
    <cellStyle name="Normal 28 4 2 2 2 4" xfId="10863"/>
    <cellStyle name="Normal 28 4 2 2 3" xfId="10864"/>
    <cellStyle name="Normal 28 4 2 2 3 2" xfId="10865"/>
    <cellStyle name="Normal 28 4 2 2 3 2 2" xfId="10866"/>
    <cellStyle name="Normal 28 4 2 2 3 2 2 2" xfId="10867"/>
    <cellStyle name="Normal 28 4 2 2 3 2 3" xfId="10868"/>
    <cellStyle name="Normal 28 4 2 2 3 3" xfId="10869"/>
    <cellStyle name="Normal 28 4 2 2 3 3 2" xfId="10870"/>
    <cellStyle name="Normal 28 4 2 2 3 4" xfId="10871"/>
    <cellStyle name="Normal 28 4 2 2 4" xfId="10872"/>
    <cellStyle name="Normal 28 4 2 2 4 2" xfId="10873"/>
    <cellStyle name="Normal 28 4 2 2 4 2 2" xfId="10874"/>
    <cellStyle name="Normal 28 4 2 2 4 3" xfId="10875"/>
    <cellStyle name="Normal 28 4 2 2 5" xfId="10876"/>
    <cellStyle name="Normal 28 4 2 2 5 2" xfId="10877"/>
    <cellStyle name="Normal 28 4 2 2 6" xfId="10878"/>
    <cellStyle name="Normal 28 4 2 3" xfId="10879"/>
    <cellStyle name="Normal 28 4 2 3 2" xfId="10880"/>
    <cellStyle name="Normal 28 4 2 3 2 2" xfId="10881"/>
    <cellStyle name="Normal 28 4 2 3 2 2 2" xfId="10882"/>
    <cellStyle name="Normal 28 4 2 3 2 3" xfId="10883"/>
    <cellStyle name="Normal 28 4 2 3 3" xfId="10884"/>
    <cellStyle name="Normal 28 4 2 3 3 2" xfId="10885"/>
    <cellStyle name="Normal 28 4 2 3 4" xfId="10886"/>
    <cellStyle name="Normal 28 4 2 4" xfId="10887"/>
    <cellStyle name="Normal 28 4 2 4 2" xfId="10888"/>
    <cellStyle name="Normal 28 4 2 4 2 2" xfId="10889"/>
    <cellStyle name="Normal 28 4 2 4 2 2 2" xfId="10890"/>
    <cellStyle name="Normal 28 4 2 4 2 3" xfId="10891"/>
    <cellStyle name="Normal 28 4 2 4 3" xfId="10892"/>
    <cellStyle name="Normal 28 4 2 4 3 2" xfId="10893"/>
    <cellStyle name="Normal 28 4 2 4 4" xfId="10894"/>
    <cellStyle name="Normal 28 4 2 5" xfId="10895"/>
    <cellStyle name="Normal 28 4 2 5 2" xfId="10896"/>
    <cellStyle name="Normal 28 4 2 5 2 2" xfId="10897"/>
    <cellStyle name="Normal 28 4 2 5 3" xfId="10898"/>
    <cellStyle name="Normal 28 4 2 6" xfId="10899"/>
    <cellStyle name="Normal 28 4 2 6 2" xfId="10900"/>
    <cellStyle name="Normal 28 4 2 7" xfId="10901"/>
    <cellStyle name="Normal 28 4 3" xfId="10902"/>
    <cellStyle name="Normal 28 4 3 2" xfId="10903"/>
    <cellStyle name="Normal 28 4 3 2 2" xfId="10904"/>
    <cellStyle name="Normal 28 4 3 2 2 2" xfId="10905"/>
    <cellStyle name="Normal 28 4 3 2 2 2 2" xfId="10906"/>
    <cellStyle name="Normal 28 4 3 2 2 3" xfId="10907"/>
    <cellStyle name="Normal 28 4 3 2 3" xfId="10908"/>
    <cellStyle name="Normal 28 4 3 2 3 2" xfId="10909"/>
    <cellStyle name="Normal 28 4 3 2 4" xfId="10910"/>
    <cellStyle name="Normal 28 4 3 3" xfId="10911"/>
    <cellStyle name="Normal 28 4 3 3 2" xfId="10912"/>
    <cellStyle name="Normal 28 4 3 3 2 2" xfId="10913"/>
    <cellStyle name="Normal 28 4 3 3 2 2 2" xfId="10914"/>
    <cellStyle name="Normal 28 4 3 3 2 3" xfId="10915"/>
    <cellStyle name="Normal 28 4 3 3 3" xfId="10916"/>
    <cellStyle name="Normal 28 4 3 3 3 2" xfId="10917"/>
    <cellStyle name="Normal 28 4 3 3 4" xfId="10918"/>
    <cellStyle name="Normal 28 4 3 4" xfId="10919"/>
    <cellStyle name="Normal 28 4 3 4 2" xfId="10920"/>
    <cellStyle name="Normal 28 4 3 4 2 2" xfId="10921"/>
    <cellStyle name="Normal 28 4 3 4 3" xfId="10922"/>
    <cellStyle name="Normal 28 4 3 5" xfId="10923"/>
    <cellStyle name="Normal 28 4 3 5 2" xfId="10924"/>
    <cellStyle name="Normal 28 4 3 6" xfId="10925"/>
    <cellStyle name="Normal 28 4 4" xfId="10926"/>
    <cellStyle name="Normal 28 4 4 2" xfId="10927"/>
    <cellStyle name="Normal 28 4 4 2 2" xfId="10928"/>
    <cellStyle name="Normal 28 4 4 2 2 2" xfId="10929"/>
    <cellStyle name="Normal 28 4 4 2 2 2 2" xfId="10930"/>
    <cellStyle name="Normal 28 4 4 2 2 3" xfId="10931"/>
    <cellStyle name="Normal 28 4 4 2 3" xfId="10932"/>
    <cellStyle name="Normal 28 4 4 2 3 2" xfId="10933"/>
    <cellStyle name="Normal 28 4 4 2 4" xfId="10934"/>
    <cellStyle name="Normal 28 4 4 3" xfId="10935"/>
    <cellStyle name="Normal 28 4 4 3 2" xfId="10936"/>
    <cellStyle name="Normal 28 4 4 3 2 2" xfId="10937"/>
    <cellStyle name="Normal 28 4 4 3 2 2 2" xfId="10938"/>
    <cellStyle name="Normal 28 4 4 3 2 3" xfId="10939"/>
    <cellStyle name="Normal 28 4 4 3 3" xfId="10940"/>
    <cellStyle name="Normal 28 4 4 3 3 2" xfId="10941"/>
    <cellStyle name="Normal 28 4 4 3 4" xfId="10942"/>
    <cellStyle name="Normal 28 4 4 4" xfId="10943"/>
    <cellStyle name="Normal 28 4 4 4 2" xfId="10944"/>
    <cellStyle name="Normal 28 4 4 4 2 2" xfId="10945"/>
    <cellStyle name="Normal 28 4 4 4 3" xfId="10946"/>
    <cellStyle name="Normal 28 4 4 5" xfId="10947"/>
    <cellStyle name="Normal 28 4 4 5 2" xfId="10948"/>
    <cellStyle name="Normal 28 4 4 6" xfId="10949"/>
    <cellStyle name="Normal 28 4 5" xfId="10950"/>
    <cellStyle name="Normal 28 4 5 2" xfId="10951"/>
    <cellStyle name="Normal 28 4 5 2 2" xfId="10952"/>
    <cellStyle name="Normal 28 4 5 2 2 2" xfId="10953"/>
    <cellStyle name="Normal 28 4 5 2 3" xfId="10954"/>
    <cellStyle name="Normal 28 4 5 3" xfId="10955"/>
    <cellStyle name="Normal 28 4 5 3 2" xfId="10956"/>
    <cellStyle name="Normal 28 4 5 4" xfId="10957"/>
    <cellStyle name="Normal 28 4 6" xfId="10958"/>
    <cellStyle name="Normal 28 4 6 2" xfId="10959"/>
    <cellStyle name="Normal 28 4 6 2 2" xfId="10960"/>
    <cellStyle name="Normal 28 4 6 2 2 2" xfId="10961"/>
    <cellStyle name="Normal 28 4 6 2 3" xfId="10962"/>
    <cellStyle name="Normal 28 4 6 3" xfId="10963"/>
    <cellStyle name="Normal 28 4 6 3 2" xfId="10964"/>
    <cellStyle name="Normal 28 4 6 4" xfId="10965"/>
    <cellStyle name="Normal 28 4 7" xfId="10966"/>
    <cellStyle name="Normal 28 4 7 2" xfId="10967"/>
    <cellStyle name="Normal 28 4 7 2 2" xfId="10968"/>
    <cellStyle name="Normal 28 4 7 3" xfId="10969"/>
    <cellStyle name="Normal 28 4 8" xfId="10970"/>
    <cellStyle name="Normal 28 4 8 2" xfId="10971"/>
    <cellStyle name="Normal 28 4 9" xfId="10972"/>
    <cellStyle name="Normal 28 5" xfId="10973"/>
    <cellStyle name="Normal 28 5 2" xfId="10974"/>
    <cellStyle name="Normal 28 5 2 2" xfId="10975"/>
    <cellStyle name="Normal 28 5 2 2 2" xfId="10976"/>
    <cellStyle name="Normal 28 5 2 2 2 2" xfId="10977"/>
    <cellStyle name="Normal 28 5 2 2 2 2 2" xfId="10978"/>
    <cellStyle name="Normal 28 5 2 2 2 3" xfId="10979"/>
    <cellStyle name="Normal 28 5 2 2 3" xfId="10980"/>
    <cellStyle name="Normal 28 5 2 2 3 2" xfId="10981"/>
    <cellStyle name="Normal 28 5 2 2 4" xfId="10982"/>
    <cellStyle name="Normal 28 5 2 3" xfId="10983"/>
    <cellStyle name="Normal 28 5 2 3 2" xfId="10984"/>
    <cellStyle name="Normal 28 5 2 3 2 2" xfId="10985"/>
    <cellStyle name="Normal 28 5 2 3 2 2 2" xfId="10986"/>
    <cellStyle name="Normal 28 5 2 3 2 3" xfId="10987"/>
    <cellStyle name="Normal 28 5 2 3 3" xfId="10988"/>
    <cellStyle name="Normal 28 5 2 3 3 2" xfId="10989"/>
    <cellStyle name="Normal 28 5 2 3 4" xfId="10990"/>
    <cellStyle name="Normal 28 5 2 4" xfId="10991"/>
    <cellStyle name="Normal 28 5 2 4 2" xfId="10992"/>
    <cellStyle name="Normal 28 5 2 4 2 2" xfId="10993"/>
    <cellStyle name="Normal 28 5 2 4 3" xfId="10994"/>
    <cellStyle name="Normal 28 5 2 5" xfId="10995"/>
    <cellStyle name="Normal 28 5 2 5 2" xfId="10996"/>
    <cellStyle name="Normal 28 5 2 6" xfId="10997"/>
    <cellStyle name="Normal 28 5 3" xfId="10998"/>
    <cellStyle name="Normal 28 5 3 2" xfId="10999"/>
    <cellStyle name="Normal 28 5 3 2 2" xfId="11000"/>
    <cellStyle name="Normal 28 5 3 2 2 2" xfId="11001"/>
    <cellStyle name="Normal 28 5 3 2 3" xfId="11002"/>
    <cellStyle name="Normal 28 5 3 3" xfId="11003"/>
    <cellStyle name="Normal 28 5 3 3 2" xfId="11004"/>
    <cellStyle name="Normal 28 5 3 4" xfId="11005"/>
    <cellStyle name="Normal 28 5 4" xfId="11006"/>
    <cellStyle name="Normal 28 5 4 2" xfId="11007"/>
    <cellStyle name="Normal 28 5 4 2 2" xfId="11008"/>
    <cellStyle name="Normal 28 5 4 2 2 2" xfId="11009"/>
    <cellStyle name="Normal 28 5 4 2 3" xfId="11010"/>
    <cellStyle name="Normal 28 5 4 3" xfId="11011"/>
    <cellStyle name="Normal 28 5 4 3 2" xfId="11012"/>
    <cellStyle name="Normal 28 5 4 4" xfId="11013"/>
    <cellStyle name="Normal 28 5 5" xfId="11014"/>
    <cellStyle name="Normal 28 5 5 2" xfId="11015"/>
    <cellStyle name="Normal 28 5 5 2 2" xfId="11016"/>
    <cellStyle name="Normal 28 5 5 3" xfId="11017"/>
    <cellStyle name="Normal 28 5 6" xfId="11018"/>
    <cellStyle name="Normal 28 5 6 2" xfId="11019"/>
    <cellStyle name="Normal 28 5 7" xfId="11020"/>
    <cellStyle name="Normal 28 6" xfId="11021"/>
    <cellStyle name="Normal 28 6 2" xfId="11022"/>
    <cellStyle name="Normal 28 6 2 2" xfId="11023"/>
    <cellStyle name="Normal 28 6 2 2 2" xfId="11024"/>
    <cellStyle name="Normal 28 6 2 2 2 2" xfId="11025"/>
    <cellStyle name="Normal 28 6 2 2 3" xfId="11026"/>
    <cellStyle name="Normal 28 6 2 3" xfId="11027"/>
    <cellStyle name="Normal 28 6 2 3 2" xfId="11028"/>
    <cellStyle name="Normal 28 6 2 4" xfId="11029"/>
    <cellStyle name="Normal 28 6 3" xfId="11030"/>
    <cellStyle name="Normal 28 6 3 2" xfId="11031"/>
    <cellStyle name="Normal 28 6 3 2 2" xfId="11032"/>
    <cellStyle name="Normal 28 6 3 2 2 2" xfId="11033"/>
    <cellStyle name="Normal 28 6 3 2 3" xfId="11034"/>
    <cellStyle name="Normal 28 6 3 3" xfId="11035"/>
    <cellStyle name="Normal 28 6 3 3 2" xfId="11036"/>
    <cellStyle name="Normal 28 6 3 4" xfId="11037"/>
    <cellStyle name="Normal 28 6 4" xfId="11038"/>
    <cellStyle name="Normal 28 6 4 2" xfId="11039"/>
    <cellStyle name="Normal 28 6 4 2 2" xfId="11040"/>
    <cellStyle name="Normal 28 6 4 3" xfId="11041"/>
    <cellStyle name="Normal 28 6 5" xfId="11042"/>
    <cellStyle name="Normal 28 6 5 2" xfId="11043"/>
    <cellStyle name="Normal 28 6 6" xfId="11044"/>
    <cellStyle name="Normal 28 7" xfId="11045"/>
    <cellStyle name="Normal 28 7 2" xfId="11046"/>
    <cellStyle name="Normal 28 7 2 2" xfId="11047"/>
    <cellStyle name="Normal 28 7 2 2 2" xfId="11048"/>
    <cellStyle name="Normal 28 7 2 2 2 2" xfId="11049"/>
    <cellStyle name="Normal 28 7 2 2 3" xfId="11050"/>
    <cellStyle name="Normal 28 7 2 3" xfId="11051"/>
    <cellStyle name="Normal 28 7 2 3 2" xfId="11052"/>
    <cellStyle name="Normal 28 7 2 4" xfId="11053"/>
    <cellStyle name="Normal 28 7 3" xfId="11054"/>
    <cellStyle name="Normal 28 7 3 2" xfId="11055"/>
    <cellStyle name="Normal 28 7 3 2 2" xfId="11056"/>
    <cellStyle name="Normal 28 7 3 2 2 2" xfId="11057"/>
    <cellStyle name="Normal 28 7 3 2 3" xfId="11058"/>
    <cellStyle name="Normal 28 7 3 3" xfId="11059"/>
    <cellStyle name="Normal 28 7 3 3 2" xfId="11060"/>
    <cellStyle name="Normal 28 7 3 4" xfId="11061"/>
    <cellStyle name="Normal 28 7 4" xfId="11062"/>
    <cellStyle name="Normal 28 7 4 2" xfId="11063"/>
    <cellStyle name="Normal 28 7 4 2 2" xfId="11064"/>
    <cellStyle name="Normal 28 7 4 3" xfId="11065"/>
    <cellStyle name="Normal 28 7 5" xfId="11066"/>
    <cellStyle name="Normal 28 7 5 2" xfId="11067"/>
    <cellStyle name="Normal 28 7 6" xfId="11068"/>
    <cellStyle name="Normal 28 8" xfId="11069"/>
    <cellStyle name="Normal 28 8 2" xfId="11070"/>
    <cellStyle name="Normal 28 8 2 2" xfId="11071"/>
    <cellStyle name="Normal 28 8 2 2 2" xfId="11072"/>
    <cellStyle name="Normal 28 8 2 3" xfId="11073"/>
    <cellStyle name="Normal 28 8 3" xfId="11074"/>
    <cellStyle name="Normal 28 8 3 2" xfId="11075"/>
    <cellStyle name="Normal 28 8 4" xfId="11076"/>
    <cellStyle name="Normal 28 9" xfId="11077"/>
    <cellStyle name="Normal 28 9 2" xfId="11078"/>
    <cellStyle name="Normal 28 9 2 2" xfId="11079"/>
    <cellStyle name="Normal 28 9 2 2 2" xfId="11080"/>
    <cellStyle name="Normal 28 9 2 3" xfId="11081"/>
    <cellStyle name="Normal 28 9 3" xfId="11082"/>
    <cellStyle name="Normal 28 9 3 2" xfId="11083"/>
    <cellStyle name="Normal 28 9 4" xfId="11084"/>
    <cellStyle name="Normal 29" xfId="11085"/>
    <cellStyle name="Normal 29 10" xfId="11086"/>
    <cellStyle name="Normal 29 10 2" xfId="11087"/>
    <cellStyle name="Normal 29 10 2 2" xfId="11088"/>
    <cellStyle name="Normal 29 10 2 2 2" xfId="11089"/>
    <cellStyle name="Normal 29 10 2 3" xfId="11090"/>
    <cellStyle name="Normal 29 10 3" xfId="11091"/>
    <cellStyle name="Normal 29 10 3 2" xfId="11092"/>
    <cellStyle name="Normal 29 10 4" xfId="11093"/>
    <cellStyle name="Normal 29 11" xfId="11094"/>
    <cellStyle name="Normal 29 11 2" xfId="11095"/>
    <cellStyle name="Normal 29 11 2 2" xfId="11096"/>
    <cellStyle name="Normal 29 11 3" xfId="11097"/>
    <cellStyle name="Normal 29 12" xfId="11098"/>
    <cellStyle name="Normal 29 12 2" xfId="11099"/>
    <cellStyle name="Normal 29 13" xfId="11100"/>
    <cellStyle name="Normal 29 2" xfId="11101"/>
    <cellStyle name="Normal 29 3" xfId="11102"/>
    <cellStyle name="Normal 29 3 10" xfId="11103"/>
    <cellStyle name="Normal 29 3 2" xfId="11104"/>
    <cellStyle name="Normal 29 3 2 2" xfId="11105"/>
    <cellStyle name="Normal 29 3 2 2 2" xfId="11106"/>
    <cellStyle name="Normal 29 3 2 2 2 2" xfId="11107"/>
    <cellStyle name="Normal 29 3 2 2 2 2 2" xfId="11108"/>
    <cellStyle name="Normal 29 3 2 2 2 2 2 2" xfId="11109"/>
    <cellStyle name="Normal 29 3 2 2 2 2 3" xfId="11110"/>
    <cellStyle name="Normal 29 3 2 2 2 3" xfId="11111"/>
    <cellStyle name="Normal 29 3 2 2 2 3 2" xfId="11112"/>
    <cellStyle name="Normal 29 3 2 2 2 4" xfId="11113"/>
    <cellStyle name="Normal 29 3 2 2 3" xfId="11114"/>
    <cellStyle name="Normal 29 3 2 2 3 2" xfId="11115"/>
    <cellStyle name="Normal 29 3 2 2 3 2 2" xfId="11116"/>
    <cellStyle name="Normal 29 3 2 2 3 2 2 2" xfId="11117"/>
    <cellStyle name="Normal 29 3 2 2 3 2 3" xfId="11118"/>
    <cellStyle name="Normal 29 3 2 2 3 3" xfId="11119"/>
    <cellStyle name="Normal 29 3 2 2 3 3 2" xfId="11120"/>
    <cellStyle name="Normal 29 3 2 2 3 4" xfId="11121"/>
    <cellStyle name="Normal 29 3 2 2 4" xfId="11122"/>
    <cellStyle name="Normal 29 3 2 2 4 2" xfId="11123"/>
    <cellStyle name="Normal 29 3 2 2 4 2 2" xfId="11124"/>
    <cellStyle name="Normal 29 3 2 2 4 3" xfId="11125"/>
    <cellStyle name="Normal 29 3 2 2 5" xfId="11126"/>
    <cellStyle name="Normal 29 3 2 2 5 2" xfId="11127"/>
    <cellStyle name="Normal 29 3 2 2 6" xfId="11128"/>
    <cellStyle name="Normal 29 3 2 3" xfId="11129"/>
    <cellStyle name="Normal 29 3 2 3 2" xfId="11130"/>
    <cellStyle name="Normal 29 3 2 3 2 2" xfId="11131"/>
    <cellStyle name="Normal 29 3 2 3 2 2 2" xfId="11132"/>
    <cellStyle name="Normal 29 3 2 3 2 3" xfId="11133"/>
    <cellStyle name="Normal 29 3 2 3 3" xfId="11134"/>
    <cellStyle name="Normal 29 3 2 3 3 2" xfId="11135"/>
    <cellStyle name="Normal 29 3 2 3 4" xfId="11136"/>
    <cellStyle name="Normal 29 3 2 4" xfId="11137"/>
    <cellStyle name="Normal 29 3 2 4 2" xfId="11138"/>
    <cellStyle name="Normal 29 3 2 4 2 2" xfId="11139"/>
    <cellStyle name="Normal 29 3 2 4 2 2 2" xfId="11140"/>
    <cellStyle name="Normal 29 3 2 4 2 3" xfId="11141"/>
    <cellStyle name="Normal 29 3 2 4 3" xfId="11142"/>
    <cellStyle name="Normal 29 3 2 4 3 2" xfId="11143"/>
    <cellStyle name="Normal 29 3 2 4 4" xfId="11144"/>
    <cellStyle name="Normal 29 3 2 5" xfId="11145"/>
    <cellStyle name="Normal 29 3 2 5 2" xfId="11146"/>
    <cellStyle name="Normal 29 3 2 5 2 2" xfId="11147"/>
    <cellStyle name="Normal 29 3 2 5 3" xfId="11148"/>
    <cellStyle name="Normal 29 3 2 6" xfId="11149"/>
    <cellStyle name="Normal 29 3 2 6 2" xfId="11150"/>
    <cellStyle name="Normal 29 3 2 7" xfId="11151"/>
    <cellStyle name="Normal 29 3 3" xfId="11152"/>
    <cellStyle name="Normal 29 3 3 2" xfId="11153"/>
    <cellStyle name="Normal 29 3 3 2 2" xfId="11154"/>
    <cellStyle name="Normal 29 3 3 2 2 2" xfId="11155"/>
    <cellStyle name="Normal 29 3 3 2 2 2 2" xfId="11156"/>
    <cellStyle name="Normal 29 3 3 2 2 3" xfId="11157"/>
    <cellStyle name="Normal 29 3 3 2 3" xfId="11158"/>
    <cellStyle name="Normal 29 3 3 2 3 2" xfId="11159"/>
    <cellStyle name="Normal 29 3 3 2 4" xfId="11160"/>
    <cellStyle name="Normal 29 3 3 3" xfId="11161"/>
    <cellStyle name="Normal 29 3 3 3 2" xfId="11162"/>
    <cellStyle name="Normal 29 3 3 3 2 2" xfId="11163"/>
    <cellStyle name="Normal 29 3 3 3 2 2 2" xfId="11164"/>
    <cellStyle name="Normal 29 3 3 3 2 3" xfId="11165"/>
    <cellStyle name="Normal 29 3 3 3 3" xfId="11166"/>
    <cellStyle name="Normal 29 3 3 3 3 2" xfId="11167"/>
    <cellStyle name="Normal 29 3 3 3 4" xfId="11168"/>
    <cellStyle name="Normal 29 3 3 4" xfId="11169"/>
    <cellStyle name="Normal 29 3 3 4 2" xfId="11170"/>
    <cellStyle name="Normal 29 3 3 4 2 2" xfId="11171"/>
    <cellStyle name="Normal 29 3 3 4 3" xfId="11172"/>
    <cellStyle name="Normal 29 3 3 5" xfId="11173"/>
    <cellStyle name="Normal 29 3 3 5 2" xfId="11174"/>
    <cellStyle name="Normal 29 3 3 6" xfId="11175"/>
    <cellStyle name="Normal 29 3 4" xfId="11176"/>
    <cellStyle name="Normal 29 3 4 2" xfId="11177"/>
    <cellStyle name="Normal 29 3 4 2 2" xfId="11178"/>
    <cellStyle name="Normal 29 3 4 2 2 2" xfId="11179"/>
    <cellStyle name="Normal 29 3 4 2 2 2 2" xfId="11180"/>
    <cellStyle name="Normal 29 3 4 2 2 3" xfId="11181"/>
    <cellStyle name="Normal 29 3 4 2 3" xfId="11182"/>
    <cellStyle name="Normal 29 3 4 2 3 2" xfId="11183"/>
    <cellStyle name="Normal 29 3 4 2 4" xfId="11184"/>
    <cellStyle name="Normal 29 3 4 3" xfId="11185"/>
    <cellStyle name="Normal 29 3 4 3 2" xfId="11186"/>
    <cellStyle name="Normal 29 3 4 3 2 2" xfId="11187"/>
    <cellStyle name="Normal 29 3 4 3 2 2 2" xfId="11188"/>
    <cellStyle name="Normal 29 3 4 3 2 3" xfId="11189"/>
    <cellStyle name="Normal 29 3 4 3 3" xfId="11190"/>
    <cellStyle name="Normal 29 3 4 3 3 2" xfId="11191"/>
    <cellStyle name="Normal 29 3 4 3 4" xfId="11192"/>
    <cellStyle name="Normal 29 3 4 4" xfId="11193"/>
    <cellStyle name="Normal 29 3 4 4 2" xfId="11194"/>
    <cellStyle name="Normal 29 3 4 4 2 2" xfId="11195"/>
    <cellStyle name="Normal 29 3 4 4 3" xfId="11196"/>
    <cellStyle name="Normal 29 3 4 5" xfId="11197"/>
    <cellStyle name="Normal 29 3 4 5 2" xfId="11198"/>
    <cellStyle name="Normal 29 3 4 6" xfId="11199"/>
    <cellStyle name="Normal 29 3 5" xfId="11200"/>
    <cellStyle name="Normal 29 3 5 2" xfId="11201"/>
    <cellStyle name="Normal 29 3 5 2 2" xfId="11202"/>
    <cellStyle name="Normal 29 3 5 2 2 2" xfId="11203"/>
    <cellStyle name="Normal 29 3 5 2 3" xfId="11204"/>
    <cellStyle name="Normal 29 3 5 3" xfId="11205"/>
    <cellStyle name="Normal 29 3 5 3 2" xfId="11206"/>
    <cellStyle name="Normal 29 3 5 4" xfId="11207"/>
    <cellStyle name="Normal 29 3 6" xfId="11208"/>
    <cellStyle name="Normal 29 3 6 2" xfId="11209"/>
    <cellStyle name="Normal 29 3 6 2 2" xfId="11210"/>
    <cellStyle name="Normal 29 3 6 2 2 2" xfId="11211"/>
    <cellStyle name="Normal 29 3 6 2 3" xfId="11212"/>
    <cellStyle name="Normal 29 3 6 3" xfId="11213"/>
    <cellStyle name="Normal 29 3 6 3 2" xfId="11214"/>
    <cellStyle name="Normal 29 3 6 4" xfId="11215"/>
    <cellStyle name="Normal 29 3 7" xfId="11216"/>
    <cellStyle name="Normal 29 3 7 2" xfId="11217"/>
    <cellStyle name="Normal 29 3 7 2 2" xfId="11218"/>
    <cellStyle name="Normal 29 3 7 2 2 2" xfId="11219"/>
    <cellStyle name="Normal 29 3 7 2 3" xfId="11220"/>
    <cellStyle name="Normal 29 3 7 3" xfId="11221"/>
    <cellStyle name="Normal 29 3 7 3 2" xfId="11222"/>
    <cellStyle name="Normal 29 3 7 4" xfId="11223"/>
    <cellStyle name="Normal 29 3 8" xfId="11224"/>
    <cellStyle name="Normal 29 3 8 2" xfId="11225"/>
    <cellStyle name="Normal 29 3 8 2 2" xfId="11226"/>
    <cellStyle name="Normal 29 3 8 3" xfId="11227"/>
    <cellStyle name="Normal 29 3 9" xfId="11228"/>
    <cellStyle name="Normal 29 3 9 2" xfId="11229"/>
    <cellStyle name="Normal 29 4" xfId="11230"/>
    <cellStyle name="Normal 29 4 2" xfId="11231"/>
    <cellStyle name="Normal 29 4 2 2" xfId="11232"/>
    <cellStyle name="Normal 29 4 2 2 2" xfId="11233"/>
    <cellStyle name="Normal 29 4 2 2 2 2" xfId="11234"/>
    <cellStyle name="Normal 29 4 2 2 2 2 2" xfId="11235"/>
    <cellStyle name="Normal 29 4 2 2 2 2 2 2" xfId="11236"/>
    <cellStyle name="Normal 29 4 2 2 2 2 3" xfId="11237"/>
    <cellStyle name="Normal 29 4 2 2 2 3" xfId="11238"/>
    <cellStyle name="Normal 29 4 2 2 2 3 2" xfId="11239"/>
    <cellStyle name="Normal 29 4 2 2 2 4" xfId="11240"/>
    <cellStyle name="Normal 29 4 2 2 3" xfId="11241"/>
    <cellStyle name="Normal 29 4 2 2 3 2" xfId="11242"/>
    <cellStyle name="Normal 29 4 2 2 3 2 2" xfId="11243"/>
    <cellStyle name="Normal 29 4 2 2 3 2 2 2" xfId="11244"/>
    <cellStyle name="Normal 29 4 2 2 3 2 3" xfId="11245"/>
    <cellStyle name="Normal 29 4 2 2 3 3" xfId="11246"/>
    <cellStyle name="Normal 29 4 2 2 3 3 2" xfId="11247"/>
    <cellStyle name="Normal 29 4 2 2 3 4" xfId="11248"/>
    <cellStyle name="Normal 29 4 2 2 4" xfId="11249"/>
    <cellStyle name="Normal 29 4 2 2 4 2" xfId="11250"/>
    <cellStyle name="Normal 29 4 2 2 4 2 2" xfId="11251"/>
    <cellStyle name="Normal 29 4 2 2 4 3" xfId="11252"/>
    <cellStyle name="Normal 29 4 2 2 5" xfId="11253"/>
    <cellStyle name="Normal 29 4 2 2 5 2" xfId="11254"/>
    <cellStyle name="Normal 29 4 2 2 6" xfId="11255"/>
    <cellStyle name="Normal 29 4 2 3" xfId="11256"/>
    <cellStyle name="Normal 29 4 2 3 2" xfId="11257"/>
    <cellStyle name="Normal 29 4 2 3 2 2" xfId="11258"/>
    <cellStyle name="Normal 29 4 2 3 2 2 2" xfId="11259"/>
    <cellStyle name="Normal 29 4 2 3 2 3" xfId="11260"/>
    <cellStyle name="Normal 29 4 2 3 3" xfId="11261"/>
    <cellStyle name="Normal 29 4 2 3 3 2" xfId="11262"/>
    <cellStyle name="Normal 29 4 2 3 4" xfId="11263"/>
    <cellStyle name="Normal 29 4 2 4" xfId="11264"/>
    <cellStyle name="Normal 29 4 2 4 2" xfId="11265"/>
    <cellStyle name="Normal 29 4 2 4 2 2" xfId="11266"/>
    <cellStyle name="Normal 29 4 2 4 2 2 2" xfId="11267"/>
    <cellStyle name="Normal 29 4 2 4 2 3" xfId="11268"/>
    <cellStyle name="Normal 29 4 2 4 3" xfId="11269"/>
    <cellStyle name="Normal 29 4 2 4 3 2" xfId="11270"/>
    <cellStyle name="Normal 29 4 2 4 4" xfId="11271"/>
    <cellStyle name="Normal 29 4 2 5" xfId="11272"/>
    <cellStyle name="Normal 29 4 2 5 2" xfId="11273"/>
    <cellStyle name="Normal 29 4 2 5 2 2" xfId="11274"/>
    <cellStyle name="Normal 29 4 2 5 3" xfId="11275"/>
    <cellStyle name="Normal 29 4 2 6" xfId="11276"/>
    <cellStyle name="Normal 29 4 2 6 2" xfId="11277"/>
    <cellStyle name="Normal 29 4 2 7" xfId="11278"/>
    <cellStyle name="Normal 29 4 3" xfId="11279"/>
    <cellStyle name="Normal 29 4 3 2" xfId="11280"/>
    <cellStyle name="Normal 29 4 3 2 2" xfId="11281"/>
    <cellStyle name="Normal 29 4 3 2 2 2" xfId="11282"/>
    <cellStyle name="Normal 29 4 3 2 2 2 2" xfId="11283"/>
    <cellStyle name="Normal 29 4 3 2 2 3" xfId="11284"/>
    <cellStyle name="Normal 29 4 3 2 3" xfId="11285"/>
    <cellStyle name="Normal 29 4 3 2 3 2" xfId="11286"/>
    <cellStyle name="Normal 29 4 3 2 4" xfId="11287"/>
    <cellStyle name="Normal 29 4 3 3" xfId="11288"/>
    <cellStyle name="Normal 29 4 3 3 2" xfId="11289"/>
    <cellStyle name="Normal 29 4 3 3 2 2" xfId="11290"/>
    <cellStyle name="Normal 29 4 3 3 2 2 2" xfId="11291"/>
    <cellStyle name="Normal 29 4 3 3 2 3" xfId="11292"/>
    <cellStyle name="Normal 29 4 3 3 3" xfId="11293"/>
    <cellStyle name="Normal 29 4 3 3 3 2" xfId="11294"/>
    <cellStyle name="Normal 29 4 3 3 4" xfId="11295"/>
    <cellStyle name="Normal 29 4 3 4" xfId="11296"/>
    <cellStyle name="Normal 29 4 3 4 2" xfId="11297"/>
    <cellStyle name="Normal 29 4 3 4 2 2" xfId="11298"/>
    <cellStyle name="Normal 29 4 3 4 3" xfId="11299"/>
    <cellStyle name="Normal 29 4 3 5" xfId="11300"/>
    <cellStyle name="Normal 29 4 3 5 2" xfId="11301"/>
    <cellStyle name="Normal 29 4 3 6" xfId="11302"/>
    <cellStyle name="Normal 29 4 4" xfId="11303"/>
    <cellStyle name="Normal 29 4 4 2" xfId="11304"/>
    <cellStyle name="Normal 29 4 4 2 2" xfId="11305"/>
    <cellStyle name="Normal 29 4 4 2 2 2" xfId="11306"/>
    <cellStyle name="Normal 29 4 4 2 2 2 2" xfId="11307"/>
    <cellStyle name="Normal 29 4 4 2 2 3" xfId="11308"/>
    <cellStyle name="Normal 29 4 4 2 3" xfId="11309"/>
    <cellStyle name="Normal 29 4 4 2 3 2" xfId="11310"/>
    <cellStyle name="Normal 29 4 4 2 4" xfId="11311"/>
    <cellStyle name="Normal 29 4 4 3" xfId="11312"/>
    <cellStyle name="Normal 29 4 4 3 2" xfId="11313"/>
    <cellStyle name="Normal 29 4 4 3 2 2" xfId="11314"/>
    <cellStyle name="Normal 29 4 4 3 2 2 2" xfId="11315"/>
    <cellStyle name="Normal 29 4 4 3 2 3" xfId="11316"/>
    <cellStyle name="Normal 29 4 4 3 3" xfId="11317"/>
    <cellStyle name="Normal 29 4 4 3 3 2" xfId="11318"/>
    <cellStyle name="Normal 29 4 4 3 4" xfId="11319"/>
    <cellStyle name="Normal 29 4 4 4" xfId="11320"/>
    <cellStyle name="Normal 29 4 4 4 2" xfId="11321"/>
    <cellStyle name="Normal 29 4 4 4 2 2" xfId="11322"/>
    <cellStyle name="Normal 29 4 4 4 3" xfId="11323"/>
    <cellStyle name="Normal 29 4 4 5" xfId="11324"/>
    <cellStyle name="Normal 29 4 4 5 2" xfId="11325"/>
    <cellStyle name="Normal 29 4 4 6" xfId="11326"/>
    <cellStyle name="Normal 29 4 5" xfId="11327"/>
    <cellStyle name="Normal 29 4 5 2" xfId="11328"/>
    <cellStyle name="Normal 29 4 5 2 2" xfId="11329"/>
    <cellStyle name="Normal 29 4 5 2 2 2" xfId="11330"/>
    <cellStyle name="Normal 29 4 5 2 3" xfId="11331"/>
    <cellStyle name="Normal 29 4 5 3" xfId="11332"/>
    <cellStyle name="Normal 29 4 5 3 2" xfId="11333"/>
    <cellStyle name="Normal 29 4 5 4" xfId="11334"/>
    <cellStyle name="Normal 29 4 6" xfId="11335"/>
    <cellStyle name="Normal 29 4 6 2" xfId="11336"/>
    <cellStyle name="Normal 29 4 6 2 2" xfId="11337"/>
    <cellStyle name="Normal 29 4 6 2 2 2" xfId="11338"/>
    <cellStyle name="Normal 29 4 6 2 3" xfId="11339"/>
    <cellStyle name="Normal 29 4 6 3" xfId="11340"/>
    <cellStyle name="Normal 29 4 6 3 2" xfId="11341"/>
    <cellStyle name="Normal 29 4 6 4" xfId="11342"/>
    <cellStyle name="Normal 29 4 7" xfId="11343"/>
    <cellStyle name="Normal 29 4 7 2" xfId="11344"/>
    <cellStyle name="Normal 29 4 7 2 2" xfId="11345"/>
    <cellStyle name="Normal 29 4 7 3" xfId="11346"/>
    <cellStyle name="Normal 29 4 8" xfId="11347"/>
    <cellStyle name="Normal 29 4 8 2" xfId="11348"/>
    <cellStyle name="Normal 29 4 9" xfId="11349"/>
    <cellStyle name="Normal 29 5" xfId="11350"/>
    <cellStyle name="Normal 29 5 2" xfId="11351"/>
    <cellStyle name="Normal 29 5 2 2" xfId="11352"/>
    <cellStyle name="Normal 29 5 2 2 2" xfId="11353"/>
    <cellStyle name="Normal 29 5 2 2 2 2" xfId="11354"/>
    <cellStyle name="Normal 29 5 2 2 2 2 2" xfId="11355"/>
    <cellStyle name="Normal 29 5 2 2 2 3" xfId="11356"/>
    <cellStyle name="Normal 29 5 2 2 3" xfId="11357"/>
    <cellStyle name="Normal 29 5 2 2 3 2" xfId="11358"/>
    <cellStyle name="Normal 29 5 2 2 4" xfId="11359"/>
    <cellStyle name="Normal 29 5 2 3" xfId="11360"/>
    <cellStyle name="Normal 29 5 2 3 2" xfId="11361"/>
    <cellStyle name="Normal 29 5 2 3 2 2" xfId="11362"/>
    <cellStyle name="Normal 29 5 2 3 2 2 2" xfId="11363"/>
    <cellStyle name="Normal 29 5 2 3 2 3" xfId="11364"/>
    <cellStyle name="Normal 29 5 2 3 3" xfId="11365"/>
    <cellStyle name="Normal 29 5 2 3 3 2" xfId="11366"/>
    <cellStyle name="Normal 29 5 2 3 4" xfId="11367"/>
    <cellStyle name="Normal 29 5 2 4" xfId="11368"/>
    <cellStyle name="Normal 29 5 2 4 2" xfId="11369"/>
    <cellStyle name="Normal 29 5 2 4 2 2" xfId="11370"/>
    <cellStyle name="Normal 29 5 2 4 3" xfId="11371"/>
    <cellStyle name="Normal 29 5 2 5" xfId="11372"/>
    <cellStyle name="Normal 29 5 2 5 2" xfId="11373"/>
    <cellStyle name="Normal 29 5 2 6" xfId="11374"/>
    <cellStyle name="Normal 29 5 3" xfId="11375"/>
    <cellStyle name="Normal 29 5 3 2" xfId="11376"/>
    <cellStyle name="Normal 29 5 3 2 2" xfId="11377"/>
    <cellStyle name="Normal 29 5 3 2 2 2" xfId="11378"/>
    <cellStyle name="Normal 29 5 3 2 3" xfId="11379"/>
    <cellStyle name="Normal 29 5 3 3" xfId="11380"/>
    <cellStyle name="Normal 29 5 3 3 2" xfId="11381"/>
    <cellStyle name="Normal 29 5 3 4" xfId="11382"/>
    <cellStyle name="Normal 29 5 4" xfId="11383"/>
    <cellStyle name="Normal 29 5 4 2" xfId="11384"/>
    <cellStyle name="Normal 29 5 4 2 2" xfId="11385"/>
    <cellStyle name="Normal 29 5 4 2 2 2" xfId="11386"/>
    <cellStyle name="Normal 29 5 4 2 3" xfId="11387"/>
    <cellStyle name="Normal 29 5 4 3" xfId="11388"/>
    <cellStyle name="Normal 29 5 4 3 2" xfId="11389"/>
    <cellStyle name="Normal 29 5 4 4" xfId="11390"/>
    <cellStyle name="Normal 29 5 5" xfId="11391"/>
    <cellStyle name="Normal 29 5 5 2" xfId="11392"/>
    <cellStyle name="Normal 29 5 5 2 2" xfId="11393"/>
    <cellStyle name="Normal 29 5 5 3" xfId="11394"/>
    <cellStyle name="Normal 29 5 6" xfId="11395"/>
    <cellStyle name="Normal 29 5 6 2" xfId="11396"/>
    <cellStyle name="Normal 29 5 7" xfId="11397"/>
    <cellStyle name="Normal 29 6" xfId="11398"/>
    <cellStyle name="Normal 29 6 2" xfId="11399"/>
    <cellStyle name="Normal 29 6 2 2" xfId="11400"/>
    <cellStyle name="Normal 29 6 2 2 2" xfId="11401"/>
    <cellStyle name="Normal 29 6 2 2 2 2" xfId="11402"/>
    <cellStyle name="Normal 29 6 2 2 3" xfId="11403"/>
    <cellStyle name="Normal 29 6 2 3" xfId="11404"/>
    <cellStyle name="Normal 29 6 2 3 2" xfId="11405"/>
    <cellStyle name="Normal 29 6 2 4" xfId="11406"/>
    <cellStyle name="Normal 29 6 3" xfId="11407"/>
    <cellStyle name="Normal 29 6 3 2" xfId="11408"/>
    <cellStyle name="Normal 29 6 3 2 2" xfId="11409"/>
    <cellStyle name="Normal 29 6 3 2 2 2" xfId="11410"/>
    <cellStyle name="Normal 29 6 3 2 3" xfId="11411"/>
    <cellStyle name="Normal 29 6 3 3" xfId="11412"/>
    <cellStyle name="Normal 29 6 3 3 2" xfId="11413"/>
    <cellStyle name="Normal 29 6 3 4" xfId="11414"/>
    <cellStyle name="Normal 29 6 4" xfId="11415"/>
    <cellStyle name="Normal 29 6 4 2" xfId="11416"/>
    <cellStyle name="Normal 29 6 4 2 2" xfId="11417"/>
    <cellStyle name="Normal 29 6 4 3" xfId="11418"/>
    <cellStyle name="Normal 29 6 5" xfId="11419"/>
    <cellStyle name="Normal 29 6 5 2" xfId="11420"/>
    <cellStyle name="Normal 29 6 6" xfId="11421"/>
    <cellStyle name="Normal 29 7" xfId="11422"/>
    <cellStyle name="Normal 29 7 2" xfId="11423"/>
    <cellStyle name="Normal 29 7 2 2" xfId="11424"/>
    <cellStyle name="Normal 29 7 2 2 2" xfId="11425"/>
    <cellStyle name="Normal 29 7 2 2 2 2" xfId="11426"/>
    <cellStyle name="Normal 29 7 2 2 3" xfId="11427"/>
    <cellStyle name="Normal 29 7 2 3" xfId="11428"/>
    <cellStyle name="Normal 29 7 2 3 2" xfId="11429"/>
    <cellStyle name="Normal 29 7 2 4" xfId="11430"/>
    <cellStyle name="Normal 29 7 3" xfId="11431"/>
    <cellStyle name="Normal 29 7 3 2" xfId="11432"/>
    <cellStyle name="Normal 29 7 3 2 2" xfId="11433"/>
    <cellStyle name="Normal 29 7 3 2 2 2" xfId="11434"/>
    <cellStyle name="Normal 29 7 3 2 3" xfId="11435"/>
    <cellStyle name="Normal 29 7 3 3" xfId="11436"/>
    <cellStyle name="Normal 29 7 3 3 2" xfId="11437"/>
    <cellStyle name="Normal 29 7 3 4" xfId="11438"/>
    <cellStyle name="Normal 29 7 4" xfId="11439"/>
    <cellStyle name="Normal 29 7 4 2" xfId="11440"/>
    <cellStyle name="Normal 29 7 4 2 2" xfId="11441"/>
    <cellStyle name="Normal 29 7 4 3" xfId="11442"/>
    <cellStyle name="Normal 29 7 5" xfId="11443"/>
    <cellStyle name="Normal 29 7 5 2" xfId="11444"/>
    <cellStyle name="Normal 29 7 6" xfId="11445"/>
    <cellStyle name="Normal 29 8" xfId="11446"/>
    <cellStyle name="Normal 29 8 2" xfId="11447"/>
    <cellStyle name="Normal 29 8 2 2" xfId="11448"/>
    <cellStyle name="Normal 29 8 2 2 2" xfId="11449"/>
    <cellStyle name="Normal 29 8 2 3" xfId="11450"/>
    <cellStyle name="Normal 29 8 3" xfId="11451"/>
    <cellStyle name="Normal 29 8 3 2" xfId="11452"/>
    <cellStyle name="Normal 29 8 4" xfId="11453"/>
    <cellStyle name="Normal 29 9" xfId="11454"/>
    <cellStyle name="Normal 29 9 2" xfId="11455"/>
    <cellStyle name="Normal 29 9 2 2" xfId="11456"/>
    <cellStyle name="Normal 29 9 2 2 2" xfId="11457"/>
    <cellStyle name="Normal 29 9 2 3" xfId="11458"/>
    <cellStyle name="Normal 29 9 3" xfId="11459"/>
    <cellStyle name="Normal 29 9 3 2" xfId="11460"/>
    <cellStyle name="Normal 29 9 4" xfId="11461"/>
    <cellStyle name="Normal 3 2" xfId="11462"/>
    <cellStyle name="Normal 3 3" xfId="11463"/>
    <cellStyle name="Normal 3 3 10" xfId="11464"/>
    <cellStyle name="Normal 3 3 10 2" xfId="11465"/>
    <cellStyle name="Normal 3 3 10 2 2" xfId="11466"/>
    <cellStyle name="Normal 3 3 10 3" xfId="11467"/>
    <cellStyle name="Normal 3 3 11" xfId="11468"/>
    <cellStyle name="Normal 3 3 11 2" xfId="11469"/>
    <cellStyle name="Normal 3 3 12" xfId="11470"/>
    <cellStyle name="Normal 3 3 2" xfId="11471"/>
    <cellStyle name="Normal 3 3 2 10" xfId="11472"/>
    <cellStyle name="Normal 3 3 2 2" xfId="11473"/>
    <cellStyle name="Normal 3 3 2 2 2" xfId="11474"/>
    <cellStyle name="Normal 3 3 2 2 2 2" xfId="11475"/>
    <cellStyle name="Normal 3 3 2 2 2 2 2" xfId="11476"/>
    <cellStyle name="Normal 3 3 2 2 2 2 2 2" xfId="11477"/>
    <cellStyle name="Normal 3 3 2 2 2 2 2 2 2" xfId="11478"/>
    <cellStyle name="Normal 3 3 2 2 2 2 2 3" xfId="11479"/>
    <cellStyle name="Normal 3 3 2 2 2 2 3" xfId="11480"/>
    <cellStyle name="Normal 3 3 2 2 2 2 3 2" xfId="11481"/>
    <cellStyle name="Normal 3 3 2 2 2 2 4" xfId="11482"/>
    <cellStyle name="Normal 3 3 2 2 2 3" xfId="11483"/>
    <cellStyle name="Normal 3 3 2 2 2 3 2" xfId="11484"/>
    <cellStyle name="Normal 3 3 2 2 2 3 2 2" xfId="11485"/>
    <cellStyle name="Normal 3 3 2 2 2 3 2 2 2" xfId="11486"/>
    <cellStyle name="Normal 3 3 2 2 2 3 2 3" xfId="11487"/>
    <cellStyle name="Normal 3 3 2 2 2 3 3" xfId="11488"/>
    <cellStyle name="Normal 3 3 2 2 2 3 3 2" xfId="11489"/>
    <cellStyle name="Normal 3 3 2 2 2 3 4" xfId="11490"/>
    <cellStyle name="Normal 3 3 2 2 2 4" xfId="11491"/>
    <cellStyle name="Normal 3 3 2 2 2 4 2" xfId="11492"/>
    <cellStyle name="Normal 3 3 2 2 2 4 2 2" xfId="11493"/>
    <cellStyle name="Normal 3 3 2 2 2 4 3" xfId="11494"/>
    <cellStyle name="Normal 3 3 2 2 2 5" xfId="11495"/>
    <cellStyle name="Normal 3 3 2 2 2 5 2" xfId="11496"/>
    <cellStyle name="Normal 3 3 2 2 2 6" xfId="11497"/>
    <cellStyle name="Normal 3 3 2 2 3" xfId="11498"/>
    <cellStyle name="Normal 3 3 2 2 3 2" xfId="11499"/>
    <cellStyle name="Normal 3 3 2 2 3 2 2" xfId="11500"/>
    <cellStyle name="Normal 3 3 2 2 3 2 2 2" xfId="11501"/>
    <cellStyle name="Normal 3 3 2 2 3 2 3" xfId="11502"/>
    <cellStyle name="Normal 3 3 2 2 3 3" xfId="11503"/>
    <cellStyle name="Normal 3 3 2 2 3 3 2" xfId="11504"/>
    <cellStyle name="Normal 3 3 2 2 3 4" xfId="11505"/>
    <cellStyle name="Normal 3 3 2 2 4" xfId="11506"/>
    <cellStyle name="Normal 3 3 2 2 4 2" xfId="11507"/>
    <cellStyle name="Normal 3 3 2 2 4 2 2" xfId="11508"/>
    <cellStyle name="Normal 3 3 2 2 4 2 2 2" xfId="11509"/>
    <cellStyle name="Normal 3 3 2 2 4 2 3" xfId="11510"/>
    <cellStyle name="Normal 3 3 2 2 4 3" xfId="11511"/>
    <cellStyle name="Normal 3 3 2 2 4 3 2" xfId="11512"/>
    <cellStyle name="Normal 3 3 2 2 4 4" xfId="11513"/>
    <cellStyle name="Normal 3 3 2 2 5" xfId="11514"/>
    <cellStyle name="Normal 3 3 2 2 5 2" xfId="11515"/>
    <cellStyle name="Normal 3 3 2 2 5 2 2" xfId="11516"/>
    <cellStyle name="Normal 3 3 2 2 5 3" xfId="11517"/>
    <cellStyle name="Normal 3 3 2 2 6" xfId="11518"/>
    <cellStyle name="Normal 3 3 2 2 6 2" xfId="11519"/>
    <cellStyle name="Normal 3 3 2 2 7" xfId="11520"/>
    <cellStyle name="Normal 3 3 2 3" xfId="11521"/>
    <cellStyle name="Normal 3 3 2 3 2" xfId="11522"/>
    <cellStyle name="Normal 3 3 2 3 2 2" xfId="11523"/>
    <cellStyle name="Normal 3 3 2 3 2 2 2" xfId="11524"/>
    <cellStyle name="Normal 3 3 2 3 2 2 2 2" xfId="11525"/>
    <cellStyle name="Normal 3 3 2 3 2 2 3" xfId="11526"/>
    <cellStyle name="Normal 3 3 2 3 2 3" xfId="11527"/>
    <cellStyle name="Normal 3 3 2 3 2 3 2" xfId="11528"/>
    <cellStyle name="Normal 3 3 2 3 2 4" xfId="11529"/>
    <cellStyle name="Normal 3 3 2 3 3" xfId="11530"/>
    <cellStyle name="Normal 3 3 2 3 3 2" xfId="11531"/>
    <cellStyle name="Normal 3 3 2 3 3 2 2" xfId="11532"/>
    <cellStyle name="Normal 3 3 2 3 3 2 2 2" xfId="11533"/>
    <cellStyle name="Normal 3 3 2 3 3 2 3" xfId="11534"/>
    <cellStyle name="Normal 3 3 2 3 3 3" xfId="11535"/>
    <cellStyle name="Normal 3 3 2 3 3 3 2" xfId="11536"/>
    <cellStyle name="Normal 3 3 2 3 3 4" xfId="11537"/>
    <cellStyle name="Normal 3 3 2 3 4" xfId="11538"/>
    <cellStyle name="Normal 3 3 2 3 4 2" xfId="11539"/>
    <cellStyle name="Normal 3 3 2 3 4 2 2" xfId="11540"/>
    <cellStyle name="Normal 3 3 2 3 4 3" xfId="11541"/>
    <cellStyle name="Normal 3 3 2 3 5" xfId="11542"/>
    <cellStyle name="Normal 3 3 2 3 5 2" xfId="11543"/>
    <cellStyle name="Normal 3 3 2 3 6" xfId="11544"/>
    <cellStyle name="Normal 3 3 2 4" xfId="11545"/>
    <cellStyle name="Normal 3 3 2 4 2" xfId="11546"/>
    <cellStyle name="Normal 3 3 2 4 2 2" xfId="11547"/>
    <cellStyle name="Normal 3 3 2 4 2 2 2" xfId="11548"/>
    <cellStyle name="Normal 3 3 2 4 2 2 2 2" xfId="11549"/>
    <cellStyle name="Normal 3 3 2 4 2 2 3" xfId="11550"/>
    <cellStyle name="Normal 3 3 2 4 2 3" xfId="11551"/>
    <cellStyle name="Normal 3 3 2 4 2 3 2" xfId="11552"/>
    <cellStyle name="Normal 3 3 2 4 2 4" xfId="11553"/>
    <cellStyle name="Normal 3 3 2 4 3" xfId="11554"/>
    <cellStyle name="Normal 3 3 2 4 3 2" xfId="11555"/>
    <cellStyle name="Normal 3 3 2 4 3 2 2" xfId="11556"/>
    <cellStyle name="Normal 3 3 2 4 3 2 2 2" xfId="11557"/>
    <cellStyle name="Normal 3 3 2 4 3 2 3" xfId="11558"/>
    <cellStyle name="Normal 3 3 2 4 3 3" xfId="11559"/>
    <cellStyle name="Normal 3 3 2 4 3 3 2" xfId="11560"/>
    <cellStyle name="Normal 3 3 2 4 3 4" xfId="11561"/>
    <cellStyle name="Normal 3 3 2 4 4" xfId="11562"/>
    <cellStyle name="Normal 3 3 2 4 4 2" xfId="11563"/>
    <cellStyle name="Normal 3 3 2 4 4 2 2" xfId="11564"/>
    <cellStyle name="Normal 3 3 2 4 4 3" xfId="11565"/>
    <cellStyle name="Normal 3 3 2 4 5" xfId="11566"/>
    <cellStyle name="Normal 3 3 2 4 5 2" xfId="11567"/>
    <cellStyle name="Normal 3 3 2 4 6" xfId="11568"/>
    <cellStyle name="Normal 3 3 2 5" xfId="11569"/>
    <cellStyle name="Normal 3 3 2 5 2" xfId="11570"/>
    <cellStyle name="Normal 3 3 2 5 2 2" xfId="11571"/>
    <cellStyle name="Normal 3 3 2 5 2 2 2" xfId="11572"/>
    <cellStyle name="Normal 3 3 2 5 2 3" xfId="11573"/>
    <cellStyle name="Normal 3 3 2 5 3" xfId="11574"/>
    <cellStyle name="Normal 3 3 2 5 3 2" xfId="11575"/>
    <cellStyle name="Normal 3 3 2 5 4" xfId="11576"/>
    <cellStyle name="Normal 3 3 2 6" xfId="11577"/>
    <cellStyle name="Normal 3 3 2 6 2" xfId="11578"/>
    <cellStyle name="Normal 3 3 2 6 2 2" xfId="11579"/>
    <cellStyle name="Normal 3 3 2 6 2 2 2" xfId="11580"/>
    <cellStyle name="Normal 3 3 2 6 2 3" xfId="11581"/>
    <cellStyle name="Normal 3 3 2 6 3" xfId="11582"/>
    <cellStyle name="Normal 3 3 2 6 3 2" xfId="11583"/>
    <cellStyle name="Normal 3 3 2 6 4" xfId="11584"/>
    <cellStyle name="Normal 3 3 2 7" xfId="11585"/>
    <cellStyle name="Normal 3 3 2 7 2" xfId="11586"/>
    <cellStyle name="Normal 3 3 2 7 2 2" xfId="11587"/>
    <cellStyle name="Normal 3 3 2 7 2 2 2" xfId="11588"/>
    <cellStyle name="Normal 3 3 2 7 2 3" xfId="11589"/>
    <cellStyle name="Normal 3 3 2 7 3" xfId="11590"/>
    <cellStyle name="Normal 3 3 2 7 3 2" xfId="11591"/>
    <cellStyle name="Normal 3 3 2 7 4" xfId="11592"/>
    <cellStyle name="Normal 3 3 2 8" xfId="11593"/>
    <cellStyle name="Normal 3 3 2 8 2" xfId="11594"/>
    <cellStyle name="Normal 3 3 2 8 2 2" xfId="11595"/>
    <cellStyle name="Normal 3 3 2 8 3" xfId="11596"/>
    <cellStyle name="Normal 3 3 2 9" xfId="11597"/>
    <cellStyle name="Normal 3 3 2 9 2" xfId="11598"/>
    <cellStyle name="Normal 3 3 3" xfId="11599"/>
    <cellStyle name="Normal 3 3 3 2" xfId="11600"/>
    <cellStyle name="Normal 3 3 3 2 2" xfId="11601"/>
    <cellStyle name="Normal 3 3 3 2 2 2" xfId="11602"/>
    <cellStyle name="Normal 3 3 3 2 2 2 2" xfId="11603"/>
    <cellStyle name="Normal 3 3 3 2 2 2 2 2" xfId="11604"/>
    <cellStyle name="Normal 3 3 3 2 2 2 2 2 2" xfId="11605"/>
    <cellStyle name="Normal 3 3 3 2 2 2 2 3" xfId="11606"/>
    <cellStyle name="Normal 3 3 3 2 2 2 3" xfId="11607"/>
    <cellStyle name="Normal 3 3 3 2 2 2 3 2" xfId="11608"/>
    <cellStyle name="Normal 3 3 3 2 2 2 4" xfId="11609"/>
    <cellStyle name="Normal 3 3 3 2 2 3" xfId="11610"/>
    <cellStyle name="Normal 3 3 3 2 2 3 2" xfId="11611"/>
    <cellStyle name="Normal 3 3 3 2 2 3 2 2" xfId="11612"/>
    <cellStyle name="Normal 3 3 3 2 2 3 2 2 2" xfId="11613"/>
    <cellStyle name="Normal 3 3 3 2 2 3 2 3" xfId="11614"/>
    <cellStyle name="Normal 3 3 3 2 2 3 3" xfId="11615"/>
    <cellStyle name="Normal 3 3 3 2 2 3 3 2" xfId="11616"/>
    <cellStyle name="Normal 3 3 3 2 2 3 4" xfId="11617"/>
    <cellStyle name="Normal 3 3 3 2 2 4" xfId="11618"/>
    <cellStyle name="Normal 3 3 3 2 2 4 2" xfId="11619"/>
    <cellStyle name="Normal 3 3 3 2 2 4 2 2" xfId="11620"/>
    <cellStyle name="Normal 3 3 3 2 2 4 3" xfId="11621"/>
    <cellStyle name="Normal 3 3 3 2 2 5" xfId="11622"/>
    <cellStyle name="Normal 3 3 3 2 2 5 2" xfId="11623"/>
    <cellStyle name="Normal 3 3 3 2 2 6" xfId="11624"/>
    <cellStyle name="Normal 3 3 3 2 3" xfId="11625"/>
    <cellStyle name="Normal 3 3 3 2 3 2" xfId="11626"/>
    <cellStyle name="Normal 3 3 3 2 3 2 2" xfId="11627"/>
    <cellStyle name="Normal 3 3 3 2 3 2 2 2" xfId="11628"/>
    <cellStyle name="Normal 3 3 3 2 3 2 3" xfId="11629"/>
    <cellStyle name="Normal 3 3 3 2 3 3" xfId="11630"/>
    <cellStyle name="Normal 3 3 3 2 3 3 2" xfId="11631"/>
    <cellStyle name="Normal 3 3 3 2 3 4" xfId="11632"/>
    <cellStyle name="Normal 3 3 3 2 4" xfId="11633"/>
    <cellStyle name="Normal 3 3 3 2 4 2" xfId="11634"/>
    <cellStyle name="Normal 3 3 3 2 4 2 2" xfId="11635"/>
    <cellStyle name="Normal 3 3 3 2 4 2 2 2" xfId="11636"/>
    <cellStyle name="Normal 3 3 3 2 4 2 3" xfId="11637"/>
    <cellStyle name="Normal 3 3 3 2 4 3" xfId="11638"/>
    <cellStyle name="Normal 3 3 3 2 4 3 2" xfId="11639"/>
    <cellStyle name="Normal 3 3 3 2 4 4" xfId="11640"/>
    <cellStyle name="Normal 3 3 3 2 5" xfId="11641"/>
    <cellStyle name="Normal 3 3 3 2 5 2" xfId="11642"/>
    <cellStyle name="Normal 3 3 3 2 5 2 2" xfId="11643"/>
    <cellStyle name="Normal 3 3 3 2 5 3" xfId="11644"/>
    <cellStyle name="Normal 3 3 3 2 6" xfId="11645"/>
    <cellStyle name="Normal 3 3 3 2 6 2" xfId="11646"/>
    <cellStyle name="Normal 3 3 3 2 7" xfId="11647"/>
    <cellStyle name="Normal 3 3 3 3" xfId="11648"/>
    <cellStyle name="Normal 3 3 3 3 2" xfId="11649"/>
    <cellStyle name="Normal 3 3 3 3 2 2" xfId="11650"/>
    <cellStyle name="Normal 3 3 3 3 2 2 2" xfId="11651"/>
    <cellStyle name="Normal 3 3 3 3 2 2 2 2" xfId="11652"/>
    <cellStyle name="Normal 3 3 3 3 2 2 3" xfId="11653"/>
    <cellStyle name="Normal 3 3 3 3 2 3" xfId="11654"/>
    <cellStyle name="Normal 3 3 3 3 2 3 2" xfId="11655"/>
    <cellStyle name="Normal 3 3 3 3 2 4" xfId="11656"/>
    <cellStyle name="Normal 3 3 3 3 3" xfId="11657"/>
    <cellStyle name="Normal 3 3 3 3 3 2" xfId="11658"/>
    <cellStyle name="Normal 3 3 3 3 3 2 2" xfId="11659"/>
    <cellStyle name="Normal 3 3 3 3 3 2 2 2" xfId="11660"/>
    <cellStyle name="Normal 3 3 3 3 3 2 3" xfId="11661"/>
    <cellStyle name="Normal 3 3 3 3 3 3" xfId="11662"/>
    <cellStyle name="Normal 3 3 3 3 3 3 2" xfId="11663"/>
    <cellStyle name="Normal 3 3 3 3 3 4" xfId="11664"/>
    <cellStyle name="Normal 3 3 3 3 4" xfId="11665"/>
    <cellStyle name="Normal 3 3 3 3 4 2" xfId="11666"/>
    <cellStyle name="Normal 3 3 3 3 4 2 2" xfId="11667"/>
    <cellStyle name="Normal 3 3 3 3 4 3" xfId="11668"/>
    <cellStyle name="Normal 3 3 3 3 5" xfId="11669"/>
    <cellStyle name="Normal 3 3 3 3 5 2" xfId="11670"/>
    <cellStyle name="Normal 3 3 3 3 6" xfId="11671"/>
    <cellStyle name="Normal 3 3 3 4" xfId="11672"/>
    <cellStyle name="Normal 3 3 3 4 2" xfId="11673"/>
    <cellStyle name="Normal 3 3 3 4 2 2" xfId="11674"/>
    <cellStyle name="Normal 3 3 3 4 2 2 2" xfId="11675"/>
    <cellStyle name="Normal 3 3 3 4 2 2 2 2" xfId="11676"/>
    <cellStyle name="Normal 3 3 3 4 2 2 3" xfId="11677"/>
    <cellStyle name="Normal 3 3 3 4 2 3" xfId="11678"/>
    <cellStyle name="Normal 3 3 3 4 2 3 2" xfId="11679"/>
    <cellStyle name="Normal 3 3 3 4 2 4" xfId="11680"/>
    <cellStyle name="Normal 3 3 3 4 3" xfId="11681"/>
    <cellStyle name="Normal 3 3 3 4 3 2" xfId="11682"/>
    <cellStyle name="Normal 3 3 3 4 3 2 2" xfId="11683"/>
    <cellStyle name="Normal 3 3 3 4 3 2 2 2" xfId="11684"/>
    <cellStyle name="Normal 3 3 3 4 3 2 3" xfId="11685"/>
    <cellStyle name="Normal 3 3 3 4 3 3" xfId="11686"/>
    <cellStyle name="Normal 3 3 3 4 3 3 2" xfId="11687"/>
    <cellStyle name="Normal 3 3 3 4 3 4" xfId="11688"/>
    <cellStyle name="Normal 3 3 3 4 4" xfId="11689"/>
    <cellStyle name="Normal 3 3 3 4 4 2" xfId="11690"/>
    <cellStyle name="Normal 3 3 3 4 4 2 2" xfId="11691"/>
    <cellStyle name="Normal 3 3 3 4 4 3" xfId="11692"/>
    <cellStyle name="Normal 3 3 3 4 5" xfId="11693"/>
    <cellStyle name="Normal 3 3 3 4 5 2" xfId="11694"/>
    <cellStyle name="Normal 3 3 3 4 6" xfId="11695"/>
    <cellStyle name="Normal 3 3 3 5" xfId="11696"/>
    <cellStyle name="Normal 3 3 3 5 2" xfId="11697"/>
    <cellStyle name="Normal 3 3 3 5 2 2" xfId="11698"/>
    <cellStyle name="Normal 3 3 3 5 2 2 2" xfId="11699"/>
    <cellStyle name="Normal 3 3 3 5 2 3" xfId="11700"/>
    <cellStyle name="Normal 3 3 3 5 3" xfId="11701"/>
    <cellStyle name="Normal 3 3 3 5 3 2" xfId="11702"/>
    <cellStyle name="Normal 3 3 3 5 4" xfId="11703"/>
    <cellStyle name="Normal 3 3 3 6" xfId="11704"/>
    <cellStyle name="Normal 3 3 3 6 2" xfId="11705"/>
    <cellStyle name="Normal 3 3 3 6 2 2" xfId="11706"/>
    <cellStyle name="Normal 3 3 3 6 2 2 2" xfId="11707"/>
    <cellStyle name="Normal 3 3 3 6 2 3" xfId="11708"/>
    <cellStyle name="Normal 3 3 3 6 3" xfId="11709"/>
    <cellStyle name="Normal 3 3 3 6 3 2" xfId="11710"/>
    <cellStyle name="Normal 3 3 3 6 4" xfId="11711"/>
    <cellStyle name="Normal 3 3 3 7" xfId="11712"/>
    <cellStyle name="Normal 3 3 3 7 2" xfId="11713"/>
    <cellStyle name="Normal 3 3 3 7 2 2" xfId="11714"/>
    <cellStyle name="Normal 3 3 3 7 3" xfId="11715"/>
    <cellStyle name="Normal 3 3 3 8" xfId="11716"/>
    <cellStyle name="Normal 3 3 3 8 2" xfId="11717"/>
    <cellStyle name="Normal 3 3 3 9" xfId="11718"/>
    <cellStyle name="Normal 3 3 4" xfId="11719"/>
    <cellStyle name="Normal 3 3 4 2" xfId="11720"/>
    <cellStyle name="Normal 3 3 4 2 2" xfId="11721"/>
    <cellStyle name="Normal 3 3 4 2 2 2" xfId="11722"/>
    <cellStyle name="Normal 3 3 4 2 2 2 2" xfId="11723"/>
    <cellStyle name="Normal 3 3 4 2 2 2 2 2" xfId="11724"/>
    <cellStyle name="Normal 3 3 4 2 2 2 3" xfId="11725"/>
    <cellStyle name="Normal 3 3 4 2 2 3" xfId="11726"/>
    <cellStyle name="Normal 3 3 4 2 2 3 2" xfId="11727"/>
    <cellStyle name="Normal 3 3 4 2 2 4" xfId="11728"/>
    <cellStyle name="Normal 3 3 4 2 3" xfId="11729"/>
    <cellStyle name="Normal 3 3 4 2 3 2" xfId="11730"/>
    <cellStyle name="Normal 3 3 4 2 3 2 2" xfId="11731"/>
    <cellStyle name="Normal 3 3 4 2 3 2 2 2" xfId="11732"/>
    <cellStyle name="Normal 3 3 4 2 3 2 3" xfId="11733"/>
    <cellStyle name="Normal 3 3 4 2 3 3" xfId="11734"/>
    <cellStyle name="Normal 3 3 4 2 3 3 2" xfId="11735"/>
    <cellStyle name="Normal 3 3 4 2 3 4" xfId="11736"/>
    <cellStyle name="Normal 3 3 4 2 4" xfId="11737"/>
    <cellStyle name="Normal 3 3 4 2 4 2" xfId="11738"/>
    <cellStyle name="Normal 3 3 4 2 4 2 2" xfId="11739"/>
    <cellStyle name="Normal 3 3 4 2 4 3" xfId="11740"/>
    <cellStyle name="Normal 3 3 4 2 5" xfId="11741"/>
    <cellStyle name="Normal 3 3 4 2 5 2" xfId="11742"/>
    <cellStyle name="Normal 3 3 4 2 6" xfId="11743"/>
    <cellStyle name="Normal 3 3 4 3" xfId="11744"/>
    <cellStyle name="Normal 3 3 4 3 2" xfId="11745"/>
    <cellStyle name="Normal 3 3 4 3 2 2" xfId="11746"/>
    <cellStyle name="Normal 3 3 4 3 2 2 2" xfId="11747"/>
    <cellStyle name="Normal 3 3 4 3 2 3" xfId="11748"/>
    <cellStyle name="Normal 3 3 4 3 3" xfId="11749"/>
    <cellStyle name="Normal 3 3 4 3 3 2" xfId="11750"/>
    <cellStyle name="Normal 3 3 4 3 4" xfId="11751"/>
    <cellStyle name="Normal 3 3 4 4" xfId="11752"/>
    <cellStyle name="Normal 3 3 4 4 2" xfId="11753"/>
    <cellStyle name="Normal 3 3 4 4 2 2" xfId="11754"/>
    <cellStyle name="Normal 3 3 4 4 2 2 2" xfId="11755"/>
    <cellStyle name="Normal 3 3 4 4 2 3" xfId="11756"/>
    <cellStyle name="Normal 3 3 4 4 3" xfId="11757"/>
    <cellStyle name="Normal 3 3 4 4 3 2" xfId="11758"/>
    <cellStyle name="Normal 3 3 4 4 4" xfId="11759"/>
    <cellStyle name="Normal 3 3 4 5" xfId="11760"/>
    <cellStyle name="Normal 3 3 4 5 2" xfId="11761"/>
    <cellStyle name="Normal 3 3 4 5 2 2" xfId="11762"/>
    <cellStyle name="Normal 3 3 4 5 3" xfId="11763"/>
    <cellStyle name="Normal 3 3 4 6" xfId="11764"/>
    <cellStyle name="Normal 3 3 4 6 2" xfId="11765"/>
    <cellStyle name="Normal 3 3 4 7" xfId="11766"/>
    <cellStyle name="Normal 3 3 5" xfId="11767"/>
    <cellStyle name="Normal 3 3 5 2" xfId="11768"/>
    <cellStyle name="Normal 3 3 5 2 2" xfId="11769"/>
    <cellStyle name="Normal 3 3 5 2 2 2" xfId="11770"/>
    <cellStyle name="Normal 3 3 5 2 2 2 2" xfId="11771"/>
    <cellStyle name="Normal 3 3 5 2 2 3" xfId="11772"/>
    <cellStyle name="Normal 3 3 5 2 3" xfId="11773"/>
    <cellStyle name="Normal 3 3 5 2 3 2" xfId="11774"/>
    <cellStyle name="Normal 3 3 5 2 4" xfId="11775"/>
    <cellStyle name="Normal 3 3 5 3" xfId="11776"/>
    <cellStyle name="Normal 3 3 5 3 2" xfId="11777"/>
    <cellStyle name="Normal 3 3 5 3 2 2" xfId="11778"/>
    <cellStyle name="Normal 3 3 5 3 2 2 2" xfId="11779"/>
    <cellStyle name="Normal 3 3 5 3 2 3" xfId="11780"/>
    <cellStyle name="Normal 3 3 5 3 3" xfId="11781"/>
    <cellStyle name="Normal 3 3 5 3 3 2" xfId="11782"/>
    <cellStyle name="Normal 3 3 5 3 4" xfId="11783"/>
    <cellStyle name="Normal 3 3 5 4" xfId="11784"/>
    <cellStyle name="Normal 3 3 5 4 2" xfId="11785"/>
    <cellStyle name="Normal 3 3 5 4 2 2" xfId="11786"/>
    <cellStyle name="Normal 3 3 5 4 3" xfId="11787"/>
    <cellStyle name="Normal 3 3 5 5" xfId="11788"/>
    <cellStyle name="Normal 3 3 5 5 2" xfId="11789"/>
    <cellStyle name="Normal 3 3 5 6" xfId="11790"/>
    <cellStyle name="Normal 3 3 6" xfId="11791"/>
    <cellStyle name="Normal 3 3 6 2" xfId="11792"/>
    <cellStyle name="Normal 3 3 6 2 2" xfId="11793"/>
    <cellStyle name="Normal 3 3 6 2 2 2" xfId="11794"/>
    <cellStyle name="Normal 3 3 6 2 2 2 2" xfId="11795"/>
    <cellStyle name="Normal 3 3 6 2 2 3" xfId="11796"/>
    <cellStyle name="Normal 3 3 6 2 3" xfId="11797"/>
    <cellStyle name="Normal 3 3 6 2 3 2" xfId="11798"/>
    <cellStyle name="Normal 3 3 6 2 4" xfId="11799"/>
    <cellStyle name="Normal 3 3 6 3" xfId="11800"/>
    <cellStyle name="Normal 3 3 6 3 2" xfId="11801"/>
    <cellStyle name="Normal 3 3 6 3 2 2" xfId="11802"/>
    <cellStyle name="Normal 3 3 6 3 2 2 2" xfId="11803"/>
    <cellStyle name="Normal 3 3 6 3 2 3" xfId="11804"/>
    <cellStyle name="Normal 3 3 6 3 3" xfId="11805"/>
    <cellStyle name="Normal 3 3 6 3 3 2" xfId="11806"/>
    <cellStyle name="Normal 3 3 6 3 4" xfId="11807"/>
    <cellStyle name="Normal 3 3 6 4" xfId="11808"/>
    <cellStyle name="Normal 3 3 6 4 2" xfId="11809"/>
    <cellStyle name="Normal 3 3 6 4 2 2" xfId="11810"/>
    <cellStyle name="Normal 3 3 6 4 3" xfId="11811"/>
    <cellStyle name="Normal 3 3 6 5" xfId="11812"/>
    <cellStyle name="Normal 3 3 6 5 2" xfId="11813"/>
    <cellStyle name="Normal 3 3 6 6" xfId="11814"/>
    <cellStyle name="Normal 3 3 7" xfId="11815"/>
    <cellStyle name="Normal 3 3 7 2" xfId="11816"/>
    <cellStyle name="Normal 3 3 7 2 2" xfId="11817"/>
    <cellStyle name="Normal 3 3 7 2 2 2" xfId="11818"/>
    <cellStyle name="Normal 3 3 7 2 3" xfId="11819"/>
    <cellStyle name="Normal 3 3 7 3" xfId="11820"/>
    <cellStyle name="Normal 3 3 7 3 2" xfId="11821"/>
    <cellStyle name="Normal 3 3 7 4" xfId="11822"/>
    <cellStyle name="Normal 3 3 8" xfId="11823"/>
    <cellStyle name="Normal 3 3 8 2" xfId="11824"/>
    <cellStyle name="Normal 3 3 8 2 2" xfId="11825"/>
    <cellStyle name="Normal 3 3 8 2 2 2" xfId="11826"/>
    <cellStyle name="Normal 3 3 8 2 3" xfId="11827"/>
    <cellStyle name="Normal 3 3 8 3" xfId="11828"/>
    <cellStyle name="Normal 3 3 8 3 2" xfId="11829"/>
    <cellStyle name="Normal 3 3 8 4" xfId="11830"/>
    <cellStyle name="Normal 3 3 9" xfId="11831"/>
    <cellStyle name="Normal 3 3 9 2" xfId="11832"/>
    <cellStyle name="Normal 3 3 9 2 2" xfId="11833"/>
    <cellStyle name="Normal 3 3 9 2 2 2" xfId="11834"/>
    <cellStyle name="Normal 3 3 9 2 3" xfId="11835"/>
    <cellStyle name="Normal 3 3 9 3" xfId="11836"/>
    <cellStyle name="Normal 3 3 9 3 2" xfId="11837"/>
    <cellStyle name="Normal 3 3 9 4" xfId="11838"/>
    <cellStyle name="Normal 3 4" xfId="11839"/>
    <cellStyle name="Normal 3_20130813  航空公司综合数据—国航7月数据" xfId="11840"/>
    <cellStyle name="Normal 30" xfId="11841"/>
    <cellStyle name="Normal 30 10" xfId="11842"/>
    <cellStyle name="Normal 30 10 2" xfId="11843"/>
    <cellStyle name="Normal 30 10 2 2" xfId="11844"/>
    <cellStyle name="Normal 30 10 2 2 2" xfId="11845"/>
    <cellStyle name="Normal 30 10 2 3" xfId="11846"/>
    <cellStyle name="Normal 30 10 3" xfId="11847"/>
    <cellStyle name="Normal 30 10 3 2" xfId="11848"/>
    <cellStyle name="Normal 30 10 4" xfId="11849"/>
    <cellStyle name="Normal 30 11" xfId="11850"/>
    <cellStyle name="Normal 30 11 2" xfId="11851"/>
    <cellStyle name="Normal 30 11 2 2" xfId="11852"/>
    <cellStyle name="Normal 30 11 3" xfId="11853"/>
    <cellStyle name="Normal 30 12" xfId="11854"/>
    <cellStyle name="Normal 30 12 2" xfId="11855"/>
    <cellStyle name="Normal 30 13" xfId="11856"/>
    <cellStyle name="Normal 30 2" xfId="11857"/>
    <cellStyle name="Normal 30 3" xfId="11858"/>
    <cellStyle name="Normal 30 3 10" xfId="11859"/>
    <cellStyle name="Normal 30 3 2" xfId="11860"/>
    <cellStyle name="Normal 30 3 2 2" xfId="11861"/>
    <cellStyle name="Normal 30 3 2 2 2" xfId="11862"/>
    <cellStyle name="Normal 30 3 2 2 2 2" xfId="11863"/>
    <cellStyle name="Normal 30 3 2 2 2 2 2" xfId="11864"/>
    <cellStyle name="Normal 30 3 2 2 2 2 2 2" xfId="11865"/>
    <cellStyle name="Normal 30 3 2 2 2 2 3" xfId="11866"/>
    <cellStyle name="Normal 30 3 2 2 2 3" xfId="11867"/>
    <cellStyle name="Normal 30 3 2 2 2 3 2" xfId="11868"/>
    <cellStyle name="Normal 30 3 2 2 2 4" xfId="11869"/>
    <cellStyle name="Normal 30 3 2 2 3" xfId="11870"/>
    <cellStyle name="Normal 30 3 2 2 3 2" xfId="11871"/>
    <cellStyle name="Normal 30 3 2 2 3 2 2" xfId="11872"/>
    <cellStyle name="Normal 30 3 2 2 3 2 2 2" xfId="11873"/>
    <cellStyle name="Normal 30 3 2 2 3 2 3" xfId="11874"/>
    <cellStyle name="Normal 30 3 2 2 3 3" xfId="11875"/>
    <cellStyle name="Normal 30 3 2 2 3 3 2" xfId="11876"/>
    <cellStyle name="Normal 30 3 2 2 3 4" xfId="11877"/>
    <cellStyle name="Normal 30 3 2 2 4" xfId="11878"/>
    <cellStyle name="Normal 30 3 2 2 4 2" xfId="11879"/>
    <cellStyle name="Normal 30 3 2 2 4 2 2" xfId="11880"/>
    <cellStyle name="Normal 30 3 2 2 4 3" xfId="11881"/>
    <cellStyle name="Normal 30 3 2 2 5" xfId="11882"/>
    <cellStyle name="Normal 30 3 2 2 5 2" xfId="11883"/>
    <cellStyle name="Normal 30 3 2 2 6" xfId="11884"/>
    <cellStyle name="Normal 30 3 2 3" xfId="11885"/>
    <cellStyle name="Normal 30 3 2 3 2" xfId="11886"/>
    <cellStyle name="Normal 30 3 2 3 2 2" xfId="11887"/>
    <cellStyle name="Normal 30 3 2 3 2 2 2" xfId="11888"/>
    <cellStyle name="Normal 30 3 2 3 2 3" xfId="11889"/>
    <cellStyle name="Normal 30 3 2 3 3" xfId="11890"/>
    <cellStyle name="Normal 30 3 2 3 3 2" xfId="11891"/>
    <cellStyle name="Normal 30 3 2 3 4" xfId="11892"/>
    <cellStyle name="Normal 30 3 2 4" xfId="11893"/>
    <cellStyle name="Normal 30 3 2 4 2" xfId="11894"/>
    <cellStyle name="Normal 30 3 2 4 2 2" xfId="11895"/>
    <cellStyle name="Normal 30 3 2 4 2 2 2" xfId="11896"/>
    <cellStyle name="Normal 30 3 2 4 2 3" xfId="11897"/>
    <cellStyle name="Normal 30 3 2 4 3" xfId="11898"/>
    <cellStyle name="Normal 30 3 2 4 3 2" xfId="11899"/>
    <cellStyle name="Normal 30 3 2 4 4" xfId="11900"/>
    <cellStyle name="Normal 30 3 2 5" xfId="11901"/>
    <cellStyle name="Normal 30 3 2 5 2" xfId="11902"/>
    <cellStyle name="Normal 30 3 2 5 2 2" xfId="11903"/>
    <cellStyle name="Normal 30 3 2 5 3" xfId="11904"/>
    <cellStyle name="Normal 30 3 2 6" xfId="11905"/>
    <cellStyle name="Normal 30 3 2 6 2" xfId="11906"/>
    <cellStyle name="Normal 30 3 2 7" xfId="11907"/>
    <cellStyle name="Normal 30 3 3" xfId="11908"/>
    <cellStyle name="Normal 30 3 3 2" xfId="11909"/>
    <cellStyle name="Normal 30 3 3 2 2" xfId="11910"/>
    <cellStyle name="Normal 30 3 3 2 2 2" xfId="11911"/>
    <cellStyle name="Normal 30 3 3 2 2 2 2" xfId="11912"/>
    <cellStyle name="Normal 30 3 3 2 2 3" xfId="11913"/>
    <cellStyle name="Normal 30 3 3 2 3" xfId="11914"/>
    <cellStyle name="Normal 30 3 3 2 3 2" xfId="11915"/>
    <cellStyle name="Normal 30 3 3 2 4" xfId="11916"/>
    <cellStyle name="Normal 30 3 3 3" xfId="11917"/>
    <cellStyle name="Normal 30 3 3 3 2" xfId="11918"/>
    <cellStyle name="Normal 30 3 3 3 2 2" xfId="11919"/>
    <cellStyle name="Normal 30 3 3 3 2 2 2" xfId="11920"/>
    <cellStyle name="Normal 30 3 3 3 2 3" xfId="11921"/>
    <cellStyle name="Normal 30 3 3 3 3" xfId="11922"/>
    <cellStyle name="Normal 30 3 3 3 3 2" xfId="11923"/>
    <cellStyle name="Normal 30 3 3 3 4" xfId="11924"/>
    <cellStyle name="Normal 30 3 3 4" xfId="11925"/>
    <cellStyle name="Normal 30 3 3 4 2" xfId="11926"/>
    <cellStyle name="Normal 30 3 3 4 2 2" xfId="11927"/>
    <cellStyle name="Normal 30 3 3 4 3" xfId="11928"/>
    <cellStyle name="Normal 30 3 3 5" xfId="11929"/>
    <cellStyle name="Normal 30 3 3 5 2" xfId="11930"/>
    <cellStyle name="Normal 30 3 3 6" xfId="11931"/>
    <cellStyle name="Normal 30 3 4" xfId="11932"/>
    <cellStyle name="Normal 30 3 4 2" xfId="11933"/>
    <cellStyle name="Normal 30 3 4 2 2" xfId="11934"/>
    <cellStyle name="Normal 30 3 4 2 2 2" xfId="11935"/>
    <cellStyle name="Normal 30 3 4 2 2 2 2" xfId="11936"/>
    <cellStyle name="Normal 30 3 4 2 2 3" xfId="11937"/>
    <cellStyle name="Normal 30 3 4 2 3" xfId="11938"/>
    <cellStyle name="Normal 30 3 4 2 3 2" xfId="11939"/>
    <cellStyle name="Normal 30 3 4 2 4" xfId="11940"/>
    <cellStyle name="Normal 30 3 4 3" xfId="11941"/>
    <cellStyle name="Normal 30 3 4 3 2" xfId="11942"/>
    <cellStyle name="Normal 30 3 4 3 2 2" xfId="11943"/>
    <cellStyle name="Normal 30 3 4 3 2 2 2" xfId="11944"/>
    <cellStyle name="Normal 30 3 4 3 2 3" xfId="11945"/>
    <cellStyle name="Normal 30 3 4 3 3" xfId="11946"/>
    <cellStyle name="Normal 30 3 4 3 3 2" xfId="11947"/>
    <cellStyle name="Normal 30 3 4 3 4" xfId="11948"/>
    <cellStyle name="Normal 30 3 4 4" xfId="11949"/>
    <cellStyle name="Normal 30 3 4 4 2" xfId="11950"/>
    <cellStyle name="Normal 30 3 4 4 2 2" xfId="11951"/>
    <cellStyle name="Normal 30 3 4 4 3" xfId="11952"/>
    <cellStyle name="Normal 30 3 4 5" xfId="11953"/>
    <cellStyle name="Normal 30 3 4 5 2" xfId="11954"/>
    <cellStyle name="Normal 30 3 4 6" xfId="11955"/>
    <cellStyle name="Normal 30 3 5" xfId="11956"/>
    <cellStyle name="Normal 30 3 5 2" xfId="11957"/>
    <cellStyle name="Normal 30 3 5 2 2" xfId="11958"/>
    <cellStyle name="Normal 30 3 5 2 2 2" xfId="11959"/>
    <cellStyle name="Normal 30 3 5 2 3" xfId="11960"/>
    <cellStyle name="Normal 30 3 5 3" xfId="11961"/>
    <cellStyle name="Normal 30 3 5 3 2" xfId="11962"/>
    <cellStyle name="Normal 30 3 5 4" xfId="11963"/>
    <cellStyle name="Normal 30 3 6" xfId="11964"/>
    <cellStyle name="Normal 30 3 6 2" xfId="11965"/>
    <cellStyle name="Normal 30 3 6 2 2" xfId="11966"/>
    <cellStyle name="Normal 30 3 6 2 2 2" xfId="11967"/>
    <cellStyle name="Normal 30 3 6 2 3" xfId="11968"/>
    <cellStyle name="Normal 30 3 6 3" xfId="11969"/>
    <cellStyle name="Normal 30 3 6 3 2" xfId="11970"/>
    <cellStyle name="Normal 30 3 6 4" xfId="11971"/>
    <cellStyle name="Normal 30 3 7" xfId="11972"/>
    <cellStyle name="Normal 30 3 7 2" xfId="11973"/>
    <cellStyle name="Normal 30 3 7 2 2" xfId="11974"/>
    <cellStyle name="Normal 30 3 7 2 2 2" xfId="11975"/>
    <cellStyle name="Normal 30 3 7 2 3" xfId="11976"/>
    <cellStyle name="Normal 30 3 7 3" xfId="11977"/>
    <cellStyle name="Normal 30 3 7 3 2" xfId="11978"/>
    <cellStyle name="Normal 30 3 7 4" xfId="11979"/>
    <cellStyle name="Normal 30 3 8" xfId="11980"/>
    <cellStyle name="Normal 30 3 8 2" xfId="11981"/>
    <cellStyle name="Normal 30 3 8 2 2" xfId="11982"/>
    <cellStyle name="Normal 30 3 8 3" xfId="11983"/>
    <cellStyle name="Normal 30 3 9" xfId="11984"/>
    <cellStyle name="Normal 30 3 9 2" xfId="11985"/>
    <cellStyle name="Normal 30 4" xfId="11986"/>
    <cellStyle name="Normal 30 4 2" xfId="11987"/>
    <cellStyle name="Normal 30 4 2 2" xfId="11988"/>
    <cellStyle name="Normal 30 4 2 2 2" xfId="11989"/>
    <cellStyle name="Normal 30 4 2 2 2 2" xfId="11990"/>
    <cellStyle name="Normal 30 4 2 2 2 2 2" xfId="11991"/>
    <cellStyle name="Normal 30 4 2 2 2 2 2 2" xfId="11992"/>
    <cellStyle name="Normal 30 4 2 2 2 2 3" xfId="11993"/>
    <cellStyle name="Normal 30 4 2 2 2 3" xfId="11994"/>
    <cellStyle name="Normal 30 4 2 2 2 3 2" xfId="11995"/>
    <cellStyle name="Normal 30 4 2 2 2 4" xfId="11996"/>
    <cellStyle name="Normal 30 4 2 2 3" xfId="11997"/>
    <cellStyle name="Normal 30 4 2 2 3 2" xfId="11998"/>
    <cellStyle name="Normal 30 4 2 2 3 2 2" xfId="11999"/>
    <cellStyle name="Normal 30 4 2 2 3 2 2 2" xfId="12000"/>
    <cellStyle name="Normal 30 4 2 2 3 2 3" xfId="12001"/>
    <cellStyle name="Normal 30 4 2 2 3 3" xfId="12002"/>
    <cellStyle name="Normal 30 4 2 2 3 3 2" xfId="12003"/>
    <cellStyle name="Normal 30 4 2 2 3 4" xfId="12004"/>
    <cellStyle name="Normal 30 4 2 2 4" xfId="12005"/>
    <cellStyle name="Normal 30 4 2 2 4 2" xfId="12006"/>
    <cellStyle name="Normal 30 4 2 2 4 2 2" xfId="12007"/>
    <cellStyle name="Normal 30 4 2 2 4 3" xfId="12008"/>
    <cellStyle name="Normal 30 4 2 2 5" xfId="12009"/>
    <cellStyle name="Normal 30 4 2 2 5 2" xfId="12010"/>
    <cellStyle name="Normal 30 4 2 2 6" xfId="12011"/>
    <cellStyle name="Normal 30 4 2 3" xfId="12012"/>
    <cellStyle name="Normal 30 4 2 3 2" xfId="12013"/>
    <cellStyle name="Normal 30 4 2 3 2 2" xfId="12014"/>
    <cellStyle name="Normal 30 4 2 3 2 2 2" xfId="12015"/>
    <cellStyle name="Normal 30 4 2 3 2 3" xfId="12016"/>
    <cellStyle name="Normal 30 4 2 3 3" xfId="12017"/>
    <cellStyle name="Normal 30 4 2 3 3 2" xfId="12018"/>
    <cellStyle name="Normal 30 4 2 3 4" xfId="12019"/>
    <cellStyle name="Normal 30 4 2 4" xfId="12020"/>
    <cellStyle name="Normal 30 4 2 4 2" xfId="12021"/>
    <cellStyle name="Normal 30 4 2 4 2 2" xfId="12022"/>
    <cellStyle name="Normal 30 4 2 4 2 2 2" xfId="12023"/>
    <cellStyle name="Normal 30 4 2 4 2 3" xfId="12024"/>
    <cellStyle name="Normal 30 4 2 4 3" xfId="12025"/>
    <cellStyle name="Normal 30 4 2 4 3 2" xfId="12026"/>
    <cellStyle name="Normal 30 4 2 4 4" xfId="12027"/>
    <cellStyle name="Normal 30 4 2 5" xfId="12028"/>
    <cellStyle name="Normal 30 4 2 5 2" xfId="12029"/>
    <cellStyle name="Normal 30 4 2 5 2 2" xfId="12030"/>
    <cellStyle name="Normal 30 4 2 5 3" xfId="12031"/>
    <cellStyle name="Normal 30 4 2 6" xfId="12032"/>
    <cellStyle name="Normal 30 4 2 6 2" xfId="12033"/>
    <cellStyle name="Normal 30 4 2 7" xfId="12034"/>
    <cellStyle name="Normal 30 4 3" xfId="12035"/>
    <cellStyle name="Normal 30 4 3 2" xfId="12036"/>
    <cellStyle name="Normal 30 4 3 2 2" xfId="12037"/>
    <cellStyle name="Normal 30 4 3 2 2 2" xfId="12038"/>
    <cellStyle name="Normal 30 4 3 2 2 2 2" xfId="12039"/>
    <cellStyle name="Normal 30 4 3 2 2 3" xfId="12040"/>
    <cellStyle name="Normal 30 4 3 2 3" xfId="12041"/>
    <cellStyle name="Normal 30 4 3 2 3 2" xfId="12042"/>
    <cellStyle name="Normal 30 4 3 2 4" xfId="12043"/>
    <cellStyle name="Normal 30 4 3 3" xfId="12044"/>
    <cellStyle name="Normal 30 4 3 3 2" xfId="12045"/>
    <cellStyle name="Normal 30 4 3 3 2 2" xfId="12046"/>
    <cellStyle name="Normal 30 4 3 3 2 2 2" xfId="12047"/>
    <cellStyle name="Normal 30 4 3 3 2 3" xfId="12048"/>
    <cellStyle name="Normal 30 4 3 3 3" xfId="12049"/>
    <cellStyle name="Normal 30 4 3 3 3 2" xfId="12050"/>
    <cellStyle name="Normal 30 4 3 3 4" xfId="12051"/>
    <cellStyle name="Normal 30 4 3 4" xfId="12052"/>
    <cellStyle name="Normal 30 4 3 4 2" xfId="12053"/>
    <cellStyle name="Normal 30 4 3 4 2 2" xfId="12054"/>
    <cellStyle name="Normal 30 4 3 4 3" xfId="12055"/>
    <cellStyle name="Normal 30 4 3 5" xfId="12056"/>
    <cellStyle name="Normal 30 4 3 5 2" xfId="12057"/>
    <cellStyle name="Normal 30 4 3 6" xfId="12058"/>
    <cellStyle name="Normal 30 4 4" xfId="12059"/>
    <cellStyle name="Normal 30 4 4 2" xfId="12060"/>
    <cellStyle name="Normal 30 4 4 2 2" xfId="12061"/>
    <cellStyle name="Normal 30 4 4 2 2 2" xfId="12062"/>
    <cellStyle name="Normal 30 4 4 2 2 2 2" xfId="12063"/>
    <cellStyle name="Normal 30 4 4 2 2 3" xfId="12064"/>
    <cellStyle name="Normal 30 4 4 2 3" xfId="12065"/>
    <cellStyle name="Normal 30 4 4 2 3 2" xfId="12066"/>
    <cellStyle name="Normal 30 4 4 2 4" xfId="12067"/>
    <cellStyle name="Normal 30 4 4 3" xfId="12068"/>
    <cellStyle name="Normal 30 4 4 3 2" xfId="12069"/>
    <cellStyle name="Normal 30 4 4 3 2 2" xfId="12070"/>
    <cellStyle name="Normal 30 4 4 3 2 2 2" xfId="12071"/>
    <cellStyle name="Normal 30 4 4 3 2 3" xfId="12072"/>
    <cellStyle name="Normal 30 4 4 3 3" xfId="12073"/>
    <cellStyle name="Normal 30 4 4 3 3 2" xfId="12074"/>
    <cellStyle name="Normal 30 4 4 3 4" xfId="12075"/>
    <cellStyle name="Normal 30 4 4 4" xfId="12076"/>
    <cellStyle name="Normal 30 4 4 4 2" xfId="12077"/>
    <cellStyle name="Normal 30 4 4 4 2 2" xfId="12078"/>
    <cellStyle name="Normal 30 4 4 4 3" xfId="12079"/>
    <cellStyle name="Normal 30 4 4 5" xfId="12080"/>
    <cellStyle name="Normal 30 4 4 5 2" xfId="12081"/>
    <cellStyle name="Normal 30 4 4 6" xfId="12082"/>
    <cellStyle name="Normal 30 4 5" xfId="12083"/>
    <cellStyle name="Normal 30 4 5 2" xfId="12084"/>
    <cellStyle name="Normal 30 4 5 2 2" xfId="12085"/>
    <cellStyle name="Normal 30 4 5 2 2 2" xfId="12086"/>
    <cellStyle name="Normal 30 4 5 2 3" xfId="12087"/>
    <cellStyle name="Normal 30 4 5 3" xfId="12088"/>
    <cellStyle name="Normal 30 4 5 3 2" xfId="12089"/>
    <cellStyle name="Normal 30 4 5 4" xfId="12090"/>
    <cellStyle name="Normal 30 4 6" xfId="12091"/>
    <cellStyle name="Normal 30 4 6 2" xfId="12092"/>
    <cellStyle name="Normal 30 4 6 2 2" xfId="12093"/>
    <cellStyle name="Normal 30 4 6 2 2 2" xfId="12094"/>
    <cellStyle name="Normal 30 4 6 2 3" xfId="12095"/>
    <cellStyle name="Normal 30 4 6 3" xfId="12096"/>
    <cellStyle name="Normal 30 4 6 3 2" xfId="12097"/>
    <cellStyle name="Normal 30 4 6 4" xfId="12098"/>
    <cellStyle name="Normal 30 4 7" xfId="12099"/>
    <cellStyle name="Normal 30 4 7 2" xfId="12100"/>
    <cellStyle name="Normal 30 4 7 2 2" xfId="12101"/>
    <cellStyle name="Normal 30 4 7 3" xfId="12102"/>
    <cellStyle name="Normal 30 4 8" xfId="12103"/>
    <cellStyle name="Normal 30 4 8 2" xfId="12104"/>
    <cellStyle name="Normal 30 4 9" xfId="12105"/>
    <cellStyle name="Normal 30 5" xfId="12106"/>
    <cellStyle name="Normal 30 5 2" xfId="12107"/>
    <cellStyle name="Normal 30 5 2 2" xfId="12108"/>
    <cellStyle name="Normal 30 5 2 2 2" xfId="12109"/>
    <cellStyle name="Normal 30 5 2 2 2 2" xfId="12110"/>
    <cellStyle name="Normal 30 5 2 2 2 2 2" xfId="12111"/>
    <cellStyle name="Normal 30 5 2 2 2 3" xfId="12112"/>
    <cellStyle name="Normal 30 5 2 2 3" xfId="12113"/>
    <cellStyle name="Normal 30 5 2 2 3 2" xfId="12114"/>
    <cellStyle name="Normal 30 5 2 2 4" xfId="12115"/>
    <cellStyle name="Normal 30 5 2 3" xfId="12116"/>
    <cellStyle name="Normal 30 5 2 3 2" xfId="12117"/>
    <cellStyle name="Normal 30 5 2 3 2 2" xfId="12118"/>
    <cellStyle name="Normal 30 5 2 3 2 2 2" xfId="12119"/>
    <cellStyle name="Normal 30 5 2 3 2 3" xfId="12120"/>
    <cellStyle name="Normal 30 5 2 3 3" xfId="12121"/>
    <cellStyle name="Normal 30 5 2 3 3 2" xfId="12122"/>
    <cellStyle name="Normal 30 5 2 3 4" xfId="12123"/>
    <cellStyle name="Normal 30 5 2 4" xfId="12124"/>
    <cellStyle name="Normal 30 5 2 4 2" xfId="12125"/>
    <cellStyle name="Normal 30 5 2 4 2 2" xfId="12126"/>
    <cellStyle name="Normal 30 5 2 4 3" xfId="12127"/>
    <cellStyle name="Normal 30 5 2 5" xfId="12128"/>
    <cellStyle name="Normal 30 5 2 5 2" xfId="12129"/>
    <cellStyle name="Normal 30 5 2 6" xfId="12130"/>
    <cellStyle name="Normal 30 5 3" xfId="12131"/>
    <cellStyle name="Normal 30 5 3 2" xfId="12132"/>
    <cellStyle name="Normal 30 5 3 2 2" xfId="12133"/>
    <cellStyle name="Normal 30 5 3 2 2 2" xfId="12134"/>
    <cellStyle name="Normal 30 5 3 2 3" xfId="12135"/>
    <cellStyle name="Normal 30 5 3 3" xfId="12136"/>
    <cellStyle name="Normal 30 5 3 3 2" xfId="12137"/>
    <cellStyle name="Normal 30 5 3 4" xfId="12138"/>
    <cellStyle name="Normal 30 5 4" xfId="12139"/>
    <cellStyle name="Normal 30 5 4 2" xfId="12140"/>
    <cellStyle name="Normal 30 5 4 2 2" xfId="12141"/>
    <cellStyle name="Normal 30 5 4 2 2 2" xfId="12142"/>
    <cellStyle name="Normal 30 5 4 2 3" xfId="12143"/>
    <cellStyle name="Normal 30 5 4 3" xfId="12144"/>
    <cellStyle name="Normal 30 5 4 3 2" xfId="12145"/>
    <cellStyle name="Normal 30 5 4 4" xfId="12146"/>
    <cellStyle name="Normal 30 5 5" xfId="12147"/>
    <cellStyle name="Normal 30 5 5 2" xfId="12148"/>
    <cellStyle name="Normal 30 5 5 2 2" xfId="12149"/>
    <cellStyle name="Normal 30 5 5 3" xfId="12150"/>
    <cellStyle name="Normal 30 5 6" xfId="12151"/>
    <cellStyle name="Normal 30 5 6 2" xfId="12152"/>
    <cellStyle name="Normal 30 5 7" xfId="12153"/>
    <cellStyle name="Normal 30 6" xfId="12154"/>
    <cellStyle name="Normal 30 6 2" xfId="12155"/>
    <cellStyle name="Normal 30 6 2 2" xfId="12156"/>
    <cellStyle name="Normal 30 6 2 2 2" xfId="12157"/>
    <cellStyle name="Normal 30 6 2 2 2 2" xfId="12158"/>
    <cellStyle name="Normal 30 6 2 2 3" xfId="12159"/>
    <cellStyle name="Normal 30 6 2 3" xfId="12160"/>
    <cellStyle name="Normal 30 6 2 3 2" xfId="12161"/>
    <cellStyle name="Normal 30 6 2 4" xfId="12162"/>
    <cellStyle name="Normal 30 6 3" xfId="12163"/>
    <cellStyle name="Normal 30 6 3 2" xfId="12164"/>
    <cellStyle name="Normal 30 6 3 2 2" xfId="12165"/>
    <cellStyle name="Normal 30 6 3 2 2 2" xfId="12166"/>
    <cellStyle name="Normal 30 6 3 2 3" xfId="12167"/>
    <cellStyle name="Normal 30 6 3 3" xfId="12168"/>
    <cellStyle name="Normal 30 6 3 3 2" xfId="12169"/>
    <cellStyle name="Normal 30 6 3 4" xfId="12170"/>
    <cellStyle name="Normal 30 6 4" xfId="12171"/>
    <cellStyle name="Normal 30 6 4 2" xfId="12172"/>
    <cellStyle name="Normal 30 6 4 2 2" xfId="12173"/>
    <cellStyle name="Normal 30 6 4 3" xfId="12174"/>
    <cellStyle name="Normal 30 6 5" xfId="12175"/>
    <cellStyle name="Normal 30 6 5 2" xfId="12176"/>
    <cellStyle name="Normal 30 6 6" xfId="12177"/>
    <cellStyle name="Normal 30 7" xfId="12178"/>
    <cellStyle name="Normal 30 7 2" xfId="12179"/>
    <cellStyle name="Normal 30 7 2 2" xfId="12180"/>
    <cellStyle name="Normal 30 7 2 2 2" xfId="12181"/>
    <cellStyle name="Normal 30 7 2 2 2 2" xfId="12182"/>
    <cellStyle name="Normal 30 7 2 2 3" xfId="12183"/>
    <cellStyle name="Normal 30 7 2 3" xfId="12184"/>
    <cellStyle name="Normal 30 7 2 3 2" xfId="12185"/>
    <cellStyle name="Normal 30 7 2 4" xfId="12186"/>
    <cellStyle name="Normal 30 7 3" xfId="12187"/>
    <cellStyle name="Normal 30 7 3 2" xfId="12188"/>
    <cellStyle name="Normal 30 7 3 2 2" xfId="12189"/>
    <cellStyle name="Normal 30 7 3 2 2 2" xfId="12190"/>
    <cellStyle name="Normal 30 7 3 2 3" xfId="12191"/>
    <cellStyle name="Normal 30 7 3 3" xfId="12192"/>
    <cellStyle name="Normal 30 7 3 3 2" xfId="12193"/>
    <cellStyle name="Normal 30 7 3 4" xfId="12194"/>
    <cellStyle name="Normal 30 7 4" xfId="12195"/>
    <cellStyle name="Normal 30 7 4 2" xfId="12196"/>
    <cellStyle name="Normal 30 7 4 2 2" xfId="12197"/>
    <cellStyle name="Normal 30 7 4 3" xfId="12198"/>
    <cellStyle name="Normal 30 7 5" xfId="12199"/>
    <cellStyle name="Normal 30 7 5 2" xfId="12200"/>
    <cellStyle name="Normal 30 7 6" xfId="12201"/>
    <cellStyle name="Normal 30 8" xfId="12202"/>
    <cellStyle name="Normal 30 8 2" xfId="12203"/>
    <cellStyle name="Normal 30 8 2 2" xfId="12204"/>
    <cellStyle name="Normal 30 8 2 2 2" xfId="12205"/>
    <cellStyle name="Normal 30 8 2 3" xfId="12206"/>
    <cellStyle name="Normal 30 8 3" xfId="12207"/>
    <cellStyle name="Normal 30 8 3 2" xfId="12208"/>
    <cellStyle name="Normal 30 8 4" xfId="12209"/>
    <cellStyle name="Normal 30 9" xfId="12210"/>
    <cellStyle name="Normal 30 9 2" xfId="12211"/>
    <cellStyle name="Normal 30 9 2 2" xfId="12212"/>
    <cellStyle name="Normal 30 9 2 2 2" xfId="12213"/>
    <cellStyle name="Normal 30 9 2 3" xfId="12214"/>
    <cellStyle name="Normal 30 9 3" xfId="12215"/>
    <cellStyle name="Normal 30 9 3 2" xfId="12216"/>
    <cellStyle name="Normal 30 9 4" xfId="12217"/>
    <cellStyle name="Normal 31" xfId="12218"/>
    <cellStyle name="Normal 31 10" xfId="12219"/>
    <cellStyle name="Normal 31 10 2" xfId="12220"/>
    <cellStyle name="Normal 31 10 2 2" xfId="12221"/>
    <cellStyle name="Normal 31 10 2 2 2" xfId="12222"/>
    <cellStyle name="Normal 31 10 2 3" xfId="12223"/>
    <cellStyle name="Normal 31 10 3" xfId="12224"/>
    <cellStyle name="Normal 31 10 3 2" xfId="12225"/>
    <cellStyle name="Normal 31 10 4" xfId="12226"/>
    <cellStyle name="Normal 31 11" xfId="12227"/>
    <cellStyle name="Normal 31 11 2" xfId="12228"/>
    <cellStyle name="Normal 31 11 2 2" xfId="12229"/>
    <cellStyle name="Normal 31 11 3" xfId="12230"/>
    <cellStyle name="Normal 31 12" xfId="12231"/>
    <cellStyle name="Normal 31 12 2" xfId="12232"/>
    <cellStyle name="Normal 31 13" xfId="12233"/>
    <cellStyle name="Normal 31 2" xfId="12234"/>
    <cellStyle name="Normal 31 3" xfId="12235"/>
    <cellStyle name="Normal 31 3 10" xfId="12236"/>
    <cellStyle name="Normal 31 3 2" xfId="12237"/>
    <cellStyle name="Normal 31 3 2 2" xfId="12238"/>
    <cellStyle name="Normal 31 3 2 2 2" xfId="12239"/>
    <cellStyle name="Normal 31 3 2 2 2 2" xfId="12240"/>
    <cellStyle name="Normal 31 3 2 2 2 2 2" xfId="12241"/>
    <cellStyle name="Normal 31 3 2 2 2 2 2 2" xfId="12242"/>
    <cellStyle name="Normal 31 3 2 2 2 2 3" xfId="12243"/>
    <cellStyle name="Normal 31 3 2 2 2 3" xfId="12244"/>
    <cellStyle name="Normal 31 3 2 2 2 3 2" xfId="12245"/>
    <cellStyle name="Normal 31 3 2 2 2 4" xfId="12246"/>
    <cellStyle name="Normal 31 3 2 2 3" xfId="12247"/>
    <cellStyle name="Normal 31 3 2 2 3 2" xfId="12248"/>
    <cellStyle name="Normal 31 3 2 2 3 2 2" xfId="12249"/>
    <cellStyle name="Normal 31 3 2 2 3 2 2 2" xfId="12250"/>
    <cellStyle name="Normal 31 3 2 2 3 2 3" xfId="12251"/>
    <cellStyle name="Normal 31 3 2 2 3 3" xfId="12252"/>
    <cellStyle name="Normal 31 3 2 2 3 3 2" xfId="12253"/>
    <cellStyle name="Normal 31 3 2 2 3 4" xfId="12254"/>
    <cellStyle name="Normal 31 3 2 2 4" xfId="12255"/>
    <cellStyle name="Normal 31 3 2 2 4 2" xfId="12256"/>
    <cellStyle name="Normal 31 3 2 2 4 2 2" xfId="12257"/>
    <cellStyle name="Normal 31 3 2 2 4 3" xfId="12258"/>
    <cellStyle name="Normal 31 3 2 2 5" xfId="12259"/>
    <cellStyle name="Normal 31 3 2 2 5 2" xfId="12260"/>
    <cellStyle name="Normal 31 3 2 2 6" xfId="12261"/>
    <cellStyle name="Normal 31 3 2 3" xfId="12262"/>
    <cellStyle name="Normal 31 3 2 3 2" xfId="12263"/>
    <cellStyle name="Normal 31 3 2 3 2 2" xfId="12264"/>
    <cellStyle name="Normal 31 3 2 3 2 2 2" xfId="12265"/>
    <cellStyle name="Normal 31 3 2 3 2 3" xfId="12266"/>
    <cellStyle name="Normal 31 3 2 3 3" xfId="12267"/>
    <cellStyle name="Normal 31 3 2 3 3 2" xfId="12268"/>
    <cellStyle name="Normal 31 3 2 3 4" xfId="12269"/>
    <cellStyle name="Normal 31 3 2 4" xfId="12270"/>
    <cellStyle name="Normal 31 3 2 4 2" xfId="12271"/>
    <cellStyle name="Normal 31 3 2 4 2 2" xfId="12272"/>
    <cellStyle name="Normal 31 3 2 4 2 2 2" xfId="12273"/>
    <cellStyle name="Normal 31 3 2 4 2 3" xfId="12274"/>
    <cellStyle name="Normal 31 3 2 4 3" xfId="12275"/>
    <cellStyle name="Normal 31 3 2 4 3 2" xfId="12276"/>
    <cellStyle name="Normal 31 3 2 4 4" xfId="12277"/>
    <cellStyle name="Normal 31 3 2 5" xfId="12278"/>
    <cellStyle name="Normal 31 3 2 5 2" xfId="12279"/>
    <cellStyle name="Normal 31 3 2 5 2 2" xfId="12280"/>
    <cellStyle name="Normal 31 3 2 5 3" xfId="12281"/>
    <cellStyle name="Normal 31 3 2 6" xfId="12282"/>
    <cellStyle name="Normal 31 3 2 6 2" xfId="12283"/>
    <cellStyle name="Normal 31 3 2 7" xfId="12284"/>
    <cellStyle name="Normal 31 3 3" xfId="12285"/>
    <cellStyle name="Normal 31 3 3 2" xfId="12286"/>
    <cellStyle name="Normal 31 3 3 2 2" xfId="12287"/>
    <cellStyle name="Normal 31 3 3 2 2 2" xfId="12288"/>
    <cellStyle name="Normal 31 3 3 2 2 2 2" xfId="12289"/>
    <cellStyle name="Normal 31 3 3 2 2 3" xfId="12290"/>
    <cellStyle name="Normal 31 3 3 2 3" xfId="12291"/>
    <cellStyle name="Normal 31 3 3 2 3 2" xfId="12292"/>
    <cellStyle name="Normal 31 3 3 2 4" xfId="12293"/>
    <cellStyle name="Normal 31 3 3 3" xfId="12294"/>
    <cellStyle name="Normal 31 3 3 3 2" xfId="12295"/>
    <cellStyle name="Normal 31 3 3 3 2 2" xfId="12296"/>
    <cellStyle name="Normal 31 3 3 3 2 2 2" xfId="12297"/>
    <cellStyle name="Normal 31 3 3 3 2 3" xfId="12298"/>
    <cellStyle name="Normal 31 3 3 3 3" xfId="12299"/>
    <cellStyle name="Normal 31 3 3 3 3 2" xfId="12300"/>
    <cellStyle name="Normal 31 3 3 3 4" xfId="12301"/>
    <cellStyle name="Normal 31 3 3 4" xfId="12302"/>
    <cellStyle name="Normal 31 3 3 4 2" xfId="12303"/>
    <cellStyle name="Normal 31 3 3 4 2 2" xfId="12304"/>
    <cellStyle name="Normal 31 3 3 4 3" xfId="12305"/>
    <cellStyle name="Normal 31 3 3 5" xfId="12306"/>
    <cellStyle name="Normal 31 3 3 5 2" xfId="12307"/>
    <cellStyle name="Normal 31 3 3 6" xfId="12308"/>
    <cellStyle name="Normal 31 3 4" xfId="12309"/>
    <cellStyle name="Normal 31 3 4 2" xfId="12310"/>
    <cellStyle name="Normal 31 3 4 2 2" xfId="12311"/>
    <cellStyle name="Normal 31 3 4 2 2 2" xfId="12312"/>
    <cellStyle name="Normal 31 3 4 2 2 2 2" xfId="12313"/>
    <cellStyle name="Normal 31 3 4 2 2 3" xfId="12314"/>
    <cellStyle name="Normal 31 3 4 2 3" xfId="12315"/>
    <cellStyle name="Normal 31 3 4 2 3 2" xfId="12316"/>
    <cellStyle name="Normal 31 3 4 2 4" xfId="12317"/>
    <cellStyle name="Normal 31 3 4 3" xfId="12318"/>
    <cellStyle name="Normal 31 3 4 3 2" xfId="12319"/>
    <cellStyle name="Normal 31 3 4 3 2 2" xfId="12320"/>
    <cellStyle name="Normal 31 3 4 3 2 2 2" xfId="12321"/>
    <cellStyle name="Normal 31 3 4 3 2 3" xfId="12322"/>
    <cellStyle name="Normal 31 3 4 3 3" xfId="12323"/>
    <cellStyle name="Normal 31 3 4 3 3 2" xfId="12324"/>
    <cellStyle name="Normal 31 3 4 3 4" xfId="12325"/>
    <cellStyle name="Normal 31 3 4 4" xfId="12326"/>
    <cellStyle name="Normal 31 3 4 4 2" xfId="12327"/>
    <cellStyle name="Normal 31 3 4 4 2 2" xfId="12328"/>
    <cellStyle name="Normal 31 3 4 4 3" xfId="12329"/>
    <cellStyle name="Normal 31 3 4 5" xfId="12330"/>
    <cellStyle name="Normal 31 3 4 5 2" xfId="12331"/>
    <cellStyle name="Normal 31 3 4 6" xfId="12332"/>
    <cellStyle name="Normal 31 3 5" xfId="12333"/>
    <cellStyle name="Normal 31 3 5 2" xfId="12334"/>
    <cellStyle name="Normal 31 3 5 2 2" xfId="12335"/>
    <cellStyle name="Normal 31 3 5 2 2 2" xfId="12336"/>
    <cellStyle name="Normal 31 3 5 2 3" xfId="12337"/>
    <cellStyle name="Normal 31 3 5 3" xfId="12338"/>
    <cellStyle name="Normal 31 3 5 3 2" xfId="12339"/>
    <cellStyle name="Normal 31 3 5 4" xfId="12340"/>
    <cellStyle name="Normal 31 3 6" xfId="12341"/>
    <cellStyle name="Normal 31 3 6 2" xfId="12342"/>
    <cellStyle name="Normal 31 3 6 2 2" xfId="12343"/>
    <cellStyle name="Normal 31 3 6 2 2 2" xfId="12344"/>
    <cellStyle name="Normal 31 3 6 2 3" xfId="12345"/>
    <cellStyle name="Normal 31 3 6 3" xfId="12346"/>
    <cellStyle name="Normal 31 3 6 3 2" xfId="12347"/>
    <cellStyle name="Normal 31 3 6 4" xfId="12348"/>
    <cellStyle name="Normal 31 3 7" xfId="12349"/>
    <cellStyle name="Normal 31 3 7 2" xfId="12350"/>
    <cellStyle name="Normal 31 3 7 2 2" xfId="12351"/>
    <cellStyle name="Normal 31 3 7 2 2 2" xfId="12352"/>
    <cellStyle name="Normal 31 3 7 2 3" xfId="12353"/>
    <cellStyle name="Normal 31 3 7 3" xfId="12354"/>
    <cellStyle name="Normal 31 3 7 3 2" xfId="12355"/>
    <cellStyle name="Normal 31 3 7 4" xfId="12356"/>
    <cellStyle name="Normal 31 3 8" xfId="12357"/>
    <cellStyle name="Normal 31 3 8 2" xfId="12358"/>
    <cellStyle name="Normal 31 3 8 2 2" xfId="12359"/>
    <cellStyle name="Normal 31 3 8 3" xfId="12360"/>
    <cellStyle name="Normal 31 3 9" xfId="12361"/>
    <cellStyle name="Normal 31 3 9 2" xfId="12362"/>
    <cellStyle name="Normal 31 4" xfId="12363"/>
    <cellStyle name="Normal 31 4 2" xfId="12364"/>
    <cellStyle name="Normal 31 4 2 2" xfId="12365"/>
    <cellStyle name="Normal 31 4 2 2 2" xfId="12366"/>
    <cellStyle name="Normal 31 4 2 2 2 2" xfId="12367"/>
    <cellStyle name="Normal 31 4 2 2 2 2 2" xfId="12368"/>
    <cellStyle name="Normal 31 4 2 2 2 2 2 2" xfId="12369"/>
    <cellStyle name="Normal 31 4 2 2 2 2 3" xfId="12370"/>
    <cellStyle name="Normal 31 4 2 2 2 3" xfId="12371"/>
    <cellStyle name="Normal 31 4 2 2 2 3 2" xfId="12372"/>
    <cellStyle name="Normal 31 4 2 2 2 4" xfId="12373"/>
    <cellStyle name="Normal 31 4 2 2 3" xfId="12374"/>
    <cellStyle name="Normal 31 4 2 2 3 2" xfId="12375"/>
    <cellStyle name="Normal 31 4 2 2 3 2 2" xfId="12376"/>
    <cellStyle name="Normal 31 4 2 2 3 2 2 2" xfId="12377"/>
    <cellStyle name="Normal 31 4 2 2 3 2 3" xfId="12378"/>
    <cellStyle name="Normal 31 4 2 2 3 3" xfId="12379"/>
    <cellStyle name="Normal 31 4 2 2 3 3 2" xfId="12380"/>
    <cellStyle name="Normal 31 4 2 2 3 4" xfId="12381"/>
    <cellStyle name="Normal 31 4 2 2 4" xfId="12382"/>
    <cellStyle name="Normal 31 4 2 2 4 2" xfId="12383"/>
    <cellStyle name="Normal 31 4 2 2 4 2 2" xfId="12384"/>
    <cellStyle name="Normal 31 4 2 2 4 3" xfId="12385"/>
    <cellStyle name="Normal 31 4 2 2 5" xfId="12386"/>
    <cellStyle name="Normal 31 4 2 2 5 2" xfId="12387"/>
    <cellStyle name="Normal 31 4 2 2 6" xfId="12388"/>
    <cellStyle name="Normal 31 4 2 3" xfId="12389"/>
    <cellStyle name="Normal 31 4 2 3 2" xfId="12390"/>
    <cellStyle name="Normal 31 4 2 3 2 2" xfId="12391"/>
    <cellStyle name="Normal 31 4 2 3 2 2 2" xfId="12392"/>
    <cellStyle name="Normal 31 4 2 3 2 3" xfId="12393"/>
    <cellStyle name="Normal 31 4 2 3 3" xfId="12394"/>
    <cellStyle name="Normal 31 4 2 3 3 2" xfId="12395"/>
    <cellStyle name="Normal 31 4 2 3 4" xfId="12396"/>
    <cellStyle name="Normal 31 4 2 4" xfId="12397"/>
    <cellStyle name="Normal 31 4 2 4 2" xfId="12398"/>
    <cellStyle name="Normal 31 4 2 4 2 2" xfId="12399"/>
    <cellStyle name="Normal 31 4 2 4 2 2 2" xfId="12400"/>
    <cellStyle name="Normal 31 4 2 4 2 3" xfId="12401"/>
    <cellStyle name="Normal 31 4 2 4 3" xfId="12402"/>
    <cellStyle name="Normal 31 4 2 4 3 2" xfId="12403"/>
    <cellStyle name="Normal 31 4 2 4 4" xfId="12404"/>
    <cellStyle name="Normal 31 4 2 5" xfId="12405"/>
    <cellStyle name="Normal 31 4 2 5 2" xfId="12406"/>
    <cellStyle name="Normal 31 4 2 5 2 2" xfId="12407"/>
    <cellStyle name="Normal 31 4 2 5 3" xfId="12408"/>
    <cellStyle name="Normal 31 4 2 6" xfId="12409"/>
    <cellStyle name="Normal 31 4 2 6 2" xfId="12410"/>
    <cellStyle name="Normal 31 4 2 7" xfId="12411"/>
    <cellStyle name="Normal 31 4 3" xfId="12412"/>
    <cellStyle name="Normal 31 4 3 2" xfId="12413"/>
    <cellStyle name="Normal 31 4 3 2 2" xfId="12414"/>
    <cellStyle name="Normal 31 4 3 2 2 2" xfId="12415"/>
    <cellStyle name="Normal 31 4 3 2 2 2 2" xfId="12416"/>
    <cellStyle name="Normal 31 4 3 2 2 3" xfId="12417"/>
    <cellStyle name="Normal 31 4 3 2 3" xfId="12418"/>
    <cellStyle name="Normal 31 4 3 2 3 2" xfId="12419"/>
    <cellStyle name="Normal 31 4 3 2 4" xfId="12420"/>
    <cellStyle name="Normal 31 4 3 3" xfId="12421"/>
    <cellStyle name="Normal 31 4 3 3 2" xfId="12422"/>
    <cellStyle name="Normal 31 4 3 3 2 2" xfId="12423"/>
    <cellStyle name="Normal 31 4 3 3 2 2 2" xfId="12424"/>
    <cellStyle name="Normal 31 4 3 3 2 3" xfId="12425"/>
    <cellStyle name="Normal 31 4 3 3 3" xfId="12426"/>
    <cellStyle name="Normal 31 4 3 3 3 2" xfId="12427"/>
    <cellStyle name="Normal 31 4 3 3 4" xfId="12428"/>
    <cellStyle name="Normal 31 4 3 4" xfId="12429"/>
    <cellStyle name="Normal 31 4 3 4 2" xfId="12430"/>
    <cellStyle name="Normal 31 4 3 4 2 2" xfId="12431"/>
    <cellStyle name="Normal 31 4 3 4 3" xfId="12432"/>
    <cellStyle name="Normal 31 4 3 5" xfId="12433"/>
    <cellStyle name="Normal 31 4 3 5 2" xfId="12434"/>
    <cellStyle name="Normal 31 4 3 6" xfId="12435"/>
    <cellStyle name="Normal 31 4 4" xfId="12436"/>
    <cellStyle name="Normal 31 4 4 2" xfId="12437"/>
    <cellStyle name="Normal 31 4 4 2 2" xfId="12438"/>
    <cellStyle name="Normal 31 4 4 2 2 2" xfId="12439"/>
    <cellStyle name="Normal 31 4 4 2 2 2 2" xfId="12440"/>
    <cellStyle name="Normal 31 4 4 2 2 3" xfId="12441"/>
    <cellStyle name="Normal 31 4 4 2 3" xfId="12442"/>
    <cellStyle name="Normal 31 4 4 2 3 2" xfId="12443"/>
    <cellStyle name="Normal 31 4 4 2 4" xfId="12444"/>
    <cellStyle name="Normal 31 4 4 3" xfId="12445"/>
    <cellStyle name="Normal 31 4 4 3 2" xfId="12446"/>
    <cellStyle name="Normal 31 4 4 3 2 2" xfId="12447"/>
    <cellStyle name="Normal 31 4 4 3 2 2 2" xfId="12448"/>
    <cellStyle name="Normal 31 4 4 3 2 3" xfId="12449"/>
    <cellStyle name="Normal 31 4 4 3 3" xfId="12450"/>
    <cellStyle name="Normal 31 4 4 3 3 2" xfId="12451"/>
    <cellStyle name="Normal 31 4 4 3 4" xfId="12452"/>
    <cellStyle name="Normal 31 4 4 4" xfId="12453"/>
    <cellStyle name="Normal 31 4 4 4 2" xfId="12454"/>
    <cellStyle name="Normal 31 4 4 4 2 2" xfId="12455"/>
    <cellStyle name="Normal 31 4 4 4 3" xfId="12456"/>
    <cellStyle name="Normal 31 4 4 5" xfId="12457"/>
    <cellStyle name="Normal 31 4 4 5 2" xfId="12458"/>
    <cellStyle name="Normal 31 4 4 6" xfId="12459"/>
    <cellStyle name="Normal 31 4 5" xfId="12460"/>
    <cellStyle name="Normal 31 4 5 2" xfId="12461"/>
    <cellStyle name="Normal 31 4 5 2 2" xfId="12462"/>
    <cellStyle name="Normal 31 4 5 2 2 2" xfId="12463"/>
    <cellStyle name="Normal 31 4 5 2 3" xfId="12464"/>
    <cellStyle name="Normal 31 4 5 3" xfId="12465"/>
    <cellStyle name="Normal 31 4 5 3 2" xfId="12466"/>
    <cellStyle name="Normal 31 4 5 4" xfId="12467"/>
    <cellStyle name="Normal 31 4 6" xfId="12468"/>
    <cellStyle name="Normal 31 4 6 2" xfId="12469"/>
    <cellStyle name="Normal 31 4 6 2 2" xfId="12470"/>
    <cellStyle name="Normal 31 4 6 2 2 2" xfId="12471"/>
    <cellStyle name="Normal 31 4 6 2 3" xfId="12472"/>
    <cellStyle name="Normal 31 4 6 3" xfId="12473"/>
    <cellStyle name="Normal 31 4 6 3 2" xfId="12474"/>
    <cellStyle name="Normal 31 4 6 4" xfId="12475"/>
    <cellStyle name="Normal 31 4 7" xfId="12476"/>
    <cellStyle name="Normal 31 4 7 2" xfId="12477"/>
    <cellStyle name="Normal 31 4 7 2 2" xfId="12478"/>
    <cellStyle name="Normal 31 4 7 3" xfId="12479"/>
    <cellStyle name="Normal 31 4 8" xfId="12480"/>
    <cellStyle name="Normal 31 4 8 2" xfId="12481"/>
    <cellStyle name="Normal 31 4 9" xfId="12482"/>
    <cellStyle name="Normal 31 5" xfId="12483"/>
    <cellStyle name="Normal 31 5 2" xfId="12484"/>
    <cellStyle name="Normal 31 5 2 2" xfId="12485"/>
    <cellStyle name="Normal 31 5 2 2 2" xfId="12486"/>
    <cellStyle name="Normal 31 5 2 2 2 2" xfId="12487"/>
    <cellStyle name="Normal 31 5 2 2 2 2 2" xfId="12488"/>
    <cellStyle name="Normal 31 5 2 2 2 3" xfId="12489"/>
    <cellStyle name="Normal 31 5 2 2 3" xfId="12490"/>
    <cellStyle name="Normal 31 5 2 2 3 2" xfId="12491"/>
    <cellStyle name="Normal 31 5 2 2 4" xfId="12492"/>
    <cellStyle name="Normal 31 5 2 3" xfId="12493"/>
    <cellStyle name="Normal 31 5 2 3 2" xfId="12494"/>
    <cellStyle name="Normal 31 5 2 3 2 2" xfId="12495"/>
    <cellStyle name="Normal 31 5 2 3 2 2 2" xfId="12496"/>
    <cellStyle name="Normal 31 5 2 3 2 3" xfId="12497"/>
    <cellStyle name="Normal 31 5 2 3 3" xfId="12498"/>
    <cellStyle name="Normal 31 5 2 3 3 2" xfId="12499"/>
    <cellStyle name="Normal 31 5 2 3 4" xfId="12500"/>
    <cellStyle name="Normal 31 5 2 4" xfId="12501"/>
    <cellStyle name="Normal 31 5 2 4 2" xfId="12502"/>
    <cellStyle name="Normal 31 5 2 4 2 2" xfId="12503"/>
    <cellStyle name="Normal 31 5 2 4 3" xfId="12504"/>
    <cellStyle name="Normal 31 5 2 5" xfId="12505"/>
    <cellStyle name="Normal 31 5 2 5 2" xfId="12506"/>
    <cellStyle name="Normal 31 5 2 6" xfId="12507"/>
    <cellStyle name="Normal 31 5 3" xfId="12508"/>
    <cellStyle name="Normal 31 5 3 2" xfId="12509"/>
    <cellStyle name="Normal 31 5 3 2 2" xfId="12510"/>
    <cellStyle name="Normal 31 5 3 2 2 2" xfId="12511"/>
    <cellStyle name="Normal 31 5 3 2 3" xfId="12512"/>
    <cellStyle name="Normal 31 5 3 3" xfId="12513"/>
    <cellStyle name="Normal 31 5 3 3 2" xfId="12514"/>
    <cellStyle name="Normal 31 5 3 4" xfId="12515"/>
    <cellStyle name="Normal 31 5 4" xfId="12516"/>
    <cellStyle name="Normal 31 5 4 2" xfId="12517"/>
    <cellStyle name="Normal 31 5 4 2 2" xfId="12518"/>
    <cellStyle name="Normal 31 5 4 2 2 2" xfId="12519"/>
    <cellStyle name="Normal 31 5 4 2 3" xfId="12520"/>
    <cellStyle name="Normal 31 5 4 3" xfId="12521"/>
    <cellStyle name="Normal 31 5 4 3 2" xfId="12522"/>
    <cellStyle name="Normal 31 5 4 4" xfId="12523"/>
    <cellStyle name="Normal 31 5 5" xfId="12524"/>
    <cellStyle name="Normal 31 5 5 2" xfId="12525"/>
    <cellStyle name="Normal 31 5 5 2 2" xfId="12526"/>
    <cellStyle name="Normal 31 5 5 3" xfId="12527"/>
    <cellStyle name="Normal 31 5 6" xfId="12528"/>
    <cellStyle name="Normal 31 5 6 2" xfId="12529"/>
    <cellStyle name="Normal 31 5 7" xfId="12530"/>
    <cellStyle name="Normal 31 6" xfId="12531"/>
    <cellStyle name="Normal 31 6 2" xfId="12532"/>
    <cellStyle name="Normal 31 6 2 2" xfId="12533"/>
    <cellStyle name="Normal 31 6 2 2 2" xfId="12534"/>
    <cellStyle name="Normal 31 6 2 2 2 2" xfId="12535"/>
    <cellStyle name="Normal 31 6 2 2 3" xfId="12536"/>
    <cellStyle name="Normal 31 6 2 3" xfId="12537"/>
    <cellStyle name="Normal 31 6 2 3 2" xfId="12538"/>
    <cellStyle name="Normal 31 6 2 4" xfId="12539"/>
    <cellStyle name="Normal 31 6 3" xfId="12540"/>
    <cellStyle name="Normal 31 6 3 2" xfId="12541"/>
    <cellStyle name="Normal 31 6 3 2 2" xfId="12542"/>
    <cellStyle name="Normal 31 6 3 2 2 2" xfId="12543"/>
    <cellStyle name="Normal 31 6 3 2 3" xfId="12544"/>
    <cellStyle name="Normal 31 6 3 3" xfId="12545"/>
    <cellStyle name="Normal 31 6 3 3 2" xfId="12546"/>
    <cellStyle name="Normal 31 6 3 4" xfId="12547"/>
    <cellStyle name="Normal 31 6 4" xfId="12548"/>
    <cellStyle name="Normal 31 6 4 2" xfId="12549"/>
    <cellStyle name="Normal 31 6 4 2 2" xfId="12550"/>
    <cellStyle name="Normal 31 6 4 3" xfId="12551"/>
    <cellStyle name="Normal 31 6 5" xfId="12552"/>
    <cellStyle name="Normal 31 6 5 2" xfId="12553"/>
    <cellStyle name="Normal 31 6 6" xfId="12554"/>
    <cellStyle name="Normal 31 7" xfId="12555"/>
    <cellStyle name="Normal 31 7 2" xfId="12556"/>
    <cellStyle name="Normal 31 7 2 2" xfId="12557"/>
    <cellStyle name="Normal 31 7 2 2 2" xfId="12558"/>
    <cellStyle name="Normal 31 7 2 2 2 2" xfId="12559"/>
    <cellStyle name="Normal 31 7 2 2 3" xfId="12560"/>
    <cellStyle name="Normal 31 7 2 3" xfId="12561"/>
    <cellStyle name="Normal 31 7 2 3 2" xfId="12562"/>
    <cellStyle name="Normal 31 7 2 4" xfId="12563"/>
    <cellStyle name="Normal 31 7 3" xfId="12564"/>
    <cellStyle name="Normal 31 7 3 2" xfId="12565"/>
    <cellStyle name="Normal 31 7 3 2 2" xfId="12566"/>
    <cellStyle name="Normal 31 7 3 2 2 2" xfId="12567"/>
    <cellStyle name="Normal 31 7 3 2 3" xfId="12568"/>
    <cellStyle name="Normal 31 7 3 3" xfId="12569"/>
    <cellStyle name="Normal 31 7 3 3 2" xfId="12570"/>
    <cellStyle name="Normal 31 7 3 4" xfId="12571"/>
    <cellStyle name="Normal 31 7 4" xfId="12572"/>
    <cellStyle name="Normal 31 7 4 2" xfId="12573"/>
    <cellStyle name="Normal 31 7 4 2 2" xfId="12574"/>
    <cellStyle name="Normal 31 7 4 3" xfId="12575"/>
    <cellStyle name="Normal 31 7 5" xfId="12576"/>
    <cellStyle name="Normal 31 7 5 2" xfId="12577"/>
    <cellStyle name="Normal 31 7 6" xfId="12578"/>
    <cellStyle name="Normal 31 8" xfId="12579"/>
    <cellStyle name="Normal 31 8 2" xfId="12580"/>
    <cellStyle name="Normal 31 8 2 2" xfId="12581"/>
    <cellStyle name="Normal 31 8 2 2 2" xfId="12582"/>
    <cellStyle name="Normal 31 8 2 3" xfId="12583"/>
    <cellStyle name="Normal 31 8 3" xfId="12584"/>
    <cellStyle name="Normal 31 8 3 2" xfId="12585"/>
    <cellStyle name="Normal 31 8 4" xfId="12586"/>
    <cellStyle name="Normal 31 9" xfId="12587"/>
    <cellStyle name="Normal 31 9 2" xfId="12588"/>
    <cellStyle name="Normal 31 9 2 2" xfId="12589"/>
    <cellStyle name="Normal 31 9 2 2 2" xfId="12590"/>
    <cellStyle name="Normal 31 9 2 3" xfId="12591"/>
    <cellStyle name="Normal 31 9 3" xfId="12592"/>
    <cellStyle name="Normal 31 9 3 2" xfId="12593"/>
    <cellStyle name="Normal 31 9 4" xfId="12594"/>
    <cellStyle name="Normal 32" xfId="12595"/>
    <cellStyle name="Normal 32 2" xfId="12596"/>
    <cellStyle name="Normal 33" xfId="12597"/>
    <cellStyle name="Normal 33 2" xfId="12598"/>
    <cellStyle name="Normal 34" xfId="12599"/>
    <cellStyle name="Normal 34 2" xfId="12600"/>
    <cellStyle name="Normal 35" xfId="12601"/>
    <cellStyle name="Normal 35 2" xfId="12602"/>
    <cellStyle name="Normal 36" xfId="12603"/>
    <cellStyle name="Normal 36 2" xfId="12604"/>
    <cellStyle name="Normal 37" xfId="12605"/>
    <cellStyle name="Normal 37 2" xfId="12606"/>
    <cellStyle name="Normal 38" xfId="12607"/>
    <cellStyle name="Normal 38 2" xfId="12608"/>
    <cellStyle name="Normal 39" xfId="12609"/>
    <cellStyle name="Normal 39 2" xfId="12610"/>
    <cellStyle name="Normal 4 10" xfId="12611"/>
    <cellStyle name="Normal 4 10 2" xfId="12612"/>
    <cellStyle name="Normal 4 10 2 2" xfId="12613"/>
    <cellStyle name="Normal 4 10 3" xfId="12614"/>
    <cellStyle name="Normal 4 2" xfId="12615"/>
    <cellStyle name="Normal 4 3" xfId="12616"/>
    <cellStyle name="Normal 4 4" xfId="12617"/>
    <cellStyle name="Normal 4 4 10" xfId="12618"/>
    <cellStyle name="Normal 4 4 10 2" xfId="12619"/>
    <cellStyle name="Normal 4 4 10 2 2" xfId="12620"/>
    <cellStyle name="Normal 4 4 10 3" xfId="12621"/>
    <cellStyle name="Normal 4 4 11" xfId="12622"/>
    <cellStyle name="Normal 4 4 11 2" xfId="12623"/>
    <cellStyle name="Normal 4 4 12" xfId="12624"/>
    <cellStyle name="Normal 4 4 2" xfId="12625"/>
    <cellStyle name="Normal 4 4 2 10" xfId="12626"/>
    <cellStyle name="Normal 4 4 2 2" xfId="12627"/>
    <cellStyle name="Normal 4 4 2 2 2" xfId="12628"/>
    <cellStyle name="Normal 4 4 2 2 2 2" xfId="12629"/>
    <cellStyle name="Normal 4 4 2 2 2 2 2" xfId="12630"/>
    <cellStyle name="Normal 4 4 2 2 2 2 2 2" xfId="12631"/>
    <cellStyle name="Normal 4 4 2 2 2 2 2 2 2" xfId="12632"/>
    <cellStyle name="Normal 4 4 2 2 2 2 2 3" xfId="12633"/>
    <cellStyle name="Normal 4 4 2 2 2 2 3" xfId="12634"/>
    <cellStyle name="Normal 4 4 2 2 2 2 3 2" xfId="12635"/>
    <cellStyle name="Normal 4 4 2 2 2 2 4" xfId="12636"/>
    <cellStyle name="Normal 4 4 2 2 2 3" xfId="12637"/>
    <cellStyle name="Normal 4 4 2 2 2 3 2" xfId="12638"/>
    <cellStyle name="Normal 4 4 2 2 2 3 2 2" xfId="12639"/>
    <cellStyle name="Normal 4 4 2 2 2 3 2 2 2" xfId="12640"/>
    <cellStyle name="Normal 4 4 2 2 2 3 2 3" xfId="12641"/>
    <cellStyle name="Normal 4 4 2 2 2 3 3" xfId="12642"/>
    <cellStyle name="Normal 4 4 2 2 2 3 3 2" xfId="12643"/>
    <cellStyle name="Normal 4 4 2 2 2 3 4" xfId="12644"/>
    <cellStyle name="Normal 4 4 2 2 2 4" xfId="12645"/>
    <cellStyle name="Normal 4 4 2 2 2 4 2" xfId="12646"/>
    <cellStyle name="Normal 4 4 2 2 2 4 2 2" xfId="12647"/>
    <cellStyle name="Normal 4 4 2 2 2 4 3" xfId="12648"/>
    <cellStyle name="Normal 4 4 2 2 2 5" xfId="12649"/>
    <cellStyle name="Normal 4 4 2 2 2 5 2" xfId="12650"/>
    <cellStyle name="Normal 4 4 2 2 2 6" xfId="12651"/>
    <cellStyle name="Normal 4 4 2 2 3" xfId="12652"/>
    <cellStyle name="Normal 4 4 2 2 3 2" xfId="12653"/>
    <cellStyle name="Normal 4 4 2 2 3 2 2" xfId="12654"/>
    <cellStyle name="Normal 4 4 2 2 3 2 2 2" xfId="12655"/>
    <cellStyle name="Normal 4 4 2 2 3 2 3" xfId="12656"/>
    <cellStyle name="Normal 4 4 2 2 3 3" xfId="12657"/>
    <cellStyle name="Normal 4 4 2 2 3 3 2" xfId="12658"/>
    <cellStyle name="Normal 4 4 2 2 3 4" xfId="12659"/>
    <cellStyle name="Normal 4 4 2 2 4" xfId="12660"/>
    <cellStyle name="Normal 4 4 2 2 4 2" xfId="12661"/>
    <cellStyle name="Normal 4 4 2 2 4 2 2" xfId="12662"/>
    <cellStyle name="Normal 4 4 2 2 4 2 2 2" xfId="12663"/>
    <cellStyle name="Normal 4 4 2 2 4 2 3" xfId="12664"/>
    <cellStyle name="Normal 4 4 2 2 4 3" xfId="12665"/>
    <cellStyle name="Normal 4 4 2 2 4 3 2" xfId="12666"/>
    <cellStyle name="Normal 4 4 2 2 4 4" xfId="12667"/>
    <cellStyle name="Normal 4 4 2 2 5" xfId="12668"/>
    <cellStyle name="Normal 4 4 2 2 5 2" xfId="12669"/>
    <cellStyle name="Normal 4 4 2 2 5 2 2" xfId="12670"/>
    <cellStyle name="Normal 4 4 2 2 5 3" xfId="12671"/>
    <cellStyle name="Normal 4 4 2 2 6" xfId="12672"/>
    <cellStyle name="Normal 4 4 2 2 6 2" xfId="12673"/>
    <cellStyle name="Normal 4 4 2 2 7" xfId="12674"/>
    <cellStyle name="Normal 4 4 2 3" xfId="12675"/>
    <cellStyle name="Normal 4 4 2 3 2" xfId="12676"/>
    <cellStyle name="Normal 4 4 2 3 2 2" xfId="12677"/>
    <cellStyle name="Normal 4 4 2 3 2 2 2" xfId="12678"/>
    <cellStyle name="Normal 4 4 2 3 2 2 2 2" xfId="12679"/>
    <cellStyle name="Normal 4 4 2 3 2 2 3" xfId="12680"/>
    <cellStyle name="Normal 4 4 2 3 2 3" xfId="12681"/>
    <cellStyle name="Normal 4 4 2 3 2 3 2" xfId="12682"/>
    <cellStyle name="Normal 4 4 2 3 2 4" xfId="12683"/>
    <cellStyle name="Normal 4 4 2 3 3" xfId="12684"/>
    <cellStyle name="Normal 4 4 2 3 3 2" xfId="12685"/>
    <cellStyle name="Normal 4 4 2 3 3 2 2" xfId="12686"/>
    <cellStyle name="Normal 4 4 2 3 3 2 2 2" xfId="12687"/>
    <cellStyle name="Normal 4 4 2 3 3 2 3" xfId="12688"/>
    <cellStyle name="Normal 4 4 2 3 3 3" xfId="12689"/>
    <cellStyle name="Normal 4 4 2 3 3 3 2" xfId="12690"/>
    <cellStyle name="Normal 4 4 2 3 3 4" xfId="12691"/>
    <cellStyle name="Normal 4 4 2 3 4" xfId="12692"/>
    <cellStyle name="Normal 4 4 2 3 4 2" xfId="12693"/>
    <cellStyle name="Normal 4 4 2 3 4 2 2" xfId="12694"/>
    <cellStyle name="Normal 4 4 2 3 4 3" xfId="12695"/>
    <cellStyle name="Normal 4 4 2 3 5" xfId="12696"/>
    <cellStyle name="Normal 4 4 2 3 5 2" xfId="12697"/>
    <cellStyle name="Normal 4 4 2 3 6" xfId="12698"/>
    <cellStyle name="Normal 4 4 2 4" xfId="12699"/>
    <cellStyle name="Normal 4 4 2 4 2" xfId="12700"/>
    <cellStyle name="Normal 4 4 2 4 2 2" xfId="12701"/>
    <cellStyle name="Normal 4 4 2 4 2 2 2" xfId="12702"/>
    <cellStyle name="Normal 4 4 2 4 2 2 2 2" xfId="12703"/>
    <cellStyle name="Normal 4 4 2 4 2 2 3" xfId="12704"/>
    <cellStyle name="Normal 4 4 2 4 2 3" xfId="12705"/>
    <cellStyle name="Normal 4 4 2 4 2 3 2" xfId="12706"/>
    <cellStyle name="Normal 4 4 2 4 2 4" xfId="12707"/>
    <cellStyle name="Normal 4 4 2 4 3" xfId="12708"/>
    <cellStyle name="Normal 4 4 2 4 3 2" xfId="12709"/>
    <cellStyle name="Normal 4 4 2 4 3 2 2" xfId="12710"/>
    <cellStyle name="Normal 4 4 2 4 3 2 2 2" xfId="12711"/>
    <cellStyle name="Normal 4 4 2 4 3 2 3" xfId="12712"/>
    <cellStyle name="Normal 4 4 2 4 3 3" xfId="12713"/>
    <cellStyle name="Normal 4 4 2 4 3 3 2" xfId="12714"/>
    <cellStyle name="Normal 4 4 2 4 3 4" xfId="12715"/>
    <cellStyle name="Normal 4 4 2 4 4" xfId="12716"/>
    <cellStyle name="Normal 4 4 2 4 4 2" xfId="12717"/>
    <cellStyle name="Normal 4 4 2 4 4 2 2" xfId="12718"/>
    <cellStyle name="Normal 4 4 2 4 4 3" xfId="12719"/>
    <cellStyle name="Normal 4 4 2 4 5" xfId="12720"/>
    <cellStyle name="Normal 4 4 2 4 5 2" xfId="12721"/>
    <cellStyle name="Normal 4 4 2 4 6" xfId="12722"/>
    <cellStyle name="Normal 4 4 2 5" xfId="12723"/>
    <cellStyle name="Normal 4 4 2 5 2" xfId="12724"/>
    <cellStyle name="Normal 4 4 2 5 2 2" xfId="12725"/>
    <cellStyle name="Normal 4 4 2 5 2 2 2" xfId="12726"/>
    <cellStyle name="Normal 4 4 2 5 2 3" xfId="12727"/>
    <cellStyle name="Normal 4 4 2 5 3" xfId="12728"/>
    <cellStyle name="Normal 4 4 2 5 3 2" xfId="12729"/>
    <cellStyle name="Normal 4 4 2 5 4" xfId="12730"/>
    <cellStyle name="Normal 4 4 2 6" xfId="12731"/>
    <cellStyle name="Normal 4 4 2 6 2" xfId="12732"/>
    <cellStyle name="Normal 4 4 2 6 2 2" xfId="12733"/>
    <cellStyle name="Normal 4 4 2 6 2 2 2" xfId="12734"/>
    <cellStyle name="Normal 4 4 2 6 2 3" xfId="12735"/>
    <cellStyle name="Normal 4 4 2 6 3" xfId="12736"/>
    <cellStyle name="Normal 4 4 2 6 3 2" xfId="12737"/>
    <cellStyle name="Normal 4 4 2 6 4" xfId="12738"/>
    <cellStyle name="Normal 4 4 2 7" xfId="12739"/>
    <cellStyle name="Normal 4 4 2 7 2" xfId="12740"/>
    <cellStyle name="Normal 4 4 2 7 2 2" xfId="12741"/>
    <cellStyle name="Normal 4 4 2 7 2 2 2" xfId="12742"/>
    <cellStyle name="Normal 4 4 2 7 2 3" xfId="12743"/>
    <cellStyle name="Normal 4 4 2 7 3" xfId="12744"/>
    <cellStyle name="Normal 4 4 2 7 3 2" xfId="12745"/>
    <cellStyle name="Normal 4 4 2 7 4" xfId="12746"/>
    <cellStyle name="Normal 4 4 2 8" xfId="12747"/>
    <cellStyle name="Normal 4 4 2 8 2" xfId="12748"/>
    <cellStyle name="Normal 4 4 2 8 2 2" xfId="12749"/>
    <cellStyle name="Normal 4 4 2 8 3" xfId="12750"/>
    <cellStyle name="Normal 4 4 2 9" xfId="12751"/>
    <cellStyle name="Normal 4 4 2 9 2" xfId="12752"/>
    <cellStyle name="Normal 4 4 3" xfId="12753"/>
    <cellStyle name="Normal 4 4 3 2" xfId="12754"/>
    <cellStyle name="Normal 4 4 3 2 2" xfId="12755"/>
    <cellStyle name="Normal 4 4 3 2 2 2" xfId="12756"/>
    <cellStyle name="Normal 4 4 3 2 2 2 2" xfId="12757"/>
    <cellStyle name="Normal 4 4 3 2 2 2 2 2" xfId="12758"/>
    <cellStyle name="Normal 4 4 3 2 2 2 2 2 2" xfId="12759"/>
    <cellStyle name="Normal 4 4 3 2 2 2 2 3" xfId="12760"/>
    <cellStyle name="Normal 4 4 3 2 2 2 3" xfId="12761"/>
    <cellStyle name="Normal 4 4 3 2 2 2 3 2" xfId="12762"/>
    <cellStyle name="Normal 4 4 3 2 2 2 4" xfId="12763"/>
    <cellStyle name="Normal 4 4 3 2 2 3" xfId="12764"/>
    <cellStyle name="Normal 4 4 3 2 2 3 2" xfId="12765"/>
    <cellStyle name="Normal 4 4 3 2 2 3 2 2" xfId="12766"/>
    <cellStyle name="Normal 4 4 3 2 2 3 2 2 2" xfId="12767"/>
    <cellStyle name="Normal 4 4 3 2 2 3 2 3" xfId="12768"/>
    <cellStyle name="Normal 4 4 3 2 2 3 3" xfId="12769"/>
    <cellStyle name="Normal 4 4 3 2 2 3 3 2" xfId="12770"/>
    <cellStyle name="Normal 4 4 3 2 2 3 4" xfId="12771"/>
    <cellStyle name="Normal 4 4 3 2 2 4" xfId="12772"/>
    <cellStyle name="Normal 4 4 3 2 2 4 2" xfId="12773"/>
    <cellStyle name="Normal 4 4 3 2 2 4 2 2" xfId="12774"/>
    <cellStyle name="Normal 4 4 3 2 2 4 3" xfId="12775"/>
    <cellStyle name="Normal 4 4 3 2 2 5" xfId="12776"/>
    <cellStyle name="Normal 4 4 3 2 2 5 2" xfId="12777"/>
    <cellStyle name="Normal 4 4 3 2 2 6" xfId="12778"/>
    <cellStyle name="Normal 4 4 3 2 3" xfId="12779"/>
    <cellStyle name="Normal 4 4 3 2 3 2" xfId="12780"/>
    <cellStyle name="Normal 4 4 3 2 3 2 2" xfId="12781"/>
    <cellStyle name="Normal 4 4 3 2 3 2 2 2" xfId="12782"/>
    <cellStyle name="Normal 4 4 3 2 3 2 3" xfId="12783"/>
    <cellStyle name="Normal 4 4 3 2 3 3" xfId="12784"/>
    <cellStyle name="Normal 4 4 3 2 3 3 2" xfId="12785"/>
    <cellStyle name="Normal 4 4 3 2 3 4" xfId="12786"/>
    <cellStyle name="Normal 4 4 3 2 4" xfId="12787"/>
    <cellStyle name="Normal 4 4 3 2 4 2" xfId="12788"/>
    <cellStyle name="Normal 4 4 3 2 4 2 2" xfId="12789"/>
    <cellStyle name="Normal 4 4 3 2 4 2 2 2" xfId="12790"/>
    <cellStyle name="Normal 4 4 3 2 4 2 3" xfId="12791"/>
    <cellStyle name="Normal 4 4 3 2 4 3" xfId="12792"/>
    <cellStyle name="Normal 4 4 3 2 4 3 2" xfId="12793"/>
    <cellStyle name="Normal 4 4 3 2 4 4" xfId="12794"/>
    <cellStyle name="Normal 4 4 3 2 5" xfId="12795"/>
    <cellStyle name="Normal 4 4 3 2 5 2" xfId="12796"/>
    <cellStyle name="Normal 4 4 3 2 5 2 2" xfId="12797"/>
    <cellStyle name="Normal 4 4 3 2 5 3" xfId="12798"/>
    <cellStyle name="Normal 4 4 3 2 6" xfId="12799"/>
    <cellStyle name="Normal 4 4 3 2 6 2" xfId="12800"/>
    <cellStyle name="Normal 4 4 3 2 7" xfId="12801"/>
    <cellStyle name="Normal 4 4 3 3" xfId="12802"/>
    <cellStyle name="Normal 4 4 3 3 2" xfId="12803"/>
    <cellStyle name="Normal 4 4 3 3 2 2" xfId="12804"/>
    <cellStyle name="Normal 4 4 3 3 2 2 2" xfId="12805"/>
    <cellStyle name="Normal 4 4 3 3 2 2 2 2" xfId="12806"/>
    <cellStyle name="Normal 4 4 3 3 2 2 3" xfId="12807"/>
    <cellStyle name="Normal 4 4 3 3 2 3" xfId="12808"/>
    <cellStyle name="Normal 4 4 3 3 2 3 2" xfId="12809"/>
    <cellStyle name="Normal 4 4 3 3 2 4" xfId="12810"/>
    <cellStyle name="Normal 4 4 3 3 3" xfId="12811"/>
    <cellStyle name="Normal 4 4 3 3 3 2" xfId="12812"/>
    <cellStyle name="Normal 4 4 3 3 3 2 2" xfId="12813"/>
    <cellStyle name="Normal 4 4 3 3 3 2 2 2" xfId="12814"/>
    <cellStyle name="Normal 4 4 3 3 3 2 3" xfId="12815"/>
    <cellStyle name="Normal 4 4 3 3 3 3" xfId="12816"/>
    <cellStyle name="Normal 4 4 3 3 3 3 2" xfId="12817"/>
    <cellStyle name="Normal 4 4 3 3 3 4" xfId="12818"/>
    <cellStyle name="Normal 4 4 3 3 4" xfId="12819"/>
    <cellStyle name="Normal 4 4 3 3 4 2" xfId="12820"/>
    <cellStyle name="Normal 4 4 3 3 4 2 2" xfId="12821"/>
    <cellStyle name="Normal 4 4 3 3 4 3" xfId="12822"/>
    <cellStyle name="Normal 4 4 3 3 5" xfId="12823"/>
    <cellStyle name="Normal 4 4 3 3 5 2" xfId="12824"/>
    <cellStyle name="Normal 4 4 3 3 6" xfId="12825"/>
    <cellStyle name="Normal 4 4 3 4" xfId="12826"/>
    <cellStyle name="Normal 4 4 3 4 2" xfId="12827"/>
    <cellStyle name="Normal 4 4 3 4 2 2" xfId="12828"/>
    <cellStyle name="Normal 4 4 3 4 2 2 2" xfId="12829"/>
    <cellStyle name="Normal 4 4 3 4 2 3" xfId="12830"/>
    <cellStyle name="Normal 4 4 3 4 3" xfId="12831"/>
    <cellStyle name="Normal 4 4 3 4 3 2" xfId="12832"/>
    <cellStyle name="Normal 4 4 3 4 4" xfId="12833"/>
    <cellStyle name="Normal 4 4 3 5" xfId="12834"/>
    <cellStyle name="Normal 4 4 3 5 2" xfId="12835"/>
    <cellStyle name="Normal 4 4 3 5 2 2" xfId="12836"/>
    <cellStyle name="Normal 4 4 3 5 2 2 2" xfId="12837"/>
    <cellStyle name="Normal 4 4 3 5 2 3" xfId="12838"/>
    <cellStyle name="Normal 4 4 3 5 3" xfId="12839"/>
    <cellStyle name="Normal 4 4 3 5 3 2" xfId="12840"/>
    <cellStyle name="Normal 4 4 3 5 4" xfId="12841"/>
    <cellStyle name="Normal 4 4 3 6" xfId="12842"/>
    <cellStyle name="Normal 4 4 3 6 2" xfId="12843"/>
    <cellStyle name="Normal 4 4 3 6 2 2" xfId="12844"/>
    <cellStyle name="Normal 4 4 3 6 3" xfId="12845"/>
    <cellStyle name="Normal 4 4 3 7" xfId="12846"/>
    <cellStyle name="Normal 4 4 3 7 2" xfId="12847"/>
    <cellStyle name="Normal 4 4 3 8" xfId="12848"/>
    <cellStyle name="Normal 4 4 4" xfId="12849"/>
    <cellStyle name="Normal 4 4 4 2" xfId="12850"/>
    <cellStyle name="Normal 4 4 4 2 2" xfId="12851"/>
    <cellStyle name="Normal 4 4 4 2 2 2" xfId="12852"/>
    <cellStyle name="Normal 4 4 4 2 2 2 2" xfId="12853"/>
    <cellStyle name="Normal 4 4 4 2 2 2 2 2" xfId="12854"/>
    <cellStyle name="Normal 4 4 4 2 2 2 3" xfId="12855"/>
    <cellStyle name="Normal 4 4 4 2 2 3" xfId="12856"/>
    <cellStyle name="Normal 4 4 4 2 2 3 2" xfId="12857"/>
    <cellStyle name="Normal 4 4 4 2 2 4" xfId="12858"/>
    <cellStyle name="Normal 4 4 4 2 3" xfId="12859"/>
    <cellStyle name="Normal 4 4 4 2 3 2" xfId="12860"/>
    <cellStyle name="Normal 4 4 4 2 3 2 2" xfId="12861"/>
    <cellStyle name="Normal 4 4 4 2 3 2 2 2" xfId="12862"/>
    <cellStyle name="Normal 4 4 4 2 3 2 3" xfId="12863"/>
    <cellStyle name="Normal 4 4 4 2 3 3" xfId="12864"/>
    <cellStyle name="Normal 4 4 4 2 3 3 2" xfId="12865"/>
    <cellStyle name="Normal 4 4 4 2 3 4" xfId="12866"/>
    <cellStyle name="Normal 4 4 4 2 4" xfId="12867"/>
    <cellStyle name="Normal 4 4 4 2 4 2" xfId="12868"/>
    <cellStyle name="Normal 4 4 4 2 4 2 2" xfId="12869"/>
    <cellStyle name="Normal 4 4 4 2 4 3" xfId="12870"/>
    <cellStyle name="Normal 4 4 4 2 5" xfId="12871"/>
    <cellStyle name="Normal 4 4 4 2 5 2" xfId="12872"/>
    <cellStyle name="Normal 4 4 4 2 6" xfId="12873"/>
    <cellStyle name="Normal 4 4 4 3" xfId="12874"/>
    <cellStyle name="Normal 4 4 4 3 2" xfId="12875"/>
    <cellStyle name="Normal 4 4 4 3 2 2" xfId="12876"/>
    <cellStyle name="Normal 4 4 4 3 2 2 2" xfId="12877"/>
    <cellStyle name="Normal 4 4 4 3 2 3" xfId="12878"/>
    <cellStyle name="Normal 4 4 4 3 3" xfId="12879"/>
    <cellStyle name="Normal 4 4 4 3 3 2" xfId="12880"/>
    <cellStyle name="Normal 4 4 4 3 4" xfId="12881"/>
    <cellStyle name="Normal 4 4 4 4" xfId="12882"/>
    <cellStyle name="Normal 4 4 4 4 2" xfId="12883"/>
    <cellStyle name="Normal 4 4 4 4 2 2" xfId="12884"/>
    <cellStyle name="Normal 4 4 4 4 2 2 2" xfId="12885"/>
    <cellStyle name="Normal 4 4 4 4 2 3" xfId="12886"/>
    <cellStyle name="Normal 4 4 4 4 3" xfId="12887"/>
    <cellStyle name="Normal 4 4 4 4 3 2" xfId="12888"/>
    <cellStyle name="Normal 4 4 4 4 4" xfId="12889"/>
    <cellStyle name="Normal 4 4 4 5" xfId="12890"/>
    <cellStyle name="Normal 4 4 4 5 2" xfId="12891"/>
    <cellStyle name="Normal 4 4 4 5 2 2" xfId="12892"/>
    <cellStyle name="Normal 4 4 4 5 3" xfId="12893"/>
    <cellStyle name="Normal 4 4 4 6" xfId="12894"/>
    <cellStyle name="Normal 4 4 4 6 2" xfId="12895"/>
    <cellStyle name="Normal 4 4 4 7" xfId="12896"/>
    <cellStyle name="Normal 4 4 5" xfId="12897"/>
    <cellStyle name="Normal 4 4 5 2" xfId="12898"/>
    <cellStyle name="Normal 4 4 5 2 2" xfId="12899"/>
    <cellStyle name="Normal 4 4 5 2 2 2" xfId="12900"/>
    <cellStyle name="Normal 4 4 5 2 2 2 2" xfId="12901"/>
    <cellStyle name="Normal 4 4 5 2 2 3" xfId="12902"/>
    <cellStyle name="Normal 4 4 5 2 3" xfId="12903"/>
    <cellStyle name="Normal 4 4 5 2 3 2" xfId="12904"/>
    <cellStyle name="Normal 4 4 5 2 4" xfId="12905"/>
    <cellStyle name="Normal 4 4 5 3" xfId="12906"/>
    <cellStyle name="Normal 4 4 5 3 2" xfId="12907"/>
    <cellStyle name="Normal 4 4 5 3 2 2" xfId="12908"/>
    <cellStyle name="Normal 4 4 5 3 2 2 2" xfId="12909"/>
    <cellStyle name="Normal 4 4 5 3 2 3" xfId="12910"/>
    <cellStyle name="Normal 4 4 5 3 3" xfId="12911"/>
    <cellStyle name="Normal 4 4 5 3 3 2" xfId="12912"/>
    <cellStyle name="Normal 4 4 5 3 4" xfId="12913"/>
    <cellStyle name="Normal 4 4 5 4" xfId="12914"/>
    <cellStyle name="Normal 4 4 5 4 2" xfId="12915"/>
    <cellStyle name="Normal 4 4 5 4 2 2" xfId="12916"/>
    <cellStyle name="Normal 4 4 5 4 3" xfId="12917"/>
    <cellStyle name="Normal 4 4 5 5" xfId="12918"/>
    <cellStyle name="Normal 4 4 5 5 2" xfId="12919"/>
    <cellStyle name="Normal 4 4 5 6" xfId="12920"/>
    <cellStyle name="Normal 4 4 6" xfId="12921"/>
    <cellStyle name="Normal 4 4 6 2" xfId="12922"/>
    <cellStyle name="Normal 4 4 6 2 2" xfId="12923"/>
    <cellStyle name="Normal 4 4 6 2 2 2" xfId="12924"/>
    <cellStyle name="Normal 4 4 6 2 2 2 2" xfId="12925"/>
    <cellStyle name="Normal 4 4 6 2 2 3" xfId="12926"/>
    <cellStyle name="Normal 4 4 6 2 3" xfId="12927"/>
    <cellStyle name="Normal 4 4 6 2 3 2" xfId="12928"/>
    <cellStyle name="Normal 4 4 6 2 4" xfId="12929"/>
    <cellStyle name="Normal 4 4 6 3" xfId="12930"/>
    <cellStyle name="Normal 4 4 6 3 2" xfId="12931"/>
    <cellStyle name="Normal 4 4 6 3 2 2" xfId="12932"/>
    <cellStyle name="Normal 4 4 6 3 2 2 2" xfId="12933"/>
    <cellStyle name="Normal 4 4 6 3 2 3" xfId="12934"/>
    <cellStyle name="Normal 4 4 6 3 3" xfId="12935"/>
    <cellStyle name="Normal 4 4 6 3 3 2" xfId="12936"/>
    <cellStyle name="Normal 4 4 6 3 4" xfId="12937"/>
    <cellStyle name="Normal 4 4 6 4" xfId="12938"/>
    <cellStyle name="Normal 4 4 6 4 2" xfId="12939"/>
    <cellStyle name="Normal 4 4 6 4 2 2" xfId="12940"/>
    <cellStyle name="Normal 4 4 6 4 3" xfId="12941"/>
    <cellStyle name="Normal 4 4 6 5" xfId="12942"/>
    <cellStyle name="Normal 4 4 6 5 2" xfId="12943"/>
    <cellStyle name="Normal 4 4 6 6" xfId="12944"/>
    <cellStyle name="Normal 4 4 7" xfId="12945"/>
    <cellStyle name="Normal 4 4 7 2" xfId="12946"/>
    <cellStyle name="Normal 4 4 7 2 2" xfId="12947"/>
    <cellStyle name="Normal 4 4 7 2 2 2" xfId="12948"/>
    <cellStyle name="Normal 4 4 7 2 3" xfId="12949"/>
    <cellStyle name="Normal 4 4 7 3" xfId="12950"/>
    <cellStyle name="Normal 4 4 7 3 2" xfId="12951"/>
    <cellStyle name="Normal 4 4 7 4" xfId="12952"/>
    <cellStyle name="Normal 4 4 8" xfId="12953"/>
    <cellStyle name="Normal 4 4 8 2" xfId="12954"/>
    <cellStyle name="Normal 4 4 8 2 2" xfId="12955"/>
    <cellStyle name="Normal 4 4 8 2 2 2" xfId="12956"/>
    <cellStyle name="Normal 4 4 8 2 3" xfId="12957"/>
    <cellStyle name="Normal 4 4 8 3" xfId="12958"/>
    <cellStyle name="Normal 4 4 8 3 2" xfId="12959"/>
    <cellStyle name="Normal 4 4 8 4" xfId="12960"/>
    <cellStyle name="Normal 4 4 9" xfId="12961"/>
    <cellStyle name="Normal 4 4 9 2" xfId="12962"/>
    <cellStyle name="Normal 4 4 9 2 2" xfId="12963"/>
    <cellStyle name="Normal 4 4 9 2 2 2" xfId="12964"/>
    <cellStyle name="Normal 4 4 9 2 3" xfId="12965"/>
    <cellStyle name="Normal 4 4 9 3" xfId="12966"/>
    <cellStyle name="Normal 4 4 9 3 2" xfId="12967"/>
    <cellStyle name="Normal 4 4 9 4" xfId="12968"/>
    <cellStyle name="Normal 4 5" xfId="12969"/>
    <cellStyle name="Normal 4 5 2" xfId="12970"/>
    <cellStyle name="Normal 4 5 2 2" xfId="12971"/>
    <cellStyle name="Normal 4 5 2 2 2" xfId="12972"/>
    <cellStyle name="Normal 4 5 2 2 2 2" xfId="12973"/>
    <cellStyle name="Normal 4 5 2 2 3" xfId="12974"/>
    <cellStyle name="Normal 4 5 2 3" xfId="12975"/>
    <cellStyle name="Normal 4 5 2 3 2" xfId="12976"/>
    <cellStyle name="Normal 4 5 2 4" xfId="12977"/>
    <cellStyle name="Normal 4 5 3" xfId="12978"/>
    <cellStyle name="Normal 4 5 3 2" xfId="12979"/>
    <cellStyle name="Normal 4 5 3 2 2" xfId="12980"/>
    <cellStyle name="Normal 4 5 3 2 2 2" xfId="12981"/>
    <cellStyle name="Normal 4 5 3 2 3" xfId="12982"/>
    <cellStyle name="Normal 4 5 3 3" xfId="12983"/>
    <cellStyle name="Normal 4 5 3 3 2" xfId="12984"/>
    <cellStyle name="Normal 4 5 3 4" xfId="12985"/>
    <cellStyle name="Normal 4 5 4" xfId="12986"/>
    <cellStyle name="Normal 4 5 4 2" xfId="12987"/>
    <cellStyle name="Normal 4 5 4 2 2" xfId="12988"/>
    <cellStyle name="Normal 4 5 4 2 2 2" xfId="12989"/>
    <cellStyle name="Normal 4 5 4 2 3" xfId="12990"/>
    <cellStyle name="Normal 4 5 4 3" xfId="12991"/>
    <cellStyle name="Normal 4 5 4 3 2" xfId="12992"/>
    <cellStyle name="Normal 4 5 4 4" xfId="12993"/>
    <cellStyle name="Normal 4 5 5" xfId="12994"/>
    <cellStyle name="Normal 4 5 5 2" xfId="12995"/>
    <cellStyle name="Normal 4 5 5 2 2" xfId="12996"/>
    <cellStyle name="Normal 4 5 5 3" xfId="12997"/>
    <cellStyle name="Normal 4 5 6" xfId="12998"/>
    <cellStyle name="Normal 4 5 6 2" xfId="12999"/>
    <cellStyle name="Normal 4 5 7" xfId="13000"/>
    <cellStyle name="Normal 4 6" xfId="13001"/>
    <cellStyle name="Normal 4 6 2" xfId="13002"/>
    <cellStyle name="Normal 4 6 2 2" xfId="13003"/>
    <cellStyle name="Normal 4 6 2 2 2" xfId="13004"/>
    <cellStyle name="Normal 4 6 2 3" xfId="13005"/>
    <cellStyle name="Normal 4 6 3" xfId="13006"/>
    <cellStyle name="Normal 4 6 3 2" xfId="13007"/>
    <cellStyle name="Normal 4 6 4" xfId="13008"/>
    <cellStyle name="Normal 4 7" xfId="13009"/>
    <cellStyle name="Normal 4 7 2" xfId="13010"/>
    <cellStyle name="Normal 4 7 2 2" xfId="13011"/>
    <cellStyle name="Normal 4 7 2 2 2" xfId="13012"/>
    <cellStyle name="Normal 4 7 2 3" xfId="13013"/>
    <cellStyle name="Normal 4 7 3" xfId="13014"/>
    <cellStyle name="Normal 4 7 3 2" xfId="13015"/>
    <cellStyle name="Normal 4 7 4" xfId="13016"/>
    <cellStyle name="Normal 4 8" xfId="13017"/>
    <cellStyle name="Normal 4 8 2" xfId="13018"/>
    <cellStyle name="Normal 4 8 2 2" xfId="13019"/>
    <cellStyle name="Normal 4 8 2 2 2" xfId="13020"/>
    <cellStyle name="Normal 4 8 2 3" xfId="13021"/>
    <cellStyle name="Normal 4 8 3" xfId="13022"/>
    <cellStyle name="Normal 4 8 3 2" xfId="13023"/>
    <cellStyle name="Normal 4 8 4" xfId="13024"/>
    <cellStyle name="Normal 4 9" xfId="13025"/>
    <cellStyle name="Normal 4 9 2" xfId="13026"/>
    <cellStyle name="Normal 4 9 2 2" xfId="13027"/>
    <cellStyle name="Normal 4 9 3" xfId="13028"/>
    <cellStyle name="Normal 40" xfId="13029"/>
    <cellStyle name="Normal 41" xfId="13030"/>
    <cellStyle name="Normal 42" xfId="13031"/>
    <cellStyle name="Normal 43" xfId="13032"/>
    <cellStyle name="Normal 44" xfId="13033"/>
    <cellStyle name="Normal 45" xfId="13034"/>
    <cellStyle name="Normal 46" xfId="13035"/>
    <cellStyle name="Normal 47" xfId="13036"/>
    <cellStyle name="Normal 48" xfId="13037"/>
    <cellStyle name="Normal 49" xfId="13038"/>
    <cellStyle name="Normal 5 10" xfId="13039"/>
    <cellStyle name="Normal 5 10 2" xfId="13040"/>
    <cellStyle name="Normal 5 10 2 2" xfId="13041"/>
    <cellStyle name="Normal 5 10 3" xfId="13042"/>
    <cellStyle name="Normal 5 2" xfId="13043"/>
    <cellStyle name="Normal 5 3" xfId="13044"/>
    <cellStyle name="Normal 5 4" xfId="13045"/>
    <cellStyle name="Normal 5 4 10" xfId="13046"/>
    <cellStyle name="Normal 5 4 10 2" xfId="13047"/>
    <cellStyle name="Normal 5 4 10 2 2" xfId="13048"/>
    <cellStyle name="Normal 5 4 10 3" xfId="13049"/>
    <cellStyle name="Normal 5 4 11" xfId="13050"/>
    <cellStyle name="Normal 5 4 11 2" xfId="13051"/>
    <cellStyle name="Normal 5 4 12" xfId="13052"/>
    <cellStyle name="Normal 5 4 2" xfId="13053"/>
    <cellStyle name="Normal 5 4 2 10" xfId="13054"/>
    <cellStyle name="Normal 5 4 2 2" xfId="13055"/>
    <cellStyle name="Normal 5 4 2 2 2" xfId="13056"/>
    <cellStyle name="Normal 5 4 2 2 2 2" xfId="13057"/>
    <cellStyle name="Normal 5 4 2 2 2 2 2" xfId="13058"/>
    <cellStyle name="Normal 5 4 2 2 2 2 2 2" xfId="13059"/>
    <cellStyle name="Normal 5 4 2 2 2 2 2 2 2" xfId="13060"/>
    <cellStyle name="Normal 5 4 2 2 2 2 2 3" xfId="13061"/>
    <cellStyle name="Normal 5 4 2 2 2 2 3" xfId="13062"/>
    <cellStyle name="Normal 5 4 2 2 2 2 3 2" xfId="13063"/>
    <cellStyle name="Normal 5 4 2 2 2 2 4" xfId="13064"/>
    <cellStyle name="Normal 5 4 2 2 2 3" xfId="13065"/>
    <cellStyle name="Normal 5 4 2 2 2 3 2" xfId="13066"/>
    <cellStyle name="Normal 5 4 2 2 2 3 2 2" xfId="13067"/>
    <cellStyle name="Normal 5 4 2 2 2 3 2 2 2" xfId="13068"/>
    <cellStyle name="Normal 5 4 2 2 2 3 2 3" xfId="13069"/>
    <cellStyle name="Normal 5 4 2 2 2 3 3" xfId="13070"/>
    <cellStyle name="Normal 5 4 2 2 2 3 3 2" xfId="13071"/>
    <cellStyle name="Normal 5 4 2 2 2 3 4" xfId="13072"/>
    <cellStyle name="Normal 5 4 2 2 2 4" xfId="13073"/>
    <cellStyle name="Normal 5 4 2 2 2 4 2" xfId="13074"/>
    <cellStyle name="Normal 5 4 2 2 2 4 2 2" xfId="13075"/>
    <cellStyle name="Normal 5 4 2 2 2 4 3" xfId="13076"/>
    <cellStyle name="Normal 5 4 2 2 2 5" xfId="13077"/>
    <cellStyle name="Normal 5 4 2 2 2 5 2" xfId="13078"/>
    <cellStyle name="Normal 5 4 2 2 2 6" xfId="13079"/>
    <cellStyle name="Normal 5 4 2 2 3" xfId="13080"/>
    <cellStyle name="Normal 5 4 2 2 3 2" xfId="13081"/>
    <cellStyle name="Normal 5 4 2 2 3 2 2" xfId="13082"/>
    <cellStyle name="Normal 5 4 2 2 3 2 2 2" xfId="13083"/>
    <cellStyle name="Normal 5 4 2 2 3 2 3" xfId="13084"/>
    <cellStyle name="Normal 5 4 2 2 3 3" xfId="13085"/>
    <cellStyle name="Normal 5 4 2 2 3 3 2" xfId="13086"/>
    <cellStyle name="Normal 5 4 2 2 3 4" xfId="13087"/>
    <cellStyle name="Normal 5 4 2 2 4" xfId="13088"/>
    <cellStyle name="Normal 5 4 2 2 4 2" xfId="13089"/>
    <cellStyle name="Normal 5 4 2 2 4 2 2" xfId="13090"/>
    <cellStyle name="Normal 5 4 2 2 4 2 2 2" xfId="13091"/>
    <cellStyle name="Normal 5 4 2 2 4 2 3" xfId="13092"/>
    <cellStyle name="Normal 5 4 2 2 4 3" xfId="13093"/>
    <cellStyle name="Normal 5 4 2 2 4 3 2" xfId="13094"/>
    <cellStyle name="Normal 5 4 2 2 4 4" xfId="13095"/>
    <cellStyle name="Normal 5 4 2 2 5" xfId="13096"/>
    <cellStyle name="Normal 5 4 2 2 5 2" xfId="13097"/>
    <cellStyle name="Normal 5 4 2 2 5 2 2" xfId="13098"/>
    <cellStyle name="Normal 5 4 2 2 5 3" xfId="13099"/>
    <cellStyle name="Normal 5 4 2 2 6" xfId="13100"/>
    <cellStyle name="Normal 5 4 2 2 6 2" xfId="13101"/>
    <cellStyle name="Normal 5 4 2 2 7" xfId="13102"/>
    <cellStyle name="Normal 5 4 2 3" xfId="13103"/>
    <cellStyle name="Normal 5 4 2 3 2" xfId="13104"/>
    <cellStyle name="Normal 5 4 2 3 2 2" xfId="13105"/>
    <cellStyle name="Normal 5 4 2 3 2 2 2" xfId="13106"/>
    <cellStyle name="Normal 5 4 2 3 2 2 2 2" xfId="13107"/>
    <cellStyle name="Normal 5 4 2 3 2 2 3" xfId="13108"/>
    <cellStyle name="Normal 5 4 2 3 2 3" xfId="13109"/>
    <cellStyle name="Normal 5 4 2 3 2 3 2" xfId="13110"/>
    <cellStyle name="Normal 5 4 2 3 2 4" xfId="13111"/>
    <cellStyle name="Normal 5 4 2 3 3" xfId="13112"/>
    <cellStyle name="Normal 5 4 2 3 3 2" xfId="13113"/>
    <cellStyle name="Normal 5 4 2 3 3 2 2" xfId="13114"/>
    <cellStyle name="Normal 5 4 2 3 3 2 2 2" xfId="13115"/>
    <cellStyle name="Normal 5 4 2 3 3 2 3" xfId="13116"/>
    <cellStyle name="Normal 5 4 2 3 3 3" xfId="13117"/>
    <cellStyle name="Normal 5 4 2 3 3 3 2" xfId="13118"/>
    <cellStyle name="Normal 5 4 2 3 3 4" xfId="13119"/>
    <cellStyle name="Normal 5 4 2 3 4" xfId="13120"/>
    <cellStyle name="Normal 5 4 2 3 4 2" xfId="13121"/>
    <cellStyle name="Normal 5 4 2 3 4 2 2" xfId="13122"/>
    <cellStyle name="Normal 5 4 2 3 4 3" xfId="13123"/>
    <cellStyle name="Normal 5 4 2 3 5" xfId="13124"/>
    <cellStyle name="Normal 5 4 2 3 5 2" xfId="13125"/>
    <cellStyle name="Normal 5 4 2 3 6" xfId="13126"/>
    <cellStyle name="Normal 5 4 2 4" xfId="13127"/>
    <cellStyle name="Normal 5 4 2 4 2" xfId="13128"/>
    <cellStyle name="Normal 5 4 2 4 2 2" xfId="13129"/>
    <cellStyle name="Normal 5 4 2 4 2 2 2" xfId="13130"/>
    <cellStyle name="Normal 5 4 2 4 2 2 2 2" xfId="13131"/>
    <cellStyle name="Normal 5 4 2 4 2 2 3" xfId="13132"/>
    <cellStyle name="Normal 5 4 2 4 2 3" xfId="13133"/>
    <cellStyle name="Normal 5 4 2 4 2 3 2" xfId="13134"/>
    <cellStyle name="Normal 5 4 2 4 2 4" xfId="13135"/>
    <cellStyle name="Normal 5 4 2 4 3" xfId="13136"/>
    <cellStyle name="Normal 5 4 2 4 3 2" xfId="13137"/>
    <cellStyle name="Normal 5 4 2 4 3 2 2" xfId="13138"/>
    <cellStyle name="Normal 5 4 2 4 3 2 2 2" xfId="13139"/>
    <cellStyle name="Normal 5 4 2 4 3 2 3" xfId="13140"/>
    <cellStyle name="Normal 5 4 2 4 3 3" xfId="13141"/>
    <cellStyle name="Normal 5 4 2 4 3 3 2" xfId="13142"/>
    <cellStyle name="Normal 5 4 2 4 3 4" xfId="13143"/>
    <cellStyle name="Normal 5 4 2 4 4" xfId="13144"/>
    <cellStyle name="Normal 5 4 2 4 4 2" xfId="13145"/>
    <cellStyle name="Normal 5 4 2 4 4 2 2" xfId="13146"/>
    <cellStyle name="Normal 5 4 2 4 4 3" xfId="13147"/>
    <cellStyle name="Normal 5 4 2 4 5" xfId="13148"/>
    <cellStyle name="Normal 5 4 2 4 5 2" xfId="13149"/>
    <cellStyle name="Normal 5 4 2 4 6" xfId="13150"/>
    <cellStyle name="Normal 5 4 2 5" xfId="13151"/>
    <cellStyle name="Normal 5 4 2 5 2" xfId="13152"/>
    <cellStyle name="Normal 5 4 2 5 2 2" xfId="13153"/>
    <cellStyle name="Normal 5 4 2 5 2 2 2" xfId="13154"/>
    <cellStyle name="Normal 5 4 2 5 2 3" xfId="13155"/>
    <cellStyle name="Normal 5 4 2 5 3" xfId="13156"/>
    <cellStyle name="Normal 5 4 2 5 3 2" xfId="13157"/>
    <cellStyle name="Normal 5 4 2 5 4" xfId="13158"/>
    <cellStyle name="Normal 5 4 2 6" xfId="13159"/>
    <cellStyle name="Normal 5 4 2 6 2" xfId="13160"/>
    <cellStyle name="Normal 5 4 2 6 2 2" xfId="13161"/>
    <cellStyle name="Normal 5 4 2 6 2 2 2" xfId="13162"/>
    <cellStyle name="Normal 5 4 2 6 2 3" xfId="13163"/>
    <cellStyle name="Normal 5 4 2 6 3" xfId="13164"/>
    <cellStyle name="Normal 5 4 2 6 3 2" xfId="13165"/>
    <cellStyle name="Normal 5 4 2 6 4" xfId="13166"/>
    <cellStyle name="Normal 5 4 2 7" xfId="13167"/>
    <cellStyle name="Normal 5 4 2 7 2" xfId="13168"/>
    <cellStyle name="Normal 5 4 2 7 2 2" xfId="13169"/>
    <cellStyle name="Normal 5 4 2 7 2 2 2" xfId="13170"/>
    <cellStyle name="Normal 5 4 2 7 2 3" xfId="13171"/>
    <cellStyle name="Normal 5 4 2 7 3" xfId="13172"/>
    <cellStyle name="Normal 5 4 2 7 3 2" xfId="13173"/>
    <cellStyle name="Normal 5 4 2 7 4" xfId="13174"/>
    <cellStyle name="Normal 5 4 2 8" xfId="13175"/>
    <cellStyle name="Normal 5 4 2 8 2" xfId="13176"/>
    <cellStyle name="Normal 5 4 2 8 2 2" xfId="13177"/>
    <cellStyle name="Normal 5 4 2 8 3" xfId="13178"/>
    <cellStyle name="Normal 5 4 2 9" xfId="13179"/>
    <cellStyle name="Normal 5 4 2 9 2" xfId="13180"/>
    <cellStyle name="Normal 5 4 3" xfId="13181"/>
    <cellStyle name="Normal 5 4 3 2" xfId="13182"/>
    <cellStyle name="Normal 5 4 3 2 2" xfId="13183"/>
    <cellStyle name="Normal 5 4 3 2 2 2" xfId="13184"/>
    <cellStyle name="Normal 5 4 3 2 2 2 2" xfId="13185"/>
    <cellStyle name="Normal 5 4 3 2 2 2 2 2" xfId="13186"/>
    <cellStyle name="Normal 5 4 3 2 2 2 2 2 2" xfId="13187"/>
    <cellStyle name="Normal 5 4 3 2 2 2 2 3" xfId="13188"/>
    <cellStyle name="Normal 5 4 3 2 2 2 3" xfId="13189"/>
    <cellStyle name="Normal 5 4 3 2 2 2 3 2" xfId="13190"/>
    <cellStyle name="Normal 5 4 3 2 2 2 4" xfId="13191"/>
    <cellStyle name="Normal 5 4 3 2 2 3" xfId="13192"/>
    <cellStyle name="Normal 5 4 3 2 2 3 2" xfId="13193"/>
    <cellStyle name="Normal 5 4 3 2 2 3 2 2" xfId="13194"/>
    <cellStyle name="Normal 5 4 3 2 2 3 2 2 2" xfId="13195"/>
    <cellStyle name="Normal 5 4 3 2 2 3 2 3" xfId="13196"/>
    <cellStyle name="Normal 5 4 3 2 2 3 3" xfId="13197"/>
    <cellStyle name="Normal 5 4 3 2 2 3 3 2" xfId="13198"/>
    <cellStyle name="Normal 5 4 3 2 2 3 4" xfId="13199"/>
    <cellStyle name="Normal 5 4 3 2 2 4" xfId="13200"/>
    <cellStyle name="Normal 5 4 3 2 2 4 2" xfId="13201"/>
    <cellStyle name="Normal 5 4 3 2 2 4 2 2" xfId="13202"/>
    <cellStyle name="Normal 5 4 3 2 2 4 3" xfId="13203"/>
    <cellStyle name="Normal 5 4 3 2 2 5" xfId="13204"/>
    <cellStyle name="Normal 5 4 3 2 2 5 2" xfId="13205"/>
    <cellStyle name="Normal 5 4 3 2 2 6" xfId="13206"/>
    <cellStyle name="Normal 5 4 3 2 3" xfId="13207"/>
    <cellStyle name="Normal 5 4 3 2 3 2" xfId="13208"/>
    <cellStyle name="Normal 5 4 3 2 3 2 2" xfId="13209"/>
    <cellStyle name="Normal 5 4 3 2 3 2 2 2" xfId="13210"/>
    <cellStyle name="Normal 5 4 3 2 3 2 3" xfId="13211"/>
    <cellStyle name="Normal 5 4 3 2 3 3" xfId="13212"/>
    <cellStyle name="Normal 5 4 3 2 3 3 2" xfId="13213"/>
    <cellStyle name="Normal 5 4 3 2 3 4" xfId="13214"/>
    <cellStyle name="Normal 5 4 3 2 4" xfId="13215"/>
    <cellStyle name="Normal 5 4 3 2 4 2" xfId="13216"/>
    <cellStyle name="Normal 5 4 3 2 4 2 2" xfId="13217"/>
    <cellStyle name="Normal 5 4 3 2 4 2 2 2" xfId="13218"/>
    <cellStyle name="Normal 5 4 3 2 4 2 3" xfId="13219"/>
    <cellStyle name="Normal 5 4 3 2 4 3" xfId="13220"/>
    <cellStyle name="Normal 5 4 3 2 4 3 2" xfId="13221"/>
    <cellStyle name="Normal 5 4 3 2 4 4" xfId="13222"/>
    <cellStyle name="Normal 5 4 3 2 5" xfId="13223"/>
    <cellStyle name="Normal 5 4 3 2 5 2" xfId="13224"/>
    <cellStyle name="Normal 5 4 3 2 5 2 2" xfId="13225"/>
    <cellStyle name="Normal 5 4 3 2 5 3" xfId="13226"/>
    <cellStyle name="Normal 5 4 3 2 6" xfId="13227"/>
    <cellStyle name="Normal 5 4 3 2 6 2" xfId="13228"/>
    <cellStyle name="Normal 5 4 3 2 7" xfId="13229"/>
    <cellStyle name="Normal 5 4 3 3" xfId="13230"/>
    <cellStyle name="Normal 5 4 3 3 2" xfId="13231"/>
    <cellStyle name="Normal 5 4 3 3 2 2" xfId="13232"/>
    <cellStyle name="Normal 5 4 3 3 2 2 2" xfId="13233"/>
    <cellStyle name="Normal 5 4 3 3 2 2 2 2" xfId="13234"/>
    <cellStyle name="Normal 5 4 3 3 2 2 3" xfId="13235"/>
    <cellStyle name="Normal 5 4 3 3 2 3" xfId="13236"/>
    <cellStyle name="Normal 5 4 3 3 2 3 2" xfId="13237"/>
    <cellStyle name="Normal 5 4 3 3 2 4" xfId="13238"/>
    <cellStyle name="Normal 5 4 3 3 3" xfId="13239"/>
    <cellStyle name="Normal 5 4 3 3 3 2" xfId="13240"/>
    <cellStyle name="Normal 5 4 3 3 3 2 2" xfId="13241"/>
    <cellStyle name="Normal 5 4 3 3 3 2 2 2" xfId="13242"/>
    <cellStyle name="Normal 5 4 3 3 3 2 3" xfId="13243"/>
    <cellStyle name="Normal 5 4 3 3 3 3" xfId="13244"/>
    <cellStyle name="Normal 5 4 3 3 3 3 2" xfId="13245"/>
    <cellStyle name="Normal 5 4 3 3 3 4" xfId="13246"/>
    <cellStyle name="Normal 5 4 3 3 4" xfId="13247"/>
    <cellStyle name="Normal 5 4 3 3 4 2" xfId="13248"/>
    <cellStyle name="Normal 5 4 3 3 4 2 2" xfId="13249"/>
    <cellStyle name="Normal 5 4 3 3 4 3" xfId="13250"/>
    <cellStyle name="Normal 5 4 3 3 5" xfId="13251"/>
    <cellStyle name="Normal 5 4 3 3 5 2" xfId="13252"/>
    <cellStyle name="Normal 5 4 3 3 6" xfId="13253"/>
    <cellStyle name="Normal 5 4 3 4" xfId="13254"/>
    <cellStyle name="Normal 5 4 3 4 2" xfId="13255"/>
    <cellStyle name="Normal 5 4 3 4 2 2" xfId="13256"/>
    <cellStyle name="Normal 5 4 3 4 2 2 2" xfId="13257"/>
    <cellStyle name="Normal 5 4 3 4 2 3" xfId="13258"/>
    <cellStyle name="Normal 5 4 3 4 3" xfId="13259"/>
    <cellStyle name="Normal 5 4 3 4 3 2" xfId="13260"/>
    <cellStyle name="Normal 5 4 3 4 4" xfId="13261"/>
    <cellStyle name="Normal 5 4 3 5" xfId="13262"/>
    <cellStyle name="Normal 5 4 3 5 2" xfId="13263"/>
    <cellStyle name="Normal 5 4 3 5 2 2" xfId="13264"/>
    <cellStyle name="Normal 5 4 3 5 2 2 2" xfId="13265"/>
    <cellStyle name="Normal 5 4 3 5 2 3" xfId="13266"/>
    <cellStyle name="Normal 5 4 3 5 3" xfId="13267"/>
    <cellStyle name="Normal 5 4 3 5 3 2" xfId="13268"/>
    <cellStyle name="Normal 5 4 3 5 4" xfId="13269"/>
    <cellStyle name="Normal 5 4 3 6" xfId="13270"/>
    <cellStyle name="Normal 5 4 3 6 2" xfId="13271"/>
    <cellStyle name="Normal 5 4 3 6 2 2" xfId="13272"/>
    <cellStyle name="Normal 5 4 3 6 3" xfId="13273"/>
    <cellStyle name="Normal 5 4 3 7" xfId="13274"/>
    <cellStyle name="Normal 5 4 3 7 2" xfId="13275"/>
    <cellStyle name="Normal 5 4 3 8" xfId="13276"/>
    <cellStyle name="Normal 5 4 4" xfId="13277"/>
    <cellStyle name="Normal 5 4 4 2" xfId="13278"/>
    <cellStyle name="Normal 5 4 4 2 2" xfId="13279"/>
    <cellStyle name="Normal 5 4 4 2 2 2" xfId="13280"/>
    <cellStyle name="Normal 5 4 4 2 2 2 2" xfId="13281"/>
    <cellStyle name="Normal 5 4 4 2 2 2 2 2" xfId="13282"/>
    <cellStyle name="Normal 5 4 4 2 2 2 3" xfId="13283"/>
    <cellStyle name="Normal 5 4 4 2 2 3" xfId="13284"/>
    <cellStyle name="Normal 5 4 4 2 2 3 2" xfId="13285"/>
    <cellStyle name="Normal 5 4 4 2 2 4" xfId="13286"/>
    <cellStyle name="Normal 5 4 4 2 3" xfId="13287"/>
    <cellStyle name="Normal 5 4 4 2 3 2" xfId="13288"/>
    <cellStyle name="Normal 5 4 4 2 3 2 2" xfId="13289"/>
    <cellStyle name="Normal 5 4 4 2 3 2 2 2" xfId="13290"/>
    <cellStyle name="Normal 5 4 4 2 3 2 3" xfId="13291"/>
    <cellStyle name="Normal 5 4 4 2 3 3" xfId="13292"/>
    <cellStyle name="Normal 5 4 4 2 3 3 2" xfId="13293"/>
    <cellStyle name="Normal 5 4 4 2 3 4" xfId="13294"/>
    <cellStyle name="Normal 5 4 4 2 4" xfId="13295"/>
    <cellStyle name="Normal 5 4 4 2 4 2" xfId="13296"/>
    <cellStyle name="Normal 5 4 4 2 4 2 2" xfId="13297"/>
    <cellStyle name="Normal 5 4 4 2 4 3" xfId="13298"/>
    <cellStyle name="Normal 5 4 4 2 5" xfId="13299"/>
    <cellStyle name="Normal 5 4 4 2 5 2" xfId="13300"/>
    <cellStyle name="Normal 5 4 4 2 6" xfId="13301"/>
    <cellStyle name="Normal 5 4 4 3" xfId="13302"/>
    <cellStyle name="Normal 5 4 4 3 2" xfId="13303"/>
    <cellStyle name="Normal 5 4 4 3 2 2" xfId="13304"/>
    <cellStyle name="Normal 5 4 4 3 2 2 2" xfId="13305"/>
    <cellStyle name="Normal 5 4 4 3 2 3" xfId="13306"/>
    <cellStyle name="Normal 5 4 4 3 3" xfId="13307"/>
    <cellStyle name="Normal 5 4 4 3 3 2" xfId="13308"/>
    <cellStyle name="Normal 5 4 4 3 4" xfId="13309"/>
    <cellStyle name="Normal 5 4 4 4" xfId="13310"/>
    <cellStyle name="Normal 5 4 4 4 2" xfId="13311"/>
    <cellStyle name="Normal 5 4 4 4 2 2" xfId="13312"/>
    <cellStyle name="Normal 5 4 4 4 2 2 2" xfId="13313"/>
    <cellStyle name="Normal 5 4 4 4 2 3" xfId="13314"/>
    <cellStyle name="Normal 5 4 4 4 3" xfId="13315"/>
    <cellStyle name="Normal 5 4 4 4 3 2" xfId="13316"/>
    <cellStyle name="Normal 5 4 4 4 4" xfId="13317"/>
    <cellStyle name="Normal 5 4 4 5" xfId="13318"/>
    <cellStyle name="Normal 5 4 4 5 2" xfId="13319"/>
    <cellStyle name="Normal 5 4 4 5 2 2" xfId="13320"/>
    <cellStyle name="Normal 5 4 4 5 3" xfId="13321"/>
    <cellStyle name="Normal 5 4 4 6" xfId="13322"/>
    <cellStyle name="Normal 5 4 4 6 2" xfId="13323"/>
    <cellStyle name="Normal 5 4 4 7" xfId="13324"/>
    <cellStyle name="Normal 5 4 5" xfId="13325"/>
    <cellStyle name="Normal 5 4 5 2" xfId="13326"/>
    <cellStyle name="Normal 5 4 5 2 2" xfId="13327"/>
    <cellStyle name="Normal 5 4 5 2 2 2" xfId="13328"/>
    <cellStyle name="Normal 5 4 5 2 2 2 2" xfId="13329"/>
    <cellStyle name="Normal 5 4 5 2 2 3" xfId="13330"/>
    <cellStyle name="Normal 5 4 5 2 3" xfId="13331"/>
    <cellStyle name="Normal 5 4 5 2 3 2" xfId="13332"/>
    <cellStyle name="Normal 5 4 5 2 4" xfId="13333"/>
    <cellStyle name="Normal 5 4 5 3" xfId="13334"/>
    <cellStyle name="Normal 5 4 5 3 2" xfId="13335"/>
    <cellStyle name="Normal 5 4 5 3 2 2" xfId="13336"/>
    <cellStyle name="Normal 5 4 5 3 2 2 2" xfId="13337"/>
    <cellStyle name="Normal 5 4 5 3 2 3" xfId="13338"/>
    <cellStyle name="Normal 5 4 5 3 3" xfId="13339"/>
    <cellStyle name="Normal 5 4 5 3 3 2" xfId="13340"/>
    <cellStyle name="Normal 5 4 5 3 4" xfId="13341"/>
    <cellStyle name="Normal 5 4 5 4" xfId="13342"/>
    <cellStyle name="Normal 5 4 5 4 2" xfId="13343"/>
    <cellStyle name="Normal 5 4 5 4 2 2" xfId="13344"/>
    <cellStyle name="Normal 5 4 5 4 3" xfId="13345"/>
    <cellStyle name="Normal 5 4 5 5" xfId="13346"/>
    <cellStyle name="Normal 5 4 5 5 2" xfId="13347"/>
    <cellStyle name="Normal 5 4 5 6" xfId="13348"/>
    <cellStyle name="Normal 5 4 6" xfId="13349"/>
    <cellStyle name="Normal 5 4 6 2" xfId="13350"/>
    <cellStyle name="Normal 5 4 6 2 2" xfId="13351"/>
    <cellStyle name="Normal 5 4 6 2 2 2" xfId="13352"/>
    <cellStyle name="Normal 5 4 6 2 2 2 2" xfId="13353"/>
    <cellStyle name="Normal 5 4 6 2 2 3" xfId="13354"/>
    <cellStyle name="Normal 5 4 6 2 3" xfId="13355"/>
    <cellStyle name="Normal 5 4 6 2 3 2" xfId="13356"/>
    <cellStyle name="Normal 5 4 6 2 4" xfId="13357"/>
    <cellStyle name="Normal 5 4 6 3" xfId="13358"/>
    <cellStyle name="Normal 5 4 6 3 2" xfId="13359"/>
    <cellStyle name="Normal 5 4 6 3 2 2" xfId="13360"/>
    <cellStyle name="Normal 5 4 6 3 2 2 2" xfId="13361"/>
    <cellStyle name="Normal 5 4 6 3 2 3" xfId="13362"/>
    <cellStyle name="Normal 5 4 6 3 3" xfId="13363"/>
    <cellStyle name="Normal 5 4 6 3 3 2" xfId="13364"/>
    <cellStyle name="Normal 5 4 6 3 4" xfId="13365"/>
    <cellStyle name="Normal 5 4 6 4" xfId="13366"/>
    <cellStyle name="Normal 5 4 6 4 2" xfId="13367"/>
    <cellStyle name="Normal 5 4 6 4 2 2" xfId="13368"/>
    <cellStyle name="Normal 5 4 6 4 3" xfId="13369"/>
    <cellStyle name="Normal 5 4 6 5" xfId="13370"/>
    <cellStyle name="Normal 5 4 6 5 2" xfId="13371"/>
    <cellStyle name="Normal 5 4 6 6" xfId="13372"/>
    <cellStyle name="Normal 5 4 7" xfId="13373"/>
    <cellStyle name="Normal 5 4 7 2" xfId="13374"/>
    <cellStyle name="Normal 5 4 7 2 2" xfId="13375"/>
    <cellStyle name="Normal 5 4 7 2 2 2" xfId="13376"/>
    <cellStyle name="Normal 5 4 7 2 3" xfId="13377"/>
    <cellStyle name="Normal 5 4 7 3" xfId="13378"/>
    <cellStyle name="Normal 5 4 7 3 2" xfId="13379"/>
    <cellStyle name="Normal 5 4 7 4" xfId="13380"/>
    <cellStyle name="Normal 5 4 8" xfId="13381"/>
    <cellStyle name="Normal 5 4 8 2" xfId="13382"/>
    <cellStyle name="Normal 5 4 8 2 2" xfId="13383"/>
    <cellStyle name="Normal 5 4 8 2 2 2" xfId="13384"/>
    <cellStyle name="Normal 5 4 8 2 3" xfId="13385"/>
    <cellStyle name="Normal 5 4 8 3" xfId="13386"/>
    <cellStyle name="Normal 5 4 8 3 2" xfId="13387"/>
    <cellStyle name="Normal 5 4 8 4" xfId="13388"/>
    <cellStyle name="Normal 5 4 9" xfId="13389"/>
    <cellStyle name="Normal 5 4 9 2" xfId="13390"/>
    <cellStyle name="Normal 5 4 9 2 2" xfId="13391"/>
    <cellStyle name="Normal 5 4 9 2 2 2" xfId="13392"/>
    <cellStyle name="Normal 5 4 9 2 3" xfId="13393"/>
    <cellStyle name="Normal 5 4 9 3" xfId="13394"/>
    <cellStyle name="Normal 5 4 9 3 2" xfId="13395"/>
    <cellStyle name="Normal 5 4 9 4" xfId="13396"/>
    <cellStyle name="Normal 5 5" xfId="13397"/>
    <cellStyle name="Normal 5 5 2" xfId="13398"/>
    <cellStyle name="Normal 5 5 2 2" xfId="13399"/>
    <cellStyle name="Normal 5 5 2 2 2" xfId="13400"/>
    <cellStyle name="Normal 5 5 2 2 2 2" xfId="13401"/>
    <cellStyle name="Normal 5 5 2 2 3" xfId="13402"/>
    <cellStyle name="Normal 5 5 2 3" xfId="13403"/>
    <cellStyle name="Normal 5 5 2 3 2" xfId="13404"/>
    <cellStyle name="Normal 5 5 2 4" xfId="13405"/>
    <cellStyle name="Normal 5 5 3" xfId="13406"/>
    <cellStyle name="Normal 5 5 3 2" xfId="13407"/>
    <cellStyle name="Normal 5 5 3 2 2" xfId="13408"/>
    <cellStyle name="Normal 5 5 3 2 2 2" xfId="13409"/>
    <cellStyle name="Normal 5 5 3 2 3" xfId="13410"/>
    <cellStyle name="Normal 5 5 3 3" xfId="13411"/>
    <cellStyle name="Normal 5 5 3 3 2" xfId="13412"/>
    <cellStyle name="Normal 5 5 3 4" xfId="13413"/>
    <cellStyle name="Normal 5 5 4" xfId="13414"/>
    <cellStyle name="Normal 5 5 4 2" xfId="13415"/>
    <cellStyle name="Normal 5 5 4 2 2" xfId="13416"/>
    <cellStyle name="Normal 5 5 4 2 2 2" xfId="13417"/>
    <cellStyle name="Normal 5 5 4 2 3" xfId="13418"/>
    <cellStyle name="Normal 5 5 4 3" xfId="13419"/>
    <cellStyle name="Normal 5 5 4 3 2" xfId="13420"/>
    <cellStyle name="Normal 5 5 4 4" xfId="13421"/>
    <cellStyle name="Normal 5 5 5" xfId="13422"/>
    <cellStyle name="Normal 5 5 5 2" xfId="13423"/>
    <cellStyle name="Normal 5 5 5 2 2" xfId="13424"/>
    <cellStyle name="Normal 5 5 5 3" xfId="13425"/>
    <cellStyle name="Normal 5 5 6" xfId="13426"/>
    <cellStyle name="Normal 5 5 6 2" xfId="13427"/>
    <cellStyle name="Normal 5 5 7" xfId="13428"/>
    <cellStyle name="Normal 5 6" xfId="13429"/>
    <cellStyle name="Normal 5 6 2" xfId="13430"/>
    <cellStyle name="Normal 5 6 2 2" xfId="13431"/>
    <cellStyle name="Normal 5 6 2 2 2" xfId="13432"/>
    <cellStyle name="Normal 5 6 2 3" xfId="13433"/>
    <cellStyle name="Normal 5 6 3" xfId="13434"/>
    <cellStyle name="Normal 5 6 3 2" xfId="13435"/>
    <cellStyle name="Normal 5 6 4" xfId="13436"/>
    <cellStyle name="Normal 5 7" xfId="13437"/>
    <cellStyle name="Normal 5 7 2" xfId="13438"/>
    <cellStyle name="Normal 5 7 2 2" xfId="13439"/>
    <cellStyle name="Normal 5 7 2 2 2" xfId="13440"/>
    <cellStyle name="Normal 5 7 2 3" xfId="13441"/>
    <cellStyle name="Normal 5 7 3" xfId="13442"/>
    <cellStyle name="Normal 5 7 3 2" xfId="13443"/>
    <cellStyle name="Normal 5 7 4" xfId="13444"/>
    <cellStyle name="Normal 5 8" xfId="13445"/>
    <cellStyle name="Normal 5 8 2" xfId="13446"/>
    <cellStyle name="Normal 5 8 2 2" xfId="13447"/>
    <cellStyle name="Normal 5 8 2 2 2" xfId="13448"/>
    <cellStyle name="Normal 5 8 2 3" xfId="13449"/>
    <cellStyle name="Normal 5 8 3" xfId="13450"/>
    <cellStyle name="Normal 5 8 3 2" xfId="13451"/>
    <cellStyle name="Normal 5 8 4" xfId="13452"/>
    <cellStyle name="Normal 5 9" xfId="13453"/>
    <cellStyle name="Normal 5 9 2" xfId="13454"/>
    <cellStyle name="Normal 5 9 2 2" xfId="13455"/>
    <cellStyle name="Normal 5 9 3" xfId="13456"/>
    <cellStyle name="Normal 50" xfId="13457"/>
    <cellStyle name="Normal 51" xfId="13458"/>
    <cellStyle name="Normal 52" xfId="13459"/>
    <cellStyle name="Normal 53" xfId="13460"/>
    <cellStyle name="Normal 54" xfId="13461"/>
    <cellStyle name="Normal 55" xfId="13462"/>
    <cellStyle name="Normal 56" xfId="13463"/>
    <cellStyle name="Normal 57" xfId="13464"/>
    <cellStyle name="Normal 58" xfId="13465"/>
    <cellStyle name="Normal 59" xfId="13466"/>
    <cellStyle name="Normal 6" xfId="13467"/>
    <cellStyle name="Normal 6 10" xfId="13468"/>
    <cellStyle name="Normal 6 10 2" xfId="13469"/>
    <cellStyle name="Normal 6 10 2 2" xfId="13470"/>
    <cellStyle name="Normal 6 10 3" xfId="13471"/>
    <cellStyle name="Normal 6 2" xfId="13472"/>
    <cellStyle name="Normal 6 3" xfId="13473"/>
    <cellStyle name="Normal 6 4" xfId="13474"/>
    <cellStyle name="Normal 6 4 10" xfId="13475"/>
    <cellStyle name="Normal 6 4 10 2" xfId="13476"/>
    <cellStyle name="Normal 6 4 10 2 2" xfId="13477"/>
    <cellStyle name="Normal 6 4 10 3" xfId="13478"/>
    <cellStyle name="Normal 6 4 11" xfId="13479"/>
    <cellStyle name="Normal 6 4 11 2" xfId="13480"/>
    <cellStyle name="Normal 6 4 12" xfId="13481"/>
    <cellStyle name="Normal 6 4 2" xfId="13482"/>
    <cellStyle name="Normal 6 4 2 10" xfId="13483"/>
    <cellStyle name="Normal 6 4 2 2" xfId="13484"/>
    <cellStyle name="Normal 6 4 2 2 2" xfId="13485"/>
    <cellStyle name="Normal 6 4 2 2 2 2" xfId="13486"/>
    <cellStyle name="Normal 6 4 2 2 2 2 2" xfId="13487"/>
    <cellStyle name="Normal 6 4 2 2 2 2 2 2" xfId="13488"/>
    <cellStyle name="Normal 6 4 2 2 2 2 2 2 2" xfId="13489"/>
    <cellStyle name="Normal 6 4 2 2 2 2 2 3" xfId="13490"/>
    <cellStyle name="Normal 6 4 2 2 2 2 3" xfId="13491"/>
    <cellStyle name="Normal 6 4 2 2 2 2 3 2" xfId="13492"/>
    <cellStyle name="Normal 6 4 2 2 2 2 4" xfId="13493"/>
    <cellStyle name="Normal 6 4 2 2 2 3" xfId="13494"/>
    <cellStyle name="Normal 6 4 2 2 2 3 2" xfId="13495"/>
    <cellStyle name="Normal 6 4 2 2 2 3 2 2" xfId="13496"/>
    <cellStyle name="Normal 6 4 2 2 2 3 2 2 2" xfId="13497"/>
    <cellStyle name="Normal 6 4 2 2 2 3 2 3" xfId="13498"/>
    <cellStyle name="Normal 6 4 2 2 2 3 3" xfId="13499"/>
    <cellStyle name="Normal 6 4 2 2 2 3 3 2" xfId="13500"/>
    <cellStyle name="Normal 6 4 2 2 2 3 4" xfId="13501"/>
    <cellStyle name="Normal 6 4 2 2 2 4" xfId="13502"/>
    <cellStyle name="Normal 6 4 2 2 2 4 2" xfId="13503"/>
    <cellStyle name="Normal 6 4 2 2 2 4 2 2" xfId="13504"/>
    <cellStyle name="Normal 6 4 2 2 2 4 3" xfId="13505"/>
    <cellStyle name="Normal 6 4 2 2 2 5" xfId="13506"/>
    <cellStyle name="Normal 6 4 2 2 2 5 2" xfId="13507"/>
    <cellStyle name="Normal 6 4 2 2 2 6" xfId="13508"/>
    <cellStyle name="Normal 6 4 2 2 3" xfId="13509"/>
    <cellStyle name="Normal 6 4 2 2 3 2" xfId="13510"/>
    <cellStyle name="Normal 6 4 2 2 3 2 2" xfId="13511"/>
    <cellStyle name="Normal 6 4 2 2 3 2 2 2" xfId="13512"/>
    <cellStyle name="Normal 6 4 2 2 3 2 3" xfId="13513"/>
    <cellStyle name="Normal 6 4 2 2 3 3" xfId="13514"/>
    <cellStyle name="Normal 6 4 2 2 3 3 2" xfId="13515"/>
    <cellStyle name="Normal 6 4 2 2 3 4" xfId="13516"/>
    <cellStyle name="Normal 6 4 2 2 4" xfId="13517"/>
    <cellStyle name="Normal 6 4 2 2 4 2" xfId="13518"/>
    <cellStyle name="Normal 6 4 2 2 4 2 2" xfId="13519"/>
    <cellStyle name="Normal 6 4 2 2 4 2 2 2" xfId="13520"/>
    <cellStyle name="Normal 6 4 2 2 4 2 3" xfId="13521"/>
    <cellStyle name="Normal 6 4 2 2 4 3" xfId="13522"/>
    <cellStyle name="Normal 6 4 2 2 4 3 2" xfId="13523"/>
    <cellStyle name="Normal 6 4 2 2 4 4" xfId="13524"/>
    <cellStyle name="Normal 6 4 2 2 5" xfId="13525"/>
    <cellStyle name="Normal 6 4 2 2 5 2" xfId="13526"/>
    <cellStyle name="Normal 6 4 2 2 5 2 2" xfId="13527"/>
    <cellStyle name="Normal 6 4 2 2 5 3" xfId="13528"/>
    <cellStyle name="Normal 6 4 2 2 6" xfId="13529"/>
    <cellStyle name="Normal 6 4 2 2 6 2" xfId="13530"/>
    <cellStyle name="Normal 6 4 2 2 7" xfId="13531"/>
    <cellStyle name="Normal 6 4 2 3" xfId="13532"/>
    <cellStyle name="Normal 6 4 2 3 2" xfId="13533"/>
    <cellStyle name="Normal 6 4 2 3 2 2" xfId="13534"/>
    <cellStyle name="Normal 6 4 2 3 2 2 2" xfId="13535"/>
    <cellStyle name="Normal 6 4 2 3 2 2 2 2" xfId="13536"/>
    <cellStyle name="Normal 6 4 2 3 2 2 3" xfId="13537"/>
    <cellStyle name="Normal 6 4 2 3 2 3" xfId="13538"/>
    <cellStyle name="Normal 6 4 2 3 2 3 2" xfId="13539"/>
    <cellStyle name="Normal 6 4 2 3 2 4" xfId="13540"/>
    <cellStyle name="Normal 6 4 2 3 3" xfId="13541"/>
    <cellStyle name="Normal 6 4 2 3 3 2" xfId="13542"/>
    <cellStyle name="Normal 6 4 2 3 3 2 2" xfId="13543"/>
    <cellStyle name="Normal 6 4 2 3 3 2 2 2" xfId="13544"/>
    <cellStyle name="Normal 6 4 2 3 3 2 3" xfId="13545"/>
    <cellStyle name="Normal 6 4 2 3 3 3" xfId="13546"/>
    <cellStyle name="Normal 6 4 2 3 3 3 2" xfId="13547"/>
    <cellStyle name="Normal 6 4 2 3 3 4" xfId="13548"/>
    <cellStyle name="Normal 6 4 2 3 4" xfId="13549"/>
    <cellStyle name="Normal 6 4 2 3 4 2" xfId="13550"/>
    <cellStyle name="Normal 6 4 2 3 4 2 2" xfId="13551"/>
    <cellStyle name="Normal 6 4 2 3 4 3" xfId="13552"/>
    <cellStyle name="Normal 6 4 2 3 5" xfId="13553"/>
    <cellStyle name="Normal 6 4 2 3 5 2" xfId="13554"/>
    <cellStyle name="Normal 6 4 2 3 6" xfId="13555"/>
    <cellStyle name="Normal 6 4 2 4" xfId="13556"/>
    <cellStyle name="Normal 6 4 2 4 2" xfId="13557"/>
    <cellStyle name="Normal 6 4 2 4 2 2" xfId="13558"/>
    <cellStyle name="Normal 6 4 2 4 2 2 2" xfId="13559"/>
    <cellStyle name="Normal 6 4 2 4 2 2 2 2" xfId="13560"/>
    <cellStyle name="Normal 6 4 2 4 2 2 3" xfId="13561"/>
    <cellStyle name="Normal 6 4 2 4 2 3" xfId="13562"/>
    <cellStyle name="Normal 6 4 2 4 2 3 2" xfId="13563"/>
    <cellStyle name="Normal 6 4 2 4 2 4" xfId="13564"/>
    <cellStyle name="Normal 6 4 2 4 3" xfId="13565"/>
    <cellStyle name="Normal 6 4 2 4 3 2" xfId="13566"/>
    <cellStyle name="Normal 6 4 2 4 3 2 2" xfId="13567"/>
    <cellStyle name="Normal 6 4 2 4 3 2 2 2" xfId="13568"/>
    <cellStyle name="Normal 6 4 2 4 3 2 3" xfId="13569"/>
    <cellStyle name="Normal 6 4 2 4 3 3" xfId="13570"/>
    <cellStyle name="Normal 6 4 2 4 3 3 2" xfId="13571"/>
    <cellStyle name="Normal 6 4 2 4 3 4" xfId="13572"/>
    <cellStyle name="Normal 6 4 2 4 4" xfId="13573"/>
    <cellStyle name="Normal 6 4 2 4 4 2" xfId="13574"/>
    <cellStyle name="Normal 6 4 2 4 4 2 2" xfId="13575"/>
    <cellStyle name="Normal 6 4 2 4 4 3" xfId="13576"/>
    <cellStyle name="Normal 6 4 2 4 5" xfId="13577"/>
    <cellStyle name="Normal 6 4 2 4 5 2" xfId="13578"/>
    <cellStyle name="Normal 6 4 2 4 6" xfId="13579"/>
    <cellStyle name="Normal 6 4 2 5" xfId="13580"/>
    <cellStyle name="Normal 6 4 2 5 2" xfId="13581"/>
    <cellStyle name="Normal 6 4 2 5 2 2" xfId="13582"/>
    <cellStyle name="Normal 6 4 2 5 2 2 2" xfId="13583"/>
    <cellStyle name="Normal 6 4 2 5 2 3" xfId="13584"/>
    <cellStyle name="Normal 6 4 2 5 3" xfId="13585"/>
    <cellStyle name="Normal 6 4 2 5 3 2" xfId="13586"/>
    <cellStyle name="Normal 6 4 2 5 4" xfId="13587"/>
    <cellStyle name="Normal 6 4 2 6" xfId="13588"/>
    <cellStyle name="Normal 6 4 2 6 2" xfId="13589"/>
    <cellStyle name="Normal 6 4 2 6 2 2" xfId="13590"/>
    <cellStyle name="Normal 6 4 2 6 2 2 2" xfId="13591"/>
    <cellStyle name="Normal 6 4 2 6 2 3" xfId="13592"/>
    <cellStyle name="Normal 6 4 2 6 3" xfId="13593"/>
    <cellStyle name="Normal 6 4 2 6 3 2" xfId="13594"/>
    <cellStyle name="Normal 6 4 2 6 4" xfId="13595"/>
    <cellStyle name="Normal 6 4 2 7" xfId="13596"/>
    <cellStyle name="Normal 6 4 2 7 2" xfId="13597"/>
    <cellStyle name="Normal 6 4 2 7 2 2" xfId="13598"/>
    <cellStyle name="Normal 6 4 2 7 2 2 2" xfId="13599"/>
    <cellStyle name="Normal 6 4 2 7 2 3" xfId="13600"/>
    <cellStyle name="Normal 6 4 2 7 3" xfId="13601"/>
    <cellStyle name="Normal 6 4 2 7 3 2" xfId="13602"/>
    <cellStyle name="Normal 6 4 2 7 4" xfId="13603"/>
    <cellStyle name="Normal 6 4 2 8" xfId="13604"/>
    <cellStyle name="Normal 6 4 2 8 2" xfId="13605"/>
    <cellStyle name="Normal 6 4 2 8 2 2" xfId="13606"/>
    <cellStyle name="Normal 6 4 2 8 3" xfId="13607"/>
    <cellStyle name="Normal 6 4 2 9" xfId="13608"/>
    <cellStyle name="Normal 6 4 2 9 2" xfId="13609"/>
    <cellStyle name="Normal 6 4 3" xfId="13610"/>
    <cellStyle name="Normal 6 4 3 2" xfId="13611"/>
    <cellStyle name="Normal 6 4 3 2 2" xfId="13612"/>
    <cellStyle name="Normal 6 4 3 2 2 2" xfId="13613"/>
    <cellStyle name="Normal 6 4 3 2 2 2 2" xfId="13614"/>
    <cellStyle name="Normal 6 4 3 2 2 2 2 2" xfId="13615"/>
    <cellStyle name="Normal 6 4 3 2 2 2 2 2 2" xfId="13616"/>
    <cellStyle name="Normal 6 4 3 2 2 2 2 3" xfId="13617"/>
    <cellStyle name="Normal 6 4 3 2 2 2 3" xfId="13618"/>
    <cellStyle name="Normal 6 4 3 2 2 2 3 2" xfId="13619"/>
    <cellStyle name="Normal 6 4 3 2 2 2 4" xfId="13620"/>
    <cellStyle name="Normal 6 4 3 2 2 3" xfId="13621"/>
    <cellStyle name="Normal 6 4 3 2 2 3 2" xfId="13622"/>
    <cellStyle name="Normal 6 4 3 2 2 3 2 2" xfId="13623"/>
    <cellStyle name="Normal 6 4 3 2 2 3 2 2 2" xfId="13624"/>
    <cellStyle name="Normal 6 4 3 2 2 3 2 3" xfId="13625"/>
    <cellStyle name="Normal 6 4 3 2 2 3 3" xfId="13626"/>
    <cellStyle name="Normal 6 4 3 2 2 3 3 2" xfId="13627"/>
    <cellStyle name="Normal 6 4 3 2 2 3 4" xfId="13628"/>
    <cellStyle name="Normal 6 4 3 2 2 4" xfId="13629"/>
    <cellStyle name="Normal 6 4 3 2 2 4 2" xfId="13630"/>
    <cellStyle name="Normal 6 4 3 2 2 4 2 2" xfId="13631"/>
    <cellStyle name="Normal 6 4 3 2 2 4 3" xfId="13632"/>
    <cellStyle name="Normal 6 4 3 2 2 5" xfId="13633"/>
    <cellStyle name="Normal 6 4 3 2 2 5 2" xfId="13634"/>
    <cellStyle name="Normal 6 4 3 2 2 6" xfId="13635"/>
    <cellStyle name="Normal 6 4 3 2 3" xfId="13636"/>
    <cellStyle name="Normal 6 4 3 2 3 2" xfId="13637"/>
    <cellStyle name="Normal 6 4 3 2 3 2 2" xfId="13638"/>
    <cellStyle name="Normal 6 4 3 2 3 2 2 2" xfId="13639"/>
    <cellStyle name="Normal 6 4 3 2 3 2 3" xfId="13640"/>
    <cellStyle name="Normal 6 4 3 2 3 3" xfId="13641"/>
    <cellStyle name="Normal 6 4 3 2 3 3 2" xfId="13642"/>
    <cellStyle name="Normal 6 4 3 2 3 4" xfId="13643"/>
    <cellStyle name="Normal 6 4 3 2 4" xfId="13644"/>
    <cellStyle name="Normal 6 4 3 2 4 2" xfId="13645"/>
    <cellStyle name="Normal 6 4 3 2 4 2 2" xfId="13646"/>
    <cellStyle name="Normal 6 4 3 2 4 2 2 2" xfId="13647"/>
    <cellStyle name="Normal 6 4 3 2 4 2 3" xfId="13648"/>
    <cellStyle name="Normal 6 4 3 2 4 3" xfId="13649"/>
    <cellStyle name="Normal 6 4 3 2 4 3 2" xfId="13650"/>
    <cellStyle name="Normal 6 4 3 2 4 4" xfId="13651"/>
    <cellStyle name="Normal 6 4 3 2 5" xfId="13652"/>
    <cellStyle name="Normal 6 4 3 2 5 2" xfId="13653"/>
    <cellStyle name="Normal 6 4 3 2 5 2 2" xfId="13654"/>
    <cellStyle name="Normal 6 4 3 2 5 3" xfId="13655"/>
    <cellStyle name="Normal 6 4 3 2 6" xfId="13656"/>
    <cellStyle name="Normal 6 4 3 2 6 2" xfId="13657"/>
    <cellStyle name="Normal 6 4 3 2 7" xfId="13658"/>
    <cellStyle name="Normal 6 4 3 3" xfId="13659"/>
    <cellStyle name="Normal 6 4 3 3 2" xfId="13660"/>
    <cellStyle name="Normal 6 4 3 3 2 2" xfId="13661"/>
    <cellStyle name="Normal 6 4 3 3 2 2 2" xfId="13662"/>
    <cellStyle name="Normal 6 4 3 3 2 2 2 2" xfId="13663"/>
    <cellStyle name="Normal 6 4 3 3 2 2 3" xfId="13664"/>
    <cellStyle name="Normal 6 4 3 3 2 3" xfId="13665"/>
    <cellStyle name="Normal 6 4 3 3 2 3 2" xfId="13666"/>
    <cellStyle name="Normal 6 4 3 3 2 4" xfId="13667"/>
    <cellStyle name="Normal 6 4 3 3 3" xfId="13668"/>
    <cellStyle name="Normal 6 4 3 3 3 2" xfId="13669"/>
    <cellStyle name="Normal 6 4 3 3 3 2 2" xfId="13670"/>
    <cellStyle name="Normal 6 4 3 3 3 2 2 2" xfId="13671"/>
    <cellStyle name="Normal 6 4 3 3 3 2 3" xfId="13672"/>
    <cellStyle name="Normal 6 4 3 3 3 3" xfId="13673"/>
    <cellStyle name="Normal 6 4 3 3 3 3 2" xfId="13674"/>
    <cellStyle name="Normal 6 4 3 3 3 4" xfId="13675"/>
    <cellStyle name="Normal 6 4 3 3 4" xfId="13676"/>
    <cellStyle name="Normal 6 4 3 3 4 2" xfId="13677"/>
    <cellStyle name="Normal 6 4 3 3 4 2 2" xfId="13678"/>
    <cellStyle name="Normal 6 4 3 3 4 3" xfId="13679"/>
    <cellStyle name="Normal 6 4 3 3 5" xfId="13680"/>
    <cellStyle name="Normal 6 4 3 3 5 2" xfId="13681"/>
    <cellStyle name="Normal 6 4 3 3 6" xfId="13682"/>
    <cellStyle name="Normal 6 4 3 4" xfId="13683"/>
    <cellStyle name="Normal 6 4 3 4 2" xfId="13684"/>
    <cellStyle name="Normal 6 4 3 4 2 2" xfId="13685"/>
    <cellStyle name="Normal 6 4 3 4 2 2 2" xfId="13686"/>
    <cellStyle name="Normal 6 4 3 4 2 3" xfId="13687"/>
    <cellStyle name="Normal 6 4 3 4 3" xfId="13688"/>
    <cellStyle name="Normal 6 4 3 4 3 2" xfId="13689"/>
    <cellStyle name="Normal 6 4 3 4 4" xfId="13690"/>
    <cellStyle name="Normal 6 4 3 5" xfId="13691"/>
    <cellStyle name="Normal 6 4 3 5 2" xfId="13692"/>
    <cellStyle name="Normal 6 4 3 5 2 2" xfId="13693"/>
    <cellStyle name="Normal 6 4 3 5 2 2 2" xfId="13694"/>
    <cellStyle name="Normal 6 4 3 5 2 3" xfId="13695"/>
    <cellStyle name="Normal 6 4 3 5 3" xfId="13696"/>
    <cellStyle name="Normal 6 4 3 5 3 2" xfId="13697"/>
    <cellStyle name="Normal 6 4 3 5 4" xfId="13698"/>
    <cellStyle name="Normal 6 4 3 6" xfId="13699"/>
    <cellStyle name="Normal 6 4 3 6 2" xfId="13700"/>
    <cellStyle name="Normal 6 4 3 6 2 2" xfId="13701"/>
    <cellStyle name="Normal 6 4 3 6 3" xfId="13702"/>
    <cellStyle name="Normal 6 4 3 7" xfId="13703"/>
    <cellStyle name="Normal 6 4 3 7 2" xfId="13704"/>
    <cellStyle name="Normal 6 4 3 8" xfId="13705"/>
    <cellStyle name="Normal 6 4 4" xfId="13706"/>
    <cellStyle name="Normal 6 4 4 2" xfId="13707"/>
    <cellStyle name="Normal 6 4 4 2 2" xfId="13708"/>
    <cellStyle name="Normal 6 4 4 2 2 2" xfId="13709"/>
    <cellStyle name="Normal 6 4 4 2 2 2 2" xfId="13710"/>
    <cellStyle name="Normal 6 4 4 2 2 2 2 2" xfId="13711"/>
    <cellStyle name="Normal 6 4 4 2 2 2 3" xfId="13712"/>
    <cellStyle name="Normal 6 4 4 2 2 3" xfId="13713"/>
    <cellStyle name="Normal 6 4 4 2 2 3 2" xfId="13714"/>
    <cellStyle name="Normal 6 4 4 2 2 4" xfId="13715"/>
    <cellStyle name="Normal 6 4 4 2 3" xfId="13716"/>
    <cellStyle name="Normal 6 4 4 2 3 2" xfId="13717"/>
    <cellStyle name="Normal 6 4 4 2 3 2 2" xfId="13718"/>
    <cellStyle name="Normal 6 4 4 2 3 2 2 2" xfId="13719"/>
    <cellStyle name="Normal 6 4 4 2 3 2 3" xfId="13720"/>
    <cellStyle name="Normal 6 4 4 2 3 3" xfId="13721"/>
    <cellStyle name="Normal 6 4 4 2 3 3 2" xfId="13722"/>
    <cellStyle name="Normal 6 4 4 2 3 4" xfId="13723"/>
    <cellStyle name="Normal 6 4 4 2 4" xfId="13724"/>
    <cellStyle name="Normal 6 4 4 2 4 2" xfId="13725"/>
    <cellStyle name="Normal 6 4 4 2 4 2 2" xfId="13726"/>
    <cellStyle name="Normal 6 4 4 2 4 3" xfId="13727"/>
    <cellStyle name="Normal 6 4 4 2 5" xfId="13728"/>
    <cellStyle name="Normal 6 4 4 2 5 2" xfId="13729"/>
    <cellStyle name="Normal 6 4 4 2 6" xfId="13730"/>
    <cellStyle name="Normal 6 4 4 3" xfId="13731"/>
    <cellStyle name="Normal 6 4 4 3 2" xfId="13732"/>
    <cellStyle name="Normal 6 4 4 3 2 2" xfId="13733"/>
    <cellStyle name="Normal 6 4 4 3 2 2 2" xfId="13734"/>
    <cellStyle name="Normal 6 4 4 3 2 3" xfId="13735"/>
    <cellStyle name="Normal 6 4 4 3 3" xfId="13736"/>
    <cellStyle name="Normal 6 4 4 3 3 2" xfId="13737"/>
    <cellStyle name="Normal 6 4 4 3 4" xfId="13738"/>
    <cellStyle name="Normal 6 4 4 4" xfId="13739"/>
    <cellStyle name="Normal 6 4 4 4 2" xfId="13740"/>
    <cellStyle name="Normal 6 4 4 4 2 2" xfId="13741"/>
    <cellStyle name="Normal 6 4 4 4 2 2 2" xfId="13742"/>
    <cellStyle name="Normal 6 4 4 4 2 3" xfId="13743"/>
    <cellStyle name="Normal 6 4 4 4 3" xfId="13744"/>
    <cellStyle name="Normal 6 4 4 4 3 2" xfId="13745"/>
    <cellStyle name="Normal 6 4 4 4 4" xfId="13746"/>
    <cellStyle name="Normal 6 4 4 5" xfId="13747"/>
    <cellStyle name="Normal 6 4 4 5 2" xfId="13748"/>
    <cellStyle name="Normal 6 4 4 5 2 2" xfId="13749"/>
    <cellStyle name="Normal 6 4 4 5 3" xfId="13750"/>
    <cellStyle name="Normal 6 4 4 6" xfId="13751"/>
    <cellStyle name="Normal 6 4 4 6 2" xfId="13752"/>
    <cellStyle name="Normal 6 4 4 7" xfId="13753"/>
    <cellStyle name="Normal 6 4 5" xfId="13754"/>
    <cellStyle name="Normal 6 4 5 2" xfId="13755"/>
    <cellStyle name="Normal 6 4 5 2 2" xfId="13756"/>
    <cellStyle name="Normal 6 4 5 2 2 2" xfId="13757"/>
    <cellStyle name="Normal 6 4 5 2 2 2 2" xfId="13758"/>
    <cellStyle name="Normal 6 4 5 2 2 3" xfId="13759"/>
    <cellStyle name="Normal 6 4 5 2 3" xfId="13760"/>
    <cellStyle name="Normal 6 4 5 2 3 2" xfId="13761"/>
    <cellStyle name="Normal 6 4 5 2 4" xfId="13762"/>
    <cellStyle name="Normal 6 4 5 3" xfId="13763"/>
    <cellStyle name="Normal 6 4 5 3 2" xfId="13764"/>
    <cellStyle name="Normal 6 4 5 3 2 2" xfId="13765"/>
    <cellStyle name="Normal 6 4 5 3 2 2 2" xfId="13766"/>
    <cellStyle name="Normal 6 4 5 3 2 3" xfId="13767"/>
    <cellStyle name="Normal 6 4 5 3 3" xfId="13768"/>
    <cellStyle name="Normal 6 4 5 3 3 2" xfId="13769"/>
    <cellStyle name="Normal 6 4 5 3 4" xfId="13770"/>
    <cellStyle name="Normal 6 4 5 4" xfId="13771"/>
    <cellStyle name="Normal 6 4 5 4 2" xfId="13772"/>
    <cellStyle name="Normal 6 4 5 4 2 2" xfId="13773"/>
    <cellStyle name="Normal 6 4 5 4 3" xfId="13774"/>
    <cellStyle name="Normal 6 4 5 5" xfId="13775"/>
    <cellStyle name="Normal 6 4 5 5 2" xfId="13776"/>
    <cellStyle name="Normal 6 4 5 6" xfId="13777"/>
    <cellStyle name="Normal 6 4 6" xfId="13778"/>
    <cellStyle name="Normal 6 4 6 2" xfId="13779"/>
    <cellStyle name="Normal 6 4 6 2 2" xfId="13780"/>
    <cellStyle name="Normal 6 4 6 2 2 2" xfId="13781"/>
    <cellStyle name="Normal 6 4 6 2 2 2 2" xfId="13782"/>
    <cellStyle name="Normal 6 4 6 2 2 3" xfId="13783"/>
    <cellStyle name="Normal 6 4 6 2 3" xfId="13784"/>
    <cellStyle name="Normal 6 4 6 2 3 2" xfId="13785"/>
    <cellStyle name="Normal 6 4 6 2 4" xfId="13786"/>
    <cellStyle name="Normal 6 4 6 3" xfId="13787"/>
    <cellStyle name="Normal 6 4 6 3 2" xfId="13788"/>
    <cellStyle name="Normal 6 4 6 3 2 2" xfId="13789"/>
    <cellStyle name="Normal 6 4 6 3 2 2 2" xfId="13790"/>
    <cellStyle name="Normal 6 4 6 3 2 3" xfId="13791"/>
    <cellStyle name="Normal 6 4 6 3 3" xfId="13792"/>
    <cellStyle name="Normal 6 4 6 3 3 2" xfId="13793"/>
    <cellStyle name="Normal 6 4 6 3 4" xfId="13794"/>
    <cellStyle name="Normal 6 4 6 4" xfId="13795"/>
    <cellStyle name="Normal 6 4 6 4 2" xfId="13796"/>
    <cellStyle name="Normal 6 4 6 4 2 2" xfId="13797"/>
    <cellStyle name="Normal 6 4 6 4 3" xfId="13798"/>
    <cellStyle name="Normal 6 4 6 5" xfId="13799"/>
    <cellStyle name="Normal 6 4 6 5 2" xfId="13800"/>
    <cellStyle name="Normal 6 4 6 6" xfId="13801"/>
    <cellStyle name="Normal 6 4 7" xfId="13802"/>
    <cellStyle name="Normal 6 4 7 2" xfId="13803"/>
    <cellStyle name="Normal 6 4 7 2 2" xfId="13804"/>
    <cellStyle name="Normal 6 4 7 2 2 2" xfId="13805"/>
    <cellStyle name="Normal 6 4 7 2 3" xfId="13806"/>
    <cellStyle name="Normal 6 4 7 3" xfId="13807"/>
    <cellStyle name="Normal 6 4 7 3 2" xfId="13808"/>
    <cellStyle name="Normal 6 4 7 4" xfId="13809"/>
    <cellStyle name="Normal 6 4 8" xfId="13810"/>
    <cellStyle name="Normal 6 4 8 2" xfId="13811"/>
    <cellStyle name="Normal 6 4 8 2 2" xfId="13812"/>
    <cellStyle name="Normal 6 4 8 2 2 2" xfId="13813"/>
    <cellStyle name="Normal 6 4 8 2 3" xfId="13814"/>
    <cellStyle name="Normal 6 4 8 3" xfId="13815"/>
    <cellStyle name="Normal 6 4 8 3 2" xfId="13816"/>
    <cellStyle name="Normal 6 4 8 4" xfId="13817"/>
    <cellStyle name="Normal 6 4 9" xfId="13818"/>
    <cellStyle name="Normal 6 4 9 2" xfId="13819"/>
    <cellStyle name="Normal 6 4 9 2 2" xfId="13820"/>
    <cellStyle name="Normal 6 4 9 2 2 2" xfId="13821"/>
    <cellStyle name="Normal 6 4 9 2 3" xfId="13822"/>
    <cellStyle name="Normal 6 4 9 3" xfId="13823"/>
    <cellStyle name="Normal 6 4 9 3 2" xfId="13824"/>
    <cellStyle name="Normal 6 4 9 4" xfId="13825"/>
    <cellStyle name="Normal 6 5" xfId="13826"/>
    <cellStyle name="Normal 6 5 2" xfId="13827"/>
    <cellStyle name="Normal 6 5 2 2" xfId="13828"/>
    <cellStyle name="Normal 6 5 2 2 2" xfId="13829"/>
    <cellStyle name="Normal 6 5 2 2 2 2" xfId="13830"/>
    <cellStyle name="Normal 6 5 2 2 3" xfId="13831"/>
    <cellStyle name="Normal 6 5 2 3" xfId="13832"/>
    <cellStyle name="Normal 6 5 2 3 2" xfId="13833"/>
    <cellStyle name="Normal 6 5 2 4" xfId="13834"/>
    <cellStyle name="Normal 6 5 3" xfId="13835"/>
    <cellStyle name="Normal 6 5 3 2" xfId="13836"/>
    <cellStyle name="Normal 6 5 3 2 2" xfId="13837"/>
    <cellStyle name="Normal 6 5 3 2 2 2" xfId="13838"/>
    <cellStyle name="Normal 6 5 3 2 3" xfId="13839"/>
    <cellStyle name="Normal 6 5 3 3" xfId="13840"/>
    <cellStyle name="Normal 6 5 3 3 2" xfId="13841"/>
    <cellStyle name="Normal 6 5 3 4" xfId="13842"/>
    <cellStyle name="Normal 6 5 4" xfId="13843"/>
    <cellStyle name="Normal 6 5 4 2" xfId="13844"/>
    <cellStyle name="Normal 6 5 4 2 2" xfId="13845"/>
    <cellStyle name="Normal 6 5 4 2 2 2" xfId="13846"/>
    <cellStyle name="Normal 6 5 4 2 3" xfId="13847"/>
    <cellStyle name="Normal 6 5 4 3" xfId="13848"/>
    <cellStyle name="Normal 6 5 4 3 2" xfId="13849"/>
    <cellStyle name="Normal 6 5 4 4" xfId="13850"/>
    <cellStyle name="Normal 6 5 5" xfId="13851"/>
    <cellStyle name="Normal 6 5 5 2" xfId="13852"/>
    <cellStyle name="Normal 6 5 5 2 2" xfId="13853"/>
    <cellStyle name="Normal 6 5 5 3" xfId="13854"/>
    <cellStyle name="Normal 6 5 6" xfId="13855"/>
    <cellStyle name="Normal 6 5 6 2" xfId="13856"/>
    <cellStyle name="Normal 6 5 7" xfId="13857"/>
    <cellStyle name="Normal 6 6" xfId="13858"/>
    <cellStyle name="Normal 6 6 2" xfId="13859"/>
    <cellStyle name="Normal 6 6 2 2" xfId="13860"/>
    <cellStyle name="Normal 6 6 2 2 2" xfId="13861"/>
    <cellStyle name="Normal 6 6 2 3" xfId="13862"/>
    <cellStyle name="Normal 6 6 3" xfId="13863"/>
    <cellStyle name="Normal 6 6 3 2" xfId="13864"/>
    <cellStyle name="Normal 6 6 4" xfId="13865"/>
    <cellStyle name="Normal 6 7" xfId="13866"/>
    <cellStyle name="Normal 6 7 2" xfId="13867"/>
    <cellStyle name="Normal 6 7 2 2" xfId="13868"/>
    <cellStyle name="Normal 6 7 2 2 2" xfId="13869"/>
    <cellStyle name="Normal 6 7 2 3" xfId="13870"/>
    <cellStyle name="Normal 6 7 3" xfId="13871"/>
    <cellStyle name="Normal 6 7 3 2" xfId="13872"/>
    <cellStyle name="Normal 6 7 4" xfId="13873"/>
    <cellStyle name="Normal 6 8" xfId="13874"/>
    <cellStyle name="Normal 6 8 2" xfId="13875"/>
    <cellStyle name="Normal 6 8 2 2" xfId="13876"/>
    <cellStyle name="Normal 6 8 2 2 2" xfId="13877"/>
    <cellStyle name="Normal 6 8 2 3" xfId="13878"/>
    <cellStyle name="Normal 6 8 3" xfId="13879"/>
    <cellStyle name="Normal 6 8 3 2" xfId="13880"/>
    <cellStyle name="Normal 6 8 4" xfId="13881"/>
    <cellStyle name="Normal 6 9" xfId="13882"/>
    <cellStyle name="Normal 6 9 2" xfId="13883"/>
    <cellStyle name="Normal 6 9 2 2" xfId="13884"/>
    <cellStyle name="Normal 6 9 3" xfId="13885"/>
    <cellStyle name="Normal 60" xfId="13886"/>
    <cellStyle name="Normal 61" xfId="13887"/>
    <cellStyle name="Normal 62" xfId="13888"/>
    <cellStyle name="Normal 63" xfId="13889"/>
    <cellStyle name="Normal 64" xfId="13890"/>
    <cellStyle name="Normal 65" xfId="13891"/>
    <cellStyle name="Normal 66" xfId="13892"/>
    <cellStyle name="Normal 67" xfId="13893"/>
    <cellStyle name="Normal 68" xfId="13894"/>
    <cellStyle name="Normal 69" xfId="13895"/>
    <cellStyle name="Normal 7" xfId="13896"/>
    <cellStyle name="Normal 7 2" xfId="13897"/>
    <cellStyle name="Normal 7 3" xfId="13898"/>
    <cellStyle name="Normal 70" xfId="13899"/>
    <cellStyle name="Normal 71" xfId="13900"/>
    <cellStyle name="Normal 72" xfId="13901"/>
    <cellStyle name="Normal 73" xfId="13902"/>
    <cellStyle name="Normal 74" xfId="13903"/>
    <cellStyle name="Normal 75" xfId="13904"/>
    <cellStyle name="Normal 76" xfId="13905"/>
    <cellStyle name="Normal 77" xfId="13906"/>
    <cellStyle name="Normal 78" xfId="13907"/>
    <cellStyle name="Normal 79" xfId="13908"/>
    <cellStyle name="Normal 8" xfId="13909"/>
    <cellStyle name="Normal 8 2" xfId="13910"/>
    <cellStyle name="Normal 8 3" xfId="13911"/>
    <cellStyle name="Normal 80" xfId="13912"/>
    <cellStyle name="Normal 81" xfId="13913"/>
    <cellStyle name="Normal 82" xfId="13914"/>
    <cellStyle name="Normal 83" xfId="13915"/>
    <cellStyle name="Normal 84" xfId="13916"/>
    <cellStyle name="Normal 85" xfId="13917"/>
    <cellStyle name="Normal 86" xfId="13918"/>
    <cellStyle name="Normal 87" xfId="13919"/>
    <cellStyle name="Normal 88" xfId="13920"/>
    <cellStyle name="Normal 89" xfId="13921"/>
    <cellStyle name="Normal 9" xfId="13922"/>
    <cellStyle name="Normal 9 2" xfId="13923"/>
    <cellStyle name="Normal 9 3" xfId="13924"/>
    <cellStyle name="Normal 90" xfId="13925"/>
    <cellStyle name="Normal 91" xfId="13926"/>
    <cellStyle name="Normal 92" xfId="13927"/>
    <cellStyle name="Normal 93" xfId="13928"/>
    <cellStyle name="Normal 94" xfId="13929"/>
    <cellStyle name="Normal 95" xfId="13930"/>
    <cellStyle name="Normal 96" xfId="13931"/>
    <cellStyle name="Normal 97" xfId="13932"/>
    <cellStyle name="Normal 98" xfId="13933"/>
    <cellStyle name="Normal 99" xfId="13934"/>
    <cellStyle name="Normal(0)" xfId="13935"/>
    <cellStyle name="Normal1" xfId="13936"/>
    <cellStyle name="Normal1 2" xfId="13937"/>
    <cellStyle name="Normal1 3" xfId="13938"/>
    <cellStyle name="Normale_Foglio1" xfId="13939"/>
    <cellStyle name="Normalny_Arkusz1" xfId="13940"/>
    <cellStyle name="Note 2" xfId="13941"/>
    <cellStyle name="Note 2 2" xfId="13942"/>
    <cellStyle name="Note 3" xfId="13943"/>
    <cellStyle name="Note 3 2" xfId="13944"/>
    <cellStyle name="Note 4" xfId="13945"/>
    <cellStyle name="Note 4 2" xfId="13946"/>
    <cellStyle name="Note 5" xfId="13947"/>
    <cellStyle name="Note 5 2" xfId="13948"/>
    <cellStyle name="Note 6" xfId="13949"/>
    <cellStyle name="Note 6 2" xfId="13950"/>
    <cellStyle name="Note 7" xfId="13951"/>
    <cellStyle name="Note 7 2" xfId="13952"/>
    <cellStyle name="Note 8" xfId="13953"/>
    <cellStyle name="Notes 2" xfId="13954"/>
    <cellStyle name="null check" xfId="13955"/>
    <cellStyle name="Nulos 2" xfId="13956"/>
    <cellStyle name="Number 2" xfId="13957"/>
    <cellStyle name="Number, 1 dec" xfId="13958"/>
    <cellStyle name="Numbers" xfId="13959"/>
    <cellStyle name="Numbers - Bold" xfId="13960"/>
    <cellStyle name="Numbers - Bold - Italic" xfId="13961"/>
    <cellStyle name="Numbers - Bold_6079BX" xfId="13962"/>
    <cellStyle name="Numbers - Large" xfId="13963"/>
    <cellStyle name="Numbers_6079BX" xfId="13964"/>
    <cellStyle name="NumberX" xfId="13965"/>
    <cellStyle name="Numdec1" xfId="13966"/>
    <cellStyle name="Numdec1bold" xfId="13967"/>
    <cellStyle name="NUMERO" xfId="13968"/>
    <cellStyle name="Ø›ŽÅ [0]_06" xfId="13969"/>
    <cellStyle name="Ø›ŽÅ[0]_cashflow" xfId="13970"/>
    <cellStyle name="Ø›ŽÅ_06" xfId="13971"/>
    <cellStyle name="Ò»°ã_ˆó±í¸½±í" xfId="13972"/>
    <cellStyle name="ØÅ [0]_CAL - Annual leave" xfId="13973"/>
    <cellStyle name="ØÅ_CAL - Annual leave" xfId="13974"/>
    <cellStyle name="øFòé_BS9701-3" xfId="13975"/>
    <cellStyle name="øj‚¾?_BS9701-3" xfId="13976"/>
    <cellStyle name="ºó¼Ì³¬¼¶Á´½Ó" xfId="13977"/>
    <cellStyle name="OrdinaryNo" xfId="13978"/>
    <cellStyle name="Output 2" xfId="13979"/>
    <cellStyle name="Output 3" xfId="13980"/>
    <cellStyle name="Output 4" xfId="13981"/>
    <cellStyle name="Output 5" xfId="13982"/>
    <cellStyle name="Output 6" xfId="13983"/>
    <cellStyle name="Output 6 2" xfId="13984"/>
    <cellStyle name="Output 7" xfId="13985"/>
    <cellStyle name="Output 7 2" xfId="13986"/>
    <cellStyle name="Output 8" xfId="13987"/>
    <cellStyle name="Output Amounts" xfId="13988"/>
    <cellStyle name="Output Amounts 2" xfId="13989"/>
    <cellStyle name="Output Amounts 3" xfId="13990"/>
    <cellStyle name="Output Column Headings" xfId="13991"/>
    <cellStyle name="Output Line Items" xfId="13992"/>
    <cellStyle name="Output Report Heading" xfId="13993"/>
    <cellStyle name="Output Report Heading 2" xfId="13994"/>
    <cellStyle name="Output Report Title" xfId="13995"/>
    <cellStyle name="OutputPlain" xfId="13996"/>
    <cellStyle name="P" xfId="13997"/>
    <cellStyle name="P 2" xfId="13998"/>
    <cellStyle name="pattern" xfId="13999"/>
    <cellStyle name="PB Table Heading" xfId="14000"/>
    <cellStyle name="PB Table Highlight1" xfId="14001"/>
    <cellStyle name="PB Table Highlight2" xfId="14002"/>
    <cellStyle name="PB Table Highlight2 2" xfId="14003"/>
    <cellStyle name="PB Table Highlight3" xfId="14004"/>
    <cellStyle name="PB Table Highlight3 2" xfId="14005"/>
    <cellStyle name="PB Table Standard Row" xfId="14006"/>
    <cellStyle name="PB Table Standard Row 2" xfId="14007"/>
    <cellStyle name="PB Table Subtotal Row" xfId="14008"/>
    <cellStyle name="PB Table Total Row" xfId="14009"/>
    <cellStyle name="pb_page_heading_LS" xfId="14010"/>
    <cellStyle name="pcent" xfId="14011"/>
    <cellStyle name="Pctdec1itals" xfId="14012"/>
    <cellStyle name="Percent (1)" xfId="14013"/>
    <cellStyle name="Percent [2] 2" xfId="14014"/>
    <cellStyle name="Percent [2] 3" xfId="14015"/>
    <cellStyle name="Percent [2]P" xfId="14016"/>
    <cellStyle name="Percent 10" xfId="14017"/>
    <cellStyle name="Percent 100" xfId="14018"/>
    <cellStyle name="Percent 101" xfId="14019"/>
    <cellStyle name="Percent 102" xfId="14020"/>
    <cellStyle name="Percent 103" xfId="14021"/>
    <cellStyle name="Percent 104" xfId="14022"/>
    <cellStyle name="Percent 105" xfId="14023"/>
    <cellStyle name="Percent 106" xfId="14024"/>
    <cellStyle name="Percent 107" xfId="14025"/>
    <cellStyle name="Percent 108" xfId="14026"/>
    <cellStyle name="Percent 109" xfId="14027"/>
    <cellStyle name="Percent 11" xfId="14028"/>
    <cellStyle name="Percent 110" xfId="14029"/>
    <cellStyle name="Percent 111" xfId="14030"/>
    <cellStyle name="Percent 112" xfId="14031"/>
    <cellStyle name="Percent 113" xfId="14032"/>
    <cellStyle name="Percent 114" xfId="14033"/>
    <cellStyle name="Percent 115" xfId="14034"/>
    <cellStyle name="Percent 116" xfId="14035"/>
    <cellStyle name="Percent 117" xfId="14036"/>
    <cellStyle name="Percent 118" xfId="14037"/>
    <cellStyle name="Percent 119" xfId="14038"/>
    <cellStyle name="Percent 12" xfId="14039"/>
    <cellStyle name="Percent 13" xfId="14040"/>
    <cellStyle name="Percent 14" xfId="14041"/>
    <cellStyle name="Percent 15" xfId="14042"/>
    <cellStyle name="Percent 16" xfId="14043"/>
    <cellStyle name="Percent 17" xfId="14044"/>
    <cellStyle name="Percent 18" xfId="14045"/>
    <cellStyle name="Percent 19" xfId="14046"/>
    <cellStyle name="Percent 2 2" xfId="14047"/>
    <cellStyle name="Percent 2 3" xfId="14048"/>
    <cellStyle name="Percent 2 4" xfId="14049"/>
    <cellStyle name="Percent 2 5" xfId="14050"/>
    <cellStyle name="Percent 20" xfId="14051"/>
    <cellStyle name="Percent 21" xfId="14052"/>
    <cellStyle name="Percent 22" xfId="14053"/>
    <cellStyle name="Percent 23" xfId="14054"/>
    <cellStyle name="Percent 24" xfId="14055"/>
    <cellStyle name="Percent 25" xfId="14056"/>
    <cellStyle name="Percent 26" xfId="14057"/>
    <cellStyle name="Percent 27" xfId="14058"/>
    <cellStyle name="Percent 28" xfId="14059"/>
    <cellStyle name="Percent 29" xfId="14060"/>
    <cellStyle name="Percent 3 2" xfId="14061"/>
    <cellStyle name="Percent 3 3" xfId="14062"/>
    <cellStyle name="Percent 3 3 2" xfId="14063"/>
    <cellStyle name="Percent 3 3 3" xfId="14064"/>
    <cellStyle name="Percent 3 3 3 2" xfId="14065"/>
    <cellStyle name="Percent 3 4" xfId="14066"/>
    <cellStyle name="Percent 3 4 2" xfId="14067"/>
    <cellStyle name="Percent 3 5" xfId="14068"/>
    <cellStyle name="Percent 3 6" xfId="14069"/>
    <cellStyle name="Percent 3_20130813  航空公司综合数据—国航7月数据" xfId="14070"/>
    <cellStyle name="Percent 30" xfId="14071"/>
    <cellStyle name="Percent 31" xfId="14072"/>
    <cellStyle name="Percent 32" xfId="14073"/>
    <cellStyle name="Percent 33" xfId="14074"/>
    <cellStyle name="Percent 34" xfId="14075"/>
    <cellStyle name="Percent 35" xfId="14076"/>
    <cellStyle name="Percent 36" xfId="14077"/>
    <cellStyle name="Percent 37" xfId="14078"/>
    <cellStyle name="Percent 38" xfId="14079"/>
    <cellStyle name="Percent 39" xfId="14080"/>
    <cellStyle name="Percent 4 3" xfId="14081"/>
    <cellStyle name="Percent 40" xfId="14082"/>
    <cellStyle name="Percent 41" xfId="14083"/>
    <cellStyle name="Percent 42" xfId="14084"/>
    <cellStyle name="Percent 43" xfId="14085"/>
    <cellStyle name="Percent 44" xfId="14086"/>
    <cellStyle name="Percent 45" xfId="14087"/>
    <cellStyle name="Percent 46" xfId="14088"/>
    <cellStyle name="Percent 47" xfId="14089"/>
    <cellStyle name="Percent 48" xfId="14090"/>
    <cellStyle name="Percent 49" xfId="14091"/>
    <cellStyle name="Percent 5 2" xfId="14092"/>
    <cellStyle name="Percent 5 3" xfId="14093"/>
    <cellStyle name="Percent 50" xfId="14094"/>
    <cellStyle name="Percent 51" xfId="14095"/>
    <cellStyle name="Percent 52" xfId="14096"/>
    <cellStyle name="Percent 53" xfId="14097"/>
    <cellStyle name="Percent 54" xfId="14098"/>
    <cellStyle name="Percent 55" xfId="14099"/>
    <cellStyle name="Percent 55 10" xfId="14100"/>
    <cellStyle name="Percent 55 10 2" xfId="14101"/>
    <cellStyle name="Percent 55 10 2 2" xfId="14102"/>
    <cellStyle name="Percent 55 10 3" xfId="14103"/>
    <cellStyle name="Percent 55 11" xfId="14104"/>
    <cellStyle name="Percent 55 11 2" xfId="14105"/>
    <cellStyle name="Percent 55 12" xfId="14106"/>
    <cellStyle name="Percent 55 2" xfId="14107"/>
    <cellStyle name="Percent 55 2 10" xfId="14108"/>
    <cellStyle name="Percent 55 2 2" xfId="14109"/>
    <cellStyle name="Percent 55 2 2 2" xfId="14110"/>
    <cellStyle name="Percent 55 2 2 2 2" xfId="14111"/>
    <cellStyle name="Percent 55 2 2 2 2 2" xfId="14112"/>
    <cellStyle name="Percent 55 2 2 2 2 2 2" xfId="14113"/>
    <cellStyle name="Percent 55 2 2 2 2 2 2 2" xfId="14114"/>
    <cellStyle name="Percent 55 2 2 2 2 2 3" xfId="14115"/>
    <cellStyle name="Percent 55 2 2 2 2 3" xfId="14116"/>
    <cellStyle name="Percent 55 2 2 2 2 3 2" xfId="14117"/>
    <cellStyle name="Percent 55 2 2 2 2 4" xfId="14118"/>
    <cellStyle name="Percent 55 2 2 2 3" xfId="14119"/>
    <cellStyle name="Percent 55 2 2 2 3 2" xfId="14120"/>
    <cellStyle name="Percent 55 2 2 2 3 2 2" xfId="14121"/>
    <cellStyle name="Percent 55 2 2 2 3 2 2 2" xfId="14122"/>
    <cellStyle name="Percent 55 2 2 2 3 2 3" xfId="14123"/>
    <cellStyle name="Percent 55 2 2 2 3 3" xfId="14124"/>
    <cellStyle name="Percent 55 2 2 2 3 3 2" xfId="14125"/>
    <cellStyle name="Percent 55 2 2 2 3 4" xfId="14126"/>
    <cellStyle name="Percent 55 2 2 2 4" xfId="14127"/>
    <cellStyle name="Percent 55 2 2 2 4 2" xfId="14128"/>
    <cellStyle name="Percent 55 2 2 2 4 2 2" xfId="14129"/>
    <cellStyle name="Percent 55 2 2 2 4 3" xfId="14130"/>
    <cellStyle name="Percent 55 2 2 2 5" xfId="14131"/>
    <cellStyle name="Percent 55 2 2 2 5 2" xfId="14132"/>
    <cellStyle name="Percent 55 2 2 2 6" xfId="14133"/>
    <cellStyle name="Percent 55 2 2 3" xfId="14134"/>
    <cellStyle name="Percent 55 2 2 3 2" xfId="14135"/>
    <cellStyle name="Percent 55 2 2 3 2 2" xfId="14136"/>
    <cellStyle name="Percent 55 2 2 3 2 2 2" xfId="14137"/>
    <cellStyle name="Percent 55 2 2 3 2 3" xfId="14138"/>
    <cellStyle name="Percent 55 2 2 3 3" xfId="14139"/>
    <cellStyle name="Percent 55 2 2 3 3 2" xfId="14140"/>
    <cellStyle name="Percent 55 2 2 3 4" xfId="14141"/>
    <cellStyle name="Percent 55 2 2 4" xfId="14142"/>
    <cellStyle name="Percent 55 2 2 4 2" xfId="14143"/>
    <cellStyle name="Percent 55 2 2 4 2 2" xfId="14144"/>
    <cellStyle name="Percent 55 2 2 4 2 2 2" xfId="14145"/>
    <cellStyle name="Percent 55 2 2 4 2 3" xfId="14146"/>
    <cellStyle name="Percent 55 2 2 4 3" xfId="14147"/>
    <cellStyle name="Percent 55 2 2 4 3 2" xfId="14148"/>
    <cellStyle name="Percent 55 2 2 4 4" xfId="14149"/>
    <cellStyle name="Percent 55 2 2 5" xfId="14150"/>
    <cellStyle name="Percent 55 2 2 5 2" xfId="14151"/>
    <cellStyle name="Percent 55 2 2 5 2 2" xfId="14152"/>
    <cellStyle name="Percent 55 2 2 5 3" xfId="14153"/>
    <cellStyle name="Percent 55 2 2 6" xfId="14154"/>
    <cellStyle name="Percent 55 2 2 6 2" xfId="14155"/>
    <cellStyle name="Percent 55 2 2 7" xfId="14156"/>
    <cellStyle name="Percent 55 2 3" xfId="14157"/>
    <cellStyle name="Percent 55 2 3 2" xfId="14158"/>
    <cellStyle name="Percent 55 2 3 2 2" xfId="14159"/>
    <cellStyle name="Percent 55 2 3 2 2 2" xfId="14160"/>
    <cellStyle name="Percent 55 2 3 2 2 2 2" xfId="14161"/>
    <cellStyle name="Percent 55 2 3 2 2 3" xfId="14162"/>
    <cellStyle name="Percent 55 2 3 2 3" xfId="14163"/>
    <cellStyle name="Percent 55 2 3 2 3 2" xfId="14164"/>
    <cellStyle name="Percent 55 2 3 2 4" xfId="14165"/>
    <cellStyle name="Percent 55 2 3 3" xfId="14166"/>
    <cellStyle name="Percent 55 2 3 3 2" xfId="14167"/>
    <cellStyle name="Percent 55 2 3 3 2 2" xfId="14168"/>
    <cellStyle name="Percent 55 2 3 3 2 2 2" xfId="14169"/>
    <cellStyle name="Percent 55 2 3 3 2 3" xfId="14170"/>
    <cellStyle name="Percent 55 2 3 3 3" xfId="14171"/>
    <cellStyle name="Percent 55 2 3 3 3 2" xfId="14172"/>
    <cellStyle name="Percent 55 2 3 3 4" xfId="14173"/>
    <cellStyle name="Percent 55 2 3 4" xfId="14174"/>
    <cellStyle name="Percent 55 2 3 4 2" xfId="14175"/>
    <cellStyle name="Percent 55 2 3 4 2 2" xfId="14176"/>
    <cellStyle name="Percent 55 2 3 4 3" xfId="14177"/>
    <cellStyle name="Percent 55 2 3 5" xfId="14178"/>
    <cellStyle name="Percent 55 2 3 5 2" xfId="14179"/>
    <cellStyle name="Percent 55 2 3 6" xfId="14180"/>
    <cellStyle name="Percent 55 2 4" xfId="14181"/>
    <cellStyle name="Percent 55 2 4 2" xfId="14182"/>
    <cellStyle name="Percent 55 2 4 2 2" xfId="14183"/>
    <cellStyle name="Percent 55 2 4 2 2 2" xfId="14184"/>
    <cellStyle name="Percent 55 2 4 2 2 2 2" xfId="14185"/>
    <cellStyle name="Percent 55 2 4 2 2 3" xfId="14186"/>
    <cellStyle name="Percent 55 2 4 2 3" xfId="14187"/>
    <cellStyle name="Percent 55 2 4 2 3 2" xfId="14188"/>
    <cellStyle name="Percent 55 2 4 2 4" xfId="14189"/>
    <cellStyle name="Percent 55 2 4 3" xfId="14190"/>
    <cellStyle name="Percent 55 2 4 3 2" xfId="14191"/>
    <cellStyle name="Percent 55 2 4 3 2 2" xfId="14192"/>
    <cellStyle name="Percent 55 2 4 3 2 2 2" xfId="14193"/>
    <cellStyle name="Percent 55 2 4 3 2 3" xfId="14194"/>
    <cellStyle name="Percent 55 2 4 3 3" xfId="14195"/>
    <cellStyle name="Percent 55 2 4 3 3 2" xfId="14196"/>
    <cellStyle name="Percent 55 2 4 3 4" xfId="14197"/>
    <cellStyle name="Percent 55 2 4 4" xfId="14198"/>
    <cellStyle name="Percent 55 2 4 4 2" xfId="14199"/>
    <cellStyle name="Percent 55 2 4 4 2 2" xfId="14200"/>
    <cellStyle name="Percent 55 2 4 4 3" xfId="14201"/>
    <cellStyle name="Percent 55 2 4 5" xfId="14202"/>
    <cellStyle name="Percent 55 2 4 5 2" xfId="14203"/>
    <cellStyle name="Percent 55 2 4 6" xfId="14204"/>
    <cellStyle name="Percent 55 2 5" xfId="14205"/>
    <cellStyle name="Percent 55 2 5 2" xfId="14206"/>
    <cellStyle name="Percent 55 2 5 2 2" xfId="14207"/>
    <cellStyle name="Percent 55 2 5 2 2 2" xfId="14208"/>
    <cellStyle name="Percent 55 2 5 2 3" xfId="14209"/>
    <cellStyle name="Percent 55 2 5 3" xfId="14210"/>
    <cellStyle name="Percent 55 2 5 3 2" xfId="14211"/>
    <cellStyle name="Percent 55 2 5 4" xfId="14212"/>
    <cellStyle name="Percent 55 2 6" xfId="14213"/>
    <cellStyle name="Percent 55 2 6 2" xfId="14214"/>
    <cellStyle name="Percent 55 2 6 2 2" xfId="14215"/>
    <cellStyle name="Percent 55 2 6 2 2 2" xfId="14216"/>
    <cellStyle name="Percent 55 2 6 2 3" xfId="14217"/>
    <cellStyle name="Percent 55 2 6 3" xfId="14218"/>
    <cellStyle name="Percent 55 2 6 3 2" xfId="14219"/>
    <cellStyle name="Percent 55 2 6 4" xfId="14220"/>
    <cellStyle name="Percent 55 2 7" xfId="14221"/>
    <cellStyle name="Percent 55 2 7 2" xfId="14222"/>
    <cellStyle name="Percent 55 2 7 2 2" xfId="14223"/>
    <cellStyle name="Percent 55 2 7 2 2 2" xfId="14224"/>
    <cellStyle name="Percent 55 2 7 2 3" xfId="14225"/>
    <cellStyle name="Percent 55 2 7 3" xfId="14226"/>
    <cellStyle name="Percent 55 2 7 3 2" xfId="14227"/>
    <cellStyle name="Percent 55 2 7 4" xfId="14228"/>
    <cellStyle name="Percent 55 2 8" xfId="14229"/>
    <cellStyle name="Percent 55 2 8 2" xfId="14230"/>
    <cellStyle name="Percent 55 2 8 2 2" xfId="14231"/>
    <cellStyle name="Percent 55 2 8 3" xfId="14232"/>
    <cellStyle name="Percent 55 2 9" xfId="14233"/>
    <cellStyle name="Percent 55 2 9 2" xfId="14234"/>
    <cellStyle name="Percent 55 3" xfId="14235"/>
    <cellStyle name="Percent 55 3 2" xfId="14236"/>
    <cellStyle name="Percent 55 3 2 2" xfId="14237"/>
    <cellStyle name="Percent 55 3 2 2 2" xfId="14238"/>
    <cellStyle name="Percent 55 3 2 2 2 2" xfId="14239"/>
    <cellStyle name="Percent 55 3 2 2 2 2 2" xfId="14240"/>
    <cellStyle name="Percent 55 3 2 2 2 2 2 2" xfId="14241"/>
    <cellStyle name="Percent 55 3 2 2 2 2 3" xfId="14242"/>
    <cellStyle name="Percent 55 3 2 2 2 3" xfId="14243"/>
    <cellStyle name="Percent 55 3 2 2 2 3 2" xfId="14244"/>
    <cellStyle name="Percent 55 3 2 2 2 4" xfId="14245"/>
    <cellStyle name="Percent 55 3 2 2 3" xfId="14246"/>
    <cellStyle name="Percent 55 3 2 2 3 2" xfId="14247"/>
    <cellStyle name="Percent 55 3 2 2 3 2 2" xfId="14248"/>
    <cellStyle name="Percent 55 3 2 2 3 2 2 2" xfId="14249"/>
    <cellStyle name="Percent 55 3 2 2 3 2 3" xfId="14250"/>
    <cellStyle name="Percent 55 3 2 2 3 3" xfId="14251"/>
    <cellStyle name="Percent 55 3 2 2 3 3 2" xfId="14252"/>
    <cellStyle name="Percent 55 3 2 2 3 4" xfId="14253"/>
    <cellStyle name="Percent 55 3 2 2 4" xfId="14254"/>
    <cellStyle name="Percent 55 3 2 2 4 2" xfId="14255"/>
    <cellStyle name="Percent 55 3 2 2 4 2 2" xfId="14256"/>
    <cellStyle name="Percent 55 3 2 2 4 3" xfId="14257"/>
    <cellStyle name="Percent 55 3 2 2 5" xfId="14258"/>
    <cellStyle name="Percent 55 3 2 2 5 2" xfId="14259"/>
    <cellStyle name="Percent 55 3 2 2 6" xfId="14260"/>
    <cellStyle name="Percent 55 3 2 3" xfId="14261"/>
    <cellStyle name="Percent 55 3 2 3 2" xfId="14262"/>
    <cellStyle name="Percent 55 3 2 3 2 2" xfId="14263"/>
    <cellStyle name="Percent 55 3 2 3 2 2 2" xfId="14264"/>
    <cellStyle name="Percent 55 3 2 3 2 3" xfId="14265"/>
    <cellStyle name="Percent 55 3 2 3 3" xfId="14266"/>
    <cellStyle name="Percent 55 3 2 3 3 2" xfId="14267"/>
    <cellStyle name="Percent 55 3 2 3 4" xfId="14268"/>
    <cellStyle name="Percent 55 3 2 4" xfId="14269"/>
    <cellStyle name="Percent 55 3 2 4 2" xfId="14270"/>
    <cellStyle name="Percent 55 3 2 4 2 2" xfId="14271"/>
    <cellStyle name="Percent 55 3 2 4 2 2 2" xfId="14272"/>
    <cellStyle name="Percent 55 3 2 4 2 3" xfId="14273"/>
    <cellStyle name="Percent 55 3 2 4 3" xfId="14274"/>
    <cellStyle name="Percent 55 3 2 4 3 2" xfId="14275"/>
    <cellStyle name="Percent 55 3 2 4 4" xfId="14276"/>
    <cellStyle name="Percent 55 3 2 5" xfId="14277"/>
    <cellStyle name="Percent 55 3 2 5 2" xfId="14278"/>
    <cellStyle name="Percent 55 3 2 5 2 2" xfId="14279"/>
    <cellStyle name="Percent 55 3 2 5 3" xfId="14280"/>
    <cellStyle name="Percent 55 3 2 6" xfId="14281"/>
    <cellStyle name="Percent 55 3 2 6 2" xfId="14282"/>
    <cellStyle name="Percent 55 3 2 7" xfId="14283"/>
    <cellStyle name="Percent 55 3 3" xfId="14284"/>
    <cellStyle name="Percent 55 3 3 2" xfId="14285"/>
    <cellStyle name="Percent 55 3 3 2 2" xfId="14286"/>
    <cellStyle name="Percent 55 3 3 2 2 2" xfId="14287"/>
    <cellStyle name="Percent 55 3 3 2 2 2 2" xfId="14288"/>
    <cellStyle name="Percent 55 3 3 2 2 3" xfId="14289"/>
    <cellStyle name="Percent 55 3 3 2 3" xfId="14290"/>
    <cellStyle name="Percent 55 3 3 2 3 2" xfId="14291"/>
    <cellStyle name="Percent 55 3 3 2 4" xfId="14292"/>
    <cellStyle name="Percent 55 3 3 3" xfId="14293"/>
    <cellStyle name="Percent 55 3 3 3 2" xfId="14294"/>
    <cellStyle name="Percent 55 3 3 3 2 2" xfId="14295"/>
    <cellStyle name="Percent 55 3 3 3 2 2 2" xfId="14296"/>
    <cellStyle name="Percent 55 3 3 3 2 3" xfId="14297"/>
    <cellStyle name="Percent 55 3 3 3 3" xfId="14298"/>
    <cellStyle name="Percent 55 3 3 3 3 2" xfId="14299"/>
    <cellStyle name="Percent 55 3 3 3 4" xfId="14300"/>
    <cellStyle name="Percent 55 3 3 4" xfId="14301"/>
    <cellStyle name="Percent 55 3 3 4 2" xfId="14302"/>
    <cellStyle name="Percent 55 3 3 4 2 2" xfId="14303"/>
    <cellStyle name="Percent 55 3 3 4 3" xfId="14304"/>
    <cellStyle name="Percent 55 3 3 5" xfId="14305"/>
    <cellStyle name="Percent 55 3 3 5 2" xfId="14306"/>
    <cellStyle name="Percent 55 3 3 6" xfId="14307"/>
    <cellStyle name="Percent 55 3 4" xfId="14308"/>
    <cellStyle name="Percent 55 3 4 2" xfId="14309"/>
    <cellStyle name="Percent 55 3 4 2 2" xfId="14310"/>
    <cellStyle name="Percent 55 3 4 2 2 2" xfId="14311"/>
    <cellStyle name="Percent 55 3 4 2 2 2 2" xfId="14312"/>
    <cellStyle name="Percent 55 3 4 2 2 3" xfId="14313"/>
    <cellStyle name="Percent 55 3 4 2 3" xfId="14314"/>
    <cellStyle name="Percent 55 3 4 2 3 2" xfId="14315"/>
    <cellStyle name="Percent 55 3 4 2 4" xfId="14316"/>
    <cellStyle name="Percent 55 3 4 3" xfId="14317"/>
    <cellStyle name="Percent 55 3 4 3 2" xfId="14318"/>
    <cellStyle name="Percent 55 3 4 3 2 2" xfId="14319"/>
    <cellStyle name="Percent 55 3 4 3 2 2 2" xfId="14320"/>
    <cellStyle name="Percent 55 3 4 3 2 3" xfId="14321"/>
    <cellStyle name="Percent 55 3 4 3 3" xfId="14322"/>
    <cellStyle name="Percent 55 3 4 3 3 2" xfId="14323"/>
    <cellStyle name="Percent 55 3 4 3 4" xfId="14324"/>
    <cellStyle name="Percent 55 3 4 4" xfId="14325"/>
    <cellStyle name="Percent 55 3 4 4 2" xfId="14326"/>
    <cellStyle name="Percent 55 3 4 4 2 2" xfId="14327"/>
    <cellStyle name="Percent 55 3 4 4 3" xfId="14328"/>
    <cellStyle name="Percent 55 3 4 5" xfId="14329"/>
    <cellStyle name="Percent 55 3 4 5 2" xfId="14330"/>
    <cellStyle name="Percent 55 3 4 6" xfId="14331"/>
    <cellStyle name="Percent 55 3 5" xfId="14332"/>
    <cellStyle name="Percent 55 3 5 2" xfId="14333"/>
    <cellStyle name="Percent 55 3 5 2 2" xfId="14334"/>
    <cellStyle name="Percent 55 3 5 2 2 2" xfId="14335"/>
    <cellStyle name="Percent 55 3 5 2 3" xfId="14336"/>
    <cellStyle name="Percent 55 3 5 3" xfId="14337"/>
    <cellStyle name="Percent 55 3 5 3 2" xfId="14338"/>
    <cellStyle name="Percent 55 3 5 4" xfId="14339"/>
    <cellStyle name="Percent 55 3 6" xfId="14340"/>
    <cellStyle name="Percent 55 3 6 2" xfId="14341"/>
    <cellStyle name="Percent 55 3 6 2 2" xfId="14342"/>
    <cellStyle name="Percent 55 3 6 2 2 2" xfId="14343"/>
    <cellStyle name="Percent 55 3 6 2 3" xfId="14344"/>
    <cellStyle name="Percent 55 3 6 3" xfId="14345"/>
    <cellStyle name="Percent 55 3 6 3 2" xfId="14346"/>
    <cellStyle name="Percent 55 3 6 4" xfId="14347"/>
    <cellStyle name="Percent 55 3 7" xfId="14348"/>
    <cellStyle name="Percent 55 3 7 2" xfId="14349"/>
    <cellStyle name="Percent 55 3 7 2 2" xfId="14350"/>
    <cellStyle name="Percent 55 3 7 3" xfId="14351"/>
    <cellStyle name="Percent 55 3 8" xfId="14352"/>
    <cellStyle name="Percent 55 3 8 2" xfId="14353"/>
    <cellStyle name="Percent 55 3 9" xfId="14354"/>
    <cellStyle name="Percent 55 4" xfId="14355"/>
    <cellStyle name="Percent 55 4 2" xfId="14356"/>
    <cellStyle name="Percent 55 4 2 2" xfId="14357"/>
    <cellStyle name="Percent 55 4 2 2 2" xfId="14358"/>
    <cellStyle name="Percent 55 4 2 2 2 2" xfId="14359"/>
    <cellStyle name="Percent 55 4 2 2 2 2 2" xfId="14360"/>
    <cellStyle name="Percent 55 4 2 2 2 3" xfId="14361"/>
    <cellStyle name="Percent 55 4 2 2 3" xfId="14362"/>
    <cellStyle name="Percent 55 4 2 2 3 2" xfId="14363"/>
    <cellStyle name="Percent 55 4 2 2 4" xfId="14364"/>
    <cellStyle name="Percent 55 4 2 3" xfId="14365"/>
    <cellStyle name="Percent 55 4 2 3 2" xfId="14366"/>
    <cellStyle name="Percent 55 4 2 3 2 2" xfId="14367"/>
    <cellStyle name="Percent 55 4 2 3 2 2 2" xfId="14368"/>
    <cellStyle name="Percent 55 4 2 3 2 3" xfId="14369"/>
    <cellStyle name="Percent 55 4 2 3 3" xfId="14370"/>
    <cellStyle name="Percent 55 4 2 3 3 2" xfId="14371"/>
    <cellStyle name="Percent 55 4 2 3 4" xfId="14372"/>
    <cellStyle name="Percent 55 4 2 4" xfId="14373"/>
    <cellStyle name="Percent 55 4 2 4 2" xfId="14374"/>
    <cellStyle name="Percent 55 4 2 4 2 2" xfId="14375"/>
    <cellStyle name="Percent 55 4 2 4 3" xfId="14376"/>
    <cellStyle name="Percent 55 4 2 5" xfId="14377"/>
    <cellStyle name="Percent 55 4 2 5 2" xfId="14378"/>
    <cellStyle name="Percent 55 4 2 6" xfId="14379"/>
    <cellStyle name="Percent 55 4 3" xfId="14380"/>
    <cellStyle name="Percent 55 4 3 2" xfId="14381"/>
    <cellStyle name="Percent 55 4 3 2 2" xfId="14382"/>
    <cellStyle name="Percent 55 4 3 2 2 2" xfId="14383"/>
    <cellStyle name="Percent 55 4 3 2 3" xfId="14384"/>
    <cellStyle name="Percent 55 4 3 3" xfId="14385"/>
    <cellStyle name="Percent 55 4 3 3 2" xfId="14386"/>
    <cellStyle name="Percent 55 4 3 4" xfId="14387"/>
    <cellStyle name="Percent 55 4 4" xfId="14388"/>
    <cellStyle name="Percent 55 4 4 2" xfId="14389"/>
    <cellStyle name="Percent 55 4 4 2 2" xfId="14390"/>
    <cellStyle name="Percent 55 4 4 2 2 2" xfId="14391"/>
    <cellStyle name="Percent 55 4 4 2 3" xfId="14392"/>
    <cellStyle name="Percent 55 4 4 3" xfId="14393"/>
    <cellStyle name="Percent 55 4 4 3 2" xfId="14394"/>
    <cellStyle name="Percent 55 4 4 4" xfId="14395"/>
    <cellStyle name="Percent 55 4 5" xfId="14396"/>
    <cellStyle name="Percent 55 4 5 2" xfId="14397"/>
    <cellStyle name="Percent 55 4 5 2 2" xfId="14398"/>
    <cellStyle name="Percent 55 4 5 3" xfId="14399"/>
    <cellStyle name="Percent 55 4 6" xfId="14400"/>
    <cellStyle name="Percent 55 4 6 2" xfId="14401"/>
    <cellStyle name="Percent 55 4 7" xfId="14402"/>
    <cellStyle name="Percent 55 5" xfId="14403"/>
    <cellStyle name="Percent 55 5 2" xfId="14404"/>
    <cellStyle name="Percent 55 5 2 2" xfId="14405"/>
    <cellStyle name="Percent 55 5 2 2 2" xfId="14406"/>
    <cellStyle name="Percent 55 5 2 2 2 2" xfId="14407"/>
    <cellStyle name="Percent 55 5 2 2 3" xfId="14408"/>
    <cellStyle name="Percent 55 5 2 3" xfId="14409"/>
    <cellStyle name="Percent 55 5 2 3 2" xfId="14410"/>
    <cellStyle name="Percent 55 5 2 4" xfId="14411"/>
    <cellStyle name="Percent 55 5 3" xfId="14412"/>
    <cellStyle name="Percent 55 5 3 2" xfId="14413"/>
    <cellStyle name="Percent 55 5 3 2 2" xfId="14414"/>
    <cellStyle name="Percent 55 5 3 2 2 2" xfId="14415"/>
    <cellStyle name="Percent 55 5 3 2 3" xfId="14416"/>
    <cellStyle name="Percent 55 5 3 3" xfId="14417"/>
    <cellStyle name="Percent 55 5 3 3 2" xfId="14418"/>
    <cellStyle name="Percent 55 5 3 4" xfId="14419"/>
    <cellStyle name="Percent 55 5 4" xfId="14420"/>
    <cellStyle name="Percent 55 5 4 2" xfId="14421"/>
    <cellStyle name="Percent 55 5 4 2 2" xfId="14422"/>
    <cellStyle name="Percent 55 5 4 3" xfId="14423"/>
    <cellStyle name="Percent 55 5 5" xfId="14424"/>
    <cellStyle name="Percent 55 5 5 2" xfId="14425"/>
    <cellStyle name="Percent 55 5 6" xfId="14426"/>
    <cellStyle name="Percent 55 6" xfId="14427"/>
    <cellStyle name="Percent 55 6 2" xfId="14428"/>
    <cellStyle name="Percent 55 6 2 2" xfId="14429"/>
    <cellStyle name="Percent 55 6 2 2 2" xfId="14430"/>
    <cellStyle name="Percent 55 6 2 2 2 2" xfId="14431"/>
    <cellStyle name="Percent 55 6 2 2 3" xfId="14432"/>
    <cellStyle name="Percent 55 6 2 3" xfId="14433"/>
    <cellStyle name="Percent 55 6 2 3 2" xfId="14434"/>
    <cellStyle name="Percent 55 6 2 4" xfId="14435"/>
    <cellStyle name="Percent 55 6 3" xfId="14436"/>
    <cellStyle name="Percent 55 6 3 2" xfId="14437"/>
    <cellStyle name="Percent 55 6 3 2 2" xfId="14438"/>
    <cellStyle name="Percent 55 6 3 2 2 2" xfId="14439"/>
    <cellStyle name="Percent 55 6 3 2 3" xfId="14440"/>
    <cellStyle name="Percent 55 6 3 3" xfId="14441"/>
    <cellStyle name="Percent 55 6 3 3 2" xfId="14442"/>
    <cellStyle name="Percent 55 6 3 4" xfId="14443"/>
    <cellStyle name="Percent 55 6 4" xfId="14444"/>
    <cellStyle name="Percent 55 6 4 2" xfId="14445"/>
    <cellStyle name="Percent 55 6 4 2 2" xfId="14446"/>
    <cellStyle name="Percent 55 6 4 3" xfId="14447"/>
    <cellStyle name="Percent 55 6 5" xfId="14448"/>
    <cellStyle name="Percent 55 6 5 2" xfId="14449"/>
    <cellStyle name="Percent 55 6 6" xfId="14450"/>
    <cellStyle name="Percent 55 7" xfId="14451"/>
    <cellStyle name="Percent 55 7 2" xfId="14452"/>
    <cellStyle name="Percent 55 7 2 2" xfId="14453"/>
    <cellStyle name="Percent 55 7 2 2 2" xfId="14454"/>
    <cellStyle name="Percent 55 7 2 3" xfId="14455"/>
    <cellStyle name="Percent 55 7 3" xfId="14456"/>
    <cellStyle name="Percent 55 7 3 2" xfId="14457"/>
    <cellStyle name="Percent 55 7 4" xfId="14458"/>
    <cellStyle name="Percent 55 8" xfId="14459"/>
    <cellStyle name="Percent 55 8 2" xfId="14460"/>
    <cellStyle name="Percent 55 8 2 2" xfId="14461"/>
    <cellStyle name="Percent 55 8 2 2 2" xfId="14462"/>
    <cellStyle name="Percent 55 8 2 3" xfId="14463"/>
    <cellStyle name="Percent 55 8 3" xfId="14464"/>
    <cellStyle name="Percent 55 8 3 2" xfId="14465"/>
    <cellStyle name="Percent 55 8 4" xfId="14466"/>
    <cellStyle name="Percent 55 9" xfId="14467"/>
    <cellStyle name="Percent 55 9 2" xfId="14468"/>
    <cellStyle name="Percent 55 9 2 2" xfId="14469"/>
    <cellStyle name="Percent 55 9 2 2 2" xfId="14470"/>
    <cellStyle name="Percent 55 9 2 3" xfId="14471"/>
    <cellStyle name="Percent 55 9 3" xfId="14472"/>
    <cellStyle name="Percent 55 9 3 2" xfId="14473"/>
    <cellStyle name="Percent 55 9 4" xfId="14474"/>
    <cellStyle name="Percent 56" xfId="14475"/>
    <cellStyle name="Percent 57" xfId="14476"/>
    <cellStyle name="Percent 58" xfId="14477"/>
    <cellStyle name="Percent 59" xfId="14478"/>
    <cellStyle name="Percent 6" xfId="14479"/>
    <cellStyle name="Percent 6 2" xfId="14480"/>
    <cellStyle name="Percent 60" xfId="14481"/>
    <cellStyle name="Percent 61" xfId="14482"/>
    <cellStyle name="Percent 62" xfId="14483"/>
    <cellStyle name="Percent 63" xfId="14484"/>
    <cellStyle name="Percent 64" xfId="14485"/>
    <cellStyle name="Percent 65" xfId="14486"/>
    <cellStyle name="Percent 66" xfId="14487"/>
    <cellStyle name="Percent 67" xfId="14488"/>
    <cellStyle name="Percent 68" xfId="14489"/>
    <cellStyle name="Percent 69" xfId="14490"/>
    <cellStyle name="Percent 7" xfId="14491"/>
    <cellStyle name="Percent 70" xfId="14492"/>
    <cellStyle name="Percent 71" xfId="14493"/>
    <cellStyle name="Percent 72" xfId="14494"/>
    <cellStyle name="Percent 73" xfId="14495"/>
    <cellStyle name="Percent 74" xfId="14496"/>
    <cellStyle name="Percent 75" xfId="14497"/>
    <cellStyle name="Percent 76" xfId="14498"/>
    <cellStyle name="Percent 77" xfId="14499"/>
    <cellStyle name="Percent 78" xfId="14500"/>
    <cellStyle name="Percent 79" xfId="14501"/>
    <cellStyle name="Percent 8" xfId="14502"/>
    <cellStyle name="Percent 80" xfId="14503"/>
    <cellStyle name="Percent 81" xfId="14504"/>
    <cellStyle name="Percent 82" xfId="14505"/>
    <cellStyle name="Percent 83" xfId="14506"/>
    <cellStyle name="Percent 84" xfId="14507"/>
    <cellStyle name="Percent 85" xfId="14508"/>
    <cellStyle name="Percent 86" xfId="14509"/>
    <cellStyle name="Percent 87" xfId="14510"/>
    <cellStyle name="Percent 88" xfId="14511"/>
    <cellStyle name="Percent 89" xfId="14512"/>
    <cellStyle name="Percent 9" xfId="14513"/>
    <cellStyle name="Percent 90" xfId="14514"/>
    <cellStyle name="Percent 91" xfId="14515"/>
    <cellStyle name="Percent 92" xfId="14516"/>
    <cellStyle name="Percent 93" xfId="14517"/>
    <cellStyle name="Percent 94" xfId="14518"/>
    <cellStyle name="Percent 95" xfId="14519"/>
    <cellStyle name="Percent 96" xfId="14520"/>
    <cellStyle name="Percent 97" xfId="14521"/>
    <cellStyle name="Percent 97 2" xfId="14522"/>
    <cellStyle name="Percent 97 3" xfId="14523"/>
    <cellStyle name="Percent 98" xfId="14524"/>
    <cellStyle name="Percent 98 2" xfId="14525"/>
    <cellStyle name="Percent 98 3" xfId="14526"/>
    <cellStyle name="Percent 99" xfId="14527"/>
    <cellStyle name="Percent 99 2" xfId="14528"/>
    <cellStyle name="Percent 99 3" xfId="14529"/>
    <cellStyle name="Percent2" xfId="14530"/>
    <cellStyle name="PERCENTAGE 2" xfId="14531"/>
    <cellStyle name="PercentChange 2" xfId="14532"/>
    <cellStyle name="PercentChange 3" xfId="14533"/>
    <cellStyle name="Period Title" xfId="14534"/>
    <cellStyle name="PerShare" xfId="14535"/>
    <cellStyle name="PlainDollar" xfId="14536"/>
    <cellStyle name="Price" xfId="14537"/>
    <cellStyle name="Problem" xfId="14538"/>
    <cellStyle name="Profit figure" xfId="14539"/>
    <cellStyle name="ProjectionInput" xfId="14540"/>
    <cellStyle name="ProjectionInput 2" xfId="14541"/>
    <cellStyle name="ProjectionInput 2 2" xfId="14542"/>
    <cellStyle name="ProjectionInput 2 2 2" xfId="14543"/>
    <cellStyle name="ProjectionInput 3" xfId="14544"/>
    <cellStyle name="ProjectionInput 3 2" xfId="14545"/>
    <cellStyle name="pub1" xfId="14546"/>
    <cellStyle name="PwC" xfId="14547"/>
    <cellStyle name="Quantity 2" xfId="14548"/>
    <cellStyle name="r" xfId="14549"/>
    <cellStyle name="Ramlie 1" xfId="14550"/>
    <cellStyle name="Ratio 2" xfId="14551"/>
    <cellStyle name="Ratio 3" xfId="14552"/>
    <cellStyle name="Ratios" xfId="14553"/>
    <cellStyle name="RatioX 2" xfId="14554"/>
    <cellStyle name="RatioX 3" xfId="14555"/>
    <cellStyle name="Red 2" xfId="14556"/>
    <cellStyle name="Red 2 2" xfId="14557"/>
    <cellStyle name="Red 2 2 2" xfId="14558"/>
    <cellStyle name="Red 2 3" xfId="14559"/>
    <cellStyle name="regstoresfromspecstores" xfId="14560"/>
    <cellStyle name="RevList 2" xfId="14561"/>
    <cellStyle name="Right Currency" xfId="14562"/>
    <cellStyle name="Right Date" xfId="14563"/>
    <cellStyle name="Right Multiple" xfId="14564"/>
    <cellStyle name="Right Number" xfId="14565"/>
    <cellStyle name="Right Percentage" xfId="14566"/>
    <cellStyle name="Right Year" xfId="14567"/>
    <cellStyle name="Role 2" xfId="14568"/>
    <cellStyle name="Role 3" xfId="14569"/>
    <cellStyle name="row_def_array" xfId="14570"/>
    <cellStyle name="RowLevel_0" xfId="14571"/>
    <cellStyle name="s" xfId="14572"/>
    <cellStyle name="s 10" xfId="14573"/>
    <cellStyle name="s 2" xfId="14574"/>
    <cellStyle name="s 2 2" xfId="14575"/>
    <cellStyle name="s 2 3" xfId="14576"/>
    <cellStyle name="s 2 4" xfId="14577"/>
    <cellStyle name="s 2 5" xfId="14578"/>
    <cellStyle name="s 2 6" xfId="14579"/>
    <cellStyle name="s 2 7" xfId="14580"/>
    <cellStyle name="s 2 8" xfId="14581"/>
    <cellStyle name="s 3" xfId="14582"/>
    <cellStyle name="s 3 2" xfId="14583"/>
    <cellStyle name="s 3 3" xfId="14584"/>
    <cellStyle name="s 3 4" xfId="14585"/>
    <cellStyle name="s 3 5" xfId="14586"/>
    <cellStyle name="s 3 6" xfId="14587"/>
    <cellStyle name="s 3 7" xfId="14588"/>
    <cellStyle name="s 3 8" xfId="14589"/>
    <cellStyle name="s 4" xfId="14590"/>
    <cellStyle name="s 5" xfId="14591"/>
    <cellStyle name="s 6" xfId="14592"/>
    <cellStyle name="s 7" xfId="14593"/>
    <cellStyle name="s 8" xfId="14594"/>
    <cellStyle name="s 9" xfId="14595"/>
    <cellStyle name="s_0670.HK" xfId="14596"/>
    <cellStyle name="s_0670.HK 10" xfId="14597"/>
    <cellStyle name="s_0670.HK 2" xfId="14598"/>
    <cellStyle name="s_0670.HK 2 2" xfId="14599"/>
    <cellStyle name="s_0670.HK 2 3" xfId="14600"/>
    <cellStyle name="s_0670.HK 2 4" xfId="14601"/>
    <cellStyle name="s_0670.HK 2 5" xfId="14602"/>
    <cellStyle name="s_0670.HK 2 6" xfId="14603"/>
    <cellStyle name="s_0670.HK 2 7" xfId="14604"/>
    <cellStyle name="s_0670.HK 2 8" xfId="14605"/>
    <cellStyle name="s_0670.HK 3" xfId="14606"/>
    <cellStyle name="s_0670.HK 3 2" xfId="14607"/>
    <cellStyle name="s_0670.HK 3 3" xfId="14608"/>
    <cellStyle name="s_0670.HK 3 4" xfId="14609"/>
    <cellStyle name="s_0670.HK 3 5" xfId="14610"/>
    <cellStyle name="s_0670.HK 3 6" xfId="14611"/>
    <cellStyle name="s_0670.HK 3 7" xfId="14612"/>
    <cellStyle name="s_0670.HK 3 8" xfId="14613"/>
    <cellStyle name="s_0670.HK 4" xfId="14614"/>
    <cellStyle name="s_0670.HK 5" xfId="14615"/>
    <cellStyle name="s_0670.HK 6" xfId="14616"/>
    <cellStyle name="s_0670.HK 7" xfId="14617"/>
    <cellStyle name="s_0670.HK 8" xfId="14618"/>
    <cellStyle name="s_0670.HK 9" xfId="14619"/>
    <cellStyle name="s_0670.HK_Balance" xfId="14620"/>
    <cellStyle name="s_0670.HK_Balance 10" xfId="14621"/>
    <cellStyle name="s_0670.HK_Balance 2" xfId="14622"/>
    <cellStyle name="s_0670.HK_Balance 2 2" xfId="14623"/>
    <cellStyle name="s_0670.HK_Balance 2 3" xfId="14624"/>
    <cellStyle name="s_0670.HK_Balance 2 4" xfId="14625"/>
    <cellStyle name="s_0670.HK_Balance 2 5" xfId="14626"/>
    <cellStyle name="s_0670.HK_Balance 2 6" xfId="14627"/>
    <cellStyle name="s_0670.HK_Balance 2 7" xfId="14628"/>
    <cellStyle name="s_0670.HK_Balance 2 8" xfId="14629"/>
    <cellStyle name="s_0670.HK_Balance 3" xfId="14630"/>
    <cellStyle name="s_0670.HK_Balance 3 2" xfId="14631"/>
    <cellStyle name="s_0670.HK_Balance 3 3" xfId="14632"/>
    <cellStyle name="s_0670.HK_Balance 3 4" xfId="14633"/>
    <cellStyle name="s_0670.HK_Balance 3 5" xfId="14634"/>
    <cellStyle name="s_0670.HK_Balance 3 6" xfId="14635"/>
    <cellStyle name="s_0670.HK_Balance 3 7" xfId="14636"/>
    <cellStyle name="s_0670.HK_Balance 3 8" xfId="14637"/>
    <cellStyle name="s_0670.HK_Balance 4" xfId="14638"/>
    <cellStyle name="s_0670.HK_Balance 5" xfId="14639"/>
    <cellStyle name="s_0670.HK_Balance 6" xfId="14640"/>
    <cellStyle name="s_0670.HK_Balance 7" xfId="14641"/>
    <cellStyle name="s_0670.HK_Balance 8" xfId="14642"/>
    <cellStyle name="s_0670.HK_Balance 9" xfId="14643"/>
    <cellStyle name="s_0670.HK_Cashflow" xfId="14644"/>
    <cellStyle name="s_0670.HK_Cashflow 10" xfId="14645"/>
    <cellStyle name="s_0670.HK_Cashflow 2" xfId="14646"/>
    <cellStyle name="s_0670.HK_Cashflow 2 2" xfId="14647"/>
    <cellStyle name="s_0670.HK_Cashflow 2 3" xfId="14648"/>
    <cellStyle name="s_0670.HK_Cashflow 2 4" xfId="14649"/>
    <cellStyle name="s_0670.HK_Cashflow 2 5" xfId="14650"/>
    <cellStyle name="s_0670.HK_Cashflow 2 6" xfId="14651"/>
    <cellStyle name="s_0670.HK_Cashflow 2 7" xfId="14652"/>
    <cellStyle name="s_0670.HK_Cashflow 2 8" xfId="14653"/>
    <cellStyle name="s_0670.HK_Cashflow 3" xfId="14654"/>
    <cellStyle name="s_0670.HK_Cashflow 3 2" xfId="14655"/>
    <cellStyle name="s_0670.HK_Cashflow 3 3" xfId="14656"/>
    <cellStyle name="s_0670.HK_Cashflow 3 4" xfId="14657"/>
    <cellStyle name="s_0670.HK_Cashflow 3 5" xfId="14658"/>
    <cellStyle name="s_0670.HK_Cashflow 3 6" xfId="14659"/>
    <cellStyle name="s_0670.HK_Cashflow 3 7" xfId="14660"/>
    <cellStyle name="s_0670.HK_Cashflow 3 8" xfId="14661"/>
    <cellStyle name="s_0670.HK_Cashflow 4" xfId="14662"/>
    <cellStyle name="s_0670.HK_Cashflow 5" xfId="14663"/>
    <cellStyle name="s_0670.HK_Cashflow 6" xfId="14664"/>
    <cellStyle name="s_0670.HK_Cashflow 7" xfId="14665"/>
    <cellStyle name="s_0670.HK_Cashflow 8" xfId="14666"/>
    <cellStyle name="s_0670.HK_Cashflow 9" xfId="14667"/>
    <cellStyle name="s_0670.HK_Interim" xfId="14668"/>
    <cellStyle name="s_0670.HK_Interim 10" xfId="14669"/>
    <cellStyle name="s_0670.HK_Interim 2" xfId="14670"/>
    <cellStyle name="s_0670.HK_Interim 2 2" xfId="14671"/>
    <cellStyle name="s_0670.HK_Interim 2 3" xfId="14672"/>
    <cellStyle name="s_0670.HK_Interim 2 4" xfId="14673"/>
    <cellStyle name="s_0670.HK_Interim 2 5" xfId="14674"/>
    <cellStyle name="s_0670.HK_Interim 2 6" xfId="14675"/>
    <cellStyle name="s_0670.HK_Interim 2 7" xfId="14676"/>
    <cellStyle name="s_0670.HK_Interim 2 8" xfId="14677"/>
    <cellStyle name="s_0670.HK_Interim 3" xfId="14678"/>
    <cellStyle name="s_0670.HK_Interim 3 2" xfId="14679"/>
    <cellStyle name="s_0670.HK_Interim 3 3" xfId="14680"/>
    <cellStyle name="s_0670.HK_Interim 3 4" xfId="14681"/>
    <cellStyle name="s_0670.HK_Interim 3 5" xfId="14682"/>
    <cellStyle name="s_0670.HK_Interim 3 6" xfId="14683"/>
    <cellStyle name="s_0670.HK_Interim 3 7" xfId="14684"/>
    <cellStyle name="s_0670.HK_Interim 3 8" xfId="14685"/>
    <cellStyle name="s_0670.HK_Interim 4" xfId="14686"/>
    <cellStyle name="s_0670.HK_Interim 5" xfId="14687"/>
    <cellStyle name="s_0670.HK_Interim 6" xfId="14688"/>
    <cellStyle name="s_0670.HK_Interim 7" xfId="14689"/>
    <cellStyle name="s_0670.HK_Interim 8" xfId="14690"/>
    <cellStyle name="s_0670.HK_Interim 9" xfId="14691"/>
    <cellStyle name="s_DCFLBO Code" xfId="14692"/>
    <cellStyle name="s_DCFLBO Code_0670.HK" xfId="14693"/>
    <cellStyle name="s_DCFLBO Code_0670.HK_Balance" xfId="14694"/>
    <cellStyle name="s_DCFLBO Code_0670.HK_Cashflow" xfId="14695"/>
    <cellStyle name="s_DCFLBO Code_0670.HK_Interim" xfId="14696"/>
    <cellStyle name="s_DCFLBO Code_1" xfId="14697"/>
    <cellStyle name="s_DCFLBO Code_1 10" xfId="14698"/>
    <cellStyle name="s_DCFLBO Code_1 2" xfId="14699"/>
    <cellStyle name="s_DCFLBO Code_1 2 2" xfId="14700"/>
    <cellStyle name="s_DCFLBO Code_1 2 3" xfId="14701"/>
    <cellStyle name="s_DCFLBO Code_1 2 4" xfId="14702"/>
    <cellStyle name="s_DCFLBO Code_1 2 5" xfId="14703"/>
    <cellStyle name="s_DCFLBO Code_1 2 6" xfId="14704"/>
    <cellStyle name="s_DCFLBO Code_1 2 7" xfId="14705"/>
    <cellStyle name="s_DCFLBO Code_1 2 8" xfId="14706"/>
    <cellStyle name="s_DCFLBO Code_1 3" xfId="14707"/>
    <cellStyle name="s_DCFLBO Code_1 3 2" xfId="14708"/>
    <cellStyle name="s_DCFLBO Code_1 3 3" xfId="14709"/>
    <cellStyle name="s_DCFLBO Code_1 3 4" xfId="14710"/>
    <cellStyle name="s_DCFLBO Code_1 3 5" xfId="14711"/>
    <cellStyle name="s_DCFLBO Code_1 3 6" xfId="14712"/>
    <cellStyle name="s_DCFLBO Code_1 3 7" xfId="14713"/>
    <cellStyle name="s_DCFLBO Code_1 3 8" xfId="14714"/>
    <cellStyle name="s_DCFLBO Code_1 4" xfId="14715"/>
    <cellStyle name="s_DCFLBO Code_1 5" xfId="14716"/>
    <cellStyle name="s_DCFLBO Code_1 6" xfId="14717"/>
    <cellStyle name="s_DCFLBO Code_1 7" xfId="14718"/>
    <cellStyle name="s_DCFLBO Code_1 8" xfId="14719"/>
    <cellStyle name="s_DCFLBO Code_1 9" xfId="14720"/>
    <cellStyle name="s_DCFLBO Code_1_0670.HK" xfId="14721"/>
    <cellStyle name="s_DCFLBO Code_1_0670.HK 10" xfId="14722"/>
    <cellStyle name="s_DCFLBO Code_1_0670.HK 2" xfId="14723"/>
    <cellStyle name="s_DCFLBO Code_1_0670.HK 2 2" xfId="14724"/>
    <cellStyle name="s_DCFLBO Code_1_0670.HK 2 3" xfId="14725"/>
    <cellStyle name="s_DCFLBO Code_1_0670.HK 2 4" xfId="14726"/>
    <cellStyle name="s_DCFLBO Code_1_0670.HK 2 5" xfId="14727"/>
    <cellStyle name="s_DCFLBO Code_1_0670.HK 2 6" xfId="14728"/>
    <cellStyle name="s_DCFLBO Code_1_0670.HK 2 7" xfId="14729"/>
    <cellStyle name="s_DCFLBO Code_1_0670.HK 2 8" xfId="14730"/>
    <cellStyle name="s_DCFLBO Code_1_0670.HK 3" xfId="14731"/>
    <cellStyle name="s_DCFLBO Code_1_0670.HK 3 2" xfId="14732"/>
    <cellStyle name="s_DCFLBO Code_1_0670.HK 3 3" xfId="14733"/>
    <cellStyle name="s_DCFLBO Code_1_0670.HK 3 4" xfId="14734"/>
    <cellStyle name="s_DCFLBO Code_1_0670.HK 3 5" xfId="14735"/>
    <cellStyle name="s_DCFLBO Code_1_0670.HK 3 6" xfId="14736"/>
    <cellStyle name="s_DCFLBO Code_1_0670.HK 3 7" xfId="14737"/>
    <cellStyle name="s_DCFLBO Code_1_0670.HK 3 8" xfId="14738"/>
    <cellStyle name="s_DCFLBO Code_1_0670.HK 4" xfId="14739"/>
    <cellStyle name="s_DCFLBO Code_1_0670.HK 5" xfId="14740"/>
    <cellStyle name="s_DCFLBO Code_1_0670.HK 6" xfId="14741"/>
    <cellStyle name="s_DCFLBO Code_1_0670.HK 7" xfId="14742"/>
    <cellStyle name="s_DCFLBO Code_1_0670.HK 8" xfId="14743"/>
    <cellStyle name="s_DCFLBO Code_1_0670.HK 9" xfId="14744"/>
    <cellStyle name="s_DCFLBO Code_1_0670.HK_Balance" xfId="14745"/>
    <cellStyle name="s_DCFLBO Code_1_0670.HK_Balance 10" xfId="14746"/>
    <cellStyle name="s_DCFLBO Code_1_0670.HK_Balance 2" xfId="14747"/>
    <cellStyle name="s_DCFLBO Code_1_0670.HK_Balance 2 2" xfId="14748"/>
    <cellStyle name="s_DCFLBO Code_1_0670.HK_Balance 2 3" xfId="14749"/>
    <cellStyle name="s_DCFLBO Code_1_0670.HK_Balance 2 4" xfId="14750"/>
    <cellStyle name="s_DCFLBO Code_1_0670.HK_Balance 2 5" xfId="14751"/>
    <cellStyle name="s_DCFLBO Code_1_0670.HK_Balance 2 6" xfId="14752"/>
    <cellStyle name="s_DCFLBO Code_1_0670.HK_Balance 2 7" xfId="14753"/>
    <cellStyle name="s_DCFLBO Code_1_0670.HK_Balance 2 8" xfId="14754"/>
    <cellStyle name="s_DCFLBO Code_1_0670.HK_Balance 3" xfId="14755"/>
    <cellStyle name="s_DCFLBO Code_1_0670.HK_Balance 3 2" xfId="14756"/>
    <cellStyle name="s_DCFLBO Code_1_0670.HK_Balance 3 3" xfId="14757"/>
    <cellStyle name="s_DCFLBO Code_1_0670.HK_Balance 3 4" xfId="14758"/>
    <cellStyle name="s_DCFLBO Code_1_0670.HK_Balance 3 5" xfId="14759"/>
    <cellStyle name="s_DCFLBO Code_1_0670.HK_Balance 3 6" xfId="14760"/>
    <cellStyle name="s_DCFLBO Code_1_0670.HK_Balance 3 7" xfId="14761"/>
    <cellStyle name="s_DCFLBO Code_1_0670.HK_Balance 3 8" xfId="14762"/>
    <cellStyle name="s_DCFLBO Code_1_0670.HK_Balance 4" xfId="14763"/>
    <cellStyle name="s_DCFLBO Code_1_0670.HK_Balance 5" xfId="14764"/>
    <cellStyle name="s_DCFLBO Code_1_0670.HK_Balance 6" xfId="14765"/>
    <cellStyle name="s_DCFLBO Code_1_0670.HK_Balance 7" xfId="14766"/>
    <cellStyle name="s_DCFLBO Code_1_0670.HK_Balance 8" xfId="14767"/>
    <cellStyle name="s_DCFLBO Code_1_0670.HK_Balance 9" xfId="14768"/>
    <cellStyle name="s_DCFLBO Code_1_0670.HK_Cashflow" xfId="14769"/>
    <cellStyle name="s_DCFLBO Code_1_0670.HK_Cashflow 10" xfId="14770"/>
    <cellStyle name="s_DCFLBO Code_1_0670.HK_Cashflow 2" xfId="14771"/>
    <cellStyle name="s_DCFLBO Code_1_0670.HK_Cashflow 2 2" xfId="14772"/>
    <cellStyle name="s_DCFLBO Code_1_0670.HK_Cashflow 2 3" xfId="14773"/>
    <cellStyle name="s_DCFLBO Code_1_0670.HK_Cashflow 2 4" xfId="14774"/>
    <cellStyle name="s_DCFLBO Code_1_0670.HK_Cashflow 2 5" xfId="14775"/>
    <cellStyle name="s_DCFLBO Code_1_0670.HK_Cashflow 2 6" xfId="14776"/>
    <cellStyle name="s_DCFLBO Code_1_0670.HK_Cashflow 2 7" xfId="14777"/>
    <cellStyle name="s_DCFLBO Code_1_0670.HK_Cashflow 2 8" xfId="14778"/>
    <cellStyle name="s_DCFLBO Code_1_0670.HK_Cashflow 3" xfId="14779"/>
    <cellStyle name="s_DCFLBO Code_1_0670.HK_Cashflow 3 2" xfId="14780"/>
    <cellStyle name="s_DCFLBO Code_1_0670.HK_Cashflow 3 3" xfId="14781"/>
    <cellStyle name="s_DCFLBO Code_1_0670.HK_Cashflow 3 4" xfId="14782"/>
    <cellStyle name="s_DCFLBO Code_1_0670.HK_Cashflow 3 5" xfId="14783"/>
    <cellStyle name="s_DCFLBO Code_1_0670.HK_Cashflow 3 6" xfId="14784"/>
    <cellStyle name="s_DCFLBO Code_1_0670.HK_Cashflow 3 7" xfId="14785"/>
    <cellStyle name="s_DCFLBO Code_1_0670.HK_Cashflow 3 8" xfId="14786"/>
    <cellStyle name="s_DCFLBO Code_1_0670.HK_Cashflow 4" xfId="14787"/>
    <cellStyle name="s_DCFLBO Code_1_0670.HK_Cashflow 5" xfId="14788"/>
    <cellStyle name="s_DCFLBO Code_1_0670.HK_Cashflow 6" xfId="14789"/>
    <cellStyle name="s_DCFLBO Code_1_0670.HK_Cashflow 7" xfId="14790"/>
    <cellStyle name="s_DCFLBO Code_1_0670.HK_Cashflow 8" xfId="14791"/>
    <cellStyle name="s_DCFLBO Code_1_0670.HK_Cashflow 9" xfId="14792"/>
    <cellStyle name="s_DCFLBO Code_1_0670.HK_Interim" xfId="14793"/>
    <cellStyle name="s_DCFLBO Code_1_0670.HK_Interim 10" xfId="14794"/>
    <cellStyle name="s_DCFLBO Code_1_0670.HK_Interim 2" xfId="14795"/>
    <cellStyle name="s_DCFLBO Code_1_0670.HK_Interim 2 2" xfId="14796"/>
    <cellStyle name="s_DCFLBO Code_1_0670.HK_Interim 2 3" xfId="14797"/>
    <cellStyle name="s_DCFLBO Code_1_0670.HK_Interim 2 4" xfId="14798"/>
    <cellStyle name="s_DCFLBO Code_1_0670.HK_Interim 2 5" xfId="14799"/>
    <cellStyle name="s_DCFLBO Code_1_0670.HK_Interim 2 6" xfId="14800"/>
    <cellStyle name="s_DCFLBO Code_1_0670.HK_Interim 2 7" xfId="14801"/>
    <cellStyle name="s_DCFLBO Code_1_0670.HK_Interim 2 8" xfId="14802"/>
    <cellStyle name="s_DCFLBO Code_1_0670.HK_Interim 3" xfId="14803"/>
    <cellStyle name="s_DCFLBO Code_1_0670.HK_Interim 3 2" xfId="14804"/>
    <cellStyle name="s_DCFLBO Code_1_0670.HK_Interim 3 3" xfId="14805"/>
    <cellStyle name="s_DCFLBO Code_1_0670.HK_Interim 3 4" xfId="14806"/>
    <cellStyle name="s_DCFLBO Code_1_0670.HK_Interim 3 5" xfId="14807"/>
    <cellStyle name="s_DCFLBO Code_1_0670.HK_Interim 3 6" xfId="14808"/>
    <cellStyle name="s_DCFLBO Code_1_0670.HK_Interim 3 7" xfId="14809"/>
    <cellStyle name="s_DCFLBO Code_1_0670.HK_Interim 3 8" xfId="14810"/>
    <cellStyle name="s_DCFLBO Code_1_0670.HK_Interim 4" xfId="14811"/>
    <cellStyle name="s_DCFLBO Code_1_0670.HK_Interim 5" xfId="14812"/>
    <cellStyle name="s_DCFLBO Code_1_0670.HK_Interim 6" xfId="14813"/>
    <cellStyle name="s_DCFLBO Code_1_0670.HK_Interim 7" xfId="14814"/>
    <cellStyle name="s_DCFLBO Code_1_0670.HK_Interim 8" xfId="14815"/>
    <cellStyle name="s_DCFLBO Code_1_0670.HK_Interim 9" xfId="14816"/>
    <cellStyle name="s_Design Yield" xfId="14817"/>
    <cellStyle name="s_Design Yield 10" xfId="14818"/>
    <cellStyle name="s_Design Yield 2" xfId="14819"/>
    <cellStyle name="s_Design Yield 2 2" xfId="14820"/>
    <cellStyle name="s_Design Yield 2 3" xfId="14821"/>
    <cellStyle name="s_Design Yield 2 4" xfId="14822"/>
    <cellStyle name="s_Design Yield 2 5" xfId="14823"/>
    <cellStyle name="s_Design Yield 2 6" xfId="14824"/>
    <cellStyle name="s_Design Yield 2 7" xfId="14825"/>
    <cellStyle name="s_Design Yield 2 8" xfId="14826"/>
    <cellStyle name="s_Design Yield 3" xfId="14827"/>
    <cellStyle name="s_Design Yield 3 2" xfId="14828"/>
    <cellStyle name="s_Design Yield 3 3" xfId="14829"/>
    <cellStyle name="s_Design Yield 3 4" xfId="14830"/>
    <cellStyle name="s_Design Yield 3 5" xfId="14831"/>
    <cellStyle name="s_Design Yield 3 6" xfId="14832"/>
    <cellStyle name="s_Design Yield 3 7" xfId="14833"/>
    <cellStyle name="s_Design Yield 3 8" xfId="14834"/>
    <cellStyle name="s_Design Yield 4" xfId="14835"/>
    <cellStyle name="s_Design Yield 5" xfId="14836"/>
    <cellStyle name="s_Design Yield 6" xfId="14837"/>
    <cellStyle name="s_Design Yield 7" xfId="14838"/>
    <cellStyle name="s_Design Yield 8" xfId="14839"/>
    <cellStyle name="s_Design Yield 9" xfId="14840"/>
    <cellStyle name="s_Design Yield_0670.HK" xfId="14841"/>
    <cellStyle name="s_Design Yield_0670.HK 10" xfId="14842"/>
    <cellStyle name="s_Design Yield_0670.HK 2" xfId="14843"/>
    <cellStyle name="s_Design Yield_0670.HK 2 2" xfId="14844"/>
    <cellStyle name="s_Design Yield_0670.HK 2 3" xfId="14845"/>
    <cellStyle name="s_Design Yield_0670.HK 2 4" xfId="14846"/>
    <cellStyle name="s_Design Yield_0670.HK 2 5" xfId="14847"/>
    <cellStyle name="s_Design Yield_0670.HK 2 6" xfId="14848"/>
    <cellStyle name="s_Design Yield_0670.HK 2 7" xfId="14849"/>
    <cellStyle name="s_Design Yield_0670.HK 2 8" xfId="14850"/>
    <cellStyle name="s_Design Yield_0670.HK 3" xfId="14851"/>
    <cellStyle name="s_Design Yield_0670.HK 3 2" xfId="14852"/>
    <cellStyle name="s_Design Yield_0670.HK 3 3" xfId="14853"/>
    <cellStyle name="s_Design Yield_0670.HK 3 4" xfId="14854"/>
    <cellStyle name="s_Design Yield_0670.HK 3 5" xfId="14855"/>
    <cellStyle name="s_Design Yield_0670.HK 3 6" xfId="14856"/>
    <cellStyle name="s_Design Yield_0670.HK 3 7" xfId="14857"/>
    <cellStyle name="s_Design Yield_0670.HK 3 8" xfId="14858"/>
    <cellStyle name="s_Design Yield_0670.HK 4" xfId="14859"/>
    <cellStyle name="s_Design Yield_0670.HK 5" xfId="14860"/>
    <cellStyle name="s_Design Yield_0670.HK 6" xfId="14861"/>
    <cellStyle name="s_Design Yield_0670.HK 7" xfId="14862"/>
    <cellStyle name="s_Design Yield_0670.HK 8" xfId="14863"/>
    <cellStyle name="s_Design Yield_0670.HK 9" xfId="14864"/>
    <cellStyle name="s_Design Yield_0670.HK_Balance" xfId="14865"/>
    <cellStyle name="s_Design Yield_0670.HK_Balance 10" xfId="14866"/>
    <cellStyle name="s_Design Yield_0670.HK_Balance 2" xfId="14867"/>
    <cellStyle name="s_Design Yield_0670.HK_Balance 2 2" xfId="14868"/>
    <cellStyle name="s_Design Yield_0670.HK_Balance 2 3" xfId="14869"/>
    <cellStyle name="s_Design Yield_0670.HK_Balance 2 4" xfId="14870"/>
    <cellStyle name="s_Design Yield_0670.HK_Balance 2 5" xfId="14871"/>
    <cellStyle name="s_Design Yield_0670.HK_Balance 2 6" xfId="14872"/>
    <cellStyle name="s_Design Yield_0670.HK_Balance 2 7" xfId="14873"/>
    <cellStyle name="s_Design Yield_0670.HK_Balance 2 8" xfId="14874"/>
    <cellStyle name="s_Design Yield_0670.HK_Balance 3" xfId="14875"/>
    <cellStyle name="s_Design Yield_0670.HK_Balance 3 2" xfId="14876"/>
    <cellStyle name="s_Design Yield_0670.HK_Balance 3 3" xfId="14877"/>
    <cellStyle name="s_Design Yield_0670.HK_Balance 3 4" xfId="14878"/>
    <cellStyle name="s_Design Yield_0670.HK_Balance 3 5" xfId="14879"/>
    <cellStyle name="s_Design Yield_0670.HK_Balance 3 6" xfId="14880"/>
    <cellStyle name="s_Design Yield_0670.HK_Balance 3 7" xfId="14881"/>
    <cellStyle name="s_Design Yield_0670.HK_Balance 3 8" xfId="14882"/>
    <cellStyle name="s_Design Yield_0670.HK_Balance 4" xfId="14883"/>
    <cellStyle name="s_Design Yield_0670.HK_Balance 5" xfId="14884"/>
    <cellStyle name="s_Design Yield_0670.HK_Balance 6" xfId="14885"/>
    <cellStyle name="s_Design Yield_0670.HK_Balance 7" xfId="14886"/>
    <cellStyle name="s_Design Yield_0670.HK_Balance 8" xfId="14887"/>
    <cellStyle name="s_Design Yield_0670.HK_Balance 9" xfId="14888"/>
    <cellStyle name="s_Design Yield_0670.HK_Cashflow" xfId="14889"/>
    <cellStyle name="s_Design Yield_0670.HK_Cashflow 10" xfId="14890"/>
    <cellStyle name="s_Design Yield_0670.HK_Cashflow 2" xfId="14891"/>
    <cellStyle name="s_Design Yield_0670.HK_Cashflow 2 2" xfId="14892"/>
    <cellStyle name="s_Design Yield_0670.HK_Cashflow 2 3" xfId="14893"/>
    <cellStyle name="s_Design Yield_0670.HK_Cashflow 2 4" xfId="14894"/>
    <cellStyle name="s_Design Yield_0670.HK_Cashflow 2 5" xfId="14895"/>
    <cellStyle name="s_Design Yield_0670.HK_Cashflow 2 6" xfId="14896"/>
    <cellStyle name="s_Design Yield_0670.HK_Cashflow 2 7" xfId="14897"/>
    <cellStyle name="s_Design Yield_0670.HK_Cashflow 2 8" xfId="14898"/>
    <cellStyle name="s_Design Yield_0670.HK_Cashflow 3" xfId="14899"/>
    <cellStyle name="s_Design Yield_0670.HK_Cashflow 3 2" xfId="14900"/>
    <cellStyle name="s_Design Yield_0670.HK_Cashflow 3 3" xfId="14901"/>
    <cellStyle name="s_Design Yield_0670.HK_Cashflow 3 4" xfId="14902"/>
    <cellStyle name="s_Design Yield_0670.HK_Cashflow 3 5" xfId="14903"/>
    <cellStyle name="s_Design Yield_0670.HK_Cashflow 3 6" xfId="14904"/>
    <cellStyle name="s_Design Yield_0670.HK_Cashflow 3 7" xfId="14905"/>
    <cellStyle name="s_Design Yield_0670.HK_Cashflow 3 8" xfId="14906"/>
    <cellStyle name="s_Design Yield_0670.HK_Cashflow 4" xfId="14907"/>
    <cellStyle name="s_Design Yield_0670.HK_Cashflow 5" xfId="14908"/>
    <cellStyle name="s_Design Yield_0670.HK_Cashflow 6" xfId="14909"/>
    <cellStyle name="s_Design Yield_0670.HK_Cashflow 7" xfId="14910"/>
    <cellStyle name="s_Design Yield_0670.HK_Cashflow 8" xfId="14911"/>
    <cellStyle name="s_Design Yield_0670.HK_Cashflow 9" xfId="14912"/>
    <cellStyle name="s_Design Yield_0670.HK_Interim" xfId="14913"/>
    <cellStyle name="s_Design Yield_0670.HK_Interim 10" xfId="14914"/>
    <cellStyle name="s_Design Yield_0670.HK_Interim 2" xfId="14915"/>
    <cellStyle name="s_Design Yield_0670.HK_Interim 2 2" xfId="14916"/>
    <cellStyle name="s_Design Yield_0670.HK_Interim 2 3" xfId="14917"/>
    <cellStyle name="s_Design Yield_0670.HK_Interim 2 4" xfId="14918"/>
    <cellStyle name="s_Design Yield_0670.HK_Interim 2 5" xfId="14919"/>
    <cellStyle name="s_Design Yield_0670.HK_Interim 2 6" xfId="14920"/>
    <cellStyle name="s_Design Yield_0670.HK_Interim 2 7" xfId="14921"/>
    <cellStyle name="s_Design Yield_0670.HK_Interim 2 8" xfId="14922"/>
    <cellStyle name="s_Design Yield_0670.HK_Interim 3" xfId="14923"/>
    <cellStyle name="s_Design Yield_0670.HK_Interim 3 2" xfId="14924"/>
    <cellStyle name="s_Design Yield_0670.HK_Interim 3 3" xfId="14925"/>
    <cellStyle name="s_Design Yield_0670.HK_Interim 3 4" xfId="14926"/>
    <cellStyle name="s_Design Yield_0670.HK_Interim 3 5" xfId="14927"/>
    <cellStyle name="s_Design Yield_0670.HK_Interim 3 6" xfId="14928"/>
    <cellStyle name="s_Design Yield_0670.HK_Interim 3 7" xfId="14929"/>
    <cellStyle name="s_Design Yield_0670.HK_Interim 3 8" xfId="14930"/>
    <cellStyle name="s_Design Yield_0670.HK_Interim 4" xfId="14931"/>
    <cellStyle name="s_Design Yield_0670.HK_Interim 5" xfId="14932"/>
    <cellStyle name="s_Design Yield_0670.HK_Interim 6" xfId="14933"/>
    <cellStyle name="s_Design Yield_0670.HK_Interim 7" xfId="14934"/>
    <cellStyle name="s_Design Yield_0670.HK_Interim 8" xfId="14935"/>
    <cellStyle name="s_Design Yield_0670.HK_Interim 9" xfId="14936"/>
    <cellStyle name="s_RRC" xfId="14937"/>
    <cellStyle name="s_RRC 10" xfId="14938"/>
    <cellStyle name="s_RRC 2" xfId="14939"/>
    <cellStyle name="s_RRC 2 2" xfId="14940"/>
    <cellStyle name="s_RRC 2 3" xfId="14941"/>
    <cellStyle name="s_RRC 2 4" xfId="14942"/>
    <cellStyle name="s_RRC 2 5" xfId="14943"/>
    <cellStyle name="s_RRC 2 6" xfId="14944"/>
    <cellStyle name="s_RRC 2 7" xfId="14945"/>
    <cellStyle name="s_RRC 2 8" xfId="14946"/>
    <cellStyle name="s_RRC 3" xfId="14947"/>
    <cellStyle name="s_RRC 3 2" xfId="14948"/>
    <cellStyle name="s_RRC 3 3" xfId="14949"/>
    <cellStyle name="s_RRC 3 4" xfId="14950"/>
    <cellStyle name="s_RRC 3 5" xfId="14951"/>
    <cellStyle name="s_RRC 3 6" xfId="14952"/>
    <cellStyle name="s_RRC 3 7" xfId="14953"/>
    <cellStyle name="s_RRC 3 8" xfId="14954"/>
    <cellStyle name="s_RRC 4" xfId="14955"/>
    <cellStyle name="s_RRC 5" xfId="14956"/>
    <cellStyle name="s_RRC 6" xfId="14957"/>
    <cellStyle name="s_RRC 7" xfId="14958"/>
    <cellStyle name="s_RRC 8" xfId="14959"/>
    <cellStyle name="s_RRC 9" xfId="14960"/>
    <cellStyle name="s_SPRC" xfId="14961"/>
    <cellStyle name="s_SPRC 10" xfId="14962"/>
    <cellStyle name="s_SPRC 2" xfId="14963"/>
    <cellStyle name="s_SPRC 2 2" xfId="14964"/>
    <cellStyle name="s_SPRC 2 3" xfId="14965"/>
    <cellStyle name="s_SPRC 2 4" xfId="14966"/>
    <cellStyle name="s_SPRC 2 5" xfId="14967"/>
    <cellStyle name="s_SPRC 2 6" xfId="14968"/>
    <cellStyle name="s_SPRC 2 7" xfId="14969"/>
    <cellStyle name="s_SPRC 2 8" xfId="14970"/>
    <cellStyle name="s_SPRC 3" xfId="14971"/>
    <cellStyle name="s_SPRC 3 2" xfId="14972"/>
    <cellStyle name="s_SPRC 3 3" xfId="14973"/>
    <cellStyle name="s_SPRC 3 4" xfId="14974"/>
    <cellStyle name="s_SPRC 3 5" xfId="14975"/>
    <cellStyle name="s_SPRC 3 6" xfId="14976"/>
    <cellStyle name="s_SPRC 3 7" xfId="14977"/>
    <cellStyle name="s_SPRC 3 8" xfId="14978"/>
    <cellStyle name="s_SPRC 4" xfId="14979"/>
    <cellStyle name="s_SPRC 5" xfId="14980"/>
    <cellStyle name="s_SPRC 6" xfId="14981"/>
    <cellStyle name="s_SPRC 7" xfId="14982"/>
    <cellStyle name="s_SPRC 8" xfId="14983"/>
    <cellStyle name="s_SPRC 9" xfId="14984"/>
    <cellStyle name="SAPBEXaggData" xfId="14985"/>
    <cellStyle name="SAPBEXaggDataEmph" xfId="14986"/>
    <cellStyle name="SAPBEXaggItem" xfId="14987"/>
    <cellStyle name="SAPBEXaggItemX" xfId="14988"/>
    <cellStyle name="SAPBEXchaText" xfId="14989"/>
    <cellStyle name="SAPBEXexcBad7" xfId="14990"/>
    <cellStyle name="SAPBEXexcBad8" xfId="14991"/>
    <cellStyle name="SAPBEXexcBad9" xfId="14992"/>
    <cellStyle name="SAPBEXexcCritical4" xfId="14993"/>
    <cellStyle name="SAPBEXexcCritical5" xfId="14994"/>
    <cellStyle name="SAPBEXexcCritical6" xfId="14995"/>
    <cellStyle name="SAPBEXexcGood1" xfId="14996"/>
    <cellStyle name="SAPBEXexcGood2" xfId="14997"/>
    <cellStyle name="SAPBEXexcGood3" xfId="14998"/>
    <cellStyle name="SAPBEXfilterDrill" xfId="14999"/>
    <cellStyle name="SAPBEXfilterItem" xfId="15000"/>
    <cellStyle name="SAPBEXfilterText" xfId="15001"/>
    <cellStyle name="SAPBEXformats" xfId="15002"/>
    <cellStyle name="SAPBEXheaderItem" xfId="15003"/>
    <cellStyle name="SAPBEXheaderText" xfId="15004"/>
    <cellStyle name="SAPBEXHLevel0" xfId="15005"/>
    <cellStyle name="SAPBEXHLevel0X" xfId="15006"/>
    <cellStyle name="SAPBEXHLevel1" xfId="15007"/>
    <cellStyle name="SAPBEXHLevel1X" xfId="15008"/>
    <cellStyle name="SAPBEXHLevel2" xfId="15009"/>
    <cellStyle name="SAPBEXHLevel2X" xfId="15010"/>
    <cellStyle name="SAPBEXHLevel3" xfId="15011"/>
    <cellStyle name="SAPBEXHLevel3X" xfId="15012"/>
    <cellStyle name="SAPBEXresData" xfId="15013"/>
    <cellStyle name="SAPBEXresDataEmph" xfId="15014"/>
    <cellStyle name="SAPBEXresItem" xfId="15015"/>
    <cellStyle name="SAPBEXresItemX" xfId="15016"/>
    <cellStyle name="SAPBEXstdData" xfId="15017"/>
    <cellStyle name="SAPBEXstdDataEmph" xfId="15018"/>
    <cellStyle name="SAPBEXstdItem" xfId="15019"/>
    <cellStyle name="SAPBEXstdItemX" xfId="15020"/>
    <cellStyle name="SAPBEXtitle" xfId="15021"/>
    <cellStyle name="SAPBEXundefined" xfId="15022"/>
    <cellStyle name="ScripFactor 2" xfId="15023"/>
    <cellStyle name="ScripFactor 3" xfId="15024"/>
    <cellStyle name="Section Number" xfId="15025"/>
    <cellStyle name="SectionHeading 2 2" xfId="15026"/>
    <cellStyle name="SectionHeading 2 2 2" xfId="15027"/>
    <cellStyle name="SectionHeading 2 2 2 2" xfId="15028"/>
    <cellStyle name="SectionHeading 2 2 3" xfId="15029"/>
    <cellStyle name="SectionHeading 3" xfId="15030"/>
    <cellStyle name="SectionHeading 3 2" xfId="15031"/>
    <cellStyle name="SectionHeading 3 2 2" xfId="15032"/>
    <cellStyle name="SectionHeading 3 3" xfId="15033"/>
    <cellStyle name="SectionHeading 4" xfId="15034"/>
    <cellStyle name="SectionHeading 4 2" xfId="15035"/>
    <cellStyle name="Shade 3" xfId="15036"/>
    <cellStyle name="Shade_Weekly airline price update" xfId="15037"/>
    <cellStyle name="Shaded 10" xfId="15038"/>
    <cellStyle name="Shaded 3" xfId="15039"/>
    <cellStyle name="Shaded 4" xfId="15040"/>
    <cellStyle name="Shaded 5" xfId="15041"/>
    <cellStyle name="Shaded 6" xfId="15042"/>
    <cellStyle name="Shaded 7" xfId="15043"/>
    <cellStyle name="Shaded 8" xfId="15044"/>
    <cellStyle name="Shaded 9" xfId="15045"/>
    <cellStyle name="SHADEDSTORES" xfId="15046"/>
    <cellStyle name="SHADEDSTORES 2" xfId="15047"/>
    <cellStyle name="Shading 10" xfId="15048"/>
    <cellStyle name="Shading 2" xfId="15049"/>
    <cellStyle name="shading 3" xfId="15050"/>
    <cellStyle name="shading 4" xfId="15051"/>
    <cellStyle name="Shading 5" xfId="15052"/>
    <cellStyle name="Shading 6" xfId="15053"/>
    <cellStyle name="Shading 7" xfId="15054"/>
    <cellStyle name="Shading 8" xfId="15055"/>
    <cellStyle name="Shading 9" xfId="15056"/>
    <cellStyle name="Sheet Title" xfId="15057"/>
    <cellStyle name="SingleLineAcctgn" xfId="15058"/>
    <cellStyle name="Source/note" xfId="15059"/>
    <cellStyle name="specstores" xfId="15060"/>
    <cellStyle name="Spreadsheet" xfId="15061"/>
    <cellStyle name="SSComma0" xfId="15062"/>
    <cellStyle name="SSComma2" xfId="15063"/>
    <cellStyle name="SSDecs3" xfId="15064"/>
    <cellStyle name="SSDflt" xfId="15065"/>
    <cellStyle name="SSDfltPct" xfId="15066"/>
    <cellStyle name="SSDfltPct0" xfId="15067"/>
    <cellStyle name="SSFixed2" xfId="15068"/>
    <cellStyle name="Standaard_500206" xfId="15069"/>
    <cellStyle name="Standard 2" xfId="15070"/>
    <cellStyle name="Standard 3" xfId="15071"/>
    <cellStyle name="STYL1 - Style1" xfId="15072"/>
    <cellStyle name="style" xfId="15073"/>
    <cellStyle name="Style 1 2" xfId="15074"/>
    <cellStyle name="Style 1 2 2" xfId="15075"/>
    <cellStyle name="Style 1_20130813  航空公司综合数据—国航7月数据" xfId="15076"/>
    <cellStyle name="style 2" xfId="15077"/>
    <cellStyle name="Style 27" xfId="15078"/>
    <cellStyle name="style 3" xfId="15079"/>
    <cellStyle name="style_big three data re" xfId="15080"/>
    <cellStyle name="style1" xfId="15081"/>
    <cellStyle name="style2" xfId="15082"/>
    <cellStyle name="Sub - Style3" xfId="15083"/>
    <cellStyle name="Subheadbldun" xfId="15084"/>
    <cellStyle name="SubHeading1" xfId="15085"/>
    <cellStyle name="SymbolBlue 2" xfId="15086"/>
    <cellStyle name="Synopsis 2" xfId="15087"/>
    <cellStyle name="Synopsis 2 2" xfId="15088"/>
    <cellStyle name="Synopsis 3" xfId="15089"/>
    <cellStyle name="t" xfId="15090"/>
    <cellStyle name="t%" xfId="15091"/>
    <cellStyle name="tab2.xls" xfId="15092"/>
    <cellStyle name="Table 2" xfId="15093"/>
    <cellStyle name="Table 2 2" xfId="15094"/>
    <cellStyle name="Table 3" xfId="15095"/>
    <cellStyle name="Table headers" xfId="15096"/>
    <cellStyle name="Table headers 2" xfId="15097"/>
    <cellStyle name="Table headers 2 2" xfId="15098"/>
    <cellStyle name="Table headers 2 2 2" xfId="15099"/>
    <cellStyle name="Table headers 2 2 3" xfId="15100"/>
    <cellStyle name="Table headers 3" xfId="15101"/>
    <cellStyle name="Table headers 3 2" xfId="15102"/>
    <cellStyle name="Table headers 3 2 2" xfId="15103"/>
    <cellStyle name="Table headers 3 2 2 2" xfId="15104"/>
    <cellStyle name="Table headers 3 2 2 3" xfId="15105"/>
    <cellStyle name="Table headers 3 2 3" xfId="15106"/>
    <cellStyle name="Table headers 3 2 3 2" xfId="15107"/>
    <cellStyle name="Table headers 3 2 3 3" xfId="15108"/>
    <cellStyle name="Table headers 3 2 4" xfId="15109"/>
    <cellStyle name="Table headers 3 2 5" xfId="15110"/>
    <cellStyle name="Table headers 3 3" xfId="15111"/>
    <cellStyle name="Table headers 3 3 2" xfId="15112"/>
    <cellStyle name="Table headers 3 3 3" xfId="15113"/>
    <cellStyle name="Table headers 4" xfId="15114"/>
    <cellStyle name="Table headers 4 2" xfId="15115"/>
    <cellStyle name="Table headers 4 3" xfId="15116"/>
    <cellStyle name="Table Sub Heading" xfId="15117"/>
    <cellStyle name="Table text" xfId="15118"/>
    <cellStyle name="Table Title 2" xfId="15119"/>
    <cellStyle name="Table_Chinese airline database latest updated" xfId="15120"/>
    <cellStyle name="test a style" xfId="15121"/>
    <cellStyle name="test a style 2" xfId="15122"/>
    <cellStyle name="test a style 2 2" xfId="15123"/>
    <cellStyle name="test a style 2 2 2" xfId="15124"/>
    <cellStyle name="test a style 2 2 3" xfId="15125"/>
    <cellStyle name="test a style 3" xfId="15126"/>
    <cellStyle name="test a style 3 2" xfId="15127"/>
    <cellStyle name="test a style 3 2 2" xfId="15128"/>
    <cellStyle name="test a style 3 2 2 2" xfId="15129"/>
    <cellStyle name="test a style 3 2 2 3" xfId="15130"/>
    <cellStyle name="test a style 3 2 3" xfId="15131"/>
    <cellStyle name="test a style 3 2 3 2" xfId="15132"/>
    <cellStyle name="test a style 3 2 3 3" xfId="15133"/>
    <cellStyle name="test a style 3 2 4" xfId="15134"/>
    <cellStyle name="test a style 3 2 5" xfId="15135"/>
    <cellStyle name="test a style 3 3" xfId="15136"/>
    <cellStyle name="test a style 3 3 2" xfId="15137"/>
    <cellStyle name="test a style 3 3 3" xfId="15138"/>
    <cellStyle name="test a style 4" xfId="15139"/>
    <cellStyle name="test a style 4 2" xfId="15140"/>
    <cellStyle name="test a style 4 3" xfId="15141"/>
    <cellStyle name="Times 12" xfId="15142"/>
    <cellStyle name="titel" xfId="15143"/>
    <cellStyle name="Title - PROJECT" xfId="15144"/>
    <cellStyle name="Title - Underline" xfId="15145"/>
    <cellStyle name="Title 10" xfId="15146"/>
    <cellStyle name="Title 11" xfId="15147"/>
    <cellStyle name="Title 12" xfId="15148"/>
    <cellStyle name="Title 13" xfId="15149"/>
    <cellStyle name="Title 14" xfId="15150"/>
    <cellStyle name="Title 15" xfId="15151"/>
    <cellStyle name="Title 16" xfId="15152"/>
    <cellStyle name="Title 17" xfId="15153"/>
    <cellStyle name="Title 18" xfId="15154"/>
    <cellStyle name="Title 19" xfId="15155"/>
    <cellStyle name="Title 2" xfId="15156"/>
    <cellStyle name="Title 20" xfId="15157"/>
    <cellStyle name="Title 21" xfId="15158"/>
    <cellStyle name="Title 22" xfId="15159"/>
    <cellStyle name="Title 23" xfId="15160"/>
    <cellStyle name="Title 24" xfId="15161"/>
    <cellStyle name="Title 25" xfId="15162"/>
    <cellStyle name="Title 26" xfId="15163"/>
    <cellStyle name="Title 27" xfId="15164"/>
    <cellStyle name="Title 28" xfId="15165"/>
    <cellStyle name="Title 29" xfId="15166"/>
    <cellStyle name="Title 3" xfId="15167"/>
    <cellStyle name="Title 30" xfId="15168"/>
    <cellStyle name="Title 31" xfId="15169"/>
    <cellStyle name="Title 32" xfId="15170"/>
    <cellStyle name="Title 33" xfId="15171"/>
    <cellStyle name="Title 4" xfId="15172"/>
    <cellStyle name="Title 5" xfId="15173"/>
    <cellStyle name="Title 6" xfId="15174"/>
    <cellStyle name="Title 7" xfId="15175"/>
    <cellStyle name="Title 8" xfId="15176"/>
    <cellStyle name="Title 9" xfId="15177"/>
    <cellStyle name="title1" xfId="15178"/>
    <cellStyle name="Titles - Col. Headings" xfId="15179"/>
    <cellStyle name="Titles - Other" xfId="15180"/>
    <cellStyle name="Titles 2" xfId="15181"/>
    <cellStyle name="Titles 3" xfId="15182"/>
    <cellStyle name="Titles_ACS" xfId="15183"/>
    <cellStyle name="TITULO" xfId="15184"/>
    <cellStyle name="Título" xfId="15185"/>
    <cellStyle name="TNRoman10" xfId="15186"/>
    <cellStyle name="TNRoman10U" xfId="15187"/>
    <cellStyle name="TNRoman11" xfId="15188"/>
    <cellStyle name="TNRoman11U" xfId="15189"/>
    <cellStyle name="TNRoman12" xfId="15190"/>
    <cellStyle name="TNRoman14" xfId="15191"/>
    <cellStyle name="TNRoman16" xfId="15192"/>
    <cellStyle name="Top Row 2" xfId="15193"/>
    <cellStyle name="Topline" xfId="15194"/>
    <cellStyle name="Topline 2" xfId="15195"/>
    <cellStyle name="Topline 2 2" xfId="15196"/>
    <cellStyle name="Topline 2 2 2" xfId="15197"/>
    <cellStyle name="Topline 3" xfId="15198"/>
    <cellStyle name="Topline 3 2" xfId="15199"/>
    <cellStyle name="Total 2" xfId="15200"/>
    <cellStyle name="Total 3" xfId="15201"/>
    <cellStyle name="Total 4" xfId="15202"/>
    <cellStyle name="Total 5" xfId="15203"/>
    <cellStyle name="Total 6" xfId="15204"/>
    <cellStyle name="Total 6 2" xfId="15205"/>
    <cellStyle name="Total 6 2 2" xfId="15206"/>
    <cellStyle name="Total 6 2 2 2" xfId="15207"/>
    <cellStyle name="Total 6 2 2 2 2" xfId="15208"/>
    <cellStyle name="Total 6 2 2 3" xfId="15209"/>
    <cellStyle name="Total 6 2 3" xfId="15210"/>
    <cellStyle name="Total 6 3" xfId="15211"/>
    <cellStyle name="Total 7" xfId="15212"/>
    <cellStyle name="Total 7 2" xfId="15213"/>
    <cellStyle name="Total 7 2 2" xfId="15214"/>
    <cellStyle name="Total 7 2 2 2" xfId="15215"/>
    <cellStyle name="Total 7 2 2 2 2" xfId="15216"/>
    <cellStyle name="Total 7 2 2 3" xfId="15217"/>
    <cellStyle name="Total 7 2 3" xfId="15218"/>
    <cellStyle name="Total 7 3" xfId="15219"/>
    <cellStyle name="Total 8" xfId="15220"/>
    <cellStyle name="Total 8 2" xfId="15221"/>
    <cellStyle name="Total 9" xfId="15222"/>
    <cellStyle name="ts" xfId="15223"/>
    <cellStyle name="u" xfId="15224"/>
    <cellStyle name="u 2" xfId="15225"/>
    <cellStyle name="u 2 10" xfId="15226"/>
    <cellStyle name="u 2 2" xfId="15227"/>
    <cellStyle name="u 2 2 2" xfId="15228"/>
    <cellStyle name="u 2 2 3" xfId="15229"/>
    <cellStyle name="u 2 2 4" xfId="15230"/>
    <cellStyle name="u 2 2 5" xfId="15231"/>
    <cellStyle name="u 2 2 6" xfId="15232"/>
    <cellStyle name="u 2 2 7" xfId="15233"/>
    <cellStyle name="u 2 2 8" xfId="15234"/>
    <cellStyle name="u 2 3" xfId="15235"/>
    <cellStyle name="u 2 3 2" xfId="15236"/>
    <cellStyle name="u 2 3 3" xfId="15237"/>
    <cellStyle name="u 2 3 4" xfId="15238"/>
    <cellStyle name="u 2 3 5" xfId="15239"/>
    <cellStyle name="u 2 3 6" xfId="15240"/>
    <cellStyle name="u 2 3 7" xfId="15241"/>
    <cellStyle name="u 2 3 8" xfId="15242"/>
    <cellStyle name="u 2 4" xfId="15243"/>
    <cellStyle name="u 2 5" xfId="15244"/>
    <cellStyle name="u 2 6" xfId="15245"/>
    <cellStyle name="u 2 7" xfId="15246"/>
    <cellStyle name="u 2 8" xfId="15247"/>
    <cellStyle name="u 2 9" xfId="15248"/>
    <cellStyle name="u_Matrix" xfId="15249"/>
    <cellStyle name="u_Matrix 2" xfId="15250"/>
    <cellStyle name="u_Matrix 2 10" xfId="15251"/>
    <cellStyle name="u_Matrix 2 2" xfId="15252"/>
    <cellStyle name="u_Matrix 2 2 2" xfId="15253"/>
    <cellStyle name="u_Matrix 2 2 3" xfId="15254"/>
    <cellStyle name="u_Matrix 2 2 4" xfId="15255"/>
    <cellStyle name="u_Matrix 2 2 5" xfId="15256"/>
    <cellStyle name="u_Matrix 2 2 6" xfId="15257"/>
    <cellStyle name="u_Matrix 2 2 7" xfId="15258"/>
    <cellStyle name="u_Matrix 2 2 8" xfId="15259"/>
    <cellStyle name="u_Matrix 2 3" xfId="15260"/>
    <cellStyle name="u_Matrix 2 3 2" xfId="15261"/>
    <cellStyle name="u_Matrix 2 3 3" xfId="15262"/>
    <cellStyle name="u_Matrix 2 3 4" xfId="15263"/>
    <cellStyle name="u_Matrix 2 3 5" xfId="15264"/>
    <cellStyle name="u_Matrix 2 3 6" xfId="15265"/>
    <cellStyle name="u_Matrix 2 3 7" xfId="15266"/>
    <cellStyle name="u_Matrix 2 3 8" xfId="15267"/>
    <cellStyle name="u_Matrix 2 4" xfId="15268"/>
    <cellStyle name="u_Matrix 2 5" xfId="15269"/>
    <cellStyle name="u_Matrix 2 6" xfId="15270"/>
    <cellStyle name="u_Matrix 2 7" xfId="15271"/>
    <cellStyle name="u_Matrix 2 8" xfId="15272"/>
    <cellStyle name="u_Matrix 2 9" xfId="15273"/>
    <cellStyle name="u_Module1 (2)" xfId="15274"/>
    <cellStyle name="u_Module1 (2) 2" xfId="15275"/>
    <cellStyle name="u_Module1 (2) 2 10" xfId="15276"/>
    <cellStyle name="u_Module1 (2) 2 2" xfId="15277"/>
    <cellStyle name="u_Module1 (2) 2 2 2" xfId="15278"/>
    <cellStyle name="u_Module1 (2) 2 2 3" xfId="15279"/>
    <cellStyle name="u_Module1 (2) 2 2 4" xfId="15280"/>
    <cellStyle name="u_Module1 (2) 2 2 5" xfId="15281"/>
    <cellStyle name="u_Module1 (2) 2 2 6" xfId="15282"/>
    <cellStyle name="u_Module1 (2) 2 2 7" xfId="15283"/>
    <cellStyle name="u_Module1 (2) 2 2 8" xfId="15284"/>
    <cellStyle name="u_Module1 (2) 2 3" xfId="15285"/>
    <cellStyle name="u_Module1 (2) 2 3 2" xfId="15286"/>
    <cellStyle name="u_Module1 (2) 2 3 3" xfId="15287"/>
    <cellStyle name="u_Module1 (2) 2 3 4" xfId="15288"/>
    <cellStyle name="u_Module1 (2) 2 3 5" xfId="15289"/>
    <cellStyle name="u_Module1 (2) 2 3 6" xfId="15290"/>
    <cellStyle name="u_Module1 (2) 2 3 7" xfId="15291"/>
    <cellStyle name="u_Module1 (2) 2 3 8" xfId="15292"/>
    <cellStyle name="u_Module1 (2) 2 4" xfId="15293"/>
    <cellStyle name="u_Module1 (2) 2 5" xfId="15294"/>
    <cellStyle name="u_Module1 (2) 2 6" xfId="15295"/>
    <cellStyle name="u_Module1 (2) 2 7" xfId="15296"/>
    <cellStyle name="u_Module1 (2) 2 8" xfId="15297"/>
    <cellStyle name="u_Module1 (2) 2 9" xfId="15298"/>
    <cellStyle name="u2" xfId="15299"/>
    <cellStyle name="underline 2 2" xfId="15300"/>
    <cellStyle name="underline 3" xfId="15301"/>
    <cellStyle name="underline_110627 Cemodel Wip" xfId="15302"/>
    <cellStyle name="Upload Only" xfId="15303"/>
    <cellStyle name="US$" xfId="15304"/>
    <cellStyle name="US$ [0]" xfId="15305"/>
    <cellStyle name="US$ [2]" xfId="15306"/>
    <cellStyle name="US$m" xfId="15307"/>
    <cellStyle name="vaca 2" xfId="15308"/>
    <cellStyle name="W?hrung [0]_BS Variances Analysis FY20001" xfId="15309"/>
    <cellStyle name="W?hrung_BS Variances Analysis FY20001" xfId="15310"/>
    <cellStyle name="Währung [0]_Algeciras - La Linea" xfId="15311"/>
    <cellStyle name="Warning Text 2" xfId="15312"/>
    <cellStyle name="Warning Text 3" xfId="15313"/>
    <cellStyle name="Warning Text 4" xfId="15314"/>
    <cellStyle name="Warning Text 5" xfId="15315"/>
    <cellStyle name="Warning Text 6" xfId="15316"/>
    <cellStyle name="WHead - Style2 2" xfId="15317"/>
    <cellStyle name="White/unprot" xfId="15318"/>
    <cellStyle name="WingdingsBlack 2" xfId="15319"/>
    <cellStyle name="WingdingsRed 2" xfId="15320"/>
    <cellStyle name="WingdingsWhite 2" xfId="15321"/>
    <cellStyle name="wrap" xfId="15322"/>
    <cellStyle name="Year 2" xfId="15323"/>
    <cellStyle name="Year Estimate" xfId="15324"/>
    <cellStyle name="YearInput" xfId="15325"/>
    <cellStyle name="YearInputBk" xfId="15326"/>
    <cellStyle name="YearInputBk 2" xfId="15327"/>
    <cellStyle name="YearInputBk 2 2" xfId="15328"/>
    <cellStyle name="YearInputBk 2 2 2" xfId="15329"/>
    <cellStyle name="YearInputBk 3" xfId="15330"/>
    <cellStyle name="YearInputBk 3 2" xfId="15331"/>
    <cellStyle name="YearInputBu" xfId="15332"/>
    <cellStyle name="YearInputBu 2" xfId="15333"/>
    <cellStyle name="YearInputBu 2 2" xfId="15334"/>
    <cellStyle name="YearInputBu 2 2 2" xfId="15335"/>
    <cellStyle name="YearInputBu 3" xfId="15336"/>
    <cellStyle name="YearInputBu 3 2" xfId="15337"/>
    <cellStyle name="Years" xfId="15338"/>
    <cellStyle name="Yellow 2" xfId="15339"/>
    <cellStyle name="ｹ鮗ﾐﾀｲ_ｰ豼ｵﾁ･" xfId="15340"/>
    <cellStyle name="センター" xfId="15341"/>
    <cellStyle name="ﾄﾞｸｶ [0]_ｰ霾ｹ" xfId="15342"/>
    <cellStyle name="ﾄﾞｸｶ_ｰ霾ｹ" xfId="15343"/>
    <cellStyle name="ﾅ・ｭ [0]_ｰ霾ｹ" xfId="15344"/>
    <cellStyle name="ﾅ・ｭ_ｰ霾ｹ" xfId="15345"/>
    <cellStyle name="ﾇ･ﾁﾘ_ｰ霾ｹ" xfId="15346"/>
    <cellStyle name="ハイパーリンク" xfId="15347"/>
    <cellStyle name="ルックイン" xfId="15348"/>
    <cellStyle name="_11011" xfId="15349"/>
    <cellStyle name="瘉EMMC-CP1" xfId="15350"/>
    <cellStyle name="_laroux" xfId="15351"/>
    <cellStyle name="だ[0]_BS9701-3" xfId="15352"/>
    <cellStyle name="だ_BS9701-3" xfId="15353"/>
    <cellStyle name="だ_laroux" xfId="15354"/>
    <cellStyle name="백분율_95" xfId="15355"/>
    <cellStyle name="쉼표_2007年终审计资料韩国办事处" xfId="15356"/>
    <cellStyle name="콤마,_x0005__x0014_ 2" xfId="15357"/>
    <cellStyle name="一般_00" xfId="15358"/>
    <cellStyle name="中等" xfId="15359"/>
    <cellStyle name="借出原因" xfId="15360"/>
    <cellStyle name="借出原因 2" xfId="15361"/>
    <cellStyle name="借出原因 3" xfId="15362"/>
    <cellStyle name="備註" xfId="15363"/>
    <cellStyle name="僴僀僷乕儕儞僋" xfId="15364"/>
    <cellStyle name="分级显示行_1_4附件二凯旋评估表" xfId="15365"/>
    <cellStyle name="千位[0]_9809 (2)" xfId="15366"/>
    <cellStyle name="千位_9809 (2)" xfId="15367"/>
    <cellStyle name="千位分隔 2" xfId="15368"/>
    <cellStyle name="千位分隔 2 2" xfId="15369"/>
    <cellStyle name="千位分隔 2 3" xfId="15370"/>
    <cellStyle name="千位分隔 2_Weekly Dry Bulk Updates_20120604" xfId="15371"/>
    <cellStyle name="千位分隔 3" xfId="15372"/>
    <cellStyle name="千位分隔 3 2" xfId="15373"/>
    <cellStyle name="千位分隔 3 3" xfId="15374"/>
    <cellStyle name="千位分隔 4" xfId="15375"/>
    <cellStyle name="千位分隔 5" xfId="15376"/>
    <cellStyle name="千位分隔 6" xfId="15377"/>
    <cellStyle name="千位分隔[0] 2" xfId="15378"/>
    <cellStyle name="千位分隔[0]_11072" xfId="15379"/>
    <cellStyle name="千位分隔_11072" xfId="15380"/>
    <cellStyle name="千分位[0]_ 白土" xfId="15381"/>
    <cellStyle name="千分位_ 白土" xfId="15382"/>
    <cellStyle name="合計" xfId="15383"/>
    <cellStyle name="商品名称" xfId="15384"/>
    <cellStyle name="壞" xfId="15385"/>
    <cellStyle name="壞_Chinese airline quarterly result analysis" xfId="15386"/>
    <cellStyle name="壞_H112" xfId="15387"/>
    <cellStyle name="壞_Sheet1" xfId="15388"/>
    <cellStyle name="好 2" xfId="15389"/>
    <cellStyle name="好 3" xfId="15390"/>
    <cellStyle name="好 4" xfId="15391"/>
    <cellStyle name="好 5" xfId="15392"/>
    <cellStyle name="好 6" xfId="15393"/>
    <cellStyle name="好 7" xfId="15394"/>
    <cellStyle name="好_20061231提供函（1）" xfId="15395"/>
    <cellStyle name="好_20061231提供函（1）_big three data re" xfId="15396"/>
    <cellStyle name="好_20130813  航空公司综合数据—国航7月数据" xfId="15397"/>
    <cellStyle name="好_7.6. Monthly updates" xfId="15398"/>
    <cellStyle name="好_7.6. Monthly updates_Chinese airline database latest updated" xfId="15399"/>
    <cellStyle name="好_7.6. Monthly updates_Market share" xfId="15400"/>
    <cellStyle name="好_7.6. Monthly updates_Operating metrics" xfId="15401"/>
    <cellStyle name="好_air china" xfId="15402"/>
    <cellStyle name="好_air china_Market share" xfId="15403"/>
    <cellStyle name="好_air china_Operating metrics" xfId="15404"/>
    <cellStyle name="好_BNP shipping database - 14 Nov 11" xfId="15405"/>
    <cellStyle name="好_BNP shipping database - 7 Nov 11" xfId="15406"/>
    <cellStyle name="好_China Eastern" xfId="15407"/>
    <cellStyle name="好_Chinese airline database latest updated" xfId="15408"/>
    <cellStyle name="好_Chinese airline quarterly result analysis" xfId="15409"/>
    <cellStyle name="好_Coal_WIP" xfId="15410"/>
    <cellStyle name="好_EVA model" xfId="15411"/>
    <cellStyle name="好_EVA model_Chinese airline database latest updated" xfId="15412"/>
    <cellStyle name="好_EVA model_Market share" xfId="15413"/>
    <cellStyle name="好_EVA model_Operating metrics" xfId="15414"/>
    <cellStyle name="好_H112" xfId="15415"/>
    <cellStyle name="好_H112_1" xfId="15416"/>
    <cellStyle name="好_H112_H112" xfId="15417"/>
    <cellStyle name="好_H112_Sheet1" xfId="15418"/>
    <cellStyle name="好_Lina-Update" xfId="15419"/>
    <cellStyle name="好_Loan &amp; Interest Movement 0714" xfId="15420"/>
    <cellStyle name="好_Loan &amp; Interest Movement 0714_big three data re" xfId="15421"/>
    <cellStyle name="好_Loan confirmation control sheet" xfId="15422"/>
    <cellStyle name="好_Loan confirmation control sheet_big three data re" xfId="15423"/>
    <cellStyle name="好_Market share" xfId="15424"/>
    <cellStyle name="好_New ports weekly_WIP" xfId="15425"/>
    <cellStyle name="好_Operating metrics" xfId="15426"/>
    <cellStyle name="好_PL" xfId="15427"/>
    <cellStyle name="好_Prints" xfId="15428"/>
    <cellStyle name="好_Sheet1" xfId="15429"/>
    <cellStyle name="好_Weekly airline price update" xfId="15430"/>
    <cellStyle name="好_Weekly airline price update_Operating metrics" xfId="15431"/>
    <cellStyle name="好_Weekly Dry Bulk Updates_20120207" xfId="15432"/>
    <cellStyle name="好_Weekly Dry Bulk Updates_20120604" xfId="15433"/>
    <cellStyle name="好_东航" xfId="15434"/>
    <cellStyle name="好_东航_20130813  航空公司综合数据—国航7月数据" xfId="15435"/>
    <cellStyle name="好_东航_Market share" xfId="15436"/>
    <cellStyle name="好_东航_Operating metrics" xfId="15437"/>
    <cellStyle name="好_子公司借款" xfId="15438"/>
    <cellStyle name="好_子公司借款_big three data re" xfId="15439"/>
    <cellStyle name="好_票价指数" xfId="15440"/>
    <cellStyle name="好_票价指数_20130813  航空公司综合数据—国航7月数据" xfId="15441"/>
    <cellStyle name="好_票价指数_Market share" xfId="15442"/>
    <cellStyle name="好_票价指数_Operating metrics" xfId="15443"/>
    <cellStyle name="好_票价指数20100713" xfId="15444"/>
    <cellStyle name="好_票价指数20100713_20130813  航空公司综合数据—国航7月数据" xfId="15445"/>
    <cellStyle name="好_票价指数20100713_Market share" xfId="15446"/>
    <cellStyle name="好_票价指数20100713_Operating metrics" xfId="15447"/>
    <cellStyle name="好_票据WP" xfId="15448"/>
    <cellStyle name="好_票据WP_big three data re" xfId="15449"/>
    <cellStyle name="好_航空公司月度数据表" xfId="15450"/>
    <cellStyle name="好_航空公司月度数据表_20130813  航空公司综合数据—国航7月数据" xfId="15451"/>
    <cellStyle name="好_航空公司月度数据表_Market share" xfId="15452"/>
    <cellStyle name="好_航空公司月度数据表_Operating metrics" xfId="15453"/>
    <cellStyle name="好_融资租赁租金表" xfId="15454"/>
    <cellStyle name="好_融资租赁租金表_big three data re" xfId="15455"/>
    <cellStyle name="寘嬫愗傝 [0.00]_PRODUCT DETAIL Q1" xfId="15456"/>
    <cellStyle name="寘嬫愗傝_PRODUCT DETAIL Q1" xfId="15457"/>
    <cellStyle name="差 2" xfId="15458"/>
    <cellStyle name="差 3" xfId="15459"/>
    <cellStyle name="差 4" xfId="15460"/>
    <cellStyle name="差 5" xfId="15461"/>
    <cellStyle name="差 6" xfId="15462"/>
    <cellStyle name="差 7" xfId="15463"/>
    <cellStyle name="差_20061231提供函（1）" xfId="15464"/>
    <cellStyle name="差_20061231提供函（1）_big three data re" xfId="15465"/>
    <cellStyle name="差_20130813  航空公司综合数据—国航7月数据" xfId="15466"/>
    <cellStyle name="差_7.6. Monthly updates" xfId="15467"/>
    <cellStyle name="差_7.6. Monthly updates_Chinese airline database latest updated" xfId="15468"/>
    <cellStyle name="差_7.6. Monthly updates_Market share" xfId="15469"/>
    <cellStyle name="差_7.6. Monthly updates_Operating metrics" xfId="15470"/>
    <cellStyle name="差_air china" xfId="15471"/>
    <cellStyle name="差_air china_Market share" xfId="15472"/>
    <cellStyle name="差_air china_Operating metrics" xfId="15473"/>
    <cellStyle name="差_BNP shipping database - 14 Nov 11" xfId="15474"/>
    <cellStyle name="差_BNP shipping database - 7 Nov 11" xfId="15475"/>
    <cellStyle name="差_China Eastern" xfId="15476"/>
    <cellStyle name="差_Chinese airline database latest updated" xfId="15477"/>
    <cellStyle name="差_Coal_WIP" xfId="15478"/>
    <cellStyle name="差_EVA model" xfId="15479"/>
    <cellStyle name="差_EVA model_Chinese airline database latest updated" xfId="15480"/>
    <cellStyle name="差_EVA model_Market share" xfId="15481"/>
    <cellStyle name="差_EVA model_Operating metrics" xfId="15482"/>
    <cellStyle name="差_H112" xfId="15483"/>
    <cellStyle name="差_Lina-Update" xfId="15484"/>
    <cellStyle name="差_Loan &amp; Interest Movement 0714" xfId="15485"/>
    <cellStyle name="差_Loan &amp; Interest Movement 0714_big three data re" xfId="15486"/>
    <cellStyle name="差_Loan confirmation control sheet" xfId="15487"/>
    <cellStyle name="差_Loan confirmation control sheet_big three data re" xfId="15488"/>
    <cellStyle name="差_Market share" xfId="15489"/>
    <cellStyle name="差_New ports weekly_WIP" xfId="15490"/>
    <cellStyle name="差_Operating metrics" xfId="15491"/>
    <cellStyle name="差_PL" xfId="15492"/>
    <cellStyle name="差_Prints" xfId="15493"/>
    <cellStyle name="差_Sheet1" xfId="15494"/>
    <cellStyle name="差_Weekly airline price update" xfId="15495"/>
    <cellStyle name="差_Weekly airline price update_Operating metrics" xfId="15496"/>
    <cellStyle name="差_Weekly Dry Bulk Updates_20120207" xfId="15497"/>
    <cellStyle name="差_Weekly Dry Bulk Updates_20120604" xfId="15498"/>
    <cellStyle name="差_东航" xfId="15499"/>
    <cellStyle name="差_东航_20130813  航空公司综合数据—国航7月数据" xfId="15500"/>
    <cellStyle name="差_东航_Market share" xfId="15501"/>
    <cellStyle name="差_东航_Operating metrics" xfId="15502"/>
    <cellStyle name="差_子公司借款" xfId="15503"/>
    <cellStyle name="差_子公司借款_big three data re" xfId="15504"/>
    <cellStyle name="差_票价指数" xfId="15505"/>
    <cellStyle name="差_票价指数_20130813  航空公司综合数据—国航7月数据" xfId="15506"/>
    <cellStyle name="差_票价指数_Market share" xfId="15507"/>
    <cellStyle name="差_票价指数_Operating metrics" xfId="15508"/>
    <cellStyle name="差_票价指数20100713" xfId="15509"/>
    <cellStyle name="差_票价指数20100713_20130813  航空公司综合数据—国航7月数据" xfId="15510"/>
    <cellStyle name="差_票价指数20100713_Market share" xfId="15511"/>
    <cellStyle name="差_票价指数20100713_Operating metrics" xfId="15512"/>
    <cellStyle name="差_票据WP" xfId="15513"/>
    <cellStyle name="差_票据WP_big three data re" xfId="15514"/>
    <cellStyle name="差_航空公司月度数据表" xfId="15515"/>
    <cellStyle name="差_航空公司月度数据表_20130813  航空公司综合数据—国航7月数据" xfId="15516"/>
    <cellStyle name="差_航空公司月度数据表_Market share" xfId="15517"/>
    <cellStyle name="差_航空公司月度数据表_Operating metrics" xfId="15518"/>
    <cellStyle name="差_融资租赁租金表" xfId="15519"/>
    <cellStyle name="差_融资租赁租金表_big three data re" xfId="15520"/>
    <cellStyle name="已瀏覽過的超連結" xfId="15521"/>
    <cellStyle name="常规 10" xfId="15522"/>
    <cellStyle name="常规 11" xfId="15523"/>
    <cellStyle name="常规 12" xfId="15524"/>
    <cellStyle name="常规 13" xfId="15525"/>
    <cellStyle name="常规 13 2" xfId="15526"/>
    <cellStyle name="常规 14" xfId="15527"/>
    <cellStyle name="常规 15" xfId="15528"/>
    <cellStyle name="常规 16" xfId="15529"/>
    <cellStyle name="常规 17" xfId="15530"/>
    <cellStyle name="常规 18" xfId="15531"/>
    <cellStyle name="常规 19" xfId="15532"/>
    <cellStyle name="常规 2" xfId="15533"/>
    <cellStyle name="常规 2 10" xfId="15534"/>
    <cellStyle name="常规 2 2" xfId="15535"/>
    <cellStyle name="常规 2 2 2" xfId="15536"/>
    <cellStyle name="常规 2 2 3" xfId="15537"/>
    <cellStyle name="常规 2 2_big three data re" xfId="15538"/>
    <cellStyle name="常规 2 3" xfId="15539"/>
    <cellStyle name="常规 2 3 2" xfId="15540"/>
    <cellStyle name="常规 2 3 3" xfId="15541"/>
    <cellStyle name="常规 2 3_big three data re" xfId="15542"/>
    <cellStyle name="常规 2 4" xfId="15543"/>
    <cellStyle name="常规 2 5" xfId="15544"/>
    <cellStyle name="常规 2 6" xfId="15545"/>
    <cellStyle name="常规 2 7" xfId="15546"/>
    <cellStyle name="常规 2 8" xfId="15547"/>
    <cellStyle name="常规 2 9" xfId="15548"/>
    <cellStyle name="常规 2_20130813  航空公司综合数据—国航7月数据" xfId="15549"/>
    <cellStyle name="常规 20" xfId="15550"/>
    <cellStyle name="常规 21" xfId="15551"/>
    <cellStyle name="常规 22" xfId="15552"/>
    <cellStyle name="常规 23" xfId="15553"/>
    <cellStyle name="常规 24" xfId="15554"/>
    <cellStyle name="常规 25" xfId="15555"/>
    <cellStyle name="常规 26" xfId="15556"/>
    <cellStyle name="常规 27" xfId="15557"/>
    <cellStyle name="常规 28" xfId="15558"/>
    <cellStyle name="常规 29" xfId="15559"/>
    <cellStyle name="常规 3" xfId="15560"/>
    <cellStyle name="常规 3 2" xfId="15561"/>
    <cellStyle name="常规 3 3" xfId="15562"/>
    <cellStyle name="常规 3 4" xfId="15563"/>
    <cellStyle name="常规 3 5" xfId="15564"/>
    <cellStyle name="常规 3_20130813  航空公司综合数据—国航7月数据" xfId="15565"/>
    <cellStyle name="常规 30" xfId="15566"/>
    <cellStyle name="常规 31" xfId="15567"/>
    <cellStyle name="常规 31 2" xfId="15568"/>
    <cellStyle name="常规 31 3" xfId="15569"/>
    <cellStyle name="常规 31_20130315  航空公司综合数据-添加国航2月数据" xfId="15570"/>
    <cellStyle name="常规 32" xfId="15571"/>
    <cellStyle name="常规 32 2" xfId="15572"/>
    <cellStyle name="常规 32 3" xfId="15573"/>
    <cellStyle name="常规 32_20130315  航空公司综合数据-添加国航2月数据" xfId="15574"/>
    <cellStyle name="常规 33" xfId="15575"/>
    <cellStyle name="常规 34" xfId="15576"/>
    <cellStyle name="常规 4" xfId="15577"/>
    <cellStyle name="常规 4 2" xfId="15578"/>
    <cellStyle name="常规 4 3" xfId="15579"/>
    <cellStyle name="常规 4 4" xfId="15580"/>
    <cellStyle name="常规 4_20130813  航空公司综合数据—国航7月数据" xfId="15581"/>
    <cellStyle name="常规 5" xfId="15582"/>
    <cellStyle name="常规 5 2" xfId="15583"/>
    <cellStyle name="常规 5 2 2" xfId="15584"/>
    <cellStyle name="常规 5 2_big three data re" xfId="15585"/>
    <cellStyle name="常规 5 3" xfId="15586"/>
    <cellStyle name="常规 5_20130813  航空公司综合数据—国航7月数据" xfId="15587"/>
    <cellStyle name="常规 6" xfId="15588"/>
    <cellStyle name="常规 6 2" xfId="15589"/>
    <cellStyle name="常规 6 3" xfId="15590"/>
    <cellStyle name="常规 6_20130813  航空公司综合数据—国航7月数据" xfId="15591"/>
    <cellStyle name="常规 7" xfId="15592"/>
    <cellStyle name="常规 7 2" xfId="15593"/>
    <cellStyle name="常规 7_20130813  航空公司综合数据—国航7月数据" xfId="15594"/>
    <cellStyle name="常规 8" xfId="15595"/>
    <cellStyle name="常规 9" xfId="15596"/>
    <cellStyle name="年月日" xfId="15597"/>
    <cellStyle name="强调文字颜色 1 2" xfId="15598"/>
    <cellStyle name="强调文字颜色 1 3" xfId="15599"/>
    <cellStyle name="强调文字颜色 1 4" xfId="15600"/>
    <cellStyle name="强调文字颜色 1 5" xfId="15601"/>
    <cellStyle name="强调文字颜色 1 6" xfId="15602"/>
    <cellStyle name="强调文字颜色 1 7" xfId="15603"/>
    <cellStyle name="强调文字颜色 1_20130813  航空公司综合数据—国航7月数据" xfId="15604"/>
    <cellStyle name="强调文字颜色 2 2" xfId="15605"/>
    <cellStyle name="强调文字颜色 2 3" xfId="15606"/>
    <cellStyle name="强调文字颜色 2 4" xfId="15607"/>
    <cellStyle name="强调文字颜色 2 5" xfId="15608"/>
    <cellStyle name="强调文字颜色 2 6" xfId="15609"/>
    <cellStyle name="强调文字颜色 2 7" xfId="15610"/>
    <cellStyle name="强调文字颜色 2_20130813  航空公司综合数据—国航7月数据" xfId="15611"/>
    <cellStyle name="强调文字颜色 3 2" xfId="15612"/>
    <cellStyle name="强调文字颜色 3 3" xfId="15613"/>
    <cellStyle name="强调文字颜色 3 4" xfId="15614"/>
    <cellStyle name="强调文字颜色 3 5" xfId="15615"/>
    <cellStyle name="强调文字颜色 3 6" xfId="15616"/>
    <cellStyle name="强调文字颜色 3 7" xfId="15617"/>
    <cellStyle name="强调文字颜色 3_20130813  航空公司综合数据—国航7月数据" xfId="15618"/>
    <cellStyle name="强调文字颜色 4 2" xfId="15619"/>
    <cellStyle name="强调文字颜色 4 3" xfId="15620"/>
    <cellStyle name="强调文字颜色 4 4" xfId="15621"/>
    <cellStyle name="强调文字颜色 4 5" xfId="15622"/>
    <cellStyle name="强调文字颜色 4 6" xfId="15623"/>
    <cellStyle name="强调文字颜色 4 7" xfId="15624"/>
    <cellStyle name="强调文字颜色 4_20130813  航空公司综合数据—国航7月数据" xfId="15625"/>
    <cellStyle name="强调文字颜色 5 2" xfId="15626"/>
    <cellStyle name="强调文字颜色 5 3" xfId="15627"/>
    <cellStyle name="强调文字颜色 5 4" xfId="15628"/>
    <cellStyle name="强调文字颜色 5 5" xfId="15629"/>
    <cellStyle name="强调文字颜色 5 6" xfId="15630"/>
    <cellStyle name="强调文字颜色 5 7" xfId="15631"/>
    <cellStyle name="强调文字颜色 5_20130813  航空公司综合数据—国航7月数据" xfId="15632"/>
    <cellStyle name="强调文字颜色 6 2" xfId="15633"/>
    <cellStyle name="强调文字颜色 6 3" xfId="15634"/>
    <cellStyle name="强调文字颜色 6 4" xfId="15635"/>
    <cellStyle name="强调文字颜色 6 5" xfId="15636"/>
    <cellStyle name="强调文字颜色 6 6" xfId="15637"/>
    <cellStyle name="强调文字颜色 6 7" xfId="15638"/>
    <cellStyle name="强调文字颜色 6_20130813  航空公司综合数据—国航7月数据" xfId="15639"/>
    <cellStyle name="捠壿 [0.00]_PRODUCT DETAIL Q1" xfId="15640"/>
    <cellStyle name="捠壿_PRODUCT DETAIL Q1" xfId="15641"/>
    <cellStyle name="数量" xfId="15642"/>
    <cellStyle name="数量 2" xfId="15643"/>
    <cellStyle name="数量 3" xfId="15644"/>
    <cellStyle name="文字" xfId="15645"/>
    <cellStyle name="文字(中楷)" xfId="15646"/>
    <cellStyle name="文字(英)" xfId="15647"/>
    <cellStyle name="日期" xfId="15648"/>
    <cellStyle name="日期 2" xfId="15649"/>
    <cellStyle name="日期 3" xfId="15650"/>
    <cellStyle name="昗弨_BOOKSHIP" xfId="15651"/>
    <cellStyle name="普通_ 白土" xfId="15652"/>
    <cellStyle name="未定義" xfId="15653"/>
    <cellStyle name="标题 1 2" xfId="15654"/>
    <cellStyle name="标题 1 3" xfId="15655"/>
    <cellStyle name="标题 1 4" xfId="15656"/>
    <cellStyle name="标题 1 5" xfId="15657"/>
    <cellStyle name="标题 1 6" xfId="15658"/>
    <cellStyle name="标题 1 7" xfId="15659"/>
    <cellStyle name="标题 1_20130813  航空公司综合数据—国航7月数据" xfId="15660"/>
    <cellStyle name="标题 10" xfId="15661"/>
    <cellStyle name="标题 11" xfId="15662"/>
    <cellStyle name="标题 12" xfId="15663"/>
    <cellStyle name="标题 2 2" xfId="15664"/>
    <cellStyle name="标题 2 3" xfId="15665"/>
    <cellStyle name="标题 2 4" xfId="15666"/>
    <cellStyle name="标题 2 5" xfId="15667"/>
    <cellStyle name="标题 2 6" xfId="15668"/>
    <cellStyle name="标题 2 7" xfId="15669"/>
    <cellStyle name="标题 2_20130813  航空公司综合数据—国航7月数据" xfId="15670"/>
    <cellStyle name="标题 3 2" xfId="15671"/>
    <cellStyle name="标题 3 3" xfId="15672"/>
    <cellStyle name="标题 3 4" xfId="15673"/>
    <cellStyle name="标题 3 5" xfId="15674"/>
    <cellStyle name="标题 3 6" xfId="15675"/>
    <cellStyle name="标题 3 7" xfId="15676"/>
    <cellStyle name="标题 3_20130813  航空公司综合数据—国航7月数据" xfId="15677"/>
    <cellStyle name="标题 4 2" xfId="15678"/>
    <cellStyle name="标题 4 3" xfId="15679"/>
    <cellStyle name="标题 4 4" xfId="15680"/>
    <cellStyle name="标题 4 5" xfId="15681"/>
    <cellStyle name="标题 4 6" xfId="15682"/>
    <cellStyle name="标题 4 7" xfId="15683"/>
    <cellStyle name="标题 4_20130813  航空公司综合数据—国航7月数据" xfId="15684"/>
    <cellStyle name="标题 5" xfId="15685"/>
    <cellStyle name="标题 6" xfId="15686"/>
    <cellStyle name="标题 7" xfId="15687"/>
    <cellStyle name="标题 8" xfId="15688"/>
    <cellStyle name="标题 9" xfId="15689"/>
    <cellStyle name="标题_20130813  航空公司综合数据—国航7月数据" xfId="15690"/>
    <cellStyle name="标题1" xfId="15691"/>
    <cellStyle name="样式 1 2" xfId="15692"/>
    <cellStyle name="样式 1 3" xfId="15693"/>
    <cellStyle name="样式 1_20130813  航空公司综合数据—国航7月数据" xfId="15694"/>
    <cellStyle name="桁区切り [0.00]_††††† " xfId="15695"/>
    <cellStyle name="桁区切り_††††† " xfId="15696"/>
    <cellStyle name="桁蟻唇Ｆ [0.00]_9062 model" xfId="15697"/>
    <cellStyle name="桁蟻唇Ｆ_9062 model" xfId="15698"/>
    <cellStyle name="检查单元格 2" xfId="15699"/>
    <cellStyle name="检查单元格 3" xfId="15700"/>
    <cellStyle name="检查单元格 4" xfId="15701"/>
    <cellStyle name="检查单元格 5" xfId="15702"/>
    <cellStyle name="检查单元格 6" xfId="15703"/>
    <cellStyle name="检查单元格 7" xfId="15704"/>
    <cellStyle name="检查单元格_20130813  航空公司综合数据—国航7月数据" xfId="15705"/>
    <cellStyle name="標準_10-YR RECORD" xfId="15706"/>
    <cellStyle name="標題" xfId="15707"/>
    <cellStyle name="標題 1" xfId="15708"/>
    <cellStyle name="標題 2" xfId="15709"/>
    <cellStyle name="標題 3" xfId="15710"/>
    <cellStyle name="標題 4" xfId="15711"/>
    <cellStyle name="標題_CZ - Results template" xfId="15712"/>
    <cellStyle name="檢查儲存格" xfId="15713"/>
    <cellStyle name="欄標題(中)" xfId="15714"/>
    <cellStyle name="欄標題(英)" xfId="15715"/>
    <cellStyle name="汇总 2" xfId="15716"/>
    <cellStyle name="汇总 2 2" xfId="15717"/>
    <cellStyle name="汇总 2 3" xfId="15718"/>
    <cellStyle name="汇总 2 3 2" xfId="15719"/>
    <cellStyle name="汇总 2_big three data re" xfId="15720"/>
    <cellStyle name="汇总 3" xfId="15721"/>
    <cellStyle name="汇总 3 2" xfId="15722"/>
    <cellStyle name="汇总 3 3" xfId="15723"/>
    <cellStyle name="汇总 3_big three data re" xfId="15724"/>
    <cellStyle name="汇总 4" xfId="15725"/>
    <cellStyle name="汇总 4 2" xfId="15726"/>
    <cellStyle name="汇总 4 3" xfId="15727"/>
    <cellStyle name="汇总 4_big three data re" xfId="15728"/>
    <cellStyle name="汇总 5" xfId="15729"/>
    <cellStyle name="汇总 5 2" xfId="15730"/>
    <cellStyle name="汇总 5 3" xfId="15731"/>
    <cellStyle name="汇总 5_big three data re" xfId="15732"/>
    <cellStyle name="汇总 6" xfId="15733"/>
    <cellStyle name="汇总 6 2" xfId="15734"/>
    <cellStyle name="汇总 6 3" xfId="15735"/>
    <cellStyle name="汇总 6_big three data re" xfId="15736"/>
    <cellStyle name="汇总 7" xfId="15737"/>
    <cellStyle name="汇总_20130813  航空公司综合数据—国航7月数据" xfId="15738"/>
    <cellStyle name="注释 2" xfId="15739"/>
    <cellStyle name="注释 2 2" xfId="15740"/>
    <cellStyle name="注释 2 3" xfId="15741"/>
    <cellStyle name="注释 2_big three data re" xfId="15742"/>
    <cellStyle name="注释 3" xfId="15743"/>
    <cellStyle name="注释 3 2" xfId="15744"/>
    <cellStyle name="注释 3 3" xfId="15745"/>
    <cellStyle name="注释 3_big three data re" xfId="15746"/>
    <cellStyle name="注释 4" xfId="15747"/>
    <cellStyle name="注释 4 2" xfId="15748"/>
    <cellStyle name="注释 4 3" xfId="15749"/>
    <cellStyle name="注释 4_big three data re" xfId="15750"/>
    <cellStyle name="注释 5" xfId="15751"/>
    <cellStyle name="注释 5 2" xfId="15752"/>
    <cellStyle name="注释 5 3" xfId="15753"/>
    <cellStyle name="注释 5_big three data re" xfId="15754"/>
    <cellStyle name="注释 6" xfId="15755"/>
    <cellStyle name="注释 6 2" xfId="15756"/>
    <cellStyle name="注释 6 3" xfId="15757"/>
    <cellStyle name="注释 6_big three data re" xfId="15758"/>
    <cellStyle name="注释 7" xfId="15759"/>
    <cellStyle name="注释 8" xfId="15760"/>
    <cellStyle name="注释_20130813  航空公司综合数据—国航7月数据" xfId="15761"/>
    <cellStyle name="烹拳 [0]_1202" xfId="15762"/>
    <cellStyle name="烹拳_1202" xfId="15763"/>
    <cellStyle name="百分比 10" xfId="15764"/>
    <cellStyle name="百分比 11" xfId="15765"/>
    <cellStyle name="百分比 12" xfId="15766"/>
    <cellStyle name="百分比 13" xfId="15767"/>
    <cellStyle name="百分比 14" xfId="15768"/>
    <cellStyle name="百分比 15" xfId="15769"/>
    <cellStyle name="百分比 16" xfId="15770"/>
    <cellStyle name="百分比 17" xfId="15771"/>
    <cellStyle name="百分比 18" xfId="15772"/>
    <cellStyle name="百分比 19" xfId="15773"/>
    <cellStyle name="百分比 2" xfId="15774"/>
    <cellStyle name="百分比 2 2" xfId="15775"/>
    <cellStyle name="百分比 2 2 2" xfId="15776"/>
    <cellStyle name="百分比 2 3" xfId="15777"/>
    <cellStyle name="百分比 2 4" xfId="15778"/>
    <cellStyle name="百分比 20" xfId="15779"/>
    <cellStyle name="百分比 21" xfId="15780"/>
    <cellStyle name="百分比 22" xfId="15781"/>
    <cellStyle name="百分比 23" xfId="15782"/>
    <cellStyle name="百分比 24" xfId="15783"/>
    <cellStyle name="百分比 25" xfId="15784"/>
    <cellStyle name="百分比 26" xfId="15785"/>
    <cellStyle name="百分比 27" xfId="15786"/>
    <cellStyle name="百分比 28" xfId="15787"/>
    <cellStyle name="百分比 29" xfId="15788"/>
    <cellStyle name="百分比 3" xfId="15789"/>
    <cellStyle name="百分比 3 2" xfId="15790"/>
    <cellStyle name="百分比 3 3" xfId="15791"/>
    <cellStyle name="百分比 30" xfId="15792"/>
    <cellStyle name="百分比 4" xfId="15793"/>
    <cellStyle name="百分比 5" xfId="15794"/>
    <cellStyle name="百分比 6" xfId="15795"/>
    <cellStyle name="百分比 7" xfId="15796"/>
    <cellStyle name="百分比 8" xfId="15797"/>
    <cellStyle name="百分比 9" xfId="15798"/>
    <cellStyle name="百分比_1" xfId="15799"/>
    <cellStyle name="砯刽 [0]_BS9701-3" xfId="15800"/>
    <cellStyle name="砯刽[0]_MMC-CP1" xfId="15801"/>
    <cellStyle name="砯刽_BS9701-3" xfId="15802"/>
    <cellStyle name="總數" xfId="15803"/>
    <cellStyle name="總數 2" xfId="15804"/>
    <cellStyle name="總數 2 2" xfId="15805"/>
    <cellStyle name="總數 3" xfId="15806"/>
    <cellStyle name="编号" xfId="15807"/>
    <cellStyle name="脱浦 [0.00]_9062 model" xfId="15808"/>
    <cellStyle name="脱浦_9062 model" xfId="15809"/>
    <cellStyle name="表示済みのハイパーリンク" xfId="15810"/>
    <cellStyle name="解释性文本 2" xfId="15811"/>
    <cellStyle name="解释性文本 3" xfId="15812"/>
    <cellStyle name="解释性文本 4" xfId="15813"/>
    <cellStyle name="解释性文本 5" xfId="15814"/>
    <cellStyle name="解释性文本 6" xfId="15815"/>
    <cellStyle name="解释性文本 7" xfId="15816"/>
    <cellStyle name="解释性文本_20130813  航空公司综合数据—国航7月数据" xfId="15817"/>
    <cellStyle name="計算方式" xfId="15818"/>
    <cellStyle name="說明文字" xfId="15819"/>
    <cellStyle name="警告文字" xfId="15820"/>
    <cellStyle name="警告文本 2" xfId="15821"/>
    <cellStyle name="警告文本 3" xfId="15822"/>
    <cellStyle name="警告文本 4" xfId="15823"/>
    <cellStyle name="警告文本 5" xfId="15824"/>
    <cellStyle name="警告文本 6" xfId="15825"/>
    <cellStyle name="警告文本 7" xfId="15826"/>
    <cellStyle name="警告文本_20130813  航空公司综合数据—国航7月数据" xfId="15827"/>
    <cellStyle name="计算 2" xfId="15828"/>
    <cellStyle name="计算 2 2" xfId="15829"/>
    <cellStyle name="计算 2 3" xfId="15830"/>
    <cellStyle name="计算 2_big three data re" xfId="15831"/>
    <cellStyle name="计算 3" xfId="15832"/>
    <cellStyle name="计算 3 2" xfId="15833"/>
    <cellStyle name="计算 3 3" xfId="15834"/>
    <cellStyle name="计算 3_big three data re" xfId="15835"/>
    <cellStyle name="计算 4" xfId="15836"/>
    <cellStyle name="计算 4 2" xfId="15837"/>
    <cellStyle name="计算 4 3" xfId="15838"/>
    <cellStyle name="计算 4_big three data re" xfId="15839"/>
    <cellStyle name="计算 5" xfId="15840"/>
    <cellStyle name="计算 5 2" xfId="15841"/>
    <cellStyle name="计算 5 3" xfId="15842"/>
    <cellStyle name="计算 5_big three data re" xfId="15843"/>
    <cellStyle name="计算 6" xfId="15844"/>
    <cellStyle name="计算 6 2" xfId="15845"/>
    <cellStyle name="计算 6 3" xfId="15846"/>
    <cellStyle name="计算 6_big three data re" xfId="15847"/>
    <cellStyle name="计算 7" xfId="15848"/>
    <cellStyle name="计算 8" xfId="15849"/>
    <cellStyle name="计算_20130813  航空公司综合数据—国航7月数据" xfId="15850"/>
    <cellStyle name="貨幣 [0]_00" xfId="15851"/>
    <cellStyle name="貨幣[0]_1 (2)" xfId="15852"/>
    <cellStyle name="貨幣_00" xfId="15853"/>
    <cellStyle name="货币[0]_11072" xfId="15854"/>
    <cellStyle name="货币_11072" xfId="15855"/>
    <cellStyle name="輔色1" xfId="15856"/>
    <cellStyle name="輔色2" xfId="15857"/>
    <cellStyle name="輔色3" xfId="15858"/>
    <cellStyle name="輔色4" xfId="15859"/>
    <cellStyle name="輔色5" xfId="15860"/>
    <cellStyle name="輔色6" xfId="15861"/>
    <cellStyle name="輸入" xfId="15862"/>
    <cellStyle name="輸出" xfId="15863"/>
    <cellStyle name="输入 2" xfId="15864"/>
    <cellStyle name="输入 2 2" xfId="15865"/>
    <cellStyle name="输入 2 3" xfId="15866"/>
    <cellStyle name="输入 2_big three data re" xfId="15867"/>
    <cellStyle name="输入 3" xfId="15868"/>
    <cellStyle name="输入 3 2" xfId="15869"/>
    <cellStyle name="输入 3 3" xfId="15870"/>
    <cellStyle name="输入 3_big three data re" xfId="15871"/>
    <cellStyle name="输入 4" xfId="15872"/>
    <cellStyle name="输入 4 2" xfId="15873"/>
    <cellStyle name="输入 4 3" xfId="15874"/>
    <cellStyle name="输入 4_big three data re" xfId="15875"/>
    <cellStyle name="输入 5" xfId="15876"/>
    <cellStyle name="输入 5 2" xfId="15877"/>
    <cellStyle name="输入 5 3" xfId="15878"/>
    <cellStyle name="输入 5_big three data re" xfId="15879"/>
    <cellStyle name="输入 6" xfId="15880"/>
    <cellStyle name="输入 6 2" xfId="15881"/>
    <cellStyle name="输入 6 3" xfId="15882"/>
    <cellStyle name="输入 6_big three data re" xfId="15883"/>
    <cellStyle name="输入 7" xfId="15884"/>
    <cellStyle name="输入_20130813  航空公司综合数据—国航7月数据" xfId="15885"/>
    <cellStyle name="输出 2" xfId="15886"/>
    <cellStyle name="输出 2 2" xfId="15887"/>
    <cellStyle name="输出 2 3" xfId="15888"/>
    <cellStyle name="输出 2_big three data re" xfId="15889"/>
    <cellStyle name="输出 3" xfId="15890"/>
    <cellStyle name="输出 3 2" xfId="15891"/>
    <cellStyle name="输出 3 3" xfId="15892"/>
    <cellStyle name="输出 3_big three data re" xfId="15893"/>
    <cellStyle name="输出 4" xfId="15894"/>
    <cellStyle name="输出 4 2" xfId="15895"/>
    <cellStyle name="输出 4 3" xfId="15896"/>
    <cellStyle name="输出 4_big three data re" xfId="15897"/>
    <cellStyle name="输出 5" xfId="15898"/>
    <cellStyle name="输出 5 2" xfId="15899"/>
    <cellStyle name="输出 5 3" xfId="15900"/>
    <cellStyle name="输出 5_big three data re" xfId="15901"/>
    <cellStyle name="输出 6" xfId="15902"/>
    <cellStyle name="输出 6 2" xfId="15903"/>
    <cellStyle name="输出 6 3" xfId="15904"/>
    <cellStyle name="输出 6_big three data re" xfId="15905"/>
    <cellStyle name="输出 7" xfId="15906"/>
    <cellStyle name="输出 8" xfId="15907"/>
    <cellStyle name="输出_20130813  航空公司综合数据—国航7月数据" xfId="15908"/>
    <cellStyle name="适中 2" xfId="15909"/>
    <cellStyle name="适中 3" xfId="15910"/>
    <cellStyle name="适中 4" xfId="15911"/>
    <cellStyle name="适中 5" xfId="15912"/>
    <cellStyle name="适中 6" xfId="15913"/>
    <cellStyle name="适中 7" xfId="15914"/>
    <cellStyle name="适中_20130813  航空公司综合数据—国航7月数据" xfId="15915"/>
    <cellStyle name="通貨 [0.00]_††††† " xfId="15916"/>
    <cellStyle name="通貨_††††† " xfId="15917"/>
    <cellStyle name="連結的儲存格" xfId="15918"/>
    <cellStyle name="部门" xfId="15919"/>
    <cellStyle name="部门 2" xfId="15920"/>
    <cellStyle name="部门 3" xfId="15921"/>
    <cellStyle name="钎霖_(沥焊何巩)岿喊牢盔拌裙" xfId="15922"/>
    <cellStyle name="链接单元格 2" xfId="15923"/>
    <cellStyle name="链接单元格 3" xfId="15924"/>
    <cellStyle name="链接单元格 4" xfId="15925"/>
    <cellStyle name="链接单元格 5" xfId="15926"/>
    <cellStyle name="链接单元格 6" xfId="15927"/>
    <cellStyle name="链接单元格 7" xfId="15928"/>
    <cellStyle name="链接单元格_20130813  航空公司综合数据—国航7月数据" xfId="15929"/>
    <cellStyle name="霓付 [0]_1202" xfId="15930"/>
    <cellStyle name="霓付_1202" xfId="15931"/>
    <cellStyle name="Normal_NAV_DCF" xfId="15932"/>
    <cellStyle name="Code 2" xfId="15933"/>
    <cellStyle name="Date, mmm-yy 3" xfId="15934"/>
    <cellStyle name="Header2 4" xfId="15935"/>
    <cellStyle name="Input % 4" xfId="15936"/>
    <cellStyle name="Input [yellow] 5" xfId="15937"/>
    <cellStyle name="PERCENTAGE 3" xfId="15938"/>
    <cellStyle name="SectionHeading 5" xfId="15939"/>
    <cellStyle name="SectionHeading 2 3" xfId="15940"/>
    <cellStyle name="Table 4" xfId="15941"/>
    <cellStyle name="Top Row 3" xfId="15942"/>
    <cellStyle name="汇总 8" xfId="15943"/>
    <cellStyle name="注释 9" xfId="15944"/>
    <cellStyle name="计算 9" xfId="15945"/>
    <cellStyle name="输入 8" xfId="15946"/>
    <cellStyle name="输出 9" xfId="15947"/>
    <cellStyle name=".0\ 6" xfId="15948"/>
    <cellStyle name=".0\ 2 4" xfId="15949"/>
    <cellStyle name=".0\ 2 2 3" xfId="15950"/>
    <cellStyle name=".0\ 2 2 2 2" xfId="15951"/>
    <cellStyle name=".0\ 2 3 2" xfId="15952"/>
    <cellStyle name=".0\ 3 3" xfId="15953"/>
    <cellStyle name=".0\ 3 2 2" xfId="15954"/>
    <cellStyle name=".0\ 4 4" xfId="15955"/>
    <cellStyle name=".0\ 4 2 3" xfId="15956"/>
    <cellStyle name=".0\ 4 2 2 2" xfId="15957"/>
    <cellStyle name=".0\ 4 3 2" xfId="15958"/>
    <cellStyle name=".0\ 5 2" xfId="15959"/>
    <cellStyle name="4 4" xfId="15960"/>
    <cellStyle name="4 3 4" xfId="15961"/>
    <cellStyle name="4 3 2 3" xfId="15962"/>
    <cellStyle name="4 3 2 2 3" xfId="15963"/>
    <cellStyle name="4 3 2 2 2 2" xfId="15964"/>
    <cellStyle name="4 3 3 3" xfId="15965"/>
    <cellStyle name="4 3 3 2 2" xfId="15966"/>
    <cellStyle name="5 4" xfId="15967"/>
    <cellStyle name="5 2 3" xfId="15968"/>
    <cellStyle name="5 2 2 3" xfId="15969"/>
    <cellStyle name="5 2 2 2 2" xfId="15970"/>
    <cellStyle name="5 3 3" xfId="15971"/>
    <cellStyle name="5 3 2 2" xfId="15972"/>
    <cellStyle name="6 4" xfId="15973"/>
    <cellStyle name="6 2 3" xfId="15974"/>
    <cellStyle name="6 2 2 3" xfId="15975"/>
    <cellStyle name="6 2 2 2 2" xfId="15976"/>
    <cellStyle name="6 3 3" xfId="15977"/>
    <cellStyle name="6 3 2 2" xfId="15978"/>
    <cellStyle name="9 4" xfId="15979"/>
    <cellStyle name="9 2 3" xfId="15980"/>
    <cellStyle name="9 2 2 3" xfId="15981"/>
    <cellStyle name="9 2 2 2 2" xfId="15982"/>
    <cellStyle name="9 3 3" xfId="15983"/>
    <cellStyle name="9 3 2 2" xfId="15984"/>
    <cellStyle name="Calculation 9" xfId="15985"/>
    <cellStyle name="Calculation 2 3" xfId="15986"/>
    <cellStyle name="Calculation 2 2 2" xfId="15987"/>
    <cellStyle name="Calculation 3 3" xfId="15988"/>
    <cellStyle name="Calculation 3 2 2" xfId="15989"/>
    <cellStyle name="Calculation 4 3" xfId="15990"/>
    <cellStyle name="Calculation 4 2 2" xfId="15991"/>
    <cellStyle name="Calculation 5 3" xfId="15992"/>
    <cellStyle name="Calculation 5 2 2" xfId="15993"/>
    <cellStyle name="Calculation 6 3" xfId="15994"/>
    <cellStyle name="Calculation 6 2 2" xfId="15995"/>
    <cellStyle name="Calculation 7 3" xfId="15996"/>
    <cellStyle name="Calculation 7 2 2" xfId="15997"/>
    <cellStyle name="Calculation 8 2" xfId="15998"/>
    <cellStyle name="DataSheet Style 3" xfId="15999"/>
    <cellStyle name="DataSheet Style 2 2" xfId="16000"/>
    <cellStyle name="Date, mmm-yy 2 4" xfId="16001"/>
    <cellStyle name="Date, mmm-yy 2 2 3" xfId="16002"/>
    <cellStyle name="Date, mmm-yy 2 2 2 2" xfId="16003"/>
    <cellStyle name="Date, mmm-yy 2 3 2" xfId="16004"/>
    <cellStyle name="Download 6" xfId="16005"/>
    <cellStyle name="Download 2 4" xfId="16006"/>
    <cellStyle name="Download 2 2 3" xfId="16007"/>
    <cellStyle name="Download 2 2 2 2" xfId="16008"/>
    <cellStyle name="Download 2 3 2" xfId="16009"/>
    <cellStyle name="Download 3 3" xfId="16010"/>
    <cellStyle name="Download 3 2 2" xfId="16011"/>
    <cellStyle name="Download 4 4" xfId="16012"/>
    <cellStyle name="Download 4 2 3" xfId="16013"/>
    <cellStyle name="Download 4 2 2 2" xfId="16014"/>
    <cellStyle name="Download 4 3 2" xfId="16015"/>
    <cellStyle name="Download 5 2" xfId="16016"/>
    <cellStyle name="hard no 4" xfId="16017"/>
    <cellStyle name="hard no 2 3" xfId="16018"/>
    <cellStyle name="hard no 2 2 3" xfId="16019"/>
    <cellStyle name="hard no 2 2 2 2" xfId="16020"/>
    <cellStyle name="hard no 3 3" xfId="16021"/>
    <cellStyle name="hard no 3 2 2" xfId="16022"/>
    <cellStyle name="hard no. 4" xfId="16023"/>
    <cellStyle name="hard no. 2 3" xfId="16024"/>
    <cellStyle name="hard no. 2 2 3" xfId="16025"/>
    <cellStyle name="hard no. 2 2 2 2" xfId="16026"/>
    <cellStyle name="hard no. 3 3" xfId="16027"/>
    <cellStyle name="hard no. 3 2 2" xfId="16028"/>
    <cellStyle name="Header2 2 3" xfId="16029"/>
    <cellStyle name="Header2 2 2 2" xfId="16030"/>
    <cellStyle name="Header2 3 2" xfId="16031"/>
    <cellStyle name="Input 43" xfId="16032"/>
    <cellStyle name="Input % 2 3" xfId="16033"/>
    <cellStyle name="Input % 2 2 2" xfId="16034"/>
    <cellStyle name="Input % 3 2" xfId="16035"/>
    <cellStyle name="Input [yellow] 2 3" xfId="16036"/>
    <cellStyle name="Input [yellow] 2 2 3" xfId="16037"/>
    <cellStyle name="Input [yellow] 2 2 2 2" xfId="16038"/>
    <cellStyle name="Input [yellow] 3 3" xfId="16039"/>
    <cellStyle name="Input [yellow] 3 2 2" xfId="16040"/>
    <cellStyle name="Input [yellow] 4 3" xfId="16041"/>
    <cellStyle name="Input [yellow] 4 2 2" xfId="16042"/>
    <cellStyle name="Input 10 3" xfId="16043"/>
    <cellStyle name="Input 10 2 2" xfId="16044"/>
    <cellStyle name="Input 11 3" xfId="16045"/>
    <cellStyle name="Input 11 2 2" xfId="16046"/>
    <cellStyle name="Input 12 4" xfId="16047"/>
    <cellStyle name="Input 12 3 2" xfId="16048"/>
    <cellStyle name="Input 13 4" xfId="16049"/>
    <cellStyle name="Input 13 3 2" xfId="16050"/>
    <cellStyle name="Input 14 4" xfId="16051"/>
    <cellStyle name="Input 14 3 2" xfId="16052"/>
    <cellStyle name="Input 15 3" xfId="16053"/>
    <cellStyle name="Input 15 2 2" xfId="16054"/>
    <cellStyle name="Input 16 3" xfId="16055"/>
    <cellStyle name="Input 16 2 2" xfId="16056"/>
    <cellStyle name="Input 17 2" xfId="16057"/>
    <cellStyle name="Input 18 2" xfId="16058"/>
    <cellStyle name="Input 19 2" xfId="16059"/>
    <cellStyle name="Input 2 3" xfId="16060"/>
    <cellStyle name="Input 2 2 3" xfId="16061"/>
    <cellStyle name="Input 2 2 2 2" xfId="16062"/>
    <cellStyle name="Input 20 2" xfId="16063"/>
    <cellStyle name="Input 21 2" xfId="16064"/>
    <cellStyle name="Input 22 2" xfId="16065"/>
    <cellStyle name="Input 23 2" xfId="16066"/>
    <cellStyle name="Input 24 2" xfId="16067"/>
    <cellStyle name="Input 25 2" xfId="16068"/>
    <cellStyle name="Input 26 2" xfId="16069"/>
    <cellStyle name="Input 27 2" xfId="16070"/>
    <cellStyle name="Input 28 2" xfId="16071"/>
    <cellStyle name="Input 29 2" xfId="16072"/>
    <cellStyle name="Input 3 3" xfId="16073"/>
    <cellStyle name="Input 3 2 2" xfId="16074"/>
    <cellStyle name="Input 30 2" xfId="16075"/>
    <cellStyle name="Input 31 2" xfId="16076"/>
    <cellStyle name="Input 32 2" xfId="16077"/>
    <cellStyle name="Input 33 2" xfId="16078"/>
    <cellStyle name="Input 34 2" xfId="16079"/>
    <cellStyle name="Input 35 2" xfId="16080"/>
    <cellStyle name="Input 36 2" xfId="16081"/>
    <cellStyle name="Input 37 2" xfId="16082"/>
    <cellStyle name="Input 38 2" xfId="16083"/>
    <cellStyle name="Input 39 2" xfId="16084"/>
    <cellStyle name="Input 4 3" xfId="16085"/>
    <cellStyle name="Input 4 2 2" xfId="16086"/>
    <cellStyle name="Input 40 2" xfId="16087"/>
    <cellStyle name="Input 41 2" xfId="16088"/>
    <cellStyle name="Input 42 2" xfId="16089"/>
    <cellStyle name="Input 5 3" xfId="16090"/>
    <cellStyle name="Input 5 2 2" xfId="16091"/>
    <cellStyle name="Input 6 3" xfId="16092"/>
    <cellStyle name="Input 6 2 2" xfId="16093"/>
    <cellStyle name="Input 7 3" xfId="16094"/>
    <cellStyle name="Input 7 2 2" xfId="16095"/>
    <cellStyle name="Input 8 3" xfId="16096"/>
    <cellStyle name="Input 8 2 2" xfId="16097"/>
    <cellStyle name="Input 9 3" xfId="16098"/>
    <cellStyle name="Input 9 2 2" xfId="16099"/>
    <cellStyle name="IntInputBk 4" xfId="16100"/>
    <cellStyle name="IntInputBk 2 3" xfId="16101"/>
    <cellStyle name="IntInputBk 2 2 3" xfId="16102"/>
    <cellStyle name="IntInputBk 2 2 2 2" xfId="16103"/>
    <cellStyle name="IntInputBk 3 3" xfId="16104"/>
    <cellStyle name="IntInputBk 3 2 2" xfId="16105"/>
    <cellStyle name="IntInputBu 4" xfId="16106"/>
    <cellStyle name="IntInputBu 2 3" xfId="16107"/>
    <cellStyle name="IntInputBu 2 2 3" xfId="16108"/>
    <cellStyle name="IntInputBu 2 2 2 2" xfId="16109"/>
    <cellStyle name="IntInputBu 3 3" xfId="16110"/>
    <cellStyle name="IntInputBu 3 2 2" xfId="16111"/>
    <cellStyle name="Lookup Table Heading 4" xfId="16112"/>
    <cellStyle name="Lookup Table Heading 2 3" xfId="16113"/>
    <cellStyle name="Lookup Table Heading 2 2 3" xfId="16114"/>
    <cellStyle name="Lookup Table Heading 2 2 2 2" xfId="16115"/>
    <cellStyle name="Lookup Table Heading 3 3" xfId="16116"/>
    <cellStyle name="Lookup Table Heading 3 2 2" xfId="16117"/>
    <cellStyle name="Lookup Table Label 4" xfId="16118"/>
    <cellStyle name="Lookup Table Label 2 3" xfId="16119"/>
    <cellStyle name="Lookup Table Label 2 2 3" xfId="16120"/>
    <cellStyle name="Lookup Table Label 2 2 2 2" xfId="16121"/>
    <cellStyle name="Lookup Table Label 3 3" xfId="16122"/>
    <cellStyle name="Lookup Table Label 3 2 2" xfId="16123"/>
    <cellStyle name="Lookup Table Number 4" xfId="16124"/>
    <cellStyle name="Lookup Table Number 2 3" xfId="16125"/>
    <cellStyle name="Lookup Table Number 2 2 3" xfId="16126"/>
    <cellStyle name="Lookup Table Number 2 2 2 2" xfId="16127"/>
    <cellStyle name="Lookup Table Number 3 3" xfId="16128"/>
    <cellStyle name="Lookup Table Number 3 2 2" xfId="16129"/>
    <cellStyle name="Note 9" xfId="16130"/>
    <cellStyle name="Note 2 3" xfId="16131"/>
    <cellStyle name="Note 2 2 2" xfId="16132"/>
    <cellStyle name="Note 3 3" xfId="16133"/>
    <cellStyle name="Note 3 2 2" xfId="16134"/>
    <cellStyle name="Note 4 3" xfId="16135"/>
    <cellStyle name="Note 4 2 2" xfId="16136"/>
    <cellStyle name="Note 5 3" xfId="16137"/>
    <cellStyle name="Note 5 2 2" xfId="16138"/>
    <cellStyle name="Note 6 3" xfId="16139"/>
    <cellStyle name="Note 6 2 2" xfId="16140"/>
    <cellStyle name="Note 7 3" xfId="16141"/>
    <cellStyle name="Note 7 2 2" xfId="16142"/>
    <cellStyle name="Note 8 2" xfId="16143"/>
    <cellStyle name="Output 9" xfId="16144"/>
    <cellStyle name="Output 2 2" xfId="16145"/>
    <cellStyle name="Output 3 2" xfId="16146"/>
    <cellStyle name="Output 4 2" xfId="16147"/>
    <cellStyle name="Output 5 2" xfId="16148"/>
    <cellStyle name="Output 6 3" xfId="16149"/>
    <cellStyle name="Output 6 2 2" xfId="16150"/>
    <cellStyle name="Output 7 3" xfId="16151"/>
    <cellStyle name="Output 7 2 2" xfId="16152"/>
    <cellStyle name="Output 8 2" xfId="16153"/>
    <cellStyle name="P 3" xfId="16154"/>
    <cellStyle name="P 2 2" xfId="16155"/>
    <cellStyle name="PERCENTAGE 2 2" xfId="16156"/>
    <cellStyle name="ProjectionInput 4" xfId="16157"/>
    <cellStyle name="ProjectionInput 2 3" xfId="16158"/>
    <cellStyle name="ProjectionInput 2 2 3" xfId="16159"/>
    <cellStyle name="ProjectionInput 2 2 2 2" xfId="16160"/>
    <cellStyle name="ProjectionInput 3 3" xfId="16161"/>
    <cellStyle name="ProjectionInput 3 2 2" xfId="16162"/>
    <cellStyle name="SAPBEXaggData 2" xfId="16163"/>
    <cellStyle name="SAPBEXaggDataEmph 2" xfId="16164"/>
    <cellStyle name="SAPBEXaggItem 2" xfId="16165"/>
    <cellStyle name="SAPBEXaggItemX 2" xfId="16166"/>
    <cellStyle name="SAPBEXexcBad7 2" xfId="16167"/>
    <cellStyle name="SAPBEXexcBad8 2" xfId="16168"/>
    <cellStyle name="SAPBEXexcBad9 2" xfId="16169"/>
    <cellStyle name="SAPBEXexcCritical4 2" xfId="16170"/>
    <cellStyle name="SAPBEXexcCritical5 2" xfId="16171"/>
    <cellStyle name="SAPBEXexcCritical6 2" xfId="16172"/>
    <cellStyle name="SAPBEXexcGood1 2" xfId="16173"/>
    <cellStyle name="SAPBEXexcGood2 2" xfId="16174"/>
    <cellStyle name="SAPBEXexcGood3 2" xfId="16175"/>
    <cellStyle name="SAPBEXformats 2" xfId="16176"/>
    <cellStyle name="SAPBEXHLevel0 2" xfId="16177"/>
    <cellStyle name="SAPBEXHLevel0X 2" xfId="16178"/>
    <cellStyle name="SAPBEXHLevel1 2" xfId="16179"/>
    <cellStyle name="SAPBEXHLevel1X 2" xfId="16180"/>
    <cellStyle name="SAPBEXHLevel2 2" xfId="16181"/>
    <cellStyle name="SAPBEXHLevel2X 2" xfId="16182"/>
    <cellStyle name="SAPBEXHLevel3 2" xfId="16183"/>
    <cellStyle name="SAPBEXHLevel3X 2" xfId="16184"/>
    <cellStyle name="SAPBEXresData 2" xfId="16185"/>
    <cellStyle name="SAPBEXresDataEmph 2" xfId="16186"/>
    <cellStyle name="SAPBEXresItem 2" xfId="16187"/>
    <cellStyle name="SAPBEXresItemX 2" xfId="16188"/>
    <cellStyle name="SAPBEXstdData 2" xfId="16189"/>
    <cellStyle name="SAPBEXstdDataEmph 2" xfId="16190"/>
    <cellStyle name="SAPBEXstdItem 2" xfId="16191"/>
    <cellStyle name="SAPBEXstdItemX 2" xfId="16192"/>
    <cellStyle name="SAPBEXundefined 2" xfId="16193"/>
    <cellStyle name="SectionHeading 2 2 4" xfId="16194"/>
    <cellStyle name="SectionHeading 2 2 2 3" xfId="16195"/>
    <cellStyle name="SectionHeading 2 2 2 2 2" xfId="16196"/>
    <cellStyle name="SectionHeading 2 2 3 2" xfId="16197"/>
    <cellStyle name="SectionHeading 3 4" xfId="16198"/>
    <cellStyle name="SectionHeading 3 2 3" xfId="16199"/>
    <cellStyle name="SectionHeading 3 2 2 2" xfId="16200"/>
    <cellStyle name="SectionHeading 3 3 2" xfId="16201"/>
    <cellStyle name="SectionHeading 4 3" xfId="16202"/>
    <cellStyle name="SectionHeading 4 2 2" xfId="16203"/>
    <cellStyle name="SHADEDSTORES 3" xfId="16204"/>
    <cellStyle name="SHADEDSTORES 2 2" xfId="16205"/>
    <cellStyle name="SSComma0 2" xfId="16206"/>
    <cellStyle name="SSComma2 2" xfId="16207"/>
    <cellStyle name="SSDecs3 2" xfId="16208"/>
    <cellStyle name="SSDfltPct 2" xfId="16209"/>
    <cellStyle name="SSDfltPct0 2" xfId="16210"/>
    <cellStyle name="SSFixed2 2" xfId="16211"/>
    <cellStyle name="style 4" xfId="16212"/>
    <cellStyle name="style 2 2" xfId="16213"/>
    <cellStyle name="style 3 2" xfId="16214"/>
    <cellStyle name="Table 2 3" xfId="16215"/>
    <cellStyle name="Table 2 2 2" xfId="16216"/>
    <cellStyle name="Table 3 2" xfId="16217"/>
    <cellStyle name="Top Row 2 2" xfId="16218"/>
    <cellStyle name="Topline 4" xfId="16219"/>
    <cellStyle name="Topline 2 3" xfId="16220"/>
    <cellStyle name="Topline 2 2 3" xfId="16221"/>
    <cellStyle name="Topline 2 2 2 2" xfId="16222"/>
    <cellStyle name="Topline 3 3" xfId="16223"/>
    <cellStyle name="Topline 3 2 2" xfId="16224"/>
    <cellStyle name="Total 10" xfId="16225"/>
    <cellStyle name="Total 3 2" xfId="16226"/>
    <cellStyle name="Total 4 2" xfId="16227"/>
    <cellStyle name="Total 5 2" xfId="16228"/>
    <cellStyle name="Total 8 3" xfId="16229"/>
    <cellStyle name="Total 8 2 2" xfId="16230"/>
    <cellStyle name="Total 9 2" xfId="16231"/>
    <cellStyle name="YearInputBk 4" xfId="16232"/>
    <cellStyle name="YearInputBk 2 3" xfId="16233"/>
    <cellStyle name="YearInputBk 2 2 3" xfId="16234"/>
    <cellStyle name="YearInputBk 2 2 2 2" xfId="16235"/>
    <cellStyle name="YearInputBk 3 3" xfId="16236"/>
    <cellStyle name="YearInputBk 3 2 2" xfId="16237"/>
    <cellStyle name="YearInputBu 4" xfId="16238"/>
    <cellStyle name="YearInputBu 2 3" xfId="16239"/>
    <cellStyle name="YearInputBu 2 2 3" xfId="16240"/>
    <cellStyle name="YearInputBu 2 2 2 2" xfId="16241"/>
    <cellStyle name="YearInputBu 3 3" xfId="16242"/>
    <cellStyle name="YearInputBu 3 2 2" xfId="16243"/>
    <cellStyle name="備註 2" xfId="16244"/>
    <cellStyle name="合計 2" xfId="16245"/>
    <cellStyle name="汇总 2 4" xfId="16246"/>
    <cellStyle name="汇总 2 2 2" xfId="16247"/>
    <cellStyle name="汇总 2 3 3" xfId="16248"/>
    <cellStyle name="汇总 2 3 2 2" xfId="16249"/>
    <cellStyle name="汇总 3 4" xfId="16250"/>
    <cellStyle name="汇总 3 2 2" xfId="16251"/>
    <cellStyle name="汇总 3 3 2" xfId="16252"/>
    <cellStyle name="汇总 4 4" xfId="16253"/>
    <cellStyle name="汇总 4 2 2" xfId="16254"/>
    <cellStyle name="汇总 4 3 2" xfId="16255"/>
    <cellStyle name="汇总 5 4" xfId="16256"/>
    <cellStyle name="汇总 5 2 2" xfId="16257"/>
    <cellStyle name="汇总 5 3 2" xfId="16258"/>
    <cellStyle name="汇总 6 4" xfId="16259"/>
    <cellStyle name="汇总 6 2 2" xfId="16260"/>
    <cellStyle name="汇总 6 3 2" xfId="16261"/>
    <cellStyle name="汇总 7 2" xfId="16262"/>
    <cellStyle name="注释 2 4" xfId="16263"/>
    <cellStyle name="注释 2 2 2" xfId="16264"/>
    <cellStyle name="注释 2 3 2" xfId="16265"/>
    <cellStyle name="注释 3 4" xfId="16266"/>
    <cellStyle name="注释 3 2 2" xfId="16267"/>
    <cellStyle name="注释 3 3 2" xfId="16268"/>
    <cellStyle name="注释 4 4" xfId="16269"/>
    <cellStyle name="注释 4 2 2" xfId="16270"/>
    <cellStyle name="注释 4 3 2" xfId="16271"/>
    <cellStyle name="注释 5 4" xfId="16272"/>
    <cellStyle name="注释 5 2 2" xfId="16273"/>
    <cellStyle name="注释 5 3 2" xfId="16274"/>
    <cellStyle name="注释 6 4" xfId="16275"/>
    <cellStyle name="注释 6 2 2" xfId="16276"/>
    <cellStyle name="注释 6 3 2" xfId="16277"/>
    <cellStyle name="注释 7 2" xfId="16278"/>
    <cellStyle name="注释 8 2" xfId="16279"/>
    <cellStyle name="計算方式 2" xfId="16280"/>
    <cellStyle name="计算 2 4" xfId="16281"/>
    <cellStyle name="计算 2 2 2" xfId="16282"/>
    <cellStyle name="计算 2 3 2" xfId="16283"/>
    <cellStyle name="计算 3 4" xfId="16284"/>
    <cellStyle name="计算 3 2 2" xfId="16285"/>
    <cellStyle name="计算 3 3 2" xfId="16286"/>
    <cellStyle name="计算 4 4" xfId="16287"/>
    <cellStyle name="计算 4 2 2" xfId="16288"/>
    <cellStyle name="计算 4 3 2" xfId="16289"/>
    <cellStyle name="计算 5 4" xfId="16290"/>
    <cellStyle name="计算 5 2 2" xfId="16291"/>
    <cellStyle name="计算 5 3 2" xfId="16292"/>
    <cellStyle name="计算 6 4" xfId="16293"/>
    <cellStyle name="计算 6 2 2" xfId="16294"/>
    <cellStyle name="计算 6 3 2" xfId="16295"/>
    <cellStyle name="计算 7 2" xfId="16296"/>
    <cellStyle name="计算 8 2" xfId="16297"/>
    <cellStyle name="輸入 2" xfId="16298"/>
    <cellStyle name="輸出 2" xfId="16299"/>
    <cellStyle name="输入 2 4" xfId="16300"/>
    <cellStyle name="输入 2 2 2" xfId="16301"/>
    <cellStyle name="输入 2 3 2" xfId="16302"/>
    <cellStyle name="输入 3 4" xfId="16303"/>
    <cellStyle name="输入 3 2 2" xfId="16304"/>
    <cellStyle name="输入 3 3 2" xfId="16305"/>
    <cellStyle name="输入 4 4" xfId="16306"/>
    <cellStyle name="输入 4 2 2" xfId="16307"/>
    <cellStyle name="输入 4 3 2" xfId="16308"/>
    <cellStyle name="输入 5 4" xfId="16309"/>
    <cellStyle name="输入 5 2 2" xfId="16310"/>
    <cellStyle name="输入 5 3 2" xfId="16311"/>
    <cellStyle name="输入 6 4" xfId="16312"/>
    <cellStyle name="输入 6 2 2" xfId="16313"/>
    <cellStyle name="输入 6 3 2" xfId="16314"/>
    <cellStyle name="输入 7 2" xfId="16315"/>
    <cellStyle name="输出 2 4" xfId="16316"/>
    <cellStyle name="输出 2 2 2" xfId="16317"/>
    <cellStyle name="输出 2 3 2" xfId="16318"/>
    <cellStyle name="输出 3 4" xfId="16319"/>
    <cellStyle name="输出 3 2 2" xfId="16320"/>
    <cellStyle name="输出 3 3 2" xfId="16321"/>
    <cellStyle name="输出 4 4" xfId="16322"/>
    <cellStyle name="输出 4 2 2" xfId="16323"/>
    <cellStyle name="输出 4 3 2" xfId="16324"/>
    <cellStyle name="输出 5 4" xfId="16325"/>
    <cellStyle name="输出 5 2 2" xfId="16326"/>
    <cellStyle name="输出 5 3 2" xfId="16327"/>
    <cellStyle name="输出 6 4" xfId="16328"/>
    <cellStyle name="输出 6 2 2" xfId="16329"/>
    <cellStyle name="输出 6 3 2" xfId="16330"/>
    <cellStyle name="输出 7 2" xfId="16331"/>
    <cellStyle name="输出 8 2" xfId="16332"/>
    <cellStyle name="SAPBEXfilterDrill 4" xfId="16333"/>
    <cellStyle name="Calculation 4 2 5" xfId="16334"/>
    <cellStyle name="Border 7" xfId="16335"/>
    <cellStyle name="Input 30 4" xfId="16336"/>
    <cellStyle name="Input 32 4" xfId="16337"/>
    <cellStyle name="Input 36 4" xfId="16338"/>
    <cellStyle name="Input 37 4" xfId="16339"/>
    <cellStyle name="Input 38 4" xfId="16340"/>
    <cellStyle name="Input 39 4" xfId="16341"/>
    <cellStyle name="Input 4 5" xfId="16342"/>
    <cellStyle name="Input 4 2 4" xfId="16343"/>
    <cellStyle name="Input % 5" xfId="16344"/>
    <cellStyle name="Input [yellow] 6" xfId="16345"/>
    <cellStyle name="YearInputBk 3 2 5" xfId="16346"/>
    <cellStyle name="YearInputBu 7" xfId="16347"/>
    <cellStyle name="YearInputBu 2 6" xfId="16348"/>
    <cellStyle name="合計 5" xfId="16349"/>
    <cellStyle name="Calculation 5 2 2 4" xfId="16350"/>
    <cellStyle name="Calculation 6 2 2 4" xfId="16351"/>
    <cellStyle name="Date, mmm-yy 2 2 3 4" xfId="16352"/>
    <cellStyle name="Download 2 4 4" xfId="16353"/>
    <cellStyle name="Download 2 3 2 4" xfId="16354"/>
    <cellStyle name="Download 3 3 4" xfId="16355"/>
    <cellStyle name="Download 3 2 2 4" xfId="16356"/>
    <cellStyle name="Download 4 2 3 4" xfId="16357"/>
    <cellStyle name="Download 5 2 4" xfId="16358"/>
    <cellStyle name="hard no 4 4" xfId="16359"/>
    <cellStyle name="hard no 2 3 4" xfId="16360"/>
    <cellStyle name="hard no 2 2 3 4" xfId="16361"/>
    <cellStyle name="hard no 2 2 2 2 4" xfId="16362"/>
    <cellStyle name="hard no 3 3 4" xfId="16363"/>
    <cellStyle name="hard no 3 2 2 4" xfId="16364"/>
    <cellStyle name="hard no. 2 2 2 2 4" xfId="16365"/>
    <cellStyle name="hard no. 3 3 4" xfId="16366"/>
    <cellStyle name="Input % 2 3 4" xfId="16367"/>
    <cellStyle name="Input [yellow] 2 2 2 2 4" xfId="16368"/>
    <cellStyle name="Input [yellow] 3 2 2 4" xfId="16369"/>
    <cellStyle name="Input 13 4 4" xfId="16370"/>
    <cellStyle name="Input 15 2 2 4" xfId="16371"/>
    <cellStyle name="Input 2 2 3 4" xfId="16372"/>
    <cellStyle name="Input 20 2 4" xfId="16373"/>
    <cellStyle name="Input 21 2 4" xfId="16374"/>
    <cellStyle name="Input 24 2 4" xfId="16375"/>
    <cellStyle name="Input 30 2 4" xfId="16376"/>
    <cellStyle name="Input 31 2 4" xfId="16377"/>
    <cellStyle name="注释 6 3 4" xfId="16378"/>
    <cellStyle name="SectionHeading 6" xfId="16379"/>
    <cellStyle name="SectionHeading 2 4" xfId="16380"/>
    <cellStyle name="Total 4 5" xfId="16381"/>
    <cellStyle name="计算 2 2 4" xfId="16382"/>
    <cellStyle name="计算 2 3 4" xfId="16383"/>
    <cellStyle name="计算 3 6" xfId="16384"/>
    <cellStyle name="计算 3 3 4" xfId="16385"/>
    <cellStyle name="Table 5" xfId="16386"/>
    <cellStyle name="计算 5 2 4" xfId="16387"/>
    <cellStyle name="输入 4 2 4" xfId="16388"/>
    <cellStyle name="输入 5 6" xfId="16389"/>
    <cellStyle name="输入 6 6" xfId="16390"/>
    <cellStyle name="输入 6 2 4" xfId="16391"/>
    <cellStyle name="输入 6 3 4" xfId="16392"/>
    <cellStyle name="输出 7 4" xfId="16393"/>
    <cellStyle name="输出 8 4" xfId="16394"/>
    <cellStyle name="输入 8 3" xfId="16395"/>
    <cellStyle name="输出 9 3" xfId="16396"/>
    <cellStyle name="4 3 2 3 3" xfId="16397"/>
    <cellStyle name="Calculation 6 3 3" xfId="16398"/>
    <cellStyle name="Calculation 6 2 2 3" xfId="16399"/>
    <cellStyle name="Input 5 3 3" xfId="16400"/>
    <cellStyle name="Input 5 2 2 3" xfId="16401"/>
    <cellStyle name="Input 7 3 3" xfId="16402"/>
    <cellStyle name="IntInputBk 4 3" xfId="16403"/>
    <cellStyle name="IntInputBk 2 2 2 2 3" xfId="16404"/>
    <cellStyle name="IntInputBk 3 3 3" xfId="16405"/>
    <cellStyle name="IntInputBk 3 2 2 3" xfId="16406"/>
    <cellStyle name="IntInputBu 4 3" xfId="16407"/>
    <cellStyle name="Lookup Table Heading 2 2 3 3" xfId="16408"/>
    <cellStyle name="Lookup Table Heading 2 2 2 2 3" xfId="16409"/>
    <cellStyle name="Lookup Table Heading 3 3 3" xfId="16410"/>
    <cellStyle name="Lookup Table Label 4 3" xfId="16411"/>
    <cellStyle name="Lookup Table Label 2 3 3" xfId="16412"/>
    <cellStyle name="Lookup Table Label 2 2 3 3" xfId="16413"/>
    <cellStyle name="Lookup Table Label 2 2 2 2 3" xfId="16414"/>
    <cellStyle name="Lookup Table Label 3 3 3" xfId="16415"/>
    <cellStyle name="Lookup Table Label 3 2 2 3" xfId="16416"/>
    <cellStyle name="Lookup Table Number 2 2 2 2 3" xfId="16417"/>
    <cellStyle name="Note 3 2 2 3" xfId="16418"/>
    <cellStyle name="Note 5 3 3" xfId="16419"/>
    <cellStyle name="Note 6 3 3" xfId="16420"/>
    <cellStyle name="Note 8 2 3" xfId="16421"/>
    <cellStyle name="Output 3 2 3" xfId="16422"/>
    <cellStyle name="Output 4 2 3" xfId="16423"/>
    <cellStyle name="Output 6 2 2 3" xfId="16424"/>
    <cellStyle name="Output 8 2 3" xfId="16425"/>
    <cellStyle name="P 2 2 3" xfId="16426"/>
    <cellStyle name="SAPBEXexcCritical6 2 3" xfId="16427"/>
    <cellStyle name="SAPBEXexcGood1 2 3" xfId="16428"/>
    <cellStyle name="SAPBEXformats 2 3" xfId="16429"/>
    <cellStyle name="SAPBEXHLevel1 2 3" xfId="16430"/>
    <cellStyle name="SAPBEXHLevel2X 2 3" xfId="16431"/>
    <cellStyle name="SAPBEXHLevel3 2 3" xfId="16432"/>
    <cellStyle name="SAPBEXHLevel3X 2 3" xfId="16433"/>
    <cellStyle name="SAPBEXresItemX 2 3" xfId="16434"/>
    <cellStyle name="SAPBEXstdItem 2 3" xfId="16435"/>
    <cellStyle name="SectionHeading 2 2 4 3" xfId="16436"/>
    <cellStyle name="SectionHeading 2 2 2 2 2 3" xfId="16437"/>
    <cellStyle name="SectionHeading 2 2 3 2 3" xfId="16438"/>
    <cellStyle name="SectionHeading 3 4 3" xfId="16439"/>
    <cellStyle name="SectionHeading 3 2 3 3" xfId="16440"/>
    <cellStyle name="SectionHeading 3 2 2 2 3" xfId="16441"/>
    <cellStyle name="SectionHeading 4 3 3" xfId="16442"/>
    <cellStyle name="SectionHeading 4 2 2 3" xfId="16443"/>
    <cellStyle name="SHADEDSTORES 3 3" xfId="16444"/>
    <cellStyle name="SHADEDSTORES 2 2 3" xfId="16445"/>
    <cellStyle name="SSComma0 2 3" xfId="16446"/>
    <cellStyle name="SSComma2 2 3" xfId="16447"/>
    <cellStyle name="SSDecs3 2 3" xfId="16448"/>
    <cellStyle name="SSDfltPct 2 3" xfId="16449"/>
    <cellStyle name="YearInputBk 2 2 2 2 3" xfId="16450"/>
    <cellStyle name="Output 2 4" xfId="16451"/>
    <cellStyle name="汇总 9" xfId="16452"/>
    <cellStyle name="注释 10" xfId="16453"/>
    <cellStyle name="注释 7 4" xfId="16454"/>
    <cellStyle name="计算 10" xfId="16455"/>
    <cellStyle name="Arial8Italic 4" xfId="16456"/>
    <cellStyle name="输入 9" xfId="16457"/>
    <cellStyle name="输出 10" xfId="16458"/>
    <cellStyle name="Input 11 3 3" xfId="16459"/>
    <cellStyle name="Input 40 2 3" xfId="16460"/>
    <cellStyle name="Input 6 3 3" xfId="16461"/>
    <cellStyle name="Input 6 2 2 3" xfId="16462"/>
    <cellStyle name="Input 7 2 2 3" xfId="16463"/>
    <cellStyle name="Input 8 3 3" xfId="16464"/>
    <cellStyle name="IntInputBk 2 3 3" xfId="16465"/>
    <cellStyle name="IntInputBk 2 2 3 3" xfId="16466"/>
    <cellStyle name="IntInputBu 2 3 3" xfId="16467"/>
    <cellStyle name="Lookup Table Heading 2 3 3" xfId="16468"/>
    <cellStyle name="Note 6 2 2 3" xfId="16469"/>
    <cellStyle name="Note 7 3 3" xfId="16470"/>
    <cellStyle name="SAPBEXexcBad8 2 3" xfId="16471"/>
    <cellStyle name="Total 8 3 3" xfId="16472"/>
    <cellStyle name="Total 8 2 2 3" xfId="16473"/>
    <cellStyle name="Total 9 2 3" xfId="16474"/>
    <cellStyle name="YearInputBu 4 3" xfId="16475"/>
    <cellStyle name="YearInputBu 2 3 3" xfId="16476"/>
    <cellStyle name="WingdingsRed 2 3" xfId="16477"/>
    <cellStyle name="WingdingsWhite 2 2" xfId="16478"/>
    <cellStyle name="WingdingsRed 2 2" xfId="16479"/>
    <cellStyle name="WingdingsBlack 2 2" xfId="16480"/>
    <cellStyle name="WingdingsBlack 2 3" xfId="16481"/>
    <cellStyle name="Total 7 2 2 2 4" xfId="16482"/>
    <cellStyle name="Total 7 2 2 5" xfId="16483"/>
    <cellStyle name="Total 7 2 5" xfId="16484"/>
    <cellStyle name="Total 7 5" xfId="16485"/>
    <cellStyle name="Total 6 3 3" xfId="16486"/>
    <cellStyle name="Total 6 2 3 3" xfId="16487"/>
    <cellStyle name="Total 6 2 2 3 3" xfId="16488"/>
    <cellStyle name="Total 6 2 2 2 2 3" xfId="16489"/>
    <cellStyle name="Total 6 2 2 2 4" xfId="16490"/>
    <cellStyle name="Total 6 2 2 5" xfId="16491"/>
    <cellStyle name="Total 6 2 5" xfId="16492"/>
    <cellStyle name="Total 6 5" xfId="16493"/>
    <cellStyle name="TITULO 4" xfId="16494"/>
    <cellStyle name="Total 7 3 2" xfId="16495"/>
    <cellStyle name="Total 7 2 3 2" xfId="16496"/>
    <cellStyle name="Total 7 2 2 3 2" xfId="16497"/>
    <cellStyle name="Total 7 2 2 2 2 2" xfId="16498"/>
    <cellStyle name="Total 7 2 2 2 3" xfId="16499"/>
    <cellStyle name="Total 7 2 2 4" xfId="16500"/>
    <cellStyle name="Total 7 2 4" xfId="16501"/>
    <cellStyle name="Total 7 4" xfId="16502"/>
    <cellStyle name="Total 6 3 2" xfId="16503"/>
    <cellStyle name="Total 6 2 3 2" xfId="16504"/>
    <cellStyle name="Total 6 2 2 3 2" xfId="16505"/>
    <cellStyle name="Total 6 2 2 2 2 2" xfId="16506"/>
    <cellStyle name="Total 6 2 2 2 3" xfId="16507"/>
    <cellStyle name="Total 6 2 2 4" xfId="16508"/>
    <cellStyle name="Total 6 2 4" xfId="16509"/>
    <cellStyle name="Total 6 4" xfId="16510"/>
    <cellStyle name="Total 2 2" xfId="16511"/>
    <cellStyle name="TITULO 2" xfId="16512"/>
    <cellStyle name="SymbolBlue 2 3" xfId="16513"/>
    <cellStyle name="style 8" xfId="16514"/>
    <cellStyle name="SymbolBlue 2 2" xfId="16515"/>
    <cellStyle name="style 6" xfId="16516"/>
    <cellStyle name="SAPBEXfilterDrill 3" xfId="16517"/>
    <cellStyle name="Border 9" xfId="16518"/>
    <cellStyle name="Calculation 12" xfId="16519"/>
    <cellStyle name="Calculation 2 6" xfId="16520"/>
    <cellStyle name="Calculation 2 2 5" xfId="16521"/>
    <cellStyle name="Calculation 3 6" xfId="16522"/>
    <cellStyle name="Calculation 3 2 5" xfId="16523"/>
    <cellStyle name="Calculation 4 6" xfId="16524"/>
    <cellStyle name="Calculation 5 6" xfId="16525"/>
    <cellStyle name="Calculation 5 2 5" xfId="16526"/>
    <cellStyle name="Calculation 7 6" xfId="16527"/>
    <cellStyle name="4 5" xfId="16528"/>
    <cellStyle name="4 3 5" xfId="16529"/>
    <cellStyle name="4 3 2 4" xfId="16530"/>
    <cellStyle name="4 3 2 2 4" xfId="16531"/>
    <cellStyle name="4 3 2 2 2 3" xfId="16532"/>
    <cellStyle name="4 3 3 4" xfId="16533"/>
    <cellStyle name="4 3 3 2 3" xfId="16534"/>
    <cellStyle name="5 5" xfId="16535"/>
    <cellStyle name="5 2 4" xfId="16536"/>
    <cellStyle name="5 2 2 4" xfId="16537"/>
    <cellStyle name="5 2 2 2 3" xfId="16538"/>
    <cellStyle name="5 3 4" xfId="16539"/>
    <cellStyle name="5 3 2 3" xfId="16540"/>
    <cellStyle name="6 5" xfId="16541"/>
    <cellStyle name="6 2 4" xfId="16542"/>
    <cellStyle name="6 2 2 4" xfId="16543"/>
    <cellStyle name="6 2 2 2 3" xfId="16544"/>
    <cellStyle name="6 3 4" xfId="16545"/>
    <cellStyle name="6 3 2 3" xfId="16546"/>
    <cellStyle name="Calculation 11" xfId="16547"/>
    <cellStyle name="Calculation 2 5" xfId="16548"/>
    <cellStyle name="Calculation 2 2 4" xfId="16549"/>
    <cellStyle name="Calculation 3 5" xfId="16550"/>
    <cellStyle name="Calculation 3 2 4" xfId="16551"/>
    <cellStyle name="Calculation 4 5" xfId="16552"/>
    <cellStyle name="Calculation 4 2 4" xfId="16553"/>
    <cellStyle name="Calculation 5 5" xfId="16554"/>
    <cellStyle name="Calculation 5 2 4" xfId="16555"/>
    <cellStyle name="Calculation 6 5" xfId="16556"/>
    <cellStyle name="Calculation 6 2 4" xfId="16557"/>
    <cellStyle name="Calculation 7 5" xfId="16558"/>
    <cellStyle name="Calculation 7 2 4" xfId="16559"/>
    <cellStyle name="Calculation 8 4" xfId="16560"/>
    <cellStyle name="9 5" xfId="16561"/>
    <cellStyle name="9 2 4" xfId="16562"/>
    <cellStyle name="9 2 2 4" xfId="16563"/>
    <cellStyle name="9 2 2 2 3" xfId="16564"/>
    <cellStyle name="9 3 4" xfId="16565"/>
    <cellStyle name="9 3 2 3" xfId="16566"/>
    <cellStyle name="Assumptions Center Currency 2" xfId="16567"/>
    <cellStyle name="Assumptions Center Date 2" xfId="16568"/>
    <cellStyle name="Assumptions Center Multiple 2" xfId="16569"/>
    <cellStyle name="Assumptions Center Number 2" xfId="16570"/>
    <cellStyle name="Assumptions Center Percentage 2" xfId="16571"/>
    <cellStyle name="Assumptions Center Year 2" xfId="16572"/>
    <cellStyle name="Assumptions Heading 2" xfId="16573"/>
    <cellStyle name="Assumptions Right Currency 2" xfId="16574"/>
    <cellStyle name="Assumptions Right Date 2" xfId="16575"/>
    <cellStyle name="Assumptions Right Multiple 2" xfId="16576"/>
    <cellStyle name="Assumptions Right Number 2" xfId="16577"/>
    <cellStyle name="Assumptions Right Percentage 2" xfId="16578"/>
    <cellStyle name="Assumptions Right Year 2" xfId="16579"/>
    <cellStyle name="Border 5" xfId="16580"/>
    <cellStyle name="Calculation 10" xfId="16581"/>
    <cellStyle name="Calculation 2 4" xfId="16582"/>
    <cellStyle name="Calculation 2 2 3" xfId="16583"/>
    <cellStyle name="Calculation 3 4" xfId="16584"/>
    <cellStyle name="Calculation 3 2 3" xfId="16585"/>
    <cellStyle name="Calculation 4 4" xfId="16586"/>
    <cellStyle name="Calculation 4 2 3" xfId="16587"/>
    <cellStyle name="Calculation 5 4" xfId="16588"/>
    <cellStyle name="Calculation 5 2 3" xfId="16589"/>
    <cellStyle name="Calculation 6 4" xfId="16590"/>
    <cellStyle name="Calculation 6 2 3" xfId="16591"/>
    <cellStyle name="Calculation 7 4" xfId="16592"/>
    <cellStyle name="Calculation 7 2 3" xfId="16593"/>
    <cellStyle name="Calculation 8 3" xfId="16594"/>
    <cellStyle name="PB Table Subtotal Row 4" xfId="16595"/>
    <cellStyle name="HK$ 6" xfId="16596"/>
    <cellStyle name="Input 48" xfId="16597"/>
    <cellStyle name="Input 11 2 5" xfId="16598"/>
    <cellStyle name="Input 12 3 5" xfId="16599"/>
    <cellStyle name="Input 14 3 5" xfId="16600"/>
    <cellStyle name="Input 15 6" xfId="16601"/>
    <cellStyle name="Input 15 2 5" xfId="16602"/>
    <cellStyle name="Input 16 6" xfId="16603"/>
    <cellStyle name="Input 16 2 5" xfId="16604"/>
    <cellStyle name="Input 17 5" xfId="16605"/>
    <cellStyle name="Input 18 5" xfId="16606"/>
    <cellStyle name="Input 19 5" xfId="16607"/>
    <cellStyle name="Input 2 6" xfId="16608"/>
    <cellStyle name="Input 2 2 6" xfId="16609"/>
    <cellStyle name="Input 2 2 2 5" xfId="16610"/>
    <cellStyle name="Input 20 5" xfId="16611"/>
    <cellStyle name="Input 22 5" xfId="16612"/>
    <cellStyle name="Input 23 5" xfId="16613"/>
    <cellStyle name="Input 24 5" xfId="16614"/>
    <cellStyle name="Input 25 5" xfId="16615"/>
    <cellStyle name="Input 26 5" xfId="16616"/>
    <cellStyle name="Input 27 5" xfId="16617"/>
    <cellStyle name="Input 28 5" xfId="16618"/>
    <cellStyle name="Input 29 5" xfId="16619"/>
    <cellStyle name="Input 3 6" xfId="16620"/>
    <cellStyle name="Input 3 2 5" xfId="16621"/>
    <cellStyle name="Input 30 5" xfId="16622"/>
    <cellStyle name="Input 31 5" xfId="16623"/>
    <cellStyle name="Input 32 5" xfId="16624"/>
    <cellStyle name="Input 33 5" xfId="16625"/>
    <cellStyle name="Input 34 5" xfId="16626"/>
    <cellStyle name="Input 36 5" xfId="16627"/>
    <cellStyle name="Input 37 5" xfId="16628"/>
    <cellStyle name="Input 39 5" xfId="16629"/>
    <cellStyle name="Input 4 6" xfId="16630"/>
    <cellStyle name="Input 4 2 5" xfId="16631"/>
    <cellStyle name="Input 40 5" xfId="16632"/>
    <cellStyle name="Input 42 5" xfId="16633"/>
    <cellStyle name="Input 5 2 5" xfId="16634"/>
    <cellStyle name="Input 7 6" xfId="16635"/>
    <cellStyle name="Input 7 2 5" xfId="16636"/>
    <cellStyle name="Input 8 6" xfId="16637"/>
    <cellStyle name="Input 8 2 5" xfId="16638"/>
    <cellStyle name="Input 9 6" xfId="16639"/>
    <cellStyle name="Input 9 2 5" xfId="16640"/>
    <cellStyle name="PB Table Subtotal Row 3" xfId="16641"/>
    <cellStyle name="HK$ 4" xfId="16642"/>
    <cellStyle name="Input 46" xfId="16643"/>
    <cellStyle name="Input 10 5" xfId="16644"/>
    <cellStyle name="Input 10 2 4" xfId="16645"/>
    <cellStyle name="Input 11 5" xfId="16646"/>
    <cellStyle name="Input 11 2 4" xfId="16647"/>
    <cellStyle name="Input 12 6" xfId="16648"/>
    <cellStyle name="Input 12 3 4" xfId="16649"/>
    <cellStyle name="Input 13 6" xfId="16650"/>
    <cellStyle name="Input 13 3 4" xfId="16651"/>
    <cellStyle name="Input 14 6" xfId="16652"/>
    <cellStyle name="Input 14 3 4" xfId="16653"/>
    <cellStyle name="Input 15 5" xfId="16654"/>
    <cellStyle name="Input 15 2 4" xfId="16655"/>
    <cellStyle name="Input 16 5" xfId="16656"/>
    <cellStyle name="Input 16 2 4" xfId="16657"/>
    <cellStyle name="Input 17 4" xfId="16658"/>
    <cellStyle name="Input 18 4" xfId="16659"/>
    <cellStyle name="Input 19 4" xfId="16660"/>
    <cellStyle name="Input 2 5" xfId="16661"/>
    <cellStyle name="Input 2 2 5" xfId="16662"/>
    <cellStyle name="Input 2 2 2 4" xfId="16663"/>
    <cellStyle name="Input 20 4" xfId="16664"/>
    <cellStyle name="Input 21 4" xfId="16665"/>
    <cellStyle name="Input 22 4" xfId="16666"/>
    <cellStyle name="Input 23 4" xfId="16667"/>
    <cellStyle name="Input 24 4" xfId="16668"/>
    <cellStyle name="Input 25 4" xfId="16669"/>
    <cellStyle name="Input 26 4" xfId="16670"/>
    <cellStyle name="Input 27 4" xfId="16671"/>
    <cellStyle name="Input 28 4" xfId="16672"/>
    <cellStyle name="Input 29 4" xfId="16673"/>
    <cellStyle name="Input 3 5" xfId="16674"/>
    <cellStyle name="Input 3 2 4" xfId="16675"/>
    <cellStyle name="Input 31 4" xfId="16676"/>
    <cellStyle name="Input 33 4" xfId="16677"/>
    <cellStyle name="Input 34 4" xfId="16678"/>
    <cellStyle name="Input 35 4" xfId="16679"/>
    <cellStyle name="Input 40 4" xfId="16680"/>
    <cellStyle name="Input 41 4" xfId="16681"/>
    <cellStyle name="Input 42 4" xfId="16682"/>
    <cellStyle name="Input 5 5" xfId="16683"/>
    <cellStyle name="Input 5 2 4" xfId="16684"/>
    <cellStyle name="Input 6 5" xfId="16685"/>
    <cellStyle name="Input 6 2 4" xfId="16686"/>
    <cellStyle name="Input 7 5" xfId="16687"/>
    <cellStyle name="Input 7 2 4" xfId="16688"/>
    <cellStyle name="Input 8 5" xfId="16689"/>
    <cellStyle name="Input 8 2 4" xfId="16690"/>
    <cellStyle name="Input 9 5" xfId="16691"/>
    <cellStyle name="Input 9 2 4" xfId="16692"/>
    <cellStyle name="hard no 5" xfId="16693"/>
    <cellStyle name="hard no 2 4" xfId="16694"/>
    <cellStyle name="hard no 2 2 4" xfId="16695"/>
    <cellStyle name="hard no 2 2 2 3" xfId="16696"/>
    <cellStyle name="hard no 3 4" xfId="16697"/>
    <cellStyle name="hard no 3 2 3" xfId="16698"/>
    <cellStyle name="hard no. 5" xfId="16699"/>
    <cellStyle name="hard no. 2 4" xfId="16700"/>
    <cellStyle name="hard no. 2 2 4" xfId="16701"/>
    <cellStyle name="hard no. 2 2 2 3" xfId="16702"/>
    <cellStyle name="hard no. 3 4" xfId="16703"/>
    <cellStyle name="hard no. 3 2 3" xfId="16704"/>
    <cellStyle name="HK$ 2" xfId="16705"/>
    <cellStyle name="Input 44" xfId="16706"/>
    <cellStyle name="Input % 2 4" xfId="16707"/>
    <cellStyle name="Input % 2 2 3" xfId="16708"/>
    <cellStyle name="Input % 3 3" xfId="16709"/>
    <cellStyle name="Input [yellow] 2 4" xfId="16710"/>
    <cellStyle name="Input [yellow] 2 2 4" xfId="16711"/>
    <cellStyle name="Input [yellow] 2 2 2 3" xfId="16712"/>
    <cellStyle name="Input [yellow] 3 4" xfId="16713"/>
    <cellStyle name="Input [yellow] 3 2 3" xfId="16714"/>
    <cellStyle name="Input [yellow] 4 4" xfId="16715"/>
    <cellStyle name="Input [yellow] 4 2 3" xfId="16716"/>
    <cellStyle name="Input 10 4" xfId="16717"/>
    <cellStyle name="Input 10 2 3" xfId="16718"/>
    <cellStyle name="Input 11 4" xfId="16719"/>
    <cellStyle name="Input 11 2 3" xfId="16720"/>
    <cellStyle name="Input 12 5" xfId="16721"/>
    <cellStyle name="Input 12 3 3" xfId="16722"/>
    <cellStyle name="Input 13 5" xfId="16723"/>
    <cellStyle name="Input 13 3 3" xfId="16724"/>
    <cellStyle name="Input 14 5" xfId="16725"/>
    <cellStyle name="Input 14 3 3" xfId="16726"/>
    <cellStyle name="Input 15 4" xfId="16727"/>
    <cellStyle name="Input 15 2 3" xfId="16728"/>
    <cellStyle name="Input 16 4" xfId="16729"/>
    <cellStyle name="Input 16 2 3" xfId="16730"/>
    <cellStyle name="Input 17 3" xfId="16731"/>
    <cellStyle name="Input 18 3" xfId="16732"/>
    <cellStyle name="Input 19 3" xfId="16733"/>
    <cellStyle name="Input 2 4" xfId="16734"/>
    <cellStyle name="Input 2 2 4" xfId="16735"/>
    <cellStyle name="Input 2 2 2 3" xfId="16736"/>
    <cellStyle name="Input 20 3" xfId="16737"/>
    <cellStyle name="Input 21 3" xfId="16738"/>
    <cellStyle name="Input 22 3" xfId="16739"/>
    <cellStyle name="Input 23 3" xfId="16740"/>
    <cellStyle name="Input 24 3" xfId="16741"/>
    <cellStyle name="Input 25 3" xfId="16742"/>
    <cellStyle name="Input 26 3" xfId="16743"/>
    <cellStyle name="Input 27 3" xfId="16744"/>
    <cellStyle name="Input 28 3" xfId="16745"/>
    <cellStyle name="Input 29 3" xfId="16746"/>
    <cellStyle name="Input 3 4" xfId="16747"/>
    <cellStyle name="Input 3 2 3" xfId="16748"/>
    <cellStyle name="Input 30 3" xfId="16749"/>
    <cellStyle name="Input 31 3" xfId="16750"/>
    <cellStyle name="Input 32 3" xfId="16751"/>
    <cellStyle name="Input 33 3" xfId="16752"/>
    <cellStyle name="Input 34 3" xfId="16753"/>
    <cellStyle name="Input 35 3" xfId="16754"/>
    <cellStyle name="Input 36 3" xfId="16755"/>
    <cellStyle name="Input 37 3" xfId="16756"/>
    <cellStyle name="Input 38 3" xfId="16757"/>
    <cellStyle name="Input 39 3" xfId="16758"/>
    <cellStyle name="Input 4 4" xfId="16759"/>
    <cellStyle name="Input 4 2 3" xfId="16760"/>
    <cellStyle name="Input 40 3" xfId="16761"/>
    <cellStyle name="Input 41 3" xfId="16762"/>
    <cellStyle name="Input 42 3" xfId="16763"/>
    <cellStyle name="Input 5 4" xfId="16764"/>
    <cellStyle name="Input 5 2 3" xfId="16765"/>
    <cellStyle name="Input 6 4" xfId="16766"/>
    <cellStyle name="Input 6 2 3" xfId="16767"/>
    <cellStyle name="Input 7 4" xfId="16768"/>
    <cellStyle name="Input 7 2 3" xfId="16769"/>
    <cellStyle name="Input 8 4" xfId="16770"/>
    <cellStyle name="Input 8 2 3" xfId="16771"/>
    <cellStyle name="Input 9 4" xfId="16772"/>
    <cellStyle name="Input 9 2 3" xfId="16773"/>
    <cellStyle name="IntInputBk 5" xfId="16774"/>
    <cellStyle name="IntInputBk 2 4" xfId="16775"/>
    <cellStyle name="IntInputBk 2 2 4" xfId="16776"/>
    <cellStyle name="IntInputBk 2 2 2 3" xfId="16777"/>
    <cellStyle name="IntInputBk 3 4" xfId="16778"/>
    <cellStyle name="IntInputBk 3 2 3" xfId="16779"/>
    <cellStyle name="IntInputBu 5" xfId="16780"/>
    <cellStyle name="IntInputBu 2 4" xfId="16781"/>
    <cellStyle name="IntInputBu 2 2 4" xfId="16782"/>
    <cellStyle name="IntInputBu 2 2 2 3" xfId="16783"/>
    <cellStyle name="IntInputBu 3 4" xfId="16784"/>
    <cellStyle name="IntInputBu 3 2 3" xfId="16785"/>
    <cellStyle name="Lookup Table Heading 5" xfId="16786"/>
    <cellStyle name="Lookup Table Heading 2 4" xfId="16787"/>
    <cellStyle name="Lookup Table Heading 2 2 4" xfId="16788"/>
    <cellStyle name="Lookup Table Heading 2 2 2 3" xfId="16789"/>
    <cellStyle name="Lookup Table Heading 3 4" xfId="16790"/>
    <cellStyle name="Lookup Table Heading 3 2 3" xfId="16791"/>
    <cellStyle name="Lookup Table Label 5" xfId="16792"/>
    <cellStyle name="Lookup Table Label 2 4" xfId="16793"/>
    <cellStyle name="Lookup Table Label 2 2 4" xfId="16794"/>
    <cellStyle name="Lookup Table Label 2 2 2 3" xfId="16795"/>
    <cellStyle name="Lookup Table Label 3 4" xfId="16796"/>
    <cellStyle name="Lookup Table Label 3 2 3" xfId="16797"/>
    <cellStyle name="Lookup Table Number 5" xfId="16798"/>
    <cellStyle name="Lookup Table Number 2 4" xfId="16799"/>
    <cellStyle name="Lookup Table Number 2 2 4" xfId="16800"/>
    <cellStyle name="Lookup Table Number 2 2 2 3" xfId="16801"/>
    <cellStyle name="Lookup Table Number 3 4" xfId="16802"/>
    <cellStyle name="Lookup Table Number 3 2 3" xfId="16803"/>
    <cellStyle name="Link 5 3" xfId="16804"/>
    <cellStyle name="Link 4 3" xfId="16805"/>
    <cellStyle name="Link 3 2 3" xfId="16806"/>
    <cellStyle name="Link 3 4" xfId="16807"/>
    <cellStyle name="Link 2 2 3" xfId="16808"/>
    <cellStyle name="Link 2 4" xfId="16809"/>
    <cellStyle name="ItemTypeClass 4 3" xfId="16810"/>
    <cellStyle name="ItemTypeClass 3 3" xfId="16811"/>
    <cellStyle name="ItemTypeClass 2 2 3" xfId="16812"/>
    <cellStyle name="ItemTypeClass 2 4" xfId="16813"/>
    <cellStyle name="Note 3 6" xfId="16814"/>
    <cellStyle name="Note 3 2 5" xfId="16815"/>
    <cellStyle name="Note 5 6" xfId="16816"/>
    <cellStyle name="Note 5 2 5" xfId="16817"/>
    <cellStyle name="Note 7 2 5" xfId="16818"/>
    <cellStyle name="Note 8 5" xfId="16819"/>
    <cellStyle name="Input 47" xfId="16820"/>
    <cellStyle name="Output 12" xfId="16821"/>
    <cellStyle name="Output 3 5" xfId="16822"/>
    <cellStyle name="Output 4 5" xfId="16823"/>
    <cellStyle name="HK$ 5" xfId="16824"/>
    <cellStyle name="Output 6 2 5" xfId="16825"/>
    <cellStyle name="Output 7 6" xfId="16826"/>
    <cellStyle name="Output 7 2 5" xfId="16827"/>
    <cellStyle name="Output 8 5" xfId="16828"/>
    <cellStyle name="P 6" xfId="16829"/>
    <cellStyle name="P 2 5" xfId="16830"/>
    <cellStyle name="Link 5 2" xfId="16831"/>
    <cellStyle name="Link 4 2" xfId="16832"/>
    <cellStyle name="Link 3 2 2" xfId="16833"/>
    <cellStyle name="Link 3 3" xfId="16834"/>
    <cellStyle name="Link 2 2 2" xfId="16835"/>
    <cellStyle name="Link 2 3" xfId="16836"/>
    <cellStyle name="ItemTypeClass 4 2" xfId="16837"/>
    <cellStyle name="ItemTypeClass 3 2" xfId="16838"/>
    <cellStyle name="ItemTypeClass 2 2 2" xfId="16839"/>
    <cellStyle name="ItemTypeClass 2 3" xfId="16840"/>
    <cellStyle name="Note 3 5" xfId="16841"/>
    <cellStyle name="Note 3 2 4" xfId="16842"/>
    <cellStyle name="Note 5 5" xfId="16843"/>
    <cellStyle name="Note 5 2 4" xfId="16844"/>
    <cellStyle name="Note 7 2 4" xfId="16845"/>
    <cellStyle name="Note 8 4" xfId="16846"/>
    <cellStyle name="Input 45" xfId="16847"/>
    <cellStyle name="Output 11" xfId="16848"/>
    <cellStyle name="Output 3 4" xfId="16849"/>
    <cellStyle name="Output 4 4" xfId="16850"/>
    <cellStyle name="HK$ 3" xfId="16851"/>
    <cellStyle name="Output 6 2 4" xfId="16852"/>
    <cellStyle name="Output 7 5" xfId="16853"/>
    <cellStyle name="Output 7 2 4" xfId="16854"/>
    <cellStyle name="Output 8 4" xfId="16855"/>
    <cellStyle name="P 5" xfId="16856"/>
    <cellStyle name="P 2 4" xfId="16857"/>
    <cellStyle name="SAPBEXaggData 5" xfId="16858"/>
    <cellStyle name="SAPBEXaggDataEmph 5" xfId="16859"/>
    <cellStyle name="SAPBEXaggItem 5" xfId="16860"/>
    <cellStyle name="SAPBEXaggItemX 5" xfId="16861"/>
    <cellStyle name="SAPBEXexcCritical5 5" xfId="16862"/>
    <cellStyle name="SAPBEXexcCritical6 5" xfId="16863"/>
    <cellStyle name="SAPBEXexcGood1 5" xfId="16864"/>
    <cellStyle name="SAPBEXexcGood2 5" xfId="16865"/>
    <cellStyle name="SAPBEXformats 5" xfId="16866"/>
    <cellStyle name="SAPBEXHLevel0 5" xfId="16867"/>
    <cellStyle name="SAPBEXHLevel0X 5" xfId="16868"/>
    <cellStyle name="SAPBEXHLevel1X 5" xfId="16869"/>
    <cellStyle name="SAPBEXHLevel2 5" xfId="16870"/>
    <cellStyle name="SAPBEXHLevel3X 5" xfId="16871"/>
    <cellStyle name="SAPBEXresData 5" xfId="16872"/>
    <cellStyle name="SAPBEXresDataEmph 5" xfId="16873"/>
    <cellStyle name="SAPBEXstdData 5" xfId="16874"/>
    <cellStyle name="SAPBEXstdDataEmph 5" xfId="16875"/>
    <cellStyle name="SAPBEXstdItem 5" xfId="16876"/>
    <cellStyle name="SAPBEXstdItemX 5" xfId="16877"/>
    <cellStyle name="SAPBEXundefined 5" xfId="16878"/>
    <cellStyle name="SSComma2 5" xfId="16879"/>
    <cellStyle name="SSDecs3 5" xfId="16880"/>
    <cellStyle name="SSDfltPct 5" xfId="16881"/>
    <cellStyle name="SSDfltPct0 5" xfId="16882"/>
    <cellStyle name="Border 8" xfId="16883"/>
    <cellStyle name="BNPPPRatios 3 3" xfId="16884"/>
    <cellStyle name="BNPPPRatios 5" xfId="16885"/>
    <cellStyle name="BNPPPPerShare 3 3" xfId="16886"/>
    <cellStyle name="BNPPPPerShare 5" xfId="16887"/>
    <cellStyle name="BNPPPFinancials 3 3" xfId="16888"/>
    <cellStyle name="BNPPPFinancials 5" xfId="16889"/>
    <cellStyle name="TITULO 5" xfId="16890"/>
    <cellStyle name="Assumptions Right Year 4" xfId="16891"/>
    <cellStyle name="Assumptions Right Percentage 4" xfId="16892"/>
    <cellStyle name="Assumptions Right Number 4" xfId="16893"/>
    <cellStyle name="Assumptions Right Multiple 4" xfId="16894"/>
    <cellStyle name="Assumptions Right Date 4" xfId="16895"/>
    <cellStyle name="Assumptions Right Currency 4" xfId="16896"/>
    <cellStyle name="Assumptions Heading 4" xfId="16897"/>
    <cellStyle name="Assumptions Center Year 4" xfId="16898"/>
    <cellStyle name="Assumptions Center Percentage 4" xfId="16899"/>
    <cellStyle name="Assumptions Center Number 4" xfId="16900"/>
    <cellStyle name="Assumptions Center Multiple 4" xfId="16901"/>
    <cellStyle name="Assumptions Center Date 4" xfId="16902"/>
    <cellStyle name="Assumptions Center Currency 4" xfId="16903"/>
    <cellStyle name="ArialNormal 2 3" xfId="16904"/>
    <cellStyle name="Arial8Bold 2 3" xfId="16905"/>
    <cellStyle name="Total 3 5" xfId="16906"/>
    <cellStyle name="Total 5 5" xfId="16907"/>
    <cellStyle name="Total 8 6" xfId="16908"/>
    <cellStyle name="Total 8 2 5" xfId="16909"/>
    <cellStyle name="Total 9 5" xfId="16910"/>
    <cellStyle name="Note 10" xfId="16911"/>
    <cellStyle name="Note 2 4" xfId="16912"/>
    <cellStyle name="Note 2 2 3" xfId="16913"/>
    <cellStyle name="Note 3 4" xfId="16914"/>
    <cellStyle name="Note 3 2 3" xfId="16915"/>
    <cellStyle name="Note 4 4" xfId="16916"/>
    <cellStyle name="Note 4 2 3" xfId="16917"/>
    <cellStyle name="Note 5 4" xfId="16918"/>
    <cellStyle name="Note 5 2 3" xfId="16919"/>
    <cellStyle name="Note 6 4" xfId="16920"/>
    <cellStyle name="Note 6 2 3" xfId="16921"/>
    <cellStyle name="Note 7 4" xfId="16922"/>
    <cellStyle name="Note 7 2 3" xfId="16923"/>
    <cellStyle name="Note 8 3" xfId="16924"/>
    <cellStyle name="YearInputBk 7" xfId="16925"/>
    <cellStyle name="YearInputBk 2 6" xfId="16926"/>
    <cellStyle name="YearInputBk 2 2 6" xfId="16927"/>
    <cellStyle name="YearInputBk 2 2 2 5" xfId="16928"/>
    <cellStyle name="YearInputBk 3 6" xfId="16929"/>
    <cellStyle name="YearInputBu 2 2 6" xfId="16930"/>
    <cellStyle name="YearInputBu 2 2 2 5" xfId="16931"/>
    <cellStyle name="YearInputBu 3 6" xfId="16932"/>
    <cellStyle name="YearInputBu 3 2 5" xfId="16933"/>
    <cellStyle name="Output 10" xfId="16934"/>
    <cellStyle name="Output 2 3" xfId="16935"/>
    <cellStyle name="Output 3 3" xfId="16936"/>
    <cellStyle name="Output 4 3" xfId="16937"/>
    <cellStyle name="Output 5 3" xfId="16938"/>
    <cellStyle name="Output 6 4" xfId="16939"/>
    <cellStyle name="Output 6 2 3" xfId="16940"/>
    <cellStyle name="Output 7 4" xfId="16941"/>
    <cellStyle name="Output 7 2 3" xfId="16942"/>
    <cellStyle name="Output 8 3" xfId="16943"/>
    <cellStyle name="P 4" xfId="16944"/>
    <cellStyle name="P 2 3" xfId="16945"/>
    <cellStyle name="備註 5" xfId="16946"/>
    <cellStyle name="PB Table Subtotal Row 2" xfId="16947"/>
    <cellStyle name="¿µ 3 3" xfId="16948"/>
    <cellStyle name="¿µ 2 2 2 3" xfId="16949"/>
    <cellStyle name="¿µ 2 2 4" xfId="16950"/>
    <cellStyle name="¿µ 2 4" xfId="16951"/>
    <cellStyle name="¿µ 5" xfId="16952"/>
    <cellStyle name="汇总 2 7" xfId="16953"/>
    <cellStyle name="汇总 2 2 5" xfId="16954"/>
    <cellStyle name="汇总 2 3 6" xfId="16955"/>
    <cellStyle name="汇总 2 3 2 5" xfId="16956"/>
    <cellStyle name="汇总 3 7" xfId="16957"/>
    <cellStyle name="汇总 3 2 5" xfId="16958"/>
    <cellStyle name="汇总 3 3 5" xfId="16959"/>
    <cellStyle name="SAPBEXaggData 4" xfId="16960"/>
    <cellStyle name="SAPBEXaggDataEmph 4" xfId="16961"/>
    <cellStyle name="SAPBEXaggItem 4" xfId="16962"/>
    <cellStyle name="SAPBEXaggItemX 4" xfId="16963"/>
    <cellStyle name="汇总 4 7" xfId="16964"/>
    <cellStyle name="SAPBEXexcBad7 4" xfId="16965"/>
    <cellStyle name="SAPBEXexcBad8 4" xfId="16966"/>
    <cellStyle name="SAPBEXexcBad9 4" xfId="16967"/>
    <cellStyle name="SAPBEXexcCritical4 4" xfId="16968"/>
    <cellStyle name="SAPBEXexcCritical5 4" xfId="16969"/>
    <cellStyle name="SAPBEXexcCritical6 4" xfId="16970"/>
    <cellStyle name="SAPBEXexcGood1 4" xfId="16971"/>
    <cellStyle name="SAPBEXexcGood2 4" xfId="16972"/>
    <cellStyle name="SAPBEXexcGood3 4" xfId="16973"/>
    <cellStyle name="汇总 4 2 5" xfId="16974"/>
    <cellStyle name="汇总 4 3 5" xfId="16975"/>
    <cellStyle name="SAPBEXformats 4" xfId="16976"/>
    <cellStyle name="汇总 5 7" xfId="16977"/>
    <cellStyle name="汇总 5 2 5" xfId="16978"/>
    <cellStyle name="SAPBEXHLevel0 4" xfId="16979"/>
    <cellStyle name="SAPBEXHLevel0X 4" xfId="16980"/>
    <cellStyle name="SAPBEXHLevel1X 4" xfId="16981"/>
    <cellStyle name="SAPBEXHLevel2 4" xfId="16982"/>
    <cellStyle name="SAPBEXresData 4" xfId="16983"/>
    <cellStyle name="SAPBEXresDataEmph 4" xfId="16984"/>
    <cellStyle name="SAPBEXresItem 4" xfId="16985"/>
    <cellStyle name="SAPBEXstdDataEmph 4" xfId="16986"/>
    <cellStyle name="SAPBEXstdItem 4" xfId="16987"/>
    <cellStyle name="SAPBEXstdItemX 4" xfId="16988"/>
    <cellStyle name="汇总 5 3 5" xfId="16989"/>
    <cellStyle name="SAPBEXundefined 4" xfId="16990"/>
    <cellStyle name="汇总 6 2 5" xfId="16991"/>
    <cellStyle name="注释 2 2 5" xfId="16992"/>
    <cellStyle name="注释 2 3 5" xfId="16993"/>
    <cellStyle name="注释 3 7" xfId="16994"/>
    <cellStyle name="注释 3 2 5" xfId="16995"/>
    <cellStyle name="注释 3 3 5" xfId="16996"/>
    <cellStyle name="注释 5 3 5" xfId="16997"/>
    <cellStyle name="注释 8 5" xfId="16998"/>
    <cellStyle name="SSDecs3 4" xfId="16999"/>
    <cellStyle name="SSDfltPct 4" xfId="17000"/>
    <cellStyle name="SSDfltPct0 4" xfId="17001"/>
    <cellStyle name="SSFixed2 4" xfId="17002"/>
    <cellStyle name="style 7" xfId="17003"/>
    <cellStyle name="計算方式 5" xfId="17004"/>
    <cellStyle name="计算 2 7" xfId="17005"/>
    <cellStyle name="计算 2 2 5" xfId="17006"/>
    <cellStyle name="计算 2 3 5" xfId="17007"/>
    <cellStyle name="计算 3 7" xfId="17008"/>
    <cellStyle name="计算 3 2 5" xfId="17009"/>
    <cellStyle name="计算 3 3 5" xfId="17010"/>
    <cellStyle name="计算 4 7" xfId="17011"/>
    <cellStyle name="计算 4 2 5" xfId="17012"/>
    <cellStyle name="计算 4 3 5" xfId="17013"/>
    <cellStyle name="计算 5 7" xfId="17014"/>
    <cellStyle name="计算 5 2 5" xfId="17015"/>
    <cellStyle name="计算 6 7" xfId="17016"/>
    <cellStyle name="计算 6 2 5" xfId="17017"/>
    <cellStyle name="计算 6 3 5" xfId="17018"/>
    <cellStyle name="计算 7 5" xfId="17019"/>
    <cellStyle name="计算 8 5" xfId="17020"/>
    <cellStyle name="输入 2 2 5" xfId="17021"/>
    <cellStyle name="输入 2 3 5" xfId="17022"/>
    <cellStyle name="输入 3 7" xfId="17023"/>
    <cellStyle name="输入 3 2 5" xfId="17024"/>
    <cellStyle name="输入 4 2 5" xfId="17025"/>
    <cellStyle name="输入 6 7" xfId="17026"/>
    <cellStyle name="输入 6 2 5" xfId="17027"/>
    <cellStyle name="Border 6" xfId="17028"/>
    <cellStyle name="输入 7 5" xfId="17029"/>
    <cellStyle name="输出 2 7" xfId="17030"/>
    <cellStyle name="输出 2 2 5" xfId="17031"/>
    <cellStyle name="输出 2 3 5" xfId="17032"/>
    <cellStyle name="输出 3 7" xfId="17033"/>
    <cellStyle name="输出 3 2 5" xfId="17034"/>
    <cellStyle name="输出 3 3 5" xfId="17035"/>
    <cellStyle name="输出 4 7" xfId="17036"/>
    <cellStyle name="输出 4 2 5" xfId="17037"/>
    <cellStyle name="输出 4 3 5" xfId="17038"/>
    <cellStyle name="输出 5 7" xfId="17039"/>
    <cellStyle name="输出 5 2 5" xfId="17040"/>
    <cellStyle name="输出 6 2 5" xfId="17041"/>
    <cellStyle name="输出 6 3 5" xfId="17042"/>
    <cellStyle name="输出 7 5" xfId="17043"/>
    <cellStyle name="输出 8 5" xfId="17044"/>
    <cellStyle name="BNPPPRatios 3 2" xfId="17045"/>
    <cellStyle name="BNPPPRatios 4" xfId="17046"/>
    <cellStyle name="BNPPPPerShare 3 2" xfId="17047"/>
    <cellStyle name="BNPPPPerShare 4" xfId="17048"/>
    <cellStyle name="BNPPPFinancials 3 2" xfId="17049"/>
    <cellStyle name="BNPPPFinancials 4" xfId="17050"/>
    <cellStyle name="Header2 4 4" xfId="17051"/>
    <cellStyle name="Input % 4 4" xfId="17052"/>
    <cellStyle name="Input [yellow] 5 4" xfId="17053"/>
    <cellStyle name="SectionHeading 5 4" xfId="17054"/>
    <cellStyle name="SectionHeading 2 3 4" xfId="17055"/>
    <cellStyle name="注释 9 4" xfId="17056"/>
    <cellStyle name="计算 9 4" xfId="17057"/>
    <cellStyle name="输入 8 4" xfId="17058"/>
    <cellStyle name="输出 9 4" xfId="17059"/>
    <cellStyle name="Assumptions Right Year 3" xfId="17060"/>
    <cellStyle name="Assumptions Right Percentage 3" xfId="17061"/>
    <cellStyle name="Assumptions Right Number 3" xfId="17062"/>
    <cellStyle name="Assumptions Right Multiple 3" xfId="17063"/>
    <cellStyle name="Assumptions Right Date 3" xfId="17064"/>
    <cellStyle name="Assumptions Right Currency 3" xfId="17065"/>
    <cellStyle name="Assumptions Heading 3" xfId="17066"/>
    <cellStyle name="Assumptions Center Year 3" xfId="17067"/>
    <cellStyle name="Assumptions Center Percentage 3" xfId="17068"/>
    <cellStyle name="Assumptions Center Number 3" xfId="17069"/>
    <cellStyle name="Assumptions Center Multiple 3" xfId="17070"/>
    <cellStyle name="Assumptions Center Date 3" xfId="17071"/>
    <cellStyle name="Assumptions Center Currency 3" xfId="17072"/>
    <cellStyle name="ArialNormal 2 2" xfId="17073"/>
    <cellStyle name="Arial8Italic 2 2" xfId="17074"/>
    <cellStyle name="Arial8Bold 2 2" xfId="17075"/>
    <cellStyle name="Arial6Bold 2 2" xfId="17076"/>
    <cellStyle name="4 3 3 3 4" xfId="17077"/>
    <cellStyle name="4 3 3 2 2 4" xfId="17078"/>
    <cellStyle name="Total 12" xfId="17079"/>
    <cellStyle name="Total 3 4" xfId="17080"/>
    <cellStyle name="Total 4 4" xfId="17081"/>
    <cellStyle name="5 3 3 4" xfId="17082"/>
    <cellStyle name="5 3 2 2 4" xfId="17083"/>
    <cellStyle name="6 4 4" xfId="17084"/>
    <cellStyle name="6 2 2 2 2 4" xfId="17085"/>
    <cellStyle name="9 4 4" xfId="17086"/>
    <cellStyle name="9 2 3 4" xfId="17087"/>
    <cellStyle name="9 2 2 3 4" xfId="17088"/>
    <cellStyle name="9 2 2 2 2 4" xfId="17089"/>
    <cellStyle name="9 3 3 4" xfId="17090"/>
    <cellStyle name="9 3 2 2 4" xfId="17091"/>
    <cellStyle name="Calculation 9 4" xfId="17092"/>
    <cellStyle name="Calculation 2 3 4" xfId="17093"/>
    <cellStyle name="Total 8 5" xfId="17094"/>
    <cellStyle name="Total 8 2 4" xfId="17095"/>
    <cellStyle name="Total 9 4" xfId="17096"/>
    <cellStyle name="Calculation 2 2 2 4" xfId="17097"/>
    <cellStyle name="Calculation 4 3 4" xfId="17098"/>
    <cellStyle name="Calculation 4 2 2 4" xfId="17099"/>
    <cellStyle name="Calculation 5 3 4" xfId="17100"/>
    <cellStyle name="Calculation 6 3 4" xfId="17101"/>
    <cellStyle name="Calculation 7 2 2 4" xfId="17102"/>
    <cellStyle name="Date, mmm-yy 2 2 2 2 4" xfId="17103"/>
    <cellStyle name="Date, mmm-yy 2 3 2 4" xfId="17104"/>
    <cellStyle name="Download 6 4" xfId="17105"/>
    <cellStyle name="Download 2 2 3 4" xfId="17106"/>
    <cellStyle name="Download 2 2 2 2 4" xfId="17107"/>
    <cellStyle name="Download 4 4 4" xfId="17108"/>
    <cellStyle name="Download 4 2 2 2 4" xfId="17109"/>
    <cellStyle name="Download 4 3 2 4" xfId="17110"/>
    <cellStyle name="ProjectionInput 5" xfId="17111"/>
    <cellStyle name="ProjectionInput 2 4" xfId="17112"/>
    <cellStyle name="ProjectionInput 2 2 4" xfId="17113"/>
    <cellStyle name="ProjectionInput 2 2 2 3" xfId="17114"/>
    <cellStyle name="ProjectionInput 3 4" xfId="17115"/>
    <cellStyle name="ProjectionInput 3 2 3" xfId="17116"/>
    <cellStyle name="Header2 3 2 4" xfId="17117"/>
    <cellStyle name="Input 43 4" xfId="17118"/>
    <cellStyle name="Input % 2 2 2 4" xfId="17119"/>
    <cellStyle name="Input [yellow] 2 2 3 4" xfId="17120"/>
    <cellStyle name="Input [yellow] 3 3 4" xfId="17121"/>
    <cellStyle name="Input [yellow] 4 3 4" xfId="17122"/>
    <cellStyle name="Input 11 3 4" xfId="17123"/>
    <cellStyle name="Input 11 2 2 4" xfId="17124"/>
    <cellStyle name="Input 14 3 2 4" xfId="17125"/>
    <cellStyle name="Input 15 3 4" xfId="17126"/>
    <cellStyle name="Input 16 3 4" xfId="17127"/>
    <cellStyle name="Input 17 2 4" xfId="17128"/>
    <cellStyle name="Input 19 2 4" xfId="17129"/>
    <cellStyle name="Input 2 3 4" xfId="17130"/>
    <cellStyle name="Input 2 2 2 2 4" xfId="17131"/>
    <cellStyle name="Input 22 2 4" xfId="17132"/>
    <cellStyle name="Input 25 2 4" xfId="17133"/>
    <cellStyle name="Input 26 2 4" xfId="17134"/>
    <cellStyle name="Input 27 2 4" xfId="17135"/>
    <cellStyle name="Input 28 2 4" xfId="17136"/>
    <cellStyle name="Input 29 2 4" xfId="17137"/>
    <cellStyle name="Input 3 3 4" xfId="17138"/>
    <cellStyle name="Input 32 2 4" xfId="17139"/>
    <cellStyle name="Input 33 2 4" xfId="17140"/>
    <cellStyle name="Input 39 2 4" xfId="17141"/>
    <cellStyle name="Input 4 3 4" xfId="17142"/>
    <cellStyle name="Input 42 2 4" xfId="17143"/>
    <cellStyle name="IntInputBk 2 2 3 4" xfId="17144"/>
    <cellStyle name="IntInputBk 2 2 2 2 4" xfId="17145"/>
    <cellStyle name="IntInputBk 3 3 4" xfId="17146"/>
    <cellStyle name="IntInputBk 3 2 2 4" xfId="17147"/>
    <cellStyle name="IntInputBu 3 3 4" xfId="17148"/>
    <cellStyle name="Lookup Table Label 4 4" xfId="17149"/>
    <cellStyle name="Lookup Table Label 2 3 4" xfId="17150"/>
    <cellStyle name="Lookup Table Label 3 3 4" xfId="17151"/>
    <cellStyle name="Lookup Table Label 3 2 2 4" xfId="17152"/>
    <cellStyle name="Lookup Table Number 4 4" xfId="17153"/>
    <cellStyle name="Lookup Table Number 2 3 4" xfId="17154"/>
    <cellStyle name="Lookup Table Number 2 2 3 4" xfId="17155"/>
    <cellStyle name="Lookup Table Number 2 2 2 2 4" xfId="17156"/>
    <cellStyle name="Lookup Table Number 3 2 2 4" xfId="17157"/>
    <cellStyle name="Note 2 2 2 4" xfId="17158"/>
    <cellStyle name="Note 3 2 2 4" xfId="17159"/>
    <cellStyle name="Note 4 2 2 4" xfId="17160"/>
    <cellStyle name="Note 5 3 4" xfId="17161"/>
    <cellStyle name="Note 7 2 2 4" xfId="17162"/>
    <cellStyle name="Note 8 2 4" xfId="17163"/>
    <cellStyle name="Output 2 2 4" xfId="17164"/>
    <cellStyle name="YearInputBk 6" xfId="17165"/>
    <cellStyle name="YearInputBk 2 5" xfId="17166"/>
    <cellStyle name="YearInputBk 2 2 5" xfId="17167"/>
    <cellStyle name="YearInputBk 2 2 2 4" xfId="17168"/>
    <cellStyle name="YearInputBk 3 5" xfId="17169"/>
    <cellStyle name="YearInputBk 3 2 4" xfId="17170"/>
    <cellStyle name="YearInputBu 6" xfId="17171"/>
    <cellStyle name="YearInputBu 2 5" xfId="17172"/>
    <cellStyle name="YearInputBu 2 2 5" xfId="17173"/>
    <cellStyle name="YearInputBu 2 2 2 4" xfId="17174"/>
    <cellStyle name="YearInputBu 3 5" xfId="17175"/>
    <cellStyle name="YearInputBu 3 2 4" xfId="17176"/>
    <cellStyle name="Output 3 2 4" xfId="17177"/>
    <cellStyle name="Output 5 2 4" xfId="17178"/>
    <cellStyle name="Output 6 2 2 4" xfId="17179"/>
    <cellStyle name="Output 7 3 4" xfId="17180"/>
    <cellStyle name="Output 7 2 2 4" xfId="17181"/>
    <cellStyle name="Output 8 2 4" xfId="17182"/>
    <cellStyle name="P 3 4" xfId="17183"/>
    <cellStyle name="P 2 2 4" xfId="17184"/>
    <cellStyle name="ProjectionInput 4 4" xfId="17185"/>
    <cellStyle name="ProjectionInput 2 3 4" xfId="17186"/>
    <cellStyle name="ProjectionInput 2 2 3 4" xfId="17187"/>
    <cellStyle name="ProjectionInput 2 2 2 2 4" xfId="17188"/>
    <cellStyle name="ProjectionInput 3 3 4" xfId="17189"/>
    <cellStyle name="ProjectionInput 3 2 2 4" xfId="17190"/>
    <cellStyle name="SAPBEXaggData 2 4" xfId="17191"/>
    <cellStyle name="SectionHeading 2 2 2 3 4" xfId="17192"/>
    <cellStyle name="SHADEDSTORES 3 4" xfId="17193"/>
    <cellStyle name="SSDecs3 2 4" xfId="17194"/>
    <cellStyle name="備註 4" xfId="17195"/>
    <cellStyle name="SSDfltPct 2 4" xfId="17196"/>
    <cellStyle name="SSDfltPct0 2 4" xfId="17197"/>
    <cellStyle name="style 3 2 4" xfId="17198"/>
    <cellStyle name="Table 2 3 4" xfId="17199"/>
    <cellStyle name="Total 10 4" xfId="17200"/>
    <cellStyle name="Total 4 2 4" xfId="17201"/>
    <cellStyle name="Total 9 2 4" xfId="17202"/>
    <cellStyle name="合計 4" xfId="17203"/>
    <cellStyle name="YearInputBk 4 4" xfId="17204"/>
    <cellStyle name="YearInputBk 2 3 4" xfId="17205"/>
    <cellStyle name="YearInputBk 2 2 3 4" xfId="17206"/>
    <cellStyle name="YearInputBk 2 2 2 2 4" xfId="17207"/>
    <cellStyle name="YearInputBk 3 3 4" xfId="17208"/>
    <cellStyle name="输出 12" xfId="17209"/>
    <cellStyle name="输入 11" xfId="17210"/>
    <cellStyle name="计算 12" xfId="17211"/>
    <cellStyle name="注释 12" xfId="17212"/>
    <cellStyle name="汇总 11" xfId="17213"/>
    <cellStyle name="WingdingsWhite 4" xfId="17214"/>
    <cellStyle name="WingdingsRed 4" xfId="17215"/>
    <cellStyle name="SymbolBlue 4" xfId="17216"/>
    <cellStyle name="ItemTypeClass 6" xfId="17217"/>
    <cellStyle name="Output 5 5" xfId="17218"/>
    <cellStyle name="Output 6 6" xfId="17219"/>
    <cellStyle name="¿µ 3 2" xfId="17220"/>
    <cellStyle name="¿µ 2 2 2 2" xfId="17221"/>
    <cellStyle name="¿µ 2 2 3" xfId="17222"/>
    <cellStyle name="¿µ 2 3" xfId="17223"/>
    <cellStyle name="¿µ 4" xfId="17224"/>
    <cellStyle name="SAPBEXHLevel1 5" xfId="17225"/>
    <cellStyle name="SAPBEXHLevel2X 5" xfId="17226"/>
    <cellStyle name="SAPBEXHLevel3 5" xfId="17227"/>
    <cellStyle name="汇总 2 6" xfId="17228"/>
    <cellStyle name="汇总 2 2 4" xfId="17229"/>
    <cellStyle name="汇总 2 3 5" xfId="17230"/>
    <cellStyle name="汇总 2 3 2 4" xfId="17231"/>
    <cellStyle name="汇总 3 6" xfId="17232"/>
    <cellStyle name="汇总 3 2 4" xfId="17233"/>
    <cellStyle name="汇总 3 3 4" xfId="17234"/>
    <cellStyle name="汇总 4 6" xfId="17235"/>
    <cellStyle name="汇总 4 2 4" xfId="17236"/>
    <cellStyle name="汇总 4 3 4" xfId="17237"/>
    <cellStyle name="汇总 5 6" xfId="17238"/>
    <cellStyle name="汇总 5 2 4" xfId="17239"/>
    <cellStyle name="汇总 5 3 4" xfId="17240"/>
    <cellStyle name="汇总 6 6" xfId="17241"/>
    <cellStyle name="汇总 6 2 4" xfId="17242"/>
    <cellStyle name="汇总 6 3 4" xfId="17243"/>
    <cellStyle name="汇总 7 4" xfId="17244"/>
    <cellStyle name="注释 2 6" xfId="17245"/>
    <cellStyle name="注释 2 2 4" xfId="17246"/>
    <cellStyle name="注释 2 3 4" xfId="17247"/>
    <cellStyle name="注释 3 6" xfId="17248"/>
    <cellStyle name="注释 3 2 4" xfId="17249"/>
    <cellStyle name="注释 3 3 4" xfId="17250"/>
    <cellStyle name="注释 4 6" xfId="17251"/>
    <cellStyle name="注释 4 2 4" xfId="17252"/>
    <cellStyle name="注释 4 3 4" xfId="17253"/>
    <cellStyle name="SAPBEXaggData 3" xfId="17254"/>
    <cellStyle name="SAPBEXaggDataEmph 3" xfId="17255"/>
    <cellStyle name="SAPBEXaggItem 3" xfId="17256"/>
    <cellStyle name="SAPBEXaggItemX 3" xfId="17257"/>
    <cellStyle name="注释 5 6" xfId="17258"/>
    <cellStyle name="SAPBEXexcBad7 3" xfId="17259"/>
    <cellStyle name="SAPBEXexcBad8 3" xfId="17260"/>
    <cellStyle name="SAPBEXexcBad9 3" xfId="17261"/>
    <cellStyle name="SAPBEXexcCritical4 3" xfId="17262"/>
    <cellStyle name="SAPBEXexcCritical5 3" xfId="17263"/>
    <cellStyle name="SAPBEXexcCritical6 3" xfId="17264"/>
    <cellStyle name="SAPBEXexcGood1 3" xfId="17265"/>
    <cellStyle name="SAPBEXexcGood2 3" xfId="17266"/>
    <cellStyle name="SAPBEXexcGood3 3" xfId="17267"/>
    <cellStyle name="SAPBEXfilterDrill 2" xfId="17268"/>
    <cellStyle name="注释 5 2 4" xfId="17269"/>
    <cellStyle name="注释 5 3 4" xfId="17270"/>
    <cellStyle name="SAPBEXformats 3" xfId="17271"/>
    <cellStyle name="注释 6 6" xfId="17272"/>
    <cellStyle name="SAPBEXHLevel0 3" xfId="17273"/>
    <cellStyle name="SAPBEXHLevel0X 3" xfId="17274"/>
    <cellStyle name="SAPBEXHLevel1 3" xfId="17275"/>
    <cellStyle name="SAPBEXHLevel1X 3" xfId="17276"/>
    <cellStyle name="SAPBEXHLevel2 3" xfId="17277"/>
    <cellStyle name="SAPBEXHLevel2X 3" xfId="17278"/>
    <cellStyle name="SAPBEXHLevel3 3" xfId="17279"/>
    <cellStyle name="SAPBEXHLevel3X 3" xfId="17280"/>
    <cellStyle name="SAPBEXresData 3" xfId="17281"/>
    <cellStyle name="SAPBEXresDataEmph 3" xfId="17282"/>
    <cellStyle name="SAPBEXresItem 3" xfId="17283"/>
    <cellStyle name="SAPBEXresItemX 3" xfId="17284"/>
    <cellStyle name="SAPBEXstdData 3" xfId="17285"/>
    <cellStyle name="SAPBEXstdDataEmph 3" xfId="17286"/>
    <cellStyle name="SAPBEXstdItem 3" xfId="17287"/>
    <cellStyle name="SAPBEXstdItemX 3" xfId="17288"/>
    <cellStyle name="注释 6 2 4" xfId="17289"/>
    <cellStyle name="SAPBEXundefined 3" xfId="17290"/>
    <cellStyle name="SectionHeading 2 2 5" xfId="17291"/>
    <cellStyle name="SectionHeading 2 2 2 4" xfId="17292"/>
    <cellStyle name="SectionHeading 2 2 2 2 3" xfId="17293"/>
    <cellStyle name="SectionHeading 2 2 3 3" xfId="17294"/>
    <cellStyle name="SectionHeading 3 5" xfId="17295"/>
    <cellStyle name="SectionHeading 3 2 4" xfId="17296"/>
    <cellStyle name="SectionHeading 3 2 2 3" xfId="17297"/>
    <cellStyle name="SectionHeading 3 3 3" xfId="17298"/>
    <cellStyle name="SectionHeading 4 4" xfId="17299"/>
    <cellStyle name="SectionHeading 4 2 3" xfId="17300"/>
    <cellStyle name="Arial6Bold 4" xfId="17301"/>
    <cellStyle name="Total 13" xfId="17302"/>
    <cellStyle name="SSComma0 3" xfId="17303"/>
    <cellStyle name="SSComma2 3" xfId="17304"/>
    <cellStyle name="SSDecs3 3" xfId="17305"/>
    <cellStyle name="SSDfltPct 3" xfId="17306"/>
    <cellStyle name="SSDfltPct0 3" xfId="17307"/>
    <cellStyle name="SSFixed2 3" xfId="17308"/>
    <cellStyle name="計算方式 4" xfId="17309"/>
    <cellStyle name="style 5" xfId="17310"/>
    <cellStyle name="style 2 3" xfId="17311"/>
    <cellStyle name="style 3 3" xfId="17312"/>
    <cellStyle name="注释 7 5" xfId="17313"/>
    <cellStyle name="计算 2 6" xfId="17314"/>
    <cellStyle name="计算 3 2 4" xfId="17315"/>
    <cellStyle name="计算 4 6" xfId="17316"/>
    <cellStyle name="计算 4 2 4" xfId="17317"/>
    <cellStyle name="计算 4 3 4" xfId="17318"/>
    <cellStyle name="计算 5 6" xfId="17319"/>
    <cellStyle name="Table 2 4" xfId="17320"/>
    <cellStyle name="Table 2 2 3" xfId="17321"/>
    <cellStyle name="Table 3 3" xfId="17322"/>
    <cellStyle name="计算 5 3 4" xfId="17323"/>
    <cellStyle name="计算 6 6" xfId="17324"/>
    <cellStyle name="计算 6 2 4" xfId="17325"/>
    <cellStyle name="计算 6 3 4" xfId="17326"/>
    <cellStyle name="计算 7 4" xfId="17327"/>
    <cellStyle name="计算 8 4" xfId="17328"/>
    <cellStyle name="输入 2 3 4" xfId="17329"/>
    <cellStyle name="输入 3 6" xfId="17330"/>
    <cellStyle name="输入 3 2 4" xfId="17331"/>
    <cellStyle name="输入 3 3 4" xfId="17332"/>
    <cellStyle name="输入 4 6" xfId="17333"/>
    <cellStyle name="输入 4 3 4" xfId="17334"/>
    <cellStyle name="输入 5 3 4" xfId="17335"/>
    <cellStyle name="输入 7 4" xfId="17336"/>
    <cellStyle name="输出 2 6" xfId="17337"/>
    <cellStyle name="输出 2 2 4" xfId="17338"/>
    <cellStyle name="输出 2 3 4" xfId="17339"/>
    <cellStyle name="输出 3 6" xfId="17340"/>
    <cellStyle name="输出 3 2 4" xfId="17341"/>
    <cellStyle name="输出 3 3 4" xfId="17342"/>
    <cellStyle name="输出 4 6" xfId="17343"/>
    <cellStyle name="输出 4 2 4" xfId="17344"/>
    <cellStyle name="输出 4 3 4" xfId="17345"/>
    <cellStyle name="输出 5 6" xfId="17346"/>
    <cellStyle name="输出 5 2 4" xfId="17347"/>
    <cellStyle name="输出 5 3 4" xfId="17348"/>
    <cellStyle name="输出 6 6" xfId="17349"/>
    <cellStyle name="输出 6 2 4" xfId="17350"/>
    <cellStyle name="输出 6 3 4" xfId="17351"/>
    <cellStyle name="輸入 5" xfId="17352"/>
    <cellStyle name="輸出 5" xfId="17353"/>
    <cellStyle name="输入 2 7" xfId="17354"/>
    <cellStyle name="输入 5 7" xfId="17355"/>
    <cellStyle name="Calculation 7 3 4" xfId="17356"/>
    <cellStyle name="DataSheet Style 3 4" xfId="17357"/>
    <cellStyle name="DataSheet Style 2 2 4" xfId="17358"/>
    <cellStyle name="Input % 3 2 4" xfId="17359"/>
    <cellStyle name="Input [yellow] 2 3 4" xfId="17360"/>
    <cellStyle name="Input [yellow] 4 2 2 4" xfId="17361"/>
    <cellStyle name="Input 10 3 4" xfId="17362"/>
    <cellStyle name="Input 12 4 4" xfId="17363"/>
    <cellStyle name="Input 12 3 2 4" xfId="17364"/>
    <cellStyle name="Input 13 3 2 4" xfId="17365"/>
    <cellStyle name="Input 14 4 4" xfId="17366"/>
    <cellStyle name="Input 16 2 2 4" xfId="17367"/>
    <cellStyle name="Input 35 2 4" xfId="17368"/>
    <cellStyle name="Input 36 2 4" xfId="17369"/>
    <cellStyle name="Input 40 2 4" xfId="17370"/>
    <cellStyle name="Input 41 2 4" xfId="17371"/>
    <cellStyle name="Code 2 3" xfId="17372"/>
    <cellStyle name="Date, mmm-yy 3 3" xfId="17373"/>
    <cellStyle name="Header2 4 3" xfId="17374"/>
    <cellStyle name="Input % 4 3" xfId="17375"/>
    <cellStyle name="Input [yellow] 5 3" xfId="17376"/>
    <cellStyle name="SectionHeading 5 3" xfId="17377"/>
    <cellStyle name="SectionHeading 2 3 3" xfId="17378"/>
    <cellStyle name="Table 4 3" xfId="17379"/>
    <cellStyle name="Top Row 3 3" xfId="17380"/>
    <cellStyle name="汇总 8 3" xfId="17381"/>
    <cellStyle name="注释 9 3" xfId="17382"/>
    <cellStyle name="计算 9 3" xfId="17383"/>
    <cellStyle name="4 4 3" xfId="17384"/>
    <cellStyle name="4 3 4 3" xfId="17385"/>
    <cellStyle name="4 3 2 2 3 3" xfId="17386"/>
    <cellStyle name="4 3 2 2 2 2 3" xfId="17387"/>
    <cellStyle name="4 3 3 3 3" xfId="17388"/>
    <cellStyle name="4 3 3 2 2 3" xfId="17389"/>
    <cellStyle name="5 4 3" xfId="17390"/>
    <cellStyle name="5 3 3 3" xfId="17391"/>
    <cellStyle name="5 3 2 2 3" xfId="17392"/>
    <cellStyle name="Total 11" xfId="17393"/>
    <cellStyle name="6 2 2 2 2 3" xfId="17394"/>
    <cellStyle name="Total 3 3" xfId="17395"/>
    <cellStyle name="Total 4 3" xfId="17396"/>
    <cellStyle name="Total 5 3" xfId="17397"/>
    <cellStyle name="6 3 3 3" xfId="17398"/>
    <cellStyle name="6 3 2 2 3" xfId="17399"/>
    <cellStyle name="9 4 3" xfId="17400"/>
    <cellStyle name="9 2 3 3" xfId="17401"/>
    <cellStyle name="9 2 2 3 3" xfId="17402"/>
    <cellStyle name="9 2 2 2 2 3" xfId="17403"/>
    <cellStyle name="9 3 3 3" xfId="17404"/>
    <cellStyle name="9 3 2 2 3" xfId="17405"/>
    <cellStyle name="Calculation 9 3" xfId="17406"/>
    <cellStyle name="Calculation 2 3 3" xfId="17407"/>
    <cellStyle name="Calculation 2 2 2 3" xfId="17408"/>
    <cellStyle name="Calculation 3 3 3" xfId="17409"/>
    <cellStyle name="Calculation 3 2 2 3" xfId="17410"/>
    <cellStyle name="Calculation 4 3 3" xfId="17411"/>
    <cellStyle name="Calculation 4 2 2 3" xfId="17412"/>
    <cellStyle name="Calculation 5 3 3" xfId="17413"/>
    <cellStyle name="Total 8 4" xfId="17414"/>
    <cellStyle name="Total 8 2 3" xfId="17415"/>
    <cellStyle name="Total 9 3" xfId="17416"/>
    <cellStyle name="Calculation 5 2 2 3" xfId="17417"/>
    <cellStyle name="Calculation 7 3 3" xfId="17418"/>
    <cellStyle name="Calculation 8 2 3" xfId="17419"/>
    <cellStyle name="DataSheet Style 3 3" xfId="17420"/>
    <cellStyle name="Date, mmm-yy 2 2 3 3" xfId="17421"/>
    <cellStyle name="Date, mmm-yy 2 2 2 2 3" xfId="17422"/>
    <cellStyle name="Date, mmm-yy 2 3 2 3" xfId="17423"/>
    <cellStyle name="Download 6 3" xfId="17424"/>
    <cellStyle name="Download 2 4 3" xfId="17425"/>
    <cellStyle name="Download 2 2 3 3" xfId="17426"/>
    <cellStyle name="Download 2 2 2 2 3" xfId="17427"/>
    <cellStyle name="Download 2 3 2 3" xfId="17428"/>
    <cellStyle name="Download 3 3 3" xfId="17429"/>
    <cellStyle name="Download 3 2 2 3" xfId="17430"/>
    <cellStyle name="Download 4 4 3" xfId="17431"/>
    <cellStyle name="Download 4 2 3 3" xfId="17432"/>
    <cellStyle name="Download 4 2 2 2 3" xfId="17433"/>
    <cellStyle name="Download 4 3 2 3" xfId="17434"/>
    <cellStyle name="Download 5 2 3" xfId="17435"/>
    <cellStyle name="hard no 4 3" xfId="17436"/>
    <cellStyle name="hard no 2 3 3" xfId="17437"/>
    <cellStyle name="hard no 2 2 3 3" xfId="17438"/>
    <cellStyle name="hard no 2 2 2 2 3" xfId="17439"/>
    <cellStyle name="hard no 3 3 3" xfId="17440"/>
    <cellStyle name="hard no 3 2 2 3" xfId="17441"/>
    <cellStyle name="hard no. 4 3" xfId="17442"/>
    <cellStyle name="hard no. 2 3 3" xfId="17443"/>
    <cellStyle name="hard no. 2 2 3 3" xfId="17444"/>
    <cellStyle name="hard no. 2 2 2 2 3" xfId="17445"/>
    <cellStyle name="hard no. 3 3 3" xfId="17446"/>
    <cellStyle name="hard no. 3 2 2 3" xfId="17447"/>
    <cellStyle name="Header2 2 3 3" xfId="17448"/>
    <cellStyle name="Header2 2 2 2 3" xfId="17449"/>
    <cellStyle name="Header2 3 2 3" xfId="17450"/>
    <cellStyle name="Input 43 3" xfId="17451"/>
    <cellStyle name="Input % 2 3 3" xfId="17452"/>
    <cellStyle name="Input % 2 2 2 3" xfId="17453"/>
    <cellStyle name="Input % 3 2 3" xfId="17454"/>
    <cellStyle name="Input [yellow] 2 2 2 2 3" xfId="17455"/>
    <cellStyle name="Input [yellow] 3 3 3" xfId="17456"/>
    <cellStyle name="Input [yellow] 3 2 2 3" xfId="17457"/>
    <cellStyle name="Input [yellow] 4 3 3" xfId="17458"/>
    <cellStyle name="Input [yellow] 4 2 2 3" xfId="17459"/>
    <cellStyle name="Input 11 2 2 3" xfId="17460"/>
    <cellStyle name="Input 12 4 3" xfId="17461"/>
    <cellStyle name="Input 13 3 2 3" xfId="17462"/>
    <cellStyle name="Input 15 3 3" xfId="17463"/>
    <cellStyle name="Input 15 2 2 3" xfId="17464"/>
    <cellStyle name="Input 16 3 3" xfId="17465"/>
    <cellStyle name="Input 16 2 2 3" xfId="17466"/>
    <cellStyle name="Input 18 2 3" xfId="17467"/>
    <cellStyle name="Input 19 2 3" xfId="17468"/>
    <cellStyle name="Input 2 3 3" xfId="17469"/>
    <cellStyle name="Input 2 2 3 3" xfId="17470"/>
    <cellStyle name="Input 2 2 2 2 3" xfId="17471"/>
    <cellStyle name="Input 20 2 3" xfId="17472"/>
    <cellStyle name="Input 21 2 3" xfId="17473"/>
    <cellStyle name="Input 22 2 3" xfId="17474"/>
    <cellStyle name="Input 23 2 3" xfId="17475"/>
    <cellStyle name="Input 24 2 3" xfId="17476"/>
    <cellStyle name="Input 25 2 3" xfId="17477"/>
    <cellStyle name="Input 26 2 3" xfId="17478"/>
    <cellStyle name="Input 27 2 3" xfId="17479"/>
    <cellStyle name="Input 28 2 3" xfId="17480"/>
    <cellStyle name="Input 29 2 3" xfId="17481"/>
    <cellStyle name="Input 3 3 3" xfId="17482"/>
    <cellStyle name="Input 3 2 2 3" xfId="17483"/>
    <cellStyle name="Input 30 2 3" xfId="17484"/>
    <cellStyle name="Input 31 2 3" xfId="17485"/>
    <cellStyle name="Input 32 2 3" xfId="17486"/>
    <cellStyle name="Input 33 2 3" xfId="17487"/>
    <cellStyle name="Input 34 2 3" xfId="17488"/>
    <cellStyle name="Input 35 2 3" xfId="17489"/>
    <cellStyle name="Input 38 2 3" xfId="17490"/>
    <cellStyle name="Input 39 2 3" xfId="17491"/>
    <cellStyle name="Input 4 3 3" xfId="17492"/>
    <cellStyle name="Input 4 2 2 3" xfId="17493"/>
    <cellStyle name="Input 8 2 2 3" xfId="17494"/>
    <cellStyle name="Input 9 3 3" xfId="17495"/>
    <cellStyle name="Input 9 2 2 3" xfId="17496"/>
    <cellStyle name="IntInputBu 2 2 3 3" xfId="17497"/>
    <cellStyle name="IntInputBu 2 2 2 2 3" xfId="17498"/>
    <cellStyle name="IntInputBu 3 3 3" xfId="17499"/>
    <cellStyle name="IntInputBu 3 2 2 3" xfId="17500"/>
    <cellStyle name="Lookup Table Heading 4 3" xfId="17501"/>
    <cellStyle name="Lookup Table Heading 3 2 2 3" xfId="17502"/>
    <cellStyle name="Lookup Table Number 4 3" xfId="17503"/>
    <cellStyle name="Lookup Table Number 2 3 3" xfId="17504"/>
    <cellStyle name="Lookup Table Number 2 2 3 3" xfId="17505"/>
    <cellStyle name="Lookup Table Number 3 3 3" xfId="17506"/>
    <cellStyle name="Lookup Table Number 3 2 2 3" xfId="17507"/>
    <cellStyle name="Note 9 3" xfId="17508"/>
    <cellStyle name="Note 2 3 3" xfId="17509"/>
    <cellStyle name="Note 2 2 2 3" xfId="17510"/>
    <cellStyle name="Note 3 3 3" xfId="17511"/>
    <cellStyle name="Note 4 3 3" xfId="17512"/>
    <cellStyle name="Note 4 2 2 3" xfId="17513"/>
    <cellStyle name="Note 5 2 2 3" xfId="17514"/>
    <cellStyle name="Note 7 2 2 3" xfId="17515"/>
    <cellStyle name="Output 9 3" xfId="17516"/>
    <cellStyle name="Output 2 2 3" xfId="17517"/>
    <cellStyle name="Output 5 2 3" xfId="17518"/>
    <cellStyle name="Output 6 3 3" xfId="17519"/>
    <cellStyle name="Output 7 3 3" xfId="17520"/>
    <cellStyle name="YearInputBk 5" xfId="17521"/>
    <cellStyle name="YearInputBk 2 4" xfId="17522"/>
    <cellStyle name="YearInputBk 2 2 4" xfId="17523"/>
    <cellStyle name="YearInputBk 2 2 2 3" xfId="17524"/>
    <cellStyle name="YearInputBk 3 4" xfId="17525"/>
    <cellStyle name="YearInputBk 3 2 3" xfId="17526"/>
    <cellStyle name="YearInputBu 5" xfId="17527"/>
    <cellStyle name="YearInputBu 2 4" xfId="17528"/>
    <cellStyle name="YearInputBu 2 2 4" xfId="17529"/>
    <cellStyle name="YearInputBu 2 2 2 3" xfId="17530"/>
    <cellStyle name="YearInputBu 3 4" xfId="17531"/>
    <cellStyle name="YearInputBu 3 2 3" xfId="17532"/>
    <cellStyle name="Output 7 2 2 3" xfId="17533"/>
    <cellStyle name="P 3 3" xfId="17534"/>
    <cellStyle name="Arial6Bold 2 3" xfId="17535"/>
    <cellStyle name="ProjectionInput 4 3" xfId="17536"/>
    <cellStyle name="ProjectionInput 2 3 3" xfId="17537"/>
    <cellStyle name="ProjectionInput 2 2 3 3" xfId="17538"/>
    <cellStyle name="ProjectionInput 2 2 2 2 3" xfId="17539"/>
    <cellStyle name="ProjectionInput 3 3 3" xfId="17540"/>
    <cellStyle name="ProjectionInput 3 2 2 3" xfId="17541"/>
    <cellStyle name="SAPBEXaggData 2 3" xfId="17542"/>
    <cellStyle name="SAPBEXaggDataEmph 2 3" xfId="17543"/>
    <cellStyle name="SAPBEXaggItem 2 3" xfId="17544"/>
    <cellStyle name="SAPBEXaggItemX 2 3" xfId="17545"/>
    <cellStyle name="SAPBEXexcBad7 2 3" xfId="17546"/>
    <cellStyle name="SAPBEXexcBad9 2 3" xfId="17547"/>
    <cellStyle name="SAPBEXexcCritical4 2 3" xfId="17548"/>
    <cellStyle name="SAPBEXexcCritical5 2 3" xfId="17549"/>
    <cellStyle name="SAPBEXresItem 2 3" xfId="17550"/>
    <cellStyle name="SectionHeading 2 2 2 3 3" xfId="17551"/>
    <cellStyle name="SectionHeading 3 3 2 3" xfId="17552"/>
    <cellStyle name="SSDfltPct0 2 3" xfId="17553"/>
    <cellStyle name="SSFixed2 2 3" xfId="17554"/>
    <cellStyle name="style 4 3" xfId="17555"/>
    <cellStyle name="style 2 2 3" xfId="17556"/>
    <cellStyle name="style 3 2 3" xfId="17557"/>
    <cellStyle name="備註 3" xfId="17558"/>
    <cellStyle name="Table 2 3 3" xfId="17559"/>
    <cellStyle name="Table 2 2 2 3" xfId="17560"/>
    <cellStyle name="Table 3 2 3" xfId="17561"/>
    <cellStyle name="Top Row 2 2 3" xfId="17562"/>
    <cellStyle name="5 2 2 3 4" xfId="17563"/>
    <cellStyle name="4 3 2 2 2 2 4" xfId="17564"/>
    <cellStyle name="4 3 2 2 3 4" xfId="17565"/>
    <cellStyle name="4 3 2 3 4" xfId="17566"/>
    <cellStyle name="5 2 3 4" xfId="17567"/>
    <cellStyle name="5 4 4" xfId="17568"/>
    <cellStyle name="Total 10 3" xfId="17569"/>
    <cellStyle name="Total 3 2 3" xfId="17570"/>
    <cellStyle name="Total 4 2 3" xfId="17571"/>
    <cellStyle name="Total 5 2 3" xfId="17572"/>
    <cellStyle name="YearInputBk 4 3" xfId="17573"/>
    <cellStyle name="YearInputBk 2 3 3" xfId="17574"/>
    <cellStyle name="YearInputBk 2 2 3 3" xfId="17575"/>
    <cellStyle name="YearInputBk 3 3 3" xfId="17576"/>
    <cellStyle name="YearInputBk 3 2 2 3" xfId="17577"/>
    <cellStyle name="合計 3" xfId="17578"/>
    <cellStyle name="输出 11" xfId="17579"/>
    <cellStyle name="输入 10" xfId="17580"/>
    <cellStyle name="计算 11" xfId="17581"/>
    <cellStyle name="注释 11" xfId="17582"/>
    <cellStyle name="汇总 10" xfId="17583"/>
    <cellStyle name="Input 8 3 4" xfId="17584"/>
    <cellStyle name="Lookup Table Heading 2 2 3 4" xfId="17585"/>
    <cellStyle name="Output 9 4" xfId="17586"/>
    <cellStyle name="Output 4 2 4" xfId="17587"/>
    <cellStyle name="SectionHeading 3 3 2 4" xfId="17588"/>
    <cellStyle name="Link 7" xfId="17589"/>
    <cellStyle name="Input 5 2 2 4" xfId="17590"/>
    <cellStyle name="Input 6 3 4" xfId="17591"/>
    <cellStyle name="Input 7 3 4" xfId="17592"/>
    <cellStyle name="WingdingsWhite 2 3" xfId="17593"/>
    <cellStyle name="WingdingsWhite 3" xfId="17594"/>
    <cellStyle name="WingdingsRed 3" xfId="17595"/>
    <cellStyle name="WingdingsBlack 3" xfId="17596"/>
    <cellStyle name="SymbolBlue 3" xfId="17597"/>
    <cellStyle name="Input 12 7" xfId="17598"/>
    <cellStyle name="Input 21 5" xfId="17599"/>
    <cellStyle name="Link 6" xfId="17600"/>
    <cellStyle name="ItemTypeClass 5" xfId="17601"/>
    <cellStyle name="Output 5 4" xfId="17602"/>
    <cellStyle name="Output 6 5" xfId="17603"/>
    <cellStyle name="SAPBEXexcBad7 5" xfId="17604"/>
    <cellStyle name="SAPBEXexcBad8 5" xfId="17605"/>
    <cellStyle name="SAPBEXexcBad9 5" xfId="17606"/>
    <cellStyle name="SAPBEXexcCritical4 5" xfId="17607"/>
    <cellStyle name="SAPBEXexcGood3 5" xfId="17608"/>
    <cellStyle name="SSFixed2 5" xfId="17609"/>
    <cellStyle name="style 9" xfId="17610"/>
    <cellStyle name="SAPBEXHLevel1 4" xfId="17611"/>
    <cellStyle name="SAPBEXHLevel2X 4" xfId="17612"/>
    <cellStyle name="SAPBEXHLevel3X 4" xfId="17613"/>
    <cellStyle name="SAPBEXresItemX 4" xfId="17614"/>
    <cellStyle name="SAPBEXstdData 4" xfId="17615"/>
    <cellStyle name="汇总 6 3 5" xfId="17616"/>
    <cellStyle name="注释 2 7" xfId="17617"/>
    <cellStyle name="汇总 2 5" xfId="17618"/>
    <cellStyle name="汇总 2 2 3" xfId="17619"/>
    <cellStyle name="汇总 2 3 4" xfId="17620"/>
    <cellStyle name="汇总 2 3 2 3" xfId="17621"/>
    <cellStyle name="汇总 3 5" xfId="17622"/>
    <cellStyle name="汇总 3 2 3" xfId="17623"/>
    <cellStyle name="汇总 3 3 3" xfId="17624"/>
    <cellStyle name="汇总 4 5" xfId="17625"/>
    <cellStyle name="汇总 4 2 3" xfId="17626"/>
    <cellStyle name="汇总 4 3 3" xfId="17627"/>
    <cellStyle name="汇总 5 5" xfId="17628"/>
    <cellStyle name="汇总 5 2 3" xfId="17629"/>
    <cellStyle name="汇总 5 3 3" xfId="17630"/>
    <cellStyle name="汇总 6 5" xfId="17631"/>
    <cellStyle name="汇总 6 2 3" xfId="17632"/>
    <cellStyle name="汇总 6 3 3" xfId="17633"/>
    <cellStyle name="汇总 7 3" xfId="17634"/>
    <cellStyle name="注释 2 5" xfId="17635"/>
    <cellStyle name="注释 2 2 3" xfId="17636"/>
    <cellStyle name="注释 2 3 3" xfId="17637"/>
    <cellStyle name="注释 3 5" xfId="17638"/>
    <cellStyle name="注释 3 2 3" xfId="17639"/>
    <cellStyle name="注释 3 3 3" xfId="17640"/>
    <cellStyle name="注释 4 5" xfId="17641"/>
    <cellStyle name="注释 4 2 3" xfId="17642"/>
    <cellStyle name="注释 4 3 3" xfId="17643"/>
    <cellStyle name="注释 5 5" xfId="17644"/>
    <cellStyle name="注释 5 2 3" xfId="17645"/>
    <cellStyle name="注释 5 3 3" xfId="17646"/>
    <cellStyle name="注释 6 5" xfId="17647"/>
    <cellStyle name="注释 6 2 3" xfId="17648"/>
    <cellStyle name="注释 6 3 3" xfId="17649"/>
    <cellStyle name="注释 7 3" xfId="17650"/>
    <cellStyle name="注释 8 3" xfId="17651"/>
    <cellStyle name="SSComma0 4" xfId="17652"/>
    <cellStyle name="SSComma2 4" xfId="17653"/>
    <cellStyle name="计算 5 3 5" xfId="17654"/>
    <cellStyle name="输入 6 3 5" xfId="17655"/>
    <cellStyle name="Date, mmm-yy 3 4" xfId="17656"/>
    <cellStyle name="汇总 8 4" xfId="17657"/>
    <cellStyle name="TITULO 3" xfId="17658"/>
    <cellStyle name="ArialNormal 3" xfId="17659"/>
    <cellStyle name="Arial8Italic 3" xfId="17660"/>
    <cellStyle name="Arial8Bold 3" xfId="17661"/>
    <cellStyle name="Arial6Bold 3" xfId="17662"/>
    <cellStyle name="4 4 4" xfId="17663"/>
    <cellStyle name="4 3 4 4" xfId="17664"/>
    <cellStyle name="5 2 2 2 2 4" xfId="17665"/>
    <cellStyle name="Total 5 4" xfId="17666"/>
    <cellStyle name="6 2 3 4" xfId="17667"/>
    <cellStyle name="6 2 2 3 4" xfId="17668"/>
    <cellStyle name="6 3 3 4" xfId="17669"/>
    <cellStyle name="6 3 2 2 4" xfId="17670"/>
    <cellStyle name="Input 18 2 4" xfId="17671"/>
    <cellStyle name="Input 23 2 4" xfId="17672"/>
    <cellStyle name="Input 3 2 2 4" xfId="17673"/>
    <cellStyle name="Input 9 2 2 4" xfId="17674"/>
    <cellStyle name="Lookup Table Label 2 2 3 4" xfId="17675"/>
    <cellStyle name="Note 9 4" xfId="17676"/>
    <cellStyle name="Output 2 5" xfId="17677"/>
    <cellStyle name="計算方式 3" xfId="17678"/>
    <cellStyle name="注释 8 4" xfId="17679"/>
    <cellStyle name="SSComma0 5" xfId="17680"/>
    <cellStyle name="计算 2 5" xfId="17681"/>
    <cellStyle name="计算 2 2 3" xfId="17682"/>
    <cellStyle name="计算 2 3 3" xfId="17683"/>
    <cellStyle name="计算 3 5" xfId="17684"/>
    <cellStyle name="计算 3 2 3" xfId="17685"/>
    <cellStyle name="计算 3 3 3" xfId="17686"/>
    <cellStyle name="计算 4 5" xfId="17687"/>
    <cellStyle name="计算 4 2 3" xfId="17688"/>
    <cellStyle name="计算 4 3 3" xfId="17689"/>
    <cellStyle name="计算 5 5" xfId="17690"/>
    <cellStyle name="计算 5 2 3" xfId="17691"/>
    <cellStyle name="计算 5 3 3" xfId="17692"/>
    <cellStyle name="计算 6 5" xfId="17693"/>
    <cellStyle name="计算 6 2 3" xfId="17694"/>
    <cellStyle name="计算 6 3 3" xfId="17695"/>
    <cellStyle name="计算 7 3" xfId="17696"/>
    <cellStyle name="计算 8 3" xfId="17697"/>
    <cellStyle name="ArialNormal 4" xfId="17698"/>
    <cellStyle name="Arial8Bold 4" xfId="17699"/>
    <cellStyle name="輸入 3" xfId="17700"/>
    <cellStyle name="輸出 3" xfId="17701"/>
    <cellStyle name="输入 2 5" xfId="17702"/>
    <cellStyle name="输入 2 2 3" xfId="17703"/>
    <cellStyle name="输入 2 3 3" xfId="17704"/>
    <cellStyle name="输入 3 5" xfId="17705"/>
    <cellStyle name="输入 3 2 3" xfId="17706"/>
    <cellStyle name="输入 3 3 3" xfId="17707"/>
    <cellStyle name="输入 4 5" xfId="17708"/>
    <cellStyle name="输入 4 2 3" xfId="17709"/>
    <cellStyle name="输入 4 3 3" xfId="17710"/>
    <cellStyle name="输入 5 5" xfId="17711"/>
    <cellStyle name="输入 5 2 3" xfId="17712"/>
    <cellStyle name="输入 5 3 3" xfId="17713"/>
    <cellStyle name="输入 6 5" xfId="17714"/>
    <cellStyle name="输入 6 2 3" xfId="17715"/>
    <cellStyle name="输入 6 3 3" xfId="17716"/>
    <cellStyle name="输入 7 3" xfId="17717"/>
    <cellStyle name="输出 2 5" xfId="17718"/>
    <cellStyle name="输出 2 2 3" xfId="17719"/>
    <cellStyle name="输出 2 3 3" xfId="17720"/>
    <cellStyle name="输出 3 5" xfId="17721"/>
    <cellStyle name="输出 3 2 3" xfId="17722"/>
    <cellStyle name="输出 3 3 3" xfId="17723"/>
    <cellStyle name="输出 4 5" xfId="17724"/>
    <cellStyle name="输出 4 2 3" xfId="17725"/>
    <cellStyle name="输出 4 3 3" xfId="17726"/>
    <cellStyle name="输出 5 5" xfId="17727"/>
    <cellStyle name="输出 5 2 3" xfId="17728"/>
    <cellStyle name="输出 5 3 3" xfId="17729"/>
    <cellStyle name="输出 6 5" xfId="17730"/>
    <cellStyle name="输出 6 2 3" xfId="17731"/>
    <cellStyle name="输出 6 3 3" xfId="17732"/>
    <cellStyle name="输出 7 3" xfId="17733"/>
    <cellStyle name="输出 8 3" xfId="17734"/>
    <cellStyle name="輸入 4" xfId="17735"/>
    <cellStyle name="輸出 4" xfId="17736"/>
    <cellStyle name="输入 2 6" xfId="17737"/>
    <cellStyle name="输入 2 2 4" xfId="17738"/>
    <cellStyle name="输入 5 2 4" xfId="17739"/>
    <cellStyle name="Calculation 7 2 2 3" xfId="17740"/>
    <cellStyle name="DataSheet Style 2 2 3" xfId="17741"/>
    <cellStyle name="Date, mmm-yy 2 4 3" xfId="17742"/>
    <cellStyle name="Input [yellow] 2 3 3" xfId="17743"/>
    <cellStyle name="Input [yellow] 2 2 3 3" xfId="17744"/>
    <cellStyle name="Input 10 3 3" xfId="17745"/>
    <cellStyle name="Input 10 2 2 3" xfId="17746"/>
    <cellStyle name="Input 12 3 2 3" xfId="17747"/>
    <cellStyle name="Input 13 4 3" xfId="17748"/>
    <cellStyle name="Input 14 4 3" xfId="17749"/>
    <cellStyle name="Input 14 3 2 3" xfId="17750"/>
    <cellStyle name="Input 17 2 3" xfId="17751"/>
    <cellStyle name="Input 36 2 3" xfId="17752"/>
    <cellStyle name="Input 37 2 3" xfId="17753"/>
    <cellStyle name="Input 41 2 3" xfId="17754"/>
    <cellStyle name="Input 42 2 3" xfId="17755"/>
    <cellStyle name="Code 2 2" xfId="17756"/>
    <cellStyle name="Date, mmm-yy 3 2" xfId="17757"/>
    <cellStyle name="Header2 4 2" xfId="17758"/>
    <cellStyle name="Input % 4 2" xfId="17759"/>
    <cellStyle name="Input [yellow] 5 2" xfId="17760"/>
    <cellStyle name="Date, mmm-yy 2 4 4" xfId="17761"/>
    <cellStyle name="SectionHeading 5 2" xfId="17762"/>
    <cellStyle name="SectionHeading 2 3 2" xfId="17763"/>
    <cellStyle name="Table 4 2" xfId="17764"/>
    <cellStyle name="Top Row 3 2" xfId="17765"/>
    <cellStyle name="汇总 8 2" xfId="17766"/>
    <cellStyle name="注释 9 2" xfId="17767"/>
    <cellStyle name="计算 9 2" xfId="17768"/>
    <cellStyle name="输入 8 2" xfId="17769"/>
    <cellStyle name="输出 9 2" xfId="17770"/>
    <cellStyle name="4 4 2" xfId="17771"/>
    <cellStyle name="4 3 4 2" xfId="17772"/>
    <cellStyle name="4 3 2 3 2" xfId="17773"/>
    <cellStyle name="4 3 2 2 3 2" xfId="17774"/>
    <cellStyle name="4 3 2 2 2 2 2" xfId="17775"/>
    <cellStyle name="4 3 3 3 2" xfId="17776"/>
    <cellStyle name="4 3 3 2 2 2" xfId="17777"/>
    <cellStyle name="5 4 2" xfId="17778"/>
    <cellStyle name="5 2 3 2" xfId="17779"/>
    <cellStyle name="5 2 2 3 2" xfId="17780"/>
    <cellStyle name="5 2 2 2 2 2" xfId="17781"/>
    <cellStyle name="5 3 3 2" xfId="17782"/>
    <cellStyle name="5 3 2 2 2" xfId="17783"/>
    <cellStyle name="6 4 2" xfId="17784"/>
    <cellStyle name="6 2 3 2" xfId="17785"/>
    <cellStyle name="6 2 2 3 2" xfId="17786"/>
    <cellStyle name="6 2 2 2 2 2" xfId="17787"/>
    <cellStyle name="6 3 3 2" xfId="17788"/>
    <cellStyle name="6 3 2 2 2" xfId="17789"/>
    <cellStyle name="9 4 2" xfId="17790"/>
    <cellStyle name="9 2 3 2" xfId="17791"/>
    <cellStyle name="9 2 2 3 2" xfId="17792"/>
    <cellStyle name="9 2 2 2 2 2" xfId="17793"/>
    <cellStyle name="9 3 3 2" xfId="17794"/>
    <cellStyle name="9 3 2 2 2" xfId="17795"/>
    <cellStyle name="Calculation 9 2" xfId="17796"/>
    <cellStyle name="Calculation 2 3 2" xfId="17797"/>
    <cellStyle name="Calculation 2 2 2 2" xfId="17798"/>
    <cellStyle name="Calculation 3 3 2" xfId="17799"/>
    <cellStyle name="Calculation 3 2 2 2" xfId="17800"/>
    <cellStyle name="Calculation 4 3 2" xfId="17801"/>
    <cellStyle name="Calculation 4 2 2 2" xfId="17802"/>
    <cellStyle name="Calculation 5 3 2" xfId="17803"/>
    <cellStyle name="Calculation 5 2 2 2" xfId="17804"/>
    <cellStyle name="Calculation 6 3 2" xfId="17805"/>
    <cellStyle name="Calculation 6 2 2 2" xfId="17806"/>
    <cellStyle name="Calculation 7 3 2" xfId="17807"/>
    <cellStyle name="Calculation 7 2 2 2" xfId="17808"/>
    <cellStyle name="Calculation 8 2 2" xfId="17809"/>
    <cellStyle name="DataSheet Style 3 2" xfId="17810"/>
    <cellStyle name="DataSheet Style 2 2 2" xfId="17811"/>
    <cellStyle name="Date, mmm-yy 2 4 2" xfId="17812"/>
    <cellStyle name="Date, mmm-yy 2 2 3 2" xfId="17813"/>
    <cellStyle name="Date, mmm-yy 2 2 2 2 2" xfId="17814"/>
    <cellStyle name="Date, mmm-yy 2 3 2 2" xfId="17815"/>
    <cellStyle name="Download 6 2" xfId="17816"/>
    <cellStyle name="Download 2 4 2" xfId="17817"/>
    <cellStyle name="Download 2 2 3 2" xfId="17818"/>
    <cellStyle name="Download 2 2 2 2 2" xfId="17819"/>
    <cellStyle name="Download 2 3 2 2" xfId="17820"/>
    <cellStyle name="Download 3 3 2" xfId="17821"/>
    <cellStyle name="Download 3 2 2 2" xfId="17822"/>
    <cellStyle name="Download 4 4 2" xfId="17823"/>
    <cellStyle name="Download 4 2 3 2" xfId="17824"/>
    <cellStyle name="Download 4 2 2 2 2" xfId="17825"/>
    <cellStyle name="Download 4 3 2 2" xfId="17826"/>
    <cellStyle name="Download 5 2 2" xfId="17827"/>
    <cellStyle name="hard no 4 2" xfId="17828"/>
    <cellStyle name="hard no 2 3 2" xfId="17829"/>
    <cellStyle name="hard no 2 2 3 2" xfId="17830"/>
    <cellStyle name="hard no 2 2 2 2 2" xfId="17831"/>
    <cellStyle name="hard no 3 3 2" xfId="17832"/>
    <cellStyle name="hard no 3 2 2 2" xfId="17833"/>
    <cellStyle name="hard no. 4 2" xfId="17834"/>
    <cellStyle name="hard no. 2 3 2" xfId="17835"/>
    <cellStyle name="hard no. 2 2 3 2" xfId="17836"/>
    <cellStyle name="hard no. 2 2 2 2 2" xfId="17837"/>
    <cellStyle name="hard no. 3 3 2" xfId="17838"/>
    <cellStyle name="hard no. 3 2 2 2" xfId="17839"/>
    <cellStyle name="Header2 2 3 2" xfId="17840"/>
    <cellStyle name="Header2 2 2 2 2" xfId="17841"/>
    <cellStyle name="Header2 3 2 2" xfId="17842"/>
    <cellStyle name="Input 43 2" xfId="17843"/>
    <cellStyle name="Input % 2 3 2" xfId="17844"/>
    <cellStyle name="Input % 2 2 2 2" xfId="17845"/>
    <cellStyle name="Input % 3 2 2" xfId="17846"/>
    <cellStyle name="Input [yellow] 2 3 2" xfId="17847"/>
    <cellStyle name="Input [yellow] 2 2 3 2" xfId="17848"/>
    <cellStyle name="Input [yellow] 2 2 2 2 2" xfId="17849"/>
    <cellStyle name="Input [yellow] 3 3 2" xfId="17850"/>
    <cellStyle name="Input [yellow] 3 2 2 2" xfId="17851"/>
    <cellStyle name="Input [yellow] 4 3 2" xfId="17852"/>
    <cellStyle name="Input [yellow] 4 2 2 2" xfId="17853"/>
    <cellStyle name="Input 10 3 2" xfId="17854"/>
    <cellStyle name="Input 10 2 2 2" xfId="17855"/>
    <cellStyle name="Input 11 3 2" xfId="17856"/>
    <cellStyle name="Input 11 2 2 2" xfId="17857"/>
    <cellStyle name="Input 12 4 2" xfId="17858"/>
    <cellStyle name="Input 12 3 2 2" xfId="17859"/>
    <cellStyle name="Input 13 4 2" xfId="17860"/>
    <cellStyle name="Input 13 3 2 2" xfId="17861"/>
    <cellStyle name="Input 14 4 2" xfId="17862"/>
    <cellStyle name="Input 14 3 2 2" xfId="17863"/>
    <cellStyle name="Input 15 3 2" xfId="17864"/>
    <cellStyle name="Input 15 2 2 2" xfId="17865"/>
    <cellStyle name="Input 16 3 2" xfId="17866"/>
    <cellStyle name="Input 16 2 2 2" xfId="17867"/>
    <cellStyle name="Input 17 2 2" xfId="17868"/>
    <cellStyle name="Input 18 2 2" xfId="17869"/>
    <cellStyle name="Input 19 2 2" xfId="17870"/>
    <cellStyle name="Input 2 3 2" xfId="17871"/>
    <cellStyle name="Input 2 2 3 2" xfId="17872"/>
    <cellStyle name="Input 2 2 2 2 2" xfId="17873"/>
    <cellStyle name="Input 20 2 2" xfId="17874"/>
    <cellStyle name="Input 21 2 2" xfId="17875"/>
    <cellStyle name="Input 22 2 2" xfId="17876"/>
    <cellStyle name="Input 23 2 2" xfId="17877"/>
    <cellStyle name="Input 24 2 2" xfId="17878"/>
    <cellStyle name="Input 25 2 2" xfId="17879"/>
    <cellStyle name="Input 26 2 2" xfId="17880"/>
    <cellStyle name="Input 27 2 2" xfId="17881"/>
    <cellStyle name="Input 28 2 2" xfId="17882"/>
    <cellStyle name="Input 29 2 2" xfId="17883"/>
    <cellStyle name="Input 3 3 2" xfId="17884"/>
    <cellStyle name="Input 3 2 2 2" xfId="17885"/>
    <cellStyle name="Input 30 2 2" xfId="17886"/>
    <cellStyle name="Input 31 2 2" xfId="17887"/>
    <cellStyle name="Input 32 2 2" xfId="17888"/>
    <cellStyle name="Input 33 2 2" xfId="17889"/>
    <cellStyle name="Input 34 2 2" xfId="17890"/>
    <cellStyle name="Input 35 2 2" xfId="17891"/>
    <cellStyle name="Input 36 2 2" xfId="17892"/>
    <cellStyle name="Input 37 2 2" xfId="17893"/>
    <cellStyle name="Input 38 2 2" xfId="17894"/>
    <cellStyle name="Input 39 2 2" xfId="17895"/>
    <cellStyle name="Input 4 3 2" xfId="17896"/>
    <cellStyle name="Input 4 2 2 2" xfId="17897"/>
    <cellStyle name="Input 40 2 2" xfId="17898"/>
    <cellStyle name="Input 41 2 2" xfId="17899"/>
    <cellStyle name="Input 42 2 2" xfId="17900"/>
    <cellStyle name="Input 5 3 2" xfId="17901"/>
    <cellStyle name="Input 5 2 2 2" xfId="17902"/>
    <cellStyle name="Input 6 3 2" xfId="17903"/>
    <cellStyle name="Input 6 2 2 2" xfId="17904"/>
    <cellStyle name="Input 7 3 2" xfId="17905"/>
    <cellStyle name="Input 7 2 2 2" xfId="17906"/>
    <cellStyle name="Input 8 3 2" xfId="17907"/>
    <cellStyle name="Input 8 2 2 2" xfId="17908"/>
    <cellStyle name="Input 9 3 2" xfId="17909"/>
    <cellStyle name="Input 9 2 2 2" xfId="17910"/>
    <cellStyle name="IntInputBk 4 2" xfId="17911"/>
    <cellStyle name="IntInputBk 2 3 2" xfId="17912"/>
    <cellStyle name="IntInputBk 2 2 3 2" xfId="17913"/>
    <cellStyle name="IntInputBk 2 2 2 2 2" xfId="17914"/>
    <cellStyle name="IntInputBk 3 3 2" xfId="17915"/>
    <cellStyle name="IntInputBk 3 2 2 2" xfId="17916"/>
    <cellStyle name="IntInputBu 4 2" xfId="17917"/>
    <cellStyle name="IntInputBu 2 3 2" xfId="17918"/>
    <cellStyle name="IntInputBu 2 2 3 2" xfId="17919"/>
    <cellStyle name="IntInputBu 2 2 2 2 2" xfId="17920"/>
    <cellStyle name="IntInputBu 3 3 2" xfId="17921"/>
    <cellStyle name="IntInputBu 3 2 2 2" xfId="17922"/>
    <cellStyle name="Lookup Table Heading 4 2" xfId="17923"/>
    <cellStyle name="Lookup Table Heading 2 3 2" xfId="17924"/>
    <cellStyle name="Lookup Table Heading 2 2 3 2" xfId="17925"/>
    <cellStyle name="Lookup Table Heading 2 2 2 2 2" xfId="17926"/>
    <cellStyle name="Lookup Table Heading 3 3 2" xfId="17927"/>
    <cellStyle name="Lookup Table Heading 3 2 2 2" xfId="17928"/>
    <cellStyle name="Lookup Table Label 4 2" xfId="17929"/>
    <cellStyle name="Lookup Table Label 2 3 2" xfId="17930"/>
    <cellStyle name="Lookup Table Label 2 2 3 2" xfId="17931"/>
    <cellStyle name="Lookup Table Label 2 2 2 2 2" xfId="17932"/>
    <cellStyle name="Lookup Table Label 3 3 2" xfId="17933"/>
    <cellStyle name="Lookup Table Label 3 2 2 2" xfId="17934"/>
    <cellStyle name="Lookup Table Number 4 2" xfId="17935"/>
    <cellStyle name="Lookup Table Number 2 3 2" xfId="17936"/>
    <cellStyle name="Lookup Table Number 2 2 3 2" xfId="17937"/>
    <cellStyle name="Lookup Table Number 2 2 2 2 2" xfId="17938"/>
    <cellStyle name="Lookup Table Number 3 3 2" xfId="17939"/>
    <cellStyle name="Lookup Table Number 3 2 2 2" xfId="17940"/>
    <cellStyle name="Note 9 2" xfId="17941"/>
    <cellStyle name="Note 2 3 2" xfId="17942"/>
    <cellStyle name="Note 2 2 2 2" xfId="17943"/>
    <cellStyle name="Note 3 3 2" xfId="17944"/>
    <cellStyle name="Note 3 2 2 2" xfId="17945"/>
    <cellStyle name="Note 4 3 2" xfId="17946"/>
    <cellStyle name="Note 4 2 2 2" xfId="17947"/>
    <cellStyle name="Note 5 3 2" xfId="17948"/>
    <cellStyle name="Note 5 2 2 2" xfId="17949"/>
    <cellStyle name="Note 6 3 2" xfId="17950"/>
    <cellStyle name="Note 6 2 2 2" xfId="17951"/>
    <cellStyle name="Note 7 3 2" xfId="17952"/>
    <cellStyle name="Note 7 2 2 2" xfId="17953"/>
    <cellStyle name="Note 8 2 2" xfId="17954"/>
    <cellStyle name="Output 9 2" xfId="17955"/>
    <cellStyle name="Output 2 2 2" xfId="17956"/>
    <cellStyle name="Output 3 2 2" xfId="17957"/>
    <cellStyle name="Output 4 2 2" xfId="17958"/>
    <cellStyle name="Output 5 2 2" xfId="17959"/>
    <cellStyle name="Output 6 3 2" xfId="17960"/>
    <cellStyle name="Output 6 2 2 2" xfId="17961"/>
    <cellStyle name="Output 7 3 2" xfId="17962"/>
    <cellStyle name="Output 7 2 2 2" xfId="17963"/>
    <cellStyle name="Output 8 2 2" xfId="17964"/>
    <cellStyle name="P 3 2" xfId="17965"/>
    <cellStyle name="P 2 2 2" xfId="17966"/>
    <cellStyle name="Calculation 8 2 4" xfId="17967"/>
    <cellStyle name="ProjectionInput 4 2" xfId="17968"/>
    <cellStyle name="ProjectionInput 2 3 2" xfId="17969"/>
    <cellStyle name="ProjectionInput 2 2 3 2" xfId="17970"/>
    <cellStyle name="ProjectionInput 2 2 2 2 2" xfId="17971"/>
    <cellStyle name="ProjectionInput 3 3 2" xfId="17972"/>
    <cellStyle name="ProjectionInput 3 2 2 2" xfId="17973"/>
    <cellStyle name="SAPBEXaggData 2 2" xfId="17974"/>
    <cellStyle name="SAPBEXaggDataEmph 2 2" xfId="17975"/>
    <cellStyle name="SAPBEXaggItem 2 2" xfId="17976"/>
    <cellStyle name="SAPBEXaggItemX 2 2" xfId="17977"/>
    <cellStyle name="SAPBEXexcBad7 2 2" xfId="17978"/>
    <cellStyle name="SAPBEXexcBad8 2 2" xfId="17979"/>
    <cellStyle name="SAPBEXexcBad9 2 2" xfId="17980"/>
    <cellStyle name="SAPBEXexcCritical4 2 2" xfId="17981"/>
    <cellStyle name="SAPBEXexcCritical5 2 2" xfId="17982"/>
    <cellStyle name="SAPBEXexcCritical6 2 2" xfId="17983"/>
    <cellStyle name="SAPBEXexcGood1 2 2" xfId="17984"/>
    <cellStyle name="SAPBEXexcGood2 2 2" xfId="17985"/>
    <cellStyle name="SAPBEXexcGood3 2 2" xfId="17986"/>
    <cellStyle name="SAPBEXformats 2 2" xfId="17987"/>
    <cellStyle name="SAPBEXHLevel0 2 2" xfId="17988"/>
    <cellStyle name="SAPBEXHLevel0X 2 2" xfId="17989"/>
    <cellStyle name="SAPBEXHLevel1 2 2" xfId="17990"/>
    <cellStyle name="SAPBEXHLevel1X 2 2" xfId="17991"/>
    <cellStyle name="SAPBEXHLevel2 2 2" xfId="17992"/>
    <cellStyle name="SAPBEXHLevel2X 2 2" xfId="17993"/>
    <cellStyle name="SAPBEXHLevel3 2 2" xfId="17994"/>
    <cellStyle name="SAPBEXHLevel3X 2 2" xfId="17995"/>
    <cellStyle name="SAPBEXresData 2 2" xfId="17996"/>
    <cellStyle name="SAPBEXresDataEmph 2 2" xfId="17997"/>
    <cellStyle name="SAPBEXresItem 2 2" xfId="17998"/>
    <cellStyle name="SAPBEXresItemX 2 2" xfId="17999"/>
    <cellStyle name="SAPBEXstdData 2 2" xfId="18000"/>
    <cellStyle name="SAPBEXstdDataEmph 2 2" xfId="18001"/>
    <cellStyle name="SAPBEXstdItem 2 2" xfId="18002"/>
    <cellStyle name="SAPBEXstdItemX 2 2" xfId="18003"/>
    <cellStyle name="SAPBEXundefined 2 2" xfId="18004"/>
    <cellStyle name="SectionHeading 2 2 4 2" xfId="18005"/>
    <cellStyle name="SectionHeading 2 2 2 3 2" xfId="18006"/>
    <cellStyle name="SectionHeading 2 2 2 2 2 2" xfId="18007"/>
    <cellStyle name="SectionHeading 2 2 3 2 2" xfId="18008"/>
    <cellStyle name="SectionHeading 3 4 2" xfId="18009"/>
    <cellStyle name="SectionHeading 3 2 3 2" xfId="18010"/>
    <cellStyle name="SectionHeading 3 2 2 2 2" xfId="18011"/>
    <cellStyle name="SectionHeading 3 3 2 2" xfId="18012"/>
    <cellStyle name="SectionHeading 4 3 2" xfId="18013"/>
    <cellStyle name="SectionHeading 4 2 2 2" xfId="18014"/>
    <cellStyle name="SHADEDSTORES 3 2" xfId="18015"/>
    <cellStyle name="SHADEDSTORES 2 2 2" xfId="18016"/>
    <cellStyle name="SSComma0 2 2" xfId="18017"/>
    <cellStyle name="SSComma2 2 2" xfId="18018"/>
    <cellStyle name="SSDecs3 2 2" xfId="18019"/>
    <cellStyle name="SSDfltPct 2 2" xfId="18020"/>
    <cellStyle name="SSDfltPct0 2 2" xfId="18021"/>
    <cellStyle name="SSFixed2 2 2" xfId="18022"/>
    <cellStyle name="style 4 2" xfId="18023"/>
    <cellStyle name="style 2 2 2" xfId="18024"/>
    <cellStyle name="style 3 2 2" xfId="18025"/>
    <cellStyle name="Table 2 3 2" xfId="18026"/>
    <cellStyle name="Table 2 2 2 2" xfId="18027"/>
    <cellStyle name="Table 3 2 2" xfId="18028"/>
    <cellStyle name="Top Row 2 2 2" xfId="18029"/>
    <cellStyle name="6 2 2 3 3" xfId="18030"/>
    <cellStyle name="5 2 2 2 2 3" xfId="18031"/>
    <cellStyle name="5 2 2 3 3" xfId="18032"/>
    <cellStyle name="5 2 3 3" xfId="18033"/>
    <cellStyle name="6 2 3 3" xfId="18034"/>
    <cellStyle name="6 4 3" xfId="18035"/>
    <cellStyle name="Total 10 2" xfId="18036"/>
    <cellStyle name="Total 3 2 2" xfId="18037"/>
    <cellStyle name="Total 4 2 2" xfId="18038"/>
    <cellStyle name="Total 5 2 2" xfId="18039"/>
    <cellStyle name="Total 8 3 2" xfId="18040"/>
    <cellStyle name="Total 8 2 2 2" xfId="18041"/>
    <cellStyle name="Total 9 2 2" xfId="18042"/>
    <cellStyle name="YearInputBk 4 2" xfId="18043"/>
    <cellStyle name="YearInputBk 2 3 2" xfId="18044"/>
    <cellStyle name="YearInputBk 2 2 3 2" xfId="18045"/>
    <cellStyle name="YearInputBk 2 2 2 2 2" xfId="18046"/>
    <cellStyle name="YearInputBk 3 3 2" xfId="18047"/>
    <cellStyle name="YearInputBk 3 2 2 2" xfId="18048"/>
    <cellStyle name="YearInputBu 4 2" xfId="18049"/>
    <cellStyle name="YearInputBu 2 3 2" xfId="18050"/>
    <cellStyle name="YearInputBu 2 2 3 2" xfId="18051"/>
    <cellStyle name="YearInputBu 2 2 2 2 2" xfId="18052"/>
    <cellStyle name="YearInputBu 3 3 2" xfId="18053"/>
    <cellStyle name="YearInputBu 3 2 2 2" xfId="18054"/>
    <cellStyle name="備註 2 2" xfId="18055"/>
    <cellStyle name="合計 2 2" xfId="18056"/>
    <cellStyle name="汇总 2 4 2" xfId="18057"/>
    <cellStyle name="汇总 2 2 2 2" xfId="18058"/>
    <cellStyle name="汇总 2 3 3 2" xfId="18059"/>
    <cellStyle name="汇总 2 3 2 2 2" xfId="18060"/>
    <cellStyle name="汇总 3 4 2" xfId="18061"/>
    <cellStyle name="汇总 3 2 2 2" xfId="18062"/>
    <cellStyle name="汇总 3 3 2 2" xfId="18063"/>
    <cellStyle name="汇总 4 4 2" xfId="18064"/>
    <cellStyle name="汇总 4 2 2 2" xfId="18065"/>
    <cellStyle name="汇总 4 3 2 2" xfId="18066"/>
    <cellStyle name="汇总 5 4 2" xfId="18067"/>
    <cellStyle name="汇总 5 2 2 2" xfId="18068"/>
    <cellStyle name="汇总 5 3 2 2" xfId="18069"/>
    <cellStyle name="汇总 6 4 2" xfId="18070"/>
    <cellStyle name="汇总 6 2 2 2" xfId="18071"/>
    <cellStyle name="汇总 6 3 2 2" xfId="18072"/>
    <cellStyle name="汇总 7 2 2" xfId="18073"/>
    <cellStyle name="注释 2 4 2" xfId="18074"/>
    <cellStyle name="注释 2 2 2 2" xfId="18075"/>
    <cellStyle name="注释 2 3 2 2" xfId="18076"/>
    <cellStyle name="注释 3 4 2" xfId="18077"/>
    <cellStyle name="注释 3 2 2 2" xfId="18078"/>
    <cellStyle name="注释 3 3 2 2" xfId="18079"/>
    <cellStyle name="注释 4 4 2" xfId="18080"/>
    <cellStyle name="注释 4 2 2 2" xfId="18081"/>
    <cellStyle name="注释 4 3 2 2" xfId="18082"/>
    <cellStyle name="注释 5 4 2" xfId="18083"/>
    <cellStyle name="注释 5 2 2 2" xfId="18084"/>
    <cellStyle name="注释 5 3 2 2" xfId="18085"/>
    <cellStyle name="注释 6 4 2" xfId="18086"/>
    <cellStyle name="注释 6 2 2 2" xfId="18087"/>
    <cellStyle name="注释 6 3 2 2" xfId="18088"/>
    <cellStyle name="注释 7 2 2" xfId="18089"/>
    <cellStyle name="注释 8 2 2" xfId="18090"/>
    <cellStyle name="計算方式 2 2" xfId="18091"/>
    <cellStyle name="计算 2 4 2" xfId="18092"/>
    <cellStyle name="计算 2 2 2 2" xfId="18093"/>
    <cellStyle name="计算 2 3 2 2" xfId="18094"/>
    <cellStyle name="计算 3 4 2" xfId="18095"/>
    <cellStyle name="计算 3 2 2 2" xfId="18096"/>
    <cellStyle name="计算 3 3 2 2" xfId="18097"/>
    <cellStyle name="计算 4 4 2" xfId="18098"/>
    <cellStyle name="计算 4 2 2 2" xfId="18099"/>
    <cellStyle name="计算 4 3 2 2" xfId="18100"/>
    <cellStyle name="计算 5 4 2" xfId="18101"/>
    <cellStyle name="计算 5 2 2 2" xfId="18102"/>
    <cellStyle name="计算 5 3 2 2" xfId="18103"/>
    <cellStyle name="计算 6 4 2" xfId="18104"/>
    <cellStyle name="计算 6 2 2 2" xfId="18105"/>
    <cellStyle name="计算 6 3 2 2" xfId="18106"/>
    <cellStyle name="计算 7 2 2" xfId="18107"/>
    <cellStyle name="计算 8 2 2" xfId="18108"/>
    <cellStyle name="輸入 2 2" xfId="18109"/>
    <cellStyle name="輸出 2 2" xfId="18110"/>
    <cellStyle name="输入 2 4 2" xfId="18111"/>
    <cellStyle name="输入 2 2 2 2" xfId="18112"/>
    <cellStyle name="输入 2 3 2 2" xfId="18113"/>
    <cellStyle name="输入 3 4 2" xfId="18114"/>
    <cellStyle name="输入 3 2 2 2" xfId="18115"/>
    <cellStyle name="输入 3 3 2 2" xfId="18116"/>
    <cellStyle name="输入 4 4 2" xfId="18117"/>
    <cellStyle name="输入 4 2 2 2" xfId="18118"/>
    <cellStyle name="输入 4 3 2 2" xfId="18119"/>
    <cellStyle name="输入 5 4 2" xfId="18120"/>
    <cellStyle name="输入 5 2 2 2" xfId="18121"/>
    <cellStyle name="输入 5 3 2 2" xfId="18122"/>
    <cellStyle name="输入 6 4 2" xfId="18123"/>
    <cellStyle name="输入 6 2 2 2" xfId="18124"/>
    <cellStyle name="输入 6 3 2 2" xfId="18125"/>
    <cellStyle name="输入 7 2 2" xfId="18126"/>
    <cellStyle name="输出 2 4 2" xfId="18127"/>
    <cellStyle name="输出 2 2 2 2" xfId="18128"/>
    <cellStyle name="输出 2 3 2 2" xfId="18129"/>
    <cellStyle name="输出 3 4 2" xfId="18130"/>
    <cellStyle name="输出 3 2 2 2" xfId="18131"/>
    <cellStyle name="输出 3 3 2 2" xfId="18132"/>
    <cellStyle name="输出 4 4 2" xfId="18133"/>
    <cellStyle name="输出 4 2 2 2" xfId="18134"/>
    <cellStyle name="输出 4 3 2 2" xfId="18135"/>
    <cellStyle name="输出 5 4 2" xfId="18136"/>
    <cellStyle name="输出 5 2 2 2" xfId="18137"/>
    <cellStyle name="输出 5 3 2 2" xfId="18138"/>
    <cellStyle name="输出 6 4 2" xfId="18139"/>
    <cellStyle name="输出 6 2 2 2" xfId="18140"/>
    <cellStyle name="输出 6 3 2 2" xfId="18141"/>
    <cellStyle name="输出 7 2 2" xfId="18142"/>
    <cellStyle name="输出 8 2 2" xfId="18143"/>
    <cellStyle name="Input 7 2 2 4" xfId="18144"/>
    <cellStyle name="IntInputBk 4 4" xfId="18145"/>
    <cellStyle name="IntInputBk 2 3 4" xfId="18146"/>
    <cellStyle name="IntInputBu 4 4" xfId="18147"/>
    <cellStyle name="Lookup Table Heading 4 4" xfId="18148"/>
    <cellStyle name="Note 6 3 4" xfId="18149"/>
    <cellStyle name="Note 6 2 2 4" xfId="18150"/>
    <cellStyle name="SAPBEXexcBad7 2 4" xfId="18151"/>
    <cellStyle name="Total 5 2 4" xfId="18152"/>
    <cellStyle name="Total 8 3 4" xfId="18153"/>
    <cellStyle name="Total 8 2 2 4" xfId="18154"/>
    <cellStyle name="YearInputBk 3 2 2 4" xfId="18155"/>
    <cellStyle name="YearInputBu 4 4" xfId="18156"/>
    <cellStyle name="Input 4 2 2 4" xfId="18157"/>
    <cellStyle name="Input 10 2 2 4" xfId="18158"/>
    <cellStyle name="SAPBEXresItemX 5" xfId="18159"/>
    <cellStyle name="SAPBEXresItem 5" xfId="18160"/>
    <cellStyle name="Total 3 2 4" xfId="18161"/>
    <cellStyle name="SectionHeading 4 2 2 4" xfId="18162"/>
    <cellStyle name="SectionHeading 4 3 4" xfId="18163"/>
    <cellStyle name="SectionHeading 3 2 2 2 4" xfId="18164"/>
    <cellStyle name="SectionHeading 3 2 3 4" xfId="18165"/>
    <cellStyle name="SectionHeading 3 4 4" xfId="18166"/>
    <cellStyle name="SectionHeading 2 2 3 2 4" xfId="18167"/>
    <cellStyle name="SectionHeading 2 2 2 2 2 4" xfId="18168"/>
    <cellStyle name="SectionHeading 2 2 4 4" xfId="18169"/>
    <cellStyle name="SAPBEXundefined 2 4" xfId="18170"/>
    <cellStyle name="SAPBEXstdDataEmph 2 4" xfId="18171"/>
    <cellStyle name="SAPBEXresItem 2 4" xfId="18172"/>
    <cellStyle name="SAPBEXresDataEmph 2 4" xfId="18173"/>
    <cellStyle name="SAPBEXHLevel2X 2 4" xfId="18174"/>
    <cellStyle name="SAPBEXHLevel2 2 4" xfId="18175"/>
    <cellStyle name="SAPBEXHLevel0X 2 4" xfId="18176"/>
    <cellStyle name="SAPBEXexcCritical6 2 4" xfId="18177"/>
    <cellStyle name="SAPBEXexcCritical5 2 4" xfId="18178"/>
    <cellStyle name="SAPBEXexcCritical4 2 4" xfId="18179"/>
    <cellStyle name="SAPBEXexcBad9 2 4" xfId="18180"/>
    <cellStyle name="SAPBEXexcBad8 2 4" xfId="18181"/>
    <cellStyle name="SAPBEXaggItemX 2 4" xfId="18182"/>
    <cellStyle name="SAPBEXaggItem 2 4" xfId="18183"/>
    <cellStyle name="Output 6 3 4" xfId="18184"/>
    <cellStyle name="Note 7 3 4" xfId="18185"/>
    <cellStyle name="Note 5 2 2 4" xfId="18186"/>
    <cellStyle name="Note 4 3 4" xfId="18187"/>
    <cellStyle name="Note 3 3 4" xfId="18188"/>
    <cellStyle name="Note 2 3 4" xfId="18189"/>
    <cellStyle name="Lookup Table Number 3 3 4" xfId="18190"/>
    <cellStyle name="Lookup Table Label 2 2 2 2 4" xfId="18191"/>
    <cellStyle name="Lookup Table Heading 3 2 2 4" xfId="18192"/>
    <cellStyle name="Lookup Table Heading 3 3 4" xfId="18193"/>
    <cellStyle name="Lookup Table Heading 2 2 2 2 4" xfId="18194"/>
    <cellStyle name="Lookup Table Heading 2 3 4" xfId="18195"/>
    <cellStyle name="IntInputBu 3 2 2 4" xfId="18196"/>
    <cellStyle name="IntInputBu 2 2 2 2 4" xfId="18197"/>
    <cellStyle name="IntInputBu 2 2 3 4" xfId="18198"/>
    <cellStyle name="IntInputBu 2 3 4" xfId="18199"/>
    <cellStyle name="Input 9 3 4" xfId="18200"/>
    <cellStyle name="Input 8 2 2 4" xfId="18201"/>
    <cellStyle name="Input 6 2 2 4" xfId="18202"/>
    <cellStyle name="Input 5 3 4" xfId="18203"/>
    <cellStyle name="Input 38 2 4" xfId="18204"/>
    <cellStyle name="Input 37 2 4" xfId="18205"/>
    <cellStyle name="Input 34 2 4" xfId="18206"/>
    <cellStyle name="Calculation 3 2 2 4" xfId="18207"/>
    <cellStyle name="Calculation 3 3 4" xfId="18208"/>
    <cellStyle name="Top Row 3 4" xfId="18209"/>
    <cellStyle name="Table 4 4" xfId="18210"/>
    <cellStyle name="输出 6 7" xfId="18211"/>
    <cellStyle name="输出 5 3 5" xfId="18212"/>
    <cellStyle name="输入 5 3 5" xfId="18213"/>
    <cellStyle name="输入 5 2 5" xfId="18214"/>
    <cellStyle name="输入 4 3 5" xfId="18215"/>
    <cellStyle name="输入 4 7" xfId="18216"/>
    <cellStyle name="输入 3 3 5" xfId="18217"/>
    <cellStyle name="注释 6 3 5" xfId="18218"/>
    <cellStyle name="注释 6 7" xfId="18219"/>
    <cellStyle name="注释 5 2 5" xfId="18220"/>
    <cellStyle name="注释 5 7" xfId="18221"/>
    <cellStyle name="注释 4 3 5" xfId="18222"/>
    <cellStyle name="汇总 7 5" xfId="18223"/>
    <cellStyle name="汇总 6 7" xfId="18224"/>
    <cellStyle name="Arial8Italic 2 3" xfId="18225"/>
    <cellStyle name="總數 4" xfId="18226"/>
    <cellStyle name="總數 2 3" xfId="18227"/>
    <cellStyle name="總數 2 2 2" xfId="18228"/>
    <cellStyle name="總數 3 2" xfId="18229"/>
    <cellStyle name="Input 6 6" xfId="18230"/>
    <cellStyle name="Input 5 6" xfId="18231"/>
    <cellStyle name="Input 41 5" xfId="18232"/>
    <cellStyle name="Input 35 5" xfId="18233"/>
    <cellStyle name="Input 13 3 5" xfId="18234"/>
    <cellStyle name="Input 13 7" xfId="18235"/>
    <cellStyle name="Input 10 2 5" xfId="18236"/>
    <cellStyle name="Calculation 7 2 5" xfId="18237"/>
    <cellStyle name="Total 7 2 2 3 3" xfId="18238"/>
    <cellStyle name="Total 7 2 3 3" xfId="18239"/>
    <cellStyle name="Total 7 3 3" xfId="18240"/>
    <cellStyle name="SAPBEXHLevel3 4" xfId="18241"/>
    <cellStyle name="Note 11" xfId="18242"/>
    <cellStyle name="SAPBEXexcGood2 2 3" xfId="18243"/>
    <cellStyle name="SAPBEXstdData 2 3" xfId="18244"/>
    <cellStyle name="SAPBEXstdItemX 2 3" xfId="18245"/>
    <cellStyle name="SAPBEXundefined 2 3" xfId="18246"/>
    <cellStyle name="SAPBEXstdDataEmph 2 3" xfId="18247"/>
    <cellStyle name="SAPBEXresData 2 3" xfId="18248"/>
    <cellStyle name="SAPBEXresDataEmph 2 3" xfId="18249"/>
    <cellStyle name="SAPBEXHLevel0 2 3" xfId="18250"/>
    <cellStyle name="SAPBEXHLevel1X 2 3" xfId="18251"/>
    <cellStyle name="SAPBEXHLevel2 2 3" xfId="18252"/>
    <cellStyle name="SAPBEXHLevel0X 2 3" xfId="18253"/>
    <cellStyle name="SAPBEXexcGood3 2 3" xfId="18254"/>
    <cellStyle name="WingdingsBlack 4" xfId="18255"/>
    <cellStyle name="SSFixed2 2 4" xfId="18256"/>
    <cellStyle name="Table 2 2 2 4" xfId="18257"/>
    <cellStyle name="Table 3 2 4" xfId="18258"/>
    <cellStyle name="Top Row 2 2 4" xfId="18259"/>
    <cellStyle name="style 4 4" xfId="18260"/>
    <cellStyle name="style 2 2 4" xfId="18261"/>
    <cellStyle name="SAPBEXaggDataEmph 2 4" xfId="18262"/>
    <cellStyle name="SHADEDSTORES 2 2 4" xfId="18263"/>
    <cellStyle name="SSComma0 2 4" xfId="18264"/>
    <cellStyle name="SSComma2 2 4" xfId="18265"/>
    <cellStyle name="SAPBEXexcGood3 2 4" xfId="18266"/>
    <cellStyle name="SAPBEXHLevel3 2 4" xfId="18267"/>
    <cellStyle name="hard no. 4 4" xfId="18268"/>
    <cellStyle name="hard no. 3 2 2 4" xfId="18269"/>
    <cellStyle name="Header2 2 3 4" xfId="18270"/>
    <cellStyle name="Header2 2 2 2 4" xfId="18271"/>
    <cellStyle name="hard no. 2 3 4" xfId="18272"/>
    <cellStyle name="hard no. 2 2 3 4" xfId="18273"/>
    <cellStyle name="注释 4 7" xfId="18274"/>
    <cellStyle name="注释 6 2 5" xfId="18275"/>
    <cellStyle name="注释 4 2 5" xfId="18276"/>
    <cellStyle name="Note 6 5" xfId="18277"/>
    <cellStyle name="Note 6 2 4" xfId="18278"/>
    <cellStyle name="Note 7 5" xfId="18279"/>
    <cellStyle name="Note 4 5" xfId="18280"/>
    <cellStyle name="Note 4 2 4" xfId="18281"/>
    <cellStyle name="Note 2 5" xfId="18282"/>
    <cellStyle name="Note 2 2 4" xfId="18283"/>
    <cellStyle name="PERCENTAGE 2 3" xfId="18284"/>
    <cellStyle name="Input 6 2 5" xfId="18285"/>
    <cellStyle name="Input 14 7" xfId="18286"/>
    <cellStyle name="Input 38 5" xfId="18287"/>
    <cellStyle name="Input 11 6" xfId="18288"/>
    <cellStyle name="Input 10 6" xfId="18289"/>
    <cellStyle name="Calculation 6 6" xfId="18290"/>
    <cellStyle name="Calculation 8 5" xfId="18291"/>
    <cellStyle name="Calculation 6 2 5" xfId="18292"/>
    <cellStyle name="Total 7 2 2 2 2 3" xfId="18293"/>
    <cellStyle name="Total 2 3" xfId="18294"/>
    <cellStyle name="YearInputBu 2 2 3 3" xfId="18295"/>
    <cellStyle name="YearInputBu 2 2 2 2 3" xfId="18296"/>
    <cellStyle name="YearInputBu 3 3 3" xfId="18297"/>
    <cellStyle name="YearInputBu 3 2 2 3" xfId="18298"/>
    <cellStyle name="備註 2 3" xfId="18299"/>
    <cellStyle name="合計 2 3" xfId="18300"/>
    <cellStyle name="汇总 2 4 3" xfId="18301"/>
    <cellStyle name="汇总 2 2 2 3" xfId="18302"/>
    <cellStyle name="汇总 2 3 3 3" xfId="18303"/>
    <cellStyle name="汇总 2 3 2 2 3" xfId="18304"/>
    <cellStyle name="汇总 3 4 3" xfId="18305"/>
    <cellStyle name="汇总 3 2 2 3" xfId="18306"/>
    <cellStyle name="汇总 3 3 2 3" xfId="18307"/>
    <cellStyle name="汇总 4 4 3" xfId="18308"/>
    <cellStyle name="汇总 4 2 2 3" xfId="18309"/>
    <cellStyle name="汇总 4 3 2 3" xfId="18310"/>
    <cellStyle name="汇总 5 4 3" xfId="18311"/>
    <cellStyle name="汇总 5 2 2 3" xfId="18312"/>
    <cellStyle name="汇总 5 3 2 3" xfId="18313"/>
    <cellStyle name="汇总 6 4 3" xfId="18314"/>
    <cellStyle name="汇总 6 2 2 3" xfId="18315"/>
    <cellStyle name="汇总 6 3 2 3" xfId="18316"/>
    <cellStyle name="汇总 7 2 3" xfId="18317"/>
    <cellStyle name="注释 2 4 3" xfId="18318"/>
    <cellStyle name="注释 2 2 2 3" xfId="18319"/>
    <cellStyle name="注释 2 3 2 3" xfId="18320"/>
    <cellStyle name="注释 3 4 3" xfId="18321"/>
    <cellStyle name="注释 3 2 2 3" xfId="18322"/>
    <cellStyle name="注释 3 3 2 3" xfId="18323"/>
    <cellStyle name="注释 4 4 3" xfId="18324"/>
    <cellStyle name="注释 4 2 2 3" xfId="18325"/>
    <cellStyle name="注释 4 3 2 3" xfId="18326"/>
    <cellStyle name="注释 5 4 3" xfId="18327"/>
    <cellStyle name="注释 5 2 2 3" xfId="18328"/>
    <cellStyle name="注释 5 3 2 3" xfId="18329"/>
    <cellStyle name="注释 6 4 3" xfId="18330"/>
    <cellStyle name="注释 6 2 2 3" xfId="18331"/>
    <cellStyle name="注释 6 3 2 3" xfId="18332"/>
    <cellStyle name="注释 7 2 3" xfId="18333"/>
    <cellStyle name="注释 8 2 3" xfId="18334"/>
    <cellStyle name="計算方式 2 3" xfId="18335"/>
    <cellStyle name="计算 2 4 3" xfId="18336"/>
    <cellStyle name="计算 2 2 2 3" xfId="18337"/>
    <cellStyle name="计算 2 3 2 3" xfId="18338"/>
    <cellStyle name="计算 3 4 3" xfId="18339"/>
    <cellStyle name="计算 3 2 2 3" xfId="18340"/>
    <cellStyle name="计算 3 3 2 3" xfId="18341"/>
    <cellStyle name="计算 4 4 3" xfId="18342"/>
    <cellStyle name="计算 4 2 2 3" xfId="18343"/>
    <cellStyle name="计算 4 3 2 3" xfId="18344"/>
    <cellStyle name="计算 5 4 3" xfId="18345"/>
    <cellStyle name="计算 5 2 2 3" xfId="18346"/>
    <cellStyle name="计算 5 3 2 3" xfId="18347"/>
    <cellStyle name="计算 6 4 3" xfId="18348"/>
    <cellStyle name="计算 6 2 2 3" xfId="18349"/>
    <cellStyle name="计算 6 3 2 3" xfId="18350"/>
    <cellStyle name="计算 7 2 3" xfId="18351"/>
    <cellStyle name="计算 8 2 3" xfId="18352"/>
    <cellStyle name="輸入 2 3" xfId="18353"/>
    <cellStyle name="輸出 2 3" xfId="18354"/>
    <cellStyle name="输入 2 4 3" xfId="18355"/>
    <cellStyle name="输入 2 2 2 3" xfId="18356"/>
    <cellStyle name="输入 2 3 2 3" xfId="18357"/>
    <cellStyle name="输入 3 4 3" xfId="18358"/>
    <cellStyle name="输入 3 2 2 3" xfId="18359"/>
    <cellStyle name="输入 3 3 2 3" xfId="18360"/>
    <cellStyle name="输入 4 4 3" xfId="18361"/>
    <cellStyle name="输入 4 2 2 3" xfId="18362"/>
    <cellStyle name="输入 4 3 2 3" xfId="18363"/>
    <cellStyle name="输入 5 4 3" xfId="18364"/>
    <cellStyle name="输入 5 2 2 3" xfId="18365"/>
    <cellStyle name="输入 5 3 2 3" xfId="18366"/>
    <cellStyle name="输入 6 4 3" xfId="18367"/>
    <cellStyle name="输入 6 2 2 3" xfId="18368"/>
    <cellStyle name="输入 6 3 2 3" xfId="18369"/>
    <cellStyle name="输入 7 2 3" xfId="18370"/>
    <cellStyle name="输出 2 4 3" xfId="18371"/>
    <cellStyle name="输出 2 2 2 3" xfId="18372"/>
    <cellStyle name="输出 2 3 2 3" xfId="18373"/>
    <cellStyle name="输出 3 4 3" xfId="18374"/>
    <cellStyle name="输出 3 2 2 3" xfId="18375"/>
    <cellStyle name="输出 3 3 2 3" xfId="18376"/>
    <cellStyle name="输出 4 4 3" xfId="18377"/>
    <cellStyle name="输出 4 2 2 3" xfId="18378"/>
    <cellStyle name="输出 4 3 2 3" xfId="18379"/>
    <cellStyle name="输出 5 4 3" xfId="18380"/>
    <cellStyle name="输出 5 2 2 3" xfId="18381"/>
    <cellStyle name="输出 5 3 2 3" xfId="18382"/>
    <cellStyle name="输出 6 4 3" xfId="18383"/>
    <cellStyle name="输出 6 2 2 3" xfId="18384"/>
    <cellStyle name="输出 6 3 2 3" xfId="18385"/>
    <cellStyle name="输出 7 2 3" xfId="18386"/>
    <cellStyle name="输出 8 2 3" xfId="18387"/>
    <cellStyle name="PERCENTAGE 4" xfId="18388"/>
    <cellStyle name="總數 5" xfId="18389"/>
    <cellStyle name="總數 2 4" xfId="18390"/>
    <cellStyle name="總數 2 2 3" xfId="18391"/>
    <cellStyle name="總數 3 3" xfId="18392"/>
    <cellStyle name="Code 2 4" xfId="18393"/>
    <cellStyle name="Note 12" xfId="18394"/>
    <cellStyle name="SAPBEXexcGood1 2 4" xfId="18395"/>
    <cellStyle name="SAPBEXresItemX 2 4" xfId="18396"/>
    <cellStyle name="SAPBEXstdItem 2 4" xfId="18397"/>
    <cellStyle name="SAPBEXstdItemX 2 4" xfId="18398"/>
    <cellStyle name="SAPBEXstdData 2 4" xfId="18399"/>
    <cellStyle name="SAPBEXHLevel3X 2 4" xfId="18400"/>
    <cellStyle name="SAPBEXresData 2 4" xfId="18401"/>
    <cellStyle name="SAPBEXformats 2 4" xfId="18402"/>
    <cellStyle name="SAPBEXHLevel1 2 4" xfId="18403"/>
    <cellStyle name="SAPBEXHLevel1X 2 4" xfId="18404"/>
    <cellStyle name="SAPBEXHLevel0 2 4" xfId="18405"/>
    <cellStyle name="SAPBEXexcGood2 2 4" xfId="18406"/>
    <cellStyle name="Note 6 6" xfId="18407"/>
    <cellStyle name="Note 6 2 5" xfId="18408"/>
    <cellStyle name="Note 7 6" xfId="18409"/>
    <cellStyle name="Note 4 6" xfId="18410"/>
    <cellStyle name="Note 4 2 5" xfId="18411"/>
    <cellStyle name="Note 2 6" xfId="18412"/>
    <cellStyle name="Note 2 2 5" xfId="18413"/>
    <cellStyle name="YearInputBu 2 3 4" xfId="18414"/>
    <cellStyle name="YearInputBu 2 2 3 4" xfId="18415"/>
    <cellStyle name="YearInputBu 2 2 2 2 4" xfId="18416"/>
    <cellStyle name="YearInputBu 3 3 4" xfId="18417"/>
    <cellStyle name="YearInputBu 3 2 2 4" xfId="18418"/>
    <cellStyle name="備註 2 4" xfId="18419"/>
    <cellStyle name="合計 2 4" xfId="18420"/>
    <cellStyle name="汇总 2 4 4" xfId="18421"/>
    <cellStyle name="汇总 2 2 2 4" xfId="18422"/>
    <cellStyle name="汇总 2 3 3 4" xfId="18423"/>
    <cellStyle name="汇总 2 3 2 2 4" xfId="18424"/>
    <cellStyle name="汇总 3 4 4" xfId="18425"/>
    <cellStyle name="汇总 3 2 2 4" xfId="18426"/>
    <cellStyle name="汇总 3 3 2 4" xfId="18427"/>
    <cellStyle name="汇总 4 4 4" xfId="18428"/>
    <cellStyle name="汇总 4 2 2 4" xfId="18429"/>
    <cellStyle name="汇总 4 3 2 4" xfId="18430"/>
    <cellStyle name="汇总 5 4 4" xfId="18431"/>
    <cellStyle name="汇总 5 2 2 4" xfId="18432"/>
    <cellStyle name="汇总 5 3 2 4" xfId="18433"/>
    <cellStyle name="汇总 6 4 4" xfId="18434"/>
    <cellStyle name="汇总 6 2 2 4" xfId="18435"/>
    <cellStyle name="汇总 6 3 2 4" xfId="18436"/>
    <cellStyle name="汇总 7 2 4" xfId="18437"/>
    <cellStyle name="注释 2 4 4" xfId="18438"/>
    <cellStyle name="注释 2 2 2 4" xfId="18439"/>
    <cellStyle name="注释 2 3 2 4" xfId="18440"/>
    <cellStyle name="注释 3 4 4" xfId="18441"/>
    <cellStyle name="注释 3 2 2 4" xfId="18442"/>
    <cellStyle name="注释 3 3 2 4" xfId="18443"/>
    <cellStyle name="注释 4 4 4" xfId="18444"/>
    <cellStyle name="注释 4 2 2 4" xfId="18445"/>
    <cellStyle name="注释 4 3 2 4" xfId="18446"/>
    <cellStyle name="注释 5 4 4" xfId="18447"/>
    <cellStyle name="注释 5 2 2 4" xfId="18448"/>
    <cellStyle name="注释 5 3 2 4" xfId="18449"/>
    <cellStyle name="注释 6 4 4" xfId="18450"/>
    <cellStyle name="注释 6 2 2 4" xfId="18451"/>
    <cellStyle name="注释 6 3 2 4" xfId="18452"/>
    <cellStyle name="注释 7 2 4" xfId="18453"/>
    <cellStyle name="注释 8 2 4" xfId="18454"/>
    <cellStyle name="計算方式 2 4" xfId="18455"/>
    <cellStyle name="计算 2 4 4" xfId="18456"/>
    <cellStyle name="计算 2 2 2 4" xfId="18457"/>
    <cellStyle name="计算 2 3 2 4" xfId="18458"/>
    <cellStyle name="计算 3 4 4" xfId="18459"/>
    <cellStyle name="计算 3 2 2 4" xfId="18460"/>
    <cellStyle name="计算 3 3 2 4" xfId="18461"/>
    <cellStyle name="计算 4 4 4" xfId="18462"/>
    <cellStyle name="计算 4 2 2 4" xfId="18463"/>
    <cellStyle name="计算 4 3 2 4" xfId="18464"/>
    <cellStyle name="计算 5 4 4" xfId="18465"/>
    <cellStyle name="计算 5 2 2 4" xfId="18466"/>
    <cellStyle name="计算 5 3 2 4" xfId="18467"/>
    <cellStyle name="计算 6 4 4" xfId="18468"/>
    <cellStyle name="计算 6 2 2 4" xfId="18469"/>
    <cellStyle name="计算 6 3 2 4" xfId="18470"/>
    <cellStyle name="计算 7 2 4" xfId="18471"/>
    <cellStyle name="计算 8 2 4" xfId="18472"/>
    <cellStyle name="輸入 2 4" xfId="18473"/>
    <cellStyle name="輸出 2 4" xfId="18474"/>
    <cellStyle name="输入 2 4 4" xfId="18475"/>
    <cellStyle name="输入 2 2 2 4" xfId="18476"/>
    <cellStyle name="输入 2 3 2 4" xfId="18477"/>
    <cellStyle name="输入 3 4 4" xfId="18478"/>
    <cellStyle name="输入 3 2 2 4" xfId="18479"/>
    <cellStyle name="输入 3 3 2 4" xfId="18480"/>
    <cellStyle name="输入 4 4 4" xfId="18481"/>
    <cellStyle name="输入 4 2 2 4" xfId="18482"/>
    <cellStyle name="输入 4 3 2 4" xfId="18483"/>
    <cellStyle name="输入 5 4 4" xfId="18484"/>
    <cellStyle name="输入 5 2 2 4" xfId="18485"/>
    <cellStyle name="输入 5 3 2 4" xfId="18486"/>
    <cellStyle name="输入 6 4 4" xfId="18487"/>
    <cellStyle name="输入 6 2 2 4" xfId="18488"/>
    <cellStyle name="输入 6 3 2 4" xfId="18489"/>
    <cellStyle name="输入 7 2 4" xfId="18490"/>
    <cellStyle name="输出 2 4 4" xfId="18491"/>
    <cellStyle name="输出 2 2 2 4" xfId="18492"/>
    <cellStyle name="输出 2 3 2 4" xfId="18493"/>
    <cellStyle name="输出 3 4 4" xfId="18494"/>
    <cellStyle name="输出 3 2 2 4" xfId="18495"/>
    <cellStyle name="输出 3 3 2 4" xfId="18496"/>
    <cellStyle name="输出 4 4 4" xfId="18497"/>
    <cellStyle name="输出 4 2 2 4" xfId="18498"/>
    <cellStyle name="输出 4 3 2 4" xfId="18499"/>
    <cellStyle name="输出 5 4 4" xfId="18500"/>
    <cellStyle name="输出 5 2 2 4" xfId="18501"/>
    <cellStyle name="输出 5 3 2 4" xfId="18502"/>
    <cellStyle name="输出 6 4 4" xfId="18503"/>
    <cellStyle name="输出 6 2 2 4" xfId="18504"/>
    <cellStyle name="输出 6 3 2 4" xfId="18505"/>
    <cellStyle name="输出 7 2 4" xfId="18506"/>
    <cellStyle name="输出 8 2 4" xfId="18507"/>
    <cellStyle name="_x000a_bidires=100_x000d_" xfId="18508"/>
    <cellStyle name="% 2" xfId="18509"/>
    <cellStyle name="% 3" xfId="18510"/>
    <cellStyle name="? 2" xfId="18511"/>
    <cellStyle name="???[0]_????&amp;???" xfId="18512"/>
    <cellStyle name="?_Iron ore_output 2" xfId="18513"/>
    <cellStyle name="?_Iron ore_WIP 2" xfId="18514"/>
    <cellStyle name="_0001hk-26-greenlight" xfId="18515"/>
    <cellStyle name="_0001hk-26-greenlight (adjusted for China pty)" xfId="18516"/>
    <cellStyle name="_0016hk_20 greenlight" xfId="18517"/>
    <cellStyle name="_0016hk_24 greenlight" xfId="18518"/>
    <cellStyle name="_0017hk_14-greenlight" xfId="18519"/>
    <cellStyle name="_0017hk_15-greenlight" xfId="18520"/>
    <cellStyle name="_08 Outlook Charts Oct 07" xfId="18521"/>
    <cellStyle name="_08 Outlook Charts Oct 07_CC charts and tables Oct 08" xfId="18522"/>
    <cellStyle name="_08 Outlook Charts Oct 07_CC charts and tables Oct 08_CKH-17" xfId="18523"/>
    <cellStyle name="_08 Outlook Charts Oct 07_CC charts and tables Oct 08_HWL AC" xfId="18524"/>
    <cellStyle name="_08 Outlook Charts Oct 07_CC charts and tables Oct 08_HWL_LP" xfId="18525"/>
    <cellStyle name="_08 Outlook Charts Oct 07_CEIC_PROPERTY PRICE  RENTAL INDEX Feb 09 " xfId="18526"/>
    <cellStyle name="_08 Outlook Charts Oct 07_CEIC_PROPERTY PRICE  RENTAL INDEX Feb 09 _CKH-17" xfId="18527"/>
    <cellStyle name="_08 Outlook Charts Oct 07_CEIC_PROPERTY PRICE  RENTAL INDEX Feb 09 _HWL AC" xfId="18528"/>
    <cellStyle name="_08 Outlook Charts Oct 07_CEIC_PROPERTY PRICE  RENTAL INDEX Feb 09 _HWL_LP" xfId="18529"/>
    <cellStyle name="_08 Outlook Charts Oct 07_charts Jun 09" xfId="18530"/>
    <cellStyle name="_08 Outlook Charts Oct 07_charts Jun 09_Charts for HK update May 09" xfId="18531"/>
    <cellStyle name="_08 Outlook Charts Oct 07_charts Jun 09_Charts for HK update May 09_Charts Sep 09 (version 2)" xfId="18532"/>
    <cellStyle name="_08 Outlook Charts Oct 07_charts Jun 09_Charts for HK update May 09_Charts Sep 09 (version 2)_CKH-17" xfId="18533"/>
    <cellStyle name="_08 Outlook Charts Oct 07_charts Jun 09_Charts for HK update May 09_Charts Sep 09 (version 2)_HWL AC" xfId="18534"/>
    <cellStyle name="_08 Outlook Charts Oct 07_charts Jun 09_Charts for HK update May 09_Charts Sep 09 (version 2)_HWL_LP" xfId="18535"/>
    <cellStyle name="_08 Outlook Charts Oct 07_charts Jun 09_Charts for HK update May 09_CKH-17" xfId="18536"/>
    <cellStyle name="_08 Outlook Charts Oct 07_charts Jun 09_Charts for HK update May 09_HWL AC" xfId="18537"/>
    <cellStyle name="_08 Outlook Charts Oct 07_charts Jun 09_Charts for HK update May 09_HWL_LP" xfId="18538"/>
    <cellStyle name="_08 Outlook Charts Oct 07_charts Jun 09_CKH-17" xfId="18539"/>
    <cellStyle name="_08 Outlook Charts Oct 07_charts Jun 09_EC charts Sep 09" xfId="18540"/>
    <cellStyle name="_08 Outlook Charts Oct 07_charts Jun 09_EC charts Sep 09_Charts Sep 09 (version 2)" xfId="18541"/>
    <cellStyle name="_08 Outlook Charts Oct 07_charts Jun 09_EC charts Sep 09_Charts Sep 09 (version 2)_CKH-17" xfId="18542"/>
    <cellStyle name="_08 Outlook Charts Oct 07_charts Jun 09_EC charts Sep 09_Charts Sep 09 (version 2)_HWL AC" xfId="18543"/>
    <cellStyle name="_08 Outlook Charts Oct 07_charts Jun 09_EC charts Sep 09_Charts Sep 09 (version 2)_HWL_LP" xfId="18544"/>
    <cellStyle name="_08 Outlook Charts Oct 07_charts Jun 09_EC charts Sep 09_CKH-17" xfId="18545"/>
    <cellStyle name="_08 Outlook Charts Oct 07_charts Jun 09_EC charts Sep 09_HWL AC" xfId="18546"/>
    <cellStyle name="_08 Outlook Charts Oct 07_charts Jun 09_EC charts Sep 09_HWL_LP" xfId="18547"/>
    <cellStyle name="_08 Outlook Charts Oct 07_charts Jun 09_HWL AC" xfId="18548"/>
    <cellStyle name="_08 Outlook Charts Oct 07_charts Jun 09_HWL_LP" xfId="18549"/>
    <cellStyle name="_08 Outlook Charts Oct 07_Charts Sep 09 (version 2)" xfId="18550"/>
    <cellStyle name="_08 Outlook Charts Oct 07_Charts Sep 09 (version 2)_CKH-17" xfId="18551"/>
    <cellStyle name="_08 Outlook Charts Oct 07_Charts Sep 09 (version 2)_HWL AC" xfId="18552"/>
    <cellStyle name="_08 Outlook Charts Oct 07_Charts Sep 09 (version 2)_HWL_LP" xfId="18553"/>
    <cellStyle name="_08 Outlook Charts Oct 07_CKH-17" xfId="18554"/>
    <cellStyle name="_08 Outlook Charts Oct 07_devs vs resi index hk Dec 08" xfId="18555"/>
    <cellStyle name="_08 Outlook Charts Oct 07_devs vs resi index hk Dec 08_Charts for HK update May 09" xfId="18556"/>
    <cellStyle name="_08 Outlook Charts Oct 07_devs vs resi index hk Dec 08_Charts for HK update May 09_Charts Sep 09 (version 2)" xfId="18557"/>
    <cellStyle name="_08 Outlook Charts Oct 07_devs vs resi index hk Dec 08_Charts for HK update May 09_Charts Sep 09 (version 2)_CKH-17" xfId="18558"/>
    <cellStyle name="_08 Outlook Charts Oct 07_devs vs resi index hk Dec 08_Charts for HK update May 09_Charts Sep 09 (version 2)_HWL AC" xfId="18559"/>
    <cellStyle name="_08 Outlook Charts Oct 07_devs vs resi index hk Dec 08_Charts for HK update May 09_Charts Sep 09 (version 2)_HWL_LP" xfId="18560"/>
    <cellStyle name="_08 Outlook Charts Oct 07_devs vs resi index hk Dec 08_Charts for HK update May 09_CKH-17" xfId="18561"/>
    <cellStyle name="_08 Outlook Charts Oct 07_devs vs resi index hk Dec 08_Charts for HK update May 09_HWL AC" xfId="18562"/>
    <cellStyle name="_08 Outlook Charts Oct 07_devs vs resi index hk Dec 08_Charts for HK update May 09_HWL_LP" xfId="18563"/>
    <cellStyle name="_08 Outlook Charts Oct 07_devs vs resi index hk Dec 08_CKH-17" xfId="18564"/>
    <cellStyle name="_08 Outlook Charts Oct 07_devs vs resi index hk Dec 08_EC charts Sep 09" xfId="18565"/>
    <cellStyle name="_08 Outlook Charts Oct 07_devs vs resi index hk Dec 08_EC charts Sep 09_Charts Sep 09 (version 2)" xfId="18566"/>
    <cellStyle name="_08 Outlook Charts Oct 07_devs vs resi index hk Dec 08_EC charts Sep 09_Charts Sep 09 (version 2)_CKH-17" xfId="18567"/>
    <cellStyle name="_08 Outlook Charts Oct 07_devs vs resi index hk Dec 08_EC charts Sep 09_Charts Sep 09 (version 2)_HWL AC" xfId="18568"/>
    <cellStyle name="_08 Outlook Charts Oct 07_devs vs resi index hk Dec 08_EC charts Sep 09_Charts Sep 09 (version 2)_HWL_LP" xfId="18569"/>
    <cellStyle name="_08 Outlook Charts Oct 07_devs vs resi index hk Dec 08_EC charts Sep 09_CKH-17" xfId="18570"/>
    <cellStyle name="_08 Outlook Charts Oct 07_devs vs resi index hk Dec 08_EC charts Sep 09_HWL AC" xfId="18571"/>
    <cellStyle name="_08 Outlook Charts Oct 07_devs vs resi index hk Dec 08_EC charts Sep 09_HWL_LP" xfId="18572"/>
    <cellStyle name="_08 Outlook Charts Oct 07_devs vs resi index hk Dec 08_HWL AC" xfId="18573"/>
    <cellStyle name="_08 Outlook Charts Oct 07_devs vs resi index hk Dec 08_HWL_LP" xfId="18574"/>
    <cellStyle name="_08 Outlook Charts Oct 07_EC charts Oct 08" xfId="18575"/>
    <cellStyle name="_08 Outlook Charts Oct 07_EC charts Oct 08_Book50" xfId="18576"/>
    <cellStyle name="_08 Outlook Charts Oct 07_EC charts Oct 08_Book50_CKH-17" xfId="18577"/>
    <cellStyle name="_08 Outlook Charts Oct 07_EC charts Oct 08_Book50_EC charts Sep 09" xfId="18578"/>
    <cellStyle name="_08 Outlook Charts Oct 07_EC charts Oct 08_Book50_EC charts Sep 09_Charts Sep 09 (version 2)" xfId="18579"/>
    <cellStyle name="_08 Outlook Charts Oct 07_EC charts Oct 08_Book50_EC charts Sep 09_Charts Sep 09 (version 2)_CKH-17" xfId="18580"/>
    <cellStyle name="_08 Outlook Charts Oct 07_EC charts Oct 08_Book50_EC charts Sep 09_Charts Sep 09 (version 2)_HWL AC" xfId="18581"/>
    <cellStyle name="_08 Outlook Charts Oct 07_EC charts Oct 08_Book50_EC charts Sep 09_Charts Sep 09 (version 2)_HWL_LP" xfId="18582"/>
    <cellStyle name="_08 Outlook Charts Oct 07_EC charts Oct 08_Book50_EC charts Sep 09_CKH-17" xfId="18583"/>
    <cellStyle name="_08 Outlook Charts Oct 07_EC charts Oct 08_Book50_EC charts Sep 09_HWL AC" xfId="18584"/>
    <cellStyle name="_08 Outlook Charts Oct 07_EC charts Oct 08_Book50_EC charts Sep 09_HWL_LP" xfId="18585"/>
    <cellStyle name="_08 Outlook Charts Oct 07_EC charts Oct 08_Book50_HWL AC" xfId="18586"/>
    <cellStyle name="_08 Outlook Charts Oct 07_EC charts Oct 08_Book50_HWL_LP" xfId="18587"/>
    <cellStyle name="_08 Outlook Charts Oct 07_EC charts Oct 08_Charts for HK update May 09" xfId="18588"/>
    <cellStyle name="_08 Outlook Charts Oct 07_EC charts Oct 08_Charts for HK update May 09_Charts Sep 09 (version 2)" xfId="18589"/>
    <cellStyle name="_08 Outlook Charts Oct 07_EC charts Oct 08_Charts for HK update May 09_Charts Sep 09 (version 2)_CKH-17" xfId="18590"/>
    <cellStyle name="_08 Outlook Charts Oct 07_EC charts Oct 08_Charts for HK update May 09_Charts Sep 09 (version 2)_HWL AC" xfId="18591"/>
    <cellStyle name="_08 Outlook Charts Oct 07_EC charts Oct 08_Charts for HK update May 09_Charts Sep 09 (version 2)_HWL_LP" xfId="18592"/>
    <cellStyle name="_08 Outlook Charts Oct 07_EC charts Oct 08_Charts for HK update May 09_CKH-17" xfId="18593"/>
    <cellStyle name="_08 Outlook Charts Oct 07_EC charts Oct 08_Charts for HK update May 09_HWL AC" xfId="18594"/>
    <cellStyle name="_08 Outlook Charts Oct 07_EC charts Oct 08_Charts for HK update May 09_HWL_LP" xfId="18595"/>
    <cellStyle name="_08 Outlook Charts Oct 07_EC charts Oct 08_charts Jun 09" xfId="18596"/>
    <cellStyle name="_08 Outlook Charts Oct 07_EC charts Oct 08_charts Jun 09_Charts for HK update May 09" xfId="18597"/>
    <cellStyle name="_08 Outlook Charts Oct 07_EC charts Oct 08_charts Jun 09_Charts for HK update May 09_Charts Sep 09 (version 2)" xfId="18598"/>
    <cellStyle name="_08 Outlook Charts Oct 07_EC charts Oct 08_charts Jun 09_Charts for HK update May 09_Charts Sep 09 (version 2)_CKH-17" xfId="18599"/>
    <cellStyle name="_08 Outlook Charts Oct 07_EC charts Oct 08_charts Jun 09_Charts for HK update May 09_Charts Sep 09 (version 2)_HWL AC" xfId="18600"/>
    <cellStyle name="_08 Outlook Charts Oct 07_EC charts Oct 08_charts Jun 09_Charts for HK update May 09_Charts Sep 09 (version 2)_HWL_LP" xfId="18601"/>
    <cellStyle name="_08 Outlook Charts Oct 07_EC charts Oct 08_charts Jun 09_Charts for HK update May 09_CKH-17" xfId="18602"/>
    <cellStyle name="_08 Outlook Charts Oct 07_EC charts Oct 08_charts Jun 09_Charts for HK update May 09_HWL AC" xfId="18603"/>
    <cellStyle name="_08 Outlook Charts Oct 07_EC charts Oct 08_charts Jun 09_Charts for HK update May 09_HWL_LP" xfId="18604"/>
    <cellStyle name="_08 Outlook Charts Oct 07_EC charts Oct 08_charts Jun 09_CKH-17" xfId="18605"/>
    <cellStyle name="_08 Outlook Charts Oct 07_EC charts Oct 08_charts Jun 09_EC charts Sep 09" xfId="18606"/>
    <cellStyle name="_08 Outlook Charts Oct 07_EC charts Oct 08_charts Jun 09_EC charts Sep 09_Charts Sep 09 (version 2)" xfId="18607"/>
    <cellStyle name="_08 Outlook Charts Oct 07_EC charts Oct 08_charts Jun 09_EC charts Sep 09_Charts Sep 09 (version 2)_CKH-17" xfId="18608"/>
    <cellStyle name="_08 Outlook Charts Oct 07_EC charts Oct 08_charts Jun 09_EC charts Sep 09_Charts Sep 09 (version 2)_HWL AC" xfId="18609"/>
    <cellStyle name="_08 Outlook Charts Oct 07_EC charts Oct 08_charts Jun 09_EC charts Sep 09_Charts Sep 09 (version 2)_HWL_LP" xfId="18610"/>
    <cellStyle name="_08 Outlook Charts Oct 07_EC charts Oct 08_charts Jun 09_EC charts Sep 09_CKH-17" xfId="18611"/>
    <cellStyle name="_08 Outlook Charts Oct 07_EC charts Oct 08_charts Jun 09_EC charts Sep 09_HWL AC" xfId="18612"/>
    <cellStyle name="_08 Outlook Charts Oct 07_EC charts Oct 08_charts Jun 09_EC charts Sep 09_HWL_LP" xfId="18613"/>
    <cellStyle name="_08 Outlook Charts Oct 07_EC charts Oct 08_charts Jun 09_HWL AC" xfId="18614"/>
    <cellStyle name="_08 Outlook Charts Oct 07_EC charts Oct 08_charts Jun 09_HWL_LP" xfId="18615"/>
    <cellStyle name="_08 Outlook Charts Oct 07_EC charts Oct 08_China outlook 2010 charts and tables " xfId="18616"/>
    <cellStyle name="_08 Outlook Charts Oct 07_EC charts Oct 08_China outlook 2010 charts and tables _Charts Sep 09 (version 2)" xfId="18617"/>
    <cellStyle name="_08 Outlook Charts Oct 07_EC charts Oct 08_China outlook 2010 charts and tables _Charts Sep 09 (version 2)_CKH-17" xfId="18618"/>
    <cellStyle name="_08 Outlook Charts Oct 07_EC charts Oct 08_China outlook 2010 charts and tables _Charts Sep 09 (version 2)_HWL AC" xfId="18619"/>
    <cellStyle name="_08 Outlook Charts Oct 07_EC charts Oct 08_China outlook 2010 charts and tables _Charts Sep 09 (version 2)_HWL_LP" xfId="18620"/>
    <cellStyle name="_08 Outlook Charts Oct 07_EC charts Oct 08_China outlook 2010 charts and tables _CKH-17" xfId="18621"/>
    <cellStyle name="_08 Outlook Charts Oct 07_EC charts Oct 08_China outlook 2010 charts and tables _HWL AC" xfId="18622"/>
    <cellStyle name="_08 Outlook Charts Oct 07_EC charts Oct 08_China outlook 2010 charts and tables _HWL_LP" xfId="18623"/>
    <cellStyle name="_08 Outlook Charts Oct 07_EC charts Oct 08_CKH-17" xfId="18624"/>
    <cellStyle name="_08 Outlook Charts Oct 07_EC charts Oct 08_EC charts Sep 09" xfId="18625"/>
    <cellStyle name="_08 Outlook Charts Oct 07_EC charts Oct 08_EC charts Sep 09_Charts Sep 09 (version 2)" xfId="18626"/>
    <cellStyle name="_08 Outlook Charts Oct 07_EC charts Oct 08_EC charts Sep 09_Charts Sep 09 (version 2)_CKH-17" xfId="18627"/>
    <cellStyle name="_08 Outlook Charts Oct 07_EC charts Oct 08_EC charts Sep 09_Charts Sep 09 (version 2)_HWL AC" xfId="18628"/>
    <cellStyle name="_08 Outlook Charts Oct 07_EC charts Oct 08_EC charts Sep 09_Charts Sep 09 (version 2)_HWL_LP" xfId="18629"/>
    <cellStyle name="_08 Outlook Charts Oct 07_EC charts Oct 08_EC charts Sep 09_CKH-17" xfId="18630"/>
    <cellStyle name="_08 Outlook Charts Oct 07_EC charts Oct 08_EC charts Sep 09_HWL AC" xfId="18631"/>
    <cellStyle name="_08 Outlook Charts Oct 07_EC charts Oct 08_EC charts Sep 09_HWL_LP" xfId="18632"/>
    <cellStyle name="_08 Outlook Charts Oct 07_EC charts Oct 08_HWL AC" xfId="18633"/>
    <cellStyle name="_08 Outlook Charts Oct 07_EC charts Oct 08_HWL_LP" xfId="18634"/>
    <cellStyle name="_08 Outlook Charts Oct 07_HK developers weighted average share price vs ppty market May 09" xfId="18635"/>
    <cellStyle name="_08 Outlook Charts Oct 07_HK developers weighted average share price vs ppty market May 09_CKH-17" xfId="18636"/>
    <cellStyle name="_08 Outlook Charts Oct 07_HK developers weighted average share price vs ppty market May 09_HWL AC" xfId="18637"/>
    <cellStyle name="_08 Outlook Charts Oct 07_HK developers weighted average share price vs ppty market May 09_HWL_LP" xfId="18638"/>
    <cellStyle name="_08 Outlook Charts Oct 07_HK Devs Peak to trough 2010 Outlook" xfId="18639"/>
    <cellStyle name="_08 Outlook Charts Oct 07_HK Devs Peak to trough 2010 Outlook_CKH-17" xfId="18640"/>
    <cellStyle name="_08 Outlook Charts Oct 07_HK Devs Peak to trough 2010 Outlook_HWL AC" xfId="18641"/>
    <cellStyle name="_08 Outlook Charts Oct 07_HK Devs Peak to trough 2010 Outlook_HWL_LP" xfId="18642"/>
    <cellStyle name="_08 Outlook Charts Oct 07_HK Property data July 09" xfId="18643"/>
    <cellStyle name="_08 Outlook Charts Oct 07_HK Property data July 09_CKH-17" xfId="18644"/>
    <cellStyle name="_08 Outlook Charts Oct 07_HK Property data July 09_HWL AC" xfId="18645"/>
    <cellStyle name="_08 Outlook Charts Oct 07_HK Property data July 09_HWL_LP" xfId="18646"/>
    <cellStyle name="_08 Outlook Charts Oct 07_HK Resi 10 outlook chts" xfId="18647"/>
    <cellStyle name="_08 Outlook Charts Oct 07_HK Resi 10 outlook chts_CKH-17" xfId="18648"/>
    <cellStyle name="_08 Outlook Charts Oct 07_HK Resi 10 outlook chts_HWL AC" xfId="18649"/>
    <cellStyle name="_08 Outlook Charts Oct 07_HK Resi 10 outlook chts_HWL_LP" xfId="18650"/>
    <cellStyle name="_08 Outlook Charts Oct 07_HONG KONG PER" xfId="18651"/>
    <cellStyle name="_08 Outlook Charts Oct 07_HONG KONG PER_Book50" xfId="18652"/>
    <cellStyle name="_08 Outlook Charts Oct 07_HONG KONG PER_Book50_CKH-17" xfId="18653"/>
    <cellStyle name="_08 Outlook Charts Oct 07_HONG KONG PER_Book50_EC charts Sep 09" xfId="18654"/>
    <cellStyle name="_08 Outlook Charts Oct 07_HONG KONG PER_Book50_EC charts Sep 09_Charts Sep 09 (version 2)" xfId="18655"/>
    <cellStyle name="_08 Outlook Charts Oct 07_HONG KONG PER_Book50_EC charts Sep 09_Charts Sep 09 (version 2)_CKH-17" xfId="18656"/>
    <cellStyle name="_08 Outlook Charts Oct 07_HONG KONG PER_Book50_EC charts Sep 09_Charts Sep 09 (version 2)_HWL AC" xfId="18657"/>
    <cellStyle name="_08 Outlook Charts Oct 07_HONG KONG PER_Book50_EC charts Sep 09_Charts Sep 09 (version 2)_HWL_LP" xfId="18658"/>
    <cellStyle name="_08 Outlook Charts Oct 07_HONG KONG PER_Book50_EC charts Sep 09_CKH-17" xfId="18659"/>
    <cellStyle name="_08 Outlook Charts Oct 07_HONG KONG PER_Book50_EC charts Sep 09_HWL AC" xfId="18660"/>
    <cellStyle name="_08 Outlook Charts Oct 07_HONG KONG PER_Book50_EC charts Sep 09_HWL_LP" xfId="18661"/>
    <cellStyle name="_08 Outlook Charts Oct 07_HONG KONG PER_Book50_HWL AC" xfId="18662"/>
    <cellStyle name="_08 Outlook Charts Oct 07_HONG KONG PER_Book50_HWL_LP" xfId="18663"/>
    <cellStyle name="_08 Outlook Charts Oct 07_HONG KONG PER_CKH-17" xfId="18664"/>
    <cellStyle name="_08 Outlook Charts Oct 07_HONG KONG PER_EC charts Sep 09" xfId="18665"/>
    <cellStyle name="_08 Outlook Charts Oct 07_HONG KONG PER_EC charts Sep 09_Charts Sep 09 (version 2)" xfId="18666"/>
    <cellStyle name="_08 Outlook Charts Oct 07_HONG KONG PER_EC charts Sep 09_Charts Sep 09 (version 2)_CKH-17" xfId="18667"/>
    <cellStyle name="_08 Outlook Charts Oct 07_HONG KONG PER_EC charts Sep 09_Charts Sep 09 (version 2)_HWL AC" xfId="18668"/>
    <cellStyle name="_08 Outlook Charts Oct 07_HONG KONG PER_EC charts Sep 09_Charts Sep 09 (version 2)_HWL_LP" xfId="18669"/>
    <cellStyle name="_08 Outlook Charts Oct 07_HONG KONG PER_EC charts Sep 09_CKH-17" xfId="18670"/>
    <cellStyle name="_08 Outlook Charts Oct 07_HONG KONG PER_EC charts Sep 09_HWL AC" xfId="18671"/>
    <cellStyle name="_08 Outlook Charts Oct 07_HONG KONG PER_EC charts Sep 09_HWL_LP" xfId="18672"/>
    <cellStyle name="_08 Outlook Charts Oct 07_HONG KONG PER_HWL AC" xfId="18673"/>
    <cellStyle name="_08 Outlook Charts Oct 07_HONG KONG PER_HWL_LP" xfId="18674"/>
    <cellStyle name="_08 Outlook Charts Oct 07_HWL AC" xfId="18675"/>
    <cellStyle name="_08 Outlook Charts Oct 07_HWL_LP" xfId="18676"/>
    <cellStyle name="_08 Outlook Charts Oct 07_RESIDENTIAL SUPPLY 2009-2010" xfId="18677"/>
    <cellStyle name="_08 Outlook Charts Oct 07_RESIDENTIAL SUPPLY 2009-2010_CKH-17" xfId="18678"/>
    <cellStyle name="_08 Outlook Charts Oct 07_RESIDENTIAL SUPPLY 2009-2010_HWL AC" xfId="18679"/>
    <cellStyle name="_08 Outlook Charts Oct 07_RESIDENTIAL SUPPLY 2009-2010_HWL_LP" xfId="18680"/>
    <cellStyle name="_AFFORDABILITY Jan 08" xfId="18681"/>
    <cellStyle name="_AFFORDABILITY Jan 08_Book4" xfId="18682"/>
    <cellStyle name="_AFFORDABILITY Jan 08_Book4_Charts Sep 09 (version 2)" xfId="18683"/>
    <cellStyle name="_AFFORDABILITY Jan 08_Book4_Charts Sep 09 (version 2)_CKH-17" xfId="18684"/>
    <cellStyle name="_AFFORDABILITY Jan 08_Book4_Charts Sep 09 (version 2)_HWL AC" xfId="18685"/>
    <cellStyle name="_AFFORDABILITY Jan 08_Book4_Charts Sep 09 (version 2)_HWL_LP" xfId="18686"/>
    <cellStyle name="_AFFORDABILITY Jan 08_Book4_CKH-17" xfId="18687"/>
    <cellStyle name="_AFFORDABILITY Jan 08_Book4_HWL AC" xfId="18688"/>
    <cellStyle name="_AFFORDABILITY Jan 08_Book4_HWL_LP" xfId="18689"/>
    <cellStyle name="_AFFORDABILITY Jan 08_CC charts and tables Oct 08" xfId="18690"/>
    <cellStyle name="_AFFORDABILITY Jan 08_CC charts and tables Oct 08_CKH-17" xfId="18691"/>
    <cellStyle name="_AFFORDABILITY Jan 08_CC charts and tables Oct 08_HWL AC" xfId="18692"/>
    <cellStyle name="_AFFORDABILITY Jan 08_CC charts and tables Oct 08_HWL_LP" xfId="18693"/>
    <cellStyle name="_AFFORDABILITY Jan 08_CEIC_PROPERTY PRICE  RENTAL INDEX Feb 09 " xfId="18694"/>
    <cellStyle name="_AFFORDABILITY Jan 08_CEIC_PROPERTY PRICE  RENTAL INDEX Feb 09 _CKH-17" xfId="18695"/>
    <cellStyle name="_AFFORDABILITY Jan 08_CEIC_PROPERTY PRICE  RENTAL INDEX Feb 09 _HWL AC" xfId="18696"/>
    <cellStyle name="_AFFORDABILITY Jan 08_CEIC_PROPERTY PRICE  RENTAL INDEX Feb 09 _HWL_LP" xfId="18697"/>
    <cellStyle name="_AFFORDABILITY Jan 08_charts Jun 09" xfId="18698"/>
    <cellStyle name="_AFFORDABILITY Jan 08_charts Jun 09_Charts for HK update May 09" xfId="18699"/>
    <cellStyle name="_AFFORDABILITY Jan 08_charts Jun 09_Charts for HK update May 09_Charts Sep 09 (version 2)" xfId="18700"/>
    <cellStyle name="_AFFORDABILITY Jan 08_charts Jun 09_Charts for HK update May 09_Charts Sep 09 (version 2)_CKH-17" xfId="18701"/>
    <cellStyle name="_AFFORDABILITY Jan 08_charts Jun 09_Charts for HK update May 09_Charts Sep 09 (version 2)_HWL AC" xfId="18702"/>
    <cellStyle name="_AFFORDABILITY Jan 08_charts Jun 09_Charts for HK update May 09_Charts Sep 09 (version 2)_HWL_LP" xfId="18703"/>
    <cellStyle name="_AFFORDABILITY Jan 08_charts Jun 09_Charts for HK update May 09_CKH-17" xfId="18704"/>
    <cellStyle name="_AFFORDABILITY Jan 08_charts Jun 09_Charts for HK update May 09_HWL AC" xfId="18705"/>
    <cellStyle name="_AFFORDABILITY Jan 08_charts Jun 09_Charts for HK update May 09_HWL_LP" xfId="18706"/>
    <cellStyle name="_AFFORDABILITY Jan 08_charts Jun 09_CKH-17" xfId="18707"/>
    <cellStyle name="_AFFORDABILITY Jan 08_charts Jun 09_EC charts Sep 09" xfId="18708"/>
    <cellStyle name="_AFFORDABILITY Jan 08_charts Jun 09_EC charts Sep 09_Charts Sep 09 (version 2)" xfId="18709"/>
    <cellStyle name="_AFFORDABILITY Jan 08_charts Jun 09_EC charts Sep 09_Charts Sep 09 (version 2)_CKH-17" xfId="18710"/>
    <cellStyle name="_AFFORDABILITY Jan 08_charts Jun 09_EC charts Sep 09_Charts Sep 09 (version 2)_HWL AC" xfId="18711"/>
    <cellStyle name="_AFFORDABILITY Jan 08_charts Jun 09_EC charts Sep 09_Charts Sep 09 (version 2)_HWL_LP" xfId="18712"/>
    <cellStyle name="_AFFORDABILITY Jan 08_charts Jun 09_EC charts Sep 09_CKH-17" xfId="18713"/>
    <cellStyle name="_AFFORDABILITY Jan 08_charts Jun 09_EC charts Sep 09_HWL AC" xfId="18714"/>
    <cellStyle name="_AFFORDABILITY Jan 08_charts Jun 09_EC charts Sep 09_HWL_LP" xfId="18715"/>
    <cellStyle name="_AFFORDABILITY Jan 08_charts Jun 09_HWL AC" xfId="18716"/>
    <cellStyle name="_AFFORDABILITY Jan 08_charts Jun 09_HWL_LP" xfId="18717"/>
    <cellStyle name="_AFFORDABILITY Jan 08_Charts Sep 09 (version 2)" xfId="18718"/>
    <cellStyle name="_AFFORDABILITY Jan 08_Charts Sep 09 (version 2)_CKH-17" xfId="18719"/>
    <cellStyle name="_AFFORDABILITY Jan 08_Charts Sep 09 (version 2)_HWL AC" xfId="18720"/>
    <cellStyle name="_AFFORDABILITY Jan 08_Charts Sep 09 (version 2)_HWL_LP" xfId="18721"/>
    <cellStyle name="_AFFORDABILITY Jan 08_China update table and charts Sep 08" xfId="18722"/>
    <cellStyle name="_AFFORDABILITY Jan 08_China update table and charts Sep 08_Charts Sep 09 (version 2)" xfId="18723"/>
    <cellStyle name="_AFFORDABILITY Jan 08_China update table and charts Sep 08_Charts Sep 09 (version 2)_CKH-17" xfId="18724"/>
    <cellStyle name="_AFFORDABILITY Jan 08_China update table and charts Sep 08_Charts Sep 09 (version 2)_HWL AC" xfId="18725"/>
    <cellStyle name="_AFFORDABILITY Jan 08_China update table and charts Sep 08_Charts Sep 09 (version 2)_HWL_LP" xfId="18726"/>
    <cellStyle name="_AFFORDABILITY Jan 08_China update table and charts Sep 08_CKH-17" xfId="18727"/>
    <cellStyle name="_AFFORDABILITY Jan 08_China update table and charts Sep 08_HWL AC" xfId="18728"/>
    <cellStyle name="_AFFORDABILITY Jan 08_China update table and charts Sep 08_HWL_LP" xfId="18729"/>
    <cellStyle name="_AFFORDABILITY Jan 08_CKH-17" xfId="18730"/>
    <cellStyle name="_AFFORDABILITY Jan 08_Company comparison Sep 08" xfId="18731"/>
    <cellStyle name="_AFFORDABILITY Jan 08_Company comparison Sep 08_Book4" xfId="18732"/>
    <cellStyle name="_AFFORDABILITY Jan 08_Company comparison Sep 08_Book4_Charts Sep 09 (version 2)" xfId="18733"/>
    <cellStyle name="_AFFORDABILITY Jan 08_Company comparison Sep 08_Book4_Charts Sep 09 (version 2)_CKH-17" xfId="18734"/>
    <cellStyle name="_AFFORDABILITY Jan 08_Company comparison Sep 08_Book4_Charts Sep 09 (version 2)_HWL AC" xfId="18735"/>
    <cellStyle name="_AFFORDABILITY Jan 08_Company comparison Sep 08_Book4_Charts Sep 09 (version 2)_HWL_LP" xfId="18736"/>
    <cellStyle name="_AFFORDABILITY Jan 08_Company comparison Sep 08_Book4_CKH-17" xfId="18737"/>
    <cellStyle name="_AFFORDABILITY Jan 08_Company comparison Sep 08_Book4_HWL AC" xfId="18738"/>
    <cellStyle name="_AFFORDABILITY Jan 08_Company comparison Sep 08_Book4_HWL_LP" xfId="18739"/>
    <cellStyle name="_AFFORDABILITY Jan 08_Company comparison Sep 08_CC charts and tables Oct 08" xfId="18740"/>
    <cellStyle name="_AFFORDABILITY Jan 08_Company comparison Sep 08_CC charts and tables Oct 08_CKH-17" xfId="18741"/>
    <cellStyle name="_AFFORDABILITY Jan 08_Company comparison Sep 08_CC charts and tables Oct 08_HWL AC" xfId="18742"/>
    <cellStyle name="_AFFORDABILITY Jan 08_Company comparison Sep 08_CC charts and tables Oct 08_HWL_LP" xfId="18743"/>
    <cellStyle name="_AFFORDABILITY Jan 08_Company comparison Sep 08_CEIC_PROPERTY PRICE  RENTAL INDEX Feb 09 " xfId="18744"/>
    <cellStyle name="_AFFORDABILITY Jan 08_Company comparison Sep 08_CEIC_PROPERTY PRICE  RENTAL INDEX Feb 09 _CKH-17" xfId="18745"/>
    <cellStyle name="_AFFORDABILITY Jan 08_Company comparison Sep 08_CEIC_PROPERTY PRICE  RENTAL INDEX Feb 09 _HWL AC" xfId="18746"/>
    <cellStyle name="_AFFORDABILITY Jan 08_Company comparison Sep 08_CEIC_PROPERTY PRICE  RENTAL INDEX Feb 09 _HWL_LP" xfId="18747"/>
    <cellStyle name="_AFFORDABILITY Jan 08_Company comparison Sep 08_charts Jun 09" xfId="18748"/>
    <cellStyle name="_AFFORDABILITY Jan 08_Company comparison Sep 08_charts Jun 09_Charts for HK update May 09" xfId="18749"/>
    <cellStyle name="_AFFORDABILITY Jan 08_Company comparison Sep 08_charts Jun 09_Charts for HK update May 09_Charts Sep 09 (version 2)" xfId="18750"/>
    <cellStyle name="_AFFORDABILITY Jan 08_Company comparison Sep 08_charts Jun 09_Charts for HK update May 09_Charts Sep 09 (version 2)_CKH-17" xfId="18751"/>
    <cellStyle name="_AFFORDABILITY Jan 08_Company comparison Sep 08_charts Jun 09_Charts for HK update May 09_Charts Sep 09 (version 2)_HWL AC" xfId="18752"/>
    <cellStyle name="_AFFORDABILITY Jan 08_Company comparison Sep 08_charts Jun 09_Charts for HK update May 09_Charts Sep 09 (version 2)_HWL_LP" xfId="18753"/>
    <cellStyle name="_AFFORDABILITY Jan 08_Company comparison Sep 08_charts Jun 09_Charts for HK update May 09_CKH-17" xfId="18754"/>
    <cellStyle name="_AFFORDABILITY Jan 08_Company comparison Sep 08_charts Jun 09_Charts for HK update May 09_HWL AC" xfId="18755"/>
    <cellStyle name="_AFFORDABILITY Jan 08_Company comparison Sep 08_charts Jun 09_Charts for HK update May 09_HWL_LP" xfId="18756"/>
    <cellStyle name="_AFFORDABILITY Jan 08_Company comparison Sep 08_charts Jun 09_CKH-17" xfId="18757"/>
    <cellStyle name="_AFFORDABILITY Jan 08_Company comparison Sep 08_charts Jun 09_EC charts Sep 09" xfId="18758"/>
    <cellStyle name="_AFFORDABILITY Jan 08_Company comparison Sep 08_charts Jun 09_EC charts Sep 09_Charts Sep 09 (version 2)" xfId="18759"/>
    <cellStyle name="_AFFORDABILITY Jan 08_Company comparison Sep 08_charts Jun 09_EC charts Sep 09_Charts Sep 09 (version 2)_CKH-17" xfId="18760"/>
    <cellStyle name="_AFFORDABILITY Jan 08_Company comparison Sep 08_charts Jun 09_EC charts Sep 09_Charts Sep 09 (version 2)_HWL AC" xfId="18761"/>
    <cellStyle name="_AFFORDABILITY Jan 08_Company comparison Sep 08_charts Jun 09_EC charts Sep 09_Charts Sep 09 (version 2)_HWL_LP" xfId="18762"/>
    <cellStyle name="_AFFORDABILITY Jan 08_Company comparison Sep 08_charts Jun 09_EC charts Sep 09_CKH-17" xfId="18763"/>
    <cellStyle name="_AFFORDABILITY Jan 08_Company comparison Sep 08_charts Jun 09_EC charts Sep 09_HWL AC" xfId="18764"/>
    <cellStyle name="_AFFORDABILITY Jan 08_Company comparison Sep 08_charts Jun 09_EC charts Sep 09_HWL_LP" xfId="18765"/>
    <cellStyle name="_AFFORDABILITY Jan 08_Company comparison Sep 08_charts Jun 09_HWL AC" xfId="18766"/>
    <cellStyle name="_AFFORDABILITY Jan 08_Company comparison Sep 08_charts Jun 09_HWL_LP" xfId="18767"/>
    <cellStyle name="_AFFORDABILITY Jan 08_Company comparison Sep 08_Charts Sep 09 (version 2)" xfId="18768"/>
    <cellStyle name="_AFFORDABILITY Jan 08_Company comparison Sep 08_Charts Sep 09 (version 2)_CKH-17" xfId="18769"/>
    <cellStyle name="_AFFORDABILITY Jan 08_Company comparison Sep 08_Charts Sep 09 (version 2)_HWL AC" xfId="18770"/>
    <cellStyle name="_AFFORDABILITY Jan 08_Company comparison Sep 08_Charts Sep 09 (version 2)_HWL_LP" xfId="18771"/>
    <cellStyle name="_AFFORDABILITY Jan 08_Company comparison Sep 08_China update table and charts Sep 08" xfId="18772"/>
    <cellStyle name="_AFFORDABILITY Jan 08_Company comparison Sep 08_China update table and charts Sep 08_Charts Sep 09 (version 2)" xfId="18773"/>
    <cellStyle name="_AFFORDABILITY Jan 08_Company comparison Sep 08_China update table and charts Sep 08_Charts Sep 09 (version 2)_CKH-17" xfId="18774"/>
    <cellStyle name="_AFFORDABILITY Jan 08_Company comparison Sep 08_China update table and charts Sep 08_Charts Sep 09 (version 2)_HWL AC" xfId="18775"/>
    <cellStyle name="_AFFORDABILITY Jan 08_Company comparison Sep 08_China update table and charts Sep 08_Charts Sep 09 (version 2)_HWL_LP" xfId="18776"/>
    <cellStyle name="_AFFORDABILITY Jan 08_Company comparison Sep 08_China update table and charts Sep 08_CKH-17" xfId="18777"/>
    <cellStyle name="_AFFORDABILITY Jan 08_Company comparison Sep 08_China update table and charts Sep 08_HWL AC" xfId="18778"/>
    <cellStyle name="_AFFORDABILITY Jan 08_Company comparison Sep 08_China update table and charts Sep 08_HWL_LP" xfId="18779"/>
    <cellStyle name="_AFFORDABILITY Jan 08_Company comparison Sep 08_CKH-17" xfId="18780"/>
    <cellStyle name="_AFFORDABILITY Jan 08_Company comparison Sep 08_devs vs resi index hk Dec 08" xfId="18781"/>
    <cellStyle name="_AFFORDABILITY Jan 08_Company comparison Sep 08_devs vs resi index hk Dec 08_Charts for HK update May 09" xfId="18782"/>
    <cellStyle name="_AFFORDABILITY Jan 08_Company comparison Sep 08_devs vs resi index hk Dec 08_Charts for HK update May 09_Charts Sep 09 (version 2)" xfId="18783"/>
    <cellStyle name="_AFFORDABILITY Jan 08_Company comparison Sep 08_devs vs resi index hk Dec 08_Charts for HK update May 09_Charts Sep 09 (version 2)_CKH-17" xfId="18784"/>
    <cellStyle name="_AFFORDABILITY Jan 08_Company comparison Sep 08_devs vs resi index hk Dec 08_Charts for HK update May 09_Charts Sep 09 (version 2)_HWL AC" xfId="18785"/>
    <cellStyle name="_AFFORDABILITY Jan 08_Company comparison Sep 08_devs vs resi index hk Dec 08_Charts for HK update May 09_Charts Sep 09 (version 2)_HWL_LP" xfId="18786"/>
    <cellStyle name="_AFFORDABILITY Jan 08_Company comparison Sep 08_devs vs resi index hk Dec 08_Charts for HK update May 09_CKH-17" xfId="18787"/>
    <cellStyle name="_AFFORDABILITY Jan 08_Company comparison Sep 08_devs vs resi index hk Dec 08_Charts for HK update May 09_HWL AC" xfId="18788"/>
    <cellStyle name="_AFFORDABILITY Jan 08_Company comparison Sep 08_devs vs resi index hk Dec 08_Charts for HK update May 09_HWL_LP" xfId="18789"/>
    <cellStyle name="_AFFORDABILITY Jan 08_Company comparison Sep 08_devs vs resi index hk Dec 08_CKH-17" xfId="18790"/>
    <cellStyle name="_AFFORDABILITY Jan 08_Company comparison Sep 08_devs vs resi index hk Dec 08_EC charts Sep 09" xfId="18791"/>
    <cellStyle name="_AFFORDABILITY Jan 08_Company comparison Sep 08_devs vs resi index hk Dec 08_EC charts Sep 09_Charts Sep 09 (version 2)" xfId="18792"/>
    <cellStyle name="_AFFORDABILITY Jan 08_Company comparison Sep 08_devs vs resi index hk Dec 08_EC charts Sep 09_Charts Sep 09 (version 2)_CKH-17" xfId="18793"/>
    <cellStyle name="_AFFORDABILITY Jan 08_Company comparison Sep 08_devs vs resi index hk Dec 08_EC charts Sep 09_Charts Sep 09 (version 2)_HWL AC" xfId="18794"/>
    <cellStyle name="_AFFORDABILITY Jan 08_Company comparison Sep 08_devs vs resi index hk Dec 08_EC charts Sep 09_Charts Sep 09 (version 2)_HWL_LP" xfId="18795"/>
    <cellStyle name="_AFFORDABILITY Jan 08_Company comparison Sep 08_devs vs resi index hk Dec 08_EC charts Sep 09_CKH-17" xfId="18796"/>
    <cellStyle name="_AFFORDABILITY Jan 08_Company comparison Sep 08_devs vs resi index hk Dec 08_EC charts Sep 09_HWL AC" xfId="18797"/>
    <cellStyle name="_AFFORDABILITY Jan 08_Company comparison Sep 08_devs vs resi index hk Dec 08_EC charts Sep 09_HWL_LP" xfId="18798"/>
    <cellStyle name="_AFFORDABILITY Jan 08_Company comparison Sep 08_devs vs resi index hk Dec 08_HWL AC" xfId="18799"/>
    <cellStyle name="_AFFORDABILITY Jan 08_Company comparison Sep 08_devs vs resi index hk Dec 08_HWL_LP" xfId="18800"/>
    <cellStyle name="_AFFORDABILITY Jan 08_Company comparison Sep 08_EC charts Oct 08" xfId="18801"/>
    <cellStyle name="_AFFORDABILITY Jan 08_Company comparison Sep 08_EC charts Oct 08_Book50" xfId="18802"/>
    <cellStyle name="_AFFORDABILITY Jan 08_Company comparison Sep 08_EC charts Oct 08_Book50_CKH-17" xfId="18803"/>
    <cellStyle name="_AFFORDABILITY Jan 08_Company comparison Sep 08_EC charts Oct 08_Book50_EC charts Sep 09" xfId="18804"/>
    <cellStyle name="_AFFORDABILITY Jan 08_Company comparison Sep 08_EC charts Oct 08_Book50_EC charts Sep 09_Charts Sep 09 (version 2)" xfId="18805"/>
    <cellStyle name="_AFFORDABILITY Jan 08_Company comparison Sep 08_EC charts Oct 08_Book50_EC charts Sep 09_Charts Sep 09 (version 2)_CKH-17" xfId="18806"/>
    <cellStyle name="_AFFORDABILITY Jan 08_Company comparison Sep 08_EC charts Oct 08_Book50_EC charts Sep 09_Charts Sep 09 (version 2)_HWL AC" xfId="18807"/>
    <cellStyle name="_AFFORDABILITY Jan 08_Company comparison Sep 08_EC charts Oct 08_Book50_EC charts Sep 09_Charts Sep 09 (version 2)_HWL_LP" xfId="18808"/>
    <cellStyle name="_AFFORDABILITY Jan 08_Company comparison Sep 08_EC charts Oct 08_Book50_EC charts Sep 09_CKH-17" xfId="18809"/>
    <cellStyle name="_AFFORDABILITY Jan 08_Company comparison Sep 08_EC charts Oct 08_Book50_EC charts Sep 09_HWL AC" xfId="18810"/>
    <cellStyle name="_AFFORDABILITY Jan 08_Company comparison Sep 08_EC charts Oct 08_Book50_EC charts Sep 09_HWL_LP" xfId="18811"/>
    <cellStyle name="_AFFORDABILITY Jan 08_Company comparison Sep 08_EC charts Oct 08_Book50_HWL AC" xfId="18812"/>
    <cellStyle name="_AFFORDABILITY Jan 08_Company comparison Sep 08_EC charts Oct 08_Book50_HWL_LP" xfId="18813"/>
    <cellStyle name="_AFFORDABILITY Jan 08_Company comparison Sep 08_EC charts Oct 08_CKH-17" xfId="18814"/>
    <cellStyle name="_AFFORDABILITY Jan 08_Company comparison Sep 08_EC charts Oct 08_EC charts Sep 09" xfId="18815"/>
    <cellStyle name="_AFFORDABILITY Jan 08_Company comparison Sep 08_EC charts Oct 08_EC charts Sep 09_Charts Sep 09 (version 2)" xfId="18816"/>
    <cellStyle name="_AFFORDABILITY Jan 08_Company comparison Sep 08_EC charts Oct 08_EC charts Sep 09_Charts Sep 09 (version 2)_CKH-17" xfId="18817"/>
    <cellStyle name="_AFFORDABILITY Jan 08_Company comparison Sep 08_EC charts Oct 08_EC charts Sep 09_Charts Sep 09 (version 2)_HWL AC" xfId="18818"/>
    <cellStyle name="_AFFORDABILITY Jan 08_Company comparison Sep 08_EC charts Oct 08_EC charts Sep 09_Charts Sep 09 (version 2)_HWL_LP" xfId="18819"/>
    <cellStyle name="_AFFORDABILITY Jan 08_Company comparison Sep 08_EC charts Oct 08_EC charts Sep 09_CKH-17" xfId="18820"/>
    <cellStyle name="_AFFORDABILITY Jan 08_Company comparison Sep 08_EC charts Oct 08_EC charts Sep 09_HWL AC" xfId="18821"/>
    <cellStyle name="_AFFORDABILITY Jan 08_Company comparison Sep 08_EC charts Oct 08_EC charts Sep 09_HWL_LP" xfId="18822"/>
    <cellStyle name="_AFFORDABILITY Jan 08_Company comparison Sep 08_EC charts Oct 08_HWL AC" xfId="18823"/>
    <cellStyle name="_AFFORDABILITY Jan 08_Company comparison Sep 08_EC charts Oct 08_HWL_LP" xfId="18824"/>
    <cellStyle name="_AFFORDABILITY Jan 08_Company comparison Sep 08_HK developers weighted average share price vs ppty market May 09" xfId="18825"/>
    <cellStyle name="_AFFORDABILITY Jan 08_Company comparison Sep 08_HK developers weighted average share price vs ppty market May 09_CKH-17" xfId="18826"/>
    <cellStyle name="_AFFORDABILITY Jan 08_Company comparison Sep 08_HK developers weighted average share price vs ppty market May 09_HWL AC" xfId="18827"/>
    <cellStyle name="_AFFORDABILITY Jan 08_Company comparison Sep 08_HK developers weighted average share price vs ppty market May 09_HWL_LP" xfId="18828"/>
    <cellStyle name="_AFFORDABILITY Jan 08_Company comparison Sep 08_HK Property data July 09" xfId="18829"/>
    <cellStyle name="_AFFORDABILITY Jan 08_Company comparison Sep 08_HK Property data July 09_CKH-17" xfId="18830"/>
    <cellStyle name="_AFFORDABILITY Jan 08_Company comparison Sep 08_HK Property data July 09_HWL AC" xfId="18831"/>
    <cellStyle name="_AFFORDABILITY Jan 08_Company comparison Sep 08_HK Property data July 09_HWL_LP" xfId="18832"/>
    <cellStyle name="_AFFORDABILITY Jan 08_Company comparison Sep 08_HK Resi 10 outlook chts" xfId="18833"/>
    <cellStyle name="_AFFORDABILITY Jan 08_Company comparison Sep 08_HK Resi 10 outlook chts_CKH-17" xfId="18834"/>
    <cellStyle name="_AFFORDABILITY Jan 08_Company comparison Sep 08_HK Resi 10 outlook chts_HWL AC" xfId="18835"/>
    <cellStyle name="_AFFORDABILITY Jan 08_Company comparison Sep 08_HK Resi 10 outlook chts_HWL_LP" xfId="18836"/>
    <cellStyle name="_AFFORDABILITY Jan 08_Company comparison Sep 08_HONG KONG PER" xfId="18837"/>
    <cellStyle name="_AFFORDABILITY Jan 08_Company comparison Sep 08_HONG KONG PER_Book50" xfId="18838"/>
    <cellStyle name="_AFFORDABILITY Jan 08_Company comparison Sep 08_HONG KONG PER_Book50_CKH-17" xfId="18839"/>
    <cellStyle name="_AFFORDABILITY Jan 08_Company comparison Sep 08_HONG KONG PER_Book50_EC charts Sep 09" xfId="18840"/>
    <cellStyle name="_AFFORDABILITY Jan 08_Company comparison Sep 08_HONG KONG PER_Book50_EC charts Sep 09_Charts Sep 09 (version 2)" xfId="18841"/>
    <cellStyle name="_AFFORDABILITY Jan 08_Company comparison Sep 08_HONG KONG PER_Book50_EC charts Sep 09_Charts Sep 09 (version 2)_CKH-17" xfId="18842"/>
    <cellStyle name="_AFFORDABILITY Jan 08_Company comparison Sep 08_HONG KONG PER_Book50_EC charts Sep 09_Charts Sep 09 (version 2)_HWL AC" xfId="18843"/>
    <cellStyle name="_AFFORDABILITY Jan 08_Company comparison Sep 08_HONG KONG PER_Book50_EC charts Sep 09_Charts Sep 09 (version 2)_HWL_LP" xfId="18844"/>
    <cellStyle name="_AFFORDABILITY Jan 08_Company comparison Sep 08_HONG KONG PER_Book50_EC charts Sep 09_CKH-17" xfId="18845"/>
    <cellStyle name="_AFFORDABILITY Jan 08_Company comparison Sep 08_HONG KONG PER_Book50_EC charts Sep 09_HWL AC" xfId="18846"/>
    <cellStyle name="_AFFORDABILITY Jan 08_Company comparison Sep 08_HONG KONG PER_Book50_EC charts Sep 09_HWL_LP" xfId="18847"/>
    <cellStyle name="_AFFORDABILITY Jan 08_Company comparison Sep 08_HONG KONG PER_Book50_HWL AC" xfId="18848"/>
    <cellStyle name="_AFFORDABILITY Jan 08_Company comparison Sep 08_HONG KONG PER_Book50_HWL_LP" xfId="18849"/>
    <cellStyle name="_AFFORDABILITY Jan 08_Company comparison Sep 08_HONG KONG PER_CKH-17" xfId="18850"/>
    <cellStyle name="_AFFORDABILITY Jan 08_Company comparison Sep 08_HONG KONG PER_EC charts Sep 09" xfId="18851"/>
    <cellStyle name="_AFFORDABILITY Jan 08_Company comparison Sep 08_HONG KONG PER_EC charts Sep 09_Charts Sep 09 (version 2)" xfId="18852"/>
    <cellStyle name="_AFFORDABILITY Jan 08_Company comparison Sep 08_HONG KONG PER_EC charts Sep 09_Charts Sep 09 (version 2)_CKH-17" xfId="18853"/>
    <cellStyle name="_AFFORDABILITY Jan 08_Company comparison Sep 08_HONG KONG PER_EC charts Sep 09_Charts Sep 09 (version 2)_HWL AC" xfId="18854"/>
    <cellStyle name="_AFFORDABILITY Jan 08_Company comparison Sep 08_HONG KONG PER_EC charts Sep 09_Charts Sep 09 (version 2)_HWL_LP" xfId="18855"/>
    <cellStyle name="_AFFORDABILITY Jan 08_Company comparison Sep 08_HONG KONG PER_EC charts Sep 09_CKH-17" xfId="18856"/>
    <cellStyle name="_AFFORDABILITY Jan 08_Company comparison Sep 08_HONG KONG PER_EC charts Sep 09_HWL AC" xfId="18857"/>
    <cellStyle name="_AFFORDABILITY Jan 08_Company comparison Sep 08_HONG KONG PER_EC charts Sep 09_HWL_LP" xfId="18858"/>
    <cellStyle name="_AFFORDABILITY Jan 08_Company comparison Sep 08_HONG KONG PER_HWL AC" xfId="18859"/>
    <cellStyle name="_AFFORDABILITY Jan 08_Company comparison Sep 08_HONG KONG PER_HWL_LP" xfId="18860"/>
    <cellStyle name="_AFFORDABILITY Jan 08_Company comparison Sep 08_HWL AC" xfId="18861"/>
    <cellStyle name="_AFFORDABILITY Jan 08_Company comparison Sep 08_HWL_LP" xfId="18862"/>
    <cellStyle name="_AFFORDABILITY Jan 08_Company comparison Sep 08_Mirae - CH Prop NAV breakdown (Francis Chan)" xfId="18863"/>
    <cellStyle name="_AFFORDABILITY Jan 08_Company comparison Sep 08_Mirae - CH Prop NAV breakdown (Francis Chan)_Charts for HK update May 09" xfId="18864"/>
    <cellStyle name="_AFFORDABILITY Jan 08_Company comparison Sep 08_Mirae - CH Prop NAV breakdown (Francis Chan)_Charts for HK update May 09_Charts Sep 09 (version 2)" xfId="18865"/>
    <cellStyle name="_AFFORDABILITY Jan 08_Company comparison Sep 08_Mirae - CH Prop NAV breakdown (Francis Chan)_Charts for HK update May 09_Charts Sep 09 (version 2)_CKH-17" xfId="18866"/>
    <cellStyle name="_AFFORDABILITY Jan 08_Company comparison Sep 08_Mirae - CH Prop NAV breakdown (Francis Chan)_Charts for HK update May 09_Charts Sep 09 (version 2)_HWL AC" xfId="18867"/>
    <cellStyle name="_AFFORDABILITY Jan 08_Company comparison Sep 08_Mirae - CH Prop NAV breakdown (Francis Chan)_Charts for HK update May 09_Charts Sep 09 (version 2)_HWL_LP" xfId="18868"/>
    <cellStyle name="_AFFORDABILITY Jan 08_Company comparison Sep 08_Mirae - CH Prop NAV breakdown (Francis Chan)_Charts for HK update May 09_CKH-17" xfId="18869"/>
    <cellStyle name="_AFFORDABILITY Jan 08_Company comparison Sep 08_Mirae - CH Prop NAV breakdown (Francis Chan)_Charts for HK update May 09_HWL AC" xfId="18870"/>
    <cellStyle name="_AFFORDABILITY Jan 08_Company comparison Sep 08_Mirae - CH Prop NAV breakdown (Francis Chan)_Charts for HK update May 09_HWL_LP" xfId="18871"/>
    <cellStyle name="_AFFORDABILITY Jan 08_Company comparison Sep 08_Mirae - CH Prop NAV breakdown (Francis Chan)_CKH-17" xfId="18872"/>
    <cellStyle name="_AFFORDABILITY Jan 08_Company comparison Sep 08_Mirae - CH Prop NAV breakdown (Francis Chan)_EC charts Sep 09" xfId="18873"/>
    <cellStyle name="_AFFORDABILITY Jan 08_Company comparison Sep 08_Mirae - CH Prop NAV breakdown (Francis Chan)_EC charts Sep 09_Charts Sep 09 (version 2)" xfId="18874"/>
    <cellStyle name="_AFFORDABILITY Jan 08_Company comparison Sep 08_Mirae - CH Prop NAV breakdown (Francis Chan)_EC charts Sep 09_Charts Sep 09 (version 2)_CKH-17" xfId="18875"/>
    <cellStyle name="_AFFORDABILITY Jan 08_Company comparison Sep 08_Mirae - CH Prop NAV breakdown (Francis Chan)_EC charts Sep 09_Charts Sep 09 (version 2)_HWL AC" xfId="18876"/>
    <cellStyle name="_AFFORDABILITY Jan 08_Company comparison Sep 08_Mirae - CH Prop NAV breakdown (Francis Chan)_EC charts Sep 09_Charts Sep 09 (version 2)_HWL_LP" xfId="18877"/>
    <cellStyle name="_AFFORDABILITY Jan 08_Company comparison Sep 08_Mirae - CH Prop NAV breakdown (Francis Chan)_EC charts Sep 09_CKH-17" xfId="18878"/>
    <cellStyle name="_AFFORDABILITY Jan 08_Company comparison Sep 08_Mirae - CH Prop NAV breakdown (Francis Chan)_EC charts Sep 09_HWL AC" xfId="18879"/>
    <cellStyle name="_AFFORDABILITY Jan 08_Company comparison Sep 08_Mirae - CH Prop NAV breakdown (Francis Chan)_EC charts Sep 09_HWL_LP" xfId="18880"/>
    <cellStyle name="_AFFORDABILITY Jan 08_Company comparison Sep 08_Mirae - CH Prop NAV breakdown (Francis Chan)_HWL AC" xfId="18881"/>
    <cellStyle name="_AFFORDABILITY Jan 08_Company comparison Sep 08_Mirae - CH Prop NAV breakdown (Francis Chan)_HWL_LP" xfId="18882"/>
    <cellStyle name="_AFFORDABILITY Jan 08_Company comparison Sep 08_RESIDENTIAL SUPPLY 2009-2010" xfId="18883"/>
    <cellStyle name="_AFFORDABILITY Jan 08_Company comparison Sep 08_RESIDENTIAL SUPPLY 2009-2010_CKH-17" xfId="18884"/>
    <cellStyle name="_AFFORDABILITY Jan 08_Company comparison Sep 08_RESIDENTIAL SUPPLY 2009-2010_HWL AC" xfId="18885"/>
    <cellStyle name="_AFFORDABILITY Jan 08_Company comparison Sep 08_RESIDENTIAL SUPPLY 2009-2010_HWL_LP" xfId="18886"/>
    <cellStyle name="_AFFORDABILITY Jan 08_devs vs resi index hk Dec 08" xfId="18887"/>
    <cellStyle name="_AFFORDABILITY Jan 08_devs vs resi index hk Dec 08_Charts for HK update May 09" xfId="18888"/>
    <cellStyle name="_AFFORDABILITY Jan 08_devs vs resi index hk Dec 08_Charts for HK update May 09_Charts Sep 09 (version 2)" xfId="18889"/>
    <cellStyle name="_AFFORDABILITY Jan 08_devs vs resi index hk Dec 08_Charts for HK update May 09_Charts Sep 09 (version 2)_CKH-17" xfId="18890"/>
    <cellStyle name="_AFFORDABILITY Jan 08_devs vs resi index hk Dec 08_Charts for HK update May 09_Charts Sep 09 (version 2)_HWL AC" xfId="18891"/>
    <cellStyle name="_AFFORDABILITY Jan 08_devs vs resi index hk Dec 08_Charts for HK update May 09_Charts Sep 09 (version 2)_HWL_LP" xfId="18892"/>
    <cellStyle name="_AFFORDABILITY Jan 08_devs vs resi index hk Dec 08_Charts for HK update May 09_CKH-17" xfId="18893"/>
    <cellStyle name="_AFFORDABILITY Jan 08_devs vs resi index hk Dec 08_Charts for HK update May 09_HWL AC" xfId="18894"/>
    <cellStyle name="_AFFORDABILITY Jan 08_devs vs resi index hk Dec 08_Charts for HK update May 09_HWL_LP" xfId="18895"/>
    <cellStyle name="_AFFORDABILITY Jan 08_devs vs resi index hk Dec 08_CKH-17" xfId="18896"/>
    <cellStyle name="_AFFORDABILITY Jan 08_devs vs resi index hk Dec 08_EC charts Sep 09" xfId="18897"/>
    <cellStyle name="_AFFORDABILITY Jan 08_devs vs resi index hk Dec 08_EC charts Sep 09_Charts Sep 09 (version 2)" xfId="18898"/>
    <cellStyle name="_AFFORDABILITY Jan 08_devs vs resi index hk Dec 08_EC charts Sep 09_Charts Sep 09 (version 2)_CKH-17" xfId="18899"/>
    <cellStyle name="_AFFORDABILITY Jan 08_devs vs resi index hk Dec 08_EC charts Sep 09_Charts Sep 09 (version 2)_HWL AC" xfId="18900"/>
    <cellStyle name="_AFFORDABILITY Jan 08_devs vs resi index hk Dec 08_EC charts Sep 09_Charts Sep 09 (version 2)_HWL_LP" xfId="18901"/>
    <cellStyle name="_AFFORDABILITY Jan 08_devs vs resi index hk Dec 08_EC charts Sep 09_CKH-17" xfId="18902"/>
    <cellStyle name="_AFFORDABILITY Jan 08_devs vs resi index hk Dec 08_EC charts Sep 09_HWL AC" xfId="18903"/>
    <cellStyle name="_AFFORDABILITY Jan 08_devs vs resi index hk Dec 08_EC charts Sep 09_HWL_LP" xfId="18904"/>
    <cellStyle name="_AFFORDABILITY Jan 08_devs vs resi index hk Dec 08_HWL AC" xfId="18905"/>
    <cellStyle name="_AFFORDABILITY Jan 08_devs vs resi index hk Dec 08_HWL_LP" xfId="18906"/>
    <cellStyle name="_AFFORDABILITY Jan 08_EC charts Oct 08" xfId="18907"/>
    <cellStyle name="_AFFORDABILITY Jan 08_EC charts Oct 08_Book50" xfId="18908"/>
    <cellStyle name="_AFFORDABILITY Jan 08_EC charts Oct 08_Book50_CKH-17" xfId="18909"/>
    <cellStyle name="_AFFORDABILITY Jan 08_EC charts Oct 08_Book50_EC charts Sep 09" xfId="18910"/>
    <cellStyle name="_AFFORDABILITY Jan 08_EC charts Oct 08_Book50_EC charts Sep 09_Charts Sep 09 (version 2)" xfId="18911"/>
    <cellStyle name="_AFFORDABILITY Jan 08_EC charts Oct 08_Book50_EC charts Sep 09_Charts Sep 09 (version 2)_CKH-17" xfId="18912"/>
    <cellStyle name="_AFFORDABILITY Jan 08_EC charts Oct 08_Book50_EC charts Sep 09_Charts Sep 09 (version 2)_HWL AC" xfId="18913"/>
    <cellStyle name="_AFFORDABILITY Jan 08_EC charts Oct 08_Book50_EC charts Sep 09_Charts Sep 09 (version 2)_HWL_LP" xfId="18914"/>
    <cellStyle name="_AFFORDABILITY Jan 08_EC charts Oct 08_Book50_EC charts Sep 09_CKH-17" xfId="18915"/>
    <cellStyle name="_AFFORDABILITY Jan 08_EC charts Oct 08_Book50_EC charts Sep 09_HWL AC" xfId="18916"/>
    <cellStyle name="_AFFORDABILITY Jan 08_EC charts Oct 08_Book50_EC charts Sep 09_HWL_LP" xfId="18917"/>
    <cellStyle name="_AFFORDABILITY Jan 08_EC charts Oct 08_Book50_HWL AC" xfId="18918"/>
    <cellStyle name="_AFFORDABILITY Jan 08_EC charts Oct 08_Book50_HWL_LP" xfId="18919"/>
    <cellStyle name="_AFFORDABILITY Jan 08_EC charts Oct 08_CKH-17" xfId="18920"/>
    <cellStyle name="_AFFORDABILITY Jan 08_EC charts Oct 08_EC charts Sep 09" xfId="18921"/>
    <cellStyle name="_AFFORDABILITY Jan 08_EC charts Oct 08_EC charts Sep 09_Charts Sep 09 (version 2)" xfId="18922"/>
    <cellStyle name="_AFFORDABILITY Jan 08_EC charts Oct 08_EC charts Sep 09_Charts Sep 09 (version 2)_CKH-17" xfId="18923"/>
    <cellStyle name="_AFFORDABILITY Jan 08_EC charts Oct 08_EC charts Sep 09_Charts Sep 09 (version 2)_HWL AC" xfId="18924"/>
    <cellStyle name="_AFFORDABILITY Jan 08_EC charts Oct 08_EC charts Sep 09_Charts Sep 09 (version 2)_HWL_LP" xfId="18925"/>
    <cellStyle name="_AFFORDABILITY Jan 08_EC charts Oct 08_EC charts Sep 09_CKH-17" xfId="18926"/>
    <cellStyle name="_AFFORDABILITY Jan 08_EC charts Oct 08_EC charts Sep 09_HWL AC" xfId="18927"/>
    <cellStyle name="_AFFORDABILITY Jan 08_EC charts Oct 08_EC charts Sep 09_HWL_LP" xfId="18928"/>
    <cellStyle name="_AFFORDABILITY Jan 08_EC charts Oct 08_HWL AC" xfId="18929"/>
    <cellStyle name="_AFFORDABILITY Jan 08_EC charts Oct 08_HWL_LP" xfId="18930"/>
    <cellStyle name="_AFFORDABILITY Jan 08_HK developers weighted average share price vs ppty market May 09" xfId="18931"/>
    <cellStyle name="_AFFORDABILITY Jan 08_HK developers weighted average share price vs ppty market May 09_CKH-17" xfId="18932"/>
    <cellStyle name="_AFFORDABILITY Jan 08_HK developers weighted average share price vs ppty market May 09_HWL AC" xfId="18933"/>
    <cellStyle name="_AFFORDABILITY Jan 08_HK developers weighted average share price vs ppty market May 09_HWL_LP" xfId="18934"/>
    <cellStyle name="_AFFORDABILITY Jan 08_HK Devs Peak to trough 2010 Outlook" xfId="18935"/>
    <cellStyle name="_AFFORDABILITY Jan 08_HK Devs Peak to trough 2010 Outlook_CKH-17" xfId="18936"/>
    <cellStyle name="_AFFORDABILITY Jan 08_HK Devs Peak to trough 2010 Outlook_HWL AC" xfId="18937"/>
    <cellStyle name="_AFFORDABILITY Jan 08_HK Devs Peak to trough 2010 Outlook_HWL_LP" xfId="18938"/>
    <cellStyle name="_AFFORDABILITY Jan 08_HK Property Charts Apr 09" xfId="18939"/>
    <cellStyle name="_AFFORDABILITY Jan 08_HK Property Charts Apr 09_CKH-17" xfId="18940"/>
    <cellStyle name="_AFFORDABILITY Jan 08_HK Property Charts Apr 09_HWL AC" xfId="18941"/>
    <cellStyle name="_AFFORDABILITY Jan 08_HK Property Charts Apr 09_HWL_LP" xfId="18942"/>
    <cellStyle name="_AFFORDABILITY Jan 08_HK Property data July 09" xfId="18943"/>
    <cellStyle name="_AFFORDABILITY Jan 08_HK Property data July 09_CKH-17" xfId="18944"/>
    <cellStyle name="_AFFORDABILITY Jan 08_HK Property data July 09_HWL AC" xfId="18945"/>
    <cellStyle name="_AFFORDABILITY Jan 08_HK Property data July 09_HWL_LP" xfId="18946"/>
    <cellStyle name="_AFFORDABILITY Jan 08_HK Resi 10 outlook chts" xfId="18947"/>
    <cellStyle name="_AFFORDABILITY Jan 08_HK Resi 10 outlook chts_CKH-17" xfId="18948"/>
    <cellStyle name="_AFFORDABILITY Jan 08_HK Resi 10 outlook chts_HWL AC" xfId="18949"/>
    <cellStyle name="_AFFORDABILITY Jan 08_HK Resi 10 outlook chts_HWL_LP" xfId="18950"/>
    <cellStyle name="_AFFORDABILITY Jan 08_HONG KONG PER" xfId="18951"/>
    <cellStyle name="_AFFORDABILITY Jan 08_HONG KONG PER_Book50" xfId="18952"/>
    <cellStyle name="_AFFORDABILITY Jan 08_HONG KONG PER_Book50_CKH-17" xfId="18953"/>
    <cellStyle name="_AFFORDABILITY Jan 08_HONG KONG PER_Book50_EC charts Sep 09" xfId="18954"/>
    <cellStyle name="_AFFORDABILITY Jan 08_HONG KONG PER_Book50_EC charts Sep 09_Charts Sep 09 (version 2)" xfId="18955"/>
    <cellStyle name="_AFFORDABILITY Jan 08_HONG KONG PER_Book50_EC charts Sep 09_Charts Sep 09 (version 2)_CKH-17" xfId="18956"/>
    <cellStyle name="_AFFORDABILITY Jan 08_HONG KONG PER_Book50_EC charts Sep 09_Charts Sep 09 (version 2)_HWL AC" xfId="18957"/>
    <cellStyle name="_AFFORDABILITY Jan 08_HONG KONG PER_Book50_EC charts Sep 09_Charts Sep 09 (version 2)_HWL_LP" xfId="18958"/>
    <cellStyle name="_AFFORDABILITY Jan 08_HONG KONG PER_Book50_EC charts Sep 09_CKH-17" xfId="18959"/>
    <cellStyle name="_AFFORDABILITY Jan 08_HONG KONG PER_Book50_EC charts Sep 09_HWL AC" xfId="18960"/>
    <cellStyle name="_AFFORDABILITY Jan 08_HONG KONG PER_Book50_EC charts Sep 09_HWL_LP" xfId="18961"/>
    <cellStyle name="_AFFORDABILITY Jan 08_HONG KONG PER_Book50_HWL AC" xfId="18962"/>
    <cellStyle name="_AFFORDABILITY Jan 08_HONG KONG PER_Book50_HWL_LP" xfId="18963"/>
    <cellStyle name="_AFFORDABILITY Jan 08_HONG KONG PER_CKH-17" xfId="18964"/>
    <cellStyle name="_AFFORDABILITY Jan 08_HONG KONG PER_EC charts Sep 09" xfId="18965"/>
    <cellStyle name="_AFFORDABILITY Jan 08_HONG KONG PER_EC charts Sep 09_Charts Sep 09 (version 2)" xfId="18966"/>
    <cellStyle name="_AFFORDABILITY Jan 08_HONG KONG PER_EC charts Sep 09_Charts Sep 09 (version 2)_CKH-17" xfId="18967"/>
    <cellStyle name="_AFFORDABILITY Jan 08_HONG KONG PER_EC charts Sep 09_Charts Sep 09 (version 2)_HWL_LP" xfId="18968"/>
    <cellStyle name="_AFFORDABILITY Jan 08_HONG KONG PER_EC charts Sep 09_CKH-17" xfId="18969"/>
    <cellStyle name="_AFFORDABILITY Jan 08_HONG KONG PER_EC charts Sep 09_HWL_LP" xfId="18970"/>
    <cellStyle name="_AFFORDABILITY Jan 08_HONG KONG PER_HWL AC" xfId="18971"/>
    <cellStyle name="_AFFORDABILITY Jan 08_HONG KONG PER_HWL_LP" xfId="18972"/>
    <cellStyle name="_AFFORDABILITY Jan 08_HWL AC" xfId="18973"/>
    <cellStyle name="_AFFORDABILITY Jan 08_HWL_LP" xfId="18974"/>
    <cellStyle name="_AFFORDABILITY Jan 08_Mirae - CH Prop NAV breakdown (Francis Chan)" xfId="18975"/>
    <cellStyle name="_AFFORDABILITY Jan 08_Mirae - CH Prop NAV breakdown (Francis Chan)_Charts for HK update May 09" xfId="18976"/>
    <cellStyle name="_AFFORDABILITY Jan 08_Mirae - CH Prop NAV breakdown (Francis Chan)_Charts for HK update May 09_Charts Sep 09 (version 2)" xfId="18977"/>
    <cellStyle name="_AFFORDABILITY Jan 08_Mirae - CH Prop NAV breakdown (Francis Chan)_Charts for HK update May 09_Charts Sep 09 (version 2)_CKH-17" xfId="18978"/>
    <cellStyle name="_AFFORDABILITY Jan 08_Mirae - CH Prop NAV breakdown (Francis Chan)_Charts for HK update May 09_Charts Sep 09 (version 2)_HWL_LP" xfId="18979"/>
    <cellStyle name="_AFFORDABILITY Jan 08_Mirae - CH Prop NAV breakdown (Francis Chan)_Charts for HK update May 09_CKH-17" xfId="18980"/>
    <cellStyle name="_AFFORDABILITY Jan 08_Mirae - CH Prop NAV breakdown (Francis Chan)_Charts for HK update May 09_HWL_LP" xfId="18981"/>
    <cellStyle name="_AFFORDABILITY Jan 08_Mirae - CH Prop NAV breakdown (Francis Chan)_CKH-17" xfId="18982"/>
    <cellStyle name="_AFFORDABILITY Jan 08_Mirae - CH Prop NAV breakdown (Francis Chan)_EC charts Sep 09" xfId="18983"/>
    <cellStyle name="_AFFORDABILITY Jan 08_Mirae - CH Prop NAV breakdown (Francis Chan)_EC charts Sep 09_Charts Sep 09 (version 2)" xfId="18984"/>
    <cellStyle name="_AFFORDABILITY Jan 08_Mirae - CH Prop NAV breakdown (Francis Chan)_EC charts Sep 09_Charts Sep 09 (version 2)_CKH-17" xfId="18985"/>
    <cellStyle name="_AFFORDABILITY Jan 08_Mirae - CH Prop NAV breakdown (Francis Chan)_EC charts Sep 09_Charts Sep 09 (version 2)_HWL_LP" xfId="18986"/>
    <cellStyle name="_AFFORDABILITY Jan 08_Mirae - CH Prop NAV breakdown (Francis Chan)_EC charts Sep 09_CKH-17" xfId="18987"/>
    <cellStyle name="_AFFORDABILITY Jan 08_Mirae - CH Prop NAV breakdown (Francis Chan)_EC charts Sep 09_HWL_LP" xfId="18988"/>
    <cellStyle name="_AFFORDABILITY Jan 08_Mirae - CH Prop NAV breakdown (Francis Chan)_HWL_LP" xfId="18989"/>
    <cellStyle name="_AFFORDABILITY Jan 08_RESIDENTIAL SUPPLY 2009-2010" xfId="18990"/>
    <cellStyle name="_AFFORDABILITY Jan 08_RESIDENTIAL SUPPLY 2009-2010_CKH-17" xfId="18991"/>
    <cellStyle name="_AFFORDABILITY Jan 08_RESIDENTIAL SUPPLY 2009-2010_HWL_LP" xfId="18992"/>
    <cellStyle name="_AFFORDABILITY June 08" xfId="18993"/>
    <cellStyle name="_AFFORDABILITY June 08_Book4" xfId="18994"/>
    <cellStyle name="_AFFORDABILITY June 08_Book4_Charts Sep 09 (version 2)" xfId="18995"/>
    <cellStyle name="_AFFORDABILITY June 08_Book4_Charts Sep 09 (version 2)_CKH-17" xfId="18996"/>
    <cellStyle name="_AFFORDABILITY June 08_Book4_Charts Sep 09 (version 2)_HWL_LP" xfId="18997"/>
    <cellStyle name="_AFFORDABILITY June 08_Book4_CKH-17" xfId="18998"/>
    <cellStyle name="_AFFORDABILITY June 08_Book4_HWL_LP" xfId="18999"/>
    <cellStyle name="_AFFORDABILITY June 08_CC charts and tables Oct 08" xfId="19000"/>
    <cellStyle name="_AFFORDABILITY June 08_CC charts and tables Oct 08_CKH-17" xfId="19001"/>
    <cellStyle name="_AFFORDABILITY June 08_CC charts and tables Oct 08_HWL_LP" xfId="19002"/>
    <cellStyle name="_AFFORDABILITY June 08_CEIC_PROPERTY PRICE  RENTAL INDEX Feb 09 " xfId="19003"/>
    <cellStyle name="_AFFORDABILITY June 08_CEIC_PROPERTY PRICE  RENTAL INDEX Feb 09 _CKH-17" xfId="19004"/>
    <cellStyle name="_AFFORDABILITY June 08_CEIC_PROPERTY PRICE  RENTAL INDEX Feb 09 _HWL_LP" xfId="19005"/>
    <cellStyle name="_AFFORDABILITY June 08_charts Jun 09" xfId="19006"/>
    <cellStyle name="_AFFORDABILITY June 08_charts Jun 09_Charts for HK update May 09" xfId="19007"/>
    <cellStyle name="_AFFORDABILITY June 08_charts Jun 09_Charts for HK update May 09_Charts Sep 09 (version 2)" xfId="19008"/>
    <cellStyle name="_AFFORDABILITY June 08_charts Jun 09_Charts for HK update May 09_Charts Sep 09 (version 2)_CKH-17" xfId="19009"/>
    <cellStyle name="_AFFORDABILITY June 08_charts Jun 09_Charts for HK update May 09_Charts Sep 09 (version 2)_HWL_LP" xfId="19010"/>
    <cellStyle name="_AFFORDABILITY June 08_charts Jun 09_Charts for HK update May 09_CKH-17" xfId="19011"/>
    <cellStyle name="_AFFORDABILITY June 08_charts Jun 09_Charts for HK update May 09_HWL_LP" xfId="19012"/>
    <cellStyle name="_AFFORDABILITY June 08_charts Jun 09_CKH-17" xfId="19013"/>
    <cellStyle name="_AFFORDABILITY June 08_charts Jun 09_EC charts Sep 09" xfId="19014"/>
    <cellStyle name="_AFFORDABILITY June 08_charts Jun 09_EC charts Sep 09_Charts Sep 09 (version 2)" xfId="19015"/>
    <cellStyle name="_AFFORDABILITY June 08_charts Jun 09_EC charts Sep 09_Charts Sep 09 (version 2)_CKH-17" xfId="19016"/>
    <cellStyle name="_AFFORDABILITY June 08_charts Jun 09_EC charts Sep 09_Charts Sep 09 (version 2)_HWL_LP" xfId="19017"/>
    <cellStyle name="_AFFORDABILITY June 08_charts Jun 09_EC charts Sep 09_CKH-17" xfId="19018"/>
    <cellStyle name="_AFFORDABILITY June 08_charts Jun 09_EC charts Sep 09_HWL_LP" xfId="19019"/>
    <cellStyle name="_AFFORDABILITY June 08_charts Jun 09_HWL_LP" xfId="19020"/>
    <cellStyle name="_AFFORDABILITY June 08_Charts Sep 09 (version 2)" xfId="19021"/>
    <cellStyle name="_AFFORDABILITY June 08_Charts Sep 09 (version 2)_CKH-17" xfId="19022"/>
    <cellStyle name="_AFFORDABILITY June 08_Charts Sep 09 (version 2)_HWL_LP" xfId="19023"/>
    <cellStyle name="_AFFORDABILITY June 08_China update table and charts Sep 08" xfId="19024"/>
    <cellStyle name="_AFFORDABILITY June 08_China update table and charts Sep 08_Charts Sep 09 (version 2)" xfId="19025"/>
    <cellStyle name="_AFFORDABILITY June 08_China update table and charts Sep 08_Charts Sep 09 (version 2)_CKH-17" xfId="19026"/>
    <cellStyle name="_AFFORDABILITY June 08_China update table and charts Sep 08_Charts Sep 09 (version 2)_HWL_LP" xfId="19027"/>
    <cellStyle name="_AFFORDABILITY June 08_China update table and charts Sep 08_CKH-17" xfId="19028"/>
    <cellStyle name="_AFFORDABILITY June 08_China update table and charts Sep 08_HWL_LP" xfId="19029"/>
    <cellStyle name="_AFFORDABILITY June 08_CKH-17" xfId="19030"/>
    <cellStyle name="_AFFORDABILITY June 08_Company comparison Sep 08" xfId="19031"/>
    <cellStyle name="_AFFORDABILITY June 08_Company comparison Sep 08_Book4" xfId="19032"/>
    <cellStyle name="_AFFORDABILITY June 08_Company comparison Sep 08_Book4_Charts Sep 09 (version 2)" xfId="19033"/>
    <cellStyle name="_AFFORDABILITY June 08_Company comparison Sep 08_Book4_Charts Sep 09 (version 2)_CKH-17" xfId="19034"/>
    <cellStyle name="_AFFORDABILITY June 08_Company comparison Sep 08_Book4_Charts Sep 09 (version 2)_HWL_LP" xfId="19035"/>
    <cellStyle name="_AFFORDABILITY June 08_Company comparison Sep 08_Book4_CKH-17" xfId="19036"/>
    <cellStyle name="_AFFORDABILITY June 08_Company comparison Sep 08_Book4_HWL_LP" xfId="19037"/>
    <cellStyle name="_AFFORDABILITY June 08_Company comparison Sep 08_CC charts and tables Oct 08" xfId="19038"/>
    <cellStyle name="_AFFORDABILITY June 08_Company comparison Sep 08_CC charts and tables Oct 08_CKH-17" xfId="19039"/>
    <cellStyle name="_AFFORDABILITY June 08_Company comparison Sep 08_CC charts and tables Oct 08_HWL_LP" xfId="19040"/>
    <cellStyle name="_AFFORDABILITY June 08_Company comparison Sep 08_CEIC_PROPERTY PRICE  RENTAL INDEX Feb 09 " xfId="19041"/>
    <cellStyle name="_AFFORDABILITY June 08_Company comparison Sep 08_CEIC_PROPERTY PRICE  RENTAL INDEX Feb 09 _CKH-17" xfId="19042"/>
    <cellStyle name="_AFFORDABILITY June 08_Company comparison Sep 08_CEIC_PROPERTY PRICE  RENTAL INDEX Feb 09 _HWL_LP" xfId="19043"/>
    <cellStyle name="_AFFORDABILITY June 08_Company comparison Sep 08_charts Jun 09" xfId="19044"/>
    <cellStyle name="_AFFORDABILITY June 08_Company comparison Sep 08_charts Jun 09_Charts for HK update May 09" xfId="19045"/>
    <cellStyle name="_AFFORDABILITY June 08_Company comparison Sep 08_charts Jun 09_Charts for HK update May 09_Charts Sep 09 (version 2)" xfId="19046"/>
    <cellStyle name="_AFFORDABILITY June 08_Company comparison Sep 08_charts Jun 09_Charts for HK update May 09_Charts Sep 09 (version 2)_CKH-17" xfId="19047"/>
    <cellStyle name="_AFFORDABILITY June 08_Company comparison Sep 08_charts Jun 09_Charts for HK update May 09_Charts Sep 09 (version 2)_HWL_LP" xfId="19048"/>
    <cellStyle name="_AFFORDABILITY June 08_Company comparison Sep 08_charts Jun 09_Charts for HK update May 09_CKH-17" xfId="19049"/>
    <cellStyle name="_AFFORDABILITY June 08_Company comparison Sep 08_charts Jun 09_Charts for HK update May 09_HWL_LP" xfId="19050"/>
    <cellStyle name="_AFFORDABILITY June 08_Company comparison Sep 08_charts Jun 09_CKH-17" xfId="19051"/>
    <cellStyle name="_AFFORDABILITY June 08_Company comparison Sep 08_charts Jun 09_EC charts Sep 09" xfId="19052"/>
    <cellStyle name="_AFFORDABILITY June 08_Company comparison Sep 08_charts Jun 09_EC charts Sep 09_Charts Sep 09 (version 2)" xfId="19053"/>
    <cellStyle name="_AFFORDABILITY June 08_Company comparison Sep 08_charts Jun 09_EC charts Sep 09_Charts Sep 09 (version 2)_CKH-17" xfId="19054"/>
    <cellStyle name="_AFFORDABILITY June 08_Company comparison Sep 08_charts Jun 09_EC charts Sep 09_Charts Sep 09 (version 2)_HWL_LP" xfId="19055"/>
    <cellStyle name="_AFFORDABILITY June 08_Company comparison Sep 08_charts Jun 09_EC charts Sep 09_CKH-17" xfId="19056"/>
    <cellStyle name="_AFFORDABILITY June 08_Company comparison Sep 08_charts Jun 09_EC charts Sep 09_HWL_LP" xfId="19057"/>
    <cellStyle name="_AFFORDABILITY June 08_Company comparison Sep 08_charts Jun 09_HWL_LP" xfId="19058"/>
    <cellStyle name="_AFFORDABILITY June 08_Company comparison Sep 08_Charts Sep 09 (version 2)" xfId="19059"/>
    <cellStyle name="_AFFORDABILITY June 08_Company comparison Sep 08_Charts Sep 09 (version 2)_CKH-17" xfId="19060"/>
    <cellStyle name="_AFFORDABILITY June 08_Company comparison Sep 08_Charts Sep 09 (version 2)_HWL_LP" xfId="19061"/>
    <cellStyle name="_AFFORDABILITY June 08_Company comparison Sep 08_China update table and charts Sep 08" xfId="19062"/>
    <cellStyle name="_AFFORDABILITY June 08_Company comparison Sep 08_China update table and charts Sep 08_Charts Sep 09 (version 2)" xfId="19063"/>
    <cellStyle name="_AFFORDABILITY June 08_Company comparison Sep 08_China update table and charts Sep 08_Charts Sep 09 (version 2)_CKH-17" xfId="19064"/>
    <cellStyle name="_AFFORDABILITY June 08_Company comparison Sep 08_China update table and charts Sep 08_Charts Sep 09 (version 2)_HWL_LP" xfId="19065"/>
    <cellStyle name="_AFFORDABILITY June 08_Company comparison Sep 08_China update table and charts Sep 08_CKH-17" xfId="19066"/>
    <cellStyle name="_AFFORDABILITY June 08_Company comparison Sep 08_China update table and charts Sep 08_HWL_LP" xfId="19067"/>
    <cellStyle name="_AFFORDABILITY June 08_Company comparison Sep 08_CKH-17" xfId="19068"/>
    <cellStyle name="_AFFORDABILITY June 08_Company comparison Sep 08_devs vs resi index hk Dec 08" xfId="19069"/>
    <cellStyle name="_AFFORDABILITY June 08_Company comparison Sep 08_devs vs resi index hk Dec 08_Charts for HK update May 09" xfId="19070"/>
    <cellStyle name="_AFFORDABILITY June 08_Company comparison Sep 08_devs vs resi index hk Dec 08_Charts for HK update May 09_Charts Sep 09 (version 2)" xfId="19071"/>
    <cellStyle name="_AFFORDABILITY June 08_Company comparison Sep 08_devs vs resi index hk Dec 08_Charts for HK update May 09_Charts Sep 09 (version 2)_CKH-17" xfId="19072"/>
    <cellStyle name="_AFFORDABILITY June 08_Company comparison Sep 08_devs vs resi index hk Dec 08_Charts for HK update May 09_Charts Sep 09 (version 2)_HWL_LP" xfId="19073"/>
    <cellStyle name="_AFFORDABILITY June 08_Company comparison Sep 08_devs vs resi index hk Dec 08_Charts for HK update May 09_CKH-17" xfId="19074"/>
    <cellStyle name="_AFFORDABILITY June 08_Company comparison Sep 08_devs vs resi index hk Dec 08_Charts for HK update May 09_HWL_LP" xfId="19075"/>
    <cellStyle name="_AFFORDABILITY June 08_Company comparison Sep 08_devs vs resi index hk Dec 08_CKH-17" xfId="19076"/>
    <cellStyle name="_AFFORDABILITY June 08_Company comparison Sep 08_devs vs resi index hk Dec 08_EC charts Sep 09" xfId="19077"/>
    <cellStyle name="_AFFORDABILITY June 08_Company comparison Sep 08_devs vs resi index hk Dec 08_EC charts Sep 09_Charts Sep 09 (version 2)" xfId="19078"/>
    <cellStyle name="_AFFORDABILITY June 08_Company comparison Sep 08_devs vs resi index hk Dec 08_EC charts Sep 09_Charts Sep 09 (version 2)_CKH-17" xfId="19079"/>
    <cellStyle name="_AFFORDABILITY June 08_Company comparison Sep 08_devs vs resi index hk Dec 08_EC charts Sep 09_Charts Sep 09 (version 2)_HWL_LP" xfId="19080"/>
    <cellStyle name="_AFFORDABILITY June 08_Company comparison Sep 08_devs vs resi index hk Dec 08_EC charts Sep 09_CKH-17" xfId="19081"/>
    <cellStyle name="_AFFORDABILITY June 08_Company comparison Sep 08_devs vs resi index hk Dec 08_EC charts Sep 09_HWL_LP" xfId="19082"/>
    <cellStyle name="_AFFORDABILITY June 08_Company comparison Sep 08_devs vs resi index hk Dec 08_HWL_LP" xfId="19083"/>
    <cellStyle name="_AFFORDABILITY June 08_Company comparison Sep 08_EC charts Oct 08" xfId="19084"/>
    <cellStyle name="_AFFORDABILITY June 08_Company comparison Sep 08_EC charts Oct 08_Book50" xfId="19085"/>
    <cellStyle name="_AFFORDABILITY June 08_Company comparison Sep 08_EC charts Oct 08_Book50_CKH-17" xfId="19086"/>
    <cellStyle name="_AFFORDABILITY June 08_Company comparison Sep 08_EC charts Oct 08_Book50_EC charts Sep 09" xfId="19087"/>
    <cellStyle name="_AFFORDABILITY June 08_Company comparison Sep 08_EC charts Oct 08_Book50_EC charts Sep 09_Charts Sep 09 (version 2)" xfId="19088"/>
    <cellStyle name="_AFFORDABILITY June 08_Company comparison Sep 08_EC charts Oct 08_Book50_EC charts Sep 09_Charts Sep 09 (version 2)_CKH-17" xfId="19089"/>
    <cellStyle name="_AFFORDABILITY June 08_Company comparison Sep 08_EC charts Oct 08_Book50_EC charts Sep 09_Charts Sep 09 (version 2)_HWL_LP" xfId="19090"/>
    <cellStyle name="_AFFORDABILITY June 08_Company comparison Sep 08_EC charts Oct 08_Book50_EC charts Sep 09_CKH-17" xfId="19091"/>
    <cellStyle name="_AFFORDABILITY June 08_Company comparison Sep 08_EC charts Oct 08_Book50_EC charts Sep 09_HWL_LP" xfId="19092"/>
    <cellStyle name="_AFFORDABILITY June 08_Company comparison Sep 08_EC charts Oct 08_Book50_HWL_LP" xfId="19093"/>
    <cellStyle name="_AFFORDABILITY June 08_Company comparison Sep 08_EC charts Oct 08_CKH-17" xfId="19094"/>
    <cellStyle name="_AFFORDABILITY June 08_Company comparison Sep 08_EC charts Oct 08_EC charts Sep 09" xfId="19095"/>
    <cellStyle name="_AFFORDABILITY June 08_Company comparison Sep 08_EC charts Oct 08_EC charts Sep 09_Charts Sep 09 (version 2)" xfId="19096"/>
    <cellStyle name="_AFFORDABILITY June 08_Company comparison Sep 08_EC charts Oct 08_EC charts Sep 09_Charts Sep 09 (version 2)_CKH-17" xfId="19097"/>
    <cellStyle name="_AFFORDABILITY June 08_Company comparison Sep 08_EC charts Oct 08_EC charts Sep 09_Charts Sep 09 (version 2)_HWL_LP" xfId="19098"/>
    <cellStyle name="_AFFORDABILITY June 08_Company comparison Sep 08_EC charts Oct 08_EC charts Sep 09_CKH-17" xfId="19099"/>
    <cellStyle name="_AFFORDABILITY June 08_Company comparison Sep 08_EC charts Oct 08_EC charts Sep 09_HWL_LP" xfId="19100"/>
    <cellStyle name="_AFFORDABILITY June 08_Company comparison Sep 08_EC charts Oct 08_HWL_LP" xfId="19101"/>
    <cellStyle name="_AFFORDABILITY June 08_Company comparison Sep 08_HK developers weighted average share price vs ppty market May 09" xfId="19102"/>
    <cellStyle name="_AFFORDABILITY June 08_Company comparison Sep 08_HK developers weighted average share price vs ppty market May 09_CKH-17" xfId="19103"/>
    <cellStyle name="_AFFORDABILITY June 08_Company comparison Sep 08_HK developers weighted average share price vs ppty market May 09_HWL_LP" xfId="19104"/>
    <cellStyle name="_AFFORDABILITY June 08_Company comparison Sep 08_HK Property data July 09" xfId="19105"/>
    <cellStyle name="_AFFORDABILITY June 08_Company comparison Sep 08_HK Property data July 09_CKH-17" xfId="19106"/>
    <cellStyle name="_AFFORDABILITY June 08_Company comparison Sep 08_HK Property data July 09_HWL_LP" xfId="19107"/>
    <cellStyle name="_AFFORDABILITY June 08_Company comparison Sep 08_HK Resi 10 outlook chts" xfId="19108"/>
    <cellStyle name="_AFFORDABILITY June 08_Company comparison Sep 08_HK Resi 10 outlook chts_CKH-17" xfId="19109"/>
    <cellStyle name="_AFFORDABILITY June 08_Company comparison Sep 08_HK Resi 10 outlook chts_HWL_LP" xfId="19110"/>
    <cellStyle name="_AFFORDABILITY June 08_Company comparison Sep 08_HONG KONG PER" xfId="19111"/>
    <cellStyle name="_AFFORDABILITY June 08_Company comparison Sep 08_HONG KONG PER_Book50" xfId="19112"/>
    <cellStyle name="_AFFORDABILITY June 08_Company comparison Sep 08_HONG KONG PER_Book50_CKH-17" xfId="19113"/>
    <cellStyle name="_AFFORDABILITY June 08_Company comparison Sep 08_HONG KONG PER_Book50_EC charts Sep 09" xfId="19114"/>
    <cellStyle name="_AFFORDABILITY June 08_Company comparison Sep 08_HONG KONG PER_Book50_EC charts Sep 09_Charts Sep 09 (version 2)" xfId="19115"/>
    <cellStyle name="_AFFORDABILITY June 08_Company comparison Sep 08_HONG KONG PER_Book50_EC charts Sep 09_Charts Sep 09 (version 2)_CKH-17" xfId="19116"/>
    <cellStyle name="_AFFORDABILITY June 08_Company comparison Sep 08_HONG KONG PER_Book50_EC charts Sep 09_Charts Sep 09 (version 2)_HWL_LP" xfId="19117"/>
    <cellStyle name="_AFFORDABILITY June 08_Company comparison Sep 08_HONG KONG PER_Book50_EC charts Sep 09_CKH-17" xfId="19118"/>
    <cellStyle name="_AFFORDABILITY June 08_Company comparison Sep 08_HONG KONG PER_Book50_EC charts Sep 09_HWL_LP" xfId="19119"/>
    <cellStyle name="_AFFORDABILITY June 08_Company comparison Sep 08_HONG KONG PER_Book50_HWL_LP" xfId="19120"/>
    <cellStyle name="_AFFORDABILITY June 08_Company comparison Sep 08_HONG KONG PER_CKH-17" xfId="19121"/>
    <cellStyle name="_AFFORDABILITY June 08_Company comparison Sep 08_HONG KONG PER_EC charts Sep 09" xfId="19122"/>
    <cellStyle name="_AFFORDABILITY June 08_Company comparison Sep 08_HONG KONG PER_EC charts Sep 09_Charts Sep 09 (version 2)" xfId="19123"/>
    <cellStyle name="_AFFORDABILITY June 08_Company comparison Sep 08_HONG KONG PER_EC charts Sep 09_Charts Sep 09 (version 2)_CKH-17" xfId="19124"/>
    <cellStyle name="_AFFORDABILITY June 08_Company comparison Sep 08_HONG KONG PER_EC charts Sep 09_Charts Sep 09 (version 2)_HWL_LP" xfId="19125"/>
    <cellStyle name="_AFFORDABILITY June 08_Company comparison Sep 08_HONG KONG PER_EC charts Sep 09_CKH-17" xfId="19126"/>
    <cellStyle name="_AFFORDABILITY June 08_Company comparison Sep 08_HONG KONG PER_EC charts Sep 09_HWL_LP" xfId="19127"/>
    <cellStyle name="_AFFORDABILITY June 08_Company comparison Sep 08_HONG KONG PER_HWL_LP" xfId="19128"/>
    <cellStyle name="_AFFORDABILITY June 08_Company comparison Sep 08_HWL_LP" xfId="19129"/>
    <cellStyle name="_AFFORDABILITY June 08_Company comparison Sep 08_Mirae - CH Prop NAV breakdown (Francis Chan)" xfId="19130"/>
    <cellStyle name="_AFFORDABILITY June 08_Company comparison Sep 08_Mirae - CH Prop NAV breakdown (Francis Chan)_Charts for HK update May 09" xfId="19131"/>
    <cellStyle name="_AFFORDABILITY June 08_Company comparison Sep 08_Mirae - CH Prop NAV breakdown (Francis Chan)_Charts for HK update May 09_Charts Sep 09 (version 2)" xfId="19132"/>
    <cellStyle name="_AFFORDABILITY June 08_Company comparison Sep 08_Mirae - CH Prop NAV breakdown (Francis Chan)_Charts for HK update May 09_Charts Sep 09 (version 2)_CKH-17" xfId="19133"/>
    <cellStyle name="_AFFORDABILITY June 08_Company comparison Sep 08_Mirae - CH Prop NAV breakdown (Francis Chan)_Charts for HK update May 09_Charts Sep 09 (version 2)_HWL_LP" xfId="19134"/>
    <cellStyle name="_AFFORDABILITY June 08_Company comparison Sep 08_Mirae - CH Prop NAV breakdown (Francis Chan)_Charts for HK update May 09_CKH-17" xfId="19135"/>
    <cellStyle name="_AFFORDABILITY June 08_Company comparison Sep 08_Mirae - CH Prop NAV breakdown (Francis Chan)_Charts for HK update May 09_HWL_LP" xfId="19136"/>
    <cellStyle name="_AFFORDABILITY June 08_Company comparison Sep 08_Mirae - CH Prop NAV breakdown (Francis Chan)_CKH-17" xfId="19137"/>
    <cellStyle name="_AFFORDABILITY June 08_Company comparison Sep 08_Mirae - CH Prop NAV breakdown (Francis Chan)_EC charts Sep 09" xfId="19138"/>
    <cellStyle name="_AFFORDABILITY June 08_Company comparison Sep 08_Mirae - CH Prop NAV breakdown (Francis Chan)_EC charts Sep 09_Charts Sep 09 (version 2)" xfId="19139"/>
    <cellStyle name="_AFFORDABILITY June 08_Company comparison Sep 08_Mirae - CH Prop NAV breakdown (Francis Chan)_EC charts Sep 09_Charts Sep 09 (version 2)_CKH-17" xfId="19140"/>
    <cellStyle name="_AFFORDABILITY June 08_Company comparison Sep 08_Mirae - CH Prop NAV breakdown (Francis Chan)_EC charts Sep 09_Charts Sep 09 (version 2)_HWL_LP" xfId="19141"/>
    <cellStyle name="_AFFORDABILITY June 08_Company comparison Sep 08_Mirae - CH Prop NAV breakdown (Francis Chan)_EC charts Sep 09_CKH-17" xfId="19142"/>
    <cellStyle name="_AFFORDABILITY June 08_Company comparison Sep 08_Mirae - CH Prop NAV breakdown (Francis Chan)_EC charts Sep 09_HWL_LP" xfId="19143"/>
    <cellStyle name="_AFFORDABILITY June 08_Company comparison Sep 08_Mirae - CH Prop NAV breakdown (Francis Chan)_HWL_LP" xfId="19144"/>
    <cellStyle name="_AFFORDABILITY June 08_Company comparison Sep 08_RESIDENTIAL SUPPLY 2009-2010" xfId="19145"/>
    <cellStyle name="_AFFORDABILITY June 08_Company comparison Sep 08_RESIDENTIAL SUPPLY 2009-2010_CKH-17" xfId="19146"/>
    <cellStyle name="_AFFORDABILITY June 08_Company comparison Sep 08_RESIDENTIAL SUPPLY 2009-2010_HWL_LP" xfId="19147"/>
    <cellStyle name="_AFFORDABILITY June 08_devs vs resi index hk Dec 08" xfId="19148"/>
    <cellStyle name="_AFFORDABILITY June 08_devs vs resi index hk Dec 08_Charts for HK update May 09" xfId="19149"/>
    <cellStyle name="_AFFORDABILITY June 08_devs vs resi index hk Dec 08_Charts for HK update May 09_Charts Sep 09 (version 2)" xfId="19150"/>
    <cellStyle name="_AFFORDABILITY June 08_devs vs resi index hk Dec 08_Charts for HK update May 09_Charts Sep 09 (version 2)_CKH-17" xfId="19151"/>
    <cellStyle name="_AFFORDABILITY June 08_devs vs resi index hk Dec 08_Charts for HK update May 09_Charts Sep 09 (version 2)_HWL_LP" xfId="19152"/>
    <cellStyle name="_AFFORDABILITY June 08_devs vs resi index hk Dec 08_Charts for HK update May 09_CKH-17" xfId="19153"/>
    <cellStyle name="_AFFORDABILITY June 08_devs vs resi index hk Dec 08_Charts for HK update May 09_HWL_LP" xfId="19154"/>
    <cellStyle name="_AFFORDABILITY June 08_devs vs resi index hk Dec 08_CKH-17" xfId="19155"/>
    <cellStyle name="_AFFORDABILITY June 08_devs vs resi index hk Dec 08_EC charts Sep 09" xfId="19156"/>
    <cellStyle name="_AFFORDABILITY June 08_devs vs resi index hk Dec 08_EC charts Sep 09_Charts Sep 09 (version 2)" xfId="19157"/>
    <cellStyle name="_AFFORDABILITY June 08_devs vs resi index hk Dec 08_EC charts Sep 09_Charts Sep 09 (version 2)_CKH-17" xfId="19158"/>
    <cellStyle name="_AFFORDABILITY June 08_devs vs resi index hk Dec 08_EC charts Sep 09_Charts Sep 09 (version 2)_HWL_LP" xfId="19159"/>
    <cellStyle name="_AFFORDABILITY June 08_devs vs resi index hk Dec 08_EC charts Sep 09_CKH-17" xfId="19160"/>
    <cellStyle name="_AFFORDABILITY June 08_devs vs resi index hk Dec 08_EC charts Sep 09_HWL_LP" xfId="19161"/>
    <cellStyle name="_AFFORDABILITY June 08_devs vs resi index hk Dec 08_HWL_LP" xfId="19162"/>
    <cellStyle name="_AFFORDABILITY June 08_EC charts Oct 08" xfId="19163"/>
    <cellStyle name="_AFFORDABILITY June 08_EC charts Oct 08_Book50" xfId="19164"/>
    <cellStyle name="_AFFORDABILITY June 08_EC charts Oct 08_Book50_CKH-17" xfId="19165"/>
    <cellStyle name="_AFFORDABILITY June 08_EC charts Oct 08_Book50_EC charts Sep 09" xfId="19166"/>
    <cellStyle name="_AFFORDABILITY June 08_EC charts Oct 08_Book50_EC charts Sep 09_Charts Sep 09 (version 2)" xfId="19167"/>
    <cellStyle name="_AFFORDABILITY June 08_EC charts Oct 08_Book50_EC charts Sep 09_Charts Sep 09 (version 2)_CKH-17" xfId="19168"/>
    <cellStyle name="_AFFORDABILITY June 08_EC charts Oct 08_Book50_EC charts Sep 09_Charts Sep 09 (version 2)_HWL_LP" xfId="19169"/>
    <cellStyle name="_AFFORDABILITY June 08_EC charts Oct 08_Book50_EC charts Sep 09_CKH-17" xfId="19170"/>
    <cellStyle name="_AFFORDABILITY June 08_EC charts Oct 08_Book50_EC charts Sep 09_HWL_LP" xfId="19171"/>
    <cellStyle name="_AFFORDABILITY June 08_EC charts Oct 08_Book50_HWL_LP" xfId="19172"/>
    <cellStyle name="_AFFORDABILITY June 08_EC charts Oct 08_CKH-17" xfId="19173"/>
    <cellStyle name="_AFFORDABILITY June 08_EC charts Oct 08_EC charts Sep 09" xfId="19174"/>
    <cellStyle name="_AFFORDABILITY June 08_EC charts Oct 08_EC charts Sep 09_Charts Sep 09 (version 2)" xfId="19175"/>
    <cellStyle name="_AFFORDABILITY June 08_EC charts Oct 08_EC charts Sep 09_Charts Sep 09 (version 2)_CKH-17" xfId="19176"/>
    <cellStyle name="_AFFORDABILITY June 08_EC charts Oct 08_EC charts Sep 09_Charts Sep 09 (version 2)_HWL_LP" xfId="19177"/>
    <cellStyle name="_AFFORDABILITY June 08_EC charts Oct 08_EC charts Sep 09_CKH-17" xfId="19178"/>
    <cellStyle name="_AFFORDABILITY June 08_EC charts Oct 08_EC charts Sep 09_HWL_LP" xfId="19179"/>
    <cellStyle name="_AFFORDABILITY June 08_EC charts Oct 08_HWL_LP" xfId="19180"/>
    <cellStyle name="_AFFORDABILITY June 08_HK developers weighted average share price vs ppty market May 09" xfId="19181"/>
    <cellStyle name="_AFFORDABILITY June 08_HK developers weighted average share price vs ppty market May 09_CKH-17" xfId="19182"/>
    <cellStyle name="_AFFORDABILITY June 08_HK developers weighted average share price vs ppty market May 09_HWL_LP" xfId="19183"/>
    <cellStyle name="_AFFORDABILITY June 08_HK Devs Peak to trough 2010 Outlook" xfId="19184"/>
    <cellStyle name="_AFFORDABILITY June 08_HK Devs Peak to trough 2010 Outlook_CKH-17" xfId="19185"/>
    <cellStyle name="_AFFORDABILITY June 08_HK Devs Peak to trough 2010 Outlook_HWL_LP" xfId="19186"/>
    <cellStyle name="_AFFORDABILITY June 08_HK Property data July 09" xfId="19187"/>
    <cellStyle name="_AFFORDABILITY June 08_HK Property data July 09_CKH-17" xfId="19188"/>
    <cellStyle name="_AFFORDABILITY June 08_HK Property data July 09_HWL_LP" xfId="19189"/>
    <cellStyle name="_AFFORDABILITY June 08_HK Resi 10 outlook chts" xfId="19190"/>
    <cellStyle name="_AFFORDABILITY June 08_HK Resi 10 outlook chts_CKH-17" xfId="19191"/>
    <cellStyle name="_AFFORDABILITY June 08_HK Resi 10 outlook chts_HWL_LP" xfId="19192"/>
    <cellStyle name="_AFFORDABILITY June 08_HONG KONG PER" xfId="19193"/>
    <cellStyle name="_AFFORDABILITY June 08_HONG KONG PER_Book50" xfId="19194"/>
    <cellStyle name="_AFFORDABILITY June 08_HONG KONG PER_Book50_CKH-17" xfId="19195"/>
    <cellStyle name="_AFFORDABILITY June 08_HONG KONG PER_Book50_EC charts Sep 09" xfId="19196"/>
    <cellStyle name="_AFFORDABILITY June 08_HONG KONG PER_Book50_EC charts Sep 09_Charts Sep 09 (version 2)" xfId="19197"/>
    <cellStyle name="_AFFORDABILITY June 08_HONG KONG PER_Book50_EC charts Sep 09_Charts Sep 09 (version 2)_CKH-17" xfId="19198"/>
    <cellStyle name="_AFFORDABILITY June 08_HONG KONG PER_Book50_EC charts Sep 09_Charts Sep 09 (version 2)_HWL_LP" xfId="19199"/>
    <cellStyle name="_AFFORDABILITY June 08_HONG KONG PER_Book50_EC charts Sep 09_CKH-17" xfId="19200"/>
    <cellStyle name="_AFFORDABILITY June 08_HONG KONG PER_Book50_EC charts Sep 09_HWL_LP" xfId="19201"/>
    <cellStyle name="_AFFORDABILITY June 08_HONG KONG PER_Book50_HWL_LP" xfId="19202"/>
    <cellStyle name="_AFFORDABILITY June 08_HONG KONG PER_CKH-17" xfId="19203"/>
    <cellStyle name="_AFFORDABILITY June 08_HONG KONG PER_EC charts Sep 09" xfId="19204"/>
    <cellStyle name="_AFFORDABILITY June 08_HONG KONG PER_EC charts Sep 09_Charts Sep 09 (version 2)" xfId="19205"/>
    <cellStyle name="_AFFORDABILITY June 08_HONG KONG PER_EC charts Sep 09_Charts Sep 09 (version 2)_CKH-17" xfId="19206"/>
    <cellStyle name="_AFFORDABILITY June 08_HONG KONG PER_EC charts Sep 09_Charts Sep 09 (version 2)_HWL_LP" xfId="19207"/>
    <cellStyle name="_AFFORDABILITY June 08_HONG KONG PER_EC charts Sep 09_CKH-17" xfId="19208"/>
    <cellStyle name="_AFFORDABILITY June 08_HONG KONG PER_EC charts Sep 09_HWL_LP" xfId="19209"/>
    <cellStyle name="_AFFORDABILITY June 08_HONG KONG PER_HWL_LP" xfId="19210"/>
    <cellStyle name="_AFFORDABILITY June 08_HWL_LP" xfId="19211"/>
    <cellStyle name="_AFFORDABILITY June 08_Mirae - CH Prop NAV breakdown (Francis Chan)" xfId="19212"/>
    <cellStyle name="_AFFORDABILITY June 08_Mirae - CH Prop NAV breakdown (Francis Chan)_Charts for HK update May 09" xfId="19213"/>
    <cellStyle name="_AFFORDABILITY June 08_Mirae - CH Prop NAV breakdown (Francis Chan)_Charts for HK update May 09_Charts Sep 09 (version 2)" xfId="19214"/>
    <cellStyle name="_AFFORDABILITY June 08_Mirae - CH Prop NAV breakdown (Francis Chan)_Charts for HK update May 09_Charts Sep 09 (version 2)_CKH-17" xfId="19215"/>
    <cellStyle name="_AFFORDABILITY June 08_Mirae - CH Prop NAV breakdown (Francis Chan)_Charts for HK update May 09_Charts Sep 09 (version 2)_HWL_LP" xfId="19216"/>
    <cellStyle name="_AFFORDABILITY June 08_Mirae - CH Prop NAV breakdown (Francis Chan)_Charts for HK update May 09_CKH-17" xfId="19217"/>
    <cellStyle name="_AFFORDABILITY June 08_Mirae - CH Prop NAV breakdown (Francis Chan)_Charts for HK update May 09_HWL_LP" xfId="19218"/>
    <cellStyle name="_AFFORDABILITY June 08_Mirae - CH Prop NAV breakdown (Francis Chan)_CKH-17" xfId="19219"/>
    <cellStyle name="_AFFORDABILITY June 08_Mirae - CH Prop NAV breakdown (Francis Chan)_EC charts Sep 09" xfId="19220"/>
    <cellStyle name="_AFFORDABILITY June 08_Mirae - CH Prop NAV breakdown (Francis Chan)_EC charts Sep 09_Charts Sep 09 (version 2)" xfId="19221"/>
    <cellStyle name="_AFFORDABILITY June 08_Mirae - CH Prop NAV breakdown (Francis Chan)_EC charts Sep 09_Charts Sep 09 (version 2)_CKH-17" xfId="19222"/>
    <cellStyle name="_AFFORDABILITY June 08_Mirae - CH Prop NAV breakdown (Francis Chan)_EC charts Sep 09_Charts Sep 09 (version 2)_HWL_LP" xfId="19223"/>
    <cellStyle name="_AFFORDABILITY June 08_Mirae - CH Prop NAV breakdown (Francis Chan)_EC charts Sep 09_CKH-17" xfId="19224"/>
    <cellStyle name="_AFFORDABILITY June 08_Mirae - CH Prop NAV breakdown (Francis Chan)_EC charts Sep 09_HWL_LP" xfId="19225"/>
    <cellStyle name="_AFFORDABILITY June 08_Mirae - CH Prop NAV breakdown (Francis Chan)_HWL_LP" xfId="19226"/>
    <cellStyle name="_AFFORDABILITY June 08_RESIDENTIAL SUPPLY 2009-2010" xfId="19227"/>
    <cellStyle name="_AFFORDABILITY June 08_RESIDENTIAL SUPPLY 2009-2010_CKH-17" xfId="19228"/>
    <cellStyle name="_AFFORDABILITY June 08_RESIDENTIAL SUPPLY 2009-2010_HWL_LP" xfId="19229"/>
    <cellStyle name="_AFFORDABILITY Sept 07" xfId="19230"/>
    <cellStyle name="_AFFORDABILITY Sept 07_Book4" xfId="19231"/>
    <cellStyle name="_AFFORDABILITY Sept 07_Book4_Charts Sep 09 (version 2)" xfId="19232"/>
    <cellStyle name="_AFFORDABILITY Sept 07_Book4_Charts Sep 09 (version 2)_CKH-17" xfId="19233"/>
    <cellStyle name="_AFFORDABILITY Sept 07_Book4_Charts Sep 09 (version 2)_HWL_LP" xfId="19234"/>
    <cellStyle name="_AFFORDABILITY Sept 07_Book4_CKH-17" xfId="19235"/>
    <cellStyle name="_AFFORDABILITY Sept 07_Book4_HWL_LP" xfId="19236"/>
    <cellStyle name="_AFFORDABILITY Sept 07_CC charts and tables Oct 08" xfId="19237"/>
    <cellStyle name="_AFFORDABILITY Sept 07_CC charts and tables Oct 08_CKH-17" xfId="19238"/>
    <cellStyle name="_AFFORDABILITY Sept 07_CC charts and tables Oct 08_HWL_LP" xfId="19239"/>
    <cellStyle name="_AFFORDABILITY Sept 07_CEIC_PROPERTY PRICE  RENTAL INDEX Feb 09 " xfId="19240"/>
    <cellStyle name="_AFFORDABILITY Sept 07_CEIC_PROPERTY PRICE  RENTAL INDEX Feb 09 _CKH-17" xfId="19241"/>
    <cellStyle name="_AFFORDABILITY Sept 07_CEIC_PROPERTY PRICE  RENTAL INDEX Feb 09 _HWL_LP" xfId="19242"/>
    <cellStyle name="_AFFORDABILITY Sept 07_charts Jun 09" xfId="19243"/>
    <cellStyle name="_AFFORDABILITY Sept 07_charts Jun 09_Charts for HK update May 09" xfId="19244"/>
    <cellStyle name="_AFFORDABILITY Sept 07_charts Jun 09_Charts for HK update May 09_Charts Sep 09 (version 2)" xfId="19245"/>
    <cellStyle name="_AFFORDABILITY Sept 07_charts Jun 09_Charts for HK update May 09_Charts Sep 09 (version 2)_CKH-17" xfId="19246"/>
    <cellStyle name="_AFFORDABILITY Sept 07_charts Jun 09_Charts for HK update May 09_Charts Sep 09 (version 2)_HWL_LP" xfId="19247"/>
    <cellStyle name="_AFFORDABILITY Sept 07_charts Jun 09_Charts for HK update May 09_CKH-17" xfId="19248"/>
    <cellStyle name="_AFFORDABILITY Sept 07_charts Jun 09_Charts for HK update May 09_HWL_LP" xfId="19249"/>
    <cellStyle name="_AFFORDABILITY Sept 07_charts Jun 09_CKH-17" xfId="19250"/>
    <cellStyle name="_AFFORDABILITY Sept 07_charts Jun 09_EC charts Sep 09" xfId="19251"/>
    <cellStyle name="_AFFORDABILITY Sept 07_charts Jun 09_EC charts Sep 09_Charts Sep 09 (version 2)" xfId="19252"/>
    <cellStyle name="_AFFORDABILITY Sept 07_charts Jun 09_EC charts Sep 09_Charts Sep 09 (version 2)_CKH-17" xfId="19253"/>
    <cellStyle name="_AFFORDABILITY Sept 07_charts Jun 09_EC charts Sep 09_Charts Sep 09 (version 2)_HWL_LP" xfId="19254"/>
    <cellStyle name="_AFFORDABILITY Sept 07_charts Jun 09_EC charts Sep 09_CKH-17" xfId="19255"/>
    <cellStyle name="_AFFORDABILITY Sept 07_charts Jun 09_EC charts Sep 09_HWL_LP" xfId="19256"/>
    <cellStyle name="_AFFORDABILITY Sept 07_charts Jun 09_HWL_LP" xfId="19257"/>
    <cellStyle name="_AFFORDABILITY Sept 07_Charts Sep 09 (version 2)" xfId="19258"/>
    <cellStyle name="_AFFORDABILITY Sept 07_Charts Sep 09 (version 2)_CKH-17" xfId="19259"/>
    <cellStyle name="_AFFORDABILITY Sept 07_Charts Sep 09 (version 2)_HWL_LP" xfId="19260"/>
    <cellStyle name="_AFFORDABILITY Sept 07_China update table and charts Sep 08" xfId="19261"/>
    <cellStyle name="_AFFORDABILITY Sept 07_China update table and charts Sep 08_Charts Sep 09 (version 2)" xfId="19262"/>
    <cellStyle name="_AFFORDABILITY Sept 07_China update table and charts Sep 08_Charts Sep 09 (version 2)_CKH-17" xfId="19263"/>
    <cellStyle name="_AFFORDABILITY Sept 07_China update table and charts Sep 08_Charts Sep 09 (version 2)_HWL_LP" xfId="19264"/>
    <cellStyle name="_AFFORDABILITY Sept 07_China update table and charts Sep 08_CKH-17" xfId="19265"/>
    <cellStyle name="_AFFORDABILITY Sept 07_China update table and charts Sep 08_HWL_LP" xfId="19266"/>
    <cellStyle name="_AFFORDABILITY Sept 07_CKH-17" xfId="19267"/>
    <cellStyle name="_AFFORDABILITY Sept 07_Company comparison Sep 08" xfId="19268"/>
    <cellStyle name="_AFFORDABILITY Sept 07_Company comparison Sep 08_Book4" xfId="19269"/>
    <cellStyle name="_AFFORDABILITY Sept 07_Company comparison Sep 08_Book4_Charts Sep 09 (version 2)" xfId="19270"/>
    <cellStyle name="_AFFORDABILITY Sept 07_Company comparison Sep 08_Book4_Charts Sep 09 (version 2)_CKH-17" xfId="19271"/>
    <cellStyle name="_AFFORDABILITY Sept 07_Company comparison Sep 08_Book4_Charts Sep 09 (version 2)_HWL_LP" xfId="19272"/>
    <cellStyle name="_AFFORDABILITY Sept 07_Company comparison Sep 08_Book4_CKH-17" xfId="19273"/>
    <cellStyle name="_AFFORDABILITY Sept 07_Company comparison Sep 08_Book4_HWL_LP" xfId="19274"/>
    <cellStyle name="_AFFORDABILITY Sept 07_Company comparison Sep 08_CC charts and tables Oct 08" xfId="19275"/>
    <cellStyle name="_AFFORDABILITY Sept 07_Company comparison Sep 08_CC charts and tables Oct 08_CKH-17" xfId="19276"/>
    <cellStyle name="_AFFORDABILITY Sept 07_Company comparison Sep 08_CC charts and tables Oct 08_HWL_LP" xfId="19277"/>
    <cellStyle name="_AFFORDABILITY Sept 07_Company comparison Sep 08_CEIC_PROPERTY PRICE  RENTAL INDEX Feb 09 " xfId="19278"/>
    <cellStyle name="_AFFORDABILITY Sept 07_Company comparison Sep 08_CEIC_PROPERTY PRICE  RENTAL INDEX Feb 09 _CKH-17" xfId="19279"/>
    <cellStyle name="_AFFORDABILITY Sept 07_Company comparison Sep 08_CEIC_PROPERTY PRICE  RENTAL INDEX Feb 09 _HWL_LP" xfId="19280"/>
    <cellStyle name="_AFFORDABILITY Sept 07_Company comparison Sep 08_charts Jun 09" xfId="19281"/>
    <cellStyle name="_AFFORDABILITY Sept 07_Company comparison Sep 08_charts Jun 09_Charts for HK update May 09" xfId="19282"/>
    <cellStyle name="_AFFORDABILITY Sept 07_Company comparison Sep 08_charts Jun 09_Charts for HK update May 09_Charts Sep 09 (version 2)" xfId="19283"/>
    <cellStyle name="_AFFORDABILITY Sept 07_Company comparison Sep 08_charts Jun 09_Charts for HK update May 09_Charts Sep 09 (version 2)_CKH-17" xfId="19284"/>
    <cellStyle name="_AFFORDABILITY Sept 07_Company comparison Sep 08_charts Jun 09_Charts for HK update May 09_Charts Sep 09 (version 2)_HWL_LP" xfId="19285"/>
    <cellStyle name="_AFFORDABILITY Sept 07_Company comparison Sep 08_charts Jun 09_Charts for HK update May 09_CKH-17" xfId="19286"/>
    <cellStyle name="_AFFORDABILITY Sept 07_Company comparison Sep 08_charts Jun 09_Charts for HK update May 09_HWL_LP" xfId="19287"/>
    <cellStyle name="_AFFORDABILITY Sept 07_Company comparison Sep 08_charts Jun 09_CKH-17" xfId="19288"/>
    <cellStyle name="_AFFORDABILITY Sept 07_Company comparison Sep 08_charts Jun 09_EC charts Sep 09" xfId="19289"/>
    <cellStyle name="_AFFORDABILITY Sept 07_Company comparison Sep 08_charts Jun 09_EC charts Sep 09_Charts Sep 09 (version 2)" xfId="19290"/>
    <cellStyle name="_AFFORDABILITY Sept 07_Company comparison Sep 08_charts Jun 09_EC charts Sep 09_Charts Sep 09 (version 2)_CKH-17" xfId="19291"/>
    <cellStyle name="_AFFORDABILITY Sept 07_Company comparison Sep 08_charts Jun 09_EC charts Sep 09_Charts Sep 09 (version 2)_HWL_LP" xfId="19292"/>
    <cellStyle name="_AFFORDABILITY Sept 07_Company comparison Sep 08_charts Jun 09_EC charts Sep 09_CKH-17" xfId="19293"/>
    <cellStyle name="_AFFORDABILITY Sept 07_Company comparison Sep 08_charts Jun 09_EC charts Sep 09_HWL_LP" xfId="19294"/>
    <cellStyle name="_AFFORDABILITY Sept 07_Company comparison Sep 08_charts Jun 09_HWL_LP" xfId="19295"/>
    <cellStyle name="_AFFORDABILITY Sept 07_Company comparison Sep 08_Charts Sep 09 (version 2)" xfId="19296"/>
    <cellStyle name="_AFFORDABILITY Sept 07_Company comparison Sep 08_Charts Sep 09 (version 2)_CKH-17" xfId="19297"/>
    <cellStyle name="_AFFORDABILITY Sept 07_Company comparison Sep 08_Charts Sep 09 (version 2)_HWL_LP" xfId="19298"/>
    <cellStyle name="_AFFORDABILITY Sept 07_Company comparison Sep 08_China update table and charts Sep 08" xfId="19299"/>
    <cellStyle name="_AFFORDABILITY Sept 07_Company comparison Sep 08_China update table and charts Sep 08_Charts Sep 09 (version 2)" xfId="19300"/>
    <cellStyle name="_AFFORDABILITY Sept 07_Company comparison Sep 08_China update table and charts Sep 08_Charts Sep 09 (version 2)_CKH-17" xfId="19301"/>
    <cellStyle name="_AFFORDABILITY Sept 07_Company comparison Sep 08_China update table and charts Sep 08_Charts Sep 09 (version 2)_HWL_LP" xfId="19302"/>
    <cellStyle name="_AFFORDABILITY Sept 07_Company comparison Sep 08_China update table and charts Sep 08_CKH-17" xfId="19303"/>
    <cellStyle name="_AFFORDABILITY Sept 07_Company comparison Sep 08_China update table and charts Sep 08_HWL_LP" xfId="19304"/>
    <cellStyle name="_AFFORDABILITY Sept 07_Company comparison Sep 08_CKH-17" xfId="19305"/>
    <cellStyle name="_AFFORDABILITY Sept 07_Company comparison Sep 08_devs vs resi index hk Dec 08" xfId="19306"/>
    <cellStyle name="_AFFORDABILITY Sept 07_Company comparison Sep 08_devs vs resi index hk Dec 08_Charts for HK update May 09" xfId="19307"/>
    <cellStyle name="_AFFORDABILITY Sept 07_Company comparison Sep 08_devs vs resi index hk Dec 08_Charts for HK update May 09_Charts Sep 09 (version 2)" xfId="19308"/>
    <cellStyle name="_AFFORDABILITY Sept 07_Company comparison Sep 08_devs vs resi index hk Dec 08_Charts for HK update May 09_Charts Sep 09 (version 2)_CKH-17" xfId="19309"/>
    <cellStyle name="_AFFORDABILITY Sept 07_Company comparison Sep 08_devs vs resi index hk Dec 08_Charts for HK update May 09_Charts Sep 09 (version 2)_HWL_LP" xfId="19310"/>
    <cellStyle name="_AFFORDABILITY Sept 07_Company comparison Sep 08_devs vs resi index hk Dec 08_Charts for HK update May 09_CKH-17" xfId="19311"/>
    <cellStyle name="_AFFORDABILITY Sept 07_Company comparison Sep 08_devs vs resi index hk Dec 08_Charts for HK update May 09_HWL_LP" xfId="19312"/>
    <cellStyle name="_AFFORDABILITY Sept 07_Company comparison Sep 08_devs vs resi index hk Dec 08_CKH-17" xfId="19313"/>
    <cellStyle name="_AFFORDABILITY Sept 07_Company comparison Sep 08_devs vs resi index hk Dec 08_EC charts Sep 09" xfId="19314"/>
    <cellStyle name="_AFFORDABILITY Sept 07_Company comparison Sep 08_devs vs resi index hk Dec 08_EC charts Sep 09_Charts Sep 09 (version 2)" xfId="19315"/>
    <cellStyle name="_AFFORDABILITY Sept 07_Company comparison Sep 08_devs vs resi index hk Dec 08_EC charts Sep 09_Charts Sep 09 (version 2)_CKH-17" xfId="19316"/>
    <cellStyle name="_AFFORDABILITY Sept 07_Company comparison Sep 08_devs vs resi index hk Dec 08_EC charts Sep 09_Charts Sep 09 (version 2)_HWL_LP" xfId="19317"/>
    <cellStyle name="_AFFORDABILITY Sept 07_Company comparison Sep 08_devs vs resi index hk Dec 08_EC charts Sep 09_CKH-17" xfId="19318"/>
    <cellStyle name="_AFFORDABILITY Sept 07_Company comparison Sep 08_devs vs resi index hk Dec 08_EC charts Sep 09_HWL_LP" xfId="19319"/>
    <cellStyle name="_AFFORDABILITY Sept 07_Company comparison Sep 08_devs vs resi index hk Dec 08_HWL_LP" xfId="19320"/>
    <cellStyle name="_AFFORDABILITY Sept 07_Company comparison Sep 08_EC charts Oct 08" xfId="19321"/>
    <cellStyle name="_AFFORDABILITY Sept 07_Company comparison Sep 08_EC charts Oct 08_Book50" xfId="19322"/>
    <cellStyle name="_AFFORDABILITY Sept 07_Company comparison Sep 08_EC charts Oct 08_Book50_CKH-17" xfId="19323"/>
    <cellStyle name="_AFFORDABILITY Sept 07_Company comparison Sep 08_EC charts Oct 08_Book50_EC charts Sep 09" xfId="19324"/>
    <cellStyle name="_AFFORDABILITY Sept 07_Company comparison Sep 08_EC charts Oct 08_Book50_EC charts Sep 09_Charts Sep 09 (version 2)" xfId="19325"/>
    <cellStyle name="_AFFORDABILITY Sept 07_Company comparison Sep 08_EC charts Oct 08_Book50_EC charts Sep 09_Charts Sep 09 (version 2)_CKH-17" xfId="19326"/>
    <cellStyle name="_AFFORDABILITY Sept 07_Company comparison Sep 08_EC charts Oct 08_Book50_EC charts Sep 09_Charts Sep 09 (version 2)_HWL_LP" xfId="19327"/>
    <cellStyle name="_AFFORDABILITY Sept 07_Company comparison Sep 08_EC charts Oct 08_Book50_EC charts Sep 09_CKH-17" xfId="19328"/>
    <cellStyle name="_AFFORDABILITY Sept 07_Company comparison Sep 08_EC charts Oct 08_Book50_EC charts Sep 09_HWL_LP" xfId="19329"/>
    <cellStyle name="_AFFORDABILITY Sept 07_Company comparison Sep 08_EC charts Oct 08_Book50_HWL_LP" xfId="19330"/>
    <cellStyle name="_AFFORDABILITY Sept 07_Company comparison Sep 08_EC charts Oct 08_CKH-17" xfId="19331"/>
    <cellStyle name="_AFFORDABILITY Sept 07_Company comparison Sep 08_EC charts Oct 08_EC charts Sep 09" xfId="19332"/>
    <cellStyle name="_AFFORDABILITY Sept 07_Company comparison Sep 08_EC charts Oct 08_EC charts Sep 09_Charts Sep 09 (version 2)" xfId="19333"/>
    <cellStyle name="_AFFORDABILITY Sept 07_Company comparison Sep 08_EC charts Oct 08_EC charts Sep 09_Charts Sep 09 (version 2)_CKH-17" xfId="19334"/>
    <cellStyle name="_AFFORDABILITY Sept 07_Company comparison Sep 08_EC charts Oct 08_EC charts Sep 09_Charts Sep 09 (version 2)_HWL_LP" xfId="19335"/>
    <cellStyle name="_AFFORDABILITY Sept 07_Company comparison Sep 08_EC charts Oct 08_EC charts Sep 09_CKH-17" xfId="19336"/>
    <cellStyle name="_AFFORDABILITY Sept 07_Company comparison Sep 08_EC charts Oct 08_EC charts Sep 09_HWL_LP" xfId="19337"/>
    <cellStyle name="_AFFORDABILITY Sept 07_Company comparison Sep 08_EC charts Oct 08_HWL_LP" xfId="19338"/>
    <cellStyle name="_AFFORDABILITY Sept 07_Company comparison Sep 08_HK developers weighted average share price vs ppty market May 09" xfId="19339"/>
    <cellStyle name="_AFFORDABILITY Sept 07_Company comparison Sep 08_HK developers weighted average share price vs ppty market May 09_CKH-17" xfId="19340"/>
    <cellStyle name="_AFFORDABILITY Sept 07_Company comparison Sep 08_HK developers weighted average share price vs ppty market May 09_HWL_LP" xfId="19341"/>
    <cellStyle name="_AFFORDABILITY Sept 07_Company comparison Sep 08_HK Property data July 09" xfId="19342"/>
    <cellStyle name="_AFFORDABILITY Sept 07_Company comparison Sep 08_HK Property data July 09_CKH-17" xfId="19343"/>
    <cellStyle name="_AFFORDABILITY Sept 07_Company comparison Sep 08_HK Property data July 09_HWL_LP" xfId="19344"/>
    <cellStyle name="_AFFORDABILITY Sept 07_Company comparison Sep 08_HK Resi 10 outlook chts" xfId="19345"/>
    <cellStyle name="_AFFORDABILITY Sept 07_Company comparison Sep 08_HK Resi 10 outlook chts_CKH-17" xfId="19346"/>
    <cellStyle name="_AFFORDABILITY Sept 07_Company comparison Sep 08_HK Resi 10 outlook chts_HWL_LP" xfId="19347"/>
    <cellStyle name="_AFFORDABILITY Sept 07_Company comparison Sep 08_HONG KONG PER" xfId="19348"/>
    <cellStyle name="_AFFORDABILITY Sept 07_Company comparison Sep 08_HONG KONG PER_Book50" xfId="19349"/>
    <cellStyle name="_AFFORDABILITY Sept 07_Company comparison Sep 08_HONG KONG PER_Book50_CKH-17" xfId="19350"/>
    <cellStyle name="_AFFORDABILITY Sept 07_Company comparison Sep 08_HONG KONG PER_Book50_EC charts Sep 09" xfId="19351"/>
    <cellStyle name="_AFFORDABILITY Sept 07_Company comparison Sep 08_HONG KONG PER_Book50_EC charts Sep 09_Charts Sep 09 (version 2)" xfId="19352"/>
    <cellStyle name="_AFFORDABILITY Sept 07_Company comparison Sep 08_HONG KONG PER_Book50_EC charts Sep 09_Charts Sep 09 (version 2)_CKH-17" xfId="19353"/>
    <cellStyle name="_AFFORDABILITY Sept 07_Company comparison Sep 08_HONG KONG PER_Book50_EC charts Sep 09_Charts Sep 09 (version 2)_HWL_LP" xfId="19354"/>
    <cellStyle name="_AFFORDABILITY Sept 07_Company comparison Sep 08_HONG KONG PER_Book50_EC charts Sep 09_CKH-17" xfId="19355"/>
    <cellStyle name="_AFFORDABILITY Sept 07_Company comparison Sep 08_HONG KONG PER_Book50_EC charts Sep 09_HWL_LP" xfId="19356"/>
    <cellStyle name="_AFFORDABILITY Sept 07_Company comparison Sep 08_HONG KONG PER_Book50_HWL_LP" xfId="19357"/>
    <cellStyle name="_AFFORDABILITY Sept 07_Company comparison Sep 08_HONG KONG PER_CKH-17" xfId="19358"/>
    <cellStyle name="_AFFORDABILITY Sept 07_Company comparison Sep 08_HONG KONG PER_EC charts Sep 09" xfId="19359"/>
    <cellStyle name="_AFFORDABILITY Sept 07_Company comparison Sep 08_HONG KONG PER_EC charts Sep 09_Charts Sep 09 (version 2)" xfId="19360"/>
    <cellStyle name="_AFFORDABILITY Sept 07_Company comparison Sep 08_HONG KONG PER_EC charts Sep 09_Charts Sep 09 (version 2)_CKH-17" xfId="19361"/>
    <cellStyle name="_AFFORDABILITY Sept 07_Company comparison Sep 08_HONG KONG PER_EC charts Sep 09_Charts Sep 09 (version 2)_HWL_LP" xfId="19362"/>
    <cellStyle name="_AFFORDABILITY Sept 07_Company comparison Sep 08_HONG KONG PER_EC charts Sep 09_CKH-17" xfId="19363"/>
    <cellStyle name="_AFFORDABILITY Sept 07_Company comparison Sep 08_HONG KONG PER_EC charts Sep 09_HWL_LP" xfId="19364"/>
    <cellStyle name="_AFFORDABILITY Sept 07_Company comparison Sep 08_HONG KONG PER_HWL_LP" xfId="19365"/>
    <cellStyle name="_AFFORDABILITY Sept 07_Company comparison Sep 08_HWL_LP" xfId="19366"/>
    <cellStyle name="_AFFORDABILITY Sept 07_Company comparison Sep 08_Mirae - CH Prop NAV breakdown (Francis Chan)" xfId="19367"/>
    <cellStyle name="_AFFORDABILITY Sept 07_Company comparison Sep 08_Mirae - CH Prop NAV breakdown (Francis Chan)_Charts for HK update May 09" xfId="19368"/>
    <cellStyle name="_AFFORDABILITY Sept 07_Company comparison Sep 08_Mirae - CH Prop NAV breakdown (Francis Chan)_Charts for HK update May 09_Charts Sep 09 (version 2)" xfId="19369"/>
    <cellStyle name="_AFFORDABILITY Sept 07_Company comparison Sep 08_Mirae - CH Prop NAV breakdown (Francis Chan)_Charts for HK update May 09_Charts Sep 09 (version 2)_CKH-17" xfId="19370"/>
    <cellStyle name="_AFFORDABILITY Sept 07_Company comparison Sep 08_Mirae - CH Prop NAV breakdown (Francis Chan)_Charts for HK update May 09_Charts Sep 09 (version 2)_HWL_LP" xfId="19371"/>
    <cellStyle name="_AFFORDABILITY Sept 07_Company comparison Sep 08_Mirae - CH Prop NAV breakdown (Francis Chan)_Charts for HK update May 09_CKH-17" xfId="19372"/>
    <cellStyle name="_AFFORDABILITY Sept 07_Company comparison Sep 08_Mirae - CH Prop NAV breakdown (Francis Chan)_Charts for HK update May 09_HWL_LP" xfId="19373"/>
    <cellStyle name="_AFFORDABILITY Sept 07_Company comparison Sep 08_Mirae - CH Prop NAV breakdown (Francis Chan)_CKH-17" xfId="19374"/>
    <cellStyle name="_AFFORDABILITY Sept 07_Company comparison Sep 08_Mirae - CH Prop NAV breakdown (Francis Chan)_EC charts Sep 09" xfId="19375"/>
    <cellStyle name="_AFFORDABILITY Sept 07_Company comparison Sep 08_Mirae - CH Prop NAV breakdown (Francis Chan)_EC charts Sep 09_Charts Sep 09 (version 2)" xfId="19376"/>
    <cellStyle name="_AFFORDABILITY Sept 07_Company comparison Sep 08_Mirae - CH Prop NAV breakdown (Francis Chan)_EC charts Sep 09_Charts Sep 09 (version 2)_CKH-17" xfId="19377"/>
    <cellStyle name="_AFFORDABILITY Sept 07_Company comparison Sep 08_Mirae - CH Prop NAV breakdown (Francis Chan)_EC charts Sep 09_Charts Sep 09 (version 2)_HWL_LP" xfId="19378"/>
    <cellStyle name="_AFFORDABILITY Sept 07_Company comparison Sep 08_Mirae - CH Prop NAV breakdown (Francis Chan)_EC charts Sep 09_CKH-17" xfId="19379"/>
    <cellStyle name="_AFFORDABILITY Sept 07_Company comparison Sep 08_Mirae - CH Prop NAV breakdown (Francis Chan)_EC charts Sep 09_HWL_LP" xfId="19380"/>
    <cellStyle name="_AFFORDABILITY Sept 07_Company comparison Sep 08_Mirae - CH Prop NAV breakdown (Francis Chan)_HWL_LP" xfId="19381"/>
    <cellStyle name="_AFFORDABILITY Sept 07_Company comparison Sep 08_RESIDENTIAL SUPPLY 2009-2010" xfId="19382"/>
    <cellStyle name="_AFFORDABILITY Sept 07_Company comparison Sep 08_RESIDENTIAL SUPPLY 2009-2010_CKH-17" xfId="19383"/>
    <cellStyle name="_AFFORDABILITY Sept 07_Company comparison Sep 08_RESIDENTIAL SUPPLY 2009-2010_HWL_LP" xfId="19384"/>
    <cellStyle name="_AFFORDABILITY Sept 07_devs vs resi index hk Dec 08" xfId="19385"/>
    <cellStyle name="_AFFORDABILITY Sept 07_devs vs resi index hk Dec 08_Charts for HK update May 09" xfId="19386"/>
    <cellStyle name="_AFFORDABILITY Sept 07_devs vs resi index hk Dec 08_Charts for HK update May 09_Charts Sep 09 (version 2)" xfId="19387"/>
    <cellStyle name="_AFFORDABILITY Sept 07_devs vs resi index hk Dec 08_Charts for HK update May 09_Charts Sep 09 (version 2)_CKH-17" xfId="19388"/>
    <cellStyle name="_AFFORDABILITY Sept 07_devs vs resi index hk Dec 08_Charts for HK update May 09_CKH-17" xfId="19389"/>
    <cellStyle name="_AFFORDABILITY Sept 07_devs vs resi index hk Dec 08_CKH-17" xfId="19390"/>
    <cellStyle name="_AFFORDABILITY Sept 07_devs vs resi index hk Dec 08_EC charts Sep 09" xfId="19391"/>
    <cellStyle name="_AFFORDABILITY Sept 07_devs vs resi index hk Dec 08_EC charts Sep 09_Charts Sep 09 (version 2)" xfId="19392"/>
    <cellStyle name="_AFFORDABILITY Sept 07_devs vs resi index hk Dec 08_EC charts Sep 09_Charts Sep 09 (version 2)_CKH-17" xfId="19393"/>
    <cellStyle name="_AFFORDABILITY Sept 07_devs vs resi index hk Dec 08_EC charts Sep 09_CKH-17" xfId="19394"/>
    <cellStyle name="_AFFORDABILITY Sept 07_devs vs resi index hk Dec 08_HWL_LP" xfId="19395"/>
    <cellStyle name="_AFFORDABILITY Sept 07_EC charts Oct 08" xfId="19396"/>
    <cellStyle name="_AFFORDABILITY Sept 07_EC charts Oct 08_Book50" xfId="19397"/>
    <cellStyle name="_AFFORDABILITY Sept 07_EC charts Oct 08_Book50_CKH-17" xfId="19398"/>
    <cellStyle name="_AFFORDABILITY Sept 07_EC charts Oct 08_Book50_EC charts Sep 09" xfId="19399"/>
    <cellStyle name="_AFFORDABILITY Sept 07_EC charts Oct 08_Book50_EC charts Sep 09_Charts Sep 09 (version 2)" xfId="19400"/>
    <cellStyle name="_AFFORDABILITY Sept 07_EC charts Oct 08_Book50_EC charts Sep 09_Charts Sep 09 (version 2)_CKH-17" xfId="19401"/>
    <cellStyle name="_AFFORDABILITY Sept 07_EC charts Oct 08_Book50_EC charts Sep 09_CKH-17" xfId="19402"/>
    <cellStyle name="_AFFORDABILITY Sept 07_EC charts Oct 08_Charts for HK update May 09" xfId="19403"/>
    <cellStyle name="_AFFORDABILITY Sept 07_EC charts Oct 08_Charts for HK update May 09_Charts Sep 09 (version 2)" xfId="19404"/>
    <cellStyle name="_AFFORDABILITY Sept 07_EC charts Oct 08_Charts for HK update May 09_Charts Sep 09 (version 2)_CKH-17" xfId="19405"/>
    <cellStyle name="_AFFORDABILITY Sept 07_EC charts Oct 08_Charts for HK update May 09_CKH-17" xfId="19406"/>
    <cellStyle name="_AFFORDABILITY Sept 07_EC charts Oct 08_charts Jun 09" xfId="19407"/>
    <cellStyle name="_AFFORDABILITY Sept 07_EC charts Oct 08_charts Jun 09_Charts for HK update May 09" xfId="19408"/>
    <cellStyle name="_AFFORDABILITY Sept 07_EC charts Oct 08_charts Jun 09_Charts for HK update May 09_Charts Sep 09 (version 2)" xfId="19409"/>
    <cellStyle name="_AFFORDABILITY Sept 07_EC charts Oct 08_charts Jun 09_Charts for HK update May 09_Charts Sep 09 (version 2)_CKH-17" xfId="19410"/>
    <cellStyle name="_AFFORDABILITY Sept 07_EC charts Oct 08_charts Jun 09_Charts for HK update May 09_CKH-17" xfId="19411"/>
    <cellStyle name="_AFFORDABILITY Sept 07_EC charts Oct 08_charts Jun 09_CKH-17" xfId="19412"/>
    <cellStyle name="_AFFORDABILITY Sept 07_EC charts Oct 08_charts Jun 09_EC charts Sep 09" xfId="19413"/>
    <cellStyle name="_AFFORDABILITY Sept 07_EC charts Oct 08_charts Jun 09_EC charts Sep 09_Charts Sep 09 (version 2)" xfId="19414"/>
    <cellStyle name="_AFFORDABILITY Sept 07_EC charts Oct 08_charts Jun 09_EC charts Sep 09_Charts Sep 09 (version 2)_CKH-17" xfId="19415"/>
    <cellStyle name="_AFFORDABILITY Sept 07_EC charts Oct 08_charts Jun 09_EC charts Sep 09_CKH-17" xfId="19416"/>
    <cellStyle name="_AFFORDABILITY Sept 07_EC charts Oct 08_China outlook 2010 charts and tables " xfId="19417"/>
    <cellStyle name="_AFFORDABILITY Sept 07_EC charts Oct 08_China outlook 2010 charts and tables _Charts Sep 09 (version 2)" xfId="19418"/>
    <cellStyle name="_AFFORDABILITY Sept 07_EC charts Oct 08_China outlook 2010 charts and tables _Charts Sep 09 (version 2)_CKH-17" xfId="19419"/>
    <cellStyle name="_AFFORDABILITY Sept 07_EC charts Oct 08_China outlook 2010 charts and tables _CKH-17" xfId="19420"/>
    <cellStyle name="_AFFORDABILITY Sept 07_EC charts Oct 08_CKH-17" xfId="19421"/>
    <cellStyle name="_AFFORDABILITY Sept 07_EC charts Oct 08_EC charts Sep 09" xfId="19422"/>
    <cellStyle name="_AFFORDABILITY Sept 07_EC charts Oct 08_EC charts Sep 09_Charts Sep 09 (version 2)" xfId="19423"/>
    <cellStyle name="_AFFORDABILITY Sept 07_EC charts Oct 08_EC charts Sep 09_Charts Sep 09 (version 2)_CKH-17" xfId="19424"/>
    <cellStyle name="_AFFORDABILITY Sept 07_EC charts Oct 08_EC charts Sep 09_CKH-17" xfId="19425"/>
    <cellStyle name="_AFFORDABILITY Sept 07_HK developers weighted average share price vs ppty market May 09" xfId="19426"/>
    <cellStyle name="_AFFORDABILITY Sept 07_HK developers weighted average share price vs ppty market May 09_CKH-17" xfId="19427"/>
    <cellStyle name="_AFFORDABILITY Sept 07_HK Devs Peak to trough 2010 Outlook" xfId="19428"/>
    <cellStyle name="_AFFORDABILITY Sept 07_HK Devs Peak to trough 2010 Outlook_CKH-17" xfId="19429"/>
    <cellStyle name="_AFFORDABILITY Sept 07_HK Property Charts Apr 09" xfId="19430"/>
    <cellStyle name="_AFFORDABILITY Sept 07_HK Property Charts Apr 09_CKH-17" xfId="19431"/>
    <cellStyle name="_AFFORDABILITY Sept 07_HK Property data July 09" xfId="19432"/>
    <cellStyle name="_AFFORDABILITY Sept 07_HK Property data July 09_CKH-17" xfId="19433"/>
    <cellStyle name="_AFFORDABILITY Sept 07_HK Resi 10 outlook chts" xfId="19434"/>
    <cellStyle name="_AFFORDABILITY Sept 07_HK Resi 10 outlook chts_CKH-17" xfId="19435"/>
    <cellStyle name="_AFFORDABILITY Sept 07_HONG KONG PER" xfId="19436"/>
    <cellStyle name="_AFFORDABILITY Sept 07_HONG KONG PER_Book50" xfId="19437"/>
    <cellStyle name="_AFFORDABILITY Sept 07_HONG KONG PER_Book50_CKH-17" xfId="19438"/>
    <cellStyle name="_AFFORDABILITY Sept 07_HONG KONG PER_Book50_EC charts Sep 09" xfId="19439"/>
    <cellStyle name="_AFFORDABILITY Sept 07_HONG KONG PER_Book50_EC charts Sep 09_Charts Sep 09 (version 2)" xfId="19440"/>
    <cellStyle name="_AFFORDABILITY Sept 07_HONG KONG PER_Book50_EC charts Sep 09_Charts Sep 09 (version 2)_CKH-17" xfId="19441"/>
    <cellStyle name="_AFFORDABILITY Sept 07_HONG KONG PER_Book50_EC charts Sep 09_CKH-17" xfId="19442"/>
    <cellStyle name="_AFFORDABILITY Sept 07_HONG KONG PER_CKH-17" xfId="19443"/>
    <cellStyle name="_AFFORDABILITY Sept 07_HONG KONG PER_EC charts Sep 09" xfId="19444"/>
    <cellStyle name="_AFFORDABILITY Sept 07_HONG KONG PER_EC charts Sep 09_Charts Sep 09 (version 2)" xfId="19445"/>
    <cellStyle name="_AFFORDABILITY Sept 07_HONG KONG PER_EC charts Sep 09_Charts Sep 09 (version 2)_CKH-17" xfId="19446"/>
    <cellStyle name="_AFFORDABILITY Sept 07_HONG KONG PER_EC charts Sep 09_CKH-17" xfId="19447"/>
    <cellStyle name="_AFFORDABILITY Sept 07_HWL_LP" xfId="19448"/>
    <cellStyle name="_AFFORDABILITY Sept 07_Mirae - CH Prop NAV breakdown (Francis Chan)" xfId="19449"/>
    <cellStyle name="_AFFORDABILITY Sept 07_Mirae - CH Prop NAV breakdown (Francis Chan)_Charts for HK update May 09" xfId="19450"/>
    <cellStyle name="_AFFORDABILITY Sept 07_Mirae - CH Prop NAV breakdown (Francis Chan)_Charts for HK update May 09_Charts Sep 09 (version 2)" xfId="19451"/>
    <cellStyle name="_AFFORDABILITY Sept 07_Mirae - CH Prop NAV breakdown (Francis Chan)_Charts for HK update May 09_Charts Sep 09 (version 2)_CKH-17" xfId="19452"/>
    <cellStyle name="_AFFORDABILITY Sept 07_Mirae - CH Prop NAV breakdown (Francis Chan)_Charts for HK update May 09_CKH-17" xfId="19453"/>
    <cellStyle name="_AFFORDABILITY Sept 07_Mirae - CH Prop NAV breakdown (Francis Chan)_CKH-17" xfId="19454"/>
    <cellStyle name="_AFFORDABILITY Sept 07_Mirae - CH Prop NAV breakdown (Francis Chan)_EC charts Sep 09" xfId="19455"/>
    <cellStyle name="_AFFORDABILITY Sept 07_Mirae - CH Prop NAV breakdown (Francis Chan)_EC charts Sep 09_Charts Sep 09 (version 2)" xfId="19456"/>
    <cellStyle name="_AFFORDABILITY Sept 07_Mirae - CH Prop NAV breakdown (Francis Chan)_EC charts Sep 09_Charts Sep 09 (version 2)_CKH-17" xfId="19457"/>
    <cellStyle name="_AFFORDABILITY Sept 07_Mirae - CH Prop NAV breakdown (Francis Chan)_EC charts Sep 09_CKH-17" xfId="19458"/>
    <cellStyle name="_AFFORDABILITY Sept 07_RESIDENTIAL SUPPLY 2009-2010" xfId="19459"/>
    <cellStyle name="_AFFORDABILITY Sept 07_RESIDENTIAL SUPPLY 2009-2010_CKH-17" xfId="19460"/>
    <cellStyle name="_amoy_20greenlight" xfId="19461"/>
    <cellStyle name="_ANGANG 00347 2" xfId="19462"/>
    <cellStyle name="_ANGANG 00347_Chin Steel Industry_Master output 2" xfId="19463"/>
    <cellStyle name="_ANGANG 00347_China_Steel_Industry_Master_Sheet 2" xfId="19464"/>
    <cellStyle name="_ANGANG 00347_Copy of China Steel Industry data (hubert) 2" xfId="19465"/>
    <cellStyle name="_ANGANG 00347_Copy of China steel output 2" xfId="19466"/>
    <cellStyle name="_ANGANG 00347_monthly Crude by L&amp;M mills-1 2" xfId="19467"/>
    <cellStyle name="_ANGANG 00347_monthly imp raw data-1 2" xfId="19468"/>
    <cellStyle name="_ANGANG 00347_Monthly products by L&amp;M mills-1 2" xfId="19469"/>
    <cellStyle name="_ANGANG 00347_steel category monthly outp-1 2" xfId="19470"/>
    <cellStyle name="_ANGANG 00347_steel master file backup 2" xfId="19471"/>
    <cellStyle name="_Ann" xfId="19472"/>
    <cellStyle name="_Ann 2" xfId="19473"/>
    <cellStyle name="_April 09 earnings changes" xfId="19474"/>
    <cellStyle name="_April 09 earnings changes_Charts Sep 09 (version 2)" xfId="19475"/>
    <cellStyle name="_April 09 earnings changes_Charts Sep 09 (version 2)_CKH-17" xfId="19476"/>
    <cellStyle name="_April 09 earnings changes_CKH-17" xfId="19477"/>
    <cellStyle name="_Asiatic PE Band-200703" xfId="19478"/>
    <cellStyle name="_Asiatic PE Band-200703 2" xfId="19479"/>
    <cellStyle name="_Asiatic-EM" xfId="19480"/>
    <cellStyle name="_Asiatic-EM 2" xfId="19481"/>
    <cellStyle name="_Book1 2" xfId="19482"/>
    <cellStyle name="_Book11 2" xfId="19483"/>
    <cellStyle name="_Book11_Chin Steel Industry_Master output 2" xfId="19484"/>
    <cellStyle name="_Book11_China_Steel_Industry_Master_Sheet 2" xfId="19485"/>
    <cellStyle name="_Book11_Copy of China Steel Industry data (hubert) 2" xfId="19486"/>
    <cellStyle name="_Book11_Copy of China steel output 2" xfId="19487"/>
    <cellStyle name="_Book11_monthly Crude by L&amp;M mills-1 2" xfId="19488"/>
    <cellStyle name="_Book11_monthly imp raw data-1 2" xfId="19489"/>
    <cellStyle name="_Book11_Monthly products by L&amp;M mills-1 2" xfId="19490"/>
    <cellStyle name="_Book11_steel category monthly outp-1 2" xfId="19491"/>
    <cellStyle name="_Book11_steel master file backup 2" xfId="19492"/>
    <cellStyle name="_Book14" xfId="19493"/>
    <cellStyle name="_Book14_CC charts and tables Oct 08" xfId="19494"/>
    <cellStyle name="_Book14_CC charts and tables Oct 08_CKH-17" xfId="19495"/>
    <cellStyle name="_Book14_CEIC_PROPERTY PRICE  RENTAL INDEX Feb 09 " xfId="19496"/>
    <cellStyle name="_Book14_CEIC_PROPERTY PRICE  RENTAL INDEX Feb 09 _CKH-17" xfId="19497"/>
    <cellStyle name="_Book14_charts Jun 09" xfId="19498"/>
    <cellStyle name="_Book14_charts Jun 09_Charts for HK update May 09" xfId="19499"/>
    <cellStyle name="_Book14_charts Jun 09_Charts for HK update May 09_Charts Sep 09 (version 2)" xfId="19500"/>
    <cellStyle name="_Book14_charts Jun 09_Charts for HK update May 09_Charts Sep 09 (version 2)_CKH-17" xfId="19501"/>
    <cellStyle name="_Book14_charts Jun 09_Charts for HK update May 09_CKH-17" xfId="19502"/>
    <cellStyle name="_Book14_charts Jun 09_CKH-17" xfId="19503"/>
    <cellStyle name="_Book14_charts Jun 09_EC charts Sep 09" xfId="19504"/>
    <cellStyle name="_Book14_charts Jun 09_EC charts Sep 09_Charts Sep 09 (version 2)" xfId="19505"/>
    <cellStyle name="_Book14_charts Jun 09_EC charts Sep 09_Charts Sep 09 (version 2)_CKH-17" xfId="19506"/>
    <cellStyle name="_Book14_charts Jun 09_EC charts Sep 09_CKH-17" xfId="19507"/>
    <cellStyle name="_Book14_Charts Sep 09 (version 2)" xfId="19508"/>
    <cellStyle name="_Book14_Charts Sep 09 (version 2)_CKH-17" xfId="19509"/>
    <cellStyle name="_Book14_CKH-17" xfId="19510"/>
    <cellStyle name="_Book14_devs vs resi index hk Dec 08" xfId="19511"/>
    <cellStyle name="_Book14_devs vs resi index hk Dec 08_Charts for HK update May 09" xfId="19512"/>
    <cellStyle name="_Book14_devs vs resi index hk Dec 08_Charts for HK update May 09_Charts Sep 09 (version 2)" xfId="19513"/>
    <cellStyle name="_Book14_devs vs resi index hk Dec 08_Charts for HK update May 09_Charts Sep 09 (version 2)_CKH-17" xfId="19514"/>
    <cellStyle name="_Book14_devs vs resi index hk Dec 08_Charts for HK update May 09_CKH-17" xfId="19515"/>
    <cellStyle name="_Book14_devs vs resi index hk Dec 08_CKH-17" xfId="19516"/>
    <cellStyle name="_Book14_devs vs resi index hk Dec 08_EC charts Sep 09" xfId="19517"/>
    <cellStyle name="_Book14_devs vs resi index hk Dec 08_EC charts Sep 09_Charts Sep 09 (version 2)" xfId="19518"/>
    <cellStyle name="_Book14_devs vs resi index hk Dec 08_EC charts Sep 09_Charts Sep 09 (version 2)_CKH-17" xfId="19519"/>
    <cellStyle name="_Book14_devs vs resi index hk Dec 08_EC charts Sep 09_CKH-17" xfId="19520"/>
    <cellStyle name="_Book14_EC charts Oct 08" xfId="19521"/>
    <cellStyle name="_Book14_EC charts Oct 08_Book50" xfId="19522"/>
    <cellStyle name="_Book14_EC charts Oct 08_Book50_CKH-17" xfId="19523"/>
    <cellStyle name="_Book14_EC charts Oct 08_Book50_EC charts Sep 09" xfId="19524"/>
    <cellStyle name="_Book14_EC charts Oct 08_Book50_EC charts Sep 09_Charts Sep 09 (version 2)" xfId="19525"/>
    <cellStyle name="_Book14_EC charts Oct 08_Book50_EC charts Sep 09_Charts Sep 09 (version 2)_CKH-17" xfId="19526"/>
    <cellStyle name="_Book14_EC charts Oct 08_Book50_EC charts Sep 09_CKH-17" xfId="19527"/>
    <cellStyle name="_Book14_EC charts Oct 08_CKH-17" xfId="19528"/>
    <cellStyle name="_Book14_EC charts Oct 08_EC charts Sep 09" xfId="19529"/>
    <cellStyle name="_Book14_EC charts Oct 08_EC charts Sep 09_Charts Sep 09 (version 2)" xfId="19530"/>
    <cellStyle name="_Book14_EC charts Oct 08_EC charts Sep 09_Charts Sep 09 (version 2)_CKH-17" xfId="19531"/>
    <cellStyle name="_Book14_EC charts Oct 08_EC charts Sep 09_CKH-17" xfId="19532"/>
    <cellStyle name="_Book14_HK developers weighted average share price vs ppty market May 09" xfId="19533"/>
    <cellStyle name="_Book14_HK developers weighted average share price vs ppty market May 09_CKH-17" xfId="19534"/>
    <cellStyle name="_Book14_HK Devs Peak to trough 2010 Outlook" xfId="19535"/>
    <cellStyle name="_Book14_HK Devs Peak to trough 2010 Outlook_CKH-17" xfId="19536"/>
    <cellStyle name="_Book14_HK Property data July 09" xfId="19537"/>
    <cellStyle name="_Book14_HK Property data July 09_CKH-17" xfId="19538"/>
    <cellStyle name="_Book14_HK Resi 10 outlook chts" xfId="19539"/>
    <cellStyle name="_Book14_HK Resi 10 outlook chts_CKH-17" xfId="19540"/>
    <cellStyle name="_Book14_HONG KONG PER" xfId="19541"/>
    <cellStyle name="_Book14_HONG KONG PER_Book50" xfId="19542"/>
    <cellStyle name="_Book14_HONG KONG PER_Book50_CKH-17" xfId="19543"/>
    <cellStyle name="_Book14_HONG KONG PER_Book50_EC charts Sep 09" xfId="19544"/>
    <cellStyle name="_Book14_HONG KONG PER_Book50_EC charts Sep 09_Charts Sep 09 (version 2)" xfId="19545"/>
    <cellStyle name="_Book14_HONG KONG PER_Book50_EC charts Sep 09_Charts Sep 09 (version 2)_CKH-17" xfId="19546"/>
    <cellStyle name="_Book14_HONG KONG PER_Book50_EC charts Sep 09_CKH-17" xfId="19547"/>
    <cellStyle name="_Book14_HONG KONG PER_CKH-17" xfId="19548"/>
    <cellStyle name="_Book14_HONG KONG PER_EC charts Sep 09" xfId="19549"/>
    <cellStyle name="_Book14_HONG KONG PER_EC charts Sep 09_Charts Sep 09 (version 2)" xfId="19550"/>
    <cellStyle name="_Book14_HONG KONG PER_EC charts Sep 09_Charts Sep 09 (version 2)_CKH-17" xfId="19551"/>
    <cellStyle name="_Book14_HONG KONG PER_EC charts Sep 09_CKH-17" xfId="19552"/>
    <cellStyle name="_Book14_RESIDENTIAL SUPPLY 2009-2010" xfId="19553"/>
    <cellStyle name="_Book14_RESIDENTIAL SUPPLY 2009-2010_CKH-17" xfId="19554"/>
    <cellStyle name="_Book28" xfId="19555"/>
    <cellStyle name="_Book28 2" xfId="19556"/>
    <cellStyle name="_Book4" xfId="19557"/>
    <cellStyle name="_Book4_08 Outlook Charts Oct 07 " xfId="19558"/>
    <cellStyle name="_Book4_08 Outlook Charts Oct 07 _Book4" xfId="19559"/>
    <cellStyle name="_Book4_08 Outlook Charts Oct 07 _Book4_Charts Sep 09 (version 2)" xfId="19560"/>
    <cellStyle name="_Book4_08 Outlook Charts Oct 07 _Book4_Charts Sep 09 (version 2)_CKH-17" xfId="19561"/>
    <cellStyle name="_Book4_08 Outlook Charts Oct 07 _Book4_CKH-17" xfId="19562"/>
    <cellStyle name="_Book4_08 Outlook Charts Oct 07 _CC charts and tables Oct 08" xfId="19563"/>
    <cellStyle name="_Book4_08 Outlook Charts Oct 07 _CC charts and tables Oct 08_CKH-17" xfId="19564"/>
    <cellStyle name="_Book4_08 Outlook Charts Oct 07 _CEIC_PROPERTY PRICE  RENTAL INDEX Feb 09 " xfId="19565"/>
    <cellStyle name="_Book4_08 Outlook Charts Oct 07 _CEIC_PROPERTY PRICE  RENTAL INDEX Feb 09 _CKH-17" xfId="19566"/>
    <cellStyle name="_Book4_08 Outlook Charts Oct 07 _charts Jun 09" xfId="19567"/>
    <cellStyle name="_Book4_08 Outlook Charts Oct 07 _charts Jun 09_Charts for HK update May 09" xfId="19568"/>
    <cellStyle name="_Book4_08 Outlook Charts Oct 07 _charts Jun 09_Charts for HK update May 09_Charts Sep 09 (version 2)" xfId="19569"/>
    <cellStyle name="_Book4_08 Outlook Charts Oct 07 _charts Jun 09_Charts for HK update May 09_Charts Sep 09 (version 2)_CKH-17" xfId="19570"/>
    <cellStyle name="_Book4_08 Outlook Charts Oct 07 _charts Jun 09_Charts for HK update May 09_CKH-17" xfId="19571"/>
    <cellStyle name="_Book4_08 Outlook Charts Oct 07 _charts Jun 09_CKH-17" xfId="19572"/>
    <cellStyle name="_Book4_08 Outlook Charts Oct 07 _charts Jun 09_EC charts Sep 09" xfId="19573"/>
    <cellStyle name="_Book4_08 Outlook Charts Oct 07 _charts Jun 09_EC charts Sep 09_Charts Sep 09 (version 2)" xfId="19574"/>
    <cellStyle name="_Book4_08 Outlook Charts Oct 07 _charts Jun 09_EC charts Sep 09_Charts Sep 09 (version 2)_CKH-17" xfId="19575"/>
    <cellStyle name="_Book4_08 Outlook Charts Oct 07 _charts Jun 09_EC charts Sep 09_CKH-17" xfId="19576"/>
    <cellStyle name="_Book4_08 Outlook Charts Oct 07 _Charts Sep 09 (version 2)" xfId="19577"/>
    <cellStyle name="_Book4_08 Outlook Charts Oct 07 _Charts Sep 09 (version 2)_CKH-17" xfId="19578"/>
    <cellStyle name="_Book4_08 Outlook Charts Oct 07 _China update table and charts Sep 08" xfId="19579"/>
    <cellStyle name="_Book4_08 Outlook Charts Oct 07 _China update table and charts Sep 08_Charts Sep 09 (version 2)" xfId="19580"/>
    <cellStyle name="_Book4_08 Outlook Charts Oct 07 _China update table and charts Sep 08_Charts Sep 09 (version 2)_CKH-17" xfId="19581"/>
    <cellStyle name="_Book4_08 Outlook Charts Oct 07 _China update table and charts Sep 08_CKH-17" xfId="19582"/>
    <cellStyle name="_Book4_08 Outlook Charts Oct 07 _CKH-17" xfId="19583"/>
    <cellStyle name="_Book4_08 Outlook Charts Oct 07 _Company comparison Sep 08" xfId="19584"/>
    <cellStyle name="_Book4_08 Outlook Charts Oct 07 _Company comparison Sep 08_Book4" xfId="19585"/>
    <cellStyle name="_Book4_08 Outlook Charts Oct 07 _Company comparison Sep 08_Book4_Charts Sep 09 (version 2)" xfId="19586"/>
    <cellStyle name="_Book4_08 Outlook Charts Oct 07 _Company comparison Sep 08_Book4_Charts Sep 09 (version 2)_CKH-17" xfId="19587"/>
    <cellStyle name="_Book4_08 Outlook Charts Oct 07 _Company comparison Sep 08_Book4_CKH-17" xfId="19588"/>
    <cellStyle name="_Book4_08 Outlook Charts Oct 07 _Company comparison Sep 08_CC charts and tables Oct 08" xfId="19589"/>
    <cellStyle name="_Book4_08 Outlook Charts Oct 07 _Company comparison Sep 08_CC charts and tables Oct 08_CKH-17" xfId="19590"/>
    <cellStyle name="_Book4_08 Outlook Charts Oct 07 _Company comparison Sep 08_CEIC_PROPERTY PRICE  RENTAL INDEX Feb 09 " xfId="19591"/>
    <cellStyle name="_Book4_08 Outlook Charts Oct 07 _Company comparison Sep 08_CEIC_PROPERTY PRICE  RENTAL INDEX Feb 09 _CKH-17" xfId="19592"/>
    <cellStyle name="_Book4_08 Outlook Charts Oct 07 _Company comparison Sep 08_charts Jun 09" xfId="19593"/>
    <cellStyle name="_Book4_08 Outlook Charts Oct 07 _Company comparison Sep 08_charts Jun 09_Charts for HK update May 09" xfId="19594"/>
    <cellStyle name="_Book4_08 Outlook Charts Oct 07 _Company comparison Sep 08_charts Jun 09_Charts for HK update May 09_Charts Sep 09 (version 2)" xfId="19595"/>
    <cellStyle name="_Book4_08 Outlook Charts Oct 07 _Company comparison Sep 08_charts Jun 09_Charts for HK update May 09_Charts Sep 09 (version 2)_CKH-17" xfId="19596"/>
    <cellStyle name="_Book4_08 Outlook Charts Oct 07 _Company comparison Sep 08_charts Jun 09_Charts for HK update May 09_CKH-17" xfId="19597"/>
    <cellStyle name="_Book4_08 Outlook Charts Oct 07 _Company comparison Sep 08_charts Jun 09_CKH-17" xfId="19598"/>
    <cellStyle name="_Book4_08 Outlook Charts Oct 07 _Company comparison Sep 08_charts Jun 09_EC charts Sep 09" xfId="19599"/>
    <cellStyle name="_Book4_08 Outlook Charts Oct 07 _Company comparison Sep 08_charts Jun 09_EC charts Sep 09_Charts Sep 09 (version 2)" xfId="19600"/>
    <cellStyle name="_Book4_08 Outlook Charts Oct 07 _Company comparison Sep 08_charts Jun 09_EC charts Sep 09_Charts Sep 09 (version 2)_CKH-17" xfId="19601"/>
    <cellStyle name="_Book4_08 Outlook Charts Oct 07 _Company comparison Sep 08_charts Jun 09_EC charts Sep 09_CKH-17" xfId="19602"/>
    <cellStyle name="_Book4_08 Outlook Charts Oct 07 _Company comparison Sep 08_Charts Sep 09 (version 2)" xfId="19603"/>
    <cellStyle name="_Book4_08 Outlook Charts Oct 07 _Company comparison Sep 08_Charts Sep 09 (version 2)_CKH-17" xfId="19604"/>
    <cellStyle name="_Book4_08 Outlook Charts Oct 07 _Company comparison Sep 08_China update table and charts Sep 08" xfId="19605"/>
    <cellStyle name="_Book4_08 Outlook Charts Oct 07 _Company comparison Sep 08_China update table and charts Sep 08_Charts Sep 09 (version 2)" xfId="19606"/>
    <cellStyle name="_Book4_08 Outlook Charts Oct 07 _Company comparison Sep 08_China update table and charts Sep 08_Charts Sep 09 (version 2)_CKH-17" xfId="19607"/>
    <cellStyle name="_Book4_08 Outlook Charts Oct 07 _Company comparison Sep 08_China update table and charts Sep 08_CKH-17" xfId="19608"/>
    <cellStyle name="_Book4_08 Outlook Charts Oct 07 _Company comparison Sep 08_CKH-17" xfId="19609"/>
    <cellStyle name="_Book4_08 Outlook Charts Oct 07 _Company comparison Sep 08_devs vs resi index hk Dec 08" xfId="19610"/>
    <cellStyle name="_Book4_08 Outlook Charts Oct 07 _Company comparison Sep 08_devs vs resi index hk Dec 08_Charts for HK update May 09" xfId="19611"/>
    <cellStyle name="_Book4_08 Outlook Charts Oct 07 _Company comparison Sep 08_devs vs resi index hk Dec 08_Charts for HK update May 09_Charts Sep 09 (version 2)" xfId="19612"/>
    <cellStyle name="_Book4_08 Outlook Charts Oct 07 _Company comparison Sep 08_devs vs resi index hk Dec 08_Charts for HK update May 09_Charts Sep 09 (version 2)_CKH-17" xfId="19613"/>
    <cellStyle name="_Book4_08 Outlook Charts Oct 07 _Company comparison Sep 08_devs vs resi index hk Dec 08_Charts for HK update May 09_CKH-17" xfId="19614"/>
    <cellStyle name="_Book4_08 Outlook Charts Oct 07 _Company comparison Sep 08_devs vs resi index hk Dec 08_CKH-17" xfId="19615"/>
    <cellStyle name="_Book4_08 Outlook Charts Oct 07 _Company comparison Sep 08_devs vs resi index hk Dec 08_EC charts Sep 09" xfId="19616"/>
    <cellStyle name="_Book4_08 Outlook Charts Oct 07 _Company comparison Sep 08_devs vs resi index hk Dec 08_EC charts Sep 09_Charts Sep 09 (version 2)" xfId="19617"/>
    <cellStyle name="_Book4_08 Outlook Charts Oct 07 _Company comparison Sep 08_devs vs resi index hk Dec 08_EC charts Sep 09_Charts Sep 09 (version 2)_CKH-17" xfId="19618"/>
    <cellStyle name="_Book4_08 Outlook Charts Oct 07 _Company comparison Sep 08_devs vs resi index hk Dec 08_EC charts Sep 09_CKH-17" xfId="19619"/>
    <cellStyle name="_Book4_08 Outlook Charts Oct 07 _Company comparison Sep 08_EC charts Oct 08" xfId="19620"/>
    <cellStyle name="_Book4_08 Outlook Charts Oct 07 _Company comparison Sep 08_EC charts Oct 08_Book50" xfId="19621"/>
    <cellStyle name="_Book4_08 Outlook Charts Oct 07 _Company comparison Sep 08_EC charts Oct 08_Book50_CKH-17" xfId="19622"/>
    <cellStyle name="_Book4_08 Outlook Charts Oct 07 _Company comparison Sep 08_EC charts Oct 08_Book50_EC charts Sep 09" xfId="19623"/>
    <cellStyle name="_Book4_08 Outlook Charts Oct 07 _Company comparison Sep 08_EC charts Oct 08_Book50_EC charts Sep 09_Charts Sep 09 (version 2)" xfId="19624"/>
    <cellStyle name="_Book4_08 Outlook Charts Oct 07 _Company comparison Sep 08_EC charts Oct 08_Book50_EC charts Sep 09_Charts Sep 09 (version 2)_CKH-17" xfId="19625"/>
    <cellStyle name="_Book4_08 Outlook Charts Oct 07 _Company comparison Sep 08_EC charts Oct 08_Book50_EC charts Sep 09_CKH-17" xfId="19626"/>
    <cellStyle name="_Book4_08 Outlook Charts Oct 07 _Company comparison Sep 08_EC charts Oct 08_CKH-17" xfId="19627"/>
    <cellStyle name="_Book4_08 Outlook Charts Oct 07 _Company comparison Sep 08_EC charts Oct 08_EC charts Sep 09" xfId="19628"/>
    <cellStyle name="_Book4_08 Outlook Charts Oct 07 _Company comparison Sep 08_EC charts Oct 08_EC charts Sep 09_Charts Sep 09 (version 2)" xfId="19629"/>
    <cellStyle name="_Book4_08 Outlook Charts Oct 07 _Company comparison Sep 08_EC charts Oct 08_EC charts Sep 09_Charts Sep 09 (version 2)_CKH-17" xfId="19630"/>
    <cellStyle name="_Book4_08 Outlook Charts Oct 07 _Company comparison Sep 08_EC charts Oct 08_EC charts Sep 09_CKH-17" xfId="19631"/>
    <cellStyle name="_Book4_08 Outlook Charts Oct 07 _Company comparison Sep 08_HK developers weighted average share price vs ppty market May 09" xfId="19632"/>
    <cellStyle name="_Book4_08 Outlook Charts Oct 07 _Company comparison Sep 08_HK developers weighted average share price vs ppty market May 09_CKH-17" xfId="19633"/>
    <cellStyle name="_Book4_08 Outlook Charts Oct 07 _Company comparison Sep 08_HK Property data July 09" xfId="19634"/>
    <cellStyle name="_Book4_08 Outlook Charts Oct 07 _Company comparison Sep 08_HK Property data July 09_CKH-17" xfId="19635"/>
    <cellStyle name="_Book4_08 Outlook Charts Oct 07 _Company comparison Sep 08_HK Resi 10 outlook chts" xfId="19636"/>
    <cellStyle name="_Book4_08 Outlook Charts Oct 07 _Company comparison Sep 08_HK Resi 10 outlook chts_CKH-17" xfId="19637"/>
    <cellStyle name="_Book4_08 Outlook Charts Oct 07 _Company comparison Sep 08_HONG KONG PER" xfId="19638"/>
    <cellStyle name="_Book4_08 Outlook Charts Oct 07 _Company comparison Sep 08_HONG KONG PER_Book50" xfId="19639"/>
    <cellStyle name="_Book4_08 Outlook Charts Oct 07 _Company comparison Sep 08_HONG KONG PER_Book50_CKH-17" xfId="19640"/>
    <cellStyle name="_Book4_08 Outlook Charts Oct 07 _Company comparison Sep 08_HONG KONG PER_Book50_EC charts Sep 09" xfId="19641"/>
    <cellStyle name="_Book4_08 Outlook Charts Oct 07 _Company comparison Sep 08_HONG KONG PER_Book50_EC charts Sep 09_Charts Sep 09 (version 2)" xfId="19642"/>
    <cellStyle name="_Book4_08 Outlook Charts Oct 07 _Company comparison Sep 08_HONG KONG PER_Book50_EC charts Sep 09_Charts Sep 09 (version 2)_CKH-17" xfId="19643"/>
    <cellStyle name="_Book4_08 Outlook Charts Oct 07 _Company comparison Sep 08_HONG KONG PER_Book50_EC charts Sep 09_CKH-17" xfId="19644"/>
    <cellStyle name="_Book4_08 Outlook Charts Oct 07 _Company comparison Sep 08_HONG KONG PER_CKH-17" xfId="19645"/>
    <cellStyle name="_Book4_08 Outlook Charts Oct 07 _Company comparison Sep 08_HONG KONG PER_EC charts Sep 09" xfId="19646"/>
    <cellStyle name="_Book4_08 Outlook Charts Oct 07 _Company comparison Sep 08_HONG KONG PER_EC charts Sep 09_Charts Sep 09 (version 2)" xfId="19647"/>
    <cellStyle name="_Book4_08 Outlook Charts Oct 07 _Company comparison Sep 08_HONG KONG PER_EC charts Sep 09_Charts Sep 09 (version 2)_CKH-17" xfId="19648"/>
    <cellStyle name="_Book4_08 Outlook Charts Oct 07 _Company comparison Sep 08_HONG KONG PER_EC charts Sep 09_CKH-17" xfId="19649"/>
    <cellStyle name="_Book4_08 Outlook Charts Oct 07 _Company comparison Sep 08_Mirae - CH Prop NAV breakdown (Francis Chan)" xfId="19650"/>
    <cellStyle name="_Book4_08 Outlook Charts Oct 07 _Company comparison Sep 08_Mirae - CH Prop NAV breakdown (Francis Chan)_Charts for HK update May 09" xfId="19651"/>
    <cellStyle name="_Book4_08 Outlook Charts Oct 07 _Company comparison Sep 08_Mirae - CH Prop NAV breakdown (Francis Chan)_Charts for HK update May 09_Charts Sep 09 (version 2)" xfId="19652"/>
    <cellStyle name="_Book4_08 Outlook Charts Oct 07 _Company comparison Sep 08_Mirae - CH Prop NAV breakdown (Francis Chan)_Charts for HK update May 09_Charts Sep 09 (version 2)_CKH-17" xfId="19653"/>
    <cellStyle name="_Book4_08 Outlook Charts Oct 07 _Company comparison Sep 08_Mirae - CH Prop NAV breakdown (Francis Chan)_Charts for HK update May 09_CKH-17" xfId="19654"/>
    <cellStyle name="_Book4_08 Outlook Charts Oct 07 _Company comparison Sep 08_Mirae - CH Prop NAV breakdown (Francis Chan)_CKH-17" xfId="19655"/>
    <cellStyle name="_Book4_08 Outlook Charts Oct 07 _Company comparison Sep 08_Mirae - CH Prop NAV breakdown (Francis Chan)_EC charts Sep 09" xfId="19656"/>
    <cellStyle name="_Book4_08 Outlook Charts Oct 07 _Company comparison Sep 08_Mirae - CH Prop NAV breakdown (Francis Chan)_EC charts Sep 09_Charts Sep 09 (version 2)" xfId="19657"/>
    <cellStyle name="_Book4_08 Outlook Charts Oct 07 _Company comparison Sep 08_Mirae - CH Prop NAV breakdown (Francis Chan)_EC charts Sep 09_Charts Sep 09 (version 2)_CKH-17" xfId="19658"/>
    <cellStyle name="_Book4_08 Outlook Charts Oct 07 _Company comparison Sep 08_Mirae - CH Prop NAV breakdown (Francis Chan)_EC charts Sep 09_CKH-17" xfId="19659"/>
    <cellStyle name="_Book4_08 Outlook Charts Oct 07 _Company comparison Sep 08_RESIDENTIAL SUPPLY 2009-2010" xfId="19660"/>
    <cellStyle name="_Book4_08 Outlook Charts Oct 07 _Company comparison Sep 08_RESIDENTIAL SUPPLY 2009-2010_CKH-17" xfId="19661"/>
    <cellStyle name="_Book4_08 Outlook Charts Oct 07 _devs vs resi index hk Dec 08" xfId="19662"/>
    <cellStyle name="_Book4_08 Outlook Charts Oct 07 _devs vs resi index hk Dec 08_Charts for HK update May 09" xfId="19663"/>
    <cellStyle name="_Book4_08 Outlook Charts Oct 07 _devs vs resi index hk Dec 08_Charts for HK update May 09_Charts Sep 09 (version 2)" xfId="19664"/>
    <cellStyle name="_Book4_08 Outlook Charts Oct 07 _devs vs resi index hk Dec 08_Charts for HK update May 09_Charts Sep 09 (version 2)_CKH-17" xfId="19665"/>
    <cellStyle name="_Book4_08 Outlook Charts Oct 07 _devs vs resi index hk Dec 08_Charts for HK update May 09_CKH-17" xfId="19666"/>
    <cellStyle name="_Book4_08 Outlook Charts Oct 07 _devs vs resi index hk Dec 08_CKH-17" xfId="19667"/>
    <cellStyle name="_Book4_08 Outlook Charts Oct 07 _devs vs resi index hk Dec 08_EC charts Sep 09" xfId="19668"/>
    <cellStyle name="_Book4_08 Outlook Charts Oct 07 _devs vs resi index hk Dec 08_EC charts Sep 09_Charts Sep 09 (version 2)" xfId="19669"/>
    <cellStyle name="_Book4_08 Outlook Charts Oct 07 _devs vs resi index hk Dec 08_EC charts Sep 09_Charts Sep 09 (version 2)_CKH-17" xfId="19670"/>
    <cellStyle name="_Book4_08 Outlook Charts Oct 07 _devs vs resi index hk Dec 08_EC charts Sep 09_CKH-17" xfId="19671"/>
    <cellStyle name="_Book4_08 Outlook Charts Oct 07 _EC charts Oct 08" xfId="19672"/>
    <cellStyle name="_Book4_08 Outlook Charts Oct 07 _EC charts Oct 08_Book50" xfId="19673"/>
    <cellStyle name="_Book4_08 Outlook Charts Oct 07 _EC charts Oct 08_Book50_CKH-17" xfId="19674"/>
    <cellStyle name="_Book4_08 Outlook Charts Oct 07 _EC charts Oct 08_Book50_EC charts Sep 09" xfId="19675"/>
    <cellStyle name="_Book4_08 Outlook Charts Oct 07 _EC charts Oct 08_Book50_EC charts Sep 09_Charts Sep 09 (version 2)" xfId="19676"/>
    <cellStyle name="_Book4_08 Outlook Charts Oct 07 _EC charts Oct 08_Book50_EC charts Sep 09_Charts Sep 09 (version 2)_CKH-17" xfId="19677"/>
    <cellStyle name="_Book4_08 Outlook Charts Oct 07 _EC charts Oct 08_Book50_EC charts Sep 09_CKH-17" xfId="19678"/>
    <cellStyle name="_Book4_08 Outlook Charts Oct 07 _EC charts Oct 08_Charts for HK update May 09" xfId="19679"/>
    <cellStyle name="_Book4_08 Outlook Charts Oct 07 _EC charts Oct 08_Charts for HK update May 09_Charts Sep 09 (version 2)" xfId="19680"/>
    <cellStyle name="_Book4_08 Outlook Charts Oct 07 _EC charts Oct 08_Charts for HK update May 09_Charts Sep 09 (version 2)_CKH-17" xfId="19681"/>
    <cellStyle name="_Book4_08 Outlook Charts Oct 07 _EC charts Oct 08_Charts for HK update May 09_CKH-17" xfId="19682"/>
    <cellStyle name="_Book4_08 Outlook Charts Oct 07 _EC charts Oct 08_charts Jun 09" xfId="19683"/>
    <cellStyle name="_Book4_08 Outlook Charts Oct 07 _EC charts Oct 08_charts Jun 09_Charts for HK update May 09" xfId="19684"/>
    <cellStyle name="_Book4_08 Outlook Charts Oct 07 _EC charts Oct 08_charts Jun 09_Charts for HK update May 09_Charts Sep 09 (version 2)" xfId="19685"/>
    <cellStyle name="_Book4_08 Outlook Charts Oct 07 _EC charts Oct 08_charts Jun 09_Charts for HK update May 09_Charts Sep 09 (version 2)_CKH-17" xfId="19686"/>
    <cellStyle name="_Book4_08 Outlook Charts Oct 07 _EC charts Oct 08_charts Jun 09_Charts for HK update May 09_CKH-17" xfId="19687"/>
    <cellStyle name="_Book4_08 Outlook Charts Oct 07 _EC charts Oct 08_charts Jun 09_CKH-17" xfId="19688"/>
    <cellStyle name="_Book4_08 Outlook Charts Oct 07 _EC charts Oct 08_charts Jun 09_EC charts Sep 09" xfId="19689"/>
    <cellStyle name="_Book4_08 Outlook Charts Oct 07 _EC charts Oct 08_charts Jun 09_EC charts Sep 09_Charts Sep 09 (version 2)" xfId="19690"/>
    <cellStyle name="_Book4_08 Outlook Charts Oct 07 _EC charts Oct 08_charts Jun 09_EC charts Sep 09_Charts Sep 09 (version 2)_CKH-17" xfId="19691"/>
    <cellStyle name="_Book4_08 Outlook Charts Oct 07 _EC charts Oct 08_charts Jun 09_EC charts Sep 09_CKH-17" xfId="19692"/>
    <cellStyle name="_Book4_08 Outlook Charts Oct 07 _EC charts Oct 08_China outlook 2010 charts and tables " xfId="19693"/>
    <cellStyle name="_Book4_08 Outlook Charts Oct 07 _EC charts Oct 08_China outlook 2010 charts and tables _Charts Sep 09 (version 2)" xfId="19694"/>
    <cellStyle name="_Book4_08 Outlook Charts Oct 07 _EC charts Oct 08_China outlook 2010 charts and tables _Charts Sep 09 (version 2)_CKH-17" xfId="19695"/>
    <cellStyle name="_Book4_08 Outlook Charts Oct 07 _EC charts Oct 08_China outlook 2010 charts and tables _CKH-17" xfId="19696"/>
    <cellStyle name="_Book4_08 Outlook Charts Oct 07 _EC charts Oct 08_CKH-17" xfId="19697"/>
    <cellStyle name="_Book4_08 Outlook Charts Oct 07 _EC charts Oct 08_EC charts Sep 09" xfId="19698"/>
    <cellStyle name="_Book4_08 Outlook Charts Oct 07 _EC charts Oct 08_EC charts Sep 09_Charts Sep 09 (version 2)" xfId="19699"/>
    <cellStyle name="_Book4_08 Outlook Charts Oct 07 _EC charts Oct 08_EC charts Sep 09_Charts Sep 09 (version 2)_CKH-17" xfId="19700"/>
    <cellStyle name="_Book4_08 Outlook Charts Oct 07 _EC charts Oct 08_EC charts Sep 09_CKH-17" xfId="19701"/>
    <cellStyle name="_Book4_08 Outlook Charts Oct 07 _HK developers weighted average share price vs ppty market May 09" xfId="19702"/>
    <cellStyle name="_Book4_08 Outlook Charts Oct 07 _HK developers weighted average share price vs ppty market May 09_CKH-17" xfId="19703"/>
    <cellStyle name="_Book4_08 Outlook Charts Oct 07 _HK Devs Peak to trough 2010 Outlook" xfId="19704"/>
    <cellStyle name="_Book4_08 Outlook Charts Oct 07 _HK Devs Peak to trough 2010 Outlook_CKH-17" xfId="19705"/>
    <cellStyle name="_Book4_08 Outlook Charts Oct 07 _HK Property Charts Apr 09" xfId="19706"/>
    <cellStyle name="_Book4_08 Outlook Charts Oct 07 _HK Property Charts Apr 09_CKH-17" xfId="19707"/>
    <cellStyle name="_Book4_08 Outlook Charts Oct 07 _HK Property data July 09" xfId="19708"/>
    <cellStyle name="_Book4_08 Outlook Charts Oct 07 _HK Property data July 09_CKH-17" xfId="19709"/>
    <cellStyle name="_Book4_08 Outlook Charts Oct 07 _HK Resi 10 outlook chts" xfId="19710"/>
    <cellStyle name="_Book4_08 Outlook Charts Oct 07 _HK Resi 10 outlook chts_CKH-17" xfId="19711"/>
    <cellStyle name="_Book4_08 Outlook Charts Oct 07 _HONG KONG PER" xfId="19712"/>
    <cellStyle name="_Book4_08 Outlook Charts Oct 07 _HONG KONG PER_Book50" xfId="19713"/>
    <cellStyle name="_Book4_08 Outlook Charts Oct 07 _HONG KONG PER_Book50_CKH-17" xfId="19714"/>
    <cellStyle name="_Book4_08 Outlook Charts Oct 07 _HONG KONG PER_Book50_EC charts Sep 09" xfId="19715"/>
    <cellStyle name="_Book4_08 Outlook Charts Oct 07 _HONG KONG PER_Book50_EC charts Sep 09_Charts Sep 09 (version 2)" xfId="19716"/>
    <cellStyle name="_Book4_08 Outlook Charts Oct 07 _HONG KONG PER_Book50_EC charts Sep 09_Charts Sep 09 (version 2)_CKH-17" xfId="19717"/>
    <cellStyle name="_Book4_08 Outlook Charts Oct 07 _HONG KONG PER_Book50_EC charts Sep 09_CKH-17" xfId="19718"/>
    <cellStyle name="_Book4_08 Outlook Charts Oct 07 _HONG KONG PER_CKH-17" xfId="19719"/>
    <cellStyle name="_Book4_08 Outlook Charts Oct 07 _HONG KONG PER_EC charts Sep 09" xfId="19720"/>
    <cellStyle name="_Book4_08 Outlook Charts Oct 07 _HONG KONG PER_EC charts Sep 09_Charts Sep 09 (version 2)" xfId="19721"/>
    <cellStyle name="_Book4_08 Outlook Charts Oct 07 _HONG KONG PER_EC charts Sep 09_Charts Sep 09 (version 2)_CKH-17" xfId="19722"/>
    <cellStyle name="_Book4_08 Outlook Charts Oct 07 _HONG KONG PER_EC charts Sep 09_CKH-17" xfId="19723"/>
    <cellStyle name="_Book4_08 Outlook Charts Oct 07 _Mirae - CH Prop NAV breakdown (Francis Chan)" xfId="19724"/>
    <cellStyle name="_Book4_08 Outlook Charts Oct 07 _Mirae - CH Prop NAV breakdown (Francis Chan)_Charts for HK update May 09" xfId="19725"/>
    <cellStyle name="_Book4_08 Outlook Charts Oct 07 _Mirae - CH Prop NAV breakdown (Francis Chan)_Charts for HK update May 09_Charts Sep 09 (version 2)" xfId="19726"/>
    <cellStyle name="_Book4_08 Outlook Charts Oct 07 _Mirae - CH Prop NAV breakdown (Francis Chan)_Charts for HK update May 09_Charts Sep 09 (version 2)_CKH-17" xfId="19727"/>
    <cellStyle name="_Book4_08 Outlook Charts Oct 07 _Mirae - CH Prop NAV breakdown (Francis Chan)_Charts for HK update May 09_CKH-17" xfId="19728"/>
    <cellStyle name="_Book4_08 Outlook Charts Oct 07 _Mirae - CH Prop NAV breakdown (Francis Chan)_CKH-17" xfId="19729"/>
    <cellStyle name="_Book4_08 Outlook Charts Oct 07 _Mirae - CH Prop NAV breakdown (Francis Chan)_EC charts Sep 09" xfId="19730"/>
    <cellStyle name="_Book4_08 Outlook Charts Oct 07 _Mirae - CH Prop NAV breakdown (Francis Chan)_EC charts Sep 09_Charts Sep 09 (version 2)" xfId="19731"/>
    <cellStyle name="_Book4_08 Outlook Charts Oct 07 _Mirae - CH Prop NAV breakdown (Francis Chan)_EC charts Sep 09_Charts Sep 09 (version 2)_CKH-17" xfId="19732"/>
    <cellStyle name="_Book4_08 Outlook Charts Oct 07 _Mirae - CH Prop NAV breakdown (Francis Chan)_EC charts Sep 09_CKH-17" xfId="19733"/>
    <cellStyle name="_Book4_08 Outlook Charts Oct 07 _RESIDENTIAL SUPPLY 2009-2010" xfId="19734"/>
    <cellStyle name="_Book4_08 Outlook Charts Oct 07 _RESIDENTIAL SUPPLY 2009-2010_CKH-17" xfId="19735"/>
    <cellStyle name="_Book4_08 Outlook Charts Oct 07-1" xfId="19736"/>
    <cellStyle name="_Book4_08 Outlook Charts Oct 07-1_Book4" xfId="19737"/>
    <cellStyle name="_Book4_08 Outlook Charts Oct 07-1_Book4_Charts Sep 09 (version 2)" xfId="19738"/>
    <cellStyle name="_Book4_08 Outlook Charts Oct 07-1_Book4_Charts Sep 09 (version 2)_CKH-17" xfId="19739"/>
    <cellStyle name="_Book4_08 Outlook Charts Oct 07-1_Book4_CKH-17" xfId="19740"/>
    <cellStyle name="_Book4_08 Outlook Charts Oct 07-1_CC charts and tables Oct 08" xfId="19741"/>
    <cellStyle name="_Book4_08 Outlook Charts Oct 07-1_CC charts and tables Oct 08_CKH-17" xfId="19742"/>
    <cellStyle name="_Book4_08 Outlook Charts Oct 07-1_CEIC_PROPERTY PRICE  RENTAL INDEX Feb 09 " xfId="19743"/>
    <cellStyle name="_Book4_08 Outlook Charts Oct 07-1_CEIC_PROPERTY PRICE  RENTAL INDEX Feb 09 _CKH-17" xfId="19744"/>
    <cellStyle name="_Book4_08 Outlook Charts Oct 07-1_charts Jun 09" xfId="19745"/>
    <cellStyle name="_Book4_08 Outlook Charts Oct 07-1_charts Jun 09_Charts for HK update May 09" xfId="19746"/>
    <cellStyle name="_Book4_08 Outlook Charts Oct 07-1_charts Jun 09_Charts for HK update May 09_Charts Sep 09 (version 2)" xfId="19747"/>
    <cellStyle name="_Book4_08 Outlook Charts Oct 07-1_charts Jun 09_Charts for HK update May 09_Charts Sep 09 (version 2)_CKH-17" xfId="19748"/>
    <cellStyle name="_Book4_08 Outlook Charts Oct 07-1_charts Jun 09_Charts for HK update May 09_CKH-17" xfId="19749"/>
    <cellStyle name="_Book4_08 Outlook Charts Oct 07-1_charts Jun 09_CKH-17" xfId="19750"/>
    <cellStyle name="_Book4_08 Outlook Charts Oct 07-1_charts Jun 09_EC charts Sep 09" xfId="19751"/>
    <cellStyle name="_Book4_08 Outlook Charts Oct 07-1_charts Jun 09_EC charts Sep 09_Charts Sep 09 (version 2)" xfId="19752"/>
    <cellStyle name="_Book4_08 Outlook Charts Oct 07-1_charts Jun 09_EC charts Sep 09_Charts Sep 09 (version 2)_CKH-17" xfId="19753"/>
    <cellStyle name="_Book4_08 Outlook Charts Oct 07-1_charts Jun 09_EC charts Sep 09_CKH-17" xfId="19754"/>
    <cellStyle name="_Book4_08 Outlook Charts Oct 07-1_Charts Sep 09 (version 2)" xfId="19755"/>
    <cellStyle name="_Book4_08 Outlook Charts Oct 07-1_Charts Sep 09 (version 2)_CKH-17" xfId="19756"/>
    <cellStyle name="_Book4_08 Outlook Charts Oct 07-1_China update table and charts Sep 08" xfId="19757"/>
    <cellStyle name="_Book4_08 Outlook Charts Oct 07-1_China update table and charts Sep 08_Charts Sep 09 (version 2)" xfId="19758"/>
    <cellStyle name="_Book4_08 Outlook Charts Oct 07-1_China update table and charts Sep 08_Charts Sep 09 (version 2)_CKH-17" xfId="19759"/>
    <cellStyle name="_Book4_08 Outlook Charts Oct 07-1_China update table and charts Sep 08_CKH-17" xfId="19760"/>
    <cellStyle name="_Book4_08 Outlook Charts Oct 07-1_CKH-17" xfId="19761"/>
    <cellStyle name="_Book4_08 Outlook Charts Oct 07-1_Company comparison Sep 08" xfId="19762"/>
    <cellStyle name="_Book4_08 Outlook Charts Oct 07-1_Company comparison Sep 08_Book4" xfId="19763"/>
    <cellStyle name="_Book4_08 Outlook Charts Oct 07-1_Company comparison Sep 08_Book4_Charts Sep 09 (version 2)" xfId="19764"/>
    <cellStyle name="_Book4_08 Outlook Charts Oct 07-1_Company comparison Sep 08_Book4_Charts Sep 09 (version 2)_CKH-17" xfId="19765"/>
    <cellStyle name="_Book4_08 Outlook Charts Oct 07-1_Company comparison Sep 08_Book4_CKH-17" xfId="19766"/>
    <cellStyle name="_Book4_08 Outlook Charts Oct 07-1_Company comparison Sep 08_CC charts and tables Oct 08" xfId="19767"/>
    <cellStyle name="_Book4_08 Outlook Charts Oct 07-1_Company comparison Sep 08_CC charts and tables Oct 08_CKH-17" xfId="19768"/>
    <cellStyle name="_Book4_08 Outlook Charts Oct 07-1_Company comparison Sep 08_CEIC_PROPERTY PRICE  RENTAL INDEX Feb 09 " xfId="19769"/>
    <cellStyle name="_Book4_08 Outlook Charts Oct 07-1_Company comparison Sep 08_CEIC_PROPERTY PRICE  RENTAL INDEX Feb 09 _CKH-17" xfId="19770"/>
    <cellStyle name="_Book4_08 Outlook Charts Oct 07-1_Company comparison Sep 08_charts Jun 09" xfId="19771"/>
    <cellStyle name="_Book4_08 Outlook Charts Oct 07-1_Company comparison Sep 08_charts Jun 09_Charts for HK update May 09" xfId="19772"/>
    <cellStyle name="_Book4_08 Outlook Charts Oct 07-1_Company comparison Sep 08_charts Jun 09_Charts for HK update May 09_Charts Sep 09 (version 2)" xfId="19773"/>
    <cellStyle name="_Book4_08 Outlook Charts Oct 07-1_Company comparison Sep 08_charts Jun 09_Charts for HK update May 09_Charts Sep 09 (version 2)_CKH-17" xfId="19774"/>
    <cellStyle name="_Book4_08 Outlook Charts Oct 07-1_Company comparison Sep 08_charts Jun 09_Charts for HK update May 09_CKH-17" xfId="19775"/>
    <cellStyle name="_Book4_08 Outlook Charts Oct 07-1_Company comparison Sep 08_charts Jun 09_CKH-17" xfId="19776"/>
    <cellStyle name="_Book4_08 Outlook Charts Oct 07-1_Company comparison Sep 08_charts Jun 09_EC charts Sep 09" xfId="19777"/>
    <cellStyle name="_Book4_08 Outlook Charts Oct 07-1_Company comparison Sep 08_charts Jun 09_EC charts Sep 09_Charts Sep 09 (version 2)" xfId="19778"/>
    <cellStyle name="_Book4_08 Outlook Charts Oct 07-1_Company comparison Sep 08_charts Jun 09_EC charts Sep 09_Charts Sep 09 (version 2)_CKH-17" xfId="19779"/>
    <cellStyle name="_Book4_08 Outlook Charts Oct 07-1_Company comparison Sep 08_charts Jun 09_EC charts Sep 09_CKH-17" xfId="19780"/>
    <cellStyle name="_Book4_08 Outlook Charts Oct 07-1_Company comparison Sep 08_Charts Sep 09 (version 2)" xfId="19781"/>
    <cellStyle name="_Book4_08 Outlook Charts Oct 07-1_Company comparison Sep 08_Charts Sep 09 (version 2)_CKH-17" xfId="19782"/>
    <cellStyle name="_Book4_08 Outlook Charts Oct 07-1_Company comparison Sep 08_China update table and charts Sep 08" xfId="19783"/>
    <cellStyle name="_Book4_08 Outlook Charts Oct 07-1_Company comparison Sep 08_China update table and charts Sep 08_Charts Sep 09 (version 2)" xfId="19784"/>
    <cellStyle name="_Book4_08 Outlook Charts Oct 07-1_Company comparison Sep 08_China update table and charts Sep 08_Charts Sep 09 (version 2)_CKH-17" xfId="19785"/>
    <cellStyle name="_Book4_08 Outlook Charts Oct 07-1_Company comparison Sep 08_China update table and charts Sep 08_CKH-17" xfId="19786"/>
    <cellStyle name="_Book4_08 Outlook Charts Oct 07-1_Company comparison Sep 08_CKH-17" xfId="19787"/>
    <cellStyle name="_Book4_08 Outlook Charts Oct 07-1_Company comparison Sep 08_devs vs resi index hk Dec 08" xfId="19788"/>
    <cellStyle name="_Book4_08 Outlook Charts Oct 07-1_Company comparison Sep 08_devs vs resi index hk Dec 08_Charts for HK update May 09" xfId="19789"/>
    <cellStyle name="_Book4_08 Outlook Charts Oct 07-1_Company comparison Sep 08_devs vs resi index hk Dec 08_Charts for HK update May 09_Charts Sep 09 (version 2)" xfId="19790"/>
    <cellStyle name="_Book4_08 Outlook Charts Oct 07-1_Company comparison Sep 08_devs vs resi index hk Dec 08_Charts for HK update May 09_Charts Sep 09 (version 2)_CKH-17" xfId="19791"/>
    <cellStyle name="_Book4_08 Outlook Charts Oct 07-1_Company comparison Sep 08_devs vs resi index hk Dec 08_Charts for HK update May 09_CKH-17" xfId="19792"/>
    <cellStyle name="_Book4_08 Outlook Charts Oct 07-1_Company comparison Sep 08_devs vs resi index hk Dec 08_CKH-17" xfId="19793"/>
    <cellStyle name="_Book4_08 Outlook Charts Oct 07-1_Company comparison Sep 08_devs vs resi index hk Dec 08_EC charts Sep 09" xfId="19794"/>
    <cellStyle name="_Book4_08 Outlook Charts Oct 07-1_Company comparison Sep 08_devs vs resi index hk Dec 08_EC charts Sep 09_Charts Sep 09 (version 2)" xfId="19795"/>
    <cellStyle name="_Book4_08 Outlook Charts Oct 07-1_Company comparison Sep 08_devs vs resi index hk Dec 08_EC charts Sep 09_Charts Sep 09 (version 2)_CKH-17" xfId="19796"/>
    <cellStyle name="_Book4_08 Outlook Charts Oct 07-1_Company comparison Sep 08_devs vs resi index hk Dec 08_EC charts Sep 09_CKH-17" xfId="19797"/>
    <cellStyle name="_Book4_08 Outlook Charts Oct 07-1_Company comparison Sep 08_EC charts Oct 08" xfId="19798"/>
    <cellStyle name="_Book4_08 Outlook Charts Oct 07-1_Company comparison Sep 08_EC charts Oct 08_Book50" xfId="19799"/>
    <cellStyle name="_Book4_08 Outlook Charts Oct 07-1_Company comparison Sep 08_EC charts Oct 08_Book50_CKH-17" xfId="19800"/>
    <cellStyle name="_Book4_08 Outlook Charts Oct 07-1_Company comparison Sep 08_EC charts Oct 08_Book50_EC charts Sep 09" xfId="19801"/>
    <cellStyle name="_Book4_08 Outlook Charts Oct 07-1_Company comparison Sep 08_EC charts Oct 08_Book50_EC charts Sep 09_Charts Sep 09 (version 2)" xfId="19802"/>
    <cellStyle name="_Book4_08 Outlook Charts Oct 07-1_Company comparison Sep 08_EC charts Oct 08_Book50_EC charts Sep 09_Charts Sep 09 (version 2)_CKH-17" xfId="19803"/>
    <cellStyle name="_Book4_08 Outlook Charts Oct 07-1_Company comparison Sep 08_EC charts Oct 08_Book50_EC charts Sep 09_CKH-17" xfId="19804"/>
    <cellStyle name="_Book4_08 Outlook Charts Oct 07-1_Company comparison Sep 08_EC charts Oct 08_CKH-17" xfId="19805"/>
    <cellStyle name="_Book4_08 Outlook Charts Oct 07-1_Company comparison Sep 08_EC charts Oct 08_EC charts Sep 09" xfId="19806"/>
    <cellStyle name="_Book4_08 Outlook Charts Oct 07-1_Company comparison Sep 08_EC charts Oct 08_EC charts Sep 09_Charts Sep 09 (version 2)" xfId="19807"/>
    <cellStyle name="_Book4_08 Outlook Charts Oct 07-1_Company comparison Sep 08_EC charts Oct 08_EC charts Sep 09_Charts Sep 09 (version 2)_CKH-17" xfId="19808"/>
    <cellStyle name="_Book4_08 Outlook Charts Oct 07-1_Company comparison Sep 08_EC charts Oct 08_EC charts Sep 09_CKH-17" xfId="19809"/>
    <cellStyle name="_Book4_08 Outlook Charts Oct 07-1_Company comparison Sep 08_HK developers weighted average share price vs ppty market May 09" xfId="19810"/>
    <cellStyle name="_Book4_08 Outlook Charts Oct 07-1_Company comparison Sep 08_HK developers weighted average share price vs ppty market May 09_CKH-17" xfId="19811"/>
    <cellStyle name="_Book4_08 Outlook Charts Oct 07-1_Company comparison Sep 08_HK Property data July 09" xfId="19812"/>
    <cellStyle name="_Book4_08 Outlook Charts Oct 07-1_Company comparison Sep 08_HK Property data July 09_CKH-17" xfId="19813"/>
    <cellStyle name="_Book4_08 Outlook Charts Oct 07-1_Company comparison Sep 08_HK Resi 10 outlook chts" xfId="19814"/>
    <cellStyle name="_Book4_08 Outlook Charts Oct 07-1_Company comparison Sep 08_HK Resi 10 outlook chts_CKH-17" xfId="19815"/>
    <cellStyle name="_Book4_08 Outlook Charts Oct 07-1_Company comparison Sep 08_HONG KONG PER" xfId="19816"/>
    <cellStyle name="_Book4_08 Outlook Charts Oct 07-1_Company comparison Sep 08_HONG KONG PER_Book50" xfId="19817"/>
    <cellStyle name="_Book4_08 Outlook Charts Oct 07-1_Company comparison Sep 08_HONG KONG PER_Book50_CKH-17" xfId="19818"/>
    <cellStyle name="_Book4_08 Outlook Charts Oct 07-1_Company comparison Sep 08_HONG KONG PER_Book50_EC charts Sep 09" xfId="19819"/>
    <cellStyle name="_Book4_08 Outlook Charts Oct 07-1_Company comparison Sep 08_HONG KONG PER_Book50_EC charts Sep 09_Charts Sep 09 (version 2)" xfId="19820"/>
    <cellStyle name="_Book4_08 Outlook Charts Oct 07-1_Company comparison Sep 08_HONG KONG PER_Book50_EC charts Sep 09_Charts Sep 09 (version 2)_CKH-17" xfId="19821"/>
    <cellStyle name="_Book4_08 Outlook Charts Oct 07-1_Company comparison Sep 08_HONG KONG PER_Book50_EC charts Sep 09_CKH-17" xfId="19822"/>
    <cellStyle name="_Book4_08 Outlook Charts Oct 07-1_Company comparison Sep 08_HONG KONG PER_CKH-17" xfId="19823"/>
    <cellStyle name="_Book4_08 Outlook Charts Oct 07-1_Company comparison Sep 08_HONG KONG PER_EC charts Sep 09" xfId="19824"/>
    <cellStyle name="_Book4_08 Outlook Charts Oct 07-1_Company comparison Sep 08_HONG KONG PER_EC charts Sep 09_Charts Sep 09 (version 2)" xfId="19825"/>
    <cellStyle name="_Book4_08 Outlook Charts Oct 07-1_Company comparison Sep 08_HONG KONG PER_EC charts Sep 09_Charts Sep 09 (version 2)_CKH-17" xfId="19826"/>
    <cellStyle name="_Book4_08 Outlook Charts Oct 07-1_Company comparison Sep 08_HONG KONG PER_EC charts Sep 09_CKH-17" xfId="19827"/>
    <cellStyle name="_Book4_08 Outlook Charts Oct 07-1_Company comparison Sep 08_Mirae - CH Prop NAV breakdown (Francis Chan)" xfId="19828"/>
    <cellStyle name="_Book4_08 Outlook Charts Oct 07-1_Company comparison Sep 08_Mirae - CH Prop NAV breakdown (Francis Chan)_Charts for HK update May 09" xfId="19829"/>
    <cellStyle name="_Book4_08 Outlook Charts Oct 07-1_Company comparison Sep 08_Mirae - CH Prop NAV breakdown (Francis Chan)_Charts for HK update May 09_Charts Sep 09 (version 2)" xfId="19830"/>
    <cellStyle name="_Book4_08 Outlook Charts Oct 07-1_Company comparison Sep 08_Mirae - CH Prop NAV breakdown (Francis Chan)_Charts for HK update May 09_Charts Sep 09 (version 2)_CKH-17" xfId="19831"/>
    <cellStyle name="_Book4_08 Outlook Charts Oct 07-1_Company comparison Sep 08_Mirae - CH Prop NAV breakdown (Francis Chan)_Charts for HK update May 09_CKH-17" xfId="19832"/>
    <cellStyle name="_Book4_08 Outlook Charts Oct 07-1_Company comparison Sep 08_Mirae - CH Prop NAV breakdown (Francis Chan)_CKH-17" xfId="19833"/>
    <cellStyle name="_Book4_08 Outlook Charts Oct 07-1_Company comparison Sep 08_Mirae - CH Prop NAV breakdown (Francis Chan)_EC charts Sep 09" xfId="19834"/>
    <cellStyle name="_Book4_08 Outlook Charts Oct 07-1_Company comparison Sep 08_Mirae - CH Prop NAV breakdown (Francis Chan)_EC charts Sep 09_Charts Sep 09 (version 2)" xfId="19835"/>
    <cellStyle name="_Book4_08 Outlook Charts Oct 07-1_Company comparison Sep 08_Mirae - CH Prop NAV breakdown (Francis Chan)_EC charts Sep 09_Charts Sep 09 (version 2)_CKH-17" xfId="19836"/>
    <cellStyle name="_Book4_08 Outlook Charts Oct 07-1_Company comparison Sep 08_Mirae - CH Prop NAV breakdown (Francis Chan)_EC charts Sep 09_CKH-17" xfId="19837"/>
    <cellStyle name="_Book4_08 Outlook Charts Oct 07-1_Company comparison Sep 08_RESIDENTIAL SUPPLY 2009-2010" xfId="19838"/>
    <cellStyle name="_Book4_08 Outlook Charts Oct 07-1_Company comparison Sep 08_RESIDENTIAL SUPPLY 2009-2010_CKH-17" xfId="19839"/>
    <cellStyle name="_Book4_08 Outlook Charts Oct 07-1_devs vs resi index hk Dec 08" xfId="19840"/>
    <cellStyle name="_Book4_08 Outlook Charts Oct 07-1_devs vs resi index hk Dec 08_Charts for HK update May 09" xfId="19841"/>
    <cellStyle name="_Book4_08 Outlook Charts Oct 07-1_devs vs resi index hk Dec 08_Charts for HK update May 09_Charts Sep 09 (version 2)" xfId="19842"/>
    <cellStyle name="_Book4_08 Outlook Charts Oct 07-1_devs vs resi index hk Dec 08_Charts for HK update May 09_Charts Sep 09 (version 2)_CKH-17" xfId="19843"/>
    <cellStyle name="_Book4_08 Outlook Charts Oct 07-1_devs vs resi index hk Dec 08_Charts for HK update May 09_CKH-17" xfId="19844"/>
    <cellStyle name="_Book4_08 Outlook Charts Oct 07-1_devs vs resi index hk Dec 08_CKH-17" xfId="19845"/>
    <cellStyle name="_Book4_08 Outlook Charts Oct 07-1_devs vs resi index hk Dec 08_EC charts Sep 09" xfId="19846"/>
    <cellStyle name="_Book4_08 Outlook Charts Oct 07-1_devs vs resi index hk Dec 08_EC charts Sep 09_Charts Sep 09 (version 2)" xfId="19847"/>
    <cellStyle name="_Book4_08 Outlook Charts Oct 07-1_devs vs resi index hk Dec 08_EC charts Sep 09_Charts Sep 09 (version 2)_CKH-17" xfId="19848"/>
    <cellStyle name="_Book4_08 Outlook Charts Oct 07-1_devs vs resi index hk Dec 08_EC charts Sep 09_CKH-17" xfId="19849"/>
    <cellStyle name="_Book4_08 Outlook Charts Oct 07-1_EC charts Oct 08" xfId="19850"/>
    <cellStyle name="_Book4_08 Outlook Charts Oct 07-1_EC charts Oct 08_Book50" xfId="19851"/>
    <cellStyle name="_Book4_08 Outlook Charts Oct 07-1_EC charts Oct 08_Book50_CKH-17" xfId="19852"/>
    <cellStyle name="_Book4_08 Outlook Charts Oct 07-1_EC charts Oct 08_Book50_EC charts Sep 09" xfId="19853"/>
    <cellStyle name="_Book4_08 Outlook Charts Oct 07-1_EC charts Oct 08_Book50_EC charts Sep 09_Charts Sep 09 (version 2)" xfId="19854"/>
    <cellStyle name="_Book4_08 Outlook Charts Oct 07-1_EC charts Oct 08_Book50_EC charts Sep 09_Charts Sep 09 (version 2)_CKH-17" xfId="19855"/>
    <cellStyle name="_Book4_08 Outlook Charts Oct 07-1_EC charts Oct 08_Book50_EC charts Sep 09_CKH-17" xfId="19856"/>
    <cellStyle name="_Book4_08 Outlook Charts Oct 07-1_EC charts Oct 08_CKH-17" xfId="19857"/>
    <cellStyle name="_Book4_08 Outlook Charts Oct 07-1_EC charts Oct 08_EC charts Sep 09" xfId="19858"/>
    <cellStyle name="_Book4_08 Outlook Charts Oct 07-1_EC charts Oct 08_EC charts Sep 09_Charts Sep 09 (version 2)" xfId="19859"/>
    <cellStyle name="_Book4_08 Outlook Charts Oct 07-1_EC charts Oct 08_EC charts Sep 09_Charts Sep 09 (version 2)_CKH-17" xfId="19860"/>
    <cellStyle name="_Book4_08 Outlook Charts Oct 07-1_EC charts Oct 08_EC charts Sep 09_CKH-17" xfId="19861"/>
    <cellStyle name="_Book4_08 Outlook Charts Oct 07-1_HK developers weighted average share price vs ppty market May 09" xfId="19862"/>
    <cellStyle name="_Book4_08 Outlook Charts Oct 07-1_HK developers weighted average share price vs ppty market May 09_CKH-17" xfId="19863"/>
    <cellStyle name="_Book4_08 Outlook Charts Oct 07-1_HK Devs Peak to trough 2010 Outlook" xfId="19864"/>
    <cellStyle name="_Book4_08 Outlook Charts Oct 07-1_HK Devs Peak to trough 2010 Outlook_CKH-17" xfId="19865"/>
    <cellStyle name="_Book4_08 Outlook Charts Oct 07-1_HK Property Charts Apr 09" xfId="19866"/>
    <cellStyle name="_Book4_08 Outlook Charts Oct 07-1_HK Property Charts Apr 09_CKH-17" xfId="19867"/>
    <cellStyle name="_Book4_08 Outlook Charts Oct 07-1_HK Property data July 09" xfId="19868"/>
    <cellStyle name="_Book4_08 Outlook Charts Oct 07-1_HK Property data July 09_CKH-17" xfId="19869"/>
    <cellStyle name="_Book4_08 Outlook Charts Oct 07-1_HK Resi 10 outlook chts" xfId="19870"/>
    <cellStyle name="_Book4_08 Outlook Charts Oct 07-1_HK Resi 10 outlook chts_CKH-17" xfId="19871"/>
    <cellStyle name="_Book4_08 Outlook Charts Oct 07-1_HONG KONG PER" xfId="19872"/>
    <cellStyle name="_Book4_08 Outlook Charts Oct 07-1_HONG KONG PER_Book50" xfId="19873"/>
    <cellStyle name="_Book4_08 Outlook Charts Oct 07-1_HONG KONG PER_Book50_CKH-17" xfId="19874"/>
    <cellStyle name="_Book4_08 Outlook Charts Oct 07-1_HONG KONG PER_Book50_EC charts Sep 09" xfId="19875"/>
    <cellStyle name="_Book4_08 Outlook Charts Oct 07-1_HONG KONG PER_Book50_EC charts Sep 09_Charts Sep 09 (version 2)" xfId="19876"/>
    <cellStyle name="_Book4_08 Outlook Charts Oct 07-1_HONG KONG PER_Book50_EC charts Sep 09_Charts Sep 09 (version 2)_CKH-17" xfId="19877"/>
    <cellStyle name="_Book4_08 Outlook Charts Oct 07-1_HONG KONG PER_Book50_EC charts Sep 09_CKH-17" xfId="19878"/>
    <cellStyle name="_Book4_08 Outlook Charts Oct 07-1_HONG KONG PER_CKH-17" xfId="19879"/>
    <cellStyle name="_Book4_08 Outlook Charts Oct 07-1_HONG KONG PER_EC charts Sep 09" xfId="19880"/>
    <cellStyle name="_Book4_08 Outlook Charts Oct 07-1_HONG KONG PER_EC charts Sep 09_Charts Sep 09 (version 2)" xfId="19881"/>
    <cellStyle name="_Book4_08 Outlook Charts Oct 07-1_HONG KONG PER_EC charts Sep 09_Charts Sep 09 (version 2)_CKH-17" xfId="19882"/>
    <cellStyle name="_Book4_08 Outlook Charts Oct 07-1_HONG KONG PER_EC charts Sep 09_CKH-17" xfId="19883"/>
    <cellStyle name="_Book4_08 Outlook Charts Oct 07-1_Mirae - CH Prop NAV breakdown (Francis Chan)" xfId="19884"/>
    <cellStyle name="_Book4_08 Outlook Charts Oct 07-1_Mirae - CH Prop NAV breakdown (Francis Chan)_Charts for HK update May 09" xfId="19885"/>
    <cellStyle name="_Book4_08 Outlook Charts Oct 07-1_Mirae - CH Prop NAV breakdown (Francis Chan)_Charts for HK update May 09_Charts Sep 09 (version 2)" xfId="19886"/>
    <cellStyle name="_Book4_08 Outlook Charts Oct 07-1_Mirae - CH Prop NAV breakdown (Francis Chan)_Charts for HK update May 09_Charts Sep 09 (version 2)_CKH-17" xfId="19887"/>
    <cellStyle name="_Book4_08 Outlook Charts Oct 07-1_Mirae - CH Prop NAV breakdown (Francis Chan)_Charts for HK update May 09_CKH-17" xfId="19888"/>
    <cellStyle name="_Book4_08 Outlook Charts Oct 07-1_Mirae - CH Prop NAV breakdown (Francis Chan)_CKH-17" xfId="19889"/>
    <cellStyle name="_Book4_08 Outlook Charts Oct 07-1_Mirae - CH Prop NAV breakdown (Francis Chan)_EC charts Sep 09" xfId="19890"/>
    <cellStyle name="_Book4_08 Outlook Charts Oct 07-1_Mirae - CH Prop NAV breakdown (Francis Chan)_EC charts Sep 09_Charts Sep 09 (version 2)" xfId="19891"/>
    <cellStyle name="_Book4_08 Outlook Charts Oct 07-1_Mirae - CH Prop NAV breakdown (Francis Chan)_EC charts Sep 09_Charts Sep 09 (version 2)_CKH-17" xfId="19892"/>
    <cellStyle name="_Book4_08 Outlook Charts Oct 07-1_Mirae - CH Prop NAV breakdown (Francis Chan)_EC charts Sep 09_CKH-17" xfId="19893"/>
    <cellStyle name="_Book4_08 Outlook Charts Oct 07-1_RESIDENTIAL SUPPLY 2009-2010" xfId="19894"/>
    <cellStyle name="_Book4_08 Outlook Charts Oct 07-1_RESIDENTIAL SUPPLY 2009-2010_CKH-17" xfId="19895"/>
    <cellStyle name="_Book4_1" xfId="19896"/>
    <cellStyle name="_Book4_1_Charts Sep 09 (version 2)" xfId="19897"/>
    <cellStyle name="_Book4_1_Charts Sep 09 (version 2)_CKH-17" xfId="19898"/>
    <cellStyle name="_Book4_1_CKH-17" xfId="19899"/>
    <cellStyle name="_Book4_Book4" xfId="19900"/>
    <cellStyle name="_Book4_Book4_Charts Sep 09 (version 2)" xfId="19901"/>
    <cellStyle name="_Book4_Book4_Charts Sep 09 (version 2)_CKH-17" xfId="19902"/>
    <cellStyle name="_Book4_Book4_CKH-17" xfId="19903"/>
    <cellStyle name="_Book4_CC charts and tables Oct 08" xfId="19904"/>
    <cellStyle name="_Book4_CC charts and tables Oct 08_CKH-17" xfId="19905"/>
    <cellStyle name="_Book4_CEIC_PROPERTY PRICE  RENTAL INDEX Feb 09 " xfId="19906"/>
    <cellStyle name="_Book4_CEIC_PROPERTY PRICE  RENTAL INDEX Feb 09 _CKH-17" xfId="19907"/>
    <cellStyle name="_Book4_charts Jun 09" xfId="19908"/>
    <cellStyle name="_Book4_charts Jun 09_Charts for HK update May 09" xfId="19909"/>
    <cellStyle name="_Book4_charts Jun 09_Charts for HK update May 09_Charts Sep 09 (version 2)" xfId="19910"/>
    <cellStyle name="_Book4_charts Jun 09_Charts for HK update May 09_Charts Sep 09 (version 2)_CKH-17" xfId="19911"/>
    <cellStyle name="_Book4_charts Jun 09_Charts for HK update May 09_CKH-17" xfId="19912"/>
    <cellStyle name="_Book4_charts Jun 09_CKH-17" xfId="19913"/>
    <cellStyle name="_Book4_charts Jun 09_EC charts Sep 09" xfId="19914"/>
    <cellStyle name="_Book4_charts Jun 09_EC charts Sep 09_Charts Sep 09 (version 2)" xfId="19915"/>
    <cellStyle name="_Book4_charts Jun 09_EC charts Sep 09_Charts Sep 09 (version 2)_CKH-17" xfId="19916"/>
    <cellStyle name="_Book4_charts Jun 09_EC charts Sep 09_CKH-17" xfId="19917"/>
    <cellStyle name="_Book4_Charts Sep 09 (version 2)" xfId="19918"/>
    <cellStyle name="_Book4_Charts Sep 09 (version 2)_CKH-17" xfId="19919"/>
    <cellStyle name="_Book4_China update table and charts Sep 08" xfId="19920"/>
    <cellStyle name="_Book4_China update table and charts Sep 08_Charts Sep 09 (version 2)" xfId="19921"/>
    <cellStyle name="_Book4_China update table and charts Sep 08_Charts Sep 09 (version 2)_CKH-17" xfId="19922"/>
    <cellStyle name="_Book4_China update table and charts Sep 08_CKH-17" xfId="19923"/>
    <cellStyle name="_Book4_CKH-17" xfId="19924"/>
    <cellStyle name="_Book4_Company comparison Sep 08" xfId="19925"/>
    <cellStyle name="_Book4_Company comparison Sep 08_Book4" xfId="19926"/>
    <cellStyle name="_Book4_Company comparison Sep 08_Book4_Charts Sep 09 (version 2)" xfId="19927"/>
    <cellStyle name="_Book4_Company comparison Sep 08_Book4_Charts Sep 09 (version 2)_CKH-17" xfId="19928"/>
    <cellStyle name="_Book4_Company comparison Sep 08_Book4_CKH-17" xfId="19929"/>
    <cellStyle name="_Book4_Company comparison Sep 08_CC charts and tables Oct 08" xfId="19930"/>
    <cellStyle name="_Book4_Company comparison Sep 08_CC charts and tables Oct 08_CKH-17" xfId="19931"/>
    <cellStyle name="_Book4_Company comparison Sep 08_CEIC_PROPERTY PRICE  RENTAL INDEX Feb 09 " xfId="19932"/>
    <cellStyle name="_Book4_Company comparison Sep 08_CEIC_PROPERTY PRICE  RENTAL INDEX Feb 09 _CKH-17" xfId="19933"/>
    <cellStyle name="_Book4_Company comparison Sep 08_charts Jun 09" xfId="19934"/>
    <cellStyle name="_Book4_Company comparison Sep 08_charts Jun 09_Charts for HK update May 09" xfId="19935"/>
    <cellStyle name="_Book4_Company comparison Sep 08_charts Jun 09_Charts for HK update May 09_Charts Sep 09 (version 2)" xfId="19936"/>
    <cellStyle name="_Book4_Company comparison Sep 08_charts Jun 09_Charts for HK update May 09_Charts Sep 09 (version 2)_CKH-17" xfId="19937"/>
    <cellStyle name="_Book4_Company comparison Sep 08_charts Jun 09_Charts for HK update May 09_CKH-17" xfId="19938"/>
    <cellStyle name="_Book4_Company comparison Sep 08_charts Jun 09_CKH-17" xfId="19939"/>
    <cellStyle name="_Book4_Company comparison Sep 08_charts Jun 09_EC charts Sep 09" xfId="19940"/>
    <cellStyle name="_Book4_Company comparison Sep 08_charts Jun 09_EC charts Sep 09_Charts Sep 09 (version 2)" xfId="19941"/>
    <cellStyle name="_Book4_Company comparison Sep 08_charts Jun 09_EC charts Sep 09_Charts Sep 09 (version 2)_CKH-17" xfId="19942"/>
    <cellStyle name="_Book4_Company comparison Sep 08_charts Jun 09_EC charts Sep 09_CKH-17" xfId="19943"/>
    <cellStyle name="_Book4_Company comparison Sep 08_Charts Sep 09 (version 2)" xfId="19944"/>
    <cellStyle name="_Book4_Company comparison Sep 08_Charts Sep 09 (version 2)_CKH-17" xfId="19945"/>
    <cellStyle name="_Book4_Company comparison Sep 08_China update table and charts Sep 08" xfId="19946"/>
    <cellStyle name="_Book4_Company comparison Sep 08_China update table and charts Sep 08_Charts Sep 09 (version 2)" xfId="19947"/>
    <cellStyle name="_Book4_Company comparison Sep 08_China update table and charts Sep 08_Charts Sep 09 (version 2)_CKH-17" xfId="19948"/>
    <cellStyle name="_Book4_Company comparison Sep 08_China update table and charts Sep 08_CKH-17" xfId="19949"/>
    <cellStyle name="_Book4_Company comparison Sep 08_CKH-17" xfId="19950"/>
    <cellStyle name="_Book4_Company comparison Sep 08_devs vs resi index hk Dec 08" xfId="19951"/>
    <cellStyle name="_Book4_Company comparison Sep 08_devs vs resi index hk Dec 08_Charts for HK update May 09" xfId="19952"/>
    <cellStyle name="_Book4_Company comparison Sep 08_devs vs resi index hk Dec 08_Charts for HK update May 09_Charts Sep 09 (version 2)" xfId="19953"/>
    <cellStyle name="_Book4_Company comparison Sep 08_devs vs resi index hk Dec 08_Charts for HK update May 09_Charts Sep 09 (version 2)_CKH-17" xfId="19954"/>
    <cellStyle name="_Book4_Company comparison Sep 08_devs vs resi index hk Dec 08_Charts for HK update May 09_CKH-17" xfId="19955"/>
    <cellStyle name="_Book4_Company comparison Sep 08_devs vs resi index hk Dec 08_CKH-17" xfId="19956"/>
    <cellStyle name="_Book4_Company comparison Sep 08_devs vs resi index hk Dec 08_EC charts Sep 09" xfId="19957"/>
    <cellStyle name="_Book4_Company comparison Sep 08_devs vs resi index hk Dec 08_EC charts Sep 09_Charts Sep 09 (version 2)" xfId="19958"/>
    <cellStyle name="_Book4_Company comparison Sep 08_devs vs resi index hk Dec 08_EC charts Sep 09_Charts Sep 09 (version 2)_CKH-17" xfId="19959"/>
    <cellStyle name="_Book4_Company comparison Sep 08_devs vs resi index hk Dec 08_EC charts Sep 09_CKH-17" xfId="19960"/>
    <cellStyle name="_Book4_Company comparison Sep 08_EC charts Oct 08" xfId="19961"/>
    <cellStyle name="_Book4_Company comparison Sep 08_EC charts Oct 08_Book50" xfId="19962"/>
    <cellStyle name="_Book4_Company comparison Sep 08_EC charts Oct 08_Book50_CKH-17" xfId="19963"/>
    <cellStyle name="_Book4_Company comparison Sep 08_EC charts Oct 08_Book50_EC charts Sep 09" xfId="19964"/>
    <cellStyle name="_Book4_Company comparison Sep 08_EC charts Oct 08_Book50_EC charts Sep 09_Charts Sep 09 (version 2)" xfId="19965"/>
    <cellStyle name="_Book4_Company comparison Sep 08_EC charts Oct 08_Book50_EC charts Sep 09_Charts Sep 09 (version 2)_CKH-17" xfId="19966"/>
    <cellStyle name="_Book4_Company comparison Sep 08_EC charts Oct 08_Book50_EC charts Sep 09_CKH-17" xfId="19967"/>
    <cellStyle name="_Book4_Company comparison Sep 08_EC charts Oct 08_CKH-17" xfId="19968"/>
    <cellStyle name="_Book4_Company comparison Sep 08_EC charts Oct 08_EC charts Sep 09" xfId="19969"/>
    <cellStyle name="_Book4_Company comparison Sep 08_EC charts Oct 08_EC charts Sep 09_Charts Sep 09 (version 2)" xfId="19970"/>
    <cellStyle name="_Book4_Company comparison Sep 08_EC charts Oct 08_EC charts Sep 09_Charts Sep 09 (version 2)_CKH-17" xfId="19971"/>
    <cellStyle name="_Book4_Company comparison Sep 08_EC charts Oct 08_EC charts Sep 09_CKH-17" xfId="19972"/>
    <cellStyle name="_Book4_Company comparison Sep 08_HK developers weighted average share price vs ppty market May 09" xfId="19973"/>
    <cellStyle name="_Book4_Company comparison Sep 08_HK developers weighted average share price vs ppty market May 09_CKH-17" xfId="19974"/>
    <cellStyle name="_Book4_Company comparison Sep 08_HK Property data July 09" xfId="19975"/>
    <cellStyle name="_Book4_Company comparison Sep 08_HK Property data July 09_CKH-17" xfId="19976"/>
    <cellStyle name="_Book4_Company comparison Sep 08_HK Resi 10 outlook chts" xfId="19977"/>
    <cellStyle name="_Book4_Company comparison Sep 08_HK Resi 10 outlook chts_CKH-17" xfId="19978"/>
    <cellStyle name="_Book4_Company comparison Sep 08_HONG KONG PER" xfId="19979"/>
    <cellStyle name="_Book4_Company comparison Sep 08_HONG KONG PER_Book50" xfId="19980"/>
    <cellStyle name="_Book4_Company comparison Sep 08_HONG KONG PER_Book50_CKH-17" xfId="19981"/>
    <cellStyle name="_Book4_Company comparison Sep 08_HONG KONG PER_Book50_EC charts Sep 09" xfId="19982"/>
    <cellStyle name="_Book4_Company comparison Sep 08_HONG KONG PER_Book50_EC charts Sep 09_Charts Sep 09 (version 2)" xfId="19983"/>
    <cellStyle name="_Book4_Company comparison Sep 08_HONG KONG PER_Book50_EC charts Sep 09_Charts Sep 09 (version 2)_CKH-17" xfId="19984"/>
    <cellStyle name="_Book4_Company comparison Sep 08_HONG KONG PER_Book50_EC charts Sep 09_CKH-17" xfId="19985"/>
    <cellStyle name="_Book4_Company comparison Sep 08_HONG KONG PER_CKH-17" xfId="19986"/>
    <cellStyle name="_Book4_Company comparison Sep 08_HONG KONG PER_EC charts Sep 09" xfId="19987"/>
    <cellStyle name="_Book4_Company comparison Sep 08_HONG KONG PER_EC charts Sep 09_Charts Sep 09 (version 2)" xfId="19988"/>
    <cellStyle name="_Book4_Company comparison Sep 08_HONG KONG PER_EC charts Sep 09_Charts Sep 09 (version 2)_CKH-17" xfId="19989"/>
    <cellStyle name="_Book4_Company comparison Sep 08_HONG KONG PER_EC charts Sep 09_CKH-17" xfId="19990"/>
    <cellStyle name="_Book4_Company comparison Sep 08_Mirae - CH Prop NAV breakdown (Francis Chan)" xfId="19991"/>
    <cellStyle name="_Book4_Company comparison Sep 08_Mirae - CH Prop NAV breakdown (Francis Chan)_Charts for HK update May 09" xfId="19992"/>
    <cellStyle name="_Book4_Company comparison Sep 08_Mirae - CH Prop NAV breakdown (Francis Chan)_Charts for HK update May 09_Charts Sep 09 (version 2)" xfId="19993"/>
    <cellStyle name="_Book4_Company comparison Sep 08_Mirae - CH Prop NAV breakdown (Francis Chan)_Charts for HK update May 09_Charts Sep 09 (version 2)_CKH-17" xfId="19994"/>
    <cellStyle name="_Book4_Company comparison Sep 08_Mirae - CH Prop NAV breakdown (Francis Chan)_Charts for HK update May 09_CKH-17" xfId="19995"/>
    <cellStyle name="_Book4_Company comparison Sep 08_Mirae - CH Prop NAV breakdown (Francis Chan)_CKH-17" xfId="19996"/>
    <cellStyle name="_Book4_Company comparison Sep 08_Mirae - CH Prop NAV breakdown (Francis Chan)_EC charts Sep 09" xfId="19997"/>
    <cellStyle name="_Book4_Company comparison Sep 08_Mirae - CH Prop NAV breakdown (Francis Chan)_EC charts Sep 09_Charts Sep 09 (version 2)" xfId="19998"/>
    <cellStyle name="_Book4_Company comparison Sep 08_Mirae - CH Prop NAV breakdown (Francis Chan)_EC charts Sep 09_Charts Sep 09 (version 2)_CKH-17" xfId="19999"/>
    <cellStyle name="_Book4_Company comparison Sep 08_Mirae - CH Prop NAV breakdown (Francis Chan)_EC charts Sep 09_CKH-17" xfId="20000"/>
    <cellStyle name="_Book4_Company comparison Sep 08_RESIDENTIAL SUPPLY 2009-2010" xfId="20001"/>
    <cellStyle name="_Book4_Company comparison Sep 08_RESIDENTIAL SUPPLY 2009-2010_CKH-17" xfId="20002"/>
    <cellStyle name="_Book4_devs vs resi index hk Dec 08" xfId="20003"/>
    <cellStyle name="_Book4_devs vs resi index hk Dec 08_Charts for HK update May 09" xfId="20004"/>
    <cellStyle name="_Book4_devs vs resi index hk Dec 08_Charts for HK update May 09_Charts Sep 09 (version 2)" xfId="20005"/>
    <cellStyle name="_Book4_devs vs resi index hk Dec 08_Charts for HK update May 09_Charts Sep 09 (version 2)_CKH-17" xfId="20006"/>
    <cellStyle name="_Book4_devs vs resi index hk Dec 08_Charts for HK update May 09_CKH-17" xfId="20007"/>
    <cellStyle name="_Book4_devs vs resi index hk Dec 08_CKH-17" xfId="20008"/>
    <cellStyle name="_Book4_devs vs resi index hk Dec 08_EC charts Sep 09" xfId="20009"/>
    <cellStyle name="_Book4_devs vs resi index hk Dec 08_EC charts Sep 09_Charts Sep 09 (version 2)" xfId="20010"/>
    <cellStyle name="_Book4_devs vs resi index hk Dec 08_EC charts Sep 09_Charts Sep 09 (version 2)_CKH-17" xfId="20011"/>
    <cellStyle name="_Book4_devs vs resi index hk Dec 08_EC charts Sep 09_CKH-17" xfId="20012"/>
    <cellStyle name="_Book4_EC charts Oct 08" xfId="20013"/>
    <cellStyle name="_Book4_EC charts Oct 08_Book50" xfId="20014"/>
    <cellStyle name="_Book4_EC charts Oct 08_Book50_CKH-17" xfId="20015"/>
    <cellStyle name="_Book4_EC charts Oct 08_Book50_EC charts Sep 09" xfId="20016"/>
    <cellStyle name="_Book4_EC charts Oct 08_Book50_EC charts Sep 09_Charts Sep 09 (version 2)" xfId="20017"/>
    <cellStyle name="_Book4_EC charts Oct 08_Book50_EC charts Sep 09_Charts Sep 09 (version 2)_CKH-17" xfId="20018"/>
    <cellStyle name="_Book4_EC charts Oct 08_Book50_EC charts Sep 09_CKH-17" xfId="20019"/>
    <cellStyle name="_Book4_EC charts Oct 08_Charts for HK update May 09" xfId="20020"/>
    <cellStyle name="_Book4_EC charts Oct 08_Charts for HK update May 09_Charts Sep 09 (version 2)" xfId="20021"/>
    <cellStyle name="_Book4_EC charts Oct 08_Charts for HK update May 09_Charts Sep 09 (version 2)_CKH-17" xfId="20022"/>
    <cellStyle name="_Book4_EC charts Oct 08_Charts for HK update May 09_CKH-17" xfId="20023"/>
    <cellStyle name="_Book4_EC charts Oct 08_charts Jun 09" xfId="20024"/>
    <cellStyle name="_Book4_EC charts Oct 08_charts Jun 09_Charts for HK update May 09" xfId="20025"/>
    <cellStyle name="_Book4_EC charts Oct 08_charts Jun 09_Charts for HK update May 09_Charts Sep 09 (version 2)" xfId="20026"/>
    <cellStyle name="_Book4_EC charts Oct 08_charts Jun 09_Charts for HK update May 09_Charts Sep 09 (version 2)_CKH-17" xfId="20027"/>
    <cellStyle name="_Book4_EC charts Oct 08_charts Jun 09_Charts for HK update May 09_CKH-17" xfId="20028"/>
    <cellStyle name="_Book4_EC charts Oct 08_charts Jun 09_CKH-17" xfId="20029"/>
    <cellStyle name="_Book4_EC charts Oct 08_charts Jun 09_EC charts Sep 09" xfId="20030"/>
    <cellStyle name="_Book4_EC charts Oct 08_charts Jun 09_EC charts Sep 09_Charts Sep 09 (version 2)" xfId="20031"/>
    <cellStyle name="_Book4_EC charts Oct 08_charts Jun 09_EC charts Sep 09_Charts Sep 09 (version 2)_CKH-17" xfId="20032"/>
    <cellStyle name="_Book4_EC charts Oct 08_charts Jun 09_EC charts Sep 09_CKH-17" xfId="20033"/>
    <cellStyle name="_Book4_EC charts Oct 08_China outlook 2010 charts and tables " xfId="20034"/>
    <cellStyle name="_Book4_EC charts Oct 08_China outlook 2010 charts and tables _Charts Sep 09 (version 2)" xfId="20035"/>
    <cellStyle name="_Book4_EC charts Oct 08_China outlook 2010 charts and tables _Charts Sep 09 (version 2)_CKH-17" xfId="20036"/>
    <cellStyle name="_Book4_EC charts Oct 08_China outlook 2010 charts and tables _CKH-17" xfId="20037"/>
    <cellStyle name="_Book4_EC charts Oct 08_CKH-17" xfId="20038"/>
    <cellStyle name="_Book4_EC charts Oct 08_EC charts Sep 09" xfId="20039"/>
    <cellStyle name="_Book4_EC charts Oct 08_EC charts Sep 09_Charts Sep 09 (version 2)" xfId="20040"/>
    <cellStyle name="_Book4_EC charts Oct 08_EC charts Sep 09_Charts Sep 09 (version 2)_CKH-17" xfId="20041"/>
    <cellStyle name="_Book4_EC charts Oct 08_EC charts Sep 09_CKH-17" xfId="20042"/>
    <cellStyle name="_Book4_HK developers weighted average share price vs ppty market May 09" xfId="20043"/>
    <cellStyle name="_Book4_HK developers weighted average share price vs ppty market May 09_CKH-17" xfId="20044"/>
    <cellStyle name="_Book4_HK Devs Peak to trough 2010 Outlook" xfId="20045"/>
    <cellStyle name="_Book4_HK Devs Peak to trough 2010 Outlook_CKH-17" xfId="20046"/>
    <cellStyle name="_Book4_HK Property Charts Apr 09" xfId="20047"/>
    <cellStyle name="_Book4_HK Property Charts Apr 09_CKH-17" xfId="20048"/>
    <cellStyle name="_Book4_HK Property data July 09" xfId="20049"/>
    <cellStyle name="_Book4_HK Property data July 09_CKH-17" xfId="20050"/>
    <cellStyle name="_Book4_HK Resi 10 outlook chts" xfId="20051"/>
    <cellStyle name="_Book4_HK Resi 10 outlook chts_CKH-17" xfId="20052"/>
    <cellStyle name="_Book4_HONG KONG PER" xfId="20053"/>
    <cellStyle name="_Book4_HONG KONG PER_Book50" xfId="20054"/>
    <cellStyle name="_Book4_HONG KONG PER_Book50_CKH-17" xfId="20055"/>
    <cellStyle name="_Book4_HONG KONG PER_Book50_EC charts Sep 09" xfId="20056"/>
    <cellStyle name="_Book4_HONG KONG PER_Book50_EC charts Sep 09_Charts Sep 09 (version 2)" xfId="20057"/>
    <cellStyle name="_Book4_HONG KONG PER_Book50_EC charts Sep 09_Charts Sep 09 (version 2)_CKH-17" xfId="20058"/>
    <cellStyle name="_Book4_HONG KONG PER_Book50_EC charts Sep 09_CKH-17" xfId="20059"/>
    <cellStyle name="_Book4_HONG KONG PER_CKH-17" xfId="20060"/>
    <cellStyle name="_Book4_HONG KONG PER_EC charts Sep 09" xfId="20061"/>
    <cellStyle name="_Book4_HONG KONG PER_EC charts Sep 09_Charts Sep 09 (version 2)" xfId="20062"/>
    <cellStyle name="_Book4_HONG KONG PER_EC charts Sep 09_Charts Sep 09 (version 2)_CKH-17" xfId="20063"/>
    <cellStyle name="_Book4_HONG KONG PER_EC charts Sep 09_CKH-17" xfId="20064"/>
    <cellStyle name="_Book4_Mirae - CH Prop NAV breakdown (Francis Chan)" xfId="20065"/>
    <cellStyle name="_Book4_Mirae - CH Prop NAV breakdown (Francis Chan)_Charts for HK update May 09" xfId="20066"/>
    <cellStyle name="_Book4_Mirae - CH Prop NAV breakdown (Francis Chan)_Charts for HK update May 09_Charts Sep 09 (version 2)" xfId="20067"/>
    <cellStyle name="_Book4_Mirae - CH Prop NAV breakdown (Francis Chan)_Charts for HK update May 09_Charts Sep 09 (version 2)_CKH-17" xfId="20068"/>
    <cellStyle name="_Book4_Mirae - CH Prop NAV breakdown (Francis Chan)_Charts for HK update May 09_CKH-17" xfId="20069"/>
    <cellStyle name="_Book4_Mirae - CH Prop NAV breakdown (Francis Chan)_CKH-17" xfId="20070"/>
    <cellStyle name="_Book4_Mirae - CH Prop NAV breakdown (Francis Chan)_EC charts Sep 09" xfId="20071"/>
    <cellStyle name="_Book4_Mirae - CH Prop NAV breakdown (Francis Chan)_EC charts Sep 09_Charts Sep 09 (version 2)" xfId="20072"/>
    <cellStyle name="_Book4_Mirae - CH Prop NAV breakdown (Francis Chan)_EC charts Sep 09_Charts Sep 09 (version 2)_CKH-17" xfId="20073"/>
    <cellStyle name="_Book4_Mirae - CH Prop NAV breakdown (Francis Chan)_EC charts Sep 09_CKH-17" xfId="20074"/>
    <cellStyle name="_Book4_New Target prices for Land Lords (version 1)" xfId="20075"/>
    <cellStyle name="_Book4_New Target prices for Land Lords (version 1)_Book4" xfId="20076"/>
    <cellStyle name="_Book4_New Target prices for Land Lords (version 1)_Book4_Charts Sep 09 (version 2)" xfId="20077"/>
    <cellStyle name="_Book4_New Target prices for Land Lords (version 1)_Book4_Charts Sep 09 (version 2)_CKH-17" xfId="20078"/>
    <cellStyle name="_Book4_New Target prices for Land Lords (version 1)_Book4_CKH-17" xfId="20079"/>
    <cellStyle name="_Book4_New Target prices for Land Lords (version 1)_CC charts and tables Oct 08" xfId="20080"/>
    <cellStyle name="_Book4_New Target prices for Land Lords (version 1)_CC charts and tables Oct 08_CKH-17" xfId="20081"/>
    <cellStyle name="_Book4_New Target prices for Land Lords (version 1)_CEIC_PROPERTY PRICE  RENTAL INDEX Feb 09 " xfId="20082"/>
    <cellStyle name="_Book4_New Target prices for Land Lords (version 1)_CEIC_PROPERTY PRICE  RENTAL INDEX Feb 09 _CKH-17" xfId="20083"/>
    <cellStyle name="_Book4_New Target prices for Land Lords (version 1)_charts Jun 09" xfId="20084"/>
    <cellStyle name="_Book4_New Target prices for Land Lords (version 1)_charts Jun 09_Charts for HK update May 09" xfId="20085"/>
    <cellStyle name="_Book4_New Target prices for Land Lords (version 1)_charts Jun 09_Charts for HK update May 09_Charts Sep 09 (version 2)" xfId="20086"/>
    <cellStyle name="_Book4_New Target prices for Land Lords (version 1)_charts Jun 09_Charts for HK update May 09_Charts Sep 09 (version 2)_CKH-17" xfId="20087"/>
    <cellStyle name="_Book4_New Target prices for Land Lords (version 1)_charts Jun 09_Charts for HK update May 09_CKH-17" xfId="20088"/>
    <cellStyle name="_Book4_New Target prices for Land Lords (version 1)_charts Jun 09_CKH-17" xfId="20089"/>
    <cellStyle name="_Book4_New Target prices for Land Lords (version 1)_charts Jun 09_EC charts Sep 09" xfId="20090"/>
    <cellStyle name="_Book4_New Target prices for Land Lords (version 1)_charts Jun 09_EC charts Sep 09_Charts Sep 09 (version 2)" xfId="20091"/>
    <cellStyle name="_Book4_New Target prices for Land Lords (version 1)_charts Jun 09_EC charts Sep 09_Charts Sep 09 (version 2)_CKH-17" xfId="20092"/>
    <cellStyle name="_Book4_New Target prices for Land Lords (version 1)_charts Jun 09_EC charts Sep 09_CKH-17" xfId="20093"/>
    <cellStyle name="_Book4_New Target prices for Land Lords (version 1)_Charts Sep 09 (version 2)" xfId="20094"/>
    <cellStyle name="_Book4_New Target prices for Land Lords (version 1)_Charts Sep 09 (version 2)_CKH-17" xfId="20095"/>
    <cellStyle name="_Book4_New Target prices for Land Lords (version 1)_China update table and charts Sep 08" xfId="20096"/>
    <cellStyle name="_Book4_New Target prices for Land Lords (version 1)_China update table and charts Sep 08_Charts Sep 09 (version 2)" xfId="20097"/>
    <cellStyle name="_Book4_New Target prices for Land Lords (version 1)_China update table and charts Sep 08_Charts Sep 09 (version 2)_CKH-17" xfId="20098"/>
    <cellStyle name="_Book4_New Target prices for Land Lords (version 1)_China update table and charts Sep 08_CKH-17" xfId="20099"/>
    <cellStyle name="_Book4_New Target prices for Land Lords (version 1)_CKH-17" xfId="20100"/>
    <cellStyle name="_Book4_New Target prices for Land Lords (version 1)_Company comparison Sep 08" xfId="20101"/>
    <cellStyle name="_Book4_New Target prices for Land Lords (version 1)_Company comparison Sep 08_Book4" xfId="20102"/>
    <cellStyle name="_Book4_New Target prices for Land Lords (version 1)_Company comparison Sep 08_Book4_Charts Sep 09 (version 2)" xfId="20103"/>
    <cellStyle name="_Book4_New Target prices for Land Lords (version 1)_Company comparison Sep 08_Book4_Charts Sep 09 (version 2)_CKH-17" xfId="20104"/>
    <cellStyle name="_Book4_New Target prices for Land Lords (version 1)_Company comparison Sep 08_Book4_CKH-17" xfId="20105"/>
    <cellStyle name="_Book4_New Target prices for Land Lords (version 1)_Company comparison Sep 08_CC charts and tables Oct 08" xfId="20106"/>
    <cellStyle name="_Book4_New Target prices for Land Lords (version 1)_Company comparison Sep 08_CC charts and tables Oct 08_CKH-17" xfId="20107"/>
    <cellStyle name="_Book4_New Target prices for Land Lords (version 1)_Company comparison Sep 08_CEIC_PROPERTY PRICE  RENTAL INDEX Feb 09 " xfId="20108"/>
    <cellStyle name="_Book4_New Target prices for Land Lords (version 1)_Company comparison Sep 08_CEIC_PROPERTY PRICE  RENTAL INDEX Feb 09 _CKH-17" xfId="20109"/>
    <cellStyle name="_Book4_New Target prices for Land Lords (version 1)_Company comparison Sep 08_charts Jun 09" xfId="20110"/>
    <cellStyle name="_Book4_New Target prices for Land Lords (version 1)_Company comparison Sep 08_charts Jun 09_Charts for HK update May 09" xfId="20111"/>
    <cellStyle name="_Book4_New Target prices for Land Lords (version 1)_Company comparison Sep 08_charts Jun 09_Charts for HK update May 09_Charts Sep 09 (version 2)" xfId="20112"/>
    <cellStyle name="_Book4_New Target prices for Land Lords (version 1)_Company comparison Sep 08_charts Jun 09_Charts for HK update May 09_Charts Sep 09 (version 2)_CKH-17" xfId="20113"/>
    <cellStyle name="_Book4_New Target prices for Land Lords (version 1)_Company comparison Sep 08_charts Jun 09_Charts for HK update May 09_CKH-17" xfId="20114"/>
    <cellStyle name="_Book4_New Target prices for Land Lords (version 1)_Company comparison Sep 08_charts Jun 09_CKH-17" xfId="20115"/>
    <cellStyle name="_Book4_New Target prices for Land Lords (version 1)_Company comparison Sep 08_charts Jun 09_EC charts Sep 09" xfId="20116"/>
    <cellStyle name="_Book4_New Target prices for Land Lords (version 1)_Company comparison Sep 08_charts Jun 09_EC charts Sep 09_Charts Sep 09 (version 2)" xfId="20117"/>
    <cellStyle name="_Book4_New Target prices for Land Lords (version 1)_Company comparison Sep 08_charts Jun 09_EC charts Sep 09_Charts Sep 09 (version 2)_CKH-17" xfId="20118"/>
    <cellStyle name="_Book4_New Target prices for Land Lords (version 1)_Company comparison Sep 08_charts Jun 09_EC charts Sep 09_CKH-17" xfId="20119"/>
    <cellStyle name="_Book4_New Target prices for Land Lords (version 1)_Company comparison Sep 08_Charts Sep 09 (version 2)" xfId="20120"/>
    <cellStyle name="_Book4_New Target prices for Land Lords (version 1)_Company comparison Sep 08_Charts Sep 09 (version 2)_CKH-17" xfId="20121"/>
    <cellStyle name="_Book4_New Target prices for Land Lords (version 1)_Company comparison Sep 08_China update table and charts Sep 08" xfId="20122"/>
    <cellStyle name="_Book4_New Target prices for Land Lords (version 1)_Company comparison Sep 08_China update table and charts Sep 08_Charts Sep 09 (version 2)" xfId="20123"/>
    <cellStyle name="_Book4_New Target prices for Land Lords (version 1)_Company comparison Sep 08_China update table and charts Sep 08_Charts Sep 09 (version 2)_CKH-17" xfId="20124"/>
    <cellStyle name="_Book4_New Target prices for Land Lords (version 1)_Company comparison Sep 08_China update table and charts Sep 08_CKH-17" xfId="20125"/>
    <cellStyle name="_Book4_New Target prices for Land Lords (version 1)_Company comparison Sep 08_CKH-17" xfId="20126"/>
    <cellStyle name="_Book4_New Target prices for Land Lords (version 1)_Company comparison Sep 08_devs vs resi index hk Dec 08" xfId="20127"/>
    <cellStyle name="_Book4_New Target prices for Land Lords (version 1)_Company comparison Sep 08_devs vs resi index hk Dec 08_Charts for HK update May 09" xfId="20128"/>
    <cellStyle name="_Book4_New Target prices for Land Lords (version 1)_Company comparison Sep 08_devs vs resi index hk Dec 08_Charts for HK update May 09_Charts Sep 09 (version 2)" xfId="20129"/>
    <cellStyle name="_Book4_New Target prices for Land Lords (version 1)_Company comparison Sep 08_devs vs resi index hk Dec 08_Charts for HK update May 09_Charts Sep 09 (version 2)_CKH-17" xfId="20130"/>
    <cellStyle name="_Book4_New Target prices for Land Lords (version 1)_Company comparison Sep 08_devs vs resi index hk Dec 08_Charts for HK update May 09_CKH-17" xfId="20131"/>
    <cellStyle name="_Book4_New Target prices for Land Lords (version 1)_Company comparison Sep 08_devs vs resi index hk Dec 08_CKH-17" xfId="20132"/>
    <cellStyle name="_Book4_New Target prices for Land Lords (version 1)_Company comparison Sep 08_devs vs resi index hk Dec 08_EC charts Sep 09" xfId="20133"/>
    <cellStyle name="_Book4_New Target prices for Land Lords (version 1)_Company comparison Sep 08_devs vs resi index hk Dec 08_EC charts Sep 09_Charts Sep 09 (version 2)" xfId="20134"/>
    <cellStyle name="_Book4_New Target prices for Land Lords (version 1)_Company comparison Sep 08_devs vs resi index hk Dec 08_EC charts Sep 09_Charts Sep 09 (version 2)_CKH-17" xfId="20135"/>
    <cellStyle name="_Book4_New Target prices for Land Lords (version 1)_Company comparison Sep 08_devs vs resi index hk Dec 08_EC charts Sep 09_CKH-17" xfId="20136"/>
    <cellStyle name="_Book4_New Target prices for Land Lords (version 1)_Company comparison Sep 08_EC charts Oct 08" xfId="20137"/>
    <cellStyle name="_Book4_New Target prices for Land Lords (version 1)_Company comparison Sep 08_EC charts Oct 08_Book50" xfId="20138"/>
    <cellStyle name="_Book4_New Target prices for Land Lords (version 1)_Company comparison Sep 08_EC charts Oct 08_Book50_CKH-17" xfId="20139"/>
    <cellStyle name="_Book4_New Target prices for Land Lords (version 1)_Company comparison Sep 08_EC charts Oct 08_Book50_EC charts Sep 09" xfId="20140"/>
    <cellStyle name="_Book4_New Target prices for Land Lords (version 1)_Company comparison Sep 08_EC charts Oct 08_Book50_EC charts Sep 09_Charts Sep 09 (version 2)" xfId="20141"/>
    <cellStyle name="_Book4_New Target prices for Land Lords (version 1)_Company comparison Sep 08_EC charts Oct 08_Book50_EC charts Sep 09_Charts Sep 09 (version 2)_CKH-17" xfId="20142"/>
    <cellStyle name="_Book4_New Target prices for Land Lords (version 1)_Company comparison Sep 08_EC charts Oct 08_Book50_EC charts Sep 09_CKH-17" xfId="20143"/>
    <cellStyle name="_Book4_New Target prices for Land Lords (version 1)_Company comparison Sep 08_EC charts Oct 08_CKH-17" xfId="20144"/>
    <cellStyle name="_Book4_New Target prices for Land Lords (version 1)_Company comparison Sep 08_EC charts Oct 08_EC charts Sep 09" xfId="20145"/>
    <cellStyle name="_Book4_New Target prices for Land Lords (version 1)_Company comparison Sep 08_EC charts Oct 08_EC charts Sep 09_Charts Sep 09 (version 2)" xfId="20146"/>
    <cellStyle name="_Book4_New Target prices for Land Lords (version 1)_Company comparison Sep 08_EC charts Oct 08_EC charts Sep 09_Charts Sep 09 (version 2)_CKH-17" xfId="20147"/>
    <cellStyle name="_Book4_New Target prices for Land Lords (version 1)_Company comparison Sep 08_EC charts Oct 08_EC charts Sep 09_CKH-17" xfId="20148"/>
    <cellStyle name="_Book4_New Target prices for Land Lords (version 1)_Company comparison Sep 08_HK developers weighted average share price vs ppty market May 09" xfId="20149"/>
    <cellStyle name="_Book4_New Target prices for Land Lords (version 1)_Company comparison Sep 08_HK developers weighted average share price vs ppty market May 09_CKH-17" xfId="20150"/>
    <cellStyle name="_Book4_New Target prices for Land Lords (version 1)_Company comparison Sep 08_HK Property data July 09" xfId="20151"/>
    <cellStyle name="_Book4_New Target prices for Land Lords (version 1)_Company comparison Sep 08_HK Property data July 09_CKH-17" xfId="20152"/>
    <cellStyle name="_Book4_New Target prices for Land Lords (version 1)_Company comparison Sep 08_HK Resi 10 outlook chts" xfId="20153"/>
    <cellStyle name="_Book4_New Target prices for Land Lords (version 1)_Company comparison Sep 08_HK Resi 10 outlook chts_CKH-17" xfId="20154"/>
    <cellStyle name="_Book4_New Target prices for Land Lords (version 1)_Company comparison Sep 08_HONG KONG PER" xfId="20155"/>
    <cellStyle name="_Book4_New Target prices for Land Lords (version 1)_Company comparison Sep 08_HONG KONG PER_Book50" xfId="20156"/>
    <cellStyle name="_Book4_New Target prices for Land Lords (version 1)_Company comparison Sep 08_HONG KONG PER_Book50_CKH-17" xfId="20157"/>
    <cellStyle name="_Book4_New Target prices for Land Lords (version 1)_Company comparison Sep 08_HONG KONG PER_Book50_EC charts Sep 09" xfId="20158"/>
    <cellStyle name="_Book4_New Target prices for Land Lords (version 1)_Company comparison Sep 08_HONG KONG PER_Book50_EC charts Sep 09_Charts Sep 09 (version 2)" xfId="20159"/>
    <cellStyle name="_Book4_New Target prices for Land Lords (version 1)_Company comparison Sep 08_HONG KONG PER_Book50_EC charts Sep 09_Charts Sep 09 (version 2)_CKH-17" xfId="20160"/>
    <cellStyle name="_Book4_New Target prices for Land Lords (version 1)_Company comparison Sep 08_HONG KONG PER_Book50_EC charts Sep 09_CKH-17" xfId="20161"/>
    <cellStyle name="_Book4_New Target prices for Land Lords (version 1)_Company comparison Sep 08_HONG KONG PER_CKH-17" xfId="20162"/>
    <cellStyle name="_Book4_New Target prices for Land Lords (version 1)_Company comparison Sep 08_HONG KONG PER_EC charts Sep 09" xfId="20163"/>
    <cellStyle name="_Book4_New Target prices for Land Lords (version 1)_Company comparison Sep 08_HONG KONG PER_EC charts Sep 09_Charts Sep 09 (version 2)" xfId="20164"/>
    <cellStyle name="_Book4_New Target prices for Land Lords (version 1)_Company comparison Sep 08_HONG KONG PER_EC charts Sep 09_Charts Sep 09 (version 2)_CKH-17" xfId="20165"/>
    <cellStyle name="_Book4_New Target prices for Land Lords (version 1)_Company comparison Sep 08_HONG KONG PER_EC charts Sep 09_CKH-17" xfId="20166"/>
    <cellStyle name="_Book4_New Target prices for Land Lords (version 1)_Company comparison Sep 08_Mirae - CH Prop NAV breakdown (Francis Chan)" xfId="20167"/>
    <cellStyle name="_Book4_New Target prices for Land Lords (version 1)_Company comparison Sep 08_Mirae - CH Prop NAV breakdown (Francis Chan)_Charts for HK update May 09" xfId="20168"/>
    <cellStyle name="_Book4_New Target prices for Land Lords (version 1)_Company comparison Sep 08_Mirae - CH Prop NAV breakdown (Francis Chan)_Charts for HK update May 09_Charts Sep 09 (version 2)" xfId="20169"/>
    <cellStyle name="_Book4_New Target prices for Land Lords (version 1)_Company comparison Sep 08_Mirae - CH Prop NAV breakdown (Francis Chan)_Charts for HK update May 09_Charts Sep 09 (version 2)_CKH-17" xfId="20170"/>
    <cellStyle name="_Book4_New Target prices for Land Lords (version 1)_Company comparison Sep 08_Mirae - CH Prop NAV breakdown (Francis Chan)_Charts for HK update May 09_CKH-17" xfId="20171"/>
    <cellStyle name="_Book4_New Target prices for Land Lords (version 1)_Company comparison Sep 08_Mirae - CH Prop NAV breakdown (Francis Chan)_CKH-17" xfId="20172"/>
    <cellStyle name="_Book4_New Target prices for Land Lords (version 1)_Company comparison Sep 08_Mirae - CH Prop NAV breakdown (Francis Chan)_EC charts Sep 09" xfId="20173"/>
    <cellStyle name="_Book4_New Target prices for Land Lords (version 1)_Company comparison Sep 08_Mirae - CH Prop NAV breakdown (Francis Chan)_EC charts Sep 09_Charts Sep 09 (version 2)" xfId="20174"/>
    <cellStyle name="_Book4_New Target prices for Land Lords (version 1)_Company comparison Sep 08_Mirae - CH Prop NAV breakdown (Francis Chan)_EC charts Sep 09_Charts Sep 09 (version 2)_CKH-17" xfId="20175"/>
    <cellStyle name="_Book4_New Target prices for Land Lords (version 1)_Company comparison Sep 08_Mirae - CH Prop NAV breakdown (Francis Chan)_EC charts Sep 09_CKH-17" xfId="20176"/>
    <cellStyle name="_Book4_New Target prices for Land Lords (version 1)_Company comparison Sep 08_RESIDENTIAL SUPPLY 2009-2010" xfId="20177"/>
    <cellStyle name="_Book4_New Target prices for Land Lords (version 1)_Company comparison Sep 08_RESIDENTIAL SUPPLY 2009-2010_CKH-17" xfId="20178"/>
    <cellStyle name="_Book4_New Target prices for Land Lords (version 1)_devs vs resi index hk Dec 08" xfId="20179"/>
    <cellStyle name="_Book4_New Target prices for Land Lords (version 1)_devs vs resi index hk Dec 08_Charts for HK update May 09" xfId="20180"/>
    <cellStyle name="_Book4_New Target prices for Land Lords (version 1)_devs vs resi index hk Dec 08_Charts for HK update May 09_Charts Sep 09 (version 2)" xfId="20181"/>
    <cellStyle name="_Book4_New Target prices for Land Lords (version 1)_devs vs resi index hk Dec 08_Charts for HK update May 09_Charts Sep 09 (version 2)_CKH-17" xfId="20182"/>
    <cellStyle name="_Book4_New Target prices for Land Lords (version 1)_devs vs resi index hk Dec 08_Charts for HK update May 09_CKH-17" xfId="20183"/>
    <cellStyle name="_Book4_New Target prices for Land Lords (version 1)_devs vs resi index hk Dec 08_CKH-17" xfId="20184"/>
    <cellStyle name="_Book4_New Target prices for Land Lords (version 1)_devs vs resi index hk Dec 08_EC charts Sep 09" xfId="20185"/>
    <cellStyle name="_Book4_New Target prices for Land Lords (version 1)_devs vs resi index hk Dec 08_EC charts Sep 09_Charts Sep 09 (version 2)" xfId="20186"/>
    <cellStyle name="_Book4_New Target prices for Land Lords (version 1)_devs vs resi index hk Dec 08_EC charts Sep 09_Charts Sep 09 (version 2)_CKH-17" xfId="20187"/>
    <cellStyle name="_Book4_New Target prices for Land Lords (version 1)_devs vs resi index hk Dec 08_EC charts Sep 09_CKH-17" xfId="20188"/>
    <cellStyle name="_Book4_New Target prices for Land Lords (version 1)_EC charts Oct 08" xfId="20189"/>
    <cellStyle name="_Book4_New Target prices for Land Lords (version 1)_EC charts Oct 08_Book50" xfId="20190"/>
    <cellStyle name="_Book4_New Target prices for Land Lords (version 1)_EC charts Oct 08_Book50_CKH-17" xfId="20191"/>
    <cellStyle name="_Book4_New Target prices for Land Lords (version 1)_EC charts Oct 08_Book50_EC charts Sep 09" xfId="20192"/>
    <cellStyle name="_Book4_New Target prices for Land Lords (version 1)_EC charts Oct 08_Book50_EC charts Sep 09_Charts Sep 09 (version 2)" xfId="20193"/>
    <cellStyle name="_Book4_New Target prices for Land Lords (version 1)_EC charts Oct 08_Book50_EC charts Sep 09_Charts Sep 09 (version 2)_CKH-17" xfId="20194"/>
    <cellStyle name="_Book4_New Target prices for Land Lords (version 1)_EC charts Oct 08_Book50_EC charts Sep 09_CKH-17" xfId="20195"/>
    <cellStyle name="_Book4_New Target prices for Land Lords (version 1)_EC charts Oct 08_Charts for HK update May 09" xfId="20196"/>
    <cellStyle name="_Book4_New Target prices for Land Lords (version 1)_EC charts Oct 08_Charts for HK update May 09_Charts Sep 09 (version 2)" xfId="20197"/>
    <cellStyle name="_Book4_New Target prices for Land Lords (version 1)_EC charts Oct 08_Charts for HK update May 09_Charts Sep 09 (version 2)_CKH-17" xfId="20198"/>
    <cellStyle name="_Book4_New Target prices for Land Lords (version 1)_EC charts Oct 08_Charts for HK update May 09_CKH-17" xfId="20199"/>
    <cellStyle name="_Book4_New Target prices for Land Lords (version 1)_EC charts Oct 08_charts Jun 09" xfId="20200"/>
    <cellStyle name="_Book4_New Target prices for Land Lords (version 1)_EC charts Oct 08_charts Jun 09_Charts for HK update May 09" xfId="20201"/>
    <cellStyle name="_Book4_New Target prices for Land Lords (version 1)_EC charts Oct 08_charts Jun 09_Charts for HK update May 09_Charts Sep 09 (version 2)" xfId="20202"/>
    <cellStyle name="_Book4_New Target prices for Land Lords (version 1)_EC charts Oct 08_charts Jun 09_Charts for HK update May 09_Charts Sep 09 (version 2)_CKH-17" xfId="20203"/>
    <cellStyle name="_Book4_New Target prices for Land Lords (version 1)_EC charts Oct 08_charts Jun 09_Charts for HK update May 09_CKH-17" xfId="20204"/>
    <cellStyle name="_Book4_New Target prices for Land Lords (version 1)_EC charts Oct 08_charts Jun 09_CKH-17" xfId="20205"/>
    <cellStyle name="_Book4_New Target prices for Land Lords (version 1)_EC charts Oct 08_charts Jun 09_EC charts Sep 09" xfId="20206"/>
    <cellStyle name="_Book4_New Target prices for Land Lords (version 1)_EC charts Oct 08_charts Jun 09_EC charts Sep 09_Charts Sep 09 (version 2)" xfId="20207"/>
    <cellStyle name="_Book4_New Target prices for Land Lords (version 1)_EC charts Oct 08_charts Jun 09_EC charts Sep 09_Charts Sep 09 (version 2)_CKH-17" xfId="20208"/>
    <cellStyle name="_Book4_New Target prices for Land Lords (version 1)_EC charts Oct 08_charts Jun 09_EC charts Sep 09_CKH-17" xfId="20209"/>
    <cellStyle name="_Book4_New Target prices for Land Lords (version 1)_EC charts Oct 08_China outlook 2010 charts and tables " xfId="20210"/>
    <cellStyle name="_Book4_New Target prices for Land Lords (version 1)_EC charts Oct 08_China outlook 2010 charts and tables _Charts Sep 09 (version 2)" xfId="20211"/>
    <cellStyle name="_Book4_New Target prices for Land Lords (version 1)_EC charts Oct 08_China outlook 2010 charts and tables _Charts Sep 09 (version 2)_CKH-17" xfId="20212"/>
    <cellStyle name="_Book4_New Target prices for Land Lords (version 1)_EC charts Oct 08_China outlook 2010 charts and tables _CKH-17" xfId="20213"/>
    <cellStyle name="_Book4_New Target prices for Land Lords (version 1)_EC charts Oct 08_CKH-17" xfId="20214"/>
    <cellStyle name="_Book4_New Target prices for Land Lords (version 1)_EC charts Oct 08_EC charts Sep 09" xfId="20215"/>
    <cellStyle name="_Book4_New Target prices for Land Lords (version 1)_EC charts Oct 08_EC charts Sep 09_Charts Sep 09 (version 2)" xfId="20216"/>
    <cellStyle name="_Book4_New Target prices for Land Lords (version 1)_EC charts Oct 08_EC charts Sep 09_Charts Sep 09 (version 2)_CKH-17" xfId="20217"/>
    <cellStyle name="_Book4_New Target prices for Land Lords (version 1)_EC charts Oct 08_EC charts Sep 09_CKH-17" xfId="20218"/>
    <cellStyle name="_Book4_New Target prices for Land Lords (version 1)_HK developers weighted average share price vs ppty market May 09" xfId="20219"/>
    <cellStyle name="_Book4_New Target prices for Land Lords (version 1)_HK developers weighted average share price vs ppty market May 09_CKH-17" xfId="20220"/>
    <cellStyle name="_Book4_New Target prices for Land Lords (version 1)_HK Devs Peak to trough 2010 Outlook" xfId="20221"/>
    <cellStyle name="_Book4_New Target prices for Land Lords (version 1)_HK Devs Peak to trough 2010 Outlook_CKH-17" xfId="20222"/>
    <cellStyle name="_Book4_New Target prices for Land Lords (version 1)_HK Property Charts Apr 09" xfId="20223"/>
    <cellStyle name="_Book4_New Target prices for Land Lords (version 1)_HK Property Charts Apr 09_CKH-17" xfId="20224"/>
    <cellStyle name="_Book4_New Target prices for Land Lords (version 1)_HK Property data July 09" xfId="20225"/>
    <cellStyle name="_Book4_New Target prices for Land Lords (version 1)_HK Property data July 09_CKH-17" xfId="20226"/>
    <cellStyle name="_Book4_New Target prices for Land Lords (version 1)_HK Resi 10 outlook chts" xfId="20227"/>
    <cellStyle name="_Book4_New Target prices for Land Lords (version 1)_HK Resi 10 outlook chts_CKH-17" xfId="20228"/>
    <cellStyle name="_Book4_New Target prices for Land Lords (version 1)_HONG KONG PER" xfId="20229"/>
    <cellStyle name="_Book4_New Target prices for Land Lords (version 1)_HONG KONG PER_Book50" xfId="20230"/>
    <cellStyle name="_Book4_New Target prices for Land Lords (version 1)_HONG KONG PER_Book50_CKH-17" xfId="20231"/>
    <cellStyle name="_Book4_New Target prices for Land Lords (version 1)_HONG KONG PER_Book50_EC charts Sep 09" xfId="20232"/>
    <cellStyle name="_Book4_New Target prices for Land Lords (version 1)_HONG KONG PER_Book50_EC charts Sep 09_Charts Sep 09 (version 2)" xfId="20233"/>
    <cellStyle name="_Book4_New Target prices for Land Lords (version 1)_HONG KONG PER_Book50_EC charts Sep 09_Charts Sep 09 (version 2)_CKH-17" xfId="20234"/>
    <cellStyle name="_Book4_New Target prices for Land Lords (version 1)_HONG KONG PER_Book50_EC charts Sep 09_CKH-17" xfId="20235"/>
    <cellStyle name="_Book4_New Target prices for Land Lords (version 1)_HONG KONG PER_CKH-17" xfId="20236"/>
    <cellStyle name="_Book4_New Target prices for Land Lords (version 1)_HONG KONG PER_EC charts Sep 09" xfId="20237"/>
    <cellStyle name="_Book4_New Target prices for Land Lords (version 1)_HONG KONG PER_EC charts Sep 09_Charts Sep 09 (version 2)" xfId="20238"/>
    <cellStyle name="_Book4_New Target prices for Land Lords (version 1)_HONG KONG PER_EC charts Sep 09_Charts Sep 09 (version 2)_CKH-17" xfId="20239"/>
    <cellStyle name="_Book4_New Target prices for Land Lords (version 1)_HONG KONG PER_EC charts Sep 09_CKH-17" xfId="20240"/>
    <cellStyle name="_Book4_New Target prices for Land Lords (version 1)_Mirae - CH Prop NAV breakdown (Francis Chan)" xfId="20241"/>
    <cellStyle name="_Book4_New Target prices for Land Lords (version 1)_Mirae - CH Prop NAV breakdown (Francis Chan)_Charts for HK update May 09" xfId="20242"/>
    <cellStyle name="_Book4_New Target prices for Land Lords (version 1)_Mirae - CH Prop NAV breakdown (Francis Chan)_Charts for HK update May 09_Charts Sep 09 (version 2)" xfId="20243"/>
    <cellStyle name="_Book4_New Target prices for Land Lords (version 1)_Mirae - CH Prop NAV breakdown (Francis Chan)_Charts for HK update May 09_Charts Sep 09 (version 2)_CKH-17" xfId="20244"/>
    <cellStyle name="_Book4_New Target prices for Land Lords (version 1)_Mirae - CH Prop NAV breakdown (Francis Chan)_Charts for HK update May 09_CKH-17" xfId="20245"/>
    <cellStyle name="_Book4_New Target prices for Land Lords (version 1)_Mirae - CH Prop NAV breakdown (Francis Chan)_CKH-17" xfId="20246"/>
    <cellStyle name="_Book4_New Target prices for Land Lords (version 1)_Mirae - CH Prop NAV breakdown (Francis Chan)_EC charts Sep 09" xfId="20247"/>
    <cellStyle name="_Book4_New Target prices for Land Lords (version 1)_Mirae - CH Prop NAV breakdown (Francis Chan)_EC charts Sep 09_Charts Sep 09 (version 2)" xfId="20248"/>
    <cellStyle name="_Book4_New Target prices for Land Lords (version 1)_Mirae - CH Prop NAV breakdown (Francis Chan)_EC charts Sep 09_Charts Sep 09 (version 2)_CKH-17" xfId="20249"/>
    <cellStyle name="_Book4_New Target prices for Land Lords (version 1)_Mirae - CH Prop NAV breakdown (Francis Chan)_EC charts Sep 09_CKH-17" xfId="20250"/>
    <cellStyle name="_Book4_New Target prices for Land Lords (version 1)_RESIDENTIAL SUPPLY 2009-2010" xfId="20251"/>
    <cellStyle name="_Book4_New Target prices for Land Lords (version 1)_RESIDENTIAL SUPPLY 2009-2010_CKH-17" xfId="20252"/>
    <cellStyle name="_Book4_RESIDENTIAL SUPPLY 2009-2010" xfId="20253"/>
    <cellStyle name="_Book4_RESIDENTIAL SUPPLY 2009-2010_CKH-17" xfId="20254"/>
    <cellStyle name="_Book49" xfId="20255"/>
    <cellStyle name="_Book49_CKH-17" xfId="20256"/>
    <cellStyle name="_Book49_EC charts Sep 09" xfId="20257"/>
    <cellStyle name="_Book49_EC charts Sep 09_Charts Sep 09 (version 2)" xfId="20258"/>
    <cellStyle name="_Book49_EC charts Sep 09_Charts Sep 09 (version 2)_CKH-17" xfId="20259"/>
    <cellStyle name="_Book49_EC charts Sep 09_CKH-17" xfId="20260"/>
    <cellStyle name="_Book5" xfId="20261"/>
    <cellStyle name="_Book5_Charts Sep 09 (version 2)" xfId="20262"/>
    <cellStyle name="_Book5_Charts Sep 09 (version 2)_CKH-17" xfId="20263"/>
    <cellStyle name="_Book5_CKH-17" xfId="20264"/>
    <cellStyle name="_Book8" xfId="20265"/>
    <cellStyle name="_Britania NAV breakdown 31 Aug 05" xfId="20266"/>
    <cellStyle name="_BS Data" xfId="20267"/>
    <cellStyle name="_BS Data_ASII - Master Model Final" xfId="20268"/>
    <cellStyle name="_BS Data_ASII - Master Model Final 2" xfId="20269"/>
    <cellStyle name="_Category_Mon Production 2" xfId="20270"/>
    <cellStyle name="_Cavey loans data Apr 08" xfId="20271"/>
    <cellStyle name="_CBIP-Model" xfId="20272"/>
    <cellStyle name="_CBIP-Model 2" xfId="20273"/>
    <cellStyle name="_CBIP-Model-200706" xfId="20274"/>
    <cellStyle name="_CBIP-Model-200706 2" xfId="20275"/>
    <cellStyle name="_CC charts" xfId="20276"/>
    <cellStyle name="_CC charts and tables Oct 08" xfId="20277"/>
    <cellStyle name="_CC charts and tables Oct 08_CKH-17" xfId="20278"/>
    <cellStyle name="_CEIC_PROPERTY PRICE  RENTAL INDEX Feb 09 " xfId="20279"/>
    <cellStyle name="_CEIC_PROPERTY PRICE  RENTAL INDEX Feb 09 _CKH-17" xfId="20280"/>
    <cellStyle name="_Charts and table for Apr 09 update" xfId="20281"/>
    <cellStyle name="_Charts and table for Apr 09 update_Charts Sep 09 (version 2)" xfId="20282"/>
    <cellStyle name="_Charts and table for Apr 09 update_Charts Sep 09 (version 2)_CKH-17" xfId="20283"/>
    <cellStyle name="_Charts and table for Apr 09 update_CKH-17" xfId="20284"/>
    <cellStyle name="_charts for Hk update Feb 08" xfId="20285"/>
    <cellStyle name="_charts for Hk update Feb 08_CKH-17" xfId="20286"/>
    <cellStyle name="_charts for Hk update Feb 08_EC charts Sep 09" xfId="20287"/>
    <cellStyle name="_charts for Hk update Feb 08_EC charts Sep 09_Charts Sep 09 (version 2)" xfId="20288"/>
    <cellStyle name="_charts for Hk update Feb 08_EC charts Sep 09_Charts Sep 09 (version 2)_CKH-17" xfId="20289"/>
    <cellStyle name="_charts for Hk update Feb 08_EC charts Sep 09_CKH-17" xfId="20290"/>
    <cellStyle name="_charts for Hk update Feb 08_HK Property data July 09" xfId="20291"/>
    <cellStyle name="_charts for Hk update Feb 08_HK Property data July 09_CKH-17" xfId="20292"/>
    <cellStyle name="_Charts for HK update May 09" xfId="20293"/>
    <cellStyle name="_Charts for HK update May 09_CKH-17" xfId="20294"/>
    <cellStyle name="_charts Jun 09" xfId="20295"/>
    <cellStyle name="_charts Jun 09_Charts for HK update May 09" xfId="20296"/>
    <cellStyle name="_charts Jun 09_Charts for HK update May 09_Charts Sep 09 (version 2)" xfId="20297"/>
    <cellStyle name="_charts Jun 09_Charts for HK update May 09_Charts Sep 09 (version 2)_CKH-17" xfId="20298"/>
    <cellStyle name="_charts Jun 09_Charts for HK update May 09_CKH-17" xfId="20299"/>
    <cellStyle name="_charts Jun 09_CKH-17" xfId="20300"/>
    <cellStyle name="_charts Jun 09_EC charts Sep 09" xfId="20301"/>
    <cellStyle name="_charts Jun 09_EC charts Sep 09_Charts Sep 09 (version 2)" xfId="20302"/>
    <cellStyle name="_charts Jun 09_EC charts Sep 09_Charts Sep 09 (version 2)_CKH-17" xfId="20303"/>
    <cellStyle name="_charts Jun 09_EC charts Sep 09_CKH-17" xfId="20304"/>
    <cellStyle name="_Charts Sep 09 (version 2)" xfId="20305"/>
    <cellStyle name="_Charts Sep 09 (version 2)_CKH-17" xfId="20306"/>
    <cellStyle name="_Charts silly season Oct 07" xfId="20307"/>
    <cellStyle name="_China annual  2" xfId="20308"/>
    <cellStyle name="_China outlook 2010 charts and tables " xfId="20309"/>
    <cellStyle name="_China PER" xfId="20310"/>
    <cellStyle name="_China property supply demand Sep 08" xfId="20311"/>
    <cellStyle name="_China update charts &amp; tables - Jul 07" xfId="20312"/>
    <cellStyle name="_China update report" xfId="20313"/>
    <cellStyle name="_China update table and charts Sep 08" xfId="20314"/>
    <cellStyle name="_China update table and charts Sep 08_1" xfId="20315"/>
    <cellStyle name="_China update table and charts Sep 08_1_Charts Sep 09 (version 2)" xfId="20316"/>
    <cellStyle name="_China update table and charts Sep 08_1_Charts Sep 09 (version 2)_CKH-17" xfId="20317"/>
    <cellStyle name="_China update table and charts Sep 08_1_CKH-17" xfId="20318"/>
    <cellStyle name="_China update table and charts Sep 08_Book4" xfId="20319"/>
    <cellStyle name="_China update table and charts Sep 08_Book4_Charts Sep 09 (version 2)" xfId="20320"/>
    <cellStyle name="_China update table and charts Sep 08_Book4_Charts Sep 09 (version 2)_CKH-17" xfId="20321"/>
    <cellStyle name="_China update table and charts Sep 08_Book4_CKH-17" xfId="20322"/>
    <cellStyle name="_China update table and charts Sep 08_CC charts and tables Oct 08" xfId="20323"/>
    <cellStyle name="_China update table and charts Sep 08_CC charts and tables Oct 08_CKH-17" xfId="20324"/>
    <cellStyle name="_China update table and charts Sep 08_CEIC_PROPERTY PRICE  RENTAL INDEX Feb 09 " xfId="20325"/>
    <cellStyle name="_China update table and charts Sep 08_CEIC_PROPERTY PRICE  RENTAL INDEX Feb 09 _CKH-17" xfId="20326"/>
    <cellStyle name="_China update table and charts Sep 08_charts Jun 09" xfId="20327"/>
    <cellStyle name="_China update table and charts Sep 08_charts Jun 09_Charts for HK update May 09" xfId="20328"/>
    <cellStyle name="_China update table and charts Sep 08_charts Jun 09_Charts for HK update May 09_Charts Sep 09 (version 2)" xfId="20329"/>
    <cellStyle name="_China update table and charts Sep 08_charts Jun 09_Charts for HK update May 09_Charts Sep 09 (version 2)_CKH-17" xfId="20330"/>
    <cellStyle name="_China update table and charts Sep 08_charts Jun 09_Charts for HK update May 09_CKH-17" xfId="20331"/>
    <cellStyle name="_China update table and charts Sep 08_charts Jun 09_CKH-17" xfId="20332"/>
    <cellStyle name="_China update table and charts Sep 08_charts Jun 09_EC charts Sep 09" xfId="20333"/>
    <cellStyle name="_China update table and charts Sep 08_charts Jun 09_EC charts Sep 09_Charts Sep 09 (version 2)" xfId="20334"/>
    <cellStyle name="_China update table and charts Sep 08_charts Jun 09_EC charts Sep 09_Charts Sep 09 (version 2)_CKH-17" xfId="20335"/>
    <cellStyle name="_China update table and charts Sep 08_charts Jun 09_EC charts Sep 09_CKH-17" xfId="20336"/>
    <cellStyle name="_China update table and charts Sep 08_Charts Sep 09 (version 2)" xfId="20337"/>
    <cellStyle name="_China update table and charts Sep 08_Charts Sep 09 (version 2)_CKH-17" xfId="20338"/>
    <cellStyle name="_China update table and charts Sep 08_China update table and charts Sep 08" xfId="20339"/>
    <cellStyle name="_China update table and charts Sep 08_China update table and charts Sep 08_Charts Sep 09 (version 2)" xfId="20340"/>
    <cellStyle name="_China update table and charts Sep 08_China update table and charts Sep 08_Charts Sep 09 (version 2)_CKH-17" xfId="20341"/>
    <cellStyle name="_China update table and charts Sep 08_China update table and charts Sep 08_CKH-17" xfId="20342"/>
    <cellStyle name="_China update table and charts Sep 08_CKH-17" xfId="20343"/>
    <cellStyle name="_China update table and charts Sep 08_devs vs resi index hk Dec 08" xfId="20344"/>
    <cellStyle name="_China update table and charts Sep 08_devs vs resi index hk Dec 08_Charts for HK update May 09" xfId="20345"/>
    <cellStyle name="_China update table and charts Sep 08_devs vs resi index hk Dec 08_Charts for HK update May 09_Charts Sep 09 (version 2)" xfId="20346"/>
    <cellStyle name="_China update table and charts Sep 08_devs vs resi index hk Dec 08_Charts for HK update May 09_Charts Sep 09 (version 2)_CKH-17" xfId="20347"/>
    <cellStyle name="_China update table and charts Sep 08_devs vs resi index hk Dec 08_Charts for HK update May 09_CKH-17" xfId="20348"/>
    <cellStyle name="_China update table and charts Sep 08_devs vs resi index hk Dec 08_CKH-17" xfId="20349"/>
    <cellStyle name="_China update table and charts Sep 08_devs vs resi index hk Dec 08_EC charts Sep 09" xfId="20350"/>
    <cellStyle name="_China update table and charts Sep 08_devs vs resi index hk Dec 08_EC charts Sep 09_Charts Sep 09 (version 2)" xfId="20351"/>
    <cellStyle name="_China update table and charts Sep 08_devs vs resi index hk Dec 08_EC charts Sep 09_Charts Sep 09 (version 2)_CKH-17" xfId="20352"/>
    <cellStyle name="_China update table and charts Sep 08_devs vs resi index hk Dec 08_EC charts Sep 09_CKH-17" xfId="20353"/>
    <cellStyle name="_China update table and charts Sep 08_EC charts Oct 08" xfId="20354"/>
    <cellStyle name="_China update table and charts Sep 08_EC charts Oct 08_Book50" xfId="20355"/>
    <cellStyle name="_China update table and charts Sep 08_EC charts Oct 08_Book50_CKH-17" xfId="20356"/>
    <cellStyle name="_China update table and charts Sep 08_EC charts Oct 08_Book50_EC charts Sep 09" xfId="20357"/>
    <cellStyle name="_China update table and charts Sep 08_EC charts Oct 08_Book50_EC charts Sep 09_Charts Sep 09 (version 2)" xfId="20358"/>
    <cellStyle name="_China update table and charts Sep 08_EC charts Oct 08_Book50_EC charts Sep 09_Charts Sep 09 (version 2)_CKH-17" xfId="20359"/>
    <cellStyle name="_China update table and charts Sep 08_EC charts Oct 08_Book50_EC charts Sep 09_CKH-17" xfId="20360"/>
    <cellStyle name="_China update table and charts Sep 08_EC charts Oct 08_CKH-17" xfId="20361"/>
    <cellStyle name="_China update table and charts Sep 08_EC charts Oct 08_EC charts Sep 09" xfId="20362"/>
    <cellStyle name="_China update table and charts Sep 08_EC charts Oct 08_EC charts Sep 09_Charts Sep 09 (version 2)" xfId="20363"/>
    <cellStyle name="_China update table and charts Sep 08_EC charts Oct 08_EC charts Sep 09_Charts Sep 09 (version 2)_CKH-17" xfId="20364"/>
    <cellStyle name="_China update table and charts Sep 08_EC charts Oct 08_EC charts Sep 09_CKH-17" xfId="20365"/>
    <cellStyle name="_China update table and charts Sep 08_HK developers weighted average share price vs ppty market May 09" xfId="20366"/>
    <cellStyle name="_China update table and charts Sep 08_HK developers weighted average share price vs ppty market May 09_CKH-17" xfId="20367"/>
    <cellStyle name="_China update table and charts Sep 08_HK Property data July 09" xfId="20368"/>
    <cellStyle name="_China update table and charts Sep 08_HK Property data July 09_CKH-17" xfId="20369"/>
    <cellStyle name="_China update table and charts Sep 08_HK Resi 10 outlook chts" xfId="20370"/>
    <cellStyle name="_China update table and charts Sep 08_HK Resi 10 outlook chts_CKH-17" xfId="20371"/>
    <cellStyle name="_China update table and charts Sep 08_HONG KONG PER" xfId="20372"/>
    <cellStyle name="_China update table and charts Sep 08_HONG KONG PER_Book50" xfId="20373"/>
    <cellStyle name="_China update table and charts Sep 08_HONG KONG PER_Book50_CKH-17" xfId="20374"/>
    <cellStyle name="_China update table and charts Sep 08_HONG KONG PER_Book50_EC charts Sep 09" xfId="20375"/>
    <cellStyle name="_China update table and charts Sep 08_HONG KONG PER_Book50_EC charts Sep 09_Charts Sep 09 (version 2)" xfId="20376"/>
    <cellStyle name="_China update table and charts Sep 08_HONG KONG PER_Book50_EC charts Sep 09_Charts Sep 09 (version 2)_CKH-17" xfId="20377"/>
    <cellStyle name="_China update table and charts Sep 08_HONG KONG PER_Book50_EC charts Sep 09_CKH-17" xfId="20378"/>
    <cellStyle name="_China update table and charts Sep 08_HONG KONG PER_CKH-17" xfId="20379"/>
    <cellStyle name="_China update table and charts Sep 08_HONG KONG PER_EC charts Sep 09" xfId="20380"/>
    <cellStyle name="_China update table and charts Sep 08_HONG KONG PER_EC charts Sep 09_Charts Sep 09 (version 2)" xfId="20381"/>
    <cellStyle name="_China update table and charts Sep 08_HONG KONG PER_EC charts Sep 09_Charts Sep 09 (version 2)_CKH-17" xfId="20382"/>
    <cellStyle name="_China update table and charts Sep 08_HONG KONG PER_EC charts Sep 09_CKH-17" xfId="20383"/>
    <cellStyle name="_China update table and charts Sep 08_Mirae - CH Prop NAV breakdown (Francis Chan)" xfId="20384"/>
    <cellStyle name="_China update table and charts Sep 08_Mirae - CH Prop NAV breakdown (Francis Chan)_Charts for HK update May 09" xfId="20385"/>
    <cellStyle name="_China update table and charts Sep 08_Mirae - CH Prop NAV breakdown (Francis Chan)_Charts for HK update May 09_Charts Sep 09 (version 2)" xfId="20386"/>
    <cellStyle name="_China update table and charts Sep 08_Mirae - CH Prop NAV breakdown (Francis Chan)_Charts for HK update May 09_Charts Sep 09 (version 2)_CKH-17" xfId="20387"/>
    <cellStyle name="_China update table and charts Sep 08_Mirae - CH Prop NAV breakdown (Francis Chan)_Charts for HK update May 09_CKH-17" xfId="20388"/>
    <cellStyle name="_China update table and charts Sep 08_Mirae - CH Prop NAV breakdown (Francis Chan)_CKH-17" xfId="20389"/>
    <cellStyle name="_China update table and charts Sep 08_Mirae - CH Prop NAV breakdown (Francis Chan)_EC charts Sep 09" xfId="20390"/>
    <cellStyle name="_China update table and charts Sep 08_Mirae - CH Prop NAV breakdown (Francis Chan)_EC charts Sep 09_Charts Sep 09 (version 2)" xfId="20391"/>
    <cellStyle name="_China update table and charts Sep 08_Mirae - CH Prop NAV breakdown (Francis Chan)_EC charts Sep 09_Charts Sep 09 (version 2)_CKH-17" xfId="20392"/>
    <cellStyle name="_China update table and charts Sep 08_Mirae - CH Prop NAV breakdown (Francis Chan)_EC charts Sep 09_CKH-17" xfId="20393"/>
    <cellStyle name="_China update table and charts Sep 08_RESIDENTIAL SUPPLY 2009-2010" xfId="20394"/>
    <cellStyle name="_China update table and charts Sep 08_RESIDENTIAL SUPPLY 2009-2010_CKH-17" xfId="20395"/>
    <cellStyle name="_CKH-Stub" xfId="20396"/>
    <cellStyle name="_Company comparison Sep 08" xfId="20397"/>
    <cellStyle name="_Copy of Turnkey Apr 07 Charts and Tables MN" xfId="20398"/>
    <cellStyle name="_CORRECTIONS of EC charts Oct 08" xfId="20399"/>
    <cellStyle name="_CORRECTIONS of EC charts Oct 08_CKH-17" xfId="20400"/>
    <cellStyle name="_CORRECTIONS of EC charts Oct 08_EC charts Sep 09" xfId="20401"/>
    <cellStyle name="_CORRECTIONS of EC charts Oct 08_EC charts Sep 09_Charts Sep 09 (version 2)" xfId="20402"/>
    <cellStyle name="_CORRECTIONS of EC charts Oct 08_EC charts Sep 09_Charts Sep 09 (version 2)_CKH-17" xfId="20403"/>
    <cellStyle name="_CORRECTIONS of EC charts Oct 08_EC charts Sep 09_CKH-17" xfId="20404"/>
    <cellStyle name="_CORRECTIONS of EC charts Oct 08_HK Property data July 09" xfId="20405"/>
    <cellStyle name="_CORRECTIONS of EC charts Oct 08_HK Property data July 09_CKH-17" xfId="20406"/>
    <cellStyle name="_Cxmodel" xfId="20407"/>
    <cellStyle name="_devs vs resi index hk Dec 08" xfId="20408"/>
    <cellStyle name="_devs vs resi index hk Dec 08_Charts for HK update May 09" xfId="20409"/>
    <cellStyle name="_devs vs resi index hk Dec 08_Charts for HK update May 09_Charts Sep 09 (version 2)" xfId="20410"/>
    <cellStyle name="_devs vs resi index hk Dec 08_Charts for HK update May 09_Charts Sep 09 (version 2)_CKH-17" xfId="20411"/>
    <cellStyle name="_devs vs resi index hk Dec 08_Charts for HK update May 09_CKH-17" xfId="20412"/>
    <cellStyle name="_devs vs resi index hk Dec 08_CKH-17" xfId="20413"/>
    <cellStyle name="_devs vs resi index hk Dec 08_EC charts Sep 09" xfId="20414"/>
    <cellStyle name="_devs vs resi index hk Dec 08_EC charts Sep 09_Charts Sep 09 (version 2)" xfId="20415"/>
    <cellStyle name="_devs vs resi index hk Dec 08_EC charts Sep 09_Charts Sep 09 (version 2)_CKH-17" xfId="20416"/>
    <cellStyle name="_devs vs resi index hk Dec 08_EC charts Sep 09_CKH-17" xfId="20417"/>
    <cellStyle name="_EC charts Oct 08" xfId="20418"/>
    <cellStyle name="_EC charts Oct 08_1" xfId="20419"/>
    <cellStyle name="_EC charts Oct 08_1_Book50" xfId="20420"/>
    <cellStyle name="_EC charts Oct 08_1_Book50_CKH-17" xfId="20421"/>
    <cellStyle name="_EC charts Oct 08_1_Book50_EC charts Sep 09" xfId="20422"/>
    <cellStyle name="_EC charts Oct 08_1_Book50_EC charts Sep 09_Charts Sep 09 (version 2)" xfId="20423"/>
    <cellStyle name="_EC charts Oct 08_1_Book50_EC charts Sep 09_Charts Sep 09 (version 2)_CKH-17" xfId="20424"/>
    <cellStyle name="_EC charts Oct 08_1_Book50_EC charts Sep 09_CKH-17" xfId="20425"/>
    <cellStyle name="_EC charts Oct 08_1_CKH-17" xfId="20426"/>
    <cellStyle name="_EC charts Oct 08_1_EC charts Sep 09" xfId="20427"/>
    <cellStyle name="_EC charts Oct 08_1_EC charts Sep 09_Charts Sep 09 (version 2)" xfId="20428"/>
    <cellStyle name="_EC charts Oct 08_1_EC charts Sep 09_Charts Sep 09 (version 2)_CKH-17" xfId="20429"/>
    <cellStyle name="_EC charts Oct 08_1_EC charts Sep 09_CKH-17" xfId="20430"/>
    <cellStyle name="_EC charts Oct 08_Charts for HK update May 09" xfId="20431"/>
    <cellStyle name="_EC charts Oct 08_Charts for HK update May 09_Charts Sep 09 (version 2)" xfId="20432"/>
    <cellStyle name="_EC charts Oct 08_Charts for HK update May 09_Charts Sep 09 (version 2)_CKH-17" xfId="20433"/>
    <cellStyle name="_EC charts Oct 08_Charts for HK update May 09_CKH-17" xfId="20434"/>
    <cellStyle name="_EC charts Oct 08_charts Jun 09" xfId="20435"/>
    <cellStyle name="_EC charts Oct 08_charts Jun 09_Charts for HK update May 09" xfId="20436"/>
    <cellStyle name="_EC charts Oct 08_charts Jun 09_Charts for HK update May 09_Charts Sep 09 (version 2)" xfId="20437"/>
    <cellStyle name="_EC charts Oct 08_charts Jun 09_Charts for HK update May 09_Charts Sep 09 (version 2)_CKH-17" xfId="20438"/>
    <cellStyle name="_EC charts Oct 08_charts Jun 09_Charts for HK update May 09_CKH-17" xfId="20439"/>
    <cellStyle name="_EC charts Oct 08_charts Jun 09_CKH-17" xfId="20440"/>
    <cellStyle name="_EC charts Oct 08_charts Jun 09_EC charts Sep 09" xfId="20441"/>
    <cellStyle name="_EC charts Oct 08_charts Jun 09_EC charts Sep 09_Charts Sep 09 (version 2)" xfId="20442"/>
    <cellStyle name="_EC charts Oct 08_charts Jun 09_EC charts Sep 09_Charts Sep 09 (version 2)_CKH-17" xfId="20443"/>
    <cellStyle name="_EC charts Oct 08_charts Jun 09_EC charts Sep 09_CKH-17" xfId="20444"/>
    <cellStyle name="_EC charts Oct 08_China outlook 2010 charts and tables " xfId="20445"/>
    <cellStyle name="_EC charts Oct 08_China outlook 2010 charts and tables _Charts Sep 09 (version 2)" xfId="20446"/>
    <cellStyle name="_EC charts Oct 08_China outlook 2010 charts and tables _Charts Sep 09 (version 2)_CKH-17" xfId="20447"/>
    <cellStyle name="_EC charts Oct 08_China outlook 2010 charts and tables _CKH-17" xfId="20448"/>
    <cellStyle name="_EC charts Oct 08_CKH-17" xfId="20449"/>
    <cellStyle name="_EC charts Oct 08_EC charts Sep 09" xfId="20450"/>
    <cellStyle name="_EC charts Oct 08_EC charts Sep 09_Charts Sep 09 (version 2)" xfId="20451"/>
    <cellStyle name="_EC charts Oct 08_EC charts Sep 09_Charts Sep 09 (version 2)_CKH-17" xfId="20452"/>
    <cellStyle name="_EC charts Oct 08_EC charts Sep 09_CKH-17" xfId="20453"/>
    <cellStyle name="_EC charts Oct 08_HK Property data July 09" xfId="20454"/>
    <cellStyle name="_EC charts Oct 08_HK Property data July 09_CKH-17" xfId="20455"/>
    <cellStyle name="_Euro inv. - HK China Valuation feb 09 " xfId="20456"/>
    <cellStyle name="_Euro inv. - HK China Valuation feb 09 _Charts Sep 09 (version 2)" xfId="20457"/>
    <cellStyle name="_Euro inv. - HK China Valuation feb 09 _Charts Sep 09 (version 2)_CKH-17" xfId="20458"/>
    <cellStyle name="_Euro inv. - HK China Valuation feb 09 _CKH-17" xfId="20459"/>
    <cellStyle name="_FA" xfId="20460"/>
    <cellStyle name="_FA 2" xfId="20461"/>
    <cellStyle name="_Fleet 2" xfId="20462"/>
    <cellStyle name="_Global Comps - Full Service - 12 Jan  2001" xfId="20463"/>
    <cellStyle name="_Global Comps - Full Service - 12 Jan  2001 2" xfId="20464"/>
    <cellStyle name="_Global Comps - Full Service - 12 Jan  2001_Book1" xfId="20465"/>
    <cellStyle name="_Global Comps - Full Service - 12 Jan  2001_Book1 2" xfId="20466"/>
    <cellStyle name="_Global Comps - Full Service - 12 Jan  2001_Book28" xfId="20467"/>
    <cellStyle name="_Global Comps - Full Service - 12 Jan  2001_Book28 2" xfId="20468"/>
    <cellStyle name="_Global Comps - Full Service - 12 Jan  2001_SP Setia EM" xfId="20469"/>
    <cellStyle name="_Global Comps - Full Service - 12 Jan  2001_SP Setia EM 2" xfId="20470"/>
    <cellStyle name="_Global Comps - Full Service - 12 Jan  2001_SP Setia EM iQ 4.2" xfId="20471"/>
    <cellStyle name="_Global Comps - Full Service - 12 Jan  2001_SP Setia EM iQ 4.2 2" xfId="20472"/>
    <cellStyle name="_Global Comps - Full Service - 18 June 2001" xfId="20473"/>
    <cellStyle name="_Global Comps - Full Service - 18 June 2001 2" xfId="20474"/>
    <cellStyle name="_Global Comps - Full Service - 18 June 2001_Book1" xfId="20475"/>
    <cellStyle name="_Global Comps - Full Service - 18 June 2001_Book1 2" xfId="20476"/>
    <cellStyle name="_Global Comps - Full Service - 18 June 2001_Book28" xfId="20477"/>
    <cellStyle name="_Global Comps - Full Service - 18 June 2001_Book28 2" xfId="20478"/>
    <cellStyle name="_Global Comps - Full Service - 18 June 2001_SP Setia EM" xfId="20479"/>
    <cellStyle name="_Global Comps - Full Service - 18 June 2001_SP Setia EM 2" xfId="20480"/>
    <cellStyle name="_Global Comps - Full Service - 18 June 2001_SP Setia EM iQ 4.2" xfId="20481"/>
    <cellStyle name="_Global Comps - Full Service - 18 June 2001_SP Setia EM iQ 4.2 2" xfId="20482"/>
    <cellStyle name="_Global Comps - Full Service - 20 June 2001" xfId="20483"/>
    <cellStyle name="_Global Comps - Full Service - 20 June 2001 2" xfId="20484"/>
    <cellStyle name="_Global Comps - Full Service - 20 June 2001_Book1" xfId="20485"/>
    <cellStyle name="_Global Comps - Full Service - 20 June 2001_Book1 2" xfId="20486"/>
    <cellStyle name="_Global Comps - Full Service - 20 June 2001_Book28" xfId="20487"/>
    <cellStyle name="_Global Comps - Full Service - 20 June 2001_Book28 2" xfId="20488"/>
    <cellStyle name="_Global Comps - Full Service - 20 June 2001_SP Setia EM" xfId="20489"/>
    <cellStyle name="_Global Comps - Full Service - 20 June 2001_SP Setia EM 2" xfId="20490"/>
    <cellStyle name="_Global Comps - Full Service - 20 June 2001_SP Setia EM iQ 4.2" xfId="20491"/>
    <cellStyle name="_Global Comps - Full Service - 20 June 2001_SP Setia EM iQ 4.2 2" xfId="20492"/>
    <cellStyle name="_HANANEW" xfId="20493"/>
    <cellStyle name="_HANANEW_ASII - Master Model Final" xfId="20494"/>
    <cellStyle name="_HANANEW_ASII - Master Model Final 2" xfId="20495"/>
    <cellStyle name="_hhold" xfId="20496"/>
    <cellStyle name="_hhold_CEIC_PROPERTY PRICE  RENTAL INDEX Feb 09 " xfId="20497"/>
    <cellStyle name="_hhold_CEIC_PROPERTY PRICE  RENTAL INDEX Feb 09 _CKH-17" xfId="20498"/>
    <cellStyle name="_hhold_charts Jun 09" xfId="20499"/>
    <cellStyle name="_hhold_charts Jun 09_Charts for HK update May 09" xfId="20500"/>
    <cellStyle name="_hhold_charts Jun 09_Charts for HK update May 09_Charts Sep 09 (version 2)" xfId="20501"/>
    <cellStyle name="_hhold_charts Jun 09_Charts for HK update May 09_Charts Sep 09 (version 2)_CKH-17" xfId="20502"/>
    <cellStyle name="_hhold_charts Jun 09_Charts for HK update May 09_CKH-17" xfId="20503"/>
    <cellStyle name="_hhold_charts Jun 09_CKH-17" xfId="20504"/>
    <cellStyle name="_hhold_charts Jun 09_EC charts Sep 09" xfId="20505"/>
    <cellStyle name="_hhold_charts Jun 09_EC charts Sep 09_Charts Sep 09 (version 2)" xfId="20506"/>
    <cellStyle name="_hhold_charts Jun 09_EC charts Sep 09_Charts Sep 09 (version 2)_CKH-17" xfId="20507"/>
    <cellStyle name="_hhold_charts Jun 09_EC charts Sep 09_CKH-17" xfId="20508"/>
    <cellStyle name="_hhold_Charts Sep 09 (version 2)" xfId="20509"/>
    <cellStyle name="_hhold_Charts Sep 09 (version 2)_CKH-17" xfId="20510"/>
    <cellStyle name="_hhold_CKH-17" xfId="20511"/>
    <cellStyle name="_hhold_devs vs resi index hk Dec 08" xfId="20512"/>
    <cellStyle name="_hhold_devs vs resi index hk Dec 08_Charts for HK update May 09" xfId="20513"/>
    <cellStyle name="_hhold_devs vs resi index hk Dec 08_Charts for HK update May 09_Charts Sep 09 (version 2)" xfId="20514"/>
    <cellStyle name="_hhold_devs vs resi index hk Dec 08_Charts for HK update May 09_Charts Sep 09 (version 2)_CKH-17" xfId="20515"/>
    <cellStyle name="_hhold_devs vs resi index hk Dec 08_Charts for HK update May 09_CKH-17" xfId="20516"/>
    <cellStyle name="_hhold_devs vs resi index hk Dec 08_CKH-17" xfId="20517"/>
    <cellStyle name="_hhold_devs vs resi index hk Dec 08_EC charts Sep 09" xfId="20518"/>
    <cellStyle name="_hhold_devs vs resi index hk Dec 08_EC charts Sep 09_Charts Sep 09 (version 2)" xfId="20519"/>
    <cellStyle name="_hhold_devs vs resi index hk Dec 08_EC charts Sep 09_Charts Sep 09 (version 2)_CKH-17" xfId="20520"/>
    <cellStyle name="_hhold_devs vs resi index hk Dec 08_EC charts Sep 09_CKH-17" xfId="20521"/>
    <cellStyle name="_hhold_EC charts Oct 08" xfId="20522"/>
    <cellStyle name="_hhold_EC charts Oct 08_Book50" xfId="20523"/>
    <cellStyle name="_hhold_EC charts Oct 08_Book50_CKH-17" xfId="20524"/>
    <cellStyle name="_hhold_EC charts Oct 08_Book50_EC charts Sep 09" xfId="20525"/>
    <cellStyle name="_hhold_EC charts Oct 08_Book50_EC charts Sep 09_Charts Sep 09 (version 2)" xfId="20526"/>
    <cellStyle name="_hhold_EC charts Oct 08_Book50_EC charts Sep 09_Charts Sep 09 (version 2)_CKH-17" xfId="20527"/>
    <cellStyle name="_hhold_EC charts Oct 08_Book50_EC charts Sep 09_CKH-17" xfId="20528"/>
    <cellStyle name="_hhold_EC charts Oct 08_CKH-17" xfId="20529"/>
    <cellStyle name="_hhold_EC charts Oct 08_EC charts Sep 09" xfId="20530"/>
    <cellStyle name="_hhold_EC charts Oct 08_EC charts Sep 09_Charts Sep 09 (version 2)" xfId="20531"/>
    <cellStyle name="_hhold_EC charts Oct 08_EC charts Sep 09_Charts Sep 09 (version 2)_CKH-17" xfId="20532"/>
    <cellStyle name="_hhold_EC charts Oct 08_EC charts Sep 09_CKH-17" xfId="20533"/>
    <cellStyle name="_hhold_HK developers weighted average share price vs ppty market May 09" xfId="20534"/>
    <cellStyle name="_hhold_HK developers weighted average share price vs ppty market May 09_CKH-17" xfId="20535"/>
    <cellStyle name="_hhold_HK Property data July 09" xfId="20536"/>
    <cellStyle name="_hhold_HK Property data July 09_CKH-17" xfId="20537"/>
    <cellStyle name="_hhold_HK Resi 10 outlook chts" xfId="20538"/>
    <cellStyle name="_hhold_HK Resi 10 outlook chts_CKH-17" xfId="20539"/>
    <cellStyle name="_hhold_HONG KONG PER" xfId="20540"/>
    <cellStyle name="_hhold_HONG KONG PER_Book50" xfId="20541"/>
    <cellStyle name="_hhold_HONG KONG PER_Book50_CKH-17" xfId="20542"/>
    <cellStyle name="_hhold_HONG KONG PER_Book50_EC charts Sep 09" xfId="20543"/>
    <cellStyle name="_hhold_HONG KONG PER_Book50_EC charts Sep 09_Charts Sep 09 (version 2)" xfId="20544"/>
    <cellStyle name="_hhold_HONG KONG PER_Book50_EC charts Sep 09_Charts Sep 09 (version 2)_CKH-17" xfId="20545"/>
    <cellStyle name="_hhold_HONG KONG PER_Book50_EC charts Sep 09_CKH-17" xfId="20546"/>
    <cellStyle name="_hhold_HONG KONG PER_CKH-17" xfId="20547"/>
    <cellStyle name="_hhold_HONG KONG PER_EC charts Sep 09" xfId="20548"/>
    <cellStyle name="_hhold_HONG KONG PER_EC charts Sep 09_Charts Sep 09 (version 2)" xfId="20549"/>
    <cellStyle name="_hhold_HONG KONG PER_EC charts Sep 09_Charts Sep 09 (version 2)_CKH-17" xfId="20550"/>
    <cellStyle name="_hhold_HONG KONG PER_EC charts Sep 09_CKH-17" xfId="20551"/>
    <cellStyle name="_hhold_RESIDENTIAL SUPPLY 2009-2010" xfId="20552"/>
    <cellStyle name="_hhold_RESIDENTIAL SUPPLY 2009-2010_CKH-17" xfId="20553"/>
    <cellStyle name="_HK Dev" xfId="20554"/>
    <cellStyle name="_HK Dev_CKH-17" xfId="20555"/>
    <cellStyle name="_HK developers weighted average share price vs ppty market May 09" xfId="20556"/>
    <cellStyle name="_HK developers weighted average share price vs ppty market May 09_CKH-17" xfId="20557"/>
    <cellStyle name="_HK Devs Peak to trough" xfId="20558"/>
    <cellStyle name="_HK Devs Peak to trough 2010 Outlook" xfId="20559"/>
    <cellStyle name="_HK Devs Peak to trough 2010 Outlook_CKH-17" xfId="20560"/>
    <cellStyle name="_HK Devs Peak to trough_CC charts and tables Oct 08" xfId="20561"/>
    <cellStyle name="_HK Devs Peak to trough_CC charts and tables Oct 08_CKH-17" xfId="20562"/>
    <cellStyle name="_HK Devs Peak to trough_CEIC_PROPERTY PRICE  RENTAL INDEX Feb 09 " xfId="20563"/>
    <cellStyle name="_HK Devs Peak to trough_CEIC_PROPERTY PRICE  RENTAL INDEX Feb 09 _CKH-17" xfId="20564"/>
    <cellStyle name="_HK Devs Peak to trough_charts Jun 09" xfId="20565"/>
    <cellStyle name="_HK Devs Peak to trough_charts Jun 09_Charts for HK update May 09" xfId="20566"/>
    <cellStyle name="_HK Devs Peak to trough_charts Jun 09_Charts for HK update May 09_Charts Sep 09 (version 2)" xfId="20567"/>
    <cellStyle name="_HK Devs Peak to trough_charts Jun 09_Charts for HK update May 09_Charts Sep 09 (version 2)_CKH-17" xfId="20568"/>
    <cellStyle name="_HK Devs Peak to trough_charts Jun 09_Charts for HK update May 09_CKH-17" xfId="20569"/>
    <cellStyle name="_HK Devs Peak to trough_charts Jun 09_CKH-17" xfId="20570"/>
    <cellStyle name="_HK Devs Peak to trough_charts Jun 09_EC charts Sep 09" xfId="20571"/>
    <cellStyle name="_HK Devs Peak to trough_charts Jun 09_EC charts Sep 09_Charts Sep 09 (version 2)" xfId="20572"/>
    <cellStyle name="_HK Devs Peak to trough_charts Jun 09_EC charts Sep 09_Charts Sep 09 (version 2)_CKH-17" xfId="20573"/>
    <cellStyle name="_HK Devs Peak to trough_charts Jun 09_EC charts Sep 09_CKH-17" xfId="20574"/>
    <cellStyle name="_HK Devs Peak to trough_Charts Sep 09 (version 2)" xfId="20575"/>
    <cellStyle name="_HK Devs Peak to trough_Charts Sep 09 (version 2)_CKH-17" xfId="20576"/>
    <cellStyle name="_HK Devs Peak to trough_CKH-17" xfId="20577"/>
    <cellStyle name="_HK Devs Peak to trough_devs vs resi index hk Dec 08" xfId="20578"/>
    <cellStyle name="_HK Devs Peak to trough_devs vs resi index hk Dec 08_Charts for HK update May 09" xfId="20579"/>
    <cellStyle name="_HK Devs Peak to trough_devs vs resi index hk Dec 08_Charts for HK update May 09_Charts Sep 09 (version 2)" xfId="20580"/>
    <cellStyle name="_HK Devs Peak to trough_devs vs resi index hk Dec 08_Charts for HK update May 09_Charts Sep 09 (version 2)_CKH-17" xfId="20581"/>
    <cellStyle name="_HK Devs Peak to trough_devs vs resi index hk Dec 08_Charts for HK update May 09_CKH-17" xfId="20582"/>
    <cellStyle name="_HK Devs Peak to trough_devs vs resi index hk Dec 08_CKH-17" xfId="20583"/>
    <cellStyle name="_HK Devs Peak to trough_devs vs resi index hk Dec 08_EC charts Sep 09" xfId="20584"/>
    <cellStyle name="_HK Devs Peak to trough_devs vs resi index hk Dec 08_EC charts Sep 09_Charts Sep 09 (version 2)" xfId="20585"/>
    <cellStyle name="_HK Devs Peak to trough_devs vs resi index hk Dec 08_EC charts Sep 09_Charts Sep 09 (version 2)_CKH-17" xfId="20586"/>
    <cellStyle name="_HK Devs Peak to trough_devs vs resi index hk Dec 08_EC charts Sep 09_CKH-17" xfId="20587"/>
    <cellStyle name="_HK Devs Peak to trough_EC charts Oct 08" xfId="20588"/>
    <cellStyle name="_HK Devs Peak to trough_EC charts Oct 08_Book50" xfId="20589"/>
    <cellStyle name="_HK Devs Peak to trough_EC charts Oct 08_Book50_CKH-17" xfId="20590"/>
    <cellStyle name="_HK Devs Peak to trough_EC charts Oct 08_Book50_EC charts Sep 09" xfId="20591"/>
    <cellStyle name="_HK Devs Peak to trough_EC charts Oct 08_Book50_EC charts Sep 09_Charts Sep 09 (version 2)" xfId="20592"/>
    <cellStyle name="_HK Devs Peak to trough_EC charts Oct 08_Book50_EC charts Sep 09_Charts Sep 09 (version 2)_CKH-17" xfId="20593"/>
    <cellStyle name="_HK Devs Peak to trough_EC charts Oct 08_Book50_EC charts Sep 09_CKH-17" xfId="20594"/>
    <cellStyle name="_HK Devs Peak to trough_EC charts Oct 08_CKH-17" xfId="20595"/>
    <cellStyle name="_HK Devs Peak to trough_EC charts Oct 08_EC charts Sep 09" xfId="20596"/>
    <cellStyle name="_HK Devs Peak to trough_EC charts Oct 08_EC charts Sep 09_Charts Sep 09 (version 2)" xfId="20597"/>
    <cellStyle name="_HK Devs Peak to trough_EC charts Oct 08_EC charts Sep 09_Charts Sep 09 (version 2)_CKH-17" xfId="20598"/>
    <cellStyle name="_HK Devs Peak to trough_EC charts Oct 08_EC charts Sep 09_CKH-17" xfId="20599"/>
    <cellStyle name="_HK Devs Peak to trough_HK developers weighted average share price vs ppty market May 09" xfId="20600"/>
    <cellStyle name="_HK Devs Peak to trough_HK developers weighted average share price vs ppty market May 09_CKH-17" xfId="20601"/>
    <cellStyle name="_HK Devs Peak to trough_HK Devs Peak to trough 2010 Outlook" xfId="20602"/>
    <cellStyle name="_HK Devs Peak to trough_HK Devs Peak to trough 2010 Outlook_CKH-17" xfId="20603"/>
    <cellStyle name="_HK Devs Peak to trough_HK Property data July 09" xfId="20604"/>
    <cellStyle name="_HK Devs Peak to trough_HK Property data July 09_CKH-17" xfId="20605"/>
    <cellStyle name="_HK Devs Peak to trough_HK Resi 10 outlook chts" xfId="20606"/>
    <cellStyle name="_HK Devs Peak to trough_HK Resi 10 outlook chts_CKH-17" xfId="20607"/>
    <cellStyle name="_HK Devs Peak to trough_HONG KONG PER" xfId="20608"/>
    <cellStyle name="_HK Devs Peak to trough_HONG KONG PER_Book50" xfId="20609"/>
    <cellStyle name="_HK Devs Peak to trough_HONG KONG PER_Book50_EC charts Sep 09" xfId="20610"/>
    <cellStyle name="_HK Devs Peak to trough_HONG KONG PER_Book50_EC charts Sep 09_Charts Sep 09 (version 2)" xfId="20611"/>
    <cellStyle name="_HK Devs Peak to trough_HONG KONG PER_CKH-17" xfId="20612"/>
    <cellStyle name="_HK Devs Peak to trough_HONG KONG PER_EC charts Sep 09" xfId="20613"/>
    <cellStyle name="_HK Devs Peak to trough_HONG KONG PER_EC charts Sep 09_Charts Sep 09 (version 2)" xfId="20614"/>
    <cellStyle name="_HK Devs Peak to trough_RESIDENTIAL SUPPLY 2009-2010" xfId="20615"/>
    <cellStyle name="_HK Property Apr 09" xfId="20616"/>
    <cellStyle name="_HK Property Apr 09_EC charts Sep 09" xfId="20617"/>
    <cellStyle name="_HK Property Apr 09_EC charts Sep 09_Charts Sep 09 (version 2)" xfId="20618"/>
    <cellStyle name="_HK Property Charts Apr 09" xfId="20619"/>
    <cellStyle name="_HK Property Charts Apr 09_EC charts Sep 09" xfId="20620"/>
    <cellStyle name="_HK Property Charts Apr 09_EC charts Sep 09_Charts Sep 09 (version 2)" xfId="20621"/>
    <cellStyle name="_HK Resi 09 outlook chts" xfId="20622"/>
    <cellStyle name="_HK Resi 09 outlook chts_CC charts and tables Oct 08" xfId="20623"/>
    <cellStyle name="_HK Resi 09 outlook chts_CEIC_PROPERTY PRICE  RENTAL INDEX Feb 09 " xfId="20624"/>
    <cellStyle name="_HK Resi 09 outlook chts_charts Jun 09" xfId="20625"/>
    <cellStyle name="_HK Resi 09 outlook chts_charts Jun 09_Charts for HK update May 09" xfId="20626"/>
    <cellStyle name="_HK Resi 09 outlook chts_charts Jun 09_Charts for HK update May 09_Charts Sep 09 (version 2)" xfId="20627"/>
    <cellStyle name="_HK Resi 09 outlook chts_charts Jun 09_EC charts Sep 09" xfId="20628"/>
    <cellStyle name="_HK Resi 09 outlook chts_charts Jun 09_EC charts Sep 09_Charts Sep 09 (version 2)" xfId="20629"/>
    <cellStyle name="_HK Resi 09 outlook chts_Charts Sep 09 (version 2)" xfId="20630"/>
    <cellStyle name="_HK Resi 09 outlook chts_devs vs resi index hk Dec 08" xfId="20631"/>
    <cellStyle name="_HK Resi 09 outlook chts_devs vs resi index hk Dec 08_Charts for HK update May 09" xfId="20632"/>
    <cellStyle name="_HK Resi 09 outlook chts_devs vs resi index hk Dec 08_Charts for HK update May 09_Charts Sep 09 (version 2)" xfId="20633"/>
    <cellStyle name="_HK Resi 09 outlook chts_devs vs resi index hk Dec 08_EC charts Sep 09" xfId="20634"/>
    <cellStyle name="_HK Resi 09 outlook chts_devs vs resi index hk Dec 08_EC charts Sep 09_Charts Sep 09 (version 2)" xfId="20635"/>
    <cellStyle name="_HK Resi 09 outlook chts_EC charts Oct 08" xfId="20636"/>
    <cellStyle name="_HK Resi 09 outlook chts_EC charts Oct 08_Book50" xfId="20637"/>
    <cellStyle name="_HK Resi 09 outlook chts_EC charts Oct 08_Book50_EC charts Sep 09" xfId="20638"/>
    <cellStyle name="_HK Resi 09 outlook chts_EC charts Oct 08_Book50_EC charts Sep 09_Charts Sep 09 (version 2)" xfId="20639"/>
    <cellStyle name="_HK Resi 09 outlook chts_EC charts Oct 08_EC charts Sep 09" xfId="20640"/>
    <cellStyle name="_HK Resi 09 outlook chts_EC charts Oct 08_EC charts Sep 09_Charts Sep 09 (version 2)" xfId="20641"/>
    <cellStyle name="_HK Resi 09 outlook chts_HK developers weighted average share price vs ppty market May 09" xfId="20642"/>
    <cellStyle name="_HK Resi 09 outlook chts_HK Devs Peak to trough 2010 Outlook" xfId="20643"/>
    <cellStyle name="_HK Resi 09 outlook chts_HK Property data July 09" xfId="20644"/>
    <cellStyle name="_HK Resi 09 outlook chts_HK Resi 10 outlook chts" xfId="20645"/>
    <cellStyle name="_HK Resi 09 outlook chts_HONG KONG PER" xfId="20646"/>
    <cellStyle name="_HK Resi 09 outlook chts_HONG KONG PER_Book50" xfId="20647"/>
    <cellStyle name="_HK Resi 09 outlook chts_HONG KONG PER_Book50_EC charts Sep 09" xfId="20648"/>
    <cellStyle name="_HK Resi 09 outlook chts_HONG KONG PER_Book50_EC charts Sep 09_Charts Sep 09 (version 2)" xfId="20649"/>
    <cellStyle name="_HK Resi 09 outlook chts_HONG KONG PER_EC charts Sep 09" xfId="20650"/>
    <cellStyle name="_HK Resi 09 outlook chts_HONG KONG PER_EC charts Sep 09_Charts Sep 09 (version 2)" xfId="20651"/>
    <cellStyle name="_HK Resi 09 outlook chts_RESIDENTIAL SUPPLY 2009-2010" xfId="20652"/>
    <cellStyle name="_HK Resi 10 outlook chts" xfId="20653"/>
    <cellStyle name="_Hkland19-greenlight" xfId="20654"/>
    <cellStyle name="_HONG KONG PER" xfId="20655"/>
    <cellStyle name="_HONG KONG PER_Book50" xfId="20656"/>
    <cellStyle name="_HONG KONG PER_Book50_EC charts Sep 09" xfId="20657"/>
    <cellStyle name="_HONG KONG PER_Book50_EC charts Sep 09_Charts Sep 09 (version 2)" xfId="20658"/>
    <cellStyle name="_HONG KONG PER_EC charts Sep 09" xfId="20659"/>
    <cellStyle name="_HONG KONG PER_EC charts Sep 09_Charts Sep 09 (version 2)" xfId="20660"/>
    <cellStyle name="_IOI Corp -　EM" xfId="20661"/>
    <cellStyle name="_IOI Corp -　EM 2" xfId="20662"/>
    <cellStyle name="_IS Data" xfId="20663"/>
    <cellStyle name="_IS Data_ASII - Master Model Final" xfId="20664"/>
    <cellStyle name="_IS Data_ASII - Master Model Final 2" xfId="20665"/>
    <cellStyle name="_Jiangxi copper_model 2" xfId="20666"/>
    <cellStyle name="_Jiangxi copper_model_Chin Steel Industry_Master output 2" xfId="20667"/>
    <cellStyle name="_Jiangxi copper_model_China_Steel_Industry_Master_Sheet 2" xfId="20668"/>
    <cellStyle name="_Jiangxi copper_model_Copy of China Steel Industry data (hubert) 2" xfId="20669"/>
    <cellStyle name="_Jiangxi copper_model_Copy of China steel output 2" xfId="20670"/>
    <cellStyle name="_Jiangxi copper_model_monthly Crude by L&amp;M mills-1 2" xfId="20671"/>
    <cellStyle name="_Jiangxi copper_model_monthly imp raw data-1 2" xfId="20672"/>
    <cellStyle name="_Jiangxi copper_model_Monthly products by L&amp;M mills-1 2" xfId="20673"/>
    <cellStyle name="_Jiangxi copper_model_steel category monthly outp-1 2" xfId="20674"/>
    <cellStyle name="_Jiangxi copper_model_steel master file backup 2" xfId="20675"/>
    <cellStyle name="_Leading indicators" xfId="20676"/>
    <cellStyle name="_LP - China retail scenario" xfId="20677"/>
    <cellStyle name="_M2 and M3" xfId="20678"/>
    <cellStyle name="_M2 and M3_08 Outlook Charts Oct 07" xfId="20679"/>
    <cellStyle name="_M2 and M3_08 Outlook Charts Oct 07 " xfId="20680"/>
    <cellStyle name="_M2 and M3_08 Outlook Charts Oct 07 _Book4" xfId="20681"/>
    <cellStyle name="_M2 and M3_08 Outlook Charts Oct 07 _Book4_Charts Sep 09 (version 2)" xfId="20682"/>
    <cellStyle name="_M2 and M3_08 Outlook Charts Oct 07 _CC charts and tables Oct 08" xfId="20683"/>
    <cellStyle name="_M2 and M3_08 Outlook Charts Oct 07 _CEIC_PROPERTY PRICE  RENTAL INDEX Feb 09 " xfId="20684"/>
    <cellStyle name="_M2 and M3_08 Outlook Charts Oct 07 _charts Jun 09" xfId="20685"/>
    <cellStyle name="_M2 and M3_08 Outlook Charts Oct 07 _charts Jun 09_Charts for HK update May 09" xfId="20686"/>
    <cellStyle name="_M2 and M3_08 Outlook Charts Oct 07 _charts Jun 09_Charts for HK update May 09_Charts Sep 09 (version 2)" xfId="20687"/>
    <cellStyle name="_M2 and M3_08 Outlook Charts Oct 07 _charts Jun 09_EC charts Sep 09" xfId="20688"/>
    <cellStyle name="_M2 and M3_08 Outlook Charts Oct 07 _charts Jun 09_EC charts Sep 09_Charts Sep 09 (version 2)" xfId="20689"/>
    <cellStyle name="_M2 and M3_08 Outlook Charts Oct 07 _Charts Sep 09 (version 2)" xfId="20690"/>
    <cellStyle name="_M2 and M3_08 Outlook Charts Oct 07 _China update table and charts Sep 08" xfId="20691"/>
    <cellStyle name="_M2 and M3_08 Outlook Charts Oct 07 _China update table and charts Sep 08_Charts Sep 09 (version 2)" xfId="20692"/>
    <cellStyle name="_M2 and M3_08 Outlook Charts Oct 07 _Company comparison Sep 08" xfId="20693"/>
    <cellStyle name="_M2 and M3_08 Outlook Charts Oct 07 _Company comparison Sep 08_Book4" xfId="20694"/>
    <cellStyle name="_M2 and M3_08 Outlook Charts Oct 07 _Company comparison Sep 08_Book4_Charts Sep 09 (version 2)" xfId="20695"/>
    <cellStyle name="_M2 and M3_08 Outlook Charts Oct 07 _Company comparison Sep 08_CC charts and tables Oct 08" xfId="20696"/>
    <cellStyle name="_M2 and M3_08 Outlook Charts Oct 07 _Company comparison Sep 08_CEIC_PROPERTY PRICE  RENTAL INDEX Feb 09 " xfId="20697"/>
    <cellStyle name="_M2 and M3_08 Outlook Charts Oct 07 _Company comparison Sep 08_charts Jun 09" xfId="20698"/>
    <cellStyle name="_M2 and M3_08 Outlook Charts Oct 07 _Company comparison Sep 08_charts Jun 09_Charts for HK update May 09" xfId="20699"/>
    <cellStyle name="_M2 and M3_08 Outlook Charts Oct 07 _Company comparison Sep 08_charts Jun 09_Charts for HK update May 09_Charts Sep 09 (version 2)" xfId="20700"/>
    <cellStyle name="_M2 and M3_08 Outlook Charts Oct 07 _Company comparison Sep 08_charts Jun 09_EC charts Sep 09" xfId="20701"/>
    <cellStyle name="_M2 and M3_08 Outlook Charts Oct 07 _Company comparison Sep 08_charts Jun 09_EC charts Sep 09_Charts Sep 09 (version 2)" xfId="20702"/>
    <cellStyle name="_M2 and M3_08 Outlook Charts Oct 07 _Company comparison Sep 08_Charts Sep 09 (version 2)" xfId="20703"/>
    <cellStyle name="_M2 and M3_08 Outlook Charts Oct 07 _Company comparison Sep 08_China update table and charts Sep 08" xfId="20704"/>
    <cellStyle name="_M2 and M3_08 Outlook Charts Oct 07 _Company comparison Sep 08_China update table and charts Sep 08_Charts Sep 09 (version 2)" xfId="20705"/>
    <cellStyle name="_M2 and M3_08 Outlook Charts Oct 07 _Company comparison Sep 08_devs vs resi index hk Dec 08" xfId="20706"/>
    <cellStyle name="_M2 and M3_08 Outlook Charts Oct 07 _Company comparison Sep 08_devs vs resi index hk Dec 08_Charts for HK update May 09" xfId="20707"/>
    <cellStyle name="_M2 and M3_08 Outlook Charts Oct 07 _Company comparison Sep 08_devs vs resi index hk Dec 08_Charts for HK update May 09_Charts Sep 09 (version 2)" xfId="20708"/>
    <cellStyle name="_M2 and M3_08 Outlook Charts Oct 07 _Company comparison Sep 08_devs vs resi index hk Dec 08_EC charts Sep 09" xfId="20709"/>
    <cellStyle name="_M2 and M3_08 Outlook Charts Oct 07 _Company comparison Sep 08_devs vs resi index hk Dec 08_EC charts Sep 09_Charts Sep 09 (version 2)" xfId="20710"/>
    <cellStyle name="_M2 and M3_08 Outlook Charts Oct 07 _Company comparison Sep 08_EC charts Oct 08" xfId="20711"/>
    <cellStyle name="_M2 and M3_08 Outlook Charts Oct 07 _Company comparison Sep 08_EC charts Oct 08_Book50" xfId="20712"/>
    <cellStyle name="_M2 and M3_08 Outlook Charts Oct 07 _Company comparison Sep 08_EC charts Oct 08_Book50_EC charts Sep 09" xfId="20713"/>
    <cellStyle name="_M2 and M3_08 Outlook Charts Oct 07 _Company comparison Sep 08_EC charts Oct 08_Book50_EC charts Sep 09_Charts Sep 09 (version 2)" xfId="20714"/>
    <cellStyle name="_M2 and M3_08 Outlook Charts Oct 07 _Company comparison Sep 08_EC charts Oct 08_EC charts Sep 09" xfId="20715"/>
    <cellStyle name="_M2 and M3_08 Outlook Charts Oct 07 _Company comparison Sep 08_EC charts Oct 08_EC charts Sep 09_Charts Sep 09 (version 2)" xfId="20716"/>
    <cellStyle name="_M2 and M3_08 Outlook Charts Oct 07 _Company comparison Sep 08_HK developers weighted average share price vs ppty market May 09" xfId="20717"/>
    <cellStyle name="_M2 and M3_08 Outlook Charts Oct 07 _Company comparison Sep 08_HK Property data July 09" xfId="20718"/>
    <cellStyle name="_M2 and M3_08 Outlook Charts Oct 07 _Company comparison Sep 08_HK Resi 10 outlook chts" xfId="20719"/>
    <cellStyle name="_M2 and M3_08 Outlook Charts Oct 07 _Company comparison Sep 08_HONG KONG PER" xfId="20720"/>
    <cellStyle name="_M2 and M3_08 Outlook Charts Oct 07 _Company comparison Sep 08_HONG KONG PER_Book50" xfId="20721"/>
    <cellStyle name="_M2 and M3_08 Outlook Charts Oct 07 _Company comparison Sep 08_HONG KONG PER_Book50_EC charts Sep 09" xfId="20722"/>
    <cellStyle name="_M2 and M3_08 Outlook Charts Oct 07 _Company comparison Sep 08_HONG KONG PER_Book50_EC charts Sep 09_Charts Sep 09 (version 2)" xfId="20723"/>
    <cellStyle name="_M2 and M3_08 Outlook Charts Oct 07 _Company comparison Sep 08_HONG KONG PER_EC charts Sep 09" xfId="20724"/>
    <cellStyle name="_M2 and M3_08 Outlook Charts Oct 07 _Company comparison Sep 08_HONG KONG PER_EC charts Sep 09_Charts Sep 09 (version 2)" xfId="20725"/>
    <cellStyle name="_M2 and M3_08 Outlook Charts Oct 07 _Company comparison Sep 08_Mirae - CH Prop NAV breakdown (Francis Chan)" xfId="20726"/>
    <cellStyle name="_M2 and M3_08 Outlook Charts Oct 07 _Company comparison Sep 08_Mirae - CH Prop NAV breakdown (Francis Chan)_Charts for HK update May 09" xfId="20727"/>
    <cellStyle name="_M2 and M3_08 Outlook Charts Oct 07 _Company comparison Sep 08_Mirae - CH Prop NAV breakdown (Francis Chan)_Charts for HK update May 09_Charts Sep 09 (version 2)" xfId="20728"/>
    <cellStyle name="_M2 and M3_08 Outlook Charts Oct 07 _Company comparison Sep 08_Mirae - CH Prop NAV breakdown (Francis Chan)_EC charts Sep 09" xfId="20729"/>
    <cellStyle name="_M2 and M3_08 Outlook Charts Oct 07 _Company comparison Sep 08_Mirae - CH Prop NAV breakdown (Francis Chan)_EC charts Sep 09_Charts Sep 09 (version 2)" xfId="20730"/>
    <cellStyle name="_M2 and M3_08 Outlook Charts Oct 07 _Company comparison Sep 08_RESIDENTIAL SUPPLY 2009-2010" xfId="20731"/>
    <cellStyle name="_M2 and M3_08 Outlook Charts Oct 07 _devs vs resi index hk Dec 08" xfId="20732"/>
    <cellStyle name="_M2 and M3_08 Outlook Charts Oct 07 _devs vs resi index hk Dec 08_Charts for HK update May 09" xfId="20733"/>
    <cellStyle name="_M2 and M3_08 Outlook Charts Oct 07 _devs vs resi index hk Dec 08_Charts for HK update May 09_Charts Sep 09 (version 2)" xfId="20734"/>
    <cellStyle name="_M2 and M3_08 Outlook Charts Oct 07 _devs vs resi index hk Dec 08_EC charts Sep 09" xfId="20735"/>
    <cellStyle name="_M2 and M3_08 Outlook Charts Oct 07 _devs vs resi index hk Dec 08_EC charts Sep 09_Charts Sep 09 (version 2)" xfId="20736"/>
    <cellStyle name="_M2 and M3_08 Outlook Charts Oct 07 _EC charts Oct 08" xfId="20737"/>
    <cellStyle name="_M2 and M3_08 Outlook Charts Oct 07 _EC charts Oct 08_Book50" xfId="20738"/>
    <cellStyle name="_M2 and M3_08 Outlook Charts Oct 07 _EC charts Oct 08_Book50_EC charts Sep 09" xfId="20739"/>
    <cellStyle name="_M2 and M3_08 Outlook Charts Oct 07 _EC charts Oct 08_Book50_EC charts Sep 09_Charts Sep 09 (version 2)" xfId="20740"/>
    <cellStyle name="_M2 and M3_08 Outlook Charts Oct 07 _EC charts Oct 08_Charts for HK update May 09" xfId="20741"/>
    <cellStyle name="_M2 and M3_08 Outlook Charts Oct 07 _EC charts Oct 08_Charts for HK update May 09_Charts Sep 09 (version 2)" xfId="20742"/>
    <cellStyle name="_M2 and M3_08 Outlook Charts Oct 07 _EC charts Oct 08_charts Jun 09" xfId="20743"/>
    <cellStyle name="_M2 and M3_08 Outlook Charts Oct 07 _EC charts Oct 08_charts Jun 09_Charts for HK update May 09" xfId="20744"/>
    <cellStyle name="_M2 and M3_08 Outlook Charts Oct 07 _EC charts Oct 08_charts Jun 09_Charts for HK update May 09_Charts Sep 09 (version 2)" xfId="20745"/>
    <cellStyle name="_M2 and M3_08 Outlook Charts Oct 07 _EC charts Oct 08_charts Jun 09_EC charts Sep 09" xfId="20746"/>
    <cellStyle name="_M2 and M3_08 Outlook Charts Oct 07 _EC charts Oct 08_charts Jun 09_EC charts Sep 09_Charts Sep 09 (version 2)" xfId="20747"/>
    <cellStyle name="_M2 and M3_08 Outlook Charts Oct 07 _EC charts Oct 08_China outlook 2010 charts and tables " xfId="20748"/>
    <cellStyle name="_M2 and M3_08 Outlook Charts Oct 07 _EC charts Oct 08_China outlook 2010 charts and tables _Charts Sep 09 (version 2)" xfId="20749"/>
    <cellStyle name="_M2 and M3_08 Outlook Charts Oct 07 _EC charts Oct 08_EC charts Sep 09" xfId="20750"/>
    <cellStyle name="_M2 and M3_08 Outlook Charts Oct 07 _EC charts Oct 08_EC charts Sep 09_Charts Sep 09 (version 2)" xfId="20751"/>
    <cellStyle name="_M2 and M3_08 Outlook Charts Oct 07 _HK developers weighted average share price vs ppty market May 09" xfId="20752"/>
    <cellStyle name="_M2 and M3_08 Outlook Charts Oct 07 _HK Devs Peak to trough 2010 Outlook" xfId="20753"/>
    <cellStyle name="_M2 and M3_08 Outlook Charts Oct 07 _HK Property Charts Apr 09" xfId="20754"/>
    <cellStyle name="_M2 and M3_08 Outlook Charts Oct 07 _HK Property data July 09" xfId="20755"/>
    <cellStyle name="_M2 and M3_08 Outlook Charts Oct 07 _HK Resi 10 outlook chts" xfId="20756"/>
    <cellStyle name="_M2 and M3_08 Outlook Charts Oct 07 _HONG KONG PER" xfId="20757"/>
    <cellStyle name="_M2 and M3_08 Outlook Charts Oct 07 _HONG KONG PER_Book50" xfId="20758"/>
    <cellStyle name="_M2 and M3_08 Outlook Charts Oct 07 _HONG KONG PER_Book50_EC charts Sep 09" xfId="20759"/>
    <cellStyle name="_M2 and M3_08 Outlook Charts Oct 07 _HONG KONG PER_Book50_EC charts Sep 09_Charts Sep 09 (version 2)" xfId="20760"/>
    <cellStyle name="_M2 and M3_08 Outlook Charts Oct 07 _HONG KONG PER_EC charts Sep 09" xfId="20761"/>
    <cellStyle name="_M2 and M3_08 Outlook Charts Oct 07 _HONG KONG PER_EC charts Sep 09_Charts Sep 09 (version 2)" xfId="20762"/>
    <cellStyle name="_M2 and M3_08 Outlook Charts Oct 07 _Mirae - CH Prop NAV breakdown (Francis Chan)" xfId="20763"/>
    <cellStyle name="_M2 and M3_08 Outlook Charts Oct 07 _Mirae - CH Prop NAV breakdown (Francis Chan)_Charts for HK update May 09" xfId="20764"/>
    <cellStyle name="_M2 and M3_08 Outlook Charts Oct 07 _Mirae - CH Prop NAV breakdown (Francis Chan)_Charts for HK update May 09_Charts Sep 09 (version 2)" xfId="20765"/>
    <cellStyle name="_M2 and M3_08 Outlook Charts Oct 07 _Mirae - CH Prop NAV breakdown (Francis Chan)_EC charts Sep 09" xfId="20766"/>
    <cellStyle name="_M2 and M3_08 Outlook Charts Oct 07 _Mirae - CH Prop NAV breakdown (Francis Chan)_EC charts Sep 09_Charts Sep 09 (version 2)" xfId="20767"/>
    <cellStyle name="_M2 and M3_08 Outlook Charts Oct 07 _RESIDENTIAL SUPPLY 2009-2010" xfId="20768"/>
    <cellStyle name="_M2 and M3_08 Outlook Charts Oct 07_Book4" xfId="20769"/>
    <cellStyle name="_M2 and M3_08 Outlook Charts Oct 07_Book4_08 Outlook Charts Oct 07 " xfId="20770"/>
    <cellStyle name="_M2 and M3_08 Outlook Charts Oct 07_Book4_08 Outlook Charts Oct 07 _Book4" xfId="20771"/>
    <cellStyle name="_M2 and M3_08 Outlook Charts Oct 07_Book4_08 Outlook Charts Oct 07 _Book4_Charts Sep 09 (version 2)" xfId="20772"/>
    <cellStyle name="_M2 and M3_08 Outlook Charts Oct 07_Book4_08 Outlook Charts Oct 07 _CC charts and tables Oct 08" xfId="20773"/>
    <cellStyle name="_M2 and M3_08 Outlook Charts Oct 07_Book4_08 Outlook Charts Oct 07 _CEIC_PROPERTY PRICE  RENTAL INDEX Feb 09 " xfId="20774"/>
    <cellStyle name="_M2 and M3_08 Outlook Charts Oct 07_Book4_08 Outlook Charts Oct 07 _charts Jun 09" xfId="20775"/>
    <cellStyle name="_M2 and M3_08 Outlook Charts Oct 07_Book4_08 Outlook Charts Oct 07 _charts Jun 09_Charts for HK update May 09" xfId="20776"/>
    <cellStyle name="_M2 and M3_08 Outlook Charts Oct 07_Book4_08 Outlook Charts Oct 07 _charts Jun 09_Charts for HK update May 09_Charts Sep 09 (version 2)" xfId="20777"/>
    <cellStyle name="_M2 and M3_08 Outlook Charts Oct 07_Book4_08 Outlook Charts Oct 07 _charts Jun 09_EC charts Sep 09" xfId="20778"/>
    <cellStyle name="_M2 and M3_08 Outlook Charts Oct 07_Book4_08 Outlook Charts Oct 07 _charts Jun 09_EC charts Sep 09_Charts Sep 09 (version 2)" xfId="20779"/>
    <cellStyle name="_M2 and M3_08 Outlook Charts Oct 07_Book4_08 Outlook Charts Oct 07 _Charts Sep 09 (version 2)" xfId="20780"/>
    <cellStyle name="_M2 and M3_08 Outlook Charts Oct 07_Book4_08 Outlook Charts Oct 07 _China update table and charts Sep 08" xfId="20781"/>
    <cellStyle name="_M2 and M3_08 Outlook Charts Oct 07_Book4_08 Outlook Charts Oct 07 _China update table and charts Sep 08_Charts Sep 09 (version 2)" xfId="20782"/>
    <cellStyle name="_M2 and M3_08 Outlook Charts Oct 07_Book4_08 Outlook Charts Oct 07 _Company comparison Sep 08" xfId="20783"/>
    <cellStyle name="_M2 and M3_08 Outlook Charts Oct 07_Book4_08 Outlook Charts Oct 07 _Company comparison Sep 08_Book4" xfId="20784"/>
    <cellStyle name="_M2 and M3_08 Outlook Charts Oct 07_Book4_08 Outlook Charts Oct 07 _Company comparison Sep 08_Book4_Charts Sep 09 (version 2)" xfId="20785"/>
    <cellStyle name="_M2 and M3_08 Outlook Charts Oct 07_Book4_08 Outlook Charts Oct 07 _Company comparison Sep 08_CC charts and tables Oct 08" xfId="20786"/>
    <cellStyle name="_M2 and M3_08 Outlook Charts Oct 07_Book4_08 Outlook Charts Oct 07 _Company comparison Sep 08_CEIC_PROPERTY PRICE  RENTAL INDEX Feb 09 " xfId="20787"/>
    <cellStyle name="_M2 and M3_08 Outlook Charts Oct 07_Book4_08 Outlook Charts Oct 07 _Company comparison Sep 08_charts Jun 09" xfId="20788"/>
    <cellStyle name="_M2 and M3_08 Outlook Charts Oct 07_Book4_08 Outlook Charts Oct 07 _Company comparison Sep 08_charts Jun 09_Charts for HK update May 09" xfId="20789"/>
    <cellStyle name="_M2 and M3_08 Outlook Charts Oct 07_Book4_08 Outlook Charts Oct 07 _Company comparison Sep 08_charts Jun 09_Charts for HK update May 09_Charts Sep 09 (version 2)" xfId="20790"/>
    <cellStyle name="_M2 and M3_08 Outlook Charts Oct 07_Book4_08 Outlook Charts Oct 07 _Company comparison Sep 08_charts Jun 09_EC charts Sep 09" xfId="20791"/>
    <cellStyle name="_M2 and M3_08 Outlook Charts Oct 07_Book4_08 Outlook Charts Oct 07 _Company comparison Sep 08_charts Jun 09_EC charts Sep 09_Charts Sep 09 (version 2)" xfId="20792"/>
    <cellStyle name="_M2 and M3_08 Outlook Charts Oct 07_Book4_08 Outlook Charts Oct 07 _Company comparison Sep 08_Charts Sep 09 (version 2)" xfId="20793"/>
    <cellStyle name="_M2 and M3_08 Outlook Charts Oct 07_Book4_08 Outlook Charts Oct 07 _Company comparison Sep 08_China update table and charts Sep 08" xfId="20794"/>
    <cellStyle name="_M2 and M3_08 Outlook Charts Oct 07_Book4_08 Outlook Charts Oct 07 _Company comparison Sep 08_China update table and charts Sep 08_Charts Sep 09 (version 2)" xfId="20795"/>
    <cellStyle name="_M2 and M3_08 Outlook Charts Oct 07_Book4_08 Outlook Charts Oct 07 _Company comparison Sep 08_devs vs resi index hk Dec 08" xfId="20796"/>
    <cellStyle name="_M2 and M3_08 Outlook Charts Oct 07_Book4_08 Outlook Charts Oct 07 _Company comparison Sep 08_devs vs resi index hk Dec 08_Charts for HK update May 09" xfId="20797"/>
    <cellStyle name="_M2 and M3_08 Outlook Charts Oct 07_Book4_08 Outlook Charts Oct 07 _Company comparison Sep 08_devs vs resi index hk Dec 08_Charts for HK update May 09_Charts Sep 09 (version 2)" xfId="20798"/>
    <cellStyle name="_M2 and M3_08 Outlook Charts Oct 07_Book4_08 Outlook Charts Oct 07 _Company comparison Sep 08_devs vs resi index hk Dec 08_EC charts Sep 09" xfId="20799"/>
    <cellStyle name="_M2 and M3_08 Outlook Charts Oct 07_Book4_08 Outlook Charts Oct 07 _Company comparison Sep 08_devs vs resi index hk Dec 08_EC charts Sep 09_Charts Sep 09 (version 2)" xfId="20800"/>
    <cellStyle name="_M2 and M3_08 Outlook Charts Oct 07_Book4_08 Outlook Charts Oct 07 _Company comparison Sep 08_EC charts Oct 08" xfId="20801"/>
    <cellStyle name="_M2 and M3_08 Outlook Charts Oct 07_Book4_08 Outlook Charts Oct 07 _Company comparison Sep 08_EC charts Oct 08_Book50" xfId="20802"/>
    <cellStyle name="_M2 and M3_08 Outlook Charts Oct 07_Book4_08 Outlook Charts Oct 07 _Company comparison Sep 08_EC charts Oct 08_Book50_EC charts Sep 09" xfId="20803"/>
    <cellStyle name="_M2 and M3_08 Outlook Charts Oct 07_Book4_08 Outlook Charts Oct 07 _Company comparison Sep 08_EC charts Oct 08_Book50_EC charts Sep 09_Charts Sep 09 (version 2)" xfId="20804"/>
    <cellStyle name="_M2 and M3_08 Outlook Charts Oct 07_Book4_08 Outlook Charts Oct 07 _Company comparison Sep 08_EC charts Oct 08_EC charts Sep 09" xfId="20805"/>
    <cellStyle name="_M2 and M3_08 Outlook Charts Oct 07_Book4_08 Outlook Charts Oct 07 _Company comparison Sep 08_EC charts Oct 08_EC charts Sep 09_Charts Sep 09 (version 2)" xfId="20806"/>
    <cellStyle name="_M2 and M3_08 Outlook Charts Oct 07_Book4_08 Outlook Charts Oct 07 _Company comparison Sep 08_HK developers weighted average share price vs ppty market May 09" xfId="20807"/>
    <cellStyle name="_M2 and M3_08 Outlook Charts Oct 07_Book4_08 Outlook Charts Oct 07 _Company comparison Sep 08_HK Property data July 09" xfId="20808"/>
    <cellStyle name="_M2 and M3_08 Outlook Charts Oct 07_Book4_08 Outlook Charts Oct 07 _Company comparison Sep 08_HK Resi 10 outlook chts" xfId="20809"/>
    <cellStyle name="_M2 and M3_08 Outlook Charts Oct 07_Book4_08 Outlook Charts Oct 07 _Company comparison Sep 08_HONG KONG PER" xfId="20810"/>
    <cellStyle name="_M2 and M3_08 Outlook Charts Oct 07_Book4_08 Outlook Charts Oct 07 _Company comparison Sep 08_HONG KONG PER_Book50" xfId="20811"/>
    <cellStyle name="_M2 and M3_08 Outlook Charts Oct 07_Book4_08 Outlook Charts Oct 07 _Company comparison Sep 08_HONG KONG PER_Book50_EC charts Sep 09" xfId="20812"/>
    <cellStyle name="_M2 and M3_08 Outlook Charts Oct 07_Book4_08 Outlook Charts Oct 07 _Company comparison Sep 08_HONG KONG PER_Book50_EC charts Sep 09_Charts Sep 09 (version 2)" xfId="20813"/>
    <cellStyle name="_M2 and M3_08 Outlook Charts Oct 07_Book4_08 Outlook Charts Oct 07 _Company comparison Sep 08_HONG KONG PER_EC charts Sep 09" xfId="20814"/>
    <cellStyle name="_M2 and M3_08 Outlook Charts Oct 07_Book4_08 Outlook Charts Oct 07 _Company comparison Sep 08_HONG KONG PER_EC charts Sep 09_Charts Sep 09 (version 2)" xfId="20815"/>
    <cellStyle name="_M2 and M3_08 Outlook Charts Oct 07_Book4_08 Outlook Charts Oct 07 _Company comparison Sep 08_Mirae - CH Prop NAV breakdown (Francis Chan)" xfId="20816"/>
    <cellStyle name="_M2 and M3_08 Outlook Charts Oct 07_Book4_08 Outlook Charts Oct 07 _Company comparison Sep 08_Mirae - CH Prop NAV breakdown (Francis Chan)_Charts for HK update May 09" xfId="20817"/>
    <cellStyle name="_M2 and M3_08 Outlook Charts Oct 07_Book4_08 Outlook Charts Oct 07 _Company comparison Sep 08_Mirae - CH Prop NAV breakdown (Francis Chan)_Charts for HK update May 09_Charts Sep 09 (version 2)" xfId="20818"/>
    <cellStyle name="_M2 and M3_08 Outlook Charts Oct 07_Book4_08 Outlook Charts Oct 07 _Company comparison Sep 08_Mirae - CH Prop NAV breakdown (Francis Chan)_EC charts Sep 09" xfId="20819"/>
    <cellStyle name="_M2 and M3_08 Outlook Charts Oct 07_Book4_08 Outlook Charts Oct 07 _Company comparison Sep 08_Mirae - CH Prop NAV breakdown (Francis Chan)_EC charts Sep 09_Charts Sep 09 (version 2)" xfId="20820"/>
    <cellStyle name="_M2 and M3_08 Outlook Charts Oct 07_Book4_08 Outlook Charts Oct 07 _Company comparison Sep 08_RESIDENTIAL SUPPLY 2009-2010" xfId="20821"/>
    <cellStyle name="_M2 and M3_08 Outlook Charts Oct 07_Book4_08 Outlook Charts Oct 07 _devs vs resi index hk Dec 08" xfId="20822"/>
    <cellStyle name="_M2 and M3_08 Outlook Charts Oct 07_Book4_08 Outlook Charts Oct 07 _devs vs resi index hk Dec 08_Charts for HK update May 09" xfId="20823"/>
    <cellStyle name="_M2 and M3_08 Outlook Charts Oct 07_Book4_08 Outlook Charts Oct 07 _devs vs resi index hk Dec 08_Charts for HK update May 09_Charts Sep 09 (version 2)" xfId="20824"/>
    <cellStyle name="_M2 and M3_08 Outlook Charts Oct 07_Book4_08 Outlook Charts Oct 07 _devs vs resi index hk Dec 08_EC charts Sep 09" xfId="20825"/>
    <cellStyle name="_M2 and M3_08 Outlook Charts Oct 07_Book4_08 Outlook Charts Oct 07 _devs vs resi index hk Dec 08_EC charts Sep 09_Charts Sep 09 (version 2)" xfId="20826"/>
    <cellStyle name="_M2 and M3_08 Outlook Charts Oct 07_Book4_08 Outlook Charts Oct 07 _EC charts Oct 08" xfId="20827"/>
    <cellStyle name="_M2 and M3_08 Outlook Charts Oct 07_Book4_08 Outlook Charts Oct 07 _EC charts Oct 08_Book50" xfId="20828"/>
    <cellStyle name="_M2 and M3_08 Outlook Charts Oct 07_Book4_08 Outlook Charts Oct 07 _EC charts Oct 08_Book50_EC charts Sep 09" xfId="20829"/>
    <cellStyle name="_M2 and M3_08 Outlook Charts Oct 07_Book4_08 Outlook Charts Oct 07 _EC charts Oct 08_Book50_EC charts Sep 09_Charts Sep 09 (version 2)" xfId="20830"/>
    <cellStyle name="_M2 and M3_08 Outlook Charts Oct 07_Book4_08 Outlook Charts Oct 07 _EC charts Oct 08_Charts for HK update May 09" xfId="20831"/>
    <cellStyle name="_M2 and M3_08 Outlook Charts Oct 07_Book4_08 Outlook Charts Oct 07 _EC charts Oct 08_Charts for HK update May 09_Charts Sep 09 (version 2)" xfId="20832"/>
    <cellStyle name="_M2 and M3_08 Outlook Charts Oct 07_Book4_08 Outlook Charts Oct 07 _EC charts Oct 08_charts Jun 09" xfId="20833"/>
    <cellStyle name="_M2 and M3_08 Outlook Charts Oct 07_Book4_08 Outlook Charts Oct 07 _EC charts Oct 08_charts Jun 09_Charts for HK update May 09" xfId="20834"/>
    <cellStyle name="_M2 and M3_08 Outlook Charts Oct 07_Book4_08 Outlook Charts Oct 07 _EC charts Oct 08_charts Jun 09_Charts for HK update May 09_Charts Sep 09 (version 2)" xfId="20835"/>
    <cellStyle name="_M2 and M3_08 Outlook Charts Oct 07_Book4_08 Outlook Charts Oct 07 _EC charts Oct 08_charts Jun 09_EC charts Sep 09" xfId="20836"/>
    <cellStyle name="_M2 and M3_08 Outlook Charts Oct 07_Book4_08 Outlook Charts Oct 07 _EC charts Oct 08_charts Jun 09_EC charts Sep 09_Charts Sep 09 (version 2)" xfId="20837"/>
    <cellStyle name="_M2 and M3_08 Outlook Charts Oct 07_Book4_08 Outlook Charts Oct 07 _EC charts Oct 08_China outlook 2010 charts and tables " xfId="20838"/>
    <cellStyle name="_M2 and M3_08 Outlook Charts Oct 07_Book4_08 Outlook Charts Oct 07 _EC charts Oct 08_China outlook 2010 charts and tables _Charts Sep 09 (version 2)" xfId="20839"/>
    <cellStyle name="_M2 and M3_08 Outlook Charts Oct 07_Book4_08 Outlook Charts Oct 07 _EC charts Oct 08_EC charts Sep 09" xfId="20840"/>
    <cellStyle name="_M2 and M3_08 Outlook Charts Oct 07_Book4_08 Outlook Charts Oct 07 _EC charts Oct 08_EC charts Sep 09_Charts Sep 09 (version 2)" xfId="20841"/>
    <cellStyle name="_M2 and M3_08 Outlook Charts Oct 07_Book4_08 Outlook Charts Oct 07 _HK developers weighted average share price vs ppty market May 09" xfId="20842"/>
    <cellStyle name="_M2 and M3_08 Outlook Charts Oct 07_Book4_08 Outlook Charts Oct 07 _HK Devs Peak to trough 2010 Outlook" xfId="20843"/>
    <cellStyle name="_M2 and M3_08 Outlook Charts Oct 07_Book4_08 Outlook Charts Oct 07 _HK Property Charts Apr 09" xfId="20844"/>
    <cellStyle name="_M2 and M3_08 Outlook Charts Oct 07_Book4_08 Outlook Charts Oct 07 _HK Property data July 09" xfId="20845"/>
    <cellStyle name="_M2 and M3_08 Outlook Charts Oct 07_Book4_08 Outlook Charts Oct 07 _HK Resi 10 outlook chts" xfId="20846"/>
    <cellStyle name="_M2 and M3_08 Outlook Charts Oct 07_Book4_08 Outlook Charts Oct 07 _HONG KONG PER" xfId="20847"/>
    <cellStyle name="_M2 and M3_08 Outlook Charts Oct 07_Book4_08 Outlook Charts Oct 07 _HONG KONG PER_Book50" xfId="20848"/>
    <cellStyle name="_M2 and M3_08 Outlook Charts Oct 07_Book4_08 Outlook Charts Oct 07 _HONG KONG PER_Book50_EC charts Sep 09" xfId="20849"/>
    <cellStyle name="_M2 and M3_08 Outlook Charts Oct 07_Book4_08 Outlook Charts Oct 07 _HONG KONG PER_Book50_EC charts Sep 09_Charts Sep 09 (version 2)" xfId="20850"/>
    <cellStyle name="_M2 and M3_08 Outlook Charts Oct 07_Book4_08 Outlook Charts Oct 07 _HONG KONG PER_EC charts Sep 09" xfId="20851"/>
    <cellStyle name="_M2 and M3_08 Outlook Charts Oct 07_Book4_08 Outlook Charts Oct 07 _HONG KONG PER_EC charts Sep 09_Charts Sep 09 (version 2)" xfId="20852"/>
    <cellStyle name="_M2 and M3_08 Outlook Charts Oct 07_Book4_08 Outlook Charts Oct 07 _Mirae - CH Prop NAV breakdown (Francis Chan)" xfId="20853"/>
    <cellStyle name="_M2 and M3_08 Outlook Charts Oct 07_Book4_08 Outlook Charts Oct 07 _Mirae - CH Prop NAV breakdown (Francis Chan)_Charts for HK update May 09" xfId="20854"/>
    <cellStyle name="_M2 and M3_08 Outlook Charts Oct 07_Book4_08 Outlook Charts Oct 07 _Mirae - CH Prop NAV breakdown (Francis Chan)_Charts for HK update May 09_Charts Sep 09 (version 2)" xfId="20855"/>
    <cellStyle name="_M2 and M3_08 Outlook Charts Oct 07_Book4_08 Outlook Charts Oct 07 _Mirae - CH Prop NAV breakdown (Francis Chan)_EC charts Sep 09" xfId="20856"/>
    <cellStyle name="_M2 and M3_08 Outlook Charts Oct 07_Book4_08 Outlook Charts Oct 07 _Mirae - CH Prop NAV breakdown (Francis Chan)_EC charts Sep 09_Charts Sep 09 (version 2)" xfId="20857"/>
    <cellStyle name="_M2 and M3_08 Outlook Charts Oct 07_Book4_08 Outlook Charts Oct 07 _RESIDENTIAL SUPPLY 2009-2010" xfId="20858"/>
    <cellStyle name="_M2 and M3_08 Outlook Charts Oct 07_Book4_08 Outlook Charts Oct 07-1" xfId="20859"/>
    <cellStyle name="_M2 and M3_08 Outlook Charts Oct 07_Book4_08 Outlook Charts Oct 07-1_Book4" xfId="20860"/>
    <cellStyle name="_M2 and M3_08 Outlook Charts Oct 07_Book4_08 Outlook Charts Oct 07-1_Book4_Charts Sep 09 (version 2)" xfId="20861"/>
    <cellStyle name="_M2 and M3_08 Outlook Charts Oct 07_Book4_08 Outlook Charts Oct 07-1_CC charts and tables Oct 08" xfId="20862"/>
    <cellStyle name="_M2 and M3_08 Outlook Charts Oct 07_Book4_08 Outlook Charts Oct 07-1_CEIC_PROPERTY PRICE  RENTAL INDEX Feb 09 " xfId="20863"/>
    <cellStyle name="_M2 and M3_08 Outlook Charts Oct 07_Book4_08 Outlook Charts Oct 07-1_charts Jun 09" xfId="20864"/>
    <cellStyle name="_M2 and M3_08 Outlook Charts Oct 07_Book4_08 Outlook Charts Oct 07-1_charts Jun 09_Charts for HK update May 09" xfId="20865"/>
    <cellStyle name="_M2 and M3_08 Outlook Charts Oct 07_Book4_08 Outlook Charts Oct 07-1_charts Jun 09_Charts for HK update May 09_Charts Sep 09 (version 2)" xfId="20866"/>
    <cellStyle name="_M2 and M3_08 Outlook Charts Oct 07_Book4_08 Outlook Charts Oct 07-1_charts Jun 09_EC charts Sep 09" xfId="20867"/>
    <cellStyle name="_M2 and M3_08 Outlook Charts Oct 07_Book4_08 Outlook Charts Oct 07-1_charts Jun 09_EC charts Sep 09_Charts Sep 09 (version 2)" xfId="20868"/>
    <cellStyle name="_M2 and M3_08 Outlook Charts Oct 07_Book4_08 Outlook Charts Oct 07-1_Charts Sep 09 (version 2)" xfId="20869"/>
    <cellStyle name="_M2 and M3_08 Outlook Charts Oct 07_Book4_08 Outlook Charts Oct 07-1_China update table and charts Sep 08" xfId="20870"/>
    <cellStyle name="_M2 and M3_08 Outlook Charts Oct 07_Book4_08 Outlook Charts Oct 07-1_China update table and charts Sep 08_Charts Sep 09 (version 2)" xfId="20871"/>
    <cellStyle name="_M2 and M3_08 Outlook Charts Oct 07_Book4_08 Outlook Charts Oct 07-1_Company comparison Sep 08" xfId="20872"/>
    <cellStyle name="_M2 and M3_08 Outlook Charts Oct 07_Book4_08 Outlook Charts Oct 07-1_Company comparison Sep 08_Book4" xfId="20873"/>
    <cellStyle name="_M2 and M3_08 Outlook Charts Oct 07_Book4_08 Outlook Charts Oct 07-1_Company comparison Sep 08_Book4_Charts Sep 09 (version 2)" xfId="20874"/>
    <cellStyle name="_M2 and M3_08 Outlook Charts Oct 07_Book4_08 Outlook Charts Oct 07-1_Company comparison Sep 08_CC charts and tables Oct 08" xfId="20875"/>
    <cellStyle name="_M2 and M3_08 Outlook Charts Oct 07_Book4_08 Outlook Charts Oct 07-1_Company comparison Sep 08_CEIC_PROPERTY PRICE  RENTAL INDEX Feb 09 " xfId="20876"/>
    <cellStyle name="_M2 and M3_08 Outlook Charts Oct 07_Book4_08 Outlook Charts Oct 07-1_Company comparison Sep 08_charts Jun 09" xfId="20877"/>
    <cellStyle name="_M2 and M3_08 Outlook Charts Oct 07_Book4_08 Outlook Charts Oct 07-1_Company comparison Sep 08_charts Jun 09_Charts for HK update May 09" xfId="20878"/>
    <cellStyle name="_M2 and M3_08 Outlook Charts Oct 07_Book4_08 Outlook Charts Oct 07-1_Company comparison Sep 08_charts Jun 09_Charts for HK update May 09_Charts Sep 09 (version 2)" xfId="20879"/>
    <cellStyle name="_M2 and M3_08 Outlook Charts Oct 07_Book4_08 Outlook Charts Oct 07-1_Company comparison Sep 08_charts Jun 09_EC charts Sep 09" xfId="20880"/>
    <cellStyle name="_M2 and M3_08 Outlook Charts Oct 07_Book4_08 Outlook Charts Oct 07-1_Company comparison Sep 08_charts Jun 09_EC charts Sep 09_Charts Sep 09 (version 2)" xfId="20881"/>
    <cellStyle name="_M2 and M3_08 Outlook Charts Oct 07_Book4_08 Outlook Charts Oct 07-1_Company comparison Sep 08_Charts Sep 09 (version 2)" xfId="20882"/>
    <cellStyle name="_M2 and M3_08 Outlook Charts Oct 07_Book4_08 Outlook Charts Oct 07-1_Company comparison Sep 08_China update table and charts Sep 08" xfId="20883"/>
    <cellStyle name="_M2 and M3_08 Outlook Charts Oct 07_Book4_08 Outlook Charts Oct 07-1_Company comparison Sep 08_China update table and charts Sep 08_Charts Sep 09 (version 2)" xfId="20884"/>
    <cellStyle name="_M2 and M3_08 Outlook Charts Oct 07_Book4_08 Outlook Charts Oct 07-1_Company comparison Sep 08_devs vs resi index hk Dec 08" xfId="20885"/>
    <cellStyle name="_M2 and M3_08 Outlook Charts Oct 07_Book4_08 Outlook Charts Oct 07-1_Company comparison Sep 08_devs vs resi index hk Dec 08_Charts for HK update May 09" xfId="20886"/>
    <cellStyle name="_M2 and M3_08 Outlook Charts Oct 07_Book4_08 Outlook Charts Oct 07-1_Company comparison Sep 08_devs vs resi index hk Dec 08_Charts for HK update May 09_Charts Sep 09 (version 2)" xfId="20887"/>
    <cellStyle name="_M2 and M3_08 Outlook Charts Oct 07_Book4_08 Outlook Charts Oct 07-1_Company comparison Sep 08_devs vs resi index hk Dec 08_EC charts Sep 09" xfId="20888"/>
    <cellStyle name="_M2 and M3_08 Outlook Charts Oct 07_Book4_08 Outlook Charts Oct 07-1_Company comparison Sep 08_devs vs resi index hk Dec 08_EC charts Sep 09_Charts Sep 09 (version 2)" xfId="20889"/>
    <cellStyle name="_M2 and M3_08 Outlook Charts Oct 07_Book4_08 Outlook Charts Oct 07-1_Company comparison Sep 08_EC charts Oct 08" xfId="20890"/>
    <cellStyle name="_M2 and M3_08 Outlook Charts Oct 07_Book4_08 Outlook Charts Oct 07-1_Company comparison Sep 08_EC charts Oct 08_Book50" xfId="20891"/>
    <cellStyle name="_M2 and M3_08 Outlook Charts Oct 07_Book4_08 Outlook Charts Oct 07-1_Company comparison Sep 08_EC charts Oct 08_Book50_EC charts Sep 09" xfId="20892"/>
    <cellStyle name="_M2 and M3_08 Outlook Charts Oct 07_Book4_08 Outlook Charts Oct 07-1_Company comparison Sep 08_EC charts Oct 08_Book50_EC charts Sep 09_Charts Sep 09 (version 2)" xfId="20893"/>
    <cellStyle name="_M2 and M3_08 Outlook Charts Oct 07_Book4_08 Outlook Charts Oct 07-1_Company comparison Sep 08_EC charts Oct 08_EC charts Sep 09" xfId="20894"/>
    <cellStyle name="_M2 and M3_08 Outlook Charts Oct 07_Book4_08 Outlook Charts Oct 07-1_Company comparison Sep 08_EC charts Oct 08_EC charts Sep 09_Charts Sep 09 (version 2)" xfId="20895"/>
    <cellStyle name="_M2 and M3_08 Outlook Charts Oct 07_Book4_08 Outlook Charts Oct 07-1_Company comparison Sep 08_HK developers weighted average share price vs ppty market May 09" xfId="20896"/>
    <cellStyle name="_M2 and M3_08 Outlook Charts Oct 07_Book4_08 Outlook Charts Oct 07-1_Company comparison Sep 08_HK Property data July 09" xfId="20897"/>
    <cellStyle name="_M2 and M3_08 Outlook Charts Oct 07_Book4_08 Outlook Charts Oct 07-1_Company comparison Sep 08_HK Resi 10 outlook chts" xfId="20898"/>
    <cellStyle name="_M2 and M3_08 Outlook Charts Oct 07_Book4_08 Outlook Charts Oct 07-1_Company comparison Sep 08_HONG KONG PER" xfId="20899"/>
    <cellStyle name="_M2 and M3_08 Outlook Charts Oct 07_Book4_08 Outlook Charts Oct 07-1_Company comparison Sep 08_HONG KONG PER_Book50" xfId="20900"/>
    <cellStyle name="_M2 and M3_08 Outlook Charts Oct 07_Book4_08 Outlook Charts Oct 07-1_Company comparison Sep 08_HONG KONG PER_Book50_EC charts Sep 09" xfId="20901"/>
    <cellStyle name="_M2 and M3_08 Outlook Charts Oct 07_Book4_08 Outlook Charts Oct 07-1_Company comparison Sep 08_HONG KONG PER_Book50_EC charts Sep 09_Charts Sep 09 (version 2)" xfId="20902"/>
    <cellStyle name="_M2 and M3_08 Outlook Charts Oct 07_Book4_08 Outlook Charts Oct 07-1_Company comparison Sep 08_HONG KONG PER_EC charts Sep 09" xfId="20903"/>
    <cellStyle name="_M2 and M3_08 Outlook Charts Oct 07_Book4_08 Outlook Charts Oct 07-1_Company comparison Sep 08_HONG KONG PER_EC charts Sep 09_Charts Sep 09 (version 2)" xfId="20904"/>
    <cellStyle name="_M2 and M3_08 Outlook Charts Oct 07_Book4_08 Outlook Charts Oct 07-1_Company comparison Sep 08_Mirae - CH Prop NAV breakdown (Francis Chan)" xfId="20905"/>
    <cellStyle name="_M2 and M3_08 Outlook Charts Oct 07_Book4_08 Outlook Charts Oct 07-1_Company comparison Sep 08_Mirae - CH Prop NAV breakdown (Francis Chan)_Charts for HK update May 09" xfId="20906"/>
    <cellStyle name="_M2 and M3_08 Outlook Charts Oct 07_Book4_08 Outlook Charts Oct 07-1_Company comparison Sep 08_Mirae - CH Prop NAV breakdown (Francis Chan)_Charts for HK update May 09_Charts Sep 09 (version 2)" xfId="20907"/>
    <cellStyle name="_M2 and M3_08 Outlook Charts Oct 07_Book4_08 Outlook Charts Oct 07-1_Company comparison Sep 08_Mirae - CH Prop NAV breakdown (Francis Chan)_EC charts Sep 09" xfId="20908"/>
    <cellStyle name="_M2 and M3_08 Outlook Charts Oct 07_Book4_08 Outlook Charts Oct 07-1_Company comparison Sep 08_Mirae - CH Prop NAV breakdown (Francis Chan)_EC charts Sep 09_Charts Sep 09 (version 2)" xfId="20909"/>
    <cellStyle name="_M2 and M3_08 Outlook Charts Oct 07_Book4_08 Outlook Charts Oct 07-1_Company comparison Sep 08_RESIDENTIAL SUPPLY 2009-2010" xfId="20910"/>
    <cellStyle name="_M2 and M3_08 Outlook Charts Oct 07_Book4_08 Outlook Charts Oct 07-1_devs vs resi index hk Dec 08" xfId="20911"/>
    <cellStyle name="_M2 and M3_08 Outlook Charts Oct 07_Book4_08 Outlook Charts Oct 07-1_devs vs resi index hk Dec 08_Charts for HK update May 09" xfId="20912"/>
    <cellStyle name="_M2 and M3_08 Outlook Charts Oct 07_Book4_08 Outlook Charts Oct 07-1_devs vs resi index hk Dec 08_Charts for HK update May 09_Charts Sep 09 (version 2)" xfId="20913"/>
    <cellStyle name="_M2 and M3_08 Outlook Charts Oct 07_Book4_08 Outlook Charts Oct 07-1_devs vs resi index hk Dec 08_EC charts Sep 09" xfId="20914"/>
    <cellStyle name="_M2 and M3_08 Outlook Charts Oct 07_Book4_08 Outlook Charts Oct 07-1_devs vs resi index hk Dec 08_EC charts Sep 09_Charts Sep 09 (version 2)" xfId="20915"/>
    <cellStyle name="_M2 and M3_08 Outlook Charts Oct 07_Book4_08 Outlook Charts Oct 07-1_EC charts Oct 08" xfId="20916"/>
    <cellStyle name="_M2 and M3_08 Outlook Charts Oct 07_Book4_08 Outlook Charts Oct 07-1_EC charts Oct 08_Book50" xfId="20917"/>
    <cellStyle name="_M2 and M3_08 Outlook Charts Oct 07_Book4_08 Outlook Charts Oct 07-1_EC charts Oct 08_Book50_EC charts Sep 09" xfId="20918"/>
    <cellStyle name="_M2 and M3_08 Outlook Charts Oct 07_Book4_08 Outlook Charts Oct 07-1_EC charts Oct 08_Book50_EC charts Sep 09_Charts Sep 09 (version 2)" xfId="20919"/>
    <cellStyle name="_M2 and M3_08 Outlook Charts Oct 07_Book4_08 Outlook Charts Oct 07-1_EC charts Oct 08_EC charts Sep 09" xfId="20920"/>
    <cellStyle name="_M2 and M3_08 Outlook Charts Oct 07_Book4_08 Outlook Charts Oct 07-1_EC charts Oct 08_EC charts Sep 09_Charts Sep 09 (version 2)" xfId="20921"/>
    <cellStyle name="_M2 and M3_08 Outlook Charts Oct 07_Book4_08 Outlook Charts Oct 07-1_HK developers weighted average share price vs ppty market May 09" xfId="20922"/>
    <cellStyle name="_M2 and M3_08 Outlook Charts Oct 07_Book4_08 Outlook Charts Oct 07-1_HK Devs Peak to trough 2010 Outlook" xfId="20923"/>
    <cellStyle name="_M2 and M3_08 Outlook Charts Oct 07_Book4_08 Outlook Charts Oct 07-1_HK Property Charts Apr 09" xfId="20924"/>
    <cellStyle name="_M2 and M3_08 Outlook Charts Oct 07_Book4_08 Outlook Charts Oct 07-1_HK Property data July 09" xfId="20925"/>
    <cellStyle name="_M2 and M3_08 Outlook Charts Oct 07_Book4_08 Outlook Charts Oct 07-1_HK Resi 10 outlook chts" xfId="20926"/>
    <cellStyle name="_M2 and M3_08 Outlook Charts Oct 07_Book4_08 Outlook Charts Oct 07-1_HONG KONG PER" xfId="20927"/>
    <cellStyle name="_M2 and M3_08 Outlook Charts Oct 07_Book4_08 Outlook Charts Oct 07-1_HONG KONG PER_Book50" xfId="20928"/>
    <cellStyle name="_M2 and M3_08 Outlook Charts Oct 07_Book4_08 Outlook Charts Oct 07-1_HONG KONG PER_Book50_EC charts Sep 09" xfId="20929"/>
    <cellStyle name="_M2 and M3_08 Outlook Charts Oct 07_Book4_08 Outlook Charts Oct 07-1_HONG KONG PER_Book50_EC charts Sep 09_Charts Sep 09 (version 2)" xfId="20930"/>
    <cellStyle name="_M2 and M3_08 Outlook Charts Oct 07_Book4_08 Outlook Charts Oct 07-1_HONG KONG PER_EC charts Sep 09" xfId="20931"/>
    <cellStyle name="_M2 and M3_08 Outlook Charts Oct 07_Book4_08 Outlook Charts Oct 07-1_HONG KONG PER_EC charts Sep 09_Charts Sep 09 (version 2)" xfId="20932"/>
    <cellStyle name="_M2 and M3_08 Outlook Charts Oct 07_Book4_08 Outlook Charts Oct 07-1_Mirae - CH Prop NAV breakdown (Francis Chan)" xfId="20933"/>
    <cellStyle name="_M2 and M3_08 Outlook Charts Oct 07_Book4_08 Outlook Charts Oct 07-1_Mirae - CH Prop NAV breakdown (Francis Chan)_Charts for HK update May 09" xfId="20934"/>
    <cellStyle name="_M2 and M3_08 Outlook Charts Oct 07_Book4_08 Outlook Charts Oct 07-1_Mirae - CH Prop NAV breakdown (Francis Chan)_Charts for HK update May 09_Charts Sep 09 (version 2)" xfId="20935"/>
    <cellStyle name="_M2 and M3_08 Outlook Charts Oct 07_Book4_08 Outlook Charts Oct 07-1_Mirae - CH Prop NAV breakdown (Francis Chan)_EC charts Sep 09" xfId="20936"/>
    <cellStyle name="_M2 and M3_08 Outlook Charts Oct 07_Book4_08 Outlook Charts Oct 07-1_Mirae - CH Prop NAV breakdown (Francis Chan)_EC charts Sep 09_Charts Sep 09 (version 2)" xfId="20937"/>
    <cellStyle name="_M2 and M3_08 Outlook Charts Oct 07_Book4_08 Outlook Charts Oct 07-1_RESIDENTIAL SUPPLY 2009-2010" xfId="20938"/>
    <cellStyle name="_M2 and M3_08 Outlook Charts Oct 07_Book4_1" xfId="20939"/>
    <cellStyle name="_M2 and M3_08 Outlook Charts Oct 07_Book4_1_Charts Sep 09 (version 2)" xfId="20940"/>
    <cellStyle name="_M2 and M3_08 Outlook Charts Oct 07_Book4_Book4" xfId="20941"/>
    <cellStyle name="_M2 and M3_08 Outlook Charts Oct 07_Book4_Book4_Charts Sep 09 (version 2)" xfId="20942"/>
    <cellStyle name="_M2 and M3_08 Outlook Charts Oct 07_Book4_CC charts and tables Oct 08" xfId="20943"/>
    <cellStyle name="_M2 and M3_08 Outlook Charts Oct 07_Book4_CEIC_PROPERTY PRICE  RENTAL INDEX Feb 09 " xfId="20944"/>
    <cellStyle name="_M2 and M3_08 Outlook Charts Oct 07_Book4_charts Jun 09" xfId="20945"/>
    <cellStyle name="_M2 and M3_08 Outlook Charts Oct 07_Book4_charts Jun 09_Charts for HK update May 09" xfId="20946"/>
    <cellStyle name="_M2 and M3_08 Outlook Charts Oct 07_Book4_charts Jun 09_Charts for HK update May 09_Charts Sep 09 (version 2)" xfId="20947"/>
    <cellStyle name="_M2 and M3_08 Outlook Charts Oct 07_Book4_charts Jun 09_EC charts Sep 09" xfId="20948"/>
    <cellStyle name="_M2 and M3_08 Outlook Charts Oct 07_Book4_charts Jun 09_EC charts Sep 09_Charts Sep 09 (version 2)" xfId="20949"/>
    <cellStyle name="_M2 and M3_08 Outlook Charts Oct 07_Book4_Charts Sep 09 (version 2)" xfId="20950"/>
    <cellStyle name="_M2 and M3_08 Outlook Charts Oct 07_Book4_China update table and charts Sep 08" xfId="20951"/>
    <cellStyle name="_M2 and M3_08 Outlook Charts Oct 07_Book4_China update table and charts Sep 08_Charts Sep 09 (version 2)" xfId="20952"/>
    <cellStyle name="_M2 and M3_08 Outlook Charts Oct 07_Book4_Company comparison Sep 08" xfId="20953"/>
    <cellStyle name="_M2 and M3_08 Outlook Charts Oct 07_Book4_Company comparison Sep 08_Book4" xfId="20954"/>
    <cellStyle name="_M2 and M3_08 Outlook Charts Oct 07_Book4_Company comparison Sep 08_Book4_Charts Sep 09 (version 2)" xfId="20955"/>
    <cellStyle name="_M2 and M3_08 Outlook Charts Oct 07_Book4_Company comparison Sep 08_CC charts and tables Oct 08" xfId="20956"/>
    <cellStyle name="_M2 and M3_08 Outlook Charts Oct 07_Book4_Company comparison Sep 08_CEIC_PROPERTY PRICE  RENTAL INDEX Feb 09 " xfId="20957"/>
    <cellStyle name="_M2 and M3_08 Outlook Charts Oct 07_Book4_Company comparison Sep 08_charts Jun 09" xfId="20958"/>
    <cellStyle name="_M2 and M3_08 Outlook Charts Oct 07_Book4_Company comparison Sep 08_charts Jun 09_Charts for HK update May 09" xfId="20959"/>
    <cellStyle name="_M2 and M3_08 Outlook Charts Oct 07_Book4_Company comparison Sep 08_charts Jun 09_Charts for HK update May 09_Charts Sep 09 (version 2)" xfId="20960"/>
    <cellStyle name="_M2 and M3_08 Outlook Charts Oct 07_Book4_Company comparison Sep 08_charts Jun 09_EC charts Sep 09" xfId="20961"/>
    <cellStyle name="_M2 and M3_08 Outlook Charts Oct 07_Book4_Company comparison Sep 08_charts Jun 09_EC charts Sep 09_Charts Sep 09 (version 2)" xfId="20962"/>
    <cellStyle name="_M2 and M3_08 Outlook Charts Oct 07_Book4_Company comparison Sep 08_Charts Sep 09 (version 2)" xfId="20963"/>
    <cellStyle name="_M2 and M3_08 Outlook Charts Oct 07_Book4_Company comparison Sep 08_China update table and charts Sep 08" xfId="20964"/>
    <cellStyle name="_M2 and M3_08 Outlook Charts Oct 07_Book4_Company comparison Sep 08_China update table and charts Sep 08_Charts Sep 09 (version 2)" xfId="20965"/>
    <cellStyle name="_M2 and M3_08 Outlook Charts Oct 07_Book4_Company comparison Sep 08_devs vs resi index hk Dec 08" xfId="20966"/>
    <cellStyle name="_M2 and M3_08 Outlook Charts Oct 07_Book4_Company comparison Sep 08_devs vs resi index hk Dec 08_Charts for HK update May 09" xfId="20967"/>
    <cellStyle name="_M2 and M3_08 Outlook Charts Oct 07_Book4_Company comparison Sep 08_devs vs resi index hk Dec 08_Charts for HK update May 09_Charts Sep 09 (version 2)" xfId="20968"/>
    <cellStyle name="_M2 and M3_08 Outlook Charts Oct 07_Book4_Company comparison Sep 08_devs vs resi index hk Dec 08_EC charts Sep 09" xfId="20969"/>
    <cellStyle name="_M2 and M3_08 Outlook Charts Oct 07_Book4_Company comparison Sep 08_devs vs resi index hk Dec 08_EC charts Sep 09_Charts Sep 09 (version 2)" xfId="20970"/>
    <cellStyle name="_M2 and M3_08 Outlook Charts Oct 07_Book4_Company comparison Sep 08_EC charts Oct 08" xfId="20971"/>
    <cellStyle name="_M2 and M3_08 Outlook Charts Oct 07_Book4_Company comparison Sep 08_EC charts Oct 08_Book50" xfId="20972"/>
    <cellStyle name="_M2 and M3_08 Outlook Charts Oct 07_Book4_Company comparison Sep 08_EC charts Oct 08_Book50_EC charts Sep 09" xfId="20973"/>
    <cellStyle name="_M2 and M3_08 Outlook Charts Oct 07_Book4_Company comparison Sep 08_EC charts Oct 08_Book50_EC charts Sep 09_Charts Sep 09 (version 2)" xfId="20974"/>
    <cellStyle name="_M2 and M3_08 Outlook Charts Oct 07_Book4_Company comparison Sep 08_EC charts Oct 08_EC charts Sep 09" xfId="20975"/>
    <cellStyle name="_M2 and M3_08 Outlook Charts Oct 07_Book4_Company comparison Sep 08_EC charts Oct 08_EC charts Sep 09_Charts Sep 09 (version 2)" xfId="20976"/>
    <cellStyle name="_M2 and M3_08 Outlook Charts Oct 07_Book4_Company comparison Sep 08_HK developers weighted average share price vs ppty market May 09" xfId="20977"/>
    <cellStyle name="_M2 and M3_08 Outlook Charts Oct 07_Book4_Company comparison Sep 08_HK Property data July 09" xfId="20978"/>
    <cellStyle name="_M2 and M3_08 Outlook Charts Oct 07_Book4_Company comparison Sep 08_HK Resi 10 outlook chts" xfId="20979"/>
    <cellStyle name="_M2 and M3_08 Outlook Charts Oct 07_Book4_Company comparison Sep 08_HONG KONG PER" xfId="20980"/>
    <cellStyle name="_M2 and M3_08 Outlook Charts Oct 07_Book4_Company comparison Sep 08_HONG KONG PER_Book50" xfId="20981"/>
    <cellStyle name="_M2 and M3_08 Outlook Charts Oct 07_Book4_Company comparison Sep 08_HONG KONG PER_Book50_EC charts Sep 09" xfId="20982"/>
    <cellStyle name="_M2 and M3_08 Outlook Charts Oct 07_Book4_Company comparison Sep 08_HONG KONG PER_Book50_EC charts Sep 09_Charts Sep 09 (version 2)" xfId="20983"/>
    <cellStyle name="_M2 and M3_08 Outlook Charts Oct 07_Book4_Company comparison Sep 08_HONG KONG PER_EC charts Sep 09" xfId="20984"/>
    <cellStyle name="_M2 and M3_08 Outlook Charts Oct 07_Book4_Company comparison Sep 08_HONG KONG PER_EC charts Sep 09_Charts Sep 09 (version 2)" xfId="20985"/>
    <cellStyle name="_M2 and M3_08 Outlook Charts Oct 07_Book4_Company comparison Sep 08_Mirae - CH Prop NAV breakdown (Francis Chan)" xfId="20986"/>
    <cellStyle name="_M2 and M3_08 Outlook Charts Oct 07_Book4_Company comparison Sep 08_Mirae - CH Prop NAV breakdown (Francis Chan)_Charts for HK update May 09" xfId="20987"/>
    <cellStyle name="_M2 and M3_08 Outlook Charts Oct 07_Book4_Company comparison Sep 08_Mirae - CH Prop NAV breakdown (Francis Chan)_Charts for HK update May 09_Charts Sep 09 (version 2)" xfId="20988"/>
    <cellStyle name="_M2 and M3_08 Outlook Charts Oct 07_Book4_Company comparison Sep 08_Mirae - CH Prop NAV breakdown (Francis Chan)_EC charts Sep 09" xfId="20989"/>
    <cellStyle name="_M2 and M3_08 Outlook Charts Oct 07_Book4_Company comparison Sep 08_Mirae - CH Prop NAV breakdown (Francis Chan)_EC charts Sep 09_Charts Sep 09 (version 2)" xfId="20990"/>
    <cellStyle name="_M2 and M3_08 Outlook Charts Oct 07_Book4_Company comparison Sep 08_RESIDENTIAL SUPPLY 2009-2010" xfId="20991"/>
    <cellStyle name="_M2 and M3_08 Outlook Charts Oct 07_Book4_devs vs resi index hk Dec 08" xfId="20992"/>
    <cellStyle name="_M2 and M3_08 Outlook Charts Oct 07_Book4_devs vs resi index hk Dec 08_Charts for HK update May 09" xfId="20993"/>
    <cellStyle name="_M2 and M3_08 Outlook Charts Oct 07_Book4_devs vs resi index hk Dec 08_Charts for HK update May 09_Charts Sep 09 (version 2)" xfId="20994"/>
    <cellStyle name="_M2 and M3_08 Outlook Charts Oct 07_Book4_devs vs resi index hk Dec 08_EC charts Sep 09" xfId="20995"/>
    <cellStyle name="_M2 and M3_08 Outlook Charts Oct 07_Book4_devs vs resi index hk Dec 08_EC charts Sep 09_Charts Sep 09 (version 2)" xfId="20996"/>
    <cellStyle name="_M2 and M3_08 Outlook Charts Oct 07_Book4_EC charts Oct 08" xfId="20997"/>
    <cellStyle name="_M2 and M3_08 Outlook Charts Oct 07_Book4_EC charts Oct 08_Book50" xfId="20998"/>
    <cellStyle name="_M2 and M3_08 Outlook Charts Oct 07_Book4_EC charts Oct 08_Book50_EC charts Sep 09" xfId="20999"/>
    <cellStyle name="_M2 and M3_08 Outlook Charts Oct 07_Book4_EC charts Oct 08_Book50_EC charts Sep 09_Charts Sep 09 (version 2)" xfId="21000"/>
    <cellStyle name="_M2 and M3_08 Outlook Charts Oct 07_Book4_EC charts Oct 08_Charts for HK update May 09" xfId="21001"/>
    <cellStyle name="_M2 and M3_08 Outlook Charts Oct 07_Book4_EC charts Oct 08_Charts for HK update May 09_Charts Sep 09 (version 2)" xfId="21002"/>
    <cellStyle name="_M2 and M3_08 Outlook Charts Oct 07_Book4_EC charts Oct 08_charts Jun 09" xfId="21003"/>
    <cellStyle name="_M2 and M3_08 Outlook Charts Oct 07_Book4_EC charts Oct 08_charts Jun 09_Charts for HK update May 09" xfId="21004"/>
    <cellStyle name="_M2 and M3_08 Outlook Charts Oct 07_Book4_EC charts Oct 08_charts Jun 09_Charts for HK update May 09_Charts Sep 09 (version 2)" xfId="21005"/>
    <cellStyle name="_M2 and M3_08 Outlook Charts Oct 07_Book4_EC charts Oct 08_charts Jun 09_EC charts Sep 09" xfId="21006"/>
    <cellStyle name="_M2 and M3_08 Outlook Charts Oct 07_Book4_EC charts Oct 08_charts Jun 09_EC charts Sep 09_Charts Sep 09 (version 2)" xfId="21007"/>
    <cellStyle name="_M2 and M3_08 Outlook Charts Oct 07_Book4_EC charts Oct 08_China outlook 2010 charts and tables " xfId="21008"/>
    <cellStyle name="_M2 and M3_08 Outlook Charts Oct 07_Book4_EC charts Oct 08_China outlook 2010 charts and tables _Charts Sep 09 (version 2)" xfId="21009"/>
    <cellStyle name="_M2 and M3_08 Outlook Charts Oct 07_Book4_EC charts Oct 08_EC charts Sep 09" xfId="21010"/>
    <cellStyle name="_M2 and M3_08 Outlook Charts Oct 07_Book4_EC charts Oct 08_EC charts Sep 09_Charts Sep 09 (version 2)" xfId="21011"/>
    <cellStyle name="_M2 and M3_08 Outlook Charts Oct 07_Book4_HK developers weighted average share price vs ppty market May 09" xfId="21012"/>
    <cellStyle name="_M2 and M3_08 Outlook Charts Oct 07_Book4_HK Devs Peak to trough 2010 Outlook" xfId="21013"/>
    <cellStyle name="_M2 and M3_08 Outlook Charts Oct 07_Book4_HK Property Charts Apr 09" xfId="21014"/>
    <cellStyle name="_M2 and M3_08 Outlook Charts Oct 07_Book4_HK Property data July 09" xfId="21015"/>
    <cellStyle name="_M2 and M3_08 Outlook Charts Oct 07_Book4_HK Resi 10 outlook chts" xfId="21016"/>
    <cellStyle name="_M2 and M3_08 Outlook Charts Oct 07_Book4_HONG KONG PER" xfId="21017"/>
    <cellStyle name="_M2 and M3_08 Outlook Charts Oct 07_Book4_HONG KONG PER_Book50" xfId="21018"/>
    <cellStyle name="_M2 and M3_08 Outlook Charts Oct 07_Book4_HONG KONG PER_Book50_EC charts Sep 09" xfId="21019"/>
    <cellStyle name="_M2 and M3_08 Outlook Charts Oct 07_Book4_HONG KONG PER_Book50_EC charts Sep 09_Charts Sep 09 (version 2)" xfId="21020"/>
    <cellStyle name="_M2 and M3_08 Outlook Charts Oct 07_Book4_HONG KONG PER_EC charts Sep 09" xfId="21021"/>
    <cellStyle name="_M2 and M3_08 Outlook Charts Oct 07_Book4_HONG KONG PER_EC charts Sep 09_Charts Sep 09 (version 2)" xfId="21022"/>
    <cellStyle name="_M2 and M3_08 Outlook Charts Oct 07_Book4_Mirae - CH Prop NAV breakdown (Francis Chan)" xfId="21023"/>
    <cellStyle name="_M2 and M3_08 Outlook Charts Oct 07_Book4_Mirae - CH Prop NAV breakdown (Francis Chan)_Charts for HK update May 09" xfId="21024"/>
    <cellStyle name="_M2 and M3_08 Outlook Charts Oct 07_Book4_Mirae - CH Prop NAV breakdown (Francis Chan)_Charts for HK update May 09_Charts Sep 09 (version 2)" xfId="21025"/>
    <cellStyle name="_M2 and M3_08 Outlook Charts Oct 07_Book4_Mirae - CH Prop NAV breakdown (Francis Chan)_EC charts Sep 09" xfId="21026"/>
    <cellStyle name="_M2 and M3_08 Outlook Charts Oct 07_Book4_Mirae - CH Prop NAV breakdown (Francis Chan)_EC charts Sep 09_Charts Sep 09 (version 2)" xfId="21027"/>
    <cellStyle name="_M2 and M3_08 Outlook Charts Oct 07_Book4_New Target prices for Land Lords (version 1)" xfId="21028"/>
    <cellStyle name="_M2 and M3_08 Outlook Charts Oct 07_Book4_New Target prices for Land Lords (version 1)_Book4" xfId="21029"/>
    <cellStyle name="_M2 and M3_08 Outlook Charts Oct 07_Book4_New Target prices for Land Lords (version 1)_Book4_Charts Sep 09 (version 2)" xfId="21030"/>
    <cellStyle name="_M2 and M3_08 Outlook Charts Oct 07_Book4_New Target prices for Land Lords (version 1)_CC charts and tables Oct 08" xfId="21031"/>
    <cellStyle name="_M2 and M3_08 Outlook Charts Oct 07_Book4_New Target prices for Land Lords (version 1)_CEIC_PROPERTY PRICE  RENTAL INDEX Feb 09 " xfId="21032"/>
    <cellStyle name="_M2 and M3_08 Outlook Charts Oct 07_Book4_New Target prices for Land Lords (version 1)_charts Jun 09" xfId="21033"/>
    <cellStyle name="_M2 and M3_08 Outlook Charts Oct 07_Book4_New Target prices for Land Lords (version 1)_charts Jun 09_Charts for HK update May 09" xfId="21034"/>
    <cellStyle name="_M2 and M3_08 Outlook Charts Oct 07_Book4_New Target prices for Land Lords (version 1)_charts Jun 09_Charts for HK update May 09_Charts Sep 09 (version 2)" xfId="21035"/>
    <cellStyle name="_M2 and M3_08 Outlook Charts Oct 07_Book4_New Target prices for Land Lords (version 1)_charts Jun 09_EC charts Sep 09" xfId="21036"/>
    <cellStyle name="_M2 and M3_08 Outlook Charts Oct 07_Book4_New Target prices for Land Lords (version 1)_charts Jun 09_EC charts Sep 09_Charts Sep 09 (version 2)" xfId="21037"/>
    <cellStyle name="_M2 and M3_08 Outlook Charts Oct 07_Book4_New Target prices for Land Lords (version 1)_Charts Sep 09 (version 2)" xfId="21038"/>
    <cellStyle name="_M2 and M3_08 Outlook Charts Oct 07_Book4_New Target prices for Land Lords (version 1)_China update table and charts Sep 08" xfId="21039"/>
    <cellStyle name="_M2 and M3_08 Outlook Charts Oct 07_Book4_New Target prices for Land Lords (version 1)_China update table and charts Sep 08_Charts Sep 09 (version 2)" xfId="21040"/>
    <cellStyle name="_M2 and M3_08 Outlook Charts Oct 07_Book4_New Target prices for Land Lords (version 1)_Company comparison Sep 08" xfId="21041"/>
    <cellStyle name="_M2 and M3_08 Outlook Charts Oct 07_Book4_New Target prices for Land Lords (version 1)_Company comparison Sep 08_Book4" xfId="21042"/>
    <cellStyle name="_M2 and M3_08 Outlook Charts Oct 07_Book4_New Target prices for Land Lords (version 1)_Company comparison Sep 08_Book4_Charts Sep 09 (version 2)" xfId="21043"/>
    <cellStyle name="_M2 and M3_08 Outlook Charts Oct 07_Book4_New Target prices for Land Lords (version 1)_Company comparison Sep 08_CC charts and tables Oct 08" xfId="21044"/>
    <cellStyle name="_M2 and M3_08 Outlook Charts Oct 07_Book4_New Target prices for Land Lords (version 1)_Company comparison Sep 08_CEIC_PROPERTY PRICE  RENTAL INDEX Feb 09 " xfId="21045"/>
    <cellStyle name="_M2 and M3_08 Outlook Charts Oct 07_Book4_New Target prices for Land Lords (version 1)_Company comparison Sep 08_charts Jun 09" xfId="21046"/>
    <cellStyle name="_M2 and M3_08 Outlook Charts Oct 07_Book4_New Target prices for Land Lords (version 1)_Company comparison Sep 08_charts Jun 09_Charts for HK update May 09" xfId="21047"/>
    <cellStyle name="_M2 and M3_08 Outlook Charts Oct 07_Book4_New Target prices for Land Lords (version 1)_Company comparison Sep 08_charts Jun 09_Charts for HK update May 09_Charts Sep 09 (version 2)" xfId="21048"/>
    <cellStyle name="_M2 and M3_08 Outlook Charts Oct 07_Book4_New Target prices for Land Lords (version 1)_Company comparison Sep 08_charts Jun 09_EC charts Sep 09" xfId="21049"/>
    <cellStyle name="_M2 and M3_08 Outlook Charts Oct 07_Book4_New Target prices for Land Lords (version 1)_Company comparison Sep 08_charts Jun 09_EC charts Sep 09_Charts Sep 09 (version 2)" xfId="21050"/>
    <cellStyle name="_M2 and M3_08 Outlook Charts Oct 07_Book4_New Target prices for Land Lords (version 1)_Company comparison Sep 08_Charts Sep 09 (version 2)" xfId="21051"/>
    <cellStyle name="_M2 and M3_08 Outlook Charts Oct 07_Book4_New Target prices for Land Lords (version 1)_Company comparison Sep 08_China update table and charts Sep 08" xfId="21052"/>
    <cellStyle name="_M2 and M3_08 Outlook Charts Oct 07_Book4_New Target prices for Land Lords (version 1)_Company comparison Sep 08_China update table and charts Sep 08_Charts Sep 09 (version 2)" xfId="21053"/>
    <cellStyle name="_M2 and M3_08 Outlook Charts Oct 07_Book4_New Target prices for Land Lords (version 1)_Company comparison Sep 08_devs vs resi index hk Dec 08" xfId="21054"/>
    <cellStyle name="_M2 and M3_08 Outlook Charts Oct 07_Book4_New Target prices for Land Lords (version 1)_Company comparison Sep 08_devs vs resi index hk Dec 08_Charts for HK update May 09" xfId="21055"/>
    <cellStyle name="_M2 and M3_08 Outlook Charts Oct 07_Book4_New Target prices for Land Lords (version 1)_Company comparison Sep 08_devs vs resi index hk Dec 08_Charts for HK update May 09_Charts Sep 09 (version 2)" xfId="21056"/>
    <cellStyle name="_M2 and M3_08 Outlook Charts Oct 07_Book4_New Target prices for Land Lords (version 1)_Company comparison Sep 08_devs vs resi index hk Dec 08_EC charts Sep 09" xfId="21057"/>
    <cellStyle name="_M2 and M3_08 Outlook Charts Oct 07_Book4_New Target prices for Land Lords (version 1)_Company comparison Sep 08_devs vs resi index hk Dec 08_EC charts Sep 09_Charts Sep 09 (version 2)" xfId="21058"/>
    <cellStyle name="_M2 and M3_08 Outlook Charts Oct 07_Book4_New Target prices for Land Lords (version 1)_Company comparison Sep 08_EC charts Oct 08" xfId="21059"/>
    <cellStyle name="_M2 and M3_08 Outlook Charts Oct 07_Book4_New Target prices for Land Lords (version 1)_Company comparison Sep 08_EC charts Oct 08_Book50" xfId="21060"/>
    <cellStyle name="_M2 and M3_08 Outlook Charts Oct 07_Book4_New Target prices for Land Lords (version 1)_Company comparison Sep 08_EC charts Oct 08_Book50_EC charts Sep 09" xfId="21061"/>
    <cellStyle name="_M2 and M3_08 Outlook Charts Oct 07_Book4_New Target prices for Land Lords (version 1)_Company comparison Sep 08_EC charts Oct 08_Book50_EC charts Sep 09_Charts Sep 09 (version 2)" xfId="21062"/>
    <cellStyle name="_M2 and M3_08 Outlook Charts Oct 07_Book4_New Target prices for Land Lords (version 1)_Company comparison Sep 08_EC charts Oct 08_EC charts Sep 09" xfId="21063"/>
    <cellStyle name="_M2 and M3_08 Outlook Charts Oct 07_Book4_New Target prices for Land Lords (version 1)_Company comparison Sep 08_EC charts Oct 08_EC charts Sep 09_Charts Sep 09 (version 2)" xfId="21064"/>
    <cellStyle name="_M2 and M3_08 Outlook Charts Oct 07_Book4_New Target prices for Land Lords (version 1)_Company comparison Sep 08_HK developers weighted average share price vs ppty market May 09" xfId="21065"/>
    <cellStyle name="_M2 and M3_08 Outlook Charts Oct 07_Book4_New Target prices for Land Lords (version 1)_Company comparison Sep 08_HK Property data July 09" xfId="21066"/>
    <cellStyle name="_M2 and M3_08 Outlook Charts Oct 07_Book4_New Target prices for Land Lords (version 1)_Company comparison Sep 08_HK Resi 10 outlook chts" xfId="21067"/>
    <cellStyle name="_M2 and M3_08 Outlook Charts Oct 07_Book4_New Target prices for Land Lords (version 1)_Company comparison Sep 08_HONG KONG PER" xfId="21068"/>
    <cellStyle name="_M2 and M3_08 Outlook Charts Oct 07_Book4_New Target prices for Land Lords (version 1)_Company comparison Sep 08_HONG KONG PER_Book50" xfId="21069"/>
    <cellStyle name="_M2 and M3_08 Outlook Charts Oct 07_Book4_New Target prices for Land Lords (version 1)_Company comparison Sep 08_HONG KONG PER_Book50_EC charts Sep 09" xfId="21070"/>
    <cellStyle name="_M2 and M3_08 Outlook Charts Oct 07_Book4_New Target prices for Land Lords (version 1)_Company comparison Sep 08_HONG KONG PER_Book50_EC charts Sep 09_Charts Sep 09 (version 2)" xfId="21071"/>
    <cellStyle name="_M2 and M3_08 Outlook Charts Oct 07_Book4_New Target prices for Land Lords (version 1)_Company comparison Sep 08_HONG KONG PER_EC charts Sep 09" xfId="21072"/>
    <cellStyle name="_M2 and M3_08 Outlook Charts Oct 07_Book4_New Target prices for Land Lords (version 1)_Company comparison Sep 08_HONG KONG PER_EC charts Sep 09_Charts Sep 09 (version 2)" xfId="21073"/>
    <cellStyle name="_M2 and M3_08 Outlook Charts Oct 07_Book4_New Target prices for Land Lords (version 1)_Company comparison Sep 08_Mirae - CH Prop NAV breakdown (Francis Chan)" xfId="21074"/>
    <cellStyle name="_M2 and M3_08 Outlook Charts Oct 07_Book4_New Target prices for Land Lords (version 1)_Company comparison Sep 08_Mirae - CH Prop NAV breakdown (Francis Chan)_Charts for HK update May 09" xfId="21075"/>
    <cellStyle name="_M2 and M3_08 Outlook Charts Oct 07_Book4_New Target prices for Land Lords (version 1)_Company comparison Sep 08_Mirae - CH Prop NAV breakdown (Francis Chan)_Charts for HK update May 09_Charts Sep 09 (version 2)" xfId="21076"/>
    <cellStyle name="_M2 and M3_08 Outlook Charts Oct 07_Book4_New Target prices for Land Lords (version 1)_Company comparison Sep 08_Mirae - CH Prop NAV breakdown (Francis Chan)_EC charts Sep 09" xfId="21077"/>
    <cellStyle name="_M2 and M3_08 Outlook Charts Oct 07_Book4_New Target prices for Land Lords (version 1)_Company comparison Sep 08_Mirae - CH Prop NAV breakdown (Francis Chan)_EC charts Sep 09_Charts Sep 09 (version 2)" xfId="21078"/>
    <cellStyle name="_M2 and M3_08 Outlook Charts Oct 07_Book4_New Target prices for Land Lords (version 1)_Company comparison Sep 08_RESIDENTIAL SUPPLY 2009-2010" xfId="21079"/>
    <cellStyle name="_M2 and M3_08 Outlook Charts Oct 07_Book4_New Target prices for Land Lords (version 1)_devs vs resi index hk Dec 08" xfId="21080"/>
    <cellStyle name="_M2 and M3_08 Outlook Charts Oct 07_Book4_New Target prices for Land Lords (version 1)_devs vs resi index hk Dec 08_Charts for HK update May 09" xfId="21081"/>
    <cellStyle name="_M2 and M3_08 Outlook Charts Oct 07_Book4_New Target prices for Land Lords (version 1)_devs vs resi index hk Dec 08_Charts for HK update May 09_Charts Sep 09 (version 2)" xfId="21082"/>
    <cellStyle name="_M2 and M3_08 Outlook Charts Oct 07_Book4_New Target prices for Land Lords (version 1)_devs vs resi index hk Dec 08_EC charts Sep 09" xfId="21083"/>
    <cellStyle name="_M2 and M3_08 Outlook Charts Oct 07_Book4_New Target prices for Land Lords (version 1)_devs vs resi index hk Dec 08_EC charts Sep 09_Charts Sep 09 (version 2)" xfId="21084"/>
    <cellStyle name="_M2 and M3_08 Outlook Charts Oct 07_Book4_New Target prices for Land Lords (version 1)_EC charts Oct 08" xfId="21085"/>
    <cellStyle name="_M2 and M3_08 Outlook Charts Oct 07_Book4_New Target prices for Land Lords (version 1)_EC charts Oct 08_Book50" xfId="21086"/>
    <cellStyle name="_M2 and M3_08 Outlook Charts Oct 07_Book4_New Target prices for Land Lords (version 1)_EC charts Oct 08_Book50_EC charts Sep 09" xfId="21087"/>
    <cellStyle name="_M2 and M3_08 Outlook Charts Oct 07_Book4_New Target prices for Land Lords (version 1)_EC charts Oct 08_Book50_EC charts Sep 09_Charts Sep 09 (version 2)" xfId="21088"/>
    <cellStyle name="_M2 and M3_08 Outlook Charts Oct 07_Book4_New Target prices for Land Lords (version 1)_EC charts Oct 08_Charts for HK update May 09" xfId="21089"/>
    <cellStyle name="_M2 and M3_08 Outlook Charts Oct 07_Book4_New Target prices for Land Lords (version 1)_EC charts Oct 08_Charts for HK update May 09_Charts Sep 09 (version 2)" xfId="21090"/>
    <cellStyle name="_M2 and M3_08 Outlook Charts Oct 07_Book4_New Target prices for Land Lords (version 1)_EC charts Oct 08_charts Jun 09" xfId="21091"/>
    <cellStyle name="_M2 and M3_08 Outlook Charts Oct 07_Book4_New Target prices for Land Lords (version 1)_EC charts Oct 08_charts Jun 09_Charts for HK update May 09" xfId="21092"/>
    <cellStyle name="_M2 and M3_08 Outlook Charts Oct 07_Book4_New Target prices for Land Lords (version 1)_EC charts Oct 08_charts Jun 09_Charts for HK update May 09_Charts Sep 09 (version 2)" xfId="21093"/>
    <cellStyle name="_M2 and M3_08 Outlook Charts Oct 07_Book4_New Target prices for Land Lords (version 1)_EC charts Oct 08_charts Jun 09_EC charts Sep 09" xfId="21094"/>
    <cellStyle name="_M2 and M3_08 Outlook Charts Oct 07_Book4_New Target prices for Land Lords (version 1)_EC charts Oct 08_charts Jun 09_EC charts Sep 09_Charts Sep 09 (version 2)" xfId="21095"/>
    <cellStyle name="_M2 and M3_08 Outlook Charts Oct 07_Book4_New Target prices for Land Lords (version 1)_EC charts Oct 08_China outlook 2010 charts and tables " xfId="21096"/>
    <cellStyle name="_M2 and M3_08 Outlook Charts Oct 07_Book4_New Target prices for Land Lords (version 1)_EC charts Oct 08_China outlook 2010 charts and tables _Charts Sep 09 (version 2)" xfId="21097"/>
    <cellStyle name="_M2 and M3_08 Outlook Charts Oct 07_Book4_New Target prices for Land Lords (version 1)_EC charts Oct 08_EC charts Sep 09" xfId="21098"/>
    <cellStyle name="_M2 and M3_08 Outlook Charts Oct 07_Book4_New Target prices for Land Lords (version 1)_EC charts Oct 08_EC charts Sep 09_Charts Sep 09 (version 2)" xfId="21099"/>
    <cellStyle name="_M2 and M3_08 Outlook Charts Oct 07_Book4_New Target prices for Land Lords (version 1)_HK developers weighted average share price vs ppty market May 09" xfId="21100"/>
    <cellStyle name="_M2 and M3_08 Outlook Charts Oct 07_Book4_New Target prices for Land Lords (version 1)_HK Devs Peak to trough 2010 Outlook" xfId="21101"/>
    <cellStyle name="_M2 and M3_08 Outlook Charts Oct 07_Book4_New Target prices for Land Lords (version 1)_HK Property Charts Apr 09" xfId="21102"/>
    <cellStyle name="_M2 and M3_08 Outlook Charts Oct 07_Book4_New Target prices for Land Lords (version 1)_HK Property data July 09" xfId="21103"/>
    <cellStyle name="_M2 and M3_08 Outlook Charts Oct 07_Book4_New Target prices for Land Lords (version 1)_HK Resi 10 outlook chts" xfId="21104"/>
    <cellStyle name="_M2 and M3_08 Outlook Charts Oct 07_Book4_New Target prices for Land Lords (version 1)_HONG KONG PER" xfId="21105"/>
    <cellStyle name="_M2 and M3_08 Outlook Charts Oct 07_Book4_New Target prices for Land Lords (version 1)_HONG KONG PER_Book50" xfId="21106"/>
    <cellStyle name="_M2 and M3_08 Outlook Charts Oct 07_Book4_New Target prices for Land Lords (version 1)_HONG KONG PER_Book50_EC charts Sep 09" xfId="21107"/>
    <cellStyle name="_M2 and M3_08 Outlook Charts Oct 07_Book4_New Target prices for Land Lords (version 1)_HONG KONG PER_Book50_EC charts Sep 09_Charts Sep 09 (version 2)" xfId="21108"/>
    <cellStyle name="_M2 and M3_08 Outlook Charts Oct 07_Book4_New Target prices for Land Lords (version 1)_HONG KONG PER_EC charts Sep 09" xfId="21109"/>
    <cellStyle name="_M2 and M3_08 Outlook Charts Oct 07_Book4_New Target prices for Land Lords (version 1)_HONG KONG PER_EC charts Sep 09_Charts Sep 09 (version 2)" xfId="21110"/>
    <cellStyle name="_M2 and M3_08 Outlook Charts Oct 07_Book4_New Target prices for Land Lords (version 1)_Mirae - CH Prop NAV breakdown (Francis Chan)" xfId="21111"/>
    <cellStyle name="_M2 and M3_08 Outlook Charts Oct 07_Book4_New Target prices for Land Lords (version 1)_Mirae - CH Prop NAV breakdown (Francis Chan)_Charts for HK update May 09" xfId="21112"/>
    <cellStyle name="_M2 and M3_08 Outlook Charts Oct 07_Book4_New Target prices for Land Lords (version 1)_Mirae - CH Prop NAV breakdown (Francis Chan)_Charts for HK update May 09_Charts Sep 09 (version 2)" xfId="21113"/>
    <cellStyle name="_M2 and M3_08 Outlook Charts Oct 07_Book4_New Target prices for Land Lords (version 1)_Mirae - CH Prop NAV breakdown (Francis Chan)_EC charts Sep 09" xfId="21114"/>
    <cellStyle name="_M2 and M3_08 Outlook Charts Oct 07_Book4_New Target prices for Land Lords (version 1)_Mirae - CH Prop NAV breakdown (Francis Chan)_EC charts Sep 09_Charts Sep 09 (version 2)" xfId="21115"/>
    <cellStyle name="_M2 and M3_08 Outlook Charts Oct 07_Book4_New Target prices for Land Lords (version 1)_RESIDENTIAL SUPPLY 2009-2010" xfId="21116"/>
    <cellStyle name="_M2 and M3_08 Outlook Charts Oct 07_Book4_RESIDENTIAL SUPPLY 2009-2010" xfId="21117"/>
    <cellStyle name="_M2 and M3_08 Outlook Charts Oct 07_CC charts and tables Oct 08" xfId="21118"/>
    <cellStyle name="_M2 and M3_08 Outlook Charts Oct 07_CEIC_PROPERTY PRICE  RENTAL INDEX Feb 09 " xfId="21119"/>
    <cellStyle name="_M2 and M3_08 Outlook Charts Oct 07_charts Jun 09" xfId="21120"/>
    <cellStyle name="_M2 and M3_08 Outlook Charts Oct 07_charts Jun 09_Charts for HK update May 09" xfId="21121"/>
    <cellStyle name="_M2 and M3_08 Outlook Charts Oct 07_charts Jun 09_Charts for HK update May 09_Charts Sep 09 (version 2)" xfId="21122"/>
    <cellStyle name="_M2 and M3_08 Outlook Charts Oct 07_charts Jun 09_EC charts Sep 09" xfId="21123"/>
    <cellStyle name="_M2 and M3_08 Outlook Charts Oct 07_charts Jun 09_EC charts Sep 09_Charts Sep 09 (version 2)" xfId="21124"/>
    <cellStyle name="_M2 and M3_08 Outlook Charts Oct 07_Charts Sep 09 (version 2)" xfId="21125"/>
    <cellStyle name="_M2 and M3_08 Outlook Charts Oct 07_China update table and charts Sep 08" xfId="21126"/>
    <cellStyle name="_M2 and M3_08 Outlook Charts Oct 07_China update table and charts Sep 08_Charts Sep 09 (version 2)" xfId="21127"/>
    <cellStyle name="_M2 and M3_08 Outlook Charts Oct 07_Company comparison Sep 08" xfId="21128"/>
    <cellStyle name="_M2 and M3_08 Outlook Charts Oct 07_Company comparison Sep 08_Book4" xfId="21129"/>
    <cellStyle name="_M2 and M3_08 Outlook Charts Oct 07_Company comparison Sep 08_Book4_Charts Sep 09 (version 2)" xfId="21130"/>
    <cellStyle name="_M2 and M3_08 Outlook Charts Oct 07_Company comparison Sep 08_CC charts and tables Oct 08" xfId="21131"/>
    <cellStyle name="_M2 and M3_08 Outlook Charts Oct 07_Company comparison Sep 08_CEIC_PROPERTY PRICE  RENTAL INDEX Feb 09 " xfId="21132"/>
    <cellStyle name="_M2 and M3_08 Outlook Charts Oct 07_Company comparison Sep 08_charts Jun 09" xfId="21133"/>
    <cellStyle name="_M2 and M3_08 Outlook Charts Oct 07_Company comparison Sep 08_charts Jun 09_Charts for HK update May 09" xfId="21134"/>
    <cellStyle name="_M2 and M3_08 Outlook Charts Oct 07_Company comparison Sep 08_charts Jun 09_Charts for HK update May 09_Charts Sep 09 (version 2)" xfId="21135"/>
    <cellStyle name="_M2 and M3_08 Outlook Charts Oct 07_Company comparison Sep 08_charts Jun 09_EC charts Sep 09" xfId="21136"/>
    <cellStyle name="_M2 and M3_08 Outlook Charts Oct 07_Company comparison Sep 08_charts Jun 09_EC charts Sep 09_Charts Sep 09 (version 2)" xfId="21137"/>
    <cellStyle name="_M2 and M3_08 Outlook Charts Oct 07_Company comparison Sep 08_Charts Sep 09 (version 2)" xfId="21138"/>
    <cellStyle name="_M2 and M3_08 Outlook Charts Oct 07_Company comparison Sep 08_China update table and charts Sep 08" xfId="21139"/>
    <cellStyle name="_M2 and M3_08 Outlook Charts Oct 07_Company comparison Sep 08_China update table and charts Sep 08_Charts Sep 09 (version 2)" xfId="21140"/>
    <cellStyle name="_M2 and M3_08 Outlook Charts Oct 07_Company comparison Sep 08_devs vs resi index hk Dec 08" xfId="21141"/>
    <cellStyle name="_M2 and M3_08 Outlook Charts Oct 07_Company comparison Sep 08_devs vs resi index hk Dec 08_Charts for HK update May 09" xfId="21142"/>
    <cellStyle name="_M2 and M3_08 Outlook Charts Oct 07_Company comparison Sep 08_devs vs resi index hk Dec 08_Charts for HK update May 09_Charts Sep 09 (version 2)" xfId="21143"/>
    <cellStyle name="_M2 and M3_08 Outlook Charts Oct 07_Company comparison Sep 08_devs vs resi index hk Dec 08_EC charts Sep 09" xfId="21144"/>
    <cellStyle name="_M2 and M3_08 Outlook Charts Oct 07_Company comparison Sep 08_devs vs resi index hk Dec 08_EC charts Sep 09_Charts Sep 09 (version 2)" xfId="21145"/>
    <cellStyle name="_M2 and M3_08 Outlook Charts Oct 07_Company comparison Sep 08_EC charts Oct 08" xfId="21146"/>
    <cellStyle name="_M2 and M3_08 Outlook Charts Oct 07_Company comparison Sep 08_EC charts Oct 08_Book50" xfId="21147"/>
    <cellStyle name="_M2 and M3_08 Outlook Charts Oct 07_Company comparison Sep 08_EC charts Oct 08_Book50_EC charts Sep 09" xfId="21148"/>
    <cellStyle name="_M2 and M3_08 Outlook Charts Oct 07_Company comparison Sep 08_EC charts Oct 08_Book50_EC charts Sep 09_Charts Sep 09 (version 2)" xfId="21149"/>
    <cellStyle name="_M2 and M3_08 Outlook Charts Oct 07_Company comparison Sep 08_EC charts Oct 08_EC charts Sep 09" xfId="21150"/>
    <cellStyle name="_M2 and M3_08 Outlook Charts Oct 07_Company comparison Sep 08_EC charts Oct 08_EC charts Sep 09_Charts Sep 09 (version 2)" xfId="21151"/>
    <cellStyle name="_M2 and M3_08 Outlook Charts Oct 07_Company comparison Sep 08_HK developers weighted average share price vs ppty market May 09" xfId="21152"/>
    <cellStyle name="_M2 and M3_08 Outlook Charts Oct 07_Company comparison Sep 08_HK Property data July 09" xfId="21153"/>
    <cellStyle name="_M2 and M3_08 Outlook Charts Oct 07_Company comparison Sep 08_HK Resi 10 outlook chts" xfId="21154"/>
    <cellStyle name="_M2 and M3_08 Outlook Charts Oct 07_Company comparison Sep 08_HONG KONG PER" xfId="21155"/>
    <cellStyle name="_M2 and M3_08 Outlook Charts Oct 07_Company comparison Sep 08_HONG KONG PER_Book50" xfId="21156"/>
    <cellStyle name="_M2 and M3_08 Outlook Charts Oct 07_Company comparison Sep 08_HONG KONG PER_Book50_EC charts Sep 09" xfId="21157"/>
    <cellStyle name="_M2 and M3_08 Outlook Charts Oct 07_Company comparison Sep 08_HONG KONG PER_Book50_EC charts Sep 09_Charts Sep 09 (version 2)" xfId="21158"/>
    <cellStyle name="_M2 and M3_08 Outlook Charts Oct 07_Company comparison Sep 08_HONG KONG PER_EC charts Sep 09" xfId="21159"/>
    <cellStyle name="_M2 and M3_08 Outlook Charts Oct 07_Company comparison Sep 08_HONG KONG PER_EC charts Sep 09_Charts Sep 09 (version 2)" xfId="21160"/>
    <cellStyle name="_M2 and M3_08 Outlook Charts Oct 07_Company comparison Sep 08_Mirae - CH Prop NAV breakdown (Francis Chan)" xfId="21161"/>
    <cellStyle name="_M2 and M3_08 Outlook Charts Oct 07_Company comparison Sep 08_Mirae - CH Prop NAV breakdown (Francis Chan)_Charts for HK update May 09" xfId="21162"/>
    <cellStyle name="_M2 and M3_08 Outlook Charts Oct 07_Company comparison Sep 08_Mirae - CH Prop NAV breakdown (Francis Chan)_Charts for HK update May 09_Charts Sep 09 (version 2)" xfId="21163"/>
    <cellStyle name="_M2 and M3_08 Outlook Charts Oct 07_Company comparison Sep 08_Mirae - CH Prop NAV breakdown (Francis Chan)_EC charts Sep 09" xfId="21164"/>
    <cellStyle name="_M2 and M3_08 Outlook Charts Oct 07_Company comparison Sep 08_Mirae - CH Prop NAV breakdown (Francis Chan)_EC charts Sep 09_Charts Sep 09 (version 2)" xfId="21165"/>
    <cellStyle name="_M2 and M3_08 Outlook Charts Oct 07_Company comparison Sep 08_RESIDENTIAL SUPPLY 2009-2010" xfId="21166"/>
    <cellStyle name="_M2 and M3_08 Outlook Charts Oct 07_devs vs resi index hk Dec 08" xfId="21167"/>
    <cellStyle name="_M2 and M3_08 Outlook Charts Oct 07_devs vs resi index hk Dec 08_Charts for HK update May 09" xfId="21168"/>
    <cellStyle name="_M2 and M3_08 Outlook Charts Oct 07_devs vs resi index hk Dec 08_Charts for HK update May 09_Charts Sep 09 (version 2)" xfId="21169"/>
    <cellStyle name="_M2 and M3_08 Outlook Charts Oct 07_devs vs resi index hk Dec 08_EC charts Sep 09" xfId="21170"/>
    <cellStyle name="_M2 and M3_08 Outlook Charts Oct 07_devs vs resi index hk Dec 08_EC charts Sep 09_Charts Sep 09 (version 2)" xfId="21171"/>
    <cellStyle name="_M2 and M3_08 Outlook Charts Oct 07_EC charts Oct 08" xfId="21172"/>
    <cellStyle name="_M2 and M3_08 Outlook Charts Oct 07_EC charts Oct 08_Book50" xfId="21173"/>
    <cellStyle name="_M2 and M3_08 Outlook Charts Oct 07_EC charts Oct 08_Book50_EC charts Sep 09" xfId="21174"/>
    <cellStyle name="_M2 and M3_08 Outlook Charts Oct 07_EC charts Oct 08_Book50_EC charts Sep 09_Charts Sep 09 (version 2)" xfId="21175"/>
    <cellStyle name="_M2 and M3_08 Outlook Charts Oct 07_EC charts Oct 08_Charts for HK update May 09" xfId="21176"/>
    <cellStyle name="_M2 and M3_08 Outlook Charts Oct 07_EC charts Oct 08_Charts for HK update May 09_Charts Sep 09 (version 2)" xfId="21177"/>
    <cellStyle name="_M2 and M3_08 Outlook Charts Oct 07_EC charts Oct 08_charts Jun 09" xfId="21178"/>
    <cellStyle name="_M2 and M3_08 Outlook Charts Oct 07_EC charts Oct 08_charts Jun 09_Charts for HK update May 09" xfId="21179"/>
    <cellStyle name="_M2 and M3_08 Outlook Charts Oct 07_EC charts Oct 08_charts Jun 09_Charts for HK update May 09_Charts Sep 09 (version 2)" xfId="21180"/>
    <cellStyle name="_M2 and M3_08 Outlook Charts Oct 07_EC charts Oct 08_charts Jun 09_EC charts Sep 09" xfId="21181"/>
    <cellStyle name="_M2 and M3_08 Outlook Charts Oct 07_EC charts Oct 08_charts Jun 09_EC charts Sep 09_Charts Sep 09 (version 2)" xfId="21182"/>
    <cellStyle name="_M2 and M3_08 Outlook Charts Oct 07_EC charts Oct 08_China outlook 2010 charts and tables " xfId="21183"/>
    <cellStyle name="_M2 and M3_08 Outlook Charts Oct 07_EC charts Oct 08_China outlook 2010 charts and tables _Charts Sep 09 (version 2)" xfId="21184"/>
    <cellStyle name="_M2 and M3_08 Outlook Charts Oct 07_EC charts Oct 08_EC charts Sep 09" xfId="21185"/>
    <cellStyle name="_M2 and M3_08 Outlook Charts Oct 07_EC charts Oct 08_EC charts Sep 09_Charts Sep 09 (version 2)" xfId="21186"/>
    <cellStyle name="_M2 and M3_08 Outlook Charts Oct 07_HK developers weighted average share price vs ppty market May 09" xfId="21187"/>
    <cellStyle name="_M2 and M3_08 Outlook Charts Oct 07_HK Devs Peak to trough 2010 Outlook" xfId="21188"/>
    <cellStyle name="_M2 and M3_08 Outlook Charts Oct 07_HK Property Charts Apr 09" xfId="21189"/>
    <cellStyle name="_M2 and M3_08 Outlook Charts Oct 07_HK Property data July 09" xfId="21190"/>
    <cellStyle name="_M2 and M3_08 Outlook Charts Oct 07_HK Resi 10 outlook chts" xfId="21191"/>
    <cellStyle name="_M2 and M3_08 Outlook Charts Oct 07_HONG KONG PER" xfId="21192"/>
    <cellStyle name="_M2 and M3_08 Outlook Charts Oct 07_HONG KONG PER_Book50" xfId="21193"/>
    <cellStyle name="_M2 and M3_08 Outlook Charts Oct 07_HONG KONG PER_Book50_EC charts Sep 09" xfId="21194"/>
    <cellStyle name="_M2 and M3_08 Outlook Charts Oct 07_HONG KONG PER_Book50_EC charts Sep 09_Charts Sep 09 (version 2)" xfId="21195"/>
    <cellStyle name="_M2 and M3_08 Outlook Charts Oct 07_HONG KONG PER_EC charts Sep 09" xfId="21196"/>
    <cellStyle name="_M2 and M3_08 Outlook Charts Oct 07_HONG KONG PER_EC charts Sep 09_Charts Sep 09 (version 2)" xfId="21197"/>
    <cellStyle name="_M2 and M3_08 Outlook Charts Oct 07_Mirae - CH Prop NAV breakdown (Francis Chan)" xfId="21198"/>
    <cellStyle name="_M2 and M3_08 Outlook Charts Oct 07_Mirae - CH Prop NAV breakdown (Francis Chan)_Charts for HK update May 09" xfId="21199"/>
    <cellStyle name="_M2 and M3_08 Outlook Charts Oct 07_Mirae - CH Prop NAV breakdown (Francis Chan)_Charts for HK update May 09_Charts Sep 09 (version 2)" xfId="21200"/>
    <cellStyle name="_M2 and M3_08 Outlook Charts Oct 07_Mirae - CH Prop NAV breakdown (Francis Chan)_EC charts Sep 09" xfId="21201"/>
    <cellStyle name="_M2 and M3_08 Outlook Charts Oct 07_Mirae - CH Prop NAV breakdown (Francis Chan)_EC charts Sep 09_Charts Sep 09 (version 2)" xfId="21202"/>
    <cellStyle name="_M2 and M3_08 Outlook Charts Oct 07_RESIDENTIAL SUPPLY 2009-2010" xfId="21203"/>
    <cellStyle name="_M2 and M3_08 Outlook Charts Oct 07-1" xfId="21204"/>
    <cellStyle name="_M2 and M3_08 Outlook Charts Oct 07-1_Book4" xfId="21205"/>
    <cellStyle name="_M2 and M3_08 Outlook Charts Oct 07-1_Book4_Charts Sep 09 (version 2)" xfId="21206"/>
    <cellStyle name="_M2 and M3_08 Outlook Charts Oct 07-1_CC charts and tables Oct 08" xfId="21207"/>
    <cellStyle name="_M2 and M3_08 Outlook Charts Oct 07-1_CEIC_PROPERTY PRICE  RENTAL INDEX Feb 09 " xfId="21208"/>
    <cellStyle name="_M2 and M3_08 Outlook Charts Oct 07-1_charts Jun 09" xfId="21209"/>
    <cellStyle name="_M2 and M3_08 Outlook Charts Oct 07-1_charts Jun 09_Charts for HK update May 09" xfId="21210"/>
    <cellStyle name="_M2 and M3_08 Outlook Charts Oct 07-1_charts Jun 09_Charts for HK update May 09_Charts Sep 09 (version 2)" xfId="21211"/>
    <cellStyle name="_M2 and M3_08 Outlook Charts Oct 07-1_charts Jun 09_EC charts Sep 09" xfId="21212"/>
    <cellStyle name="_M2 and M3_08 Outlook Charts Oct 07-1_charts Jun 09_EC charts Sep 09_Charts Sep 09 (version 2)" xfId="21213"/>
    <cellStyle name="_M2 and M3_08 Outlook Charts Oct 07-1_Charts Sep 09 (version 2)" xfId="21214"/>
    <cellStyle name="_M2 and M3_08 Outlook Charts Oct 07-1_China update table and charts Sep 08" xfId="21215"/>
    <cellStyle name="_M2 and M3_08 Outlook Charts Oct 07-1_China update table and charts Sep 08_Charts Sep 09 (version 2)" xfId="21216"/>
    <cellStyle name="_M2 and M3_08 Outlook Charts Oct 07-1_Company comparison Sep 08" xfId="21217"/>
    <cellStyle name="_M2 and M3_08 Outlook Charts Oct 07-1_Company comparison Sep 08_Book4" xfId="21218"/>
    <cellStyle name="_M2 and M3_08 Outlook Charts Oct 07-1_Company comparison Sep 08_Book4_Charts Sep 09 (version 2)" xfId="21219"/>
    <cellStyle name="_M2 and M3_08 Outlook Charts Oct 07-1_Company comparison Sep 08_CC charts and tables Oct 08" xfId="21220"/>
    <cellStyle name="_M2 and M3_08 Outlook Charts Oct 07-1_Company comparison Sep 08_CEIC_PROPERTY PRICE  RENTAL INDEX Feb 09 " xfId="21221"/>
    <cellStyle name="_M2 and M3_08 Outlook Charts Oct 07-1_Company comparison Sep 08_charts Jun 09" xfId="21222"/>
    <cellStyle name="_M2 and M3_08 Outlook Charts Oct 07-1_Company comparison Sep 08_charts Jun 09_Charts for HK update May 09" xfId="21223"/>
    <cellStyle name="_M2 and M3_08 Outlook Charts Oct 07-1_Company comparison Sep 08_charts Jun 09_Charts for HK update May 09_Charts Sep 09 (version 2)" xfId="21224"/>
    <cellStyle name="_M2 and M3_08 Outlook Charts Oct 07-1_Company comparison Sep 08_charts Jun 09_EC charts Sep 09" xfId="21225"/>
    <cellStyle name="_M2 and M3_08 Outlook Charts Oct 07-1_Company comparison Sep 08_charts Jun 09_EC charts Sep 09_Charts Sep 09 (version 2)" xfId="21226"/>
    <cellStyle name="_M2 and M3_08 Outlook Charts Oct 07-1_Company comparison Sep 08_Charts Sep 09 (version 2)" xfId="21227"/>
    <cellStyle name="_M2 and M3_08 Outlook Charts Oct 07-1_Company comparison Sep 08_China update table and charts Sep 08" xfId="21228"/>
    <cellStyle name="_M2 and M3_08 Outlook Charts Oct 07-1_Company comparison Sep 08_China update table and charts Sep 08_Charts Sep 09 (version 2)" xfId="21229"/>
    <cellStyle name="_M2 and M3_08 Outlook Charts Oct 07-1_Company comparison Sep 08_devs vs resi index hk Dec 08" xfId="21230"/>
    <cellStyle name="_M2 and M3_08 Outlook Charts Oct 07-1_Company comparison Sep 08_devs vs resi index hk Dec 08_Charts for HK update May 09" xfId="21231"/>
    <cellStyle name="_M2 and M3_08 Outlook Charts Oct 07-1_Company comparison Sep 08_devs vs resi index hk Dec 08_Charts for HK update May 09_Charts Sep 09 (version 2)" xfId="21232"/>
    <cellStyle name="_M2 and M3_08 Outlook Charts Oct 07-1_Company comparison Sep 08_devs vs resi index hk Dec 08_EC charts Sep 09" xfId="21233"/>
    <cellStyle name="_M2 and M3_08 Outlook Charts Oct 07-1_Company comparison Sep 08_devs vs resi index hk Dec 08_EC charts Sep 09_Charts Sep 09 (version 2)" xfId="21234"/>
    <cellStyle name="_M2 and M3_08 Outlook Charts Oct 07-1_Company comparison Sep 08_EC charts Oct 08" xfId="21235"/>
    <cellStyle name="_M2 and M3_08 Outlook Charts Oct 07-1_Company comparison Sep 08_EC charts Oct 08_Book50" xfId="21236"/>
    <cellStyle name="_M2 and M3_08 Outlook Charts Oct 07-1_Company comparison Sep 08_EC charts Oct 08_Book50_EC charts Sep 09" xfId="21237"/>
    <cellStyle name="_M2 and M3_08 Outlook Charts Oct 07-1_Company comparison Sep 08_EC charts Oct 08_Book50_EC charts Sep 09_Charts Sep 09 (version 2)" xfId="21238"/>
    <cellStyle name="_M2 and M3_08 Outlook Charts Oct 07-1_Company comparison Sep 08_EC charts Oct 08_EC charts Sep 09" xfId="21239"/>
    <cellStyle name="_M2 and M3_08 Outlook Charts Oct 07-1_Company comparison Sep 08_EC charts Oct 08_EC charts Sep 09_Charts Sep 09 (version 2)" xfId="21240"/>
    <cellStyle name="_M2 and M3_08 Outlook Charts Oct 07-1_Company comparison Sep 08_HK developers weighted average share price vs ppty market May 09" xfId="21241"/>
    <cellStyle name="_M2 and M3_08 Outlook Charts Oct 07-1_Company comparison Sep 08_HK Property data July 09" xfId="21242"/>
    <cellStyle name="_M2 and M3_08 Outlook Charts Oct 07-1_Company comparison Sep 08_HK Resi 10 outlook chts" xfId="21243"/>
    <cellStyle name="_M2 and M3_08 Outlook Charts Oct 07-1_Company comparison Sep 08_HONG KONG PER" xfId="21244"/>
    <cellStyle name="_M2 and M3_08 Outlook Charts Oct 07-1_Company comparison Sep 08_HONG KONG PER_Book50" xfId="21245"/>
    <cellStyle name="_M2 and M3_08 Outlook Charts Oct 07-1_Company comparison Sep 08_HONG KONG PER_Book50_EC charts Sep 09" xfId="21246"/>
    <cellStyle name="_M2 and M3_08 Outlook Charts Oct 07-1_Company comparison Sep 08_HONG KONG PER_Book50_EC charts Sep 09_Charts Sep 09 (version 2)" xfId="21247"/>
    <cellStyle name="_M2 and M3_08 Outlook Charts Oct 07-1_Company comparison Sep 08_HONG KONG PER_EC charts Sep 09" xfId="21248"/>
    <cellStyle name="_M2 and M3_08 Outlook Charts Oct 07-1_Company comparison Sep 08_HONG KONG PER_EC charts Sep 09_Charts Sep 09 (version 2)" xfId="21249"/>
    <cellStyle name="_M2 and M3_08 Outlook Charts Oct 07-1_Company comparison Sep 08_Mirae - CH Prop NAV breakdown (Francis Chan)" xfId="21250"/>
    <cellStyle name="_M2 and M3_08 Outlook Charts Oct 07-1_Company comparison Sep 08_Mirae - CH Prop NAV breakdown (Francis Chan)_Charts for HK update May 09" xfId="21251"/>
    <cellStyle name="_M2 and M3_08 Outlook Charts Oct 07-1_Company comparison Sep 08_Mirae - CH Prop NAV breakdown (Francis Chan)_Charts for HK update May 09_Charts Sep 09 (version 2)" xfId="21252"/>
    <cellStyle name="_M2 and M3_08 Outlook Charts Oct 07-1_Company comparison Sep 08_Mirae - CH Prop NAV breakdown (Francis Chan)_EC charts Sep 09" xfId="21253"/>
    <cellStyle name="_M2 and M3_08 Outlook Charts Oct 07-1_Company comparison Sep 08_Mirae - CH Prop NAV breakdown (Francis Chan)_EC charts Sep 09_Charts Sep 09 (version 2)" xfId="21254"/>
    <cellStyle name="_M2 and M3_08 Outlook Charts Oct 07-1_Company comparison Sep 08_RESIDENTIAL SUPPLY 2009-2010" xfId="21255"/>
    <cellStyle name="_M2 and M3_08 Outlook Charts Oct 07-1_devs vs resi index hk Dec 08" xfId="21256"/>
    <cellStyle name="_M2 and M3_08 Outlook Charts Oct 07-1_devs vs resi index hk Dec 08_Charts for HK update May 09" xfId="21257"/>
    <cellStyle name="_M2 and M3_08 Outlook Charts Oct 07-1_devs vs resi index hk Dec 08_Charts for HK update May 09_Charts Sep 09 (version 2)" xfId="21258"/>
    <cellStyle name="_M2 and M3_08 Outlook Charts Oct 07-1_devs vs resi index hk Dec 08_EC charts Sep 09" xfId="21259"/>
    <cellStyle name="_M2 and M3_08 Outlook Charts Oct 07-1_devs vs resi index hk Dec 08_EC charts Sep 09_Charts Sep 09 (version 2)" xfId="21260"/>
    <cellStyle name="_M2 and M3_08 Outlook Charts Oct 07-1_EC charts Oct 08" xfId="21261"/>
    <cellStyle name="_M2 and M3_08 Outlook Charts Oct 07-1_EC charts Oct 08_Book50" xfId="21262"/>
    <cellStyle name="_M2 and M3_08 Outlook Charts Oct 07-1_EC charts Oct 08_Book50_EC charts Sep 09" xfId="21263"/>
    <cellStyle name="_M2 and M3_08 Outlook Charts Oct 07-1_EC charts Oct 08_Book50_EC charts Sep 09_Charts Sep 09 (version 2)" xfId="21264"/>
    <cellStyle name="_M2 and M3_08 Outlook Charts Oct 07-1_EC charts Oct 08_EC charts Sep 09" xfId="21265"/>
    <cellStyle name="_M2 and M3_08 Outlook Charts Oct 07-1_EC charts Oct 08_EC charts Sep 09_Charts Sep 09 (version 2)" xfId="21266"/>
    <cellStyle name="_M2 and M3_08 Outlook Charts Oct 07-1_HK developers weighted average share price vs ppty market May 09" xfId="21267"/>
    <cellStyle name="_M2 and M3_08 Outlook Charts Oct 07-1_HK Devs Peak to trough 2010 Outlook" xfId="21268"/>
    <cellStyle name="_M2 and M3_08 Outlook Charts Oct 07-1_HK Property Charts Apr 09" xfId="21269"/>
    <cellStyle name="_M2 and M3_08 Outlook Charts Oct 07-1_HK Property data July 09" xfId="21270"/>
    <cellStyle name="_M2 and M3_08 Outlook Charts Oct 07-1_HK Resi 10 outlook chts" xfId="21271"/>
    <cellStyle name="_M2 and M3_08 Outlook Charts Oct 07-1_HONG KONG PER" xfId="21272"/>
    <cellStyle name="_M2 and M3_08 Outlook Charts Oct 07-1_HONG KONG PER_Book50" xfId="21273"/>
    <cellStyle name="_M2 and M3_08 Outlook Charts Oct 07-1_HONG KONG PER_Book50_EC charts Sep 09" xfId="21274"/>
    <cellStyle name="_M2 and M3_08 Outlook Charts Oct 07-1_HONG KONG PER_Book50_EC charts Sep 09_Charts Sep 09 (version 2)" xfId="21275"/>
    <cellStyle name="_M2 and M3_08 Outlook Charts Oct 07-1_HONG KONG PER_EC charts Sep 09" xfId="21276"/>
    <cellStyle name="_M2 and M3_08 Outlook Charts Oct 07-1_HONG KONG PER_EC charts Sep 09_Charts Sep 09 (version 2)" xfId="21277"/>
    <cellStyle name="_M2 and M3_08 Outlook Charts Oct 07-1_Mirae - CH Prop NAV breakdown (Francis Chan)" xfId="21278"/>
    <cellStyle name="_M2 and M3_08 Outlook Charts Oct 07-1_Mirae - CH Prop NAV breakdown (Francis Chan)_Charts for HK update May 09" xfId="21279"/>
    <cellStyle name="_M2 and M3_08 Outlook Charts Oct 07-1_Mirae - CH Prop NAV breakdown (Francis Chan)_Charts for HK update May 09_Charts Sep 09 (version 2)" xfId="21280"/>
    <cellStyle name="_M2 and M3_08 Outlook Charts Oct 07-1_Mirae - CH Prop NAV breakdown (Francis Chan)_EC charts Sep 09" xfId="21281"/>
    <cellStyle name="_M2 and M3_08 Outlook Charts Oct 07-1_Mirae - CH Prop NAV breakdown (Francis Chan)_EC charts Sep 09_Charts Sep 09 (version 2)" xfId="21282"/>
    <cellStyle name="_M2 and M3_08 Outlook Charts Oct 07-1_RESIDENTIAL SUPPLY 2009-2010" xfId="21283"/>
    <cellStyle name="_M2 and M3_Book4" xfId="21284"/>
    <cellStyle name="_M2 and M3_Book4_Charts Sep 09 (version 2)" xfId="21285"/>
    <cellStyle name="_M2 and M3_CC charts and tables Oct 08" xfId="21286"/>
    <cellStyle name="_M2 and M3_CEIC_PROPERTY PRICE  RENTAL INDEX Feb 09 " xfId="21287"/>
    <cellStyle name="_M2 and M3_charts Jun 09" xfId="21288"/>
    <cellStyle name="_M2 and M3_charts Jun 09_Charts for HK update May 09" xfId="21289"/>
    <cellStyle name="_M2 and M3_charts Jun 09_Charts for HK update May 09_Charts Sep 09 (version 2)" xfId="21290"/>
    <cellStyle name="_M2 and M3_charts Jun 09_EC charts Sep 09" xfId="21291"/>
    <cellStyle name="_M2 and M3_charts Jun 09_EC charts Sep 09_Charts Sep 09 (version 2)" xfId="21292"/>
    <cellStyle name="_M2 and M3_Charts Sep 09 (version 2)" xfId="21293"/>
    <cellStyle name="_M2 and M3_China update table and charts Sep 08" xfId="21294"/>
    <cellStyle name="_M2 and M3_China update table and charts Sep 08_Charts Sep 09 (version 2)" xfId="21295"/>
    <cellStyle name="_M2 and M3_Company comparison Sep 08" xfId="21296"/>
    <cellStyle name="_M2 and M3_Company comparison Sep 08_Book4" xfId="21297"/>
    <cellStyle name="_M2 and M3_Company comparison Sep 08_Book4_Charts Sep 09 (version 2)" xfId="21298"/>
    <cellStyle name="_M2 and M3_Company comparison Sep 08_CC charts and tables Oct 08" xfId="21299"/>
    <cellStyle name="_M2 and M3_Company comparison Sep 08_CEIC_PROPERTY PRICE  RENTAL INDEX Feb 09 " xfId="21300"/>
    <cellStyle name="_M2 and M3_Company comparison Sep 08_charts Jun 09" xfId="21301"/>
    <cellStyle name="_M2 and M3_Company comparison Sep 08_charts Jun 09_Charts for HK update May 09" xfId="21302"/>
    <cellStyle name="_M2 and M3_Company comparison Sep 08_charts Jun 09_Charts for HK update May 09_Charts Sep 09 (version 2)" xfId="21303"/>
    <cellStyle name="_M2 and M3_Company comparison Sep 08_charts Jun 09_EC charts Sep 09" xfId="21304"/>
    <cellStyle name="_M2 and M3_Company comparison Sep 08_charts Jun 09_EC charts Sep 09_Charts Sep 09 (version 2)" xfId="21305"/>
    <cellStyle name="_M2 and M3_Company comparison Sep 08_Charts Sep 09 (version 2)" xfId="21306"/>
    <cellStyle name="_M2 and M3_Company comparison Sep 08_China update table and charts Sep 08" xfId="21307"/>
    <cellStyle name="_M2 and M3_Company comparison Sep 08_China update table and charts Sep 08_Charts Sep 09 (version 2)" xfId="21308"/>
    <cellStyle name="_M2 and M3_Company comparison Sep 08_devs vs resi index hk Dec 08" xfId="21309"/>
    <cellStyle name="_M2 and M3_Company comparison Sep 08_devs vs resi index hk Dec 08_Charts for HK update May 09" xfId="21310"/>
    <cellStyle name="_M2 and M3_Company comparison Sep 08_devs vs resi index hk Dec 08_Charts for HK update May 09_Charts Sep 09 (version 2)" xfId="21311"/>
    <cellStyle name="_M2 and M3_Company comparison Sep 08_devs vs resi index hk Dec 08_EC charts Sep 09" xfId="21312"/>
    <cellStyle name="_M2 and M3_Company comparison Sep 08_devs vs resi index hk Dec 08_EC charts Sep 09_Charts Sep 09 (version 2)" xfId="21313"/>
    <cellStyle name="_M2 and M3_Company comparison Sep 08_EC charts Oct 08" xfId="21314"/>
    <cellStyle name="_M2 and M3_Company comparison Sep 08_EC charts Oct 08_Book50" xfId="21315"/>
    <cellStyle name="_M2 and M3_Company comparison Sep 08_EC charts Oct 08_Book50_EC charts Sep 09" xfId="21316"/>
    <cellStyle name="_M2 and M3_Company comparison Sep 08_EC charts Oct 08_Book50_EC charts Sep 09_Charts Sep 09 (version 2)" xfId="21317"/>
    <cellStyle name="_M2 and M3_Company comparison Sep 08_EC charts Oct 08_EC charts Sep 09" xfId="21318"/>
    <cellStyle name="_M2 and M3_Company comparison Sep 08_EC charts Oct 08_EC charts Sep 09_Charts Sep 09 (version 2)" xfId="21319"/>
    <cellStyle name="_M2 and M3_Company comparison Sep 08_HK developers weighted average share price vs ppty market May 09" xfId="21320"/>
    <cellStyle name="_M2 and M3_Company comparison Sep 08_HK Property data July 09" xfId="21321"/>
    <cellStyle name="_M2 and M3_Company comparison Sep 08_HK Resi 10 outlook chts" xfId="21322"/>
    <cellStyle name="_M2 and M3_Company comparison Sep 08_HONG KONG PER" xfId="21323"/>
    <cellStyle name="_M2 and M3_Company comparison Sep 08_HONG KONG PER_Book50" xfId="21324"/>
    <cellStyle name="_M2 and M3_Company comparison Sep 08_HONG KONG PER_Book50_EC charts Sep 09" xfId="21325"/>
    <cellStyle name="_M2 and M3_Company comparison Sep 08_HONG KONG PER_Book50_EC charts Sep 09_Charts Sep 09 (version 2)" xfId="21326"/>
    <cellStyle name="_M2 and M3_Company comparison Sep 08_HONG KONG PER_EC charts Sep 09" xfId="21327"/>
    <cellStyle name="_M2 and M3_Company comparison Sep 08_HONG KONG PER_EC charts Sep 09_Charts Sep 09 (version 2)" xfId="21328"/>
    <cellStyle name="_M2 and M3_Company comparison Sep 08_Mirae - CH Prop NAV breakdown (Francis Chan)" xfId="21329"/>
    <cellStyle name="_M2 and M3_Company comparison Sep 08_Mirae - CH Prop NAV breakdown (Francis Chan)_Charts for HK update May 09" xfId="21330"/>
    <cellStyle name="_M2 and M3_Company comparison Sep 08_Mirae - CH Prop NAV breakdown (Francis Chan)_Charts for HK update May 09_Charts Sep 09 (version 2)" xfId="21331"/>
    <cellStyle name="_M2 and M3_Company comparison Sep 08_Mirae - CH Prop NAV breakdown (Francis Chan)_EC charts Sep 09" xfId="21332"/>
    <cellStyle name="_M2 and M3_Company comparison Sep 08_Mirae - CH Prop NAV breakdown (Francis Chan)_EC charts Sep 09_Charts Sep 09 (version 2)" xfId="21333"/>
    <cellStyle name="_M2 and M3_Company comparison Sep 08_RESIDENTIAL SUPPLY 2009-2010" xfId="21334"/>
    <cellStyle name="_M2 and M3_devs vs resi index hk Dec 08" xfId="21335"/>
    <cellStyle name="_M2 and M3_devs vs resi index hk Dec 08_Charts for HK update May 09" xfId="21336"/>
    <cellStyle name="_M2 and M3_devs vs resi index hk Dec 08_Charts for HK update May 09_Charts Sep 09 (version 2)" xfId="21337"/>
    <cellStyle name="_M2 and M3_devs vs resi index hk Dec 08_EC charts Sep 09" xfId="21338"/>
    <cellStyle name="_M2 and M3_devs vs resi index hk Dec 08_EC charts Sep 09_Charts Sep 09 (version 2)" xfId="21339"/>
    <cellStyle name="_M2 and M3_EC charts Oct 08" xfId="21340"/>
    <cellStyle name="_M2 and M3_EC charts Oct 08_Book50" xfId="21341"/>
    <cellStyle name="_M2 and M3_EC charts Oct 08_Book50_EC charts Sep 09" xfId="21342"/>
    <cellStyle name="_M2 and M3_EC charts Oct 08_Book50_EC charts Sep 09_Charts Sep 09 (version 2)" xfId="21343"/>
    <cellStyle name="_M2 and M3_EC charts Oct 08_Charts for HK update May 09" xfId="21344"/>
    <cellStyle name="_M2 and M3_EC charts Oct 08_Charts for HK update May 09_Charts Sep 09 (version 2)" xfId="21345"/>
    <cellStyle name="_M2 and M3_EC charts Oct 08_charts Jun 09" xfId="21346"/>
    <cellStyle name="_M2 and M3_EC charts Oct 08_charts Jun 09_Charts for HK update May 09" xfId="21347"/>
    <cellStyle name="_M2 and M3_EC charts Oct 08_charts Jun 09_Charts for HK update May 09_Charts Sep 09 (version 2)" xfId="21348"/>
    <cellStyle name="_M2 and M3_EC charts Oct 08_charts Jun 09_EC charts Sep 09" xfId="21349"/>
    <cellStyle name="_M2 and M3_EC charts Oct 08_charts Jun 09_EC charts Sep 09_Charts Sep 09 (version 2)" xfId="21350"/>
    <cellStyle name="_M2 and M3_EC charts Oct 08_China outlook 2010 charts and tables " xfId="21351"/>
    <cellStyle name="_M2 and M3_EC charts Oct 08_China outlook 2010 charts and tables _Charts Sep 09 (version 2)" xfId="21352"/>
    <cellStyle name="_M2 and M3_EC charts Oct 08_EC charts Sep 09" xfId="21353"/>
    <cellStyle name="_M2 and M3_EC charts Oct 08_EC charts Sep 09_Charts Sep 09 (version 2)" xfId="21354"/>
    <cellStyle name="_M2 and M3_HK developers weighted average share price vs ppty market May 09" xfId="21355"/>
    <cellStyle name="_M2 and M3_HK Devs Peak to trough 2010 Outlook" xfId="21356"/>
    <cellStyle name="_M2 and M3_HK Property Charts Apr 09" xfId="21357"/>
    <cellStyle name="_M2 and M3_HK Property data July 09" xfId="21358"/>
    <cellStyle name="_M2 and M3_HK Resi 10 outlook chts" xfId="21359"/>
    <cellStyle name="_M2 and M3_HONG KONG PER" xfId="21360"/>
    <cellStyle name="_M2 and M3_HONG KONG PER_Book50" xfId="21361"/>
    <cellStyle name="_M2 and M3_HONG KONG PER_Book50_EC charts Sep 09" xfId="21362"/>
    <cellStyle name="_M2 and M3_HONG KONG PER_Book50_EC charts Sep 09_Charts Sep 09 (version 2)" xfId="21363"/>
    <cellStyle name="_M2 and M3_HONG KONG PER_EC charts Sep 09" xfId="21364"/>
    <cellStyle name="_M2 and M3_HONG KONG PER_EC charts Sep 09_Charts Sep 09 (version 2)" xfId="21365"/>
    <cellStyle name="_M2 and M3_Mirae - CH Prop NAV breakdown (Francis Chan)" xfId="21366"/>
    <cellStyle name="_M2 and M3_Mirae - CH Prop NAV breakdown (Francis Chan)_Charts for HK update May 09" xfId="21367"/>
    <cellStyle name="_M2 and M3_Mirae - CH Prop NAV breakdown (Francis Chan)_Charts for HK update May 09_Charts Sep 09 (version 2)" xfId="21368"/>
    <cellStyle name="_M2 and M3_Mirae - CH Prop NAV breakdown (Francis Chan)_EC charts Sep 09" xfId="21369"/>
    <cellStyle name="_M2 and M3_Mirae - CH Prop NAV breakdown (Francis Chan)_EC charts Sep 09_Charts Sep 09 (version 2)" xfId="21370"/>
    <cellStyle name="_M2 and M3_New Target prices for Land Lords (version 1)" xfId="21371"/>
    <cellStyle name="_M2 and M3_New Target prices for Land Lords (version 1)_Book4" xfId="21372"/>
    <cellStyle name="_M2 and M3_New Target prices for Land Lords (version 1)_Book4_Charts Sep 09 (version 2)" xfId="21373"/>
    <cellStyle name="_M2 and M3_New Target prices for Land Lords (version 1)_CC charts and tables Oct 08" xfId="21374"/>
    <cellStyle name="_M2 and M3_New Target prices for Land Lords (version 1)_CEIC_PROPERTY PRICE  RENTAL INDEX Feb 09 " xfId="21375"/>
    <cellStyle name="_M2 and M3_New Target prices for Land Lords (version 1)_charts Jun 09" xfId="21376"/>
    <cellStyle name="_M2 and M3_New Target prices for Land Lords (version 1)_charts Jun 09_Charts for HK update May 09" xfId="21377"/>
    <cellStyle name="_M2 and M3_New Target prices for Land Lords (version 1)_charts Jun 09_Charts for HK update May 09_Charts Sep 09 (version 2)" xfId="21378"/>
    <cellStyle name="_M2 and M3_New Target prices for Land Lords (version 1)_charts Jun 09_EC charts Sep 09" xfId="21379"/>
    <cellStyle name="_M2 and M3_New Target prices for Land Lords (version 1)_charts Jun 09_EC charts Sep 09_Charts Sep 09 (version 2)" xfId="21380"/>
    <cellStyle name="_M2 and M3_New Target prices for Land Lords (version 1)_Charts Sep 09 (version 2)" xfId="21381"/>
    <cellStyle name="_M2 and M3_New Target prices for Land Lords (version 1)_China update table and charts Sep 08" xfId="21382"/>
    <cellStyle name="_M2 and M3_New Target prices for Land Lords (version 1)_China update table and charts Sep 08_Charts Sep 09 (version 2)" xfId="21383"/>
    <cellStyle name="_M2 and M3_New Target prices for Land Lords (version 1)_Company comparison Sep 08" xfId="21384"/>
    <cellStyle name="_M2 and M3_New Target prices for Land Lords (version 1)_Company comparison Sep 08_Book4" xfId="21385"/>
    <cellStyle name="_M2 and M3_New Target prices for Land Lords (version 1)_Company comparison Sep 08_Book4_Charts Sep 09 (version 2)" xfId="21386"/>
    <cellStyle name="_M2 and M3_New Target prices for Land Lords (version 1)_Company comparison Sep 08_CC charts and tables Oct 08" xfId="21387"/>
    <cellStyle name="_M2 and M3_New Target prices for Land Lords (version 1)_Company comparison Sep 08_CEIC_PROPERTY PRICE  RENTAL INDEX Feb 09 " xfId="21388"/>
    <cellStyle name="_M2 and M3_New Target prices for Land Lords (version 1)_Company comparison Sep 08_charts Jun 09" xfId="21389"/>
    <cellStyle name="_M2 and M3_New Target prices for Land Lords (version 1)_Company comparison Sep 08_charts Jun 09_Charts for HK update May 09" xfId="21390"/>
    <cellStyle name="_M2 and M3_New Target prices for Land Lords (version 1)_Company comparison Sep 08_charts Jun 09_Charts for HK update May 09_Charts Sep 09 (version 2)" xfId="21391"/>
    <cellStyle name="_M2 and M3_New Target prices for Land Lords (version 1)_Company comparison Sep 08_charts Jun 09_EC charts Sep 09" xfId="21392"/>
    <cellStyle name="_M2 and M3_New Target prices for Land Lords (version 1)_Company comparison Sep 08_charts Jun 09_EC charts Sep 09_Charts Sep 09 (version 2)" xfId="21393"/>
    <cellStyle name="_M2 and M3_New Target prices for Land Lords (version 1)_Company comparison Sep 08_Charts Sep 09 (version 2)" xfId="21394"/>
    <cellStyle name="_M2 and M3_New Target prices for Land Lords (version 1)_Company comparison Sep 08_China update table and charts Sep 08" xfId="21395"/>
    <cellStyle name="_M2 and M3_New Target prices for Land Lords (version 1)_Company comparison Sep 08_China update table and charts Sep 08_Charts Sep 09 (version 2)" xfId="21396"/>
    <cellStyle name="_M2 and M3_New Target prices for Land Lords (version 1)_Company comparison Sep 08_devs vs resi index hk Dec 08" xfId="21397"/>
    <cellStyle name="_M2 and M3_New Target prices for Land Lords (version 1)_Company comparison Sep 08_devs vs resi index hk Dec 08_Charts for HK update May 09" xfId="21398"/>
    <cellStyle name="_M2 and M3_New Target prices for Land Lords (version 1)_Company comparison Sep 08_devs vs resi index hk Dec 08_Charts for HK update May 09_Charts Sep 09 (version 2)" xfId="21399"/>
    <cellStyle name="_M2 and M3_New Target prices for Land Lords (version 1)_Company comparison Sep 08_devs vs resi index hk Dec 08_EC charts Sep 09" xfId="21400"/>
    <cellStyle name="_M2 and M3_New Target prices for Land Lords (version 1)_Company comparison Sep 08_devs vs resi index hk Dec 08_EC charts Sep 09_Charts Sep 09 (version 2)" xfId="21401"/>
    <cellStyle name="_M2 and M3_New Target prices for Land Lords (version 1)_Company comparison Sep 08_EC charts Oct 08" xfId="21402"/>
    <cellStyle name="_M2 and M3_New Target prices for Land Lords (version 1)_Company comparison Sep 08_EC charts Oct 08_Book50" xfId="21403"/>
    <cellStyle name="_M2 and M3_New Target prices for Land Lords (version 1)_Company comparison Sep 08_EC charts Oct 08_Book50_EC charts Sep 09" xfId="21404"/>
    <cellStyle name="_M2 and M3_New Target prices for Land Lords (version 1)_Company comparison Sep 08_EC charts Oct 08_Book50_EC charts Sep 09_Charts Sep 09 (version 2)" xfId="21405"/>
    <cellStyle name="_M2 and M3_New Target prices for Land Lords (version 1)_Company comparison Sep 08_EC charts Oct 08_EC charts Sep 09" xfId="21406"/>
    <cellStyle name="_M2 and M3_New Target prices for Land Lords (version 1)_Company comparison Sep 08_EC charts Oct 08_EC charts Sep 09_Charts Sep 09 (version 2)" xfId="21407"/>
    <cellStyle name="_M2 and M3_New Target prices for Land Lords (version 1)_Company comparison Sep 08_HK developers weighted average share price vs ppty market May 09" xfId="21408"/>
    <cellStyle name="_M2 and M3_New Target prices for Land Lords (version 1)_Company comparison Sep 08_HK Property data July 09" xfId="21409"/>
    <cellStyle name="_M2 and M3_New Target prices for Land Lords (version 1)_Company comparison Sep 08_HK Resi 10 outlook chts" xfId="21410"/>
    <cellStyle name="_M2 and M3_New Target prices for Land Lords (version 1)_Company comparison Sep 08_HONG KONG PER" xfId="21411"/>
    <cellStyle name="_M2 and M3_New Target prices for Land Lords (version 1)_Company comparison Sep 08_HONG KONG PER_Book50" xfId="21412"/>
    <cellStyle name="_M2 and M3_New Target prices for Land Lords (version 1)_Company comparison Sep 08_HONG KONG PER_Book50_EC charts Sep 09" xfId="21413"/>
    <cellStyle name="_M2 and M3_New Target prices for Land Lords (version 1)_Company comparison Sep 08_HONG KONG PER_Book50_EC charts Sep 09_Charts Sep 09 (version 2)" xfId="21414"/>
    <cellStyle name="_M2 and M3_New Target prices for Land Lords (version 1)_Company comparison Sep 08_HONG KONG PER_EC charts Sep 09" xfId="21415"/>
    <cellStyle name="_M2 and M3_New Target prices for Land Lords (version 1)_Company comparison Sep 08_HONG KONG PER_EC charts Sep 09_Charts Sep 09 (version 2)" xfId="21416"/>
    <cellStyle name="_M2 and M3_New Target prices for Land Lords (version 1)_Company comparison Sep 08_Mirae - CH Prop NAV breakdown (Francis Chan)" xfId="21417"/>
    <cellStyle name="_M2 and M3_New Target prices for Land Lords (version 1)_Company comparison Sep 08_Mirae - CH Prop NAV breakdown (Francis Chan)_Charts for HK update May 09" xfId="21418"/>
    <cellStyle name="_M2 and M3_New Target prices for Land Lords (version 1)_Company comparison Sep 08_Mirae - CH Prop NAV breakdown (Francis Chan)_Charts for HK update May 09_Charts Sep 09 (version 2)" xfId="21419"/>
    <cellStyle name="_M2 and M3_New Target prices for Land Lords (version 1)_Company comparison Sep 08_Mirae - CH Prop NAV breakdown (Francis Chan)_EC charts Sep 09" xfId="21420"/>
    <cellStyle name="_M2 and M3_New Target prices for Land Lords (version 1)_Company comparison Sep 08_Mirae - CH Prop NAV breakdown (Francis Chan)_EC charts Sep 09_Charts Sep 09 (version 2)" xfId="21421"/>
    <cellStyle name="_M2 and M3_New Target prices for Land Lords (version 1)_Company comparison Sep 08_RESIDENTIAL SUPPLY 2009-2010" xfId="21422"/>
    <cellStyle name="_M2 and M3_New Target prices for Land Lords (version 1)_devs vs resi index hk Dec 08" xfId="21423"/>
    <cellStyle name="_M2 and M3_New Target prices for Land Lords (version 1)_devs vs resi index hk Dec 08_Charts for HK update May 09" xfId="21424"/>
    <cellStyle name="_M2 and M3_New Target prices for Land Lords (version 1)_devs vs resi index hk Dec 08_Charts for HK update May 09_Charts Sep 09 (version 2)" xfId="21425"/>
    <cellStyle name="_M2 and M3_New Target prices for Land Lords (version 1)_devs vs resi index hk Dec 08_EC charts Sep 09" xfId="21426"/>
    <cellStyle name="_M2 and M3_New Target prices for Land Lords (version 1)_devs vs resi index hk Dec 08_EC charts Sep 09_Charts Sep 09 (version 2)" xfId="21427"/>
    <cellStyle name="_M2 and M3_New Target prices for Land Lords (version 1)_EC charts Oct 08" xfId="21428"/>
    <cellStyle name="_M2 and M3_New Target prices for Land Lords (version 1)_EC charts Oct 08_Book50" xfId="21429"/>
    <cellStyle name="_M2 and M3_New Target prices for Land Lords (version 1)_EC charts Oct 08_Book50_EC charts Sep 09" xfId="21430"/>
    <cellStyle name="_M2 and M3_New Target prices for Land Lords (version 1)_EC charts Oct 08_Book50_EC charts Sep 09_Charts Sep 09 (version 2)" xfId="21431"/>
    <cellStyle name="_M2 and M3_New Target prices for Land Lords (version 1)_EC charts Oct 08_Charts for HK update May 09" xfId="21432"/>
    <cellStyle name="_M2 and M3_New Target prices for Land Lords (version 1)_EC charts Oct 08_Charts for HK update May 09_Charts Sep 09 (version 2)" xfId="21433"/>
    <cellStyle name="_M2 and M3_New Target prices for Land Lords (version 1)_EC charts Oct 08_charts Jun 09" xfId="21434"/>
    <cellStyle name="_M2 and M3_New Target prices for Land Lords (version 1)_EC charts Oct 08_charts Jun 09_Charts for HK update May 09" xfId="21435"/>
    <cellStyle name="_M2 and M3_New Target prices for Land Lords (version 1)_EC charts Oct 08_charts Jun 09_Charts for HK update May 09_Charts Sep 09 (version 2)" xfId="21436"/>
    <cellStyle name="_M2 and M3_New Target prices for Land Lords (version 1)_EC charts Oct 08_charts Jun 09_EC charts Sep 09" xfId="21437"/>
    <cellStyle name="_M2 and M3_New Target prices for Land Lords (version 1)_EC charts Oct 08_charts Jun 09_EC charts Sep 09_Charts Sep 09 (version 2)" xfId="21438"/>
    <cellStyle name="_M2 and M3_New Target prices for Land Lords (version 1)_EC charts Oct 08_China outlook 2010 charts and tables " xfId="21439"/>
    <cellStyle name="_M2 and M3_New Target prices for Land Lords (version 1)_EC charts Oct 08_China outlook 2010 charts and tables _Charts Sep 09 (version 2)" xfId="21440"/>
    <cellStyle name="_M2 and M3_New Target prices for Land Lords (version 1)_EC charts Oct 08_EC charts Sep 09" xfId="21441"/>
    <cellStyle name="_M2 and M3_New Target prices for Land Lords (version 1)_EC charts Oct 08_EC charts Sep 09_Charts Sep 09 (version 2)" xfId="21442"/>
    <cellStyle name="_M2 and M3_New Target prices for Land Lords (version 1)_HK developers weighted average share price vs ppty market May 09" xfId="21443"/>
    <cellStyle name="_M2 and M3_New Target prices for Land Lords (version 1)_HK Devs Peak to trough 2010 Outlook" xfId="21444"/>
    <cellStyle name="_M2 and M3_New Target prices for Land Lords (version 1)_HK Property Charts Apr 09" xfId="21445"/>
    <cellStyle name="_M2 and M3_New Target prices for Land Lords (version 1)_HK Property data July 09" xfId="21446"/>
    <cellStyle name="_M2 and M3_New Target prices for Land Lords (version 1)_HK Resi 10 outlook chts" xfId="21447"/>
    <cellStyle name="_M2 and M3_New Target prices for Land Lords (version 1)_HONG KONG PER" xfId="21448"/>
    <cellStyle name="_M2 and M3_New Target prices for Land Lords (version 1)_HONG KONG PER_Book50" xfId="21449"/>
    <cellStyle name="_M2 and M3_New Target prices for Land Lords (version 1)_HONG KONG PER_Book50_EC charts Sep 09" xfId="21450"/>
    <cellStyle name="_M2 and M3_New Target prices for Land Lords (version 1)_HONG KONG PER_Book50_EC charts Sep 09_Charts Sep 09 (version 2)" xfId="21451"/>
    <cellStyle name="_M2 and M3_New Target prices for Land Lords (version 1)_HONG KONG PER_EC charts Sep 09" xfId="21452"/>
    <cellStyle name="_M2 and M3_New Target prices for Land Lords (version 1)_HONG KONG PER_EC charts Sep 09_Charts Sep 09 (version 2)" xfId="21453"/>
    <cellStyle name="_M2 and M3_New Target prices for Land Lords (version 1)_Mirae - CH Prop NAV breakdown (Francis Chan)" xfId="21454"/>
    <cellStyle name="_M2 and M3_New Target prices for Land Lords (version 1)_Mirae - CH Prop NAV breakdown (Francis Chan)_Charts for HK update May 09" xfId="21455"/>
    <cellStyle name="_M2 and M3_New Target prices for Land Lords (version 1)_Mirae - CH Prop NAV breakdown (Francis Chan)_Charts for HK update May 09_Charts Sep 09 (version 2)" xfId="21456"/>
    <cellStyle name="_M2 and M3_New Target prices for Land Lords (version 1)_Mirae - CH Prop NAV breakdown (Francis Chan)_EC charts Sep 09" xfId="21457"/>
    <cellStyle name="_M2 and M3_New Target prices for Land Lords (version 1)_Mirae - CH Prop NAV breakdown (Francis Chan)_EC charts Sep 09_Charts Sep 09 (version 2)" xfId="21458"/>
    <cellStyle name="_M2 and M3_New Target prices for Land Lords (version 1)_RESIDENTIAL SUPPLY 2009-2010" xfId="21459"/>
    <cellStyle name="_M2 and M3_RESIDENTIAL SUPPLY 2009-2010" xfId="21460"/>
    <cellStyle name="_MCIT" xfId="21461"/>
    <cellStyle name="_MCIT 2" xfId="21462"/>
    <cellStyle name="_MCIT_Book1" xfId="21463"/>
    <cellStyle name="_MCIT_Book1 2" xfId="21464"/>
    <cellStyle name="_MCIT_Book28" xfId="21465"/>
    <cellStyle name="_MCIT_Book28 2" xfId="21466"/>
    <cellStyle name="_MCIT_SP Setia EM" xfId="21467"/>
    <cellStyle name="_MCIT_SP Setia EM 2" xfId="21468"/>
    <cellStyle name="_MCIT_SP Setia EM iQ 4.2" xfId="21469"/>
    <cellStyle name="_MCIT_SP Setia EM iQ 4.2 2" xfId="21470"/>
    <cellStyle name="_Mirae - CH Prop NAV breakdown (Francis Chan)" xfId="21471"/>
    <cellStyle name="_Mirae - CH Prop NAV breakdown (Francis Chan)_Charts for HK update May 09" xfId="21472"/>
    <cellStyle name="_Mirae - CH Prop NAV breakdown (Francis Chan)_Charts for HK update May 09_Charts Sep 09 (version 2)" xfId="21473"/>
    <cellStyle name="_Mirae - CH Prop NAV breakdown (Francis Chan)_EC charts Sep 09" xfId="21474"/>
    <cellStyle name="_Mirae - CH Prop NAV breakdown (Francis Chan)_EC charts Sep 09_Charts Sep 09 (version 2)" xfId="21475"/>
    <cellStyle name="_Mktg US Jan 08 chts" xfId="21476"/>
    <cellStyle name="_Model" xfId="21477"/>
    <cellStyle name="_Model 2" xfId="21478"/>
    <cellStyle name="_Model-Msia" xfId="21479"/>
    <cellStyle name="_Model-Msia 2" xfId="21480"/>
    <cellStyle name="_Mortgage loan vs National px index Mar 09" xfId="21481"/>
    <cellStyle name="_Mortgage loan vs National px index Mar 09_Charts Sep 09 (version 2)" xfId="21482"/>
    <cellStyle name="_MSCI China PER + PEGR " xfId="21483"/>
    <cellStyle name="_NAV breakdown" xfId="21484"/>
    <cellStyle name="_New WCOM" xfId="21485"/>
    <cellStyle name="_New WCOM 2" xfId="21486"/>
    <cellStyle name="_New WCOM_Book1" xfId="21487"/>
    <cellStyle name="_New WCOM_Book1 2" xfId="21488"/>
    <cellStyle name="_New WCOM_Book28" xfId="21489"/>
    <cellStyle name="_New WCOM_Book28 2" xfId="21490"/>
    <cellStyle name="_New WCOM_SP Setia EM" xfId="21491"/>
    <cellStyle name="_New WCOM_SP Setia EM 2" xfId="21492"/>
    <cellStyle name="_New WCOM_SP Setia EM iQ 4.2" xfId="21493"/>
    <cellStyle name="_New WCOM_SP Setia EM iQ 4.2 2" xfId="21494"/>
    <cellStyle name="_OFF_Index" xfId="21495"/>
    <cellStyle name="_OFF_Index_Book4" xfId="21496"/>
    <cellStyle name="_OFF_Index_Book4_Charts Sep 09 (version 2)" xfId="21497"/>
    <cellStyle name="_OFF_Index_CC charts and tables Oct 08" xfId="21498"/>
    <cellStyle name="_OFF_Index_CEIC_PROPERTY PRICE  RENTAL INDEX Feb 09 " xfId="21499"/>
    <cellStyle name="_OFF_Index_charts for Hk update Feb 08" xfId="21500"/>
    <cellStyle name="_OFF_Index_charts for Hk update Feb 08_EC charts Sep 09" xfId="21501"/>
    <cellStyle name="_OFF_Index_charts for Hk update Feb 08_EC charts Sep 09_Charts Sep 09 (version 2)" xfId="21502"/>
    <cellStyle name="_OFF_Index_charts for Hk update Feb 08_HK Property data July 09" xfId="21503"/>
    <cellStyle name="_OFF_Index_charts Jun 09" xfId="21504"/>
    <cellStyle name="_OFF_Index_charts Jun 09_Charts for HK update May 09" xfId="21505"/>
    <cellStyle name="_OFF_Index_charts Jun 09_Charts for HK update May 09_Charts Sep 09 (version 2)" xfId="21506"/>
    <cellStyle name="_OFF_Index_charts Jun 09_EC charts Sep 09" xfId="21507"/>
    <cellStyle name="_OFF_Index_charts Jun 09_EC charts Sep 09_Charts Sep 09 (version 2)" xfId="21508"/>
    <cellStyle name="_OFF_Index_Charts Sep 09 (version 2)" xfId="21509"/>
    <cellStyle name="_OFF_Index_China update table and charts Sep 08" xfId="21510"/>
    <cellStyle name="_OFF_Index_China update table and charts Sep 08_Charts Sep 09 (version 2)" xfId="21511"/>
    <cellStyle name="_OFF_Index_Company comparison Sep 08" xfId="21512"/>
    <cellStyle name="_OFF_Index_Company comparison Sep 08_Book4" xfId="21513"/>
    <cellStyle name="_OFF_Index_Company comparison Sep 08_Book4_Charts Sep 09 (version 2)" xfId="21514"/>
    <cellStyle name="_OFF_Index_Company comparison Sep 08_CC charts and tables Oct 08" xfId="21515"/>
    <cellStyle name="_OFF_Index_Company comparison Sep 08_CEIC_PROPERTY PRICE  RENTAL INDEX Feb 09 " xfId="21516"/>
    <cellStyle name="_OFF_Index_Company comparison Sep 08_charts Jun 09" xfId="21517"/>
    <cellStyle name="_OFF_Index_Company comparison Sep 08_charts Jun 09_Charts for HK update May 09" xfId="21518"/>
    <cellStyle name="_OFF_Index_Company comparison Sep 08_charts Jun 09_Charts for HK update May 09_Charts Sep 09 (version 2)" xfId="21519"/>
    <cellStyle name="_OFF_Index_Company comparison Sep 08_charts Jun 09_EC charts Sep 09" xfId="21520"/>
    <cellStyle name="_OFF_Index_Company comparison Sep 08_charts Jun 09_EC charts Sep 09_Charts Sep 09 (version 2)" xfId="21521"/>
    <cellStyle name="_OFF_Index_Company comparison Sep 08_Charts Sep 09 (version 2)" xfId="21522"/>
    <cellStyle name="_OFF_Index_Company comparison Sep 08_China update table and charts Sep 08" xfId="21523"/>
    <cellStyle name="_OFF_Index_Company comparison Sep 08_China update table and charts Sep 08_Charts Sep 09 (version 2)" xfId="21524"/>
    <cellStyle name="_OFF_Index_Company comparison Sep 08_devs vs resi index hk Dec 08" xfId="21525"/>
    <cellStyle name="_OFF_Index_Company comparison Sep 08_devs vs resi index hk Dec 08_Charts for HK update May 09" xfId="21526"/>
    <cellStyle name="_OFF_Index_Company comparison Sep 08_devs vs resi index hk Dec 08_Charts for HK update May 09_Charts Sep 09 (version 2)" xfId="21527"/>
    <cellStyle name="_OFF_Index_Company comparison Sep 08_devs vs resi index hk Dec 08_EC charts Sep 09" xfId="21528"/>
    <cellStyle name="_OFF_Index_Company comparison Sep 08_devs vs resi index hk Dec 08_EC charts Sep 09_Charts Sep 09 (version 2)" xfId="21529"/>
    <cellStyle name="_OFF_Index_Company comparison Sep 08_EC charts Oct 08" xfId="21530"/>
    <cellStyle name="_OFF_Index_Company comparison Sep 08_EC charts Oct 08_Book50" xfId="21531"/>
    <cellStyle name="_OFF_Index_Company comparison Sep 08_EC charts Oct 08_Book50_EC charts Sep 09" xfId="21532"/>
    <cellStyle name="_OFF_Index_Company comparison Sep 08_EC charts Oct 08_Book50_EC charts Sep 09_Charts Sep 09 (version 2)" xfId="21533"/>
    <cellStyle name="_OFF_Index_Company comparison Sep 08_EC charts Oct 08_EC charts Sep 09" xfId="21534"/>
    <cellStyle name="_OFF_Index_Company comparison Sep 08_EC charts Oct 08_EC charts Sep 09_Charts Sep 09 (version 2)" xfId="21535"/>
    <cellStyle name="_OFF_Index_Company comparison Sep 08_HK developers weighted average share price vs ppty market May 09" xfId="21536"/>
    <cellStyle name="_OFF_Index_Company comparison Sep 08_HK Property data July 09" xfId="21537"/>
    <cellStyle name="_OFF_Index_Company comparison Sep 08_HK Resi 10 outlook chts" xfId="21538"/>
    <cellStyle name="_OFF_Index_Company comparison Sep 08_HONG KONG PER" xfId="21539"/>
    <cellStyle name="_OFF_Index_Company comparison Sep 08_HONG KONG PER_Book50" xfId="21540"/>
    <cellStyle name="_OFF_Index_Company comparison Sep 08_HONG KONG PER_Book50_EC charts Sep 09" xfId="21541"/>
    <cellStyle name="_OFF_Index_Company comparison Sep 08_HONG KONG PER_Book50_EC charts Sep 09_Charts Sep 09 (version 2)" xfId="21542"/>
    <cellStyle name="_OFF_Index_Company comparison Sep 08_HONG KONG PER_EC charts Sep 09" xfId="21543"/>
    <cellStyle name="_OFF_Index_Company comparison Sep 08_HONG KONG PER_EC charts Sep 09_Charts Sep 09 (version 2)" xfId="21544"/>
    <cellStyle name="_OFF_Index_Company comparison Sep 08_Mirae - CH Prop NAV breakdown (Francis Chan)" xfId="21545"/>
    <cellStyle name="_OFF_Index_Company comparison Sep 08_Mirae - CH Prop NAV breakdown (Francis Chan)_Charts for HK update May 09" xfId="21546"/>
    <cellStyle name="_OFF_Index_Company comparison Sep 08_Mirae - CH Prop NAV breakdown (Francis Chan)_Charts for HK update May 09_Charts Sep 09 (version 2)" xfId="21547"/>
    <cellStyle name="_OFF_Index_Company comparison Sep 08_Mirae - CH Prop NAV breakdown (Francis Chan)_EC charts Sep 09" xfId="21548"/>
    <cellStyle name="_OFF_Index_Company comparison Sep 08_Mirae - CH Prop NAV breakdown (Francis Chan)_EC charts Sep 09_Charts Sep 09 (version 2)" xfId="21549"/>
    <cellStyle name="_OFF_Index_Company comparison Sep 08_RESIDENTIAL SUPPLY 2009-2010" xfId="21550"/>
    <cellStyle name="_OFF_Index_CORRECTIONS of EC charts Oct 08" xfId="21551"/>
    <cellStyle name="_OFF_Index_CORRECTIONS of EC charts Oct 08_EC charts Sep 09" xfId="21552"/>
    <cellStyle name="_OFF_Index_CORRECTIONS of EC charts Oct 08_EC charts Sep 09_Charts Sep 09 (version 2)" xfId="21553"/>
    <cellStyle name="_OFF_Index_CORRECTIONS of EC charts Oct 08_HK Property data July 09" xfId="21554"/>
    <cellStyle name="_OFF_Index_devs vs resi index hk Dec 08" xfId="21555"/>
    <cellStyle name="_OFF_Index_devs vs resi index hk Dec 08_Charts for HK update May 09" xfId="21556"/>
    <cellStyle name="_OFF_Index_devs vs resi index hk Dec 08_Charts for HK update May 09_Charts Sep 09 (version 2)" xfId="21557"/>
    <cellStyle name="_OFF_Index_devs vs resi index hk Dec 08_EC charts Sep 09" xfId="21558"/>
    <cellStyle name="_OFF_Index_devs vs resi index hk Dec 08_EC charts Sep 09_Charts Sep 09 (version 2)" xfId="21559"/>
    <cellStyle name="_OFF_Index_EC charts Oct 08" xfId="21560"/>
    <cellStyle name="_OFF_Index_EC charts Oct 08_1" xfId="21561"/>
    <cellStyle name="_OFF_Index_EC charts Oct 08_1_Book50" xfId="21562"/>
    <cellStyle name="_OFF_Index_EC charts Oct 08_1_Book50_EC charts Sep 09" xfId="21563"/>
    <cellStyle name="_OFF_Index_EC charts Oct 08_1_Book50_EC charts Sep 09_Charts Sep 09 (version 2)" xfId="21564"/>
    <cellStyle name="_OFF_Index_EC charts Oct 08_1_EC charts Sep 09" xfId="21565"/>
    <cellStyle name="_OFF_Index_EC charts Oct 08_1_EC charts Sep 09_Charts Sep 09 (version 2)" xfId="21566"/>
    <cellStyle name="_OFF_Index_EC charts Oct 08_Charts for HK update May 09" xfId="21567"/>
    <cellStyle name="_OFF_Index_EC charts Oct 08_Charts for HK update May 09_Charts Sep 09 (version 2)" xfId="21568"/>
    <cellStyle name="_OFF_Index_EC charts Oct 08_charts Jun 09" xfId="21569"/>
    <cellStyle name="_OFF_Index_EC charts Oct 08_charts Jun 09_Charts for HK update May 09" xfId="21570"/>
    <cellStyle name="_OFF_Index_EC charts Oct 08_charts Jun 09_Charts for HK update May 09_Charts Sep 09 (version 2)" xfId="21571"/>
    <cellStyle name="_OFF_Index_EC charts Oct 08_charts Jun 09_EC charts Sep 09" xfId="21572"/>
    <cellStyle name="_OFF_Index_EC charts Oct 08_charts Jun 09_EC charts Sep 09_Charts Sep 09 (version 2)" xfId="21573"/>
    <cellStyle name="_OFF_Index_EC charts Oct 08_China outlook 2010 charts and tables " xfId="21574"/>
    <cellStyle name="_OFF_Index_EC charts Oct 08_China outlook 2010 charts and tables _Charts Sep 09 (version 2)" xfId="21575"/>
    <cellStyle name="_OFF_Index_EC charts Oct 08_EC charts Sep 09" xfId="21576"/>
    <cellStyle name="_OFF_Index_EC charts Oct 08_EC charts Sep 09_Charts Sep 09 (version 2)" xfId="21577"/>
    <cellStyle name="_OFF_Index_EC charts Oct 08_HK Property data July 09" xfId="21578"/>
    <cellStyle name="_OFF_Index_HK developers weighted average share price vs ppty market May 09" xfId="21579"/>
    <cellStyle name="_OFF_Index_HK Devs Peak to trough 2010 Outlook" xfId="21580"/>
    <cellStyle name="_OFF_Index_HK Property Apr 09" xfId="21581"/>
    <cellStyle name="_OFF_Index_HK Property Apr 09_EC charts Sep 09" xfId="21582"/>
    <cellStyle name="_OFF_Index_HK Property Apr 09_EC charts Sep 09_Charts Sep 09 (version 2)" xfId="21583"/>
    <cellStyle name="_OFF_Index_HK Property Charts Apr 09" xfId="21584"/>
    <cellStyle name="_OFF_Index_HK Resi 10 outlook chts" xfId="21585"/>
    <cellStyle name="_OFF_Index_HONG KONG PER" xfId="21586"/>
    <cellStyle name="_OFF_Index_HONG KONG PER_Book50" xfId="21587"/>
    <cellStyle name="_OFF_Index_HONG KONG PER_Book50_EC charts Sep 09" xfId="21588"/>
    <cellStyle name="_OFF_Index_HONG KONG PER_Book50_EC charts Sep 09_Charts Sep 09 (version 2)" xfId="21589"/>
    <cellStyle name="_OFF_Index_HONG KONG PER_EC charts Sep 09" xfId="21590"/>
    <cellStyle name="_OFF_Index_HONG KONG PER_EC charts Sep 09_Charts Sep 09 (version 2)" xfId="21591"/>
    <cellStyle name="_OFF_Index_Mirae - CH Prop NAV breakdown (Francis Chan)" xfId="21592"/>
    <cellStyle name="_OFF_Index_Mirae - CH Prop NAV breakdown (Francis Chan)_Charts for HK update May 09" xfId="21593"/>
    <cellStyle name="_OFF_Index_Mirae - CH Prop NAV breakdown (Francis Chan)_Charts for HK update May 09_Charts Sep 09 (version 2)" xfId="21594"/>
    <cellStyle name="_OFF_Index_Mirae - CH Prop NAV breakdown (Francis Chan)_EC charts Sep 09" xfId="21595"/>
    <cellStyle name="_OFF_Index_Mirae - CH Prop NAV breakdown (Francis Chan)_EC charts Sep 09_Charts Sep 09 (version 2)" xfId="21596"/>
    <cellStyle name="_OFF_Index_Prop NAV disc Jun 08" xfId="21597"/>
    <cellStyle name="_OFF_Index_Prop NAV disc Jun 08_CC charts and tables Oct 08" xfId="21598"/>
    <cellStyle name="_OFF_Index_Prop NAV disc Jun 08_CEIC_PROPERTY PRICE  RENTAL INDEX Feb 09 " xfId="21599"/>
    <cellStyle name="_OFF_Index_Prop NAV disc Jun 08_charts Jun 09" xfId="21600"/>
    <cellStyle name="_OFF_Index_Prop NAV disc Jun 08_charts Jun 09_Charts for HK update May 09" xfId="21601"/>
    <cellStyle name="_OFF_Index_Prop NAV disc Jun 08_charts Jun 09_Charts for HK update May 09_Charts Sep 09 (version 2)" xfId="21602"/>
    <cellStyle name="_OFF_Index_Prop NAV disc Jun 08_charts Jun 09_EC charts Sep 09" xfId="21603"/>
    <cellStyle name="_OFF_Index_Prop NAV disc Jun 08_charts Jun 09_EC charts Sep 09_Charts Sep 09 (version 2)" xfId="21604"/>
    <cellStyle name="_OFF_Index_Prop NAV disc Jun 08_Charts Sep 09 (version 2)" xfId="21605"/>
    <cellStyle name="_OFF_Index_Prop NAV disc Jun 08_devs vs resi index hk Dec 08" xfId="21606"/>
    <cellStyle name="_OFF_Index_Prop NAV disc Jun 08_devs vs resi index hk Dec 08_Charts for HK update May 09" xfId="21607"/>
    <cellStyle name="_OFF_Index_Prop NAV disc Jun 08_devs vs resi index hk Dec 08_Charts for HK update May 09_Charts Sep 09 (version 2)" xfId="21608"/>
    <cellStyle name="_OFF_Index_Prop NAV disc Jun 08_devs vs resi index hk Dec 08_EC charts Sep 09" xfId="21609"/>
    <cellStyle name="_OFF_Index_Prop NAV disc Jun 08_devs vs resi index hk Dec 08_EC charts Sep 09_Charts Sep 09 (version 2)" xfId="21610"/>
    <cellStyle name="_OFF_Index_Prop NAV disc Jun 08_EC charts Oct 08" xfId="21611"/>
    <cellStyle name="_OFF_Index_Prop NAV disc Jun 08_EC charts Oct 08_Book50" xfId="21612"/>
    <cellStyle name="_OFF_Index_Prop NAV disc Jun 08_EC charts Oct 08_Book50_EC charts Sep 09" xfId="21613"/>
    <cellStyle name="_OFF_Index_Prop NAV disc Jun 08_EC charts Oct 08_Book50_EC charts Sep 09_Charts Sep 09 (version 2)" xfId="21614"/>
    <cellStyle name="_OFF_Index_Prop NAV disc Jun 08_EC charts Oct 08_Charts for HK update May 09" xfId="21615"/>
    <cellStyle name="_OFF_Index_Prop NAV disc Jun 08_EC charts Oct 08_Charts for HK update May 09_Charts Sep 09 (version 2)" xfId="21616"/>
    <cellStyle name="_OFF_Index_Prop NAV disc Jun 08_EC charts Oct 08_charts Jun 09" xfId="21617"/>
    <cellStyle name="_OFF_Index_Prop NAV disc Jun 08_EC charts Oct 08_charts Jun 09_Charts for HK update May 09" xfId="21618"/>
    <cellStyle name="_OFF_Index_Prop NAV disc Jun 08_EC charts Oct 08_charts Jun 09_Charts for HK update May 09_Charts Sep 09 (version 2)" xfId="21619"/>
    <cellStyle name="_OFF_Index_Prop NAV disc Jun 08_EC charts Oct 08_charts Jun 09_EC charts Sep 09" xfId="21620"/>
    <cellStyle name="_OFF_Index_Prop NAV disc Jun 08_EC charts Oct 08_charts Jun 09_EC charts Sep 09_Charts Sep 09 (version 2)" xfId="21621"/>
    <cellStyle name="_OFF_Index_Prop NAV disc Jun 08_EC charts Oct 08_China outlook 2010 charts and tables " xfId="21622"/>
    <cellStyle name="_OFF_Index_Prop NAV disc Jun 08_EC charts Oct 08_China outlook 2010 charts and tables _Charts Sep 09 (version 2)" xfId="21623"/>
    <cellStyle name="_OFF_Index_Prop NAV disc Jun 08_EC charts Oct 08_EC charts Sep 09" xfId="21624"/>
    <cellStyle name="_OFF_Index_Prop NAV disc Jun 08_EC charts Oct 08_EC charts Sep 09_Charts Sep 09 (version 2)" xfId="21625"/>
    <cellStyle name="_OFF_Index_Prop NAV disc Jun 08_HK developers weighted average share price vs ppty market May 09" xfId="21626"/>
    <cellStyle name="_OFF_Index_Prop NAV disc Jun 08_HK Devs Peak to trough 2010 Outlook" xfId="21627"/>
    <cellStyle name="_OFF_Index_Prop NAV disc Jun 08_HK Property data July 09" xfId="21628"/>
    <cellStyle name="_OFF_Index_Prop NAV disc Jun 08_HK Resi 10 outlook chts" xfId="21629"/>
    <cellStyle name="_OFF_Index_Prop NAV disc Jun 08_HONG KONG PER" xfId="21630"/>
    <cellStyle name="_OFF_Index_Prop NAV disc Jun 08_HONG KONG PER_Book50" xfId="21631"/>
    <cellStyle name="_OFF_Index_Prop NAV disc Jun 08_HONG KONG PER_Book50_EC charts Sep 09" xfId="21632"/>
    <cellStyle name="_OFF_Index_Prop NAV disc Jun 08_HONG KONG PER_Book50_EC charts Sep 09_Charts Sep 09 (version 2)" xfId="21633"/>
    <cellStyle name="_OFF_Index_Prop NAV disc Jun 08_HONG KONG PER_EC charts Sep 09" xfId="21634"/>
    <cellStyle name="_OFF_Index_Prop NAV disc Jun 08_HONG KONG PER_EC charts Sep 09_Charts Sep 09 (version 2)" xfId="21635"/>
    <cellStyle name="_OFF_Index_Prop NAV disc Jun 08_RESIDENTIAL SUPPLY 2009-2010" xfId="21636"/>
    <cellStyle name="_OFF_Index_RESIDENTIAL SUPPLY 2009-2010" xfId="21637"/>
    <cellStyle name="_Office transaction vol &amp; considerations" xfId="21638"/>
    <cellStyle name="_Office transaction vol &amp; considerations_Book4" xfId="21639"/>
    <cellStyle name="_Office transaction vol &amp; considerations_Book4_Charts Sep 09 (version 2)" xfId="21640"/>
    <cellStyle name="_Office transaction vol &amp; considerations_CC charts and tables Oct 08" xfId="21641"/>
    <cellStyle name="_Office transaction vol &amp; considerations_CEIC_PROPERTY PRICE  RENTAL INDEX Feb 09 " xfId="21642"/>
    <cellStyle name="_Office transaction vol &amp; considerations_charts Jun 09" xfId="21643"/>
    <cellStyle name="_Office transaction vol &amp; considerations_charts Jun 09_Charts for HK update May 09" xfId="21644"/>
    <cellStyle name="_Office transaction vol &amp; considerations_charts Jun 09_Charts for HK update May 09_Charts Sep 09 (version 2)" xfId="21645"/>
    <cellStyle name="_Office transaction vol &amp; considerations_charts Jun 09_EC charts Sep 09" xfId="21646"/>
    <cellStyle name="_Office transaction vol &amp; considerations_charts Jun 09_EC charts Sep 09_Charts Sep 09 (version 2)" xfId="21647"/>
    <cellStyle name="_Office transaction vol &amp; considerations_Charts Sep 09 (version 2)" xfId="21648"/>
    <cellStyle name="_Office transaction vol &amp; considerations_China update table and charts Sep 08" xfId="21649"/>
    <cellStyle name="_Office transaction vol &amp; considerations_China update table and charts Sep 08_Charts Sep 09 (version 2)" xfId="21650"/>
    <cellStyle name="_Office transaction vol &amp; considerations_Company comparison Sep 08" xfId="21651"/>
    <cellStyle name="_Office transaction vol &amp; considerations_Company comparison Sep 08_Book4" xfId="21652"/>
    <cellStyle name="_Office transaction vol &amp; considerations_Company comparison Sep 08_Book4_Charts Sep 09 (version 2)" xfId="21653"/>
    <cellStyle name="_Office transaction vol &amp; considerations_Company comparison Sep 08_CC charts and tables Oct 08" xfId="21654"/>
    <cellStyle name="_Office transaction vol &amp; considerations_Company comparison Sep 08_CEIC_PROPERTY PRICE  RENTAL INDEX Feb 09 " xfId="21655"/>
    <cellStyle name="_Office transaction vol &amp; considerations_Company comparison Sep 08_charts Jun 09" xfId="21656"/>
    <cellStyle name="_Office transaction vol &amp; considerations_Company comparison Sep 08_charts Jun 09_Charts for HK update May 09" xfId="21657"/>
    <cellStyle name="_Office transaction vol &amp; considerations_Company comparison Sep 08_charts Jun 09_Charts for HK update May 09_Charts Sep 09 (version 2)" xfId="21658"/>
    <cellStyle name="_Office transaction vol &amp; considerations_Company comparison Sep 08_charts Jun 09_EC charts Sep 09" xfId="21659"/>
    <cellStyle name="_Office transaction vol &amp; considerations_Company comparison Sep 08_charts Jun 09_EC charts Sep 09_Charts Sep 09 (version 2)" xfId="21660"/>
    <cellStyle name="_Office transaction vol &amp; considerations_Company comparison Sep 08_Charts Sep 09 (version 2)" xfId="21661"/>
    <cellStyle name="_Office transaction vol &amp; considerations_Company comparison Sep 08_China update table and charts Sep 08" xfId="21662"/>
    <cellStyle name="_Office transaction vol &amp; considerations_Company comparison Sep 08_China update table and charts Sep 08_Charts Sep 09 (version 2)" xfId="21663"/>
    <cellStyle name="_Office transaction vol &amp; considerations_Company comparison Sep 08_devs vs resi index hk Dec 08" xfId="21664"/>
    <cellStyle name="_Office transaction vol &amp; considerations_Company comparison Sep 08_devs vs resi index hk Dec 08_Charts for HK update May 09" xfId="21665"/>
    <cellStyle name="_Office transaction vol &amp; considerations_Company comparison Sep 08_devs vs resi index hk Dec 08_Charts for HK update May 09_Charts Sep 09 (version 2)" xfId="21666"/>
    <cellStyle name="_Office transaction vol &amp; considerations_Company comparison Sep 08_devs vs resi index hk Dec 08_EC charts Sep 09" xfId="21667"/>
    <cellStyle name="_Office transaction vol &amp; considerations_Company comparison Sep 08_devs vs resi index hk Dec 08_EC charts Sep 09_Charts Sep 09 (version 2)" xfId="21668"/>
    <cellStyle name="_Office transaction vol &amp; considerations_Company comparison Sep 08_EC charts Oct 08" xfId="21669"/>
    <cellStyle name="_Office transaction vol &amp; considerations_Company comparison Sep 08_EC charts Oct 08_Book50" xfId="21670"/>
    <cellStyle name="_Office transaction vol &amp; considerations_Company comparison Sep 08_EC charts Oct 08_Book50_EC charts Sep 09" xfId="21671"/>
    <cellStyle name="_Office transaction vol &amp; considerations_Company comparison Sep 08_EC charts Oct 08_Book50_EC charts Sep 09_Charts Sep 09 (version 2)" xfId="21672"/>
    <cellStyle name="_Office transaction vol &amp; considerations_Company comparison Sep 08_EC charts Oct 08_EC charts Sep 09" xfId="21673"/>
    <cellStyle name="_Office transaction vol &amp; considerations_Company comparison Sep 08_EC charts Oct 08_EC charts Sep 09_Charts Sep 09 (version 2)" xfId="21674"/>
    <cellStyle name="_Office transaction vol &amp; considerations_Company comparison Sep 08_HK developers weighted average share price vs ppty market May 09" xfId="21675"/>
    <cellStyle name="_Office transaction vol &amp; considerations_Company comparison Sep 08_HK Property data July 09" xfId="21676"/>
    <cellStyle name="_Office transaction vol &amp; considerations_Company comparison Sep 08_HK Resi 10 outlook chts" xfId="21677"/>
    <cellStyle name="_Office transaction vol &amp; considerations_Company comparison Sep 08_HONG KONG PER" xfId="21678"/>
    <cellStyle name="_Office transaction vol &amp; considerations_Company comparison Sep 08_HONG KONG PER_Book50" xfId="21679"/>
    <cellStyle name="_Office transaction vol &amp; considerations_Company comparison Sep 08_HONG KONG PER_Book50_EC charts Sep 09" xfId="21680"/>
    <cellStyle name="_Office transaction vol &amp; considerations_Company comparison Sep 08_HONG KONG PER_Book50_EC charts Sep 09_Charts Sep 09 (version 2)" xfId="21681"/>
    <cellStyle name="_Office transaction vol &amp; considerations_Company comparison Sep 08_HONG KONG PER_EC charts Sep 09" xfId="21682"/>
    <cellStyle name="_Office transaction vol &amp; considerations_Company comparison Sep 08_HONG KONG PER_EC charts Sep 09_Charts Sep 09 (version 2)" xfId="21683"/>
    <cellStyle name="_Office transaction vol &amp; considerations_Company comparison Sep 08_Mirae - CH Prop NAV breakdown (Francis Chan)" xfId="21684"/>
    <cellStyle name="_Office transaction vol &amp; considerations_Company comparison Sep 08_Mirae - CH Prop NAV breakdown (Francis Chan)_Charts for HK update May 09" xfId="21685"/>
    <cellStyle name="_Office transaction vol &amp; considerations_Company comparison Sep 08_Mirae - CH Prop NAV breakdown (Francis Chan)_Charts for HK update May 09_Charts Sep 09 (version 2)" xfId="21686"/>
    <cellStyle name="_Office transaction vol &amp; considerations_Company comparison Sep 08_Mirae - CH Prop NAV breakdown (Francis Chan)_EC charts Sep 09" xfId="21687"/>
    <cellStyle name="_Office transaction vol &amp; considerations_Company comparison Sep 08_Mirae - CH Prop NAV breakdown (Francis Chan)_EC charts Sep 09_Charts Sep 09 (version 2)" xfId="21688"/>
    <cellStyle name="_Office transaction vol &amp; considerations_Company comparison Sep 08_RESIDENTIAL SUPPLY 2009-2010" xfId="21689"/>
    <cellStyle name="_Office transaction vol &amp; considerations_devs vs resi index hk Dec 08" xfId="21690"/>
    <cellStyle name="_Office transaction vol &amp; considerations_devs vs resi index hk Dec 08_Charts for HK update May 09" xfId="21691"/>
    <cellStyle name="_Office transaction vol &amp; considerations_devs vs resi index hk Dec 08_Charts for HK update May 09_Charts Sep 09 (version 2)" xfId="21692"/>
    <cellStyle name="_Office transaction vol &amp; considerations_devs vs resi index hk Dec 08_EC charts Sep 09" xfId="21693"/>
    <cellStyle name="_Office transaction vol &amp; considerations_devs vs resi index hk Dec 08_EC charts Sep 09_Charts Sep 09 (version 2)" xfId="21694"/>
    <cellStyle name="_Office transaction vol &amp; considerations_EC charts Oct 08" xfId="21695"/>
    <cellStyle name="_Office transaction vol &amp; considerations_EC charts Oct 08_Book50" xfId="21696"/>
    <cellStyle name="_Office transaction vol &amp; considerations_EC charts Oct 08_Book50_EC charts Sep 09" xfId="21697"/>
    <cellStyle name="_Office transaction vol &amp; considerations_EC charts Oct 08_Book50_EC charts Sep 09_Charts Sep 09 (version 2)" xfId="21698"/>
    <cellStyle name="_Office transaction vol &amp; considerations_EC charts Oct 08_Charts for HK update May 09" xfId="21699"/>
    <cellStyle name="_Office transaction vol &amp; considerations_EC charts Oct 08_Charts for HK update May 09_Charts Sep 09 (version 2)" xfId="21700"/>
    <cellStyle name="_Office transaction vol &amp; considerations_EC charts Oct 08_charts Jun 09" xfId="21701"/>
    <cellStyle name="_Office transaction vol &amp; considerations_EC charts Oct 08_charts Jun 09_Charts for HK update May 09" xfId="21702"/>
    <cellStyle name="_Office transaction vol &amp; considerations_EC charts Oct 08_charts Jun 09_Charts for HK update May 09_Charts Sep 09 (version 2)" xfId="21703"/>
    <cellStyle name="_Office transaction vol &amp; considerations_EC charts Oct 08_charts Jun 09_EC charts Sep 09" xfId="21704"/>
    <cellStyle name="_Office transaction vol &amp; considerations_EC charts Oct 08_charts Jun 09_EC charts Sep 09_Charts Sep 09 (version 2)" xfId="21705"/>
    <cellStyle name="_Office transaction vol &amp; considerations_EC charts Oct 08_China outlook 2010 charts and tables " xfId="21706"/>
    <cellStyle name="_Office transaction vol &amp; considerations_EC charts Oct 08_China outlook 2010 charts and tables _Charts Sep 09 (version 2)" xfId="21707"/>
    <cellStyle name="_Office transaction vol &amp; considerations_EC charts Oct 08_EC charts Sep 09" xfId="21708"/>
    <cellStyle name="_Office transaction vol &amp; considerations_EC charts Oct 08_EC charts Sep 09_Charts Sep 09 (version 2)" xfId="21709"/>
    <cellStyle name="_Office transaction vol &amp; considerations_HK developers weighted average share price vs ppty market May 09" xfId="21710"/>
    <cellStyle name="_Office transaction vol &amp; considerations_HK Devs Peak to trough 2010 Outlook" xfId="21711"/>
    <cellStyle name="_Office transaction vol &amp; considerations_HK Property Apr 09" xfId="21712"/>
    <cellStyle name="_Office transaction vol &amp; considerations_HK Property Apr 09_EC charts Sep 09" xfId="21713"/>
    <cellStyle name="_Office transaction vol &amp; considerations_HK Property Apr 09_EC charts Sep 09_Charts Sep 09 (version 2)" xfId="21714"/>
    <cellStyle name="_Office transaction vol &amp; considerations_HK Property Charts Apr 09" xfId="21715"/>
    <cellStyle name="_Office transaction vol &amp; considerations_HK Property data July 09" xfId="21716"/>
    <cellStyle name="_Office transaction vol &amp; considerations_HK Resi 10 outlook chts" xfId="21717"/>
    <cellStyle name="_Office transaction vol &amp; considerations_HONG KONG PER" xfId="21718"/>
    <cellStyle name="_Office transaction vol &amp; considerations_HONG KONG PER_Book50" xfId="21719"/>
    <cellStyle name="_Office transaction vol &amp; considerations_HONG KONG PER_Book50_EC charts Sep 09" xfId="21720"/>
    <cellStyle name="_Office transaction vol &amp; considerations_HONG KONG PER_Book50_EC charts Sep 09_Charts Sep 09 (version 2)" xfId="21721"/>
    <cellStyle name="_Office transaction vol &amp; considerations_HONG KONG PER_EC charts Sep 09" xfId="21722"/>
    <cellStyle name="_Office transaction vol &amp; considerations_HONG KONG PER_EC charts Sep 09_Charts Sep 09 (version 2)" xfId="21723"/>
    <cellStyle name="_Office transaction vol &amp; considerations_Mirae - CH Prop NAV breakdown (Francis Chan)" xfId="21724"/>
    <cellStyle name="_Office transaction vol &amp; considerations_Mirae - CH Prop NAV breakdown (Francis Chan)_Charts for HK update May 09" xfId="21725"/>
    <cellStyle name="_Office transaction vol &amp; considerations_Mirae - CH Prop NAV breakdown (Francis Chan)_Charts for HK update May 09_Charts Sep 09 (version 2)" xfId="21726"/>
    <cellStyle name="_Office transaction vol &amp; considerations_Mirae - CH Prop NAV breakdown (Francis Chan)_EC charts Sep 09" xfId="21727"/>
    <cellStyle name="_Office transaction vol &amp; considerations_Mirae - CH Prop NAV breakdown (Francis Chan)_EC charts Sep 09_Charts Sep 09 (version 2)" xfId="21728"/>
    <cellStyle name="_Office transaction vol &amp; considerations_Prop NAV disc Jun 08" xfId="21729"/>
    <cellStyle name="_Office transaction vol &amp; considerations_Prop NAV disc Jun 08_CC charts and tables Oct 08" xfId="21730"/>
    <cellStyle name="_Office transaction vol &amp; considerations_Prop NAV disc Jun 08_CEIC_PROPERTY PRICE  RENTAL INDEX Feb 09 " xfId="21731"/>
    <cellStyle name="_Office transaction vol &amp; considerations_Prop NAV disc Jun 08_charts Jun 09" xfId="21732"/>
    <cellStyle name="_Office transaction vol &amp; considerations_Prop NAV disc Jun 08_charts Jun 09_Charts for HK update May 09" xfId="21733"/>
    <cellStyle name="_Office transaction vol &amp; considerations_Prop NAV disc Jun 08_charts Jun 09_Charts for HK update May 09_Charts Sep 09 (version 2)" xfId="21734"/>
    <cellStyle name="_Office transaction vol &amp; considerations_Prop NAV disc Jun 08_charts Jun 09_EC charts Sep 09" xfId="21735"/>
    <cellStyle name="_Office transaction vol &amp; considerations_Prop NAV disc Jun 08_charts Jun 09_EC charts Sep 09_Charts Sep 09 (version 2)" xfId="21736"/>
    <cellStyle name="_Office transaction vol &amp; considerations_Prop NAV disc Jun 08_Charts Sep 09 (version 2)" xfId="21737"/>
    <cellStyle name="_Office transaction vol &amp; considerations_Prop NAV disc Jun 08_devs vs resi index hk Dec 08" xfId="21738"/>
    <cellStyle name="_Office transaction vol &amp; considerations_Prop NAV disc Jun 08_devs vs resi index hk Dec 08_Charts for HK update May 09" xfId="21739"/>
    <cellStyle name="_Office transaction vol &amp; considerations_Prop NAV disc Jun 08_devs vs resi index hk Dec 08_Charts for HK update May 09_Charts Sep 09 (version 2)" xfId="21740"/>
    <cellStyle name="_Office transaction vol &amp; considerations_Prop NAV disc Jun 08_devs vs resi index hk Dec 08_EC charts Sep 09" xfId="21741"/>
    <cellStyle name="_Office transaction vol &amp; considerations_Prop NAV disc Jun 08_devs vs resi index hk Dec 08_EC charts Sep 09_Charts Sep 09 (version 2)" xfId="21742"/>
    <cellStyle name="_Office transaction vol &amp; considerations_Prop NAV disc Jun 08_EC charts Oct 08" xfId="21743"/>
    <cellStyle name="_Office transaction vol &amp; considerations_Prop NAV disc Jun 08_EC charts Oct 08_Book50" xfId="21744"/>
    <cellStyle name="_Office transaction vol &amp; considerations_Prop NAV disc Jun 08_EC charts Oct 08_Book50_EC charts Sep 09" xfId="21745"/>
    <cellStyle name="_Office transaction vol &amp; considerations_Prop NAV disc Jun 08_EC charts Oct 08_Book50_EC charts Sep 09_Charts Sep 09 (version 2)" xfId="21746"/>
    <cellStyle name="_Office transaction vol &amp; considerations_Prop NAV disc Jun 08_EC charts Oct 08_Charts for HK update May 09" xfId="21747"/>
    <cellStyle name="_Office transaction vol &amp; considerations_Prop NAV disc Jun 08_EC charts Oct 08_Charts for HK update May 09_Charts Sep 09 (version 2)" xfId="21748"/>
    <cellStyle name="_Office transaction vol &amp; considerations_Prop NAV disc Jun 08_EC charts Oct 08_charts Jun 09" xfId="21749"/>
    <cellStyle name="_Office transaction vol &amp; considerations_Prop NAV disc Jun 08_EC charts Oct 08_charts Jun 09_Charts for HK update May 09" xfId="21750"/>
    <cellStyle name="_Office transaction vol &amp; considerations_Prop NAV disc Jun 08_EC charts Oct 08_charts Jun 09_Charts for HK update May 09_Charts Sep 09 (version 2)" xfId="21751"/>
    <cellStyle name="_Office transaction vol &amp; considerations_Prop NAV disc Jun 08_EC charts Oct 08_charts Jun 09_EC charts Sep 09" xfId="21752"/>
    <cellStyle name="_Office transaction vol &amp; considerations_Prop NAV disc Jun 08_EC charts Oct 08_charts Jun 09_EC charts Sep 09_Charts Sep 09 (version 2)" xfId="21753"/>
    <cellStyle name="_Office transaction vol &amp; considerations_Prop NAV disc Jun 08_EC charts Oct 08_China outlook 2010 charts and tables " xfId="21754"/>
    <cellStyle name="_Office transaction vol &amp; considerations_Prop NAV disc Jun 08_EC charts Oct 08_China outlook 2010 charts and tables _Charts Sep 09 (version 2)" xfId="21755"/>
    <cellStyle name="_Office transaction vol &amp; considerations_Prop NAV disc Jun 08_EC charts Oct 08_EC charts Sep 09" xfId="21756"/>
    <cellStyle name="_Office transaction vol &amp; considerations_Prop NAV disc Jun 08_EC charts Oct 08_EC charts Sep 09_Charts Sep 09 (version 2)" xfId="21757"/>
    <cellStyle name="_Office transaction vol &amp; considerations_Prop NAV disc Jun 08_HK developers weighted average share price vs ppty market May 09" xfId="21758"/>
    <cellStyle name="_Office transaction vol &amp; considerations_Prop NAV disc Jun 08_HK Devs Peak to trough 2010 Outlook" xfId="21759"/>
    <cellStyle name="_Office transaction vol &amp; considerations_Prop NAV disc Jun 08_HK Property data July 09" xfId="21760"/>
    <cellStyle name="_Office transaction vol &amp; considerations_Prop NAV disc Jun 08_HK Resi 10 outlook chts" xfId="21761"/>
    <cellStyle name="_Office transaction vol &amp; considerations_Prop NAV disc Jun 08_HONG KONG PER" xfId="21762"/>
    <cellStyle name="_Office transaction vol &amp; considerations_Prop NAV disc Jun 08_HONG KONG PER_Book50" xfId="21763"/>
    <cellStyle name="_Office transaction vol &amp; considerations_Prop NAV disc Jun 08_HONG KONG PER_Book50_EC charts Sep 09" xfId="21764"/>
    <cellStyle name="_Office transaction vol &amp; considerations_Prop NAV disc Jun 08_HONG KONG PER_Book50_EC charts Sep 09_Charts Sep 09 (version 2)" xfId="21765"/>
    <cellStyle name="_Office transaction vol &amp; considerations_Prop NAV disc Jun 08_HONG KONG PER_EC charts Sep 09" xfId="21766"/>
    <cellStyle name="_Office transaction vol &amp; considerations_Prop NAV disc Jun 08_HONG KONG PER_EC charts Sep 09_Charts Sep 09 (version 2)" xfId="21767"/>
    <cellStyle name="_Office transaction vol &amp; considerations_Prop NAV disc Jun 08_RESIDENTIAL SUPPLY 2009-2010" xfId="21768"/>
    <cellStyle name="_Office transaction vol &amp; considerations_RESIDENTIAL SUPPLY 2009-2010" xfId="21769"/>
    <cellStyle name="_P.Dvlp" xfId="21770"/>
    <cellStyle name="_P.Dvlp 2" xfId="21771"/>
    <cellStyle name="_P.Invt" xfId="21772"/>
    <cellStyle name="_P.Invt 2" xfId="21773"/>
    <cellStyle name="_Plt" xfId="21774"/>
    <cellStyle name="_Plt 2" xfId="21775"/>
    <cellStyle name="_Price History 2" xfId="21776"/>
    <cellStyle name="_PRICEFORoct03 2" xfId="21777"/>
    <cellStyle name="_Prop NAV disc Dec 08" xfId="21778"/>
    <cellStyle name="_Prop NAV disc Dec 08_Charts Sep 09 (version 2)" xfId="21779"/>
    <cellStyle name="_Prop NAV disc Jun 08" xfId="21780"/>
    <cellStyle name="_Prop NAV disc Jun 08_CC charts and tables Oct 08" xfId="21781"/>
    <cellStyle name="_Prop NAV disc Jun 08_CEIC_PROPERTY PRICE  RENTAL INDEX Feb 09 " xfId="21782"/>
    <cellStyle name="_Prop NAV disc Jun 08_charts Jun 09" xfId="21783"/>
    <cellStyle name="_Prop NAV disc Jun 08_charts Jun 09_Charts for HK update May 09" xfId="21784"/>
    <cellStyle name="_Prop NAV disc Jun 08_charts Jun 09_Charts for HK update May 09_Charts Sep 09 (version 2)" xfId="21785"/>
    <cellStyle name="_Prop NAV disc Jun 08_charts Jun 09_EC charts Sep 09" xfId="21786"/>
    <cellStyle name="_Prop NAV disc Jun 08_charts Jun 09_EC charts Sep 09_Charts Sep 09 (version 2)" xfId="21787"/>
    <cellStyle name="_Prop NAV disc Jun 08_Charts Sep 09 (version 2)" xfId="21788"/>
    <cellStyle name="_Prop NAV disc Jun 08_devs vs resi index hk Dec 08" xfId="21789"/>
    <cellStyle name="_Prop NAV disc Jun 08_devs vs resi index hk Dec 08_Charts for HK update May 09" xfId="21790"/>
    <cellStyle name="_Prop NAV disc Jun 08_devs vs resi index hk Dec 08_Charts for HK update May 09_Charts Sep 09 (version 2)" xfId="21791"/>
    <cellStyle name="_Prop NAV disc Jun 08_devs vs resi index hk Dec 08_EC charts Sep 09" xfId="21792"/>
    <cellStyle name="_Prop NAV disc Jun 08_devs vs resi index hk Dec 08_EC charts Sep 09_Charts Sep 09 (version 2)" xfId="21793"/>
    <cellStyle name="_Prop NAV disc Jun 08_EC charts Oct 08" xfId="21794"/>
    <cellStyle name="_Prop NAV disc Jun 08_EC charts Oct 08_Book50" xfId="21795"/>
    <cellStyle name="_Prop NAV disc Jun 08_EC charts Oct 08_Book50_EC charts Sep 09" xfId="21796"/>
    <cellStyle name="_Prop NAV disc Jun 08_EC charts Oct 08_Book50_EC charts Sep 09_Charts Sep 09 (version 2)" xfId="21797"/>
    <cellStyle name="_Prop NAV disc Jun 08_EC charts Oct 08_Charts for HK update May 09" xfId="21798"/>
    <cellStyle name="_Prop NAV disc Jun 08_EC charts Oct 08_Charts for HK update May 09_Charts Sep 09 (version 2)" xfId="21799"/>
    <cellStyle name="_Prop NAV disc Jun 08_EC charts Oct 08_charts Jun 09" xfId="21800"/>
    <cellStyle name="_Prop NAV disc Jun 08_EC charts Oct 08_charts Jun 09_Charts for HK update May 09" xfId="21801"/>
    <cellStyle name="_Prop NAV disc Jun 08_EC charts Oct 08_charts Jun 09_Charts for HK update May 09_Charts Sep 09 (version 2)" xfId="21802"/>
    <cellStyle name="_Prop NAV disc Jun 08_EC charts Oct 08_charts Jun 09_EC charts Sep 09" xfId="21803"/>
    <cellStyle name="_Prop NAV disc Jun 08_EC charts Oct 08_charts Jun 09_EC charts Sep 09_Charts Sep 09 (version 2)" xfId="21804"/>
    <cellStyle name="_Prop NAV disc Jun 08_EC charts Oct 08_China outlook 2010 charts and tables " xfId="21805"/>
    <cellStyle name="_Prop NAV disc Jun 08_EC charts Oct 08_China outlook 2010 charts and tables _Charts Sep 09 (version 2)" xfId="21806"/>
    <cellStyle name="_Prop NAV disc Jun 08_EC charts Oct 08_EC charts Sep 09" xfId="21807"/>
    <cellStyle name="_Prop NAV disc Jun 08_EC charts Oct 08_EC charts Sep 09_Charts Sep 09 (version 2)" xfId="21808"/>
    <cellStyle name="_Prop NAV disc Jun 08_HK developers weighted average share price vs ppty market May 09" xfId="21809"/>
    <cellStyle name="_Prop NAV disc Jun 08_HK Devs Peak to trough 2010 Outlook" xfId="21810"/>
    <cellStyle name="_Prop NAV disc Jun 08_HK Property data July 09" xfId="21811"/>
    <cellStyle name="_Prop NAV disc Jun 08_HK Resi 10 outlook chts" xfId="21812"/>
    <cellStyle name="_Prop NAV disc Jun 08_HONG KONG PER" xfId="21813"/>
    <cellStyle name="_Prop NAV disc Jun 08_HONG KONG PER_Book50" xfId="21814"/>
    <cellStyle name="_Prop NAV disc Jun 08_HONG KONG PER_Book50_EC charts Sep 09" xfId="21815"/>
    <cellStyle name="_Prop NAV disc Jun 08_HONG KONG PER_Book50_EC charts Sep 09_Charts Sep 09 (version 2)" xfId="21816"/>
    <cellStyle name="_Prop NAV disc Jun 08_HONG KONG PER_EC charts Sep 09" xfId="21817"/>
    <cellStyle name="_Prop NAV disc Jun 08_HONG KONG PER_EC charts Sep 09_Charts Sep 09 (version 2)" xfId="21818"/>
    <cellStyle name="_Prop NAV disc Jun 08_RESIDENTIAL SUPPLY 2009-2010" xfId="21819"/>
    <cellStyle name="_PROPERTY PRICE vs REAL INT RATES Apr 09" xfId="21820"/>
    <cellStyle name="_PROPERTY PRICE vs REAL INT RATES Apr 09_EC charts Sep 09" xfId="21821"/>
    <cellStyle name="_PROPERTY PRICE vs REAL INT RATES Apr 09_EC charts Sep 09_Charts Sep 09 (version 2)" xfId="21822"/>
    <cellStyle name="_RESIDENTIAL SUPPLY 2005-2008 LATEST" xfId="21823"/>
    <cellStyle name="_RESIDENTIAL SUPPLY 2005-2008 LATEST_Book4" xfId="21824"/>
    <cellStyle name="_RESIDENTIAL SUPPLY 2005-2008 LATEST_Book4_Charts Sep 09 (version 2)" xfId="21825"/>
    <cellStyle name="_RESIDENTIAL SUPPLY 2005-2008 LATEST_CC charts and tables Oct 08" xfId="21826"/>
    <cellStyle name="_RESIDENTIAL SUPPLY 2005-2008 LATEST_CEIC_PROPERTY PRICE  RENTAL INDEX Feb 09 " xfId="21827"/>
    <cellStyle name="_RESIDENTIAL SUPPLY 2005-2008 LATEST_charts Jun 09" xfId="21828"/>
    <cellStyle name="_RESIDENTIAL SUPPLY 2005-2008 LATEST_charts Jun 09_Charts for HK update May 09" xfId="21829"/>
    <cellStyle name="_RESIDENTIAL SUPPLY 2005-2008 LATEST_charts Jun 09_Charts for HK update May 09_Charts Sep 09 (version 2)" xfId="21830"/>
    <cellStyle name="_RESIDENTIAL SUPPLY 2005-2008 LATEST_charts Jun 09_EC charts Sep 09" xfId="21831"/>
    <cellStyle name="_RESIDENTIAL SUPPLY 2005-2008 LATEST_charts Jun 09_EC charts Sep 09_Charts Sep 09 (version 2)" xfId="21832"/>
    <cellStyle name="_RESIDENTIAL SUPPLY 2005-2008 LATEST_Charts Sep 09 (version 2)" xfId="21833"/>
    <cellStyle name="_RESIDENTIAL SUPPLY 2005-2008 LATEST_China update table and charts Sep 08" xfId="21834"/>
    <cellStyle name="_RESIDENTIAL SUPPLY 2005-2008 LATEST_China update table and charts Sep 08_Charts Sep 09 (version 2)" xfId="21835"/>
    <cellStyle name="_RESIDENTIAL SUPPLY 2005-2008 LATEST_Company comparison Sep 08" xfId="21836"/>
    <cellStyle name="_RESIDENTIAL SUPPLY 2005-2008 LATEST_Company comparison Sep 08_Book4" xfId="21837"/>
    <cellStyle name="_RESIDENTIAL SUPPLY 2005-2008 LATEST_Company comparison Sep 08_Book4_Charts Sep 09 (version 2)" xfId="21838"/>
    <cellStyle name="_RESIDENTIAL SUPPLY 2005-2008 LATEST_Company comparison Sep 08_CC charts and tables Oct 08" xfId="21839"/>
    <cellStyle name="_RESIDENTIAL SUPPLY 2005-2008 LATEST_Company comparison Sep 08_CEIC_PROPERTY PRICE  RENTAL INDEX Feb 09 " xfId="21840"/>
    <cellStyle name="_RESIDENTIAL SUPPLY 2005-2008 LATEST_Company comparison Sep 08_charts Jun 09" xfId="21841"/>
    <cellStyle name="_RESIDENTIAL SUPPLY 2005-2008 LATEST_Company comparison Sep 08_charts Jun 09_Charts for HK update May 09" xfId="21842"/>
    <cellStyle name="_RESIDENTIAL SUPPLY 2005-2008 LATEST_Company comparison Sep 08_charts Jun 09_Charts for HK update May 09_Charts Sep 09 (version 2)" xfId="21843"/>
    <cellStyle name="_RESIDENTIAL SUPPLY 2005-2008 LATEST_Company comparison Sep 08_charts Jun 09_EC charts Sep 09" xfId="21844"/>
    <cellStyle name="_RESIDENTIAL SUPPLY 2005-2008 LATEST_Company comparison Sep 08_charts Jun 09_EC charts Sep 09_Charts Sep 09 (version 2)" xfId="21845"/>
    <cellStyle name="_RESIDENTIAL SUPPLY 2005-2008 LATEST_Company comparison Sep 08_Charts Sep 09 (version 2)" xfId="21846"/>
    <cellStyle name="_RESIDENTIAL SUPPLY 2005-2008 LATEST_Company comparison Sep 08_China update table and charts Sep 08" xfId="21847"/>
    <cellStyle name="_RESIDENTIAL SUPPLY 2005-2008 LATEST_Company comparison Sep 08_China update table and charts Sep 08_Charts Sep 09 (version 2)" xfId="21848"/>
    <cellStyle name="_RESIDENTIAL SUPPLY 2005-2008 LATEST_Company comparison Sep 08_devs vs resi index hk Dec 08" xfId="21849"/>
    <cellStyle name="_RESIDENTIAL SUPPLY 2005-2008 LATEST_Company comparison Sep 08_devs vs resi index hk Dec 08_Charts for HK update May 09" xfId="21850"/>
    <cellStyle name="_RESIDENTIAL SUPPLY 2005-2008 LATEST_Company comparison Sep 08_devs vs resi index hk Dec 08_Charts for HK update May 09_Charts Sep 09 (version 2)" xfId="21851"/>
    <cellStyle name="_RESIDENTIAL SUPPLY 2005-2008 LATEST_Company comparison Sep 08_devs vs resi index hk Dec 08_EC charts Sep 09" xfId="21852"/>
    <cellStyle name="_RESIDENTIAL SUPPLY 2005-2008 LATEST_Company comparison Sep 08_devs vs resi index hk Dec 08_EC charts Sep 09_Charts Sep 09 (version 2)" xfId="21853"/>
    <cellStyle name="_RESIDENTIAL SUPPLY 2005-2008 LATEST_Company comparison Sep 08_EC charts Oct 08" xfId="21854"/>
    <cellStyle name="_RESIDENTIAL SUPPLY 2005-2008 LATEST_Company comparison Sep 08_EC charts Oct 08_Book50" xfId="21855"/>
    <cellStyle name="_RESIDENTIAL SUPPLY 2005-2008 LATEST_Company comparison Sep 08_EC charts Oct 08_Book50_EC charts Sep 09" xfId="21856"/>
    <cellStyle name="_RESIDENTIAL SUPPLY 2005-2008 LATEST_Company comparison Sep 08_EC charts Oct 08_Book50_EC charts Sep 09_Charts Sep 09 (version 2)" xfId="21857"/>
    <cellStyle name="_RESIDENTIAL SUPPLY 2005-2008 LATEST_Company comparison Sep 08_EC charts Oct 08_EC charts Sep 09" xfId="21858"/>
    <cellStyle name="_RESIDENTIAL SUPPLY 2005-2008 LATEST_Company comparison Sep 08_EC charts Oct 08_EC charts Sep 09_Charts Sep 09 (version 2)" xfId="21859"/>
    <cellStyle name="_RESIDENTIAL SUPPLY 2005-2008 LATEST_Company comparison Sep 08_HK developers weighted average share price vs ppty market May 09" xfId="21860"/>
    <cellStyle name="_RESIDENTIAL SUPPLY 2005-2008 LATEST_Company comparison Sep 08_HK Property data July 09" xfId="21861"/>
    <cellStyle name="_RESIDENTIAL SUPPLY 2005-2008 LATEST_Company comparison Sep 08_HK Resi 10 outlook chts" xfId="21862"/>
    <cellStyle name="_RESIDENTIAL SUPPLY 2005-2008 LATEST_Company comparison Sep 08_HONG KONG PER" xfId="21863"/>
    <cellStyle name="_RESIDENTIAL SUPPLY 2005-2008 LATEST_Company comparison Sep 08_HONG KONG PER_Book50" xfId="21864"/>
    <cellStyle name="_RESIDENTIAL SUPPLY 2005-2008 LATEST_Company comparison Sep 08_HONG KONG PER_Book50_EC charts Sep 09" xfId="21865"/>
    <cellStyle name="_RESIDENTIAL SUPPLY 2005-2008 LATEST_Company comparison Sep 08_HONG KONG PER_Book50_EC charts Sep 09_Charts Sep 09 (version 2)" xfId="21866"/>
    <cellStyle name="_RESIDENTIAL SUPPLY 2005-2008 LATEST_Company comparison Sep 08_HONG KONG PER_EC charts Sep 09" xfId="21867"/>
    <cellStyle name="_RESIDENTIAL SUPPLY 2005-2008 LATEST_Company comparison Sep 08_HONG KONG PER_EC charts Sep 09_Charts Sep 09 (version 2)" xfId="21868"/>
    <cellStyle name="_RESIDENTIAL SUPPLY 2005-2008 LATEST_Company comparison Sep 08_Mirae - CH Prop NAV breakdown (Francis Chan)" xfId="21869"/>
    <cellStyle name="_RESIDENTIAL SUPPLY 2005-2008 LATEST_Company comparison Sep 08_Mirae - CH Prop NAV breakdown (Francis Chan)_Charts for HK update May 09" xfId="21870"/>
    <cellStyle name="_RESIDENTIAL SUPPLY 2005-2008 LATEST_Company comparison Sep 08_Mirae - CH Prop NAV breakdown (Francis Chan)_Charts for HK update May 09_Charts Sep 09 (version 2)" xfId="21871"/>
    <cellStyle name="_RESIDENTIAL SUPPLY 2005-2008 LATEST_Company comparison Sep 08_Mirae - CH Prop NAV breakdown (Francis Chan)_EC charts Sep 09" xfId="21872"/>
    <cellStyle name="_RESIDENTIAL SUPPLY 2005-2008 LATEST_Company comparison Sep 08_Mirae - CH Prop NAV breakdown (Francis Chan)_EC charts Sep 09_Charts Sep 09 (version 2)" xfId="21873"/>
    <cellStyle name="_RESIDENTIAL SUPPLY 2005-2008 LATEST_Company comparison Sep 08_RESIDENTIAL SUPPLY 2009-2010" xfId="21874"/>
    <cellStyle name="_RESIDENTIAL SUPPLY 2005-2008 LATEST_devs vs resi index hk Dec 08" xfId="21875"/>
    <cellStyle name="_RESIDENTIAL SUPPLY 2005-2008 LATEST_devs vs resi index hk Dec 08_Charts for HK update May 09" xfId="21876"/>
    <cellStyle name="_RESIDENTIAL SUPPLY 2005-2008 LATEST_devs vs resi index hk Dec 08_Charts for HK update May 09_Charts Sep 09 (version 2)" xfId="21877"/>
    <cellStyle name="_RESIDENTIAL SUPPLY 2005-2008 LATEST_devs vs resi index hk Dec 08_EC charts Sep 09" xfId="21878"/>
    <cellStyle name="_RESIDENTIAL SUPPLY 2005-2008 LATEST_devs vs resi index hk Dec 08_EC charts Sep 09_Charts Sep 09 (version 2)" xfId="21879"/>
    <cellStyle name="_RESIDENTIAL SUPPLY 2005-2008 LATEST_EC charts Oct 08" xfId="21880"/>
    <cellStyle name="_RESIDENTIAL SUPPLY 2005-2008 LATEST_EC charts Oct 08_Book50" xfId="21881"/>
    <cellStyle name="_RESIDENTIAL SUPPLY 2005-2008 LATEST_EC charts Oct 08_Book50_EC charts Sep 09" xfId="21882"/>
    <cellStyle name="_RESIDENTIAL SUPPLY 2005-2008 LATEST_EC charts Oct 08_Book50_EC charts Sep 09_Charts Sep 09 (version 2)" xfId="21883"/>
    <cellStyle name="_RESIDENTIAL SUPPLY 2005-2008 LATEST_EC charts Oct 08_EC charts Sep 09" xfId="21884"/>
    <cellStyle name="_RESIDENTIAL SUPPLY 2005-2008 LATEST_EC charts Oct 08_EC charts Sep 09_Charts Sep 09 (version 2)" xfId="21885"/>
    <cellStyle name="_RESIDENTIAL SUPPLY 2005-2008 LATEST_HK developers weighted average share price vs ppty market May 09" xfId="21886"/>
    <cellStyle name="_RESIDENTIAL SUPPLY 2005-2008 LATEST_HK Devs Peak to trough 2010 Outlook" xfId="21887"/>
    <cellStyle name="_RESIDENTIAL SUPPLY 2005-2008 LATEST_HK Property Charts Apr 09" xfId="21888"/>
    <cellStyle name="_RESIDENTIAL SUPPLY 2005-2008 LATEST_HK Property data July 09" xfId="21889"/>
    <cellStyle name="_RESIDENTIAL SUPPLY 2005-2008 LATEST_HK Resi 10 outlook chts" xfId="21890"/>
    <cellStyle name="_RESIDENTIAL SUPPLY 2005-2008 LATEST_HONG KONG PER" xfId="21891"/>
    <cellStyle name="_RESIDENTIAL SUPPLY 2005-2008 LATEST_HONG KONG PER_Book50" xfId="21892"/>
    <cellStyle name="_RESIDENTIAL SUPPLY 2005-2008 LATEST_HONG KONG PER_Book50_EC charts Sep 09" xfId="21893"/>
    <cellStyle name="_RESIDENTIAL SUPPLY 2005-2008 LATEST_HONG KONG PER_Book50_EC charts Sep 09_Charts Sep 09 (version 2)" xfId="21894"/>
    <cellStyle name="_RESIDENTIAL SUPPLY 2005-2008 LATEST_HONG KONG PER_EC charts Sep 09" xfId="21895"/>
    <cellStyle name="_RESIDENTIAL SUPPLY 2005-2008 LATEST_HONG KONG PER_EC charts Sep 09_Charts Sep 09 (version 2)" xfId="21896"/>
    <cellStyle name="_RESIDENTIAL SUPPLY 2005-2008 LATEST_Mirae - CH Prop NAV breakdown (Francis Chan)" xfId="21897"/>
    <cellStyle name="_RESIDENTIAL SUPPLY 2005-2008 LATEST_Mirae - CH Prop NAV breakdown (Francis Chan)_Charts for HK update May 09" xfId="21898"/>
    <cellStyle name="_RESIDENTIAL SUPPLY 2005-2008 LATEST_Mirae - CH Prop NAV breakdown (Francis Chan)_Charts for HK update May 09_Charts Sep 09 (version 2)" xfId="21899"/>
    <cellStyle name="_RESIDENTIAL SUPPLY 2005-2008 LATEST_Mirae - CH Prop NAV breakdown (Francis Chan)_EC charts Sep 09" xfId="21900"/>
    <cellStyle name="_RESIDENTIAL SUPPLY 2005-2008 LATEST_Mirae - CH Prop NAV breakdown (Francis Chan)_EC charts Sep 09_Charts Sep 09 (version 2)" xfId="21901"/>
    <cellStyle name="_RESIDENTIAL SUPPLY 2005-2008 LATEST_RESIDENTIAL SUPPLY 2009-2010" xfId="21902"/>
    <cellStyle name="_RESIDENTIAL SUPPLY 2009-2010" xfId="21903"/>
    <cellStyle name="_Revised Comps Template" xfId="21904"/>
    <cellStyle name="_Revised Comps Template 2" xfId="21905"/>
    <cellStyle name="_Revised Comps Template_Book1" xfId="21906"/>
    <cellStyle name="_Revised Comps Template_Book1 2" xfId="21907"/>
    <cellStyle name="_Revised Comps Template_Book28" xfId="21908"/>
    <cellStyle name="_Revised Comps Template_Book28 2" xfId="21909"/>
    <cellStyle name="_Revised Comps Template_SP Setia EM" xfId="21910"/>
    <cellStyle name="_Revised Comps Template_SP Setia EM 2" xfId="21911"/>
    <cellStyle name="_Revised Comps Template_SP Setia EM iQ 4.2" xfId="21912"/>
    <cellStyle name="_Revised Comps Template_SP Setia EM iQ 4.2 2" xfId="21913"/>
    <cellStyle name="_revised of EC charts Oct 08" xfId="21914"/>
    <cellStyle name="_RNAV" xfId="21915"/>
    <cellStyle name="_RNAV 2" xfId="21916"/>
    <cellStyle name="_Sector Oct 2005" xfId="21917"/>
    <cellStyle name="_Sector Oct 2005_Book4" xfId="21918"/>
    <cellStyle name="_Sector Oct 2005_Book4_Charts Sep 09 (version 2)" xfId="21919"/>
    <cellStyle name="_Sector Oct 2005_CC charts and tables Oct 08" xfId="21920"/>
    <cellStyle name="_Sector Oct 2005_CEIC_PROPERTY PRICE  RENTAL INDEX Feb 09 " xfId="21921"/>
    <cellStyle name="_Sector Oct 2005_charts Jun 09" xfId="21922"/>
    <cellStyle name="_Sector Oct 2005_charts Jun 09_Charts for HK update May 09" xfId="21923"/>
    <cellStyle name="_Sector Oct 2005_charts Jun 09_Charts for HK update May 09_Charts Sep 09 (version 2)" xfId="21924"/>
    <cellStyle name="_Sector Oct 2005_charts Jun 09_EC charts Sep 09" xfId="21925"/>
    <cellStyle name="_Sector Oct 2005_charts Jun 09_EC charts Sep 09_Charts Sep 09 (version 2)" xfId="21926"/>
    <cellStyle name="_Sector Oct 2005_Charts Sep 09 (version 2)" xfId="21927"/>
    <cellStyle name="_Sector Oct 2005_China update table and charts Sep 08" xfId="21928"/>
    <cellStyle name="_Sector Oct 2005_China update table and charts Sep 08_Charts Sep 09 (version 2)" xfId="21929"/>
    <cellStyle name="_Sector Oct 2005_Company comparison Sep 08" xfId="21930"/>
    <cellStyle name="_Sector Oct 2005_Company comparison Sep 08_Book4" xfId="21931"/>
    <cellStyle name="_Sector Oct 2005_Company comparison Sep 08_Book4_Charts Sep 09 (version 2)" xfId="21932"/>
    <cellStyle name="_Sector Oct 2005_Company comparison Sep 08_CC charts and tables Oct 08" xfId="21933"/>
    <cellStyle name="_Sector Oct 2005_Company comparison Sep 08_CEIC_PROPERTY PRICE  RENTAL INDEX Feb 09 " xfId="21934"/>
    <cellStyle name="_Sector Oct 2005_Company comparison Sep 08_charts Jun 09" xfId="21935"/>
    <cellStyle name="_Sector Oct 2005_Company comparison Sep 08_charts Jun 09_Charts for HK update May 09" xfId="21936"/>
    <cellStyle name="_Sector Oct 2005_Company comparison Sep 08_charts Jun 09_Charts for HK update May 09_Charts Sep 09 (version 2)" xfId="21937"/>
    <cellStyle name="_Sector Oct 2005_Company comparison Sep 08_charts Jun 09_EC charts Sep 09" xfId="21938"/>
    <cellStyle name="_Sector Oct 2005_Company comparison Sep 08_charts Jun 09_EC charts Sep 09_Charts Sep 09 (version 2)" xfId="21939"/>
    <cellStyle name="_Sector Oct 2005_Company comparison Sep 08_Charts Sep 09 (version 2)" xfId="21940"/>
    <cellStyle name="_Sector Oct 2005_Company comparison Sep 08_China update table and charts Sep 08" xfId="21941"/>
    <cellStyle name="_Sector Oct 2005_Company comparison Sep 08_China update table and charts Sep 08_Charts Sep 09 (version 2)" xfId="21942"/>
    <cellStyle name="_Sector Oct 2005_Company comparison Sep 08_devs vs resi index hk Dec 08" xfId="21943"/>
    <cellStyle name="_Sector Oct 2005_Company comparison Sep 08_devs vs resi index hk Dec 08_Charts for HK update May 09" xfId="21944"/>
    <cellStyle name="_Sector Oct 2005_Company comparison Sep 08_devs vs resi index hk Dec 08_Charts for HK update May 09_Charts Sep 09 (version 2)" xfId="21945"/>
    <cellStyle name="_Sector Oct 2005_Company comparison Sep 08_devs vs resi index hk Dec 08_EC charts Sep 09" xfId="21946"/>
    <cellStyle name="_Sector Oct 2005_Company comparison Sep 08_devs vs resi index hk Dec 08_EC charts Sep 09_Charts Sep 09 (version 2)" xfId="21947"/>
    <cellStyle name="_Sector Oct 2005_Company comparison Sep 08_EC charts Oct 08" xfId="21948"/>
    <cellStyle name="_Sector Oct 2005_Company comparison Sep 08_EC charts Oct 08_Book50" xfId="21949"/>
    <cellStyle name="_Sector Oct 2005_Company comparison Sep 08_EC charts Oct 08_Book50_EC charts Sep 09" xfId="21950"/>
    <cellStyle name="_Sector Oct 2005_Company comparison Sep 08_EC charts Oct 08_Book50_EC charts Sep 09_Charts Sep 09 (version 2)" xfId="21951"/>
    <cellStyle name="_Sector Oct 2005_Company comparison Sep 08_EC charts Oct 08_EC charts Sep 09" xfId="21952"/>
    <cellStyle name="_Sector Oct 2005_Company comparison Sep 08_EC charts Oct 08_EC charts Sep 09_Charts Sep 09 (version 2)" xfId="21953"/>
    <cellStyle name="_Sector Oct 2005_Company comparison Sep 08_HK developers weighted average share price vs ppty market May 09" xfId="21954"/>
    <cellStyle name="_Sector Oct 2005_Company comparison Sep 08_HK Property data July 09" xfId="21955"/>
    <cellStyle name="_Sector Oct 2005_Company comparison Sep 08_HK Resi 10 outlook chts" xfId="21956"/>
    <cellStyle name="_Sector Oct 2005_Company comparison Sep 08_HONG KONG PER" xfId="21957"/>
    <cellStyle name="_Sector Oct 2005_Company comparison Sep 08_HONG KONG PER_Book50" xfId="21958"/>
    <cellStyle name="_Sector Oct 2005_Company comparison Sep 08_HONG KONG PER_Book50_EC charts Sep 09" xfId="21959"/>
    <cellStyle name="_Sector Oct 2005_Company comparison Sep 08_HONG KONG PER_Book50_EC charts Sep 09_Charts Sep 09 (version 2)" xfId="21960"/>
    <cellStyle name="_Sector Oct 2005_Company comparison Sep 08_HONG KONG PER_EC charts Sep 09" xfId="21961"/>
    <cellStyle name="_Sector Oct 2005_Company comparison Sep 08_HONG KONG PER_EC charts Sep 09_Charts Sep 09 (version 2)" xfId="21962"/>
    <cellStyle name="_Sector Oct 2005_Company comparison Sep 08_Mirae - CH Prop NAV breakdown (Francis Chan)" xfId="21963"/>
    <cellStyle name="_Sector Oct 2005_Company comparison Sep 08_Mirae - CH Prop NAV breakdown (Francis Chan)_Charts for HK update May 09" xfId="21964"/>
    <cellStyle name="_Sector Oct 2005_Company comparison Sep 08_Mirae - CH Prop NAV breakdown (Francis Chan)_Charts for HK update May 09_Charts Sep 09 (version 2)" xfId="21965"/>
    <cellStyle name="_Sector Oct 2005_Company comparison Sep 08_Mirae - CH Prop NAV breakdown (Francis Chan)_EC charts Sep 09" xfId="21966"/>
    <cellStyle name="_Sector Oct 2005_Company comparison Sep 08_Mirae - CH Prop NAV breakdown (Francis Chan)_EC charts Sep 09_Charts Sep 09 (version 2)" xfId="21967"/>
    <cellStyle name="_Sector Oct 2005_Company comparison Sep 08_RESIDENTIAL SUPPLY 2009-2010" xfId="21968"/>
    <cellStyle name="_Sector Oct 2005_devs vs resi index hk Dec 08" xfId="21969"/>
    <cellStyle name="_Sector Oct 2005_devs vs resi index hk Dec 08_Charts for HK update May 09" xfId="21970"/>
    <cellStyle name="_Sector Oct 2005_devs vs resi index hk Dec 08_Charts for HK update May 09_Charts Sep 09 (version 2)" xfId="21971"/>
    <cellStyle name="_Sector Oct 2005_devs vs resi index hk Dec 08_EC charts Sep 09" xfId="21972"/>
    <cellStyle name="_Sector Oct 2005_devs vs resi index hk Dec 08_EC charts Sep 09_Charts Sep 09 (version 2)" xfId="21973"/>
    <cellStyle name="_Sector Oct 2005_EC charts Oct 08" xfId="21974"/>
    <cellStyle name="_Sector Oct 2005_EC charts Oct 08_Book50" xfId="21975"/>
    <cellStyle name="_Sector Oct 2005_EC charts Oct 08_Book50_EC charts Sep 09" xfId="21976"/>
    <cellStyle name="_Sector Oct 2005_EC charts Oct 08_Book50_EC charts Sep 09_Charts Sep 09 (version 2)" xfId="21977"/>
    <cellStyle name="_Sector Oct 2005_EC charts Oct 08_EC charts Sep 09" xfId="21978"/>
    <cellStyle name="_Sector Oct 2005_EC charts Oct 08_EC charts Sep 09_Charts Sep 09 (version 2)" xfId="21979"/>
    <cellStyle name="_Sector Oct 2005_HK developers weighted average share price vs ppty market May 09" xfId="21980"/>
    <cellStyle name="_Sector Oct 2005_HK Devs Peak to trough 2010 Outlook" xfId="21981"/>
    <cellStyle name="_Sector Oct 2005_HK Property Charts Apr 09" xfId="21982"/>
    <cellStyle name="_Sector Oct 2005_HK Property data July 09" xfId="21983"/>
    <cellStyle name="_Sector Oct 2005_HK Resi 10 outlook chts" xfId="21984"/>
    <cellStyle name="_Sector Oct 2005_HONG KONG PER" xfId="21985"/>
    <cellStyle name="_Sector Oct 2005_HONG KONG PER_Book50" xfId="21986"/>
    <cellStyle name="_Sector Oct 2005_HONG KONG PER_Book50_EC charts Sep 09" xfId="21987"/>
    <cellStyle name="_Sector Oct 2005_HONG KONG PER_Book50_EC charts Sep 09_Charts Sep 09 (version 2)" xfId="21988"/>
    <cellStyle name="_Sector Oct 2005_HONG KONG PER_EC charts Sep 09" xfId="21989"/>
    <cellStyle name="_Sector Oct 2005_HONG KONG PER_EC charts Sep 09_Charts Sep 09 (version 2)" xfId="21990"/>
    <cellStyle name="_Sector Oct 2005_Mirae - CH Prop NAV breakdown (Francis Chan)" xfId="21991"/>
    <cellStyle name="_Sector Oct 2005_Mirae - CH Prop NAV breakdown (Francis Chan)_Charts for HK update May 09" xfId="21992"/>
    <cellStyle name="_Sector Oct 2005_Mirae - CH Prop NAV breakdown (Francis Chan)_Charts for HK update May 09_Charts Sep 09 (version 2)" xfId="21993"/>
    <cellStyle name="_Sector Oct 2005_Mirae - CH Prop NAV breakdown (Francis Chan)_EC charts Sep 09" xfId="21994"/>
    <cellStyle name="_Sector Oct 2005_Mirae - CH Prop NAV breakdown (Francis Chan)_EC charts Sep 09_Charts Sep 09 (version 2)" xfId="21995"/>
    <cellStyle name="_Sector Oct 2005_RESIDENTIAL SUPPLY 2009-2010" xfId="21996"/>
    <cellStyle name="_Sector report - GE Aug 05" xfId="21997"/>
    <cellStyle name="_Sector report - GE Aug 05_Book4" xfId="21998"/>
    <cellStyle name="_Sector report - GE Aug 05_Book4_Charts Sep 09 (version 2)" xfId="21999"/>
    <cellStyle name="_Sector report - GE Aug 05_CC charts and tables Oct 08" xfId="22000"/>
    <cellStyle name="_Sector report - GE Aug 05_CEIC_PROPERTY PRICE  RENTAL INDEX Feb 09 " xfId="22001"/>
    <cellStyle name="_Sector report - GE Aug 05_charts for Hk update Feb 08" xfId="22002"/>
    <cellStyle name="_Sector report - GE Aug 05_charts for Hk update Feb 08_EC charts Sep 09" xfId="22003"/>
    <cellStyle name="_Sector report - GE Aug 05_charts for Hk update Feb 08_EC charts Sep 09_Charts Sep 09 (version 2)" xfId="22004"/>
    <cellStyle name="_Sector report - GE Aug 05_charts for Hk update Feb 08_HK Property data July 09" xfId="22005"/>
    <cellStyle name="_Sector report - GE Aug 05_charts Jun 09" xfId="22006"/>
    <cellStyle name="_Sector report - GE Aug 05_charts Jun 09_Charts for HK update May 09" xfId="22007"/>
    <cellStyle name="_Sector report - GE Aug 05_charts Jun 09_Charts for HK update May 09_Charts Sep 09 (version 2)" xfId="22008"/>
    <cellStyle name="_Sector report - GE Aug 05_charts Jun 09_EC charts Sep 09" xfId="22009"/>
    <cellStyle name="_Sector report - GE Aug 05_charts Jun 09_EC charts Sep 09_Charts Sep 09 (version 2)" xfId="22010"/>
    <cellStyle name="_Sector report - GE Aug 05_Charts Sep 09 (version 2)" xfId="22011"/>
    <cellStyle name="_Sector report - GE Aug 05_China update table and charts Sep 08" xfId="22012"/>
    <cellStyle name="_Sector report - GE Aug 05_China update table and charts Sep 08_Charts Sep 09 (version 2)" xfId="22013"/>
    <cellStyle name="_Sector report - GE Aug 05_Company comparison Sep 08" xfId="22014"/>
    <cellStyle name="_Sector report - GE Aug 05_Company comparison Sep 08_Book4" xfId="22015"/>
    <cellStyle name="_Sector report - GE Aug 05_Company comparison Sep 08_Book4_Charts Sep 09 (version 2)" xfId="22016"/>
    <cellStyle name="_Sector report - GE Aug 05_Company comparison Sep 08_CC charts and tables Oct 08" xfId="22017"/>
    <cellStyle name="_Sector report - GE Aug 05_Company comparison Sep 08_CEIC_PROPERTY PRICE  RENTAL INDEX Feb 09 " xfId="22018"/>
    <cellStyle name="_Sector report - GE Aug 05_Company comparison Sep 08_charts Jun 09" xfId="22019"/>
    <cellStyle name="_Sector report - GE Aug 05_Company comparison Sep 08_charts Jun 09_Charts for HK update May 09" xfId="22020"/>
    <cellStyle name="_Sector report - GE Aug 05_Company comparison Sep 08_charts Jun 09_Charts for HK update May 09_Charts Sep 09 (version 2)" xfId="22021"/>
    <cellStyle name="_Sector report - GE Aug 05_Company comparison Sep 08_charts Jun 09_EC charts Sep 09" xfId="22022"/>
    <cellStyle name="_Sector report - GE Aug 05_Company comparison Sep 08_charts Jun 09_EC charts Sep 09_Charts Sep 09 (version 2)" xfId="22023"/>
    <cellStyle name="_Sector report - GE Aug 05_Company comparison Sep 08_Charts Sep 09 (version 2)" xfId="22024"/>
    <cellStyle name="_Sector report - GE Aug 05_Company comparison Sep 08_China update table and charts Sep 08" xfId="22025"/>
    <cellStyle name="_Sector report - GE Aug 05_Company comparison Sep 08_China update table and charts Sep 08_Charts Sep 09 (version 2)" xfId="22026"/>
    <cellStyle name="_Sector report - GE Aug 05_Company comparison Sep 08_devs vs resi index hk Dec 08" xfId="22027"/>
    <cellStyle name="_Sector report - GE Aug 05_Company comparison Sep 08_devs vs resi index hk Dec 08_Charts for HK update May 09" xfId="22028"/>
    <cellStyle name="_Sector report - GE Aug 05_Company comparison Sep 08_devs vs resi index hk Dec 08_Charts for HK update May 09_Charts Sep 09 (version 2)" xfId="22029"/>
    <cellStyle name="_Sector report - GE Aug 05_Company comparison Sep 08_devs vs resi index hk Dec 08_EC charts Sep 09" xfId="22030"/>
    <cellStyle name="_Sector report - GE Aug 05_Company comparison Sep 08_devs vs resi index hk Dec 08_EC charts Sep 09_Charts Sep 09 (version 2)" xfId="22031"/>
    <cellStyle name="_Sector report - GE Aug 05_Company comparison Sep 08_EC charts Oct 08" xfId="22032"/>
    <cellStyle name="_Sector report - GE Aug 05_Company comparison Sep 08_EC charts Oct 08_Book50" xfId="22033"/>
    <cellStyle name="_Sector report - GE Aug 05_Company comparison Sep 08_EC charts Oct 08_Book50_EC charts Sep 09" xfId="22034"/>
    <cellStyle name="_Sector report - GE Aug 05_Company comparison Sep 08_EC charts Oct 08_Book50_EC charts Sep 09_Charts Sep 09 (version 2)" xfId="22035"/>
    <cellStyle name="_Sector report - GE Aug 05_Company comparison Sep 08_EC charts Oct 08_EC charts Sep 09" xfId="22036"/>
    <cellStyle name="_Sector report - GE Aug 05_Company comparison Sep 08_EC charts Oct 08_EC charts Sep 09_Charts Sep 09 (version 2)" xfId="22037"/>
    <cellStyle name="_Sector report - GE Aug 05_Company comparison Sep 08_HK developers weighted average share price vs ppty market May 09" xfId="22038"/>
    <cellStyle name="_Sector report - GE Aug 05_Company comparison Sep 08_HK Property data July 09" xfId="22039"/>
    <cellStyle name="_Sector report - GE Aug 05_Company comparison Sep 08_HK Resi 10 outlook chts" xfId="22040"/>
    <cellStyle name="_Sector report - GE Aug 05_Company comparison Sep 08_HONG KONG PER" xfId="22041"/>
    <cellStyle name="_Sector report - GE Aug 05_Company comparison Sep 08_HONG KONG PER_Book50" xfId="22042"/>
    <cellStyle name="_Sector report - GE Aug 05_Company comparison Sep 08_HONG KONG PER_Book50_EC charts Sep 09" xfId="22043"/>
    <cellStyle name="_Sector report - GE Aug 05_Company comparison Sep 08_HONG KONG PER_Book50_EC charts Sep 09_Charts Sep 09 (version 2)" xfId="22044"/>
    <cellStyle name="_Sector report - GE Aug 05_Company comparison Sep 08_HONG KONG PER_EC charts Sep 09" xfId="22045"/>
    <cellStyle name="_Sector report - GE Aug 05_Company comparison Sep 08_HONG KONG PER_EC charts Sep 09_Charts Sep 09 (version 2)" xfId="22046"/>
    <cellStyle name="_Sector report - GE Aug 05_Company comparison Sep 08_Mirae - CH Prop NAV breakdown (Francis Chan)" xfId="22047"/>
    <cellStyle name="_Sector report - GE Aug 05_Company comparison Sep 08_Mirae - CH Prop NAV breakdown (Francis Chan)_Charts for HK update May 09" xfId="22048"/>
    <cellStyle name="_Sector report - GE Aug 05_Company comparison Sep 08_Mirae - CH Prop NAV breakdown (Francis Chan)_Charts for HK update May 09_Charts Sep 09 (version 2)" xfId="22049"/>
    <cellStyle name="_Sector report - GE Aug 05_Company comparison Sep 08_Mirae - CH Prop NAV breakdown (Francis Chan)_EC charts Sep 09" xfId="22050"/>
    <cellStyle name="_Sector report - GE Aug 05_Company comparison Sep 08_Mirae - CH Prop NAV breakdown (Francis Chan)_EC charts Sep 09_Charts Sep 09 (version 2)" xfId="22051"/>
    <cellStyle name="_Sector report - GE Aug 05_Company comparison Sep 08_RESIDENTIAL SUPPLY 2009-2010" xfId="22052"/>
    <cellStyle name="_Sector report - GE Aug 05_CORRECTIONS of EC charts Oct 08" xfId="22053"/>
    <cellStyle name="_Sector report - GE Aug 05_CORRECTIONS of EC charts Oct 08_EC charts Sep 09" xfId="22054"/>
    <cellStyle name="_Sector report - GE Aug 05_CORRECTIONS of EC charts Oct 08_EC charts Sep 09_Charts Sep 09 (version 2)" xfId="22055"/>
    <cellStyle name="_Sector report - GE Aug 05_CORRECTIONS of EC charts Oct 08_HK Property data July 09" xfId="22056"/>
    <cellStyle name="_Sector report - GE Aug 05_devs vs resi index hk Dec 08" xfId="22057"/>
    <cellStyle name="_Sector report - GE Aug 05_devs vs resi index hk Dec 08_Charts for HK update May 09" xfId="22058"/>
    <cellStyle name="_Sector report - GE Aug 05_devs vs resi index hk Dec 08_Charts for HK update May 09_Charts Sep 09 (version 2)" xfId="22059"/>
    <cellStyle name="_Sector report - GE Aug 05_devs vs resi index hk Dec 08_EC charts Sep 09" xfId="22060"/>
    <cellStyle name="_Sector report - GE Aug 05_devs vs resi index hk Dec 08_EC charts Sep 09_Charts Sep 09 (version 2)" xfId="22061"/>
    <cellStyle name="_Sector report - GE Aug 05_EC charts Oct 08" xfId="22062"/>
    <cellStyle name="_Sector report - GE Aug 05_EC charts Oct 08_1" xfId="22063"/>
    <cellStyle name="_Sector report - GE Aug 05_EC charts Oct 08_1_Book50" xfId="22064"/>
    <cellStyle name="_Sector report - GE Aug 05_EC charts Oct 08_1_Book50_EC charts Sep 09" xfId="22065"/>
    <cellStyle name="_Sector report - GE Aug 05_EC charts Oct 08_1_Book50_EC charts Sep 09_Charts Sep 09 (version 2)" xfId="22066"/>
    <cellStyle name="_Sector report - GE Aug 05_EC charts Oct 08_1_EC charts Sep 09" xfId="22067"/>
    <cellStyle name="_Sector report - GE Aug 05_EC charts Oct 08_1_EC charts Sep 09_Charts Sep 09 (version 2)" xfId="22068"/>
    <cellStyle name="_Sector report - GE Aug 05_EC charts Oct 08_EC charts Sep 09" xfId="22069"/>
    <cellStyle name="_Sector report - GE Aug 05_EC charts Oct 08_EC charts Sep 09_Charts Sep 09 (version 2)" xfId="22070"/>
    <cellStyle name="_Sector report - GE Aug 05_EC charts Oct 08_HK Property data July 09" xfId="22071"/>
    <cellStyle name="_Sector report - GE Aug 05_HK developers weighted average share price vs ppty market May 09" xfId="22072"/>
    <cellStyle name="_Sector report - GE Aug 05_HK Devs Peak to trough 2010 Outlook" xfId="22073"/>
    <cellStyle name="_Sector report - GE Aug 05_HK Property Charts Apr 09" xfId="22074"/>
    <cellStyle name="_Sector report - GE Aug 05_HK Resi 10 outlook chts" xfId="22075"/>
    <cellStyle name="_Sector report - GE Aug 05_HONG KONG PER" xfId="22076"/>
    <cellStyle name="_Sector report - GE Aug 05_HONG KONG PER_Book50" xfId="22077"/>
    <cellStyle name="_Sector report - GE Aug 05_HONG KONG PER_Book50_EC charts Sep 09" xfId="22078"/>
    <cellStyle name="_Sector report - GE Aug 05_HONG KONG PER_Book50_EC charts Sep 09_Charts Sep 09 (version 2)" xfId="22079"/>
    <cellStyle name="_Sector report - GE Aug 05_HONG KONG PER_EC charts Sep 09" xfId="22080"/>
    <cellStyle name="_Sector report - GE Aug 05_HONG KONG PER_EC charts Sep 09_Charts Sep 09 (version 2)" xfId="22081"/>
    <cellStyle name="_Sector report - GE Aug 05_Mirae - CH Prop NAV breakdown (Francis Chan)" xfId="22082"/>
    <cellStyle name="_Sector report - GE Aug 05_Mirae - CH Prop NAV breakdown (Francis Chan)_Charts for HK update May 09" xfId="22083"/>
    <cellStyle name="_Sector report - GE Aug 05_Mirae - CH Prop NAV breakdown (Francis Chan)_Charts for HK update May 09_Charts Sep 09 (version 2)" xfId="22084"/>
    <cellStyle name="_Sector report - GE Aug 05_Mirae - CH Prop NAV breakdown (Francis Chan)_EC charts Sep 09" xfId="22085"/>
    <cellStyle name="_Sector report - GE Aug 05_Mirae - CH Prop NAV breakdown (Francis Chan)_EC charts Sep 09_Charts Sep 09 (version 2)" xfId="22086"/>
    <cellStyle name="_Sector report - GE Aug 05_RESIDENTIAL SUPPLY 2009-2010" xfId="22087"/>
    <cellStyle name="_Sector report - HKL Aug 05" xfId="22088"/>
    <cellStyle name="_Sector report - HKL Aug 05_Book4" xfId="22089"/>
    <cellStyle name="_Sector report - HKL Aug 05_Book4_Charts Sep 09 (version 2)" xfId="22090"/>
    <cellStyle name="_Sector report - HKL Aug 05_CC charts and tables Oct 08" xfId="22091"/>
    <cellStyle name="_Sector report - HKL Aug 05_CEIC_PROPERTY PRICE  RENTAL INDEX Feb 09 " xfId="22092"/>
    <cellStyle name="_Sector report - HKL Aug 05_charts for Hk update Feb 08" xfId="22093"/>
    <cellStyle name="_Sector report - HKL Aug 05_charts for Hk update Feb 08_EC charts Sep 09" xfId="22094"/>
    <cellStyle name="_Sector report - HKL Aug 05_charts for Hk update Feb 08_EC charts Sep 09_Charts Sep 09 (version 2)" xfId="22095"/>
    <cellStyle name="_Sector report - HKL Aug 05_charts for Hk update Feb 08_HK Property data July 09" xfId="22096"/>
    <cellStyle name="_Sector report - HKL Aug 05_charts Jun 09" xfId="22097"/>
    <cellStyle name="_Sector report - HKL Aug 05_charts Jun 09_Charts for HK update May 09" xfId="22098"/>
    <cellStyle name="_Sector report - HKL Aug 05_charts Jun 09_Charts for HK update May 09_Charts Sep 09 (version 2)" xfId="22099"/>
    <cellStyle name="_Sector report - HKL Aug 05_charts Jun 09_EC charts Sep 09" xfId="22100"/>
    <cellStyle name="_Sector report - HKL Aug 05_charts Jun 09_EC charts Sep 09_Charts Sep 09 (version 2)" xfId="22101"/>
    <cellStyle name="_Sector report - HKL Aug 05_Charts Sep 09 (version 2)" xfId="22102"/>
    <cellStyle name="_Sector report - HKL Aug 05_China update table and charts Sep 08" xfId="22103"/>
    <cellStyle name="_Sector report - HKL Aug 05_China update table and charts Sep 08_Charts Sep 09 (version 2)" xfId="22104"/>
    <cellStyle name="_Sector report - HKL Aug 05_Company comparison Sep 08" xfId="22105"/>
    <cellStyle name="_Sector report - HKL Aug 05_Company comparison Sep 08_Book4" xfId="22106"/>
    <cellStyle name="_Sector report - HKL Aug 05_Company comparison Sep 08_Book4_Charts Sep 09 (version 2)" xfId="22107"/>
    <cellStyle name="_Sector report - HKL Aug 05_Company comparison Sep 08_CC charts and tables Oct 08" xfId="22108"/>
    <cellStyle name="_Sector report - HKL Aug 05_Company comparison Sep 08_CEIC_PROPERTY PRICE  RENTAL INDEX Feb 09 " xfId="22109"/>
    <cellStyle name="_Sector report - HKL Aug 05_Company comparison Sep 08_charts Jun 09" xfId="22110"/>
    <cellStyle name="_Sector report - HKL Aug 05_Company comparison Sep 08_charts Jun 09_Charts for HK update May 09" xfId="22111"/>
    <cellStyle name="_Sector report - HKL Aug 05_Company comparison Sep 08_charts Jun 09_Charts for HK update May 09_Charts Sep 09 (version 2)" xfId="22112"/>
    <cellStyle name="_Sector report - HKL Aug 05_Company comparison Sep 08_charts Jun 09_EC charts Sep 09" xfId="22113"/>
    <cellStyle name="_Sector report - HKL Aug 05_Company comparison Sep 08_charts Jun 09_EC charts Sep 09_Charts Sep 09 (version 2)" xfId="22114"/>
    <cellStyle name="_Sector report - HKL Aug 05_Company comparison Sep 08_Charts Sep 09 (version 2)" xfId="22115"/>
    <cellStyle name="_Sector report - HKL Aug 05_Company comparison Sep 08_China update table and charts Sep 08" xfId="22116"/>
    <cellStyle name="_Sector report - HKL Aug 05_Company comparison Sep 08_China update table and charts Sep 08_Charts Sep 09 (version 2)" xfId="22117"/>
    <cellStyle name="_Sector report - HKL Aug 05_Company comparison Sep 08_devs vs resi index hk Dec 08" xfId="22118"/>
    <cellStyle name="_Sector report - HKL Aug 05_Company comparison Sep 08_devs vs resi index hk Dec 08_Charts for HK update May 09" xfId="22119"/>
    <cellStyle name="_Sector report - HKL Aug 05_Company comparison Sep 08_devs vs resi index hk Dec 08_Charts for HK update May 09_Charts Sep 09 (version 2)" xfId="22120"/>
    <cellStyle name="_Sector report - HKL Aug 05_Company comparison Sep 08_devs vs resi index hk Dec 08_EC charts Sep 09" xfId="22121"/>
    <cellStyle name="_Sector report - HKL Aug 05_Company comparison Sep 08_devs vs resi index hk Dec 08_EC charts Sep 09_Charts Sep 09 (version 2)" xfId="22122"/>
    <cellStyle name="_Sector report - HKL Aug 05_Company comparison Sep 08_EC charts Oct 08" xfId="22123"/>
    <cellStyle name="_Sector report - HKL Aug 05_Company comparison Sep 08_EC charts Oct 08_Book50" xfId="22124"/>
    <cellStyle name="_Sector report - HKL Aug 05_Company comparison Sep 08_EC charts Oct 08_Book50_EC charts Sep 09" xfId="22125"/>
    <cellStyle name="_Sector report - HKL Aug 05_Company comparison Sep 08_EC charts Oct 08_Book50_EC charts Sep 09_Charts Sep 09 (version 2)" xfId="22126"/>
    <cellStyle name="_Sector report - HKL Aug 05_Company comparison Sep 08_EC charts Oct 08_EC charts Sep 09" xfId="22127"/>
    <cellStyle name="_Sector report - HKL Aug 05_Company comparison Sep 08_EC charts Oct 08_EC charts Sep 09_Charts Sep 09 (version 2)" xfId="22128"/>
    <cellStyle name="_Sector report - HKL Aug 05_Company comparison Sep 08_HK developers weighted average share price vs ppty market May 09" xfId="22129"/>
    <cellStyle name="_Sector report - HKL Aug 05_Company comparison Sep 08_HK Property data July 09" xfId="22130"/>
    <cellStyle name="_Sector report - HKL Aug 05_Company comparison Sep 08_HK Resi 10 outlook chts" xfId="22131"/>
    <cellStyle name="_Sector report - HKL Aug 05_Company comparison Sep 08_HONG KONG PER" xfId="22132"/>
    <cellStyle name="_Sector report - HKL Aug 05_Company comparison Sep 08_HONG KONG PER_Book50" xfId="22133"/>
    <cellStyle name="_Sector report - HKL Aug 05_Company comparison Sep 08_HONG KONG PER_Book50_EC charts Sep 09" xfId="22134"/>
    <cellStyle name="_Sector report - HKL Aug 05_Company comparison Sep 08_HONG KONG PER_Book50_EC charts Sep 09_Charts Sep 09 (version 2)" xfId="22135"/>
    <cellStyle name="_Sector report - HKL Aug 05_Company comparison Sep 08_HONG KONG PER_EC charts Sep 09" xfId="22136"/>
    <cellStyle name="_Sector report - HKL Aug 05_Company comparison Sep 08_HONG KONG PER_EC charts Sep 09_Charts Sep 09 (version 2)" xfId="22137"/>
    <cellStyle name="_Sector report - HKL Aug 05_Company comparison Sep 08_Mirae - CH Prop NAV breakdown (Francis Chan)" xfId="22138"/>
    <cellStyle name="_Sector report - HKL Aug 05_Company comparison Sep 08_Mirae - CH Prop NAV breakdown (Francis Chan)_Charts for HK update May 09" xfId="22139"/>
    <cellStyle name="_Sector report - HKL Aug 05_Company comparison Sep 08_Mirae - CH Prop NAV breakdown (Francis Chan)_Charts for HK update May 09_Charts Sep 09 (version 2)" xfId="22140"/>
    <cellStyle name="_Sector report - HKL Aug 05_Company comparison Sep 08_Mirae - CH Prop NAV breakdown (Francis Chan)_EC charts Sep 09" xfId="22141"/>
    <cellStyle name="_Sector report - HKL Aug 05_Company comparison Sep 08_Mirae - CH Prop NAV breakdown (Francis Chan)_EC charts Sep 09_Charts Sep 09 (version 2)" xfId="22142"/>
    <cellStyle name="_Sector report - HKL Aug 05_Company comparison Sep 08_RESIDENTIAL SUPPLY 2009-2010" xfId="22143"/>
    <cellStyle name="_Sector report - HKL Aug 05_CORRECTIONS of EC charts Oct 08" xfId="22144"/>
    <cellStyle name="_Sector report - HKL Aug 05_CORRECTIONS of EC charts Oct 08_EC charts Sep 09" xfId="22145"/>
    <cellStyle name="_Sector report - Hysan Aug 05" xfId="22146"/>
    <cellStyle name="_Sector report Aug 05" xfId="22147"/>
    <cellStyle name="_Sector Report Chart_Dec05 2" xfId="22148"/>
    <cellStyle name="_Sector Report Chart_Dec05_Chin Steel Industry_Master output 2" xfId="22149"/>
    <cellStyle name="_Sector Report Chart_Dec05_China_Steel_Industry_Master_Sheet 2" xfId="22150"/>
    <cellStyle name="_Sector Report Chart_Dec05_Copy of China Steel Industry data (hubert) 2" xfId="22151"/>
    <cellStyle name="_Sector Report Chart_Dec05_Copy of China steel output 2" xfId="22152"/>
    <cellStyle name="_Sector Report Chart_Dec05_monthly Crude by L&amp;M mills-1 2" xfId="22153"/>
    <cellStyle name="_Sector Report Chart_Dec05_monthly imp raw data-1 2" xfId="22154"/>
    <cellStyle name="_Sector Report Chart_Dec05_Monthly products by L&amp;M mills-1 2" xfId="22155"/>
    <cellStyle name="_Sector Report Chart_Dec05_steel category monthly outp-1 2" xfId="22156"/>
    <cellStyle name="_Sector Report Chart_Dec05_steel master file backup 2" xfId="22157"/>
    <cellStyle name="_Selldown-20080808" xfId="22158"/>
    <cellStyle name="_Selldown-20080808 2" xfId="22159"/>
    <cellStyle name="_Sheet1 2" xfId="22160"/>
    <cellStyle name="_SHINHAN" xfId="22161"/>
    <cellStyle name="_SHINHAN.XLS Chart 8" xfId="22162"/>
    <cellStyle name="_SHINHAN.XLS Chart 8_ASII - Master Model Final" xfId="22163"/>
    <cellStyle name="_SHINHAN.XLS Chart 8_ASII - Master Model Final 2" xfId="22164"/>
    <cellStyle name="_SHINHAN_ASII - Master Model Final" xfId="22165"/>
    <cellStyle name="_SHINHAN_ASII - Master Model Final 2" xfId="22166"/>
    <cellStyle name="_SHINHANM.XLS Chart 3" xfId="22167"/>
    <cellStyle name="_SHINHANM.XLS Chart 3_ASII - Master Model Final" xfId="22168"/>
    <cellStyle name="_SHINHANM.XLS Chart 3_ASII - Master Model Final 2" xfId="22169"/>
    <cellStyle name="_sino_22 greenlight" xfId="22170"/>
    <cellStyle name="_SP Setia EM" xfId="22171"/>
    <cellStyle name="_SP Setia EM 2" xfId="22172"/>
    <cellStyle name="_SP Setia EM iQ 4.2" xfId="22173"/>
    <cellStyle name="_SP Setia EM iQ 4.2 2" xfId="22174"/>
    <cellStyle name="_Ta Ann-Model" xfId="22175"/>
    <cellStyle name="_Ta Ann-Model 2" xfId="22176"/>
    <cellStyle name="_Ta Ann-Model-20070205" xfId="22177"/>
    <cellStyle name="_Ta Ann-Model-20070205 2" xfId="22178"/>
    <cellStyle name="_Taipei affordability (2)" xfId="22179"/>
    <cellStyle name="_Taipei affordability (2)_Turnkey Charts and Tables Aug 07" xfId="22180"/>
    <cellStyle name="_TPG - HK property data Oct 07" xfId="22181"/>
    <cellStyle name="_TWP2" xfId="22182"/>
    <cellStyle name="_TWP2 2" xfId="22183"/>
    <cellStyle name="_VNTModellastestimates" xfId="22184"/>
    <cellStyle name="_VNTModellastestimates 2" xfId="22185"/>
    <cellStyle name="_VNTModellastestimates_Book1" xfId="22186"/>
    <cellStyle name="_VNTModellastestimates_Book1 2" xfId="22187"/>
    <cellStyle name="_VNTModellastestimates_Book28" xfId="22188"/>
    <cellStyle name="_VNTModellastestimates_Book28 2" xfId="22189"/>
    <cellStyle name="_VNTModellastestimates_SP Setia EM" xfId="22190"/>
    <cellStyle name="_VNTModellastestimates_SP Setia EM 2" xfId="22191"/>
    <cellStyle name="_VNTModellastestimates_SP Setia EM iQ 4.2" xfId="22192"/>
    <cellStyle name="_VNTModellastestimates_SP Setia EM iQ 4.2 2" xfId="22193"/>
    <cellStyle name="_WTKH-Model" xfId="22194"/>
    <cellStyle name="_WTKH-Model 2" xfId="22195"/>
    <cellStyle name="_WTKH-Model-200703" xfId="22196"/>
    <cellStyle name="_WTKH-Model-200703 2" xfId="22197"/>
    <cellStyle name="=C:\WINNT35\SYSTEM32\COMMAND.COM" xfId="22198"/>
    <cellStyle name="§Q\?1@ 2 2" xfId="22199"/>
    <cellStyle name="§Q\?1@ 3" xfId="22200"/>
    <cellStyle name="§Q\?1@ 4" xfId="22201"/>
    <cellStyle name="1992 2" xfId="22202"/>
    <cellStyle name="2_Office transaction vol &amp; considerations" xfId="22203"/>
    <cellStyle name="20% - Accent2 2 2" xfId="22204"/>
    <cellStyle name="20% - Accent3 2 2" xfId="22205"/>
    <cellStyle name="20% - Accent4 2 2" xfId="22206"/>
    <cellStyle name="20% - Accent6 2 2" xfId="22207"/>
    <cellStyle name="20% - Ênfase1" xfId="22208"/>
    <cellStyle name="20% - Ênfase2" xfId="22209"/>
    <cellStyle name="20% - Ênfase3" xfId="22210"/>
    <cellStyle name="20% - Ênfase4" xfId="22211"/>
    <cellStyle name="20% - Ênfase5" xfId="22212"/>
    <cellStyle name="20% - Ênfase6" xfId="22213"/>
    <cellStyle name="20% - Énfasis1" xfId="22214"/>
    <cellStyle name="20% - Énfasis2" xfId="22215"/>
    <cellStyle name="20% - Énfasis3" xfId="22216"/>
    <cellStyle name="20% - Énfasis4" xfId="22217"/>
    <cellStyle name="20% - Énfasis5" xfId="22218"/>
    <cellStyle name="20% - Énfasis6" xfId="22219"/>
    <cellStyle name="40% - Accent2 2 2" xfId="22220"/>
    <cellStyle name="40% - Accent3 2 2" xfId="22221"/>
    <cellStyle name="40% - Accent4 2 2" xfId="22222"/>
    <cellStyle name="40% - Accent6 2 2" xfId="22223"/>
    <cellStyle name="40% - Ênfase1" xfId="22224"/>
    <cellStyle name="40% - Ênfase2" xfId="22225"/>
    <cellStyle name="40% - Ênfase3" xfId="22226"/>
    <cellStyle name="40% - Ênfase4" xfId="22227"/>
    <cellStyle name="40% - Ênfase5" xfId="22228"/>
    <cellStyle name="40% - Ênfase6" xfId="22229"/>
    <cellStyle name="40% - Énfasis1" xfId="22230"/>
    <cellStyle name="40% - Énfasis2" xfId="22231"/>
    <cellStyle name="40% - Énfasis3" xfId="22232"/>
    <cellStyle name="40% - Énfasis4" xfId="22233"/>
    <cellStyle name="40% - Énfasis5" xfId="22234"/>
    <cellStyle name="40% - Énfasis6" xfId="22235"/>
    <cellStyle name="60% - Accent1 2 2" xfId="22236"/>
    <cellStyle name="60% - Accent2 2 2" xfId="22237"/>
    <cellStyle name="60% - Accent3 2 2" xfId="22238"/>
    <cellStyle name="60% - Accent4 2 2" xfId="22239"/>
    <cellStyle name="60% - Accent5 2 2" xfId="22240"/>
    <cellStyle name="60% - Accent6 2 2" xfId="22241"/>
    <cellStyle name="60% - Ênfase1" xfId="22242"/>
    <cellStyle name="60% - Ênfase2" xfId="22243"/>
    <cellStyle name="60% - Ênfase3" xfId="22244"/>
    <cellStyle name="60% - Ênfase4" xfId="22245"/>
    <cellStyle name="60% - Ênfase5" xfId="22246"/>
    <cellStyle name="60% - Ênfase6" xfId="22247"/>
    <cellStyle name="60% - Énfasis1" xfId="22248"/>
    <cellStyle name="60% - Énfasis2" xfId="22249"/>
    <cellStyle name="60% - Énfasis3" xfId="22250"/>
    <cellStyle name="60% - Énfasis4" xfId="22251"/>
    <cellStyle name="60% - Énfasis5" xfId="22252"/>
    <cellStyle name="60% - Énfasis6" xfId="22253"/>
    <cellStyle name="Accent1 2 2" xfId="22254"/>
    <cellStyle name="Accent2 2 2" xfId="22255"/>
    <cellStyle name="Accent3 2 2" xfId="22256"/>
    <cellStyle name="Accent4 2 2" xfId="22257"/>
    <cellStyle name="Accent6 2 2" xfId="22258"/>
    <cellStyle name="Account[0]" xfId="22259"/>
    <cellStyle name="Account[1]" xfId="22260"/>
    <cellStyle name="Account[2]" xfId="22261"/>
    <cellStyle name="Account[3]" xfId="22262"/>
    <cellStyle name="AFE 2" xfId="22263"/>
    <cellStyle name="AFE 2 2" xfId="22264"/>
    <cellStyle name="Aggregate" xfId="22265"/>
    <cellStyle name="Analyst Name 2" xfId="22266"/>
    <cellStyle name="Analyst_Data" xfId="22267"/>
    <cellStyle name="BALANCE VER" xfId="22268"/>
    <cellStyle name="BB_Date_d-mmm-yy" xfId="22269"/>
    <cellStyle name="Black Decimal" xfId="22270"/>
    <cellStyle name="Black Number" xfId="22271"/>
    <cellStyle name="black percentage" xfId="22272"/>
    <cellStyle name="Blank 2" xfId="22273"/>
    <cellStyle name="Blue Text_Argentina" xfId="22274"/>
    <cellStyle name="Bol-Data" xfId="22275"/>
    <cellStyle name="Boletim" xfId="22276"/>
    <cellStyle name="Bom" xfId="22277"/>
    <cellStyle name="Buena" xfId="22278"/>
    <cellStyle name="Cálculo" xfId="22279"/>
    <cellStyle name="Celda de comprobación" xfId="22280"/>
    <cellStyle name="Celda vinculada" xfId="22281"/>
    <cellStyle name="Célula de Verificação" xfId="22282"/>
    <cellStyle name="Célula Vinculada" xfId="22283"/>
    <cellStyle name="Chart Box" xfId="22284"/>
    <cellStyle name="Chart Title 2" xfId="22285"/>
    <cellStyle name="Chinese" xfId="22286"/>
    <cellStyle name="ColHeading 2 2" xfId="22287"/>
    <cellStyle name="ColHeading_Book2" xfId="22288"/>
    <cellStyle name="Comma  - Style1 5" xfId="22289"/>
    <cellStyle name="Comma  - Style1 6" xfId="22290"/>
    <cellStyle name="Comma  - Style2 5" xfId="22291"/>
    <cellStyle name="Comma  - Style2 6" xfId="22292"/>
    <cellStyle name="Comma  - Style3 5" xfId="22293"/>
    <cellStyle name="Comma  - Style3 6" xfId="22294"/>
    <cellStyle name="Comma  - Style4 5" xfId="22295"/>
    <cellStyle name="Comma  - Style4 6" xfId="22296"/>
    <cellStyle name="Comma  - Style5 5" xfId="22297"/>
    <cellStyle name="Comma  - Style5 6" xfId="22298"/>
    <cellStyle name="Comma  - Style6 2 2" xfId="22299"/>
    <cellStyle name="Comma  - Style6 5" xfId="22300"/>
    <cellStyle name="Comma  - Style6 6" xfId="22301"/>
    <cellStyle name="Comma  - Style7 2 2" xfId="22302"/>
    <cellStyle name="Comma  - Style7 5" xfId="22303"/>
    <cellStyle name="Comma  - Style7 6" xfId="22304"/>
    <cellStyle name="Comma  - Style8 2 2" xfId="22305"/>
    <cellStyle name="Comma  - Style8 2 3" xfId="22306"/>
    <cellStyle name="Comma [0] 2" xfId="22307"/>
    <cellStyle name="Comma [0] 2 2" xfId="22308"/>
    <cellStyle name="Comma [0] 2 2 2" xfId="22309"/>
    <cellStyle name="Comma [0] 2 3" xfId="22310"/>
    <cellStyle name="Comma [0] 3" xfId="22311"/>
    <cellStyle name="Comma [00]" xfId="22312"/>
    <cellStyle name="Comma [00] 2" xfId="22313"/>
    <cellStyle name="Comma 10 2" xfId="22314"/>
    <cellStyle name="Comma 14 2" xfId="22315"/>
    <cellStyle name="Comma 2 2 2" xfId="22316"/>
    <cellStyle name="Comma 2 2 3" xfId="22317"/>
    <cellStyle name="Comma 2 3 2" xfId="22318"/>
    <cellStyle name="Comma 3 2 2" xfId="22319"/>
    <cellStyle name="Comma 4 2 2" xfId="22320"/>
    <cellStyle name="Comma 4 4" xfId="22321"/>
    <cellStyle name="Comma 4 5" xfId="22322"/>
    <cellStyle name="Comma 5 2" xfId="22323"/>
    <cellStyle name="Comma 5 2 2" xfId="22324"/>
    <cellStyle name="Comma 5 3" xfId="22325"/>
    <cellStyle name="Comma 6 2" xfId="22326"/>
    <cellStyle name="Comma 6 3" xfId="22327"/>
    <cellStyle name="Comma 7 2" xfId="22328"/>
    <cellStyle name="Comma 7 3" xfId="22329"/>
    <cellStyle name="Comma 8 2" xfId="22330"/>
    <cellStyle name="Comma 8 3" xfId="22331"/>
    <cellStyle name="Comma 9 2" xfId="22332"/>
    <cellStyle name="Comma 9 3" xfId="22333"/>
    <cellStyle name="Comma.1" xfId="22334"/>
    <cellStyle name="Comma.2" xfId="22335"/>
    <cellStyle name="Comma0 - Style1 2" xfId="22336"/>
    <cellStyle name="Comma1 - Style2 2" xfId="22337"/>
    <cellStyle name="Company Name" xfId="22338"/>
    <cellStyle name="CurRatio 2 2" xfId="22339"/>
    <cellStyle name="CurRatio 2 3" xfId="22340"/>
    <cellStyle name="CurRatio 4" xfId="22341"/>
    <cellStyle name="CurRatio 5" xfId="22342"/>
    <cellStyle name="Curren - Style7" xfId="22343"/>
    <cellStyle name="Curren - Style8" xfId="22344"/>
    <cellStyle name="Currency 3" xfId="22345"/>
    <cellStyle name="Currency 4" xfId="22346"/>
    <cellStyle name="Currency0 3" xfId="22347"/>
    <cellStyle name="Currsmall 2" xfId="22348"/>
    <cellStyle name="dark shade 2 2" xfId="22349"/>
    <cellStyle name="dark shade 3" xfId="22350"/>
    <cellStyle name="Date 3" xfId="22351"/>
    <cellStyle name="Date 4" xfId="22352"/>
    <cellStyle name="DateA 2" xfId="22353"/>
    <cellStyle name="DateA 2 2" xfId="22354"/>
    <cellStyle name="DateF 2" xfId="22355"/>
    <cellStyle name="DateF 2 2" xfId="22356"/>
    <cellStyle name="Detail" xfId="22357"/>
    <cellStyle name="Detail 2" xfId="22358"/>
    <cellStyle name="Difference" xfId="22359"/>
    <cellStyle name="Encabezado 4" xfId="22360"/>
    <cellStyle name="Ênfase1" xfId="22361"/>
    <cellStyle name="Ênfase2" xfId="22362"/>
    <cellStyle name="Ênfase3" xfId="22363"/>
    <cellStyle name="Ênfase4" xfId="22364"/>
    <cellStyle name="Ênfase5" xfId="22365"/>
    <cellStyle name="Ênfase6" xfId="22366"/>
    <cellStyle name="Énfasis1" xfId="22367"/>
    <cellStyle name="Énfasis2" xfId="22368"/>
    <cellStyle name="Énfasis3" xfId="22369"/>
    <cellStyle name="Énfasis4" xfId="22370"/>
    <cellStyle name="Énfasis5" xfId="22371"/>
    <cellStyle name="Énfasis6" xfId="22372"/>
    <cellStyle name="EnterpriseTable[1]" xfId="22373"/>
    <cellStyle name="Entrada" xfId="22374"/>
    <cellStyle name="ERROR" xfId="22375"/>
    <cellStyle name="estimates" xfId="22376"/>
    <cellStyle name="Figures[0]" xfId="22377"/>
    <cellStyle name="Financials Bold 2" xfId="22378"/>
    <cellStyle name="Fixlong 2" xfId="22379"/>
    <cellStyle name="GroupHeader" xfId="22380"/>
    <cellStyle name="Head - Style2 2" xfId="22381"/>
    <cellStyle name="Heading 4 2 2" xfId="22382"/>
    <cellStyle name="Hyperlink 3 2" xfId="22383"/>
    <cellStyle name="Hyperlink 3 3" xfId="22384"/>
    <cellStyle name="Hyperlink seguido 2" xfId="22385"/>
    <cellStyle name="Incorrecto" xfId="22386"/>
    <cellStyle name="Incorreto" xfId="22387"/>
    <cellStyle name="InfoMain" xfId="22388"/>
    <cellStyle name="Input Other Sheet 2" xfId="22389"/>
    <cellStyle name="Input Transfer Same Sheet 2" xfId="22390"/>
    <cellStyle name="input1" xfId="22391"/>
    <cellStyle name="input2" xfId="22392"/>
    <cellStyle name="Integer 2 2" xfId="22393"/>
    <cellStyle name="Integer 2 3" xfId="22394"/>
    <cellStyle name="Integer 3" xfId="22395"/>
    <cellStyle name="Italic Sub" xfId="22396"/>
    <cellStyle name="Item 2 2" xfId="22397"/>
    <cellStyle name="Item 2 3" xfId="22398"/>
    <cellStyle name="Item 4" xfId="22399"/>
    <cellStyle name="Item 5" xfId="22400"/>
    <cellStyle name="Komma [0]_laroux" xfId="22401"/>
    <cellStyle name="Komma_laroux" xfId="22402"/>
    <cellStyle name="Label_Manual" xfId="22403"/>
    <cellStyle name="mmm" xfId="22404"/>
    <cellStyle name="Neutra" xfId="22405"/>
    <cellStyle name="new" xfId="22406"/>
    <cellStyle name="no comma" xfId="22407"/>
    <cellStyle name="Normal (no,)" xfId="22408"/>
    <cellStyle name="Normal (no,) 2" xfId="22409"/>
    <cellStyle name="Normal 1" xfId="22410"/>
    <cellStyle name="Normal 1 2" xfId="22411"/>
    <cellStyle name="Normal 2 2 2 2" xfId="22412"/>
    <cellStyle name="Normal 2 3 2" xfId="22413"/>
    <cellStyle name="Normal 2 3 3" xfId="22414"/>
    <cellStyle name="Normal 3 2 2" xfId="22415"/>
    <cellStyle name="Normal 4 2 2" xfId="22416"/>
    <cellStyle name="Normal Bold 2" xfId="22417"/>
    <cellStyle name="Normal 182" xfId="22418"/>
    <cellStyle name="Percent 120" xfId="22419"/>
    <cellStyle name="Normal 183" xfId="22420"/>
    <cellStyle name="Normal 3 5" xfId="22421"/>
    <cellStyle name="Normal_big three data re" xfId="22422"/>
    <cellStyle name="Percent 3 7" xfId="22423"/>
    <cellStyle name="Normal 184" xfId="22424"/>
  </cellStyles>
  <dxfs count="195">
    <dxf>
      <font>
        <color rgb="FF0000FF"/>
      </font>
    </dxf>
    <dxf>
      <font>
        <color rgb="FF000000"/>
      </font>
    </dxf>
    <dxf>
      <font>
        <color rgb="FFFF0000"/>
      </font>
    </dxf>
    <dxf>
      <numFmt numFmtId="189" formatCode="#,##0.000"/>
    </dxf>
    <dxf>
      <numFmt numFmtId="189" formatCode="#,##0.000"/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</dxf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Ronald Keung</author>
    <author>Yeung, Perry</author>
    <author>A satisfied Microsoft Office user</author>
    <author>A satisfied Microsoft Office User</author>
    <author>Su, Lin</author>
    <author>Chen, Tiffany-A</author>
    <author>Timothy Ross (x8185)</author>
    <author>Wong, Ian</author>
    <author>horthda</author>
    <author>rosst</author>
    <author>Yu, Qian</author>
    <author>Dai, Cassie</author>
    <author>Baiding Rong</author>
    <author>Eric Lin</author>
    <author>Lin, Eric-P</author>
    <author>Lau, Ryan-ZA</author>
    <author>Huang, Wei-ZA-XT</author>
    <author>kwanth</author>
    <author>Yip, Samuel</author>
  </authors>
  <commentList>
    <comment ref="V3" authorId="0" shapeId="0">
      <text>
        <t>Operating stats of Dragonair consolidated from 1st October 2006</t>
      </text>
    </comment>
    <comment ref="W3" authorId="0" shapeId="0">
      <text>
        <t>CX+KA combined</t>
      </text>
    </comment>
    <comment ref="B4" authorId="1" shapeId="0">
      <text>
        <t>Yeung, Perry:
Including the weight of passengers</t>
      </text>
    </comment>
    <comment ref="K4" authorId="2" shapeId="0">
      <text>
        <t>page 76,
Dec 1995 annual report</t>
      </text>
    </comment>
    <comment ref="C5" authorId="3" shapeId="0">
      <text>
        <t>-5.3% in H1</t>
      </text>
    </comment>
    <comment ref="K22" authorId="2" shapeId="0">
      <text>
        <t>page 76,
Dec 1995 annual report</t>
      </text>
    </comment>
    <comment ref="K24" authorId="2" shapeId="0">
      <text>
        <t>page 76,
Dec 1995 annual report</t>
      </text>
    </comment>
    <comment ref="L25" authorId="2" shapeId="0">
      <text>
        <t xml:space="preserve">14.2% in H1
</t>
      </text>
    </comment>
    <comment ref="L28" authorId="2" shapeId="0">
      <text>
        <t>72.2% in H1</t>
      </text>
    </comment>
    <comment ref="W30" authorId="0" shapeId="0">
      <text>
        <t>Underlying yields</t>
      </text>
    </comment>
    <comment ref="X30" authorId="0" shapeId="0">
      <text>
        <t xml:space="preserve">Including fuel surcharge </t>
      </text>
    </comment>
    <comment ref="Y30" authorId="0" shapeId="0">
      <text>
        <t xml:space="preserve">Including fuel surcharge </t>
      </text>
    </comment>
    <comment ref="K54" authorId="2" shapeId="0">
      <text>
        <t>page 76,
Dec 1995 annual report</t>
      </text>
    </comment>
    <comment ref="L55" authorId="2" shapeId="0">
      <text>
        <t>10.8% in H1</t>
      </text>
    </comment>
    <comment ref="V57" authorId="1" shapeId="0">
      <text>
        <t>Yeung, Perry:
Including Dragonair from 1 Oct 2006</t>
      </text>
    </comment>
    <comment ref="X57" authorId="0" shapeId="0">
      <text>
        <t>Including fuel surcharge from 2008 (based on 2008AR when fuel surcharge was reclassified)</t>
      </text>
    </comment>
    <comment ref="L58" authorId="2" shapeId="0">
      <text>
        <t>supply restriction pushing yields up
but 16 deliveries
+ new york = 7% of growth
Also $ weakened a lot, especially against yen
-4.3% in H1</t>
      </text>
    </comment>
    <comment ref="B69" authorId="1" shapeId="0">
      <text>
        <t>Yeung, Perry:
https://www.iata.org/en/publications/economics/fuel-monitor/</t>
      </text>
    </comment>
    <comment ref="B70" authorId="2" shapeId="0">
      <text>
        <t>Number of staff at group level</t>
      </text>
    </comment>
    <comment ref="AE70" authorId="4" shapeId="0">
      <text>
        <t>Su, Lin:
33600 worldwide
25800 in HK</t>
      </text>
    </comment>
    <comment ref="DQ70" authorId="5" shapeId="0">
      <text>
        <t>Chen, Tiffany-A:
Cathay 22000 + Dragon 3200. At CX group level employed &gt;32200)</t>
      </text>
    </comment>
    <comment ref="J71" authorId="2" shapeId="0">
      <text>
        <t>page 76,
Dec 1995 annual report</t>
      </text>
    </comment>
    <comment ref="K71" authorId="2" shapeId="0">
      <text>
        <t>page 76,
Dec 1995 annual report</t>
      </text>
    </comment>
    <comment ref="N71" authorId="2" shapeId="0">
      <text>
        <t>870 redundancies + sinking lid policy on a further 1,000</t>
      </text>
    </comment>
    <comment ref="O71" authorId="2" shapeId="0">
      <text>
        <t>sinking lid policy on 1,000 employees</t>
      </text>
    </comment>
    <comment ref="P71" authorId="6" shapeId="0">
      <text>
        <t>hiring 1061 cabin attendants</t>
      </text>
    </comment>
    <comment ref="V71" authorId="1" shapeId="0">
      <text>
        <t>Yeung, Perry:
Including Dragon Air</t>
      </text>
    </comment>
    <comment ref="B79" authorId="1" shapeId="0">
      <text>
        <t>Yeung, Perry:
https://www.iata.org/en/publications/economics/fuel-monitor/</t>
      </text>
    </comment>
    <comment ref="AA90" authorId="1" shapeId="0">
      <text>
        <t>Yeung, Perry:
Restated in 2012 annual report</t>
      </text>
    </comment>
    <comment ref="AJ90" authorId="7" shapeId="0">
      <text>
        <t>Wong, Ian:
Inc hedges</t>
      </text>
    </comment>
    <comment ref="CC111" authorId="8" shapeId="0">
      <text>
        <t xml:space="preserve">horthda:
These are now distorted by accounting change in 2005
</t>
      </text>
    </comment>
    <comment ref="C112" authorId="2" shapeId="0">
      <text>
        <t>Page 14, FY93 Book</t>
      </text>
    </comment>
    <comment ref="D112" authorId="2" shapeId="0">
      <text>
        <t>Page 14, FY93 Book</t>
      </text>
    </comment>
    <comment ref="E112" authorId="2" shapeId="0">
      <text>
        <t>Page 14, FY93 Book</t>
      </text>
    </comment>
    <comment ref="F112" authorId="2" shapeId="0">
      <text>
        <t>Page 14, FY93 Book</t>
      </text>
    </comment>
    <comment ref="G112" authorId="2" shapeId="0">
      <text>
        <t>Page 14, FY93 Book</t>
      </text>
    </comment>
    <comment ref="K112" authorId="2" shapeId="0">
      <text>
        <t>page 45,
Dec 1995 annual report</t>
      </text>
    </comment>
    <comment ref="C114" authorId="2" shapeId="0">
      <text>
        <t>Page 14, FY93 Book</t>
      </text>
    </comment>
    <comment ref="D114" authorId="2" shapeId="0">
      <text>
        <t>Page 14, FY93 Book</t>
      </text>
    </comment>
    <comment ref="E114" authorId="2" shapeId="0">
      <text>
        <t>Page 14, FY93 Book</t>
      </text>
    </comment>
    <comment ref="F114" authorId="2" shapeId="0">
      <text>
        <t>Page 14, FY93 Book</t>
      </text>
    </comment>
    <comment ref="G114" authorId="2" shapeId="0">
      <text>
        <t>Page 14, FY93 Book</t>
      </text>
    </comment>
    <comment ref="K114" authorId="2" shapeId="0">
      <text>
        <t>page 45,
Dec 1995 annual report</t>
      </text>
    </comment>
    <comment ref="K116" authorId="2" shapeId="0">
      <text>
        <t>page 45,
Dec 1995 annual report</t>
      </text>
    </comment>
    <comment ref="O116" authorId="2" shapeId="0">
      <text>
        <t>8 mnths of impact of dry lease of five B747-300s to PIA for 2 yrs from 1 May 1999 @ US$300,000/month</t>
      </text>
    </comment>
    <comment ref="EQ118" authorId="7" shapeId="0">
      <text>
        <t>Wong, Ian:
Cons bout HK$58bn</t>
      </text>
    </comment>
    <comment ref="K121" authorId="2" shapeId="0">
      <text>
        <t>page 45,
Dec 1995 annual report</t>
      </text>
    </comment>
    <comment ref="K122" authorId="2" shapeId="0">
      <text>
        <t>page 45,
Dec 1995 annual report</t>
      </text>
    </comment>
    <comment ref="AJ122" authorId="7" shapeId="0">
      <text>
        <t>Wong, Ian:
Of which HK$3bn is hedging losses, 220m relates to Q1-Q221 overhedge volumes</t>
      </text>
    </comment>
    <comment ref="EO122" authorId="7" shapeId="0">
      <text>
        <t>Wong, Ian:
Inc HK$5bn of hedging losses</t>
      </text>
    </comment>
    <comment ref="EP122" authorId="7" shapeId="0">
      <text>
        <t>Wong, Ian:
Inc HK$2.5bn of hedging losses</t>
      </text>
    </comment>
    <comment ref="ET122" authorId="7" shapeId="0">
      <text>
        <t>Wong, Ian:
Inc HK$2.5bn of hedging losses</t>
      </text>
    </comment>
    <comment ref="K123" authorId="2" shapeId="0">
      <text>
        <t>page 45,
Dec 1995 annual report</t>
      </text>
    </comment>
    <comment ref="K124" authorId="2" shapeId="0">
      <text>
        <t>page 45,
Dec 1995 annual report</t>
      </text>
    </comment>
    <comment ref="K125" authorId="2" shapeId="0">
      <text>
        <t>page 45,
Dec 1995 annual report</t>
      </text>
    </comment>
    <comment ref="P125" authorId="6" shapeId="0">
      <text>
        <t>commissions cut from 9% - 7%</t>
      </text>
    </comment>
    <comment ref="S125" authorId="9" shapeId="0">
      <text>
        <t>commissions for HKG agents cut from 7% to 5% from Q2</t>
      </text>
    </comment>
    <comment ref="AK125" authorId="1" shapeId="0">
      <text>
        <t>Yeung, Perry:
No longer report comission charges from 2021A</t>
      </text>
    </comment>
    <comment ref="Q126" authorId="9" shapeId="0">
      <text>
        <t>Cost of wet-lease a/c HK$220 m)</t>
      </text>
    </comment>
    <comment ref="AE126" authorId="5" shapeId="0">
      <text>
        <t>Chen, Tiffany-A:
A fine of Euros 57.12m imposed in 2010 was refunded in early Feb-16, use EUR:HKD of 8.6</t>
      </text>
    </comment>
    <comment ref="K127" authorId="2" shapeId="0">
      <text>
        <t>page 45,
Dec 1995 annual report</t>
      </text>
    </comment>
    <comment ref="D128" authorId="2" shapeId="0">
      <text>
        <t>Note 4, Page 24, FY89 Book</t>
      </text>
    </comment>
    <comment ref="E128" authorId="2" shapeId="0">
      <text>
        <t>Note 4, Page 24, FY89 Book</t>
      </text>
    </comment>
    <comment ref="F128" authorId="2" shapeId="0">
      <text>
        <t>Note 4, Page 38, FY91 Book</t>
      </text>
    </comment>
    <comment ref="G128" authorId="2" shapeId="0">
      <text>
        <t>Note 4, Page 47, FY92 Book</t>
      </text>
    </comment>
    <comment ref="H128" authorId="2" shapeId="0">
      <text>
        <t>Note 3, Page 51 FY93 Book</t>
      </text>
    </comment>
    <comment ref="I128" authorId="2" shapeId="0">
      <text>
        <t>Note 3, Page 53 1994 report</t>
      </text>
    </comment>
    <comment ref="J128" authorId="2" shapeId="0">
      <text>
        <t>Note 3, Page 53 1994 report</t>
      </text>
    </comment>
    <comment ref="K128" authorId="2" shapeId="0">
      <text>
        <t>page 51,
Dec 1995 annual report</t>
      </text>
    </comment>
    <comment ref="L128" authorId="2" shapeId="0">
      <text>
        <t xml:space="preserve">p50 in 96 annual report
</t>
      </text>
    </comment>
    <comment ref="P128" authorId="6" shapeId="0">
      <text>
        <t>adds 3 x A340s</t>
      </text>
    </comment>
    <comment ref="Q128" authorId="6" shapeId="0">
      <text>
        <t xml:space="preserve">adds 1 A330
</t>
      </text>
    </comment>
    <comment ref="EK128" authorId="10" shapeId="0">
      <text>
        <t xml:space="preserve">Yu, Qian:
HFRS16
</t>
      </text>
    </comment>
    <comment ref="C129" authorId="2" shapeId="0">
      <text>
        <t>Y87, Depreciation of FA, Leased (363) + Owned (316) - Amortisation of profit on sale/ leaseback of FA (227) + Amortisation of expenditure (137) : Note 4, Page 24, FY88 Book</t>
      </text>
    </comment>
    <comment ref="D129" authorId="2" shapeId="0">
      <text>
        <t>Y88, Depreciation of FA, Leased (566) + Owned (340) - Amortisation of profit on sale/ leaseback of FA (253) + Amortisation of expenditure (154) : Note 4, Page 24, FY89 Book</t>
      </text>
    </comment>
    <comment ref="E129" authorId="2" shapeId="0">
      <text>
        <t>Y89, Depreciation of FA, Leased (625) + Owned (461) - Amortisation of profit on sale/ leaseback of FA (249) + Amortisation of expenditure (153) : Note 4, Page 24, FY89 Book</t>
      </text>
    </comment>
    <comment ref="F129" authorId="2" shapeId="0">
      <text>
        <t>Y90, Depreciation of FA, Leased (791) + Owned (581) - Amortisation of profit on sale/ leaseback of FA (261) + Amortisation of expenditure (149) : Note 4, Page 38, FY91 Book</t>
      </text>
    </comment>
    <comment ref="G129" authorId="2" shapeId="0">
      <text>
        <t>Y91, Depreciation of FA, Leased (1052) + Owned (491) - Amortisation of profit on sale/ leaseback of FA (314) + Amortisation of expenditure (158) : Note 4, Page 47, FY92 Book</t>
      </text>
    </comment>
    <comment ref="H129" authorId="2" shapeId="0">
      <text>
        <t>Y92, Depreciation of FA, Leased (1316) + Owned (416) - Amortisation of profit on sale/ leaseback of FA (315) + Amortisation of expenditure (81) : Note 3, Page 51 FY93 Book</t>
      </text>
    </comment>
    <comment ref="I129" authorId="2" shapeId="0">
      <text>
        <t>Y93, Depreciation of FA, Leased (1182) + Owned (399) + Amortisation of expenditure (74);
Note 3, Page 53 1994 report</t>
      </text>
    </comment>
    <comment ref="J129" authorId="2" shapeId="0">
      <text>
        <t>Y94, Depreciation of FA, Leased (1284) + Owned (438) + Amortisation of expenditure (86) ;
Note 3, Page 53 1994 report</t>
      </text>
    </comment>
    <comment ref="K129" authorId="2" shapeId="0">
      <text>
        <t>page 51,
Dec 1995 annual report</t>
      </text>
    </comment>
    <comment ref="EO129" authorId="11" shapeId="0">
      <text>
        <t xml:space="preserve">incl. impairment of HK$2,465m
</t>
      </text>
    </comment>
    <comment ref="EP129" authorId="7" shapeId="0">
      <text>
        <t>Wong, Ian:
Factoring a further HK$1.5bn of impairment in 2H20</t>
      </text>
    </comment>
    <comment ref="ES129" authorId="11" shapeId="0">
      <text>
        <t xml:space="preserve">incl. impairment of HK$500m and rescturcuring cost HK$403m
</t>
      </text>
    </comment>
    <comment ref="ET129" authorId="7" shapeId="0">
      <text>
        <t>Wong, Ian:
Factoring a further HK$1.5bn of impairment in 2H20</t>
      </text>
    </comment>
    <comment ref="EW129" authorId="11" shapeId="0">
      <text>
        <t xml:space="preserve">incl. impairment of HK$500m and rescturcuring cost HK$403m
</t>
      </text>
    </comment>
    <comment ref="FA129" authorId="11" shapeId="0">
      <text>
        <t xml:space="preserve">incl. impairment of HK$500m and rescturcuring cost HK$403m
</t>
      </text>
    </comment>
    <comment ref="BD131" authorId="2" shapeId="0">
      <text>
        <t>expect $850 m savings from fuel &amp; $446 m from personnel, with $50 m from other</t>
      </text>
    </comment>
    <comment ref="C137" authorId="2" shapeId="0">
      <text>
        <t>Y87, Interest Income : Security deposits (100) + Others (90+59) + Listed securities (231)</t>
      </text>
    </comment>
    <comment ref="D137" authorId="2" shapeId="0">
      <text>
        <t>Y88, Interest Income : Security deposits (306) + Others (126+144+1) + Listed securities (81)</t>
      </text>
    </comment>
    <comment ref="E137" authorId="2" shapeId="0">
      <text>
        <t>Y89, Interest Income : Security deposits (538) + Others (133+165+20) + Listed securities (213)</t>
      </text>
    </comment>
    <comment ref="F137" authorId="2" shapeId="0">
      <text>
        <t>Y90, Interest Income : Security deposits (365+55+698) + Others (203+56+19) + Listed securities (339)</t>
      </text>
    </comment>
    <comment ref="G137" authorId="2" shapeId="0">
      <text>
        <t>Y91, Interest Income : Security deposits (796+360+134) + Others (266+23+46) + Listed securities (306)</t>
      </text>
    </comment>
    <comment ref="H137" authorId="2" shapeId="0">
      <text>
        <t>Y92, Interest Income : Security deposits (892+435+516) + Others (134+25+26) + Listed securities (503)</t>
      </text>
    </comment>
    <comment ref="I137" authorId="2" shapeId="0">
      <text>
        <t>Y93, Interest Income : Security deposits (729+345+277) + Others (85+18) + Listed securities (524),
Page 52, 1994 report</t>
      </text>
    </comment>
    <comment ref="J137" authorId="2" shapeId="0">
      <text>
        <t>Y94, Interest Income : Security deposits (788+362+286) + Others (96+20) + Listed securities (546),
Page 52, 1994 report</t>
      </text>
    </comment>
    <comment ref="K137" authorId="2" shapeId="0">
      <text>
        <t>page 50,
Dec 1995 annual report</t>
      </text>
    </comment>
    <comment ref="C139" authorId="2" shapeId="0">
      <text>
        <t>Y87, Interest Charge : Obligation under finance leases (484) + Bank loans/ overdrafts (44) + Other loans/ bonds (398)</t>
      </text>
    </comment>
    <comment ref="D139" authorId="2" shapeId="0">
      <text>
        <t>Y88, Interest Charge : Obligation under finance leases (765) + Bank loans/ overdrafts (10) + Other loans/ bonds (390)</t>
      </text>
    </comment>
    <comment ref="E139" authorId="2" shapeId="0">
      <text>
        <t>Y89, Interest Charge : Obligation under finance leases (904) + Bank loans/ overdrafts (10) + Other loans/ bonds (313)</t>
      </text>
    </comment>
    <comment ref="F139" authorId="2" shapeId="0">
      <text>
        <t>Y90, Interest Charge : Obligation under finance leases (1204) + Bank loans/ overdrafts (453) + Other loans/ bonds (164+81)</t>
      </text>
    </comment>
    <comment ref="G139" authorId="2" shapeId="0">
      <text>
        <t>Y91, Interest Charge : Obligation under finance leases (1521) + Bank loans/ overdrafts (368) + Other loans/ bonds (159+228)</t>
      </text>
    </comment>
    <comment ref="H139" authorId="2" shapeId="0">
      <text>
        <t>Y92, Interest Charge : Obligation under finance leases (1599) + Bank loans/ overdrafts (375) + Other loans/ bonds (105+587)</t>
      </text>
    </comment>
    <comment ref="I139" authorId="2" shapeId="0">
      <text>
        <t>Y93, Interest Charge : Obligation under finance leases (1701) + Bank loans/ overdrafts (359) + Other loans/ bonds (55+542),
Page 52, 1994 report</t>
      </text>
    </comment>
    <comment ref="J139" authorId="2" shapeId="0">
      <text>
        <t>Y94, Interest Charge : Obligation under finance leases (1787) + Bank loans/ overdrafts (411) + Other loans/ bonds (142+335),
Page 52, 1994 report</t>
      </text>
    </comment>
    <comment ref="K139" authorId="2" shapeId="0">
      <text>
        <t>page 50,
Dec 1995 annual report</t>
      </text>
    </comment>
    <comment ref="T142" authorId="8" shapeId="0">
      <text>
        <t xml:space="preserve">horthda:
Check </t>
      </text>
    </comment>
    <comment ref="L143" authorId="2" shapeId="0">
      <text>
        <t xml:space="preserve">0.9=decrease due to dilution in stake
the 2nd 0.9 due to decrease in operatiing performance
</t>
      </text>
    </comment>
    <comment ref="N144" authorId="6" shapeId="0">
      <text>
        <t>HACTL earned US$32 m NPAT in FY1998</t>
      </text>
    </comment>
    <comment ref="O144" authorId="6" shapeId="0">
      <text>
        <t>HACTL earned US$32 m NPAT in FY1999</t>
      </text>
    </comment>
    <comment ref="Z145" authorId="12" shapeId="0">
      <text>
        <t>Baiding Rong:
HAECO consensus 2010 earnings 1890m; attributable to CX would be ~280m (15%); include Air China Cargo 49%; HKACTL 2009 earnings attributable to CX ~77.75m (=311m/40%*10%)</t>
      </text>
    </comment>
    <comment ref="AA145" authorId="13" shapeId="0">
      <text>
        <t xml:space="preserve">HK$300m start-up loss for Air China cargo
</t>
      </text>
    </comment>
    <comment ref="AB145" authorId="13" shapeId="0">
      <text>
        <t xml:space="preserve">We estimate Air China will contribute HK$702m
 (based on Air China's NP of RMB4.2bn) +HK$200 loss from others 
</t>
      </text>
    </comment>
    <comment ref="AC145" authorId="14" shapeId="0">
      <text>
        <t xml:space="preserve">We estimate Air China contribution HK$1bn (based on Q312-Q313 of Rmb4.773bn) - HK$750m loss on Air China Cargo + HK$150m gain on others 
</t>
      </text>
    </comment>
    <comment ref="DE145" authorId="13" shapeId="0">
      <text>
        <t xml:space="preserve">We estimate Air China contributed HK$712m
</t>
      </text>
    </comment>
    <comment ref="DI145" authorId="13" shapeId="0">
      <text>
        <t xml:space="preserve">We estimate:
Air China Q411+Q112: +HK$335
Air China Cargo H112: -HK$486
Others: +HK$150
</t>
      </text>
    </comment>
    <comment ref="DM145" authorId="14" shapeId="0">
      <text>
        <t xml:space="preserve">Air China Cargo loss HK$50m/month
</t>
      </text>
    </comment>
    <comment ref="DQ145" authorId="14" shapeId="0">
      <text>
        <t xml:space="preserve">We forecast Air China -286m, Air China Cargo -200m, others +100
</t>
      </text>
    </comment>
    <comment ref="AM149" authorId="15" shapeId="0">
      <text>
        <t>Lau, Ryan-ZA:
the Group’s interest in Air China was diluted from 18.13% to 16.26% as a result of Air China issuing 1,676 million new A shares to investors with proceeds of the issuance totalling RMB15 billion.</t>
      </text>
    </comment>
    <comment ref="C151" authorId="2" shapeId="0">
      <text>
        <t>Y87, Income from funds : Surplus on Listed Securities (49) - Deficit on others (38)</t>
      </text>
    </comment>
    <comment ref="D151" authorId="2" shapeId="0">
      <text>
        <t>Y88, Income from funds : Surplus on Listed Securities (57) - Deficit on others (116)</t>
      </text>
    </comment>
    <comment ref="E151" authorId="2" shapeId="0">
      <text>
        <t>Y89, Income from funds : Surplus on Listed Securities (209) - Deficit on others (199)</t>
      </text>
    </comment>
    <comment ref="F151" authorId="2" shapeId="0">
      <text>
        <t>Y90, Income from funds : Surplus on Listed Securities (157) - Deficit on others (151)</t>
      </text>
    </comment>
    <comment ref="G151" authorId="2" shapeId="0">
      <text>
        <t>Y91, Income from funds : Surplus on Listed Securities (147) - Deficit on others (47)</t>
      </text>
    </comment>
    <comment ref="H151" authorId="2" shapeId="0">
      <text>
        <t>Y92, Income from funds : Surplus on Listed Securities (160) - Deficit on others (51)</t>
      </text>
    </comment>
    <comment ref="I151" authorId="2" shapeId="0">
      <text>
        <t>Y93, Income from funds : Listed securities (Gain on disposal  (361) + Amortisation of prem/disc (84) - Exchange loss (24)) - Other exchange loss (22),
Page 52, 1994 report</t>
      </text>
    </comment>
    <comment ref="J151" authorId="2" shapeId="0">
      <text>
        <t>Y94, Income from funds : Listed securities (Loss on disposal  (127) + Amortisation of prem/disc (212) - Exchange loss (84)) + Other exchange gain (19),
Page 52, 1994 report</t>
      </text>
    </comment>
    <comment ref="K151" authorId="2" shapeId="0">
      <text>
        <t xml:space="preserve">Income from funds
page 50, Dec 1995 annual report
Loss on disposal (-7) + Amortisation of prem/disc (161) - Exchange loss (11) - Other exchange loss (10)
</t>
      </text>
    </comment>
    <comment ref="K152" authorId="2" shapeId="0">
      <text>
        <t>page 45,
Dec 1995 annual report</t>
      </text>
    </comment>
    <comment ref="FA152" authorId="16" shapeId="0">
      <text>
        <t>Huang, Wei-ZA-XT:
Deemed disposal of an associate and reversal of impairment</t>
      </text>
    </comment>
    <comment ref="EO159" authorId="7" shapeId="0">
      <text>
        <t>Wong, Ian:
Guides to now loss of HK$9.9bn</t>
      </text>
    </comment>
    <comment ref="X162" authorId="0" shapeId="0">
      <text>
        <t>US Dept of Justice fine</t>
      </text>
    </comment>
    <comment ref="Y162" authorId="17" shapeId="0">
      <text>
        <t>kwanth:
sale of HAECO;</t>
      </text>
    </comment>
    <comment ref="Z162" authorId="12" shapeId="0">
      <text>
        <t>Baiding Rong:
1829m HAECO; 329m HACTL
400m from transfer of aircraft to Air China Cargo JV (1 freighter in 2010; 3 in 2011)</t>
      </text>
    </comment>
    <comment ref="AB162" authorId="13" shapeId="0">
      <text>
        <t xml:space="preserve">Impairment provision for B747-400BCF
</t>
      </text>
    </comment>
    <comment ref="AG162" authorId="14" shapeId="0">
      <text>
        <t xml:space="preserve">Gain on deemed disposal of Air China's stake minus potential European Commission anti-trust fine and staff redundancy
</t>
      </text>
    </comment>
    <comment ref="CR162" authorId="0" shapeId="0">
      <text>
        <t>Ronald Keung:
US Dept of Justice fine</t>
      </text>
    </comment>
    <comment ref="CS162" authorId="0" shapeId="0">
      <text>
        <t>Ronald Keung:
US Dept of Justice fine</t>
      </text>
    </comment>
    <comment ref="DI162" authorId="13" shapeId="0">
      <text>
        <t xml:space="preserve">Impairment of one derigistered B747-400BCF (HK$250m) and other two B747-400BCFs (HK$50m)
</t>
      </text>
    </comment>
    <comment ref="DM162" authorId="13" shapeId="0">
      <text>
        <t xml:space="preserve">Settlement with Canadian (HK$11.2) and NZ courts (HK$29.95)
</t>
      </text>
    </comment>
    <comment ref="EO162" authorId="7" shapeId="0">
      <text>
        <t>Wong, Ian:
HK$2.4bn impairment losses from 16 aircrafts ; unlikely to operate economically until at least summer season 2021</t>
      </text>
    </comment>
    <comment ref="L163" authorId="2" shapeId="0">
      <text>
        <t xml:space="preserve">Sale of 12.21% of Dragonair
</t>
      </text>
    </comment>
    <comment ref="N163" authorId="6" shapeId="0">
      <text>
        <t>gains on sale of abacus offsetting retrenchments &amp; asset write-downs</t>
      </text>
    </comment>
    <comment ref="O163" authorId="2" shapeId="0">
      <text>
        <t xml:space="preserve">sale of Equant shares HK$477 m </t>
      </text>
    </comment>
    <comment ref="Q163" authorId="9" shapeId="0">
      <text>
        <t>EQUANT shares exchanged for France Telecom stock</t>
      </text>
    </comment>
    <comment ref="P170" authorId="6" shapeId="0">
      <text>
        <t>share buy-back on 6/04,  28/04, 3/05, 04/05, 05/05, 12/05, 17/05, 18/05, 22/05, 30/05, 1/06, 15/11, 17/11, 21/11, 23/11, 29/11, 21/12</t>
      </text>
    </comment>
    <comment ref="Q170" authorId="9" shapeId="0">
      <text>
        <t xml:space="preserve">Repurchases on 3/01, 15/01, 16/01, 18/01, 19/01, 23/01, 29/01, 30/01, 31/01, 01/02, 02/02,06/02
</t>
      </text>
    </comment>
    <comment ref="AJ170" authorId="7" shapeId="0">
      <text>
        <t>Wong, Ian:
Ex-Warrant</t>
      </text>
    </comment>
    <comment ref="AK170" authorId="7" shapeId="0">
      <text>
        <t>Wong, Ian:
Ex-Warrant</t>
      </text>
    </comment>
    <comment ref="B182" authorId="1" shapeId="0">
      <text>
        <t>Yeung, Perry:
+ve = Decrease in NWC; -ve = Increase in NWC</t>
      </text>
    </comment>
    <comment ref="C191" authorId="2" shapeId="0">
      <text>
        <t>Y87, Capex : Additions to owned FA (868) + Additions to leased (2650)</t>
      </text>
    </comment>
    <comment ref="D191" authorId="2" shapeId="0">
      <text>
        <t>Y88, Capex : Additions to owned FA (1143) + Additions to leased (1397)</t>
      </text>
    </comment>
    <comment ref="E191" authorId="2" shapeId="0">
      <text>
        <t>Y89, Capex : Acquisition of aircraft &amp; related equip (3449) + Other equip.(454) + Additions to properties (61) + Deferred exp.(115)</t>
      </text>
    </comment>
    <comment ref="F191" authorId="2" shapeId="0">
      <text>
        <t>Y90, Capex : Acquisition of aircraft &amp; related equip (5567) + Other equip.(332) + Additions to properties (76) + Deferred exp.(87)</t>
      </text>
    </comment>
    <comment ref="M191" authorId="2" shapeId="0">
      <text>
        <t>incl 2bn for airport move</t>
      </text>
    </comment>
    <comment ref="K192" authorId="2" shapeId="0">
      <text>
        <t>page 48,  Dec 1995 annual report
Sales of FA (222) + Sales of associates (1)</t>
      </text>
    </comment>
    <comment ref="D193" authorId="2" shapeId="0">
      <text>
        <t>Y88, Investments : Acquisition of associated companies' interest (26)</t>
      </text>
    </comment>
    <comment ref="E193" authorId="2" shapeId="0">
      <text>
        <t>Y89, Investments : Acquisition of associated companies' interest (16) + LT receivables and investments (39)</t>
      </text>
    </comment>
    <comment ref="F193" authorId="2" shapeId="0">
      <text>
        <t>Y90, Investments : Acquisition of associated companies' interest (304) + LT receivables and investments (378)</t>
      </text>
    </comment>
    <comment ref="AA194" authorId="1" shapeId="0">
      <text>
        <t>Yeung, Perry:
Dividend income from associate is recognized as CFI</t>
      </text>
    </comment>
    <comment ref="AN197" authorId="1" shapeId="0">
      <text>
        <t>Yeung, Perry:
Including repayment of CB</t>
      </text>
    </comment>
    <comment ref="R198" authorId="2" shapeId="0">
      <text>
        <t>pilots options exercised</t>
      </text>
    </comment>
    <comment ref="T198" authorId="2" shapeId="0">
      <text>
        <t>pilots options exercised</t>
      </text>
    </comment>
    <comment ref="C207" authorId="2" shapeId="0">
      <text>
        <t>Y87, ST debt : Loans due within one year (788) + Overdrafts and ST loans (137) + Obligations under finance leases (480)</t>
      </text>
    </comment>
    <comment ref="D207" authorId="2" shapeId="0">
      <text>
        <t>Y88, ST debt : Loans due within one year (664) + Overdrafts and ST loans (158) + Obligations under finance leases (582)</t>
      </text>
    </comment>
    <comment ref="E207" authorId="2" shapeId="0">
      <text>
        <t>Y89, ST debt : Loans due within one year (445) + Overdrafts and ST loans (1708) + Obligations under finance leases (483)</t>
      </text>
    </comment>
    <comment ref="F207" authorId="2" shapeId="0">
      <text>
        <t>Y90, ST debt : Loans due within one year (540) + Overdrafts and ST loans (136) + Obligations under finance leases (829)</t>
      </text>
    </comment>
    <comment ref="G207" authorId="2" shapeId="0">
      <text>
        <t>Y91, ST debt : Loans due within one year (754) + Overdrafts and ST loans (216) + Obligations under finance leases (1310)</t>
      </text>
    </comment>
    <comment ref="H207" authorId="2" shapeId="0">
      <text>
        <t>Y92, ST debt : Loans due within one year (218) + Overdrafts and ST loans (247) + Obligations under finance leases (1342)</t>
      </text>
    </comment>
    <comment ref="I207" authorId="2" shapeId="0">
      <text>
        <t>Y93, ST debt : Loans due within one year (769) + Overdrafts and ST loans (10) + Obligations under finance leases (1461),
Page 59, 1994 report</t>
      </text>
    </comment>
    <comment ref="J207" authorId="2" shapeId="0">
      <text>
        <t>Y94, ST debt : Loans due within one year (1974) + Overdrafts and ST loans (43) + Obligations under finance leases (1633),
Page 59, 1994 report</t>
      </text>
    </comment>
    <comment ref="K207" authorId="2" shapeId="0">
      <text>
        <t>page 57,  Dec 1995 annual report
Loans due within one year (932) + Overdrafts and ST loans (125+70) + Obligations under finance leases (1134)</t>
      </text>
    </comment>
    <comment ref="C208" authorId="2" shapeId="0">
      <text>
        <t>Y87, LT debt : Loans and bonds (5367) + Obligations under finance leases (5957)</t>
      </text>
    </comment>
    <comment ref="D208" authorId="2" shapeId="0">
      <text>
        <t>Y88, LT debt : Loans and bonds (4488) + Obligations under finance leases (5503)</t>
      </text>
    </comment>
    <comment ref="E208" authorId="2" shapeId="0">
      <text>
        <t>Y89, LT debt : Loans and bonds (4387) + Obligations under finance leases (4145)</t>
      </text>
    </comment>
    <comment ref="F208" authorId="2" shapeId="0">
      <text>
        <t>Y90, LT debt : Loans and bonds (4480) + Obligations under finance leases (7575)</t>
      </text>
    </comment>
    <comment ref="G208" authorId="2" shapeId="0">
      <text>
        <t>Y91, LT debt : Loans and bonds (3486) + Obligations under finance leases (11062)</t>
      </text>
    </comment>
    <comment ref="H208" authorId="2" shapeId="0">
      <text>
        <t>Y92, LT debt : Loans and bonds (4802) + Obligations under finance leases (13558)</t>
      </text>
    </comment>
    <comment ref="I208" authorId="2" shapeId="0">
      <text>
        <t>Y93, LT debt : Loans and bonds (3963) + Obligations under finance leases (14989)</t>
      </text>
    </comment>
    <comment ref="J208" authorId="2" shapeId="0">
      <text>
        <t>Y94, LT debt : Loans and bonds (4511) + Obligations under finance leases (13918)</t>
      </text>
    </comment>
    <comment ref="K208" authorId="2" shapeId="0">
      <text>
        <t>page 46,  Dec 1995 annual report
Loans and bonds (5245) + Obligations under finance leases (14411)</t>
      </text>
    </comment>
    <comment ref="Z208" authorId="12" shapeId="0">
      <text>
        <t>Baiding Rong:
assume disposal proceeds of HAECO repays debt</t>
      </text>
    </comment>
    <comment ref="AJ208" authorId="7" shapeId="0">
      <text>
        <t>Wong, Ian:
CB of HK$6.74bn, subscribe at HK$8.57</t>
      </text>
    </comment>
    <comment ref="AK208" authorId="7" shapeId="0">
      <text>
        <t>Wong, Ian:
CB of HK$6.74bn, subscribe at HK$8.57</t>
      </text>
    </comment>
    <comment ref="C210" authorId="2" shapeId="0">
      <text>
        <t>Y87, Cash : Funds with investment managers (2205) + ST deposits (4302)</t>
      </text>
    </comment>
    <comment ref="D210" authorId="2" shapeId="0">
      <text>
        <t>Y88, Cash : Funds with investment managers (4902) + ST deposits (1826)</t>
      </text>
    </comment>
    <comment ref="E210" authorId="2" shapeId="0">
      <text>
        <t>Y89, Cash : Funds with investment managers (5381) + ST deposits (2868)</t>
      </text>
    </comment>
    <comment ref="F210" authorId="2" shapeId="0">
      <text>
        <t>Y90, Cash : Funds with investment managers (5782) + ST deposits (3324)</t>
      </text>
    </comment>
    <comment ref="G210" authorId="2" shapeId="0">
      <text>
        <t>Y91, Cash : Funds with investment managers (7018) + ST deposits (4398)</t>
      </text>
    </comment>
    <comment ref="H210" authorId="2" shapeId="0">
      <text>
        <t>Y92, Cash : Funds with investment managers (11864) + ST deposits (2138)</t>
      </text>
    </comment>
    <comment ref="I210" authorId="2" shapeId="0">
      <text>
        <t>Y93, Cash : Funds with investment managers (12541) + ST deposits (1852),
Page 59, 1994 report</t>
      </text>
    </comment>
    <comment ref="J210" authorId="2" shapeId="0">
      <text>
        <t>Y94, Cash : Funds with investment managers (13202) + ST deposits (1816),
Page 59, 1994 report</t>
      </text>
    </comment>
    <comment ref="K210" authorId="2" shapeId="0">
      <text>
        <t>page 57,  Dec 1995 annual report
Funds with investment managers (12687) + ST deposits (1434)</t>
      </text>
    </comment>
    <comment ref="W210" authorId="18" shapeId="0">
      <text>
        <t>Yip, Samuel:
restated in 2009 annual report</t>
      </text>
    </comment>
    <comment ref="X210" authorId="18" shapeId="0">
      <text>
        <t>Yip, Samuel:
restated in 2009 annual report</t>
      </text>
    </comment>
    <comment ref="Z215" authorId="12" shapeId="0">
      <text>
        <t>Baiding Rong:
deduct 791m book cost of HAECO and 311m book cost of HACTL</t>
      </text>
    </comment>
    <comment ref="I233" authorId="2" shapeId="0">
      <text>
        <t>Page 55, 1994 report</t>
      </text>
    </comment>
    <comment ref="J233" authorId="2" shapeId="0">
      <text>
        <t>Page 55, 1994 report</t>
      </text>
    </comment>
    <comment ref="K233" authorId="2" shapeId="0">
      <text>
        <t>Page 53,  Dec 1995 annual report</t>
      </text>
    </comment>
    <comment ref="I234" authorId="2" shapeId="0">
      <text>
        <t>Page 55, 1994 report</t>
      </text>
    </comment>
    <comment ref="J234" authorId="2" shapeId="0">
      <text>
        <t>Page 55, 1994 report</t>
      </text>
    </comment>
    <comment ref="K234" authorId="2" shapeId="0">
      <text>
        <t>Page 53,  Dec 1995 annual report</t>
      </text>
    </comment>
    <comment ref="K241" authorId="2" shapeId="0">
      <text>
        <t>Y94, Current assets : CA (7500) + Other liquid funds (13202)</t>
      </text>
    </comment>
  </commentList>
</comments>
</file>

<file path=xl/comments/comment2.xml><?xml version="1.0" encoding="utf-8"?>
<comments xmlns="http://schemas.openxmlformats.org/spreadsheetml/2006/main">
  <authors>
    <author>Huang, Wei-ZA-XT</author>
  </authors>
  <commentList>
    <comment ref="B9" authorId="0" shapeId="0">
      <text>
        <t>Huang, Wei-ZA-XT:
Include Cathay Dragon 2019 and before</t>
      </text>
    </comment>
    <comment ref="B58" authorId="0" shapeId="0">
      <text>
        <t>Huang, Wei-ZA-XT:
Includes Air Hong Kong in certain years</t>
      </text>
    </comment>
  </commentList>
</comments>
</file>

<file path=xl/comments/comment3.xml><?xml version="1.0" encoding="utf-8"?>
<comments xmlns="http://schemas.openxmlformats.org/spreadsheetml/2006/main">
  <authors>
    <author>Yeung, Perry</author>
  </authors>
  <commentList>
    <comment ref="A1" authorId="0" shapeId="0">
      <text>
        <t>IS8AAB+LCAAAAAAABADtGttu48b1VwQ9JWglkbJkrYVZBrIkx8JKliHJWW9fAoocSVNTpMqLbb21KNptgU3aRe8tUGCL3oAgt7ftJm1/JrZ3n/ILPTPDIYcSlTXtFkhQA8au5txm5sy5Dge9dT63cqfY9Yhj38+rRSWfw7bhmMSe3s8H/qSgbuff0lD73MDWoe7qc+wDcQ64bK9+7pn38zPfX9RLpbOzs+LZVtFxp6Wyoqil4153aMzwXM9HxOT1xAVie75uGzivoeZMt6e4pfu475rY5WLu5zvDTrGJiQEIvafb+hS7xd3AIzb2vLbtE59gL69NdMvDqLQiQ0N7xPX8EZnj/gLbXWKf3EjsmhSx2r5LsO3rPmjzFuuVpAjBu45lDv2lhW8hNpIBQs15D/u6CczZBKKmi0GbzVbvHW40Wrm4XVRhilV4TLkbEMvkdAlKDg/p6BlRjWplpVwpKGqhXB0par1arW9FPBENOlqYq6uoFtUqKq0hYlKxDEpYVCsSbbgQPpYXsl1Q7hUUWMhOXSnDX7F8T1GravVbyr26oggJq8tizhLOnytpqKt7/hC7p8RgZENfny+YdKWmbCs7yk6ljEqpRLDx+KA0NMBj3cMmkMFZZDo3uoy+ZQ7wKQEBTWxZ2fnZthpGdtuG85N4Q0G3WMPbrr6YjYif0Rko/57jYgM0fbPZD/BZ3w11OFp0AT2aEddftvRldmFHHnb7C6qRbLwaeui4J95CN/ABhGMqquWc2Zajg3NDzPB8YnjC8VMw6NB1FtilsmhA2HNsX/PdAIhTEJHojg2bpxPvOs7JqvQkErHzYScF6p7rviBfg6PhzDnr29ZyGIw9wyVjbLZ2BXUqDlFfC7kbge/A/8SAhcRQ1Aw8gMcQpiBskLluHVqgNE/bAoYEAFFRE+I3HSuY25HyVqDoIax/hM+j/URjJAXsji3ouVJTUUmGgXMWzbmOQDx7ReCGZ4SiUxCrxC2AicNaxzD9013uEQvSuqx5CZq0geEMYz/VADgG0ei1RwsFrWFZqBQPERih69NlaAok/QL7GylKnf3BtBEatW1zM51AooNg3h+DF53yTKkCbgUE6d6ydi3dPgHoQ+LPDhpxCl/DrFF/B7vOJnqGW+PgxreJJ8QirtiN61rHoRbxFpa+ZOBI+TIMdWzDCkzMc0PHnjDbpzrgtrIRjdZAXQgUGtLt5Wi5gAjrkboPP+7nodqre74LlWFeM5zA9t0lDUCoFJK+jmfi4u8FUFwu9wLbaDrm9TlNvtMjm/jX5vGcwOUR8vosrpFlVZ6w12tzYG6516a3IFPxkoJ6kcRW2nBoLTzRAwvqCN8HAXEWWAHTNGjgtj3tQlkYQJqJjG8VHvk+jcQjV7c9OqMoQVbDQDoREsbMs53GLbwfMN1xC3cAi0ordJzP405D4yyN5CM8XziubvVgP4QaEiUVaRTwPd2fhUMIthY2hHJk5ogvuV6xndeRsbDJN0ftK/SwFSAjojvklVxME8MQ3XsPTM5q6hYZu9whRXJJw0HFGVcNwnXZ7rJVEOJkoKODfPAALzWInfEghDNbUwWCWx71W204qGxXylWoWtkQsQ3T0opM7RwkeNZt5Aaw0Xpu/0GvUc8dDXMtOA7dhRDNtBMGr0ycMg/aE9GELaEFtpsAJPGQ96bE1q01uggR02stnVhLiY7vr+sYQHbx519ffvoY/q7ef/zl579/9dffXT7/+NXjpy//+N7VR8+ufv7ji0+/D/Crf71/8aMf8r1yRjTSxxZmSxvt7lS3amBmEQSxGFBipZkZGD7fUvcRK8kiAArbAzZotjtNRiEDBT+t9gKPtx5LJ5DGQ74nPhk7Vg6l5sCptJGILuE4gW1hWotx/6Tl/ClOUsv4TYxcIVef/e3qsw83codai2sCdefeDisFtr66ZOBd23ZhS0krGbqJiBoS1wplub5YoYGua65DwS06uYbnOQZh/hhGYTPWYcfU1O3a9k5FUaMgbUbWnkKzignljPSptt86bneFFApIipFI1uDgpiw/M6vYf0D9NB4LJPOjfcee5h7Qf4aNQe6N5gy84c2InruaNODH8sXzDy/+8E9u/Fc//cfFTz54+ezJ5S//ffHkRYI1PMQQ8pq5YOssZdM1MoVGCVxi7Dk2dMPuMgf16cxxiQ+OKhFKTHzuVAeVWcIlRs4uGzALBN/O5dun2F2a+jIvBYWEoadBueDL3/zly8+fXH78M/iRzr26gLddJ1isxbQYmkKZGt3WsSucTGGrsS7GpFBHW0pjCPfRiks17WjYKu0/aEX2yYAoieIwiYDLSWMNZ4i6X/AW8FZ5GDkPBNYwqa1A0MMh0+KJ8m6cxEIY7ScOHWL7nqaqynaNdRMhAAGzSuWx/1FnDpmViWa6AvgKBO3rXvvcD0OHdoBKSQBqQniZOmDI9CbANGlal6MJlBtm5Ak0DC3YOg5dwoyeB5yFDmWBE7dtEYAnm/hUXj77O2TTYutYUSqQna6TxML0tJrA2ObYr0hgPbcpf3+F1+beoNn9TWkWuiFWbV0zzKxRy/ybQo1MIuh5RdOs1e5F+DApOwtipKd+WHcSGROnVzOexBES81rgUK3WQhyflVZu9JZPimEf/PbVn55e/uqTy/c+unjxC9bJr5AkuLR9Mp3lIg/NCVySMebhwabRodVEAob4nblKbyX45XlYELNc2PHEUBigBAEs1K1GYNFrmDWydVQkWoqM7OKGXlpMGib9HpF+G5CgQM3AdXltZ4cfNYbBAor56MZiMwGKfZDp54AX23JJL3lpK4mHsYSlKTiBZjmZDlm4C1E89HU8enXC6/EDqpx4iHTDD3SrP6GamIQ3l3xEPHGTyZoeG88dmxj8WHjtIm6JaaQIxjarV3SLhRuYF8IPxMvm0aB9zGMwB4CTu1Ps8xgk3WBDXXlK6DeYEo2gbdd13LQwGiMEVQ/6DgiM7Oo1POGIiK+WdylmbBwCIGL3f6tbqV6/W6HhAnsAw3Nij0nmnmWN/5vTuXzx4sXlJ08vnv/grnn5v21eatdoXmrXaF76r29e+nfNy13z8rVsXga93U3NS4Ta0LxEMbQEx8fugW7Vxaibuxj13Ti53XUxd13MXRezsYsp33Uxd13Mhi4mGUb/R11MKf5aE4V4p4Ut7Gd/xiLYe87pzZnB2jLzdry+ZQqV3uQlmiyAfq2j5HOo5OmnrsyvipLsUOES+6STbVOaWqmok0nZKFTM8U6hsgO/xpPtcWFslLe2dvStcbk2hrKaSZbfH7G3N1nVRwnYM4kbcw+cs45t4vNsm+QRJmLmovhjlJtLk/g11HBdqOHp1rK/hBKfjwcs0WT7kskOhDHSL66hZrW9Y/qtVYz4o89juu7wF4c8iiCPeHd0rIUP8Y75+BEtoWpVDgOakjxbKbFsEbR9/rjNsbpkTjJ+llVEYE8KAeUuFrzoz2rczVbvAJ/7qCRJgIQ4/i5UCPzdQRZpPHBAHo34hSyIzZnFsXBie5Dl/YzbYmGd4LMbsA3wgj75oiHjpq8o2YbbJlTyWV8PS+zsERyx8C1ksFr9ljIOgeBG7O8QD3L6DQ5AOE3DY+vPZoDhs7ekCLEY1olnfEoJHiczCw+PH7pr/wHO7v39IS8AAA==</t>
      </text>
    </comment>
  </commentList>
</comments>
</file>

<file path=xl/comments/comment4.xml><?xml version="1.0" encoding="utf-8"?>
<comments xmlns="http://schemas.openxmlformats.org/spreadsheetml/2006/main">
  <authors>
    <author>Yip, Samuel</author>
  </authors>
  <commentList>
    <comment ref="A8" authorId="0" shapeId="0">
      <text>
        <t>=Thomson.Reuters.AFOSpreadSheetFormulas.DSGRID("EIAEBRT,EIARWTC,OLDUB1M,JETFSIN"," ","1/1/1980"," ","D","RowHeader=true;ColHeader=true;DispSeriesDescription=true;YearlyTSFormat=false;QuarterlyTSFormat=false;MonthlyTSFormat=false;AutoRefresh=false")</t>
      </text>
    </comment>
  </commentList>
</comments>
</file>

<file path=xl/comments/comment5.xml><?xml version="1.0" encoding="utf-8"?>
<comments xmlns="http://schemas.openxmlformats.org/spreadsheetml/2006/main">
  <authors>
    <author>Yip, Samuel</author>
  </authors>
  <commentList>
    <comment ref="A8" authorId="0" shapeId="0">
      <text>
        <t>=Thomson.Reuters.AFOSpreadSheetFormulas.DSGRID("0293.HK,.HSI"," ","Base Date","","D","RowHeader=true;ColHeader=true;DispSeriesDescription=false;YearlyTSFormat=false;QuarterlyTSFormat=false;Sym=RIC;MonthlyTSFormat=False","")</t>
      </text>
    </comment>
    <comment ref="E8" authorId="0" shapeId="0">
      <text>
        <t>=Thomson.Reuters.AFOSpreadSheetFormulas.DSGRID("TRHK10T"," ","Base Date","","D","RowHeader=true;ColHeader=true;DispSeriesDescription=false;YearlyTSFormat=false;QuarterlyTSFormat=false;MonthlyTSFormat=False","")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2"/>
  <sheetData>
    <row r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4">
    <tabColor rgb="FFFF0000"/>
    <outlinePr summaryBelow="1" summaryRight="1"/>
    <pageSetUpPr fitToPage="1"/>
  </sheetPr>
  <dimension ref="A1:BD72"/>
  <sheetViews>
    <sheetView showGridLines="0" topLeftCell="A15" zoomScale="145" zoomScaleNormal="145" workbookViewId="0">
      <selection activeCell="H22" sqref="H22"/>
    </sheetView>
  </sheetViews>
  <sheetFormatPr baseColWidth="8" defaultColWidth="8" defaultRowHeight="12.75"/>
  <cols>
    <col width="22" bestFit="1" customWidth="1" style="322" min="1" max="1"/>
    <col width="8.85546875" bestFit="1" customWidth="1" style="322" min="2" max="2"/>
    <col width="8" customWidth="1" style="322" min="3" max="12"/>
    <col width="22.140625" bestFit="1" customWidth="1" style="322" min="13" max="13"/>
    <col outlineLevel="1" width="8.42578125" customWidth="1" style="322" min="14" max="26"/>
    <col outlineLevel="1" collapsed="1" width="8.42578125" customWidth="1" style="322" min="27" max="27"/>
    <col outlineLevel="1" width="8.42578125" customWidth="1" style="322" min="28" max="36"/>
    <col outlineLevel="1" width="7.7109375" customWidth="1" style="322" min="37" max="37"/>
    <col width="9.5703125" bestFit="1" customWidth="1" style="322" min="38" max="38"/>
    <col width="16.42578125" bestFit="1" customWidth="1" style="322" min="39" max="39"/>
    <col width="16.7109375" bestFit="1" customWidth="1" style="322" min="40" max="40"/>
    <col width="9" bestFit="1" customWidth="1" style="322" min="41" max="41"/>
    <col width="8.140625" bestFit="1" customWidth="1" style="322" min="42" max="42"/>
    <col width="9" bestFit="1" customWidth="1" style="322" min="43" max="46"/>
    <col width="10.42578125" bestFit="1" customWidth="1" style="322" min="47" max="47"/>
    <col width="7.85546875" customWidth="1" style="322" min="48" max="53"/>
    <col width="8" customWidth="1" style="322" min="54" max="16384"/>
  </cols>
  <sheetData>
    <row r="1">
      <c r="A1" s="337" t="inlineStr">
        <is>
          <t>Valuation of Cathay Pacific (293 HK)</t>
        </is>
      </c>
    </row>
    <row r="2">
      <c r="A2" s="322" t="inlineStr">
        <is>
          <t>Source: Company Data, UBS estimates</t>
        </is>
      </c>
    </row>
    <row r="3"/>
    <row r="4">
      <c r="N4" s="932" t="n"/>
      <c r="O4" s="932" t="n"/>
      <c r="P4" s="932" t="n"/>
      <c r="Q4" s="932" t="n"/>
      <c r="R4" s="932" t="n"/>
      <c r="S4" s="932" t="n"/>
      <c r="T4" s="932" t="n"/>
      <c r="U4" s="932" t="n"/>
      <c r="V4" s="932" t="n"/>
      <c r="W4" s="932" t="n"/>
      <c r="X4" s="932" t="n"/>
      <c r="Y4" s="932" t="n"/>
      <c r="Z4" s="932" t="n"/>
      <c r="AA4" s="324" t="n"/>
      <c r="AB4" s="324" t="n"/>
      <c r="AC4" s="324" t="n"/>
      <c r="AD4" s="325" t="n"/>
      <c r="AE4" s="325" t="n"/>
      <c r="AF4" s="324" t="n"/>
      <c r="AG4" s="324" t="n"/>
      <c r="AH4" s="324" t="n"/>
      <c r="AI4" s="324" t="n"/>
      <c r="AJ4" s="324" t="n"/>
      <c r="AK4" s="324" t="n"/>
      <c r="AL4" s="932" t="n"/>
      <c r="AM4" s="932" t="n"/>
      <c r="AN4" s="932" t="n"/>
      <c r="AO4" s="932" t="n"/>
      <c r="AP4" s="932" t="n"/>
    </row>
    <row r="5" ht="13.5" customHeight="1" s="239" thickBot="1">
      <c r="A5" s="326" t="inlineStr">
        <is>
          <t>Date</t>
        </is>
      </c>
      <c r="B5" s="813">
        <f>MAX(SharePrice!$A:$A)</f>
        <v/>
      </c>
      <c r="AA5" s="933" t="n"/>
      <c r="AK5" s="327">
        <f>YEAR(AK4)</f>
        <v/>
      </c>
    </row>
    <row r="6">
      <c r="A6" s="433" t="inlineStr">
        <is>
          <t>Year to December</t>
        </is>
      </c>
      <c r="B6" s="434" t="n">
        <v>2020</v>
      </c>
      <c r="C6" s="434" t="n">
        <v>2021</v>
      </c>
      <c r="D6" s="434" t="n">
        <v>2022</v>
      </c>
      <c r="E6" s="434" t="n">
        <v>2023</v>
      </c>
      <c r="F6" s="434" t="n">
        <v>2024</v>
      </c>
      <c r="G6" s="434" t="n">
        <v>2025</v>
      </c>
      <c r="H6" s="435" t="n">
        <v>2026</v>
      </c>
      <c r="I6" s="434">
        <f>H6+1</f>
        <v/>
      </c>
      <c r="J6" s="434">
        <f>I6+1</f>
        <v/>
      </c>
      <c r="K6" s="436">
        <f>J6+1</f>
        <v/>
      </c>
      <c r="M6" s="934" t="inlineStr">
        <is>
          <t>Year</t>
        </is>
      </c>
      <c r="N6" s="934">
        <f>+CXMODEL!C3</f>
        <v/>
      </c>
      <c r="O6" s="934">
        <f>+CXMODEL!D3</f>
        <v/>
      </c>
      <c r="P6" s="934">
        <f>+CXMODEL!E3</f>
        <v/>
      </c>
      <c r="Q6" s="934">
        <f>+CXMODEL!F3</f>
        <v/>
      </c>
      <c r="R6" s="934">
        <f>+CXMODEL!G3</f>
        <v/>
      </c>
      <c r="S6" s="934">
        <f>+CXMODEL!H3</f>
        <v/>
      </c>
      <c r="T6" s="934">
        <f>+CXMODEL!I3</f>
        <v/>
      </c>
      <c r="U6" s="934">
        <f>+CXMODEL!J3</f>
        <v/>
      </c>
      <c r="V6" s="934">
        <f>+CXMODEL!K3</f>
        <v/>
      </c>
      <c r="W6" s="934">
        <f>+CXMODEL!L3</f>
        <v/>
      </c>
      <c r="X6" s="934">
        <f>+CXMODEL!M3</f>
        <v/>
      </c>
      <c r="Y6" s="934">
        <f>+CXMODEL!N3</f>
        <v/>
      </c>
      <c r="Z6" s="934">
        <f>+CXMODEL!O3</f>
        <v/>
      </c>
      <c r="AA6" s="934">
        <f>+CXMODEL!P3</f>
        <v/>
      </c>
      <c r="AB6" s="934">
        <f>+CXMODEL!Q3</f>
        <v/>
      </c>
      <c r="AC6" s="934">
        <f>+CXMODEL!R3</f>
        <v/>
      </c>
      <c r="AD6" s="934">
        <f>+CXMODEL!S3</f>
        <v/>
      </c>
      <c r="AE6" s="934">
        <f>+CXMODEL!T3</f>
        <v/>
      </c>
      <c r="AF6" s="934">
        <f>+CXMODEL!U3</f>
        <v/>
      </c>
      <c r="AG6" s="934">
        <f>+CXMODEL!V3</f>
        <v/>
      </c>
      <c r="AH6" s="934">
        <f>+CXMODEL!W3</f>
        <v/>
      </c>
      <c r="AI6" s="934">
        <f>+CXMODEL!X3</f>
        <v/>
      </c>
      <c r="AJ6" s="934">
        <f>+CXMODEL!Y3</f>
        <v/>
      </c>
      <c r="AK6" s="934">
        <f>+CXMODEL!Z3</f>
        <v/>
      </c>
      <c r="AL6" s="935">
        <f>+CXMODEL!AA3</f>
        <v/>
      </c>
      <c r="AM6" s="935">
        <f>+CXMODEL!AB3</f>
        <v/>
      </c>
      <c r="AN6" s="935">
        <f>+CXMODEL!AC3</f>
        <v/>
      </c>
      <c r="AO6" s="935">
        <f>+CXMODEL!AD3</f>
        <v/>
      </c>
      <c r="AP6" s="935">
        <f>+CXMODEL!AE3</f>
        <v/>
      </c>
      <c r="AQ6" s="935">
        <f>+CXMODEL!AF3</f>
        <v/>
      </c>
      <c r="AR6" s="935">
        <f>+CXMODEL!AG3</f>
        <v/>
      </c>
      <c r="AS6" s="935">
        <f>+CXMODEL!AH3</f>
        <v/>
      </c>
      <c r="AT6" s="935">
        <f>+CXMODEL!AI3</f>
        <v/>
      </c>
      <c r="AU6" s="935">
        <f>+CXMODEL!AJ3</f>
        <v/>
      </c>
      <c r="AV6" s="935">
        <f>+CXMODEL!AK3</f>
        <v/>
      </c>
      <c r="AW6" s="935">
        <f>+CXMODEL!AL3</f>
        <v/>
      </c>
      <c r="AX6" s="935">
        <f>+CXMODEL!AM3</f>
        <v/>
      </c>
      <c r="AY6" s="935">
        <f>+CXMODEL!AN3</f>
        <v/>
      </c>
      <c r="AZ6" s="935">
        <f>+CXMODEL!AO3</f>
        <v/>
      </c>
      <c r="BA6" s="935">
        <f>+CXMODEL!AP3</f>
        <v/>
      </c>
      <c r="BB6" s="935">
        <f>+CXMODEL!AQ3</f>
        <v/>
      </c>
      <c r="BC6" s="935">
        <f>+CXMODEL!AR3</f>
        <v/>
      </c>
      <c r="BD6" s="935">
        <f>+CXMODEL!AS3</f>
        <v/>
      </c>
    </row>
    <row r="7">
      <c r="A7" s="437" t="inlineStr">
        <is>
          <t>ROE (ex pref)</t>
        </is>
      </c>
      <c r="B7" s="936">
        <f>AU9</f>
        <v/>
      </c>
      <c r="C7" s="936">
        <f>AV9</f>
        <v/>
      </c>
      <c r="D7" s="936">
        <f>AW9</f>
        <v/>
      </c>
      <c r="E7" s="936">
        <f>AX9</f>
        <v/>
      </c>
      <c r="F7" s="936">
        <f>AY9</f>
        <v/>
      </c>
      <c r="G7" s="936">
        <f>AZ9</f>
        <v/>
      </c>
      <c r="H7" s="936">
        <f>BA9</f>
        <v/>
      </c>
      <c r="I7" s="936">
        <f>BB9</f>
        <v/>
      </c>
      <c r="J7" s="936">
        <f>BC9</f>
        <v/>
      </c>
      <c r="K7" s="937">
        <f>BD9</f>
        <v/>
      </c>
      <c r="M7" s="330" t="inlineStr">
        <is>
          <t>Net profit</t>
        </is>
      </c>
      <c r="N7" s="938">
        <f>+CXMODEL!C159</f>
        <v/>
      </c>
      <c r="O7" s="938">
        <f>+CXMODEL!D159</f>
        <v/>
      </c>
      <c r="P7" s="938">
        <f>+CXMODEL!E159</f>
        <v/>
      </c>
      <c r="Q7" s="938">
        <f>+CXMODEL!F159</f>
        <v/>
      </c>
      <c r="R7" s="938">
        <f>+CXMODEL!G159</f>
        <v/>
      </c>
      <c r="S7" s="938">
        <f>+CXMODEL!H159</f>
        <v/>
      </c>
      <c r="T7" s="938">
        <f>+CXMODEL!I159</f>
        <v/>
      </c>
      <c r="U7" s="938">
        <f>+CXMODEL!J159</f>
        <v/>
      </c>
      <c r="V7" s="938">
        <f>+CXMODEL!K159</f>
        <v/>
      </c>
      <c r="W7" s="938">
        <f>+CXMODEL!L159</f>
        <v/>
      </c>
      <c r="X7" s="938">
        <f>+CXMODEL!M159</f>
        <v/>
      </c>
      <c r="Y7" s="938">
        <f>+CXMODEL!N159</f>
        <v/>
      </c>
      <c r="Z7" s="938">
        <f>+CXMODEL!O159</f>
        <v/>
      </c>
      <c r="AA7" s="938">
        <f>+CXMODEL!P159</f>
        <v/>
      </c>
      <c r="AB7" s="938">
        <f>+CXMODEL!Q159</f>
        <v/>
      </c>
      <c r="AC7" s="938">
        <f>+CXMODEL!R159</f>
        <v/>
      </c>
      <c r="AD7" s="938">
        <f>+CXMODEL!S159</f>
        <v/>
      </c>
      <c r="AE7" s="938">
        <f>+CXMODEL!T159</f>
        <v/>
      </c>
      <c r="AF7" s="938">
        <f>+CXMODEL!U159</f>
        <v/>
      </c>
      <c r="AG7" s="938">
        <f>+CXMODEL!V159</f>
        <v/>
      </c>
      <c r="AH7" s="938">
        <f>+CXMODEL!W159</f>
        <v/>
      </c>
      <c r="AI7" s="938">
        <f>+CXMODEL!X159</f>
        <v/>
      </c>
      <c r="AJ7" s="938">
        <f>+CXMODEL!Y159</f>
        <v/>
      </c>
      <c r="AK7" s="938">
        <f>+CXMODEL!Z159</f>
        <v/>
      </c>
      <c r="AL7" s="938">
        <f>+CXMODEL!AA159</f>
        <v/>
      </c>
      <c r="AM7" s="938">
        <f>+CXMODEL!AB159</f>
        <v/>
      </c>
      <c r="AN7" s="938">
        <f>+CXMODEL!AC159</f>
        <v/>
      </c>
      <c r="AO7" s="938">
        <f>+CXMODEL!AD159</f>
        <v/>
      </c>
      <c r="AP7" s="938">
        <f>+CXMODEL!AE159</f>
        <v/>
      </c>
      <c r="AQ7" s="938">
        <f>+CXMODEL!AF159</f>
        <v/>
      </c>
      <c r="AR7" s="938">
        <f>+CXMODEL!AG159</f>
        <v/>
      </c>
      <c r="AS7" s="938">
        <f>+CXMODEL!AH159</f>
        <v/>
      </c>
      <c r="AT7" s="938">
        <f>+CXMODEL!AI159</f>
        <v/>
      </c>
      <c r="AU7" s="938">
        <f>+CXMODEL!AJ159</f>
        <v/>
      </c>
      <c r="AV7" s="938">
        <f>+CXMODEL!AK159</f>
        <v/>
      </c>
      <c r="AW7" s="938">
        <f>+CXMODEL!AL159</f>
        <v/>
      </c>
      <c r="AX7" s="938">
        <f>+CXMODEL!AM159</f>
        <v/>
      </c>
      <c r="AY7" s="938">
        <f>+CXMODEL!AN159</f>
        <v/>
      </c>
      <c r="AZ7" s="938">
        <f>+CXMODEL!AO159</f>
        <v/>
      </c>
      <c r="BA7" s="938">
        <f>+CXMODEL!AP159</f>
        <v/>
      </c>
      <c r="BB7" s="938">
        <f>+CXMODEL!AQ159</f>
        <v/>
      </c>
      <c r="BC7" s="938">
        <f>+CXMODEL!AR159</f>
        <v/>
      </c>
      <c r="BD7" s="938">
        <f>+CXMODEL!AS159</f>
        <v/>
      </c>
    </row>
    <row r="8">
      <c r="A8" s="437" t="inlineStr">
        <is>
          <t>2011-19 average</t>
        </is>
      </c>
      <c r="B8" s="939">
        <f>AVERAGE(AL9:AT9)</f>
        <v/>
      </c>
      <c r="C8" s="649" t="n"/>
      <c r="D8" s="442" t="n"/>
      <c r="E8" s="442" t="n"/>
      <c r="F8" s="442" t="n"/>
      <c r="G8" s="442" t="n"/>
      <c r="H8" s="442" t="n"/>
      <c r="I8" s="442" t="n"/>
      <c r="J8" s="442" t="n"/>
      <c r="K8" s="443" t="n"/>
      <c r="M8" s="330" t="inlineStr">
        <is>
          <t>Period-end equity (ex pref)</t>
        </is>
      </c>
      <c r="N8" s="938">
        <f>+CXMODEL!C215-CXMODEL!C218</f>
        <v/>
      </c>
      <c r="O8" s="938">
        <f>+CXMODEL!D215-CXMODEL!D218</f>
        <v/>
      </c>
      <c r="P8" s="938">
        <f>+CXMODEL!E215-CXMODEL!E218</f>
        <v/>
      </c>
      <c r="Q8" s="938">
        <f>+CXMODEL!F215-CXMODEL!F218</f>
        <v/>
      </c>
      <c r="R8" s="938">
        <f>+CXMODEL!G215-CXMODEL!G218</f>
        <v/>
      </c>
      <c r="S8" s="938">
        <f>+CXMODEL!H215-CXMODEL!H218</f>
        <v/>
      </c>
      <c r="T8" s="938">
        <f>+CXMODEL!I215-CXMODEL!I218</f>
        <v/>
      </c>
      <c r="U8" s="938">
        <f>+CXMODEL!J215-CXMODEL!J218</f>
        <v/>
      </c>
      <c r="V8" s="938">
        <f>+CXMODEL!K215-CXMODEL!K218</f>
        <v/>
      </c>
      <c r="W8" s="938">
        <f>+CXMODEL!L215-CXMODEL!L218</f>
        <v/>
      </c>
      <c r="X8" s="938">
        <f>+CXMODEL!M215-CXMODEL!M218</f>
        <v/>
      </c>
      <c r="Y8" s="938">
        <f>+CXMODEL!N215-CXMODEL!N218</f>
        <v/>
      </c>
      <c r="Z8" s="938">
        <f>+CXMODEL!O215-CXMODEL!O218</f>
        <v/>
      </c>
      <c r="AA8" s="938">
        <f>+CXMODEL!P215-CXMODEL!P218</f>
        <v/>
      </c>
      <c r="AB8" s="938">
        <f>+CXMODEL!Q215-CXMODEL!Q218</f>
        <v/>
      </c>
      <c r="AC8" s="938">
        <f>+CXMODEL!R215-CXMODEL!R218</f>
        <v/>
      </c>
      <c r="AD8" s="938">
        <f>+CXMODEL!S215-CXMODEL!S218</f>
        <v/>
      </c>
      <c r="AE8" s="938">
        <f>+CXMODEL!T215-CXMODEL!T218</f>
        <v/>
      </c>
      <c r="AF8" s="938">
        <f>+CXMODEL!U215-CXMODEL!U218</f>
        <v/>
      </c>
      <c r="AG8" s="938">
        <f>+CXMODEL!V215-CXMODEL!V218</f>
        <v/>
      </c>
      <c r="AH8" s="938">
        <f>+CXMODEL!W215-CXMODEL!W218</f>
        <v/>
      </c>
      <c r="AI8" s="938">
        <f>+CXMODEL!X215-CXMODEL!X218</f>
        <v/>
      </c>
      <c r="AJ8" s="938">
        <f>+CXMODEL!Y215-CXMODEL!Y218</f>
        <v/>
      </c>
      <c r="AK8" s="938">
        <f>+CXMODEL!Z215-CXMODEL!Z218</f>
        <v/>
      </c>
      <c r="AL8" s="938">
        <f>+CXMODEL!AA215-CXMODEL!AA218</f>
        <v/>
      </c>
      <c r="AM8" s="938">
        <f>+CXMODEL!AB215-CXMODEL!AB218</f>
        <v/>
      </c>
      <c r="AN8" s="938">
        <f>+CXMODEL!AC215-CXMODEL!AC218</f>
        <v/>
      </c>
      <c r="AO8" s="938">
        <f>+CXMODEL!AD215-CXMODEL!AD218</f>
        <v/>
      </c>
      <c r="AP8" s="938">
        <f>+CXMODEL!AE215-CXMODEL!AE218</f>
        <v/>
      </c>
      <c r="AQ8" s="938">
        <f>+CXMODEL!AF215-CXMODEL!AF218</f>
        <v/>
      </c>
      <c r="AR8" s="938">
        <f>+CXMODEL!AG215-CXMODEL!AG218</f>
        <v/>
      </c>
      <c r="AS8" s="938">
        <f>+CXMODEL!AH215-CXMODEL!AH218</f>
        <v/>
      </c>
      <c r="AT8" s="938">
        <f>+CXMODEL!AI215-CXMODEL!AI218</f>
        <v/>
      </c>
      <c r="AU8" s="938">
        <f>+CXMODEL!AJ215-CXMODEL!AJ218</f>
        <v/>
      </c>
      <c r="AV8" s="938">
        <f>+CXMODEL!AK215-CXMODEL!AK218</f>
        <v/>
      </c>
      <c r="AW8" s="938">
        <f>+CXMODEL!AL215-CXMODEL!AL218</f>
        <v/>
      </c>
      <c r="AX8" s="938">
        <f>+CXMODEL!AM215-CXMODEL!AM218</f>
        <v/>
      </c>
      <c r="AY8" s="938">
        <f>+CXMODEL!AN215-CXMODEL!AN218</f>
        <v/>
      </c>
      <c r="AZ8" s="938">
        <f>+CXMODEL!AO215-CXMODEL!AO218</f>
        <v/>
      </c>
      <c r="BA8" s="938">
        <f>+CXMODEL!AP215-CXMODEL!AP218</f>
        <v/>
      </c>
      <c r="BB8" s="938">
        <f>+CXMODEL!AQ215-CXMODEL!AQ218</f>
        <v/>
      </c>
      <c r="BC8" s="938">
        <f>+CXMODEL!AR215-CXMODEL!AR218</f>
        <v/>
      </c>
      <c r="BD8" s="938">
        <f>+CXMODEL!AS215-CXMODEL!AS218</f>
        <v/>
      </c>
    </row>
    <row r="9">
      <c r="A9" s="437" t="inlineStr">
        <is>
          <t>2026-29E average</t>
        </is>
      </c>
      <c r="B9" s="939">
        <f>AVERAGE(H7:K7)</f>
        <v/>
      </c>
      <c r="C9" s="649" t="n"/>
      <c r="D9" s="442" t="n"/>
      <c r="E9" s="442" t="n"/>
      <c r="F9" s="442" t="n"/>
      <c r="G9" s="442" t="n"/>
      <c r="H9" s="442" t="n"/>
      <c r="I9" s="442" t="n"/>
      <c r="J9" s="442" t="n"/>
      <c r="K9" s="443" t="n"/>
      <c r="M9" s="940" t="inlineStr">
        <is>
          <t>ROE (RHS)</t>
        </is>
      </c>
      <c r="N9" s="941" t="n"/>
      <c r="O9" s="941">
        <f>O7/AVERAGE(O8,N8)</f>
        <v/>
      </c>
      <c r="P9" s="941">
        <f>P7/AVERAGE(P8,O8)</f>
        <v/>
      </c>
      <c r="Q9" s="941">
        <f>Q7/AVERAGE(Q8,P8)</f>
        <v/>
      </c>
      <c r="R9" s="941">
        <f>R7/AVERAGE(R8,Q8)</f>
        <v/>
      </c>
      <c r="S9" s="941">
        <f>S7/AVERAGE(S8,R8)</f>
        <v/>
      </c>
      <c r="T9" s="941">
        <f>T7/AVERAGE(T8,S8)</f>
        <v/>
      </c>
      <c r="U9" s="941">
        <f>U7/AVERAGE(U8,T8)</f>
        <v/>
      </c>
      <c r="V9" s="941">
        <f>V7/AVERAGE(V8,U8)</f>
        <v/>
      </c>
      <c r="W9" s="941">
        <f>W7/AVERAGE(W8,V8)</f>
        <v/>
      </c>
      <c r="X9" s="941">
        <f>X7/AVERAGE(X8,W8)</f>
        <v/>
      </c>
      <c r="Y9" s="941">
        <f>Y7/AVERAGE(Y8,X8)</f>
        <v/>
      </c>
      <c r="Z9" s="941">
        <f>Z7/AVERAGE(Z8,Y8)</f>
        <v/>
      </c>
      <c r="AA9" s="941">
        <f>AA7/AVERAGE(AA8,Z8)</f>
        <v/>
      </c>
      <c r="AB9" s="941">
        <f>AB7/AVERAGE(AB8,AA8)</f>
        <v/>
      </c>
      <c r="AC9" s="941">
        <f>AC7/AVERAGE(AC8,AB8)</f>
        <v/>
      </c>
      <c r="AD9" s="941">
        <f>AD7/AVERAGE(AD8,AC8)</f>
        <v/>
      </c>
      <c r="AE9" s="941">
        <f>AE7/AVERAGE(AE8,AD8)</f>
        <v/>
      </c>
      <c r="AF9" s="941">
        <f>AF7/AVERAGE(AF8,AE8)</f>
        <v/>
      </c>
      <c r="AG9" s="941">
        <f>AG7/AVERAGE(AG8,AF8)</f>
        <v/>
      </c>
      <c r="AH9" s="941">
        <f>AH7/AVERAGE(AH8,AG8)</f>
        <v/>
      </c>
      <c r="AI9" s="941">
        <f>AI7/AVERAGE(AI8,AH8)</f>
        <v/>
      </c>
      <c r="AJ9" s="941">
        <f>AJ7/AVERAGE(AJ8,AI8)</f>
        <v/>
      </c>
      <c r="AK9" s="941">
        <f>AK7/AVERAGE(AK8,AJ8)</f>
        <v/>
      </c>
      <c r="AL9" s="941">
        <f>AL7/AVERAGE(AL8,AK8)</f>
        <v/>
      </c>
      <c r="AM9" s="941">
        <f>AM7/AVERAGE(AM8,AL8)</f>
        <v/>
      </c>
      <c r="AN9" s="941">
        <f>AN7/AVERAGE(AN8,AM8)</f>
        <v/>
      </c>
      <c r="AO9" s="941">
        <f>AO7/AVERAGE(AO8,AN8)</f>
        <v/>
      </c>
      <c r="AP9" s="941">
        <f>AP7/AVERAGE(AP8,AO8)</f>
        <v/>
      </c>
      <c r="AQ9" s="941">
        <f>AQ7/AVERAGE(AQ8,AP8)</f>
        <v/>
      </c>
      <c r="AR9" s="941">
        <f>AR7/AVERAGE(AR8,AQ8)</f>
        <v/>
      </c>
      <c r="AS9" s="941">
        <f>AS7/AVERAGE(AS8,AR8)</f>
        <v/>
      </c>
      <c r="AT9" s="941">
        <f>AT7/AVERAGE(AT8,AS8)</f>
        <v/>
      </c>
      <c r="AU9" s="941">
        <f>AU7/AVERAGE(AU8,AT8)</f>
        <v/>
      </c>
      <c r="AV9" s="941">
        <f>AV7/AVERAGE(AV8,AU8)</f>
        <v/>
      </c>
      <c r="AW9" s="941">
        <f>AW7/AVERAGE(AW8,AV8)</f>
        <v/>
      </c>
      <c r="AX9" s="941">
        <f>AX7/AVERAGE(AX8,AW8)</f>
        <v/>
      </c>
      <c r="AY9" s="941">
        <f>AY7/AVERAGE(AY8,AX8)</f>
        <v/>
      </c>
      <c r="AZ9" s="941">
        <f>AZ7/AVERAGE(AZ8,AY8)</f>
        <v/>
      </c>
      <c r="BA9" s="941">
        <f>BA7/AVERAGE(BA8,AZ8)</f>
        <v/>
      </c>
      <c r="BB9" s="941">
        <f>BB7/AVERAGE(BB8,BA8)</f>
        <v/>
      </c>
      <c r="BC9" s="941">
        <f>BC7/AVERAGE(BC8,BB8)</f>
        <v/>
      </c>
      <c r="BD9" s="941">
        <f>BD7/AVERAGE(BD8,BC8)</f>
        <v/>
      </c>
    </row>
    <row r="10">
      <c r="A10" s="437" t="n"/>
      <c r="B10" s="942" t="n"/>
      <c r="K10" s="445" t="n"/>
      <c r="M10" s="330" t="inlineStr">
        <is>
          <t>Net debt</t>
        </is>
      </c>
      <c r="N10" s="938">
        <f>+CXMODEL!C213</f>
        <v/>
      </c>
      <c r="O10" s="938">
        <f>+CXMODEL!D213</f>
        <v/>
      </c>
      <c r="P10" s="938">
        <f>+CXMODEL!E213</f>
        <v/>
      </c>
      <c r="Q10" s="938">
        <f>+CXMODEL!F213</f>
        <v/>
      </c>
      <c r="R10" s="938">
        <f>+CXMODEL!G213</f>
        <v/>
      </c>
      <c r="S10" s="938">
        <f>+CXMODEL!H213</f>
        <v/>
      </c>
      <c r="T10" s="938">
        <f>+CXMODEL!I213</f>
        <v/>
      </c>
      <c r="U10" s="938">
        <f>+CXMODEL!J213</f>
        <v/>
      </c>
      <c r="V10" s="938">
        <f>+CXMODEL!K213</f>
        <v/>
      </c>
      <c r="W10" s="938">
        <f>+CXMODEL!L213</f>
        <v/>
      </c>
      <c r="X10" s="938">
        <f>+CXMODEL!M213</f>
        <v/>
      </c>
      <c r="Y10" s="938">
        <f>+CXMODEL!N213</f>
        <v/>
      </c>
      <c r="Z10" s="938">
        <f>+CXMODEL!O213</f>
        <v/>
      </c>
      <c r="AA10" s="938">
        <f>+CXMODEL!P213</f>
        <v/>
      </c>
      <c r="AB10" s="938">
        <f>+CXMODEL!Q213</f>
        <v/>
      </c>
      <c r="AC10" s="938">
        <f>+CXMODEL!R213</f>
        <v/>
      </c>
      <c r="AD10" s="938">
        <f>+CXMODEL!S213</f>
        <v/>
      </c>
      <c r="AE10" s="938">
        <f>+CXMODEL!T213</f>
        <v/>
      </c>
      <c r="AF10" s="938">
        <f>+CXMODEL!U213</f>
        <v/>
      </c>
      <c r="AG10" s="938">
        <f>+CXMODEL!V213</f>
        <v/>
      </c>
      <c r="AH10" s="938">
        <f>+CXMODEL!W213</f>
        <v/>
      </c>
      <c r="AI10" s="938">
        <f>+CXMODEL!X213</f>
        <v/>
      </c>
      <c r="AJ10" s="938">
        <f>+CXMODEL!Y213</f>
        <v/>
      </c>
      <c r="AK10" s="938">
        <f>+CXMODEL!Z213</f>
        <v/>
      </c>
      <c r="AL10" s="938">
        <f>+CXMODEL!AA213</f>
        <v/>
      </c>
      <c r="AM10" s="938">
        <f>+CXMODEL!AB213</f>
        <v/>
      </c>
      <c r="AN10" s="938">
        <f>+CXMODEL!AC213</f>
        <v/>
      </c>
      <c r="AO10" s="938">
        <f>+CXMODEL!AD213</f>
        <v/>
      </c>
      <c r="AP10" s="938">
        <f>+CXMODEL!AE213</f>
        <v/>
      </c>
      <c r="AQ10" s="938">
        <f>+CXMODEL!AF213</f>
        <v/>
      </c>
      <c r="AR10" s="938">
        <f>+CXMODEL!AG213</f>
        <v/>
      </c>
      <c r="AS10" s="938">
        <f>+CXMODEL!AH213</f>
        <v/>
      </c>
      <c r="AT10" s="938">
        <f>+CXMODEL!AI213</f>
        <v/>
      </c>
      <c r="AU10" s="938">
        <f>+CXMODEL!AJ213</f>
        <v/>
      </c>
      <c r="AV10" s="938">
        <f>+CXMODEL!AK213</f>
        <v/>
      </c>
      <c r="AW10" s="938">
        <f>+CXMODEL!AL213</f>
        <v/>
      </c>
      <c r="AX10" s="938">
        <f>+CXMODEL!AM213</f>
        <v/>
      </c>
      <c r="AY10" s="938">
        <f>+CXMODEL!AN213</f>
        <v/>
      </c>
      <c r="AZ10" s="938">
        <f>+CXMODEL!AO213</f>
        <v/>
      </c>
      <c r="BA10" s="938">
        <f>+CXMODEL!AP213</f>
        <v/>
      </c>
      <c r="BB10" s="938">
        <f>+CXMODEL!AQ213</f>
        <v/>
      </c>
      <c r="BC10" s="938">
        <f>+CXMODEL!AR213</f>
        <v/>
      </c>
      <c r="BD10" s="938">
        <f>+CXMODEL!AS213</f>
        <v/>
      </c>
    </row>
    <row r="11">
      <c r="A11" s="446" t="n"/>
      <c r="K11" s="445" t="n"/>
      <c r="M11" s="330" t="inlineStr">
        <is>
          <t>Capitalised operating leases</t>
        </is>
      </c>
      <c r="N11" s="938">
        <f>+CXMODEL!C214</f>
        <v/>
      </c>
      <c r="O11" s="938">
        <f>+CXMODEL!D214</f>
        <v/>
      </c>
      <c r="P11" s="938">
        <f>+CXMODEL!E214</f>
        <v/>
      </c>
      <c r="Q11" s="938">
        <f>+CXMODEL!F214</f>
        <v/>
      </c>
      <c r="R11" s="938">
        <f>+CXMODEL!G214</f>
        <v/>
      </c>
      <c r="S11" s="938">
        <f>+CXMODEL!H214</f>
        <v/>
      </c>
      <c r="T11" s="938">
        <f>+CXMODEL!I214</f>
        <v/>
      </c>
      <c r="U11" s="938">
        <f>+CXMODEL!J214</f>
        <v/>
      </c>
      <c r="V11" s="938">
        <f>+CXMODEL!K214</f>
        <v/>
      </c>
      <c r="W11" s="938">
        <f>+CXMODEL!L214</f>
        <v/>
      </c>
      <c r="X11" s="938">
        <f>+CXMODEL!M214</f>
        <v/>
      </c>
      <c r="Y11" s="938">
        <f>+CXMODEL!N214</f>
        <v/>
      </c>
      <c r="Z11" s="938">
        <f>+CXMODEL!O214</f>
        <v/>
      </c>
      <c r="AA11" s="938">
        <f>+CXMODEL!P214</f>
        <v/>
      </c>
      <c r="AB11" s="938">
        <f>+CXMODEL!Q214</f>
        <v/>
      </c>
      <c r="AC11" s="938">
        <f>+CXMODEL!R214</f>
        <v/>
      </c>
      <c r="AD11" s="938">
        <f>+CXMODEL!S214</f>
        <v/>
      </c>
      <c r="AE11" s="938">
        <f>+CXMODEL!T214</f>
        <v/>
      </c>
      <c r="AF11" s="938">
        <f>+CXMODEL!U214</f>
        <v/>
      </c>
      <c r="AG11" s="938">
        <f>+CXMODEL!V214</f>
        <v/>
      </c>
      <c r="AH11" s="938">
        <f>+CXMODEL!W214</f>
        <v/>
      </c>
      <c r="AI11" s="938">
        <f>+CXMODEL!X214</f>
        <v/>
      </c>
      <c r="AJ11" s="938">
        <f>+CXMODEL!Y214</f>
        <v/>
      </c>
      <c r="AK11" s="938">
        <f>+CXMODEL!Z214</f>
        <v/>
      </c>
      <c r="AL11" s="938">
        <f>+CXMODEL!AA214</f>
        <v/>
      </c>
      <c r="AM11" s="938">
        <f>+CXMODEL!AB214</f>
        <v/>
      </c>
      <c r="AN11" s="938">
        <f>+CXMODEL!AC214</f>
        <v/>
      </c>
      <c r="AO11" s="938">
        <f>+CXMODEL!AD214</f>
        <v/>
      </c>
      <c r="AP11" s="938">
        <f>+CXMODEL!AE214</f>
        <v/>
      </c>
      <c r="AQ11" s="938">
        <f>+CXMODEL!AF214</f>
        <v/>
      </c>
      <c r="AR11" s="938">
        <f>+CXMODEL!AG214</f>
        <v/>
      </c>
      <c r="AS11" s="938">
        <f>+CXMODEL!AH214</f>
        <v/>
      </c>
      <c r="AT11" s="938">
        <f>+CXMODEL!AI214</f>
        <v/>
      </c>
      <c r="AU11" s="938">
        <f>+CXMODEL!AJ214</f>
        <v/>
      </c>
      <c r="AV11" s="938">
        <f>+CXMODEL!AK214</f>
        <v/>
      </c>
      <c r="AW11" s="938">
        <f>+CXMODEL!AL214</f>
        <v/>
      </c>
      <c r="AX11" s="938">
        <f>+CXMODEL!AM214</f>
        <v/>
      </c>
      <c r="AY11" s="938">
        <f>+CXMODEL!AN214</f>
        <v/>
      </c>
      <c r="AZ11" s="938">
        <f>+CXMODEL!AO214</f>
        <v/>
      </c>
      <c r="BA11" s="938">
        <f>+CXMODEL!AP214</f>
        <v/>
      </c>
      <c r="BB11" s="938">
        <f>+CXMODEL!AQ214</f>
        <v/>
      </c>
      <c r="BC11" s="938">
        <f>+CXMODEL!AR214</f>
        <v/>
      </c>
      <c r="BD11" s="938">
        <f>+CXMODEL!AS214</f>
        <v/>
      </c>
    </row>
    <row r="12">
      <c r="A12" s="446" t="n"/>
      <c r="K12" s="445" t="n"/>
      <c r="M12" s="330" t="inlineStr">
        <is>
          <t>Net debt incl. capitalised leases</t>
        </is>
      </c>
      <c r="N12" s="335">
        <f>+N10+N11</f>
        <v/>
      </c>
      <c r="O12" s="335">
        <f>+O10+O11</f>
        <v/>
      </c>
      <c r="P12" s="335">
        <f>+P10+P11</f>
        <v/>
      </c>
      <c r="Q12" s="335">
        <f>+Q10+Q11</f>
        <v/>
      </c>
      <c r="R12" s="335">
        <f>+R10+R11</f>
        <v/>
      </c>
      <c r="S12" s="335">
        <f>+S10+S11</f>
        <v/>
      </c>
      <c r="T12" s="335">
        <f>+T10+T11</f>
        <v/>
      </c>
      <c r="U12" s="335">
        <f>+U10+U11</f>
        <v/>
      </c>
      <c r="V12" s="335">
        <f>+V10+V11</f>
        <v/>
      </c>
      <c r="W12" s="335">
        <f>+W10+W11</f>
        <v/>
      </c>
      <c r="X12" s="335">
        <f>+X10+X11</f>
        <v/>
      </c>
      <c r="Y12" s="335">
        <f>+Y10+Y11</f>
        <v/>
      </c>
      <c r="Z12" s="335">
        <f>+Z10+Z11</f>
        <v/>
      </c>
      <c r="AA12" s="335">
        <f>+AA10+AA11</f>
        <v/>
      </c>
      <c r="AB12" s="335">
        <f>+AB10+AB11</f>
        <v/>
      </c>
      <c r="AC12" s="335">
        <f>+AC10+AC11</f>
        <v/>
      </c>
      <c r="AD12" s="335">
        <f>+AD10+AD11</f>
        <v/>
      </c>
      <c r="AE12" s="335">
        <f>+AE10+AE11</f>
        <v/>
      </c>
      <c r="AF12" s="335">
        <f>+AF10+AF11</f>
        <v/>
      </c>
      <c r="AG12" s="335">
        <f>+AG10+AG11</f>
        <v/>
      </c>
      <c r="AH12" s="335">
        <f>+AH10+AH11</f>
        <v/>
      </c>
      <c r="AI12" s="335">
        <f>+AI10+AI11</f>
        <v/>
      </c>
      <c r="AJ12" s="335">
        <f>+AJ10+AJ11</f>
        <v/>
      </c>
      <c r="AK12" s="335">
        <f>+AK10+AK11</f>
        <v/>
      </c>
      <c r="AL12" s="335">
        <f>+AL10+AL11</f>
        <v/>
      </c>
      <c r="AM12" s="335">
        <f>+AM10+AM11</f>
        <v/>
      </c>
      <c r="AN12" s="335">
        <f>+AN10+AN11</f>
        <v/>
      </c>
      <c r="AO12" s="335">
        <f>+AO10+AO11</f>
        <v/>
      </c>
      <c r="AP12" s="335">
        <f>+AP10+AP11</f>
        <v/>
      </c>
      <c r="AQ12" s="335">
        <f>+AQ10+AQ11</f>
        <v/>
      </c>
      <c r="AR12" s="335">
        <f>+AR10+AR11</f>
        <v/>
      </c>
      <c r="AS12" s="335">
        <f>+AS10+AS11</f>
        <v/>
      </c>
      <c r="AT12" s="335">
        <f>+AT10+AT11</f>
        <v/>
      </c>
      <c r="AU12" s="335">
        <f>+AU10+AU11</f>
        <v/>
      </c>
      <c r="AV12" s="335">
        <f>+AV10+AV11</f>
        <v/>
      </c>
      <c r="AW12" s="335">
        <f>+AW10+AW11</f>
        <v/>
      </c>
      <c r="AX12" s="335">
        <f>+AX10+AX11</f>
        <v/>
      </c>
      <c r="AY12" s="335">
        <f>+AY10+AY11</f>
        <v/>
      </c>
      <c r="AZ12" s="335">
        <f>+AZ10+AZ11</f>
        <v/>
      </c>
      <c r="BA12" s="335">
        <f>+BA10+BA11</f>
        <v/>
      </c>
      <c r="BB12" s="335">
        <f>+BB10+BB11</f>
        <v/>
      </c>
      <c r="BC12" s="335">
        <f>+BC10+BC11</f>
        <v/>
      </c>
      <c r="BD12" s="335">
        <f>+BD10+BD11</f>
        <v/>
      </c>
    </row>
    <row r="13">
      <c r="A13" s="437" t="inlineStr">
        <is>
          <t>Sustainable ROE</t>
        </is>
      </c>
      <c r="B13" s="939">
        <f>AVERAGE(B8,B9)</f>
        <v/>
      </c>
      <c r="K13" s="445" t="n"/>
      <c r="M13" s="330" t="inlineStr">
        <is>
          <t>Net gearing  (LHS)</t>
        </is>
      </c>
      <c r="N13" s="943">
        <f>N12/N8</f>
        <v/>
      </c>
      <c r="O13" s="943">
        <f>O12/O8</f>
        <v/>
      </c>
      <c r="P13" s="943">
        <f>P12/P8</f>
        <v/>
      </c>
      <c r="Q13" s="943">
        <f>Q12/Q8</f>
        <v/>
      </c>
      <c r="R13" s="943">
        <f>R12/R8</f>
        <v/>
      </c>
      <c r="S13" s="943">
        <f>S12/S8</f>
        <v/>
      </c>
      <c r="T13" s="943">
        <f>T12/T8</f>
        <v/>
      </c>
      <c r="U13" s="943">
        <f>U12/U8</f>
        <v/>
      </c>
      <c r="V13" s="943">
        <f>V12/V8</f>
        <v/>
      </c>
      <c r="W13" s="943">
        <f>W12/W8</f>
        <v/>
      </c>
      <c r="X13" s="943">
        <f>X12/X8</f>
        <v/>
      </c>
      <c r="Y13" s="943">
        <f>Y12/Y8</f>
        <v/>
      </c>
      <c r="Z13" s="943">
        <f>Z12/Z8</f>
        <v/>
      </c>
      <c r="AA13" s="943">
        <f>AA12/AA8</f>
        <v/>
      </c>
      <c r="AB13" s="943">
        <f>AB12/AB8</f>
        <v/>
      </c>
      <c r="AC13" s="943">
        <f>AC12/AC8</f>
        <v/>
      </c>
      <c r="AD13" s="943">
        <f>AD12/AD8</f>
        <v/>
      </c>
      <c r="AE13" s="943">
        <f>AE12/AE8</f>
        <v/>
      </c>
      <c r="AF13" s="943">
        <f>AF12/AF8</f>
        <v/>
      </c>
      <c r="AG13" s="943">
        <f>AG12/AG8</f>
        <v/>
      </c>
      <c r="AH13" s="943">
        <f>AH12/AH8</f>
        <v/>
      </c>
      <c r="AI13" s="943">
        <f>AI12/AI8</f>
        <v/>
      </c>
      <c r="AJ13" s="943">
        <f>AJ12/AJ8</f>
        <v/>
      </c>
      <c r="AK13" s="943">
        <f>AK12/AK8</f>
        <v/>
      </c>
      <c r="AL13" s="943">
        <f>AL12/AL8</f>
        <v/>
      </c>
      <c r="AM13" s="943">
        <f>AM12/AM8</f>
        <v/>
      </c>
      <c r="AN13" s="943">
        <f>AN12/AN8</f>
        <v/>
      </c>
      <c r="AO13" s="943">
        <f>AO12/AO8</f>
        <v/>
      </c>
      <c r="AP13" s="943">
        <f>AP12/AP8</f>
        <v/>
      </c>
      <c r="AQ13" s="943">
        <f>AQ12/AQ8</f>
        <v/>
      </c>
      <c r="AR13" s="943">
        <f>AR12/AR8</f>
        <v/>
      </c>
      <c r="AS13" s="943">
        <f>AS12/AS8</f>
        <v/>
      </c>
      <c r="AT13" s="943">
        <f>AT12/AT8</f>
        <v/>
      </c>
      <c r="AU13" s="943">
        <f>AU12/AU8</f>
        <v/>
      </c>
      <c r="AV13" s="943">
        <f>AV12/AV8</f>
        <v/>
      </c>
      <c r="AW13" s="943">
        <f>AW12/AW8</f>
        <v/>
      </c>
      <c r="AX13" s="943">
        <f>AX12/AX8</f>
        <v/>
      </c>
      <c r="AY13" s="943">
        <f>AY12/AY8</f>
        <v/>
      </c>
      <c r="AZ13" s="943">
        <f>AZ12/AZ8</f>
        <v/>
      </c>
      <c r="BA13" s="943">
        <f>BA12/BA8</f>
        <v/>
      </c>
      <c r="BB13" s="943">
        <f>BB12/BB8</f>
        <v/>
      </c>
      <c r="BC13" s="943">
        <f>BC12/BC8</f>
        <v/>
      </c>
      <c r="BD13" s="943">
        <f>BD12/BD8</f>
        <v/>
      </c>
    </row>
    <row r="14">
      <c r="A14" s="437" t="inlineStr">
        <is>
          <t>Risk-free rate</t>
        </is>
      </c>
      <c r="B14" s="944" t="n">
        <v>0.04</v>
      </c>
      <c r="K14" s="445" t="n"/>
      <c r="M14" s="337" t="n"/>
      <c r="N14" s="337" t="n"/>
      <c r="O14" s="337" t="n"/>
      <c r="P14" s="337" t="n"/>
      <c r="Q14" s="337" t="n"/>
      <c r="R14" s="337" t="n"/>
      <c r="S14" s="337" t="n"/>
      <c r="T14" s="337" t="n"/>
      <c r="U14" s="337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  <c r="AD14" s="337" t="n"/>
      <c r="AE14" s="337" t="n"/>
      <c r="AF14" s="337" t="n"/>
      <c r="AG14" s="337" t="n"/>
      <c r="AH14" s="337" t="n"/>
      <c r="AI14" s="337" t="n"/>
      <c r="AJ14" s="337" t="n"/>
      <c r="AK14" s="337" t="n"/>
      <c r="AL14" s="338" t="n"/>
      <c r="AM14" s="338" t="n"/>
      <c r="AN14" s="338" t="n"/>
      <c r="AO14" s="338" t="n"/>
      <c r="AP14" s="338" t="n"/>
      <c r="AQ14" s="338" t="n"/>
      <c r="AR14" s="338" t="n"/>
      <c r="AS14" s="338" t="n"/>
      <c r="AT14" s="338" t="n"/>
      <c r="AU14" s="338" t="n"/>
      <c r="AV14" s="338" t="n"/>
      <c r="AW14" s="338" t="n"/>
      <c r="AX14" s="338" t="n"/>
      <c r="AY14" s="338" t="n"/>
      <c r="AZ14" s="338" t="n"/>
      <c r="BA14" s="338" t="n"/>
    </row>
    <row r="15">
      <c r="A15" s="437" t="inlineStr">
        <is>
          <t>Equity risk premium</t>
        </is>
      </c>
      <c r="B15" s="944" t="n">
        <v>0.05</v>
      </c>
      <c r="K15" s="445" t="n"/>
      <c r="M15" s="933" t="n"/>
      <c r="AL15" s="339" t="n"/>
      <c r="AU15" s="340" t="n"/>
      <c r="AV15" s="340" t="n"/>
      <c r="AW15" s="340" t="n"/>
      <c r="AX15" s="340" t="n"/>
      <c r="AY15" s="340" t="n"/>
      <c r="AZ15" s="340" t="n"/>
      <c r="BA15" s="340" t="n"/>
    </row>
    <row r="16">
      <c r="A16" s="437" t="inlineStr">
        <is>
          <t>Beta</t>
        </is>
      </c>
      <c r="B16" s="945">
        <f>SharePrice!$I$3</f>
        <v/>
      </c>
      <c r="K16" s="445" t="n"/>
      <c r="M16" s="337" t="n"/>
      <c r="AL16" s="341" t="n"/>
      <c r="AM16" s="341" t="n"/>
      <c r="AN16" s="341" t="n"/>
      <c r="AO16" s="341" t="n"/>
      <c r="AP16" s="341" t="n"/>
      <c r="AQ16" s="341" t="n"/>
      <c r="AR16" s="341" t="n"/>
      <c r="AS16" s="341" t="n"/>
      <c r="AT16" s="341" t="n"/>
      <c r="AU16" s="341" t="n"/>
      <c r="AV16" s="341" t="n"/>
      <c r="AW16" s="341" t="n"/>
      <c r="AX16" s="341" t="n"/>
      <c r="AY16" s="341" t="n"/>
      <c r="AZ16" s="341" t="n"/>
      <c r="BA16" s="341" t="n"/>
    </row>
    <row r="17">
      <c r="A17" s="437" t="inlineStr">
        <is>
          <t>COE</t>
        </is>
      </c>
      <c r="B17" s="936">
        <f>B14+B15*B16</f>
        <v/>
      </c>
      <c r="K17" s="445" t="n"/>
      <c r="AL17" s="946" t="n"/>
      <c r="AM17" s="946" t="n"/>
      <c r="AN17" s="946" t="n"/>
      <c r="AO17" s="946" t="n"/>
      <c r="AP17" s="946" t="n"/>
      <c r="AQ17" s="946" t="n"/>
      <c r="AR17" s="343" t="n"/>
      <c r="AS17" s="946" t="n"/>
      <c r="AT17" s="946" t="n"/>
      <c r="AU17" s="946" t="n"/>
      <c r="AV17" s="946" t="n"/>
      <c r="AW17" s="946" t="n"/>
      <c r="AX17" s="946" t="n"/>
      <c r="AY17" s="946" t="n"/>
      <c r="AZ17" s="946" t="n"/>
      <c r="BA17" s="946" t="n"/>
    </row>
    <row r="18">
      <c r="A18" s="437" t="inlineStr">
        <is>
          <t>g</t>
        </is>
      </c>
      <c r="B18" s="939" t="n">
        <v>0</v>
      </c>
      <c r="K18" s="445" t="n"/>
    </row>
    <row r="19">
      <c r="A19" s="437" t="inlineStr">
        <is>
          <t>Target Price to book (x)</t>
        </is>
      </c>
      <c r="B19" s="947">
        <f>(B13-B18)/(B17-B18)</f>
        <v/>
      </c>
      <c r="K19" s="445" t="n"/>
    </row>
    <row r="20">
      <c r="A20" s="437" t="n"/>
      <c r="B20" s="448" t="n"/>
      <c r="C20" s="448" t="n"/>
      <c r="D20" s="448" t="n"/>
      <c r="E20" s="448" t="n"/>
      <c r="F20" s="448" t="n"/>
      <c r="G20" s="448" t="n"/>
      <c r="H20" s="448" t="n"/>
      <c r="I20" s="448" t="n"/>
      <c r="J20" s="448" t="n"/>
      <c r="K20" s="449" t="n"/>
    </row>
    <row r="21">
      <c r="A21" s="450" t="inlineStr">
        <is>
          <t>BV per share (HK$)</t>
        </is>
      </c>
      <c r="B21" s="409">
        <f>+CXMODEL!AJ221</f>
        <v/>
      </c>
      <c r="C21" s="409">
        <f>+CXMODEL!AK221</f>
        <v/>
      </c>
      <c r="D21" s="409">
        <f>+CXMODEL!AL221</f>
        <v/>
      </c>
      <c r="E21" s="409">
        <f>+CXMODEL!AM221</f>
        <v/>
      </c>
      <c r="F21" s="409">
        <f>+CXMODEL!AN221</f>
        <v/>
      </c>
      <c r="G21" s="410">
        <f>+CXMODEL!AO221</f>
        <v/>
      </c>
      <c r="H21" s="410">
        <f>+CXMODEL!AP221</f>
        <v/>
      </c>
      <c r="I21" s="409">
        <f>+CXMODEL!AQ221</f>
        <v/>
      </c>
      <c r="J21" s="409">
        <f>+CXMODEL!AR221</f>
        <v/>
      </c>
      <c r="K21" s="451">
        <f>+CXMODEL!AS221</f>
        <v/>
      </c>
    </row>
    <row r="22">
      <c r="A22" s="839" t="inlineStr">
        <is>
          <t>DPS (HK$)</t>
        </is>
      </c>
      <c r="B22" s="840">
        <f>CXMODEL!AJ168</f>
        <v/>
      </c>
      <c r="C22" s="840">
        <f>CXMODEL!AK168</f>
        <v/>
      </c>
      <c r="D22" s="840">
        <f>CXMODEL!AL168</f>
        <v/>
      </c>
      <c r="E22" s="840">
        <f>CXMODEL!AM168</f>
        <v/>
      </c>
      <c r="F22" s="840">
        <f>CXMODEL!AN168</f>
        <v/>
      </c>
      <c r="G22" s="840">
        <f>CXMODEL!AO168</f>
        <v/>
      </c>
      <c r="H22" s="840">
        <f>CXMODEL!AP168</f>
        <v/>
      </c>
      <c r="I22" s="840">
        <f>CXMODEL!AQ168</f>
        <v/>
      </c>
      <c r="J22" s="840">
        <f>CXMODEL!AR168</f>
        <v/>
      </c>
      <c r="K22" s="841">
        <f>CXMODEL!AS168</f>
        <v/>
      </c>
    </row>
    <row r="23">
      <c r="A23" s="437" t="inlineStr">
        <is>
          <t>Time weight of 2026E BVPS</t>
        </is>
      </c>
      <c r="B23" s="649">
        <f>(DATE(H$6,12,31)-B$5)/(DATE(I$6,12,31)-DATE(H$6,12,31))</f>
        <v/>
      </c>
      <c r="C23" s="452" t="n"/>
      <c r="D23" s="452" t="n"/>
      <c r="E23" s="452" t="n"/>
      <c r="F23" s="452" t="n"/>
      <c r="G23" s="452" t="n"/>
      <c r="H23" s="452" t="n"/>
      <c r="I23" s="452" t="n"/>
      <c r="J23" s="452" t="n"/>
      <c r="K23" s="453" t="n"/>
    </row>
    <row r="24">
      <c r="A24" s="437" t="inlineStr">
        <is>
          <t>Time weight of 2027E BVPS</t>
        </is>
      </c>
      <c r="B24" s="649">
        <f>1-B23</f>
        <v/>
      </c>
      <c r="C24" s="452" t="n"/>
      <c r="D24" s="452" t="n"/>
      <c r="E24" s="452" t="n"/>
      <c r="F24" s="452" t="n"/>
      <c r="G24" s="452" t="n"/>
      <c r="H24" s="452" t="n"/>
      <c r="I24" s="452" t="n"/>
      <c r="J24" s="452" t="n"/>
      <c r="K24" s="453" t="n"/>
    </row>
    <row r="25">
      <c r="A25" s="650" t="inlineStr">
        <is>
          <t>NTM BVPS (HK$/sh)</t>
        </is>
      </c>
      <c r="B25" s="651">
        <f>B23*H21+B24*I21</f>
        <v/>
      </c>
      <c r="C25" s="452" t="n"/>
      <c r="D25" s="452" t="n"/>
      <c r="E25" s="452" t="n"/>
      <c r="F25" s="452" t="n"/>
      <c r="G25" s="452" t="n"/>
      <c r="H25" s="452" t="n"/>
      <c r="I25" s="452" t="n"/>
      <c r="J25" s="452" t="n"/>
      <c r="K25" s="453" t="n"/>
    </row>
    <row r="26" ht="13.5" customHeight="1" s="239" thickBot="1">
      <c r="A26" s="437" t="n"/>
      <c r="K26" s="445" t="n"/>
    </row>
    <row r="27" ht="13.5" customHeight="1" s="239" thickBot="1">
      <c r="A27" s="408" t="inlineStr">
        <is>
          <t>Price Target</t>
        </is>
      </c>
      <c r="B27" s="948">
        <f>ROUND(B25*B19,1)</f>
        <v/>
      </c>
      <c r="C27" s="949" t="n"/>
      <c r="D27" s="455" t="n"/>
      <c r="E27" s="456" t="n"/>
      <c r="F27" s="455" t="n"/>
      <c r="G27" s="455" t="n"/>
      <c r="H27" s="457" t="n"/>
      <c r="I27" s="457" t="n"/>
      <c r="J27" s="457" t="n"/>
      <c r="K27" s="458" t="n"/>
    </row>
    <row r="28">
      <c r="C28" s="950" t="n"/>
    </row>
    <row r="29">
      <c r="A29" s="346" t="inlineStr">
        <is>
          <t>RATINGS</t>
        </is>
      </c>
      <c r="B29" s="347" t="n"/>
      <c r="F29" s="951" t="n"/>
      <c r="K29" s="322" t="inlineStr">
        <is>
          <t> </t>
        </is>
      </c>
    </row>
    <row r="30">
      <c r="A30" s="348" t="inlineStr">
        <is>
          <t>Spot price</t>
        </is>
      </c>
      <c r="B30" s="952">
        <f>INDEX(SharePrice!$B:$B,MATCH(B$5,SharePrice!$A:$A,0),1,1)</f>
        <v/>
      </c>
    </row>
    <row r="31">
      <c r="A31" s="350" t="n"/>
      <c r="B31" s="351" t="n"/>
    </row>
    <row r="32">
      <c r="A32" s="352" t="inlineStr">
        <is>
          <t>Upside (Downside)</t>
        </is>
      </c>
      <c r="B32" s="953">
        <f>+B27/B30-1</f>
        <v/>
      </c>
      <c r="G32" s="954" t="n"/>
      <c r="H32" s="954" t="n"/>
      <c r="I32" s="954" t="n"/>
      <c r="J32" s="954" t="n"/>
    </row>
    <row r="33">
      <c r="A33" s="352" t="n"/>
      <c r="B33" s="351" t="n"/>
    </row>
    <row r="34">
      <c r="A34" s="354" t="inlineStr">
        <is>
          <t>Add: Dividend yield (2026E)</t>
        </is>
      </c>
      <c r="B34" s="955">
        <f>H22/B30</f>
        <v/>
      </c>
    </row>
    <row r="35">
      <c r="A35" s="354" t="inlineStr">
        <is>
          <t>Less: Market return assumption</t>
        </is>
      </c>
      <c r="B35" s="955" t="n">
        <v>0.08</v>
      </c>
    </row>
    <row r="36">
      <c r="A36" s="354" t="n"/>
      <c r="B36" s="351" t="n"/>
    </row>
    <row r="37">
      <c r="A37" s="354" t="inlineStr">
        <is>
          <t>Forecast excess return</t>
        </is>
      </c>
      <c r="B37" s="955">
        <f>B32+B34-B35</f>
        <v/>
      </c>
    </row>
    <row r="38">
      <c r="A38" s="356" t="inlineStr">
        <is>
          <t>Rating</t>
        </is>
      </c>
      <c r="B38" s="357">
        <f>IF(B37&gt;6%, "BUY",IF(B37&lt;-6%,"SELL","NEUTRAL"))</f>
        <v/>
      </c>
    </row>
    <row r="39"/>
    <row r="40">
      <c r="A40" s="322" t="inlineStr">
        <is>
          <t>Previous PT (26/6/2026)</t>
        </is>
      </c>
      <c r="B40" s="854" t="n">
        <v>16.9</v>
      </c>
    </row>
    <row r="41">
      <c r="A41" s="853" t="inlineStr">
        <is>
          <t>PT change %</t>
        </is>
      </c>
      <c r="B41" s="954">
        <f>B27/B40-1</f>
        <v/>
      </c>
    </row>
    <row r="42"/>
    <row r="43" customFormat="1" s="337">
      <c r="A43" s="337" t="inlineStr">
        <is>
          <t>Implied by spot price</t>
        </is>
      </c>
      <c r="E43" s="860">
        <f>E$6</f>
        <v/>
      </c>
      <c r="F43" s="860">
        <f>F$6</f>
        <v/>
      </c>
      <c r="G43" s="860">
        <f>G$6</f>
        <v/>
      </c>
      <c r="H43" s="860">
        <f>H$6</f>
        <v/>
      </c>
      <c r="I43" s="860">
        <f>I$6</f>
        <v/>
      </c>
      <c r="J43" s="860">
        <f>J$6</f>
        <v/>
      </c>
      <c r="K43" s="860">
        <f>K$6</f>
        <v/>
      </c>
    </row>
    <row r="44">
      <c r="A44" s="322" t="inlineStr">
        <is>
          <t>P/B</t>
        </is>
      </c>
      <c r="B44" s="943" t="n"/>
      <c r="C44" s="943" t="n"/>
      <c r="D44" s="943" t="n"/>
      <c r="E44" s="943">
        <f>+$B$30/E$21</f>
        <v/>
      </c>
      <c r="F44" s="943">
        <f>+$B$30/F$21</f>
        <v/>
      </c>
      <c r="G44" s="943">
        <f>+$B$30/G$21</f>
        <v/>
      </c>
      <c r="H44" s="943">
        <f>+$B$30/H$21</f>
        <v/>
      </c>
      <c r="I44" s="943">
        <f>+$B$30/I$21</f>
        <v/>
      </c>
      <c r="J44" s="943">
        <f>+$B$30/J$21</f>
        <v/>
      </c>
      <c r="K44" s="943">
        <f>+$B$30/K$21</f>
        <v/>
      </c>
    </row>
    <row r="45">
      <c r="A45" s="322" t="inlineStr">
        <is>
          <t>EV/EBITDA</t>
        </is>
      </c>
      <c r="B45" s="943" t="n"/>
      <c r="C45" s="943" t="n"/>
      <c r="D45" s="943" t="n"/>
      <c r="E45" s="943">
        <f>(+($B$30*CXMODEL!$AJ$170)+$BA$10)/(CXMODEL!AM133+CXMODEL!AM129)</f>
        <v/>
      </c>
      <c r="F45" s="943">
        <f>(+($B$30*CXMODEL!$AJ$170)+$BA$10)/(CXMODEL!AN133+CXMODEL!AN129)</f>
        <v/>
      </c>
      <c r="G45" s="943">
        <f>(+($B$30*CXMODEL!$AJ$170)+$AZ$10)/(CXMODEL!AO133+CXMODEL!AO129)</f>
        <v/>
      </c>
      <c r="H45" s="943">
        <f>(+($B$30*CXMODEL!$AJ$170)+$BA$10)/(CXMODEL!AP133+CXMODEL!AP129)</f>
        <v/>
      </c>
      <c r="I45" s="943">
        <f>(+($B$30*CXMODEL!$AJ$170)+$BA$10)/(CXMODEL!AQ133+CXMODEL!AQ129)</f>
        <v/>
      </c>
      <c r="J45" s="943">
        <f>(+($B$30*CXMODEL!$AJ$170)+$BA$10)/(CXMODEL!AR133+CXMODEL!AR129)</f>
        <v/>
      </c>
      <c r="K45" s="943">
        <f>(+($B$30*CXMODEL!$AJ$170)+$BA$10)/(CXMODEL!AS133+CXMODEL!AS129)</f>
        <v/>
      </c>
    </row>
    <row r="46">
      <c r="A46" s="322" t="inlineStr">
        <is>
          <t>P/E</t>
        </is>
      </c>
      <c r="B46" s="943" t="n"/>
      <c r="C46" s="943" t="n"/>
      <c r="D46" s="943" t="n"/>
      <c r="E46" s="943">
        <f>+$B$30/CXMODEL!AM$165</f>
        <v/>
      </c>
      <c r="F46" s="943">
        <f>+$B$30/CXMODEL!AN$165</f>
        <v/>
      </c>
      <c r="G46" s="943">
        <f>+$B$30/CXMODEL!AO$165</f>
        <v/>
      </c>
      <c r="H46" s="943">
        <f>+$B$30/CXMODEL!AP$165</f>
        <v/>
      </c>
      <c r="I46" s="943">
        <f>+$B$30/CXMODEL!AQ$165</f>
        <v/>
      </c>
      <c r="J46" s="943">
        <f>+$B$30/CXMODEL!AR$165</f>
        <v/>
      </c>
      <c r="K46" s="943">
        <f>+$B$30/CXMODEL!AS$165</f>
        <v/>
      </c>
    </row>
    <row r="47">
      <c r="A47" s="322" t="inlineStr">
        <is>
          <t>Div Yield</t>
        </is>
      </c>
      <c r="B47" s="943" t="n"/>
      <c r="C47" s="943" t="n"/>
      <c r="D47" s="943" t="n"/>
      <c r="E47" s="941">
        <f>E22/$B$30</f>
        <v/>
      </c>
      <c r="F47" s="941">
        <f>F22/$B$30</f>
        <v/>
      </c>
      <c r="G47" s="941">
        <f>G22/$B$30</f>
        <v/>
      </c>
      <c r="H47" s="941">
        <f>H22/$B$30</f>
        <v/>
      </c>
      <c r="I47" s="941">
        <f>I22/$B$30</f>
        <v/>
      </c>
      <c r="J47" s="941">
        <f>J22/$B$30</f>
        <v/>
      </c>
      <c r="K47" s="941">
        <f>K22/$B$30</f>
        <v/>
      </c>
    </row>
    <row r="48">
      <c r="A48" s="337" t="inlineStr">
        <is>
          <t>Implied by target PT</t>
        </is>
      </c>
      <c r="C48" s="358" t="n"/>
      <c r="E48" s="860">
        <f>E$6</f>
        <v/>
      </c>
      <c r="F48" s="860">
        <f>F$6</f>
        <v/>
      </c>
      <c r="G48" s="860">
        <f>G$6</f>
        <v/>
      </c>
      <c r="H48" s="860">
        <f>H$6</f>
        <v/>
      </c>
      <c r="I48" s="860">
        <f>I$6</f>
        <v/>
      </c>
      <c r="J48" s="860">
        <f>J$6</f>
        <v/>
      </c>
      <c r="K48" s="860">
        <f>K$6</f>
        <v/>
      </c>
    </row>
    <row r="49">
      <c r="A49" s="322" t="inlineStr">
        <is>
          <t>P/B</t>
        </is>
      </c>
      <c r="C49" s="358" t="n"/>
      <c r="E49" s="943">
        <f>+$B$27/E$21</f>
        <v/>
      </c>
      <c r="F49" s="943">
        <f>+$B$27/F$21</f>
        <v/>
      </c>
      <c r="G49" s="943">
        <f>+$B$27/G$21</f>
        <v/>
      </c>
      <c r="H49" s="943">
        <f>+$B$27/H$21</f>
        <v/>
      </c>
      <c r="I49" s="943">
        <f>+$B$27/I$21</f>
        <v/>
      </c>
      <c r="J49" s="943">
        <f>+$B$27/J$21</f>
        <v/>
      </c>
      <c r="K49" s="943">
        <f>+$B$27/K$21</f>
        <v/>
      </c>
    </row>
    <row r="50">
      <c r="A50" s="322" t="inlineStr">
        <is>
          <t>EV/EBITDA</t>
        </is>
      </c>
      <c r="C50" s="358" t="n"/>
      <c r="E50" s="943">
        <f>(+($B$27*CXMODEL!$AJ$170)+$BA$10)/(CXMODEL!AM133+CXMODEL!AM129)</f>
        <v/>
      </c>
      <c r="F50" s="943">
        <f>(+($B$27*CXMODEL!$AJ$170)+$BA$10)/(CXMODEL!AN133+CXMODEL!AN129)</f>
        <v/>
      </c>
      <c r="G50" s="943">
        <f>(+($B$27*CXMODEL!$AJ$170)+$AZ$10)/(CXMODEL!AO133+CXMODEL!AO129)</f>
        <v/>
      </c>
      <c r="H50" s="943">
        <f>(+($B$27*CXMODEL!$AJ$170)+$BA$10)/(CXMODEL!AP133+CXMODEL!AP129)</f>
        <v/>
      </c>
      <c r="I50" s="943">
        <f>(+($B$27*CXMODEL!$AJ$170)+$BA$10)/(CXMODEL!AQ133+CXMODEL!AQ129)</f>
        <v/>
      </c>
      <c r="J50" s="943">
        <f>(+($B$27*CXMODEL!$AJ$170)+$BA$10)/(CXMODEL!AR133+CXMODEL!AR129)</f>
        <v/>
      </c>
      <c r="K50" s="943">
        <f>(+($B$27*CXMODEL!$AJ$170)+$BA$10)/(CXMODEL!AS133+CXMODEL!AS129)</f>
        <v/>
      </c>
    </row>
    <row r="51">
      <c r="A51" s="322" t="inlineStr">
        <is>
          <t>P/E</t>
        </is>
      </c>
      <c r="C51" s="358" t="n"/>
      <c r="E51" s="943">
        <f>+$B$27/CXMODEL!AM$165</f>
        <v/>
      </c>
      <c r="F51" s="943">
        <f>+$B$27/CXMODEL!AN$165</f>
        <v/>
      </c>
      <c r="G51" s="943">
        <f>+$B$27/CXMODEL!AO$165</f>
        <v/>
      </c>
      <c r="H51" s="943">
        <f>+$B$27/CXMODEL!AP$165</f>
        <v/>
      </c>
      <c r="I51" s="943">
        <f>+$B$27/CXMODEL!AQ$165</f>
        <v/>
      </c>
      <c r="J51" s="943">
        <f>+$B$27/CXMODEL!AR$165</f>
        <v/>
      </c>
      <c r="K51" s="943">
        <f>+$B$27/CXMODEL!AS$165</f>
        <v/>
      </c>
    </row>
    <row r="52">
      <c r="A52" s="322" t="inlineStr">
        <is>
          <t>Div Yield</t>
        </is>
      </c>
      <c r="C52" s="358" t="n"/>
      <c r="E52" s="941">
        <f>E22/$B$27</f>
        <v/>
      </c>
      <c r="F52" s="941">
        <f>F22/$B$27</f>
        <v/>
      </c>
      <c r="G52" s="941">
        <f>G22/$B$27</f>
        <v/>
      </c>
      <c r="H52" s="941">
        <f>H22/$B$27</f>
        <v/>
      </c>
      <c r="I52" s="941">
        <f>I22/$B$27</f>
        <v/>
      </c>
      <c r="J52" s="941">
        <f>J22/$B$27</f>
        <v/>
      </c>
      <c r="K52" s="941">
        <f>K22/$B$27</f>
        <v/>
      </c>
    </row>
    <row r="53">
      <c r="C53" s="359" t="n"/>
      <c r="N53" s="360" t="n"/>
      <c r="O53" s="360" t="n"/>
      <c r="P53" s="360" t="n"/>
      <c r="Q53" s="360" t="n"/>
      <c r="R53" s="360" t="n"/>
      <c r="S53" s="360" t="n"/>
      <c r="T53" s="360" t="n"/>
      <c r="U53" s="360" t="n"/>
      <c r="V53" s="360" t="n"/>
      <c r="W53" s="360" t="n"/>
      <c r="X53" s="360" t="n"/>
      <c r="Y53" s="360" t="n"/>
      <c r="Z53" s="360" t="n"/>
      <c r="AA53" s="360" t="n"/>
      <c r="AB53" s="360" t="n"/>
      <c r="AC53" s="360" t="n"/>
      <c r="AD53" s="360" t="n"/>
      <c r="AE53" s="360" t="n"/>
      <c r="AF53" s="360" t="n"/>
      <c r="AG53" s="360" t="n"/>
      <c r="AH53" s="360" t="n"/>
      <c r="AI53" s="360" t="n"/>
      <c r="AJ53" s="360" t="n"/>
      <c r="AK53" s="360" t="n"/>
      <c r="AL53" s="360" t="n"/>
      <c r="AM53" s="360" t="n"/>
      <c r="AN53" s="360" t="n"/>
      <c r="AO53" s="360" t="n"/>
      <c r="AP53" s="360" t="n"/>
      <c r="AQ53" s="360" t="n"/>
      <c r="AR53" s="360" t="n"/>
      <c r="AS53" s="360" t="n"/>
      <c r="AT53" s="360" t="n"/>
      <c r="AU53" s="360" t="n"/>
      <c r="AV53" s="360" t="n"/>
      <c r="AW53" s="360" t="n"/>
      <c r="AX53" s="360" t="n"/>
      <c r="AY53" s="360" t="n"/>
      <c r="AZ53" s="360" t="n"/>
      <c r="BA53" s="360" t="n"/>
    </row>
    <row r="54">
      <c r="C54" s="359" t="n"/>
      <c r="N54" s="361" t="n"/>
      <c r="O54" s="361" t="n"/>
      <c r="P54" s="361" t="n"/>
      <c r="Q54" s="361" t="n"/>
      <c r="R54" s="361" t="n"/>
      <c r="S54" s="361" t="n"/>
      <c r="T54" s="361" t="n"/>
      <c r="U54" s="361" t="n"/>
      <c r="V54" s="361" t="n"/>
      <c r="W54" s="361" t="n"/>
      <c r="X54" s="361" t="n"/>
      <c r="Y54" s="361" t="n"/>
      <c r="Z54" s="361" t="n"/>
      <c r="AA54" s="361" t="n"/>
      <c r="AB54" s="361" t="n"/>
      <c r="AC54" s="361" t="n"/>
      <c r="AD54" s="361" t="n"/>
      <c r="AE54" s="361" t="n"/>
      <c r="AF54" s="361" t="n"/>
      <c r="AG54" s="361" t="n"/>
      <c r="AH54" s="361" t="n"/>
      <c r="AI54" s="361" t="n"/>
      <c r="AJ54" s="361" t="n"/>
      <c r="AK54" s="361" t="n"/>
      <c r="AL54" s="361" t="n"/>
      <c r="AM54" s="361" t="n"/>
      <c r="AN54" s="361" t="n"/>
      <c r="AO54" s="361" t="n"/>
      <c r="AP54" s="361" t="n"/>
      <c r="AQ54" s="361" t="n"/>
      <c r="AR54" s="361" t="n"/>
      <c r="AS54" s="361" t="n"/>
      <c r="AT54" s="361" t="n"/>
      <c r="AU54" s="361" t="n"/>
      <c r="AV54" s="361" t="n"/>
      <c r="AW54" s="361" t="n"/>
      <c r="AX54" s="361" t="n"/>
      <c r="AY54" s="361" t="n"/>
      <c r="AZ54" s="361" t="n"/>
      <c r="BA54" s="361" t="n"/>
    </row>
    <row r="55">
      <c r="C55" s="359" t="n"/>
      <c r="F55" s="358" t="n"/>
      <c r="N55" s="956" t="n"/>
      <c r="O55" s="956" t="n"/>
      <c r="P55" s="956" t="n"/>
      <c r="Q55" s="956" t="n"/>
      <c r="R55" s="956" t="n"/>
      <c r="S55" s="956" t="n"/>
      <c r="T55" s="956" t="n"/>
      <c r="U55" s="956" t="n"/>
      <c r="V55" s="956" t="n"/>
      <c r="W55" s="956" t="n"/>
      <c r="X55" s="956" t="n"/>
      <c r="Y55" s="956" t="n"/>
      <c r="Z55" s="956" t="n"/>
      <c r="AA55" s="956" t="n"/>
      <c r="AB55" s="956" t="n"/>
      <c r="AC55" s="956" t="n"/>
      <c r="AD55" s="956" t="n"/>
      <c r="AE55" s="956" t="n"/>
      <c r="AF55" s="956" t="n"/>
      <c r="AG55" s="956" t="n"/>
      <c r="AH55" s="956" t="n"/>
      <c r="AI55" s="956" t="n"/>
      <c r="AJ55" s="956" t="n"/>
      <c r="AK55" s="956" t="n"/>
      <c r="AL55" s="956" t="n"/>
      <c r="AM55" s="956" t="n"/>
      <c r="AN55" s="956" t="n"/>
      <c r="AO55" s="956" t="n"/>
      <c r="AP55" s="956" t="n"/>
      <c r="AQ55" s="956" t="n"/>
      <c r="AR55" s="956" t="n"/>
      <c r="AS55" s="956" t="n"/>
      <c r="AT55" s="956" t="n"/>
      <c r="AU55" s="956" t="n"/>
      <c r="AV55" s="956" t="n"/>
      <c r="AW55" s="956" t="n"/>
      <c r="AX55" s="956" t="n"/>
      <c r="AY55" s="956" t="n"/>
      <c r="AZ55" s="956" t="n"/>
      <c r="BA55" s="956" t="n"/>
    </row>
    <row r="56">
      <c r="C56" s="359" t="n"/>
    </row>
    <row r="57">
      <c r="C57" s="359" t="n"/>
      <c r="N57" s="956" t="n"/>
      <c r="O57" s="956" t="n"/>
      <c r="P57" s="956" t="n"/>
      <c r="Q57" s="956" t="n"/>
      <c r="R57" s="956" t="n"/>
      <c r="S57" s="956" t="n"/>
      <c r="T57" s="956" t="n"/>
      <c r="U57" s="956" t="n"/>
      <c r="V57" s="956" t="n"/>
      <c r="W57" s="956" t="n"/>
      <c r="X57" s="956" t="n"/>
      <c r="Y57" s="956" t="n"/>
      <c r="Z57" s="956" t="n"/>
      <c r="AA57" s="956" t="n"/>
      <c r="AB57" s="956" t="n"/>
      <c r="AC57" s="956" t="n"/>
      <c r="AD57" s="956" t="n"/>
      <c r="AE57" s="956" t="n"/>
      <c r="AF57" s="956" t="n"/>
      <c r="AG57" s="956" t="n"/>
      <c r="AH57" s="956" t="n"/>
      <c r="AI57" s="956" t="n"/>
      <c r="AJ57" s="956" t="n"/>
      <c r="AK57" s="956" t="n"/>
      <c r="AL57" s="956" t="n"/>
      <c r="AM57" s="956" t="n"/>
      <c r="AN57" s="956" t="n"/>
      <c r="AO57" s="956" t="n"/>
      <c r="AP57" s="956" t="n"/>
      <c r="AQ57" s="956" t="n"/>
      <c r="AR57" s="956" t="n"/>
      <c r="AS57" s="956" t="n"/>
      <c r="AT57" s="956" t="n"/>
      <c r="AU57" s="956" t="n"/>
      <c r="AV57" s="956" t="n"/>
      <c r="AW57" s="956" t="n"/>
      <c r="AX57" s="956" t="n"/>
      <c r="AY57" s="956" t="n"/>
      <c r="AZ57" s="956" t="n"/>
      <c r="BA57" s="956" t="n"/>
    </row>
    <row r="58">
      <c r="C58" s="359" t="n"/>
    </row>
    <row r="59">
      <c r="C59" s="358" t="n"/>
      <c r="F59" s="358" t="n"/>
      <c r="N59" s="956" t="n"/>
      <c r="O59" s="956" t="n"/>
      <c r="P59" s="956" t="n"/>
      <c r="Q59" s="956" t="n"/>
      <c r="R59" s="956" t="n"/>
      <c r="S59" s="956" t="n"/>
      <c r="T59" s="956" t="n"/>
      <c r="U59" s="956" t="n"/>
      <c r="V59" s="956" t="n"/>
      <c r="W59" s="956" t="n"/>
      <c r="X59" s="956" t="n"/>
      <c r="Y59" s="956" t="n"/>
      <c r="Z59" s="956" t="n"/>
      <c r="AA59" s="956" t="n"/>
      <c r="AB59" s="956" t="n"/>
      <c r="AC59" s="956" t="n"/>
      <c r="AD59" s="956" t="n"/>
      <c r="AE59" s="956" t="n"/>
      <c r="AF59" s="956" t="n"/>
      <c r="AG59" s="956" t="n"/>
      <c r="AH59" s="956" t="n"/>
      <c r="AI59" s="956" t="n"/>
      <c r="AJ59" s="956" t="n"/>
      <c r="AK59" s="956" t="n"/>
      <c r="AL59" s="956" t="n"/>
      <c r="AM59" s="956" t="n"/>
      <c r="AN59" s="956" t="n"/>
      <c r="AO59" s="956" t="n"/>
      <c r="AP59" s="956" t="n"/>
      <c r="AQ59" s="956" t="n"/>
      <c r="AR59" s="956" t="n"/>
      <c r="AS59" s="956" t="n"/>
      <c r="AT59" s="956" t="n"/>
      <c r="AU59" s="956" t="n"/>
      <c r="AV59" s="956" t="n"/>
      <c r="AW59" s="956" t="n"/>
      <c r="AX59" s="956" t="n"/>
      <c r="AY59" s="956" t="n"/>
      <c r="AZ59" s="956" t="n"/>
      <c r="BA59" s="956" t="n"/>
    </row>
    <row r="60">
      <c r="M60" s="337" t="n"/>
      <c r="N60" s="957" t="n"/>
      <c r="O60" s="957" t="n"/>
      <c r="P60" s="957" t="n"/>
      <c r="Q60" s="957" t="n"/>
      <c r="R60" s="957" t="n"/>
      <c r="S60" s="957" t="n"/>
      <c r="T60" s="957" t="n"/>
      <c r="U60" s="957" t="n"/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7" t="n"/>
      <c r="AG60" s="957" t="n"/>
      <c r="AH60" s="957" t="n"/>
      <c r="AI60" s="957" t="n"/>
      <c r="AJ60" s="957" t="n"/>
      <c r="AK60" s="957" t="n"/>
      <c r="AL60" s="957" t="n"/>
      <c r="AM60" s="957" t="n"/>
      <c r="AN60" s="957" t="n"/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</row>
    <row r="61">
      <c r="AA61" s="938" t="n"/>
      <c r="AB61" s="938" t="n"/>
      <c r="AC61" s="938" t="n"/>
      <c r="AD61" s="938" t="n"/>
      <c r="AE61" s="938" t="n"/>
      <c r="AF61" s="938" t="n"/>
      <c r="AH61" s="938" t="n"/>
      <c r="AJ61" s="938" t="n"/>
      <c r="AK61" s="938" t="n"/>
    </row>
    <row r="62">
      <c r="N62" s="343" t="n"/>
      <c r="O62" s="343" t="n"/>
      <c r="P62" s="343" t="n"/>
      <c r="Q62" s="343" t="n"/>
      <c r="R62" s="343" t="n"/>
      <c r="S62" s="343" t="n"/>
      <c r="T62" s="343" t="n"/>
      <c r="U62" s="343" t="n"/>
      <c r="V62" s="343" t="n"/>
      <c r="W62" s="343" t="n"/>
      <c r="X62" s="343" t="n"/>
      <c r="Y62" s="343" t="n"/>
      <c r="Z62" s="343" t="n"/>
      <c r="AA62" s="343" t="n"/>
      <c r="AB62" s="343" t="n"/>
      <c r="AC62" s="343" t="n"/>
      <c r="AD62" s="343" t="n"/>
      <c r="AE62" s="343" t="n"/>
      <c r="AF62" s="343" t="n"/>
      <c r="AG62" s="343" t="n"/>
      <c r="AH62" s="343" t="n"/>
      <c r="AI62" s="343" t="n"/>
      <c r="AJ62" s="343" t="n"/>
      <c r="AK62" s="343" t="n"/>
      <c r="AL62" s="343" t="n"/>
      <c r="AM62" s="343" t="n"/>
      <c r="AN62" s="343" t="n"/>
      <c r="AO62" s="343" t="n"/>
      <c r="AP62" s="343" t="n"/>
      <c r="AQ62" s="343" t="n"/>
      <c r="AR62" s="343" t="n"/>
      <c r="AS62" s="343" t="n"/>
      <c r="AT62" s="343" t="n"/>
      <c r="AU62" s="343" t="n"/>
      <c r="AV62" s="343" t="n"/>
      <c r="AW62" s="343" t="n"/>
      <c r="AX62" s="343" t="n"/>
      <c r="AY62" s="343" t="n"/>
      <c r="AZ62" s="343" t="n"/>
      <c r="BA62" s="343" t="n"/>
    </row>
    <row r="63">
      <c r="N63" s="958" t="n"/>
      <c r="O63" s="958" t="n"/>
      <c r="P63" s="958" t="n"/>
      <c r="Q63" s="958" t="n"/>
      <c r="R63" s="958" t="n"/>
      <c r="S63" s="958" t="n"/>
      <c r="T63" s="958" t="n"/>
      <c r="U63" s="958" t="n"/>
      <c r="V63" s="958" t="n"/>
      <c r="W63" s="958" t="n"/>
      <c r="X63" s="958" t="n"/>
      <c r="Y63" s="958" t="n"/>
      <c r="Z63" s="958" t="n"/>
      <c r="AA63" s="958" t="n"/>
      <c r="AB63" s="958" t="n"/>
      <c r="AC63" s="958" t="n"/>
      <c r="AD63" s="958" t="n"/>
      <c r="AE63" s="958" t="n"/>
      <c r="AF63" s="958" t="n"/>
      <c r="AG63" s="958" t="n"/>
      <c r="AH63" s="958" t="n"/>
      <c r="AI63" s="958" t="n"/>
      <c r="AJ63" s="958" t="n"/>
      <c r="AK63" s="958" t="n"/>
      <c r="AL63" s="958" t="n"/>
      <c r="AM63" s="958" t="n"/>
      <c r="AN63" s="958" t="n"/>
      <c r="AO63" s="958" t="n"/>
      <c r="AP63" s="958" t="n"/>
      <c r="AQ63" s="958" t="n"/>
      <c r="AR63" s="958" t="n"/>
      <c r="AS63" s="958" t="n"/>
      <c r="AT63" s="958" t="n"/>
      <c r="AU63" s="958" t="n"/>
      <c r="AV63" s="958" t="n"/>
      <c r="AW63" s="958" t="n"/>
      <c r="AX63" s="958" t="n"/>
      <c r="AY63" s="958" t="n"/>
      <c r="AZ63" s="958" t="n"/>
      <c r="BA63" s="958" t="n"/>
    </row>
    <row r="64">
      <c r="N64" s="958" t="n"/>
      <c r="O64" s="958" t="n"/>
      <c r="P64" s="958" t="n"/>
      <c r="Q64" s="958" t="n"/>
      <c r="R64" s="958" t="n"/>
      <c r="S64" s="958" t="n"/>
      <c r="T64" s="958" t="n"/>
      <c r="U64" s="958" t="n"/>
      <c r="V64" s="958" t="n"/>
      <c r="W64" s="958" t="n"/>
      <c r="X64" s="958" t="n"/>
      <c r="Y64" s="958" t="n"/>
      <c r="Z64" s="958" t="n"/>
      <c r="AA64" s="958" t="n"/>
      <c r="AB64" s="958" t="n"/>
      <c r="AC64" s="958" t="n"/>
      <c r="AD64" s="958" t="n"/>
      <c r="AE64" s="958" t="n"/>
      <c r="AF64" s="958" t="n"/>
      <c r="AG64" s="958" t="n"/>
      <c r="AH64" s="958" t="n"/>
      <c r="AI64" s="958" t="n"/>
      <c r="AJ64" s="958" t="n"/>
      <c r="AK64" s="958" t="n"/>
      <c r="AL64" s="958" t="n"/>
      <c r="AM64" s="958" t="n"/>
      <c r="AN64" s="958" t="n"/>
      <c r="AO64" s="958" t="n"/>
      <c r="AP64" s="958" t="n"/>
      <c r="AQ64" s="958" t="n"/>
      <c r="AR64" s="958" t="n"/>
      <c r="AS64" s="958" t="n"/>
      <c r="AT64" s="958" t="n"/>
      <c r="AU64" s="958" t="n"/>
      <c r="AV64" s="958" t="n"/>
      <c r="AW64" s="958" t="n"/>
      <c r="AX64" s="958" t="n"/>
      <c r="AY64" s="958" t="n"/>
      <c r="AZ64" s="958" t="n"/>
      <c r="BA64" s="958" t="n"/>
    </row>
    <row r="65">
      <c r="N65" s="343" t="n"/>
      <c r="O65" s="343" t="n"/>
      <c r="P65" s="343" t="n"/>
      <c r="Q65" s="343" t="n"/>
      <c r="R65" s="343" t="n"/>
      <c r="S65" s="343" t="n"/>
      <c r="T65" s="343" t="n"/>
      <c r="U65" s="343" t="n"/>
      <c r="V65" s="343" t="n"/>
      <c r="W65" s="343" t="n"/>
      <c r="X65" s="343" t="n"/>
      <c r="Y65" s="343" t="n"/>
      <c r="Z65" s="343" t="n"/>
      <c r="AA65" s="343" t="n"/>
      <c r="AB65" s="343" t="n"/>
      <c r="AC65" s="343" t="n"/>
      <c r="AD65" s="343" t="n"/>
      <c r="AE65" s="343" t="n"/>
      <c r="AF65" s="343" t="n"/>
      <c r="AG65" s="343" t="n"/>
      <c r="AH65" s="343" t="n"/>
      <c r="AI65" s="343" t="n"/>
      <c r="AJ65" s="343" t="n"/>
      <c r="AK65" s="343" t="n"/>
      <c r="AL65" s="343" t="n"/>
      <c r="AM65" s="343" t="n"/>
      <c r="AN65" s="343" t="n"/>
      <c r="AO65" s="343" t="n"/>
      <c r="AP65" s="343" t="n"/>
      <c r="AQ65" s="343" t="n"/>
      <c r="AR65" s="343" t="n"/>
      <c r="AS65" s="343" t="n"/>
      <c r="AT65" s="343" t="n"/>
      <c r="AU65" s="343" t="n"/>
      <c r="AV65" s="343" t="n"/>
      <c r="AW65" s="343" t="n"/>
      <c r="AX65" s="343" t="n"/>
      <c r="AY65" s="343" t="n"/>
      <c r="AZ65" s="343" t="n"/>
      <c r="BA65" s="343" t="n"/>
    </row>
    <row r="66"/>
    <row r="67"/>
    <row r="68"/>
    <row r="69">
      <c r="AL69" s="337" t="n"/>
      <c r="AM69" s="337" t="n"/>
      <c r="AN69" s="337" t="n"/>
      <c r="AO69" s="337" t="n"/>
      <c r="AP69" s="337" t="n"/>
      <c r="AQ69" s="337" t="n"/>
      <c r="AR69" s="337" t="n"/>
      <c r="AS69" s="337" t="n"/>
    </row>
    <row r="70">
      <c r="L70" s="337" t="n"/>
      <c r="AL70" s="358" t="n"/>
      <c r="AM70" s="358" t="n"/>
      <c r="AO70" s="358" t="n"/>
      <c r="AS70" s="364" t="n"/>
      <c r="AT70" s="364" t="n"/>
    </row>
    <row r="71">
      <c r="M71" s="959" t="n"/>
      <c r="AL71" s="343" t="n"/>
      <c r="AM71" s="343" t="n"/>
      <c r="AO71" s="358" t="n"/>
      <c r="AS71" s="364" t="n"/>
      <c r="AT71" s="364" t="n"/>
    </row>
    <row r="72">
      <c r="AL72" s="358" t="n"/>
      <c r="AM72" s="358" t="n"/>
      <c r="AO72" s="358" t="n"/>
      <c r="AS72" s="364" t="n"/>
      <c r="AT72" s="364" t="n"/>
    </row>
  </sheetData>
  <pageMargins left="0" right="0" top="0" bottom="0" header="0" footer="0"/>
  <pageSetup orientation="landscape" paperSize="5" scale="38"/>
</worksheet>
</file>

<file path=xl/worksheets/sheet3.xml><?xml version="1.0" encoding="utf-8"?>
<worksheet xmlns="http://schemas.openxmlformats.org/spreadsheetml/2006/main">
  <sheetPr codeName="Sheet2">
    <tabColor rgb="FFFF0000"/>
    <outlinePr summaryBelow="1" summaryRight="1"/>
    <pageSetUpPr fitToPage="1"/>
  </sheetPr>
  <dimension ref="A1:FR465"/>
  <sheetViews>
    <sheetView zoomScaleNormal="100" workbookViewId="0">
      <pane xSplit="2" ySplit="3" topLeftCell="FG23" activePane="bottomRight" state="frozen"/>
      <selection activeCell="W41" sqref="W41"/>
      <selection pane="topRight" activeCell="W41" sqref="W41"/>
      <selection pane="bottomLeft" activeCell="W41" sqref="W41"/>
      <selection pane="bottomRight" activeCell="FR49" sqref="FR49"/>
    </sheetView>
  </sheetViews>
  <sheetFormatPr baseColWidth="8" defaultColWidth="8.7109375" defaultRowHeight="11.25" outlineLevelRow="1"/>
  <cols>
    <col hidden="1" outlineLevel="1" width="8.7109375" customWidth="1" style="960" min="1" max="1"/>
    <col collapsed="1" width="62.140625" bestFit="1" customWidth="1" style="961" min="2" max="2"/>
    <col width="8.7109375" customWidth="1" style="961" min="3" max="9"/>
    <col collapsed="1" width="8.7109375" customWidth="1" style="961" min="10" max="10"/>
    <col width="8.7109375" customWidth="1" style="961" min="11" max="11"/>
    <col width="8.7109375" customWidth="1" style="962" min="12" max="17"/>
    <col collapsed="1" width="8.7109375" customWidth="1" style="962" min="18" max="18"/>
    <col width="8.7109375" customWidth="1" style="961" min="19" max="22"/>
    <col collapsed="1" width="8.7109375" customWidth="1" style="961" min="23" max="23"/>
    <col width="8.7109375" customWidth="1" style="961" min="24" max="46"/>
    <col width="13.140625" customWidth="1" style="961" min="47" max="47"/>
    <col outlineLevel="1" width="8.7109375" customWidth="1" style="963" min="48" max="49"/>
    <col outlineLevel="1" width="8.7109375" customWidth="1" style="964" min="50" max="50"/>
    <col outlineLevel="1" width="8.7109375" customWidth="1" style="963" min="51" max="53"/>
    <col outlineLevel="1" width="8.7109375" customWidth="1" style="964" min="54" max="54"/>
    <col outlineLevel="1" width="8.7109375" customWidth="1" style="961" min="55" max="55"/>
    <col outlineLevel="1" width="8.7109375" customWidth="1" style="963" min="56" max="57"/>
    <col outlineLevel="1" width="8.7109375" customWidth="1" style="964" min="58" max="58"/>
    <col outlineLevel="1" width="8.7109375" customWidth="1" style="961" min="59" max="68"/>
    <col outlineLevel="1" width="8.7109375" customWidth="1" style="963" min="69" max="69"/>
    <col outlineLevel="1" width="8.7109375" customWidth="1" style="961" min="70" max="95"/>
    <col outlineLevel="1" collapsed="1" width="8.7109375" customWidth="1" style="961" min="96" max="96"/>
    <col outlineLevel="1" width="8.7109375" customWidth="1" style="961" min="97" max="120"/>
    <col outlineLevel="1" collapsed="1" width="8.7109375" customWidth="1" style="961" min="121" max="121"/>
    <col outlineLevel="1" width="8.7109375" customWidth="1" style="961" min="122" max="127"/>
    <col outlineLevel="1" collapsed="1" width="3.140625" customWidth="1" style="961" min="128" max="128"/>
    <col outlineLevel="1" width="8.7109375" customWidth="1" style="961" min="129" max="131"/>
    <col outlineLevel="1" collapsed="1" width="2.7109375" customWidth="1" style="961" min="132" max="132"/>
    <col outlineLevel="1" width="8.7109375" customWidth="1" style="961" min="133" max="135"/>
    <col outlineLevel="1" width="2.7109375" customWidth="1" style="961" min="136" max="136"/>
    <col outlineLevel="1" width="8.7109375" customWidth="1" style="961" min="137" max="139"/>
    <col outlineLevel="1" width="2.7109375" customWidth="1" style="961" min="140" max="140"/>
    <col width="8.7109375" customWidth="1" style="961" min="141" max="148"/>
    <col width="8.7109375" customWidth="1" style="965" min="149" max="150"/>
    <col width="8.7109375" customWidth="1" style="961" min="151" max="152"/>
    <col width="8.7109375" customWidth="1" style="965" min="153" max="154"/>
    <col width="8.7109375" customWidth="1" style="961" min="155" max="156"/>
    <col width="8.7109375" customWidth="1" style="965" min="157" max="158"/>
    <col width="8.7109375" customWidth="1" style="961" min="159" max="160"/>
    <col width="8.140625" customWidth="1" style="965" min="161" max="161"/>
    <col width="8.7109375" customWidth="1" style="965" min="162" max="162"/>
    <col width="8.7109375" customWidth="1" style="961" min="163" max="164"/>
    <col width="8.7109375" customWidth="1" style="966" min="165" max="165"/>
    <col width="8.7109375" customWidth="1" style="965" min="166" max="166"/>
    <col width="8.7109375" customWidth="1" style="961" min="167" max="168"/>
    <col width="8.7109375" customWidth="1" style="966" min="169" max="169"/>
    <col width="8.7109375" customWidth="1" style="961" min="170" max="16384"/>
  </cols>
  <sheetData>
    <row r="1" ht="71.25" customFormat="1" customHeight="1" s="967">
      <c r="B1" s="967" t="inlineStr">
        <is>
          <t>Cathay Pacific</t>
        </is>
      </c>
      <c r="C1" s="855" t="n"/>
      <c r="D1" s="855" t="n"/>
      <c r="E1" s="855" t="n"/>
      <c r="F1" s="855" t="n"/>
      <c r="G1" s="855" t="n"/>
      <c r="H1" s="855" t="n"/>
      <c r="I1" s="855" t="n"/>
      <c r="J1" s="855" t="n"/>
      <c r="K1" s="855" t="n"/>
      <c r="L1" s="855" t="n"/>
      <c r="M1" s="855" t="n"/>
      <c r="N1" s="855" t="n"/>
      <c r="O1" s="855" t="n"/>
      <c r="P1" s="855" t="n"/>
      <c r="Q1" s="855" t="n"/>
      <c r="R1" s="855" t="n"/>
      <c r="S1" s="855" t="n"/>
      <c r="T1" s="855" t="n"/>
      <c r="U1" s="855" t="n"/>
      <c r="V1" s="855" t="n"/>
      <c r="W1" s="855" t="n"/>
      <c r="X1" s="855" t="n"/>
      <c r="Y1" s="855" t="n"/>
      <c r="Z1" s="855" t="n"/>
      <c r="AA1" s="855" t="n"/>
      <c r="AB1" s="855" t="n"/>
      <c r="AC1" s="855" t="n"/>
      <c r="AD1" s="855" t="n"/>
      <c r="AE1" s="855" t="n"/>
      <c r="AF1" s="855" t="n"/>
      <c r="AG1" s="855" t="n"/>
      <c r="AH1" s="855" t="n"/>
      <c r="AI1" s="855" t="n"/>
      <c r="AJ1" s="855" t="n"/>
      <c r="AK1" s="855" t="n"/>
      <c r="AL1" s="855" t="n"/>
      <c r="AM1" s="855" t="n"/>
      <c r="AN1" s="855" t="n"/>
      <c r="AO1" s="855" t="n"/>
      <c r="AR1" s="855" t="n"/>
      <c r="AU1" s="968" t="n"/>
    </row>
    <row r="2" ht="33.75" customFormat="1" customHeight="1" s="969">
      <c r="A2" s="970" t="inlineStr">
        <is>
          <t>Range names</t>
        </is>
      </c>
      <c r="B2" s="971" t="n"/>
      <c r="C2" s="856" t="n"/>
      <c r="D2" s="856" t="n"/>
      <c r="E2" s="856" t="n"/>
      <c r="F2" s="856" t="n"/>
      <c r="G2" s="856" t="n"/>
      <c r="H2" s="856" t="n"/>
      <c r="I2" s="856" t="n"/>
      <c r="J2" s="856" t="n"/>
      <c r="K2" s="856" t="n"/>
      <c r="L2" s="856" t="n"/>
      <c r="M2" s="856" t="n"/>
      <c r="N2" s="856" t="n"/>
      <c r="O2" s="856" t="n"/>
      <c r="P2" s="856" t="n"/>
      <c r="Q2" s="856" t="n"/>
      <c r="R2" s="856" t="n"/>
      <c r="S2" s="856" t="n"/>
      <c r="T2" s="856" t="n"/>
      <c r="U2" s="856" t="n"/>
      <c r="V2" s="856" t="n"/>
      <c r="W2" s="856" t="n"/>
      <c r="X2" s="856" t="n"/>
      <c r="Y2" s="856" t="n"/>
      <c r="Z2" s="856" t="n"/>
      <c r="AA2" s="856" t="n"/>
      <c r="AB2" s="856" t="n"/>
      <c r="AC2" s="856" t="n"/>
      <c r="AD2" s="856" t="n"/>
      <c r="AE2" s="856" t="n"/>
      <c r="AF2" s="856" t="n"/>
      <c r="AG2" s="856" t="n"/>
      <c r="AH2" s="856" t="n"/>
      <c r="AI2" s="856" t="n"/>
      <c r="AJ2" s="856" t="n"/>
      <c r="AK2" s="856" t="n"/>
      <c r="AL2" s="856" t="n"/>
      <c r="AM2" s="856" t="n"/>
      <c r="AN2" s="856" t="n"/>
      <c r="AO2" s="856" t="n"/>
      <c r="AP2" s="371" t="n"/>
      <c r="AQ2" s="371" t="n"/>
      <c r="AR2" s="371" t="n"/>
      <c r="AS2" s="371" t="n"/>
      <c r="AT2" s="371" t="n"/>
      <c r="AU2" s="972" t="n"/>
      <c r="AX2" s="969" t="inlineStr">
        <is>
          <t>FY96 Annual Split</t>
        </is>
      </c>
      <c r="BB2" s="969" t="inlineStr">
        <is>
          <t>FY97 Annual Split</t>
        </is>
      </c>
      <c r="BC2" s="973" t="n"/>
      <c r="BF2" s="969" t="inlineStr">
        <is>
          <t>FY98 Annual Split</t>
        </is>
      </c>
      <c r="BJ2" s="969" t="inlineStr">
        <is>
          <t>FY99 Annual Split</t>
        </is>
      </c>
      <c r="BN2" s="969" t="inlineStr">
        <is>
          <t>FY00 Annual Split</t>
        </is>
      </c>
      <c r="BR2" s="969" t="inlineStr">
        <is>
          <t>FY01 Annual Split</t>
        </is>
      </c>
      <c r="BV2" s="969" t="inlineStr">
        <is>
          <t>FY02 Annual Split</t>
        </is>
      </c>
      <c r="BZ2" s="969" t="inlineStr">
        <is>
          <t>FY03 Annual Split</t>
        </is>
      </c>
      <c r="CD2" s="969" t="inlineStr">
        <is>
          <t>FY04 Annual Split</t>
        </is>
      </c>
      <c r="CH2" s="969" t="inlineStr">
        <is>
          <t>FY05 Annual Split</t>
        </is>
      </c>
      <c r="CL2" s="969" t="inlineStr">
        <is>
          <t>FY06 Annual Split</t>
        </is>
      </c>
      <c r="CP2" s="969" t="inlineStr">
        <is>
          <t>FY07 Annual Split</t>
        </is>
      </c>
      <c r="CS2" s="969" t="inlineStr">
        <is>
          <t>Restated</t>
        </is>
      </c>
      <c r="CU2" s="969" t="inlineStr">
        <is>
          <t>FY08 Annual Split</t>
        </is>
      </c>
      <c r="CY2" s="969" t="inlineStr">
        <is>
          <t>FY09 Annual Split</t>
        </is>
      </c>
      <c r="DC2" s="969" t="inlineStr">
        <is>
          <t>FY10 Annual Split</t>
        </is>
      </c>
      <c r="DG2" s="969" t="inlineStr">
        <is>
          <t>FY11 Annual Split</t>
        </is>
      </c>
      <c r="DK2" s="969" t="inlineStr">
        <is>
          <t>FY12 Annual Split</t>
        </is>
      </c>
      <c r="DO2" s="969" t="inlineStr">
        <is>
          <t>FY13 Annual Split</t>
        </is>
      </c>
      <c r="DS2" s="969" t="inlineStr">
        <is>
          <t>FY14 Annual Split</t>
        </is>
      </c>
      <c r="DW2" s="969" t="inlineStr">
        <is>
          <t>FY15 Annual Split</t>
        </is>
      </c>
      <c r="DY2" s="974" t="n"/>
      <c r="EA2" s="969" t="inlineStr">
        <is>
          <t>FY16 Annual Split</t>
        </is>
      </c>
      <c r="EE2" s="969" t="inlineStr">
        <is>
          <t>FY17 Annual Split</t>
        </is>
      </c>
      <c r="EI2" s="969" t="inlineStr">
        <is>
          <t>FY18 Annual Split</t>
        </is>
      </c>
      <c r="EM2" s="969" t="inlineStr">
        <is>
          <t>FY19 Annual Split</t>
        </is>
      </c>
      <c r="EQ2" s="969" t="inlineStr">
        <is>
          <t>FY20 Annual Split</t>
        </is>
      </c>
      <c r="EU2" s="969" t="inlineStr">
        <is>
          <t>FY21 Annual Split</t>
        </is>
      </c>
      <c r="EY2" s="969" t="inlineStr">
        <is>
          <t>FY22 Annual Split</t>
        </is>
      </c>
      <c r="FA2" s="519" t="n"/>
      <c r="FC2" s="969" t="inlineStr">
        <is>
          <t>FY23 Annual Split</t>
        </is>
      </c>
      <c r="FE2" s="519" t="n"/>
      <c r="FG2" s="969" t="inlineStr">
        <is>
          <t>FY24 Annual Split</t>
        </is>
      </c>
      <c r="FI2" s="519" t="n"/>
      <c r="FK2" s="969" t="inlineStr">
        <is>
          <t>FY26 Annual Split</t>
        </is>
      </c>
      <c r="FM2" s="519" t="n"/>
      <c r="FO2" s="969" t="inlineStr">
        <is>
          <t>FY26 Annual Split</t>
        </is>
      </c>
    </row>
    <row r="3" customFormat="1" s="975">
      <c r="A3" s="976" t="inlineStr">
        <is>
          <t>date</t>
        </is>
      </c>
      <c r="B3" s="977" t="inlineStr">
        <is>
          <t>Year to December</t>
        </is>
      </c>
      <c r="C3" s="978" t="inlineStr">
        <is>
          <t>1987A</t>
        </is>
      </c>
      <c r="D3" s="978" t="inlineStr">
        <is>
          <t>1988A</t>
        </is>
      </c>
      <c r="E3" s="978" t="inlineStr">
        <is>
          <t>1989A</t>
        </is>
      </c>
      <c r="F3" s="979" t="inlineStr">
        <is>
          <t>1990A</t>
        </is>
      </c>
      <c r="G3" s="979" t="inlineStr">
        <is>
          <t>1991A</t>
        </is>
      </c>
      <c r="H3" s="979" t="inlineStr">
        <is>
          <t>1992A</t>
        </is>
      </c>
      <c r="I3" s="979" t="inlineStr">
        <is>
          <t>1993A</t>
        </is>
      </c>
      <c r="J3" s="979" t="inlineStr">
        <is>
          <t>1994A</t>
        </is>
      </c>
      <c r="K3" s="979" t="inlineStr">
        <is>
          <t>1995A</t>
        </is>
      </c>
      <c r="L3" s="979" t="inlineStr">
        <is>
          <t>1996A</t>
        </is>
      </c>
      <c r="M3" s="979" t="inlineStr">
        <is>
          <t>1997A</t>
        </is>
      </c>
      <c r="N3" s="979" t="inlineStr">
        <is>
          <t>1998A</t>
        </is>
      </c>
      <c r="O3" s="979" t="inlineStr">
        <is>
          <t>1999A</t>
        </is>
      </c>
      <c r="P3" s="979" t="inlineStr">
        <is>
          <t>2000A</t>
        </is>
      </c>
      <c r="Q3" s="978" t="inlineStr">
        <is>
          <t>2001A</t>
        </is>
      </c>
      <c r="R3" s="979" t="inlineStr">
        <is>
          <t>2002A</t>
        </is>
      </c>
      <c r="S3" s="979" t="inlineStr">
        <is>
          <t>2003A</t>
        </is>
      </c>
      <c r="T3" s="979" t="inlineStr">
        <is>
          <t>2004A</t>
        </is>
      </c>
      <c r="U3" s="979" t="inlineStr">
        <is>
          <t>2005A</t>
        </is>
      </c>
      <c r="V3" s="979" t="inlineStr">
        <is>
          <t>2006A</t>
        </is>
      </c>
      <c r="W3" s="979" t="inlineStr">
        <is>
          <t>2007A</t>
        </is>
      </c>
      <c r="X3" s="979" t="inlineStr">
        <is>
          <t>2008A</t>
        </is>
      </c>
      <c r="Y3" s="979" t="inlineStr">
        <is>
          <t>2009A</t>
        </is>
      </c>
      <c r="Z3" s="979" t="inlineStr">
        <is>
          <t>2010A</t>
        </is>
      </c>
      <c r="AA3" s="979" t="inlineStr">
        <is>
          <t>2011A</t>
        </is>
      </c>
      <c r="AB3" s="979" t="inlineStr">
        <is>
          <t>2012A</t>
        </is>
      </c>
      <c r="AC3" s="979" t="inlineStr">
        <is>
          <t>2013A</t>
        </is>
      </c>
      <c r="AD3" s="979" t="inlineStr">
        <is>
          <t>2014A</t>
        </is>
      </c>
      <c r="AE3" s="979" t="inlineStr">
        <is>
          <t>2015A</t>
        </is>
      </c>
      <c r="AF3" s="979" t="inlineStr">
        <is>
          <t>2016A</t>
        </is>
      </c>
      <c r="AG3" s="979" t="inlineStr">
        <is>
          <t>2017A</t>
        </is>
      </c>
      <c r="AH3" s="979" t="inlineStr">
        <is>
          <t>2018A</t>
        </is>
      </c>
      <c r="AI3" s="979" t="inlineStr">
        <is>
          <t>2019A</t>
        </is>
      </c>
      <c r="AJ3" s="979" t="inlineStr">
        <is>
          <t>2020A</t>
        </is>
      </c>
      <c r="AK3" s="979" t="inlineStr">
        <is>
          <t>2021A</t>
        </is>
      </c>
      <c r="AL3" s="980" t="inlineStr">
        <is>
          <t>2022A</t>
        </is>
      </c>
      <c r="AM3" s="980" t="inlineStr">
        <is>
          <t>2023A</t>
        </is>
      </c>
      <c r="AN3" s="981" t="inlineStr">
        <is>
          <t>2024A</t>
        </is>
      </c>
      <c r="AO3" s="981" t="inlineStr">
        <is>
          <t>2025E</t>
        </is>
      </c>
      <c r="AP3" s="981" t="inlineStr">
        <is>
          <t>2026E</t>
        </is>
      </c>
      <c r="AQ3" s="981" t="inlineStr">
        <is>
          <t>2027E</t>
        </is>
      </c>
      <c r="AR3" s="981" t="inlineStr">
        <is>
          <t>2028E</t>
        </is>
      </c>
      <c r="AS3" s="981" t="inlineStr">
        <is>
          <t>2029E</t>
        </is>
      </c>
      <c r="AT3" s="981" t="inlineStr">
        <is>
          <t>2030E</t>
        </is>
      </c>
      <c r="AU3" s="982" t="n"/>
      <c r="AV3" s="975" t="inlineStr">
        <is>
          <t>1H1996</t>
        </is>
      </c>
      <c r="AW3" s="975" t="inlineStr">
        <is>
          <t>2H1996</t>
        </is>
      </c>
      <c r="AX3" s="975" t="inlineStr">
        <is>
          <t>FY1996</t>
        </is>
      </c>
      <c r="AZ3" s="975" t="inlineStr">
        <is>
          <t>1H1997</t>
        </is>
      </c>
      <c r="BA3" s="975" t="inlineStr">
        <is>
          <t>2H1997</t>
        </is>
      </c>
      <c r="BB3" s="975" t="inlineStr">
        <is>
          <t>FY1997</t>
        </is>
      </c>
      <c r="BC3" s="983" t="n"/>
      <c r="BD3" s="975" t="inlineStr">
        <is>
          <t>1H1998</t>
        </is>
      </c>
      <c r="BE3" s="975" t="inlineStr">
        <is>
          <t>2H1998</t>
        </is>
      </c>
      <c r="BF3" s="975" t="inlineStr">
        <is>
          <t>FY1998</t>
        </is>
      </c>
      <c r="BH3" s="975" t="inlineStr">
        <is>
          <t>1H1999</t>
        </is>
      </c>
      <c r="BI3" s="975" t="inlineStr">
        <is>
          <t>2H1999</t>
        </is>
      </c>
      <c r="BJ3" s="975" t="inlineStr">
        <is>
          <t>FY1999</t>
        </is>
      </c>
      <c r="BL3" s="975" t="inlineStr">
        <is>
          <t>1H2000</t>
        </is>
      </c>
      <c r="BM3" s="975" t="inlineStr">
        <is>
          <t>2H2000</t>
        </is>
      </c>
      <c r="BN3" s="975" t="inlineStr">
        <is>
          <t>FY2000</t>
        </is>
      </c>
      <c r="BP3" s="975" t="inlineStr">
        <is>
          <t>1H2001A</t>
        </is>
      </c>
      <c r="BQ3" s="975" t="inlineStr">
        <is>
          <t>2H2001A</t>
        </is>
      </c>
      <c r="BR3" s="975" t="inlineStr">
        <is>
          <t>FY2001A</t>
        </is>
      </c>
      <c r="BT3" s="975" t="inlineStr">
        <is>
          <t>1H2002A</t>
        </is>
      </c>
      <c r="BU3" s="975" t="inlineStr">
        <is>
          <t>2H2002A</t>
        </is>
      </c>
      <c r="BV3" s="975" t="inlineStr">
        <is>
          <t>FY2002A</t>
        </is>
      </c>
      <c r="BX3" s="975" t="inlineStr">
        <is>
          <t>1H2003A</t>
        </is>
      </c>
      <c r="BY3" s="975" t="inlineStr">
        <is>
          <t>2H2003A</t>
        </is>
      </c>
      <c r="BZ3" s="975" t="inlineStr">
        <is>
          <t>FY2003A</t>
        </is>
      </c>
      <c r="CB3" s="975" t="inlineStr">
        <is>
          <t>1H2004A</t>
        </is>
      </c>
      <c r="CC3" s="975" t="inlineStr">
        <is>
          <t>2H2004A</t>
        </is>
      </c>
      <c r="CD3" s="975" t="inlineStr">
        <is>
          <t>FY2004A</t>
        </is>
      </c>
      <c r="CF3" s="975" t="inlineStr">
        <is>
          <t>1H2005A</t>
        </is>
      </c>
      <c r="CG3" s="975" t="inlineStr">
        <is>
          <t>2H2005A</t>
        </is>
      </c>
      <c r="CH3" s="975" t="inlineStr">
        <is>
          <t>FY2005A</t>
        </is>
      </c>
      <c r="CJ3" s="975" t="inlineStr">
        <is>
          <t>1H2006A</t>
        </is>
      </c>
      <c r="CK3" s="975" t="inlineStr">
        <is>
          <t>2H2006A</t>
        </is>
      </c>
      <c r="CL3" s="975" t="inlineStr">
        <is>
          <t>FY2006A</t>
        </is>
      </c>
      <c r="CN3" s="975" t="inlineStr">
        <is>
          <t>1H2007A</t>
        </is>
      </c>
      <c r="CO3" s="975" t="inlineStr">
        <is>
          <t>2H2007A</t>
        </is>
      </c>
      <c r="CP3" s="975" t="inlineStr">
        <is>
          <t>FY2007A</t>
        </is>
      </c>
      <c r="CR3" s="975" t="inlineStr">
        <is>
          <t>1H2008A</t>
        </is>
      </c>
      <c r="CS3" s="975" t="inlineStr">
        <is>
          <t>1H2008A</t>
        </is>
      </c>
      <c r="CT3" s="975" t="inlineStr">
        <is>
          <t>2H2008E</t>
        </is>
      </c>
      <c r="CU3" s="975" t="inlineStr">
        <is>
          <t>FY2008E</t>
        </is>
      </c>
      <c r="CW3" s="975" t="inlineStr">
        <is>
          <t>1H2009A</t>
        </is>
      </c>
      <c r="CX3" s="975" t="inlineStr">
        <is>
          <t>2H2009A</t>
        </is>
      </c>
      <c r="CY3" s="975" t="inlineStr">
        <is>
          <t>FY2009A</t>
        </is>
      </c>
      <c r="DA3" s="975" t="inlineStr">
        <is>
          <t>1H2010A</t>
        </is>
      </c>
      <c r="DB3" s="975" t="inlineStr">
        <is>
          <t>2H2010A</t>
        </is>
      </c>
      <c r="DC3" s="975" t="inlineStr">
        <is>
          <t>FY2010A</t>
        </is>
      </c>
      <c r="DE3" s="975" t="inlineStr">
        <is>
          <t>1H2011A</t>
        </is>
      </c>
      <c r="DF3" s="975" t="inlineStr">
        <is>
          <t>2H2011A</t>
        </is>
      </c>
      <c r="DG3" s="975" t="inlineStr">
        <is>
          <t>FY2011A</t>
        </is>
      </c>
      <c r="DI3" s="975" t="inlineStr">
        <is>
          <t>1H2012A</t>
        </is>
      </c>
      <c r="DJ3" s="975" t="inlineStr">
        <is>
          <t>2H2012A</t>
        </is>
      </c>
      <c r="DK3" s="975" t="inlineStr">
        <is>
          <t>FY2012E</t>
        </is>
      </c>
      <c r="DM3" s="975" t="inlineStr">
        <is>
          <t>1H2013A</t>
        </is>
      </c>
      <c r="DN3" s="975" t="inlineStr">
        <is>
          <t>2H2013A</t>
        </is>
      </c>
      <c r="DO3" s="975" t="inlineStr">
        <is>
          <t>FY2013A</t>
        </is>
      </c>
      <c r="DQ3" s="975" t="inlineStr">
        <is>
          <t>1H2014A</t>
        </is>
      </c>
      <c r="DR3" s="975" t="inlineStr">
        <is>
          <t>2H2014A</t>
        </is>
      </c>
      <c r="DS3" s="975" t="inlineStr">
        <is>
          <t>FY2014A</t>
        </is>
      </c>
      <c r="DU3" s="975" t="inlineStr">
        <is>
          <t>1H2015A</t>
        </is>
      </c>
      <c r="DV3" s="975" t="inlineStr">
        <is>
          <t>2H2015A</t>
        </is>
      </c>
      <c r="DW3" s="975" t="inlineStr">
        <is>
          <t>FY2015A</t>
        </is>
      </c>
      <c r="DY3" s="984" t="inlineStr">
        <is>
          <t>1H2016A</t>
        </is>
      </c>
      <c r="DZ3" s="975" t="inlineStr">
        <is>
          <t>2H2016A</t>
        </is>
      </c>
      <c r="EA3" s="975" t="inlineStr">
        <is>
          <t>FY2016A</t>
        </is>
      </c>
      <c r="EC3" s="975" t="inlineStr">
        <is>
          <t>1H2017A</t>
        </is>
      </c>
      <c r="ED3" s="975" t="inlineStr">
        <is>
          <t>2H2017A</t>
        </is>
      </c>
      <c r="EE3" s="975" t="inlineStr">
        <is>
          <t>FY2017A</t>
        </is>
      </c>
      <c r="EG3" s="975" t="inlineStr">
        <is>
          <t>1H2018A</t>
        </is>
      </c>
      <c r="EH3" s="975" t="inlineStr">
        <is>
          <t>2H2018A</t>
        </is>
      </c>
      <c r="EI3" s="975">
        <f>AH3</f>
        <v/>
      </c>
      <c r="EK3" s="975" t="inlineStr">
        <is>
          <t>1H2019A</t>
        </is>
      </c>
      <c r="EL3" s="975" t="inlineStr">
        <is>
          <t>2H2019A</t>
        </is>
      </c>
      <c r="EM3" s="975">
        <f>AI3</f>
        <v/>
      </c>
      <c r="EO3" s="975" t="inlineStr">
        <is>
          <t>1H2020A</t>
        </is>
      </c>
      <c r="EP3" s="975" t="inlineStr">
        <is>
          <t>2H2020A</t>
        </is>
      </c>
      <c r="EQ3" s="975">
        <f>AJ3</f>
        <v/>
      </c>
      <c r="ES3" s="975" t="inlineStr">
        <is>
          <t>1H2021A</t>
        </is>
      </c>
      <c r="ET3" s="975" t="inlineStr">
        <is>
          <t>2H2021A</t>
        </is>
      </c>
      <c r="EU3" s="975">
        <f>AK3</f>
        <v/>
      </c>
      <c r="EW3" s="975" t="inlineStr">
        <is>
          <t>1H2022A</t>
        </is>
      </c>
      <c r="EX3" s="975" t="inlineStr">
        <is>
          <t>2H2022A</t>
        </is>
      </c>
      <c r="EY3" s="975">
        <f>AL3</f>
        <v/>
      </c>
      <c r="FA3" s="975" t="inlineStr">
        <is>
          <t>1H2023A</t>
        </is>
      </c>
      <c r="FB3" s="975" t="inlineStr">
        <is>
          <t>2H2023A</t>
        </is>
      </c>
      <c r="FC3" s="975">
        <f>AM3</f>
        <v/>
      </c>
      <c r="FE3" s="975" t="inlineStr">
        <is>
          <t>1H2024A</t>
        </is>
      </c>
      <c r="FF3" s="975" t="inlineStr">
        <is>
          <t>2H2024A</t>
        </is>
      </c>
      <c r="FG3" s="975">
        <f>AN3</f>
        <v/>
      </c>
      <c r="FI3" s="975" t="inlineStr">
        <is>
          <t>1H2025A</t>
        </is>
      </c>
      <c r="FJ3" s="975" t="inlineStr">
        <is>
          <t>2H2025A</t>
        </is>
      </c>
      <c r="FK3" s="975">
        <f>AO3</f>
        <v/>
      </c>
      <c r="FM3" s="975" t="inlineStr">
        <is>
          <t>1H2026A</t>
        </is>
      </c>
      <c r="FN3" s="975" t="inlineStr">
        <is>
          <t>2H2026E</t>
        </is>
      </c>
      <c r="FO3" s="975">
        <f>AP3</f>
        <v/>
      </c>
    </row>
    <row r="4" customFormat="1" s="20">
      <c r="A4" s="19" t="inlineStr">
        <is>
          <t>atk</t>
        </is>
      </c>
      <c r="B4" s="20" t="inlineStr">
        <is>
          <t>atk</t>
        </is>
      </c>
      <c r="C4" s="20" t="n">
        <v>3751</v>
      </c>
      <c r="D4" s="20" t="n">
        <v>4353</v>
      </c>
      <c r="E4" s="20" t="n">
        <v>4753</v>
      </c>
      <c r="F4" s="20" t="n">
        <v>5429</v>
      </c>
      <c r="G4" s="20" t="n">
        <v>5621</v>
      </c>
      <c r="H4" s="20" t="n">
        <v>6466</v>
      </c>
      <c r="I4" s="20" t="n">
        <v>7212</v>
      </c>
      <c r="J4" s="20" t="n">
        <v>8052</v>
      </c>
      <c r="K4" s="20" t="n">
        <v>8946</v>
      </c>
      <c r="L4" s="21" t="n">
        <v>10018</v>
      </c>
      <c r="M4" s="21" t="n">
        <v>10399</v>
      </c>
      <c r="N4" s="21" t="n">
        <v>10857</v>
      </c>
      <c r="O4" s="21" t="n">
        <v>10867</v>
      </c>
      <c r="P4" s="21" t="n">
        <v>11630.254</v>
      </c>
      <c r="Q4" s="21" t="n">
        <v>12335.052</v>
      </c>
      <c r="R4" s="21" t="n">
        <v>12820.27</v>
      </c>
      <c r="S4" s="21" t="n">
        <v>13355</v>
      </c>
      <c r="T4" s="21" t="n">
        <v>15794</v>
      </c>
      <c r="U4" s="21" t="n">
        <v>17751.456</v>
      </c>
      <c r="V4" s="21" t="n">
        <v>19684</v>
      </c>
      <c r="W4" s="217" t="n">
        <v>23077.462</v>
      </c>
      <c r="X4" s="217" t="n">
        <v>24409.874</v>
      </c>
      <c r="Y4" s="217" t="n">
        <v>22249</v>
      </c>
      <c r="Z4" s="217" t="n">
        <v>24461</v>
      </c>
      <c r="AA4" s="217" t="n">
        <v>26383.685</v>
      </c>
      <c r="AB4" s="217" t="n">
        <v>26249.947</v>
      </c>
      <c r="AC4" s="217" t="n">
        <v>26259.191</v>
      </c>
      <c r="AD4" s="217" t="n">
        <v>28440</v>
      </c>
      <c r="AE4" s="217" t="n">
        <v>30047.974</v>
      </c>
      <c r="AF4" s="217" t="n">
        <v>30462.325</v>
      </c>
      <c r="AG4" s="217" t="n">
        <v>31438.522</v>
      </c>
      <c r="AH4" s="217" t="n">
        <v>32387.156</v>
      </c>
      <c r="AI4" s="217" t="n">
        <v>33077.043</v>
      </c>
      <c r="AJ4" s="217" t="n">
        <v>14620</v>
      </c>
      <c r="AK4" s="217" t="n">
        <v>11354</v>
      </c>
      <c r="AL4" s="217" t="n">
        <v>10100</v>
      </c>
      <c r="AM4" s="217" t="n">
        <v>21225</v>
      </c>
      <c r="AN4" s="217" t="n">
        <v>24836</v>
      </c>
      <c r="AO4" s="21">
        <f>+AO52+AO22*0.09</f>
        <v/>
      </c>
      <c r="AP4" s="21">
        <f>+AP52+AP22*0.09</f>
        <v/>
      </c>
      <c r="AQ4" s="21">
        <f>+AQ52+AQ22*0.09</f>
        <v/>
      </c>
      <c r="AR4" s="21">
        <f>+AR52+AR22*0.09</f>
        <v/>
      </c>
      <c r="AS4" s="21">
        <f>+AS52+AS22*0.09</f>
        <v/>
      </c>
      <c r="AT4" s="21">
        <f>+AT52+AT22*0.09</f>
        <v/>
      </c>
      <c r="AU4" s="502" t="n"/>
      <c r="AV4" s="23" t="n">
        <v>4752</v>
      </c>
      <c r="AW4" s="23">
        <f>AX4-AV4</f>
        <v/>
      </c>
      <c r="AX4" s="24">
        <f>L4</f>
        <v/>
      </c>
      <c r="AY4" s="23" t="n"/>
      <c r="AZ4" s="23" t="n">
        <v>5074</v>
      </c>
      <c r="BA4" s="23">
        <f>BB4-AZ4</f>
        <v/>
      </c>
      <c r="BB4" s="24">
        <f>M4</f>
        <v/>
      </c>
      <c r="BD4" s="23" t="n">
        <v>5208</v>
      </c>
      <c r="BE4" s="985">
        <f>BF4-BD4</f>
        <v/>
      </c>
      <c r="BF4" s="24">
        <f>N4</f>
        <v/>
      </c>
      <c r="BH4" s="23" t="n">
        <v>5267</v>
      </c>
      <c r="BI4" s="985">
        <f>BJ4-BH4</f>
        <v/>
      </c>
      <c r="BJ4" s="24">
        <f>O4</f>
        <v/>
      </c>
      <c r="BL4" s="23" t="n">
        <v>5482.507</v>
      </c>
      <c r="BM4" s="985">
        <f>BN4-BL4</f>
        <v/>
      </c>
      <c r="BN4" s="24">
        <f>P4</f>
        <v/>
      </c>
      <c r="BP4" s="23" t="n">
        <v>5936</v>
      </c>
      <c r="BQ4" s="985">
        <f>BR4-BP4</f>
        <v/>
      </c>
      <c r="BR4" s="24">
        <f>Q4</f>
        <v/>
      </c>
      <c r="BT4" s="23" t="n">
        <v>5750</v>
      </c>
      <c r="BU4" s="23">
        <f>BV4-BT4</f>
        <v/>
      </c>
      <c r="BV4" s="24">
        <f>R4</f>
        <v/>
      </c>
      <c r="BX4" s="23" t="n">
        <v>6086.99</v>
      </c>
      <c r="BY4" s="23">
        <f>BZ4-BX4</f>
        <v/>
      </c>
      <c r="BZ4" s="24">
        <f>S4</f>
        <v/>
      </c>
      <c r="CB4" s="23" t="n">
        <v>7493.4</v>
      </c>
      <c r="CC4" s="23">
        <f>CD4-CB4</f>
        <v/>
      </c>
      <c r="CD4" s="24">
        <f>T4</f>
        <v/>
      </c>
      <c r="CE4" s="23" t="n"/>
      <c r="CF4" s="23" t="n">
        <v>8446</v>
      </c>
      <c r="CG4" s="23">
        <f>CH4-CF4</f>
        <v/>
      </c>
      <c r="CH4" s="24">
        <f>U4</f>
        <v/>
      </c>
      <c r="CI4" s="25" t="n"/>
      <c r="CJ4" s="23" t="n">
        <v>9125.674000000001</v>
      </c>
      <c r="CK4" s="23">
        <f>CL4-CJ4</f>
        <v/>
      </c>
      <c r="CL4" s="24">
        <f>V4</f>
        <v/>
      </c>
      <c r="CM4" s="24" t="n"/>
      <c r="CN4" s="23" t="n">
        <v>10975</v>
      </c>
      <c r="CO4" s="23">
        <f>CP4-CN4</f>
        <v/>
      </c>
      <c r="CP4" s="23">
        <f>W4</f>
        <v/>
      </c>
      <c r="CQ4" s="179" t="n"/>
      <c r="CR4" s="23" t="n">
        <v>12080.723</v>
      </c>
      <c r="CS4" s="23" t="n">
        <v>12080.723</v>
      </c>
      <c r="CT4" s="23">
        <f>CU4-CR4</f>
        <v/>
      </c>
      <c r="CU4" s="23">
        <f>X4</f>
        <v/>
      </c>
      <c r="CV4" s="23" t="n"/>
      <c r="CW4" s="23" t="n">
        <v>11034.701</v>
      </c>
      <c r="CX4" s="23">
        <f>CY4-CW4</f>
        <v/>
      </c>
      <c r="CY4" s="23">
        <f>Y4</f>
        <v/>
      </c>
      <c r="CZ4" s="23">
        <f>1-8.7</f>
        <v/>
      </c>
      <c r="DA4" s="23" t="n">
        <v>11435.63</v>
      </c>
      <c r="DB4" s="23">
        <f>+DC4-DA4</f>
        <v/>
      </c>
      <c r="DC4" s="23">
        <f>Z4</f>
        <v/>
      </c>
      <c r="DD4" s="23" t="n"/>
      <c r="DE4" s="21" t="n">
        <v>12846.427</v>
      </c>
      <c r="DF4" s="23">
        <f>+DG4-DE4</f>
        <v/>
      </c>
      <c r="DG4" s="23">
        <f>AA4</f>
        <v/>
      </c>
      <c r="DH4" s="179" t="n"/>
      <c r="DI4" s="21" t="n">
        <v>12943.769</v>
      </c>
      <c r="DJ4" s="23">
        <f>+DK4-DI4</f>
        <v/>
      </c>
      <c r="DK4" s="23">
        <f>AB4</f>
        <v/>
      </c>
      <c r="DL4" s="23" t="n"/>
      <c r="DM4" s="21" t="n">
        <v>12520.226</v>
      </c>
      <c r="DN4" s="21">
        <f>+DO4-DM4</f>
        <v/>
      </c>
      <c r="DO4" s="21">
        <f>AC4</f>
        <v/>
      </c>
      <c r="DP4" s="179" t="n"/>
      <c r="DQ4" s="217" t="n">
        <v>13544.749</v>
      </c>
      <c r="DR4" s="21">
        <f>+DS4-DQ4</f>
        <v/>
      </c>
      <c r="DS4" s="21">
        <f>AD4</f>
        <v/>
      </c>
      <c r="DT4" s="21" t="n"/>
      <c r="DU4" s="217" t="n">
        <v>14598</v>
      </c>
      <c r="DV4" s="21">
        <f>+DW4-DU4</f>
        <v/>
      </c>
      <c r="DW4" s="21">
        <f>AE4</f>
        <v/>
      </c>
      <c r="DX4" s="21" t="n"/>
      <c r="DY4" s="217" t="n">
        <v>14928.859</v>
      </c>
      <c r="DZ4" s="21">
        <f>+EA4-DY4</f>
        <v/>
      </c>
      <c r="EA4" s="21">
        <f>AF4</f>
        <v/>
      </c>
      <c r="EC4" s="217" t="n">
        <v>15189.63</v>
      </c>
      <c r="ED4" s="21">
        <f>+EE4-EC4</f>
        <v/>
      </c>
      <c r="EE4" s="21">
        <f>AG4</f>
        <v/>
      </c>
      <c r="EF4" s="21" t="n"/>
      <c r="EG4" s="217" t="n">
        <v>15746.849</v>
      </c>
      <c r="EH4" s="21">
        <f>+EI4-EG4</f>
        <v/>
      </c>
      <c r="EI4" s="21">
        <f>AH4</f>
        <v/>
      </c>
      <c r="EJ4" s="21" t="n"/>
      <c r="EK4" s="217" t="n">
        <v>16317.62</v>
      </c>
      <c r="EL4" s="21">
        <f>+EM4-EK4</f>
        <v/>
      </c>
      <c r="EM4" s="21">
        <f>AI4</f>
        <v/>
      </c>
      <c r="EN4" s="21" t="n"/>
      <c r="EO4" s="217" t="n">
        <v>8594.749</v>
      </c>
      <c r="EP4" s="21">
        <f>+EQ4-EO4</f>
        <v/>
      </c>
      <c r="EQ4" s="21">
        <f>AJ4</f>
        <v/>
      </c>
      <c r="ER4" s="21" t="n"/>
      <c r="ES4" s="217" t="n">
        <v>4454</v>
      </c>
      <c r="ET4" s="21">
        <f>+EU4-ES4</f>
        <v/>
      </c>
      <c r="EU4" s="21">
        <f>AK4</f>
        <v/>
      </c>
      <c r="EV4" s="21" t="n"/>
      <c r="EW4" s="217" t="n">
        <v>3094</v>
      </c>
      <c r="EX4" s="21">
        <f>+EY4-EW4</f>
        <v/>
      </c>
      <c r="EY4" s="21">
        <f>AL4</f>
        <v/>
      </c>
      <c r="FA4" s="217" t="n">
        <v>9628</v>
      </c>
      <c r="FB4" s="21">
        <f>+FC4-FA4</f>
        <v/>
      </c>
      <c r="FC4" s="21">
        <f>AM4</f>
        <v/>
      </c>
      <c r="FE4" s="217" t="n">
        <v>11822</v>
      </c>
      <c r="FF4" s="21">
        <f>+FG4-FE4</f>
        <v/>
      </c>
      <c r="FG4" s="21">
        <f>AN4</f>
        <v/>
      </c>
      <c r="FI4" s="217" t="n">
        <v>13699</v>
      </c>
      <c r="FJ4" s="21">
        <f>+FK4-FI4</f>
        <v/>
      </c>
      <c r="FK4" s="21">
        <f>AO4</f>
        <v/>
      </c>
      <c r="FM4" s="217" t="n">
        <v>14739</v>
      </c>
      <c r="FN4" s="21">
        <f>+FN52+FN22*0.09</f>
        <v/>
      </c>
      <c r="FO4" s="21">
        <f>AP4</f>
        <v/>
      </c>
    </row>
    <row r="5" ht="14.25" customFormat="1" customHeight="1" s="986">
      <c r="A5" s="987" t="inlineStr">
        <is>
          <t>capacity growth</t>
        </is>
      </c>
      <c r="B5" s="988" t="inlineStr">
        <is>
          <t>Change in overall capacity (ATK)</t>
        </is>
      </c>
      <c r="C5" t="n"/>
      <c r="D5" s="986">
        <f>D4/C4-1</f>
        <v/>
      </c>
      <c r="E5" s="986">
        <f>E4/D4-1</f>
        <v/>
      </c>
      <c r="F5" s="986">
        <f>F4/E4-1</f>
        <v/>
      </c>
      <c r="G5" s="986">
        <f>G4/F4-1</f>
        <v/>
      </c>
      <c r="H5" s="986">
        <f>H4/G4-1</f>
        <v/>
      </c>
      <c r="I5" s="986">
        <f>I4/H4-1</f>
        <v/>
      </c>
      <c r="J5" s="986">
        <f>J4/I4-1</f>
        <v/>
      </c>
      <c r="K5" s="989">
        <f>K4/J4-1</f>
        <v/>
      </c>
      <c r="L5" s="989">
        <f>0.1198</f>
        <v/>
      </c>
      <c r="M5" s="989">
        <f>M4/L4-1</f>
        <v/>
      </c>
      <c r="N5" s="989">
        <f>N4/M4-1</f>
        <v/>
      </c>
      <c r="O5" s="989">
        <f>O4/N4-1</f>
        <v/>
      </c>
      <c r="P5" s="989">
        <f>P4/O4-1</f>
        <v/>
      </c>
      <c r="Q5" s="989">
        <f>Q4/P4-1</f>
        <v/>
      </c>
      <c r="R5" s="989">
        <f>R4/Q4-1</f>
        <v/>
      </c>
      <c r="S5" s="990">
        <f>S4/R4-1</f>
        <v/>
      </c>
      <c r="T5" s="989">
        <f>T4/S4-1</f>
        <v/>
      </c>
      <c r="U5" s="989">
        <f>U4/T4-1</f>
        <v/>
      </c>
      <c r="V5" s="989">
        <f>V4/U4-1</f>
        <v/>
      </c>
      <c r="W5" s="989">
        <f>W4/V4-1</f>
        <v/>
      </c>
      <c r="X5" s="989">
        <f>X4/W4-1</f>
        <v/>
      </c>
      <c r="Y5" s="989">
        <f>Y4/X4-1</f>
        <v/>
      </c>
      <c r="Z5" s="989">
        <f>Z4/Y4-1</f>
        <v/>
      </c>
      <c r="AA5" s="989">
        <f>AA4/Z4-1</f>
        <v/>
      </c>
      <c r="AB5" s="989">
        <f>AB4/AA4-1</f>
        <v/>
      </c>
      <c r="AC5" s="989">
        <f>AC4/AB4-1</f>
        <v/>
      </c>
      <c r="AD5" s="989">
        <f>AD4/AC4-1</f>
        <v/>
      </c>
      <c r="AE5" s="989">
        <f>AE4/AD4-1</f>
        <v/>
      </c>
      <c r="AF5" s="989">
        <f>AF4/AE4-1</f>
        <v/>
      </c>
      <c r="AG5" s="989">
        <f>AG4/AF4-1</f>
        <v/>
      </c>
      <c r="AH5" s="989">
        <f>AH4/AG4-1</f>
        <v/>
      </c>
      <c r="AI5" s="989">
        <f>AI4/AH4-1</f>
        <v/>
      </c>
      <c r="AJ5" s="989">
        <f>AJ4/AI4-1</f>
        <v/>
      </c>
      <c r="AK5" s="989">
        <f>AK4/AJ4-1</f>
        <v/>
      </c>
      <c r="AL5" s="989">
        <f>+AL4/AK4-1</f>
        <v/>
      </c>
      <c r="AM5" s="989">
        <f>+AM4/AL4-1</f>
        <v/>
      </c>
      <c r="AN5" s="989">
        <f>+AN4/AM4-1</f>
        <v/>
      </c>
      <c r="AO5" s="986">
        <f>+AO4/AN4-1</f>
        <v/>
      </c>
      <c r="AP5" s="986">
        <f>+AP4/AO4-1</f>
        <v/>
      </c>
      <c r="AQ5" s="986">
        <f>+AQ4/AP4-1</f>
        <v/>
      </c>
      <c r="AR5" s="986">
        <f>+AR4/AQ4-1</f>
        <v/>
      </c>
      <c r="AS5" s="986">
        <f>+AS4/AR4-1</f>
        <v/>
      </c>
      <c r="AT5" s="986">
        <f>+AT4/AS4-1</f>
        <v/>
      </c>
      <c r="AU5" s="288" t="n"/>
      <c r="AV5" s="991" t="n"/>
      <c r="AW5" s="991" t="n"/>
      <c r="AX5" s="992">
        <f>L5</f>
        <v/>
      </c>
      <c r="AY5" s="991" t="n"/>
      <c r="AZ5" s="991">
        <f>AZ4/AV4-1</f>
        <v/>
      </c>
      <c r="BA5" s="991">
        <f>BA4/AW4-1</f>
        <v/>
      </c>
      <c r="BB5" s="992">
        <f>M5</f>
        <v/>
      </c>
      <c r="BD5" s="991">
        <f>BD4/AZ4-1</f>
        <v/>
      </c>
      <c r="BE5" s="991">
        <f>BE4/BA4-1</f>
        <v/>
      </c>
      <c r="BF5" s="992">
        <f>N5</f>
        <v/>
      </c>
      <c r="BH5" s="991">
        <f>BH4/BD4-1</f>
        <v/>
      </c>
      <c r="BI5" s="991">
        <f>BI4/BE4-1</f>
        <v/>
      </c>
      <c r="BJ5" s="992">
        <f>O5</f>
        <v/>
      </c>
      <c r="BL5" s="991">
        <f>BL4/BH4-1</f>
        <v/>
      </c>
      <c r="BM5" s="991">
        <f>BM4/BI4-1</f>
        <v/>
      </c>
      <c r="BN5" s="992">
        <f>P5</f>
        <v/>
      </c>
      <c r="BP5" s="991">
        <f>BP4/BL4-1</f>
        <v/>
      </c>
      <c r="BQ5" s="993">
        <f>BQ4/BM4-1</f>
        <v/>
      </c>
      <c r="BR5" s="992">
        <f>Q5</f>
        <v/>
      </c>
      <c r="BT5" s="993">
        <f>BT4/BP4-1</f>
        <v/>
      </c>
      <c r="BU5" s="991">
        <f>BU4/BQ4-1</f>
        <v/>
      </c>
      <c r="BV5" s="992">
        <f>R5</f>
        <v/>
      </c>
      <c r="BX5" s="993">
        <f>BX4/BT4-1</f>
        <v/>
      </c>
      <c r="BY5" s="991">
        <f>BY4/BU4-1</f>
        <v/>
      </c>
      <c r="BZ5" s="992">
        <f>S5</f>
        <v/>
      </c>
      <c r="CB5" s="993">
        <f>CB4/BX4-1</f>
        <v/>
      </c>
      <c r="CC5" s="991">
        <f>CC4/BY4-1</f>
        <v/>
      </c>
      <c r="CD5" s="992">
        <f>T5</f>
        <v/>
      </c>
      <c r="CE5" s="993" t="n"/>
      <c r="CF5" s="993">
        <f>CF4/CB4-1</f>
        <v/>
      </c>
      <c r="CG5" s="993">
        <f>CG4/CC4-1</f>
        <v/>
      </c>
      <c r="CH5" s="992">
        <f>U5</f>
        <v/>
      </c>
      <c r="CI5" s="992" t="n"/>
      <c r="CJ5" s="993">
        <f>CJ4/CF4-1</f>
        <v/>
      </c>
      <c r="CK5" s="993">
        <f>CK4/CG4-1</f>
        <v/>
      </c>
      <c r="CL5" s="992">
        <f>V5</f>
        <v/>
      </c>
      <c r="CM5" s="992" t="n"/>
      <c r="CN5" s="993">
        <f>CN4/CJ4-1</f>
        <v/>
      </c>
      <c r="CO5" s="993">
        <f>CO4/CK4-1</f>
        <v/>
      </c>
      <c r="CP5" s="993">
        <f>W5</f>
        <v/>
      </c>
      <c r="CQ5" s="993" t="n"/>
      <c r="CR5" s="993">
        <f>CR4/CN4-1</f>
        <v/>
      </c>
      <c r="CS5" s="993">
        <f>CS4/CN4-1</f>
        <v/>
      </c>
      <c r="CT5" s="993">
        <f>CT4/CO4-1</f>
        <v/>
      </c>
      <c r="CU5" s="993">
        <f>X5</f>
        <v/>
      </c>
      <c r="CV5" s="993" t="n"/>
      <c r="CW5" s="993">
        <f>CW4/CS4-1</f>
        <v/>
      </c>
      <c r="CX5" s="993">
        <f>CX4/CT4-1</f>
        <v/>
      </c>
      <c r="CY5" s="993">
        <f>Y5</f>
        <v/>
      </c>
      <c r="CZ5" s="993" t="n"/>
      <c r="DA5" s="993">
        <f>DA4/CW4-1</f>
        <v/>
      </c>
      <c r="DB5" s="993">
        <f>DB4/CX4-1</f>
        <v/>
      </c>
      <c r="DC5" s="993">
        <f>Z5</f>
        <v/>
      </c>
      <c r="DD5" s="993" t="n"/>
      <c r="DE5" s="993">
        <f>DE4/DA4-1</f>
        <v/>
      </c>
      <c r="DF5" s="993">
        <f>DF4/DB4-1</f>
        <v/>
      </c>
      <c r="DG5" s="993">
        <f>AA5</f>
        <v/>
      </c>
      <c r="DH5" s="290" t="n"/>
      <c r="DI5" s="989">
        <f>+DI4/DE4-1</f>
        <v/>
      </c>
      <c r="DJ5" s="993">
        <f>DJ4/DF4-1</f>
        <v/>
      </c>
      <c r="DK5" s="993">
        <f>AB5</f>
        <v/>
      </c>
      <c r="DL5" s="993" t="n"/>
      <c r="DM5" s="989">
        <f>+DM4/DI4-1</f>
        <v/>
      </c>
      <c r="DN5" s="989">
        <f>DN4/DJ4-1</f>
        <v/>
      </c>
      <c r="DO5" s="989">
        <f>AC5</f>
        <v/>
      </c>
      <c r="DP5" s="290" t="n"/>
      <c r="DQ5" s="989">
        <f>+DQ4/DM4-1</f>
        <v/>
      </c>
      <c r="DR5" s="989">
        <f>+DR4/DN4-1</f>
        <v/>
      </c>
      <c r="DS5" s="989">
        <f>AD5</f>
        <v/>
      </c>
      <c r="DT5" s="989" t="n"/>
      <c r="DU5" s="989">
        <f>+DU4/DQ4-1</f>
        <v/>
      </c>
      <c r="DV5" s="989">
        <f>+DV4/DR4-1</f>
        <v/>
      </c>
      <c r="DW5" s="989">
        <f>AE5</f>
        <v/>
      </c>
      <c r="DX5" s="989" t="n"/>
      <c r="DY5" s="989">
        <f>+DY4/DU4-1</f>
        <v/>
      </c>
      <c r="DZ5" s="989">
        <f>+DZ4/DV4-1</f>
        <v/>
      </c>
      <c r="EA5" s="989">
        <f>AF5</f>
        <v/>
      </c>
      <c r="EC5" s="989">
        <f>+EC4/DY4-1</f>
        <v/>
      </c>
      <c r="ED5" s="989">
        <f>+ED4/DZ4-1</f>
        <v/>
      </c>
      <c r="EE5" s="989">
        <f>AG5</f>
        <v/>
      </c>
      <c r="EF5" s="989" t="n"/>
      <c r="EG5" s="989">
        <f>+EG4/EC4-1</f>
        <v/>
      </c>
      <c r="EH5" s="989">
        <f>+EH4/ED4-1</f>
        <v/>
      </c>
      <c r="EI5" s="989">
        <f>AH5</f>
        <v/>
      </c>
      <c r="EJ5" s="989" t="n"/>
      <c r="EK5" s="989">
        <f>+EK4/EG4-1</f>
        <v/>
      </c>
      <c r="EL5" s="989">
        <f>+EL4/EH4-1</f>
        <v/>
      </c>
      <c r="EM5" s="989">
        <f>AI5</f>
        <v/>
      </c>
      <c r="EN5" s="989" t="n"/>
      <c r="EO5" s="989">
        <f>+EO4/EK4-1</f>
        <v/>
      </c>
      <c r="EP5" s="989">
        <f>+EP4/EL4-1</f>
        <v/>
      </c>
      <c r="EQ5" s="989">
        <f>+EQ4/EM4-1</f>
        <v/>
      </c>
      <c r="ER5" s="989" t="n"/>
      <c r="ES5" s="989">
        <f>+ES4/EO4-1</f>
        <v/>
      </c>
      <c r="ET5" s="989">
        <f>+ET4/EP4-1</f>
        <v/>
      </c>
      <c r="EU5" s="989">
        <f>+EU4/EQ4-1</f>
        <v/>
      </c>
      <c r="EV5" s="989" t="n"/>
      <c r="EW5" s="989">
        <f>+EW4/ES4-1</f>
        <v/>
      </c>
      <c r="EX5" s="989">
        <f>+EX4/ET4-1</f>
        <v/>
      </c>
      <c r="EY5" s="989">
        <f>+EY4/EU4-1</f>
        <v/>
      </c>
      <c r="FA5" s="989">
        <f>+FA4/EW4-1</f>
        <v/>
      </c>
      <c r="FB5" s="989">
        <f>+FB4/EX4-1</f>
        <v/>
      </c>
      <c r="FC5" s="989">
        <f>+FC4/EY4-1</f>
        <v/>
      </c>
      <c r="FE5" s="989">
        <f>+FE4/FA4-1</f>
        <v/>
      </c>
      <c r="FF5" s="989">
        <f>+FF4/FB4-1</f>
        <v/>
      </c>
      <c r="FG5" s="989">
        <f>+FG4/FC4-1</f>
        <v/>
      </c>
      <c r="FI5" s="989">
        <f>+FI4/FE4-1</f>
        <v/>
      </c>
      <c r="FJ5" s="989">
        <f>+FJ4/FF4-1</f>
        <v/>
      </c>
      <c r="FK5" s="989">
        <f>+FK4/FG4-1</f>
        <v/>
      </c>
      <c r="FM5" s="989">
        <f>+FM4/FI4-1</f>
        <v/>
      </c>
      <c r="FN5" s="989">
        <f>+FN4/FJ4-1</f>
        <v/>
      </c>
      <c r="FO5" s="989">
        <f>+FO4/FK4-1</f>
        <v/>
      </c>
    </row>
    <row r="6" ht="14.25" customFormat="1" customHeight="1" s="986">
      <c r="A6" s="987" t="n"/>
      <c r="B6" s="988" t="n"/>
      <c r="K6" s="989" t="n"/>
      <c r="L6" s="989" t="n"/>
      <c r="M6" s="989" t="n"/>
      <c r="N6" s="989" t="n"/>
      <c r="O6" s="989" t="n"/>
      <c r="P6" s="989" t="n"/>
      <c r="Q6" s="989" t="n"/>
      <c r="R6" s="989" t="n"/>
      <c r="S6" s="990" t="n"/>
      <c r="T6" s="989" t="n"/>
      <c r="U6" s="989" t="n"/>
      <c r="V6" s="989" t="n"/>
      <c r="W6" s="989" t="n"/>
      <c r="X6" s="989" t="n"/>
      <c r="Y6" s="989" t="n"/>
      <c r="Z6" s="989" t="n"/>
      <c r="AA6" s="989" t="n"/>
      <c r="AB6" s="989" t="n"/>
      <c r="AC6" s="989" t="n"/>
      <c r="AD6" s="989" t="n"/>
      <c r="AE6" s="989" t="n"/>
      <c r="AF6" s="989" t="n"/>
      <c r="AG6" s="989" t="n"/>
      <c r="AH6" s="989" t="n"/>
      <c r="AI6" s="989" t="n"/>
      <c r="AJ6" s="989" t="n"/>
      <c r="AK6" s="989" t="n"/>
      <c r="AL6" s="989" t="n"/>
      <c r="AM6" s="989" t="n"/>
      <c r="AN6" s="989" t="n"/>
      <c r="AO6" s="989" t="n"/>
      <c r="AP6" s="986" t="n"/>
      <c r="AQ6" s="986" t="n"/>
      <c r="AR6" s="986" t="n"/>
      <c r="AS6" s="986" t="n"/>
      <c r="AT6" s="986" t="n"/>
      <c r="AU6" s="288" t="n"/>
      <c r="AV6" s="991" t="n"/>
      <c r="AW6" s="991" t="n"/>
      <c r="AX6" s="992" t="n"/>
      <c r="AY6" s="991" t="n"/>
      <c r="AZ6" s="991" t="n"/>
      <c r="BA6" s="991" t="n"/>
      <c r="BB6" s="992" t="n"/>
      <c r="BD6" s="991" t="n"/>
      <c r="BE6" s="991" t="n"/>
      <c r="BF6" s="992" t="n"/>
      <c r="BH6" s="991" t="n"/>
      <c r="BI6" s="991" t="n"/>
      <c r="BJ6" s="992" t="n"/>
      <c r="BL6" s="991" t="n"/>
      <c r="BM6" s="991" t="n"/>
      <c r="BN6" s="992" t="n"/>
      <c r="BP6" s="991" t="n"/>
      <c r="BQ6" s="993" t="n"/>
      <c r="BR6" s="992" t="n"/>
      <c r="BT6" s="993" t="n"/>
      <c r="BU6" s="991" t="n"/>
      <c r="BV6" s="992" t="n"/>
      <c r="BX6" s="993" t="n"/>
      <c r="BY6" s="991" t="n"/>
      <c r="BZ6" s="992" t="n"/>
      <c r="CB6" s="993" t="n"/>
      <c r="CC6" s="991" t="n"/>
      <c r="CD6" s="992" t="n"/>
      <c r="CE6" s="993" t="n"/>
      <c r="CF6" s="993" t="n"/>
      <c r="CG6" s="993" t="n"/>
      <c r="CH6" s="992" t="n"/>
      <c r="CI6" s="992" t="n"/>
      <c r="CJ6" s="993" t="n"/>
      <c r="CK6" s="993" t="n"/>
      <c r="CL6" s="992" t="n"/>
      <c r="CM6" s="992" t="n"/>
      <c r="CN6" s="993" t="n"/>
      <c r="CO6" s="993" t="n"/>
      <c r="CP6" s="993" t="n"/>
      <c r="CQ6" s="993" t="n"/>
      <c r="CR6" s="993" t="n"/>
      <c r="CS6" s="993" t="n"/>
      <c r="CT6" s="993" t="n"/>
      <c r="CU6" s="993" t="n"/>
      <c r="CV6" s="993" t="n"/>
      <c r="CW6" s="993" t="n"/>
      <c r="CX6" s="993" t="n"/>
      <c r="CY6" s="993" t="n"/>
      <c r="CZ6" s="993" t="n"/>
      <c r="DA6" s="993" t="n"/>
      <c r="DB6" s="993" t="n"/>
      <c r="DC6" s="993" t="n"/>
      <c r="DD6" s="993" t="n"/>
      <c r="DE6" s="993" t="n"/>
      <c r="DF6" s="993" t="n"/>
      <c r="DG6" s="993" t="n"/>
      <c r="DH6" s="290" t="n"/>
      <c r="DI6" s="989" t="n"/>
      <c r="DJ6" s="993" t="n"/>
      <c r="DK6" s="993" t="n"/>
      <c r="DL6" s="993" t="n"/>
      <c r="DM6" s="989" t="n"/>
      <c r="DN6" s="989" t="n"/>
      <c r="DO6" s="989" t="n"/>
      <c r="DP6" s="290" t="n"/>
      <c r="DQ6" s="989" t="n"/>
      <c r="DR6" s="989" t="n"/>
      <c r="DS6" s="989" t="n"/>
      <c r="DT6" s="989" t="n"/>
      <c r="DU6" s="989" t="n"/>
      <c r="DV6" s="989" t="n"/>
      <c r="DW6" s="989" t="n"/>
      <c r="DX6" s="989" t="n"/>
      <c r="DY6" s="989" t="n"/>
      <c r="DZ6" s="989" t="n"/>
      <c r="EA6" s="989" t="n"/>
      <c r="EC6" s="989" t="n"/>
      <c r="ED6" s="989" t="n"/>
      <c r="EE6" s="989" t="n"/>
      <c r="EF6" s="989" t="n"/>
      <c r="EG6" s="989" t="n"/>
      <c r="EH6" s="989" t="n"/>
      <c r="EI6" s="989" t="n"/>
      <c r="EJ6" s="989" t="n"/>
      <c r="EK6" s="989" t="n"/>
      <c r="EL6" s="989" t="n"/>
      <c r="EM6" s="989" t="n"/>
      <c r="EN6" s="989" t="n"/>
      <c r="EO6" s="989" t="n"/>
      <c r="EP6" s="989" t="n"/>
      <c r="EQ6" s="989" t="n"/>
      <c r="ER6" s="989" t="n"/>
      <c r="ES6" s="989" t="n"/>
      <c r="ET6" s="989" t="n"/>
      <c r="EU6" s="989" t="n"/>
      <c r="EV6" s="989" t="n"/>
      <c r="EW6" s="989" t="n"/>
      <c r="EX6" s="989" t="n"/>
      <c r="EY6" s="989" t="n"/>
      <c r="FA6" s="989" t="n"/>
      <c r="FB6" s="989" t="n"/>
      <c r="FC6" s="989" t="n"/>
      <c r="FE6" s="986" t="n"/>
      <c r="FF6" s="989" t="n"/>
      <c r="FG6" s="989" t="n"/>
      <c r="FI6" s="989" t="n"/>
      <c r="FJ6" s="989" t="n"/>
      <c r="FK6" s="989" t="n"/>
      <c r="FM6" s="989" t="n"/>
      <c r="FN6" s="989" t="n"/>
      <c r="FO6" s="989" t="n"/>
    </row>
    <row r="7" ht="14.25" customFormat="1" customHeight="1" s="986">
      <c r="A7" s="987" t="n"/>
      <c r="B7" s="20" t="inlineStr">
        <is>
          <t>Overall ask</t>
        </is>
      </c>
      <c r="C7" s="20">
        <f>+C22+C37</f>
        <v/>
      </c>
      <c r="D7" s="20">
        <f>+D22+D37</f>
        <v/>
      </c>
      <c r="E7" s="20">
        <f>+E22+E37</f>
        <v/>
      </c>
      <c r="F7" s="20">
        <f>+F22+F37</f>
        <v/>
      </c>
      <c r="G7" s="20">
        <f>+G22+G37</f>
        <v/>
      </c>
      <c r="H7" s="20">
        <f>+H22+H37</f>
        <v/>
      </c>
      <c r="I7" s="20">
        <f>+I22+I37</f>
        <v/>
      </c>
      <c r="J7" s="20">
        <f>+J22+J37</f>
        <v/>
      </c>
      <c r="K7" s="20">
        <f>+K22+K37</f>
        <v/>
      </c>
      <c r="L7" s="20">
        <f>+L22+L37</f>
        <v/>
      </c>
      <c r="M7" s="20">
        <f>+M22+M37</f>
        <v/>
      </c>
      <c r="N7" s="20">
        <f>+N22+N37</f>
        <v/>
      </c>
      <c r="O7" s="20">
        <f>+O22+O37</f>
        <v/>
      </c>
      <c r="P7" s="20">
        <f>+P22+P37</f>
        <v/>
      </c>
      <c r="Q7" s="20">
        <f>+Q22+Q37</f>
        <v/>
      </c>
      <c r="R7" s="20">
        <f>+R22+R37</f>
        <v/>
      </c>
      <c r="S7" s="20">
        <f>+S22+S37</f>
        <v/>
      </c>
      <c r="T7" s="20">
        <f>+T22+T37</f>
        <v/>
      </c>
      <c r="U7" s="20">
        <f>+U22+U37</f>
        <v/>
      </c>
      <c r="V7" s="20">
        <f>+V22+V37</f>
        <v/>
      </c>
      <c r="W7" s="20">
        <f>+W22+W37</f>
        <v/>
      </c>
      <c r="X7" s="20">
        <f>+X22+X37</f>
        <v/>
      </c>
      <c r="Y7" s="20">
        <f>+Y22+Y37</f>
        <v/>
      </c>
      <c r="Z7" s="20">
        <f>+Z22+Z37</f>
        <v/>
      </c>
      <c r="AA7" s="20">
        <f>+AA22+AA37</f>
        <v/>
      </c>
      <c r="AB7" s="20">
        <f>+AB22+AB37</f>
        <v/>
      </c>
      <c r="AC7" s="20">
        <f>+AC22+AC37</f>
        <v/>
      </c>
      <c r="AD7" s="20">
        <f>+AD22+AD37</f>
        <v/>
      </c>
      <c r="AE7" s="20">
        <f>+AE22+AE37</f>
        <v/>
      </c>
      <c r="AF7" s="20">
        <f>+AF22+AF37</f>
        <v/>
      </c>
      <c r="AG7" s="20">
        <f>+AG22+AG37</f>
        <v/>
      </c>
      <c r="AH7" s="20">
        <f>+AH22+AH37</f>
        <v/>
      </c>
      <c r="AI7" s="20">
        <f>+AI22+AI37</f>
        <v/>
      </c>
      <c r="AJ7" s="20">
        <f>+AJ22+AJ37</f>
        <v/>
      </c>
      <c r="AK7" s="20">
        <f>+AK22+AK37</f>
        <v/>
      </c>
      <c r="AL7" s="20">
        <f>+AL22+AL37</f>
        <v/>
      </c>
      <c r="AM7" s="20">
        <f>+AM22+AM37</f>
        <v/>
      </c>
      <c r="AN7" s="20">
        <f>+AN22+AN37</f>
        <v/>
      </c>
      <c r="AO7" s="20">
        <f>+AO22+AO37</f>
        <v/>
      </c>
      <c r="AP7" s="20">
        <f>+AP22+AP37</f>
        <v/>
      </c>
      <c r="AQ7" s="20">
        <f>+AQ22+AQ37</f>
        <v/>
      </c>
      <c r="AR7" s="20">
        <f>+AR22+AR37</f>
        <v/>
      </c>
      <c r="AS7" s="20">
        <f>+AS22+AS37</f>
        <v/>
      </c>
      <c r="AT7" s="20">
        <f>+AT22+AT37</f>
        <v/>
      </c>
      <c r="AU7" s="288" t="n"/>
      <c r="AV7" s="20" t="n"/>
      <c r="AW7" s="20" t="n"/>
      <c r="AX7" s="992" t="n"/>
      <c r="AY7" s="991" t="n"/>
      <c r="AZ7" s="20" t="n"/>
      <c r="BA7" s="20" t="n"/>
      <c r="BB7" s="992" t="n"/>
      <c r="BD7" s="20">
        <f>+BD22+BD37</f>
        <v/>
      </c>
      <c r="BE7" s="20">
        <f>+BE22+BE37</f>
        <v/>
      </c>
      <c r="BF7" s="20">
        <f>+BF22+BF37</f>
        <v/>
      </c>
      <c r="BH7" s="20">
        <f>+BH22+BH37</f>
        <v/>
      </c>
      <c r="BI7" s="20">
        <f>+BI22+BI37</f>
        <v/>
      </c>
      <c r="BJ7" s="20">
        <f>+BJ22+BJ37</f>
        <v/>
      </c>
      <c r="BL7" s="20">
        <f>+BL22+BL37</f>
        <v/>
      </c>
      <c r="BM7" s="20">
        <f>+BM22+BM37</f>
        <v/>
      </c>
      <c r="BN7" s="20">
        <f>+BN22+BN37</f>
        <v/>
      </c>
      <c r="BP7" s="20">
        <f>+BP22+BP37</f>
        <v/>
      </c>
      <c r="BQ7" s="20">
        <f>+BQ22+BQ37</f>
        <v/>
      </c>
      <c r="BR7" s="20">
        <f>+BR22+BR37</f>
        <v/>
      </c>
      <c r="BT7" s="20">
        <f>+BT22+BT37</f>
        <v/>
      </c>
      <c r="BU7" s="20">
        <f>+BU22+BU37</f>
        <v/>
      </c>
      <c r="BV7" s="20">
        <f>+BV22+BV37</f>
        <v/>
      </c>
      <c r="BX7" s="20">
        <f>+BX22+BX37</f>
        <v/>
      </c>
      <c r="BY7" s="20">
        <f>+BY22+BY37</f>
        <v/>
      </c>
      <c r="BZ7" s="20">
        <f>+BZ22+BZ37</f>
        <v/>
      </c>
      <c r="CB7" s="20">
        <f>+CB22+CB37</f>
        <v/>
      </c>
      <c r="CC7" s="20">
        <f>+CC22+CC37</f>
        <v/>
      </c>
      <c r="CD7" s="20">
        <f>+CD22+CD37</f>
        <v/>
      </c>
      <c r="CE7" s="993" t="n"/>
      <c r="CF7" s="20">
        <f>+CF22+CF37</f>
        <v/>
      </c>
      <c r="CG7" s="20">
        <f>+CG22+CG37</f>
        <v/>
      </c>
      <c r="CH7" s="20">
        <f>+CH22+CH37</f>
        <v/>
      </c>
      <c r="CI7" s="992" t="n"/>
      <c r="CJ7" s="20">
        <f>+CJ22+CJ37</f>
        <v/>
      </c>
      <c r="CK7" s="20">
        <f>+CK22+CK37</f>
        <v/>
      </c>
      <c r="CL7" s="20">
        <f>+CL22+CL37</f>
        <v/>
      </c>
      <c r="CM7" s="992" t="n"/>
      <c r="CN7" s="20">
        <f>+CN22+CN37</f>
        <v/>
      </c>
      <c r="CO7" s="20">
        <f>+CO22+CO37</f>
        <v/>
      </c>
      <c r="CP7" s="20">
        <f>+CP22+CP37</f>
        <v/>
      </c>
      <c r="CQ7" s="993" t="n"/>
      <c r="CR7" s="20">
        <f>+CR22+CR37</f>
        <v/>
      </c>
      <c r="CS7" s="20">
        <f>+CS22+CS37</f>
        <v/>
      </c>
      <c r="CT7" s="20">
        <f>+CT22+CT37</f>
        <v/>
      </c>
      <c r="CU7" s="20">
        <f>+CU22+CU37</f>
        <v/>
      </c>
      <c r="CV7" s="993" t="n"/>
      <c r="CW7" s="20">
        <f>+CW22+CW37</f>
        <v/>
      </c>
      <c r="CX7" s="20">
        <f>+CX22+CX37</f>
        <v/>
      </c>
      <c r="CY7" s="20">
        <f>+CY22+CY37</f>
        <v/>
      </c>
      <c r="CZ7" s="993" t="n"/>
      <c r="DA7" s="20">
        <f>+DA22+DA37</f>
        <v/>
      </c>
      <c r="DB7" s="20">
        <f>+DB22+DB37</f>
        <v/>
      </c>
      <c r="DC7" s="20">
        <f>+DC22+DC37</f>
        <v/>
      </c>
      <c r="DD7" s="993" t="n"/>
      <c r="DE7" s="20">
        <f>+DE22+DE37</f>
        <v/>
      </c>
      <c r="DF7" s="20">
        <f>+DF22+DF37</f>
        <v/>
      </c>
      <c r="DG7" s="20">
        <f>+DG22+DG37</f>
        <v/>
      </c>
      <c r="DH7" s="290" t="n"/>
      <c r="DI7" s="20">
        <f>+DI22+DI37</f>
        <v/>
      </c>
      <c r="DJ7" s="20">
        <f>+DJ22+DJ37</f>
        <v/>
      </c>
      <c r="DK7" s="20">
        <f>+DK22+DK37</f>
        <v/>
      </c>
      <c r="DL7" s="993" t="n"/>
      <c r="DM7" s="20">
        <f>+DM22+DM37</f>
        <v/>
      </c>
      <c r="DN7" s="20">
        <f>+DN22+DN37</f>
        <v/>
      </c>
      <c r="DO7" s="20">
        <f>+DO22+DO37</f>
        <v/>
      </c>
      <c r="DP7" s="290" t="n"/>
      <c r="DQ7" s="20">
        <f>+DQ22+DQ37</f>
        <v/>
      </c>
      <c r="DR7" s="20">
        <f>+DR22+DR37</f>
        <v/>
      </c>
      <c r="DS7" s="20">
        <f>+DS22+DS37</f>
        <v/>
      </c>
      <c r="DT7" s="989" t="n"/>
      <c r="DU7" s="20">
        <f>+DU22+DU37</f>
        <v/>
      </c>
      <c r="DV7" s="20">
        <f>+DV22+DV37</f>
        <v/>
      </c>
      <c r="DW7" s="20">
        <f>+DW22+DW37</f>
        <v/>
      </c>
      <c r="DX7" s="989" t="n"/>
      <c r="DY7" s="20">
        <f>+DY22+DY37</f>
        <v/>
      </c>
      <c r="DZ7" s="20">
        <f>+DZ22+DZ37</f>
        <v/>
      </c>
      <c r="EA7" s="20">
        <f>+EA22+EA37</f>
        <v/>
      </c>
      <c r="EC7" s="20">
        <f>+EC22+EC37</f>
        <v/>
      </c>
      <c r="ED7" s="20">
        <f>+ED22+ED37</f>
        <v/>
      </c>
      <c r="EE7" s="20">
        <f>+EE22+EE37</f>
        <v/>
      </c>
      <c r="EF7" s="989" t="n"/>
      <c r="EG7" s="20">
        <f>+EG22+EG37</f>
        <v/>
      </c>
      <c r="EH7" s="20">
        <f>+EH22+EH37</f>
        <v/>
      </c>
      <c r="EI7" s="20">
        <f>+EI22+EI37</f>
        <v/>
      </c>
      <c r="EJ7" s="989" t="n"/>
      <c r="EK7" s="20">
        <f>+EK22+EK37</f>
        <v/>
      </c>
      <c r="EL7" s="20">
        <f>+EL22+EL37</f>
        <v/>
      </c>
      <c r="EM7" s="20">
        <f>+EM22+EM37</f>
        <v/>
      </c>
      <c r="EN7" s="989" t="n"/>
      <c r="EO7" s="20">
        <f>+EO22+EO37</f>
        <v/>
      </c>
      <c r="EP7" s="20">
        <f>+EP22+EP37</f>
        <v/>
      </c>
      <c r="EQ7" s="20">
        <f>+EQ22+EQ37</f>
        <v/>
      </c>
      <c r="ER7" s="989" t="n"/>
      <c r="ES7" s="20">
        <f>+ES22+ES37</f>
        <v/>
      </c>
      <c r="ET7" s="20">
        <f>+ET22+ET37</f>
        <v/>
      </c>
      <c r="EU7" s="20">
        <f>+EU22+EU37</f>
        <v/>
      </c>
      <c r="EV7" s="989" t="n"/>
      <c r="EW7" s="20">
        <f>+EW22+EW37</f>
        <v/>
      </c>
      <c r="EX7" s="20">
        <f>+EX22+EX37</f>
        <v/>
      </c>
      <c r="EY7" s="20">
        <f>+EY22+EY37</f>
        <v/>
      </c>
      <c r="FA7" s="20">
        <f>+FA22+FA37</f>
        <v/>
      </c>
      <c r="FB7" s="20">
        <f>+FB22+FB37</f>
        <v/>
      </c>
      <c r="FC7" s="20">
        <f>+FC22+FC37</f>
        <v/>
      </c>
      <c r="FE7" s="20">
        <f>+FE22+FE37</f>
        <v/>
      </c>
      <c r="FF7" s="20">
        <f>+FF22+FF37</f>
        <v/>
      </c>
      <c r="FG7" s="20">
        <f>+FG22+FG37</f>
        <v/>
      </c>
      <c r="FI7" s="20">
        <f>+FI22+FI37</f>
        <v/>
      </c>
      <c r="FJ7" s="20">
        <f>+FJ22+FJ37</f>
        <v/>
      </c>
      <c r="FK7" s="20">
        <f>+FK22+FK37</f>
        <v/>
      </c>
      <c r="FM7" s="20">
        <f>+FM22+FM37</f>
        <v/>
      </c>
      <c r="FN7" s="20">
        <f>+FN22+FN37</f>
        <v/>
      </c>
      <c r="FO7" s="20">
        <f>+FO22+FO37</f>
        <v/>
      </c>
    </row>
    <row r="8" ht="14.25" customFormat="1" customHeight="1" s="986">
      <c r="A8" s="987" t="n"/>
      <c r="B8" s="988" t="inlineStr">
        <is>
          <t>YoY change in overall capacity (ASK)</t>
        </is>
      </c>
      <c r="D8" s="986">
        <f>D7/C7-1</f>
        <v/>
      </c>
      <c r="E8" s="986">
        <f>E7/D7-1</f>
        <v/>
      </c>
      <c r="F8" s="986">
        <f>F7/E7-1</f>
        <v/>
      </c>
      <c r="G8" s="986">
        <f>G7/F7-1</f>
        <v/>
      </c>
      <c r="H8" s="986">
        <f>H7/G7-1</f>
        <v/>
      </c>
      <c r="I8" s="986">
        <f>I7/H7-1</f>
        <v/>
      </c>
      <c r="J8" s="986">
        <f>J7/I7-1</f>
        <v/>
      </c>
      <c r="K8" s="986">
        <f>K7/J7-1</f>
        <v/>
      </c>
      <c r="L8" s="986">
        <f>L7/K7-1</f>
        <v/>
      </c>
      <c r="M8" s="986">
        <f>M7/L7-1</f>
        <v/>
      </c>
      <c r="N8" s="986">
        <f>N7/M7-1</f>
        <v/>
      </c>
      <c r="O8" s="986">
        <f>O7/N7-1</f>
        <v/>
      </c>
      <c r="P8" s="986">
        <f>P7/O7-1</f>
        <v/>
      </c>
      <c r="Q8" s="986">
        <f>Q7/P7-1</f>
        <v/>
      </c>
      <c r="R8" s="986">
        <f>R7/Q7-1</f>
        <v/>
      </c>
      <c r="S8" s="986">
        <f>S7/R7-1</f>
        <v/>
      </c>
      <c r="T8" s="986">
        <f>T7/S7-1</f>
        <v/>
      </c>
      <c r="U8" s="986">
        <f>U7/T7-1</f>
        <v/>
      </c>
      <c r="V8" s="986">
        <f>V7/U7-1</f>
        <v/>
      </c>
      <c r="W8" s="986">
        <f>W7/V7-1</f>
        <v/>
      </c>
      <c r="X8" s="986">
        <f>X7/W7-1</f>
        <v/>
      </c>
      <c r="Y8" s="986">
        <f>Y7/X7-1</f>
        <v/>
      </c>
      <c r="Z8" s="986">
        <f>Z7/Y7-1</f>
        <v/>
      </c>
      <c r="AA8" s="986">
        <f>AA7/Z7-1</f>
        <v/>
      </c>
      <c r="AB8" s="986">
        <f>AB7/AA7-1</f>
        <v/>
      </c>
      <c r="AC8" s="986">
        <f>AC7/AB7-1</f>
        <v/>
      </c>
      <c r="AD8" s="986">
        <f>AD7/AC7-1</f>
        <v/>
      </c>
      <c r="AE8" s="986">
        <f>AE7/AD7-1</f>
        <v/>
      </c>
      <c r="AF8" s="986">
        <f>AF7/AE7-1</f>
        <v/>
      </c>
      <c r="AG8" s="986">
        <f>AG7/AF7-1</f>
        <v/>
      </c>
      <c r="AH8" s="986">
        <f>AH7/AG7-1</f>
        <v/>
      </c>
      <c r="AI8" s="986">
        <f>AI7/AH7-1</f>
        <v/>
      </c>
      <c r="AJ8" s="986">
        <f>AJ7/AI7-1</f>
        <v/>
      </c>
      <c r="AK8" s="986">
        <f>AK7/AJ7-1</f>
        <v/>
      </c>
      <c r="AL8" s="986">
        <f>AL7/AK7-1</f>
        <v/>
      </c>
      <c r="AM8" s="986">
        <f>AM7/AL7-1</f>
        <v/>
      </c>
      <c r="AN8" s="986">
        <f>AN7/AM7-1</f>
        <v/>
      </c>
      <c r="AO8" s="986">
        <f>AO7/AN7-1</f>
        <v/>
      </c>
      <c r="AP8" s="986">
        <f>AP7/AO7-1</f>
        <v/>
      </c>
      <c r="AQ8" s="986">
        <f>AQ7/AP7-1</f>
        <v/>
      </c>
      <c r="AR8" s="986">
        <f>AR7/AQ7-1</f>
        <v/>
      </c>
      <c r="AS8" s="986">
        <f>AS7/AR7-1</f>
        <v/>
      </c>
      <c r="AT8" s="986">
        <f>AT7/AS7-1</f>
        <v/>
      </c>
      <c r="AU8" s="288" t="n"/>
      <c r="AX8" s="992" t="n"/>
      <c r="AY8" s="991" t="n"/>
      <c r="BB8" s="992" t="n"/>
      <c r="BH8" s="986">
        <f>BH7/BD7-1</f>
        <v/>
      </c>
      <c r="BI8" s="986">
        <f>BI7/BE7-1</f>
        <v/>
      </c>
      <c r="BJ8" s="986">
        <f>BJ7/BF7-1</f>
        <v/>
      </c>
      <c r="BL8" s="986">
        <f>BL7/BH7-1</f>
        <v/>
      </c>
      <c r="BM8" s="986">
        <f>BM7/BI7-1</f>
        <v/>
      </c>
      <c r="BN8" s="986">
        <f>BN7/BJ7-1</f>
        <v/>
      </c>
      <c r="BP8" s="986">
        <f>BP7/BL7-1</f>
        <v/>
      </c>
      <c r="BQ8" s="986">
        <f>BQ7/BM7-1</f>
        <v/>
      </c>
      <c r="BR8" s="986">
        <f>BR7/BN7-1</f>
        <v/>
      </c>
      <c r="BT8" s="986">
        <f>BT7/BP7-1</f>
        <v/>
      </c>
      <c r="BU8" s="986">
        <f>BU7/BQ7-1</f>
        <v/>
      </c>
      <c r="BV8" s="986">
        <f>BV7/BR7-1</f>
        <v/>
      </c>
      <c r="BX8" s="986">
        <f>BX7/BT7-1</f>
        <v/>
      </c>
      <c r="BY8" s="986">
        <f>BY7/BU7-1</f>
        <v/>
      </c>
      <c r="BZ8" s="986">
        <f>BZ7/BV7-1</f>
        <v/>
      </c>
      <c r="CB8" s="986">
        <f>CB7/BX7-1</f>
        <v/>
      </c>
      <c r="CC8" s="986">
        <f>CC7/BY7-1</f>
        <v/>
      </c>
      <c r="CD8" s="986">
        <f>CD7/BZ7-1</f>
        <v/>
      </c>
      <c r="CE8" s="993" t="n"/>
      <c r="CF8" s="986">
        <f>CF7/CB7-1</f>
        <v/>
      </c>
      <c r="CG8" s="986">
        <f>CG7/CC7-1</f>
        <v/>
      </c>
      <c r="CH8" s="986">
        <f>CH7/CD7-1</f>
        <v/>
      </c>
      <c r="CI8" s="992" t="n"/>
      <c r="CJ8" s="986">
        <f>CJ7/CF7-1</f>
        <v/>
      </c>
      <c r="CK8" s="986">
        <f>CK7/CG7-1</f>
        <v/>
      </c>
      <c r="CL8" s="986">
        <f>CL7/CH7-1</f>
        <v/>
      </c>
      <c r="CM8" s="992" t="n"/>
      <c r="CN8" s="986">
        <f>CN7/CJ7-1</f>
        <v/>
      </c>
      <c r="CO8" s="986">
        <f>CO7/CK7-1</f>
        <v/>
      </c>
      <c r="CP8" s="986">
        <f>CP7/CL7-1</f>
        <v/>
      </c>
      <c r="CQ8" s="993" t="n"/>
      <c r="CR8" s="986">
        <f>CR7/CN7-1</f>
        <v/>
      </c>
      <c r="CS8" s="986">
        <f>CS7/CN7-1</f>
        <v/>
      </c>
      <c r="CT8" s="986">
        <f>CT7/CO7-1</f>
        <v/>
      </c>
      <c r="CU8" s="986">
        <f>CU7/CP7-1</f>
        <v/>
      </c>
      <c r="CV8" s="993" t="n"/>
      <c r="CW8" s="986">
        <f>CW7/CS7-1</f>
        <v/>
      </c>
      <c r="CX8" s="986">
        <f>CX7/CT7-1</f>
        <v/>
      </c>
      <c r="CY8" s="986">
        <f>CY7/CU7-1</f>
        <v/>
      </c>
      <c r="CZ8" s="993" t="n"/>
      <c r="DA8" s="986">
        <f>DA7/CW7-1</f>
        <v/>
      </c>
      <c r="DB8" s="986">
        <f>DB7/CX7-1</f>
        <v/>
      </c>
      <c r="DC8" s="986">
        <f>DC7/CY7-1</f>
        <v/>
      </c>
      <c r="DD8" s="993" t="n"/>
      <c r="DE8" s="986">
        <f>DE7/DA7-1</f>
        <v/>
      </c>
      <c r="DF8" s="986">
        <f>DF7/DB7-1</f>
        <v/>
      </c>
      <c r="DG8" s="986">
        <f>DG7/DC7-1</f>
        <v/>
      </c>
      <c r="DH8" s="290" t="n"/>
      <c r="DI8" s="986">
        <f>DI7/DE7-1</f>
        <v/>
      </c>
      <c r="DJ8" s="986">
        <f>DJ7/DF7-1</f>
        <v/>
      </c>
      <c r="DK8" s="986">
        <f>DK7/DG7-1</f>
        <v/>
      </c>
      <c r="DL8" s="993" t="n"/>
      <c r="DM8" s="986">
        <f>DM7/DI7-1</f>
        <v/>
      </c>
      <c r="DN8" s="986">
        <f>DN7/DJ7-1</f>
        <v/>
      </c>
      <c r="DO8" s="986">
        <f>DO7/DK7-1</f>
        <v/>
      </c>
      <c r="DP8" s="290" t="n"/>
      <c r="DQ8" s="986">
        <f>DQ7/DM7-1</f>
        <v/>
      </c>
      <c r="DR8" s="986">
        <f>DR7/DN7-1</f>
        <v/>
      </c>
      <c r="DS8" s="986">
        <f>DS7/DO7-1</f>
        <v/>
      </c>
      <c r="DT8" s="989" t="n"/>
      <c r="DU8" s="986">
        <f>DU7/DQ7-1</f>
        <v/>
      </c>
      <c r="DV8" s="986">
        <f>DV7/DR7-1</f>
        <v/>
      </c>
      <c r="DW8" s="986">
        <f>DW7/DS7-1</f>
        <v/>
      </c>
      <c r="DX8" s="989" t="n"/>
      <c r="DY8" s="986">
        <f>DY7/DU7-1</f>
        <v/>
      </c>
      <c r="DZ8" s="986">
        <f>DZ7/DV7-1</f>
        <v/>
      </c>
      <c r="EA8" s="986">
        <f>EA7/DW7-1</f>
        <v/>
      </c>
      <c r="EC8" s="986">
        <f>EC7/DY7-1</f>
        <v/>
      </c>
      <c r="ED8" s="986">
        <f>ED7/DZ7-1</f>
        <v/>
      </c>
      <c r="EE8" s="986">
        <f>EE7/EA7-1</f>
        <v/>
      </c>
      <c r="EF8" s="989" t="n"/>
      <c r="EG8" s="986">
        <f>EG7/EC7-1</f>
        <v/>
      </c>
      <c r="EH8" s="986">
        <f>EH7/ED7-1</f>
        <v/>
      </c>
      <c r="EI8" s="986">
        <f>EI7/EE7-1</f>
        <v/>
      </c>
      <c r="EJ8" s="989" t="n"/>
      <c r="EK8" s="986">
        <f>EK7/EG7-1</f>
        <v/>
      </c>
      <c r="EL8" s="986">
        <f>EL7/EH7-1</f>
        <v/>
      </c>
      <c r="EM8" s="986">
        <f>EM7/EI7-1</f>
        <v/>
      </c>
      <c r="EN8" s="989" t="n"/>
      <c r="EO8" s="986">
        <f>EO7/EK7-1</f>
        <v/>
      </c>
      <c r="EP8" s="986">
        <f>EP7/EL7-1</f>
        <v/>
      </c>
      <c r="EQ8" s="986">
        <f>EQ7/EM7-1</f>
        <v/>
      </c>
      <c r="ER8" s="989" t="n"/>
      <c r="ES8" s="986">
        <f>ES7/EO7-1</f>
        <v/>
      </c>
      <c r="ET8" s="986">
        <f>ET7/EP7-1</f>
        <v/>
      </c>
      <c r="EU8" s="986">
        <f>EU7/EQ7-1</f>
        <v/>
      </c>
      <c r="EV8" s="989" t="n"/>
      <c r="EW8" s="986">
        <f>EW7/ES7-1</f>
        <v/>
      </c>
      <c r="EX8" s="986">
        <f>EX7/ET7-1</f>
        <v/>
      </c>
      <c r="EY8" s="986">
        <f>EY7/EU7-1</f>
        <v/>
      </c>
      <c r="FA8" s="986">
        <f>FA7/EW7-1</f>
        <v/>
      </c>
      <c r="FB8" s="986">
        <f>FB7/EX7-1</f>
        <v/>
      </c>
      <c r="FC8" s="986">
        <f>FC7/EY7-1</f>
        <v/>
      </c>
      <c r="FE8" s="986">
        <f>FE7/FA7-1</f>
        <v/>
      </c>
      <c r="FF8" s="986">
        <f>FF7/FB7-1</f>
        <v/>
      </c>
      <c r="FG8" s="986">
        <f>FG7/FC7-1</f>
        <v/>
      </c>
      <c r="FI8" s="986">
        <f>FI7/FE7-1</f>
        <v/>
      </c>
      <c r="FJ8" s="986">
        <f>FJ7/FF7-1</f>
        <v/>
      </c>
      <c r="FK8" s="986">
        <f>FK7/FG7-1</f>
        <v/>
      </c>
      <c r="FM8" s="986">
        <f>FM7/FI7-1</f>
        <v/>
      </c>
      <c r="FN8" s="986">
        <f>FN7/FJ7-1</f>
        <v/>
      </c>
      <c r="FO8" s="986">
        <f>FO7/FK7-1</f>
        <v/>
      </c>
    </row>
    <row r="9" ht="14.25" customFormat="1" customHeight="1" s="986">
      <c r="A9" s="987" t="n"/>
      <c r="B9" s="20" t="inlineStr">
        <is>
          <t>Overall rpk</t>
        </is>
      </c>
      <c r="C9" s="20">
        <f>+C24+C39</f>
        <v/>
      </c>
      <c r="D9" s="20">
        <f>+D24+D39</f>
        <v/>
      </c>
      <c r="E9" s="20">
        <f>+E24+E39</f>
        <v/>
      </c>
      <c r="F9" s="20">
        <f>+F24+F39</f>
        <v/>
      </c>
      <c r="G9" s="20">
        <f>+G24+G39</f>
        <v/>
      </c>
      <c r="H9" s="20">
        <f>+H24+H39</f>
        <v/>
      </c>
      <c r="I9" s="20">
        <f>+I24+I39</f>
        <v/>
      </c>
      <c r="J9" s="20">
        <f>+J24+J39</f>
        <v/>
      </c>
      <c r="K9" s="20">
        <f>+K24+K39</f>
        <v/>
      </c>
      <c r="L9" s="20">
        <f>+L24+L39</f>
        <v/>
      </c>
      <c r="M9" s="20">
        <f>+M24+M39</f>
        <v/>
      </c>
      <c r="N9" s="20">
        <f>+N24+N39</f>
        <v/>
      </c>
      <c r="O9" s="20">
        <f>+O24+O39</f>
        <v/>
      </c>
      <c r="P9" s="20">
        <f>+P24+P39</f>
        <v/>
      </c>
      <c r="Q9" s="20">
        <f>+Q24+Q39</f>
        <v/>
      </c>
      <c r="R9" s="20">
        <f>+R24+R39</f>
        <v/>
      </c>
      <c r="S9" s="20">
        <f>+S24+S39</f>
        <v/>
      </c>
      <c r="T9" s="20">
        <f>+T24+T39</f>
        <v/>
      </c>
      <c r="U9" s="20">
        <f>+U24+U39</f>
        <v/>
      </c>
      <c r="V9" s="20">
        <f>+V24+V39</f>
        <v/>
      </c>
      <c r="W9" s="20">
        <f>+W24+W39</f>
        <v/>
      </c>
      <c r="X9" s="20">
        <f>+X24+X39</f>
        <v/>
      </c>
      <c r="Y9" s="20">
        <f>+Y24+Y39</f>
        <v/>
      </c>
      <c r="Z9" s="20">
        <f>+Z24+Z39</f>
        <v/>
      </c>
      <c r="AA9" s="20">
        <f>+AA24+AA39</f>
        <v/>
      </c>
      <c r="AB9" s="20">
        <f>+AB24+AB39</f>
        <v/>
      </c>
      <c r="AC9" s="20">
        <f>+AC24+AC39</f>
        <v/>
      </c>
      <c r="AD9" s="20">
        <f>+AD24+AD39</f>
        <v/>
      </c>
      <c r="AE9" s="20">
        <f>+AE24+AE39</f>
        <v/>
      </c>
      <c r="AF9" s="20">
        <f>+AF24+AF39</f>
        <v/>
      </c>
      <c r="AG9" s="20">
        <f>+AG24+AG39</f>
        <v/>
      </c>
      <c r="AH9" s="20">
        <f>+AH24+AH39</f>
        <v/>
      </c>
      <c r="AI9" s="20">
        <f>+AI24+AI39</f>
        <v/>
      </c>
      <c r="AJ9" s="20">
        <f>+AJ24+AJ39</f>
        <v/>
      </c>
      <c r="AK9" s="20">
        <f>+AK24+AK39</f>
        <v/>
      </c>
      <c r="AL9" s="20">
        <f>+AL24+AL39</f>
        <v/>
      </c>
      <c r="AM9" s="20">
        <f>+AM24+AM39</f>
        <v/>
      </c>
      <c r="AN9" s="20">
        <f>+AN24+AN39</f>
        <v/>
      </c>
      <c r="AO9" s="20">
        <f>+AO24+AO39</f>
        <v/>
      </c>
      <c r="AP9" s="20">
        <f>+AP24+AP39</f>
        <v/>
      </c>
      <c r="AQ9" s="20">
        <f>+AQ24+AQ39</f>
        <v/>
      </c>
      <c r="AR9" s="20">
        <f>+AR24+AR39</f>
        <v/>
      </c>
      <c r="AS9" s="20">
        <f>+AS24+AS39</f>
        <v/>
      </c>
      <c r="AT9" s="20">
        <f>+AT24+AT39</f>
        <v/>
      </c>
      <c r="AU9" s="288" t="n"/>
      <c r="AV9" s="20" t="n"/>
      <c r="AW9" s="20" t="n"/>
      <c r="AX9" s="992" t="n"/>
      <c r="AY9" s="991" t="n"/>
      <c r="AZ9" s="20" t="n"/>
      <c r="BA9" s="20" t="n"/>
      <c r="BB9" s="992" t="n"/>
      <c r="BD9" s="20">
        <f>+BD24+BD39</f>
        <v/>
      </c>
      <c r="BE9" s="20">
        <f>+BE24+BE39</f>
        <v/>
      </c>
      <c r="BF9" s="20">
        <f>+BF24+BF39</f>
        <v/>
      </c>
      <c r="BH9" s="20">
        <f>+BH24+BH39</f>
        <v/>
      </c>
      <c r="BI9" s="20">
        <f>+BI24+BI39</f>
        <v/>
      </c>
      <c r="BJ9" s="20">
        <f>+BJ24+BJ39</f>
        <v/>
      </c>
      <c r="BL9" s="20">
        <f>+BL24+BL39</f>
        <v/>
      </c>
      <c r="BM9" s="20">
        <f>+BM24+BM39</f>
        <v/>
      </c>
      <c r="BN9" s="20">
        <f>+BN24+BN39</f>
        <v/>
      </c>
      <c r="BP9" s="20">
        <f>+BP24+BP39</f>
        <v/>
      </c>
      <c r="BQ9" s="20">
        <f>+BQ24+BQ39</f>
        <v/>
      </c>
      <c r="BR9" s="20">
        <f>+BR24+BR39</f>
        <v/>
      </c>
      <c r="BT9" s="20">
        <f>+BT24+BT39</f>
        <v/>
      </c>
      <c r="BU9" s="20">
        <f>+BU24+BU39</f>
        <v/>
      </c>
      <c r="BV9" s="20">
        <f>+BV24+BV39</f>
        <v/>
      </c>
      <c r="BX9" s="20">
        <f>+BX24+BX39</f>
        <v/>
      </c>
      <c r="BY9" s="20">
        <f>+BY24+BY39</f>
        <v/>
      </c>
      <c r="BZ9" s="20">
        <f>+BZ24+BZ39</f>
        <v/>
      </c>
      <c r="CB9" s="20">
        <f>+CB24+CB39</f>
        <v/>
      </c>
      <c r="CC9" s="20">
        <f>+CC24+CC39</f>
        <v/>
      </c>
      <c r="CD9" s="20">
        <f>+CD24+CD39</f>
        <v/>
      </c>
      <c r="CE9" s="993" t="n"/>
      <c r="CF9" s="20">
        <f>+CF24+CF39</f>
        <v/>
      </c>
      <c r="CG9" s="20">
        <f>+CG24+CG39</f>
        <v/>
      </c>
      <c r="CH9" s="20">
        <f>+CH24+CH39</f>
        <v/>
      </c>
      <c r="CI9" s="992" t="n"/>
      <c r="CJ9" s="20">
        <f>+CJ24+CJ39</f>
        <v/>
      </c>
      <c r="CK9" s="20">
        <f>+CK24+CK39</f>
        <v/>
      </c>
      <c r="CL9" s="20">
        <f>+CL24+CL39</f>
        <v/>
      </c>
      <c r="CM9" s="992" t="n"/>
      <c r="CN9" s="20">
        <f>+CN24+CN39</f>
        <v/>
      </c>
      <c r="CO9" s="20">
        <f>+CO24+CO39</f>
        <v/>
      </c>
      <c r="CP9" s="20">
        <f>+CP24+CP39</f>
        <v/>
      </c>
      <c r="CQ9" s="993" t="n"/>
      <c r="CR9" s="20">
        <f>+CR24+CR39</f>
        <v/>
      </c>
      <c r="CS9" s="20">
        <f>+CS24+CS39</f>
        <v/>
      </c>
      <c r="CT9" s="20">
        <f>+CT24+CT39</f>
        <v/>
      </c>
      <c r="CU9" s="20">
        <f>+CU24+CU39</f>
        <v/>
      </c>
      <c r="CV9" s="993" t="n"/>
      <c r="CW9" s="20">
        <f>+CW24+CW39</f>
        <v/>
      </c>
      <c r="CX9" s="20">
        <f>+CX24+CX39</f>
        <v/>
      </c>
      <c r="CY9" s="20">
        <f>+CY24+CY39</f>
        <v/>
      </c>
      <c r="CZ9" s="993" t="n"/>
      <c r="DA9" s="20">
        <f>+DA24+DA39</f>
        <v/>
      </c>
      <c r="DB9" s="20">
        <f>+DB24+DB39</f>
        <v/>
      </c>
      <c r="DC9" s="20">
        <f>+DC24+DC39</f>
        <v/>
      </c>
      <c r="DD9" s="993" t="n"/>
      <c r="DE9" s="20">
        <f>+DE24+DE39</f>
        <v/>
      </c>
      <c r="DF9" s="20">
        <f>+DF24+DF39</f>
        <v/>
      </c>
      <c r="DG9" s="20">
        <f>+DG24+DG39</f>
        <v/>
      </c>
      <c r="DH9" s="290" t="n"/>
      <c r="DI9" s="20">
        <f>+DI24+DI39</f>
        <v/>
      </c>
      <c r="DJ9" s="20">
        <f>+DJ24+DJ39</f>
        <v/>
      </c>
      <c r="DK9" s="20">
        <f>+DK24+DK39</f>
        <v/>
      </c>
      <c r="DL9" s="993" t="n"/>
      <c r="DM9" s="20">
        <f>+DM24+DM39</f>
        <v/>
      </c>
      <c r="DN9" s="20">
        <f>+DN24+DN39</f>
        <v/>
      </c>
      <c r="DO9" s="20">
        <f>+DO24+DO39</f>
        <v/>
      </c>
      <c r="DP9" s="290" t="n"/>
      <c r="DQ9" s="20">
        <f>+DQ24+DQ39</f>
        <v/>
      </c>
      <c r="DR9" s="20">
        <f>+DR24+DR39</f>
        <v/>
      </c>
      <c r="DS9" s="20">
        <f>+DS24+DS39</f>
        <v/>
      </c>
      <c r="DT9" s="989" t="n"/>
      <c r="DU9" s="20">
        <f>+DU24+DU39</f>
        <v/>
      </c>
      <c r="DV9" s="20">
        <f>+DV24+DV39</f>
        <v/>
      </c>
      <c r="DW9" s="20">
        <f>+DW24+DW39</f>
        <v/>
      </c>
      <c r="DX9" s="989" t="n"/>
      <c r="DY9" s="20">
        <f>+DY24+DY39</f>
        <v/>
      </c>
      <c r="DZ9" s="20">
        <f>+DZ24+DZ39</f>
        <v/>
      </c>
      <c r="EA9" s="20">
        <f>+EA24+EA39</f>
        <v/>
      </c>
      <c r="EC9" s="20">
        <f>+EC24+EC39</f>
        <v/>
      </c>
      <c r="ED9" s="20">
        <f>+ED24+ED39</f>
        <v/>
      </c>
      <c r="EE9" s="20">
        <f>+EE24+EE39</f>
        <v/>
      </c>
      <c r="EF9" s="989" t="n"/>
      <c r="EG9" s="20">
        <f>+EG24+EG39</f>
        <v/>
      </c>
      <c r="EH9" s="20">
        <f>+EH24+EH39</f>
        <v/>
      </c>
      <c r="EI9" s="20">
        <f>+EI24+EI39</f>
        <v/>
      </c>
      <c r="EJ9" s="989" t="n"/>
      <c r="EK9" s="20">
        <f>+EK24+EK39</f>
        <v/>
      </c>
      <c r="EL9" s="20">
        <f>+EL24+EL39</f>
        <v/>
      </c>
      <c r="EM9" s="20">
        <f>+EM24+EM39</f>
        <v/>
      </c>
      <c r="EN9" s="989" t="n"/>
      <c r="EO9" s="20">
        <f>+EO24+EO39</f>
        <v/>
      </c>
      <c r="EP9" s="20">
        <f>+EP24+EP39</f>
        <v/>
      </c>
      <c r="EQ9" s="20">
        <f>+EQ24+EQ39</f>
        <v/>
      </c>
      <c r="ER9" s="989" t="n"/>
      <c r="ES9" s="20">
        <f>+ES24+ES39</f>
        <v/>
      </c>
      <c r="ET9" s="20">
        <f>+ET24+ET39</f>
        <v/>
      </c>
      <c r="EU9" s="20">
        <f>+EU24+EU39</f>
        <v/>
      </c>
      <c r="EV9" s="989" t="n"/>
      <c r="EW9" s="20">
        <f>+EW24+EW39</f>
        <v/>
      </c>
      <c r="EX9" s="20">
        <f>+EX24+EX39</f>
        <v/>
      </c>
      <c r="EY9" s="20">
        <f>+EY24+EY39</f>
        <v/>
      </c>
      <c r="FA9" s="20">
        <f>+FA24+FA39</f>
        <v/>
      </c>
      <c r="FB9" s="20">
        <f>+FB24+FB39</f>
        <v/>
      </c>
      <c r="FC9" s="20">
        <f>+FC24+FC39</f>
        <v/>
      </c>
      <c r="FE9" s="20">
        <f>+FE24+FE39</f>
        <v/>
      </c>
      <c r="FF9" s="20">
        <f>+FF24+FF39</f>
        <v/>
      </c>
      <c r="FG9" s="20">
        <f>+FG24+FG39</f>
        <v/>
      </c>
      <c r="FI9" s="20">
        <f>+FI24+FI39</f>
        <v/>
      </c>
      <c r="FJ9" s="20">
        <f>+FJ24+FJ39</f>
        <v/>
      </c>
      <c r="FK9" s="20">
        <f>+FK24+FK39</f>
        <v/>
      </c>
      <c r="FM9" s="20">
        <f>+FM24+FM39</f>
        <v/>
      </c>
      <c r="FN9" s="20">
        <f>+FN24+FN39</f>
        <v/>
      </c>
      <c r="FO9" s="20">
        <f>+FO24+FO39</f>
        <v/>
      </c>
    </row>
    <row r="10" ht="14.25" customFormat="1" customHeight="1" s="986">
      <c r="A10" s="987" t="n"/>
      <c r="B10" s="988" t="inlineStr">
        <is>
          <t>YoY change in passenger traffic (RPK)</t>
        </is>
      </c>
      <c r="D10" s="986">
        <f>D9/C9-1</f>
        <v/>
      </c>
      <c r="E10" s="986">
        <f>E9/D9-1</f>
        <v/>
      </c>
      <c r="F10" s="986">
        <f>F9/E9-1</f>
        <v/>
      </c>
      <c r="G10" s="986">
        <f>G9/F9-1</f>
        <v/>
      </c>
      <c r="H10" s="986">
        <f>H9/G9-1</f>
        <v/>
      </c>
      <c r="I10" s="986">
        <f>I9/H9-1</f>
        <v/>
      </c>
      <c r="J10" s="986">
        <f>J9/I9-1</f>
        <v/>
      </c>
      <c r="K10" s="986">
        <f>K9/J9-1</f>
        <v/>
      </c>
      <c r="L10" s="986">
        <f>L9/K9-1</f>
        <v/>
      </c>
      <c r="M10" s="986">
        <f>M9/L9-1</f>
        <v/>
      </c>
      <c r="N10" s="986">
        <f>N9/M9-1</f>
        <v/>
      </c>
      <c r="O10" s="986">
        <f>O9/N9-1</f>
        <v/>
      </c>
      <c r="P10" s="986">
        <f>P9/O9-1</f>
        <v/>
      </c>
      <c r="Q10" s="986">
        <f>Q9/P9-1</f>
        <v/>
      </c>
      <c r="R10" s="986">
        <f>R9/Q9-1</f>
        <v/>
      </c>
      <c r="S10" s="986">
        <f>S9/R9-1</f>
        <v/>
      </c>
      <c r="T10" s="986">
        <f>T9/S9-1</f>
        <v/>
      </c>
      <c r="U10" s="986">
        <f>U9/T9-1</f>
        <v/>
      </c>
      <c r="V10" s="986">
        <f>V9/U9-1</f>
        <v/>
      </c>
      <c r="W10" s="986">
        <f>W9/V9-1</f>
        <v/>
      </c>
      <c r="X10" s="986">
        <f>X9/W9-1</f>
        <v/>
      </c>
      <c r="Y10" s="986">
        <f>Y9/X9-1</f>
        <v/>
      </c>
      <c r="Z10" s="986">
        <f>Z9/Y9-1</f>
        <v/>
      </c>
      <c r="AA10" s="986">
        <f>AA9/Z9-1</f>
        <v/>
      </c>
      <c r="AB10" s="986">
        <f>AB9/AA9-1</f>
        <v/>
      </c>
      <c r="AC10" s="986">
        <f>AC9/AB9-1</f>
        <v/>
      </c>
      <c r="AD10" s="986">
        <f>AD9/AC9-1</f>
        <v/>
      </c>
      <c r="AE10" s="986">
        <f>AE9/AD9-1</f>
        <v/>
      </c>
      <c r="AF10" s="986">
        <f>AF9/AE9-1</f>
        <v/>
      </c>
      <c r="AG10" s="986">
        <f>AG9/AF9-1</f>
        <v/>
      </c>
      <c r="AH10" s="986">
        <f>AH9/AG9-1</f>
        <v/>
      </c>
      <c r="AI10" s="986">
        <f>AI9/AH9-1</f>
        <v/>
      </c>
      <c r="AJ10" s="986">
        <f>AJ9/AI9-1</f>
        <v/>
      </c>
      <c r="AK10" s="986">
        <f>AK9/AJ9-1</f>
        <v/>
      </c>
      <c r="AL10" s="986">
        <f>AL9/AK9-1</f>
        <v/>
      </c>
      <c r="AM10" s="986">
        <f>AM9/AL9-1</f>
        <v/>
      </c>
      <c r="AN10" s="986">
        <f>AN9/AM9-1</f>
        <v/>
      </c>
      <c r="AO10" s="986">
        <f>AO9/AN9-1</f>
        <v/>
      </c>
      <c r="AP10" s="986">
        <f>AP9/AO9-1</f>
        <v/>
      </c>
      <c r="AQ10" s="986">
        <f>AQ9/AP9-1</f>
        <v/>
      </c>
      <c r="AR10" s="986">
        <f>AR9/AQ9-1</f>
        <v/>
      </c>
      <c r="AS10" s="986">
        <f>AS9/AR9-1</f>
        <v/>
      </c>
      <c r="AT10" s="986">
        <f>AT9/AS9-1</f>
        <v/>
      </c>
      <c r="AU10" s="288" t="n"/>
      <c r="AX10" s="992" t="n"/>
      <c r="AY10" s="991" t="n"/>
      <c r="BB10" s="992" t="n"/>
      <c r="BH10" s="986">
        <f>BH9/BD9-1</f>
        <v/>
      </c>
      <c r="BI10" s="986">
        <f>BI9/BE9-1</f>
        <v/>
      </c>
      <c r="BJ10" s="986">
        <f>BJ9/BF9-1</f>
        <v/>
      </c>
      <c r="BL10" s="986">
        <f>BL9/BH9-1</f>
        <v/>
      </c>
      <c r="BM10" s="986">
        <f>BM9/BI9-1</f>
        <v/>
      </c>
      <c r="BN10" s="986">
        <f>BN9/BJ9-1</f>
        <v/>
      </c>
      <c r="BP10" s="986">
        <f>BP9/BL9-1</f>
        <v/>
      </c>
      <c r="BQ10" s="986">
        <f>BQ9/BM9-1</f>
        <v/>
      </c>
      <c r="BR10" s="986">
        <f>BR9/BN9-1</f>
        <v/>
      </c>
      <c r="BT10" s="986">
        <f>BT9/BP9-1</f>
        <v/>
      </c>
      <c r="BU10" s="986">
        <f>BU9/BQ9-1</f>
        <v/>
      </c>
      <c r="BV10" s="986">
        <f>BV9/BR9-1</f>
        <v/>
      </c>
      <c r="BX10" s="986">
        <f>BX9/BT9-1</f>
        <v/>
      </c>
      <c r="BY10" s="986">
        <f>BY9/BU9-1</f>
        <v/>
      </c>
      <c r="BZ10" s="986">
        <f>BZ9/BV9-1</f>
        <v/>
      </c>
      <c r="CB10" s="986">
        <f>CB9/BX9-1</f>
        <v/>
      </c>
      <c r="CC10" s="986">
        <f>CC9/BY9-1</f>
        <v/>
      </c>
      <c r="CD10" s="986">
        <f>CD9/BZ9-1</f>
        <v/>
      </c>
      <c r="CE10" s="993" t="n"/>
      <c r="CF10" s="986">
        <f>CF9/CB9-1</f>
        <v/>
      </c>
      <c r="CG10" s="986">
        <f>CG9/CC9-1</f>
        <v/>
      </c>
      <c r="CH10" s="986">
        <f>CH9/CD9-1</f>
        <v/>
      </c>
      <c r="CI10" s="992" t="n"/>
      <c r="CJ10" s="986">
        <f>CJ9/CF9-1</f>
        <v/>
      </c>
      <c r="CK10" s="986">
        <f>CK9/CG9-1</f>
        <v/>
      </c>
      <c r="CL10" s="986">
        <f>CL9/CH9-1</f>
        <v/>
      </c>
      <c r="CM10" s="992" t="n"/>
      <c r="CN10" s="986">
        <f>CN9/CJ9-1</f>
        <v/>
      </c>
      <c r="CO10" s="986">
        <f>CO9/CK9-1</f>
        <v/>
      </c>
      <c r="CP10" s="986">
        <f>CP9/CL9-1</f>
        <v/>
      </c>
      <c r="CQ10" s="993" t="n"/>
      <c r="CR10" s="986">
        <f>CR9/CN9-1</f>
        <v/>
      </c>
      <c r="CS10" s="986">
        <f>CS9/CN9-1</f>
        <v/>
      </c>
      <c r="CT10" s="986">
        <f>CT9/CO9-1</f>
        <v/>
      </c>
      <c r="CU10" s="986">
        <f>CU9/CP9-1</f>
        <v/>
      </c>
      <c r="CV10" s="993" t="n"/>
      <c r="CW10" s="986">
        <f>CW9/CS9-1</f>
        <v/>
      </c>
      <c r="CX10" s="986">
        <f>CX9/CT9-1</f>
        <v/>
      </c>
      <c r="CY10" s="986">
        <f>CY9/CU9-1</f>
        <v/>
      </c>
      <c r="CZ10" s="993" t="n"/>
      <c r="DA10" s="986">
        <f>DA9/CW9-1</f>
        <v/>
      </c>
      <c r="DB10" s="986">
        <f>DB9/CX9-1</f>
        <v/>
      </c>
      <c r="DC10" s="986">
        <f>DC9/CY9-1</f>
        <v/>
      </c>
      <c r="DD10" s="993" t="n"/>
      <c r="DE10" s="986">
        <f>DE9/DA9-1</f>
        <v/>
      </c>
      <c r="DF10" s="986">
        <f>DF9/DB9-1</f>
        <v/>
      </c>
      <c r="DG10" s="986">
        <f>DG9/DC9-1</f>
        <v/>
      </c>
      <c r="DH10" s="290" t="n"/>
      <c r="DI10" s="986">
        <f>DI9/DE9-1</f>
        <v/>
      </c>
      <c r="DJ10" s="986">
        <f>DJ9/DF9-1</f>
        <v/>
      </c>
      <c r="DK10" s="986">
        <f>DK9/DG9-1</f>
        <v/>
      </c>
      <c r="DL10" s="993" t="n"/>
      <c r="DM10" s="986">
        <f>DM9/DI9-1</f>
        <v/>
      </c>
      <c r="DN10" s="986">
        <f>DN9/DJ9-1</f>
        <v/>
      </c>
      <c r="DO10" s="986">
        <f>DO9/DK9-1</f>
        <v/>
      </c>
      <c r="DP10" s="290" t="n"/>
      <c r="DQ10" s="986">
        <f>DQ9/DM9-1</f>
        <v/>
      </c>
      <c r="DR10" s="986">
        <f>DR9/DN9-1</f>
        <v/>
      </c>
      <c r="DS10" s="986">
        <f>DS9/DO9-1</f>
        <v/>
      </c>
      <c r="DT10" s="989" t="n"/>
      <c r="DU10" s="986">
        <f>DU9/DQ9-1</f>
        <v/>
      </c>
      <c r="DV10" s="986">
        <f>DV9/DR9-1</f>
        <v/>
      </c>
      <c r="DW10" s="986">
        <f>DW9/DS9-1</f>
        <v/>
      </c>
      <c r="DX10" s="989" t="n"/>
      <c r="DY10" s="986">
        <f>DY9/DU9-1</f>
        <v/>
      </c>
      <c r="DZ10" s="986">
        <f>DZ9/DV9-1</f>
        <v/>
      </c>
      <c r="EA10" s="986">
        <f>EA9/DW9-1</f>
        <v/>
      </c>
      <c r="EC10" s="986">
        <f>EC9/DY9-1</f>
        <v/>
      </c>
      <c r="ED10" s="986">
        <f>ED9/DZ9-1</f>
        <v/>
      </c>
      <c r="EE10" s="986">
        <f>EE9/EA9-1</f>
        <v/>
      </c>
      <c r="EF10" s="989" t="n"/>
      <c r="EG10" s="986">
        <f>EG9/EC9-1</f>
        <v/>
      </c>
      <c r="EH10" s="986">
        <f>EH9/ED9-1</f>
        <v/>
      </c>
      <c r="EI10" s="986">
        <f>EI9/EE9-1</f>
        <v/>
      </c>
      <c r="EJ10" s="989" t="n"/>
      <c r="EK10" s="986">
        <f>EK9/EG9-1</f>
        <v/>
      </c>
      <c r="EL10" s="986">
        <f>EL9/EH9-1</f>
        <v/>
      </c>
      <c r="EM10" s="986">
        <f>EM9/EI9-1</f>
        <v/>
      </c>
      <c r="EN10" s="989" t="n"/>
      <c r="EO10" s="986">
        <f>EO9/EK9-1</f>
        <v/>
      </c>
      <c r="EP10" s="986">
        <f>EP9/EL9-1</f>
        <v/>
      </c>
      <c r="EQ10" s="986">
        <f>EQ9/EM9-1</f>
        <v/>
      </c>
      <c r="ER10" s="989" t="n"/>
      <c r="ES10" s="986">
        <f>ES9/EO9-1</f>
        <v/>
      </c>
      <c r="ET10" s="986">
        <f>ET9/EP9-1</f>
        <v/>
      </c>
      <c r="EU10" s="986">
        <f>EU9/EQ9-1</f>
        <v/>
      </c>
      <c r="EV10" s="989" t="n"/>
      <c r="EW10" s="986">
        <f>EW9/ES9-1</f>
        <v/>
      </c>
      <c r="EX10" s="986">
        <f>EX9/ET9-1</f>
        <v/>
      </c>
      <c r="EY10" s="986">
        <f>EY9/EU9-1</f>
        <v/>
      </c>
      <c r="FA10" s="986">
        <f>FA9/EW9-1</f>
        <v/>
      </c>
      <c r="FB10" s="986">
        <f>FB9/EX9-1</f>
        <v/>
      </c>
      <c r="FC10" s="986">
        <f>FC9/EY9-1</f>
        <v/>
      </c>
      <c r="FE10" s="986">
        <f>FE9/FA9-1</f>
        <v/>
      </c>
      <c r="FF10" s="986">
        <f>FF9/FB9-1</f>
        <v/>
      </c>
      <c r="FG10" s="986">
        <f>FG9/FC9-1</f>
        <v/>
      </c>
      <c r="FI10" s="986">
        <f>FI9/FE9-1</f>
        <v/>
      </c>
      <c r="FJ10" s="986">
        <f>FJ9/FF9-1</f>
        <v/>
      </c>
      <c r="FK10" s="986">
        <f>FK9/FG9-1</f>
        <v/>
      </c>
      <c r="FM10" s="986">
        <f>FM9/FI9-1</f>
        <v/>
      </c>
      <c r="FN10" s="986">
        <f>FN9/FJ9-1</f>
        <v/>
      </c>
      <c r="FO10" s="986">
        <f>FO9/FK9-1</f>
        <v/>
      </c>
    </row>
    <row r="11" ht="14.25" customFormat="1" customHeight="1" s="986">
      <c r="A11" s="987" t="n"/>
      <c r="B11" s="490" t="inlineStr">
        <is>
          <t>Overall Passenger nos (000s)</t>
        </is>
      </c>
      <c r="C11" s="20">
        <f>+C26+C41</f>
        <v/>
      </c>
      <c r="D11" s="20">
        <f>+D26+D41</f>
        <v/>
      </c>
      <c r="E11" s="20">
        <f>+E26+E41</f>
        <v/>
      </c>
      <c r="F11" s="20">
        <f>+F26+F41</f>
        <v/>
      </c>
      <c r="G11" s="20">
        <f>+G26+G41</f>
        <v/>
      </c>
      <c r="H11" s="20">
        <f>+H26+H41</f>
        <v/>
      </c>
      <c r="I11" s="20">
        <f>+I26+I41</f>
        <v/>
      </c>
      <c r="J11" s="20">
        <f>+J26+J41</f>
        <v/>
      </c>
      <c r="K11" s="20">
        <f>+K26+K41</f>
        <v/>
      </c>
      <c r="L11" s="20">
        <f>+L26+L41</f>
        <v/>
      </c>
      <c r="M11" s="20">
        <f>+M26+M41</f>
        <v/>
      </c>
      <c r="N11" s="20">
        <f>+N26+N41</f>
        <v/>
      </c>
      <c r="O11" s="20">
        <f>+O26+O41</f>
        <v/>
      </c>
      <c r="P11" s="20">
        <f>+P26+P41</f>
        <v/>
      </c>
      <c r="Q11" s="20">
        <f>+Q26+Q41</f>
        <v/>
      </c>
      <c r="R11" s="20">
        <f>+R26+R41</f>
        <v/>
      </c>
      <c r="S11" s="20">
        <f>+S26+S41</f>
        <v/>
      </c>
      <c r="T11" s="20">
        <f>+T26+T41</f>
        <v/>
      </c>
      <c r="U11" s="20">
        <f>+U26+U41</f>
        <v/>
      </c>
      <c r="V11" s="20">
        <f>+V26+V41</f>
        <v/>
      </c>
      <c r="W11" s="20">
        <f>+W26+W41</f>
        <v/>
      </c>
      <c r="X11" s="20">
        <f>+X26+X41</f>
        <v/>
      </c>
      <c r="Y11" s="20">
        <f>+Y26+Y41</f>
        <v/>
      </c>
      <c r="Z11" s="20">
        <f>+Z26+Z41</f>
        <v/>
      </c>
      <c r="AA11" s="20">
        <f>+AA26+AA41</f>
        <v/>
      </c>
      <c r="AB11" s="20">
        <f>+AB26+AB41</f>
        <v/>
      </c>
      <c r="AC11" s="20">
        <f>+AC26+AC41</f>
        <v/>
      </c>
      <c r="AD11" s="20">
        <f>+AD26+AD41</f>
        <v/>
      </c>
      <c r="AE11" s="20">
        <f>+AE26+AE41</f>
        <v/>
      </c>
      <c r="AF11" s="20">
        <f>+AF26+AF41</f>
        <v/>
      </c>
      <c r="AG11" s="20">
        <f>+AG26+AG41</f>
        <v/>
      </c>
      <c r="AH11" s="20">
        <f>+AH26+AH41</f>
        <v/>
      </c>
      <c r="AI11" s="20">
        <f>+AI26+AI41</f>
        <v/>
      </c>
      <c r="AJ11" s="20">
        <f>+AJ26+AJ41</f>
        <v/>
      </c>
      <c r="AK11" s="20">
        <f>+AK26+AK41</f>
        <v/>
      </c>
      <c r="AL11" s="20">
        <f>+AL26+AL41</f>
        <v/>
      </c>
      <c r="AM11" s="20">
        <f>+AM26+AM41</f>
        <v/>
      </c>
      <c r="AN11" s="20">
        <f>+AN26+AN41</f>
        <v/>
      </c>
      <c r="AO11" s="20">
        <f>+AO26+AO41</f>
        <v/>
      </c>
      <c r="AP11" s="20">
        <f>+AP26+AP41</f>
        <v/>
      </c>
      <c r="AQ11" s="20">
        <f>+AQ26+AQ41</f>
        <v/>
      </c>
      <c r="AR11" s="20">
        <f>+AR26+AR41</f>
        <v/>
      </c>
      <c r="AS11" s="20">
        <f>+AS26+AS41</f>
        <v/>
      </c>
      <c r="AT11" s="20">
        <f>+AT26+AT41</f>
        <v/>
      </c>
      <c r="AU11" s="288" t="n"/>
      <c r="AV11" s="20" t="n"/>
      <c r="AW11" s="20" t="n"/>
      <c r="AX11" s="992" t="n"/>
      <c r="AY11" s="991" t="n"/>
      <c r="AZ11" s="20" t="n"/>
      <c r="BA11" s="20" t="n"/>
      <c r="BB11" s="992" t="n"/>
      <c r="BD11" s="20" t="n"/>
      <c r="BE11" s="20" t="n"/>
      <c r="BF11" s="20">
        <f>+BF26+BF41</f>
        <v/>
      </c>
      <c r="BH11" s="20">
        <f>+BH26+BH41</f>
        <v/>
      </c>
      <c r="BI11" s="20">
        <f>+BI26+BI41</f>
        <v/>
      </c>
      <c r="BJ11" s="20">
        <f>+BJ26+BJ41</f>
        <v/>
      </c>
      <c r="BL11" s="20">
        <f>+BL26+BL41</f>
        <v/>
      </c>
      <c r="BM11" s="20">
        <f>+BM26+BM41</f>
        <v/>
      </c>
      <c r="BN11" s="20">
        <f>+BN26+BN41</f>
        <v/>
      </c>
      <c r="BP11" s="20">
        <f>+BP26+BP41</f>
        <v/>
      </c>
      <c r="BQ11" s="20">
        <f>+BQ26+BQ41</f>
        <v/>
      </c>
      <c r="BR11" s="20">
        <f>+BR26+BR41</f>
        <v/>
      </c>
      <c r="BT11" s="20">
        <f>+BT26+BT41</f>
        <v/>
      </c>
      <c r="BU11" s="20">
        <f>+BU26+BU41</f>
        <v/>
      </c>
      <c r="BV11" s="20">
        <f>+BV26+BV41</f>
        <v/>
      </c>
      <c r="BX11" s="20">
        <f>+BX26+BX41</f>
        <v/>
      </c>
      <c r="BY11" s="20">
        <f>+BY26+BY41</f>
        <v/>
      </c>
      <c r="BZ11" s="20">
        <f>+BZ26+BZ41</f>
        <v/>
      </c>
      <c r="CB11" s="20">
        <f>+CB26+CB41</f>
        <v/>
      </c>
      <c r="CC11" s="20">
        <f>+CC26+CC41</f>
        <v/>
      </c>
      <c r="CD11" s="20">
        <f>+CD26+CD41</f>
        <v/>
      </c>
      <c r="CE11" s="993" t="n"/>
      <c r="CF11" s="20">
        <f>+CF26+CF41</f>
        <v/>
      </c>
      <c r="CG11" s="20">
        <f>+CG26+CG41</f>
        <v/>
      </c>
      <c r="CH11" s="20">
        <f>+CH26+CH41</f>
        <v/>
      </c>
      <c r="CI11" s="992" t="n"/>
      <c r="CJ11" s="20">
        <f>+CJ26+CJ41</f>
        <v/>
      </c>
      <c r="CK11" s="20">
        <f>+CK26+CK41</f>
        <v/>
      </c>
      <c r="CL11" s="20">
        <f>+CL26+CL41</f>
        <v/>
      </c>
      <c r="CM11" s="992" t="n"/>
      <c r="CN11" s="20">
        <f>+CN26+CN41</f>
        <v/>
      </c>
      <c r="CO11" s="20">
        <f>+CO26+CO41</f>
        <v/>
      </c>
      <c r="CP11" s="20">
        <f>+CP26+CP41</f>
        <v/>
      </c>
      <c r="CQ11" s="993" t="n"/>
      <c r="CR11" s="20">
        <f>+CR26+CR41</f>
        <v/>
      </c>
      <c r="CS11" s="20">
        <f>+CS26+CS41</f>
        <v/>
      </c>
      <c r="CT11" s="20">
        <f>+CT26+CT41</f>
        <v/>
      </c>
      <c r="CU11" s="20">
        <f>+CU26+CU41</f>
        <v/>
      </c>
      <c r="CV11" s="993" t="n"/>
      <c r="CW11" s="20">
        <f>+CW26+CW41</f>
        <v/>
      </c>
      <c r="CX11" s="20">
        <f>+CX26+CX41</f>
        <v/>
      </c>
      <c r="CY11" s="20">
        <f>+CY26+CY41</f>
        <v/>
      </c>
      <c r="CZ11" s="993" t="n"/>
      <c r="DA11" s="20">
        <f>+DA26+DA41</f>
        <v/>
      </c>
      <c r="DB11" s="20">
        <f>+DB26+DB41</f>
        <v/>
      </c>
      <c r="DC11" s="20">
        <f>+DC26+DC41</f>
        <v/>
      </c>
      <c r="DD11" s="993" t="n"/>
      <c r="DE11" s="20">
        <f>+DE26+DE41</f>
        <v/>
      </c>
      <c r="DF11" s="20">
        <f>+DF26+DF41</f>
        <v/>
      </c>
      <c r="DG11" s="20">
        <f>+DG26+DG41</f>
        <v/>
      </c>
      <c r="DH11" s="290" t="n"/>
      <c r="DI11" s="20">
        <f>+DI26+DI41</f>
        <v/>
      </c>
      <c r="DJ11" s="20">
        <f>+DJ26+DJ41</f>
        <v/>
      </c>
      <c r="DK11" s="20">
        <f>+DK26+DK41</f>
        <v/>
      </c>
      <c r="DL11" s="993" t="n"/>
      <c r="DM11" s="20">
        <f>+DM26+DM41</f>
        <v/>
      </c>
      <c r="DN11" s="20">
        <f>+DN26+DN41</f>
        <v/>
      </c>
      <c r="DO11" s="20">
        <f>+DO26+DO41</f>
        <v/>
      </c>
      <c r="DP11" s="290" t="n"/>
      <c r="DQ11" s="20">
        <f>+DQ26+DQ41</f>
        <v/>
      </c>
      <c r="DR11" s="20">
        <f>+DR26+DR41</f>
        <v/>
      </c>
      <c r="DS11" s="20">
        <f>+DS26+DS41</f>
        <v/>
      </c>
      <c r="DT11" s="989" t="n"/>
      <c r="DU11" s="20">
        <f>+DU26+DU41</f>
        <v/>
      </c>
      <c r="DV11" s="20">
        <f>+DV26+DV41</f>
        <v/>
      </c>
      <c r="DW11" s="20">
        <f>+DW26+DW41</f>
        <v/>
      </c>
      <c r="DX11" s="989" t="n"/>
      <c r="DY11" s="20">
        <f>+DY26+DY41</f>
        <v/>
      </c>
      <c r="DZ11" s="20">
        <f>+DZ26+DZ41</f>
        <v/>
      </c>
      <c r="EA11" s="20">
        <f>+EA26+EA41</f>
        <v/>
      </c>
      <c r="EC11" s="20">
        <f>+EC26+EC41</f>
        <v/>
      </c>
      <c r="ED11" s="20">
        <f>+ED26+ED41</f>
        <v/>
      </c>
      <c r="EE11" s="20">
        <f>+EE26+EE41</f>
        <v/>
      </c>
      <c r="EF11" s="989" t="n"/>
      <c r="EG11" s="20">
        <f>+EG26+EG41</f>
        <v/>
      </c>
      <c r="EH11" s="20">
        <f>+EH26+EH41</f>
        <v/>
      </c>
      <c r="EI11" s="20">
        <f>+EI26+EI41</f>
        <v/>
      </c>
      <c r="EJ11" s="989" t="n"/>
      <c r="EK11" s="20">
        <f>+EK26+EK41</f>
        <v/>
      </c>
      <c r="EL11" s="20">
        <f>+EL26+EL41</f>
        <v/>
      </c>
      <c r="EM11" s="20">
        <f>+EM26+EM41</f>
        <v/>
      </c>
      <c r="EN11" s="989" t="n"/>
      <c r="EO11" s="20">
        <f>+EO26+EO41</f>
        <v/>
      </c>
      <c r="EP11" s="20">
        <f>+EP26+EP41</f>
        <v/>
      </c>
      <c r="EQ11" s="20">
        <f>+EQ26+EQ41</f>
        <v/>
      </c>
      <c r="ER11" s="989" t="n"/>
      <c r="ES11" s="20">
        <f>+ES26+ES41</f>
        <v/>
      </c>
      <c r="ET11" s="20">
        <f>+ET26+ET41</f>
        <v/>
      </c>
      <c r="EU11" s="20">
        <f>+EU26+EU41</f>
        <v/>
      </c>
      <c r="EV11" s="989" t="n"/>
      <c r="EW11" s="20">
        <f>+EW26+EW41</f>
        <v/>
      </c>
      <c r="EX11" s="20">
        <f>+EX26+EX41</f>
        <v/>
      </c>
      <c r="EY11" s="20">
        <f>+EY26+EY41</f>
        <v/>
      </c>
      <c r="FA11" s="20">
        <f>+FA26+FA41</f>
        <v/>
      </c>
      <c r="FB11" s="20">
        <f>+FB26+FB41</f>
        <v/>
      </c>
      <c r="FC11" s="20">
        <f>+FC26+FC41</f>
        <v/>
      </c>
      <c r="FE11" s="20">
        <f>+FE26+FE41</f>
        <v/>
      </c>
      <c r="FF11" s="20">
        <f>+FF26+FF41</f>
        <v/>
      </c>
      <c r="FG11" s="20">
        <f>+FG26+FG41</f>
        <v/>
      </c>
      <c r="FI11" s="20">
        <f>+FI26+FI41</f>
        <v/>
      </c>
      <c r="FJ11" s="20">
        <f>+FJ26+FJ41</f>
        <v/>
      </c>
      <c r="FK11" s="20">
        <f>+FK26+FK41</f>
        <v/>
      </c>
      <c r="FM11" s="20">
        <f>+FM26+FM41</f>
        <v/>
      </c>
      <c r="FN11" s="20">
        <f>+FN26+FN41</f>
        <v/>
      </c>
      <c r="FO11" s="20">
        <f>+FO26+FO41</f>
        <v/>
      </c>
    </row>
    <row r="12" ht="14.25" customFormat="1" customHeight="1" s="986">
      <c r="A12" s="987" t="n"/>
      <c r="B12" s="490" t="inlineStr">
        <is>
          <t>Overall Trip length (kms)</t>
        </is>
      </c>
      <c r="C12" s="502">
        <f>C9/C11*1000</f>
        <v/>
      </c>
      <c r="D12" s="502">
        <f>D9/D11*1000</f>
        <v/>
      </c>
      <c r="E12" s="502">
        <f>E9/E11*1000</f>
        <v/>
      </c>
      <c r="F12" s="502">
        <f>F9/F11*1000</f>
        <v/>
      </c>
      <c r="G12" s="502">
        <f>G9/G11*1000</f>
        <v/>
      </c>
      <c r="H12" s="502">
        <f>H9/H11*1000</f>
        <v/>
      </c>
      <c r="I12" s="502">
        <f>I9/I11*1000</f>
        <v/>
      </c>
      <c r="J12" s="502">
        <f>J9/J11*1000</f>
        <v/>
      </c>
      <c r="K12" s="502">
        <f>K9/K11*1000</f>
        <v/>
      </c>
      <c r="L12" s="502">
        <f>L9/L11*1000</f>
        <v/>
      </c>
      <c r="M12" s="502">
        <f>M9/M11*1000</f>
        <v/>
      </c>
      <c r="N12" s="502">
        <f>N9/N11*1000</f>
        <v/>
      </c>
      <c r="O12" s="502">
        <f>O9/O11*1000</f>
        <v/>
      </c>
      <c r="P12" s="502">
        <f>P9/P11*1000</f>
        <v/>
      </c>
      <c r="Q12" s="502">
        <f>Q9/Q11*1000</f>
        <v/>
      </c>
      <c r="R12" s="502">
        <f>R9/R11*1000</f>
        <v/>
      </c>
      <c r="S12" s="502">
        <f>S9/S11*1000</f>
        <v/>
      </c>
      <c r="T12" s="502">
        <f>T9/T11*1000</f>
        <v/>
      </c>
      <c r="U12" s="502">
        <f>U9/U11*1000</f>
        <v/>
      </c>
      <c r="V12" s="502">
        <f>V9/V11*1000</f>
        <v/>
      </c>
      <c r="W12" s="502">
        <f>W9/W11*1000</f>
        <v/>
      </c>
      <c r="X12" s="502">
        <f>X9/X11*1000</f>
        <v/>
      </c>
      <c r="Y12" s="502">
        <f>Y9/Y11*1000</f>
        <v/>
      </c>
      <c r="Z12" s="502">
        <f>Z9/Z11*1000</f>
        <v/>
      </c>
      <c r="AA12" s="502">
        <f>AA9/AA11*1000</f>
        <v/>
      </c>
      <c r="AB12" s="502">
        <f>AB9/AB11*1000</f>
        <v/>
      </c>
      <c r="AC12" s="502">
        <f>AC9/AC11*1000</f>
        <v/>
      </c>
      <c r="AD12" s="502">
        <f>AD9/AD11*1000</f>
        <v/>
      </c>
      <c r="AE12" s="502">
        <f>AE9/AE11*1000</f>
        <v/>
      </c>
      <c r="AF12" s="502">
        <f>AF9/AF11*1000</f>
        <v/>
      </c>
      <c r="AG12" s="502">
        <f>AG9/AG11*1000</f>
        <v/>
      </c>
      <c r="AH12" s="502">
        <f>AH9/AH11*1000</f>
        <v/>
      </c>
      <c r="AI12" s="502">
        <f>AI9/AI11*1000</f>
        <v/>
      </c>
      <c r="AJ12" s="502">
        <f>AJ9/AJ11*1000</f>
        <v/>
      </c>
      <c r="AK12" s="502">
        <f>AK9/AK11*1000</f>
        <v/>
      </c>
      <c r="AL12" s="502">
        <f>AL9/AL11*1000</f>
        <v/>
      </c>
      <c r="AM12" s="502">
        <f>AM9/AM11*1000</f>
        <v/>
      </c>
      <c r="AN12" s="502">
        <f>AN9/AN11*1000</f>
        <v/>
      </c>
      <c r="AO12" s="502">
        <f>AO9/AO11*1000</f>
        <v/>
      </c>
      <c r="AP12" s="502">
        <f>AP9/AP11*1000</f>
        <v/>
      </c>
      <c r="AQ12" s="502">
        <f>AQ9/AQ11*1000</f>
        <v/>
      </c>
      <c r="AR12" s="502">
        <f>AR9/AR11*1000</f>
        <v/>
      </c>
      <c r="AS12" s="502">
        <f>AS9/AS11*1000</f>
        <v/>
      </c>
      <c r="AT12" s="502">
        <f>AT9/AT11*1000</f>
        <v/>
      </c>
      <c r="AU12" s="288" t="n"/>
      <c r="AV12" s="502" t="n"/>
      <c r="AW12" s="502" t="n"/>
      <c r="AX12" s="992" t="n"/>
      <c r="AY12" s="991" t="n"/>
      <c r="AZ12" s="502" t="n"/>
      <c r="BA12" s="502" t="n"/>
      <c r="BB12" s="992" t="n"/>
      <c r="BD12" s="502" t="n"/>
      <c r="BE12" s="502" t="n"/>
      <c r="BF12" s="502">
        <f>BF9/BF11*1000</f>
        <v/>
      </c>
      <c r="BH12" s="502">
        <f>BH9/BH11*1000</f>
        <v/>
      </c>
      <c r="BI12" s="502">
        <f>BI9/BI11*1000</f>
        <v/>
      </c>
      <c r="BJ12" s="502">
        <f>BJ9/BJ11*1000</f>
        <v/>
      </c>
      <c r="BL12" s="502">
        <f>BL9/BL11*1000</f>
        <v/>
      </c>
      <c r="BM12" s="502">
        <f>BM9/BM11*1000</f>
        <v/>
      </c>
      <c r="BN12" s="502">
        <f>BN9/BN11*1000</f>
        <v/>
      </c>
      <c r="BP12" s="502">
        <f>BP9/BP11*1000</f>
        <v/>
      </c>
      <c r="BQ12" s="502">
        <f>BQ9/BQ11*1000</f>
        <v/>
      </c>
      <c r="BR12" s="502">
        <f>BR9/BR11*1000</f>
        <v/>
      </c>
      <c r="BT12" s="502">
        <f>BT9/BT11*1000</f>
        <v/>
      </c>
      <c r="BU12" s="502">
        <f>BU9/BU11*1000</f>
        <v/>
      </c>
      <c r="BV12" s="502">
        <f>BV9/BV11*1000</f>
        <v/>
      </c>
      <c r="BX12" s="502">
        <f>BX9/BX11*1000</f>
        <v/>
      </c>
      <c r="BY12" s="502">
        <f>BY9/BY11*1000</f>
        <v/>
      </c>
      <c r="BZ12" s="502">
        <f>BZ9/BZ11*1000</f>
        <v/>
      </c>
      <c r="CB12" s="502">
        <f>CB9/CB11*1000</f>
        <v/>
      </c>
      <c r="CC12" s="502">
        <f>CC9/CC11*1000</f>
        <v/>
      </c>
      <c r="CD12" s="502">
        <f>CD9/CD11*1000</f>
        <v/>
      </c>
      <c r="CE12" s="993" t="n"/>
      <c r="CF12" s="502">
        <f>CF9/CF11*1000</f>
        <v/>
      </c>
      <c r="CG12" s="502">
        <f>CG9/CG11*1000</f>
        <v/>
      </c>
      <c r="CH12" s="502">
        <f>CH9/CH11*1000</f>
        <v/>
      </c>
      <c r="CI12" s="992" t="n"/>
      <c r="CJ12" s="502">
        <f>CJ9/CJ11*1000</f>
        <v/>
      </c>
      <c r="CK12" s="502">
        <f>CK9/CK11*1000</f>
        <v/>
      </c>
      <c r="CL12" s="502">
        <f>CL9/CL11*1000</f>
        <v/>
      </c>
      <c r="CM12" s="992" t="n"/>
      <c r="CN12" s="502">
        <f>CN9/CN11*1000</f>
        <v/>
      </c>
      <c r="CO12" s="502">
        <f>CO9/CO11*1000</f>
        <v/>
      </c>
      <c r="CP12" s="502">
        <f>CP9/CP11*1000</f>
        <v/>
      </c>
      <c r="CQ12" s="993" t="n"/>
      <c r="CR12" s="502">
        <f>CR9/CR11*1000</f>
        <v/>
      </c>
      <c r="CS12" s="502">
        <f>CS9/CS11*1000</f>
        <v/>
      </c>
      <c r="CT12" s="502">
        <f>CT9/CT11*1000</f>
        <v/>
      </c>
      <c r="CU12" s="502">
        <f>CU9/CU11*1000</f>
        <v/>
      </c>
      <c r="CV12" s="993" t="n"/>
      <c r="CW12" s="502">
        <f>CW9/CW11*1000</f>
        <v/>
      </c>
      <c r="CX12" s="502">
        <f>CX9/CX11*1000</f>
        <v/>
      </c>
      <c r="CY12" s="502">
        <f>CY9/CY11*1000</f>
        <v/>
      </c>
      <c r="CZ12" s="993" t="n"/>
      <c r="DA12" s="502">
        <f>DA9/DA11*1000</f>
        <v/>
      </c>
      <c r="DB12" s="502">
        <f>DB9/DB11*1000</f>
        <v/>
      </c>
      <c r="DC12" s="502">
        <f>DC9/DC11*1000</f>
        <v/>
      </c>
      <c r="DD12" s="993" t="n"/>
      <c r="DE12" s="502">
        <f>DE9/DE11*1000</f>
        <v/>
      </c>
      <c r="DF12" s="502">
        <f>DF9/DF11*1000</f>
        <v/>
      </c>
      <c r="DG12" s="502">
        <f>DG9/DG11*1000</f>
        <v/>
      </c>
      <c r="DH12" s="290" t="n"/>
      <c r="DI12" s="502">
        <f>DI9/DI11*1000</f>
        <v/>
      </c>
      <c r="DJ12" s="502">
        <f>DJ9/DJ11*1000</f>
        <v/>
      </c>
      <c r="DK12" s="502">
        <f>DK9/DK11*1000</f>
        <v/>
      </c>
      <c r="DL12" s="993" t="n"/>
      <c r="DM12" s="502">
        <f>DM9/DM11*1000</f>
        <v/>
      </c>
      <c r="DN12" s="502">
        <f>DN9/DN11*1000</f>
        <v/>
      </c>
      <c r="DO12" s="502">
        <f>DO9/DO11*1000</f>
        <v/>
      </c>
      <c r="DP12" s="290" t="n"/>
      <c r="DQ12" s="502">
        <f>DQ9/DQ11*1000</f>
        <v/>
      </c>
      <c r="DR12" s="502">
        <f>DR9/DR11*1000</f>
        <v/>
      </c>
      <c r="DS12" s="502">
        <f>DS9/DS11*1000</f>
        <v/>
      </c>
      <c r="DT12" s="989" t="n"/>
      <c r="DU12" s="502">
        <f>DU9/DU11*1000</f>
        <v/>
      </c>
      <c r="DV12" s="502">
        <f>DV9/DV11*1000</f>
        <v/>
      </c>
      <c r="DW12" s="502">
        <f>DW9/DW11*1000</f>
        <v/>
      </c>
      <c r="DX12" s="989" t="n"/>
      <c r="DY12" s="502">
        <f>DY9/DY11*1000</f>
        <v/>
      </c>
      <c r="DZ12" s="502">
        <f>DZ9/DZ11*1000</f>
        <v/>
      </c>
      <c r="EA12" s="502">
        <f>EA9/EA11*1000</f>
        <v/>
      </c>
      <c r="EC12" s="502">
        <f>EC9/EC11*1000</f>
        <v/>
      </c>
      <c r="ED12" s="502">
        <f>ED9/ED11*1000</f>
        <v/>
      </c>
      <c r="EE12" s="502">
        <f>EE9/EE11*1000</f>
        <v/>
      </c>
      <c r="EF12" s="989" t="n"/>
      <c r="EG12" s="502">
        <f>EG9/EG11*1000</f>
        <v/>
      </c>
      <c r="EH12" s="502">
        <f>EH9/EH11*1000</f>
        <v/>
      </c>
      <c r="EI12" s="502">
        <f>EI9/EI11*1000</f>
        <v/>
      </c>
      <c r="EJ12" s="989" t="n"/>
      <c r="EK12" s="502">
        <f>EK9/EK11*1000</f>
        <v/>
      </c>
      <c r="EL12" s="502">
        <f>EL9/EL11*1000</f>
        <v/>
      </c>
      <c r="EM12" s="502">
        <f>EM9/EM11*1000</f>
        <v/>
      </c>
      <c r="EN12" s="989" t="n"/>
      <c r="EO12" s="502">
        <f>EO9/EO11*1000</f>
        <v/>
      </c>
      <c r="EP12" s="502">
        <f>EP9/EP11*1000</f>
        <v/>
      </c>
      <c r="EQ12" s="502">
        <f>EQ9/EQ11*1000</f>
        <v/>
      </c>
      <c r="ER12" s="989" t="n"/>
      <c r="ES12" s="502">
        <f>ES9/ES11*1000</f>
        <v/>
      </c>
      <c r="ET12" s="502">
        <f>ET9/ET11*1000</f>
        <v/>
      </c>
      <c r="EU12" s="502">
        <f>EU9/EU11*1000</f>
        <v/>
      </c>
      <c r="EV12" s="989" t="n"/>
      <c r="EW12" s="502">
        <f>EW9/EW11*1000</f>
        <v/>
      </c>
      <c r="EX12" s="502">
        <f>EX9/EX11*1000</f>
        <v/>
      </c>
      <c r="EY12" s="502">
        <f>EY9/EY11*1000</f>
        <v/>
      </c>
      <c r="FA12" s="502">
        <f>FA9/FA11*1000</f>
        <v/>
      </c>
      <c r="FB12" s="502">
        <f>FB9/FB11*1000</f>
        <v/>
      </c>
      <c r="FC12" s="502">
        <f>FC9/FC11*1000</f>
        <v/>
      </c>
      <c r="FE12" s="502">
        <f>FE9/FE11*1000</f>
        <v/>
      </c>
      <c r="FF12" s="502">
        <f>FF9/FF11*1000</f>
        <v/>
      </c>
      <c r="FG12" s="502">
        <f>FG9/FG11*1000</f>
        <v/>
      </c>
      <c r="FI12" s="502">
        <f>FI9/FI11*1000</f>
        <v/>
      </c>
      <c r="FJ12" s="502">
        <f>FJ9/FJ11*1000</f>
        <v/>
      </c>
      <c r="FK12" s="502">
        <f>FK9/FK11*1000</f>
        <v/>
      </c>
      <c r="FM12" s="502">
        <f>FM9/FM11*1000</f>
        <v/>
      </c>
      <c r="FN12" s="502">
        <f>FN9/FN11*1000</f>
        <v/>
      </c>
      <c r="FO12" s="502">
        <f>FO9/FO11*1000</f>
        <v/>
      </c>
    </row>
    <row r="13" ht="14.25" customFormat="1" customHeight="1" s="986">
      <c r="A13" s="987" t="n"/>
      <c r="B13" s="994" t="inlineStr">
        <is>
          <t>Overall Passenger load factor</t>
        </is>
      </c>
      <c r="C13" s="994">
        <f>C9/C7</f>
        <v/>
      </c>
      <c r="D13" s="994">
        <f>D9/D7</f>
        <v/>
      </c>
      <c r="E13" s="994">
        <f>E9/E7</f>
        <v/>
      </c>
      <c r="F13" s="994">
        <f>F9/F7</f>
        <v/>
      </c>
      <c r="G13" s="994">
        <f>G9/G7</f>
        <v/>
      </c>
      <c r="H13" s="994">
        <f>H9/H7</f>
        <v/>
      </c>
      <c r="I13" s="994">
        <f>I9/I7</f>
        <v/>
      </c>
      <c r="J13" s="994">
        <f>J9/J7</f>
        <v/>
      </c>
      <c r="K13" s="994">
        <f>K9/K7</f>
        <v/>
      </c>
      <c r="L13" s="994">
        <f>L9/L7</f>
        <v/>
      </c>
      <c r="M13" s="994">
        <f>M9/M7</f>
        <v/>
      </c>
      <c r="N13" s="994">
        <f>N9/N7</f>
        <v/>
      </c>
      <c r="O13" s="994">
        <f>O9/O7</f>
        <v/>
      </c>
      <c r="P13" s="994">
        <f>P9/P7</f>
        <v/>
      </c>
      <c r="Q13" s="994">
        <f>Q9/Q7</f>
        <v/>
      </c>
      <c r="R13" s="994">
        <f>R9/R7</f>
        <v/>
      </c>
      <c r="S13" s="994">
        <f>S9/S7</f>
        <v/>
      </c>
      <c r="T13" s="994">
        <f>T9/T7</f>
        <v/>
      </c>
      <c r="U13" s="994">
        <f>U9/U7</f>
        <v/>
      </c>
      <c r="V13" s="994">
        <f>V9/V7</f>
        <v/>
      </c>
      <c r="W13" s="994">
        <f>W9/W7</f>
        <v/>
      </c>
      <c r="X13" s="994">
        <f>X9/X7</f>
        <v/>
      </c>
      <c r="Y13" s="994">
        <f>Y9/Y7</f>
        <v/>
      </c>
      <c r="Z13" s="994">
        <f>Z9/Z7</f>
        <v/>
      </c>
      <c r="AA13" s="994">
        <f>AA9/AA7</f>
        <v/>
      </c>
      <c r="AB13" s="994">
        <f>AB9/AB7</f>
        <v/>
      </c>
      <c r="AC13" s="994">
        <f>AC9/AC7</f>
        <v/>
      </c>
      <c r="AD13" s="994">
        <f>AD9/AD7</f>
        <v/>
      </c>
      <c r="AE13" s="994">
        <f>AE9/AE7</f>
        <v/>
      </c>
      <c r="AF13" s="994">
        <f>AF9/AF7</f>
        <v/>
      </c>
      <c r="AG13" s="994">
        <f>AG9/AG7</f>
        <v/>
      </c>
      <c r="AH13" s="994">
        <f>AH9/AH7</f>
        <v/>
      </c>
      <c r="AI13" s="994">
        <f>AI9/AI7</f>
        <v/>
      </c>
      <c r="AJ13" s="994">
        <f>AJ9/AJ7</f>
        <v/>
      </c>
      <c r="AK13" s="994">
        <f>AK9/AK7</f>
        <v/>
      </c>
      <c r="AL13" s="994">
        <f>AL9/AL7</f>
        <v/>
      </c>
      <c r="AM13" s="994">
        <f>AM9/AM7</f>
        <v/>
      </c>
      <c r="AN13" s="994">
        <f>AN9/AN7</f>
        <v/>
      </c>
      <c r="AO13" s="994">
        <f>AO9/AO7</f>
        <v/>
      </c>
      <c r="AP13" s="994">
        <f>AP9/AP7</f>
        <v/>
      </c>
      <c r="AQ13" s="994">
        <f>AQ9/AQ7</f>
        <v/>
      </c>
      <c r="AR13" s="994">
        <f>AR9/AR7</f>
        <v/>
      </c>
      <c r="AS13" s="994">
        <f>AS9/AS7</f>
        <v/>
      </c>
      <c r="AT13" s="994">
        <f>AT9/AT7</f>
        <v/>
      </c>
      <c r="AU13" s="288" t="n"/>
      <c r="AV13" s="994" t="n"/>
      <c r="AW13" s="994" t="n"/>
      <c r="AX13" s="992" t="n"/>
      <c r="AY13" s="991" t="n"/>
      <c r="AZ13" s="994" t="n"/>
      <c r="BA13" s="994" t="n"/>
      <c r="BB13" s="992" t="n"/>
      <c r="BD13" s="994">
        <f>BD9/BD7</f>
        <v/>
      </c>
      <c r="BE13" s="994">
        <f>BE9/BE7</f>
        <v/>
      </c>
      <c r="BF13" s="994">
        <f>BF9/BF7</f>
        <v/>
      </c>
      <c r="BH13" s="994">
        <f>BH9/BH7</f>
        <v/>
      </c>
      <c r="BI13" s="994">
        <f>BI9/BI7</f>
        <v/>
      </c>
      <c r="BJ13" s="994">
        <f>BJ9/BJ7</f>
        <v/>
      </c>
      <c r="BL13" s="994">
        <f>BL9/BL7</f>
        <v/>
      </c>
      <c r="BM13" s="994">
        <f>BM9/BM7</f>
        <v/>
      </c>
      <c r="BN13" s="994">
        <f>BN9/BN7</f>
        <v/>
      </c>
      <c r="BP13" s="994">
        <f>BP9/BP7</f>
        <v/>
      </c>
      <c r="BQ13" s="994">
        <f>BQ9/BQ7</f>
        <v/>
      </c>
      <c r="BR13" s="994">
        <f>BR9/BR7</f>
        <v/>
      </c>
      <c r="BT13" s="994">
        <f>BT9/BT7</f>
        <v/>
      </c>
      <c r="BU13" s="994">
        <f>BU9/BU7</f>
        <v/>
      </c>
      <c r="BV13" s="994">
        <f>BV9/BV7</f>
        <v/>
      </c>
      <c r="BX13" s="994">
        <f>BX9/BX7</f>
        <v/>
      </c>
      <c r="BY13" s="994">
        <f>BY9/BY7</f>
        <v/>
      </c>
      <c r="BZ13" s="994">
        <f>BZ9/BZ7</f>
        <v/>
      </c>
      <c r="CB13" s="994">
        <f>CB9/CB7</f>
        <v/>
      </c>
      <c r="CC13" s="994">
        <f>CC9/CC7</f>
        <v/>
      </c>
      <c r="CD13" s="994">
        <f>CD9/CD7</f>
        <v/>
      </c>
      <c r="CE13" s="993" t="n"/>
      <c r="CF13" s="994">
        <f>CF9/CF7</f>
        <v/>
      </c>
      <c r="CG13" s="994">
        <f>CG9/CG7</f>
        <v/>
      </c>
      <c r="CH13" s="994">
        <f>CH9/CH7</f>
        <v/>
      </c>
      <c r="CI13" s="992" t="n"/>
      <c r="CJ13" s="994">
        <f>CJ9/CJ7</f>
        <v/>
      </c>
      <c r="CK13" s="994">
        <f>CK9/CK7</f>
        <v/>
      </c>
      <c r="CL13" s="994">
        <f>CL9/CL7</f>
        <v/>
      </c>
      <c r="CM13" s="992" t="n"/>
      <c r="CN13" s="994">
        <f>CN9/CN7</f>
        <v/>
      </c>
      <c r="CO13" s="994">
        <f>CO9/CO7</f>
        <v/>
      </c>
      <c r="CP13" s="994">
        <f>CP9/CP7</f>
        <v/>
      </c>
      <c r="CQ13" s="993" t="n"/>
      <c r="CR13" s="994">
        <f>CR9/CR7</f>
        <v/>
      </c>
      <c r="CS13" s="994">
        <f>CS9/CS7</f>
        <v/>
      </c>
      <c r="CT13" s="994">
        <f>CT9/CT7</f>
        <v/>
      </c>
      <c r="CU13" s="994">
        <f>CU9/CU7</f>
        <v/>
      </c>
      <c r="CV13" s="993" t="n"/>
      <c r="CW13" s="994">
        <f>CW9/CW7</f>
        <v/>
      </c>
      <c r="CX13" s="994">
        <f>CX9/CX7</f>
        <v/>
      </c>
      <c r="CY13" s="994">
        <f>CY9/CY7</f>
        <v/>
      </c>
      <c r="CZ13" s="993" t="n"/>
      <c r="DA13" s="994">
        <f>DA9/DA7</f>
        <v/>
      </c>
      <c r="DB13" s="994">
        <f>DB9/DB7</f>
        <v/>
      </c>
      <c r="DC13" s="994">
        <f>DC9/DC7</f>
        <v/>
      </c>
      <c r="DD13" s="993" t="n"/>
      <c r="DE13" s="994">
        <f>DE9/DE7</f>
        <v/>
      </c>
      <c r="DF13" s="994">
        <f>DF9/DF7</f>
        <v/>
      </c>
      <c r="DG13" s="994">
        <f>DG9/DG7</f>
        <v/>
      </c>
      <c r="DH13" s="290" t="n"/>
      <c r="DI13" s="994">
        <f>DI9/DI7</f>
        <v/>
      </c>
      <c r="DJ13" s="994">
        <f>DJ9/DJ7</f>
        <v/>
      </c>
      <c r="DK13" s="994">
        <f>DK9/DK7</f>
        <v/>
      </c>
      <c r="DL13" s="993" t="n"/>
      <c r="DM13" s="994">
        <f>DM9/DM7</f>
        <v/>
      </c>
      <c r="DN13" s="994">
        <f>DN9/DN7</f>
        <v/>
      </c>
      <c r="DO13" s="994">
        <f>DO9/DO7</f>
        <v/>
      </c>
      <c r="DP13" s="290" t="n"/>
      <c r="DQ13" s="994">
        <f>DQ9/DQ7</f>
        <v/>
      </c>
      <c r="DR13" s="994">
        <f>DR9/DR7</f>
        <v/>
      </c>
      <c r="DS13" s="994">
        <f>DS9/DS7</f>
        <v/>
      </c>
      <c r="DT13" s="989" t="n"/>
      <c r="DU13" s="994">
        <f>DU9/DU7</f>
        <v/>
      </c>
      <c r="DV13" s="994">
        <f>DV9/DV7</f>
        <v/>
      </c>
      <c r="DW13" s="994">
        <f>DW9/DW7</f>
        <v/>
      </c>
      <c r="DX13" s="989" t="n"/>
      <c r="DY13" s="994">
        <f>DY9/DY7</f>
        <v/>
      </c>
      <c r="DZ13" s="994">
        <f>DZ9/DZ7</f>
        <v/>
      </c>
      <c r="EA13" s="994">
        <f>EA9/EA7</f>
        <v/>
      </c>
      <c r="EC13" s="994">
        <f>EC9/EC7</f>
        <v/>
      </c>
      <c r="ED13" s="994">
        <f>ED9/ED7</f>
        <v/>
      </c>
      <c r="EE13" s="994">
        <f>EE9/EE7</f>
        <v/>
      </c>
      <c r="EF13" s="989" t="n"/>
      <c r="EG13" s="994">
        <f>EG9/EG7</f>
        <v/>
      </c>
      <c r="EH13" s="994">
        <f>EH9/EH7</f>
        <v/>
      </c>
      <c r="EI13" s="994">
        <f>EI9/EI7</f>
        <v/>
      </c>
      <c r="EJ13" s="989" t="n"/>
      <c r="EK13" s="994">
        <f>EK9/EK7</f>
        <v/>
      </c>
      <c r="EL13" s="994">
        <f>EL9/EL7</f>
        <v/>
      </c>
      <c r="EM13" s="994">
        <f>EM9/EM7</f>
        <v/>
      </c>
      <c r="EN13" s="989" t="n"/>
      <c r="EO13" s="994">
        <f>EO9/EO7</f>
        <v/>
      </c>
      <c r="EP13" s="994">
        <f>EP9/EP7</f>
        <v/>
      </c>
      <c r="EQ13" s="994">
        <f>EQ9/EQ7</f>
        <v/>
      </c>
      <c r="ER13" s="989" t="n"/>
      <c r="ES13" s="994">
        <f>ES9/ES7</f>
        <v/>
      </c>
      <c r="ET13" s="994">
        <f>ET9/ET7</f>
        <v/>
      </c>
      <c r="EU13" s="994">
        <f>EU9/EU7</f>
        <v/>
      </c>
      <c r="EV13" s="989" t="n"/>
      <c r="EW13" s="994">
        <f>EW9/EW7</f>
        <v/>
      </c>
      <c r="EX13" s="994">
        <f>EX9/EX7</f>
        <v/>
      </c>
      <c r="EY13" s="994">
        <f>EY9/EY7</f>
        <v/>
      </c>
      <c r="FA13" s="994">
        <f>FA9/FA7</f>
        <v/>
      </c>
      <c r="FB13" s="994">
        <f>FB9/FB7</f>
        <v/>
      </c>
      <c r="FC13" s="994">
        <f>FC9/FC7</f>
        <v/>
      </c>
      <c r="FE13" s="994">
        <f>FE9/FE7</f>
        <v/>
      </c>
      <c r="FF13" s="994">
        <f>FF9/FF7</f>
        <v/>
      </c>
      <c r="FG13" s="994">
        <f>FG9/FG7</f>
        <v/>
      </c>
      <c r="FI13" s="994">
        <f>FI9/FI7</f>
        <v/>
      </c>
      <c r="FJ13" s="994">
        <f>FJ9/FJ7</f>
        <v/>
      </c>
      <c r="FK13" s="994">
        <f>FK9/FK7</f>
        <v/>
      </c>
      <c r="FM13" s="994">
        <f>FM9/FM7</f>
        <v/>
      </c>
      <c r="FN13" s="994">
        <f>FN9/FN7</f>
        <v/>
      </c>
      <c r="FO13" s="994">
        <f>FO9/FO7</f>
        <v/>
      </c>
      <c r="FQ13" s="930" t="n"/>
    </row>
    <row r="14" ht="14.25" customFormat="1" customHeight="1" s="986">
      <c r="A14" s="987" t="n"/>
      <c r="B14" s="57" t="inlineStr">
        <is>
          <t>Overall pax yield</t>
        </is>
      </c>
      <c r="C14" s="995">
        <f>C20/C9</f>
        <v/>
      </c>
      <c r="D14" s="995">
        <f>D20/D9</f>
        <v/>
      </c>
      <c r="E14" s="995">
        <f>E20/E9</f>
        <v/>
      </c>
      <c r="F14" s="995">
        <f>F20/F9</f>
        <v/>
      </c>
      <c r="G14" s="995">
        <f>G20/G9</f>
        <v/>
      </c>
      <c r="H14" s="995">
        <f>H20/H9</f>
        <v/>
      </c>
      <c r="I14" s="995">
        <f>I20/I9</f>
        <v/>
      </c>
      <c r="J14" s="995">
        <f>J20/J9</f>
        <v/>
      </c>
      <c r="K14" s="995">
        <f>K20/K9</f>
        <v/>
      </c>
      <c r="L14" s="995">
        <f>L20/L9</f>
        <v/>
      </c>
      <c r="M14" s="995">
        <f>M20/M9</f>
        <v/>
      </c>
      <c r="N14" s="995">
        <f>N20/N9</f>
        <v/>
      </c>
      <c r="O14" s="995">
        <f>O20/O9</f>
        <v/>
      </c>
      <c r="P14" s="995">
        <f>P20/P9</f>
        <v/>
      </c>
      <c r="Q14" s="995">
        <f>Q20/Q9</f>
        <v/>
      </c>
      <c r="R14" s="995">
        <f>R20/R9</f>
        <v/>
      </c>
      <c r="S14" s="995">
        <f>S20/S9</f>
        <v/>
      </c>
      <c r="T14" s="995">
        <f>T20/T9</f>
        <v/>
      </c>
      <c r="U14" s="995">
        <f>U20/U9</f>
        <v/>
      </c>
      <c r="V14" s="995">
        <f>V20/V9</f>
        <v/>
      </c>
      <c r="W14" s="995">
        <f>W20/W9</f>
        <v/>
      </c>
      <c r="X14" s="995">
        <f>X20/X9</f>
        <v/>
      </c>
      <c r="Y14" s="995">
        <f>Y20/Y9</f>
        <v/>
      </c>
      <c r="Z14" s="995">
        <f>Z20/Z9</f>
        <v/>
      </c>
      <c r="AA14" s="995">
        <f>AA20/AA9</f>
        <v/>
      </c>
      <c r="AB14" s="995">
        <f>AB20/AB9</f>
        <v/>
      </c>
      <c r="AC14" s="995">
        <f>AC20/AC9</f>
        <v/>
      </c>
      <c r="AD14" s="995">
        <f>AD20/AD9</f>
        <v/>
      </c>
      <c r="AE14" s="995">
        <f>AE20/AE9</f>
        <v/>
      </c>
      <c r="AF14" s="995">
        <f>AF20/AF9</f>
        <v/>
      </c>
      <c r="AG14" s="995">
        <f>AG20/AG9</f>
        <v/>
      </c>
      <c r="AH14" s="995">
        <f>AH20/AH9</f>
        <v/>
      </c>
      <c r="AI14" s="995">
        <f>AI20/AI9</f>
        <v/>
      </c>
      <c r="AJ14" s="995">
        <f>AJ20/AJ9</f>
        <v/>
      </c>
      <c r="AK14" s="995">
        <f>AK20/AK9</f>
        <v/>
      </c>
      <c r="AL14" s="995">
        <f>AL20/AL9</f>
        <v/>
      </c>
      <c r="AM14" s="995">
        <f>AM20/AM9</f>
        <v/>
      </c>
      <c r="AN14" s="995">
        <f>AN20/AN9</f>
        <v/>
      </c>
      <c r="AO14" s="995">
        <f>AO20/AO9</f>
        <v/>
      </c>
      <c r="AP14" s="995">
        <f>AP20/AP9</f>
        <v/>
      </c>
      <c r="AQ14" s="995">
        <f>AQ20/AQ9</f>
        <v/>
      </c>
      <c r="AR14" s="995">
        <f>AR20/AR9</f>
        <v/>
      </c>
      <c r="AS14" s="995">
        <f>AS20/AS9</f>
        <v/>
      </c>
      <c r="AT14" s="995">
        <f>AT20/AT9</f>
        <v/>
      </c>
      <c r="AU14" s="288" t="n"/>
      <c r="AV14" s="995" t="n"/>
      <c r="AW14" s="995" t="n"/>
      <c r="AX14" s="992" t="n"/>
      <c r="AY14" s="991" t="n"/>
      <c r="AZ14" s="995" t="n"/>
      <c r="BA14" s="995" t="n"/>
      <c r="BB14" s="992" t="n"/>
      <c r="BD14" s="995">
        <f>BD20/BD9</f>
        <v/>
      </c>
      <c r="BE14" s="995">
        <f>BE20/BE9</f>
        <v/>
      </c>
      <c r="BF14" s="995">
        <f>BF20/BF9</f>
        <v/>
      </c>
      <c r="BH14" s="995">
        <f>BH20/BH9</f>
        <v/>
      </c>
      <c r="BI14" s="995">
        <f>BI20/BI9</f>
        <v/>
      </c>
      <c r="BJ14" s="995">
        <f>BJ20/BJ9</f>
        <v/>
      </c>
      <c r="BL14" s="995">
        <f>BL20/BL9</f>
        <v/>
      </c>
      <c r="BM14" s="995">
        <f>BM20/BM9</f>
        <v/>
      </c>
      <c r="BN14" s="995">
        <f>BN20/BN9</f>
        <v/>
      </c>
      <c r="BP14" s="995">
        <f>BP20/BP9</f>
        <v/>
      </c>
      <c r="BQ14" s="995">
        <f>BQ20/BQ9</f>
        <v/>
      </c>
      <c r="BR14" s="995">
        <f>BR20/BR9</f>
        <v/>
      </c>
      <c r="BT14" s="995">
        <f>BT20/BT9</f>
        <v/>
      </c>
      <c r="BU14" s="995">
        <f>BU20/BU9</f>
        <v/>
      </c>
      <c r="BV14" s="995">
        <f>BV20/BV9</f>
        <v/>
      </c>
      <c r="BX14" s="995">
        <f>BX20/BX9</f>
        <v/>
      </c>
      <c r="BY14" s="995">
        <f>BY20/BY9</f>
        <v/>
      </c>
      <c r="BZ14" s="995">
        <f>BZ20/BZ9</f>
        <v/>
      </c>
      <c r="CB14" s="995">
        <f>CB20/CB9</f>
        <v/>
      </c>
      <c r="CC14" s="995">
        <f>CC20/CC9</f>
        <v/>
      </c>
      <c r="CD14" s="995">
        <f>CD20/CD9</f>
        <v/>
      </c>
      <c r="CE14" s="993" t="n"/>
      <c r="CF14" s="995">
        <f>CF20/CF9</f>
        <v/>
      </c>
      <c r="CG14" s="995">
        <f>CG20/CG9</f>
        <v/>
      </c>
      <c r="CH14" s="995">
        <f>CH20/CH9</f>
        <v/>
      </c>
      <c r="CI14" s="992" t="n"/>
      <c r="CJ14" s="995">
        <f>CJ20/CJ9</f>
        <v/>
      </c>
      <c r="CK14" s="995">
        <f>CK20/CK9</f>
        <v/>
      </c>
      <c r="CL14" s="995">
        <f>CL20/CL9</f>
        <v/>
      </c>
      <c r="CM14" s="992" t="n"/>
      <c r="CN14" s="995">
        <f>CN20/CN9</f>
        <v/>
      </c>
      <c r="CO14" s="995">
        <f>CO20/CO9</f>
        <v/>
      </c>
      <c r="CP14" s="995">
        <f>CP20/CP9</f>
        <v/>
      </c>
      <c r="CQ14" s="993" t="n"/>
      <c r="CR14" s="995">
        <f>CR20/CR9</f>
        <v/>
      </c>
      <c r="CS14" s="995">
        <f>CS20/CS9</f>
        <v/>
      </c>
      <c r="CT14" s="995">
        <f>CT20/CT9</f>
        <v/>
      </c>
      <c r="CU14" s="995">
        <f>CU20/CU9</f>
        <v/>
      </c>
      <c r="CV14" s="993" t="n"/>
      <c r="CW14" s="995">
        <f>CW20/CW9</f>
        <v/>
      </c>
      <c r="CX14" s="995">
        <f>CX20/CX9</f>
        <v/>
      </c>
      <c r="CY14" s="995">
        <f>CY20/CY9</f>
        <v/>
      </c>
      <c r="CZ14" s="993" t="n"/>
      <c r="DA14" s="995">
        <f>DA20/DA9</f>
        <v/>
      </c>
      <c r="DB14" s="995">
        <f>DB20/DB9</f>
        <v/>
      </c>
      <c r="DC14" s="995">
        <f>DC20/DC9</f>
        <v/>
      </c>
      <c r="DD14" s="993" t="n"/>
      <c r="DE14" s="995">
        <f>DE20/DE9</f>
        <v/>
      </c>
      <c r="DF14" s="995">
        <f>DF20/DF9</f>
        <v/>
      </c>
      <c r="DG14" s="995">
        <f>DG20/DG9</f>
        <v/>
      </c>
      <c r="DH14" s="290" t="n"/>
      <c r="DI14" s="995">
        <f>DI20/DI9</f>
        <v/>
      </c>
      <c r="DJ14" s="995">
        <f>DJ20/DJ9</f>
        <v/>
      </c>
      <c r="DK14" s="995">
        <f>DK20/DK9</f>
        <v/>
      </c>
      <c r="DL14" s="993" t="n"/>
      <c r="DM14" s="995">
        <f>DM20/DM9</f>
        <v/>
      </c>
      <c r="DN14" s="995">
        <f>DN20/DN9</f>
        <v/>
      </c>
      <c r="DO14" s="995">
        <f>DO20/DO9</f>
        <v/>
      </c>
      <c r="DP14" s="290" t="n"/>
      <c r="DQ14" s="995">
        <f>DQ20/DQ9</f>
        <v/>
      </c>
      <c r="DR14" s="995">
        <f>DR20/DR9</f>
        <v/>
      </c>
      <c r="DS14" s="995">
        <f>DS20/DS9</f>
        <v/>
      </c>
      <c r="DT14" s="989" t="n"/>
      <c r="DU14" s="995">
        <f>DU20/DU9</f>
        <v/>
      </c>
      <c r="DV14" s="995">
        <f>DV20/DV9</f>
        <v/>
      </c>
      <c r="DW14" s="995">
        <f>DW20/DW9</f>
        <v/>
      </c>
      <c r="DX14" s="989" t="n"/>
      <c r="DY14" s="995">
        <f>DY20/DY9</f>
        <v/>
      </c>
      <c r="DZ14" s="995">
        <f>DZ20/DZ9</f>
        <v/>
      </c>
      <c r="EA14" s="995">
        <f>EA20/EA9</f>
        <v/>
      </c>
      <c r="EC14" s="995">
        <f>EC20/EC9</f>
        <v/>
      </c>
      <c r="ED14" s="995">
        <f>ED20/ED9</f>
        <v/>
      </c>
      <c r="EE14" s="995">
        <f>EE20/EE9</f>
        <v/>
      </c>
      <c r="EF14" s="989" t="n"/>
      <c r="EG14" s="995">
        <f>EG20/EG9</f>
        <v/>
      </c>
      <c r="EH14" s="995">
        <f>EH20/EH9</f>
        <v/>
      </c>
      <c r="EI14" s="995">
        <f>EI20/EI9</f>
        <v/>
      </c>
      <c r="EJ14" s="989" t="n"/>
      <c r="EK14" s="995">
        <f>EK20/EK9</f>
        <v/>
      </c>
      <c r="EL14" s="995">
        <f>EL20/EL9</f>
        <v/>
      </c>
      <c r="EM14" s="995">
        <f>EM20/EM9</f>
        <v/>
      </c>
      <c r="EN14" s="989" t="n"/>
      <c r="EO14" s="995">
        <f>EO20/EO9</f>
        <v/>
      </c>
      <c r="EP14" s="995">
        <f>EP20/EP9</f>
        <v/>
      </c>
      <c r="EQ14" s="995">
        <f>EQ20/EQ9</f>
        <v/>
      </c>
      <c r="ER14" s="989" t="n"/>
      <c r="ES14" s="995">
        <f>ES20/ES9</f>
        <v/>
      </c>
      <c r="ET14" s="995">
        <f>ET20/ET9</f>
        <v/>
      </c>
      <c r="EU14" s="995">
        <f>EU20/EU9</f>
        <v/>
      </c>
      <c r="EV14" s="989" t="n"/>
      <c r="EW14" s="995">
        <f>EW20/EW9</f>
        <v/>
      </c>
      <c r="EX14" s="995">
        <f>EX20/EX9</f>
        <v/>
      </c>
      <c r="EY14" s="995">
        <f>EY20/EY9</f>
        <v/>
      </c>
      <c r="FA14" s="995">
        <f>FA20/FA9</f>
        <v/>
      </c>
      <c r="FB14" s="995">
        <f>FB20/FB9</f>
        <v/>
      </c>
      <c r="FC14" s="995">
        <f>FC20/FC9</f>
        <v/>
      </c>
      <c r="FE14" s="995">
        <f>FE20/FE9</f>
        <v/>
      </c>
      <c r="FF14" s="995">
        <f>FF20/FF9</f>
        <v/>
      </c>
      <c r="FG14" s="995">
        <f>FG20/FG9</f>
        <v/>
      </c>
      <c r="FI14" s="995">
        <f>FI20/FI9</f>
        <v/>
      </c>
      <c r="FJ14" s="995">
        <f>FJ20/FJ9</f>
        <v/>
      </c>
      <c r="FK14" s="995">
        <f>FK20/FK9</f>
        <v/>
      </c>
      <c r="FM14" s="995">
        <f>FM20/FM9</f>
        <v/>
      </c>
      <c r="FN14" s="995">
        <f>FN20/FN9</f>
        <v/>
      </c>
      <c r="FO14" s="995">
        <f>FO20/FO9</f>
        <v/>
      </c>
    </row>
    <row r="15" ht="14.25" customFormat="1" customHeight="1" s="986">
      <c r="A15" s="987" t="n"/>
      <c r="B15" s="996" t="inlineStr">
        <is>
          <t>YoY change in passenger yield</t>
        </is>
      </c>
      <c r="D15" s="986">
        <f>D14/C14-1</f>
        <v/>
      </c>
      <c r="E15" s="986">
        <f>E14/D14-1</f>
        <v/>
      </c>
      <c r="F15" s="986">
        <f>F14/E14-1</f>
        <v/>
      </c>
      <c r="G15" s="986">
        <f>G14/F14-1</f>
        <v/>
      </c>
      <c r="H15" s="986">
        <f>H14/G14-1</f>
        <v/>
      </c>
      <c r="I15" s="986">
        <f>I14/H14-1</f>
        <v/>
      </c>
      <c r="J15" s="986">
        <f>J14/I14-1</f>
        <v/>
      </c>
      <c r="K15" s="986">
        <f>K14/J14-1</f>
        <v/>
      </c>
      <c r="L15" s="986">
        <f>L14/K14-1</f>
        <v/>
      </c>
      <c r="M15" s="986">
        <f>M14/L14-1</f>
        <v/>
      </c>
      <c r="N15" s="986">
        <f>N14/M14-1</f>
        <v/>
      </c>
      <c r="O15" s="986">
        <f>O14/N14-1</f>
        <v/>
      </c>
      <c r="P15" s="986">
        <f>P14/O14-1</f>
        <v/>
      </c>
      <c r="Q15" s="986">
        <f>Q14/P14-1</f>
        <v/>
      </c>
      <c r="R15" s="986">
        <f>R14/Q14-1</f>
        <v/>
      </c>
      <c r="S15" s="986">
        <f>S14/R14-1</f>
        <v/>
      </c>
      <c r="T15" s="986">
        <f>T14/S14-1</f>
        <v/>
      </c>
      <c r="U15" s="986">
        <f>U14/T14-1</f>
        <v/>
      </c>
      <c r="V15" s="986">
        <f>V14/U14-1</f>
        <v/>
      </c>
      <c r="W15" s="986">
        <f>W14/V14-1</f>
        <v/>
      </c>
      <c r="X15" s="986">
        <f>X14/W14-1</f>
        <v/>
      </c>
      <c r="Y15" s="986">
        <f>Y14/X14-1</f>
        <v/>
      </c>
      <c r="Z15" s="986">
        <f>Z14/Y14-1</f>
        <v/>
      </c>
      <c r="AA15" s="986">
        <f>AA14/Z14-1</f>
        <v/>
      </c>
      <c r="AB15" s="986">
        <f>AB14/AA14-1</f>
        <v/>
      </c>
      <c r="AC15" s="986">
        <f>AC14/AB14-1</f>
        <v/>
      </c>
      <c r="AD15" s="986">
        <f>AD14/AC14-1</f>
        <v/>
      </c>
      <c r="AE15" s="986">
        <f>AE14/AD14-1</f>
        <v/>
      </c>
      <c r="AF15" s="986">
        <f>AF14/AE14-1</f>
        <v/>
      </c>
      <c r="AG15" s="986">
        <f>AG14/AF14-1</f>
        <v/>
      </c>
      <c r="AH15" s="986">
        <f>AH14/AG14-1</f>
        <v/>
      </c>
      <c r="AI15" s="986">
        <f>AI14/AH14-1</f>
        <v/>
      </c>
      <c r="AJ15" s="986">
        <f>AJ14/AI14-1</f>
        <v/>
      </c>
      <c r="AK15" s="986">
        <f>AK14/AJ14-1</f>
        <v/>
      </c>
      <c r="AL15" s="986">
        <f>AL14/AK14-1</f>
        <v/>
      </c>
      <c r="AM15" s="986">
        <f>AM14/AL14-1</f>
        <v/>
      </c>
      <c r="AN15" s="986">
        <f>AN14/AM14-1</f>
        <v/>
      </c>
      <c r="AO15" s="986">
        <f>AO14/AN14-1</f>
        <v/>
      </c>
      <c r="AP15" s="986">
        <f>AP14/AO14-1</f>
        <v/>
      </c>
      <c r="AQ15" s="986">
        <f>AQ14/AP14-1</f>
        <v/>
      </c>
      <c r="AR15" s="986">
        <f>AR14/AQ14-1</f>
        <v/>
      </c>
      <c r="AS15" s="986">
        <f>AS14/AR14-1</f>
        <v/>
      </c>
      <c r="AT15" s="986">
        <f>AT14/AS14-1</f>
        <v/>
      </c>
      <c r="AU15" s="288" t="n"/>
      <c r="AX15" s="992" t="n"/>
      <c r="AY15" s="991" t="n"/>
      <c r="BB15" s="992" t="n"/>
      <c r="BH15" s="986">
        <f>BH14/BD14-1</f>
        <v/>
      </c>
      <c r="BI15" s="986">
        <f>BI14/BE14-1</f>
        <v/>
      </c>
      <c r="BJ15" s="986">
        <f>BJ14/BF14-1</f>
        <v/>
      </c>
      <c r="BL15" s="986">
        <f>BL14/BH14-1</f>
        <v/>
      </c>
      <c r="BM15" s="986">
        <f>BM14/BI14-1</f>
        <v/>
      </c>
      <c r="BN15" s="986">
        <f>BN14/BJ14-1</f>
        <v/>
      </c>
      <c r="BP15" s="986">
        <f>BP14/BL14-1</f>
        <v/>
      </c>
      <c r="BQ15" s="986">
        <f>BQ14/BM14-1</f>
        <v/>
      </c>
      <c r="BR15" s="986">
        <f>BR14/BN14-1</f>
        <v/>
      </c>
      <c r="BT15" s="986">
        <f>BT14/BP14-1</f>
        <v/>
      </c>
      <c r="BU15" s="986">
        <f>BU14/BQ14-1</f>
        <v/>
      </c>
      <c r="BV15" s="986">
        <f>BV14/BR14-1</f>
        <v/>
      </c>
      <c r="BX15" s="986">
        <f>BX14/BT14-1</f>
        <v/>
      </c>
      <c r="BY15" s="986">
        <f>BY14/BU14-1</f>
        <v/>
      </c>
      <c r="BZ15" s="986">
        <f>BZ14/BV14-1</f>
        <v/>
      </c>
      <c r="CB15" s="986">
        <f>CB14/BX14-1</f>
        <v/>
      </c>
      <c r="CC15" s="986">
        <f>CC14/BY14-1</f>
        <v/>
      </c>
      <c r="CD15" s="986">
        <f>CD14/BZ14-1</f>
        <v/>
      </c>
      <c r="CE15" s="993" t="n"/>
      <c r="CF15" s="986">
        <f>CF14/CB14-1</f>
        <v/>
      </c>
      <c r="CG15" s="986">
        <f>CG14/CC14-1</f>
        <v/>
      </c>
      <c r="CH15" s="986">
        <f>CH14/CD14-1</f>
        <v/>
      </c>
      <c r="CI15" s="992" t="n"/>
      <c r="CJ15" s="986">
        <f>CJ14/CF14-1</f>
        <v/>
      </c>
      <c r="CK15" s="986">
        <f>CK14/CG14-1</f>
        <v/>
      </c>
      <c r="CL15" s="986">
        <f>CL14/CH14-1</f>
        <v/>
      </c>
      <c r="CM15" s="992" t="n"/>
      <c r="CN15" s="986">
        <f>CN14/CJ14-1</f>
        <v/>
      </c>
      <c r="CO15" s="986">
        <f>CO14/CK14-1</f>
        <v/>
      </c>
      <c r="CP15" s="986">
        <f>CP14/CL14-1</f>
        <v/>
      </c>
      <c r="CQ15" s="993" t="n"/>
      <c r="CR15" s="986">
        <f>CR14/CN14-1</f>
        <v/>
      </c>
      <c r="CS15" s="986">
        <f>CS14/CN14-1</f>
        <v/>
      </c>
      <c r="CT15" s="986">
        <f>CT14/CO14-1</f>
        <v/>
      </c>
      <c r="CU15" s="986">
        <f>CU14/CP14-1</f>
        <v/>
      </c>
      <c r="CV15" s="993" t="n"/>
      <c r="CW15" s="986">
        <f>CW14/CS14-1</f>
        <v/>
      </c>
      <c r="CX15" s="986">
        <f>CX14/CT14-1</f>
        <v/>
      </c>
      <c r="CY15" s="986">
        <f>CY14/CU14-1</f>
        <v/>
      </c>
      <c r="CZ15" s="993" t="n"/>
      <c r="DA15" s="986">
        <f>DA14/CW14-1</f>
        <v/>
      </c>
      <c r="DB15" s="986">
        <f>DB14/CX14-1</f>
        <v/>
      </c>
      <c r="DC15" s="986">
        <f>DC14/CY14-1</f>
        <v/>
      </c>
      <c r="DD15" s="993" t="n"/>
      <c r="DE15" s="986">
        <f>DE14/DA14-1</f>
        <v/>
      </c>
      <c r="DF15" s="986">
        <f>DF14/DB14-1</f>
        <v/>
      </c>
      <c r="DG15" s="986">
        <f>DG14/DC14-1</f>
        <v/>
      </c>
      <c r="DH15" s="290" t="n"/>
      <c r="DI15" s="986">
        <f>DI14/DE14-1</f>
        <v/>
      </c>
      <c r="DJ15" s="986">
        <f>DJ14/DF14-1</f>
        <v/>
      </c>
      <c r="DK15" s="986">
        <f>DK14/DG14-1</f>
        <v/>
      </c>
      <c r="DL15" s="993" t="n"/>
      <c r="DM15" s="986">
        <f>DM14/DI14-1</f>
        <v/>
      </c>
      <c r="DN15" s="986">
        <f>DN14/DJ14-1</f>
        <v/>
      </c>
      <c r="DO15" s="986">
        <f>DO14/DK14-1</f>
        <v/>
      </c>
      <c r="DP15" s="290" t="n"/>
      <c r="DQ15" s="986">
        <f>DQ14/DM14-1</f>
        <v/>
      </c>
      <c r="DR15" s="986">
        <f>DR14/DN14-1</f>
        <v/>
      </c>
      <c r="DS15" s="986">
        <f>DS14/DO14-1</f>
        <v/>
      </c>
      <c r="DT15" s="989" t="n"/>
      <c r="DU15" s="986">
        <f>DU14/DQ14-1</f>
        <v/>
      </c>
      <c r="DV15" s="986">
        <f>DV14/DR14-1</f>
        <v/>
      </c>
      <c r="DW15" s="986">
        <f>DW14/DS14-1</f>
        <v/>
      </c>
      <c r="DX15" s="989" t="n"/>
      <c r="DY15" s="986">
        <f>DY14/DU14-1</f>
        <v/>
      </c>
      <c r="DZ15" s="986">
        <f>DZ14/DV14-1</f>
        <v/>
      </c>
      <c r="EA15" s="986">
        <f>EA14/DW14-1</f>
        <v/>
      </c>
      <c r="EC15" s="986">
        <f>EC14/DY14-1</f>
        <v/>
      </c>
      <c r="ED15" s="986">
        <f>ED14/DZ14-1</f>
        <v/>
      </c>
      <c r="EE15" s="986">
        <f>EE14/EA14-1</f>
        <v/>
      </c>
      <c r="EF15" s="989" t="n"/>
      <c r="EG15" s="986">
        <f>EG14/EC14-1</f>
        <v/>
      </c>
      <c r="EH15" s="986">
        <f>EH14/ED14-1</f>
        <v/>
      </c>
      <c r="EI15" s="986">
        <f>EI14/EE14-1</f>
        <v/>
      </c>
      <c r="EJ15" s="989" t="n"/>
      <c r="EK15" s="986">
        <f>EK14/EG14-1</f>
        <v/>
      </c>
      <c r="EL15" s="986">
        <f>EL14/EH14-1</f>
        <v/>
      </c>
      <c r="EM15" s="986">
        <f>EM14/EI14-1</f>
        <v/>
      </c>
      <c r="EN15" s="989" t="n"/>
      <c r="EO15" s="986">
        <f>EO14/EK14-1</f>
        <v/>
      </c>
      <c r="EP15" s="986">
        <f>EP14/EL14-1</f>
        <v/>
      </c>
      <c r="EQ15" s="986">
        <f>EQ14/EM14-1</f>
        <v/>
      </c>
      <c r="ER15" s="989" t="n"/>
      <c r="ES15" s="986">
        <f>ES14/EO14-1</f>
        <v/>
      </c>
      <c r="ET15" s="986">
        <f>ET14/EP14-1</f>
        <v/>
      </c>
      <c r="EU15" s="986">
        <f>EU14/EQ14-1</f>
        <v/>
      </c>
      <c r="EV15" s="989" t="n"/>
      <c r="EW15" s="986">
        <f>EW14/ES14-1</f>
        <v/>
      </c>
      <c r="EX15" s="986">
        <f>EX14/ET14-1</f>
        <v/>
      </c>
      <c r="EY15" s="986">
        <f>EY14/EU14-1</f>
        <v/>
      </c>
      <c r="FA15" s="986">
        <f>FA14/EW14-1</f>
        <v/>
      </c>
      <c r="FB15" s="986">
        <f>FB14/EX14-1</f>
        <v/>
      </c>
      <c r="FC15" s="986">
        <f>FC14/EY14-1</f>
        <v/>
      </c>
      <c r="FE15" s="986">
        <f>FE14/FA14-1</f>
        <v/>
      </c>
      <c r="FF15" s="986">
        <f>FF14/FB14-1</f>
        <v/>
      </c>
      <c r="FG15" s="986">
        <f>FG14/FC14-1</f>
        <v/>
      </c>
      <c r="FI15" s="986">
        <f>FI14/FE14-1</f>
        <v/>
      </c>
      <c r="FJ15" s="986">
        <f>FJ14/FF14-1</f>
        <v/>
      </c>
      <c r="FK15" s="986">
        <f>FK14/FG14-1</f>
        <v/>
      </c>
      <c r="FM15" s="986">
        <f>FM14/FI14-1</f>
        <v/>
      </c>
      <c r="FN15" s="986">
        <f>FN14/FJ14-1</f>
        <v/>
      </c>
      <c r="FO15" s="986">
        <f>FO14/FK14-1</f>
        <v/>
      </c>
    </row>
    <row r="16" ht="14.25" customFormat="1" customHeight="1" s="986">
      <c r="A16" s="987" t="n"/>
      <c r="B16" s="57" t="inlineStr">
        <is>
          <t>Overall unit revenue (RASK)</t>
        </is>
      </c>
      <c r="C16" s="995">
        <f>C20/C7</f>
        <v/>
      </c>
      <c r="D16" s="995">
        <f>D20/D7</f>
        <v/>
      </c>
      <c r="E16" s="995">
        <f>E20/E7</f>
        <v/>
      </c>
      <c r="F16" s="995">
        <f>F20/F7</f>
        <v/>
      </c>
      <c r="G16" s="995">
        <f>G20/G7</f>
        <v/>
      </c>
      <c r="H16" s="995">
        <f>H20/H7</f>
        <v/>
      </c>
      <c r="I16" s="995">
        <f>I20/I7</f>
        <v/>
      </c>
      <c r="J16" s="995">
        <f>J20/J7</f>
        <v/>
      </c>
      <c r="K16" s="995">
        <f>K20/K7</f>
        <v/>
      </c>
      <c r="L16" s="995">
        <f>L20/L7</f>
        <v/>
      </c>
      <c r="M16" s="995">
        <f>M20/M7</f>
        <v/>
      </c>
      <c r="N16" s="995">
        <f>N20/N7</f>
        <v/>
      </c>
      <c r="O16" s="995">
        <f>O20/O7</f>
        <v/>
      </c>
      <c r="P16" s="995">
        <f>P20/P7</f>
        <v/>
      </c>
      <c r="Q16" s="995">
        <f>Q20/Q7</f>
        <v/>
      </c>
      <c r="R16" s="995">
        <f>R20/R7</f>
        <v/>
      </c>
      <c r="S16" s="995">
        <f>S20/S7</f>
        <v/>
      </c>
      <c r="T16" s="995">
        <f>T20/T7</f>
        <v/>
      </c>
      <c r="U16" s="995">
        <f>U20/U7</f>
        <v/>
      </c>
      <c r="V16" s="995">
        <f>V20/V7</f>
        <v/>
      </c>
      <c r="W16" s="995">
        <f>W20/W7</f>
        <v/>
      </c>
      <c r="X16" s="995">
        <f>X20/X7</f>
        <v/>
      </c>
      <c r="Y16" s="995">
        <f>Y20/Y7</f>
        <v/>
      </c>
      <c r="Z16" s="995">
        <f>Z20/Z7</f>
        <v/>
      </c>
      <c r="AA16" s="995">
        <f>AA20/AA7</f>
        <v/>
      </c>
      <c r="AB16" s="995">
        <f>AB20/AB7</f>
        <v/>
      </c>
      <c r="AC16" s="995">
        <f>AC20/AC7</f>
        <v/>
      </c>
      <c r="AD16" s="995">
        <f>AD20/AD7</f>
        <v/>
      </c>
      <c r="AE16" s="995">
        <f>AE20/AE7</f>
        <v/>
      </c>
      <c r="AF16" s="995">
        <f>AF20/AF7</f>
        <v/>
      </c>
      <c r="AG16" s="995">
        <f>AG20/AG7</f>
        <v/>
      </c>
      <c r="AH16" s="995">
        <f>AH20/AH7</f>
        <v/>
      </c>
      <c r="AI16" s="995">
        <f>AI20/AI7</f>
        <v/>
      </c>
      <c r="AJ16" s="995">
        <f>AJ20/AJ7</f>
        <v/>
      </c>
      <c r="AK16" s="995">
        <f>AK20/AK7</f>
        <v/>
      </c>
      <c r="AL16" s="995">
        <f>AL20/AL7</f>
        <v/>
      </c>
      <c r="AM16" s="995">
        <f>AM20/AM7</f>
        <v/>
      </c>
      <c r="AN16" s="995">
        <f>AN20/AN7</f>
        <v/>
      </c>
      <c r="AO16" s="995">
        <f>AO20/AO7</f>
        <v/>
      </c>
      <c r="AP16" s="995">
        <f>AP20/AP7</f>
        <v/>
      </c>
      <c r="AQ16" s="995">
        <f>AQ20/AQ7</f>
        <v/>
      </c>
      <c r="AR16" s="995">
        <f>AR20/AR7</f>
        <v/>
      </c>
      <c r="AS16" s="995">
        <f>AS20/AS7</f>
        <v/>
      </c>
      <c r="AT16" s="995">
        <f>AT20/AT7</f>
        <v/>
      </c>
      <c r="AU16" s="288" t="n"/>
      <c r="AX16" s="992" t="n"/>
      <c r="AY16" s="991" t="n"/>
      <c r="BB16" s="992" t="n"/>
      <c r="BD16" s="995">
        <f>BD20/BD7</f>
        <v/>
      </c>
      <c r="BE16" s="995">
        <f>BE20/BE7</f>
        <v/>
      </c>
      <c r="BF16" s="995">
        <f>BF20/BF7</f>
        <v/>
      </c>
      <c r="BH16" s="995">
        <f>BH20/BH7</f>
        <v/>
      </c>
      <c r="BI16" s="995">
        <f>BI20/BI7</f>
        <v/>
      </c>
      <c r="BJ16" s="995">
        <f>BJ20/BJ7</f>
        <v/>
      </c>
      <c r="BL16" s="995">
        <f>BL20/BL7</f>
        <v/>
      </c>
      <c r="BM16" s="995">
        <f>BM20/BM7</f>
        <v/>
      </c>
      <c r="BN16" s="995">
        <f>BN20/BN7</f>
        <v/>
      </c>
      <c r="BP16" s="995">
        <f>BP20/BP7</f>
        <v/>
      </c>
      <c r="BQ16" s="995">
        <f>BQ20/BQ7</f>
        <v/>
      </c>
      <c r="BR16" s="995">
        <f>BR20/BR7</f>
        <v/>
      </c>
      <c r="BT16" s="995">
        <f>BT20/BT7</f>
        <v/>
      </c>
      <c r="BU16" s="995">
        <f>BU20/BU7</f>
        <v/>
      </c>
      <c r="BV16" s="995">
        <f>BV20/BV7</f>
        <v/>
      </c>
      <c r="BX16" s="995">
        <f>BX20/BX7</f>
        <v/>
      </c>
      <c r="BY16" s="995">
        <f>BY20/BY7</f>
        <v/>
      </c>
      <c r="BZ16" s="995">
        <f>BZ20/BZ7</f>
        <v/>
      </c>
      <c r="CB16" s="995">
        <f>CB20/CB7</f>
        <v/>
      </c>
      <c r="CC16" s="995">
        <f>CC20/CC7</f>
        <v/>
      </c>
      <c r="CD16" s="995">
        <f>CD20/CD7</f>
        <v/>
      </c>
      <c r="CE16" s="993" t="n"/>
      <c r="CF16" s="995">
        <f>CF20/CF7</f>
        <v/>
      </c>
      <c r="CG16" s="995">
        <f>CG20/CG7</f>
        <v/>
      </c>
      <c r="CH16" s="995">
        <f>CH20/CH7</f>
        <v/>
      </c>
      <c r="CI16" s="992" t="n"/>
      <c r="CJ16" s="995">
        <f>CJ20/CJ7</f>
        <v/>
      </c>
      <c r="CK16" s="995">
        <f>CK20/CK7</f>
        <v/>
      </c>
      <c r="CL16" s="995">
        <f>CL20/CL7</f>
        <v/>
      </c>
      <c r="CM16" s="992" t="n"/>
      <c r="CN16" s="995">
        <f>CN20/CN7</f>
        <v/>
      </c>
      <c r="CO16" s="995">
        <f>CO20/CO7</f>
        <v/>
      </c>
      <c r="CP16" s="995">
        <f>CP20/CP7</f>
        <v/>
      </c>
      <c r="CQ16" s="993" t="n"/>
      <c r="CR16" s="995">
        <f>CR20/CR7</f>
        <v/>
      </c>
      <c r="CS16" s="995">
        <f>CS20/CS7</f>
        <v/>
      </c>
      <c r="CT16" s="995">
        <f>CT20/CT7</f>
        <v/>
      </c>
      <c r="CU16" s="995">
        <f>CU20/CU7</f>
        <v/>
      </c>
      <c r="CV16" s="993" t="n"/>
      <c r="CW16" s="995">
        <f>CW20/CW7</f>
        <v/>
      </c>
      <c r="CX16" s="995">
        <f>CX20/CX7</f>
        <v/>
      </c>
      <c r="CY16" s="995">
        <f>CY20/CY7</f>
        <v/>
      </c>
      <c r="CZ16" s="993" t="n"/>
      <c r="DA16" s="995">
        <f>DA20/DA7</f>
        <v/>
      </c>
      <c r="DB16" s="995">
        <f>DB20/DB7</f>
        <v/>
      </c>
      <c r="DC16" s="995">
        <f>DC20/DC7</f>
        <v/>
      </c>
      <c r="DD16" s="995" t="n"/>
      <c r="DE16" s="995">
        <f>DE20/DE7</f>
        <v/>
      </c>
      <c r="DF16" s="995">
        <f>DF20/DF7</f>
        <v/>
      </c>
      <c r="DG16" s="995">
        <f>DG20/DG7</f>
        <v/>
      </c>
      <c r="DH16" s="995" t="n"/>
      <c r="DI16" s="995">
        <f>DI20/DI7</f>
        <v/>
      </c>
      <c r="DJ16" s="995">
        <f>DJ20/DJ7</f>
        <v/>
      </c>
      <c r="DK16" s="995">
        <f>DK20/DK7</f>
        <v/>
      </c>
      <c r="DL16" s="995" t="n"/>
      <c r="DM16" s="995">
        <f>DM20/DM7</f>
        <v/>
      </c>
      <c r="DN16" s="995">
        <f>DN20/DN7</f>
        <v/>
      </c>
      <c r="DO16" s="995">
        <f>DO20/DO7</f>
        <v/>
      </c>
      <c r="DP16" s="995" t="n"/>
      <c r="DQ16" s="995">
        <f>DQ20/DQ7</f>
        <v/>
      </c>
      <c r="DR16" s="995">
        <f>DR20/DR7</f>
        <v/>
      </c>
      <c r="DS16" s="995">
        <f>DS20/DS7</f>
        <v/>
      </c>
      <c r="DT16" s="995" t="n"/>
      <c r="DU16" s="995">
        <f>DU20/DU7</f>
        <v/>
      </c>
      <c r="DV16" s="995">
        <f>DV20/DV7</f>
        <v/>
      </c>
      <c r="DW16" s="995">
        <f>DW20/DW7</f>
        <v/>
      </c>
      <c r="DX16" s="995" t="n"/>
      <c r="DY16" s="995">
        <f>DY20/DY7</f>
        <v/>
      </c>
      <c r="DZ16" s="995">
        <f>DZ20/DZ7</f>
        <v/>
      </c>
      <c r="EA16" s="995">
        <f>EA20/EA7</f>
        <v/>
      </c>
      <c r="EB16" s="995" t="n"/>
      <c r="EC16" s="995">
        <f>EC20/EC7</f>
        <v/>
      </c>
      <c r="ED16" s="995">
        <f>ED20/ED7</f>
        <v/>
      </c>
      <c r="EE16" s="995">
        <f>EE20/EE7</f>
        <v/>
      </c>
      <c r="EF16" s="995" t="n"/>
      <c r="EG16" s="995">
        <f>EG20/EG7</f>
        <v/>
      </c>
      <c r="EH16" s="995">
        <f>EH20/EH7</f>
        <v/>
      </c>
      <c r="EI16" s="995">
        <f>EI20/EI7</f>
        <v/>
      </c>
      <c r="EJ16" s="995" t="n"/>
      <c r="EK16" s="995">
        <f>EK20/EK7</f>
        <v/>
      </c>
      <c r="EL16" s="995">
        <f>EL20/EL7</f>
        <v/>
      </c>
      <c r="EM16" s="995">
        <f>EM20/EM7</f>
        <v/>
      </c>
      <c r="EN16" s="995" t="n"/>
      <c r="EO16" s="995">
        <f>EO20/EO7</f>
        <v/>
      </c>
      <c r="EP16" s="995">
        <f>EP20/EP7</f>
        <v/>
      </c>
      <c r="EQ16" s="995">
        <f>EQ20/EQ7</f>
        <v/>
      </c>
      <c r="ER16" s="995" t="n"/>
      <c r="ES16" s="995">
        <f>ES20/ES7</f>
        <v/>
      </c>
      <c r="ET16" s="995">
        <f>ET20/ET7</f>
        <v/>
      </c>
      <c r="EU16" s="995">
        <f>EU20/EU7</f>
        <v/>
      </c>
      <c r="EV16" s="995" t="n"/>
      <c r="EW16" s="995">
        <f>EW20/EW7</f>
        <v/>
      </c>
      <c r="EX16" s="995">
        <f>EX20/EX7</f>
        <v/>
      </c>
      <c r="EY16" s="995">
        <f>EY20/EY7</f>
        <v/>
      </c>
      <c r="EZ16" s="995" t="n"/>
      <c r="FA16" s="995">
        <f>FA20/FA7</f>
        <v/>
      </c>
      <c r="FB16" s="995">
        <f>FB20/FB7</f>
        <v/>
      </c>
      <c r="FC16" s="995">
        <f>FC20/FC7</f>
        <v/>
      </c>
      <c r="FD16" s="995" t="n"/>
      <c r="FE16" s="995">
        <f>FE20/FE7</f>
        <v/>
      </c>
      <c r="FF16" s="995">
        <f>FF20/FF7</f>
        <v/>
      </c>
      <c r="FG16" s="995">
        <f>FG20/FG7</f>
        <v/>
      </c>
      <c r="FH16" s="995" t="n"/>
      <c r="FI16" s="995">
        <f>FI20/FI7</f>
        <v/>
      </c>
      <c r="FJ16" s="995">
        <f>FJ20/FJ7</f>
        <v/>
      </c>
      <c r="FK16" s="995">
        <f>FK20/FK7</f>
        <v/>
      </c>
      <c r="FM16" s="995">
        <f>FM20/FM7</f>
        <v/>
      </c>
      <c r="FN16" s="995">
        <f>FN20/FN7</f>
        <v/>
      </c>
      <c r="FO16" s="995">
        <f>FO20/FO7</f>
        <v/>
      </c>
    </row>
    <row r="17" ht="14.25" customFormat="1" customHeight="1" s="986">
      <c r="A17" s="987" t="n"/>
      <c r="B17" s="996" t="inlineStr">
        <is>
          <t>YoY change in RASK</t>
        </is>
      </c>
      <c r="D17" s="986">
        <f>D16/C16-1</f>
        <v/>
      </c>
      <c r="E17" s="986">
        <f>E16/D16-1</f>
        <v/>
      </c>
      <c r="F17" s="986">
        <f>F16/E16-1</f>
        <v/>
      </c>
      <c r="G17" s="986">
        <f>G16/F16-1</f>
        <v/>
      </c>
      <c r="H17" s="986">
        <f>H16/G16-1</f>
        <v/>
      </c>
      <c r="I17" s="986">
        <f>I16/H16-1</f>
        <v/>
      </c>
      <c r="J17" s="986">
        <f>J16/I16-1</f>
        <v/>
      </c>
      <c r="K17" s="986">
        <f>K16/J16-1</f>
        <v/>
      </c>
      <c r="L17" s="986">
        <f>L16/K16-1</f>
        <v/>
      </c>
      <c r="M17" s="986">
        <f>M16/L16-1</f>
        <v/>
      </c>
      <c r="N17" s="986">
        <f>N16/M16-1</f>
        <v/>
      </c>
      <c r="O17" s="986">
        <f>O16/N16-1</f>
        <v/>
      </c>
      <c r="P17" s="986">
        <f>P16/O16-1</f>
        <v/>
      </c>
      <c r="Q17" s="986">
        <f>Q16/P16-1</f>
        <v/>
      </c>
      <c r="R17" s="986">
        <f>R16/Q16-1</f>
        <v/>
      </c>
      <c r="S17" s="986">
        <f>S16/R16-1</f>
        <v/>
      </c>
      <c r="T17" s="986">
        <f>T16/S16-1</f>
        <v/>
      </c>
      <c r="U17" s="986">
        <f>U16/T16-1</f>
        <v/>
      </c>
      <c r="V17" s="986">
        <f>V16/U16-1</f>
        <v/>
      </c>
      <c r="W17" s="986">
        <f>W16/V16-1</f>
        <v/>
      </c>
      <c r="X17" s="986">
        <f>X16/W16-1</f>
        <v/>
      </c>
      <c r="Y17" s="986">
        <f>Y16/X16-1</f>
        <v/>
      </c>
      <c r="Z17" s="986">
        <f>Z16/Y16-1</f>
        <v/>
      </c>
      <c r="AA17" s="986">
        <f>AA16/Z16-1</f>
        <v/>
      </c>
      <c r="AB17" s="986">
        <f>AB16/AA16-1</f>
        <v/>
      </c>
      <c r="AC17" s="986">
        <f>AC16/AB16-1</f>
        <v/>
      </c>
      <c r="AD17" s="986">
        <f>AD16/AC16-1</f>
        <v/>
      </c>
      <c r="AE17" s="986">
        <f>AE16/AD16-1</f>
        <v/>
      </c>
      <c r="AF17" s="986">
        <f>AF16/AE16-1</f>
        <v/>
      </c>
      <c r="AG17" s="986">
        <f>AG16/AF16-1</f>
        <v/>
      </c>
      <c r="AH17" s="986">
        <f>AH16/AG16-1</f>
        <v/>
      </c>
      <c r="AI17" s="986">
        <f>AI16/AH16-1</f>
        <v/>
      </c>
      <c r="AJ17" s="986">
        <f>AJ16/AI16-1</f>
        <v/>
      </c>
      <c r="AK17" s="986">
        <f>AK16/AJ16-1</f>
        <v/>
      </c>
      <c r="AL17" s="986">
        <f>AL16/AK16-1</f>
        <v/>
      </c>
      <c r="AM17" s="986">
        <f>AM16/AL16-1</f>
        <v/>
      </c>
      <c r="AN17" s="986">
        <f>AN16/AM16-1</f>
        <v/>
      </c>
      <c r="AO17" s="986">
        <f>AO16/AN16-1</f>
        <v/>
      </c>
      <c r="AP17" s="986">
        <f>AP16/AO16-1</f>
        <v/>
      </c>
      <c r="AQ17" s="986">
        <f>AQ16/AP16-1</f>
        <v/>
      </c>
      <c r="AR17" s="986">
        <f>AR16/AQ16-1</f>
        <v/>
      </c>
      <c r="AS17" s="986">
        <f>AS16/AR16-1</f>
        <v/>
      </c>
      <c r="AT17" s="986">
        <f>AT16/AS16-1</f>
        <v/>
      </c>
      <c r="AU17" s="288" t="n"/>
      <c r="AX17" s="992" t="n"/>
      <c r="AY17" s="991" t="n"/>
      <c r="BB17" s="992" t="n"/>
      <c r="BH17" s="986">
        <f>BH16/BD16-1</f>
        <v/>
      </c>
      <c r="BI17" s="986">
        <f>BI16/BE16-1</f>
        <v/>
      </c>
      <c r="BJ17" s="986">
        <f>BJ16/BF16-1</f>
        <v/>
      </c>
      <c r="BL17" s="986">
        <f>BL16/BH16-1</f>
        <v/>
      </c>
      <c r="BM17" s="986">
        <f>BM16/BI16-1</f>
        <v/>
      </c>
      <c r="BN17" s="986">
        <f>BN16/BJ16-1</f>
        <v/>
      </c>
      <c r="BP17" s="986">
        <f>BP16/BL16-1</f>
        <v/>
      </c>
      <c r="BQ17" s="986">
        <f>BQ16/BM16-1</f>
        <v/>
      </c>
      <c r="BR17" s="986">
        <f>BR16/BN16-1</f>
        <v/>
      </c>
      <c r="BT17" s="986">
        <f>BT16/BP16-1</f>
        <v/>
      </c>
      <c r="BU17" s="986">
        <f>BU16/BQ16-1</f>
        <v/>
      </c>
      <c r="BV17" s="986">
        <f>BV16/BR16-1</f>
        <v/>
      </c>
      <c r="BX17" s="986">
        <f>BX16/BT16-1</f>
        <v/>
      </c>
      <c r="BY17" s="986">
        <f>BY16/BU16-1</f>
        <v/>
      </c>
      <c r="BZ17" s="986">
        <f>BZ16/BV16-1</f>
        <v/>
      </c>
      <c r="CB17" s="986">
        <f>CB16/BX16-1</f>
        <v/>
      </c>
      <c r="CC17" s="986">
        <f>CC16/BY16-1</f>
        <v/>
      </c>
      <c r="CD17" s="986">
        <f>CD16/BZ16-1</f>
        <v/>
      </c>
      <c r="CE17" s="993" t="n"/>
      <c r="CF17" s="986">
        <f>CF16/CB16-1</f>
        <v/>
      </c>
      <c r="CG17" s="986">
        <f>CG16/CC16-1</f>
        <v/>
      </c>
      <c r="CH17" s="986">
        <f>CH16/CD16-1</f>
        <v/>
      </c>
      <c r="CI17" s="992" t="n"/>
      <c r="CJ17" s="986">
        <f>CJ16/CF16-1</f>
        <v/>
      </c>
      <c r="CK17" s="986">
        <f>CK16/CG16-1</f>
        <v/>
      </c>
      <c r="CL17" s="986">
        <f>CL16/CH16-1</f>
        <v/>
      </c>
      <c r="CM17" s="992" t="n"/>
      <c r="CN17" s="986">
        <f>CN16/CJ16-1</f>
        <v/>
      </c>
      <c r="CO17" s="986">
        <f>CO16/CK16-1</f>
        <v/>
      </c>
      <c r="CP17" s="986">
        <f>CP16/CL16-1</f>
        <v/>
      </c>
      <c r="CQ17" s="993" t="n"/>
      <c r="CR17" s="986">
        <f>CR16/CN16-1</f>
        <v/>
      </c>
      <c r="CS17" s="986">
        <f>CS16/CN16-1</f>
        <v/>
      </c>
      <c r="CT17" s="986">
        <f>CT16/CO16-1</f>
        <v/>
      </c>
      <c r="CU17" s="986">
        <f>CU16/CP16-1</f>
        <v/>
      </c>
      <c r="CV17" s="993" t="n"/>
      <c r="CW17" s="986">
        <f>CW16/CS16-1</f>
        <v/>
      </c>
      <c r="CX17" s="986">
        <f>CX16/CT16-1</f>
        <v/>
      </c>
      <c r="CY17" s="986">
        <f>CY16/CU16-1</f>
        <v/>
      </c>
      <c r="CZ17" s="993" t="n"/>
      <c r="DA17" s="986">
        <f>DA16/CW16-1</f>
        <v/>
      </c>
      <c r="DB17" s="986">
        <f>DB16/CX16-1</f>
        <v/>
      </c>
      <c r="DC17" s="986">
        <f>DC16/CY16-1</f>
        <v/>
      </c>
      <c r="DD17" s="993" t="n"/>
      <c r="DE17" s="986">
        <f>DE16/DA16-1</f>
        <v/>
      </c>
      <c r="DF17" s="986">
        <f>DF16/DB16-1</f>
        <v/>
      </c>
      <c r="DG17" s="986">
        <f>DG16/DC16-1</f>
        <v/>
      </c>
      <c r="DH17" s="290" t="n"/>
      <c r="DI17" s="986">
        <f>DI16/DE16-1</f>
        <v/>
      </c>
      <c r="DJ17" s="986">
        <f>DJ16/DF16-1</f>
        <v/>
      </c>
      <c r="DK17" s="986">
        <f>DK16/DG16-1</f>
        <v/>
      </c>
      <c r="DL17" s="993" t="n"/>
      <c r="DM17" s="986">
        <f>DM16/DI16-1</f>
        <v/>
      </c>
      <c r="DN17" s="986">
        <f>DN16/DJ16-1</f>
        <v/>
      </c>
      <c r="DO17" s="986">
        <f>DO16/DK16-1</f>
        <v/>
      </c>
      <c r="DP17" s="290" t="n"/>
      <c r="DQ17" s="986">
        <f>DQ16/DM16-1</f>
        <v/>
      </c>
      <c r="DR17" s="986">
        <f>DR16/DN16-1</f>
        <v/>
      </c>
      <c r="DS17" s="986">
        <f>DS16/DO16-1</f>
        <v/>
      </c>
      <c r="DT17" s="989" t="n"/>
      <c r="DU17" s="986">
        <f>DU16/DQ16-1</f>
        <v/>
      </c>
      <c r="DV17" s="986">
        <f>DV16/DR16-1</f>
        <v/>
      </c>
      <c r="DW17" s="986">
        <f>DW16/DS16-1</f>
        <v/>
      </c>
      <c r="DX17" s="989" t="n"/>
      <c r="DY17" s="986">
        <f>DY16/DU16-1</f>
        <v/>
      </c>
      <c r="DZ17" s="986">
        <f>DZ16/DV16-1</f>
        <v/>
      </c>
      <c r="EA17" s="986">
        <f>EA16/DW16-1</f>
        <v/>
      </c>
      <c r="EC17" s="986">
        <f>EC16/DY16-1</f>
        <v/>
      </c>
      <c r="ED17" s="986">
        <f>ED16/DZ16-1</f>
        <v/>
      </c>
      <c r="EE17" s="986">
        <f>EE16/EA16-1</f>
        <v/>
      </c>
      <c r="EF17" s="989" t="n"/>
      <c r="EG17" s="986">
        <f>EG16/EC16-1</f>
        <v/>
      </c>
      <c r="EH17" s="986">
        <f>EH16/ED16-1</f>
        <v/>
      </c>
      <c r="EI17" s="986">
        <f>EI16/EE16-1</f>
        <v/>
      </c>
      <c r="EJ17" s="989" t="n"/>
      <c r="EK17" s="986">
        <f>EK16/EG16-1</f>
        <v/>
      </c>
      <c r="EL17" s="986">
        <f>EL16/EH16-1</f>
        <v/>
      </c>
      <c r="EM17" s="986">
        <f>EM16/EI16-1</f>
        <v/>
      </c>
      <c r="EN17" s="989" t="n"/>
      <c r="EO17" s="986">
        <f>EO16/EK16-1</f>
        <v/>
      </c>
      <c r="EP17" s="986">
        <f>EP16/EL16-1</f>
        <v/>
      </c>
      <c r="EQ17" s="986">
        <f>EQ16/EM16-1</f>
        <v/>
      </c>
      <c r="ER17" s="989" t="n"/>
      <c r="ES17" s="986">
        <f>ES16/EO16-1</f>
        <v/>
      </c>
      <c r="ET17" s="986">
        <f>ET16/EP16-1</f>
        <v/>
      </c>
      <c r="EU17" s="986">
        <f>EU16/EQ16-1</f>
        <v/>
      </c>
      <c r="EV17" s="989" t="n"/>
      <c r="EW17" s="986">
        <f>EW16/ES16-1</f>
        <v/>
      </c>
      <c r="EX17" s="986">
        <f>EX16/ET16-1</f>
        <v/>
      </c>
      <c r="EY17" s="986">
        <f>EY16/EU16-1</f>
        <v/>
      </c>
      <c r="FA17" s="986">
        <f>FA16/EW16-1</f>
        <v/>
      </c>
      <c r="FB17" s="986">
        <f>FB16/EX16-1</f>
        <v/>
      </c>
      <c r="FC17" s="986">
        <f>FC16/EY16-1</f>
        <v/>
      </c>
      <c r="FE17" s="986">
        <f>FE16/FA16-1</f>
        <v/>
      </c>
      <c r="FF17" s="986">
        <f>FF16/FB16-1</f>
        <v/>
      </c>
      <c r="FG17" s="986">
        <f>FG16/FC16-1</f>
        <v/>
      </c>
      <c r="FI17" s="986">
        <f>FI16/FE16-1</f>
        <v/>
      </c>
      <c r="FJ17" s="986">
        <f>FJ16/FF16-1</f>
        <v/>
      </c>
      <c r="FK17" s="986">
        <f>FK16/FG16-1</f>
        <v/>
      </c>
      <c r="FM17" s="986">
        <f>FM16/FI16-1</f>
        <v/>
      </c>
      <c r="FN17" s="986">
        <f>FN16/FJ16-1</f>
        <v/>
      </c>
      <c r="FO17" s="986">
        <f>FO16/FK16-1</f>
        <v/>
      </c>
    </row>
    <row r="18" ht="14.25" customFormat="1" customHeight="1" s="986">
      <c r="A18" s="987" t="n"/>
      <c r="B18" s="57" t="inlineStr">
        <is>
          <t>Average airfare ticket price</t>
        </is>
      </c>
      <c r="C18" s="502">
        <f>+C20/C11*1000</f>
        <v/>
      </c>
      <c r="D18" s="502">
        <f>+D20/D11*1000</f>
        <v/>
      </c>
      <c r="E18" s="502">
        <f>+E20/E11*1000</f>
        <v/>
      </c>
      <c r="F18" s="502">
        <f>+F20/F11*1000</f>
        <v/>
      </c>
      <c r="G18" s="502">
        <f>+G20/G11*1000</f>
        <v/>
      </c>
      <c r="H18" s="502">
        <f>+H20/H11*1000</f>
        <v/>
      </c>
      <c r="I18" s="502">
        <f>+I20/I11*1000</f>
        <v/>
      </c>
      <c r="J18" s="502">
        <f>+J20/J11*1000</f>
        <v/>
      </c>
      <c r="K18" s="502">
        <f>+K20/K11*1000</f>
        <v/>
      </c>
      <c r="L18" s="502">
        <f>+L20/L11*1000</f>
        <v/>
      </c>
      <c r="M18" s="502">
        <f>+M20/M11*1000</f>
        <v/>
      </c>
      <c r="N18" s="502">
        <f>+N20/N11*1000</f>
        <v/>
      </c>
      <c r="O18" s="502">
        <f>+O20/O11*1000</f>
        <v/>
      </c>
      <c r="P18" s="502">
        <f>+P20/P11*1000</f>
        <v/>
      </c>
      <c r="Q18" s="502">
        <f>+Q20/Q11*1000</f>
        <v/>
      </c>
      <c r="R18" s="502">
        <f>+R20/R11*1000</f>
        <v/>
      </c>
      <c r="S18" s="502">
        <f>+S20/S11*1000</f>
        <v/>
      </c>
      <c r="T18" s="502">
        <f>+T20/T11*1000</f>
        <v/>
      </c>
      <c r="U18" s="502">
        <f>+U20/U11*1000</f>
        <v/>
      </c>
      <c r="V18" s="502">
        <f>+V20/V11*1000</f>
        <v/>
      </c>
      <c r="W18" s="502">
        <f>+W20/W11*1000</f>
        <v/>
      </c>
      <c r="X18" s="502">
        <f>+X20/X11*1000</f>
        <v/>
      </c>
      <c r="Y18" s="502">
        <f>+Y20/Y11*1000</f>
        <v/>
      </c>
      <c r="Z18" s="502">
        <f>+Z20/Z11*1000</f>
        <v/>
      </c>
      <c r="AA18" s="502">
        <f>+AA20/AA11*1000</f>
        <v/>
      </c>
      <c r="AB18" s="502">
        <f>+AB20/AB11*1000</f>
        <v/>
      </c>
      <c r="AC18" s="502">
        <f>+AC20/AC11*1000</f>
        <v/>
      </c>
      <c r="AD18" s="502">
        <f>+AD20/AD11*1000</f>
        <v/>
      </c>
      <c r="AE18" s="502">
        <f>+AE20/AE11*1000</f>
        <v/>
      </c>
      <c r="AF18" s="502">
        <f>+AF20/AF11*1000</f>
        <v/>
      </c>
      <c r="AG18" s="502">
        <f>+AG20/AG11*1000</f>
        <v/>
      </c>
      <c r="AH18" s="502">
        <f>+AH20/AH11*1000</f>
        <v/>
      </c>
      <c r="AI18" s="502">
        <f>+AI20/AI11*1000</f>
        <v/>
      </c>
      <c r="AJ18" s="502">
        <f>+AJ20/AJ11*1000</f>
        <v/>
      </c>
      <c r="AK18" s="502">
        <f>+AK20/AK11*1000</f>
        <v/>
      </c>
      <c r="AL18" s="502">
        <f>+AL20/AL11*1000</f>
        <v/>
      </c>
      <c r="AM18" s="502">
        <f>+AM20/AM11*1000</f>
        <v/>
      </c>
      <c r="AN18" s="502">
        <f>+AN20/AN11*1000</f>
        <v/>
      </c>
      <c r="AO18" s="502">
        <f>+AO20/AO11*1000</f>
        <v/>
      </c>
      <c r="AP18" s="502">
        <f>+AP20/AP11*1000</f>
        <v/>
      </c>
      <c r="AQ18" s="502">
        <f>+AQ20/AQ11*1000</f>
        <v/>
      </c>
      <c r="AR18" s="502">
        <f>+AR20/AR11*1000</f>
        <v/>
      </c>
      <c r="AS18" s="502">
        <f>+AS20/AS11*1000</f>
        <v/>
      </c>
      <c r="AT18" s="502">
        <f>+AT20/AT11*1000</f>
        <v/>
      </c>
      <c r="AU18" s="288" t="n"/>
      <c r="AX18" s="992" t="n"/>
      <c r="AY18" s="991" t="n"/>
      <c r="BB18" s="992" t="n"/>
      <c r="BD18" s="502" t="n"/>
      <c r="BE18" s="502" t="n"/>
      <c r="BF18" s="502" t="n"/>
      <c r="BH18" s="502">
        <f>+BH20/BH11*1000</f>
        <v/>
      </c>
      <c r="BI18" s="502">
        <f>+BI20/BI11*1000</f>
        <v/>
      </c>
      <c r="BJ18" s="502">
        <f>+BJ20/BJ11*1000</f>
        <v/>
      </c>
      <c r="BL18" s="502">
        <f>+BL20/BL11*1000</f>
        <v/>
      </c>
      <c r="BM18" s="502">
        <f>+BM20/BM11*1000</f>
        <v/>
      </c>
      <c r="BN18" s="502">
        <f>+BN20/BN11*1000</f>
        <v/>
      </c>
      <c r="BP18" s="502">
        <f>+BP20/BP11*1000</f>
        <v/>
      </c>
      <c r="BQ18" s="502">
        <f>+BQ20/BQ11*1000</f>
        <v/>
      </c>
      <c r="BR18" s="502">
        <f>+BR20/BR11*1000</f>
        <v/>
      </c>
      <c r="BT18" s="502">
        <f>+BT20/BT11*1000</f>
        <v/>
      </c>
      <c r="BU18" s="502">
        <f>+BU20/BU11*1000</f>
        <v/>
      </c>
      <c r="BV18" s="502">
        <f>+BV20/BV11*1000</f>
        <v/>
      </c>
      <c r="BX18" s="502">
        <f>+BX20/BX11*1000</f>
        <v/>
      </c>
      <c r="BY18" s="502">
        <f>+BY20/BY11*1000</f>
        <v/>
      </c>
      <c r="BZ18" s="502">
        <f>+BZ20/BZ11*1000</f>
        <v/>
      </c>
      <c r="CB18" s="502">
        <f>+CB20/CB11*1000</f>
        <v/>
      </c>
      <c r="CC18" s="502">
        <f>+CC20/CC11*1000</f>
        <v/>
      </c>
      <c r="CD18" s="502">
        <f>+CD20/CD11*1000</f>
        <v/>
      </c>
      <c r="CE18" s="993" t="n"/>
      <c r="CF18" s="502">
        <f>+CF20/CF11*1000</f>
        <v/>
      </c>
      <c r="CG18" s="502">
        <f>+CG20/CG11*1000</f>
        <v/>
      </c>
      <c r="CH18" s="502">
        <f>+CH20/CH11*1000</f>
        <v/>
      </c>
      <c r="CI18" s="992" t="n"/>
      <c r="CJ18" s="502">
        <f>+CJ20/CJ11*1000</f>
        <v/>
      </c>
      <c r="CK18" s="502">
        <f>+CK20/CK11*1000</f>
        <v/>
      </c>
      <c r="CL18" s="502">
        <f>+CL20/CL11*1000</f>
        <v/>
      </c>
      <c r="CM18" s="992" t="n"/>
      <c r="CN18" s="502">
        <f>+CN20/CN11*1000</f>
        <v/>
      </c>
      <c r="CO18" s="502">
        <f>+CO20/CO11*1000</f>
        <v/>
      </c>
      <c r="CP18" s="502">
        <f>+CP20/CP11*1000</f>
        <v/>
      </c>
      <c r="CQ18" s="993" t="n"/>
      <c r="CR18" s="502">
        <f>+CR20/CR11*1000</f>
        <v/>
      </c>
      <c r="CS18" s="502">
        <f>+CS20/CS11*1000</f>
        <v/>
      </c>
      <c r="CT18" s="502">
        <f>+CT20/CT11*1000</f>
        <v/>
      </c>
      <c r="CU18" s="502">
        <f>+CU20/CU11*1000</f>
        <v/>
      </c>
      <c r="CV18" s="993" t="n"/>
      <c r="CW18" s="502">
        <f>+CW20/CW11*1000</f>
        <v/>
      </c>
      <c r="CX18" s="502">
        <f>+CX20/CX11*1000</f>
        <v/>
      </c>
      <c r="CY18" s="502">
        <f>+CY20/CY11*1000</f>
        <v/>
      </c>
      <c r="CZ18" s="993" t="n"/>
      <c r="DA18" s="502">
        <f>+DA20/DA11*1000</f>
        <v/>
      </c>
      <c r="DB18" s="502">
        <f>+DB20/DB11*1000</f>
        <v/>
      </c>
      <c r="DC18" s="502">
        <f>+DC20/DC11*1000</f>
        <v/>
      </c>
      <c r="DD18" s="993" t="n"/>
      <c r="DE18" s="502">
        <f>+DE20/DE11*1000</f>
        <v/>
      </c>
      <c r="DF18" s="502">
        <f>+DF20/DF11*1000</f>
        <v/>
      </c>
      <c r="DG18" s="502">
        <f>+DG20/DG11*1000</f>
        <v/>
      </c>
      <c r="DH18" s="290" t="n"/>
      <c r="DI18" s="502">
        <f>+DI20/DI11*1000</f>
        <v/>
      </c>
      <c r="DJ18" s="502">
        <f>+DJ20/DJ11*1000</f>
        <v/>
      </c>
      <c r="DK18" s="502">
        <f>+DK20/DK11*1000</f>
        <v/>
      </c>
      <c r="DL18" s="993" t="n"/>
      <c r="DM18" s="502">
        <f>+DM20/DM11*1000</f>
        <v/>
      </c>
      <c r="DN18" s="502">
        <f>+DN20/DN11*1000</f>
        <v/>
      </c>
      <c r="DO18" s="502">
        <f>+DO20/DO11*1000</f>
        <v/>
      </c>
      <c r="DP18" s="290" t="n"/>
      <c r="DQ18" s="502">
        <f>+DQ20/DQ11*1000</f>
        <v/>
      </c>
      <c r="DR18" s="502">
        <f>+DR20/DR11*1000</f>
        <v/>
      </c>
      <c r="DS18" s="502">
        <f>+DS20/DS11*1000</f>
        <v/>
      </c>
      <c r="DT18" s="989" t="n"/>
      <c r="DU18" s="502">
        <f>+DU20/DU11*1000</f>
        <v/>
      </c>
      <c r="DV18" s="502">
        <f>+DV20/DV11*1000</f>
        <v/>
      </c>
      <c r="DW18" s="502">
        <f>+DW20/DW11*1000</f>
        <v/>
      </c>
      <c r="DX18" s="989" t="n"/>
      <c r="DY18" s="502">
        <f>+DY20/DY11*1000</f>
        <v/>
      </c>
      <c r="DZ18" s="502">
        <f>+DZ20/DZ11*1000</f>
        <v/>
      </c>
      <c r="EA18" s="502">
        <f>+EA20/EA11*1000</f>
        <v/>
      </c>
      <c r="EC18" s="502">
        <f>+EC20/EC11*1000</f>
        <v/>
      </c>
      <c r="ED18" s="502">
        <f>+ED20/ED11*1000</f>
        <v/>
      </c>
      <c r="EE18" s="502">
        <f>+EE20/EE11*1000</f>
        <v/>
      </c>
      <c r="EF18" s="989" t="n"/>
      <c r="EG18" s="502">
        <f>+EG20/EG11*1000</f>
        <v/>
      </c>
      <c r="EH18" s="502">
        <f>+EH20/EH11*1000</f>
        <v/>
      </c>
      <c r="EI18" s="502">
        <f>+EI20/EI11*1000</f>
        <v/>
      </c>
      <c r="EJ18" s="989" t="n"/>
      <c r="EK18" s="502">
        <f>+EK20/EK11*1000</f>
        <v/>
      </c>
      <c r="EL18" s="502">
        <f>+EL20/EL11*1000</f>
        <v/>
      </c>
      <c r="EM18" s="502">
        <f>+EM20/EM11*1000</f>
        <v/>
      </c>
      <c r="EN18" s="989" t="n"/>
      <c r="EO18" s="502">
        <f>+EO20/EO11*1000</f>
        <v/>
      </c>
      <c r="EP18" s="502">
        <f>+EP20/EP11*1000</f>
        <v/>
      </c>
      <c r="EQ18" s="502">
        <f>+EQ20/EQ11*1000</f>
        <v/>
      </c>
      <c r="ER18" s="989" t="n"/>
      <c r="ES18" s="502">
        <f>+ES20/ES11*1000</f>
        <v/>
      </c>
      <c r="ET18" s="502">
        <f>+ET20/ET11*1000</f>
        <v/>
      </c>
      <c r="EU18" s="502">
        <f>+EU20/EU11*1000</f>
        <v/>
      </c>
      <c r="EV18" s="989" t="n"/>
      <c r="EW18" s="502">
        <f>+EW20/EW11*1000</f>
        <v/>
      </c>
      <c r="EX18" s="502">
        <f>+EX20/EX11*1000</f>
        <v/>
      </c>
      <c r="EY18" s="502">
        <f>+EY20/EY11*1000</f>
        <v/>
      </c>
      <c r="FA18" s="502">
        <f>+FA20/FA11*1000</f>
        <v/>
      </c>
      <c r="FB18" s="502">
        <f>+FB20/FB11*1000</f>
        <v/>
      </c>
      <c r="FC18" s="502">
        <f>+FC20/FC11*1000</f>
        <v/>
      </c>
      <c r="FE18" s="502">
        <f>+FE20/FE11*1000</f>
        <v/>
      </c>
      <c r="FF18" s="502">
        <f>+FF20/FF11*1000</f>
        <v/>
      </c>
      <c r="FG18" s="502">
        <f>+FG20/FG11*1000</f>
        <v/>
      </c>
      <c r="FI18" s="502">
        <f>+FI20/FI11*1000</f>
        <v/>
      </c>
      <c r="FJ18" s="502">
        <f>+FJ20/FJ11*1000</f>
        <v/>
      </c>
      <c r="FK18" s="502">
        <f>+FK20/FK11*1000</f>
        <v/>
      </c>
      <c r="FM18" s="502">
        <f>+FM20/FM11*1000</f>
        <v/>
      </c>
      <c r="FN18" s="502">
        <f>+FN20/FN11*1000</f>
        <v/>
      </c>
      <c r="FO18" s="502">
        <f>+FO20/FO11*1000</f>
        <v/>
      </c>
    </row>
    <row r="19" ht="14.25" customFormat="1" customHeight="1" s="986">
      <c r="A19" s="987" t="n"/>
      <c r="B19" s="996" t="inlineStr">
        <is>
          <t>YoY change in average airfare ticket price</t>
        </is>
      </c>
      <c r="D19" s="986">
        <f>D18/C18-1</f>
        <v/>
      </c>
      <c r="E19" s="986">
        <f>E18/D18-1</f>
        <v/>
      </c>
      <c r="F19" s="986">
        <f>F18/E18-1</f>
        <v/>
      </c>
      <c r="G19" s="986">
        <f>G18/F18-1</f>
        <v/>
      </c>
      <c r="H19" s="986">
        <f>H18/G18-1</f>
        <v/>
      </c>
      <c r="I19" s="986">
        <f>I18/H18-1</f>
        <v/>
      </c>
      <c r="J19" s="986">
        <f>J18/I18-1</f>
        <v/>
      </c>
      <c r="K19" s="986">
        <f>K18/J18-1</f>
        <v/>
      </c>
      <c r="L19" s="986">
        <f>L18/K18-1</f>
        <v/>
      </c>
      <c r="M19" s="986">
        <f>M18/L18-1</f>
        <v/>
      </c>
      <c r="N19" s="986">
        <f>N18/M18-1</f>
        <v/>
      </c>
      <c r="O19" s="986">
        <f>O18/N18-1</f>
        <v/>
      </c>
      <c r="P19" s="986">
        <f>P18/O18-1</f>
        <v/>
      </c>
      <c r="Q19" s="986">
        <f>Q18/P18-1</f>
        <v/>
      </c>
      <c r="R19" s="986">
        <f>R18/Q18-1</f>
        <v/>
      </c>
      <c r="S19" s="986">
        <f>S18/R18-1</f>
        <v/>
      </c>
      <c r="T19" s="986">
        <f>T18/S18-1</f>
        <v/>
      </c>
      <c r="U19" s="986">
        <f>U18/T18-1</f>
        <v/>
      </c>
      <c r="V19" s="986">
        <f>V18/U18-1</f>
        <v/>
      </c>
      <c r="W19" s="986">
        <f>W18/V18-1</f>
        <v/>
      </c>
      <c r="X19" s="986">
        <f>X18/W18-1</f>
        <v/>
      </c>
      <c r="Y19" s="986">
        <f>Y18/X18-1</f>
        <v/>
      </c>
      <c r="Z19" s="986">
        <f>Z18/Y18-1</f>
        <v/>
      </c>
      <c r="AA19" s="986">
        <f>AA18/Z18-1</f>
        <v/>
      </c>
      <c r="AB19" s="986">
        <f>AB18/AA18-1</f>
        <v/>
      </c>
      <c r="AC19" s="986">
        <f>AC18/AB18-1</f>
        <v/>
      </c>
      <c r="AD19" s="986">
        <f>AD18/AC18-1</f>
        <v/>
      </c>
      <c r="AE19" s="986">
        <f>AE18/AD18-1</f>
        <v/>
      </c>
      <c r="AF19" s="986">
        <f>AF18/AE18-1</f>
        <v/>
      </c>
      <c r="AG19" s="986">
        <f>AG18/AF18-1</f>
        <v/>
      </c>
      <c r="AH19" s="986">
        <f>AH18/AG18-1</f>
        <v/>
      </c>
      <c r="AI19" s="986">
        <f>AI18/AH18-1</f>
        <v/>
      </c>
      <c r="AJ19" s="986">
        <f>AJ18/AI18-1</f>
        <v/>
      </c>
      <c r="AK19" s="986">
        <f>AK18/AJ18-1</f>
        <v/>
      </c>
      <c r="AL19" s="986">
        <f>AL18/AK18-1</f>
        <v/>
      </c>
      <c r="AM19" s="986">
        <f>AM18/AL18-1</f>
        <v/>
      </c>
      <c r="AN19" s="986">
        <f>AN18/AM18-1</f>
        <v/>
      </c>
      <c r="AO19" s="986">
        <f>AO18/AN18-1</f>
        <v/>
      </c>
      <c r="AP19" s="986">
        <f>AP18/AO18-1</f>
        <v/>
      </c>
      <c r="AQ19" s="986">
        <f>AQ18/AP18-1</f>
        <v/>
      </c>
      <c r="AR19" s="986">
        <f>AR18/AQ18-1</f>
        <v/>
      </c>
      <c r="AS19" s="986">
        <f>AS18/AR18-1</f>
        <v/>
      </c>
      <c r="AT19" s="986">
        <f>AT18/AS18-1</f>
        <v/>
      </c>
      <c r="AU19" s="288" t="n"/>
      <c r="AX19" s="992" t="n"/>
      <c r="AY19" s="991" t="n"/>
      <c r="BB19" s="992" t="n"/>
      <c r="BL19" s="986">
        <f>BL18/BH18-1</f>
        <v/>
      </c>
      <c r="BM19" s="986">
        <f>BM18/BI18-1</f>
        <v/>
      </c>
      <c r="BN19" s="986">
        <f>BN18/BJ18-1</f>
        <v/>
      </c>
      <c r="BP19" s="986">
        <f>BP18/BL18-1</f>
        <v/>
      </c>
      <c r="BQ19" s="986">
        <f>BQ18/BM18-1</f>
        <v/>
      </c>
      <c r="BR19" s="986">
        <f>BR18/BN18-1</f>
        <v/>
      </c>
      <c r="BT19" s="986">
        <f>BT18/BP18-1</f>
        <v/>
      </c>
      <c r="BU19" s="986">
        <f>BU18/BQ18-1</f>
        <v/>
      </c>
      <c r="BV19" s="986">
        <f>BV18/BR18-1</f>
        <v/>
      </c>
      <c r="BX19" s="986">
        <f>BX18/BT18-1</f>
        <v/>
      </c>
      <c r="BY19" s="986">
        <f>BY18/BU18-1</f>
        <v/>
      </c>
      <c r="BZ19" s="986">
        <f>BZ18/BV18-1</f>
        <v/>
      </c>
      <c r="CB19" s="986">
        <f>CB18/BX18-1</f>
        <v/>
      </c>
      <c r="CC19" s="986">
        <f>CC18/BY18-1</f>
        <v/>
      </c>
      <c r="CD19" s="986">
        <f>CD18/BZ18-1</f>
        <v/>
      </c>
      <c r="CE19" s="993" t="n"/>
      <c r="CF19" s="986">
        <f>CF18/CB18-1</f>
        <v/>
      </c>
      <c r="CG19" s="986">
        <f>CG18/CC18-1</f>
        <v/>
      </c>
      <c r="CH19" s="986">
        <f>CH18/CD18-1</f>
        <v/>
      </c>
      <c r="CI19" s="992" t="n"/>
      <c r="CJ19" s="986">
        <f>CJ18/CF18-1</f>
        <v/>
      </c>
      <c r="CK19" s="986">
        <f>CK18/CG18-1</f>
        <v/>
      </c>
      <c r="CL19" s="986">
        <f>CL18/CH18-1</f>
        <v/>
      </c>
      <c r="CM19" s="992" t="n"/>
      <c r="CN19" s="986">
        <f>CN18/CJ18-1</f>
        <v/>
      </c>
      <c r="CO19" s="986">
        <f>CO18/CK18-1</f>
        <v/>
      </c>
      <c r="CP19" s="986">
        <f>CP18/CL18-1</f>
        <v/>
      </c>
      <c r="CQ19" s="993" t="n"/>
      <c r="CR19" s="986">
        <f>CR18/CN18-1</f>
        <v/>
      </c>
      <c r="CS19" s="986">
        <f>CS18/CN18-1</f>
        <v/>
      </c>
      <c r="CT19" s="986">
        <f>CT18/CO18-1</f>
        <v/>
      </c>
      <c r="CU19" s="986">
        <f>CU18/CP18-1</f>
        <v/>
      </c>
      <c r="CV19" s="993" t="n"/>
      <c r="CW19" s="986">
        <f>CW18/CS18-1</f>
        <v/>
      </c>
      <c r="CX19" s="986">
        <f>CX18/CT18-1</f>
        <v/>
      </c>
      <c r="CY19" s="986">
        <f>CY18/CU18-1</f>
        <v/>
      </c>
      <c r="CZ19" s="993" t="n"/>
      <c r="DA19" s="986">
        <f>DA18/CW18-1</f>
        <v/>
      </c>
      <c r="DB19" s="986">
        <f>DB18/CX18-1</f>
        <v/>
      </c>
      <c r="DC19" s="986">
        <f>DC18/CY18-1</f>
        <v/>
      </c>
      <c r="DD19" s="993" t="n"/>
      <c r="DE19" s="986">
        <f>DE18/DA18-1</f>
        <v/>
      </c>
      <c r="DF19" s="986">
        <f>DF18/DB18-1</f>
        <v/>
      </c>
      <c r="DG19" s="986">
        <f>DG18/DC18-1</f>
        <v/>
      </c>
      <c r="DH19" s="290" t="n"/>
      <c r="DI19" s="986">
        <f>DI18/DE18-1</f>
        <v/>
      </c>
      <c r="DJ19" s="986">
        <f>DJ18/DF18-1</f>
        <v/>
      </c>
      <c r="DK19" s="986">
        <f>DK18/DG18-1</f>
        <v/>
      </c>
      <c r="DL19" s="993" t="n"/>
      <c r="DM19" s="986">
        <f>DM18/DI18-1</f>
        <v/>
      </c>
      <c r="DN19" s="986">
        <f>DN18/DJ18-1</f>
        <v/>
      </c>
      <c r="DO19" s="986">
        <f>DO18/DK18-1</f>
        <v/>
      </c>
      <c r="DP19" s="290" t="n"/>
      <c r="DQ19" s="986">
        <f>DQ18/DM18-1</f>
        <v/>
      </c>
      <c r="DR19" s="986">
        <f>DR18/DN18-1</f>
        <v/>
      </c>
      <c r="DS19" s="986">
        <f>DS18/DO18-1</f>
        <v/>
      </c>
      <c r="DT19" s="989" t="n"/>
      <c r="DU19" s="986">
        <f>DU18/DQ18-1</f>
        <v/>
      </c>
      <c r="DV19" s="986">
        <f>DV18/DR18-1</f>
        <v/>
      </c>
      <c r="DW19" s="986">
        <f>DW18/DS18-1</f>
        <v/>
      </c>
      <c r="DX19" s="989" t="n"/>
      <c r="DY19" s="986">
        <f>DY18/DU18-1</f>
        <v/>
      </c>
      <c r="DZ19" s="986">
        <f>DZ18/DV18-1</f>
        <v/>
      </c>
      <c r="EA19" s="986">
        <f>EA18/DW18-1</f>
        <v/>
      </c>
      <c r="EC19" s="986">
        <f>EC18/DY18-1</f>
        <v/>
      </c>
      <c r="ED19" s="986">
        <f>ED18/DZ18-1</f>
        <v/>
      </c>
      <c r="EE19" s="986">
        <f>EE18/EA18-1</f>
        <v/>
      </c>
      <c r="EF19" s="989" t="n"/>
      <c r="EG19" s="986">
        <f>EG18/EC18-1</f>
        <v/>
      </c>
      <c r="EH19" s="986">
        <f>EH18/ED18-1</f>
        <v/>
      </c>
      <c r="EI19" s="986">
        <f>EI18/EE18-1</f>
        <v/>
      </c>
      <c r="EJ19" s="989" t="n"/>
      <c r="EK19" s="986">
        <f>EK18/EG18-1</f>
        <v/>
      </c>
      <c r="EL19" s="986">
        <f>EL18/EH18-1</f>
        <v/>
      </c>
      <c r="EM19" s="986">
        <f>EM18/EI18-1</f>
        <v/>
      </c>
      <c r="EN19" s="989" t="n"/>
      <c r="EO19" s="986">
        <f>EO18/EK18-1</f>
        <v/>
      </c>
      <c r="EP19" s="986">
        <f>EP18/EL18-1</f>
        <v/>
      </c>
      <c r="EQ19" s="986">
        <f>EQ18/EM18-1</f>
        <v/>
      </c>
      <c r="ER19" s="989" t="n"/>
      <c r="ES19" s="986">
        <f>ES18/EO18-1</f>
        <v/>
      </c>
      <c r="ET19" s="986">
        <f>ET18/EP18-1</f>
        <v/>
      </c>
      <c r="EU19" s="986">
        <f>EU18/EQ18-1</f>
        <v/>
      </c>
      <c r="EV19" s="989" t="n"/>
      <c r="EW19" s="986">
        <f>EW18/ES18-1</f>
        <v/>
      </c>
      <c r="EX19" s="986">
        <f>EX18/ET18-1</f>
        <v/>
      </c>
      <c r="EY19" s="986">
        <f>EY18/EU18-1</f>
        <v/>
      </c>
      <c r="FA19" s="986">
        <f>FA18/EW18-1</f>
        <v/>
      </c>
      <c r="FB19" s="986">
        <f>FB18/EX18-1</f>
        <v/>
      </c>
      <c r="FC19" s="986">
        <f>FC18/EY18-1</f>
        <v/>
      </c>
      <c r="FE19" s="986">
        <f>FE18/FA18-1</f>
        <v/>
      </c>
      <c r="FF19" s="986">
        <f>FF18/FB18-1</f>
        <v/>
      </c>
      <c r="FG19" s="986">
        <f>FG18/FC18-1</f>
        <v/>
      </c>
      <c r="FI19" s="986">
        <f>FI18/FE18-1</f>
        <v/>
      </c>
      <c r="FJ19" s="986">
        <f>FJ18/FF18-1</f>
        <v/>
      </c>
      <c r="FK19" s="986">
        <f>FK18/FG18-1</f>
        <v/>
      </c>
      <c r="FM19" s="986">
        <f>FM18/FI18-1</f>
        <v/>
      </c>
      <c r="FN19" s="986">
        <f>FN18/FJ18-1</f>
        <v/>
      </c>
      <c r="FO19" s="986">
        <f>FO18/FK18-1</f>
        <v/>
      </c>
    </row>
    <row r="20" ht="14.25" customFormat="1" customHeight="1" s="997">
      <c r="A20" s="987" t="n"/>
      <c r="B20" s="583" t="inlineStr">
        <is>
          <t>Overall Passenger Revenue</t>
        </is>
      </c>
      <c r="C20" s="602">
        <f>+C35+C50</f>
        <v/>
      </c>
      <c r="D20" s="602">
        <f>+D35+D50</f>
        <v/>
      </c>
      <c r="E20" s="602">
        <f>+E35+E50</f>
        <v/>
      </c>
      <c r="F20" s="602">
        <f>+F35+F50</f>
        <v/>
      </c>
      <c r="G20" s="602">
        <f>+G35+G50</f>
        <v/>
      </c>
      <c r="H20" s="602">
        <f>+H35+H50</f>
        <v/>
      </c>
      <c r="I20" s="602">
        <f>+I35+I50</f>
        <v/>
      </c>
      <c r="J20" s="602">
        <f>+J35+J50</f>
        <v/>
      </c>
      <c r="K20" s="602">
        <f>+K35+K50</f>
        <v/>
      </c>
      <c r="L20" s="602">
        <f>+L35+L50</f>
        <v/>
      </c>
      <c r="M20" s="602">
        <f>+M35+M50</f>
        <v/>
      </c>
      <c r="N20" s="602">
        <f>+N35+N50</f>
        <v/>
      </c>
      <c r="O20" s="602">
        <f>+O35+O50</f>
        <v/>
      </c>
      <c r="P20" s="602">
        <f>+P35+P50</f>
        <v/>
      </c>
      <c r="Q20" s="602">
        <f>+Q35+Q50</f>
        <v/>
      </c>
      <c r="R20" s="602">
        <f>+R35+R50</f>
        <v/>
      </c>
      <c r="S20" s="602">
        <f>+S35+S50</f>
        <v/>
      </c>
      <c r="T20" s="602">
        <f>+T35+T50</f>
        <v/>
      </c>
      <c r="U20" s="602">
        <f>+U35+U50</f>
        <v/>
      </c>
      <c r="V20" s="602">
        <f>+V35+V50</f>
        <v/>
      </c>
      <c r="W20" s="602">
        <f>+W35+W50</f>
        <v/>
      </c>
      <c r="X20" s="602">
        <f>+X35+X50</f>
        <v/>
      </c>
      <c r="Y20" s="602">
        <f>+Y35+Y50</f>
        <v/>
      </c>
      <c r="Z20" s="602">
        <f>+Z35+Z50</f>
        <v/>
      </c>
      <c r="AA20" s="602">
        <f>+AA35+AA50</f>
        <v/>
      </c>
      <c r="AB20" s="602">
        <f>+AB35+AB50</f>
        <v/>
      </c>
      <c r="AC20" s="602">
        <f>+AC35+AC50</f>
        <v/>
      </c>
      <c r="AD20" s="602">
        <f>+AD35+AD50</f>
        <v/>
      </c>
      <c r="AE20" s="602">
        <f>+AE35+AE50</f>
        <v/>
      </c>
      <c r="AF20" s="602">
        <f>+AF35+AF50</f>
        <v/>
      </c>
      <c r="AG20" s="602">
        <f>+AG35+AG50</f>
        <v/>
      </c>
      <c r="AH20" s="602">
        <f>+AH35+AH50</f>
        <v/>
      </c>
      <c r="AI20" s="602">
        <f>+AI35+AI50</f>
        <v/>
      </c>
      <c r="AJ20" s="602">
        <f>+AJ35+AJ50</f>
        <v/>
      </c>
      <c r="AK20" s="602">
        <f>+AK35+AK50</f>
        <v/>
      </c>
      <c r="AL20" s="602">
        <f>+AL35+AL50</f>
        <v/>
      </c>
      <c r="AM20" s="602">
        <f>+AM35+AM50</f>
        <v/>
      </c>
      <c r="AN20" s="602">
        <f>+AN35+AN50</f>
        <v/>
      </c>
      <c r="AO20" s="602">
        <f>+AO35+AO50</f>
        <v/>
      </c>
      <c r="AP20" s="602">
        <f>+AP35+AP50</f>
        <v/>
      </c>
      <c r="AQ20" s="602">
        <f>+AQ35+AQ50</f>
        <v/>
      </c>
      <c r="AR20" s="602">
        <f>+AR35+AR50</f>
        <v/>
      </c>
      <c r="AS20" s="602">
        <f>+AS35+AS50</f>
        <v/>
      </c>
      <c r="AT20" s="602">
        <f>+AT35+AT50</f>
        <v/>
      </c>
      <c r="AU20" s="623" t="n"/>
      <c r="AV20" s="602" t="n"/>
      <c r="AW20" s="602" t="n"/>
      <c r="AX20" s="998" t="n"/>
      <c r="AY20" s="999" t="n"/>
      <c r="AZ20" s="602" t="n"/>
      <c r="BA20" s="602" t="n"/>
      <c r="BB20" s="998" t="n"/>
      <c r="BD20" s="602">
        <f>+BD35+BD50</f>
        <v/>
      </c>
      <c r="BE20" s="602">
        <f>+BE35+BE50</f>
        <v/>
      </c>
      <c r="BF20" s="602">
        <f>+BF35+BF50</f>
        <v/>
      </c>
      <c r="BH20" s="602">
        <f>+BH35+BH50</f>
        <v/>
      </c>
      <c r="BI20" s="602">
        <f>+BI35+BI50</f>
        <v/>
      </c>
      <c r="BJ20" s="602">
        <f>+BJ35+BJ50</f>
        <v/>
      </c>
      <c r="BL20" s="602">
        <f>+BL35+BL50</f>
        <v/>
      </c>
      <c r="BM20" s="602">
        <f>+BM35+BM50</f>
        <v/>
      </c>
      <c r="BN20" s="602">
        <f>+BN35+BN50</f>
        <v/>
      </c>
      <c r="BP20" s="602">
        <f>+BP35+BP50</f>
        <v/>
      </c>
      <c r="BQ20" s="602">
        <f>+BQ35+BQ50</f>
        <v/>
      </c>
      <c r="BR20" s="602">
        <f>+BR35+BR50</f>
        <v/>
      </c>
      <c r="BT20" s="602">
        <f>+BT35+BT50</f>
        <v/>
      </c>
      <c r="BU20" s="602">
        <f>+BU35+BU50</f>
        <v/>
      </c>
      <c r="BV20" s="602">
        <f>+BV35+BV50</f>
        <v/>
      </c>
      <c r="BX20" s="602">
        <f>+BX35+BX50</f>
        <v/>
      </c>
      <c r="BY20" s="602">
        <f>+BY35+BY50</f>
        <v/>
      </c>
      <c r="BZ20" s="602">
        <f>+BZ35+BZ50</f>
        <v/>
      </c>
      <c r="CB20" s="602">
        <f>+CB35+CB50</f>
        <v/>
      </c>
      <c r="CC20" s="602">
        <f>+CC35+CC50</f>
        <v/>
      </c>
      <c r="CD20" s="602">
        <f>+CD35+CD50</f>
        <v/>
      </c>
      <c r="CE20" s="1000" t="n"/>
      <c r="CF20" s="602">
        <f>+CF35+CF50</f>
        <v/>
      </c>
      <c r="CG20" s="602">
        <f>+CG35+CG50</f>
        <v/>
      </c>
      <c r="CH20" s="602">
        <f>+CH35+CH50</f>
        <v/>
      </c>
      <c r="CI20" s="998" t="n"/>
      <c r="CJ20" s="602">
        <f>+CJ35+CJ50</f>
        <v/>
      </c>
      <c r="CK20" s="602">
        <f>+CK35+CK50</f>
        <v/>
      </c>
      <c r="CL20" s="602">
        <f>+CL35+CL50</f>
        <v/>
      </c>
      <c r="CM20" s="998" t="n"/>
      <c r="CN20" s="602">
        <f>+CN35+CN50</f>
        <v/>
      </c>
      <c r="CO20" s="602">
        <f>+CO35+CO50</f>
        <v/>
      </c>
      <c r="CP20" s="602">
        <f>+CP35+CP50</f>
        <v/>
      </c>
      <c r="CQ20" s="1000" t="n"/>
      <c r="CR20" s="602">
        <f>+CR35+CR50</f>
        <v/>
      </c>
      <c r="CS20" s="602">
        <f>+CS35+CS50</f>
        <v/>
      </c>
      <c r="CT20" s="602">
        <f>+CT35+CT50</f>
        <v/>
      </c>
      <c r="CU20" s="602">
        <f>+CU35+CU50</f>
        <v/>
      </c>
      <c r="CV20" s="1000" t="n"/>
      <c r="CW20" s="602">
        <f>+CW35+CW50</f>
        <v/>
      </c>
      <c r="CX20" s="602">
        <f>+CX35+CX50</f>
        <v/>
      </c>
      <c r="CY20" s="602">
        <f>+CY35+CY50</f>
        <v/>
      </c>
      <c r="CZ20" s="1000" t="n"/>
      <c r="DA20" s="602">
        <f>+DA35+DA50</f>
        <v/>
      </c>
      <c r="DB20" s="602">
        <f>+DB35+DB50</f>
        <v/>
      </c>
      <c r="DC20" s="602">
        <f>+DC35+DC50</f>
        <v/>
      </c>
      <c r="DD20" s="1000" t="n"/>
      <c r="DE20" s="602">
        <f>+DE35+DE50</f>
        <v/>
      </c>
      <c r="DF20" s="602">
        <f>+DF35+DF50</f>
        <v/>
      </c>
      <c r="DG20" s="602">
        <f>+DG35+DG50</f>
        <v/>
      </c>
      <c r="DH20" s="609" t="n"/>
      <c r="DI20" s="602">
        <f>+DI35+DI50</f>
        <v/>
      </c>
      <c r="DJ20" s="602">
        <f>+DJ35+DJ50</f>
        <v/>
      </c>
      <c r="DK20" s="602">
        <f>+DK35+DK50</f>
        <v/>
      </c>
      <c r="DL20" s="1000" t="n"/>
      <c r="DM20" s="602">
        <f>+DM35+DM50</f>
        <v/>
      </c>
      <c r="DN20" s="602">
        <f>+DN35+DN50</f>
        <v/>
      </c>
      <c r="DO20" s="602">
        <f>+DO35+DO50</f>
        <v/>
      </c>
      <c r="DP20" s="609" t="n"/>
      <c r="DQ20" s="602">
        <f>+DQ35+DQ50</f>
        <v/>
      </c>
      <c r="DR20" s="602">
        <f>+DR35+DR50</f>
        <v/>
      </c>
      <c r="DS20" s="602">
        <f>+DS35+DS50</f>
        <v/>
      </c>
      <c r="DT20" s="1001" t="n"/>
      <c r="DU20" s="602">
        <f>+DU35+DU50</f>
        <v/>
      </c>
      <c r="DV20" s="602">
        <f>+DV35+DV50</f>
        <v/>
      </c>
      <c r="DW20" s="602">
        <f>+DW35+DW50</f>
        <v/>
      </c>
      <c r="DX20" s="1001" t="n"/>
      <c r="DY20" s="602">
        <f>+DY35+DY50</f>
        <v/>
      </c>
      <c r="DZ20" s="602">
        <f>+DZ35+DZ50</f>
        <v/>
      </c>
      <c r="EA20" s="602">
        <f>+EA35+EA50</f>
        <v/>
      </c>
      <c r="EC20" s="602">
        <f>+EC35+EC50</f>
        <v/>
      </c>
      <c r="ED20" s="602">
        <f>+ED35+ED50</f>
        <v/>
      </c>
      <c r="EE20" s="602">
        <f>+EE35+EE50</f>
        <v/>
      </c>
      <c r="EF20" s="1001" t="n"/>
      <c r="EG20" s="602">
        <f>+EG35+EG50</f>
        <v/>
      </c>
      <c r="EH20" s="602">
        <f>+EH35+EH50</f>
        <v/>
      </c>
      <c r="EI20" s="602">
        <f>+EI35+EI50</f>
        <v/>
      </c>
      <c r="EJ20" s="1001" t="n"/>
      <c r="EK20" s="602">
        <f>+EK35+EK50</f>
        <v/>
      </c>
      <c r="EL20" s="602">
        <f>+EL35+EL50</f>
        <v/>
      </c>
      <c r="EM20" s="602">
        <f>+EM35+EM50</f>
        <v/>
      </c>
      <c r="EN20" s="1001" t="n"/>
      <c r="EO20" s="602">
        <f>+EO35+EO50</f>
        <v/>
      </c>
      <c r="EP20" s="602">
        <f>+EP35+EP50</f>
        <v/>
      </c>
      <c r="EQ20" s="602">
        <f>+EQ35+EQ50</f>
        <v/>
      </c>
      <c r="ER20" s="1001" t="n"/>
      <c r="ES20" s="602">
        <f>+ES35+ES50</f>
        <v/>
      </c>
      <c r="ET20" s="602">
        <f>+ET35+ET50</f>
        <v/>
      </c>
      <c r="EU20" s="602">
        <f>+EU35+EU50</f>
        <v/>
      </c>
      <c r="EV20" s="1001" t="n"/>
      <c r="EW20" s="602">
        <f>+EW35+EW50</f>
        <v/>
      </c>
      <c r="EX20" s="602">
        <f>+EX35+EX50</f>
        <v/>
      </c>
      <c r="EY20" s="602">
        <f>+EY35+EY50</f>
        <v/>
      </c>
      <c r="FA20" s="602">
        <f>+FA35+FA50</f>
        <v/>
      </c>
      <c r="FB20" s="602">
        <f>+FB35+FB50</f>
        <v/>
      </c>
      <c r="FC20" s="602">
        <f>+FC35+FC50</f>
        <v/>
      </c>
      <c r="FE20" s="602">
        <f>+FE35+FE50</f>
        <v/>
      </c>
      <c r="FF20" s="602">
        <f>+FF35+FF50</f>
        <v/>
      </c>
      <c r="FG20" s="602">
        <f>+FG35+FG50</f>
        <v/>
      </c>
      <c r="FI20" s="602">
        <f>+FI35+FI50</f>
        <v/>
      </c>
      <c r="FJ20" s="602">
        <f>+FJ35+FJ50</f>
        <v/>
      </c>
      <c r="FK20" s="602">
        <f>+FK35+FK50</f>
        <v/>
      </c>
      <c r="FM20" s="602">
        <f>+FM35+FM50</f>
        <v/>
      </c>
      <c r="FN20" s="602">
        <f>+FN35+FN50</f>
        <v/>
      </c>
      <c r="FO20" s="602">
        <f>+FO35+FO50</f>
        <v/>
      </c>
    </row>
    <row r="21" ht="14.25" customFormat="1" customHeight="1" s="986">
      <c r="A21" s="987" t="n"/>
      <c r="B21" s="988" t="n"/>
      <c r="K21" s="989" t="n"/>
      <c r="L21" s="989" t="n"/>
      <c r="M21" s="989" t="n"/>
      <c r="N21" s="989" t="n"/>
      <c r="O21" s="989" t="n"/>
      <c r="P21" s="989" t="n"/>
      <c r="Q21" s="989" t="n"/>
      <c r="R21" s="989" t="n"/>
      <c r="S21" s="990" t="n"/>
      <c r="T21" s="989" t="n"/>
      <c r="U21" s="989" t="n"/>
      <c r="V21" s="989" t="n"/>
      <c r="W21" s="989" t="n"/>
      <c r="X21" s="989" t="n"/>
      <c r="Y21" s="989" t="n"/>
      <c r="Z21" s="989" t="n"/>
      <c r="AA21" s="989" t="n"/>
      <c r="AB21" s="502" t="n"/>
      <c r="AC21" s="502" t="n"/>
      <c r="AD21" s="502" t="n"/>
      <c r="AE21" s="502" t="n"/>
      <c r="AF21" s="502" t="n"/>
      <c r="AG21" s="502" t="n"/>
      <c r="AH21" s="502" t="n"/>
      <c r="AI21" s="502" t="n"/>
      <c r="AJ21" s="502" t="n"/>
      <c r="AK21" s="502" t="n"/>
      <c r="AL21" s="502" t="n"/>
      <c r="AM21" s="502" t="n"/>
      <c r="AN21" s="502" t="n"/>
      <c r="AO21" s="502" t="n"/>
      <c r="AP21" s="986" t="n"/>
      <c r="AQ21" s="986" t="n"/>
      <c r="AR21" s="986" t="n"/>
      <c r="AS21" s="986" t="n"/>
      <c r="AT21" s="986" t="n"/>
      <c r="AU21" s="288" t="n"/>
      <c r="AV21" s="991" t="n"/>
      <c r="AW21" s="991" t="n"/>
      <c r="AX21" s="992" t="n"/>
      <c r="AY21" s="991" t="n"/>
      <c r="AZ21" s="991" t="n"/>
      <c r="BA21" s="991" t="n"/>
      <c r="BB21" s="992" t="n"/>
      <c r="BD21" s="991" t="n"/>
      <c r="BE21" s="991" t="n"/>
      <c r="BF21" s="992" t="n"/>
      <c r="BH21" s="991" t="n"/>
      <c r="BI21" s="991" t="n"/>
      <c r="BJ21" s="992" t="n"/>
      <c r="BL21" s="991" t="n"/>
      <c r="BM21" s="991" t="n"/>
      <c r="BN21" s="992" t="n"/>
      <c r="BP21" s="991" t="n"/>
      <c r="BQ21" s="993" t="n"/>
      <c r="BR21" s="992" t="n"/>
      <c r="BT21" s="993" t="n"/>
      <c r="BU21" s="991" t="n"/>
      <c r="BV21" s="992" t="n"/>
      <c r="BX21" s="993" t="n"/>
      <c r="BY21" s="991" t="n"/>
      <c r="BZ21" s="992" t="n"/>
      <c r="CB21" s="993" t="n"/>
      <c r="CC21" s="991" t="n"/>
      <c r="CD21" s="992" t="n"/>
      <c r="CE21" s="993" t="n"/>
      <c r="CF21" s="993" t="n"/>
      <c r="CG21" s="993" t="n"/>
      <c r="CH21" s="992" t="n"/>
      <c r="CI21" s="992" t="n"/>
      <c r="CJ21" s="993" t="n"/>
      <c r="CK21" s="993" t="n"/>
      <c r="CL21" s="992" t="n"/>
      <c r="CM21" s="992" t="n"/>
      <c r="CN21" s="993" t="n"/>
      <c r="CO21" s="993" t="n"/>
      <c r="CP21" s="993" t="n"/>
      <c r="CQ21" s="993" t="n"/>
      <c r="CR21" s="993" t="n"/>
      <c r="CS21" s="993" t="n"/>
      <c r="CT21" s="993" t="n"/>
      <c r="CU21" s="993" t="n"/>
      <c r="CV21" s="993" t="n"/>
      <c r="CW21" s="993" t="n"/>
      <c r="CX21" s="993" t="n"/>
      <c r="CY21" s="993" t="n"/>
      <c r="CZ21" s="993" t="n"/>
      <c r="DA21" s="993" t="n"/>
      <c r="DB21" s="993" t="n"/>
      <c r="DC21" s="993" t="n"/>
      <c r="DD21" s="993" t="n"/>
      <c r="DE21" s="993" t="n"/>
      <c r="DF21" s="993" t="n"/>
      <c r="DG21" s="993" t="n"/>
      <c r="DH21" s="290" t="n"/>
      <c r="DI21" s="989" t="n"/>
      <c r="DJ21" s="993" t="n"/>
      <c r="DK21" s="993" t="n"/>
      <c r="DL21" s="993" t="n"/>
      <c r="DM21" s="989" t="n"/>
      <c r="DN21" s="989" t="n"/>
      <c r="DO21" s="989" t="n"/>
      <c r="DP21" s="290" t="n"/>
      <c r="DQ21" s="989" t="n"/>
      <c r="DR21" s="989" t="n"/>
      <c r="DS21" s="989" t="n"/>
      <c r="DT21" s="989" t="n"/>
      <c r="DU21" s="989" t="n"/>
      <c r="DV21" s="989" t="n"/>
      <c r="DW21" s="989" t="n"/>
      <c r="DX21" s="989" t="n"/>
      <c r="DY21" s="989" t="n"/>
      <c r="DZ21" s="989" t="n"/>
      <c r="EA21" s="989" t="n"/>
      <c r="EC21" s="989" t="n"/>
      <c r="ED21" s="989" t="n"/>
      <c r="EE21" s="989" t="n"/>
      <c r="EF21" s="989" t="n"/>
      <c r="EG21" s="989" t="n"/>
      <c r="EH21" s="989" t="n"/>
      <c r="EI21" s="989" t="n"/>
      <c r="EJ21" s="989" t="n"/>
      <c r="EK21" s="989" t="n"/>
      <c r="EL21" s="989" t="n"/>
      <c r="EM21" s="989" t="n"/>
      <c r="EN21" s="989" t="n"/>
      <c r="EO21" s="989" t="n"/>
      <c r="EP21" s="989" t="n"/>
      <c r="EQ21" s="989" t="n"/>
      <c r="ER21" s="989" t="n"/>
      <c r="ES21" s="989" t="n"/>
      <c r="ET21" s="989" t="n"/>
      <c r="EU21" s="989" t="n"/>
      <c r="EV21" s="989" t="n"/>
      <c r="EW21" s="989" t="n"/>
      <c r="EX21" s="989" t="n"/>
      <c r="EY21" s="989" t="n"/>
      <c r="FA21" s="989" t="n"/>
      <c r="FB21" s="989" t="n"/>
      <c r="FC21" s="989" t="n"/>
      <c r="FE21" s="989" t="n"/>
      <c r="FF21" s="989" t="n"/>
      <c r="FG21" s="989" t="n"/>
      <c r="FI21" s="989" t="n"/>
      <c r="FJ21" s="989" t="n"/>
      <c r="FK21" s="989" t="n"/>
      <c r="FM21" s="989" t="n"/>
      <c r="FN21" s="989" t="n"/>
      <c r="FO21" s="989" t="n"/>
    </row>
    <row r="22" ht="14.25" customFormat="1" customHeight="1" s="20">
      <c r="A22" s="37" t="inlineStr">
        <is>
          <t>ask</t>
        </is>
      </c>
      <c r="B22" s="20" t="inlineStr">
        <is>
          <t>FSC's ask</t>
        </is>
      </c>
      <c r="C22" s="20" t="n">
        <v>23455</v>
      </c>
      <c r="D22" s="20" t="n">
        <v>26038</v>
      </c>
      <c r="E22" s="20" t="n">
        <v>28477</v>
      </c>
      <c r="F22" s="20" t="n">
        <v>32214</v>
      </c>
      <c r="G22" s="20" t="n">
        <v>33186</v>
      </c>
      <c r="H22" s="20" t="n">
        <v>37428</v>
      </c>
      <c r="I22" s="20" t="n">
        <v>41552</v>
      </c>
      <c r="J22" s="20" t="n">
        <v>45892</v>
      </c>
      <c r="K22" s="20" t="n">
        <v>49334</v>
      </c>
      <c r="L22" s="21" t="n">
        <v>54306</v>
      </c>
      <c r="M22" s="21" t="n">
        <v>57104</v>
      </c>
      <c r="N22" s="21" t="n">
        <v>60295</v>
      </c>
      <c r="O22" s="21" t="n">
        <v>58114</v>
      </c>
      <c r="P22" s="21" t="n">
        <v>61908.551</v>
      </c>
      <c r="Q22" s="21" t="n">
        <v>62790.254</v>
      </c>
      <c r="R22" s="21" t="n">
        <v>63050.052</v>
      </c>
      <c r="S22" s="21" t="n">
        <v>59280.17</v>
      </c>
      <c r="T22" s="21" t="n">
        <v>74062.39999999999</v>
      </c>
      <c r="U22" s="21" t="n">
        <v>82766.395</v>
      </c>
      <c r="V22" s="21" t="n">
        <v>91769</v>
      </c>
      <c r="W22" s="217" t="n">
        <v>102461.79</v>
      </c>
      <c r="X22" s="217" t="n">
        <v>115478.342</v>
      </c>
      <c r="Y22" s="217" t="n">
        <v>111167</v>
      </c>
      <c r="Z22" s="217" t="n">
        <v>115748</v>
      </c>
      <c r="AA22" s="217" t="n">
        <v>126340.025</v>
      </c>
      <c r="AB22" s="217" t="n">
        <v>129594.859</v>
      </c>
      <c r="AC22" s="217" t="n">
        <v>127215.383</v>
      </c>
      <c r="AD22" s="217" t="n">
        <v>134711</v>
      </c>
      <c r="AE22" s="217" t="n">
        <v>142680.577</v>
      </c>
      <c r="AF22" s="217" t="n">
        <v>146085.476</v>
      </c>
      <c r="AG22" s="217" t="n">
        <v>150138.115</v>
      </c>
      <c r="AH22" s="217" t="n">
        <v>155362.019</v>
      </c>
      <c r="AI22" s="217" t="n">
        <v>163243.913</v>
      </c>
      <c r="AJ22" s="217" t="n">
        <v>34609</v>
      </c>
      <c r="AK22" s="217" t="n">
        <v>13228</v>
      </c>
      <c r="AL22" s="217" t="n">
        <v>20056</v>
      </c>
      <c r="AM22" s="217" t="n">
        <v>85607</v>
      </c>
      <c r="AN22" s="217" t="n">
        <v>111789</v>
      </c>
      <c r="AO22" s="21">
        <f>SUM(FI22:FJ22)</f>
        <v/>
      </c>
      <c r="AP22" s="21">
        <f>SUM(FM22:FN22)</f>
        <v/>
      </c>
      <c r="AQ22" s="21">
        <f>+AP22*(1+AQ23)</f>
        <v/>
      </c>
      <c r="AR22" s="21">
        <f>+AQ22*(1+AR23)</f>
        <v/>
      </c>
      <c r="AS22" s="21">
        <f>+AR22*(1+AS23)</f>
        <v/>
      </c>
      <c r="AT22" s="21">
        <f>+AS22*(1+AT23)</f>
        <v/>
      </c>
      <c r="AU22" s="1002" t="n"/>
      <c r="AV22" s="23" t="n"/>
      <c r="AW22" s="23" t="n"/>
      <c r="AX22" s="24">
        <f>L22</f>
        <v/>
      </c>
      <c r="AY22" s="23" t="n"/>
      <c r="AZ22" s="23" t="n">
        <v>28172</v>
      </c>
      <c r="BA22" s="23">
        <f>BB22-AZ22</f>
        <v/>
      </c>
      <c r="BB22" s="24">
        <f>M22</f>
        <v/>
      </c>
      <c r="BD22" s="23" t="n">
        <v>28928</v>
      </c>
      <c r="BE22" s="985">
        <f>BF22-BD22</f>
        <v/>
      </c>
      <c r="BF22" s="24">
        <f>N22</f>
        <v/>
      </c>
      <c r="BH22" s="23" t="n">
        <v>28801</v>
      </c>
      <c r="BI22" s="985">
        <f>BJ22-BH22</f>
        <v/>
      </c>
      <c r="BJ22" s="24">
        <f>O22</f>
        <v/>
      </c>
      <c r="BL22" s="23" t="n">
        <v>29839.107</v>
      </c>
      <c r="BM22" s="985">
        <f>BN22-BL22</f>
        <v/>
      </c>
      <c r="BN22" s="24">
        <f>P22</f>
        <v/>
      </c>
      <c r="BP22" s="23" t="n">
        <v>32419</v>
      </c>
      <c r="BQ22" s="985">
        <f>BR22-BP22</f>
        <v/>
      </c>
      <c r="BR22" s="24">
        <f>Q22</f>
        <v/>
      </c>
      <c r="BS22" s="181" t="n"/>
      <c r="BT22" s="23" t="n">
        <v>29537.302</v>
      </c>
      <c r="BU22" s="23">
        <f>BV22-BT22</f>
        <v/>
      </c>
      <c r="BV22" s="24">
        <f>R22</f>
        <v/>
      </c>
      <c r="BW22" s="181" t="n"/>
      <c r="BX22" s="23" t="n">
        <v>26831.5</v>
      </c>
      <c r="BY22" s="23">
        <f>BZ22-BX22</f>
        <v/>
      </c>
      <c r="BZ22" s="24">
        <f>S22</f>
        <v/>
      </c>
      <c r="CB22" s="23" t="n">
        <v>35249.9</v>
      </c>
      <c r="CC22" s="23">
        <f>CD22-CB22</f>
        <v/>
      </c>
      <c r="CD22" s="24">
        <f>T22</f>
        <v/>
      </c>
      <c r="CE22" s="23" t="n"/>
      <c r="CF22" s="23" t="n">
        <v>39535</v>
      </c>
      <c r="CG22" s="808">
        <f>CH22-CF22</f>
        <v/>
      </c>
      <c r="CH22" s="24">
        <f>U22</f>
        <v/>
      </c>
      <c r="CI22" s="24" t="n"/>
      <c r="CJ22" s="23" t="n">
        <v>43813.693</v>
      </c>
      <c r="CK22" s="23">
        <f>CL22-CJ22</f>
        <v/>
      </c>
      <c r="CL22" s="24">
        <f>V22</f>
        <v/>
      </c>
      <c r="CM22" s="24" t="n"/>
      <c r="CN22" s="23" t="n">
        <v>49836</v>
      </c>
      <c r="CO22" s="808">
        <f>CP22-CN22</f>
        <v/>
      </c>
      <c r="CP22" s="23">
        <f>W22</f>
        <v/>
      </c>
      <c r="CQ22" s="23" t="n"/>
      <c r="CR22" s="23" t="n">
        <v>56949.234</v>
      </c>
      <c r="CS22" s="23" t="n">
        <v>56949.234</v>
      </c>
      <c r="CT22" s="808">
        <f>CU22-CR22</f>
        <v/>
      </c>
      <c r="CU22" s="23">
        <f>X22</f>
        <v/>
      </c>
      <c r="CV22" s="1003" t="n"/>
      <c r="CW22" s="23" t="n">
        <v>55749.52</v>
      </c>
      <c r="CX22" s="808">
        <f>CY22-CW22</f>
        <v/>
      </c>
      <c r="CY22" s="23">
        <f>Y22</f>
        <v/>
      </c>
      <c r="CZ22" s="1003" t="n"/>
      <c r="DA22" s="23" t="n">
        <v>55680.314</v>
      </c>
      <c r="DB22" s="43">
        <f>+DC22-DA22</f>
        <v/>
      </c>
      <c r="DC22" s="23">
        <f>Z22</f>
        <v/>
      </c>
      <c r="DD22" s="1003" t="n"/>
      <c r="DE22" s="21" t="n">
        <v>61135.663</v>
      </c>
      <c r="DF22" s="43">
        <f>+DG22-DE22</f>
        <v/>
      </c>
      <c r="DG22" s="23">
        <f>AA22</f>
        <v/>
      </c>
      <c r="DH22" s="118" t="n"/>
      <c r="DI22" s="21" t="n">
        <v>65350.956</v>
      </c>
      <c r="DJ22" s="23">
        <f>+DK22-DI22</f>
        <v/>
      </c>
      <c r="DK22" s="23">
        <f>AB22</f>
        <v/>
      </c>
      <c r="DL22" s="23" t="n"/>
      <c r="DM22" s="21" t="n">
        <v>62186.792</v>
      </c>
      <c r="DN22" s="21">
        <f>+DO22-DM22</f>
        <v/>
      </c>
      <c r="DO22" s="21">
        <f>AC22</f>
        <v/>
      </c>
      <c r="DP22" s="118" t="n"/>
      <c r="DQ22" s="217" t="n">
        <v>65474.415</v>
      </c>
      <c r="DR22" s="21">
        <f>DS22-DQ22</f>
        <v/>
      </c>
      <c r="DS22" s="21">
        <f>AD22</f>
        <v/>
      </c>
      <c r="DT22" s="21" t="n"/>
      <c r="DU22" s="217" t="n">
        <v>69689.145</v>
      </c>
      <c r="DV22" s="21">
        <f>DW22-DU22</f>
        <v/>
      </c>
      <c r="DW22" s="21">
        <f>AE22</f>
        <v/>
      </c>
      <c r="DX22" s="21" t="n"/>
      <c r="DY22" s="217" t="n">
        <v>72646.50900000001</v>
      </c>
      <c r="DZ22" s="21">
        <f>EA22-DY22</f>
        <v/>
      </c>
      <c r="EA22" s="21">
        <f>AF22</f>
        <v/>
      </c>
      <c r="EB22" s="994" t="n"/>
      <c r="EC22" s="217" t="n">
        <v>73444.073</v>
      </c>
      <c r="ED22" s="21">
        <f>EE22-EC22</f>
        <v/>
      </c>
      <c r="EE22" s="21">
        <f>AG22</f>
        <v/>
      </c>
      <c r="EF22" s="21" t="n"/>
      <c r="EG22" s="217" t="n">
        <v>75770.382</v>
      </c>
      <c r="EH22" s="21">
        <f>EI22-EG22</f>
        <v/>
      </c>
      <c r="EI22" s="21">
        <f>AH22</f>
        <v/>
      </c>
      <c r="EJ22" s="21" t="n"/>
      <c r="EK22" s="217" t="n">
        <v>80814.42200000001</v>
      </c>
      <c r="EL22" s="21">
        <f>EM22-EK22</f>
        <v/>
      </c>
      <c r="EM22" s="21">
        <f>AI22</f>
        <v/>
      </c>
      <c r="EN22" s="21" t="n"/>
      <c r="EO22" s="217">
        <f>SUMIFS(Monthly!$10:$10,Monthly!$8:$8,"&gt;="&amp;DATE(MID(EO$3,3,4),1,1),Monthly!$8:$8,"&lt;="&amp;DATE(MID(EO$3,3,4),6,30))</f>
        <v/>
      </c>
      <c r="EP22" s="21">
        <f>EQ22-EO22</f>
        <v/>
      </c>
      <c r="EQ22" s="21">
        <f>AJ22</f>
        <v/>
      </c>
      <c r="ER22" s="315" t="n"/>
      <c r="ES22" s="217">
        <f>SUMIFS(Monthly!$10:$10,Monthly!$8:$8,"&gt;="&amp;DATE(MID(ES$3,3,4),1,1),Monthly!$8:$8,"&lt;="&amp;DATE(MID(ES$3,3,4),6,30))</f>
        <v/>
      </c>
      <c r="ET22" s="21">
        <f>EU22-ES22</f>
        <v/>
      </c>
      <c r="EU22" s="21">
        <f>AK22</f>
        <v/>
      </c>
      <c r="EV22" s="21" t="n"/>
      <c r="EW22" s="217">
        <f>SUMIFS(Monthly!$10:$10,Monthly!$8:$8,"&gt;="&amp;DATE(MID(EW$3,3,4),1,1),Monthly!$8:$8,"&lt;="&amp;DATE(MID(EW$3,3,4),6,30))</f>
        <v/>
      </c>
      <c r="EX22" s="21">
        <f>+EY22-EW22</f>
        <v/>
      </c>
      <c r="EY22" s="21">
        <f>AL22</f>
        <v/>
      </c>
      <c r="EZ22" s="181" t="n"/>
      <c r="FA22" s="217">
        <f>SUMIFS(Monthly!$10:$10,Monthly!$8:$8,"&gt;="&amp;DATE(MID(FA$3,3,4),1,1),Monthly!$8:$8,"&lt;="&amp;DATE(MID(FA$3,3,4),6,30))</f>
        <v/>
      </c>
      <c r="FB22" s="21">
        <f>+FC22-FA22</f>
        <v/>
      </c>
      <c r="FC22" s="21">
        <f>AM22</f>
        <v/>
      </c>
      <c r="FD22" s="21" t="n"/>
      <c r="FE22" s="217">
        <f>SUMIFS(Monthly!$10:$10,Monthly!$8:$8,"&gt;="&amp;DATE(MID(FE$3,3,4),1,1),Monthly!$8:$8,"&lt;="&amp;DATE(MID(FE$3,3,4),6,30))</f>
        <v/>
      </c>
      <c r="FF22" s="21">
        <f>+FG22-FE22</f>
        <v/>
      </c>
      <c r="FG22" s="21">
        <f>AN22</f>
        <v/>
      </c>
      <c r="FI22" s="217">
        <f>SUMIFS(Monthly!$10:$10,Monthly!$8:$8,"&gt;="&amp;DATE(MID(FI$3,3,4),1,1),Monthly!$8:$8,"&lt;="&amp;DATE(MID(FI$3,3,4),6,30))</f>
        <v/>
      </c>
      <c r="FJ22" s="21">
        <f>+FK22-FI22</f>
        <v/>
      </c>
      <c r="FK22" s="21">
        <f>AO22</f>
        <v/>
      </c>
      <c r="FM22" s="217">
        <f>SUMIFS(Monthly!$10:$10,Monthly!$8:$8,"&gt;="&amp;DATE(MID(FM$3,3,4),1,1),Monthly!$8:$8,"&lt;="&amp;DATE(MID(FM$3,3,4),6,30))</f>
        <v/>
      </c>
      <c r="FN22" s="20">
        <f>FJ22*(1+FN23)</f>
        <v/>
      </c>
      <c r="FO22" s="21">
        <f>AP22</f>
        <v/>
      </c>
    </row>
    <row r="23" ht="14.25" customFormat="1" customHeight="1" s="20">
      <c r="A23" s="37" t="n"/>
      <c r="B23" s="988" t="inlineStr">
        <is>
          <t>YoY change in overall capacity (ASK)</t>
        </is>
      </c>
      <c r="D23" s="989">
        <f>D22/C22-1</f>
        <v/>
      </c>
      <c r="E23" s="989">
        <f>E22/D22-1</f>
        <v/>
      </c>
      <c r="F23" s="989">
        <f>F22/E22-1</f>
        <v/>
      </c>
      <c r="G23" s="989">
        <f>G22/F22-1</f>
        <v/>
      </c>
      <c r="H23" s="989">
        <f>H22/G22-1</f>
        <v/>
      </c>
      <c r="I23" s="989">
        <f>I22/H22-1</f>
        <v/>
      </c>
      <c r="J23" s="989">
        <f>J22/I22-1</f>
        <v/>
      </c>
      <c r="K23" s="989">
        <f>K22/J22-1</f>
        <v/>
      </c>
      <c r="L23" s="989">
        <f>L22/K22-1</f>
        <v/>
      </c>
      <c r="M23" s="989">
        <f>M22/L22-1</f>
        <v/>
      </c>
      <c r="N23" s="989">
        <f>N22/M22-1</f>
        <v/>
      </c>
      <c r="O23" s="989">
        <f>O22/N22-1</f>
        <v/>
      </c>
      <c r="P23" s="989">
        <f>P22/O22-1</f>
        <v/>
      </c>
      <c r="Q23" s="989">
        <f>Q22/P22-1</f>
        <v/>
      </c>
      <c r="R23" s="989">
        <f>R22/Q22-1</f>
        <v/>
      </c>
      <c r="S23" s="989">
        <f>S22/R22-1</f>
        <v/>
      </c>
      <c r="T23" s="989">
        <f>T22/S22-1</f>
        <v/>
      </c>
      <c r="U23" s="989">
        <f>U22/T22-1</f>
        <v/>
      </c>
      <c r="V23" s="989">
        <f>V22/U22-1</f>
        <v/>
      </c>
      <c r="W23" s="989">
        <f>W22/V22-1</f>
        <v/>
      </c>
      <c r="X23" s="989">
        <f>X22/W22-1</f>
        <v/>
      </c>
      <c r="Y23" s="989">
        <f>Y22/X22-1</f>
        <v/>
      </c>
      <c r="Z23" s="989">
        <f>Z22/Y22-1</f>
        <v/>
      </c>
      <c r="AA23" s="989">
        <f>AA22/Z22-1</f>
        <v/>
      </c>
      <c r="AB23" s="989">
        <f>AB22/AA22-1</f>
        <v/>
      </c>
      <c r="AC23" s="989">
        <f>AC22/AB22-1</f>
        <v/>
      </c>
      <c r="AD23" s="989">
        <f>AD22/AC22-1</f>
        <v/>
      </c>
      <c r="AE23" s="989">
        <f>AE22/AD22-1</f>
        <v/>
      </c>
      <c r="AF23" s="989">
        <f>AF22/AE22-1</f>
        <v/>
      </c>
      <c r="AG23" s="989">
        <f>AG22/AF22-1</f>
        <v/>
      </c>
      <c r="AH23" s="1004">
        <f>AH22/AG22-1</f>
        <v/>
      </c>
      <c r="AI23" s="1004">
        <f>AI22/AH22-1</f>
        <v/>
      </c>
      <c r="AJ23" s="1004">
        <f>AJ22/AI22-1</f>
        <v/>
      </c>
      <c r="AK23" s="1004">
        <f>AK22/AJ22-1</f>
        <v/>
      </c>
      <c r="AL23" s="1004">
        <f>AL22/AK22-1</f>
        <v/>
      </c>
      <c r="AM23" s="1004">
        <f>AM22/AL22-1</f>
        <v/>
      </c>
      <c r="AN23" s="1004">
        <f>AN22/AM22-1</f>
        <v/>
      </c>
      <c r="AO23" s="1004">
        <f>AO22/AN22-1</f>
        <v/>
      </c>
      <c r="AP23" s="1004">
        <f>AP22/AO22-1</f>
        <v/>
      </c>
      <c r="AQ23" s="1005" t="n">
        <v>0.05</v>
      </c>
      <c r="AR23" s="1005" t="n">
        <v>0.05</v>
      </c>
      <c r="AS23" s="1005" t="n">
        <v>0.05</v>
      </c>
      <c r="AT23" s="1005" t="n">
        <v>0.05</v>
      </c>
      <c r="AU23" s="1002" t="n"/>
      <c r="AV23" s="23" t="n"/>
      <c r="AW23" s="23" t="n"/>
      <c r="AX23" s="24" t="n"/>
      <c r="AY23" s="23" t="n"/>
      <c r="AZ23" s="23" t="n"/>
      <c r="BA23" s="23" t="n"/>
      <c r="BB23" s="1006">
        <f>BB22/AX22-1</f>
        <v/>
      </c>
      <c r="BD23" s="1006">
        <f>BD22/AZ22-1</f>
        <v/>
      </c>
      <c r="BE23" s="1006">
        <f>BE22/BA22-1</f>
        <v/>
      </c>
      <c r="BF23" s="1006">
        <f>BF22/BB22-1</f>
        <v/>
      </c>
      <c r="BH23" s="1006">
        <f>BH22/BD22-1</f>
        <v/>
      </c>
      <c r="BI23" s="1006">
        <f>BI22/BE22-1</f>
        <v/>
      </c>
      <c r="BJ23" s="1006">
        <f>BJ22/BF22-1</f>
        <v/>
      </c>
      <c r="BK23" s="1006" t="n"/>
      <c r="BL23" s="1006">
        <f>BL22/BH22-1</f>
        <v/>
      </c>
      <c r="BM23" s="1006">
        <f>BM22/BI22-1</f>
        <v/>
      </c>
      <c r="BN23" s="1006">
        <f>BN22/BJ22-1</f>
        <v/>
      </c>
      <c r="BO23" s="1006" t="n"/>
      <c r="BP23" s="1006">
        <f>BP22/BL22-1</f>
        <v/>
      </c>
      <c r="BQ23" s="1006">
        <f>BQ22/BM22-1</f>
        <v/>
      </c>
      <c r="BR23" s="1006">
        <f>BR22/BN22-1</f>
        <v/>
      </c>
      <c r="BS23" s="1006" t="n"/>
      <c r="BT23" s="1006">
        <f>BT22/BP22-1</f>
        <v/>
      </c>
      <c r="BU23" s="1006">
        <f>BU22/BQ22-1</f>
        <v/>
      </c>
      <c r="BV23" s="1006">
        <f>BV22/BR22-1</f>
        <v/>
      </c>
      <c r="BW23" s="1006" t="n"/>
      <c r="BX23" s="1006">
        <f>BX22/BT22-1</f>
        <v/>
      </c>
      <c r="BY23" s="1006">
        <f>BY22/BU22-1</f>
        <v/>
      </c>
      <c r="BZ23" s="1006">
        <f>BZ22/BV22-1</f>
        <v/>
      </c>
      <c r="CA23" s="1006" t="n"/>
      <c r="CB23" s="1006">
        <f>CB22/BX22-1</f>
        <v/>
      </c>
      <c r="CC23" s="1006">
        <f>CC22/BY22-1</f>
        <v/>
      </c>
      <c r="CD23" s="1006">
        <f>CD22/BZ22-1</f>
        <v/>
      </c>
      <c r="CE23" s="1006" t="n"/>
      <c r="CF23" s="1006">
        <f>CF22/CB22-1</f>
        <v/>
      </c>
      <c r="CG23" s="1006">
        <f>CG22/CC22-1</f>
        <v/>
      </c>
      <c r="CH23" s="1006">
        <f>CH22/CD22-1</f>
        <v/>
      </c>
      <c r="CI23" s="1006" t="n"/>
      <c r="CJ23" s="1006">
        <f>CJ22/CF22-1</f>
        <v/>
      </c>
      <c r="CK23" s="1006">
        <f>CK22/CG22-1</f>
        <v/>
      </c>
      <c r="CL23" s="1006">
        <f>CL22/CH22-1</f>
        <v/>
      </c>
      <c r="CM23" s="1006" t="n"/>
      <c r="CN23" s="1006">
        <f>CN22/CJ22-1</f>
        <v/>
      </c>
      <c r="CO23" s="1006">
        <f>CO22/CK22-1</f>
        <v/>
      </c>
      <c r="CP23" s="1006">
        <f>CP22/CL22-1</f>
        <v/>
      </c>
      <c r="CQ23" s="1006" t="n"/>
      <c r="CR23" s="1006">
        <f>CR22/CN22-1</f>
        <v/>
      </c>
      <c r="CS23" s="1006">
        <f>CS22/CN22-1</f>
        <v/>
      </c>
      <c r="CT23" s="1006">
        <f>CT22/CO22-1</f>
        <v/>
      </c>
      <c r="CU23" s="1006">
        <f>CU22/CP22-1</f>
        <v/>
      </c>
      <c r="CV23" s="1006" t="n"/>
      <c r="CW23" s="1006">
        <f>CW22/CS22-1</f>
        <v/>
      </c>
      <c r="CX23" s="1006">
        <f>CX22/CT22-1</f>
        <v/>
      </c>
      <c r="CY23" s="1006">
        <f>CY22/CU22-1</f>
        <v/>
      </c>
      <c r="CZ23" s="1006" t="n"/>
      <c r="DA23" s="1006">
        <f>DA22/CW22-1</f>
        <v/>
      </c>
      <c r="DB23" s="1006">
        <f>DB22/CX22-1</f>
        <v/>
      </c>
      <c r="DC23" s="1006">
        <f>DC22/CY22-1</f>
        <v/>
      </c>
      <c r="DD23" s="1006" t="n"/>
      <c r="DE23" s="1006">
        <f>DE22/DA22-1</f>
        <v/>
      </c>
      <c r="DF23" s="1006">
        <f>DF22/DB22-1</f>
        <v/>
      </c>
      <c r="DG23" s="1006">
        <f>DG22/DC22-1</f>
        <v/>
      </c>
      <c r="DH23" s="1006" t="n"/>
      <c r="DI23" s="1006">
        <f>DI22/DE22-1</f>
        <v/>
      </c>
      <c r="DJ23" s="1006">
        <f>DJ22/DF22-1</f>
        <v/>
      </c>
      <c r="DK23" s="1006">
        <f>DK22/DG22-1</f>
        <v/>
      </c>
      <c r="DL23" s="1006" t="n"/>
      <c r="DM23" s="1006">
        <f>DM22/DI22-1</f>
        <v/>
      </c>
      <c r="DN23" s="1006">
        <f>DN22/DJ22-1</f>
        <v/>
      </c>
      <c r="DO23" s="1006">
        <f>DO22/DK22-1</f>
        <v/>
      </c>
      <c r="DP23" s="1006" t="n"/>
      <c r="DQ23" s="1006">
        <f>DQ22/DM22-1</f>
        <v/>
      </c>
      <c r="DR23" s="1006">
        <f>DR22/DN22-1</f>
        <v/>
      </c>
      <c r="DS23" s="1006">
        <f>DS22/DO22-1</f>
        <v/>
      </c>
      <c r="DT23" s="1006" t="n"/>
      <c r="DU23" s="1006">
        <f>DU22/DQ22-1</f>
        <v/>
      </c>
      <c r="DV23" s="1006">
        <f>DV22/DR22-1</f>
        <v/>
      </c>
      <c r="DW23" s="1006">
        <f>DW22/DS22-1</f>
        <v/>
      </c>
      <c r="DX23" s="1006" t="n"/>
      <c r="DY23" s="1006">
        <f>DY22/DU22-1</f>
        <v/>
      </c>
      <c r="DZ23" s="1006">
        <f>DZ22/DV22-1</f>
        <v/>
      </c>
      <c r="EA23" s="1006">
        <f>EA22/DW22-1</f>
        <v/>
      </c>
      <c r="EB23" s="1006" t="n"/>
      <c r="EC23" s="1006">
        <f>EC22/DY22-1</f>
        <v/>
      </c>
      <c r="ED23" s="1006">
        <f>ED22/DZ22-1</f>
        <v/>
      </c>
      <c r="EE23" s="1006">
        <f>EE22/EA22-1</f>
        <v/>
      </c>
      <c r="EF23" s="1006" t="n"/>
      <c r="EG23" s="1006">
        <f>EG22/EC22-1</f>
        <v/>
      </c>
      <c r="EH23" s="1006">
        <f>EH22/ED22-1</f>
        <v/>
      </c>
      <c r="EI23" s="1006">
        <f>EI22/EE22-1</f>
        <v/>
      </c>
      <c r="EJ23" s="21" t="n"/>
      <c r="EK23" s="989">
        <f>+EK22/EG22-1</f>
        <v/>
      </c>
      <c r="EL23" s="989">
        <f>+EL22/EH22-1</f>
        <v/>
      </c>
      <c r="EM23" s="989">
        <f>AI23</f>
        <v/>
      </c>
      <c r="EN23" s="21" t="n"/>
      <c r="EO23" s="989">
        <f>+EO22/EK22-1</f>
        <v/>
      </c>
      <c r="EP23" s="989">
        <f>+EP22/EL22-1</f>
        <v/>
      </c>
      <c r="EQ23" s="989">
        <f>+EQ22/EM22-1</f>
        <v/>
      </c>
      <c r="ER23" s="315" t="n"/>
      <c r="ES23" s="989">
        <f>+ES22/EO22-1</f>
        <v/>
      </c>
      <c r="ET23" s="989">
        <f>+ET22/EP22-1</f>
        <v/>
      </c>
      <c r="EU23" s="989">
        <f>+EU22/EQ22-1</f>
        <v/>
      </c>
      <c r="EV23" s="21" t="n"/>
      <c r="EW23" s="989">
        <f>+EW22/ES22-1</f>
        <v/>
      </c>
      <c r="EX23" s="989">
        <f>+EX22/ET22-1</f>
        <v/>
      </c>
      <c r="EY23" s="989">
        <f>+EY22/EU22-1</f>
        <v/>
      </c>
      <c r="FA23" s="989">
        <f>+FA22/EW22-1</f>
        <v/>
      </c>
      <c r="FB23" s="989">
        <f>+FB22/EX22-1</f>
        <v/>
      </c>
      <c r="FC23" s="989">
        <f>+FC22/EY22-1</f>
        <v/>
      </c>
      <c r="FE23" s="989">
        <f>+FE22/FA22-1</f>
        <v/>
      </c>
      <c r="FF23" s="989">
        <f>+FF22/FB22-1</f>
        <v/>
      </c>
      <c r="FG23" s="989">
        <f>+FG22/FC22-1</f>
        <v/>
      </c>
      <c r="FI23" s="989">
        <f>+FI22/FE22-1</f>
        <v/>
      </c>
      <c r="FJ23" s="989">
        <f>+FJ22/FF22-1</f>
        <v/>
      </c>
      <c r="FK23" s="989">
        <f>+FK22/FG22-1</f>
        <v/>
      </c>
      <c r="FM23" s="989">
        <f>+FM22/FI22-1</f>
        <v/>
      </c>
      <c r="FN23" s="1007" t="n">
        <v>0.09</v>
      </c>
      <c r="FO23" s="989">
        <f>+FO22/FK22-1</f>
        <v/>
      </c>
    </row>
    <row r="24" ht="14.25" customFormat="1" customHeight="1" s="20">
      <c r="A24" s="37" t="inlineStr">
        <is>
          <t>rpk</t>
        </is>
      </c>
      <c r="B24" s="20" t="inlineStr">
        <is>
          <t>FSC's rpk</t>
        </is>
      </c>
      <c r="C24" s="20" t="n">
        <v>17262</v>
      </c>
      <c r="D24" s="20" t="n">
        <v>20069</v>
      </c>
      <c r="E24" s="20" t="n">
        <v>22088</v>
      </c>
      <c r="F24" s="20" t="n">
        <v>24461</v>
      </c>
      <c r="G24" s="20" t="n">
        <v>24433</v>
      </c>
      <c r="H24" s="20" t="n">
        <v>27527</v>
      </c>
      <c r="I24" s="20" t="n">
        <v>29097</v>
      </c>
      <c r="J24" s="20" t="n">
        <v>32727</v>
      </c>
      <c r="K24" s="20" t="n">
        <v>35341</v>
      </c>
      <c r="L24" s="21" t="n">
        <v>40185</v>
      </c>
      <c r="M24" s="21" t="n">
        <v>38962</v>
      </c>
      <c r="N24" s="21" t="n">
        <v>40679.125</v>
      </c>
      <c r="O24" s="21" t="n">
        <v>41502</v>
      </c>
      <c r="P24" s="21" t="n">
        <v>47152.792</v>
      </c>
      <c r="Q24" s="21" t="n">
        <v>44792.224</v>
      </c>
      <c r="R24" s="21" t="n">
        <v>49041.021</v>
      </c>
      <c r="S24" s="21" t="n">
        <v>42773.752</v>
      </c>
      <c r="T24" s="21" t="n">
        <v>57282.3</v>
      </c>
      <c r="U24" s="21" t="n">
        <v>65109.775</v>
      </c>
      <c r="V24" s="21" t="n">
        <v>72939</v>
      </c>
      <c r="W24" s="217" t="n">
        <v>81800.757</v>
      </c>
      <c r="X24" s="217" t="n">
        <v>90975.08100000001</v>
      </c>
      <c r="Y24" s="217" t="n">
        <v>89440.308</v>
      </c>
      <c r="Z24" s="217" t="n">
        <v>96587.69100000001</v>
      </c>
      <c r="AA24" s="217" t="n">
        <v>101535.432</v>
      </c>
      <c r="AB24" s="217" t="n">
        <v>103836.843</v>
      </c>
      <c r="AC24" s="217" t="n">
        <v>104570.789</v>
      </c>
      <c r="AD24" s="217">
        <f>AD22*0.833</f>
        <v/>
      </c>
      <c r="AE24" s="217" t="n">
        <v>122330.026</v>
      </c>
      <c r="AF24" s="217" t="n">
        <v>123477.752</v>
      </c>
      <c r="AG24" s="217" t="n">
        <v>126662.834</v>
      </c>
      <c r="AH24" s="217" t="n">
        <v>130629.744</v>
      </c>
      <c r="AI24" s="217" t="n">
        <v>134396.834</v>
      </c>
      <c r="AJ24" s="217" t="n">
        <v>20079</v>
      </c>
      <c r="AK24" s="217" t="n">
        <v>4120</v>
      </c>
      <c r="AL24" s="217" t="n">
        <v>14764</v>
      </c>
      <c r="AM24" s="217" t="n">
        <v>73342</v>
      </c>
      <c r="AN24" s="217" t="n">
        <v>93016</v>
      </c>
      <c r="AO24" s="21">
        <f>SUM(FI24:FJ24)</f>
        <v/>
      </c>
      <c r="AP24" s="21">
        <f>SUM(FM24:FN24)</f>
        <v/>
      </c>
      <c r="AQ24" s="21">
        <f>AQ28*AQ22</f>
        <v/>
      </c>
      <c r="AR24" s="21">
        <f>AR28*AR22</f>
        <v/>
      </c>
      <c r="AS24" s="21">
        <f>AS28*AS22</f>
        <v/>
      </c>
      <c r="AT24" s="21">
        <f>AT28*AT22</f>
        <v/>
      </c>
      <c r="AU24" s="809" t="n"/>
      <c r="AV24" s="23">
        <f>AX24-AW24</f>
        <v/>
      </c>
      <c r="AW24" s="23" t="n">
        <v>21428</v>
      </c>
      <c r="AX24" s="24">
        <f>L24</f>
        <v/>
      </c>
      <c r="AY24" s="23" t="n"/>
      <c r="AZ24" s="23" t="n">
        <v>20044.46</v>
      </c>
      <c r="BA24" s="23">
        <f>BB24-AZ24</f>
        <v/>
      </c>
      <c r="BB24" s="24">
        <f>M24</f>
        <v/>
      </c>
      <c r="BD24" s="23">
        <f>BD22*0.663</f>
        <v/>
      </c>
      <c r="BE24" s="985">
        <f>BF24-BD24</f>
        <v/>
      </c>
      <c r="BF24" s="24">
        <f>N24</f>
        <v/>
      </c>
      <c r="BH24" s="23" t="n">
        <v>19325.471</v>
      </c>
      <c r="BI24" s="985">
        <f>BJ24-BH24</f>
        <v/>
      </c>
      <c r="BJ24" s="24">
        <f>O24</f>
        <v/>
      </c>
      <c r="BL24" s="23" t="n">
        <v>22579.468</v>
      </c>
      <c r="BM24" s="985">
        <f>BN24-BL24</f>
        <v/>
      </c>
      <c r="BN24" s="24">
        <f>P24</f>
        <v/>
      </c>
      <c r="BP24" s="23" t="n">
        <v>23295</v>
      </c>
      <c r="BQ24" s="985">
        <f>BR24-BP24</f>
        <v/>
      </c>
      <c r="BR24" s="24">
        <f>Q24</f>
        <v/>
      </c>
      <c r="BT24" s="23" t="n">
        <v>23071.905</v>
      </c>
      <c r="BU24" s="23">
        <f>BV24-BT24</f>
        <v/>
      </c>
      <c r="BV24" s="24">
        <f>R24</f>
        <v/>
      </c>
      <c r="BX24" s="23" t="n">
        <v>17276.5</v>
      </c>
      <c r="BY24" s="23">
        <f>BZ24-BX24</f>
        <v/>
      </c>
      <c r="BZ24" s="24">
        <f>S24</f>
        <v/>
      </c>
      <c r="CB24" s="23" t="n">
        <v>26834.6</v>
      </c>
      <c r="CC24" s="23">
        <f>CD24-CB24</f>
        <v/>
      </c>
      <c r="CD24" s="24">
        <f>T24</f>
        <v/>
      </c>
      <c r="CE24" s="23" t="n"/>
      <c r="CF24" s="23">
        <f>CF22*0.781</f>
        <v/>
      </c>
      <c r="CG24" s="808">
        <f>CH24-CF24</f>
        <v/>
      </c>
      <c r="CH24" s="24">
        <f>U24</f>
        <v/>
      </c>
      <c r="CI24" s="24" t="n"/>
      <c r="CJ24" s="23">
        <f>CJ22*0.791</f>
        <v/>
      </c>
      <c r="CK24" s="23">
        <f>CL24-CJ24</f>
        <v/>
      </c>
      <c r="CL24" s="24">
        <f>V24</f>
        <v/>
      </c>
      <c r="CM24" s="24" t="n"/>
      <c r="CN24" s="23" t="n">
        <v>38938.113</v>
      </c>
      <c r="CO24" s="808">
        <f>CP24-CN24</f>
        <v/>
      </c>
      <c r="CP24" s="23">
        <f>W24</f>
        <v/>
      </c>
      <c r="CQ24" s="23" t="n"/>
      <c r="CR24" s="23" t="n">
        <v>45579.621</v>
      </c>
      <c r="CS24" s="23" t="n">
        <v>45579.621</v>
      </c>
      <c r="CT24" s="808">
        <f>CU24-CR24</f>
        <v/>
      </c>
      <c r="CU24" s="23">
        <f>X24</f>
        <v/>
      </c>
      <c r="CV24" s="23" t="n"/>
      <c r="CW24" s="23" t="n">
        <v>43757.949</v>
      </c>
      <c r="CX24" s="808">
        <f>CY24-CW24</f>
        <v/>
      </c>
      <c r="CY24" s="23">
        <f>Y24</f>
        <v/>
      </c>
      <c r="CZ24" s="23" t="n"/>
      <c r="DA24" s="23" t="n">
        <v>46783.64</v>
      </c>
      <c r="DB24" s="43">
        <f>+DC24-DA24</f>
        <v/>
      </c>
      <c r="DC24" s="23">
        <f>Z24</f>
        <v/>
      </c>
      <c r="DD24" s="23" t="n"/>
      <c r="DE24" s="21" t="n">
        <v>48476.621</v>
      </c>
      <c r="DF24" s="43">
        <f>+DG24-DE24</f>
        <v/>
      </c>
      <c r="DG24" s="23">
        <f>AA24</f>
        <v/>
      </c>
      <c r="DH24" s="118" t="n"/>
      <c r="DI24" s="21" t="n">
        <v>52348.668</v>
      </c>
      <c r="DJ24" s="23">
        <f>+DK24-DI24</f>
        <v/>
      </c>
      <c r="DK24" s="23">
        <f>AB24</f>
        <v/>
      </c>
      <c r="DL24" s="23" t="n"/>
      <c r="DM24" s="21" t="n">
        <v>50543.063</v>
      </c>
      <c r="DN24" s="21">
        <f>+DO24-DM24</f>
        <v/>
      </c>
      <c r="DO24" s="21">
        <f>AC24</f>
        <v/>
      </c>
      <c r="DP24" s="118" t="n"/>
      <c r="DQ24" s="217" t="n">
        <v>54713.1</v>
      </c>
      <c r="DR24" s="21">
        <f>+DS24-DQ24</f>
        <v/>
      </c>
      <c r="DS24" s="21">
        <f>AD24</f>
        <v/>
      </c>
      <c r="DT24" s="21" t="n"/>
      <c r="DU24" s="217" t="n">
        <v>59835.42000000001</v>
      </c>
      <c r="DV24" s="21">
        <f>+DW24-DU24</f>
        <v/>
      </c>
      <c r="DW24" s="21">
        <f>AE24</f>
        <v/>
      </c>
      <c r="DX24" s="21" t="n"/>
      <c r="DY24" s="217" t="n">
        <v>61367.549</v>
      </c>
      <c r="DZ24" s="21">
        <f>+EA24-DY24</f>
        <v/>
      </c>
      <c r="EA24" s="21">
        <f>AF24</f>
        <v/>
      </c>
      <c r="EB24" s="994" t="n"/>
      <c r="EC24" s="217" t="n">
        <v>62241.855</v>
      </c>
      <c r="ED24" s="21">
        <f>+EE24-EC24</f>
        <v/>
      </c>
      <c r="EE24" s="21">
        <f>AG24</f>
        <v/>
      </c>
      <c r="EF24" s="21" t="n"/>
      <c r="EG24" s="217" t="n">
        <v>63809.914</v>
      </c>
      <c r="EH24" s="21">
        <f>+EI24-EG24</f>
        <v/>
      </c>
      <c r="EI24" s="21">
        <f>AH24</f>
        <v/>
      </c>
      <c r="EJ24" s="21" t="n"/>
      <c r="EK24" s="217" t="n">
        <v>68078.448</v>
      </c>
      <c r="EL24" s="21">
        <f>+EM24-EK24</f>
        <v/>
      </c>
      <c r="EM24" s="21">
        <f>AI24</f>
        <v/>
      </c>
      <c r="EN24" s="21" t="n"/>
      <c r="EO24" s="217">
        <f>SUMIFS(Monthly!$46:$46,Monthly!$8:$8,"&gt;="&amp;DATE(MID(EO$3,3,4),1,1),Monthly!$8:$8,"&lt;="&amp;DATE(MID(EO$3,3,4),6,30))</f>
        <v/>
      </c>
      <c r="EP24" s="21">
        <f>+EQ24-EO24</f>
        <v/>
      </c>
      <c r="EQ24" s="21">
        <f>AJ24</f>
        <v/>
      </c>
      <c r="ER24" s="321" t="n"/>
      <c r="ES24" s="217">
        <f>SUMIFS(Monthly!$46:$46,Monthly!$8:$8,"&gt;="&amp;DATE(MID(ES$3,3,4),1,1),Monthly!$8:$8,"&lt;="&amp;DATE(MID(ES$3,3,4),6,30))</f>
        <v/>
      </c>
      <c r="ET24" s="21">
        <f>+EU24-ES24</f>
        <v/>
      </c>
      <c r="EU24" s="21">
        <f>AK24</f>
        <v/>
      </c>
      <c r="EV24" s="21" t="n"/>
      <c r="EW24" s="217">
        <f>SUMIFS(Monthly!$46:$46,Monthly!$8:$8,"&gt;="&amp;DATE(MID(EW$3,3,4),1,1),Monthly!$8:$8,"&lt;="&amp;DATE(MID(EW$3,3,4),6,30))</f>
        <v/>
      </c>
      <c r="EX24" s="21">
        <f>+EY24-EW24</f>
        <v/>
      </c>
      <c r="EY24" s="21">
        <f>AL24</f>
        <v/>
      </c>
      <c r="FA24" s="217">
        <f>SUMIFS(Monthly!$46:$46,Monthly!$8:$8,"&gt;="&amp;DATE(MID(FA$3,3,4),1,1),Monthly!$8:$8,"&lt;="&amp;DATE(MID(FA$3,3,4),6,30))</f>
        <v/>
      </c>
      <c r="FB24" s="21">
        <f>+FC24-FA24</f>
        <v/>
      </c>
      <c r="FC24" s="21">
        <f>AM24</f>
        <v/>
      </c>
      <c r="FD24" s="21" t="n"/>
      <c r="FE24" s="217">
        <f>SUMIFS(Monthly!$46:$46,Monthly!$8:$8,"&gt;="&amp;DATE(MID(FE$3,3,4),1,1),Monthly!$8:$8,"&lt;="&amp;DATE(MID(FE$3,3,4),6,30))</f>
        <v/>
      </c>
      <c r="FF24" s="21">
        <f>+FG24-FE24</f>
        <v/>
      </c>
      <c r="FG24" s="21">
        <f>AN24</f>
        <v/>
      </c>
      <c r="FI24" s="217" t="n">
        <v>56651</v>
      </c>
      <c r="FJ24" s="21">
        <f>+FK24-FI24</f>
        <v/>
      </c>
      <c r="FK24" s="21">
        <f>AO24</f>
        <v/>
      </c>
      <c r="FM24" s="217">
        <f>SUMIFS(Monthly!$46:$46,Monthly!$8:$8,"&gt;="&amp;DATE(MID(FM$3,3,4),1,1),Monthly!$8:$8,"&lt;="&amp;DATE(MID(FM$3,3,4),6,30))</f>
        <v/>
      </c>
      <c r="FN24" s="21">
        <f>FN22*FN28</f>
        <v/>
      </c>
      <c r="FO24" s="21">
        <f>AP24</f>
        <v/>
      </c>
    </row>
    <row r="25" ht="14.25" customFormat="1" customHeight="1" s="986">
      <c r="A25" s="987" t="inlineStr">
        <is>
          <t>pax traffic growth</t>
        </is>
      </c>
      <c r="B25" s="988" t="inlineStr">
        <is>
          <t>YoY change in passenger traffic (RPK)</t>
        </is>
      </c>
      <c r="D25" s="986">
        <f>D24/C24-1</f>
        <v/>
      </c>
      <c r="E25" s="986">
        <f>E24/D24-1</f>
        <v/>
      </c>
      <c r="F25" s="986">
        <f>F24/E24-1</f>
        <v/>
      </c>
      <c r="G25" s="986">
        <f>G24/F24-1</f>
        <v/>
      </c>
      <c r="H25" s="986">
        <f>H24/G24-1</f>
        <v/>
      </c>
      <c r="I25" s="986">
        <f>I24/H24-1</f>
        <v/>
      </c>
      <c r="J25" s="986">
        <f>J24/I24-1</f>
        <v/>
      </c>
      <c r="K25" s="986">
        <f>K24/J24-1</f>
        <v/>
      </c>
      <c r="L25" s="989">
        <f>0.137</f>
        <v/>
      </c>
      <c r="M25" s="989" t="n">
        <v>-0.031</v>
      </c>
      <c r="N25" s="989">
        <f>N24/M24-1</f>
        <v/>
      </c>
      <c r="O25" s="989" t="n">
        <v>0.027</v>
      </c>
      <c r="P25" s="989">
        <f>P24/O24-1</f>
        <v/>
      </c>
      <c r="Q25" s="990">
        <f>Q24/P24-1</f>
        <v/>
      </c>
      <c r="R25" s="990">
        <f>R24/Q24-1</f>
        <v/>
      </c>
      <c r="S25" s="990">
        <f>S24/R24-1</f>
        <v/>
      </c>
      <c r="T25" s="990">
        <f>T24/S24-1</f>
        <v/>
      </c>
      <c r="U25" s="990">
        <f>U24/T24-1</f>
        <v/>
      </c>
      <c r="V25" s="990">
        <f>V24/U24-1</f>
        <v/>
      </c>
      <c r="W25" s="990">
        <f>W24/V24-1</f>
        <v/>
      </c>
      <c r="X25" s="990">
        <f>X24/W24-1</f>
        <v/>
      </c>
      <c r="Y25" s="990">
        <f>Y24/X24-1</f>
        <v/>
      </c>
      <c r="Z25" s="990">
        <f>Z24/Y24-1</f>
        <v/>
      </c>
      <c r="AA25" s="990">
        <f>AA24/Z24-1</f>
        <v/>
      </c>
      <c r="AB25" s="990">
        <f>AB24/AA24-1</f>
        <v/>
      </c>
      <c r="AC25" s="990">
        <f>AC24/AB24-1</f>
        <v/>
      </c>
      <c r="AD25" s="990">
        <f>AD24/AC24-1</f>
        <v/>
      </c>
      <c r="AE25" s="990">
        <f>AE24/AD24-1</f>
        <v/>
      </c>
      <c r="AF25" s="990">
        <f>AF24/AE24-1</f>
        <v/>
      </c>
      <c r="AG25" s="990">
        <f>AG24/AF24-1</f>
        <v/>
      </c>
      <c r="AH25" s="990">
        <f>AH24/AG24-1</f>
        <v/>
      </c>
      <c r="AI25" s="990">
        <f>AI24/AH24-1</f>
        <v/>
      </c>
      <c r="AJ25" s="990">
        <f>AJ24/AI24-1</f>
        <v/>
      </c>
      <c r="AK25" s="990">
        <f>AK24/AJ24-1</f>
        <v/>
      </c>
      <c r="AL25" s="990">
        <f>+AL24/AK24-1</f>
        <v/>
      </c>
      <c r="AM25" s="990">
        <f>+AM24/AL24-1</f>
        <v/>
      </c>
      <c r="AN25" s="990">
        <f>+AN24/AM24-1</f>
        <v/>
      </c>
      <c r="AO25" s="986">
        <f>+AO24/AN24-1</f>
        <v/>
      </c>
      <c r="AP25" s="986">
        <f>+AP24/AO24-1</f>
        <v/>
      </c>
      <c r="AQ25" s="986">
        <f>+AQ24/AP24-1</f>
        <v/>
      </c>
      <c r="AR25" s="986">
        <f>+AR24/AQ24-1</f>
        <v/>
      </c>
      <c r="AS25" s="986">
        <f>+AS24/AR24-1</f>
        <v/>
      </c>
      <c r="AT25" s="986">
        <f>+AT24/AS24-1</f>
        <v/>
      </c>
      <c r="AU25" s="288" t="n"/>
      <c r="AV25" s="991" t="n"/>
      <c r="AW25" s="991" t="n"/>
      <c r="AX25" s="992">
        <f>L25</f>
        <v/>
      </c>
      <c r="AY25" s="991" t="n"/>
      <c r="AZ25" s="991" t="n"/>
      <c r="BA25" s="991" t="n"/>
      <c r="BB25" s="992">
        <f>M25</f>
        <v/>
      </c>
      <c r="BD25" s="991">
        <f>BD24/AZ24-1</f>
        <v/>
      </c>
      <c r="BE25" s="991">
        <f>BE24/BA24-1</f>
        <v/>
      </c>
      <c r="BF25" s="992">
        <f>N25</f>
        <v/>
      </c>
      <c r="BH25" s="991">
        <f>BH24/BD24-1</f>
        <v/>
      </c>
      <c r="BI25" s="991">
        <f>BI24/BE24-1</f>
        <v/>
      </c>
      <c r="BJ25" s="992">
        <f>O25</f>
        <v/>
      </c>
      <c r="BL25" s="991">
        <f>BL24/BH24-1</f>
        <v/>
      </c>
      <c r="BM25" s="991">
        <f>BM24/BI24-1</f>
        <v/>
      </c>
      <c r="BN25" s="992">
        <f>P25</f>
        <v/>
      </c>
      <c r="BP25" s="991">
        <f>BP24/BL24-1</f>
        <v/>
      </c>
      <c r="BQ25" s="993">
        <f>BQ24/BM24-1</f>
        <v/>
      </c>
      <c r="BR25" s="992">
        <f>Q25</f>
        <v/>
      </c>
      <c r="BT25" s="993">
        <f>BT24/BP24-1</f>
        <v/>
      </c>
      <c r="BU25" s="991">
        <f>BU24/BQ24-1</f>
        <v/>
      </c>
      <c r="BV25" s="992">
        <f>R25</f>
        <v/>
      </c>
      <c r="BX25" s="993">
        <f>BX24/BT24-1</f>
        <v/>
      </c>
      <c r="BY25" s="993">
        <f>BY24/BU24-1</f>
        <v/>
      </c>
      <c r="BZ25" s="993">
        <f>S25</f>
        <v/>
      </c>
      <c r="CB25" s="993">
        <f>CB24/BX24-1</f>
        <v/>
      </c>
      <c r="CC25" s="993">
        <f>CC24/BY24-1</f>
        <v/>
      </c>
      <c r="CD25" s="993">
        <f>T25</f>
        <v/>
      </c>
      <c r="CE25" s="993" t="n"/>
      <c r="CF25" s="993">
        <f>CF24/CB24-1</f>
        <v/>
      </c>
      <c r="CG25" s="993">
        <f>CG24/CC24-1</f>
        <v/>
      </c>
      <c r="CH25" s="993">
        <f>U25</f>
        <v/>
      </c>
      <c r="CI25" s="993" t="n"/>
      <c r="CJ25" s="993">
        <f>CJ24/CF24-1</f>
        <v/>
      </c>
      <c r="CK25" s="993">
        <f>CK24/CG24-1</f>
        <v/>
      </c>
      <c r="CL25" s="993">
        <f>V25</f>
        <v/>
      </c>
      <c r="CM25" s="993" t="n"/>
      <c r="CN25" s="993">
        <f>CN24/CJ24-1</f>
        <v/>
      </c>
      <c r="CO25" s="993">
        <f>CO24/CK24-1</f>
        <v/>
      </c>
      <c r="CP25" s="993">
        <f>W25</f>
        <v/>
      </c>
      <c r="CQ25" s="993" t="n"/>
      <c r="CR25" s="993">
        <f>CR24/CN24-1</f>
        <v/>
      </c>
      <c r="CS25" s="993">
        <f>CS24/CN24-1</f>
        <v/>
      </c>
      <c r="CT25" s="993">
        <f>CT24/CO24-1</f>
        <v/>
      </c>
      <c r="CU25" s="993">
        <f>X25</f>
        <v/>
      </c>
      <c r="CV25" s="993" t="n"/>
      <c r="CW25" s="993">
        <f>CW24/CS24-1</f>
        <v/>
      </c>
      <c r="CX25" s="993">
        <f>CX24/CT24-1</f>
        <v/>
      </c>
      <c r="CY25" s="993">
        <f>Y25</f>
        <v/>
      </c>
      <c r="CZ25" s="993" t="n"/>
      <c r="DA25" s="993">
        <f>DA24/CW24-1</f>
        <v/>
      </c>
      <c r="DB25" s="993">
        <f>DB24/CX24-1</f>
        <v/>
      </c>
      <c r="DC25" s="993">
        <f>Z25</f>
        <v/>
      </c>
      <c r="DD25" s="993" t="n"/>
      <c r="DE25" s="993">
        <f>DE24/DA24-1</f>
        <v/>
      </c>
      <c r="DF25" s="993">
        <f>DF24/DB24-1</f>
        <v/>
      </c>
      <c r="DG25" s="993">
        <f>AA25</f>
        <v/>
      </c>
      <c r="DH25" s="290" t="n"/>
      <c r="DI25" s="989">
        <f>+DI24/DE24-1</f>
        <v/>
      </c>
      <c r="DJ25" s="993">
        <f>DJ24/DF24-1</f>
        <v/>
      </c>
      <c r="DK25" s="993">
        <f>AB25</f>
        <v/>
      </c>
      <c r="DL25" s="993" t="n"/>
      <c r="DM25" s="989">
        <f>+DM24/DI24-1</f>
        <v/>
      </c>
      <c r="DN25" s="989">
        <f>DN24/DJ24-1</f>
        <v/>
      </c>
      <c r="DO25" s="989">
        <f>AC25</f>
        <v/>
      </c>
      <c r="DP25" s="290" t="n"/>
      <c r="DQ25" s="989">
        <f>+DQ24/DM24-1</f>
        <v/>
      </c>
      <c r="DR25" s="986">
        <f>+DR24/DN24-1</f>
        <v/>
      </c>
      <c r="DS25" s="989">
        <f>AD25</f>
        <v/>
      </c>
      <c r="DT25" s="989" t="n"/>
      <c r="DU25" s="989">
        <f>+DU24/DQ24-1</f>
        <v/>
      </c>
      <c r="DV25" s="989">
        <f>+DV24/DR24-1</f>
        <v/>
      </c>
      <c r="DW25" s="989">
        <f>AE25</f>
        <v/>
      </c>
      <c r="DX25" s="989" t="n"/>
      <c r="DY25" s="989">
        <f>+DY24/DU24-1</f>
        <v/>
      </c>
      <c r="DZ25" s="989">
        <f>+DZ24/DV24-1</f>
        <v/>
      </c>
      <c r="EA25" s="989">
        <f>AF25</f>
        <v/>
      </c>
      <c r="EC25" s="989">
        <f>+EC24/DY24-1</f>
        <v/>
      </c>
      <c r="ED25" s="989">
        <f>+ED24/DZ24-1</f>
        <v/>
      </c>
      <c r="EE25" s="989">
        <f>AG25</f>
        <v/>
      </c>
      <c r="EF25" s="989" t="n"/>
      <c r="EG25" s="989">
        <f>+EG24/EC24-1</f>
        <v/>
      </c>
      <c r="EH25" s="989">
        <f>+EH24/ED24-1</f>
        <v/>
      </c>
      <c r="EI25" s="989">
        <f>AH25</f>
        <v/>
      </c>
      <c r="EJ25" s="989" t="n"/>
      <c r="EK25" s="989">
        <f>+EK24/EG24-1</f>
        <v/>
      </c>
      <c r="EL25" s="989">
        <f>+EL24/EH24-1</f>
        <v/>
      </c>
      <c r="EM25" s="989">
        <f>AI25</f>
        <v/>
      </c>
      <c r="EN25" s="989" t="n"/>
      <c r="EO25" s="989">
        <f>+EO24/EK24-1</f>
        <v/>
      </c>
      <c r="EP25" s="989">
        <f>+EP24/EL24-1</f>
        <v/>
      </c>
      <c r="EQ25" s="989">
        <f>+EQ24/EM24-1</f>
        <v/>
      </c>
      <c r="ER25" s="989" t="n"/>
      <c r="ES25" s="989">
        <f>+ES24/EO24-1</f>
        <v/>
      </c>
      <c r="ET25" s="989">
        <f>+ET24/EP24-1</f>
        <v/>
      </c>
      <c r="EU25" s="989">
        <f>+EU24/EQ24-1</f>
        <v/>
      </c>
      <c r="EV25" s="989" t="n"/>
      <c r="EW25" s="989">
        <f>+EW24/ES24-1</f>
        <v/>
      </c>
      <c r="EX25" s="989">
        <f>+EX24/ET24-1</f>
        <v/>
      </c>
      <c r="EY25" s="989">
        <f>+EY24/EU24-1</f>
        <v/>
      </c>
      <c r="FA25" s="989">
        <f>+FA24/EW24-1</f>
        <v/>
      </c>
      <c r="FB25" s="989">
        <f>+FB24/EX24-1</f>
        <v/>
      </c>
      <c r="FC25" s="989">
        <f>+FC24/EY24-1</f>
        <v/>
      </c>
      <c r="FE25" s="989">
        <f>+FE24/FA24-1</f>
        <v/>
      </c>
      <c r="FF25" s="989">
        <f>+FF24/FB24-1</f>
        <v/>
      </c>
      <c r="FG25" s="989">
        <f>+FG24/FC24-1</f>
        <v/>
      </c>
      <c r="FI25" s="989">
        <f>+FI24/FE24-1</f>
        <v/>
      </c>
      <c r="FJ25" s="989">
        <f>+FJ24/FF24-1</f>
        <v/>
      </c>
      <c r="FK25" s="989">
        <f>+FK24/FG24-1</f>
        <v/>
      </c>
      <c r="FM25" s="989">
        <f>+FM24/FI24-1</f>
        <v/>
      </c>
      <c r="FN25" s="989">
        <f>+FN24/FJ24-1</f>
        <v/>
      </c>
      <c r="FO25" s="989">
        <f>+FO24/FK24-1</f>
        <v/>
      </c>
    </row>
    <row r="26" ht="14.25" customFormat="1" customHeight="1" s="490">
      <c r="A26" s="44" t="inlineStr">
        <is>
          <t>passenger</t>
        </is>
      </c>
      <c r="B26" s="490" t="inlineStr">
        <is>
          <t>FSC's Passenger nos (000s)</t>
        </is>
      </c>
      <c r="C26" s="490" t="n">
        <v>5086</v>
      </c>
      <c r="D26" s="490" t="n">
        <v>6193</v>
      </c>
      <c r="E26" s="490" t="n">
        <v>7058</v>
      </c>
      <c r="F26" s="490" t="n">
        <v>7731</v>
      </c>
      <c r="G26" s="490" t="n">
        <v>7391</v>
      </c>
      <c r="H26" s="490" t="n">
        <v>8363</v>
      </c>
      <c r="I26" s="490" t="n">
        <v>8867</v>
      </c>
      <c r="J26" s="490" t="n">
        <v>9750</v>
      </c>
      <c r="K26" s="490" t="n">
        <v>10381</v>
      </c>
      <c r="L26" s="502" t="n">
        <v>10985</v>
      </c>
      <c r="M26" s="502" t="n">
        <v>10018</v>
      </c>
      <c r="N26" s="502" t="n">
        <v>10299</v>
      </c>
      <c r="O26" s="502" t="n">
        <v>10516</v>
      </c>
      <c r="P26" s="502" t="n">
        <v>11864.37</v>
      </c>
      <c r="Q26" s="502" t="n">
        <v>11268.778</v>
      </c>
      <c r="R26" s="502" t="n">
        <v>12321.256</v>
      </c>
      <c r="S26" s="502" t="n">
        <v>10058.995</v>
      </c>
      <c r="T26" s="502" t="n">
        <v>13664</v>
      </c>
      <c r="U26" s="502" t="n">
        <v>15438.243</v>
      </c>
      <c r="V26" s="502" t="n">
        <v>18097</v>
      </c>
      <c r="W26" s="217" t="n">
        <v>23253.427</v>
      </c>
      <c r="X26" s="807" t="n">
        <v>24959.429</v>
      </c>
      <c r="Y26" s="807" t="n">
        <v>24558</v>
      </c>
      <c r="Z26" s="807" t="n">
        <v>26796.249</v>
      </c>
      <c r="AA26" s="807" t="n">
        <v>27581.331</v>
      </c>
      <c r="AB26" s="807" t="n">
        <v>28960.689</v>
      </c>
      <c r="AC26" s="807" t="n">
        <v>29919.576</v>
      </c>
      <c r="AD26" s="807" t="n">
        <v>31600</v>
      </c>
      <c r="AE26" s="807" t="n">
        <v>34064.859</v>
      </c>
      <c r="AF26" s="807" t="n">
        <v>34322.693</v>
      </c>
      <c r="AG26" s="807" t="n">
        <v>34819.871</v>
      </c>
      <c r="AH26" s="807" t="n">
        <v>35468.218</v>
      </c>
      <c r="AI26" s="807" t="n">
        <v>35233.131</v>
      </c>
      <c r="AJ26" s="807" t="n">
        <v>4631</v>
      </c>
      <c r="AK26" s="807" t="n">
        <v>717</v>
      </c>
      <c r="AL26" s="807" t="n">
        <v>2804</v>
      </c>
      <c r="AM26" s="807" t="n">
        <v>17985</v>
      </c>
      <c r="AN26" s="807" t="n">
        <v>22827</v>
      </c>
      <c r="AO26" s="21">
        <f>SUM(FI26:FJ26)</f>
        <v/>
      </c>
      <c r="AP26" s="21">
        <f>SUM(FM26:FN26)</f>
        <v/>
      </c>
      <c r="AQ26" s="502">
        <f>AQ24/AQ27*1000</f>
        <v/>
      </c>
      <c r="AR26" s="502">
        <f>AR24/AR27*1000</f>
        <v/>
      </c>
      <c r="AS26" s="502">
        <f>AS24/AS27*1000</f>
        <v/>
      </c>
      <c r="AT26" s="502">
        <f>AT24/AT27*1000</f>
        <v/>
      </c>
      <c r="AU26" s="1002" t="n"/>
      <c r="AV26" s="136" t="n"/>
      <c r="AW26" s="136" t="n"/>
      <c r="AX26" s="1008">
        <f>L26</f>
        <v/>
      </c>
      <c r="AY26" s="136" t="n"/>
      <c r="AZ26" s="136" t="n"/>
      <c r="BA26" s="136" t="n"/>
      <c r="BB26" s="1008">
        <f>M26</f>
        <v/>
      </c>
      <c r="BD26" s="136" t="n"/>
      <c r="BE26" s="985">
        <f>BF26-BD26</f>
        <v/>
      </c>
      <c r="BF26" s="1008">
        <f>N26</f>
        <v/>
      </c>
      <c r="BH26" s="136" t="n">
        <v>4919.6</v>
      </c>
      <c r="BI26" s="985">
        <f>BJ26-BH26</f>
        <v/>
      </c>
      <c r="BJ26" s="24">
        <f>O26</f>
        <v/>
      </c>
      <c r="BL26" s="136" t="n">
        <v>5757.208</v>
      </c>
      <c r="BM26" s="985">
        <f>BN26-BL26</f>
        <v/>
      </c>
      <c r="BN26" s="24">
        <f>P26</f>
        <v/>
      </c>
      <c r="BP26" s="136" t="n">
        <v>5890.989</v>
      </c>
      <c r="BQ26" s="985">
        <f>BR26-BP26</f>
        <v/>
      </c>
      <c r="BR26" s="24">
        <f>Q26</f>
        <v/>
      </c>
      <c r="BT26" s="23" t="n">
        <v>5932.699</v>
      </c>
      <c r="BU26" s="23">
        <f>BV26-BT26</f>
        <v/>
      </c>
      <c r="BV26" s="24">
        <f>R26</f>
        <v/>
      </c>
      <c r="BX26" s="23" t="n">
        <v>4018.624</v>
      </c>
      <c r="BY26" s="23">
        <f>BZ26-BX26</f>
        <v/>
      </c>
      <c r="BZ26" s="24">
        <f>S26</f>
        <v/>
      </c>
      <c r="CB26" s="23" t="n">
        <v>6404.3</v>
      </c>
      <c r="CC26" s="23">
        <f>CD26-CB26</f>
        <v/>
      </c>
      <c r="CD26" s="24">
        <f>T26</f>
        <v/>
      </c>
      <c r="CE26" s="23" t="n"/>
      <c r="CF26" s="23" t="n">
        <v>7333</v>
      </c>
      <c r="CG26" s="808">
        <f>CH26-CF26</f>
        <v/>
      </c>
      <c r="CH26" s="24">
        <f>U26</f>
        <v/>
      </c>
      <c r="CI26" s="25" t="n"/>
      <c r="CJ26" s="23" t="n">
        <v>8144.335</v>
      </c>
      <c r="CK26" s="23">
        <f>CL26-CJ26</f>
        <v/>
      </c>
      <c r="CL26" s="24">
        <f>V26</f>
        <v/>
      </c>
      <c r="CM26" s="24" t="n"/>
      <c r="CN26" s="23" t="n">
        <v>10960</v>
      </c>
      <c r="CO26" s="808">
        <f>CP26-CN26</f>
        <v/>
      </c>
      <c r="CP26" s="23">
        <f>W26</f>
        <v/>
      </c>
      <c r="CQ26" s="23" t="n"/>
      <c r="CR26" s="23" t="n">
        <v>12462.541</v>
      </c>
      <c r="CS26" s="23" t="n">
        <v>12462.541</v>
      </c>
      <c r="CT26" s="808">
        <f>CU26-CR26</f>
        <v/>
      </c>
      <c r="CU26" s="23">
        <f>X26</f>
        <v/>
      </c>
      <c r="CV26" s="23" t="n"/>
      <c r="CW26" s="23" t="n">
        <v>11938.15</v>
      </c>
      <c r="CX26" s="808">
        <f>CY26-CW26</f>
        <v/>
      </c>
      <c r="CY26" s="23">
        <f>Y26</f>
        <v/>
      </c>
      <c r="CZ26" s="23" t="n"/>
      <c r="DA26" s="23" t="n">
        <v>12953.548</v>
      </c>
      <c r="DB26" s="43">
        <f>+DC26-DA26</f>
        <v/>
      </c>
      <c r="DC26" s="23">
        <f>Z26</f>
        <v/>
      </c>
      <c r="DD26" s="23" t="n"/>
      <c r="DE26" s="502" t="n">
        <v>13175.861</v>
      </c>
      <c r="DF26" s="43">
        <f>+DG26-DE26</f>
        <v/>
      </c>
      <c r="DG26" s="23">
        <f>AA26</f>
        <v/>
      </c>
      <c r="DH26" s="118" t="n"/>
      <c r="DI26" s="502" t="n">
        <v>14311.778</v>
      </c>
      <c r="DJ26" s="23">
        <f>+DK26-DI26</f>
        <v/>
      </c>
      <c r="DK26" s="23">
        <f>AB26</f>
        <v/>
      </c>
      <c r="DL26" s="23" t="n"/>
      <c r="DM26" s="502" t="n">
        <v>14497.032</v>
      </c>
      <c r="DN26" s="502">
        <f>+DO26-DM26</f>
        <v/>
      </c>
      <c r="DO26" s="502">
        <f>AC26</f>
        <v/>
      </c>
      <c r="DP26" s="118" t="n"/>
      <c r="DQ26" s="807" t="n">
        <v>15436.937</v>
      </c>
      <c r="DR26" s="502">
        <f>DS26-DQ26</f>
        <v/>
      </c>
      <c r="DS26" s="502">
        <f>AD26</f>
        <v/>
      </c>
      <c r="DT26" s="502" t="n"/>
      <c r="DU26" s="807" t="n">
        <v>16800.331</v>
      </c>
      <c r="DV26" s="502">
        <f>DW26-DU26</f>
        <v/>
      </c>
      <c r="DW26" s="502">
        <f>AE26</f>
        <v/>
      </c>
      <c r="DX26" s="502" t="n"/>
      <c r="DY26" s="807" t="n">
        <v>17248.591</v>
      </c>
      <c r="DZ26" s="502">
        <f>EA26-DY26</f>
        <v/>
      </c>
      <c r="EA26" s="502">
        <f>AF26</f>
        <v/>
      </c>
      <c r="EB26" s="994" t="n"/>
      <c r="EC26" s="807" t="n">
        <v>17162.995</v>
      </c>
      <c r="ED26" s="502">
        <f>EE26-EC26</f>
        <v/>
      </c>
      <c r="EE26" s="502">
        <f>AG26</f>
        <v/>
      </c>
      <c r="EF26" s="502" t="n"/>
      <c r="EG26" s="807" t="n">
        <v>17484.704</v>
      </c>
      <c r="EH26" s="502">
        <f>EI26-EG26</f>
        <v/>
      </c>
      <c r="EI26" s="502">
        <f>AH26</f>
        <v/>
      </c>
      <c r="EJ26" s="502" t="n"/>
      <c r="EK26" s="807" t="n">
        <v>18261.05</v>
      </c>
      <c r="EL26" s="502">
        <f>EM26-EK26</f>
        <v/>
      </c>
      <c r="EM26" s="502">
        <f>AI26</f>
        <v/>
      </c>
      <c r="EN26" s="502" t="n"/>
      <c r="EO26" s="807" t="n">
        <v>4389</v>
      </c>
      <c r="EP26" s="502">
        <f>EQ26-EO26</f>
        <v/>
      </c>
      <c r="EQ26" s="21">
        <f>AJ26</f>
        <v/>
      </c>
      <c r="ER26" s="21" t="n"/>
      <c r="ES26" s="807" t="n">
        <v>157</v>
      </c>
      <c r="ET26" s="502">
        <f>EU26-ES26</f>
        <v/>
      </c>
      <c r="EU26" s="21">
        <f>AK26</f>
        <v/>
      </c>
      <c r="EV26" s="502" t="n"/>
      <c r="EW26" s="807" t="n">
        <v>335</v>
      </c>
      <c r="EX26" s="21">
        <f>+EY26-EW26</f>
        <v/>
      </c>
      <c r="EY26" s="21">
        <f>AL26</f>
        <v/>
      </c>
      <c r="FA26" s="807" t="n">
        <v>7816</v>
      </c>
      <c r="FB26" s="21">
        <f>+FC26-FA26</f>
        <v/>
      </c>
      <c r="FC26" s="21">
        <f>AM26</f>
        <v/>
      </c>
      <c r="FD26" s="21" t="n"/>
      <c r="FE26" s="807" t="n">
        <v>10660</v>
      </c>
      <c r="FF26" s="21">
        <f>+FG26-FE26</f>
        <v/>
      </c>
      <c r="FG26" s="21">
        <f>AN26</f>
        <v/>
      </c>
      <c r="FI26" s="807" t="n">
        <v>13627</v>
      </c>
      <c r="FJ26" s="21">
        <f>+FK26-FI26</f>
        <v/>
      </c>
      <c r="FK26" s="21">
        <f>AO26</f>
        <v/>
      </c>
      <c r="FM26" s="807" t="n">
        <v>16006</v>
      </c>
      <c r="FN26" s="21">
        <f>FN24/FN27*1000</f>
        <v/>
      </c>
      <c r="FO26" s="21">
        <f>AP26</f>
        <v/>
      </c>
    </row>
    <row r="27" ht="14.25" customFormat="1" customHeight="1" s="490">
      <c r="A27" s="44" t="n"/>
      <c r="B27" s="490" t="inlineStr">
        <is>
          <t>FSC's Trip length (kms)</t>
        </is>
      </c>
      <c r="C27" s="502">
        <f>C24/C26*1000</f>
        <v/>
      </c>
      <c r="D27" s="502">
        <f>D24/D26*1000</f>
        <v/>
      </c>
      <c r="E27" s="502">
        <f>E24/E26*1000</f>
        <v/>
      </c>
      <c r="F27" s="502">
        <f>F24/F26*1000</f>
        <v/>
      </c>
      <c r="G27" s="502">
        <f>G24/G26*1000</f>
        <v/>
      </c>
      <c r="H27" s="502">
        <f>H24/H26*1000</f>
        <v/>
      </c>
      <c r="I27" s="502">
        <f>I24/I26*1000</f>
        <v/>
      </c>
      <c r="J27" s="502">
        <f>J24/J26*1000</f>
        <v/>
      </c>
      <c r="K27" s="502">
        <f>K24/K26*1000</f>
        <v/>
      </c>
      <c r="L27" s="502">
        <f>L24/L26*1000</f>
        <v/>
      </c>
      <c r="M27" s="502">
        <f>M24/M26*1000</f>
        <v/>
      </c>
      <c r="N27" s="502">
        <f>N24/N26*1000</f>
        <v/>
      </c>
      <c r="O27" s="502">
        <f>O24/O26*1000</f>
        <v/>
      </c>
      <c r="P27" s="502">
        <f>P24/P26*1000</f>
        <v/>
      </c>
      <c r="Q27" s="502">
        <f>Q24/Q26*1000</f>
        <v/>
      </c>
      <c r="R27" s="502">
        <f>R24/R26*1000</f>
        <v/>
      </c>
      <c r="S27" s="502">
        <f>S24/S26*1000</f>
        <v/>
      </c>
      <c r="T27" s="502">
        <f>T24/T26*1000</f>
        <v/>
      </c>
      <c r="U27" s="502">
        <f>U24/U26*1000</f>
        <v/>
      </c>
      <c r="V27" s="502">
        <f>V24/V26*1000</f>
        <v/>
      </c>
      <c r="W27" s="502">
        <f>W24/W26*1000</f>
        <v/>
      </c>
      <c r="X27" s="502">
        <f>X24/X26*1000</f>
        <v/>
      </c>
      <c r="Y27" s="502">
        <f>Y24/Y26*1000</f>
        <v/>
      </c>
      <c r="Z27" s="502">
        <f>Z24/Z26*1000</f>
        <v/>
      </c>
      <c r="AA27" s="502">
        <f>AA24/AA26*1000</f>
        <v/>
      </c>
      <c r="AB27" s="502">
        <f>AB24/AB26*1000</f>
        <v/>
      </c>
      <c r="AC27" s="502">
        <f>AC24/AC26*1000</f>
        <v/>
      </c>
      <c r="AD27" s="502">
        <f>AD24/AD26*1000</f>
        <v/>
      </c>
      <c r="AE27" s="502">
        <f>AE24/AE26*1000</f>
        <v/>
      </c>
      <c r="AF27" s="502">
        <f>AF24/AF26*1000</f>
        <v/>
      </c>
      <c r="AG27" s="502">
        <f>AG24/AG26*1000</f>
        <v/>
      </c>
      <c r="AH27" s="502">
        <f>AH24/AH26*1000</f>
        <v/>
      </c>
      <c r="AI27" s="502">
        <f>AI24/AI26*1000</f>
        <v/>
      </c>
      <c r="AJ27" s="502">
        <f>AJ24/AJ26*1000</f>
        <v/>
      </c>
      <c r="AK27" s="502">
        <f>AK24/AK26*1000</f>
        <v/>
      </c>
      <c r="AL27" s="502">
        <f>AL24/AL26*1000</f>
        <v/>
      </c>
      <c r="AM27" s="502">
        <f>AM24/AM26*1000</f>
        <v/>
      </c>
      <c r="AN27" s="502">
        <f>AN24/AN26*1000</f>
        <v/>
      </c>
      <c r="AO27" s="490">
        <f>AO24/AO26*1000</f>
        <v/>
      </c>
      <c r="AP27" s="490">
        <f>AP24/AP26*1000</f>
        <v/>
      </c>
      <c r="AQ27" s="489">
        <f>AP27</f>
        <v/>
      </c>
      <c r="AR27" s="489">
        <f>AQ27</f>
        <v/>
      </c>
      <c r="AS27" s="489">
        <f>AR27</f>
        <v/>
      </c>
      <c r="AT27" s="489">
        <f>AS27</f>
        <v/>
      </c>
      <c r="AU27" s="136" t="n"/>
      <c r="AV27" s="136" t="n"/>
      <c r="AW27" s="136" t="n"/>
      <c r="AX27" s="24">
        <f>L27</f>
        <v/>
      </c>
      <c r="AY27" s="136" t="n"/>
      <c r="AZ27" s="136" t="n"/>
      <c r="BA27" s="136" t="n"/>
      <c r="BB27" s="24">
        <f>M27</f>
        <v/>
      </c>
      <c r="BD27" s="502" t="n"/>
      <c r="BE27" s="502">
        <f>BE24/BE26*1000</f>
        <v/>
      </c>
      <c r="BF27" s="24">
        <f>N27</f>
        <v/>
      </c>
      <c r="BH27" s="502">
        <f>BH24/BH26*1000</f>
        <v/>
      </c>
      <c r="BI27" s="502">
        <f>BI24/BI26*1000</f>
        <v/>
      </c>
      <c r="BJ27" s="24">
        <f>O27</f>
        <v/>
      </c>
      <c r="BL27" s="502">
        <f>BL24/BL26*1000</f>
        <v/>
      </c>
      <c r="BM27" s="502">
        <f>BM24/BM26*1000</f>
        <v/>
      </c>
      <c r="BN27" s="24">
        <f>P27</f>
        <v/>
      </c>
      <c r="BP27" s="502">
        <f>BP24/BP26*1000</f>
        <v/>
      </c>
      <c r="BQ27" s="502">
        <f>BQ24/BQ26*1000</f>
        <v/>
      </c>
      <c r="BR27" s="24">
        <f>Q27</f>
        <v/>
      </c>
      <c r="BT27" s="502">
        <f>BT24/BT26*1000</f>
        <v/>
      </c>
      <c r="BU27" s="502">
        <f>BU24/BU26*1000</f>
        <v/>
      </c>
      <c r="BV27" s="24">
        <f>R27</f>
        <v/>
      </c>
      <c r="BX27" s="502">
        <f>BX24/BX26*1000</f>
        <v/>
      </c>
      <c r="BY27" s="502">
        <f>BY24/BY26*1000</f>
        <v/>
      </c>
      <c r="BZ27" s="24">
        <f>S27</f>
        <v/>
      </c>
      <c r="CB27" s="502">
        <f>CB24/CB26*1000</f>
        <v/>
      </c>
      <c r="CC27" s="502">
        <f>CC24/CC26*1000</f>
        <v/>
      </c>
      <c r="CD27" s="24">
        <f>T27</f>
        <v/>
      </c>
      <c r="CE27" s="502" t="n"/>
      <c r="CF27" s="502">
        <f>CF24/CF26*1000</f>
        <v/>
      </c>
      <c r="CG27" s="502">
        <f>CG24/CG26*1000</f>
        <v/>
      </c>
      <c r="CH27" s="24">
        <f>U27</f>
        <v/>
      </c>
      <c r="CI27" s="24" t="n"/>
      <c r="CJ27" s="502">
        <f>CJ24/CJ26*1000</f>
        <v/>
      </c>
      <c r="CK27" s="502">
        <f>CK24/CK26*1000</f>
        <v/>
      </c>
      <c r="CL27" s="24">
        <f>V27</f>
        <v/>
      </c>
      <c r="CM27" s="24" t="n"/>
      <c r="CN27" s="502">
        <f>CN24/CN26*1000</f>
        <v/>
      </c>
      <c r="CO27" s="502">
        <f>CO24/CO26*1000</f>
        <v/>
      </c>
      <c r="CP27" s="502">
        <f>W27</f>
        <v/>
      </c>
      <c r="CQ27" s="502" t="n"/>
      <c r="CR27" s="502">
        <f>CR24/CR26*1000</f>
        <v/>
      </c>
      <c r="CS27" s="502">
        <f>CS24/CS26*1000</f>
        <v/>
      </c>
      <c r="CT27" s="502">
        <f>CT24/CT26*1000</f>
        <v/>
      </c>
      <c r="CU27" s="502">
        <f>X27</f>
        <v/>
      </c>
      <c r="CV27" s="502" t="n"/>
      <c r="CW27" s="502">
        <f>CW24/CW26*1000</f>
        <v/>
      </c>
      <c r="CX27" s="502">
        <f>CX24/CX26*1000</f>
        <v/>
      </c>
      <c r="CY27" s="502">
        <f>Y27</f>
        <v/>
      </c>
      <c r="CZ27" s="502" t="n"/>
      <c r="DA27" s="502">
        <f>DA24/DA26*1000</f>
        <v/>
      </c>
      <c r="DB27" s="502">
        <f>DB24/DB26*1000</f>
        <v/>
      </c>
      <c r="DC27" s="502">
        <f>Z27</f>
        <v/>
      </c>
      <c r="DD27" s="502" t="n"/>
      <c r="DE27" s="502">
        <f>DE24/DE26*1000</f>
        <v/>
      </c>
      <c r="DF27" s="502">
        <f>DF24/DF26*1000</f>
        <v/>
      </c>
      <c r="DG27" s="502">
        <f>AA27</f>
        <v/>
      </c>
      <c r="DH27" s="118" t="n"/>
      <c r="DI27" s="502">
        <f>DI24/DI26*1000</f>
        <v/>
      </c>
      <c r="DJ27" s="502">
        <f>DJ24/DJ26*1000</f>
        <v/>
      </c>
      <c r="DK27" s="502">
        <f>AB27</f>
        <v/>
      </c>
      <c r="DL27" s="502" t="n"/>
      <c r="DM27" s="502">
        <f>DM24/DM26*1000</f>
        <v/>
      </c>
      <c r="DN27" s="502">
        <f>DN24/DN26*1000</f>
        <v/>
      </c>
      <c r="DO27" s="502">
        <f>AC27</f>
        <v/>
      </c>
      <c r="DP27" s="118" t="n"/>
      <c r="DQ27" s="502">
        <f>DQ24/DQ26*1000</f>
        <v/>
      </c>
      <c r="DR27" s="502">
        <f>DR24/DR26*1000</f>
        <v/>
      </c>
      <c r="DS27" s="502">
        <f>AD27</f>
        <v/>
      </c>
      <c r="DT27" s="502" t="n"/>
      <c r="DU27" s="502">
        <f>DU24/DU26*1000</f>
        <v/>
      </c>
      <c r="DV27" s="502">
        <f>DV24/DV26*1000</f>
        <v/>
      </c>
      <c r="DW27" s="502">
        <f>AE27</f>
        <v/>
      </c>
      <c r="DX27" s="502" t="n"/>
      <c r="DY27" s="502">
        <f>DY24/DY26*1000</f>
        <v/>
      </c>
      <c r="DZ27" s="502">
        <f>DZ24/DZ26*1000</f>
        <v/>
      </c>
      <c r="EA27" s="502">
        <f>AF27</f>
        <v/>
      </c>
      <c r="EB27" s="994" t="n"/>
      <c r="EC27" s="502">
        <f>EC24/EC26*1000</f>
        <v/>
      </c>
      <c r="ED27" s="502">
        <f>ED24/ED26*1000</f>
        <v/>
      </c>
      <c r="EE27" s="502">
        <f>AG27</f>
        <v/>
      </c>
      <c r="EF27" s="502" t="n"/>
      <c r="EG27" s="502">
        <f>EG24/EG26*1000</f>
        <v/>
      </c>
      <c r="EH27" s="502">
        <f>EH24/EH26*1000</f>
        <v/>
      </c>
      <c r="EI27" s="502">
        <f>AH27</f>
        <v/>
      </c>
      <c r="EJ27" s="502" t="n"/>
      <c r="EK27" s="502">
        <f>EK24/EK26*1000</f>
        <v/>
      </c>
      <c r="EL27" s="502">
        <f>EL24/EL26*1000</f>
        <v/>
      </c>
      <c r="EM27" s="502">
        <f>AI27</f>
        <v/>
      </c>
      <c r="EN27" s="502" t="n"/>
      <c r="EO27" s="502">
        <f>EO24/EO26*1000</f>
        <v/>
      </c>
      <c r="EP27" s="502">
        <f>EP24/EP26*1000</f>
        <v/>
      </c>
      <c r="EQ27" s="502">
        <f>AJ27</f>
        <v/>
      </c>
      <c r="ER27" s="502" t="n"/>
      <c r="ES27" s="502">
        <f>ES24/ES26*1000</f>
        <v/>
      </c>
      <c r="ET27" s="502">
        <f>ET24/ET26*1000</f>
        <v/>
      </c>
      <c r="EU27" s="502">
        <f>AK27</f>
        <v/>
      </c>
      <c r="EV27" s="502" t="n"/>
      <c r="EW27" s="502">
        <f>EW24/EW26*1000</f>
        <v/>
      </c>
      <c r="EX27" s="502">
        <f>EX24/EX26*1000</f>
        <v/>
      </c>
      <c r="EY27" s="502">
        <f>AL27</f>
        <v/>
      </c>
      <c r="FA27" s="502">
        <f>FA24/FA26*1000</f>
        <v/>
      </c>
      <c r="FB27" s="502">
        <f>FB24/FB26*1000</f>
        <v/>
      </c>
      <c r="FC27" s="21">
        <f>AM27</f>
        <v/>
      </c>
      <c r="FD27" s="20" t="n"/>
      <c r="FE27" s="502">
        <f>FE24/FE26*1000</f>
        <v/>
      </c>
      <c r="FF27" s="502">
        <f>FF24/FF26*1000</f>
        <v/>
      </c>
      <c r="FG27" s="21">
        <f>AN27</f>
        <v/>
      </c>
      <c r="FI27" s="502">
        <f>FI24/FI26*1000</f>
        <v/>
      </c>
      <c r="FJ27" s="502">
        <f>FJ24/FJ26*1000</f>
        <v/>
      </c>
      <c r="FK27" s="21">
        <f>AO27</f>
        <v/>
      </c>
      <c r="FM27" s="502">
        <f>FM24/FM26*1000</f>
        <v/>
      </c>
      <c r="FN27" s="489">
        <f>FK27</f>
        <v/>
      </c>
      <c r="FO27" s="21">
        <f>AP27</f>
        <v/>
      </c>
    </row>
    <row r="28" ht="14.25" customFormat="1" customHeight="1" s="994">
      <c r="A28" s="1009" t="inlineStr">
        <is>
          <t>load factor</t>
        </is>
      </c>
      <c r="B28" s="994" t="inlineStr">
        <is>
          <t>FSC's Passenger load factor</t>
        </is>
      </c>
      <c r="C28" s="994">
        <f>C24/C22</f>
        <v/>
      </c>
      <c r="D28" s="994">
        <f>D24/D22</f>
        <v/>
      </c>
      <c r="E28" s="994">
        <f>E24/E22</f>
        <v/>
      </c>
      <c r="F28" s="994">
        <f>F24/F22</f>
        <v/>
      </c>
      <c r="G28" s="994">
        <f>G24/G22</f>
        <v/>
      </c>
      <c r="H28" s="994">
        <f>H24/H22</f>
        <v/>
      </c>
      <c r="I28" s="994">
        <f>I24/I22</f>
        <v/>
      </c>
      <c r="J28" s="994">
        <f>J24/J22</f>
        <v/>
      </c>
      <c r="K28" s="994">
        <f>K24/K22</f>
        <v/>
      </c>
      <c r="L28" s="1010">
        <f>L24/L22</f>
        <v/>
      </c>
      <c r="M28" s="1010">
        <f>M24/M22</f>
        <v/>
      </c>
      <c r="N28" s="1010">
        <f>N24/N22</f>
        <v/>
      </c>
      <c r="O28" s="1010">
        <f>O24/O22</f>
        <v/>
      </c>
      <c r="P28" s="1010">
        <f>P24/P22</f>
        <v/>
      </c>
      <c r="Q28" s="1010">
        <f>Q24/Q22</f>
        <v/>
      </c>
      <c r="R28" s="1010">
        <f>R24/R22</f>
        <v/>
      </c>
      <c r="S28" s="1010">
        <f>S24/S22</f>
        <v/>
      </c>
      <c r="T28" s="1010">
        <f>T24/T22</f>
        <v/>
      </c>
      <c r="U28" s="1010">
        <f>U24/U22</f>
        <v/>
      </c>
      <c r="V28" s="1010">
        <f>V24/V22</f>
        <v/>
      </c>
      <c r="W28" s="1010">
        <f>W24/W22</f>
        <v/>
      </c>
      <c r="X28" s="1010">
        <f>X24/X22</f>
        <v/>
      </c>
      <c r="Y28" s="1010">
        <f>Y24/Y22</f>
        <v/>
      </c>
      <c r="Z28" s="1010">
        <f>Z24/Z22</f>
        <v/>
      </c>
      <c r="AA28" s="1010">
        <f>AA24/AA22</f>
        <v/>
      </c>
      <c r="AB28" s="1010">
        <f>AB24/AB22</f>
        <v/>
      </c>
      <c r="AC28" s="1010">
        <f>AC24/AC22</f>
        <v/>
      </c>
      <c r="AD28" s="1010">
        <f>AD24/AD22</f>
        <v/>
      </c>
      <c r="AE28" s="1010">
        <f>AE24/AE22</f>
        <v/>
      </c>
      <c r="AF28" s="1010">
        <f>AF24/AF22</f>
        <v/>
      </c>
      <c r="AG28" s="1010">
        <f>AG24/AG22</f>
        <v/>
      </c>
      <c r="AH28" s="1010">
        <f>AH24/AH22</f>
        <v/>
      </c>
      <c r="AI28" s="1010">
        <f>AI24/AI22</f>
        <v/>
      </c>
      <c r="AJ28" s="1010">
        <f>AJ24/AJ22</f>
        <v/>
      </c>
      <c r="AK28" s="1010">
        <f>AK24/AK22</f>
        <v/>
      </c>
      <c r="AL28" s="1010">
        <f>AL24/AL22</f>
        <v/>
      </c>
      <c r="AM28" s="1010">
        <f>AM24/AM22</f>
        <v/>
      </c>
      <c r="AN28" s="1010">
        <f>AN24/AN22</f>
        <v/>
      </c>
      <c r="AO28" s="994">
        <f>AO24/AO22</f>
        <v/>
      </c>
      <c r="AP28" s="994">
        <f>AP24/AP22</f>
        <v/>
      </c>
      <c r="AQ28" s="1011">
        <f>AP28</f>
        <v/>
      </c>
      <c r="AR28" s="1011">
        <f>AQ28</f>
        <v/>
      </c>
      <c r="AS28" s="1011">
        <f>AR28</f>
        <v/>
      </c>
      <c r="AT28" s="1011">
        <f>AS28</f>
        <v/>
      </c>
      <c r="AU28" s="1010" t="n"/>
      <c r="AV28" s="1012" t="n"/>
      <c r="AW28" s="1012" t="n"/>
      <c r="AX28" s="1013">
        <f>L28</f>
        <v/>
      </c>
      <c r="AY28" s="1012" t="n"/>
      <c r="AZ28" s="1012">
        <f>AZ24/AZ22</f>
        <v/>
      </c>
      <c r="BA28" s="1012">
        <f>BA24/BA22</f>
        <v/>
      </c>
      <c r="BB28" s="1013">
        <f>M28</f>
        <v/>
      </c>
      <c r="BD28" s="1012">
        <f>BD24/BD22</f>
        <v/>
      </c>
      <c r="BE28" s="1012">
        <f>BE24/BE22</f>
        <v/>
      </c>
      <c r="BF28" s="1013">
        <f>N28</f>
        <v/>
      </c>
      <c r="BH28" s="1012">
        <f>BH24/BH22</f>
        <v/>
      </c>
      <c r="BI28" s="1012">
        <f>BI24/BI22</f>
        <v/>
      </c>
      <c r="BJ28" s="1013">
        <f>O28</f>
        <v/>
      </c>
      <c r="BL28" s="1012">
        <f>BL24/BL22</f>
        <v/>
      </c>
      <c r="BM28" s="1012">
        <f>BM24/BM22</f>
        <v/>
      </c>
      <c r="BN28" s="1013">
        <f>P28</f>
        <v/>
      </c>
      <c r="BP28" s="1012">
        <f>BP24/BP22</f>
        <v/>
      </c>
      <c r="BQ28" s="1012">
        <f>BQ24/BQ22</f>
        <v/>
      </c>
      <c r="BR28" s="1013">
        <f>Q28</f>
        <v/>
      </c>
      <c r="BT28" s="1012">
        <f>BT24/BT22</f>
        <v/>
      </c>
      <c r="BU28" s="1012">
        <f>BU24/BU22</f>
        <v/>
      </c>
      <c r="BV28" s="1013">
        <f>R28</f>
        <v/>
      </c>
      <c r="BX28" s="1012">
        <f>BX24/BX22</f>
        <v/>
      </c>
      <c r="BY28" s="1012">
        <f>BY24/BY22</f>
        <v/>
      </c>
      <c r="BZ28" s="1013">
        <f>S28</f>
        <v/>
      </c>
      <c r="CB28" s="1012">
        <f>CB24/CB22</f>
        <v/>
      </c>
      <c r="CC28" s="1012">
        <f>CC24/CC22</f>
        <v/>
      </c>
      <c r="CD28" s="1013">
        <f>T28</f>
        <v/>
      </c>
      <c r="CE28" s="1012" t="n"/>
      <c r="CF28" s="1012">
        <f>CF24/CF22</f>
        <v/>
      </c>
      <c r="CG28" s="1012">
        <f>CG24/CG22</f>
        <v/>
      </c>
      <c r="CH28" s="1013">
        <f>U28</f>
        <v/>
      </c>
      <c r="CI28" s="1013" t="n"/>
      <c r="CJ28" s="1012">
        <f>CJ24/CJ22</f>
        <v/>
      </c>
      <c r="CK28" s="1012">
        <f>CK24/CK22</f>
        <v/>
      </c>
      <c r="CL28" s="1013">
        <f>V28</f>
        <v/>
      </c>
      <c r="CM28" s="1013" t="n"/>
      <c r="CN28" s="1012">
        <f>CN24/CN22</f>
        <v/>
      </c>
      <c r="CO28" s="1012">
        <f>CO24/CO22</f>
        <v/>
      </c>
      <c r="CP28" s="1012">
        <f>W28</f>
        <v/>
      </c>
      <c r="CQ28" s="1012" t="n"/>
      <c r="CR28" s="1012">
        <f>CR24/CR22</f>
        <v/>
      </c>
      <c r="CS28" s="1012">
        <f>CS24/CS22</f>
        <v/>
      </c>
      <c r="CT28" s="1012">
        <f>CT24/CT22</f>
        <v/>
      </c>
      <c r="CU28" s="1012">
        <f>X28</f>
        <v/>
      </c>
      <c r="CV28" s="1012" t="n"/>
      <c r="CW28" s="1012">
        <f>CW24/CW22</f>
        <v/>
      </c>
      <c r="CX28" s="1012">
        <f>CX24/CX22</f>
        <v/>
      </c>
      <c r="CY28" s="1012">
        <f>Y28</f>
        <v/>
      </c>
      <c r="CZ28" s="1012" t="n"/>
      <c r="DA28" s="1012">
        <f>DA24/DA22</f>
        <v/>
      </c>
      <c r="DB28" s="1012">
        <f>DB24/DB22</f>
        <v/>
      </c>
      <c r="DC28" s="1012">
        <f>Z28</f>
        <v/>
      </c>
      <c r="DD28" s="1012" t="n"/>
      <c r="DE28" s="1010">
        <f>DE24/DE22</f>
        <v/>
      </c>
      <c r="DF28" s="1012">
        <f>DF24/DF22</f>
        <v/>
      </c>
      <c r="DG28" s="1012">
        <f>AA28</f>
        <v/>
      </c>
      <c r="DH28" s="1012" t="n"/>
      <c r="DI28" s="1010">
        <f>DI24/DI22</f>
        <v/>
      </c>
      <c r="DJ28" s="1012">
        <f>DJ24/DJ22</f>
        <v/>
      </c>
      <c r="DK28" s="1012">
        <f>AB28</f>
        <v/>
      </c>
      <c r="DL28" s="1012" t="n"/>
      <c r="DM28" s="1010">
        <f>DM24/DM22</f>
        <v/>
      </c>
      <c r="DN28" s="1010">
        <f>DN24/DN22</f>
        <v/>
      </c>
      <c r="DO28" s="1010">
        <f>AC28</f>
        <v/>
      </c>
      <c r="DP28" s="118" t="n"/>
      <c r="DQ28" s="1010">
        <f>DQ24/DQ22</f>
        <v/>
      </c>
      <c r="DR28" s="1010">
        <f>DR24/DR22</f>
        <v/>
      </c>
      <c r="DS28" s="1010">
        <f>AD28</f>
        <v/>
      </c>
      <c r="DT28" s="1010" t="n"/>
      <c r="DU28" s="1010">
        <f>DU24/DU22</f>
        <v/>
      </c>
      <c r="DV28" s="1010">
        <f>DV24/DV22</f>
        <v/>
      </c>
      <c r="DW28" s="1010">
        <f>AE28</f>
        <v/>
      </c>
      <c r="DX28" s="1010" t="n"/>
      <c r="DY28" s="1010">
        <f>DY24/DY22</f>
        <v/>
      </c>
      <c r="DZ28" s="1010">
        <f>DZ24/DZ22</f>
        <v/>
      </c>
      <c r="EA28" s="1010">
        <f>AF28</f>
        <v/>
      </c>
      <c r="EC28" s="1010">
        <f>EC24/EC22</f>
        <v/>
      </c>
      <c r="ED28" s="1010">
        <f>ED24/ED22</f>
        <v/>
      </c>
      <c r="EE28" s="1010">
        <f>AG28</f>
        <v/>
      </c>
      <c r="EF28" s="1010" t="n"/>
      <c r="EG28" s="1010">
        <f>EG24/EG22</f>
        <v/>
      </c>
      <c r="EH28" s="1010">
        <f>EH24/EH22</f>
        <v/>
      </c>
      <c r="EI28" s="1010">
        <f>AH28</f>
        <v/>
      </c>
      <c r="EJ28" s="1010" t="n"/>
      <c r="EK28" s="1010">
        <f>EK24/EK22</f>
        <v/>
      </c>
      <c r="EL28" s="1010">
        <f>EL24/EL22</f>
        <v/>
      </c>
      <c r="EM28" s="1010">
        <f>AI28</f>
        <v/>
      </c>
      <c r="EN28" s="1010" t="n"/>
      <c r="EO28" s="1010">
        <f>EO24/EO22</f>
        <v/>
      </c>
      <c r="EP28" s="1010">
        <f>EP24/EP22</f>
        <v/>
      </c>
      <c r="EQ28" s="1010">
        <f>EQ24/EQ22</f>
        <v/>
      </c>
      <c r="ER28" s="1010" t="n"/>
      <c r="ES28" s="1010">
        <f>ES24/ES22</f>
        <v/>
      </c>
      <c r="ET28" s="1010">
        <f>ET24/ET22</f>
        <v/>
      </c>
      <c r="EU28" s="1010">
        <f>EU24/EU22</f>
        <v/>
      </c>
      <c r="EV28" s="1010" t="n"/>
      <c r="EW28" s="1010">
        <f>EW24/EW22</f>
        <v/>
      </c>
      <c r="EX28" s="1010">
        <f>EX24/EX22</f>
        <v/>
      </c>
      <c r="EY28" s="1010">
        <f>EY24/EY22</f>
        <v/>
      </c>
      <c r="FA28" s="1010">
        <f>FA24/FA22</f>
        <v/>
      </c>
      <c r="FB28" s="1010">
        <f>FB24/FB22</f>
        <v/>
      </c>
      <c r="FC28" s="1010">
        <f>FC24/FC22</f>
        <v/>
      </c>
      <c r="FE28" s="1010">
        <f>FE24/FE22</f>
        <v/>
      </c>
      <c r="FF28" s="1010">
        <f>FF24/FF22</f>
        <v/>
      </c>
      <c r="FG28" s="1010">
        <f>FG24/FG22</f>
        <v/>
      </c>
      <c r="FI28" s="1010">
        <f>FI24/FI22</f>
        <v/>
      </c>
      <c r="FJ28" s="1010">
        <f>FJ24/FJ22</f>
        <v/>
      </c>
      <c r="FK28" s="1010">
        <f>FK24/FK22</f>
        <v/>
      </c>
      <c r="FM28" s="1010">
        <f>FM24/FM22</f>
        <v/>
      </c>
      <c r="FN28" s="1011">
        <f>FJ28</f>
        <v/>
      </c>
      <c r="FO28" s="1010">
        <f>FO24/FO22</f>
        <v/>
      </c>
    </row>
    <row r="29" ht="14.25" customFormat="1" customHeight="1" s="57">
      <c r="A29" s="56" t="n"/>
      <c r="B29" s="57" t="inlineStr">
        <is>
          <t>FSC's pax yield</t>
        </is>
      </c>
      <c r="C29" s="57">
        <f>C112/C24</f>
        <v/>
      </c>
      <c r="D29" s="57">
        <f>D112/D24</f>
        <v/>
      </c>
      <c r="E29" s="57">
        <f>E112/E24</f>
        <v/>
      </c>
      <c r="F29" s="57">
        <f>F112/F24</f>
        <v/>
      </c>
      <c r="G29" s="57">
        <f>G112/G24</f>
        <v/>
      </c>
      <c r="H29" s="57">
        <f>H112/H24</f>
        <v/>
      </c>
      <c r="I29" s="57">
        <f>I112/I24</f>
        <v/>
      </c>
      <c r="J29" s="57">
        <f>J112/J24</f>
        <v/>
      </c>
      <c r="K29" s="57">
        <f>K112/K24</f>
        <v/>
      </c>
      <c r="L29" s="58">
        <f>L112/L24</f>
        <v/>
      </c>
      <c r="M29" s="58">
        <f>M112/M24</f>
        <v/>
      </c>
      <c r="N29" s="58">
        <f>N112/N24</f>
        <v/>
      </c>
      <c r="O29" s="58">
        <f>O112/O24</f>
        <v/>
      </c>
      <c r="P29" s="58">
        <f>P112/P24</f>
        <v/>
      </c>
      <c r="Q29" s="58">
        <f>Q112/Q24</f>
        <v/>
      </c>
      <c r="R29" s="58">
        <f>R112/R24</f>
        <v/>
      </c>
      <c r="S29" s="58">
        <f>S112/S24</f>
        <v/>
      </c>
      <c r="T29" s="1014">
        <f>T112/T24</f>
        <v/>
      </c>
      <c r="U29" s="1014">
        <f>U112/U24</f>
        <v/>
      </c>
      <c r="V29" s="1014">
        <f>V112/V24</f>
        <v/>
      </c>
      <c r="W29" s="1015">
        <f>W112/W24</f>
        <v/>
      </c>
      <c r="X29" s="1015">
        <f>X112/X24</f>
        <v/>
      </c>
      <c r="Y29" s="1015">
        <f>Y112/Y24</f>
        <v/>
      </c>
      <c r="Z29" s="1015">
        <f>Z112/Z24</f>
        <v/>
      </c>
      <c r="AA29" s="1015">
        <f>AA112/AA24</f>
        <v/>
      </c>
      <c r="AB29" s="1015">
        <f>AB112/AB24</f>
        <v/>
      </c>
      <c r="AC29" s="1015">
        <f>AC112/AC24</f>
        <v/>
      </c>
      <c r="AD29" s="1015">
        <f>AD112/AD24</f>
        <v/>
      </c>
      <c r="AE29" s="1015">
        <f>AE112/AE24</f>
        <v/>
      </c>
      <c r="AF29" s="1015">
        <f>AF112/AF24</f>
        <v/>
      </c>
      <c r="AG29" s="1015">
        <f>AG112/AG24</f>
        <v/>
      </c>
      <c r="AH29" s="1015">
        <f>AH112/AH24</f>
        <v/>
      </c>
      <c r="AI29" s="1016">
        <f>AI35/AI24</f>
        <v/>
      </c>
      <c r="AJ29" s="1016">
        <f>AJ35/AJ24</f>
        <v/>
      </c>
      <c r="AK29" s="1016">
        <f>AK35/AK24</f>
        <v/>
      </c>
      <c r="AL29" s="1016">
        <f>AL35/AL24</f>
        <v/>
      </c>
      <c r="AM29" s="1016">
        <f>AM35/AM24</f>
        <v/>
      </c>
      <c r="AN29" s="1016">
        <f>AN35/AN24</f>
        <v/>
      </c>
      <c r="AO29" s="1016">
        <f>AO35/AO24</f>
        <v/>
      </c>
      <c r="AP29" s="1016">
        <f>AP35/AP24</f>
        <v/>
      </c>
      <c r="AQ29" s="1015">
        <f>+AP29*(1+AQ30)</f>
        <v/>
      </c>
      <c r="AR29" s="1015">
        <f>+AQ29*(1+AR30)</f>
        <v/>
      </c>
      <c r="AS29" s="1015">
        <f>+AR29*(1+AS30)</f>
        <v/>
      </c>
      <c r="AT29" s="1015">
        <f>+AS29*(1+AT30)</f>
        <v/>
      </c>
      <c r="AU29" s="809" t="n"/>
      <c r="AV29" s="62">
        <f>AV35/AV24</f>
        <v/>
      </c>
      <c r="AW29" s="62">
        <f>AW35/AW24</f>
        <v/>
      </c>
      <c r="AX29" s="62">
        <f>L29</f>
        <v/>
      </c>
      <c r="AY29" s="63" t="n"/>
      <c r="AZ29" s="1017">
        <f>AZ35/AZ24</f>
        <v/>
      </c>
      <c r="BA29" s="1017">
        <f>BA35/BA24</f>
        <v/>
      </c>
      <c r="BB29" s="1018">
        <f>M29</f>
        <v/>
      </c>
      <c r="BC29" s="995" t="n"/>
      <c r="BD29" s="1017">
        <f>BD35/BD24</f>
        <v/>
      </c>
      <c r="BE29" s="1017">
        <f>BE35/BE24</f>
        <v/>
      </c>
      <c r="BF29" s="1018">
        <f>N29</f>
        <v/>
      </c>
      <c r="BH29" s="1017">
        <f>BH35/BH24</f>
        <v/>
      </c>
      <c r="BI29" s="1017">
        <f>BI35/BI24</f>
        <v/>
      </c>
      <c r="BJ29" s="1018">
        <f>O29</f>
        <v/>
      </c>
      <c r="BL29" s="1017">
        <f>BL35/BL24</f>
        <v/>
      </c>
      <c r="BM29" s="1017">
        <f>BM35/BM24</f>
        <v/>
      </c>
      <c r="BN29" s="1018">
        <f>P29</f>
        <v/>
      </c>
      <c r="BP29" s="1017">
        <f>BP35/BP24</f>
        <v/>
      </c>
      <c r="BQ29" s="1017">
        <f>BQ35/BQ24</f>
        <v/>
      </c>
      <c r="BR29" s="1018">
        <f>Q29</f>
        <v/>
      </c>
      <c r="BT29" s="1017">
        <f>BT35/BT24</f>
        <v/>
      </c>
      <c r="BU29" s="1017">
        <f>BU35/BU24</f>
        <v/>
      </c>
      <c r="BV29" s="1018">
        <f>R29</f>
        <v/>
      </c>
      <c r="BX29" s="1017">
        <f>BX35/BX24</f>
        <v/>
      </c>
      <c r="BY29" s="1017">
        <f>BY35/BY24</f>
        <v/>
      </c>
      <c r="BZ29" s="1018">
        <f>S29</f>
        <v/>
      </c>
      <c r="CB29" s="1017">
        <f>CB35/CB24</f>
        <v/>
      </c>
      <c r="CC29" s="1017">
        <f>CC35/CC24</f>
        <v/>
      </c>
      <c r="CD29" s="1018">
        <f>T29</f>
        <v/>
      </c>
      <c r="CE29" s="1017" t="n"/>
      <c r="CF29" s="1017">
        <f>CF35/CF24</f>
        <v/>
      </c>
      <c r="CG29" s="1017">
        <f>CG35/CG24</f>
        <v/>
      </c>
      <c r="CH29" s="1018">
        <f>U29</f>
        <v/>
      </c>
      <c r="CI29" s="1018" t="n"/>
      <c r="CJ29" s="1017">
        <f>CJ35/CJ24</f>
        <v/>
      </c>
      <c r="CK29" s="1017">
        <f>CK35/CK24</f>
        <v/>
      </c>
      <c r="CL29" s="1018">
        <f>V29</f>
        <v/>
      </c>
      <c r="CM29" s="1018" t="n"/>
      <c r="CN29" s="1017">
        <f>CN35/CN24</f>
        <v/>
      </c>
      <c r="CO29" s="1017">
        <f>CO35/CO24</f>
        <v/>
      </c>
      <c r="CP29" s="1017">
        <f>W29</f>
        <v/>
      </c>
      <c r="CQ29" s="1017" t="n"/>
      <c r="CR29" s="1017">
        <f>CR35/CR24</f>
        <v/>
      </c>
      <c r="CS29" s="1017">
        <f>CS35/CS24</f>
        <v/>
      </c>
      <c r="CT29" s="1017">
        <f>CT35/CT24</f>
        <v/>
      </c>
      <c r="CU29" s="1017">
        <f>X29</f>
        <v/>
      </c>
      <c r="CV29" s="1017" t="n"/>
      <c r="CW29" s="1017">
        <f>CW35/CW24</f>
        <v/>
      </c>
      <c r="CX29" s="1017">
        <f>CX35/CX24</f>
        <v/>
      </c>
      <c r="CY29" s="1017">
        <f>Y29</f>
        <v/>
      </c>
      <c r="CZ29" s="1003" t="n"/>
      <c r="DA29" s="1017">
        <f>DA35/DA24</f>
        <v/>
      </c>
      <c r="DB29" s="1017">
        <f>DB35/DB24</f>
        <v/>
      </c>
      <c r="DC29" s="1017">
        <f>Z29</f>
        <v/>
      </c>
      <c r="DD29" s="1003" t="n"/>
      <c r="DE29" s="1015">
        <f>DE35/DE24</f>
        <v/>
      </c>
      <c r="DF29" s="1017">
        <f>DF35/DF24</f>
        <v/>
      </c>
      <c r="DG29" s="1017">
        <f>AA29</f>
        <v/>
      </c>
      <c r="DH29" s="118" t="n"/>
      <c r="DI29" s="1015">
        <f>DI35/DI24</f>
        <v/>
      </c>
      <c r="DJ29" s="1017">
        <f>DJ35/DJ24</f>
        <v/>
      </c>
      <c r="DK29" s="1017">
        <f>AB29</f>
        <v/>
      </c>
      <c r="DL29" s="1017" t="n"/>
      <c r="DM29" s="1015">
        <f>DM35/DM24</f>
        <v/>
      </c>
      <c r="DN29" s="1015">
        <f>DN35/DN24</f>
        <v/>
      </c>
      <c r="DO29" s="1015">
        <f>AC29</f>
        <v/>
      </c>
      <c r="DP29" s="118" t="n"/>
      <c r="DQ29" s="1015">
        <f>DQ35/DQ24</f>
        <v/>
      </c>
      <c r="DR29" s="1015">
        <f>DR35/DR24</f>
        <v/>
      </c>
      <c r="DS29" s="1015">
        <f>AD29</f>
        <v/>
      </c>
      <c r="DT29" s="1015" t="n"/>
      <c r="DU29" s="1015">
        <f>DU35/DU24</f>
        <v/>
      </c>
      <c r="DV29" s="1015">
        <f>DV35/DV24</f>
        <v/>
      </c>
      <c r="DW29" s="1015">
        <f>AE29</f>
        <v/>
      </c>
      <c r="DX29" s="1015" t="n"/>
      <c r="DY29" s="1015">
        <f>DY35/DY24</f>
        <v/>
      </c>
      <c r="DZ29" s="1015">
        <f>DZ35/DZ24</f>
        <v/>
      </c>
      <c r="EA29" s="1015">
        <f>AF29</f>
        <v/>
      </c>
      <c r="EB29" s="994" t="n"/>
      <c r="EC29" s="1015">
        <f>EC35/EC24</f>
        <v/>
      </c>
      <c r="ED29" s="1015">
        <f>ED35/ED24</f>
        <v/>
      </c>
      <c r="EE29" s="1015">
        <f>AG29</f>
        <v/>
      </c>
      <c r="EF29" s="1015" t="n"/>
      <c r="EG29" s="1015">
        <f>EG35/EG24</f>
        <v/>
      </c>
      <c r="EH29" s="1015">
        <f>EH35/EH24</f>
        <v/>
      </c>
      <c r="EI29" s="1015">
        <f>AH29</f>
        <v/>
      </c>
      <c r="EJ29" s="1015" t="n"/>
      <c r="EK29" s="1015">
        <f>EK35/EK24</f>
        <v/>
      </c>
      <c r="EL29" s="1015">
        <f>EL35/EL24</f>
        <v/>
      </c>
      <c r="EM29" s="1015">
        <f>AI29</f>
        <v/>
      </c>
      <c r="EN29" s="1004" t="n"/>
      <c r="EO29" s="1019" t="n">
        <v>0.555</v>
      </c>
      <c r="EP29" s="1015">
        <f>EP35/EP24</f>
        <v/>
      </c>
      <c r="EQ29" s="1015">
        <f>AJ29</f>
        <v/>
      </c>
      <c r="ER29" s="1004" t="n"/>
      <c r="ES29" s="1019" t="n">
        <v>0.945</v>
      </c>
      <c r="ET29" s="1015">
        <f>ET35/ET24</f>
        <v/>
      </c>
      <c r="EU29" s="1015">
        <f>AK29</f>
        <v/>
      </c>
      <c r="EV29" s="1004" t="n"/>
      <c r="EW29" s="1019" t="n">
        <v>1.143</v>
      </c>
      <c r="EX29" s="1015">
        <f>EX35/EX24</f>
        <v/>
      </c>
      <c r="EY29" s="1015">
        <f>AL29</f>
        <v/>
      </c>
      <c r="EZ29" s="1004" t="n"/>
      <c r="FA29" s="1019" t="n">
        <v>0.774</v>
      </c>
      <c r="FB29" s="1015">
        <f>FB35/FB24</f>
        <v/>
      </c>
      <c r="FC29" s="1015">
        <f>AM29</f>
        <v/>
      </c>
      <c r="FD29" s="1004" t="n"/>
      <c r="FE29" s="1019" t="n">
        <v>0.6889999999999999</v>
      </c>
      <c r="FF29" s="1015">
        <f>FF35/FF24</f>
        <v/>
      </c>
      <c r="FG29" s="1015">
        <f>AN29</f>
        <v/>
      </c>
      <c r="FH29" s="1020" t="n"/>
      <c r="FI29" s="1019" t="n">
        <v>0.604</v>
      </c>
      <c r="FJ29" s="1015">
        <f>FJ35/FJ24</f>
        <v/>
      </c>
      <c r="FK29" s="1015">
        <f>AO29</f>
        <v/>
      </c>
      <c r="FM29" s="1019" t="n">
        <v>0.661</v>
      </c>
      <c r="FN29" s="1015">
        <f>FJ29*(1+FN30)</f>
        <v/>
      </c>
      <c r="FO29" s="1015">
        <f>AP29</f>
        <v/>
      </c>
    </row>
    <row r="30" ht="14.25" customFormat="1" customHeight="1" s="1021">
      <c r="A30" s="1022" t="inlineStr">
        <is>
          <t>pax yield chg</t>
        </is>
      </c>
      <c r="B30" s="996" t="inlineStr">
        <is>
          <t>YoY change in passenger yield</t>
        </is>
      </c>
      <c r="D30" s="1021">
        <f>D29/C29-1</f>
        <v/>
      </c>
      <c r="E30" s="1021">
        <f>E29/D29-1</f>
        <v/>
      </c>
      <c r="F30" s="1021">
        <f>F29/E29-1</f>
        <v/>
      </c>
      <c r="G30" s="1021">
        <f>G29/F29-1</f>
        <v/>
      </c>
      <c r="H30" s="1021">
        <f>H29/G29-1</f>
        <v/>
      </c>
      <c r="I30" s="1021">
        <f>I29/H29-1</f>
        <v/>
      </c>
      <c r="J30" s="1021">
        <f>J29/I29-1</f>
        <v/>
      </c>
      <c r="K30" s="1021">
        <f>K29/J29-1</f>
        <v/>
      </c>
      <c r="L30" s="990" t="n">
        <v>-0.057</v>
      </c>
      <c r="M30" s="990">
        <f>M29/L29-1</f>
        <v/>
      </c>
      <c r="N30" s="990">
        <f>N29/M29-1</f>
        <v/>
      </c>
      <c r="O30" s="990">
        <f>O29/N29-1</f>
        <v/>
      </c>
      <c r="P30" s="990">
        <f>P29/O29-1</f>
        <v/>
      </c>
      <c r="Q30" s="990">
        <f>Q29/P29-1</f>
        <v/>
      </c>
      <c r="R30" s="990">
        <f>R29/Q29-1</f>
        <v/>
      </c>
      <c r="S30" s="990">
        <f>S29/R29-1</f>
        <v/>
      </c>
      <c r="T30" s="990">
        <f>T29/S29-1</f>
        <v/>
      </c>
      <c r="U30" s="990">
        <f>U29/T29-1</f>
        <v/>
      </c>
      <c r="V30" s="990">
        <f>V29/U29-1</f>
        <v/>
      </c>
      <c r="W30" s="990">
        <f>(45129/W24)/V29-1</f>
        <v/>
      </c>
      <c r="X30" s="990">
        <f>X29/W29-1</f>
        <v/>
      </c>
      <c r="Y30" s="990">
        <f>Y29/X29-1</f>
        <v/>
      </c>
      <c r="Z30" s="990">
        <f>Z29/Y29-1</f>
        <v/>
      </c>
      <c r="AA30" s="990">
        <f>AA29/Z29-1</f>
        <v/>
      </c>
      <c r="AB30" s="990">
        <f>AB29/AA29-1</f>
        <v/>
      </c>
      <c r="AC30" s="990">
        <f>AC29/AB29-1</f>
        <v/>
      </c>
      <c r="AD30" s="990">
        <f>AD29/AC29-1</f>
        <v/>
      </c>
      <c r="AE30" s="990">
        <f>AE29/AD29-1</f>
        <v/>
      </c>
      <c r="AF30" s="990">
        <f>AF29/AE29-1</f>
        <v/>
      </c>
      <c r="AG30" s="990">
        <f>AG29/AF29-1</f>
        <v/>
      </c>
      <c r="AH30" s="990">
        <f>AH29/AG29-1</f>
        <v/>
      </c>
      <c r="AI30" s="990">
        <f>AI29/AH29-1</f>
        <v/>
      </c>
      <c r="AJ30" s="990">
        <f>AJ29/AI29-1</f>
        <v/>
      </c>
      <c r="AK30" s="990">
        <f>AK29/AJ29-1</f>
        <v/>
      </c>
      <c r="AL30" s="990">
        <f>AL29/AK29-1</f>
        <v/>
      </c>
      <c r="AM30" s="990">
        <f>AM29/AL29-1</f>
        <v/>
      </c>
      <c r="AN30" s="990">
        <f>AN29/AM29-1</f>
        <v/>
      </c>
      <c r="AO30" s="990">
        <f>AO29/AN29-1</f>
        <v/>
      </c>
      <c r="AP30" s="990">
        <f>AP29/AO29-1</f>
        <v/>
      </c>
      <c r="AQ30" s="1007" t="n">
        <v>-0.05</v>
      </c>
      <c r="AR30" s="1007" t="n">
        <v>0</v>
      </c>
      <c r="AS30" s="1007" t="n">
        <v>0</v>
      </c>
      <c r="AT30" s="1007" t="n">
        <v>0</v>
      </c>
      <c r="AU30" s="504" t="n"/>
      <c r="AX30" s="1023">
        <f>L30</f>
        <v/>
      </c>
      <c r="AY30" s="993" t="n"/>
      <c r="AZ30" s="993">
        <f>AZ29/AV29-1</f>
        <v/>
      </c>
      <c r="BA30" s="993">
        <f>BA29/AW29-1</f>
        <v/>
      </c>
      <c r="BB30" s="993">
        <f>M30</f>
        <v/>
      </c>
      <c r="BC30" s="1021" t="inlineStr">
        <is>
          <t> </t>
        </is>
      </c>
      <c r="BD30" s="993">
        <f>BD29/AZ29-1</f>
        <v/>
      </c>
      <c r="BE30" s="993">
        <f>BE29/BA29-1</f>
        <v/>
      </c>
      <c r="BF30" s="993">
        <f>N30</f>
        <v/>
      </c>
      <c r="BH30" s="993" t="n">
        <v>-0.0075</v>
      </c>
      <c r="BI30" s="993">
        <f>BI29/BE29-1</f>
        <v/>
      </c>
      <c r="BJ30" s="993">
        <f>O30</f>
        <v/>
      </c>
      <c r="BL30" s="993">
        <f>BL29/BH29-1</f>
        <v/>
      </c>
      <c r="BM30" s="993">
        <f>BM29/BI29-1</f>
        <v/>
      </c>
      <c r="BN30" s="993">
        <f>P30</f>
        <v/>
      </c>
      <c r="BP30" s="993">
        <f>BP29/BL29-1</f>
        <v/>
      </c>
      <c r="BQ30" s="993">
        <f>BQ29/BM29-1</f>
        <v/>
      </c>
      <c r="BR30" s="993">
        <f>Q30</f>
        <v/>
      </c>
      <c r="BT30" s="993">
        <f>BT29/BP29-1</f>
        <v/>
      </c>
      <c r="BU30" s="993">
        <f>BU29/BQ29-1</f>
        <v/>
      </c>
      <c r="BV30" s="993">
        <f>R30</f>
        <v/>
      </c>
      <c r="BX30" s="993">
        <f>BX29/BT29-1</f>
        <v/>
      </c>
      <c r="BY30" s="993">
        <f>BY29/BU29-1</f>
        <v/>
      </c>
      <c r="BZ30" s="993">
        <f>S30</f>
        <v/>
      </c>
      <c r="CB30" s="993">
        <f>CB29/BX29-1</f>
        <v/>
      </c>
      <c r="CC30" s="993">
        <f>CC29/BY29-1</f>
        <v/>
      </c>
      <c r="CD30" s="993">
        <f>T30</f>
        <v/>
      </c>
      <c r="CE30" s="993" t="n"/>
      <c r="CF30" s="993">
        <f>CF29/CB29-1</f>
        <v/>
      </c>
      <c r="CG30" s="993">
        <f>CG29/CC29-1</f>
        <v/>
      </c>
      <c r="CH30" s="993">
        <f>U30</f>
        <v/>
      </c>
      <c r="CI30" s="993" t="n"/>
      <c r="CJ30" s="993">
        <f>CJ29/CF29-1</f>
        <v/>
      </c>
      <c r="CK30" s="993">
        <f>CK29/CG29-1</f>
        <v/>
      </c>
      <c r="CL30" s="993">
        <f>V30</f>
        <v/>
      </c>
      <c r="CM30" s="993" t="n"/>
      <c r="CN30" s="993">
        <f>CN29/CJ29-1</f>
        <v/>
      </c>
      <c r="CO30" s="993">
        <f>CO29/CK29-1</f>
        <v/>
      </c>
      <c r="CP30" s="993">
        <f>W30</f>
        <v/>
      </c>
      <c r="CQ30" s="993" t="n"/>
      <c r="CR30" s="993">
        <f>CR29/CN29-1</f>
        <v/>
      </c>
      <c r="CS30" s="993">
        <f>CS29/CN29-1</f>
        <v/>
      </c>
      <c r="CT30" s="993">
        <f>+CT29/CO29-1</f>
        <v/>
      </c>
      <c r="CU30" s="993">
        <f>X30</f>
        <v/>
      </c>
      <c r="CV30" s="993" t="n"/>
      <c r="CW30" s="993">
        <f>CW29/CS29-1</f>
        <v/>
      </c>
      <c r="CX30" s="993">
        <f>CX29/CT29-1</f>
        <v/>
      </c>
      <c r="CY30" s="993">
        <f>Y30</f>
        <v/>
      </c>
      <c r="CZ30" s="993" t="n"/>
      <c r="DA30" s="993">
        <f>DA29/CW29-1</f>
        <v/>
      </c>
      <c r="DB30" s="993">
        <f>DB29/CX29-1</f>
        <v/>
      </c>
      <c r="DC30" s="993">
        <f>Z30</f>
        <v/>
      </c>
      <c r="DD30" s="993" t="n"/>
      <c r="DE30" s="993">
        <f>DE29/DA29-1</f>
        <v/>
      </c>
      <c r="DF30" s="993">
        <f>DF29/DB29-1</f>
        <v/>
      </c>
      <c r="DG30" s="993">
        <f>AA30</f>
        <v/>
      </c>
      <c r="DH30" s="290" t="n"/>
      <c r="DI30" s="993">
        <f>DI29/DE29-1</f>
        <v/>
      </c>
      <c r="DJ30" s="991">
        <f>DJ29/DF29-1</f>
        <v/>
      </c>
      <c r="DK30" s="991">
        <f>AB30</f>
        <v/>
      </c>
      <c r="DL30" s="991" t="n"/>
      <c r="DM30" s="993">
        <f>DM29/DI29-1</f>
        <v/>
      </c>
      <c r="DN30" s="991">
        <f>DN29/DJ29-1</f>
        <v/>
      </c>
      <c r="DO30" s="991">
        <f>AC30</f>
        <v/>
      </c>
      <c r="DP30" s="290" t="n"/>
      <c r="DQ30" s="990">
        <f>DQ29/DM29-1</f>
        <v/>
      </c>
      <c r="DR30" s="990">
        <f>+DR29/DN29-1</f>
        <v/>
      </c>
      <c r="DS30" s="991">
        <f>AD30</f>
        <v/>
      </c>
      <c r="DT30" s="991" t="n"/>
      <c r="DU30" s="990">
        <f>DU29/DQ29-1</f>
        <v/>
      </c>
      <c r="DV30" s="990">
        <f>+DV29/DR29-1</f>
        <v/>
      </c>
      <c r="DW30" s="990">
        <f>AE30</f>
        <v/>
      </c>
      <c r="DX30" s="991" t="n"/>
      <c r="DY30" s="990">
        <f>DY29/DU29-1</f>
        <v/>
      </c>
      <c r="DZ30" s="990">
        <f>+DZ29/DV29-1</f>
        <v/>
      </c>
      <c r="EA30" s="990">
        <f>AF30</f>
        <v/>
      </c>
      <c r="EB30" s="986" t="n"/>
      <c r="EC30" s="990">
        <f>EC29/DY29-1</f>
        <v/>
      </c>
      <c r="ED30" s="990">
        <f>+ED29/DZ29-1</f>
        <v/>
      </c>
      <c r="EE30" s="990">
        <f>AG30</f>
        <v/>
      </c>
      <c r="EF30" s="990" t="n"/>
      <c r="EG30" s="990">
        <f>EG29/EC29-1</f>
        <v/>
      </c>
      <c r="EH30" s="990">
        <f>+EH29/ED29-1</f>
        <v/>
      </c>
      <c r="EI30" s="990">
        <f>AH30</f>
        <v/>
      </c>
      <c r="EJ30" s="990" t="n"/>
      <c r="EK30" s="990">
        <f>EK29/EG29-1</f>
        <v/>
      </c>
      <c r="EL30" s="990">
        <f>+EL29/EH29-1</f>
        <v/>
      </c>
      <c r="EM30" s="990">
        <f>AI30</f>
        <v/>
      </c>
      <c r="EN30" s="990" t="n"/>
      <c r="EO30" s="990">
        <f>EO29/EK29-1</f>
        <v/>
      </c>
      <c r="EP30" s="990">
        <f>+EP29/EL29-1</f>
        <v/>
      </c>
      <c r="EQ30" s="990">
        <f>AJ30</f>
        <v/>
      </c>
      <c r="ER30" s="990" t="n"/>
      <c r="ES30" s="990">
        <f>ES29/EO29-1</f>
        <v/>
      </c>
      <c r="ET30" s="990">
        <f>+ET29/EP29-1</f>
        <v/>
      </c>
      <c r="EU30" s="990">
        <f>AK30</f>
        <v/>
      </c>
      <c r="EV30" s="990" t="n"/>
      <c r="EW30" s="990">
        <f>EW29/ES29-1</f>
        <v/>
      </c>
      <c r="EX30" s="990">
        <f>EX29/ET29-1</f>
        <v/>
      </c>
      <c r="EY30" s="990">
        <f>AL30</f>
        <v/>
      </c>
      <c r="FA30" s="990">
        <f>FA29/EW29-1</f>
        <v/>
      </c>
      <c r="FB30" s="990">
        <f>FB29/EX29-1</f>
        <v/>
      </c>
      <c r="FC30" s="990">
        <f>AM30</f>
        <v/>
      </c>
      <c r="FE30" s="990">
        <f>FE29/FA29-1</f>
        <v/>
      </c>
      <c r="FF30" s="990">
        <f>FF29/FB29-1</f>
        <v/>
      </c>
      <c r="FG30" s="990">
        <f>AN30</f>
        <v/>
      </c>
      <c r="FI30" s="990">
        <f>FI29/FE29-1</f>
        <v/>
      </c>
      <c r="FJ30" s="990">
        <f>FJ29/FF29-1</f>
        <v/>
      </c>
      <c r="FK30" s="990">
        <f>AO30</f>
        <v/>
      </c>
      <c r="FM30" s="990">
        <f>FM29/FI29-1</f>
        <v/>
      </c>
      <c r="FN30" s="1007">
        <f>FM30</f>
        <v/>
      </c>
      <c r="FO30" s="990">
        <f>AP30</f>
        <v/>
      </c>
    </row>
    <row r="31" ht="14.25" customFormat="1" customHeight="1" s="986">
      <c r="A31" s="987" t="n"/>
      <c r="B31" s="57" t="inlineStr">
        <is>
          <t>FSC's unit revenue (RASK)</t>
        </is>
      </c>
      <c r="C31" s="995">
        <f>C35/C22</f>
        <v/>
      </c>
      <c r="D31" s="995">
        <f>D35/D22</f>
        <v/>
      </c>
      <c r="E31" s="995">
        <f>E35/E22</f>
        <v/>
      </c>
      <c r="F31" s="995">
        <f>F35/F22</f>
        <v/>
      </c>
      <c r="G31" s="995">
        <f>G35/G22</f>
        <v/>
      </c>
      <c r="H31" s="995">
        <f>H35/H22</f>
        <v/>
      </c>
      <c r="I31" s="995">
        <f>I35/I22</f>
        <v/>
      </c>
      <c r="J31" s="995">
        <f>J35/J22</f>
        <v/>
      </c>
      <c r="K31" s="995">
        <f>K35/K22</f>
        <v/>
      </c>
      <c r="L31" s="995">
        <f>L35/L22</f>
        <v/>
      </c>
      <c r="M31" s="995">
        <f>M35/M22</f>
        <v/>
      </c>
      <c r="N31" s="995">
        <f>N35/N22</f>
        <v/>
      </c>
      <c r="O31" s="995">
        <f>O35/O22</f>
        <v/>
      </c>
      <c r="P31" s="995">
        <f>P35/P22</f>
        <v/>
      </c>
      <c r="Q31" s="995">
        <f>Q35/Q22</f>
        <v/>
      </c>
      <c r="R31" s="995">
        <f>R35/R22</f>
        <v/>
      </c>
      <c r="S31" s="995">
        <f>S35/S22</f>
        <v/>
      </c>
      <c r="T31" s="995">
        <f>T35/T22</f>
        <v/>
      </c>
      <c r="U31" s="995">
        <f>U35/U22</f>
        <v/>
      </c>
      <c r="V31" s="995">
        <f>V35/V22</f>
        <v/>
      </c>
      <c r="W31" s="995">
        <f>W35/W22</f>
        <v/>
      </c>
      <c r="X31" s="995">
        <f>X35/X22</f>
        <v/>
      </c>
      <c r="Y31" s="995">
        <f>Y35/Y22</f>
        <v/>
      </c>
      <c r="Z31" s="995">
        <f>Z35/Z22</f>
        <v/>
      </c>
      <c r="AA31" s="995">
        <f>AA35/AA22</f>
        <v/>
      </c>
      <c r="AB31" s="995">
        <f>AB35/AB22</f>
        <v/>
      </c>
      <c r="AC31" s="995">
        <f>AC35/AC22</f>
        <v/>
      </c>
      <c r="AD31" s="995">
        <f>AD35/AD22</f>
        <v/>
      </c>
      <c r="AE31" s="995">
        <f>AE35/AE22</f>
        <v/>
      </c>
      <c r="AF31" s="995">
        <f>AF35/AF22</f>
        <v/>
      </c>
      <c r="AG31" s="995">
        <f>AG35/AG22</f>
        <v/>
      </c>
      <c r="AH31" s="995">
        <f>AH35/AH22</f>
        <v/>
      </c>
      <c r="AI31" s="995">
        <f>AI35/AI22</f>
        <v/>
      </c>
      <c r="AJ31" s="995">
        <f>AJ35/AJ22</f>
        <v/>
      </c>
      <c r="AK31" s="995">
        <f>AK35/AK22</f>
        <v/>
      </c>
      <c r="AL31" s="995">
        <f>AL35/AL22</f>
        <v/>
      </c>
      <c r="AM31" s="995">
        <f>AM35/AM22</f>
        <v/>
      </c>
      <c r="AN31" s="995">
        <f>AN35/AN22</f>
        <v/>
      </c>
      <c r="AO31" s="995">
        <f>AO35/AO22</f>
        <v/>
      </c>
      <c r="AP31" s="995">
        <f>AP35/AP22</f>
        <v/>
      </c>
      <c r="AQ31" s="995">
        <f>AQ35/AQ22</f>
        <v/>
      </c>
      <c r="AR31" s="995">
        <f>AR35/AR22</f>
        <v/>
      </c>
      <c r="AS31" s="995">
        <f>AS35/AS22</f>
        <v/>
      </c>
      <c r="AT31" s="995">
        <f>AT35/AT22</f>
        <v/>
      </c>
      <c r="AU31" s="288" t="n"/>
      <c r="AX31" s="992" t="n"/>
      <c r="AY31" s="991" t="n"/>
      <c r="BB31" s="992" t="n"/>
      <c r="BD31" s="995">
        <f>BD35/BD22</f>
        <v/>
      </c>
      <c r="BE31" s="995">
        <f>BE35/BE22</f>
        <v/>
      </c>
      <c r="BF31" s="995">
        <f>BF35/BF22</f>
        <v/>
      </c>
      <c r="BH31" s="995">
        <f>BH35/BH22</f>
        <v/>
      </c>
      <c r="BI31" s="995">
        <f>BI35/BI22</f>
        <v/>
      </c>
      <c r="BJ31" s="995">
        <f>BJ35/BJ22</f>
        <v/>
      </c>
      <c r="BL31" s="995">
        <f>BL35/BL22</f>
        <v/>
      </c>
      <c r="BM31" s="995">
        <f>BM35/BM22</f>
        <v/>
      </c>
      <c r="BN31" s="995">
        <f>BN35/BN22</f>
        <v/>
      </c>
      <c r="BP31" s="995">
        <f>BP35/BP22</f>
        <v/>
      </c>
      <c r="BQ31" s="995">
        <f>BQ35/BQ22</f>
        <v/>
      </c>
      <c r="BR31" s="995">
        <f>BR35/BR22</f>
        <v/>
      </c>
      <c r="BT31" s="995">
        <f>BT35/BT22</f>
        <v/>
      </c>
      <c r="BU31" s="995">
        <f>BU35/BU22</f>
        <v/>
      </c>
      <c r="BV31" s="995">
        <f>BV35/BV22</f>
        <v/>
      </c>
      <c r="BX31" s="995">
        <f>BX35/BX22</f>
        <v/>
      </c>
      <c r="BY31" s="995">
        <f>BY35/BY22</f>
        <v/>
      </c>
      <c r="BZ31" s="995">
        <f>BZ35/BZ22</f>
        <v/>
      </c>
      <c r="CB31" s="995">
        <f>CB35/CB22</f>
        <v/>
      </c>
      <c r="CC31" s="995">
        <f>CC35/CC22</f>
        <v/>
      </c>
      <c r="CD31" s="995">
        <f>CD35/CD22</f>
        <v/>
      </c>
      <c r="CE31" s="993" t="n"/>
      <c r="CF31" s="995">
        <f>CF35/CF22</f>
        <v/>
      </c>
      <c r="CG31" s="995">
        <f>CG35/CG22</f>
        <v/>
      </c>
      <c r="CH31" s="995">
        <f>CH35/CH22</f>
        <v/>
      </c>
      <c r="CI31" s="992" t="n"/>
      <c r="CJ31" s="995">
        <f>CJ35/CJ22</f>
        <v/>
      </c>
      <c r="CK31" s="995">
        <f>CK35/CK22</f>
        <v/>
      </c>
      <c r="CL31" s="995">
        <f>CL35/CL22</f>
        <v/>
      </c>
      <c r="CM31" s="992" t="n"/>
      <c r="CN31" s="995">
        <f>CN35/CN22</f>
        <v/>
      </c>
      <c r="CO31" s="995">
        <f>CO35/CO22</f>
        <v/>
      </c>
      <c r="CP31" s="995">
        <f>CP35/CP22</f>
        <v/>
      </c>
      <c r="CQ31" s="993" t="n"/>
      <c r="CR31" s="995">
        <f>CR35/CR22</f>
        <v/>
      </c>
      <c r="CS31" s="995">
        <f>CS35/CS22</f>
        <v/>
      </c>
      <c r="CT31" s="995">
        <f>CT35/CT22</f>
        <v/>
      </c>
      <c r="CU31" s="995">
        <f>CU35/CU22</f>
        <v/>
      </c>
      <c r="CV31" s="993" t="n"/>
      <c r="CW31" s="995">
        <f>CW35/CW22</f>
        <v/>
      </c>
      <c r="CX31" s="995">
        <f>CX35/CX22</f>
        <v/>
      </c>
      <c r="CY31" s="995">
        <f>CY35/CY22</f>
        <v/>
      </c>
      <c r="CZ31" s="993" t="n"/>
      <c r="DA31" s="995">
        <f>DA35/DA22</f>
        <v/>
      </c>
      <c r="DB31" s="995">
        <f>DB35/DB22</f>
        <v/>
      </c>
      <c r="DC31" s="995">
        <f>DC35/DC22</f>
        <v/>
      </c>
      <c r="DD31" s="995" t="n"/>
      <c r="DE31" s="995">
        <f>DE35/DE22</f>
        <v/>
      </c>
      <c r="DF31" s="995">
        <f>DF35/DF22</f>
        <v/>
      </c>
      <c r="DG31" s="995">
        <f>DG35/DG22</f>
        <v/>
      </c>
      <c r="DH31" s="995" t="n"/>
      <c r="DI31" s="995">
        <f>DI35/DI22</f>
        <v/>
      </c>
      <c r="DJ31" s="995">
        <f>DJ35/DJ22</f>
        <v/>
      </c>
      <c r="DK31" s="995">
        <f>DK35/DK22</f>
        <v/>
      </c>
      <c r="DL31" s="995" t="n"/>
      <c r="DM31" s="995">
        <f>DM35/DM22</f>
        <v/>
      </c>
      <c r="DN31" s="995">
        <f>DN35/DN22</f>
        <v/>
      </c>
      <c r="DO31" s="995">
        <f>DO35/DO22</f>
        <v/>
      </c>
      <c r="DP31" s="995" t="n"/>
      <c r="DQ31" s="995">
        <f>DQ35/DQ22</f>
        <v/>
      </c>
      <c r="DR31" s="995">
        <f>DR35/DR22</f>
        <v/>
      </c>
      <c r="DS31" s="995">
        <f>DS35/DS22</f>
        <v/>
      </c>
      <c r="DT31" s="995" t="n"/>
      <c r="DU31" s="995">
        <f>DU35/DU22</f>
        <v/>
      </c>
      <c r="DV31" s="995">
        <f>DV35/DV22</f>
        <v/>
      </c>
      <c r="DW31" s="995">
        <f>DW35/DW22</f>
        <v/>
      </c>
      <c r="DX31" s="995" t="n"/>
      <c r="DY31" s="995">
        <f>DY35/DY22</f>
        <v/>
      </c>
      <c r="DZ31" s="995">
        <f>DZ35/DZ22</f>
        <v/>
      </c>
      <c r="EA31" s="995">
        <f>EA35/EA22</f>
        <v/>
      </c>
      <c r="EB31" s="995" t="n"/>
      <c r="EC31" s="995">
        <f>EC35/EC22</f>
        <v/>
      </c>
      <c r="ED31" s="995">
        <f>ED35/ED22</f>
        <v/>
      </c>
      <c r="EE31" s="995">
        <f>EE35/EE22</f>
        <v/>
      </c>
      <c r="EF31" s="995" t="n"/>
      <c r="EG31" s="995">
        <f>EG35/EG22</f>
        <v/>
      </c>
      <c r="EH31" s="995">
        <f>EH35/EH22</f>
        <v/>
      </c>
      <c r="EI31" s="995">
        <f>EI35/EI22</f>
        <v/>
      </c>
      <c r="EJ31" s="995" t="n"/>
      <c r="EK31" s="995">
        <f>EK35/EK22</f>
        <v/>
      </c>
      <c r="EL31" s="995">
        <f>EL35/EL22</f>
        <v/>
      </c>
      <c r="EM31" s="995">
        <f>EM35/EM22</f>
        <v/>
      </c>
      <c r="EN31" s="995" t="n"/>
      <c r="EO31" s="995">
        <f>EO35/EO22</f>
        <v/>
      </c>
      <c r="EP31" s="995">
        <f>EP35/EP22</f>
        <v/>
      </c>
      <c r="EQ31" s="995">
        <f>EQ35/EQ22</f>
        <v/>
      </c>
      <c r="ER31" s="995" t="n"/>
      <c r="ES31" s="995">
        <f>ES35/ES22</f>
        <v/>
      </c>
      <c r="ET31" s="995">
        <f>ET35/ET22</f>
        <v/>
      </c>
      <c r="EU31" s="995">
        <f>EU35/EU22</f>
        <v/>
      </c>
      <c r="EV31" s="995" t="n"/>
      <c r="EW31" s="995">
        <f>EW35/EW22</f>
        <v/>
      </c>
      <c r="EX31" s="995">
        <f>EX35/EX22</f>
        <v/>
      </c>
      <c r="EY31" s="995">
        <f>EY35/EY22</f>
        <v/>
      </c>
      <c r="EZ31" s="995" t="n"/>
      <c r="FA31" s="995">
        <f>FA35/FA22</f>
        <v/>
      </c>
      <c r="FB31" s="995">
        <f>FB35/FB22</f>
        <v/>
      </c>
      <c r="FC31" s="995">
        <f>FC35/FC22</f>
        <v/>
      </c>
      <c r="FD31" s="995" t="n"/>
      <c r="FE31" s="995">
        <f>FE35/FE22</f>
        <v/>
      </c>
      <c r="FF31" s="995">
        <f>FF35/FF22</f>
        <v/>
      </c>
      <c r="FG31" s="995">
        <f>FG35/FG22</f>
        <v/>
      </c>
      <c r="FH31" s="995" t="n"/>
      <c r="FI31" s="995">
        <f>FI35/FI22</f>
        <v/>
      </c>
      <c r="FJ31" s="995">
        <f>FJ35/FJ22</f>
        <v/>
      </c>
      <c r="FK31" s="995">
        <f>FK35/FK22</f>
        <v/>
      </c>
      <c r="FM31" s="995">
        <f>FM35/FM22</f>
        <v/>
      </c>
      <c r="FN31" s="995">
        <f>FN35/FN22</f>
        <v/>
      </c>
      <c r="FO31" s="995">
        <f>FO35/FO22</f>
        <v/>
      </c>
    </row>
    <row r="32" ht="14.25" customFormat="1" customHeight="1" s="986">
      <c r="A32" s="987" t="n"/>
      <c r="B32" s="996" t="inlineStr">
        <is>
          <t>YoY change in RASK</t>
        </is>
      </c>
      <c r="D32" s="986">
        <f>D31/C31-1</f>
        <v/>
      </c>
      <c r="E32" s="986">
        <f>E31/D31-1</f>
        <v/>
      </c>
      <c r="F32" s="986">
        <f>F31/E31-1</f>
        <v/>
      </c>
      <c r="G32" s="986">
        <f>G31/F31-1</f>
        <v/>
      </c>
      <c r="H32" s="986">
        <f>H31/G31-1</f>
        <v/>
      </c>
      <c r="I32" s="986">
        <f>I31/H31-1</f>
        <v/>
      </c>
      <c r="J32" s="986">
        <f>J31/I31-1</f>
        <v/>
      </c>
      <c r="K32" s="986">
        <f>K31/J31-1</f>
        <v/>
      </c>
      <c r="L32" s="986">
        <f>L31/K31-1</f>
        <v/>
      </c>
      <c r="M32" s="986">
        <f>M31/L31-1</f>
        <v/>
      </c>
      <c r="N32" s="986">
        <f>N31/M31-1</f>
        <v/>
      </c>
      <c r="O32" s="986">
        <f>O31/N31-1</f>
        <v/>
      </c>
      <c r="P32" s="986">
        <f>P31/O31-1</f>
        <v/>
      </c>
      <c r="Q32" s="986">
        <f>Q31/P31-1</f>
        <v/>
      </c>
      <c r="R32" s="986">
        <f>R31/Q31-1</f>
        <v/>
      </c>
      <c r="S32" s="986">
        <f>S31/R31-1</f>
        <v/>
      </c>
      <c r="T32" s="986">
        <f>T31/S31-1</f>
        <v/>
      </c>
      <c r="U32" s="986">
        <f>U31/T31-1</f>
        <v/>
      </c>
      <c r="V32" s="986">
        <f>V31/U31-1</f>
        <v/>
      </c>
      <c r="W32" s="986">
        <f>W31/V31-1</f>
        <v/>
      </c>
      <c r="X32" s="986">
        <f>X31/W31-1</f>
        <v/>
      </c>
      <c r="Y32" s="986">
        <f>Y31/X31-1</f>
        <v/>
      </c>
      <c r="Z32" s="986">
        <f>Z31/Y31-1</f>
        <v/>
      </c>
      <c r="AA32" s="986">
        <f>AA31/Z31-1</f>
        <v/>
      </c>
      <c r="AB32" s="986">
        <f>AB31/AA31-1</f>
        <v/>
      </c>
      <c r="AC32" s="986">
        <f>AC31/AB31-1</f>
        <v/>
      </c>
      <c r="AD32" s="986">
        <f>AD31/AC31-1</f>
        <v/>
      </c>
      <c r="AE32" s="986">
        <f>AE31/AD31-1</f>
        <v/>
      </c>
      <c r="AF32" s="986">
        <f>AF31/AE31-1</f>
        <v/>
      </c>
      <c r="AG32" s="986">
        <f>AG31/AF31-1</f>
        <v/>
      </c>
      <c r="AH32" s="986">
        <f>AH31/AG31-1</f>
        <v/>
      </c>
      <c r="AI32" s="986">
        <f>AI31/AH31-1</f>
        <v/>
      </c>
      <c r="AJ32" s="986">
        <f>AJ31/AI31-1</f>
        <v/>
      </c>
      <c r="AK32" s="986">
        <f>AK31/AJ31-1</f>
        <v/>
      </c>
      <c r="AL32" s="986">
        <f>AL31/AK31-1</f>
        <v/>
      </c>
      <c r="AM32" s="986">
        <f>AM31/AL31-1</f>
        <v/>
      </c>
      <c r="AN32" s="986">
        <f>AN31/AM31-1</f>
        <v/>
      </c>
      <c r="AO32" s="986">
        <f>AO31/AN31-1</f>
        <v/>
      </c>
      <c r="AP32" s="986">
        <f>AP31/AO31-1</f>
        <v/>
      </c>
      <c r="AQ32" s="986">
        <f>AQ31/AP31-1</f>
        <v/>
      </c>
      <c r="AR32" s="986">
        <f>AR31/AQ31-1</f>
        <v/>
      </c>
      <c r="AS32" s="986">
        <f>AS31/AR31-1</f>
        <v/>
      </c>
      <c r="AT32" s="986">
        <f>AT31/AS31-1</f>
        <v/>
      </c>
      <c r="AU32" s="288" t="n"/>
      <c r="AX32" s="992" t="n"/>
      <c r="AY32" s="991" t="n"/>
      <c r="BB32" s="992" t="n"/>
      <c r="BH32" s="986">
        <f>BH31/BD31-1</f>
        <v/>
      </c>
      <c r="BI32" s="986">
        <f>BI31/BE31-1</f>
        <v/>
      </c>
      <c r="BJ32" s="986">
        <f>BJ31/BF31-1</f>
        <v/>
      </c>
      <c r="BL32" s="986">
        <f>BL31/BH31-1</f>
        <v/>
      </c>
      <c r="BM32" s="986">
        <f>BM31/BI31-1</f>
        <v/>
      </c>
      <c r="BN32" s="986">
        <f>BN31/BJ31-1</f>
        <v/>
      </c>
      <c r="BP32" s="986">
        <f>BP31/BL31-1</f>
        <v/>
      </c>
      <c r="BQ32" s="986">
        <f>BQ31/BM31-1</f>
        <v/>
      </c>
      <c r="BR32" s="986">
        <f>BR31/BN31-1</f>
        <v/>
      </c>
      <c r="BT32" s="986">
        <f>BT31/BP31-1</f>
        <v/>
      </c>
      <c r="BU32" s="986">
        <f>BU31/BQ31-1</f>
        <v/>
      </c>
      <c r="BV32" s="986">
        <f>BV31/BR31-1</f>
        <v/>
      </c>
      <c r="BX32" s="986">
        <f>BX31/BT31-1</f>
        <v/>
      </c>
      <c r="BY32" s="986">
        <f>BY31/BU31-1</f>
        <v/>
      </c>
      <c r="BZ32" s="986">
        <f>BZ31/BV31-1</f>
        <v/>
      </c>
      <c r="CB32" s="986">
        <f>CB31/BX31-1</f>
        <v/>
      </c>
      <c r="CC32" s="986">
        <f>CC31/BY31-1</f>
        <v/>
      </c>
      <c r="CD32" s="986">
        <f>CD31/BZ31-1</f>
        <v/>
      </c>
      <c r="CE32" s="993" t="n"/>
      <c r="CF32" s="986">
        <f>CF31/CB31-1</f>
        <v/>
      </c>
      <c r="CG32" s="986">
        <f>CG31/CC31-1</f>
        <v/>
      </c>
      <c r="CH32" s="986">
        <f>CH31/CD31-1</f>
        <v/>
      </c>
      <c r="CI32" s="992" t="n"/>
      <c r="CJ32" s="986">
        <f>CJ31/CF31-1</f>
        <v/>
      </c>
      <c r="CK32" s="986">
        <f>CK31/CG31-1</f>
        <v/>
      </c>
      <c r="CL32" s="986">
        <f>CL31/CH31-1</f>
        <v/>
      </c>
      <c r="CM32" s="992" t="n"/>
      <c r="CN32" s="986">
        <f>CN31/CJ31-1</f>
        <v/>
      </c>
      <c r="CO32" s="986">
        <f>CO31/CK31-1</f>
        <v/>
      </c>
      <c r="CP32" s="986">
        <f>CP31/CL31-1</f>
        <v/>
      </c>
      <c r="CQ32" s="993" t="n"/>
      <c r="CR32" s="986">
        <f>CR31/CN31-1</f>
        <v/>
      </c>
      <c r="CS32" s="986">
        <f>CS31/CN31-1</f>
        <v/>
      </c>
      <c r="CT32" s="986">
        <f>CT31/CO31-1</f>
        <v/>
      </c>
      <c r="CU32" s="986">
        <f>CU31/CP31-1</f>
        <v/>
      </c>
      <c r="CV32" s="993" t="n"/>
      <c r="CW32" s="986">
        <f>CW31/CS31-1</f>
        <v/>
      </c>
      <c r="CX32" s="986">
        <f>CX31/CT31-1</f>
        <v/>
      </c>
      <c r="CY32" s="986">
        <f>CY31/CU31-1</f>
        <v/>
      </c>
      <c r="CZ32" s="993" t="n"/>
      <c r="DA32" s="986">
        <f>DA31/CW31-1</f>
        <v/>
      </c>
      <c r="DB32" s="986">
        <f>DB31/CX31-1</f>
        <v/>
      </c>
      <c r="DC32" s="986">
        <f>DC31/CY31-1</f>
        <v/>
      </c>
      <c r="DD32" s="993" t="n"/>
      <c r="DE32" s="986">
        <f>DE31/DA31-1</f>
        <v/>
      </c>
      <c r="DF32" s="986">
        <f>DF31/DB31-1</f>
        <v/>
      </c>
      <c r="DG32" s="986">
        <f>DG31/DC31-1</f>
        <v/>
      </c>
      <c r="DH32" s="290" t="n"/>
      <c r="DI32" s="986">
        <f>DI31/DE31-1</f>
        <v/>
      </c>
      <c r="DJ32" s="986">
        <f>DJ31/DF31-1</f>
        <v/>
      </c>
      <c r="DK32" s="986">
        <f>DK31/DG31-1</f>
        <v/>
      </c>
      <c r="DL32" s="993" t="n"/>
      <c r="DM32" s="986">
        <f>DM31/DI31-1</f>
        <v/>
      </c>
      <c r="DN32" s="986">
        <f>DN31/DJ31-1</f>
        <v/>
      </c>
      <c r="DO32" s="986">
        <f>DO31/DK31-1</f>
        <v/>
      </c>
      <c r="DP32" s="290" t="n"/>
      <c r="DQ32" s="986">
        <f>DQ31/DM31-1</f>
        <v/>
      </c>
      <c r="DR32" s="986">
        <f>DR31/DN31-1</f>
        <v/>
      </c>
      <c r="DS32" s="986">
        <f>DS31/DO31-1</f>
        <v/>
      </c>
      <c r="DT32" s="989" t="n"/>
      <c r="DU32" s="986">
        <f>DU31/DQ31-1</f>
        <v/>
      </c>
      <c r="DV32" s="986">
        <f>DV31/DR31-1</f>
        <v/>
      </c>
      <c r="DW32" s="986">
        <f>DW31/DS31-1</f>
        <v/>
      </c>
      <c r="DX32" s="989" t="n"/>
      <c r="DY32" s="986">
        <f>DY31/DU31-1</f>
        <v/>
      </c>
      <c r="DZ32" s="986">
        <f>DZ31/DV31-1</f>
        <v/>
      </c>
      <c r="EA32" s="986">
        <f>EA31/DW31-1</f>
        <v/>
      </c>
      <c r="EC32" s="986">
        <f>EC31/DY31-1</f>
        <v/>
      </c>
      <c r="ED32" s="986">
        <f>ED31/DZ31-1</f>
        <v/>
      </c>
      <c r="EE32" s="986">
        <f>EE31/EA31-1</f>
        <v/>
      </c>
      <c r="EF32" s="989" t="n"/>
      <c r="EG32" s="986">
        <f>EG31/EC31-1</f>
        <v/>
      </c>
      <c r="EH32" s="986">
        <f>EH31/ED31-1</f>
        <v/>
      </c>
      <c r="EI32" s="986">
        <f>EI31/EE31-1</f>
        <v/>
      </c>
      <c r="EJ32" s="989" t="n"/>
      <c r="EK32" s="986">
        <f>EK31/EG31-1</f>
        <v/>
      </c>
      <c r="EL32" s="986">
        <f>EL31/EH31-1</f>
        <v/>
      </c>
      <c r="EM32" s="986">
        <f>EM31/EI31-1</f>
        <v/>
      </c>
      <c r="EN32" s="989" t="n"/>
      <c r="EO32" s="986">
        <f>EO31/EK31-1</f>
        <v/>
      </c>
      <c r="EP32" s="986">
        <f>EP31/EL31-1</f>
        <v/>
      </c>
      <c r="EQ32" s="986">
        <f>EQ31/EM31-1</f>
        <v/>
      </c>
      <c r="ER32" s="989" t="n"/>
      <c r="ES32" s="986">
        <f>ES31/EO31-1</f>
        <v/>
      </c>
      <c r="ET32" s="986">
        <f>ET31/EP31-1</f>
        <v/>
      </c>
      <c r="EU32" s="986">
        <f>EU31/EQ31-1</f>
        <v/>
      </c>
      <c r="EV32" s="989" t="n"/>
      <c r="EW32" s="986">
        <f>EW31/ES31-1</f>
        <v/>
      </c>
      <c r="EX32" s="986">
        <f>EX31/ET31-1</f>
        <v/>
      </c>
      <c r="EY32" s="986">
        <f>EY31/EU31-1</f>
        <v/>
      </c>
      <c r="FA32" s="986">
        <f>FA31/EW31-1</f>
        <v/>
      </c>
      <c r="FB32" s="986">
        <f>FB31/EX31-1</f>
        <v/>
      </c>
      <c r="FC32" s="986">
        <f>FC31/EY31-1</f>
        <v/>
      </c>
      <c r="FE32" s="986">
        <f>FE31/FA31-1</f>
        <v/>
      </c>
      <c r="FF32" s="986">
        <f>FF31/FB31-1</f>
        <v/>
      </c>
      <c r="FG32" s="986">
        <f>FG31/FC31-1</f>
        <v/>
      </c>
      <c r="FI32" s="986">
        <f>FI31/FE31-1</f>
        <v/>
      </c>
      <c r="FJ32" s="986">
        <f>FJ31/FF31-1</f>
        <v/>
      </c>
      <c r="FK32" s="986">
        <f>FK31/FG31-1</f>
        <v/>
      </c>
      <c r="FM32" s="986">
        <f>FM31/FI31-1</f>
        <v/>
      </c>
      <c r="FN32" s="986">
        <f>FN31/FJ31-1</f>
        <v/>
      </c>
      <c r="FO32" s="986">
        <f>FO31/FK31-1</f>
        <v/>
      </c>
    </row>
    <row r="33" ht="14.25" customFormat="1" customHeight="1" s="986">
      <c r="A33" s="987" t="n"/>
      <c r="B33" s="57" t="inlineStr">
        <is>
          <t>Average airfare ticket price</t>
        </is>
      </c>
      <c r="C33" s="502">
        <f>+C35/C26*1000</f>
        <v/>
      </c>
      <c r="D33" s="502">
        <f>+D35/D26*1000</f>
        <v/>
      </c>
      <c r="E33" s="502">
        <f>+E35/E26*1000</f>
        <v/>
      </c>
      <c r="F33" s="502">
        <f>+F35/F26*1000</f>
        <v/>
      </c>
      <c r="G33" s="502">
        <f>+G35/G26*1000</f>
        <v/>
      </c>
      <c r="H33" s="502">
        <f>+H35/H26*1000</f>
        <v/>
      </c>
      <c r="I33" s="502">
        <f>+I35/I26*1000</f>
        <v/>
      </c>
      <c r="J33" s="502">
        <f>+J35/J26*1000</f>
        <v/>
      </c>
      <c r="K33" s="502">
        <f>+K35/K26*1000</f>
        <v/>
      </c>
      <c r="L33" s="502">
        <f>+L35/L26*1000</f>
        <v/>
      </c>
      <c r="M33" s="502">
        <f>+M35/M26*1000</f>
        <v/>
      </c>
      <c r="N33" s="502">
        <f>+N35/N26*1000</f>
        <v/>
      </c>
      <c r="O33" s="502">
        <f>+O35/O26*1000</f>
        <v/>
      </c>
      <c r="P33" s="502">
        <f>+P35/P26*1000</f>
        <v/>
      </c>
      <c r="Q33" s="502">
        <f>+Q35/Q26*1000</f>
        <v/>
      </c>
      <c r="R33" s="502">
        <f>+R35/R26*1000</f>
        <v/>
      </c>
      <c r="S33" s="502">
        <f>+S35/S26*1000</f>
        <v/>
      </c>
      <c r="T33" s="502">
        <f>+T35/T26*1000</f>
        <v/>
      </c>
      <c r="U33" s="502">
        <f>+U35/U26*1000</f>
        <v/>
      </c>
      <c r="V33" s="502">
        <f>+V35/V26*1000</f>
        <v/>
      </c>
      <c r="W33" s="502">
        <f>+W35/W26*1000</f>
        <v/>
      </c>
      <c r="X33" s="502">
        <f>+X35/X26*1000</f>
        <v/>
      </c>
      <c r="Y33" s="502">
        <f>+Y35/Y26*1000</f>
        <v/>
      </c>
      <c r="Z33" s="502">
        <f>+Z35/Z26*1000</f>
        <v/>
      </c>
      <c r="AA33" s="502">
        <f>+AA35/AA26*1000</f>
        <v/>
      </c>
      <c r="AB33" s="502">
        <f>+AB35/AB26*1000</f>
        <v/>
      </c>
      <c r="AC33" s="502">
        <f>+AC35/AC26*1000</f>
        <v/>
      </c>
      <c r="AD33" s="502">
        <f>+AD35/AD26*1000</f>
        <v/>
      </c>
      <c r="AE33" s="502">
        <f>+AE35/AE26*1000</f>
        <v/>
      </c>
      <c r="AF33" s="502">
        <f>+AF35/AF26*1000</f>
        <v/>
      </c>
      <c r="AG33" s="502">
        <f>+AG35/AG26*1000</f>
        <v/>
      </c>
      <c r="AH33" s="502">
        <f>+AH35/AH26*1000</f>
        <v/>
      </c>
      <c r="AI33" s="502">
        <f>+AI35/AI26*1000</f>
        <v/>
      </c>
      <c r="AJ33" s="502">
        <f>+AJ35/AJ26*1000</f>
        <v/>
      </c>
      <c r="AK33" s="502">
        <f>+AK35/AK26*1000</f>
        <v/>
      </c>
      <c r="AL33" s="502">
        <f>+AL35/AL26*1000</f>
        <v/>
      </c>
      <c r="AM33" s="502">
        <f>+AM35/AM26*1000</f>
        <v/>
      </c>
      <c r="AN33" s="502">
        <f>+AN35/AN26*1000</f>
        <v/>
      </c>
      <c r="AO33" s="502">
        <f>+AO35/AO26*1000</f>
        <v/>
      </c>
      <c r="AP33" s="502">
        <f>+AP35/AP26*1000</f>
        <v/>
      </c>
      <c r="AQ33" s="502">
        <f>+AQ35/AQ26*1000</f>
        <v/>
      </c>
      <c r="AR33" s="502">
        <f>+AR35/AR26*1000</f>
        <v/>
      </c>
      <c r="AS33" s="502">
        <f>+AS35/AS26*1000</f>
        <v/>
      </c>
      <c r="AT33" s="502">
        <f>+AT35/AT26*1000</f>
        <v/>
      </c>
      <c r="AU33" s="288" t="n"/>
      <c r="AX33" s="992" t="n"/>
      <c r="AY33" s="991" t="n"/>
      <c r="BB33" s="992" t="n"/>
      <c r="BD33" s="502" t="n"/>
      <c r="BE33" s="502" t="n"/>
      <c r="BF33" s="502" t="n"/>
      <c r="BH33" s="502">
        <f>+BH35/BH26*1000</f>
        <v/>
      </c>
      <c r="BI33" s="502">
        <f>+BI35/BI26*1000</f>
        <v/>
      </c>
      <c r="BJ33" s="502">
        <f>+BJ35/BJ26*1000</f>
        <v/>
      </c>
      <c r="BL33" s="502">
        <f>+BL35/BL26*1000</f>
        <v/>
      </c>
      <c r="BM33" s="502">
        <f>+BM35/BM26*1000</f>
        <v/>
      </c>
      <c r="BN33" s="502">
        <f>+BN35/BN26*1000</f>
        <v/>
      </c>
      <c r="BP33" s="502">
        <f>+BP35/BP26*1000</f>
        <v/>
      </c>
      <c r="BQ33" s="502">
        <f>+BQ35/BQ26*1000</f>
        <v/>
      </c>
      <c r="BR33" s="502">
        <f>+BR35/BR26*1000</f>
        <v/>
      </c>
      <c r="BT33" s="502">
        <f>+BT35/BT26*1000</f>
        <v/>
      </c>
      <c r="BU33" s="502">
        <f>+BU35/BU26*1000</f>
        <v/>
      </c>
      <c r="BV33" s="502">
        <f>+BV35/BV26*1000</f>
        <v/>
      </c>
      <c r="BX33" s="502">
        <f>+BX35/BX26*1000</f>
        <v/>
      </c>
      <c r="BY33" s="502">
        <f>+BY35/BY26*1000</f>
        <v/>
      </c>
      <c r="BZ33" s="502">
        <f>+BZ35/BZ26*1000</f>
        <v/>
      </c>
      <c r="CB33" s="502">
        <f>+CB35/CB26*1000</f>
        <v/>
      </c>
      <c r="CC33" s="502">
        <f>+CC35/CC26*1000</f>
        <v/>
      </c>
      <c r="CD33" s="502">
        <f>+CD35/CD26*1000</f>
        <v/>
      </c>
      <c r="CE33" s="993" t="n"/>
      <c r="CF33" s="502">
        <f>+CF35/CF26*1000</f>
        <v/>
      </c>
      <c r="CG33" s="502">
        <f>+CG35/CG26*1000</f>
        <v/>
      </c>
      <c r="CH33" s="502">
        <f>+CH35/CH26*1000</f>
        <v/>
      </c>
      <c r="CI33" s="992" t="n"/>
      <c r="CJ33" s="502">
        <f>+CJ35/CJ26*1000</f>
        <v/>
      </c>
      <c r="CK33" s="502">
        <f>+CK35/CK26*1000</f>
        <v/>
      </c>
      <c r="CL33" s="502">
        <f>+CL35/CL26*1000</f>
        <v/>
      </c>
      <c r="CM33" s="992" t="n"/>
      <c r="CN33" s="502">
        <f>+CN35/CN26*1000</f>
        <v/>
      </c>
      <c r="CO33" s="502">
        <f>+CO35/CO26*1000</f>
        <v/>
      </c>
      <c r="CP33" s="502">
        <f>+CP35/CP26*1000</f>
        <v/>
      </c>
      <c r="CQ33" s="993" t="n"/>
      <c r="CR33" s="502">
        <f>+CR35/CR26*1000</f>
        <v/>
      </c>
      <c r="CS33" s="502">
        <f>+CS35/CS26*1000</f>
        <v/>
      </c>
      <c r="CT33" s="502">
        <f>+CT35/CT26*1000</f>
        <v/>
      </c>
      <c r="CU33" s="502">
        <f>+CU35/CU26*1000</f>
        <v/>
      </c>
      <c r="CV33" s="993" t="n"/>
      <c r="CW33" s="502">
        <f>+CW35/CW26*1000</f>
        <v/>
      </c>
      <c r="CX33" s="502">
        <f>+CX35/CX26*1000</f>
        <v/>
      </c>
      <c r="CY33" s="502">
        <f>+CY35/CY26*1000</f>
        <v/>
      </c>
      <c r="CZ33" s="993" t="n"/>
      <c r="DA33" s="502">
        <f>+DA35/DA26*1000</f>
        <v/>
      </c>
      <c r="DB33" s="502">
        <f>+DB35/DB26*1000</f>
        <v/>
      </c>
      <c r="DC33" s="502">
        <f>+DC35/DC26*1000</f>
        <v/>
      </c>
      <c r="DD33" s="993" t="n"/>
      <c r="DE33" s="502">
        <f>+DE35/DE26*1000</f>
        <v/>
      </c>
      <c r="DF33" s="502">
        <f>+DF35/DF26*1000</f>
        <v/>
      </c>
      <c r="DG33" s="502">
        <f>+DG35/DG26*1000</f>
        <v/>
      </c>
      <c r="DH33" s="290" t="n"/>
      <c r="DI33" s="502">
        <f>+DI35/DI26*1000</f>
        <v/>
      </c>
      <c r="DJ33" s="502">
        <f>+DJ35/DJ26*1000</f>
        <v/>
      </c>
      <c r="DK33" s="502">
        <f>+DK35/DK26*1000</f>
        <v/>
      </c>
      <c r="DL33" s="993" t="n"/>
      <c r="DM33" s="502">
        <f>+DM35/DM26*1000</f>
        <v/>
      </c>
      <c r="DN33" s="502">
        <f>+DN35/DN26*1000</f>
        <v/>
      </c>
      <c r="DO33" s="502">
        <f>+DO35/DO26*1000</f>
        <v/>
      </c>
      <c r="DP33" s="290" t="n"/>
      <c r="DQ33" s="502">
        <f>+DQ35/DQ26*1000</f>
        <v/>
      </c>
      <c r="DR33" s="502">
        <f>+DR35/DR26*1000</f>
        <v/>
      </c>
      <c r="DS33" s="502">
        <f>+DS35/DS26*1000</f>
        <v/>
      </c>
      <c r="DT33" s="989" t="n"/>
      <c r="DU33" s="502">
        <f>+DU35/DU26*1000</f>
        <v/>
      </c>
      <c r="DV33" s="502">
        <f>+DV35/DV26*1000</f>
        <v/>
      </c>
      <c r="DW33" s="502">
        <f>+DW35/DW26*1000</f>
        <v/>
      </c>
      <c r="DX33" s="989" t="n"/>
      <c r="DY33" s="502">
        <f>+DY35/DY26*1000</f>
        <v/>
      </c>
      <c r="DZ33" s="502">
        <f>+DZ35/DZ26*1000</f>
        <v/>
      </c>
      <c r="EA33" s="502">
        <f>+EA35/EA26*1000</f>
        <v/>
      </c>
      <c r="EC33" s="502">
        <f>+EC35/EC26*1000</f>
        <v/>
      </c>
      <c r="ED33" s="502">
        <f>+ED35/ED26*1000</f>
        <v/>
      </c>
      <c r="EE33" s="502">
        <f>+EE35/EE26*1000</f>
        <v/>
      </c>
      <c r="EF33" s="989" t="n"/>
      <c r="EG33" s="502">
        <f>+EG35/EG26*1000</f>
        <v/>
      </c>
      <c r="EH33" s="502">
        <f>+EH35/EH26*1000</f>
        <v/>
      </c>
      <c r="EI33" s="502">
        <f>+EI35/EI26*1000</f>
        <v/>
      </c>
      <c r="EJ33" s="989" t="n"/>
      <c r="EK33" s="502">
        <f>+EK35/EK26*1000</f>
        <v/>
      </c>
      <c r="EL33" s="502">
        <f>+EL35/EL26*1000</f>
        <v/>
      </c>
      <c r="EM33" s="502">
        <f>+EM35/EM26*1000</f>
        <v/>
      </c>
      <c r="EN33" s="989" t="n"/>
      <c r="EO33" s="502">
        <f>+EO35/EO26*1000</f>
        <v/>
      </c>
      <c r="EP33" s="502">
        <f>+EP35/EP26*1000</f>
        <v/>
      </c>
      <c r="EQ33" s="502">
        <f>+EQ35/EQ26*1000</f>
        <v/>
      </c>
      <c r="ER33" s="989" t="n"/>
      <c r="ES33" s="502">
        <f>+ES35/ES26*1000</f>
        <v/>
      </c>
      <c r="ET33" s="502">
        <f>+ET35/ET26*1000</f>
        <v/>
      </c>
      <c r="EU33" s="502">
        <f>+EU35/EU26*1000</f>
        <v/>
      </c>
      <c r="EV33" s="989" t="n"/>
      <c r="EW33" s="502">
        <f>+EW35/EW26*1000</f>
        <v/>
      </c>
      <c r="EX33" s="502">
        <f>+EX35/EX26*1000</f>
        <v/>
      </c>
      <c r="EY33" s="502">
        <f>+EY35/EY26*1000</f>
        <v/>
      </c>
      <c r="FA33" s="502">
        <f>+FA35/FA26*1000</f>
        <v/>
      </c>
      <c r="FB33" s="502">
        <f>+FB35/FB26*1000</f>
        <v/>
      </c>
      <c r="FC33" s="502">
        <f>+FC35/FC26*1000</f>
        <v/>
      </c>
      <c r="FE33" s="502">
        <f>+FE35/FE26*1000</f>
        <v/>
      </c>
      <c r="FF33" s="502">
        <f>+FF35/FF26*1000</f>
        <v/>
      </c>
      <c r="FG33" s="502">
        <f>+FG35/FG26*1000</f>
        <v/>
      </c>
      <c r="FI33" s="502">
        <f>+FI35/FI26*1000</f>
        <v/>
      </c>
      <c r="FJ33" s="502">
        <f>+FJ35/FJ26*1000</f>
        <v/>
      </c>
      <c r="FK33" s="502">
        <f>+FK35/FK26*1000</f>
        <v/>
      </c>
      <c r="FM33" s="502">
        <f>+FM35/FM26*1000</f>
        <v/>
      </c>
      <c r="FN33" s="502">
        <f>+FN35/FN26*1000</f>
        <v/>
      </c>
      <c r="FO33" s="502">
        <f>+FO35/FO26*1000</f>
        <v/>
      </c>
    </row>
    <row r="34" ht="14.25" customFormat="1" customHeight="1" s="986">
      <c r="A34" s="987" t="n"/>
      <c r="B34" s="996" t="inlineStr">
        <is>
          <t>YoY change in average airfare ticket price</t>
        </is>
      </c>
      <c r="D34" s="986">
        <f>D33/C33-1</f>
        <v/>
      </c>
      <c r="E34" s="986">
        <f>E33/D33-1</f>
        <v/>
      </c>
      <c r="F34" s="986">
        <f>F33/E33-1</f>
        <v/>
      </c>
      <c r="G34" s="986">
        <f>G33/F33-1</f>
        <v/>
      </c>
      <c r="H34" s="986">
        <f>H33/G33-1</f>
        <v/>
      </c>
      <c r="I34" s="986">
        <f>I33/H33-1</f>
        <v/>
      </c>
      <c r="J34" s="986">
        <f>J33/I33-1</f>
        <v/>
      </c>
      <c r="K34" s="986">
        <f>K33/J33-1</f>
        <v/>
      </c>
      <c r="L34" s="986">
        <f>L33/K33-1</f>
        <v/>
      </c>
      <c r="M34" s="986">
        <f>M33/L33-1</f>
        <v/>
      </c>
      <c r="N34" s="986">
        <f>N33/M33-1</f>
        <v/>
      </c>
      <c r="O34" s="986">
        <f>O33/N33-1</f>
        <v/>
      </c>
      <c r="P34" s="986">
        <f>P33/O33-1</f>
        <v/>
      </c>
      <c r="Q34" s="986">
        <f>Q33/P33-1</f>
        <v/>
      </c>
      <c r="R34" s="986">
        <f>R33/Q33-1</f>
        <v/>
      </c>
      <c r="S34" s="986">
        <f>S33/R33-1</f>
        <v/>
      </c>
      <c r="T34" s="986">
        <f>T33/S33-1</f>
        <v/>
      </c>
      <c r="U34" s="986">
        <f>U33/T33-1</f>
        <v/>
      </c>
      <c r="V34" s="986">
        <f>V33/U33-1</f>
        <v/>
      </c>
      <c r="W34" s="986">
        <f>W33/V33-1</f>
        <v/>
      </c>
      <c r="X34" s="986">
        <f>X33/W33-1</f>
        <v/>
      </c>
      <c r="Y34" s="986">
        <f>Y33/X33-1</f>
        <v/>
      </c>
      <c r="Z34" s="986">
        <f>Z33/Y33-1</f>
        <v/>
      </c>
      <c r="AA34" s="986">
        <f>AA33/Z33-1</f>
        <v/>
      </c>
      <c r="AB34" s="986">
        <f>AB33/AA33-1</f>
        <v/>
      </c>
      <c r="AC34" s="986">
        <f>AC33/AB33-1</f>
        <v/>
      </c>
      <c r="AD34" s="986">
        <f>AD33/AC33-1</f>
        <v/>
      </c>
      <c r="AE34" s="986">
        <f>AE33/AD33-1</f>
        <v/>
      </c>
      <c r="AF34" s="986">
        <f>AF33/AE33-1</f>
        <v/>
      </c>
      <c r="AG34" s="986">
        <f>AG33/AF33-1</f>
        <v/>
      </c>
      <c r="AH34" s="986">
        <f>AH33/AG33-1</f>
        <v/>
      </c>
      <c r="AI34" s="986">
        <f>AI33/AH33-1</f>
        <v/>
      </c>
      <c r="AJ34" s="986">
        <f>AJ33/AI33-1</f>
        <v/>
      </c>
      <c r="AK34" s="986">
        <f>AK33/AJ33-1</f>
        <v/>
      </c>
      <c r="AL34" s="986">
        <f>AL33/AK33-1</f>
        <v/>
      </c>
      <c r="AM34" s="986">
        <f>AM33/AL33-1</f>
        <v/>
      </c>
      <c r="AN34" s="986">
        <f>AN33/AM33-1</f>
        <v/>
      </c>
      <c r="AO34" s="986">
        <f>AO33/AN33-1</f>
        <v/>
      </c>
      <c r="AP34" s="986">
        <f>AP33/AO33-1</f>
        <v/>
      </c>
      <c r="AQ34" s="986">
        <f>AQ33/AP33-1</f>
        <v/>
      </c>
      <c r="AR34" s="986">
        <f>AR33/AQ33-1</f>
        <v/>
      </c>
      <c r="AS34" s="986">
        <f>AS33/AR33-1</f>
        <v/>
      </c>
      <c r="AT34" s="986">
        <f>AT33/AS33-1</f>
        <v/>
      </c>
      <c r="AU34" s="288" t="n"/>
      <c r="AX34" s="992" t="n"/>
      <c r="AY34" s="991" t="n"/>
      <c r="BB34" s="992" t="n"/>
      <c r="BL34" s="986">
        <f>BL33/BH33-1</f>
        <v/>
      </c>
      <c r="BM34" s="986">
        <f>BM33/BI33-1</f>
        <v/>
      </c>
      <c r="BN34" s="986">
        <f>BN33/BJ33-1</f>
        <v/>
      </c>
      <c r="BP34" s="986">
        <f>BP33/BL33-1</f>
        <v/>
      </c>
      <c r="BQ34" s="986">
        <f>BQ33/BM33-1</f>
        <v/>
      </c>
      <c r="BR34" s="986">
        <f>BR33/BN33-1</f>
        <v/>
      </c>
      <c r="BT34" s="986">
        <f>BT33/BP33-1</f>
        <v/>
      </c>
      <c r="BU34" s="986">
        <f>BU33/BQ33-1</f>
        <v/>
      </c>
      <c r="BV34" s="986">
        <f>BV33/BR33-1</f>
        <v/>
      </c>
      <c r="BX34" s="986">
        <f>BX33/BT33-1</f>
        <v/>
      </c>
      <c r="BY34" s="986">
        <f>BY33/BU33-1</f>
        <v/>
      </c>
      <c r="BZ34" s="986">
        <f>BZ33/BV33-1</f>
        <v/>
      </c>
      <c r="CB34" s="986">
        <f>CB33/BX33-1</f>
        <v/>
      </c>
      <c r="CC34" s="986">
        <f>CC33/BY33-1</f>
        <v/>
      </c>
      <c r="CD34" s="986">
        <f>CD33/BZ33-1</f>
        <v/>
      </c>
      <c r="CE34" s="993" t="n"/>
      <c r="CF34" s="986">
        <f>CF33/CB33-1</f>
        <v/>
      </c>
      <c r="CG34" s="986">
        <f>CG33/CC33-1</f>
        <v/>
      </c>
      <c r="CH34" s="986">
        <f>CH33/CD33-1</f>
        <v/>
      </c>
      <c r="CI34" s="992" t="n"/>
      <c r="CJ34" s="986">
        <f>CJ33/CF33-1</f>
        <v/>
      </c>
      <c r="CK34" s="986">
        <f>CK33/CG33-1</f>
        <v/>
      </c>
      <c r="CL34" s="986">
        <f>CL33/CH33-1</f>
        <v/>
      </c>
      <c r="CM34" s="992" t="n"/>
      <c r="CN34" s="986">
        <f>CN33/CJ33-1</f>
        <v/>
      </c>
      <c r="CO34" s="986">
        <f>CO33/CK33-1</f>
        <v/>
      </c>
      <c r="CP34" s="986">
        <f>CP33/CL33-1</f>
        <v/>
      </c>
      <c r="CQ34" s="993" t="n"/>
      <c r="CR34" s="986">
        <f>CR33/CN33-1</f>
        <v/>
      </c>
      <c r="CS34" s="986">
        <f>CS33/CN33-1</f>
        <v/>
      </c>
      <c r="CT34" s="986">
        <f>CT33/CO33-1</f>
        <v/>
      </c>
      <c r="CU34" s="986">
        <f>CU33/CP33-1</f>
        <v/>
      </c>
      <c r="CV34" s="993" t="n"/>
      <c r="CW34" s="986">
        <f>CW33/CS33-1</f>
        <v/>
      </c>
      <c r="CX34" s="986">
        <f>CX33/CT33-1</f>
        <v/>
      </c>
      <c r="CY34" s="986">
        <f>CY33/CU33-1</f>
        <v/>
      </c>
      <c r="CZ34" s="993" t="n"/>
      <c r="DA34" s="986">
        <f>DA33/CW33-1</f>
        <v/>
      </c>
      <c r="DB34" s="986">
        <f>DB33/CX33-1</f>
        <v/>
      </c>
      <c r="DC34" s="986">
        <f>DC33/CY33-1</f>
        <v/>
      </c>
      <c r="DD34" s="993" t="n"/>
      <c r="DE34" s="986">
        <f>DE33/DA33-1</f>
        <v/>
      </c>
      <c r="DF34" s="986">
        <f>DF33/DB33-1</f>
        <v/>
      </c>
      <c r="DG34" s="986">
        <f>DG33/DC33-1</f>
        <v/>
      </c>
      <c r="DH34" s="290" t="n"/>
      <c r="DI34" s="986">
        <f>DI33/DE33-1</f>
        <v/>
      </c>
      <c r="DJ34" s="986">
        <f>DJ33/DF33-1</f>
        <v/>
      </c>
      <c r="DK34" s="986">
        <f>DK33/DG33-1</f>
        <v/>
      </c>
      <c r="DL34" s="993" t="n"/>
      <c r="DM34" s="986">
        <f>DM33/DI33-1</f>
        <v/>
      </c>
      <c r="DN34" s="986">
        <f>DN33/DJ33-1</f>
        <v/>
      </c>
      <c r="DO34" s="986">
        <f>DO33/DK33-1</f>
        <v/>
      </c>
      <c r="DP34" s="290" t="n"/>
      <c r="DQ34" s="986">
        <f>DQ33/DM33-1</f>
        <v/>
      </c>
      <c r="DR34" s="986">
        <f>DR33/DN33-1</f>
        <v/>
      </c>
      <c r="DS34" s="986">
        <f>DS33/DO33-1</f>
        <v/>
      </c>
      <c r="DT34" s="989" t="n"/>
      <c r="DU34" s="986">
        <f>DU33/DQ33-1</f>
        <v/>
      </c>
      <c r="DV34" s="986">
        <f>DV33/DR33-1</f>
        <v/>
      </c>
      <c r="DW34" s="986">
        <f>DW33/DS33-1</f>
        <v/>
      </c>
      <c r="DX34" s="989" t="n"/>
      <c r="DY34" s="986">
        <f>DY33/DU33-1</f>
        <v/>
      </c>
      <c r="DZ34" s="986">
        <f>DZ33/DV33-1</f>
        <v/>
      </c>
      <c r="EA34" s="986">
        <f>EA33/DW33-1</f>
        <v/>
      </c>
      <c r="EC34" s="986">
        <f>EC33/DY33-1</f>
        <v/>
      </c>
      <c r="ED34" s="986">
        <f>ED33/DZ33-1</f>
        <v/>
      </c>
      <c r="EE34" s="986">
        <f>EE33/EA33-1</f>
        <v/>
      </c>
      <c r="EF34" s="989" t="n"/>
      <c r="EG34" s="986">
        <f>EG33/EC33-1</f>
        <v/>
      </c>
      <c r="EH34" s="986">
        <f>EH33/ED33-1</f>
        <v/>
      </c>
      <c r="EI34" s="986">
        <f>EI33/EE33-1</f>
        <v/>
      </c>
      <c r="EJ34" s="989" t="n"/>
      <c r="EK34" s="986">
        <f>EK33/EG33-1</f>
        <v/>
      </c>
      <c r="EL34" s="986">
        <f>EL33/EH33-1</f>
        <v/>
      </c>
      <c r="EM34" s="986">
        <f>EM33/EI33-1</f>
        <v/>
      </c>
      <c r="EN34" s="989" t="n"/>
      <c r="EO34" s="986">
        <f>EO33/EK33-1</f>
        <v/>
      </c>
      <c r="EP34" s="986">
        <f>EP33/EL33-1</f>
        <v/>
      </c>
      <c r="EQ34" s="986">
        <f>EQ33/EM33-1</f>
        <v/>
      </c>
      <c r="ER34" s="989" t="n"/>
      <c r="ES34" s="986">
        <f>ES33/EO33-1</f>
        <v/>
      </c>
      <c r="ET34" s="986">
        <f>ET33/EP33-1</f>
        <v/>
      </c>
      <c r="EU34" s="986">
        <f>EU33/EQ33-1</f>
        <v/>
      </c>
      <c r="EV34" s="989" t="n"/>
      <c r="EW34" s="986">
        <f>EW33/ES33-1</f>
        <v/>
      </c>
      <c r="EX34" s="986">
        <f>EX33/ET33-1</f>
        <v/>
      </c>
      <c r="EY34" s="986">
        <f>EY33/EU33-1</f>
        <v/>
      </c>
      <c r="FA34" s="986">
        <f>FA33/EW33-1</f>
        <v/>
      </c>
      <c r="FB34" s="986">
        <f>FB33/EX33-1</f>
        <v/>
      </c>
      <c r="FC34" s="986">
        <f>FC33/EY33-1</f>
        <v/>
      </c>
      <c r="FE34" s="986">
        <f>FE33/FA33-1</f>
        <v/>
      </c>
      <c r="FF34" s="986">
        <f>FF33/FB33-1</f>
        <v/>
      </c>
      <c r="FG34" s="986">
        <f>FG33/FC33-1</f>
        <v/>
      </c>
      <c r="FI34" s="986">
        <f>FI33/FE33-1</f>
        <v/>
      </c>
      <c r="FJ34" s="986">
        <f>FJ33/FF33-1</f>
        <v/>
      </c>
      <c r="FK34" s="986">
        <f>FK33/FG33-1</f>
        <v/>
      </c>
      <c r="FM34" s="986">
        <f>FM33/FI33-1</f>
        <v/>
      </c>
      <c r="FN34" s="986">
        <f>FN33/FJ33-1</f>
        <v/>
      </c>
      <c r="FO34" s="986">
        <f>FO33/FK33-1</f>
        <v/>
      </c>
    </row>
    <row r="35" ht="14.25" customFormat="1" customHeight="1" s="1024">
      <c r="A35" s="1025" t="n"/>
      <c r="B35" s="583" t="inlineStr">
        <is>
          <t>FSC Passenger Revenue</t>
        </is>
      </c>
      <c r="C35" s="616">
        <f>+C112-C50</f>
        <v/>
      </c>
      <c r="D35" s="616">
        <f>+D112-D50</f>
        <v/>
      </c>
      <c r="E35" s="616">
        <f>+E112-E50</f>
        <v/>
      </c>
      <c r="F35" s="616">
        <f>+F112-F50</f>
        <v/>
      </c>
      <c r="G35" s="616">
        <f>+G112-G50</f>
        <v/>
      </c>
      <c r="H35" s="616">
        <f>+H112-H50</f>
        <v/>
      </c>
      <c r="I35" s="616">
        <f>+I112-I50</f>
        <v/>
      </c>
      <c r="J35" s="616">
        <f>+J112-J50</f>
        <v/>
      </c>
      <c r="K35" s="616">
        <f>+K112-K50</f>
        <v/>
      </c>
      <c r="L35" s="616">
        <f>+L112-L50</f>
        <v/>
      </c>
      <c r="M35" s="616">
        <f>+M112-M50</f>
        <v/>
      </c>
      <c r="N35" s="616">
        <f>+N112-N50</f>
        <v/>
      </c>
      <c r="O35" s="616">
        <f>+O112-O50</f>
        <v/>
      </c>
      <c r="P35" s="616">
        <f>+P112-P50</f>
        <v/>
      </c>
      <c r="Q35" s="616">
        <f>+Q112-Q50</f>
        <v/>
      </c>
      <c r="R35" s="616">
        <f>+R112-R50</f>
        <v/>
      </c>
      <c r="S35" s="616">
        <f>+S112-S50</f>
        <v/>
      </c>
      <c r="T35" s="616">
        <f>+T112-T50</f>
        <v/>
      </c>
      <c r="U35" s="616">
        <f>+U112-U50</f>
        <v/>
      </c>
      <c r="V35" s="616">
        <f>+V112-V50</f>
        <v/>
      </c>
      <c r="W35" s="616">
        <f>+W112-W50</f>
        <v/>
      </c>
      <c r="X35" s="616">
        <f>+X112-X50</f>
        <v/>
      </c>
      <c r="Y35" s="616">
        <f>+Y112-Y50</f>
        <v/>
      </c>
      <c r="Z35" s="616">
        <f>+Z112-Z50</f>
        <v/>
      </c>
      <c r="AA35" s="616">
        <f>+AA112-AA50</f>
        <v/>
      </c>
      <c r="AB35" s="616">
        <f>+AB112-AB50</f>
        <v/>
      </c>
      <c r="AC35" s="616">
        <f>+AC112-AC50</f>
        <v/>
      </c>
      <c r="AD35" s="616">
        <f>+AD112-AD50</f>
        <v/>
      </c>
      <c r="AE35" s="616">
        <f>+AE112-AE50</f>
        <v/>
      </c>
      <c r="AF35" s="616">
        <f>+AF112-AF50</f>
        <v/>
      </c>
      <c r="AG35" s="616">
        <f>+AG112-AG50</f>
        <v/>
      </c>
      <c r="AH35" s="616">
        <f>+AH112-AH50</f>
        <v/>
      </c>
      <c r="AI35" s="616">
        <f>+AI112-AI50</f>
        <v/>
      </c>
      <c r="AJ35" s="616">
        <f>+AJ112-AJ50</f>
        <v/>
      </c>
      <c r="AK35" s="616">
        <f>+AK112-AK50</f>
        <v/>
      </c>
      <c r="AL35" s="616">
        <f>+AL112-AL50</f>
        <v/>
      </c>
      <c r="AM35" s="616">
        <f>+AM112-AM50</f>
        <v/>
      </c>
      <c r="AN35" s="616">
        <f>+AN112-AN50</f>
        <v/>
      </c>
      <c r="AO35" s="615">
        <f>SUM(FI35:FJ35)</f>
        <v/>
      </c>
      <c r="AP35" s="615">
        <f>SUM(FM35:FN35)</f>
        <v/>
      </c>
      <c r="AQ35" s="616">
        <f>AQ24*AQ29</f>
        <v/>
      </c>
      <c r="AR35" s="616">
        <f>AR24*AR29</f>
        <v/>
      </c>
      <c r="AS35" s="616">
        <f>AS24*AS29</f>
        <v/>
      </c>
      <c r="AT35" s="616">
        <f>AT24*AT29</f>
        <v/>
      </c>
      <c r="AU35" s="585" t="n"/>
      <c r="AV35" s="616">
        <f>+AV112-AV50</f>
        <v/>
      </c>
      <c r="AW35" s="616">
        <f>+AW112-AW50</f>
        <v/>
      </c>
      <c r="AX35" s="616">
        <f>+AX112-AX50</f>
        <v/>
      </c>
      <c r="AY35" s="1026" t="n"/>
      <c r="AZ35" s="616">
        <f>+AZ112-AZ50</f>
        <v/>
      </c>
      <c r="BA35" s="616">
        <f>+BA112-BA50</f>
        <v/>
      </c>
      <c r="BB35" s="616">
        <f>+BB112-BB50</f>
        <v/>
      </c>
      <c r="BD35" s="616">
        <f>+BD112-BD50</f>
        <v/>
      </c>
      <c r="BE35" s="616">
        <f>+BE112-BE50</f>
        <v/>
      </c>
      <c r="BF35" s="616">
        <f>+BF112-BF50</f>
        <v/>
      </c>
      <c r="BH35" s="616">
        <f>+BH112-BH50</f>
        <v/>
      </c>
      <c r="BI35" s="616">
        <f>+BI112-BI50</f>
        <v/>
      </c>
      <c r="BJ35" s="616">
        <f>+BJ112-BJ50</f>
        <v/>
      </c>
      <c r="BL35" s="616">
        <f>+BL112-BL50</f>
        <v/>
      </c>
      <c r="BM35" s="616">
        <f>+BM112-BM50</f>
        <v/>
      </c>
      <c r="BN35" s="616">
        <f>+BN112-BN50</f>
        <v/>
      </c>
      <c r="BP35" s="616">
        <f>+BP112-BP50</f>
        <v/>
      </c>
      <c r="BQ35" s="616">
        <f>+BQ112-BQ50</f>
        <v/>
      </c>
      <c r="BR35" s="616">
        <f>+BR112-BR50</f>
        <v/>
      </c>
      <c r="BT35" s="616">
        <f>+BT112-BT50</f>
        <v/>
      </c>
      <c r="BU35" s="616">
        <f>+BU112-BU50</f>
        <v/>
      </c>
      <c r="BV35" s="616">
        <f>+BV112-BV50</f>
        <v/>
      </c>
      <c r="BX35" s="616">
        <f>+BX112-BX50</f>
        <v/>
      </c>
      <c r="BY35" s="616">
        <f>+BY112-BY50</f>
        <v/>
      </c>
      <c r="BZ35" s="616">
        <f>+BZ112-BZ50</f>
        <v/>
      </c>
      <c r="CB35" s="616">
        <f>+CB112-CB50</f>
        <v/>
      </c>
      <c r="CC35" s="616">
        <f>+CC112-CC50</f>
        <v/>
      </c>
      <c r="CD35" s="616">
        <f>+CD112-CD50</f>
        <v/>
      </c>
      <c r="CE35" s="1026" t="n"/>
      <c r="CF35" s="616">
        <f>+CF112-CF50</f>
        <v/>
      </c>
      <c r="CG35" s="616">
        <f>+CG112-CG50</f>
        <v/>
      </c>
      <c r="CH35" s="616">
        <f>+CH112-CH50</f>
        <v/>
      </c>
      <c r="CI35" s="1026" t="n"/>
      <c r="CJ35" s="616">
        <f>+CJ112-CJ50</f>
        <v/>
      </c>
      <c r="CK35" s="616">
        <f>+CK112-CK50</f>
        <v/>
      </c>
      <c r="CL35" s="616">
        <f>+CL112-CL50</f>
        <v/>
      </c>
      <c r="CM35" s="1026" t="n"/>
      <c r="CN35" s="616">
        <f>+CN112-CN50</f>
        <v/>
      </c>
      <c r="CO35" s="616">
        <f>+CO112-CO50</f>
        <v/>
      </c>
      <c r="CP35" s="616">
        <f>+CP112-CP50</f>
        <v/>
      </c>
      <c r="CQ35" s="1026" t="n"/>
      <c r="CR35" s="616">
        <f>+CR112-CR50</f>
        <v/>
      </c>
      <c r="CS35" s="616">
        <f>+CS112-CS50</f>
        <v/>
      </c>
      <c r="CT35" s="616">
        <f>+CT112-CT50</f>
        <v/>
      </c>
      <c r="CU35" s="616">
        <f>+CU112-CU50</f>
        <v/>
      </c>
      <c r="CV35" s="1026" t="n"/>
      <c r="CW35" s="616">
        <f>+CW112-CW50</f>
        <v/>
      </c>
      <c r="CX35" s="616">
        <f>+CX112-CX50</f>
        <v/>
      </c>
      <c r="CY35" s="616">
        <f>+CY112-CY50</f>
        <v/>
      </c>
      <c r="CZ35" s="1026" t="n"/>
      <c r="DA35" s="616">
        <f>+DA112-DA50</f>
        <v/>
      </c>
      <c r="DB35" s="616">
        <f>+DB112-DB50</f>
        <v/>
      </c>
      <c r="DC35" s="616">
        <f>+DC112-DC50</f>
        <v/>
      </c>
      <c r="DD35" s="1026" t="n"/>
      <c r="DE35" s="616">
        <f>+DE112-DE50</f>
        <v/>
      </c>
      <c r="DF35" s="616">
        <f>+DF112-DF50</f>
        <v/>
      </c>
      <c r="DG35" s="616">
        <f>+DG112-DG50</f>
        <v/>
      </c>
      <c r="DH35" s="662" t="n"/>
      <c r="DI35" s="616">
        <f>+DI112-DI50</f>
        <v/>
      </c>
      <c r="DJ35" s="616">
        <f>+DJ112-DJ50</f>
        <v/>
      </c>
      <c r="DK35" s="616">
        <f>+DK112-DK50</f>
        <v/>
      </c>
      <c r="DL35" s="1027" t="n"/>
      <c r="DM35" s="616">
        <f>+DM112-DM50</f>
        <v/>
      </c>
      <c r="DN35" s="616">
        <f>+DN112-DN50</f>
        <v/>
      </c>
      <c r="DO35" s="616">
        <f>+DO112-DO50</f>
        <v/>
      </c>
      <c r="DP35" s="662" t="n"/>
      <c r="DQ35" s="616">
        <f>+DQ112-DQ50</f>
        <v/>
      </c>
      <c r="DR35" s="616">
        <f>+DR112-DR50</f>
        <v/>
      </c>
      <c r="DS35" s="616">
        <f>+DS112-DS50</f>
        <v/>
      </c>
      <c r="DT35" s="1027" t="n"/>
      <c r="DU35" s="616">
        <f>+DU112-DU50</f>
        <v/>
      </c>
      <c r="DV35" s="616">
        <f>+DV112-DV50</f>
        <v/>
      </c>
      <c r="DW35" s="616">
        <f>+DW112-DW50</f>
        <v/>
      </c>
      <c r="DX35" s="1027" t="n"/>
      <c r="DY35" s="616">
        <f>+DY112-DY50</f>
        <v/>
      </c>
      <c r="DZ35" s="616">
        <f>+DZ112-DZ50</f>
        <v/>
      </c>
      <c r="EA35" s="616">
        <f>+EA112-EA50</f>
        <v/>
      </c>
      <c r="EB35" s="1028" t="n"/>
      <c r="EC35" s="616">
        <f>+EC112-EC50</f>
        <v/>
      </c>
      <c r="ED35" s="616">
        <f>+ED112-ED50</f>
        <v/>
      </c>
      <c r="EE35" s="616">
        <f>+EE112-EE50</f>
        <v/>
      </c>
      <c r="EF35" s="1029" t="n"/>
      <c r="EG35" s="616">
        <f>+EG112-EG50</f>
        <v/>
      </c>
      <c r="EH35" s="616">
        <f>+EH112-EH50</f>
        <v/>
      </c>
      <c r="EI35" s="616">
        <f>+EI112-EI50</f>
        <v/>
      </c>
      <c r="EJ35" s="1029" t="n"/>
      <c r="EK35" s="616">
        <f>+EK112-EK50</f>
        <v/>
      </c>
      <c r="EL35" s="616">
        <f>+EL112-EL50</f>
        <v/>
      </c>
      <c r="EM35" s="616">
        <f>+EM112-EM50</f>
        <v/>
      </c>
      <c r="EN35" s="1029" t="n"/>
      <c r="EO35" s="616">
        <f>+EO112-EO50</f>
        <v/>
      </c>
      <c r="EP35" s="616">
        <f>+EP112-EP50</f>
        <v/>
      </c>
      <c r="EQ35" s="616">
        <f>+EQ112-EQ50</f>
        <v/>
      </c>
      <c r="ER35" s="1029" t="n"/>
      <c r="ES35" s="616">
        <f>+ES112-ES50</f>
        <v/>
      </c>
      <c r="ET35" s="616">
        <f>+ET112-ET50</f>
        <v/>
      </c>
      <c r="EU35" s="616">
        <f>+EU112-EU50</f>
        <v/>
      </c>
      <c r="EV35" s="1029" t="n"/>
      <c r="EW35" s="616">
        <f>+EW24*EW29</f>
        <v/>
      </c>
      <c r="EX35" s="616">
        <f>+EX112-EX50</f>
        <v/>
      </c>
      <c r="EY35" s="616">
        <f>+EY112-EY50</f>
        <v/>
      </c>
      <c r="FA35" s="616">
        <f>+FA112-FA50</f>
        <v/>
      </c>
      <c r="FB35" s="616">
        <f>+FB112-FB50</f>
        <v/>
      </c>
      <c r="FC35" s="616">
        <f>+FC112-FC50</f>
        <v/>
      </c>
      <c r="FD35" s="616" t="n"/>
      <c r="FE35" s="616">
        <f>+FE112-FE50</f>
        <v/>
      </c>
      <c r="FF35" s="616">
        <f>+FF112-FF50</f>
        <v/>
      </c>
      <c r="FG35" s="616">
        <f>+FG112-FG50</f>
        <v/>
      </c>
      <c r="FH35" s="1024" t="n"/>
      <c r="FI35" s="616">
        <f>+FI112-FI50</f>
        <v/>
      </c>
      <c r="FJ35" s="616">
        <f>+FJ112-FJ50</f>
        <v/>
      </c>
      <c r="FK35" s="616">
        <f>+FK24*FK29</f>
        <v/>
      </c>
      <c r="FM35" s="616">
        <f>+FM24*FM29</f>
        <v/>
      </c>
      <c r="FN35" s="616">
        <f>+FN24*FN29</f>
        <v/>
      </c>
      <c r="FO35" s="616">
        <f>+FO24*FO29</f>
        <v/>
      </c>
    </row>
    <row r="36" ht="14.25" customFormat="1" customHeight="1" s="1021">
      <c r="A36" s="1022" t="n"/>
      <c r="B36" s="996" t="n"/>
      <c r="L36" s="990" t="n"/>
      <c r="M36" s="990" t="n"/>
      <c r="N36" s="990" t="n"/>
      <c r="O36" s="990" t="n"/>
      <c r="P36" s="990" t="n"/>
      <c r="Q36" s="990" t="n"/>
      <c r="R36" s="990" t="n"/>
      <c r="S36" s="990" t="n"/>
      <c r="T36" s="990" t="n"/>
      <c r="U36" s="990" t="n"/>
      <c r="V36" s="990" t="n"/>
      <c r="W36" s="990" t="n"/>
      <c r="X36" s="990" t="n"/>
      <c r="Y36" s="990" t="n"/>
      <c r="Z36" s="990" t="n"/>
      <c r="AA36" s="990" t="n"/>
      <c r="AB36" s="990" t="n"/>
      <c r="AC36" s="990" t="n"/>
      <c r="AD36" s="990" t="n"/>
      <c r="AE36" s="990" t="n"/>
      <c r="AF36" s="990" t="n"/>
      <c r="AG36" s="990" t="n"/>
      <c r="AH36" s="990" t="n"/>
      <c r="AI36" s="1019" t="n"/>
      <c r="AJ36" s="1019" t="n"/>
      <c r="AK36" s="1019" t="n"/>
      <c r="AL36" s="1019" t="n"/>
      <c r="AM36" s="1019" t="n"/>
      <c r="AN36" s="1019" t="n"/>
      <c r="AO36" s="1019" t="n"/>
      <c r="AP36" s="1030" t="n"/>
      <c r="AQ36" s="1030" t="n"/>
      <c r="AR36" s="1030" t="n"/>
      <c r="AS36" s="1030" t="n"/>
      <c r="AT36" s="1030" t="n"/>
      <c r="AU36" s="504" t="n"/>
      <c r="AX36" s="1023" t="n"/>
      <c r="AY36" s="993" t="n"/>
      <c r="AZ36" s="993" t="n"/>
      <c r="BA36" s="993" t="n"/>
      <c r="BB36" s="993" t="n"/>
      <c r="BD36" s="993" t="n"/>
      <c r="BE36" s="993" t="n"/>
      <c r="BF36" s="993" t="n"/>
      <c r="BH36" s="993" t="n"/>
      <c r="BI36" s="993" t="n"/>
      <c r="BJ36" s="993" t="n"/>
      <c r="BL36" s="993" t="n"/>
      <c r="BM36" s="993" t="n"/>
      <c r="BN36" s="993" t="n"/>
      <c r="BP36" s="993" t="n"/>
      <c r="BQ36" s="993" t="n"/>
      <c r="BR36" s="993" t="n"/>
      <c r="BT36" s="993" t="n"/>
      <c r="BU36" s="993" t="n"/>
      <c r="BV36" s="993" t="n"/>
      <c r="BX36" s="993" t="n"/>
      <c r="BY36" s="993" t="n"/>
      <c r="BZ36" s="993" t="n"/>
      <c r="CB36" s="993" t="n"/>
      <c r="CC36" s="993" t="n"/>
      <c r="CD36" s="993" t="n"/>
      <c r="CE36" s="993" t="n"/>
      <c r="CF36" s="993" t="n"/>
      <c r="CG36" s="993" t="n"/>
      <c r="CH36" s="993" t="n"/>
      <c r="CI36" s="993" t="n"/>
      <c r="CJ36" s="993" t="n"/>
      <c r="CK36" s="993" t="n"/>
      <c r="CL36" s="993" t="n"/>
      <c r="CM36" s="993" t="n"/>
      <c r="CN36" s="993" t="n"/>
      <c r="CO36" s="993" t="n"/>
      <c r="CP36" s="993" t="n"/>
      <c r="CQ36" s="993" t="n"/>
      <c r="CR36" s="993" t="n"/>
      <c r="CS36" s="993" t="n"/>
      <c r="CT36" s="993" t="n"/>
      <c r="CU36" s="993" t="n"/>
      <c r="CV36" s="993" t="n"/>
      <c r="CW36" s="993" t="n"/>
      <c r="CX36" s="993" t="n"/>
      <c r="CY36" s="993" t="n"/>
      <c r="CZ36" s="993" t="n"/>
      <c r="DA36" s="993" t="n"/>
      <c r="DB36" s="993" t="n"/>
      <c r="DC36" s="993" t="n"/>
      <c r="DD36" s="993" t="n"/>
      <c r="DE36" s="993" t="n"/>
      <c r="DF36" s="993" t="n"/>
      <c r="DG36" s="993" t="n"/>
      <c r="DH36" s="290" t="n"/>
      <c r="DI36" s="993" t="n"/>
      <c r="DJ36" s="991" t="n"/>
      <c r="DK36" s="991" t="n"/>
      <c r="DL36" s="991" t="n"/>
      <c r="DM36" s="993" t="n"/>
      <c r="DN36" s="991" t="n"/>
      <c r="DO36" s="991" t="n"/>
      <c r="DP36" s="290" t="n"/>
      <c r="DQ36" s="990" t="n"/>
      <c r="DR36" s="990" t="n"/>
      <c r="DS36" s="991" t="n"/>
      <c r="DT36" s="991" t="n"/>
      <c r="DU36" s="990" t="n"/>
      <c r="DV36" s="990" t="n"/>
      <c r="DW36" s="990" t="n"/>
      <c r="DX36" s="991" t="n"/>
      <c r="DY36" s="990" t="n"/>
      <c r="DZ36" s="990" t="n"/>
      <c r="EA36" s="990" t="n"/>
      <c r="EB36" s="986" t="n"/>
      <c r="EC36" s="990" t="n"/>
      <c r="ED36" s="990" t="n"/>
      <c r="EE36" s="990" t="n"/>
      <c r="EF36" s="990" t="n"/>
      <c r="EG36" s="990" t="n"/>
      <c r="EH36" s="990" t="n"/>
      <c r="EI36" s="990" t="n"/>
      <c r="EJ36" s="990" t="n"/>
      <c r="EK36" s="990" t="n"/>
      <c r="EL36" s="990" t="n"/>
      <c r="EM36" s="990" t="n"/>
      <c r="EN36" s="990" t="n"/>
      <c r="EO36" s="990" t="n"/>
      <c r="EP36" s="990" t="n"/>
      <c r="EQ36" s="990" t="n"/>
      <c r="ER36" s="990" t="n"/>
      <c r="ES36" s="990" t="n"/>
      <c r="ET36" s="990" t="n"/>
      <c r="EU36" s="990" t="n"/>
      <c r="EV36" s="990" t="n"/>
      <c r="EW36" s="990" t="n"/>
      <c r="EX36" s="990" t="n"/>
      <c r="EY36" s="990" t="n"/>
      <c r="FA36" s="616" t="n"/>
      <c r="FB36" s="990" t="n"/>
      <c r="FC36" s="990" t="n"/>
      <c r="FD36" s="1021" t="n"/>
      <c r="FE36" s="1019" t="n"/>
      <c r="FF36" s="990" t="n"/>
      <c r="FG36" s="990" t="n"/>
      <c r="FH36" s="1021" t="n"/>
      <c r="FI36" s="1030" t="n"/>
      <c r="FJ36" s="990" t="n"/>
      <c r="FK36" s="990" t="n"/>
      <c r="FL36" s="1021" t="n"/>
      <c r="FM36" s="1030" t="n"/>
      <c r="FN36" s="1030" t="n"/>
      <c r="FO36" s="990" t="n"/>
    </row>
    <row r="37" ht="14.25" customFormat="1" customHeight="1" s="1021">
      <c r="A37" s="1022" t="n"/>
      <c r="B37" s="20" t="inlineStr">
        <is>
          <t>LCC's ask</t>
        </is>
      </c>
      <c r="L37" s="990" t="n"/>
      <c r="M37" s="990" t="n"/>
      <c r="N37" s="990" t="n"/>
      <c r="O37" s="990" t="n"/>
      <c r="P37" s="990" t="n"/>
      <c r="Q37" s="990" t="n"/>
      <c r="R37" s="990" t="n"/>
      <c r="S37" s="990" t="n"/>
      <c r="T37" s="990" t="n"/>
      <c r="U37" s="990" t="n"/>
      <c r="V37" s="990" t="n"/>
      <c r="W37" s="990" t="n"/>
      <c r="X37" s="990" t="n"/>
      <c r="Y37" s="990" t="n"/>
      <c r="Z37" s="990" t="n"/>
      <c r="AA37" s="990" t="n"/>
      <c r="AB37" s="990" t="n"/>
      <c r="AC37" s="990" t="n"/>
      <c r="AD37" s="990" t="n"/>
      <c r="AE37" s="990" t="n"/>
      <c r="AF37" s="990" t="n"/>
      <c r="AG37" s="990" t="n"/>
      <c r="AH37" s="990" t="n"/>
      <c r="AI37" s="217" t="n">
        <v>4583</v>
      </c>
      <c r="AJ37" s="217" t="n">
        <v>1742</v>
      </c>
      <c r="AK37" s="217" t="n">
        <v>71</v>
      </c>
      <c r="AL37" s="217" t="n">
        <v>983</v>
      </c>
      <c r="AM37" s="217" t="n">
        <v>9432</v>
      </c>
      <c r="AN37" s="217" t="n">
        <v>13764</v>
      </c>
      <c r="AO37" s="21">
        <f>SUM(FI37:FJ37)</f>
        <v/>
      </c>
      <c r="AP37" s="21">
        <f>SUM(FM37:FN37)</f>
        <v/>
      </c>
      <c r="AQ37" s="21">
        <f>+AP37*(1+AQ38)</f>
        <v/>
      </c>
      <c r="AR37" s="21">
        <f>+AQ37*(1+AR38)</f>
        <v/>
      </c>
      <c r="AS37" s="21">
        <f>+AR37*(1+AS38)</f>
        <v/>
      </c>
      <c r="AT37" s="21">
        <f>+AS37*(1+AT38)</f>
        <v/>
      </c>
      <c r="AU37" s="504" t="n"/>
      <c r="AX37" s="1023" t="n"/>
      <c r="AY37" s="993" t="n"/>
      <c r="AZ37" s="993" t="n"/>
      <c r="BA37" s="993" t="n"/>
      <c r="BB37" s="993" t="n"/>
      <c r="BD37" s="993" t="n"/>
      <c r="BE37" s="993" t="n"/>
      <c r="BF37" s="993" t="n"/>
      <c r="BH37" s="993" t="n"/>
      <c r="BI37" s="993" t="n"/>
      <c r="BJ37" s="993" t="n"/>
      <c r="BL37" s="993" t="n"/>
      <c r="BM37" s="993" t="n"/>
      <c r="BN37" s="993" t="n"/>
      <c r="BP37" s="993" t="n"/>
      <c r="BQ37" s="993" t="n"/>
      <c r="BR37" s="993" t="n"/>
      <c r="BT37" s="993" t="n"/>
      <c r="BU37" s="993" t="n"/>
      <c r="BV37" s="993" t="n"/>
      <c r="BX37" s="993" t="n"/>
      <c r="BY37" s="993" t="n"/>
      <c r="BZ37" s="993" t="n"/>
      <c r="CB37" s="993" t="n"/>
      <c r="CC37" s="993" t="n"/>
      <c r="CD37" s="993" t="n"/>
      <c r="CE37" s="993" t="n"/>
      <c r="CF37" s="993" t="n"/>
      <c r="CG37" s="993" t="n"/>
      <c r="CH37" s="993" t="n"/>
      <c r="CI37" s="993" t="n"/>
      <c r="CJ37" s="993" t="n"/>
      <c r="CK37" s="993" t="n"/>
      <c r="CL37" s="993" t="n"/>
      <c r="CM37" s="993" t="n"/>
      <c r="CN37" s="993" t="n"/>
      <c r="CO37" s="993" t="n"/>
      <c r="CP37" s="993" t="n"/>
      <c r="CQ37" s="993" t="n"/>
      <c r="CR37" s="993" t="n"/>
      <c r="CS37" s="993" t="n"/>
      <c r="CT37" s="993" t="n"/>
      <c r="CU37" s="993" t="n"/>
      <c r="CV37" s="993" t="n"/>
      <c r="CW37" s="993" t="n"/>
      <c r="CX37" s="993" t="n"/>
      <c r="CY37" s="993" t="n"/>
      <c r="CZ37" s="993" t="n"/>
      <c r="DA37" s="993" t="n"/>
      <c r="DB37" s="993" t="n"/>
      <c r="DC37" s="993" t="n"/>
      <c r="DD37" s="993" t="n"/>
      <c r="DE37" s="993" t="n"/>
      <c r="DF37" s="993" t="n"/>
      <c r="DG37" s="993" t="n"/>
      <c r="DH37" s="290" t="n"/>
      <c r="DI37" s="993" t="n"/>
      <c r="DJ37" s="991" t="n"/>
      <c r="DK37" s="991" t="n"/>
      <c r="DL37" s="991" t="n"/>
      <c r="DM37" s="993" t="n"/>
      <c r="DN37" s="991" t="n"/>
      <c r="DO37" s="991" t="n"/>
      <c r="DP37" s="290" t="n"/>
      <c r="DQ37" s="990" t="n"/>
      <c r="DR37" s="990" t="n"/>
      <c r="DS37" s="991" t="n"/>
      <c r="DT37" s="991" t="n"/>
      <c r="DU37" s="990" t="n"/>
      <c r="DV37" s="990" t="n"/>
      <c r="DW37" s="990" t="n"/>
      <c r="DX37" s="991" t="n"/>
      <c r="DY37" s="990" t="n"/>
      <c r="DZ37" s="990" t="n"/>
      <c r="EA37" s="990" t="n"/>
      <c r="EB37" s="986" t="n"/>
      <c r="EC37" s="990" t="n"/>
      <c r="ED37" s="990" t="n"/>
      <c r="EE37" s="990" t="n"/>
      <c r="EF37" s="990" t="n"/>
      <c r="EG37" s="990" t="n"/>
      <c r="EH37" s="990" t="n"/>
      <c r="EI37" s="990" t="n"/>
      <c r="EJ37" s="990" t="n"/>
      <c r="EK37" s="990" t="n"/>
      <c r="EL37" s="21">
        <f>EM37-EK37</f>
        <v/>
      </c>
      <c r="EM37" s="21">
        <f>AI37</f>
        <v/>
      </c>
      <c r="EN37" s="990" t="n"/>
      <c r="EO37" s="807" t="n">
        <v>1726</v>
      </c>
      <c r="EP37" s="21">
        <f>EQ37-EO37</f>
        <v/>
      </c>
      <c r="EQ37" s="21">
        <f>AJ37</f>
        <v/>
      </c>
      <c r="ER37" s="990" t="n"/>
      <c r="ES37" s="807" t="n">
        <v>26</v>
      </c>
      <c r="ET37" s="21">
        <f>EU37-ES37</f>
        <v/>
      </c>
      <c r="EU37" s="21">
        <f>AK37</f>
        <v/>
      </c>
      <c r="EV37" s="990" t="n"/>
      <c r="EW37" s="807" t="n">
        <v>69</v>
      </c>
      <c r="EX37" s="21">
        <f>EY37-EW37</f>
        <v/>
      </c>
      <c r="EY37" s="21">
        <f>AL37</f>
        <v/>
      </c>
      <c r="FA37" s="807" t="n">
        <v>4054</v>
      </c>
      <c r="FB37" s="21">
        <f>FC37-FA37</f>
        <v/>
      </c>
      <c r="FC37" s="21">
        <f>AM37</f>
        <v/>
      </c>
      <c r="FD37" s="1021" t="n"/>
      <c r="FE37" s="807" t="n">
        <v>6370</v>
      </c>
      <c r="FF37" s="21">
        <f>FG37-FE37</f>
        <v/>
      </c>
      <c r="FG37" s="21">
        <f>AN37</f>
        <v/>
      </c>
      <c r="FH37" s="1021" t="n"/>
      <c r="FI37" s="217">
        <f>SUMIFS(Monthly!$145:$145,Monthly!$8:$8,"&gt;="&amp;DATE(MID(FI$3,3,4),1,1),Monthly!$8:$8,"&lt;="&amp;DATE(MID(FI$3,3,4),6,30))</f>
        <v/>
      </c>
      <c r="FJ37" s="21">
        <f>FK37-FI37</f>
        <v/>
      </c>
      <c r="FK37" s="21">
        <f>AO37</f>
        <v/>
      </c>
      <c r="FL37" s="1021" t="n"/>
      <c r="FM37" s="217">
        <f>SUMIFS(Monthly!$145:$145,Monthly!$8:$8,"&gt;="&amp;DATE(MID(FM$3,3,4),1,1),Monthly!$8:$8,"&lt;="&amp;DATE(MID(FM$3,3,4),6,30))</f>
        <v/>
      </c>
      <c r="FN37" s="20">
        <f>FJ37*(1+FN38)</f>
        <v/>
      </c>
      <c r="FO37" s="21">
        <f>AP37</f>
        <v/>
      </c>
    </row>
    <row r="38" ht="14.25" customFormat="1" customHeight="1" s="1021">
      <c r="A38" s="1022" t="n"/>
      <c r="B38" s="988" t="inlineStr">
        <is>
          <t>YoY change in overall capacity (ASK)</t>
        </is>
      </c>
      <c r="L38" s="990" t="n"/>
      <c r="M38" s="990" t="n"/>
      <c r="N38" s="990" t="n"/>
      <c r="O38" s="990" t="n"/>
      <c r="P38" s="990" t="n"/>
      <c r="Q38" s="990" t="n"/>
      <c r="R38" s="990" t="n"/>
      <c r="S38" s="990" t="n"/>
      <c r="T38" s="990" t="n"/>
      <c r="U38" s="990" t="n"/>
      <c r="V38" s="990" t="n"/>
      <c r="W38" s="990" t="n"/>
      <c r="X38" s="990" t="n"/>
      <c r="Y38" s="990" t="n"/>
      <c r="Z38" s="990" t="n"/>
      <c r="AA38" s="990" t="n"/>
      <c r="AB38" s="990" t="n"/>
      <c r="AC38" s="990" t="n"/>
      <c r="AD38" s="990" t="n"/>
      <c r="AE38" s="990" t="n"/>
      <c r="AF38" s="990" t="n"/>
      <c r="AG38" s="990" t="n"/>
      <c r="AH38" s="990" t="n"/>
      <c r="AI38" s="990" t="n"/>
      <c r="AJ38" s="990">
        <f>AJ37/AI37-1</f>
        <v/>
      </c>
      <c r="AK38" s="990">
        <f>AK37/AJ37-1</f>
        <v/>
      </c>
      <c r="AL38" s="990">
        <f>AL37/AK37-1</f>
        <v/>
      </c>
      <c r="AM38" s="990">
        <f>AM37/AL37-1</f>
        <v/>
      </c>
      <c r="AN38" s="990">
        <f>AN37/AM37-1</f>
        <v/>
      </c>
      <c r="AO38" s="990">
        <f>AO37/AN37-1</f>
        <v/>
      </c>
      <c r="AP38" s="990">
        <f>AP37/AO37-1</f>
        <v/>
      </c>
      <c r="AQ38" s="1005" t="n">
        <v>0.05</v>
      </c>
      <c r="AR38" s="1005" t="n">
        <v>0.05</v>
      </c>
      <c r="AS38" s="1005" t="n">
        <v>0.05</v>
      </c>
      <c r="AT38" s="1005" t="n">
        <v>0.05</v>
      </c>
      <c r="AU38" s="504" t="n"/>
      <c r="AX38" s="1023" t="n"/>
      <c r="AY38" s="993" t="n"/>
      <c r="AZ38" s="993" t="n"/>
      <c r="BA38" s="993" t="n"/>
      <c r="BB38" s="993" t="n"/>
      <c r="BD38" s="993" t="n"/>
      <c r="BE38" s="993" t="n"/>
      <c r="BF38" s="993" t="n"/>
      <c r="BH38" s="993" t="n"/>
      <c r="BI38" s="993" t="n"/>
      <c r="BJ38" s="993" t="n"/>
      <c r="BL38" s="993" t="n"/>
      <c r="BM38" s="993" t="n"/>
      <c r="BN38" s="993" t="n"/>
      <c r="BP38" s="993" t="n"/>
      <c r="BQ38" s="993" t="n"/>
      <c r="BR38" s="993" t="n"/>
      <c r="BT38" s="993" t="n"/>
      <c r="BU38" s="993" t="n"/>
      <c r="BV38" s="993" t="n"/>
      <c r="BX38" s="993" t="n"/>
      <c r="BY38" s="993" t="n"/>
      <c r="BZ38" s="993" t="n"/>
      <c r="CB38" s="993" t="n"/>
      <c r="CC38" s="993" t="n"/>
      <c r="CD38" s="993" t="n"/>
      <c r="CE38" s="993" t="n"/>
      <c r="CF38" s="993" t="n"/>
      <c r="CG38" s="993" t="n"/>
      <c r="CH38" s="993" t="n"/>
      <c r="CI38" s="993" t="n"/>
      <c r="CJ38" s="993" t="n"/>
      <c r="CK38" s="993" t="n"/>
      <c r="CL38" s="993" t="n"/>
      <c r="CM38" s="993" t="n"/>
      <c r="CN38" s="993" t="n"/>
      <c r="CO38" s="993" t="n"/>
      <c r="CP38" s="993" t="n"/>
      <c r="CQ38" s="993" t="n"/>
      <c r="CR38" s="993" t="n"/>
      <c r="CS38" s="993" t="n"/>
      <c r="CT38" s="993" t="n"/>
      <c r="CU38" s="993" t="n"/>
      <c r="CV38" s="993" t="n"/>
      <c r="CW38" s="993" t="n"/>
      <c r="CX38" s="993" t="n"/>
      <c r="CY38" s="993" t="n"/>
      <c r="CZ38" s="993" t="n"/>
      <c r="DA38" s="993" t="n"/>
      <c r="DB38" s="993" t="n"/>
      <c r="DC38" s="993" t="n"/>
      <c r="DD38" s="993" t="n"/>
      <c r="DE38" s="993" t="n"/>
      <c r="DF38" s="993" t="n"/>
      <c r="DG38" s="993" t="n"/>
      <c r="DH38" s="290" t="n"/>
      <c r="DI38" s="993" t="n"/>
      <c r="DJ38" s="991" t="n"/>
      <c r="DK38" s="991" t="n"/>
      <c r="DL38" s="991" t="n"/>
      <c r="DM38" s="993" t="n"/>
      <c r="DN38" s="991" t="n"/>
      <c r="DO38" s="991" t="n"/>
      <c r="DP38" s="290" t="n"/>
      <c r="DQ38" s="990" t="n"/>
      <c r="DR38" s="990" t="n"/>
      <c r="DS38" s="991" t="n"/>
      <c r="DT38" s="991" t="n"/>
      <c r="DU38" s="990" t="n"/>
      <c r="DV38" s="990" t="n"/>
      <c r="DW38" s="990" t="n"/>
      <c r="DX38" s="991" t="n"/>
      <c r="DY38" s="990" t="n"/>
      <c r="DZ38" s="990" t="n"/>
      <c r="EA38" s="990" t="n"/>
      <c r="EB38" s="986" t="n"/>
      <c r="EC38" s="990" t="n"/>
      <c r="ED38" s="990" t="n"/>
      <c r="EE38" s="990" t="n"/>
      <c r="EF38" s="990" t="n"/>
      <c r="EG38" s="990" t="n"/>
      <c r="EH38" s="990" t="n"/>
      <c r="EI38" s="990" t="n"/>
      <c r="EJ38" s="990" t="n"/>
      <c r="EK38" s="990" t="n"/>
      <c r="EL38" s="989" t="n"/>
      <c r="EM38" s="990" t="n"/>
      <c r="EN38" s="990" t="n"/>
      <c r="EO38" s="990" t="n"/>
      <c r="EP38" s="989">
        <f>EP37/EL37-1</f>
        <v/>
      </c>
      <c r="EQ38" s="990">
        <f>EQ37/EM37-1</f>
        <v/>
      </c>
      <c r="ER38" s="990" t="n"/>
      <c r="ES38" s="989">
        <f>ES37/EO37-1</f>
        <v/>
      </c>
      <c r="ET38" s="989">
        <f>ET37/EP37-1</f>
        <v/>
      </c>
      <c r="EU38" s="990">
        <f>EU37/EQ37-1</f>
        <v/>
      </c>
      <c r="EV38" s="990" t="n"/>
      <c r="EW38" s="989">
        <f>EW37/ES37-1</f>
        <v/>
      </c>
      <c r="EX38" s="989">
        <f>EX37/ET37-1</f>
        <v/>
      </c>
      <c r="EY38" s="990">
        <f>EY37/EU37-1</f>
        <v/>
      </c>
      <c r="FA38" s="990">
        <f>FA37/EW37-1</f>
        <v/>
      </c>
      <c r="FB38" s="989">
        <f>FB37/EX37-1</f>
        <v/>
      </c>
      <c r="FC38" s="990">
        <f>FC37/EY37-1</f>
        <v/>
      </c>
      <c r="FD38" s="1021" t="n"/>
      <c r="FE38" s="990">
        <f>FE37/FA37-1</f>
        <v/>
      </c>
      <c r="FF38" s="989">
        <f>FF37/FB37-1</f>
        <v/>
      </c>
      <c r="FG38" s="990">
        <f>FG37/FC37-1</f>
        <v/>
      </c>
      <c r="FH38" s="1021" t="n"/>
      <c r="FI38" s="990">
        <f>FI37/FE37-1</f>
        <v/>
      </c>
      <c r="FJ38" s="989">
        <f>FJ37/FF37-1</f>
        <v/>
      </c>
      <c r="FK38" s="990">
        <f>FK37/FG37-1</f>
        <v/>
      </c>
      <c r="FL38" s="1021" t="n"/>
      <c r="FM38" s="990">
        <f>FM37/FI37-1</f>
        <v/>
      </c>
      <c r="FN38" s="1007" t="n">
        <v>0.08</v>
      </c>
      <c r="FO38" s="990">
        <f>FO37/FK37-1</f>
        <v/>
      </c>
    </row>
    <row r="39" ht="14.25" customFormat="1" customHeight="1" s="1021">
      <c r="A39" s="1022" t="n"/>
      <c r="B39" s="20" t="inlineStr">
        <is>
          <t>LCC's rpk</t>
        </is>
      </c>
      <c r="L39" s="990" t="n"/>
      <c r="M39" s="990" t="n"/>
      <c r="N39" s="990" t="n"/>
      <c r="O39" s="990" t="n"/>
      <c r="P39" s="990" t="n"/>
      <c r="Q39" s="990" t="n"/>
      <c r="R39" s="990" t="n"/>
      <c r="S39" s="990" t="n"/>
      <c r="T39" s="990" t="n"/>
      <c r="U39" s="990" t="n"/>
      <c r="V39" s="990" t="n"/>
      <c r="W39" s="990" t="n"/>
      <c r="X39" s="990" t="n"/>
      <c r="Y39" s="990" t="n"/>
      <c r="Z39" s="990" t="n"/>
      <c r="AA39" s="990" t="n"/>
      <c r="AB39" s="990" t="n"/>
      <c r="AC39" s="990" t="n"/>
      <c r="AD39" s="990" t="n"/>
      <c r="AE39" s="990" t="n"/>
      <c r="AF39" s="990" t="n"/>
      <c r="AG39" s="990" t="n"/>
      <c r="AH39" s="990" t="n"/>
      <c r="AI39" s="217" t="n">
        <v>4195</v>
      </c>
      <c r="AJ39" s="217" t="n">
        <v>1237</v>
      </c>
      <c r="AK39" s="217" t="n">
        <v>6</v>
      </c>
      <c r="AL39" s="217" t="n">
        <v>671</v>
      </c>
      <c r="AM39" s="217" t="n">
        <v>8112</v>
      </c>
      <c r="AN39" s="217" t="n">
        <v>11481</v>
      </c>
      <c r="AO39" s="21">
        <f>SUM(FI39:FJ39)</f>
        <v/>
      </c>
      <c r="AP39" s="21">
        <f>SUM(FM39:FN39)</f>
        <v/>
      </c>
      <c r="AQ39" s="21">
        <f>AQ43*AQ37</f>
        <v/>
      </c>
      <c r="AR39" s="21">
        <f>AR43*AR37</f>
        <v/>
      </c>
      <c r="AS39" s="21">
        <f>AS43*AS37</f>
        <v/>
      </c>
      <c r="AT39" s="21">
        <f>AT43*AT37</f>
        <v/>
      </c>
      <c r="AU39" s="504" t="n"/>
      <c r="AX39" s="1023" t="n"/>
      <c r="AY39" s="993" t="n"/>
      <c r="AZ39" s="993" t="n"/>
      <c r="BA39" s="993" t="n"/>
      <c r="BB39" s="993" t="n"/>
      <c r="BD39" s="993" t="n"/>
      <c r="BE39" s="993" t="n"/>
      <c r="BF39" s="993" t="n"/>
      <c r="BH39" s="993" t="n"/>
      <c r="BI39" s="993" t="n"/>
      <c r="BJ39" s="993" t="n"/>
      <c r="BL39" s="993" t="n"/>
      <c r="BM39" s="993" t="n"/>
      <c r="BN39" s="993" t="n"/>
      <c r="BP39" s="993" t="n"/>
      <c r="BQ39" s="993" t="n"/>
      <c r="BR39" s="993" t="n"/>
      <c r="BT39" s="993" t="n"/>
      <c r="BU39" s="993" t="n"/>
      <c r="BV39" s="993" t="n"/>
      <c r="BX39" s="993" t="n"/>
      <c r="BY39" s="993" t="n"/>
      <c r="BZ39" s="993" t="n"/>
      <c r="CB39" s="993" t="n"/>
      <c r="CC39" s="993" t="n"/>
      <c r="CD39" s="993" t="n"/>
      <c r="CE39" s="993" t="n"/>
      <c r="CF39" s="993" t="n"/>
      <c r="CG39" s="993" t="n"/>
      <c r="CH39" s="993" t="n"/>
      <c r="CI39" s="993" t="n"/>
      <c r="CJ39" s="993" t="n"/>
      <c r="CK39" s="993" t="n"/>
      <c r="CL39" s="993" t="n"/>
      <c r="CM39" s="993" t="n"/>
      <c r="CN39" s="993" t="n"/>
      <c r="CO39" s="993" t="n"/>
      <c r="CP39" s="993" t="n"/>
      <c r="CQ39" s="993" t="n"/>
      <c r="CR39" s="993" t="n"/>
      <c r="CS39" s="993" t="n"/>
      <c r="CT39" s="993" t="n"/>
      <c r="CU39" s="993" t="n"/>
      <c r="CV39" s="993" t="n"/>
      <c r="CW39" s="993" t="n"/>
      <c r="CX39" s="993" t="n"/>
      <c r="CY39" s="993" t="n"/>
      <c r="CZ39" s="993" t="n"/>
      <c r="DA39" s="993" t="n"/>
      <c r="DB39" s="993" t="n"/>
      <c r="DC39" s="993" t="n"/>
      <c r="DD39" s="993" t="n"/>
      <c r="DE39" s="993" t="n"/>
      <c r="DF39" s="993" t="n"/>
      <c r="DG39" s="993" t="n"/>
      <c r="DH39" s="290" t="n"/>
      <c r="DI39" s="993" t="n"/>
      <c r="DJ39" s="991" t="n"/>
      <c r="DK39" s="991" t="n"/>
      <c r="DL39" s="991" t="n"/>
      <c r="DM39" s="993" t="n"/>
      <c r="DN39" s="991" t="n"/>
      <c r="DO39" s="991" t="n"/>
      <c r="DP39" s="290" t="n"/>
      <c r="DQ39" s="990" t="n"/>
      <c r="DR39" s="990" t="n"/>
      <c r="DS39" s="991" t="n"/>
      <c r="DT39" s="991" t="n"/>
      <c r="DU39" s="990" t="n"/>
      <c r="DV39" s="990" t="n"/>
      <c r="DW39" s="990" t="n"/>
      <c r="DX39" s="991" t="n"/>
      <c r="DY39" s="990" t="n"/>
      <c r="DZ39" s="990" t="n"/>
      <c r="EA39" s="990" t="n"/>
      <c r="EB39" s="986" t="n"/>
      <c r="EC39" s="990" t="n"/>
      <c r="ED39" s="990" t="n"/>
      <c r="EE39" s="990" t="n"/>
      <c r="EF39" s="990" t="n"/>
      <c r="EG39" s="990" t="n"/>
      <c r="EH39" s="990" t="n"/>
      <c r="EI39" s="990" t="n"/>
      <c r="EJ39" s="990" t="n"/>
      <c r="EK39" s="990" t="n"/>
      <c r="EL39" s="21">
        <f>+EM39-EK39</f>
        <v/>
      </c>
      <c r="EM39" s="21">
        <f>AI39</f>
        <v/>
      </c>
      <c r="EN39" s="990" t="n"/>
      <c r="EO39" s="807" t="n">
        <v>1480</v>
      </c>
      <c r="EP39" s="21">
        <f>+EQ39-EO39</f>
        <v/>
      </c>
      <c r="EQ39" s="21">
        <f>AJ39</f>
        <v/>
      </c>
      <c r="ER39" s="990" t="n"/>
      <c r="ES39" s="807" t="n">
        <v>2</v>
      </c>
      <c r="ET39" s="21">
        <f>+EU39-ES39</f>
        <v/>
      </c>
      <c r="EU39" s="21">
        <f>AK39</f>
        <v/>
      </c>
      <c r="EV39" s="990" t="n"/>
      <c r="EW39" s="807" t="n">
        <v>13</v>
      </c>
      <c r="EX39" s="21">
        <f>+EY39-EW39</f>
        <v/>
      </c>
      <c r="EY39" s="21">
        <f>AL39</f>
        <v/>
      </c>
      <c r="FA39" s="807" t="n">
        <v>3465</v>
      </c>
      <c r="FB39" s="21">
        <f>+FC39-FA39</f>
        <v/>
      </c>
      <c r="FC39" s="21">
        <f>AM39</f>
        <v/>
      </c>
      <c r="FD39" s="1021" t="n"/>
      <c r="FE39" s="807" t="n">
        <v>5415</v>
      </c>
      <c r="FF39" s="21">
        <f>+FG39-FE39</f>
        <v/>
      </c>
      <c r="FG39" s="21">
        <f>AN39</f>
        <v/>
      </c>
      <c r="FH39" s="1021" t="n"/>
      <c r="FI39" s="217">
        <f>SUMIFS(Monthly!$149:$149,Monthly!$8:$8,"&gt;="&amp;DATE(MID(FI$3,3,4),1,1),Monthly!$8:$8,"&lt;="&amp;DATE(MID(FI$3,3,4),6,30))</f>
        <v/>
      </c>
      <c r="FJ39" s="21">
        <f>+FK39-FI39</f>
        <v/>
      </c>
      <c r="FK39" s="21">
        <f>AO39</f>
        <v/>
      </c>
      <c r="FL39" s="1021" t="n"/>
      <c r="FM39" s="217">
        <f>SUMIFS(Monthly!$149:$149,Monthly!$8:$8,"&gt;="&amp;DATE(MID(FM$3,3,4),1,1),Monthly!$8:$8,"&lt;="&amp;DATE(MID(FM$3,3,4),6,30))</f>
        <v/>
      </c>
      <c r="FN39" s="21">
        <f>FN37*FN43</f>
        <v/>
      </c>
      <c r="FO39" s="21">
        <f>AP39</f>
        <v/>
      </c>
    </row>
    <row r="40" ht="14.25" customFormat="1" customHeight="1" s="1021">
      <c r="A40" s="1022" t="n"/>
      <c r="B40" s="988" t="inlineStr">
        <is>
          <t>YoY change in passenger traffic (RPK)</t>
        </is>
      </c>
      <c r="L40" s="990" t="n"/>
      <c r="M40" s="990" t="n"/>
      <c r="N40" s="990" t="n"/>
      <c r="O40" s="990" t="n"/>
      <c r="P40" s="990" t="n"/>
      <c r="Q40" s="990" t="n"/>
      <c r="R40" s="990" t="n"/>
      <c r="S40" s="990" t="n"/>
      <c r="T40" s="990" t="n"/>
      <c r="U40" s="990" t="n"/>
      <c r="V40" s="990" t="n"/>
      <c r="W40" s="990" t="n"/>
      <c r="X40" s="990" t="n"/>
      <c r="Y40" s="990" t="n"/>
      <c r="Z40" s="990" t="n"/>
      <c r="AA40" s="990" t="n"/>
      <c r="AB40" s="990" t="n"/>
      <c r="AC40" s="990" t="n"/>
      <c r="AD40" s="990" t="n"/>
      <c r="AE40" s="990" t="n"/>
      <c r="AF40" s="990" t="n"/>
      <c r="AG40" s="990" t="n"/>
      <c r="AH40" s="990" t="n"/>
      <c r="AI40" s="990" t="n"/>
      <c r="AJ40" s="990">
        <f>AJ39/AI39-1</f>
        <v/>
      </c>
      <c r="AK40" s="990">
        <f>AK39/AJ39-1</f>
        <v/>
      </c>
      <c r="AL40" s="990">
        <f>AL39/AK39-1</f>
        <v/>
      </c>
      <c r="AM40" s="990">
        <f>AM39/AL39-1</f>
        <v/>
      </c>
      <c r="AN40" s="990">
        <f>AN39/AM39-1</f>
        <v/>
      </c>
      <c r="AO40" s="986">
        <f>+AO39/AN39-1</f>
        <v/>
      </c>
      <c r="AP40" s="986">
        <f>+AP39/AO39-1</f>
        <v/>
      </c>
      <c r="AQ40" s="986">
        <f>+AQ39/AP39-1</f>
        <v/>
      </c>
      <c r="AR40" s="986">
        <f>+AR39/AQ39-1</f>
        <v/>
      </c>
      <c r="AS40" s="986">
        <f>+AS39/AR39-1</f>
        <v/>
      </c>
      <c r="AT40" s="986">
        <f>+AT39/AS39-1</f>
        <v/>
      </c>
      <c r="AU40" s="504" t="n"/>
      <c r="AX40" s="1023" t="n"/>
      <c r="AY40" s="993" t="n"/>
      <c r="AZ40" s="993" t="n"/>
      <c r="BA40" s="993" t="n"/>
      <c r="BB40" s="993" t="n"/>
      <c r="BD40" s="993" t="n"/>
      <c r="BE40" s="993" t="n"/>
      <c r="BF40" s="993" t="n"/>
      <c r="BH40" s="993" t="n"/>
      <c r="BI40" s="993" t="n"/>
      <c r="BJ40" s="993" t="n"/>
      <c r="BL40" s="993" t="n"/>
      <c r="BM40" s="993" t="n"/>
      <c r="BN40" s="993" t="n"/>
      <c r="BP40" s="993" t="n"/>
      <c r="BQ40" s="993" t="n"/>
      <c r="BR40" s="993" t="n"/>
      <c r="BT40" s="993" t="n"/>
      <c r="BU40" s="993" t="n"/>
      <c r="BV40" s="993" t="n"/>
      <c r="BX40" s="993" t="n"/>
      <c r="BY40" s="993" t="n"/>
      <c r="BZ40" s="993" t="n"/>
      <c r="CB40" s="993" t="n"/>
      <c r="CC40" s="993" t="n"/>
      <c r="CD40" s="993" t="n"/>
      <c r="CE40" s="993" t="n"/>
      <c r="CF40" s="993" t="n"/>
      <c r="CG40" s="993" t="n"/>
      <c r="CH40" s="993" t="n"/>
      <c r="CI40" s="993" t="n"/>
      <c r="CJ40" s="993" t="n"/>
      <c r="CK40" s="993" t="n"/>
      <c r="CL40" s="993" t="n"/>
      <c r="CM40" s="993" t="n"/>
      <c r="CN40" s="993" t="n"/>
      <c r="CO40" s="993" t="n"/>
      <c r="CP40" s="993" t="n"/>
      <c r="CQ40" s="993" t="n"/>
      <c r="CR40" s="993" t="n"/>
      <c r="CS40" s="993" t="n"/>
      <c r="CT40" s="993" t="n"/>
      <c r="CU40" s="993" t="n"/>
      <c r="CV40" s="993" t="n"/>
      <c r="CW40" s="993" t="n"/>
      <c r="CX40" s="993" t="n"/>
      <c r="CY40" s="993" t="n"/>
      <c r="CZ40" s="993" t="n"/>
      <c r="DA40" s="993" t="n"/>
      <c r="DB40" s="993" t="n"/>
      <c r="DC40" s="993" t="n"/>
      <c r="DD40" s="993" t="n"/>
      <c r="DE40" s="993" t="n"/>
      <c r="DF40" s="993" t="n"/>
      <c r="DG40" s="993" t="n"/>
      <c r="DH40" s="290" t="n"/>
      <c r="DI40" s="993" t="n"/>
      <c r="DJ40" s="991" t="n"/>
      <c r="DK40" s="991" t="n"/>
      <c r="DL40" s="991" t="n"/>
      <c r="DM40" s="993" t="n"/>
      <c r="DN40" s="991" t="n"/>
      <c r="DO40" s="991" t="n"/>
      <c r="DP40" s="290" t="n"/>
      <c r="DQ40" s="990" t="n"/>
      <c r="DR40" s="990" t="n"/>
      <c r="DS40" s="991" t="n"/>
      <c r="DT40" s="991" t="n"/>
      <c r="DU40" s="990" t="n"/>
      <c r="DV40" s="990" t="n"/>
      <c r="DW40" s="990" t="n"/>
      <c r="DX40" s="991" t="n"/>
      <c r="DY40" s="990" t="n"/>
      <c r="DZ40" s="990" t="n"/>
      <c r="EA40" s="990" t="n"/>
      <c r="EB40" s="986" t="n"/>
      <c r="EC40" s="990" t="n"/>
      <c r="ED40" s="990" t="n"/>
      <c r="EE40" s="990" t="n"/>
      <c r="EF40" s="990" t="n"/>
      <c r="EG40" s="990" t="n"/>
      <c r="EH40" s="990" t="n"/>
      <c r="EI40" s="990" t="n"/>
      <c r="EJ40" s="990" t="n"/>
      <c r="EK40" s="990" t="n"/>
      <c r="EL40" s="989" t="n"/>
      <c r="EM40" s="990" t="n"/>
      <c r="EN40" s="990" t="n"/>
      <c r="EO40" s="990" t="n"/>
      <c r="EP40" s="989">
        <f>EP39/EL39-1</f>
        <v/>
      </c>
      <c r="EQ40" s="990">
        <f>EQ39/EM39-1</f>
        <v/>
      </c>
      <c r="ER40" s="990" t="n"/>
      <c r="ES40" s="990">
        <f>ES39/EO39-1</f>
        <v/>
      </c>
      <c r="ET40" s="989">
        <f>ET39/EP39-1</f>
        <v/>
      </c>
      <c r="EU40" s="990">
        <f>EU39/EQ39-1</f>
        <v/>
      </c>
      <c r="EV40" s="990" t="n"/>
      <c r="EW40" s="990">
        <f>EW39/ES39-1</f>
        <v/>
      </c>
      <c r="EX40" s="989">
        <f>EX39/ET39-1</f>
        <v/>
      </c>
      <c r="EY40" s="990">
        <f>EY39/EU39-1</f>
        <v/>
      </c>
      <c r="FA40" s="990">
        <f>FA39/EW39-1</f>
        <v/>
      </c>
      <c r="FB40" s="989">
        <f>FB39/EX39-1</f>
        <v/>
      </c>
      <c r="FC40" s="990">
        <f>FC39/EY39-1</f>
        <v/>
      </c>
      <c r="FD40" s="1021" t="n"/>
      <c r="FE40" s="990">
        <f>FE39/FA39-1</f>
        <v/>
      </c>
      <c r="FF40" s="989">
        <f>FF39/FB39-1</f>
        <v/>
      </c>
      <c r="FG40" s="990">
        <f>FG39/FC39-1</f>
        <v/>
      </c>
      <c r="FH40" s="1021" t="n"/>
      <c r="FI40" s="990">
        <f>FI39/FE39-1</f>
        <v/>
      </c>
      <c r="FJ40" s="989">
        <f>FJ39/FF39-1</f>
        <v/>
      </c>
      <c r="FK40" s="990">
        <f>FK39/FG39-1</f>
        <v/>
      </c>
      <c r="FL40" s="1021" t="n"/>
      <c r="FM40" s="990">
        <f>FM39/FI39-1</f>
        <v/>
      </c>
      <c r="FN40" s="990">
        <f>FN39/FJ39-1</f>
        <v/>
      </c>
      <c r="FO40" s="990">
        <f>FO39/FK39-1</f>
        <v/>
      </c>
    </row>
    <row r="41" ht="14.25" customFormat="1" customHeight="1" s="1021">
      <c r="A41" s="1022" t="n"/>
      <c r="B41" s="490" t="inlineStr">
        <is>
          <t>LCC's Passenger nos (000s)</t>
        </is>
      </c>
      <c r="L41" s="990" t="n"/>
      <c r="M41" s="990" t="n"/>
      <c r="N41" s="990" t="n"/>
      <c r="O41" s="990" t="n"/>
      <c r="P41" s="990" t="n"/>
      <c r="Q41" s="990" t="n"/>
      <c r="R41" s="990" t="n"/>
      <c r="S41" s="990" t="n"/>
      <c r="T41" s="990" t="n"/>
      <c r="U41" s="990" t="n"/>
      <c r="V41" s="990" t="n"/>
      <c r="W41" s="990" t="n"/>
      <c r="X41" s="990" t="n"/>
      <c r="Y41" s="990" t="n"/>
      <c r="Z41" s="990" t="n"/>
      <c r="AA41" s="990" t="n"/>
      <c r="AB41" s="990" t="n"/>
      <c r="AC41" s="990" t="n"/>
      <c r="AD41" s="990" t="n"/>
      <c r="AE41" s="990" t="n"/>
      <c r="AF41" s="990" t="n"/>
      <c r="AG41" s="990" t="n"/>
      <c r="AH41" s="990" t="n"/>
      <c r="AI41" s="217" t="n">
        <v>1888</v>
      </c>
      <c r="AJ41" s="217" t="n">
        <v>572</v>
      </c>
      <c r="AK41" s="217" t="n">
        <v>8</v>
      </c>
      <c r="AL41" s="217" t="n">
        <v>314</v>
      </c>
      <c r="AM41" s="217" t="n">
        <v>4146</v>
      </c>
      <c r="AN41" s="217" t="n">
        <v>6100</v>
      </c>
      <c r="AO41" s="502">
        <f>SUM(FI41:FJ41)</f>
        <v/>
      </c>
      <c r="AP41" s="502">
        <f>SUM(FM41:FN41)</f>
        <v/>
      </c>
      <c r="AQ41" s="502">
        <f>AQ39/AQ42*1000</f>
        <v/>
      </c>
      <c r="AR41" s="502">
        <f>AR39/AR42*1000</f>
        <v/>
      </c>
      <c r="AS41" s="502">
        <f>AS39/AS42*1000</f>
        <v/>
      </c>
      <c r="AT41" s="502">
        <f>AT39/AT42*1000</f>
        <v/>
      </c>
      <c r="AU41" s="504" t="n"/>
      <c r="AX41" s="1023" t="n"/>
      <c r="AY41" s="993" t="n"/>
      <c r="AZ41" s="993" t="n"/>
      <c r="BA41" s="993" t="n"/>
      <c r="BB41" s="993" t="n"/>
      <c r="BD41" s="993" t="n"/>
      <c r="BE41" s="993" t="n"/>
      <c r="BF41" s="993" t="n"/>
      <c r="BH41" s="993" t="n"/>
      <c r="BI41" s="993" t="n"/>
      <c r="BJ41" s="993" t="n"/>
      <c r="BL41" s="993" t="n"/>
      <c r="BM41" s="993" t="n"/>
      <c r="BN41" s="993" t="n"/>
      <c r="BP41" s="993" t="n"/>
      <c r="BQ41" s="993" t="n"/>
      <c r="BR41" s="993" t="n"/>
      <c r="BT41" s="993" t="n"/>
      <c r="BU41" s="993" t="n"/>
      <c r="BV41" s="993" t="n"/>
      <c r="BX41" s="993" t="n"/>
      <c r="BY41" s="993" t="n"/>
      <c r="BZ41" s="993" t="n"/>
      <c r="CB41" s="993" t="n"/>
      <c r="CC41" s="993" t="n"/>
      <c r="CD41" s="993" t="n"/>
      <c r="CE41" s="993" t="n"/>
      <c r="CF41" s="993" t="n"/>
      <c r="CG41" s="993" t="n"/>
      <c r="CH41" s="993" t="n"/>
      <c r="CI41" s="993" t="n"/>
      <c r="CJ41" s="993" t="n"/>
      <c r="CK41" s="993" t="n"/>
      <c r="CL41" s="993" t="n"/>
      <c r="CM41" s="993" t="n"/>
      <c r="CN41" s="993" t="n"/>
      <c r="CO41" s="993" t="n"/>
      <c r="CP41" s="993" t="n"/>
      <c r="CQ41" s="993" t="n"/>
      <c r="CR41" s="993" t="n"/>
      <c r="CS41" s="993" t="n"/>
      <c r="CT41" s="993" t="n"/>
      <c r="CU41" s="993" t="n"/>
      <c r="CV41" s="993" t="n"/>
      <c r="CW41" s="993" t="n"/>
      <c r="CX41" s="993" t="n"/>
      <c r="CY41" s="993" t="n"/>
      <c r="CZ41" s="993" t="n"/>
      <c r="DA41" s="993" t="n"/>
      <c r="DB41" s="993" t="n"/>
      <c r="DC41" s="993" t="n"/>
      <c r="DD41" s="993" t="n"/>
      <c r="DE41" s="993" t="n"/>
      <c r="DF41" s="993" t="n"/>
      <c r="DG41" s="993" t="n"/>
      <c r="DH41" s="290" t="n"/>
      <c r="DI41" s="993" t="n"/>
      <c r="DJ41" s="991" t="n"/>
      <c r="DK41" s="991" t="n"/>
      <c r="DL41" s="991" t="n"/>
      <c r="DM41" s="993" t="n"/>
      <c r="DN41" s="991" t="n"/>
      <c r="DO41" s="991" t="n"/>
      <c r="DP41" s="290" t="n"/>
      <c r="DQ41" s="990" t="n"/>
      <c r="DR41" s="990" t="n"/>
      <c r="DS41" s="991" t="n"/>
      <c r="DT41" s="991" t="n"/>
      <c r="DU41" s="990" t="n"/>
      <c r="DV41" s="990" t="n"/>
      <c r="DW41" s="990" t="n"/>
      <c r="DX41" s="991" t="n"/>
      <c r="DY41" s="990" t="n"/>
      <c r="DZ41" s="990" t="n"/>
      <c r="EA41" s="990" t="n"/>
      <c r="EB41" s="986" t="n"/>
      <c r="EC41" s="990" t="n"/>
      <c r="ED41" s="990" t="n"/>
      <c r="EE41" s="990" t="n"/>
      <c r="EF41" s="990" t="n"/>
      <c r="EG41" s="990" t="n"/>
      <c r="EH41" s="990" t="n"/>
      <c r="EI41" s="990" t="n"/>
      <c r="EJ41" s="990" t="n"/>
      <c r="EK41" s="990" t="n"/>
      <c r="EL41" s="502">
        <f>EM41-EK41</f>
        <v/>
      </c>
      <c r="EM41" s="21">
        <f>AI41</f>
        <v/>
      </c>
      <c r="EN41" s="990" t="n"/>
      <c r="EO41" s="807" t="n">
        <v>570</v>
      </c>
      <c r="EP41" s="502">
        <f>EQ41-EO41</f>
        <v/>
      </c>
      <c r="EQ41" s="21">
        <f>AJ41</f>
        <v/>
      </c>
      <c r="ER41" s="990" t="n"/>
      <c r="ES41" s="807" t="n">
        <v>2</v>
      </c>
      <c r="ET41" s="502">
        <f>EU41-ES41</f>
        <v/>
      </c>
      <c r="EU41" s="21">
        <f>AK41</f>
        <v/>
      </c>
      <c r="EV41" s="990" t="n"/>
      <c r="EW41" s="807" t="n">
        <v>9</v>
      </c>
      <c r="EX41" s="502">
        <f>EY41-EW41</f>
        <v/>
      </c>
      <c r="EY41" s="21">
        <f>AL41</f>
        <v/>
      </c>
      <c r="FA41" s="807" t="n">
        <v>1743</v>
      </c>
      <c r="FB41" s="502">
        <f>FC41-FA41</f>
        <v/>
      </c>
      <c r="FC41" s="21">
        <f>AM41</f>
        <v/>
      </c>
      <c r="FD41" s="1021" t="n"/>
      <c r="FE41" s="807" t="n">
        <v>2839</v>
      </c>
      <c r="FF41" s="502">
        <f>FG41-FE41</f>
        <v/>
      </c>
      <c r="FG41" s="21">
        <f>AN41</f>
        <v/>
      </c>
      <c r="FH41" s="1021" t="n"/>
      <c r="FI41" s="807" t="n">
        <v>3791</v>
      </c>
      <c r="FJ41" s="502">
        <f>FK41-FI41</f>
        <v/>
      </c>
      <c r="FK41" s="21">
        <f>AO41</f>
        <v/>
      </c>
      <c r="FL41" s="1021" t="n"/>
      <c r="FM41" s="807" t="n">
        <v>4163</v>
      </c>
      <c r="FN41" s="21">
        <f>FN39/FN42*1000</f>
        <v/>
      </c>
      <c r="FO41" s="21">
        <f>AP41</f>
        <v/>
      </c>
    </row>
    <row r="42" ht="14.25" customFormat="1" customHeight="1" s="1021">
      <c r="A42" s="1022" t="n"/>
      <c r="B42" s="490" t="inlineStr">
        <is>
          <t>LCC's Trip length (kms)</t>
        </is>
      </c>
      <c r="L42" s="990" t="n"/>
      <c r="M42" s="990" t="n"/>
      <c r="N42" s="990" t="n"/>
      <c r="O42" s="990" t="n"/>
      <c r="P42" s="990" t="n"/>
      <c r="Q42" s="990" t="n"/>
      <c r="R42" s="990" t="n"/>
      <c r="S42" s="990" t="n"/>
      <c r="T42" s="990" t="n"/>
      <c r="U42" s="990" t="n"/>
      <c r="V42" s="990" t="n"/>
      <c r="W42" s="990" t="n"/>
      <c r="X42" s="990" t="n"/>
      <c r="Y42" s="990" t="n"/>
      <c r="Z42" s="990" t="n"/>
      <c r="AA42" s="990" t="n"/>
      <c r="AB42" s="990" t="n"/>
      <c r="AC42" s="990" t="n"/>
      <c r="AD42" s="990" t="n"/>
      <c r="AE42" s="990" t="n"/>
      <c r="AF42" s="990" t="n"/>
      <c r="AG42" s="990" t="n"/>
      <c r="AH42" s="990" t="n"/>
      <c r="AI42" s="502">
        <f>AI39*1000/AI41</f>
        <v/>
      </c>
      <c r="AJ42" s="502">
        <f>AJ39*1000/AJ41</f>
        <v/>
      </c>
      <c r="AK42" s="502">
        <f>AK39*1000/AK41</f>
        <v/>
      </c>
      <c r="AL42" s="502">
        <f>AL39*1000/AL41</f>
        <v/>
      </c>
      <c r="AM42" s="502">
        <f>AM39*1000/AM41</f>
        <v/>
      </c>
      <c r="AN42" s="502">
        <f>AN39*1000/AN41</f>
        <v/>
      </c>
      <c r="AO42" s="502">
        <f>AO39*1000/AO41</f>
        <v/>
      </c>
      <c r="AP42" s="502">
        <f>AP39*1000/AP41</f>
        <v/>
      </c>
      <c r="AQ42" s="489">
        <f>AP42</f>
        <v/>
      </c>
      <c r="AR42" s="489">
        <f>AQ42</f>
        <v/>
      </c>
      <c r="AS42" s="489">
        <f>AR42</f>
        <v/>
      </c>
      <c r="AT42" s="489">
        <f>AS42</f>
        <v/>
      </c>
      <c r="AU42" s="504" t="n"/>
      <c r="AX42" s="1023" t="n"/>
      <c r="AY42" s="993" t="n"/>
      <c r="AZ42" s="993" t="n"/>
      <c r="BA42" s="993" t="n"/>
      <c r="BB42" s="993" t="n"/>
      <c r="BD42" s="993" t="n"/>
      <c r="BE42" s="993" t="n"/>
      <c r="BF42" s="993" t="n"/>
      <c r="BH42" s="993" t="n"/>
      <c r="BI42" s="993" t="n"/>
      <c r="BJ42" s="993" t="n"/>
      <c r="BL42" s="993" t="n"/>
      <c r="BM42" s="993" t="n"/>
      <c r="BN42" s="993" t="n"/>
      <c r="BP42" s="993" t="n"/>
      <c r="BQ42" s="993" t="n"/>
      <c r="BR42" s="993" t="n"/>
      <c r="BT42" s="993" t="n"/>
      <c r="BU42" s="993" t="n"/>
      <c r="BV42" s="993" t="n"/>
      <c r="BX42" s="993" t="n"/>
      <c r="BY42" s="993" t="n"/>
      <c r="BZ42" s="993" t="n"/>
      <c r="CB42" s="993" t="n"/>
      <c r="CC42" s="993" t="n"/>
      <c r="CD42" s="993" t="n"/>
      <c r="CE42" s="993" t="n"/>
      <c r="CF42" s="993" t="n"/>
      <c r="CG42" s="993" t="n"/>
      <c r="CH42" s="993" t="n"/>
      <c r="CI42" s="993" t="n"/>
      <c r="CJ42" s="993" t="n"/>
      <c r="CK42" s="993" t="n"/>
      <c r="CL42" s="993" t="n"/>
      <c r="CM42" s="993" t="n"/>
      <c r="CN42" s="993" t="n"/>
      <c r="CO42" s="993" t="n"/>
      <c r="CP42" s="993" t="n"/>
      <c r="CQ42" s="993" t="n"/>
      <c r="CR42" s="993" t="n"/>
      <c r="CS42" s="993" t="n"/>
      <c r="CT42" s="993" t="n"/>
      <c r="CU42" s="993" t="n"/>
      <c r="CV42" s="993" t="n"/>
      <c r="CW42" s="993" t="n"/>
      <c r="CX42" s="993" t="n"/>
      <c r="CY42" s="993" t="n"/>
      <c r="CZ42" s="993" t="n"/>
      <c r="DA42" s="993" t="n"/>
      <c r="DB42" s="993" t="n"/>
      <c r="DC42" s="993" t="n"/>
      <c r="DD42" s="993" t="n"/>
      <c r="DE42" s="993" t="n"/>
      <c r="DF42" s="993" t="n"/>
      <c r="DG42" s="993" t="n"/>
      <c r="DH42" s="290" t="n"/>
      <c r="DI42" s="993" t="n"/>
      <c r="DJ42" s="991" t="n"/>
      <c r="DK42" s="991" t="n"/>
      <c r="DL42" s="991" t="n"/>
      <c r="DM42" s="993" t="n"/>
      <c r="DN42" s="991" t="n"/>
      <c r="DO42" s="991" t="n"/>
      <c r="DP42" s="290" t="n"/>
      <c r="DQ42" s="990" t="n"/>
      <c r="DR42" s="990" t="n"/>
      <c r="DS42" s="991" t="n"/>
      <c r="DT42" s="991" t="n"/>
      <c r="DU42" s="990" t="n"/>
      <c r="DV42" s="990" t="n"/>
      <c r="DW42" s="990" t="n"/>
      <c r="DX42" s="991" t="n"/>
      <c r="DY42" s="990" t="n"/>
      <c r="DZ42" s="990" t="n"/>
      <c r="EA42" s="990" t="n"/>
      <c r="EB42" s="986" t="n"/>
      <c r="EC42" s="990" t="n"/>
      <c r="ED42" s="990" t="n"/>
      <c r="EE42" s="990" t="n"/>
      <c r="EF42" s="990" t="n"/>
      <c r="EG42" s="990" t="n"/>
      <c r="EH42" s="990" t="n"/>
      <c r="EI42" s="990" t="n"/>
      <c r="EJ42" s="990" t="n"/>
      <c r="EK42" s="990" t="n"/>
      <c r="EL42" s="502">
        <f>EL39/EL41*1000</f>
        <v/>
      </c>
      <c r="EM42" s="502">
        <f>EM39*1000/EM41</f>
        <v/>
      </c>
      <c r="EN42" s="990" t="n"/>
      <c r="EO42" s="502">
        <f>EO39*1000/EO41</f>
        <v/>
      </c>
      <c r="EP42" s="502">
        <f>EP39/EP41*1000</f>
        <v/>
      </c>
      <c r="EQ42" s="502">
        <f>EQ39*1000/EQ41</f>
        <v/>
      </c>
      <c r="ER42" s="990" t="n"/>
      <c r="ES42" s="502">
        <f>ES39*1000/ES41</f>
        <v/>
      </c>
      <c r="ET42" s="502">
        <f>ET39/ET41*1000</f>
        <v/>
      </c>
      <c r="EU42" s="502">
        <f>EU39*1000/EU41</f>
        <v/>
      </c>
      <c r="EV42" s="990" t="n"/>
      <c r="EW42" s="502">
        <f>EW39*1000/EW41</f>
        <v/>
      </c>
      <c r="EX42" s="502">
        <f>EX39/EX41*1000</f>
        <v/>
      </c>
      <c r="EY42" s="502">
        <f>EY39*1000/EY41</f>
        <v/>
      </c>
      <c r="FA42" s="502">
        <f>FA39*1000/FA41</f>
        <v/>
      </c>
      <c r="FB42" s="502">
        <f>FB39/FB41*1000</f>
        <v/>
      </c>
      <c r="FC42" s="502">
        <f>FC39*1000/FC41</f>
        <v/>
      </c>
      <c r="FD42" s="1021" t="n"/>
      <c r="FE42" s="502">
        <f>FE39*1000/FE41</f>
        <v/>
      </c>
      <c r="FF42" s="502">
        <f>FF39/FF41*1000</f>
        <v/>
      </c>
      <c r="FG42" s="502">
        <f>FG39*1000/FG41</f>
        <v/>
      </c>
      <c r="FH42" s="1021" t="n"/>
      <c r="FI42" s="502">
        <f>FI39*1000/FI41</f>
        <v/>
      </c>
      <c r="FJ42" s="502">
        <f>FJ39/FJ41*1000</f>
        <v/>
      </c>
      <c r="FK42" s="502">
        <f>FK39*1000/FK41</f>
        <v/>
      </c>
      <c r="FL42" s="1021" t="n"/>
      <c r="FM42" s="502">
        <f>FM39*1000/FM41</f>
        <v/>
      </c>
      <c r="FN42" s="489">
        <f>FM42</f>
        <v/>
      </c>
      <c r="FO42" s="502">
        <f>FO39*1000/FO41</f>
        <v/>
      </c>
    </row>
    <row r="43" ht="14.25" customFormat="1" customHeight="1" s="1021">
      <c r="A43" s="1022" t="n"/>
      <c r="B43" s="994" t="inlineStr">
        <is>
          <t>LCC's Passenger load factor</t>
        </is>
      </c>
      <c r="L43" s="990" t="n"/>
      <c r="M43" s="990" t="n"/>
      <c r="N43" s="990" t="n"/>
      <c r="O43" s="990" t="n"/>
      <c r="P43" s="990" t="n"/>
      <c r="Q43" s="990" t="n"/>
      <c r="R43" s="990" t="n"/>
      <c r="S43" s="990" t="n"/>
      <c r="T43" s="990" t="n"/>
      <c r="U43" s="990" t="n"/>
      <c r="V43" s="990" t="n"/>
      <c r="W43" s="990" t="n"/>
      <c r="X43" s="990" t="n"/>
      <c r="Y43" s="990" t="n"/>
      <c r="Z43" s="990" t="n"/>
      <c r="AA43" s="990" t="n"/>
      <c r="AB43" s="990" t="n"/>
      <c r="AC43" s="990" t="n"/>
      <c r="AD43" s="990" t="n"/>
      <c r="AE43" s="990" t="n"/>
      <c r="AF43" s="990" t="n"/>
      <c r="AG43" s="990" t="n"/>
      <c r="AH43" s="990" t="n"/>
      <c r="AI43" s="990">
        <f>AI39/AI37</f>
        <v/>
      </c>
      <c r="AJ43" s="990">
        <f>AJ39/AJ37</f>
        <v/>
      </c>
      <c r="AK43" s="990">
        <f>AK39/AK37</f>
        <v/>
      </c>
      <c r="AL43" s="990">
        <f>AL39/AL37</f>
        <v/>
      </c>
      <c r="AM43" s="990">
        <f>AM39/AM37</f>
        <v/>
      </c>
      <c r="AN43" s="990">
        <f>AN39/AN37</f>
        <v/>
      </c>
      <c r="AO43" s="990">
        <f>AO39/AO37</f>
        <v/>
      </c>
      <c r="AP43" s="990">
        <f>AP39/AP37</f>
        <v/>
      </c>
      <c r="AQ43" s="1011">
        <f>AP43</f>
        <v/>
      </c>
      <c r="AR43" s="1011">
        <f>AQ43</f>
        <v/>
      </c>
      <c r="AS43" s="1011">
        <f>AR43</f>
        <v/>
      </c>
      <c r="AT43" s="1011">
        <f>AS43</f>
        <v/>
      </c>
      <c r="AU43" s="504" t="n"/>
      <c r="AX43" s="1023" t="n"/>
      <c r="AY43" s="993" t="n"/>
      <c r="AZ43" s="993" t="n"/>
      <c r="BA43" s="993" t="n"/>
      <c r="BB43" s="993" t="n"/>
      <c r="BD43" s="993" t="n"/>
      <c r="BE43" s="993" t="n"/>
      <c r="BF43" s="993" t="n"/>
      <c r="BH43" s="993" t="n"/>
      <c r="BI43" s="993" t="n"/>
      <c r="BJ43" s="993" t="n"/>
      <c r="BL43" s="993" t="n"/>
      <c r="BM43" s="993" t="n"/>
      <c r="BN43" s="993" t="n"/>
      <c r="BP43" s="993" t="n"/>
      <c r="BQ43" s="993" t="n"/>
      <c r="BR43" s="993" t="n"/>
      <c r="BT43" s="993" t="n"/>
      <c r="BU43" s="993" t="n"/>
      <c r="BV43" s="993" t="n"/>
      <c r="BX43" s="993" t="n"/>
      <c r="BY43" s="993" t="n"/>
      <c r="BZ43" s="993" t="n"/>
      <c r="CB43" s="993" t="n"/>
      <c r="CC43" s="993" t="n"/>
      <c r="CD43" s="993" t="n"/>
      <c r="CE43" s="993" t="n"/>
      <c r="CF43" s="993" t="n"/>
      <c r="CG43" s="993" t="n"/>
      <c r="CH43" s="993" t="n"/>
      <c r="CI43" s="993" t="n"/>
      <c r="CJ43" s="993" t="n"/>
      <c r="CK43" s="993" t="n"/>
      <c r="CL43" s="993" t="n"/>
      <c r="CM43" s="993" t="n"/>
      <c r="CN43" s="993" t="n"/>
      <c r="CO43" s="993" t="n"/>
      <c r="CP43" s="993" t="n"/>
      <c r="CQ43" s="993" t="n"/>
      <c r="CR43" s="993" t="n"/>
      <c r="CS43" s="993" t="n"/>
      <c r="CT43" s="993" t="n"/>
      <c r="CU43" s="993" t="n"/>
      <c r="CV43" s="993" t="n"/>
      <c r="CW43" s="993" t="n"/>
      <c r="CX43" s="993" t="n"/>
      <c r="CY43" s="993" t="n"/>
      <c r="CZ43" s="993" t="n"/>
      <c r="DA43" s="993" t="n"/>
      <c r="DB43" s="993" t="n"/>
      <c r="DC43" s="993" t="n"/>
      <c r="DD43" s="993" t="n"/>
      <c r="DE43" s="993" t="n"/>
      <c r="DF43" s="993" t="n"/>
      <c r="DG43" s="993" t="n"/>
      <c r="DH43" s="290" t="n"/>
      <c r="DI43" s="993" t="n"/>
      <c r="DJ43" s="991" t="n"/>
      <c r="DK43" s="991" t="n"/>
      <c r="DL43" s="991" t="n"/>
      <c r="DM43" s="993" t="n"/>
      <c r="DN43" s="991" t="n"/>
      <c r="DO43" s="991" t="n"/>
      <c r="DP43" s="290" t="n"/>
      <c r="DQ43" s="990" t="n"/>
      <c r="DR43" s="990" t="n"/>
      <c r="DS43" s="991" t="n"/>
      <c r="DT43" s="991" t="n"/>
      <c r="DU43" s="990" t="n"/>
      <c r="DV43" s="990" t="n"/>
      <c r="DW43" s="990" t="n"/>
      <c r="DX43" s="991" t="n"/>
      <c r="DY43" s="990" t="n"/>
      <c r="DZ43" s="990" t="n"/>
      <c r="EA43" s="990" t="n"/>
      <c r="EB43" s="986" t="n"/>
      <c r="EC43" s="990" t="n"/>
      <c r="ED43" s="990" t="n"/>
      <c r="EE43" s="990" t="n"/>
      <c r="EF43" s="990" t="n"/>
      <c r="EG43" s="990" t="n"/>
      <c r="EH43" s="990" t="n"/>
      <c r="EI43" s="990" t="n"/>
      <c r="EJ43" s="990" t="n"/>
      <c r="EK43" s="990" t="n"/>
      <c r="EL43" s="1010">
        <f>EL39/EL37</f>
        <v/>
      </c>
      <c r="EM43" s="1010">
        <f>EM39/EM37</f>
        <v/>
      </c>
      <c r="EN43" s="990" t="n"/>
      <c r="EO43" s="990">
        <f>EO39/EO37</f>
        <v/>
      </c>
      <c r="EP43" s="1010">
        <f>EP39/EP37</f>
        <v/>
      </c>
      <c r="EQ43" s="1010">
        <f>EQ39/EQ37</f>
        <v/>
      </c>
      <c r="ER43" s="990" t="n"/>
      <c r="ES43" s="990">
        <f>ES39/ES37</f>
        <v/>
      </c>
      <c r="ET43" s="1010">
        <f>ET39/ET37</f>
        <v/>
      </c>
      <c r="EU43" s="1010">
        <f>EU39/EU37</f>
        <v/>
      </c>
      <c r="EV43" s="990" t="n"/>
      <c r="EW43" s="990">
        <f>EW39/EW37</f>
        <v/>
      </c>
      <c r="EX43" s="1010">
        <f>EX39/EX37</f>
        <v/>
      </c>
      <c r="EY43" s="1010">
        <f>EY39/EY37</f>
        <v/>
      </c>
      <c r="FA43" s="990">
        <f>FA39/FA37</f>
        <v/>
      </c>
      <c r="FB43" s="1010">
        <f>FB39/FB37</f>
        <v/>
      </c>
      <c r="FC43" s="1010">
        <f>FC39/FC37</f>
        <v/>
      </c>
      <c r="FD43" s="1021" t="n"/>
      <c r="FE43" s="990">
        <f>FE39/FE37</f>
        <v/>
      </c>
      <c r="FF43" s="1010">
        <f>FF39/FF37</f>
        <v/>
      </c>
      <c r="FG43" s="1010">
        <f>FG39/FG37</f>
        <v/>
      </c>
      <c r="FH43" s="1021" t="n"/>
      <c r="FI43" s="990">
        <f>FI39/FI37</f>
        <v/>
      </c>
      <c r="FJ43" s="1010">
        <f>FJ39/FJ37</f>
        <v/>
      </c>
      <c r="FK43" s="1010">
        <f>FK39/FK37</f>
        <v/>
      </c>
      <c r="FL43" s="1021" t="n"/>
      <c r="FM43" s="990">
        <f>FM39/FM37</f>
        <v/>
      </c>
      <c r="FN43" s="1007">
        <f>FJ43</f>
        <v/>
      </c>
      <c r="FO43" s="1010">
        <f>FO39/FO37</f>
        <v/>
      </c>
    </row>
    <row r="44" ht="14.25" customFormat="1" customHeight="1" s="1021">
      <c r="A44" s="1022" t="n"/>
      <c r="B44" s="57" t="inlineStr">
        <is>
          <t>LCC's pax yield</t>
        </is>
      </c>
      <c r="L44" s="990" t="n"/>
      <c r="M44" s="990" t="n"/>
      <c r="N44" s="990" t="n"/>
      <c r="O44" s="990" t="n"/>
      <c r="P44" s="990" t="n"/>
      <c r="Q44" s="990" t="n"/>
      <c r="R44" s="990" t="n"/>
      <c r="S44" s="990" t="n"/>
      <c r="T44" s="990" t="n"/>
      <c r="U44" s="990" t="n"/>
      <c r="V44" s="990" t="n"/>
      <c r="W44" s="990" t="n"/>
      <c r="X44" s="990" t="n"/>
      <c r="Y44" s="990" t="n"/>
      <c r="Z44" s="990" t="n"/>
      <c r="AA44" s="990" t="n"/>
      <c r="AB44" s="990" t="n"/>
      <c r="AC44" s="990" t="n"/>
      <c r="AD44" s="990" t="n"/>
      <c r="AE44" s="990" t="n"/>
      <c r="AF44" s="990" t="n"/>
      <c r="AG44" s="990" t="n"/>
      <c r="AH44" s="1031" t="n"/>
      <c r="AI44" s="1031" t="n">
        <v>0.446</v>
      </c>
      <c r="AJ44" s="1031" t="n">
        <v>0.514</v>
      </c>
      <c r="AK44" s="1031" t="n">
        <v>1.735</v>
      </c>
      <c r="AL44" s="1032">
        <f>AL50/AL39</f>
        <v/>
      </c>
      <c r="AM44" s="1032">
        <f>AM50/AM39</f>
        <v/>
      </c>
      <c r="AN44" s="1031" t="n">
        <v>0.522</v>
      </c>
      <c r="AO44" s="1032">
        <f>AO50/AO39</f>
        <v/>
      </c>
      <c r="AP44" s="1032">
        <f>AP50/AP39</f>
        <v/>
      </c>
      <c r="AQ44" s="1015">
        <f>+AP44*(1+AQ45)</f>
        <v/>
      </c>
      <c r="AR44" s="1015">
        <f>+AQ44*(1+AR45)</f>
        <v/>
      </c>
      <c r="AS44" s="1015">
        <f>+AR44*(1+AS45)</f>
        <v/>
      </c>
      <c r="AT44" s="1015">
        <f>+AS44*(1+AT45)</f>
        <v/>
      </c>
      <c r="AU44" s="504" t="n"/>
      <c r="AX44" s="1023" t="n"/>
      <c r="AY44" s="993" t="n"/>
      <c r="AZ44" s="993" t="n"/>
      <c r="BA44" s="993" t="n"/>
      <c r="BB44" s="993" t="n"/>
      <c r="BD44" s="993" t="n"/>
      <c r="BE44" s="993" t="n"/>
      <c r="BF44" s="993" t="n"/>
      <c r="BH44" s="993" t="n"/>
      <c r="BI44" s="993" t="n"/>
      <c r="BJ44" s="993" t="n"/>
      <c r="BL44" s="993" t="n"/>
      <c r="BM44" s="993" t="n"/>
      <c r="BN44" s="993" t="n"/>
      <c r="BP44" s="993" t="n"/>
      <c r="BQ44" s="993" t="n"/>
      <c r="BR44" s="993" t="n"/>
      <c r="BT44" s="993" t="n"/>
      <c r="BU44" s="993" t="n"/>
      <c r="BV44" s="993" t="n"/>
      <c r="BX44" s="993" t="n"/>
      <c r="BY44" s="993" t="n"/>
      <c r="BZ44" s="993" t="n"/>
      <c r="CB44" s="993" t="n"/>
      <c r="CC44" s="993" t="n"/>
      <c r="CD44" s="993" t="n"/>
      <c r="CE44" s="993" t="n"/>
      <c r="CF44" s="993" t="n"/>
      <c r="CG44" s="993" t="n"/>
      <c r="CH44" s="993" t="n"/>
      <c r="CI44" s="993" t="n"/>
      <c r="CJ44" s="993" t="n"/>
      <c r="CK44" s="993" t="n"/>
      <c r="CL44" s="993" t="n"/>
      <c r="CM44" s="993" t="n"/>
      <c r="CN44" s="993" t="n"/>
      <c r="CO44" s="993" t="n"/>
      <c r="CP44" s="993" t="n"/>
      <c r="CQ44" s="993" t="n"/>
      <c r="CR44" s="993" t="n"/>
      <c r="CS44" s="993" t="n"/>
      <c r="CT44" s="993" t="n"/>
      <c r="CU44" s="993" t="n"/>
      <c r="CV44" s="993" t="n"/>
      <c r="CW44" s="993" t="n"/>
      <c r="CX44" s="993" t="n"/>
      <c r="CY44" s="993" t="n"/>
      <c r="CZ44" s="993" t="n"/>
      <c r="DA44" s="993" t="n"/>
      <c r="DB44" s="993" t="n"/>
      <c r="DC44" s="993" t="n"/>
      <c r="DD44" s="993" t="n"/>
      <c r="DE44" s="993" t="n"/>
      <c r="DF44" s="993" t="n"/>
      <c r="DG44" s="993" t="n"/>
      <c r="DH44" s="290" t="n"/>
      <c r="DI44" s="993" t="n"/>
      <c r="DJ44" s="991" t="n"/>
      <c r="DK44" s="991" t="n"/>
      <c r="DL44" s="991" t="n"/>
      <c r="DM44" s="993" t="n"/>
      <c r="DN44" s="991" t="n"/>
      <c r="DO44" s="991" t="n"/>
      <c r="DP44" s="290" t="n"/>
      <c r="DQ44" s="990" t="n"/>
      <c r="DR44" s="990" t="n"/>
      <c r="DS44" s="991" t="n"/>
      <c r="DT44" s="991" t="n"/>
      <c r="DU44" s="990" t="n"/>
      <c r="DV44" s="990" t="n"/>
      <c r="DW44" s="990" t="n"/>
      <c r="DX44" s="991" t="n"/>
      <c r="DY44" s="990" t="n"/>
      <c r="DZ44" s="990" t="n"/>
      <c r="EA44" s="990" t="n"/>
      <c r="EB44" s="986" t="n"/>
      <c r="EC44" s="990" t="n"/>
      <c r="ED44" s="990" t="n"/>
      <c r="EE44" s="990" t="n"/>
      <c r="EF44" s="990" t="n"/>
      <c r="EG44" s="990" t="n"/>
      <c r="EH44" s="990" t="n"/>
      <c r="EI44" s="990" t="n"/>
      <c r="EJ44" s="990" t="n"/>
      <c r="EK44" s="990" t="n"/>
      <c r="EL44" s="1032">
        <f>EL50/EL39</f>
        <v/>
      </c>
      <c r="EM44" s="1032">
        <f>EM50/EM39</f>
        <v/>
      </c>
      <c r="EN44" s="990" t="n"/>
      <c r="EO44" s="1032">
        <f>EO50/EO39</f>
        <v/>
      </c>
      <c r="EP44" s="1033" t="inlineStr">
        <is>
          <t>nm</t>
        </is>
      </c>
      <c r="EQ44" s="1032">
        <f>EQ50/EQ39</f>
        <v/>
      </c>
      <c r="ER44" s="990" t="n"/>
      <c r="ES44" s="1031" t="n">
        <v>1.913</v>
      </c>
      <c r="ET44" s="1015">
        <f>ET50/ET39</f>
        <v/>
      </c>
      <c r="EU44" s="1032">
        <f>EU50/EU39</f>
        <v/>
      </c>
      <c r="EV44" s="990" t="n"/>
      <c r="EW44" s="1031" t="n">
        <v>1.401</v>
      </c>
      <c r="EX44" s="1015">
        <f>EX50/EX39</f>
        <v/>
      </c>
      <c r="EY44" s="1032">
        <f>EY50/EY39</f>
        <v/>
      </c>
      <c r="FA44" s="1031" t="n">
        <v>0.736</v>
      </c>
      <c r="FB44" s="1015">
        <f>FB50/FB39</f>
        <v/>
      </c>
      <c r="FC44" s="1032">
        <f>FC50/FC39</f>
        <v/>
      </c>
      <c r="FD44" s="1015" t="n"/>
      <c r="FE44" s="1031" t="n">
        <v>0.551</v>
      </c>
      <c r="FF44" s="1015">
        <f>FF50/FF39</f>
        <v/>
      </c>
      <c r="FG44" s="1032">
        <f>FG50/FG39</f>
        <v/>
      </c>
      <c r="FH44" s="1021" t="n"/>
      <c r="FI44" s="1031" t="n">
        <v>0.432</v>
      </c>
      <c r="FJ44" s="1015">
        <f>FJ50/FJ39</f>
        <v/>
      </c>
      <c r="FK44" s="1032">
        <f>FK50/FK39</f>
        <v/>
      </c>
      <c r="FL44" s="1021" t="n"/>
      <c r="FM44" s="1031" t="n">
        <v>0.543</v>
      </c>
      <c r="FN44" s="1015">
        <f>FJ44*(1+FN45)</f>
        <v/>
      </c>
      <c r="FO44" s="1032">
        <f>FO50/FO39</f>
        <v/>
      </c>
    </row>
    <row r="45" ht="14.25" customFormat="1" customHeight="1" s="1021">
      <c r="A45" s="1022" t="n"/>
      <c r="B45" s="996" t="inlineStr">
        <is>
          <t>YoY change in passenger yield</t>
        </is>
      </c>
      <c r="L45" s="990" t="n"/>
      <c r="M45" s="990" t="n"/>
      <c r="N45" s="990" t="n"/>
      <c r="O45" s="990" t="n"/>
      <c r="P45" s="990" t="n"/>
      <c r="Q45" s="990" t="n"/>
      <c r="R45" s="990" t="n"/>
      <c r="S45" s="990" t="n"/>
      <c r="T45" s="990" t="n"/>
      <c r="U45" s="990" t="n"/>
      <c r="V45" s="990" t="n"/>
      <c r="W45" s="990" t="n"/>
      <c r="X45" s="990" t="n"/>
      <c r="Y45" s="990" t="n"/>
      <c r="Z45" s="990" t="n"/>
      <c r="AA45" s="990" t="n"/>
      <c r="AB45" s="990" t="n"/>
      <c r="AC45" s="990" t="n"/>
      <c r="AD45" s="990" t="n"/>
      <c r="AE45" s="990" t="n"/>
      <c r="AF45" s="990" t="n"/>
      <c r="AG45" s="990" t="n"/>
      <c r="AH45" s="990" t="n"/>
      <c r="AI45" s="990" t="n"/>
      <c r="AJ45" s="990">
        <f>AJ44/AI44-1</f>
        <v/>
      </c>
      <c r="AK45" s="990">
        <f>AK44/AJ44-1</f>
        <v/>
      </c>
      <c r="AL45" s="990">
        <f>AL44/AK44-1</f>
        <v/>
      </c>
      <c r="AM45" s="990">
        <f>AM44/AL44-1</f>
        <v/>
      </c>
      <c r="AN45" s="990">
        <f>AN44/AM44-1</f>
        <v/>
      </c>
      <c r="AO45" s="990">
        <f>AO44/AN44-1</f>
        <v/>
      </c>
      <c r="AP45" s="990">
        <f>AP44/AO44-1</f>
        <v/>
      </c>
      <c r="AQ45" s="1007">
        <f>AQ30</f>
        <v/>
      </c>
      <c r="AR45" s="1007">
        <f>AR30</f>
        <v/>
      </c>
      <c r="AS45" s="1007">
        <f>AS30</f>
        <v/>
      </c>
      <c r="AT45" s="1007">
        <f>AT30</f>
        <v/>
      </c>
      <c r="AU45" s="504" t="n"/>
      <c r="AX45" s="1023" t="n"/>
      <c r="AY45" s="993" t="n"/>
      <c r="AZ45" s="993" t="n"/>
      <c r="BA45" s="993" t="n"/>
      <c r="BB45" s="993" t="n"/>
      <c r="BD45" s="993" t="n"/>
      <c r="BE45" s="993" t="n"/>
      <c r="BF45" s="993" t="n"/>
      <c r="BH45" s="993" t="n"/>
      <c r="BI45" s="993" t="n"/>
      <c r="BJ45" s="993" t="n"/>
      <c r="BL45" s="993" t="n"/>
      <c r="BM45" s="993" t="n"/>
      <c r="BN45" s="993" t="n"/>
      <c r="BP45" s="993" t="n"/>
      <c r="BQ45" s="993" t="n"/>
      <c r="BR45" s="993" t="n"/>
      <c r="BT45" s="993" t="n"/>
      <c r="BU45" s="993" t="n"/>
      <c r="BV45" s="993" t="n"/>
      <c r="BX45" s="993" t="n"/>
      <c r="BY45" s="993" t="n"/>
      <c r="BZ45" s="993" t="n"/>
      <c r="CB45" s="993" t="n"/>
      <c r="CC45" s="993" t="n"/>
      <c r="CD45" s="993" t="n"/>
      <c r="CE45" s="993" t="n"/>
      <c r="CF45" s="993" t="n"/>
      <c r="CG45" s="993" t="n"/>
      <c r="CH45" s="993" t="n"/>
      <c r="CI45" s="993" t="n"/>
      <c r="CJ45" s="993" t="n"/>
      <c r="CK45" s="993" t="n"/>
      <c r="CL45" s="993" t="n"/>
      <c r="CM45" s="993" t="n"/>
      <c r="CN45" s="993" t="n"/>
      <c r="CO45" s="993" t="n"/>
      <c r="CP45" s="993" t="n"/>
      <c r="CQ45" s="993" t="n"/>
      <c r="CR45" s="993" t="n"/>
      <c r="CS45" s="993" t="n"/>
      <c r="CT45" s="993" t="n"/>
      <c r="CU45" s="993" t="n"/>
      <c r="CV45" s="993" t="n"/>
      <c r="CW45" s="993" t="n"/>
      <c r="CX45" s="993" t="n"/>
      <c r="CY45" s="993" t="n"/>
      <c r="CZ45" s="993" t="n"/>
      <c r="DA45" s="993" t="n"/>
      <c r="DB45" s="993" t="n"/>
      <c r="DC45" s="993" t="n"/>
      <c r="DD45" s="993" t="n"/>
      <c r="DE45" s="993" t="n"/>
      <c r="DF45" s="993" t="n"/>
      <c r="DG45" s="993" t="n"/>
      <c r="DH45" s="290" t="n"/>
      <c r="DI45" s="993" t="n"/>
      <c r="DJ45" s="991" t="n"/>
      <c r="DK45" s="991" t="n"/>
      <c r="DL45" s="991" t="n"/>
      <c r="DM45" s="993" t="n"/>
      <c r="DN45" s="991" t="n"/>
      <c r="DO45" s="991" t="n"/>
      <c r="DP45" s="290" t="n"/>
      <c r="DQ45" s="990" t="n"/>
      <c r="DR45" s="990" t="n"/>
      <c r="DS45" s="991" t="n"/>
      <c r="DT45" s="991" t="n"/>
      <c r="DU45" s="990" t="n"/>
      <c r="DV45" s="990" t="n"/>
      <c r="DW45" s="990" t="n"/>
      <c r="DX45" s="991" t="n"/>
      <c r="DY45" s="990" t="n"/>
      <c r="DZ45" s="990" t="n"/>
      <c r="EA45" s="990" t="n"/>
      <c r="EB45" s="986" t="n"/>
      <c r="EC45" s="990" t="n"/>
      <c r="ED45" s="990" t="n"/>
      <c r="EE45" s="990" t="n"/>
      <c r="EF45" s="990" t="n"/>
      <c r="EG45" s="990" t="n"/>
      <c r="EH45" s="990" t="n"/>
      <c r="EI45" s="990" t="n"/>
      <c r="EJ45" s="990" t="n"/>
      <c r="EK45" s="990" t="n"/>
      <c r="EL45" s="990" t="n"/>
      <c r="EM45" s="990" t="n"/>
      <c r="EN45" s="990" t="n"/>
      <c r="EO45" s="990" t="n"/>
      <c r="EP45" s="1034">
        <f>IFERROR(EP44/EL44-1,"nm")</f>
        <v/>
      </c>
      <c r="EQ45" s="990">
        <f>EQ44/EM44-1</f>
        <v/>
      </c>
      <c r="ER45" s="990" t="n"/>
      <c r="ES45" s="990">
        <f>ES44/EO44-1</f>
        <v/>
      </c>
      <c r="ET45" s="1034">
        <f>IFERROR(ET44/EP44-1,"nm")</f>
        <v/>
      </c>
      <c r="EU45" s="990">
        <f>EU44/EQ44-1</f>
        <v/>
      </c>
      <c r="EV45" s="990" t="n"/>
      <c r="EW45" s="990">
        <f>EW44/ES44-1</f>
        <v/>
      </c>
      <c r="EX45" s="1034">
        <f>IFERROR(EX44/ET44-1,"nm")</f>
        <v/>
      </c>
      <c r="EY45" s="990">
        <f>EY44/EU44-1</f>
        <v/>
      </c>
      <c r="FA45" s="990">
        <f>FA44/EW44-1</f>
        <v/>
      </c>
      <c r="FB45" s="1034">
        <f>IFERROR(FB44/EX44-1,"nm")</f>
        <v/>
      </c>
      <c r="FC45" s="990">
        <f>FC44/EY44-1</f>
        <v/>
      </c>
      <c r="FD45" s="1021" t="n"/>
      <c r="FE45" s="990">
        <f>FE44/FA44-1</f>
        <v/>
      </c>
      <c r="FF45" s="1034">
        <f>IFERROR(FF44/FB44-1,"nm")</f>
        <v/>
      </c>
      <c r="FG45" s="990">
        <f>FG44/FC44-1</f>
        <v/>
      </c>
      <c r="FH45" s="1021" t="n"/>
      <c r="FI45" s="990">
        <f>FI44/FE44-1</f>
        <v/>
      </c>
      <c r="FJ45" s="1034">
        <f>IFERROR(FJ44/FF44-1,"nm")</f>
        <v/>
      </c>
      <c r="FK45" s="990">
        <f>FK44/FG44-1</f>
        <v/>
      </c>
      <c r="FL45" s="1021" t="n"/>
      <c r="FM45" s="990">
        <f>FM44/FI44-1</f>
        <v/>
      </c>
      <c r="FN45" s="1007" t="n">
        <v>0.15</v>
      </c>
      <c r="FO45" s="990">
        <f>FO44/FK44-1</f>
        <v/>
      </c>
    </row>
    <row r="46" ht="14.25" customFormat="1" customHeight="1" s="986">
      <c r="A46" s="987" t="n"/>
      <c r="B46" s="57" t="inlineStr">
        <is>
          <t>LCC's unit revenue (RASK)</t>
        </is>
      </c>
      <c r="C46" s="995" t="n"/>
      <c r="D46" s="995" t="n"/>
      <c r="E46" s="995" t="n"/>
      <c r="F46" s="995" t="n"/>
      <c r="G46" s="995" t="n"/>
      <c r="H46" s="995" t="n"/>
      <c r="I46" s="995" t="n"/>
      <c r="J46" s="995" t="n"/>
      <c r="K46" s="995" t="n"/>
      <c r="L46" s="995" t="n"/>
      <c r="M46" s="995" t="n"/>
      <c r="N46" s="995" t="n"/>
      <c r="O46" s="995" t="n"/>
      <c r="P46" s="995" t="n"/>
      <c r="Q46" s="995" t="n"/>
      <c r="R46" s="995" t="n"/>
      <c r="S46" s="995" t="n"/>
      <c r="T46" s="995" t="n"/>
      <c r="U46" s="995" t="n"/>
      <c r="V46" s="995" t="n"/>
      <c r="W46" s="995" t="n"/>
      <c r="X46" s="995" t="n"/>
      <c r="Y46" s="995" t="n"/>
      <c r="Z46" s="995" t="n"/>
      <c r="AA46" s="995" t="n"/>
      <c r="AB46" s="995" t="n"/>
      <c r="AC46" s="995" t="n"/>
      <c r="AD46" s="995" t="n"/>
      <c r="AE46" s="995" t="n"/>
      <c r="AF46" s="995" t="n"/>
      <c r="AG46" s="995" t="n"/>
      <c r="AH46" s="995" t="n"/>
      <c r="AI46" s="995">
        <f>AI50/AI37</f>
        <v/>
      </c>
      <c r="AJ46" s="995">
        <f>AJ50/AJ37</f>
        <v/>
      </c>
      <c r="AK46" s="995">
        <f>AK50/AK37</f>
        <v/>
      </c>
      <c r="AL46" s="995">
        <f>AL50/AL37</f>
        <v/>
      </c>
      <c r="AM46" s="995">
        <f>AM50/AM37</f>
        <v/>
      </c>
      <c r="AN46" s="995">
        <f>AN50/AN37</f>
        <v/>
      </c>
      <c r="AO46" s="995">
        <f>AO50/AO37</f>
        <v/>
      </c>
      <c r="AP46" s="995">
        <f>AP50/AP37</f>
        <v/>
      </c>
      <c r="AQ46" s="995">
        <f>AQ50/AQ37</f>
        <v/>
      </c>
      <c r="AR46" s="995">
        <f>AR50/AR37</f>
        <v/>
      </c>
      <c r="AS46" s="995">
        <f>AS50/AS37</f>
        <v/>
      </c>
      <c r="AT46" s="995">
        <f>AT50/AT37</f>
        <v/>
      </c>
      <c r="AU46" s="288" t="n"/>
      <c r="AX46" s="992" t="n"/>
      <c r="AY46" s="991" t="n"/>
      <c r="BB46" s="992" t="n"/>
      <c r="BD46" s="995" t="n"/>
      <c r="BE46" s="995" t="n"/>
      <c r="BF46" s="995" t="n"/>
      <c r="BH46" s="995" t="n"/>
      <c r="BI46" s="995" t="n"/>
      <c r="BJ46" s="995" t="n"/>
      <c r="BL46" s="995" t="n"/>
      <c r="BM46" s="995" t="n"/>
      <c r="BN46" s="995" t="n"/>
      <c r="BP46" s="995" t="n"/>
      <c r="BQ46" s="995" t="n"/>
      <c r="BR46" s="995" t="n"/>
      <c r="BT46" s="995" t="n"/>
      <c r="BU46" s="995" t="n"/>
      <c r="BV46" s="995" t="n"/>
      <c r="BX46" s="995" t="n"/>
      <c r="BY46" s="995" t="n"/>
      <c r="BZ46" s="995" t="n"/>
      <c r="CB46" s="995" t="n"/>
      <c r="CC46" s="995" t="n"/>
      <c r="CD46" s="995" t="n"/>
      <c r="CE46" s="993" t="n"/>
      <c r="CF46" s="995" t="n"/>
      <c r="CG46" s="995" t="n"/>
      <c r="CH46" s="995" t="n"/>
      <c r="CI46" s="992" t="n"/>
      <c r="CJ46" s="995" t="n"/>
      <c r="CK46" s="995" t="n"/>
      <c r="CL46" s="995" t="n"/>
      <c r="CM46" s="992" t="n"/>
      <c r="CN46" s="995" t="n"/>
      <c r="CO46" s="995" t="n"/>
      <c r="CP46" s="995" t="n"/>
      <c r="CQ46" s="993" t="n"/>
      <c r="CR46" s="995" t="n"/>
      <c r="CS46" s="995" t="n"/>
      <c r="CT46" s="995" t="n"/>
      <c r="CU46" s="995" t="n"/>
      <c r="CV46" s="993" t="n"/>
      <c r="CW46" s="995" t="n"/>
      <c r="CX46" s="995" t="n"/>
      <c r="CY46" s="995" t="n"/>
      <c r="CZ46" s="993" t="n"/>
      <c r="DA46" s="995" t="n"/>
      <c r="DB46" s="995" t="n"/>
      <c r="DC46" s="995" t="n"/>
      <c r="DD46" s="995" t="n"/>
      <c r="DE46" s="995" t="n"/>
      <c r="DF46" s="995" t="n"/>
      <c r="DG46" s="995" t="n"/>
      <c r="DH46" s="995" t="n"/>
      <c r="DI46" s="995" t="n"/>
      <c r="DJ46" s="995" t="n"/>
      <c r="DK46" s="995" t="n"/>
      <c r="DL46" s="995" t="n"/>
      <c r="DM46" s="995" t="n"/>
      <c r="DN46" s="995" t="n"/>
      <c r="DO46" s="995" t="n"/>
      <c r="DP46" s="995" t="n"/>
      <c r="DQ46" s="995" t="n"/>
      <c r="DR46" s="995" t="n"/>
      <c r="DS46" s="995" t="n"/>
      <c r="DT46" s="995" t="n"/>
      <c r="DU46" s="995" t="n"/>
      <c r="DV46" s="995" t="n"/>
      <c r="DW46" s="995" t="n"/>
      <c r="DX46" s="995" t="n"/>
      <c r="DY46" s="995" t="n"/>
      <c r="DZ46" s="995" t="n"/>
      <c r="EA46" s="995" t="n"/>
      <c r="EB46" s="995" t="n"/>
      <c r="EC46" s="995" t="n"/>
      <c r="ED46" s="995" t="n"/>
      <c r="EE46" s="995" t="n"/>
      <c r="EF46" s="995" t="n"/>
      <c r="EG46" s="995" t="n"/>
      <c r="EH46" s="995" t="n"/>
      <c r="EI46" s="995" t="n"/>
      <c r="EJ46" s="995" t="n"/>
      <c r="EK46" s="995" t="n"/>
      <c r="EL46" s="995">
        <f>EL50/EL37</f>
        <v/>
      </c>
      <c r="EM46" s="995">
        <f>EM50/EM37</f>
        <v/>
      </c>
      <c r="EN46" s="995" t="n"/>
      <c r="EO46" s="995">
        <f>EO50/EO37</f>
        <v/>
      </c>
      <c r="EP46" s="995">
        <f>EP50/EP37</f>
        <v/>
      </c>
      <c r="EQ46" s="995">
        <f>EQ50/EQ37</f>
        <v/>
      </c>
      <c r="ER46" s="995" t="n"/>
      <c r="ES46" s="995">
        <f>ES50/ES37</f>
        <v/>
      </c>
      <c r="ET46" s="995">
        <f>ET50/ET37</f>
        <v/>
      </c>
      <c r="EU46" s="995">
        <f>EU50/EU37</f>
        <v/>
      </c>
      <c r="EV46" s="995" t="n"/>
      <c r="EW46" s="995">
        <f>EW50/EW37</f>
        <v/>
      </c>
      <c r="EX46" s="995">
        <f>EX50/EX37</f>
        <v/>
      </c>
      <c r="EY46" s="995">
        <f>EY50/EY37</f>
        <v/>
      </c>
      <c r="EZ46" s="995" t="n"/>
      <c r="FA46" s="995">
        <f>FA50/FA37</f>
        <v/>
      </c>
      <c r="FB46" s="995">
        <f>FB50/FB37</f>
        <v/>
      </c>
      <c r="FC46" s="995">
        <f>FC50/FC37</f>
        <v/>
      </c>
      <c r="FD46" s="995" t="n"/>
      <c r="FE46" s="995">
        <f>FE50/FE37</f>
        <v/>
      </c>
      <c r="FF46" s="995">
        <f>FF50/FF37</f>
        <v/>
      </c>
      <c r="FG46" s="995">
        <f>FG50/FG37</f>
        <v/>
      </c>
      <c r="FH46" s="995" t="n"/>
      <c r="FI46" s="995">
        <f>FI50/FI37</f>
        <v/>
      </c>
      <c r="FJ46" s="995">
        <f>FJ50/FJ37</f>
        <v/>
      </c>
      <c r="FK46" s="995">
        <f>FK50/FK37</f>
        <v/>
      </c>
      <c r="FM46" s="995">
        <f>FM50/FM37</f>
        <v/>
      </c>
      <c r="FN46" s="995">
        <f>FN50/FN37</f>
        <v/>
      </c>
      <c r="FO46" s="995">
        <f>FO50/FO37</f>
        <v/>
      </c>
    </row>
    <row r="47" ht="14.25" customFormat="1" customHeight="1" s="986">
      <c r="A47" s="987" t="n"/>
      <c r="B47" s="996" t="inlineStr">
        <is>
          <t>YoY change in RASK</t>
        </is>
      </c>
      <c r="AJ47" s="986">
        <f>AJ46/AI46-1</f>
        <v/>
      </c>
      <c r="AK47" s="986">
        <f>AK46/AJ46-1</f>
        <v/>
      </c>
      <c r="AL47" s="986">
        <f>AL46/AK46-1</f>
        <v/>
      </c>
      <c r="AM47" s="986">
        <f>AM46/AL46-1</f>
        <v/>
      </c>
      <c r="AN47" s="986">
        <f>AN46/AM46-1</f>
        <v/>
      </c>
      <c r="AO47" s="986">
        <f>AO46/AN46-1</f>
        <v/>
      </c>
      <c r="AP47" s="986">
        <f>AP46/AO46-1</f>
        <v/>
      </c>
      <c r="AQ47" s="986">
        <f>AQ46/AP46-1</f>
        <v/>
      </c>
      <c r="AR47" s="986">
        <f>AR46/AQ46-1</f>
        <v/>
      </c>
      <c r="AS47" s="986">
        <f>AS46/AR46-1</f>
        <v/>
      </c>
      <c r="AT47" s="986">
        <f>AT46/AS46-1</f>
        <v/>
      </c>
      <c r="AU47" s="288" t="n"/>
      <c r="AX47" s="992" t="n"/>
      <c r="AY47" s="991" t="n"/>
      <c r="BB47" s="992" t="n"/>
      <c r="CE47" s="993" t="n"/>
      <c r="CI47" s="992" t="n"/>
      <c r="CM47" s="992" t="n"/>
      <c r="CQ47" s="993" t="n"/>
      <c r="CV47" s="993" t="n"/>
      <c r="CZ47" s="993" t="n"/>
      <c r="DD47" s="993" t="n"/>
      <c r="DH47" s="290" t="n"/>
      <c r="DL47" s="993" t="n"/>
      <c r="DP47" s="290" t="n"/>
      <c r="DT47" s="989" t="n"/>
      <c r="DX47" s="989" t="n"/>
      <c r="EF47" s="989" t="n"/>
      <c r="EJ47" s="989" t="n"/>
      <c r="EN47" s="989" t="n"/>
      <c r="EQ47" s="986">
        <f>EQ46/EM46-1</f>
        <v/>
      </c>
      <c r="ER47" s="989" t="n"/>
      <c r="ES47" s="986">
        <f>ES46/EO46-1</f>
        <v/>
      </c>
      <c r="ET47" s="986">
        <f>ET46/EP46-1</f>
        <v/>
      </c>
      <c r="EU47" s="986">
        <f>EU46/EQ46-1</f>
        <v/>
      </c>
      <c r="EV47" s="989" t="n"/>
      <c r="EW47" s="986">
        <f>EW46/ES46-1</f>
        <v/>
      </c>
      <c r="EX47" s="986">
        <f>EX46/ET46-1</f>
        <v/>
      </c>
      <c r="EY47" s="986">
        <f>EY46/EU46-1</f>
        <v/>
      </c>
      <c r="FA47" s="986">
        <f>FA46/EW46-1</f>
        <v/>
      </c>
      <c r="FB47" s="986">
        <f>FB46/EX46-1</f>
        <v/>
      </c>
      <c r="FC47" s="986">
        <f>FC46/EY46-1</f>
        <v/>
      </c>
      <c r="FE47" s="986">
        <f>FE46/FA46-1</f>
        <v/>
      </c>
      <c r="FF47" s="986">
        <f>FF46/FB46-1</f>
        <v/>
      </c>
      <c r="FG47" s="986">
        <f>FG46/FC46-1</f>
        <v/>
      </c>
      <c r="FI47" s="986">
        <f>FI46/FE46-1</f>
        <v/>
      </c>
      <c r="FJ47" s="986">
        <f>FJ46/FF46-1</f>
        <v/>
      </c>
      <c r="FK47" s="986">
        <f>FK46/FG46-1</f>
        <v/>
      </c>
      <c r="FM47" s="986">
        <f>FM46/FI46-1</f>
        <v/>
      </c>
      <c r="FN47" s="986">
        <f>FN46/FJ46-1</f>
        <v/>
      </c>
      <c r="FO47" s="986">
        <f>FO46/FK46-1</f>
        <v/>
      </c>
    </row>
    <row r="48" ht="14.25" customFormat="1" customHeight="1" s="986">
      <c r="A48" s="987" t="n"/>
      <c r="B48" s="57" t="inlineStr">
        <is>
          <t>Average airfare ticket price</t>
        </is>
      </c>
      <c r="C48" s="502" t="n"/>
      <c r="D48" s="502" t="n"/>
      <c r="E48" s="502" t="n"/>
      <c r="F48" s="502" t="n"/>
      <c r="G48" s="502" t="n"/>
      <c r="H48" s="502" t="n"/>
      <c r="I48" s="502" t="n"/>
      <c r="J48" s="502" t="n"/>
      <c r="K48" s="502" t="n"/>
      <c r="L48" s="502" t="n"/>
      <c r="M48" s="502" t="n"/>
      <c r="N48" s="502" t="n"/>
      <c r="O48" s="502" t="n"/>
      <c r="P48" s="502" t="n"/>
      <c r="Q48" s="502" t="n"/>
      <c r="R48" s="502" t="n"/>
      <c r="S48" s="502" t="n"/>
      <c r="T48" s="502" t="n"/>
      <c r="U48" s="502" t="n"/>
      <c r="V48" s="502" t="n"/>
      <c r="W48" s="502" t="n"/>
      <c r="X48" s="502" t="n"/>
      <c r="Y48" s="502" t="n"/>
      <c r="Z48" s="502" t="n"/>
      <c r="AA48" s="502" t="n"/>
      <c r="AB48" s="502" t="n"/>
      <c r="AC48" s="502" t="n"/>
      <c r="AD48" s="502" t="n"/>
      <c r="AE48" s="502" t="n"/>
      <c r="AF48" s="502" t="n"/>
      <c r="AG48" s="502" t="n"/>
      <c r="AH48" s="502" t="n"/>
      <c r="AI48" s="502">
        <f>+AI50/AI41*1000</f>
        <v/>
      </c>
      <c r="AJ48" s="502">
        <f>+AJ50/AJ41*1000</f>
        <v/>
      </c>
      <c r="AK48" s="502">
        <f>+AK50/AK41*1000</f>
        <v/>
      </c>
      <c r="AL48" s="502">
        <f>+AL50/AL41*1000</f>
        <v/>
      </c>
      <c r="AM48" s="502">
        <f>+AM50/AM41*1000</f>
        <v/>
      </c>
      <c r="AN48" s="502">
        <f>+AN50/AN41*1000</f>
        <v/>
      </c>
      <c r="AO48" s="502">
        <f>+AO50/AO41*1000</f>
        <v/>
      </c>
      <c r="AP48" s="502">
        <f>+AP50/AP41*1000</f>
        <v/>
      </c>
      <c r="AQ48" s="502">
        <f>+AQ50/AQ41*1000</f>
        <v/>
      </c>
      <c r="AR48" s="502">
        <f>+AR50/AR41*1000</f>
        <v/>
      </c>
      <c r="AS48" s="502">
        <f>+AS50/AS41*1000</f>
        <v/>
      </c>
      <c r="AT48" s="502">
        <f>+AT50/AT41*1000</f>
        <v/>
      </c>
      <c r="AU48" s="288" t="n"/>
      <c r="AX48" s="992" t="n"/>
      <c r="AY48" s="991" t="n"/>
      <c r="BB48" s="992" t="n"/>
      <c r="BD48" s="502" t="n"/>
      <c r="BE48" s="502" t="n"/>
      <c r="BF48" s="502" t="n"/>
      <c r="BH48" s="502" t="n"/>
      <c r="BI48" s="502" t="n"/>
      <c r="BJ48" s="502" t="n"/>
      <c r="BL48" s="502" t="n"/>
      <c r="BM48" s="502" t="n"/>
      <c r="BN48" s="502" t="n"/>
      <c r="BP48" s="502" t="n"/>
      <c r="BQ48" s="502" t="n"/>
      <c r="BR48" s="502" t="n"/>
      <c r="BT48" s="502" t="n"/>
      <c r="BU48" s="502" t="n"/>
      <c r="BV48" s="502" t="n"/>
      <c r="BX48" s="502" t="n"/>
      <c r="BY48" s="502" t="n"/>
      <c r="BZ48" s="502" t="n"/>
      <c r="CB48" s="502" t="n"/>
      <c r="CC48" s="502" t="n"/>
      <c r="CD48" s="502" t="n"/>
      <c r="CE48" s="993" t="n"/>
      <c r="CF48" s="502" t="n"/>
      <c r="CG48" s="502" t="n"/>
      <c r="CH48" s="502" t="n"/>
      <c r="CI48" s="992" t="n"/>
      <c r="CJ48" s="502" t="n"/>
      <c r="CK48" s="502" t="n"/>
      <c r="CL48" s="502" t="n"/>
      <c r="CM48" s="992" t="n"/>
      <c r="CN48" s="502" t="n"/>
      <c r="CO48" s="502" t="n"/>
      <c r="CP48" s="502" t="n"/>
      <c r="CQ48" s="993" t="n"/>
      <c r="CR48" s="502" t="n"/>
      <c r="CS48" s="502" t="n"/>
      <c r="CT48" s="502" t="n"/>
      <c r="CU48" s="502" t="n"/>
      <c r="CV48" s="993" t="n"/>
      <c r="CW48" s="502" t="n"/>
      <c r="CX48" s="502" t="n"/>
      <c r="CY48" s="502" t="n"/>
      <c r="CZ48" s="993" t="n"/>
      <c r="DA48" s="502" t="n"/>
      <c r="DB48" s="502" t="n"/>
      <c r="DC48" s="502" t="n"/>
      <c r="DD48" s="993" t="n"/>
      <c r="DE48" s="502" t="n"/>
      <c r="DF48" s="502" t="n"/>
      <c r="DG48" s="502" t="n"/>
      <c r="DH48" s="290" t="n"/>
      <c r="DI48" s="502" t="n"/>
      <c r="DJ48" s="502" t="n"/>
      <c r="DK48" s="502" t="n"/>
      <c r="DL48" s="993" t="n"/>
      <c r="DM48" s="502" t="n"/>
      <c r="DN48" s="502" t="n"/>
      <c r="DO48" s="502" t="n"/>
      <c r="DP48" s="290" t="n"/>
      <c r="DQ48" s="502" t="n"/>
      <c r="DR48" s="502" t="n"/>
      <c r="DS48" s="502" t="n"/>
      <c r="DT48" s="989" t="n"/>
      <c r="DU48" s="502" t="n"/>
      <c r="DV48" s="502" t="n"/>
      <c r="DW48" s="502" t="n"/>
      <c r="DX48" s="989" t="n"/>
      <c r="DY48" s="502" t="n"/>
      <c r="DZ48" s="502" t="n"/>
      <c r="EA48" s="502" t="n"/>
      <c r="EC48" s="502" t="n"/>
      <c r="ED48" s="502" t="n"/>
      <c r="EE48" s="502" t="n"/>
      <c r="EF48" s="989" t="n"/>
      <c r="EG48" s="502" t="n"/>
      <c r="EH48" s="502" t="n"/>
      <c r="EI48" s="502" t="n"/>
      <c r="EJ48" s="989" t="n"/>
      <c r="EK48" s="502" t="n"/>
      <c r="EL48" s="502">
        <f>+EL50/EL41*1000</f>
        <v/>
      </c>
      <c r="EM48" s="502">
        <f>+EM50/EM41*1000</f>
        <v/>
      </c>
      <c r="EN48" s="989" t="n"/>
      <c r="EO48" s="502">
        <f>+EO50/EO41*1000</f>
        <v/>
      </c>
      <c r="EP48" s="1033" t="inlineStr">
        <is>
          <t>nm</t>
        </is>
      </c>
      <c r="EQ48" s="502">
        <f>+EQ50/EQ41*1000</f>
        <v/>
      </c>
      <c r="ER48" s="989" t="n"/>
      <c r="ES48" s="502">
        <f>+ES50/ES41*1000</f>
        <v/>
      </c>
      <c r="ET48" s="502">
        <f>+ET50/ET41*1000</f>
        <v/>
      </c>
      <c r="EU48" s="502">
        <f>+EU50/EU41*1000</f>
        <v/>
      </c>
      <c r="EV48" s="989" t="n"/>
      <c r="EW48" s="502">
        <f>+EW50/EW41*1000</f>
        <v/>
      </c>
      <c r="EX48" s="502">
        <f>+EX50/EX41*1000</f>
        <v/>
      </c>
      <c r="EY48" s="502">
        <f>+EY50/EY41*1000</f>
        <v/>
      </c>
      <c r="FA48" s="502">
        <f>+FA50/FA41*1000</f>
        <v/>
      </c>
      <c r="FB48" s="502">
        <f>+FB50/FB41*1000</f>
        <v/>
      </c>
      <c r="FC48" s="502">
        <f>+FC50/FC41*1000</f>
        <v/>
      </c>
      <c r="FE48" s="502">
        <f>+FE50/FE41*1000</f>
        <v/>
      </c>
      <c r="FF48" s="502">
        <f>+FF50/FF41*1000</f>
        <v/>
      </c>
      <c r="FG48" s="502">
        <f>+FG50/FG41*1000</f>
        <v/>
      </c>
      <c r="FI48" s="502">
        <f>+FI50/FI41*1000</f>
        <v/>
      </c>
      <c r="FJ48" s="502">
        <f>+FJ50/FJ41*1000</f>
        <v/>
      </c>
      <c r="FK48" s="502">
        <f>+FK50/FK41*1000</f>
        <v/>
      </c>
      <c r="FM48" s="502">
        <f>+FM50/FM41*1000</f>
        <v/>
      </c>
      <c r="FN48" s="502">
        <f>+FN50/FN41*1000</f>
        <v/>
      </c>
      <c r="FO48" s="502">
        <f>+FO50/FO41*1000</f>
        <v/>
      </c>
    </row>
    <row r="49" ht="14.25" customFormat="1" customHeight="1" s="986">
      <c r="A49" s="987" t="n"/>
      <c r="B49" s="996" t="inlineStr">
        <is>
          <t>YoY change in average airfare ticket price</t>
        </is>
      </c>
      <c r="AJ49" s="986">
        <f>AJ48/AI48-1</f>
        <v/>
      </c>
      <c r="AK49" s="986">
        <f>AK48/AJ48-1</f>
        <v/>
      </c>
      <c r="AL49" s="986">
        <f>AL48/AK48-1</f>
        <v/>
      </c>
      <c r="AM49" s="986">
        <f>AM48/AL48-1</f>
        <v/>
      </c>
      <c r="AN49" s="986">
        <f>AN48/AM48-1</f>
        <v/>
      </c>
      <c r="AO49" s="986">
        <f>AO48/AN48-1</f>
        <v/>
      </c>
      <c r="AP49" s="986">
        <f>AP48/AO48-1</f>
        <v/>
      </c>
      <c r="AQ49" s="986">
        <f>AQ48/AP48-1</f>
        <v/>
      </c>
      <c r="AR49" s="986">
        <f>AR48/AQ48-1</f>
        <v/>
      </c>
      <c r="AS49" s="986">
        <f>AS48/AR48-1</f>
        <v/>
      </c>
      <c r="AT49" s="986">
        <f>AT48/AS48-1</f>
        <v/>
      </c>
      <c r="AU49" s="288" t="n"/>
      <c r="AX49" s="992" t="n"/>
      <c r="AY49" s="991" t="n"/>
      <c r="BB49" s="992" t="n"/>
      <c r="CE49" s="993" t="n"/>
      <c r="CI49" s="992" t="n"/>
      <c r="CM49" s="992" t="n"/>
      <c r="CQ49" s="993" t="n"/>
      <c r="CV49" s="993" t="n"/>
      <c r="CZ49" s="993" t="n"/>
      <c r="DD49" s="993" t="n"/>
      <c r="DH49" s="290" t="n"/>
      <c r="DL49" s="993" t="n"/>
      <c r="DP49" s="290" t="n"/>
      <c r="DT49" s="989" t="n"/>
      <c r="DX49" s="989" t="n"/>
      <c r="EF49" s="989" t="n"/>
      <c r="EJ49" s="989" t="n"/>
      <c r="EN49" s="989" t="n"/>
      <c r="EP49" s="1034">
        <f>IFERROR(EP48/EL48-1,"nm")</f>
        <v/>
      </c>
      <c r="EQ49" s="986">
        <f>EQ48/EM48-1</f>
        <v/>
      </c>
      <c r="ER49" s="989" t="n"/>
      <c r="ES49" s="986">
        <f>ES48/EO48-1</f>
        <v/>
      </c>
      <c r="ET49" s="1034">
        <f>IFERROR(ET48/EP48-1,"nm")</f>
        <v/>
      </c>
      <c r="EU49" s="986">
        <f>EU48/EQ48-1</f>
        <v/>
      </c>
      <c r="EV49" s="989" t="n"/>
      <c r="EW49" s="986">
        <f>EW48/ES48-1</f>
        <v/>
      </c>
      <c r="EX49" s="986">
        <f>EX48/ET48-1</f>
        <v/>
      </c>
      <c r="EY49" s="986">
        <f>EY48/EU48-1</f>
        <v/>
      </c>
      <c r="FA49" s="986">
        <f>FA48/EW48-1</f>
        <v/>
      </c>
      <c r="FB49" s="986">
        <f>FB48/EX48-1</f>
        <v/>
      </c>
      <c r="FC49" s="986">
        <f>FC48/EY48-1</f>
        <v/>
      </c>
      <c r="FE49" s="986">
        <f>FE48/FA48-1</f>
        <v/>
      </c>
      <c r="FF49" s="986">
        <f>FF48/FB48-1</f>
        <v/>
      </c>
      <c r="FG49" s="986">
        <f>FG48/FC48-1</f>
        <v/>
      </c>
      <c r="FI49" s="986">
        <f>FI48/FE48-1</f>
        <v/>
      </c>
      <c r="FJ49" s="986">
        <f>FJ48/FF48-1</f>
        <v/>
      </c>
      <c r="FK49" s="986">
        <f>FK48/FG48-1</f>
        <v/>
      </c>
      <c r="FM49" s="986">
        <f>FM48/FI48-1</f>
        <v/>
      </c>
      <c r="FN49" s="986">
        <f>FN48/FJ48-1</f>
        <v/>
      </c>
      <c r="FO49" s="986">
        <f>FO48/FK48-1</f>
        <v/>
      </c>
    </row>
    <row r="50" ht="14.25" customFormat="1" customHeight="1" s="1035">
      <c r="A50" s="1022" t="n"/>
      <c r="B50" s="583" t="inlineStr">
        <is>
          <t>LCC Passenger Revenue</t>
        </is>
      </c>
      <c r="L50" s="1036" t="n"/>
      <c r="M50" s="1036" t="n"/>
      <c r="N50" s="1036" t="n"/>
      <c r="O50" s="803" t="n"/>
      <c r="P50" s="803" t="n"/>
      <c r="Q50" s="803" t="n"/>
      <c r="R50" s="803" t="n"/>
      <c r="S50" s="803" t="n"/>
      <c r="T50" s="803" t="n"/>
      <c r="U50" s="803" t="n"/>
      <c r="V50" s="803" t="n"/>
      <c r="W50" s="803" t="n"/>
      <c r="X50" s="803" t="n"/>
      <c r="Y50" s="803" t="n"/>
      <c r="Z50" s="803" t="n"/>
      <c r="AA50" s="803" t="n"/>
      <c r="AB50" s="803" t="n"/>
      <c r="AC50" s="803" t="n"/>
      <c r="AD50" s="1036" t="n"/>
      <c r="AE50" s="1036" t="n"/>
      <c r="AF50" s="1036" t="n"/>
      <c r="AG50" s="1036" t="n"/>
      <c r="AH50" s="1036" t="n"/>
      <c r="AI50" s="270" t="n">
        <v>1817</v>
      </c>
      <c r="AJ50" s="270" t="n">
        <v>636</v>
      </c>
      <c r="AK50" s="270" t="n">
        <v>11</v>
      </c>
      <c r="AL50" s="270" t="n">
        <v>646</v>
      </c>
      <c r="AM50" s="270" t="n">
        <v>5486</v>
      </c>
      <c r="AN50" s="270">
        <f>AN39*AN44</f>
        <v/>
      </c>
      <c r="AO50" s="616">
        <f>SUM(FI50:FJ50)</f>
        <v/>
      </c>
      <c r="AP50" s="616">
        <f>SUM(FM50:FN50)</f>
        <v/>
      </c>
      <c r="AQ50" s="616">
        <f>+AQ39*AQ44</f>
        <v/>
      </c>
      <c r="AR50" s="616">
        <f>+AR39*AR44</f>
        <v/>
      </c>
      <c r="AS50" s="616">
        <f>+AS39*AS44</f>
        <v/>
      </c>
      <c r="AT50" s="616">
        <f>+AT39*AT44</f>
        <v/>
      </c>
      <c r="AU50" s="616" t="n"/>
      <c r="AX50" s="1037" t="n"/>
      <c r="AY50" s="1000" t="n"/>
      <c r="AZ50" s="1000" t="n"/>
      <c r="BA50" s="1000" t="n"/>
      <c r="BB50" s="1000" t="n"/>
      <c r="BD50" s="1000" t="n"/>
      <c r="BE50" s="1000" t="n"/>
      <c r="BF50" s="1000" t="n"/>
      <c r="BH50" s="1000" t="n"/>
      <c r="BI50" s="1000" t="n"/>
      <c r="BJ50" s="1000" t="n"/>
      <c r="BL50" s="1000" t="n"/>
      <c r="BM50" s="1000" t="n"/>
      <c r="BN50" s="1000" t="n"/>
      <c r="BP50" s="1000" t="n"/>
      <c r="BQ50" s="1000" t="n"/>
      <c r="BR50" s="1000" t="n"/>
      <c r="BT50" s="1000" t="n"/>
      <c r="BU50" s="1000" t="n"/>
      <c r="BV50" s="1000" t="n"/>
      <c r="BX50" s="1000" t="n"/>
      <c r="BY50" s="1000" t="n"/>
      <c r="BZ50" s="1000" t="n"/>
      <c r="CB50" s="1000" t="n"/>
      <c r="CC50" s="1000" t="n"/>
      <c r="CD50" s="1000" t="n"/>
      <c r="CE50" s="1000" t="n"/>
      <c r="CF50" s="1000" t="n"/>
      <c r="CG50" s="1000" t="n"/>
      <c r="CH50" s="1000" t="n"/>
      <c r="CI50" s="1000" t="n"/>
      <c r="CJ50" s="1000" t="n"/>
      <c r="CK50" s="1000" t="n"/>
      <c r="CL50" s="1000" t="n"/>
      <c r="CM50" s="1000" t="n"/>
      <c r="CN50" s="1000" t="n"/>
      <c r="CO50" s="1000" t="n"/>
      <c r="CP50" s="1000" t="n"/>
      <c r="CQ50" s="1000" t="n"/>
      <c r="CR50" s="1000" t="n"/>
      <c r="CS50" s="1000" t="n"/>
      <c r="CT50" s="1000" t="n"/>
      <c r="CU50" s="1000" t="n"/>
      <c r="CV50" s="1000" t="n"/>
      <c r="CW50" s="1000" t="n"/>
      <c r="CX50" s="1000" t="n"/>
      <c r="CY50" s="1000" t="n"/>
      <c r="CZ50" s="1000" t="n"/>
      <c r="DA50" s="1000" t="n"/>
      <c r="DB50" s="1000" t="n"/>
      <c r="DC50" s="1000" t="n"/>
      <c r="DD50" s="1000" t="n"/>
      <c r="DE50" s="1000" t="n"/>
      <c r="DF50" s="1000" t="n"/>
      <c r="DG50" s="1000" t="n"/>
      <c r="DH50" s="609" t="n"/>
      <c r="DI50" s="1000" t="n"/>
      <c r="DJ50" s="999" t="n"/>
      <c r="DK50" s="999" t="n"/>
      <c r="DL50" s="999" t="n"/>
      <c r="DM50" s="1000" t="n"/>
      <c r="DN50" s="999" t="n"/>
      <c r="DO50" s="999" t="n"/>
      <c r="DP50" s="609" t="n"/>
      <c r="DQ50" s="1036" t="n"/>
      <c r="DR50" s="1036" t="n"/>
      <c r="DS50" s="999" t="n"/>
      <c r="DT50" s="999" t="n"/>
      <c r="DU50" s="1036" t="n"/>
      <c r="DV50" s="1036" t="n"/>
      <c r="DW50" s="1036" t="n"/>
      <c r="DX50" s="999" t="n"/>
      <c r="DY50" s="1036" t="n"/>
      <c r="DZ50" s="1036" t="n"/>
      <c r="EA50" s="1036" t="n"/>
      <c r="EB50" s="997" t="n"/>
      <c r="EC50" s="1036" t="n"/>
      <c r="ED50" s="1036" t="n"/>
      <c r="EE50" s="1036" t="n"/>
      <c r="EF50" s="1036" t="n"/>
      <c r="EG50" s="1036" t="n"/>
      <c r="EH50" s="1036" t="n"/>
      <c r="EI50" s="1036" t="n"/>
      <c r="EJ50" s="1036" t="n"/>
      <c r="EK50" s="1036" t="n"/>
      <c r="EL50" s="687">
        <f>EM50-EK50</f>
        <v/>
      </c>
      <c r="EM50" s="615">
        <f>AI50</f>
        <v/>
      </c>
      <c r="EN50" s="1036" t="n"/>
      <c r="EO50" s="621" t="n">
        <v>660</v>
      </c>
      <c r="EP50" s="615">
        <f>EQ50-EO50</f>
        <v/>
      </c>
      <c r="EQ50" s="615">
        <f>AJ50</f>
        <v/>
      </c>
      <c r="ER50" s="1036" t="n"/>
      <c r="ES50" s="621" t="n">
        <v>3</v>
      </c>
      <c r="ET50" s="615">
        <f>EU50-ES50</f>
        <v/>
      </c>
      <c r="EU50" s="615">
        <f>AK50</f>
        <v/>
      </c>
      <c r="EV50" s="1036" t="n"/>
      <c r="EW50" s="621" t="n">
        <v>18</v>
      </c>
      <c r="EX50" s="615">
        <f>EY50-EW50</f>
        <v/>
      </c>
      <c r="EY50" s="615">
        <f>AL50</f>
        <v/>
      </c>
      <c r="FA50" s="621" t="n">
        <v>2550</v>
      </c>
      <c r="FB50" s="615">
        <f>FC50-FA50</f>
        <v/>
      </c>
      <c r="FC50" s="615">
        <f>AM50</f>
        <v/>
      </c>
      <c r="FD50" s="1035" t="n"/>
      <c r="FE50" s="621" t="n">
        <v>2985</v>
      </c>
      <c r="FF50" s="615">
        <f>FG50-FE50</f>
        <v/>
      </c>
      <c r="FG50" s="615">
        <f>AN50</f>
        <v/>
      </c>
      <c r="FH50" s="1035" t="n"/>
      <c r="FI50" s="616">
        <f>FI39*FI44</f>
        <v/>
      </c>
      <c r="FJ50" s="615">
        <f>FK50-FI50</f>
        <v/>
      </c>
      <c r="FK50" s="615">
        <f>AO50</f>
        <v/>
      </c>
      <c r="FL50" s="1035" t="n"/>
      <c r="FM50" s="616">
        <f>FM39*FM44</f>
        <v/>
      </c>
      <c r="FN50" s="616">
        <f>FN39*FN44</f>
        <v/>
      </c>
      <c r="FO50" s="615">
        <f>AP50</f>
        <v/>
      </c>
    </row>
    <row r="51" ht="14.25" customFormat="1" customHeight="1" s="490">
      <c r="A51" s="44" t="n"/>
      <c r="C51" s="502" t="n"/>
      <c r="D51" s="502" t="n"/>
      <c r="E51" s="502" t="n"/>
      <c r="F51" s="502" t="n"/>
      <c r="G51" s="502" t="n"/>
      <c r="H51" s="502" t="n"/>
      <c r="I51" s="502" t="n"/>
      <c r="J51" s="502" t="n"/>
      <c r="K51" s="502" t="n"/>
      <c r="L51" s="502" t="n"/>
      <c r="M51" s="502" t="n"/>
      <c r="N51" s="502" t="n"/>
      <c r="O51" s="502" t="n"/>
      <c r="P51" s="502" t="n"/>
      <c r="Q51" s="502" t="n"/>
      <c r="R51" s="502" t="n"/>
      <c r="S51" s="502" t="n"/>
      <c r="T51" s="502" t="n"/>
      <c r="U51" s="502" t="n"/>
      <c r="V51" s="502" t="n"/>
      <c r="W51" s="502" t="n"/>
      <c r="X51" s="502" t="n"/>
      <c r="Y51" s="502" t="n"/>
      <c r="Z51" s="502" t="n"/>
      <c r="AA51" s="502" t="n"/>
      <c r="AB51" s="502" t="n"/>
      <c r="AC51" s="502" t="n"/>
      <c r="AD51" s="502" t="n"/>
      <c r="AE51" s="502" t="n"/>
      <c r="AF51" s="502" t="n"/>
      <c r="AG51" s="502" t="n"/>
      <c r="AH51" s="502" t="n"/>
      <c r="AI51" s="502" t="n"/>
      <c r="AJ51" s="502" t="n"/>
      <c r="AK51" s="502" t="n"/>
      <c r="AL51" s="502" t="n"/>
      <c r="AM51" s="502" t="n"/>
      <c r="AN51" s="502" t="n"/>
      <c r="AO51" s="502" t="n"/>
      <c r="AP51" s="490" t="n"/>
      <c r="AQ51" s="490" t="n"/>
      <c r="AR51" s="490" t="n"/>
      <c r="AS51" s="490" t="n"/>
      <c r="AT51" s="490" t="n"/>
      <c r="AU51" s="136" t="n"/>
      <c r="AV51" s="136" t="n"/>
      <c r="AW51" s="136" t="n"/>
      <c r="AX51" s="24" t="n"/>
      <c r="AY51" s="136" t="n"/>
      <c r="AZ51" s="136" t="n"/>
      <c r="BA51" s="136" t="n"/>
      <c r="BB51" s="24" t="n"/>
      <c r="BD51" s="502" t="n"/>
      <c r="BE51" s="502" t="n"/>
      <c r="BF51" s="24" t="n"/>
      <c r="BH51" s="502" t="n"/>
      <c r="BI51" s="502" t="n"/>
      <c r="BJ51" s="24" t="n"/>
      <c r="BL51" s="502" t="n"/>
      <c r="BM51" s="502" t="n"/>
      <c r="BN51" s="24" t="n"/>
      <c r="BP51" s="502" t="n"/>
      <c r="BQ51" s="502" t="n"/>
      <c r="BR51" s="24" t="n"/>
      <c r="BT51" s="502" t="n"/>
      <c r="BU51" s="502" t="n"/>
      <c r="BV51" s="24" t="n"/>
      <c r="BX51" s="502" t="n"/>
      <c r="BY51" s="502" t="n"/>
      <c r="BZ51" s="24" t="n"/>
      <c r="CB51" s="502" t="n"/>
      <c r="CC51" s="502" t="n"/>
      <c r="CD51" s="24" t="n"/>
      <c r="CE51" s="502" t="n"/>
      <c r="CF51" s="502" t="n"/>
      <c r="CG51" s="502" t="n"/>
      <c r="CH51" s="24" t="n"/>
      <c r="CI51" s="24" t="n"/>
      <c r="CJ51" s="502" t="n"/>
      <c r="CK51" s="502" t="n"/>
      <c r="CL51" s="24" t="n"/>
      <c r="CM51" s="24" t="n"/>
      <c r="CN51" s="502" t="n"/>
      <c r="CO51" s="502" t="n"/>
      <c r="CP51" s="502" t="n"/>
      <c r="CQ51" s="502" t="n"/>
      <c r="CR51" s="502" t="n"/>
      <c r="CS51" s="502" t="n"/>
      <c r="CT51" s="502" t="n"/>
      <c r="CU51" s="502" t="n"/>
      <c r="CV51" s="502" t="n"/>
      <c r="CW51" s="502" t="n"/>
      <c r="CX51" s="502" t="n"/>
      <c r="CY51" s="502" t="n"/>
      <c r="CZ51" s="502" t="n"/>
      <c r="DA51" s="502" t="n"/>
      <c r="DB51" s="502" t="n"/>
      <c r="DC51" s="502" t="n"/>
      <c r="DD51" s="502" t="n"/>
      <c r="DE51" s="502" t="n"/>
      <c r="DF51" s="502" t="n"/>
      <c r="DG51" s="502" t="n"/>
      <c r="DH51" s="118" t="n"/>
      <c r="DI51" s="502" t="n"/>
      <c r="DJ51" s="502" t="n"/>
      <c r="DK51" s="502" t="n"/>
      <c r="DL51" s="502" t="n"/>
      <c r="DM51" s="502" t="n"/>
      <c r="DN51" s="502" t="n"/>
      <c r="DO51" s="502" t="n"/>
      <c r="DP51" s="118" t="n"/>
      <c r="DQ51" s="502" t="n"/>
      <c r="DR51" s="502" t="n"/>
      <c r="DS51" s="502" t="n"/>
      <c r="DT51" s="502" t="n"/>
      <c r="DU51" s="502" t="n"/>
      <c r="DV51" s="502" t="n"/>
      <c r="DW51" s="502" t="n"/>
      <c r="DX51" s="502" t="n"/>
      <c r="DY51" s="502" t="n"/>
      <c r="DZ51" s="502" t="n"/>
      <c r="EA51" s="502" t="n"/>
      <c r="EB51" s="994" t="n"/>
      <c r="EC51" s="502" t="n"/>
      <c r="ED51" s="502" t="n"/>
      <c r="EE51" s="502" t="n"/>
      <c r="EF51" s="502" t="n"/>
      <c r="EG51" s="502" t="n"/>
      <c r="EH51" s="502" t="n"/>
      <c r="EI51" s="502" t="n"/>
      <c r="EJ51" s="502" t="n"/>
      <c r="EK51" s="502" t="n"/>
      <c r="EL51" s="502" t="n"/>
      <c r="EM51" s="502" t="n"/>
      <c r="EN51" s="502" t="n"/>
      <c r="EO51" s="502" t="n"/>
      <c r="EP51" s="502" t="n"/>
      <c r="EQ51" s="502" t="n"/>
      <c r="ER51" s="502" t="n"/>
      <c r="ES51" s="502" t="n"/>
      <c r="ET51" s="502" t="n"/>
      <c r="EU51" s="502" t="n"/>
      <c r="EV51" s="502" t="n"/>
      <c r="EW51" s="502" t="n"/>
      <c r="EX51" s="502" t="n"/>
      <c r="EY51" s="502" t="n"/>
      <c r="FA51" s="502" t="n"/>
      <c r="FB51" s="502" t="n"/>
      <c r="FC51" s="21" t="n"/>
      <c r="FD51" s="20" t="n"/>
      <c r="FE51" s="502" t="n"/>
      <c r="FF51" s="502" t="n"/>
      <c r="FG51" s="21" t="n"/>
      <c r="FH51" s="490" t="n"/>
      <c r="FI51" s="502" t="n"/>
      <c r="FJ51" s="502" t="n"/>
      <c r="FK51" s="21" t="n"/>
      <c r="FL51" s="490" t="n"/>
      <c r="FM51" s="502" t="n"/>
      <c r="FN51" s="502" t="n"/>
      <c r="FO51" s="21" t="n"/>
    </row>
    <row r="52" ht="14.25" customFormat="1" customHeight="1" s="490">
      <c r="A52" s="44" t="n"/>
      <c r="B52" s="490" t="inlineStr">
        <is>
          <t>Available cargo tonne kilometres (AFTK)</t>
        </is>
      </c>
      <c r="C52" s="805" t="n"/>
      <c r="D52" s="805" t="n"/>
      <c r="E52" s="805" t="n"/>
      <c r="F52" s="805" t="n"/>
      <c r="G52" s="805" t="n"/>
      <c r="H52" s="805" t="n"/>
      <c r="I52" s="805" t="n"/>
      <c r="J52" s="805" t="n"/>
      <c r="K52" s="805" t="n"/>
      <c r="L52" s="805" t="n"/>
      <c r="M52" s="805" t="n">
        <v>4965</v>
      </c>
      <c r="N52" s="805" t="n">
        <v>5119</v>
      </c>
      <c r="O52" s="805">
        <f>5337</f>
        <v/>
      </c>
      <c r="P52" s="805">
        <f>5740</f>
        <v/>
      </c>
      <c r="Q52" s="805">
        <f>5855</f>
        <v/>
      </c>
      <c r="R52" s="805">
        <f>6822</f>
        <v/>
      </c>
      <c r="S52" s="805">
        <f>7715</f>
        <v/>
      </c>
      <c r="T52" s="805">
        <f>8748</f>
        <v/>
      </c>
      <c r="U52" s="805">
        <f>9879</f>
        <v/>
      </c>
      <c r="V52" s="805">
        <f>10391+2080</f>
        <v/>
      </c>
      <c r="W52" s="805" t="n">
        <v>13335</v>
      </c>
      <c r="X52" s="805" t="n">
        <v>13425</v>
      </c>
      <c r="Y52" s="805" t="n">
        <v>11666</v>
      </c>
      <c r="Z52" s="805" t="n">
        <v>13443</v>
      </c>
      <c r="AA52" s="805" t="n">
        <v>14367</v>
      </c>
      <c r="AB52" s="805" t="n">
        <v>13926</v>
      </c>
      <c r="AC52" s="805" t="n">
        <v>14162</v>
      </c>
      <c r="AD52" s="805" t="n">
        <v>15630</v>
      </c>
      <c r="AE52" s="805" t="n">
        <v>16481</v>
      </c>
      <c r="AF52" s="805" t="n">
        <v>16572</v>
      </c>
      <c r="AG52" s="805" t="n">
        <v>17163</v>
      </c>
      <c r="AH52" s="805" t="n">
        <v>17616</v>
      </c>
      <c r="AI52" s="805" t="n">
        <v>17558</v>
      </c>
      <c r="AJ52" s="805" t="n">
        <v>11329</v>
      </c>
      <c r="AK52" s="805" t="n">
        <v>10094</v>
      </c>
      <c r="AL52" s="805" t="n">
        <v>8181</v>
      </c>
      <c r="AM52" s="805" t="n">
        <v>13069</v>
      </c>
      <c r="AN52" s="805" t="n">
        <v>14193</v>
      </c>
      <c r="AO52" s="21">
        <f>SUM(FI52:FJ52)</f>
        <v/>
      </c>
      <c r="AP52" s="21">
        <f>SUM(FM52:FN52)</f>
        <v/>
      </c>
      <c r="AQ52" s="502">
        <f>AP52*(1+AQ53)</f>
        <v/>
      </c>
      <c r="AR52" s="502">
        <f>AQ52*(1+AR53)</f>
        <v/>
      </c>
      <c r="AS52" s="502">
        <f>AR52*(1+AS53)</f>
        <v/>
      </c>
      <c r="AT52" s="502">
        <f>AS52*(1+AT53)</f>
        <v/>
      </c>
      <c r="AU52" s="502" t="n"/>
      <c r="AV52" s="136" t="n"/>
      <c r="AW52" s="136" t="n"/>
      <c r="AX52" s="24" t="n"/>
      <c r="AY52" s="136" t="n"/>
      <c r="AZ52" s="136" t="n"/>
      <c r="BA52" s="136" t="n"/>
      <c r="BB52" s="24" t="n"/>
      <c r="BD52" s="502" t="n"/>
      <c r="BE52" s="502" t="n"/>
      <c r="BF52" s="24" t="n"/>
      <c r="BH52" s="502" t="n"/>
      <c r="BI52" s="502" t="n"/>
      <c r="BJ52" s="24" t="n"/>
      <c r="BL52" s="502" t="n"/>
      <c r="BM52" s="502" t="n"/>
      <c r="BN52" s="24" t="n"/>
      <c r="BP52" s="502" t="n"/>
      <c r="BQ52" s="502" t="n"/>
      <c r="BR52" s="24" t="n"/>
      <c r="BT52" s="502" t="n"/>
      <c r="BU52" s="502" t="n"/>
      <c r="BV52" s="24" t="n"/>
      <c r="BX52" s="502" t="n"/>
      <c r="BY52" s="502" t="n"/>
      <c r="BZ52" s="24" t="n"/>
      <c r="CB52" s="807" t="n">
        <v>4140</v>
      </c>
      <c r="CC52" s="502">
        <f>CD52-CB52</f>
        <v/>
      </c>
      <c r="CD52" s="24">
        <f>T52</f>
        <v/>
      </c>
      <c r="CE52" s="502" t="n"/>
      <c r="CF52" s="807" t="n">
        <v>4685</v>
      </c>
      <c r="CG52" s="502">
        <f>CH52-CF52</f>
        <v/>
      </c>
      <c r="CH52" s="24">
        <f>U52</f>
        <v/>
      </c>
      <c r="CI52" s="24" t="n"/>
      <c r="CJ52" s="807" t="n">
        <v>4959</v>
      </c>
      <c r="CK52" s="502">
        <f>CL52-CJ52</f>
        <v/>
      </c>
      <c r="CL52" s="24">
        <f>V52</f>
        <v/>
      </c>
      <c r="CM52" s="24" t="n"/>
      <c r="CN52" s="807" t="n">
        <v>6236</v>
      </c>
      <c r="CO52" s="502">
        <f>CP52-CN52</f>
        <v/>
      </c>
      <c r="CP52" s="502">
        <f>W52</f>
        <v/>
      </c>
      <c r="CQ52" s="502" t="n"/>
      <c r="CR52" s="807" t="n">
        <v>6666</v>
      </c>
      <c r="CS52" s="807" t="n">
        <v>6666</v>
      </c>
      <c r="CT52" s="502">
        <f>CU52-CS52</f>
        <v/>
      </c>
      <c r="CU52" s="502">
        <f>X52</f>
        <v/>
      </c>
      <c r="CV52" s="502" t="n"/>
      <c r="CW52" s="807" t="n">
        <v>5727</v>
      </c>
      <c r="CX52" s="502">
        <f>CY52-CW52</f>
        <v/>
      </c>
      <c r="CY52" s="502">
        <f>Y52</f>
        <v/>
      </c>
      <c r="CZ52" s="502" t="n"/>
      <c r="DA52" s="807" t="n">
        <v>6135</v>
      </c>
      <c r="DB52" s="502">
        <f>DC52-DA52</f>
        <v/>
      </c>
      <c r="DC52" s="502">
        <f>Z52</f>
        <v/>
      </c>
      <c r="DD52" s="502" t="n"/>
      <c r="DE52" s="807" t="n">
        <v>7031</v>
      </c>
      <c r="DF52" s="502">
        <f>DG52-DE52</f>
        <v/>
      </c>
      <c r="DG52" s="502">
        <f>AA52</f>
        <v/>
      </c>
      <c r="DH52" s="118" t="n"/>
      <c r="DI52" s="807" t="n">
        <v>6729</v>
      </c>
      <c r="DJ52" s="502">
        <f>DK52-DI52</f>
        <v/>
      </c>
      <c r="DK52" s="502">
        <f>AB52</f>
        <v/>
      </c>
      <c r="DL52" s="502" t="n"/>
      <c r="DM52" s="807" t="n">
        <v>6607</v>
      </c>
      <c r="DN52" s="502">
        <f>DO52-DM52</f>
        <v/>
      </c>
      <c r="DO52" s="502">
        <f>AC52</f>
        <v/>
      </c>
      <c r="DP52" s="118" t="n"/>
      <c r="DQ52" s="807" t="n">
        <v>7318</v>
      </c>
      <c r="DR52" s="502">
        <f>DS52-DQ52</f>
        <v/>
      </c>
      <c r="DS52" s="502">
        <f>AD52</f>
        <v/>
      </c>
      <c r="DT52" s="502" t="n"/>
      <c r="DU52" s="807" t="n">
        <v>7971</v>
      </c>
      <c r="DV52" s="502">
        <f>DW52-DU52</f>
        <v/>
      </c>
      <c r="DW52" s="502">
        <f>AE52</f>
        <v/>
      </c>
      <c r="DX52" s="502" t="n"/>
      <c r="DY52" s="807" t="n">
        <v>8021</v>
      </c>
      <c r="DZ52" s="502">
        <f>EA52-DY52</f>
        <v/>
      </c>
      <c r="EA52" s="502">
        <f>AF52</f>
        <v/>
      </c>
      <c r="EB52" s="994" t="n"/>
      <c r="EC52" s="807" t="n">
        <v>8206</v>
      </c>
      <c r="ED52" s="502">
        <f>EE52-EC52</f>
        <v/>
      </c>
      <c r="EE52" s="502">
        <f>AG52</f>
        <v/>
      </c>
      <c r="EF52" s="502" t="n"/>
      <c r="EG52" s="807" t="n">
        <v>8542</v>
      </c>
      <c r="EH52" s="502">
        <f>EI52-EG52</f>
        <v/>
      </c>
      <c r="EI52" s="502">
        <f>AH52</f>
        <v/>
      </c>
      <c r="EJ52" s="502" t="n"/>
      <c r="EK52" s="807" t="n">
        <v>8635</v>
      </c>
      <c r="EL52" s="502">
        <f>EM52-EK52</f>
        <v/>
      </c>
      <c r="EM52" s="502">
        <f>AI52</f>
        <v/>
      </c>
      <c r="EN52" s="502" t="n"/>
      <c r="EO52" s="807" t="n">
        <v>5958</v>
      </c>
      <c r="EP52" s="502">
        <f>EQ52-EO52</f>
        <v/>
      </c>
      <c r="EQ52" s="502">
        <f>AJ52</f>
        <v/>
      </c>
      <c r="ER52" s="502" t="n"/>
      <c r="ES52" s="807" t="n">
        <v>4058</v>
      </c>
      <c r="ET52" s="502">
        <f>EU52-ES52</f>
        <v/>
      </c>
      <c r="EU52" s="502">
        <f>AK52</f>
        <v/>
      </c>
      <c r="EV52" s="502" t="n"/>
      <c r="EW52" s="807" t="n">
        <v>2801</v>
      </c>
      <c r="EX52" s="21">
        <f>+EY52-EW52</f>
        <v/>
      </c>
      <c r="EY52" s="502">
        <f>AL52</f>
        <v/>
      </c>
      <c r="FA52" s="807" t="n">
        <v>6095</v>
      </c>
      <c r="FB52" s="21">
        <f>+FC52-FA52</f>
        <v/>
      </c>
      <c r="FC52" s="21">
        <f>AM52</f>
        <v/>
      </c>
      <c r="FD52" s="21" t="n"/>
      <c r="FE52" s="807" t="n">
        <v>6788</v>
      </c>
      <c r="FF52" s="21">
        <f>+FG52-FE52</f>
        <v/>
      </c>
      <c r="FG52" s="21">
        <f>AN52</f>
        <v/>
      </c>
      <c r="FI52" s="807" t="n">
        <v>7336</v>
      </c>
      <c r="FJ52" s="21">
        <f>+FK52-FI52</f>
        <v/>
      </c>
      <c r="FK52" s="21">
        <f>AO52</f>
        <v/>
      </c>
      <c r="FM52" s="807">
        <f>SUMIFS(Monthly!$40:$40,Monthly!$8:$8,"&gt;="&amp;DATE(MID(FM$3,3,4),1,1),Monthly!$8:$8,"&lt;="&amp;DATE(MID(FM$3,3,4),6,30))</f>
        <v/>
      </c>
      <c r="FN52" s="20">
        <f>FJ52*(1+FN53)</f>
        <v/>
      </c>
      <c r="FO52" s="21">
        <f>AP52</f>
        <v/>
      </c>
    </row>
    <row r="53" ht="14.25" customFormat="1" customHeight="1" s="490">
      <c r="A53" s="44" t="n"/>
      <c r="B53" s="567" t="inlineStr">
        <is>
          <t>Change in AFTK (YoY %)</t>
        </is>
      </c>
      <c r="C53" s="502" t="n"/>
      <c r="D53" s="990" t="n"/>
      <c r="E53" s="990" t="n"/>
      <c r="F53" s="990" t="n"/>
      <c r="G53" s="990" t="n"/>
      <c r="H53" s="990" t="n"/>
      <c r="I53" s="990" t="n"/>
      <c r="J53" s="990" t="n"/>
      <c r="K53" s="990" t="n"/>
      <c r="L53" s="990" t="n"/>
      <c r="M53" s="990" t="n"/>
      <c r="N53" s="990" t="n"/>
      <c r="O53" s="990">
        <f>O52/N52-1</f>
        <v/>
      </c>
      <c r="P53" s="990">
        <f>P52/O52-1</f>
        <v/>
      </c>
      <c r="Q53" s="990">
        <f>Q52/P52-1</f>
        <v/>
      </c>
      <c r="R53" s="990">
        <f>R52/Q52-1</f>
        <v/>
      </c>
      <c r="S53" s="990">
        <f>S52/R52-1</f>
        <v/>
      </c>
      <c r="T53" s="990">
        <f>T52/S52-1</f>
        <v/>
      </c>
      <c r="U53" s="990">
        <f>U52/T52-1</f>
        <v/>
      </c>
      <c r="V53" s="990">
        <f>V52/U52-1</f>
        <v/>
      </c>
      <c r="W53" s="990">
        <f>W52/V52-1</f>
        <v/>
      </c>
      <c r="X53" s="990">
        <f>X52/W52-1</f>
        <v/>
      </c>
      <c r="Y53" s="990">
        <f>Y52/X52-1</f>
        <v/>
      </c>
      <c r="Z53" s="990">
        <f>Z52/Y52-1</f>
        <v/>
      </c>
      <c r="AA53" s="990">
        <f>AA52/Z52-1</f>
        <v/>
      </c>
      <c r="AB53" s="990">
        <f>AB52/AA52-1</f>
        <v/>
      </c>
      <c r="AC53" s="990">
        <f>AC52/AB52-1</f>
        <v/>
      </c>
      <c r="AD53" s="990">
        <f>AD52/AC52-1</f>
        <v/>
      </c>
      <c r="AE53" s="990">
        <f>AE52/AD52-1</f>
        <v/>
      </c>
      <c r="AF53" s="990">
        <f>AF52/AE52-1</f>
        <v/>
      </c>
      <c r="AG53" s="990">
        <f>AG52/AF52-1</f>
        <v/>
      </c>
      <c r="AH53" s="990">
        <f>AH52/AG52-1</f>
        <v/>
      </c>
      <c r="AI53" s="990">
        <f>AI52/AH52-1</f>
        <v/>
      </c>
      <c r="AJ53" s="990">
        <f>AJ52/AI52-1</f>
        <v/>
      </c>
      <c r="AK53" s="990">
        <f>AK52/AJ52-1</f>
        <v/>
      </c>
      <c r="AL53" s="504">
        <f>AL52/AK52-1</f>
        <v/>
      </c>
      <c r="AM53" s="504">
        <f>AM52/AL52-1</f>
        <v/>
      </c>
      <c r="AN53" s="504">
        <f>AN52/AM52-1</f>
        <v/>
      </c>
      <c r="AO53" s="809">
        <f>AO52/AN52-1</f>
        <v/>
      </c>
      <c r="AP53" s="809">
        <f>AP52/AO52-1</f>
        <v/>
      </c>
      <c r="AQ53" s="398" t="n">
        <v>0.05</v>
      </c>
      <c r="AR53" s="398" t="n">
        <v>0.05</v>
      </c>
      <c r="AS53" s="398" t="n">
        <v>0.05</v>
      </c>
      <c r="AT53" s="398" t="n">
        <v>0.05</v>
      </c>
      <c r="AU53" s="502" t="n"/>
      <c r="AV53" s="136" t="n"/>
      <c r="AW53" s="136" t="n"/>
      <c r="AX53" s="24" t="n"/>
      <c r="AY53" s="136" t="n"/>
      <c r="AZ53" s="136" t="n"/>
      <c r="BA53" s="136" t="n"/>
      <c r="BB53" s="24" t="n"/>
      <c r="BD53" s="502" t="n"/>
      <c r="BE53" s="502" t="n"/>
      <c r="BF53" s="24" t="n"/>
      <c r="BH53" s="502" t="n"/>
      <c r="BI53" s="502" t="n"/>
      <c r="BJ53" s="24" t="n"/>
      <c r="BL53" s="502" t="n"/>
      <c r="BM53" s="502" t="n"/>
      <c r="BN53" s="24" t="n"/>
      <c r="BP53" s="502" t="n"/>
      <c r="BQ53" s="502" t="n"/>
      <c r="BR53" s="24" t="n"/>
      <c r="BT53" s="502" t="n"/>
      <c r="BU53" s="502" t="n"/>
      <c r="BV53" s="24" t="n"/>
      <c r="BX53" s="502" t="n"/>
      <c r="BY53" s="502" t="n"/>
      <c r="BZ53" s="24" t="n"/>
      <c r="CB53" s="502" t="n"/>
      <c r="CC53" s="502" t="n"/>
      <c r="CD53" s="24" t="n"/>
      <c r="CE53" s="502" t="n"/>
      <c r="CF53" s="502" t="n"/>
      <c r="CG53" s="502" t="n"/>
      <c r="CH53" s="24" t="n"/>
      <c r="CI53" s="24" t="n"/>
      <c r="CJ53" s="502" t="n"/>
      <c r="CK53" s="502" t="n"/>
      <c r="CL53" s="24" t="n"/>
      <c r="CM53" s="24" t="n"/>
      <c r="CN53" s="502" t="n"/>
      <c r="CO53" s="502" t="n"/>
      <c r="CP53" s="502" t="n"/>
      <c r="CQ53" s="502" t="n"/>
      <c r="CR53" s="502" t="n"/>
      <c r="CS53" s="502" t="n"/>
      <c r="CT53" s="502" t="n"/>
      <c r="CU53" s="502" t="n"/>
      <c r="CV53" s="502" t="n"/>
      <c r="CW53" s="809">
        <f>CW52/CS52-1</f>
        <v/>
      </c>
      <c r="CX53" s="809">
        <f>CX52/CT52-1</f>
        <v/>
      </c>
      <c r="CY53" s="809">
        <f>CY52/CU52-1</f>
        <v/>
      </c>
      <c r="CZ53" s="502" t="n"/>
      <c r="DA53" s="809">
        <f>DA52/CW52-1</f>
        <v/>
      </c>
      <c r="DB53" s="809">
        <f>DB52/CX52-1</f>
        <v/>
      </c>
      <c r="DC53" s="809">
        <f>DC52/CY52-1</f>
        <v/>
      </c>
      <c r="DD53" s="502" t="n"/>
      <c r="DE53" s="809">
        <f>DE52/DA52-1</f>
        <v/>
      </c>
      <c r="DF53" s="809">
        <f>DF52/DB52-1</f>
        <v/>
      </c>
      <c r="DG53" s="809">
        <f>DG52/DC52-1</f>
        <v/>
      </c>
      <c r="DH53" s="118" t="n"/>
      <c r="DI53" s="809">
        <f>DI52/DE52-1</f>
        <v/>
      </c>
      <c r="DJ53" s="809">
        <f>DJ52/DF52-1</f>
        <v/>
      </c>
      <c r="DK53" s="809">
        <f>DK52/DG52-1</f>
        <v/>
      </c>
      <c r="DL53" s="502" t="n"/>
      <c r="DM53" s="809">
        <f>DM52/DI52-1</f>
        <v/>
      </c>
      <c r="DN53" s="809">
        <f>DN52/DJ52-1</f>
        <v/>
      </c>
      <c r="DO53" s="809">
        <f>DO52/DK52-1</f>
        <v/>
      </c>
      <c r="DP53" s="118" t="n"/>
      <c r="DQ53" s="809">
        <f>DQ52/DM52-1</f>
        <v/>
      </c>
      <c r="DR53" s="809">
        <f>DR52/DN52-1</f>
        <v/>
      </c>
      <c r="DS53" s="809">
        <f>DS52/DO52-1</f>
        <v/>
      </c>
      <c r="DT53" s="502" t="n"/>
      <c r="DU53" s="809">
        <f>DU52/DQ52-1</f>
        <v/>
      </c>
      <c r="DV53" s="809">
        <f>DV52/DR52-1</f>
        <v/>
      </c>
      <c r="DW53" s="809">
        <f>DW52/DS52-1</f>
        <v/>
      </c>
      <c r="DX53" s="502" t="n"/>
      <c r="DY53" s="809">
        <f>DY52/DU52-1</f>
        <v/>
      </c>
      <c r="DZ53" s="809">
        <f>DZ52/DV52-1</f>
        <v/>
      </c>
      <c r="EA53" s="809">
        <f>EA52/DW52-1</f>
        <v/>
      </c>
      <c r="EB53" s="994" t="n"/>
      <c r="EC53" s="809">
        <f>EC52/DY52-1</f>
        <v/>
      </c>
      <c r="ED53" s="809">
        <f>ED52/DZ52-1</f>
        <v/>
      </c>
      <c r="EE53" s="809">
        <f>EE52/EA52-1</f>
        <v/>
      </c>
      <c r="EF53" s="502" t="n"/>
      <c r="EG53" s="809">
        <f>EG52/EC52-1</f>
        <v/>
      </c>
      <c r="EH53" s="809">
        <f>EH52/ED52-1</f>
        <v/>
      </c>
      <c r="EI53" s="809">
        <f>EI52/EE52-1</f>
        <v/>
      </c>
      <c r="EJ53" s="502" t="n"/>
      <c r="EK53" s="809">
        <f>EK52/EG52-1</f>
        <v/>
      </c>
      <c r="EL53" s="809">
        <f>EL52/EH52-1</f>
        <v/>
      </c>
      <c r="EM53" s="809">
        <f>EM52/EI52-1</f>
        <v/>
      </c>
      <c r="EN53" s="502" t="n"/>
      <c r="EO53" s="809">
        <f>EO52/EK52-1</f>
        <v/>
      </c>
      <c r="EP53" s="809">
        <f>EP52/EL52-1</f>
        <v/>
      </c>
      <c r="EQ53" s="809">
        <f>EQ52/EM52-1</f>
        <v/>
      </c>
      <c r="ER53" s="502" t="n"/>
      <c r="ES53" s="809">
        <f>ES52/EO52-1</f>
        <v/>
      </c>
      <c r="ET53" s="809">
        <f>ET52/EP52-1</f>
        <v/>
      </c>
      <c r="EU53" s="809">
        <f>EU52/EQ52-1</f>
        <v/>
      </c>
      <c r="EV53" s="502" t="n"/>
      <c r="EW53" s="809">
        <f>EW52/ES52-1</f>
        <v/>
      </c>
      <c r="EX53" s="809">
        <f>EX52/ET52-1</f>
        <v/>
      </c>
      <c r="EY53" s="809">
        <f>EY52/EU52-1</f>
        <v/>
      </c>
      <c r="FA53" s="809">
        <f>FA52/EW52-1</f>
        <v/>
      </c>
      <c r="FB53" s="809">
        <f>FB52/EX52-1</f>
        <v/>
      </c>
      <c r="FC53" s="809">
        <f>FC52/EY52-1</f>
        <v/>
      </c>
      <c r="FE53" s="809">
        <f>FE52/FA52-1</f>
        <v/>
      </c>
      <c r="FF53" s="809">
        <f>FF52/FB52-1</f>
        <v/>
      </c>
      <c r="FG53" s="809">
        <f>FG52/FC52-1</f>
        <v/>
      </c>
      <c r="FI53" s="809">
        <f>FI52/FE52-1</f>
        <v/>
      </c>
      <c r="FJ53" s="809">
        <f>FJ52/FF52-1</f>
        <v/>
      </c>
      <c r="FK53" s="809">
        <f>FK52/FG52-1</f>
        <v/>
      </c>
      <c r="FM53" s="1002">
        <f>FM52/FI52-1</f>
        <v/>
      </c>
      <c r="FN53" s="1005">
        <f>FM53</f>
        <v/>
      </c>
      <c r="FO53" s="809">
        <f>FO52/FK52-1</f>
        <v/>
      </c>
    </row>
    <row r="54" ht="14.25" customFormat="1" customHeight="1" s="20">
      <c r="A54" s="37" t="inlineStr">
        <is>
          <t>ctk</t>
        </is>
      </c>
      <c r="B54" s="20" t="inlineStr">
        <is>
          <t>ctk</t>
        </is>
      </c>
      <c r="C54" s="217" t="n">
        <v>985</v>
      </c>
      <c r="D54" s="217" t="n">
        <v>1172</v>
      </c>
      <c r="E54" s="217" t="n">
        <v>1272</v>
      </c>
      <c r="F54" s="217" t="n">
        <v>1448</v>
      </c>
      <c r="G54" s="217" t="n">
        <v>1457</v>
      </c>
      <c r="H54" s="217" t="n">
        <v>1671</v>
      </c>
      <c r="I54" s="217" t="n">
        <v>1996</v>
      </c>
      <c r="J54" s="217" t="n">
        <v>2375</v>
      </c>
      <c r="K54" s="217" t="n">
        <v>2790</v>
      </c>
      <c r="L54" s="217" t="n">
        <v>3244</v>
      </c>
      <c r="M54" s="805" t="n">
        <v>3621</v>
      </c>
      <c r="N54" s="217" t="n">
        <v>3339</v>
      </c>
      <c r="O54" s="217" t="n">
        <v>3817</v>
      </c>
      <c r="P54" s="217" t="n">
        <v>4161</v>
      </c>
      <c r="Q54" s="217" t="n">
        <v>3938</v>
      </c>
      <c r="R54" s="217" t="n">
        <v>4854</v>
      </c>
      <c r="S54" s="217" t="n">
        <v>5299</v>
      </c>
      <c r="T54" s="217" t="n">
        <v>6007</v>
      </c>
      <c r="U54" s="217" t="n">
        <v>6618</v>
      </c>
      <c r="V54" s="217" t="n">
        <v>7514</v>
      </c>
      <c r="W54" s="217" t="n">
        <v>8900</v>
      </c>
      <c r="X54" s="20">
        <f>X52*X56</f>
        <v/>
      </c>
      <c r="Y54" s="20">
        <f>Y52*Y56</f>
        <v/>
      </c>
      <c r="Z54" s="20">
        <f>Z52*Z56</f>
        <v/>
      </c>
      <c r="AA54" s="20">
        <f>AA52*AA56</f>
        <v/>
      </c>
      <c r="AB54" s="20">
        <f>AB52*AB56</f>
        <v/>
      </c>
      <c r="AC54" s="20">
        <f>AC52*AC56</f>
        <v/>
      </c>
      <c r="AD54" s="20">
        <f>AD52*AD56</f>
        <v/>
      </c>
      <c r="AE54" s="217" t="n">
        <v>10586</v>
      </c>
      <c r="AF54" s="217" t="n">
        <v>10675</v>
      </c>
      <c r="AG54" s="217" t="n">
        <v>11633</v>
      </c>
      <c r="AH54" s="217" t="n">
        <v>12122</v>
      </c>
      <c r="AI54" s="217" t="n">
        <v>11311.09</v>
      </c>
      <c r="AJ54" s="217" t="n">
        <v>8309</v>
      </c>
      <c r="AK54" s="217" t="n">
        <v>8220</v>
      </c>
      <c r="AL54" s="217" t="n">
        <v>5774</v>
      </c>
      <c r="AM54" s="217" t="n">
        <v>8099</v>
      </c>
      <c r="AN54" s="217" t="n">
        <v>8503</v>
      </c>
      <c r="AO54" s="21">
        <f>SUM(FI54:FJ54)</f>
        <v/>
      </c>
      <c r="AP54" s="21">
        <f>SUM(FM54:FN54)</f>
        <v/>
      </c>
      <c r="AQ54" s="21">
        <f>+AQ52*AQ56</f>
        <v/>
      </c>
      <c r="AR54" s="21">
        <f>+AR52*AR56</f>
        <v/>
      </c>
      <c r="AS54" s="21">
        <f>+AS52*AS56</f>
        <v/>
      </c>
      <c r="AT54" s="21">
        <f>+AT52*AT56</f>
        <v/>
      </c>
      <c r="AU54" s="21" t="n"/>
      <c r="AV54" s="23" t="n"/>
      <c r="AW54" s="23" t="n"/>
      <c r="AX54" s="24" t="n"/>
      <c r="AY54" s="23" t="n"/>
      <c r="AZ54" s="23" t="n"/>
      <c r="BA54" s="23" t="n"/>
      <c r="BB54" s="24" t="n"/>
      <c r="BD54" s="23" t="n"/>
      <c r="BE54" s="23" t="n"/>
      <c r="BF54" s="24" t="n"/>
      <c r="BH54" s="23" t="n"/>
      <c r="BI54" s="23" t="n"/>
      <c r="BJ54" s="24" t="n"/>
      <c r="BL54" s="23" t="n"/>
      <c r="BM54" s="23" t="n"/>
      <c r="BN54" s="24" t="n"/>
      <c r="BP54" s="23" t="n"/>
      <c r="BQ54" s="23" t="n"/>
      <c r="BR54" s="24" t="n"/>
      <c r="BT54" s="23" t="n"/>
      <c r="BU54" s="23" t="n"/>
      <c r="BV54" s="24" t="n"/>
      <c r="BX54" s="23" t="n"/>
      <c r="BY54" s="23" t="n"/>
      <c r="BZ54" s="24" t="n"/>
      <c r="CB54" s="23" t="n">
        <v>2842.5</v>
      </c>
      <c r="CC54" s="23">
        <f>CD54-CB54</f>
        <v/>
      </c>
      <c r="CD54" s="24">
        <f>T54</f>
        <v/>
      </c>
      <c r="CE54" s="179" t="n"/>
      <c r="CF54" s="23">
        <f>4685*0.659</f>
        <v/>
      </c>
      <c r="CG54" s="23">
        <f>CH54-CF54</f>
        <v/>
      </c>
      <c r="CH54" s="24">
        <f>U54</f>
        <v/>
      </c>
      <c r="CI54" s="25" t="n"/>
      <c r="CJ54" s="807">
        <f>4958.893*0.677</f>
        <v/>
      </c>
      <c r="CK54" s="23">
        <f>CL54-CJ54</f>
        <v/>
      </c>
      <c r="CL54" s="24">
        <f>V54</f>
        <v/>
      </c>
      <c r="CM54" s="25" t="n"/>
      <c r="CN54" s="807" t="n">
        <v>4070.187</v>
      </c>
      <c r="CO54" s="23">
        <f>CP54-CN54</f>
        <v/>
      </c>
      <c r="CP54" s="23">
        <f>W54</f>
        <v/>
      </c>
      <c r="CQ54" s="179" t="n"/>
      <c r="CR54" s="23" t="n">
        <v>4427.93</v>
      </c>
      <c r="CS54" s="23" t="n">
        <v>4427.93</v>
      </c>
      <c r="CT54" s="808">
        <f>CU54-CS54</f>
        <v/>
      </c>
      <c r="CU54" s="23">
        <f>X54</f>
        <v/>
      </c>
      <c r="CV54" s="1003" t="n"/>
      <c r="CW54" s="23" t="n">
        <v>3789.039</v>
      </c>
      <c r="CX54" s="808">
        <f>CY54-CW54</f>
        <v/>
      </c>
      <c r="CY54" s="23">
        <f>Y54</f>
        <v/>
      </c>
      <c r="CZ54" s="179" t="n"/>
      <c r="DA54" s="23" t="n">
        <v>4783.991</v>
      </c>
      <c r="DB54" s="43">
        <f>+DC54-DA54</f>
        <v/>
      </c>
      <c r="DC54" s="23">
        <f>Z54</f>
        <v/>
      </c>
      <c r="DD54" s="179" t="n"/>
      <c r="DE54" s="21" t="n">
        <v>4809.018</v>
      </c>
      <c r="DF54" s="43">
        <f>+DG54-DE54</f>
        <v/>
      </c>
      <c r="DG54" s="23">
        <f>AA54</f>
        <v/>
      </c>
      <c r="DH54" s="118" t="n"/>
      <c r="DI54" s="21" t="n">
        <v>4324.586</v>
      </c>
      <c r="DJ54" s="23">
        <f>+DK54-DI54</f>
        <v/>
      </c>
      <c r="DK54" s="23">
        <f>AB54</f>
        <v/>
      </c>
      <c r="DL54" s="23" t="n"/>
      <c r="DM54" s="21" t="n">
        <v>4124.376</v>
      </c>
      <c r="DN54" s="21">
        <f>+DO54-DM54</f>
        <v/>
      </c>
      <c r="DO54" s="21">
        <f>AC54</f>
        <v/>
      </c>
      <c r="DP54" s="118" t="n"/>
      <c r="DQ54" s="217" t="n">
        <v>4622.396</v>
      </c>
      <c r="DR54" s="21">
        <f>+DS54-DQ54</f>
        <v/>
      </c>
      <c r="DS54" s="21">
        <f>AD54</f>
        <v/>
      </c>
      <c r="DT54" s="21" t="n"/>
      <c r="DU54" s="217" t="n">
        <v>5106.627</v>
      </c>
      <c r="DV54" s="21">
        <f>+DW54-DU54</f>
        <v/>
      </c>
      <c r="DW54" s="21">
        <f>AE54</f>
        <v/>
      </c>
      <c r="DX54" s="21" t="n"/>
      <c r="DY54" s="217" t="n">
        <v>4989.796</v>
      </c>
      <c r="DZ54" s="21">
        <f>+EA54-DY54</f>
        <v/>
      </c>
      <c r="EA54" s="21">
        <f>AF54</f>
        <v/>
      </c>
      <c r="EB54" s="994" t="n"/>
      <c r="EC54" s="217" t="n">
        <v>5435.433</v>
      </c>
      <c r="ED54" s="21">
        <f>+EE54-EC54</f>
        <v/>
      </c>
      <c r="EE54" s="21">
        <f>AG54</f>
        <v/>
      </c>
      <c r="EF54" s="21" t="n"/>
      <c r="EG54" s="217" t="n">
        <v>5830.675</v>
      </c>
      <c r="EH54" s="21">
        <f>+EI54-EG54</f>
        <v/>
      </c>
      <c r="EI54" s="21">
        <f>AH54</f>
        <v/>
      </c>
      <c r="EJ54" s="21" t="n"/>
      <c r="EK54" s="217" t="n">
        <v>5477</v>
      </c>
      <c r="EL54" s="21">
        <f>+EM54-EK54</f>
        <v/>
      </c>
      <c r="EM54" s="21">
        <f>AI54</f>
        <v/>
      </c>
      <c r="EN54" s="21" t="n"/>
      <c r="EO54" s="217">
        <f>SUMIFS(Monthly!$76:$76,Monthly!$8:$8,"&gt;="&amp;DATE(MID(EO$3,3,4),1,1),Monthly!$8:$8,"&lt;="&amp;DATE(MID(EO$3,3,4),6,30))</f>
        <v/>
      </c>
      <c r="EP54" s="21">
        <f>+EQ54-EO54</f>
        <v/>
      </c>
      <c r="EQ54" s="21">
        <f>AJ54</f>
        <v/>
      </c>
      <c r="ER54" s="315" t="n"/>
      <c r="ES54" s="217">
        <f>SUMIFS(Monthly!$76:$76,Monthly!$8:$8,"&gt;="&amp;DATE(MID(ES$3,3,4),1,1),Monthly!$8:$8,"&lt;="&amp;DATE(MID(ES$3,3,4),6,30))</f>
        <v/>
      </c>
      <c r="ET54" s="21">
        <f>+EU54-ES54</f>
        <v/>
      </c>
      <c r="EU54" s="21">
        <f>AK54</f>
        <v/>
      </c>
      <c r="EV54" s="21" t="n"/>
      <c r="EW54" s="807" t="n">
        <v>2123</v>
      </c>
      <c r="EX54" s="21">
        <f>+EY54-EW54</f>
        <v/>
      </c>
      <c r="EY54" s="21">
        <f>AL54</f>
        <v/>
      </c>
      <c r="FA54" s="807" t="n">
        <v>3886</v>
      </c>
      <c r="FB54" s="21">
        <f>+FC54-FA54</f>
        <v/>
      </c>
      <c r="FC54" s="21">
        <f>AM54</f>
        <v/>
      </c>
      <c r="FD54" s="21" t="n"/>
      <c r="FE54" s="807" t="n">
        <v>4063</v>
      </c>
      <c r="FF54" s="21">
        <f>+FG54-FE54</f>
        <v/>
      </c>
      <c r="FG54" s="21">
        <f>AN54</f>
        <v/>
      </c>
      <c r="FI54" s="807" t="n">
        <v>4302</v>
      </c>
      <c r="FJ54" s="21">
        <f>+FK54-FI54</f>
        <v/>
      </c>
      <c r="FK54" s="21">
        <f>AO54</f>
        <v/>
      </c>
      <c r="FM54" s="807">
        <f>SUMIFS(Monthly!$76:$76,Monthly!$8:$8,"&gt;="&amp;DATE(MID(FM$3,3,4),1,1),Monthly!$8:$8,"&lt;="&amp;DATE(MID(FM$3,3,4),6,30))</f>
        <v/>
      </c>
      <c r="FN54" s="21">
        <f>FN52*FN56</f>
        <v/>
      </c>
      <c r="FO54" s="21">
        <f>AP54</f>
        <v/>
      </c>
    </row>
    <row r="55" ht="14.25" customFormat="1" customHeight="1" s="986">
      <c r="A55" s="987" t="inlineStr">
        <is>
          <t>cargo traffic growth</t>
        </is>
      </c>
      <c r="B55" s="988" t="inlineStr">
        <is>
          <t>Change in cargo traffic (CTK)</t>
        </is>
      </c>
      <c r="D55" s="986">
        <f>D54/C54-1</f>
        <v/>
      </c>
      <c r="E55" s="986">
        <f>E54/D54-1</f>
        <v/>
      </c>
      <c r="F55" s="986">
        <f>F54/E54-1</f>
        <v/>
      </c>
      <c r="G55" s="986">
        <f>G54/F54-1</f>
        <v/>
      </c>
      <c r="H55" s="986">
        <f>H54/G54-1</f>
        <v/>
      </c>
      <c r="I55" s="986">
        <f>I54/H54-1</f>
        <v/>
      </c>
      <c r="J55" s="986">
        <f>J54/I54-1</f>
        <v/>
      </c>
      <c r="K55" s="986">
        <f>K54/J54-1</f>
        <v/>
      </c>
      <c r="L55" s="989">
        <f>0.14</f>
        <v/>
      </c>
      <c r="M55" s="989">
        <f>M54/L54-1</f>
        <v/>
      </c>
      <c r="N55" s="989">
        <f>N54/M54-1</f>
        <v/>
      </c>
      <c r="O55" s="989">
        <f>O54/N54-1</f>
        <v/>
      </c>
      <c r="P55" s="989">
        <f>P54/O54-1</f>
        <v/>
      </c>
      <c r="Q55" s="990" t="n">
        <v>-0.05370875641684336</v>
      </c>
      <c r="R55" s="990">
        <f>R54/Q54-1</f>
        <v/>
      </c>
      <c r="S55" s="990">
        <f>S54/R54-1</f>
        <v/>
      </c>
      <c r="T55" s="990">
        <f>T54/S54-1</f>
        <v/>
      </c>
      <c r="U55" s="990">
        <f>U54/T54-1</f>
        <v/>
      </c>
      <c r="V55" s="990">
        <f>V54/U54-1</f>
        <v/>
      </c>
      <c r="W55" s="990">
        <f>W54/V54-1</f>
        <v/>
      </c>
      <c r="X55" s="990">
        <f>X54/W54-1</f>
        <v/>
      </c>
      <c r="Y55" s="990">
        <f>Y54/X54-1</f>
        <v/>
      </c>
      <c r="Z55" s="990">
        <f>Z54/Y54-1</f>
        <v/>
      </c>
      <c r="AA55" s="990">
        <f>AA54/Z54-1</f>
        <v/>
      </c>
      <c r="AB55" s="990">
        <f>AB54/AA54-1</f>
        <v/>
      </c>
      <c r="AC55" s="990">
        <f>AC54/AB54-1</f>
        <v/>
      </c>
      <c r="AD55" s="990">
        <f>AD54/AC54-1</f>
        <v/>
      </c>
      <c r="AE55" s="990">
        <f>AE54/AD54-1</f>
        <v/>
      </c>
      <c r="AF55" s="990">
        <f>AF54/AE54-1</f>
        <v/>
      </c>
      <c r="AG55" s="990">
        <f>AG54/AF54-1</f>
        <v/>
      </c>
      <c r="AH55" s="990">
        <f>AH54/AG54-1</f>
        <v/>
      </c>
      <c r="AI55" s="990">
        <f>AI54/AH54-1</f>
        <v/>
      </c>
      <c r="AJ55" s="990">
        <f>AJ54/AI54-1</f>
        <v/>
      </c>
      <c r="AK55" s="990">
        <f>AK54/AJ54-1</f>
        <v/>
      </c>
      <c r="AL55" s="990">
        <f>AL54/AK54-1</f>
        <v/>
      </c>
      <c r="AM55" s="990">
        <f>AM54/AL54-1</f>
        <v/>
      </c>
      <c r="AN55" s="990">
        <f>AN54/AM54-1</f>
        <v/>
      </c>
      <c r="AO55" s="986">
        <f>AO54/AN54-1</f>
        <v/>
      </c>
      <c r="AP55" s="986">
        <f>AP54/AO54-1</f>
        <v/>
      </c>
      <c r="AQ55" s="986">
        <f>AQ54/AP54-1</f>
        <v/>
      </c>
      <c r="AR55" s="986">
        <f>AR54/AQ54-1</f>
        <v/>
      </c>
      <c r="AS55" s="986">
        <f>AS54/AR54-1</f>
        <v/>
      </c>
      <c r="AT55" s="986">
        <f>AT54/AS54-1</f>
        <v/>
      </c>
      <c r="AU55" s="288" t="n"/>
      <c r="AV55" s="991" t="n"/>
      <c r="AW55" s="991" t="n"/>
      <c r="AX55" s="992" t="n"/>
      <c r="AY55" s="991" t="n"/>
      <c r="AZ55" s="991" t="n"/>
      <c r="BA55" s="991" t="n"/>
      <c r="BB55" s="992" t="n"/>
      <c r="BD55" s="993" t="n"/>
      <c r="BE55" s="993" t="n"/>
      <c r="BF55" s="992" t="n"/>
      <c r="BH55" s="993" t="n"/>
      <c r="BI55" s="993" t="n"/>
      <c r="BJ55" s="992" t="n"/>
      <c r="BL55" s="993" t="n"/>
      <c r="BM55" s="993" t="n"/>
      <c r="BN55" s="992" t="n"/>
      <c r="BP55" s="993" t="n"/>
      <c r="BQ55" s="993" t="n"/>
      <c r="BR55" s="993" t="n"/>
      <c r="BT55" s="993" t="n"/>
      <c r="BU55" s="993" t="n"/>
      <c r="BV55" s="992" t="n"/>
      <c r="BX55" s="993" t="n"/>
      <c r="BY55" s="993" t="n"/>
      <c r="BZ55" s="992" t="n"/>
      <c r="CB55" s="993" t="n"/>
      <c r="CC55" s="993" t="n"/>
      <c r="CD55" s="992">
        <f>T55</f>
        <v/>
      </c>
      <c r="CE55" s="993" t="n"/>
      <c r="CF55" s="993">
        <f>CF54/CB54-1</f>
        <v/>
      </c>
      <c r="CG55" s="993">
        <f>CG54/CC54-1</f>
        <v/>
      </c>
      <c r="CH55" s="992">
        <f>U55</f>
        <v/>
      </c>
      <c r="CI55" s="992" t="n"/>
      <c r="CJ55" s="993">
        <f>CJ54/CF54-1</f>
        <v/>
      </c>
      <c r="CK55" s="993">
        <f>CK54/CG54-1</f>
        <v/>
      </c>
      <c r="CL55" s="992">
        <f>V55</f>
        <v/>
      </c>
      <c r="CM55" s="992" t="n"/>
      <c r="CN55" s="993">
        <f>CN54/CJ54-1</f>
        <v/>
      </c>
      <c r="CO55" s="993">
        <f>CO54/CK54-1</f>
        <v/>
      </c>
      <c r="CP55" s="993">
        <f>W55</f>
        <v/>
      </c>
      <c r="CQ55" s="993" t="n"/>
      <c r="CR55" s="993">
        <f>CR54/CN54-1</f>
        <v/>
      </c>
      <c r="CS55" s="993">
        <f>CS54/CN54-1</f>
        <v/>
      </c>
      <c r="CT55" s="993">
        <f>CT54/CO54-1</f>
        <v/>
      </c>
      <c r="CU55" s="993">
        <f>X55</f>
        <v/>
      </c>
      <c r="CV55" s="993" t="n"/>
      <c r="CW55" s="993">
        <f>CW54/CR54-1</f>
        <v/>
      </c>
      <c r="CX55" s="993">
        <f>CX54/CT54-1</f>
        <v/>
      </c>
      <c r="CY55" s="993">
        <f>Y55</f>
        <v/>
      </c>
      <c r="CZ55" s="993" t="n"/>
      <c r="DA55" s="993">
        <f>DA54/CW54-1</f>
        <v/>
      </c>
      <c r="DB55" s="993">
        <f>DB54/CX54-1</f>
        <v/>
      </c>
      <c r="DC55" s="993">
        <f>Z55</f>
        <v/>
      </c>
      <c r="DD55" s="993" t="n"/>
      <c r="DE55" s="993">
        <f>DE54/DA54-1</f>
        <v/>
      </c>
      <c r="DF55" s="989">
        <f>DF54/DB54-1</f>
        <v/>
      </c>
      <c r="DG55" s="290">
        <f>AA55</f>
        <v/>
      </c>
      <c r="DH55" s="290" t="n"/>
      <c r="DI55" s="989">
        <f>+DI54/DE54-1</f>
        <v/>
      </c>
      <c r="DJ55" s="989">
        <f>DJ54/DF54-1</f>
        <v/>
      </c>
      <c r="DK55" s="991">
        <f>AB55</f>
        <v/>
      </c>
      <c r="DL55" s="991" t="n"/>
      <c r="DM55" s="989">
        <f>+DM54/DI54-1</f>
        <v/>
      </c>
      <c r="DN55" s="989">
        <f>DN54/DJ54-1</f>
        <v/>
      </c>
      <c r="DO55" s="989">
        <f>AC404</f>
        <v/>
      </c>
      <c r="DP55" s="290" t="n"/>
      <c r="DQ55" s="989">
        <f>+DQ54/DM54-1</f>
        <v/>
      </c>
      <c r="DR55" s="989">
        <f>+DR54/DN54-1</f>
        <v/>
      </c>
      <c r="DS55" s="989">
        <f>AD55</f>
        <v/>
      </c>
      <c r="DT55" s="989" t="n"/>
      <c r="DU55" s="989">
        <f>+DU54/DQ54-1</f>
        <v/>
      </c>
      <c r="DV55" s="989">
        <f>+DV54/DR54-1</f>
        <v/>
      </c>
      <c r="DW55" s="989">
        <f>AE55</f>
        <v/>
      </c>
      <c r="DX55" s="989" t="n"/>
      <c r="DY55" s="989">
        <f>+DY54/DU54-1</f>
        <v/>
      </c>
      <c r="DZ55" s="989">
        <f>+DZ54/DV54-1</f>
        <v/>
      </c>
      <c r="EA55" s="989">
        <f>AF55</f>
        <v/>
      </c>
      <c r="EC55" s="989">
        <f>+EC54/DY54-1</f>
        <v/>
      </c>
      <c r="ED55" s="989">
        <f>+ED54/DZ54-1</f>
        <v/>
      </c>
      <c r="EE55" s="989">
        <f>AG55</f>
        <v/>
      </c>
      <c r="EF55" s="989" t="n"/>
      <c r="EG55" s="989">
        <f>+EG54/EC54-1</f>
        <v/>
      </c>
      <c r="EH55" s="989">
        <f>+EH54/ED54-1</f>
        <v/>
      </c>
      <c r="EI55" s="989">
        <f>AH55</f>
        <v/>
      </c>
      <c r="EJ55" s="989" t="n"/>
      <c r="EK55" s="989">
        <f>+EK54/EG54-1</f>
        <v/>
      </c>
      <c r="EL55" s="989">
        <f>+EL54/EH54-1</f>
        <v/>
      </c>
      <c r="EM55" s="989">
        <f>AI55</f>
        <v/>
      </c>
      <c r="EN55" s="989" t="n"/>
      <c r="EO55" s="989">
        <f>+EO54/EK54-1</f>
        <v/>
      </c>
      <c r="EP55" s="989">
        <f>+EP54/EL54-1</f>
        <v/>
      </c>
      <c r="EQ55" s="989">
        <f>+EQ54/EM54-1</f>
        <v/>
      </c>
      <c r="ER55" s="989" t="n"/>
      <c r="ES55" s="989">
        <f>+ES54/EO54-1</f>
        <v/>
      </c>
      <c r="ET55" s="989">
        <f>+ET54/EP54-1</f>
        <v/>
      </c>
      <c r="EU55" s="989">
        <f>+EU54/EQ54-1</f>
        <v/>
      </c>
      <c r="EV55" s="989" t="n"/>
      <c r="EW55" s="989">
        <f>+EW54/ES54-1</f>
        <v/>
      </c>
      <c r="EX55" s="989">
        <f>+EX54/ET54-1</f>
        <v/>
      </c>
      <c r="EY55" s="989">
        <f>+EY54/EU54-1</f>
        <v/>
      </c>
      <c r="FA55" s="989">
        <f>+FA54/EW54-1</f>
        <v/>
      </c>
      <c r="FB55" s="989">
        <f>+FB54/EX54-1</f>
        <v/>
      </c>
      <c r="FC55" s="989">
        <f>+FC54/EY54-1</f>
        <v/>
      </c>
      <c r="FE55" s="989">
        <f>+FE54/FA54-1</f>
        <v/>
      </c>
      <c r="FF55" s="989">
        <f>+FF54/FB54-1</f>
        <v/>
      </c>
      <c r="FG55" s="989">
        <f>+FG54/FC54-1</f>
        <v/>
      </c>
      <c r="FI55" s="989">
        <f>+FI54/FE54-1</f>
        <v/>
      </c>
      <c r="FJ55" s="989">
        <f>+FJ54/FF54-1</f>
        <v/>
      </c>
      <c r="FK55" s="989">
        <f>+FK54/FG54-1</f>
        <v/>
      </c>
      <c r="FM55" s="989">
        <f>+FM54/FI54-1</f>
        <v/>
      </c>
      <c r="FN55" s="989">
        <f>+FN54/FJ54-1</f>
        <v/>
      </c>
      <c r="FO55" s="989">
        <f>+FO54/FK54-1</f>
        <v/>
      </c>
    </row>
    <row r="56" ht="14.25" customFormat="1" customHeight="1" s="1020">
      <c r="A56" s="1038" t="n"/>
      <c r="B56" s="1020" t="inlineStr">
        <is>
          <t>Cargo load factor</t>
        </is>
      </c>
      <c r="L56" s="1039" t="n"/>
      <c r="M56" s="1002">
        <f>M54/M52</f>
        <v/>
      </c>
      <c r="N56" s="1002">
        <f>N54/N52</f>
        <v/>
      </c>
      <c r="O56" s="1002">
        <f>O54/O52</f>
        <v/>
      </c>
      <c r="P56" s="1002">
        <f>P54/P52</f>
        <v/>
      </c>
      <c r="Q56" s="1002">
        <f>Q54/Q52</f>
        <v/>
      </c>
      <c r="R56" s="1002">
        <f>R54/R52</f>
        <v/>
      </c>
      <c r="S56" s="1002">
        <f>S54/S52</f>
        <v/>
      </c>
      <c r="T56" s="1002">
        <f>T54/T52</f>
        <v/>
      </c>
      <c r="U56" s="1002">
        <f>U54/U52</f>
        <v/>
      </c>
      <c r="V56" s="1002">
        <f>V54/V52</f>
        <v/>
      </c>
      <c r="W56" s="1002">
        <f>W54/W52</f>
        <v/>
      </c>
      <c r="X56" s="1040" t="n">
        <v>0.659</v>
      </c>
      <c r="Y56" s="1040" t="n">
        <v>0.708</v>
      </c>
      <c r="Z56" s="1040" t="n">
        <v>0.757</v>
      </c>
      <c r="AA56" s="1040" t="n">
        <v>0.672</v>
      </c>
      <c r="AB56" s="1040" t="n">
        <v>0.642</v>
      </c>
      <c r="AC56" s="1040" t="n">
        <v>0.618</v>
      </c>
      <c r="AD56" s="1040" t="n">
        <v>0.643</v>
      </c>
      <c r="AE56" s="1002">
        <f>AE54/AE52</f>
        <v/>
      </c>
      <c r="AF56" s="1002">
        <f>AF54/AF52</f>
        <v/>
      </c>
      <c r="AG56" s="1002">
        <f>AG54/AG52</f>
        <v/>
      </c>
      <c r="AH56" s="1002">
        <f>AH54/AH52</f>
        <v/>
      </c>
      <c r="AI56" s="1002">
        <f>AI54/AI52</f>
        <v/>
      </c>
      <c r="AJ56" s="1002">
        <f>AJ54/AJ52</f>
        <v/>
      </c>
      <c r="AK56" s="1002">
        <f>AK54/AK52</f>
        <v/>
      </c>
      <c r="AL56" s="1002">
        <f>AL54/AL52</f>
        <v/>
      </c>
      <c r="AM56" s="1002">
        <f>AM54/AM52</f>
        <v/>
      </c>
      <c r="AN56" s="1002">
        <f>AN54/AN52</f>
        <v/>
      </c>
      <c r="AO56" s="1004">
        <f>AO54/AO52</f>
        <v/>
      </c>
      <c r="AP56" s="1004">
        <f>AP54/AP52</f>
        <v/>
      </c>
      <c r="AQ56" s="1005">
        <f>AP56</f>
        <v/>
      </c>
      <c r="AR56" s="1005">
        <f>AQ56</f>
        <v/>
      </c>
      <c r="AS56" s="1005">
        <f>AR56</f>
        <v/>
      </c>
      <c r="AT56" s="1005">
        <f>AS56</f>
        <v/>
      </c>
      <c r="AU56" s="1002" t="n"/>
      <c r="AV56" s="1041" t="n"/>
      <c r="AW56" s="1041" t="n"/>
      <c r="AX56" s="1041" t="n"/>
      <c r="AY56" s="1042" t="n"/>
      <c r="AZ56" s="1042" t="n"/>
      <c r="BA56" s="1042" t="n"/>
      <c r="BB56" s="1041" t="n"/>
      <c r="BD56" s="1042" t="n"/>
      <c r="BE56" s="1042" t="n"/>
      <c r="BF56" s="1041" t="n"/>
      <c r="BH56" s="1042" t="n"/>
      <c r="BI56" s="1042" t="n"/>
      <c r="BJ56" s="1041" t="n"/>
      <c r="BL56" s="1042" t="n"/>
      <c r="BM56" s="1042" t="n"/>
      <c r="BN56" s="1041" t="n"/>
      <c r="BP56" s="1042" t="n"/>
      <c r="BQ56" s="1042" t="n"/>
      <c r="BR56" s="1041" t="n"/>
      <c r="BT56" s="1042" t="n"/>
      <c r="BU56" s="1042" t="n"/>
      <c r="BV56" s="1041" t="n"/>
      <c r="BX56" s="1002" t="n"/>
      <c r="BY56" s="1002" t="n"/>
      <c r="BZ56" s="1002" t="n"/>
      <c r="CB56" s="1002">
        <f>CB54/CB52</f>
        <v/>
      </c>
      <c r="CC56" s="1002">
        <f>CC54/CC52</f>
        <v/>
      </c>
      <c r="CD56" s="1002">
        <f>CD54/CD52</f>
        <v/>
      </c>
      <c r="CE56" s="1042" t="n"/>
      <c r="CF56" s="1002">
        <f>CF54/CF52</f>
        <v/>
      </c>
      <c r="CG56" s="1002">
        <f>CG54/CG52</f>
        <v/>
      </c>
      <c r="CH56" s="1002">
        <f>CH54/CH52</f>
        <v/>
      </c>
      <c r="CI56" s="1041" t="n"/>
      <c r="CJ56" s="1002">
        <f>CJ54/CJ52</f>
        <v/>
      </c>
      <c r="CK56" s="1002">
        <f>CK54/CK52</f>
        <v/>
      </c>
      <c r="CL56" s="1002">
        <f>CL54/CL52</f>
        <v/>
      </c>
      <c r="CM56" s="1041" t="n"/>
      <c r="CN56" s="1002">
        <f>CN54/CN52</f>
        <v/>
      </c>
      <c r="CO56" s="1002">
        <f>CO54/CO52</f>
        <v/>
      </c>
      <c r="CP56" s="1002">
        <f>CP54/CP52</f>
        <v/>
      </c>
      <c r="CQ56" s="1042" t="n"/>
      <c r="CR56" s="1002">
        <f>CR54/CR52</f>
        <v/>
      </c>
      <c r="CS56" s="1002">
        <f>CS54/CS52</f>
        <v/>
      </c>
      <c r="CT56" s="1002">
        <f>CT54/CT52</f>
        <v/>
      </c>
      <c r="CU56" s="1002">
        <f>CU54/CU52</f>
        <v/>
      </c>
      <c r="CV56" s="1042" t="n"/>
      <c r="CW56" s="1002">
        <f>CW54/CW52</f>
        <v/>
      </c>
      <c r="CX56" s="1002">
        <f>CX54/CX52</f>
        <v/>
      </c>
      <c r="CY56" s="1002">
        <f>CY54/CY52</f>
        <v/>
      </c>
      <c r="CZ56" s="1003" t="n"/>
      <c r="DA56" s="1002">
        <f>DA54/DA52</f>
        <v/>
      </c>
      <c r="DB56" s="1002">
        <f>DB54/DB52</f>
        <v/>
      </c>
      <c r="DC56" s="1002">
        <f>DC54/DC52</f>
        <v/>
      </c>
      <c r="DD56" s="1003" t="n"/>
      <c r="DE56" s="1002">
        <f>DE54/DE52</f>
        <v/>
      </c>
      <c r="DF56" s="1002">
        <f>DF54/DF52</f>
        <v/>
      </c>
      <c r="DG56" s="1002">
        <f>DG54/DG52</f>
        <v/>
      </c>
      <c r="DH56" s="1012" t="n"/>
      <c r="DI56" s="1002">
        <f>DI54/DI52</f>
        <v/>
      </c>
      <c r="DJ56" s="1002">
        <f>DJ54/DJ52</f>
        <v/>
      </c>
      <c r="DK56" s="1002">
        <f>DK54/DK52</f>
        <v/>
      </c>
      <c r="DL56" s="1042" t="n"/>
      <c r="DM56" s="1002">
        <f>DM54/DM52</f>
        <v/>
      </c>
      <c r="DN56" s="1002">
        <f>DN54/DN52</f>
        <v/>
      </c>
      <c r="DO56" s="1002">
        <f>DO54/DO52</f>
        <v/>
      </c>
      <c r="DP56" s="1012" t="n"/>
      <c r="DQ56" s="1002">
        <f>DQ54/DQ52</f>
        <v/>
      </c>
      <c r="DR56" s="1002">
        <f>DR54/DR52</f>
        <v/>
      </c>
      <c r="DS56" s="1002">
        <f>DS54/DS52</f>
        <v/>
      </c>
      <c r="DT56" s="1043" t="n"/>
      <c r="DU56" s="1002">
        <f>DU54/DU52</f>
        <v/>
      </c>
      <c r="DV56" s="1002">
        <f>DV54/DV52</f>
        <v/>
      </c>
      <c r="DW56" s="1002">
        <f>DW54/DW52</f>
        <v/>
      </c>
      <c r="DX56" s="1043" t="n"/>
      <c r="DY56" s="1002">
        <f>DY54/DY52</f>
        <v/>
      </c>
      <c r="DZ56" s="1002">
        <f>DZ54/DZ52</f>
        <v/>
      </c>
      <c r="EA56" s="1002">
        <f>EA54/EA52</f>
        <v/>
      </c>
      <c r="EB56" s="994" t="n"/>
      <c r="EC56" s="1002">
        <f>EC54/EC52</f>
        <v/>
      </c>
      <c r="ED56" s="1002">
        <f>ED54/ED52</f>
        <v/>
      </c>
      <c r="EE56" s="1002">
        <f>EE54/EE52</f>
        <v/>
      </c>
      <c r="EF56" s="1043" t="n"/>
      <c r="EG56" s="1002">
        <f>EG54/EG52</f>
        <v/>
      </c>
      <c r="EH56" s="1002">
        <f>EH54/EH52</f>
        <v/>
      </c>
      <c r="EI56" s="1002">
        <f>EI54/EI52</f>
        <v/>
      </c>
      <c r="EJ56" s="1043" t="n"/>
      <c r="EK56" s="1002">
        <f>EK54/EK52</f>
        <v/>
      </c>
      <c r="EL56" s="1002">
        <f>EL54/EL52</f>
        <v/>
      </c>
      <c r="EM56" s="1002">
        <f>EM54/EM52</f>
        <v/>
      </c>
      <c r="EN56" s="1043" t="n"/>
      <c r="EO56" s="1002">
        <f>EO54/EO52</f>
        <v/>
      </c>
      <c r="EP56" s="1002">
        <f>EP54/EP52</f>
        <v/>
      </c>
      <c r="EQ56" s="1002">
        <f>EQ54/EQ52</f>
        <v/>
      </c>
      <c r="ER56" s="1043" t="n"/>
      <c r="ES56" s="1002">
        <f>ES54/ES52</f>
        <v/>
      </c>
      <c r="ET56" s="1002">
        <f>ET54/ET52</f>
        <v/>
      </c>
      <c r="EU56" s="1002">
        <f>EU54/EU52</f>
        <v/>
      </c>
      <c r="EV56" s="1043" t="n"/>
      <c r="EW56" s="1002">
        <f>EW54/EW52</f>
        <v/>
      </c>
      <c r="EX56" s="1002">
        <f>EX54/EX52</f>
        <v/>
      </c>
      <c r="EY56" s="1002">
        <f>EY54/EY52</f>
        <v/>
      </c>
      <c r="FA56" s="1002">
        <f>FA54/FA52</f>
        <v/>
      </c>
      <c r="FB56" s="1002">
        <f>FB54/FB52</f>
        <v/>
      </c>
      <c r="FC56" s="1002">
        <f>FC54/FC52</f>
        <v/>
      </c>
      <c r="FE56" s="1002">
        <f>FE54/FE52</f>
        <v/>
      </c>
      <c r="FF56" s="1002">
        <f>FF54/FF52</f>
        <v/>
      </c>
      <c r="FG56" s="1002">
        <f>FG54/FG52</f>
        <v/>
      </c>
      <c r="FI56" s="1002">
        <f>FI54/FI52</f>
        <v/>
      </c>
      <c r="FJ56" s="1002">
        <f>FJ54/FJ52</f>
        <v/>
      </c>
      <c r="FK56" s="1002">
        <f>FK54/FK52</f>
        <v/>
      </c>
      <c r="FM56" s="1002">
        <f>FM54/FM52</f>
        <v/>
      </c>
      <c r="FN56" s="1005">
        <f>FJ56</f>
        <v/>
      </c>
      <c r="FO56" s="1002">
        <f>FO54/FO52</f>
        <v/>
      </c>
    </row>
    <row r="57" ht="14.25" customFormat="1" customHeight="1" s="57">
      <c r="A57" s="56" t="n"/>
      <c r="B57" s="57" t="inlineStr">
        <is>
          <t>cargo yield</t>
        </is>
      </c>
      <c r="C57" s="57">
        <f>C114/C54</f>
        <v/>
      </c>
      <c r="D57" s="57">
        <f>D114/D54</f>
        <v/>
      </c>
      <c r="E57" s="57">
        <f>E114/E54</f>
        <v/>
      </c>
      <c r="F57" s="57">
        <f>F114/F54</f>
        <v/>
      </c>
      <c r="G57" s="57">
        <f>G114/G54</f>
        <v/>
      </c>
      <c r="H57" s="57">
        <f>H114/H54</f>
        <v/>
      </c>
      <c r="I57" s="57">
        <f>I114/I54</f>
        <v/>
      </c>
      <c r="J57" s="57">
        <f>J114/J54</f>
        <v/>
      </c>
      <c r="K57" s="57">
        <f>K114/K54</f>
        <v/>
      </c>
      <c r="L57" s="58">
        <f>L114/L54</f>
        <v/>
      </c>
      <c r="M57" s="58">
        <f>M114/M54</f>
        <v/>
      </c>
      <c r="N57" s="58">
        <f>N114/N54</f>
        <v/>
      </c>
      <c r="O57" s="798" t="n">
        <v>1.85</v>
      </c>
      <c r="P57" s="798" t="n">
        <v>2.07</v>
      </c>
      <c r="Q57" s="798" t="n">
        <v>1.85</v>
      </c>
      <c r="R57" s="798" t="n">
        <v>1.8</v>
      </c>
      <c r="S57" s="798" t="n">
        <v>1.78</v>
      </c>
      <c r="T57" s="798" t="n">
        <v>1.76</v>
      </c>
      <c r="U57" s="798" t="n">
        <v>1.75</v>
      </c>
      <c r="V57" s="798" t="n">
        <v>1.7</v>
      </c>
      <c r="W57" s="798" t="n">
        <v>1.64</v>
      </c>
      <c r="X57" s="798" t="n">
        <v>2.54</v>
      </c>
      <c r="Y57" s="798" t="n">
        <v>1.86</v>
      </c>
      <c r="Z57" s="798" t="n">
        <v>2.33</v>
      </c>
      <c r="AA57" s="798" t="n">
        <v>2.42</v>
      </c>
      <c r="AB57" s="798" t="n">
        <v>2.42</v>
      </c>
      <c r="AC57" s="798" t="n">
        <v>2.32</v>
      </c>
      <c r="AD57" s="798" t="n">
        <v>2.19</v>
      </c>
      <c r="AE57" s="798" t="n">
        <v>1.9</v>
      </c>
      <c r="AF57" s="798" t="n">
        <v>1.59</v>
      </c>
      <c r="AG57" s="798" t="n">
        <v>1.77</v>
      </c>
      <c r="AH57" s="798" t="n">
        <v>2.03</v>
      </c>
      <c r="AI57" s="798" t="n">
        <v>1.87</v>
      </c>
      <c r="AJ57" s="798" t="n">
        <v>2.96</v>
      </c>
      <c r="AK57" s="798" t="n">
        <v>3.94</v>
      </c>
      <c r="AL57" s="798" t="n">
        <v>4.67</v>
      </c>
      <c r="AM57" s="798" t="n">
        <v>2.74</v>
      </c>
      <c r="AN57" s="798" t="n">
        <v>2.82</v>
      </c>
      <c r="AO57" s="58">
        <f>AO59/AO54</f>
        <v/>
      </c>
      <c r="AP57" s="58">
        <f>AP59/AP54</f>
        <v/>
      </c>
      <c r="AQ57" s="58">
        <f>AP57*(1+AQ58)</f>
        <v/>
      </c>
      <c r="AR57" s="58">
        <f>AQ57*(1+AR58)</f>
        <v/>
      </c>
      <c r="AS57" s="58">
        <f>AR57*(1+AS58)</f>
        <v/>
      </c>
      <c r="AT57" s="58">
        <f>AS57*(1+AT58)</f>
        <v/>
      </c>
      <c r="AU57" s="58" t="n"/>
      <c r="AV57" s="63" t="n"/>
      <c r="AW57" s="63" t="n"/>
      <c r="AX57" s="1008" t="n"/>
      <c r="AY57" s="63" t="n"/>
      <c r="AZ57" s="63" t="n"/>
      <c r="BA57" s="63" t="n"/>
      <c r="BB57" s="62" t="n"/>
      <c r="BD57" s="63" t="n"/>
      <c r="BE57" s="63" t="n"/>
      <c r="BF57" s="62" t="n"/>
      <c r="BH57" s="63" t="n"/>
      <c r="BI57" s="63" t="n"/>
      <c r="BJ57" s="62" t="n"/>
      <c r="BL57" s="63" t="n"/>
      <c r="BM57" s="63" t="n"/>
      <c r="BN57" s="62" t="n"/>
      <c r="BP57" s="63" t="n"/>
      <c r="BQ57" s="63" t="n"/>
      <c r="BR57" s="62" t="n"/>
      <c r="BT57" s="63" t="n"/>
      <c r="BU57" s="63" t="n"/>
      <c r="BV57" s="62" t="n"/>
      <c r="BX57" s="63" t="n"/>
      <c r="BY57" s="63" t="n"/>
      <c r="BZ57" s="62" t="n"/>
      <c r="CB57" s="810" t="n">
        <v>1.72</v>
      </c>
      <c r="CC57" s="63">
        <f>CC59/CC54</f>
        <v/>
      </c>
      <c r="CD57" s="62">
        <f>T57</f>
        <v/>
      </c>
      <c r="CE57" s="63" t="n"/>
      <c r="CF57" s="810" t="n">
        <v>1.75</v>
      </c>
      <c r="CG57" s="63">
        <f>CG59/CG54</f>
        <v/>
      </c>
      <c r="CH57" s="62">
        <f>U57</f>
        <v/>
      </c>
      <c r="CI57" s="62" t="n"/>
      <c r="CJ57" s="810" t="n">
        <v>1.69</v>
      </c>
      <c r="CK57" s="63">
        <f>CK59/CK54</f>
        <v/>
      </c>
      <c r="CL57" s="62">
        <f>V57</f>
        <v/>
      </c>
      <c r="CM57" s="1006" t="n"/>
      <c r="CN57" s="810" t="n">
        <v>1.63</v>
      </c>
      <c r="CO57" s="63">
        <f>CO59/CO54</f>
        <v/>
      </c>
      <c r="CP57" s="63">
        <f>W57</f>
        <v/>
      </c>
      <c r="CQ57" s="1017" t="n"/>
      <c r="CR57" s="810" t="n">
        <v>1.6</v>
      </c>
      <c r="CS57" s="810" t="n">
        <v>2.47</v>
      </c>
      <c r="CT57" s="63">
        <f>CT59/CT54</f>
        <v/>
      </c>
      <c r="CU57" s="1017">
        <f>X57</f>
        <v/>
      </c>
      <c r="CV57" s="179" t="n"/>
      <c r="CW57" s="810" t="n">
        <v>1.66</v>
      </c>
      <c r="CX57" s="63">
        <f>CX59/CX54</f>
        <v/>
      </c>
      <c r="CY57" s="1017">
        <f>Y57</f>
        <v/>
      </c>
      <c r="CZ57" s="179" t="n"/>
      <c r="DA57" s="810" t="n">
        <v>2.26</v>
      </c>
      <c r="DB57" s="63">
        <f>DB59/DB54</f>
        <v/>
      </c>
      <c r="DC57" s="1017">
        <f>Z57</f>
        <v/>
      </c>
      <c r="DD57" s="179" t="n"/>
      <c r="DE57" s="810" t="n">
        <v>2.42</v>
      </c>
      <c r="DF57" s="63">
        <f>DF59/DF54</f>
        <v/>
      </c>
      <c r="DG57" s="1017">
        <f>AA57</f>
        <v/>
      </c>
      <c r="DH57" s="118" t="n"/>
      <c r="DI57" s="810" t="n">
        <v>2.41</v>
      </c>
      <c r="DJ57" s="63">
        <f>DJ59/DJ54</f>
        <v/>
      </c>
      <c r="DK57" s="1017">
        <f>AB57</f>
        <v/>
      </c>
      <c r="DL57" s="1017" t="n"/>
      <c r="DM57" s="810" t="n">
        <v>2.33</v>
      </c>
      <c r="DN57" s="63">
        <f>DN59/DN54</f>
        <v/>
      </c>
      <c r="DO57" s="1017">
        <f>AC57</f>
        <v/>
      </c>
      <c r="DP57" s="118" t="n"/>
      <c r="DQ57" s="810" t="n">
        <v>2.17</v>
      </c>
      <c r="DR57" s="63">
        <f>DR59/DR54</f>
        <v/>
      </c>
      <c r="DS57" s="63">
        <f>AD57</f>
        <v/>
      </c>
      <c r="DT57" s="63" t="n"/>
      <c r="DU57" s="810" t="n">
        <v>1.93</v>
      </c>
      <c r="DV57" s="63">
        <f>DV59/DV54</f>
        <v/>
      </c>
      <c r="DW57" s="58">
        <f>AE57</f>
        <v/>
      </c>
      <c r="DX57" s="63" t="n"/>
      <c r="DY57" s="810" t="n">
        <v>1.59</v>
      </c>
      <c r="DZ57" s="63">
        <f>DZ59/DZ54</f>
        <v/>
      </c>
      <c r="EA57" s="58">
        <f>AF57</f>
        <v/>
      </c>
      <c r="EB57" s="994" t="n"/>
      <c r="EC57" s="810" t="n">
        <v>1.66</v>
      </c>
      <c r="ED57" s="63">
        <f>ED59/ED54</f>
        <v/>
      </c>
      <c r="EE57" s="58">
        <f>AG57</f>
        <v/>
      </c>
      <c r="EF57" s="58" t="n"/>
      <c r="EG57" s="810" t="n">
        <v>1.93</v>
      </c>
      <c r="EH57" s="63">
        <f>EH59/EH54</f>
        <v/>
      </c>
      <c r="EI57" s="58">
        <f>AH57</f>
        <v/>
      </c>
      <c r="EJ57" s="58" t="n"/>
      <c r="EK57" s="810" t="n">
        <v>1.88</v>
      </c>
      <c r="EL57" s="63">
        <f>EL59/EL54</f>
        <v/>
      </c>
      <c r="EM57" s="58">
        <f>AI57</f>
        <v/>
      </c>
      <c r="EN57" s="58" t="n"/>
      <c r="EO57" s="810" t="n">
        <v>2.71</v>
      </c>
      <c r="EP57" s="63">
        <f>EP59/EP54</f>
        <v/>
      </c>
      <c r="EQ57" s="58">
        <f>AJ57</f>
        <v/>
      </c>
      <c r="ER57" s="58" t="n"/>
      <c r="ES57" s="810" t="n">
        <v>3.37</v>
      </c>
      <c r="ET57" s="63">
        <f>ET59/ET54</f>
        <v/>
      </c>
      <c r="EU57" s="58">
        <f>AK57</f>
        <v/>
      </c>
      <c r="EV57" s="58" t="n"/>
      <c r="EW57" s="810" t="n">
        <v>5.72</v>
      </c>
      <c r="EX57" s="63">
        <f>EX59/EX54</f>
        <v/>
      </c>
      <c r="EY57" s="58">
        <f>AL57</f>
        <v/>
      </c>
      <c r="EZ57" s="181" t="n"/>
      <c r="FA57" s="810" t="n">
        <v>2.76</v>
      </c>
      <c r="FB57" s="63">
        <f>FB59/FB54</f>
        <v/>
      </c>
      <c r="FC57" s="58">
        <f>AM57</f>
        <v/>
      </c>
      <c r="FD57" s="181" t="n"/>
      <c r="FE57" s="810" t="n">
        <v>2.68</v>
      </c>
      <c r="FF57" s="63">
        <f>FF59/FF54</f>
        <v/>
      </c>
      <c r="FG57" s="58">
        <f>AN57</f>
        <v/>
      </c>
      <c r="FI57" s="810" t="n">
        <v>2.59</v>
      </c>
      <c r="FJ57" s="63">
        <f>FJ59/FJ54</f>
        <v/>
      </c>
      <c r="FK57" s="58">
        <f>AO57</f>
        <v/>
      </c>
      <c r="FM57" s="810" t="n">
        <v>3.06</v>
      </c>
      <c r="FN57" s="58">
        <f>FJ57*(1+FN58)</f>
        <v/>
      </c>
      <c r="FO57" s="58">
        <f>AP57</f>
        <v/>
      </c>
    </row>
    <row r="58" ht="14.25" customFormat="1" customHeight="1" s="986">
      <c r="A58" s="987" t="inlineStr">
        <is>
          <t>cargo yield chg</t>
        </is>
      </c>
      <c r="B58" s="988" t="inlineStr">
        <is>
          <t>Change in cargo yield</t>
        </is>
      </c>
      <c r="D58" s="986">
        <f>D57/C57-1</f>
        <v/>
      </c>
      <c r="E58" s="986">
        <f>E57/D57-1</f>
        <v/>
      </c>
      <c r="F58" s="986">
        <f>F57/E57-1</f>
        <v/>
      </c>
      <c r="G58" s="986">
        <f>G57/F57-1</f>
        <v/>
      </c>
      <c r="H58" s="1021">
        <f>H57/G57-1</f>
        <v/>
      </c>
      <c r="I58" s="1021">
        <f>I57/H57-1</f>
        <v/>
      </c>
      <c r="J58" s="986">
        <f>J57/I57-1</f>
        <v/>
      </c>
      <c r="K58" s="986">
        <f>K57/J57-1</f>
        <v/>
      </c>
      <c r="L58" s="989">
        <f>-0.072</f>
        <v/>
      </c>
      <c r="M58" s="990" t="n">
        <v>-0.006</v>
      </c>
      <c r="N58" s="990">
        <f>N57/M57-1</f>
        <v/>
      </c>
      <c r="O58" s="990">
        <f>O57/N57-1</f>
        <v/>
      </c>
      <c r="P58" s="990">
        <f>P57/O57-1</f>
        <v/>
      </c>
      <c r="Q58" s="990">
        <f>Q57/P57-1</f>
        <v/>
      </c>
      <c r="R58" s="990">
        <f>R57/Q57-1</f>
        <v/>
      </c>
      <c r="S58" s="990">
        <f>S57/R57-1</f>
        <v/>
      </c>
      <c r="T58" s="990">
        <f>T57/S57-1</f>
        <v/>
      </c>
      <c r="U58" s="990">
        <f>U57/T57-1</f>
        <v/>
      </c>
      <c r="V58" s="990">
        <f>V57/U57-1</f>
        <v/>
      </c>
      <c r="W58" s="990">
        <f>W57/V57-1</f>
        <v/>
      </c>
      <c r="X58" s="990">
        <f>X57/W57-1</f>
        <v/>
      </c>
      <c r="Y58" s="990">
        <f>Y57/X57-1</f>
        <v/>
      </c>
      <c r="Z58" s="990">
        <f>Z57/Y57-1</f>
        <v/>
      </c>
      <c r="AA58" s="990">
        <f>AA57/Z57-1</f>
        <v/>
      </c>
      <c r="AB58" s="990">
        <f>AB57/AA57-1</f>
        <v/>
      </c>
      <c r="AC58" s="990">
        <f>AC57/AB57-1</f>
        <v/>
      </c>
      <c r="AD58" s="990">
        <f>AD57/AC57-1</f>
        <v/>
      </c>
      <c r="AE58" s="990">
        <f>AE57/AD57-1</f>
        <v/>
      </c>
      <c r="AF58" s="990">
        <f>AF57/AE57-1</f>
        <v/>
      </c>
      <c r="AG58" s="990">
        <f>AG57/AF57-1</f>
        <v/>
      </c>
      <c r="AH58" s="990">
        <f>AH57/AG57-1</f>
        <v/>
      </c>
      <c r="AI58" s="990">
        <f>AI57/AH57-1</f>
        <v/>
      </c>
      <c r="AJ58" s="990">
        <f>AJ57/AI57-1</f>
        <v/>
      </c>
      <c r="AK58" s="990">
        <f>AK57/AJ57-1</f>
        <v/>
      </c>
      <c r="AL58" s="990">
        <f>AL57/AK57-1</f>
        <v/>
      </c>
      <c r="AM58" s="990">
        <f>AM57/AL57-1</f>
        <v/>
      </c>
      <c r="AN58" s="990">
        <f>AN57/AM57-1</f>
        <v/>
      </c>
      <c r="AO58" s="990">
        <f>AO57/AN57-1</f>
        <v/>
      </c>
      <c r="AP58" s="990">
        <f>AP57/AO57-1</f>
        <v/>
      </c>
      <c r="AQ58" s="1007" t="n">
        <v>-0.05</v>
      </c>
      <c r="AR58" s="1007" t="n">
        <v>0</v>
      </c>
      <c r="AS58" s="1007" t="n">
        <v>0</v>
      </c>
      <c r="AT58" s="1007" t="n">
        <v>0</v>
      </c>
      <c r="AU58" s="288" t="n"/>
      <c r="AV58" s="991" t="n"/>
      <c r="AW58" s="991" t="n"/>
      <c r="AX58" s="992" t="n"/>
      <c r="AY58" s="991" t="n"/>
      <c r="AZ58" s="991" t="n"/>
      <c r="BA58" s="991" t="n"/>
      <c r="BB58" s="992" t="n"/>
      <c r="BD58" s="993" t="n"/>
      <c r="BE58" s="993" t="n"/>
      <c r="BF58" s="992" t="n"/>
      <c r="BH58" s="993" t="n"/>
      <c r="BI58" s="993" t="n"/>
      <c r="BJ58" s="992" t="n"/>
      <c r="BL58" s="993" t="n"/>
      <c r="BM58" s="993" t="n"/>
      <c r="BN58" s="992" t="n"/>
      <c r="BP58" s="993" t="n"/>
      <c r="BQ58" s="993" t="n"/>
      <c r="BR58" s="993" t="n"/>
      <c r="BT58" s="993" t="n"/>
      <c r="BU58" s="993" t="n"/>
      <c r="BV58" s="992" t="n"/>
      <c r="BX58" s="993" t="n"/>
      <c r="BY58" s="993" t="n"/>
      <c r="BZ58" s="992" t="n"/>
      <c r="CB58" s="993" t="n"/>
      <c r="CC58" s="993" t="n"/>
      <c r="CD58" s="992" t="n"/>
      <c r="CE58" s="993" t="n"/>
      <c r="CF58" s="993">
        <f>CF57/CB57-1</f>
        <v/>
      </c>
      <c r="CG58" s="993">
        <f>CG57/CC57-1</f>
        <v/>
      </c>
      <c r="CH58" s="992">
        <f>U58</f>
        <v/>
      </c>
      <c r="CI58" s="992" t="n"/>
      <c r="CJ58" s="993">
        <f>CJ57/CF57-1</f>
        <v/>
      </c>
      <c r="CK58" s="993">
        <f>CK57/CG57-1</f>
        <v/>
      </c>
      <c r="CL58" s="992">
        <f>V58</f>
        <v/>
      </c>
      <c r="CM58" s="992" t="n"/>
      <c r="CN58" s="993">
        <f>CN57/CJ57-1</f>
        <v/>
      </c>
      <c r="CO58" s="993">
        <f>CO57/CK57-1</f>
        <v/>
      </c>
      <c r="CP58" s="1044">
        <f>W58</f>
        <v/>
      </c>
      <c r="CQ58" s="1044" t="n"/>
      <c r="CR58" s="993">
        <f>CR57/CN57-1</f>
        <v/>
      </c>
      <c r="CS58" s="993">
        <f>CS57/CN57-1</f>
        <v/>
      </c>
      <c r="CT58" s="993">
        <f>CT57/CO57-1</f>
        <v/>
      </c>
      <c r="CU58" s="991">
        <f>X58</f>
        <v/>
      </c>
      <c r="CV58" s="991" t="n"/>
      <c r="CW58" s="993">
        <f>CW57/CS57-1</f>
        <v/>
      </c>
      <c r="CX58" s="993">
        <f>CX57/CT57-1</f>
        <v/>
      </c>
      <c r="CY58" s="993">
        <f>CY57/CU57-1</f>
        <v/>
      </c>
      <c r="CZ58" s="991" t="n"/>
      <c r="DA58" s="993">
        <f>DA57/CW57-1</f>
        <v/>
      </c>
      <c r="DB58" s="993">
        <f>DB57/CX57-1</f>
        <v/>
      </c>
      <c r="DC58" s="991">
        <f>Z58</f>
        <v/>
      </c>
      <c r="DD58" s="991" t="n"/>
      <c r="DE58" s="993">
        <f>DE57/DA57-1</f>
        <v/>
      </c>
      <c r="DF58" s="993">
        <f>DF57/DB57-1</f>
        <v/>
      </c>
      <c r="DG58" s="991">
        <f>AA58</f>
        <v/>
      </c>
      <c r="DH58" s="290" t="n"/>
      <c r="DI58" s="993">
        <f>DI57/DE57-1</f>
        <v/>
      </c>
      <c r="DJ58" s="993">
        <f>DJ57/DF57-1</f>
        <v/>
      </c>
      <c r="DK58" s="991">
        <f>AB58</f>
        <v/>
      </c>
      <c r="DL58" s="991" t="n"/>
      <c r="DM58" s="991">
        <f>DM57/DI57-1</f>
        <v/>
      </c>
      <c r="DN58" s="991">
        <f>DN57/DJ57-1</f>
        <v/>
      </c>
      <c r="DO58" s="991">
        <f>AC58</f>
        <v/>
      </c>
      <c r="DP58" s="290" t="n"/>
      <c r="DQ58" s="990">
        <f>DQ57/DM57-1</f>
        <v/>
      </c>
      <c r="DR58" s="990">
        <f>+DR57/DN57-1</f>
        <v/>
      </c>
      <c r="DS58" s="991">
        <f>AD58</f>
        <v/>
      </c>
      <c r="DT58" s="991" t="n"/>
      <c r="DU58" s="990">
        <f>DU57/DQ57-1</f>
        <v/>
      </c>
      <c r="DV58" s="990">
        <f>+DV57/DR57-1</f>
        <v/>
      </c>
      <c r="DW58" s="990">
        <f>AE58</f>
        <v/>
      </c>
      <c r="DX58" s="991" t="n"/>
      <c r="DY58" s="990">
        <f>DY57/DU57-1</f>
        <v/>
      </c>
      <c r="DZ58" s="990">
        <f>+DZ57/DV57-1</f>
        <v/>
      </c>
      <c r="EA58" s="990">
        <f>AF58</f>
        <v/>
      </c>
      <c r="EB58" s="1021" t="n"/>
      <c r="EC58" s="990">
        <f>EC57/DY57-1</f>
        <v/>
      </c>
      <c r="ED58" s="990">
        <f>+ED57/DZ57-1</f>
        <v/>
      </c>
      <c r="EE58" s="990">
        <f>AG58</f>
        <v/>
      </c>
      <c r="EF58" s="990" t="n"/>
      <c r="EG58" s="990">
        <f>EG57/EC57-1</f>
        <v/>
      </c>
      <c r="EH58" s="990">
        <f>+EH57/ED57-1</f>
        <v/>
      </c>
      <c r="EI58" s="990">
        <f>AH58</f>
        <v/>
      </c>
      <c r="EJ58" s="990" t="n"/>
      <c r="EK58" s="990">
        <f>EK57/EG57-1</f>
        <v/>
      </c>
      <c r="EL58" s="990">
        <f>+EL57/EH57-1</f>
        <v/>
      </c>
      <c r="EM58" s="990">
        <f>AI58</f>
        <v/>
      </c>
      <c r="EN58" s="990" t="n"/>
      <c r="EO58" s="990">
        <f>EO57/EK57-1</f>
        <v/>
      </c>
      <c r="EP58" s="990">
        <f>+EP57/EL57-1</f>
        <v/>
      </c>
      <c r="EQ58" s="990">
        <f>AJ58</f>
        <v/>
      </c>
      <c r="ER58" s="990" t="n"/>
      <c r="ES58" s="990">
        <f>ES57/EO57-1</f>
        <v/>
      </c>
      <c r="ET58" s="990">
        <f>+ET57/EP57-1</f>
        <v/>
      </c>
      <c r="EU58" s="990">
        <f>AK58</f>
        <v/>
      </c>
      <c r="EV58" s="990" t="n"/>
      <c r="EW58" s="990">
        <f>EW57/ES57-1</f>
        <v/>
      </c>
      <c r="EX58" s="990">
        <f>EX57/ET57-1</f>
        <v/>
      </c>
      <c r="EY58" s="990">
        <f>AL58</f>
        <v/>
      </c>
      <c r="FA58" s="990">
        <f>FA57/EW57-1</f>
        <v/>
      </c>
      <c r="FB58" s="990">
        <f>FB57/EX57-1</f>
        <v/>
      </c>
      <c r="FC58" s="990">
        <f>AM58</f>
        <v/>
      </c>
      <c r="FE58" s="990">
        <f>FE57/FA57-1</f>
        <v/>
      </c>
      <c r="FF58" s="990">
        <f>FF57/FB57-1</f>
        <v/>
      </c>
      <c r="FG58" s="990">
        <f>AN58</f>
        <v/>
      </c>
      <c r="FI58" s="990">
        <f>FI57/FE57-1</f>
        <v/>
      </c>
      <c r="FJ58" s="990">
        <f>FJ57/FF57-1</f>
        <v/>
      </c>
      <c r="FK58" s="990">
        <f>AO58</f>
        <v/>
      </c>
      <c r="FM58" s="990">
        <f>FM57/FI57-1</f>
        <v/>
      </c>
      <c r="FN58" s="1007" t="n">
        <v>0.15</v>
      </c>
      <c r="FO58" s="990">
        <f>AP58</f>
        <v/>
      </c>
    </row>
    <row r="59" ht="14.25" customFormat="1" customHeight="1" s="986">
      <c r="A59" s="987" t="n"/>
      <c r="B59" s="57" t="inlineStr">
        <is>
          <t>Cathay Cargo Revenue</t>
        </is>
      </c>
      <c r="H59" s="1021" t="n"/>
      <c r="I59" s="1021" t="n"/>
      <c r="L59" s="989" t="n"/>
      <c r="M59" s="990" t="n"/>
      <c r="N59" s="799" t="n"/>
      <c r="O59" s="799">
        <f>O54*O57</f>
        <v/>
      </c>
      <c r="P59" s="799">
        <f>P54*P57</f>
        <v/>
      </c>
      <c r="Q59" s="799">
        <f>Q54*Q57</f>
        <v/>
      </c>
      <c r="R59" s="799">
        <f>R54*R57</f>
        <v/>
      </c>
      <c r="S59" s="799">
        <f>S54*S57</f>
        <v/>
      </c>
      <c r="T59" s="799">
        <f>T54*T57</f>
        <v/>
      </c>
      <c r="U59" s="799">
        <f>U54*U57</f>
        <v/>
      </c>
      <c r="V59" s="799">
        <f>V54*V57</f>
        <v/>
      </c>
      <c r="W59" s="799">
        <f>W54*W57</f>
        <v/>
      </c>
      <c r="X59" s="799">
        <f>X54*X57</f>
        <v/>
      </c>
      <c r="Y59" s="799">
        <f>Y54*Y57</f>
        <v/>
      </c>
      <c r="Z59" s="799">
        <f>Z54*Z57</f>
        <v/>
      </c>
      <c r="AA59" s="799">
        <f>AA54*AA57</f>
        <v/>
      </c>
      <c r="AB59" s="799">
        <f>AB54*AB57</f>
        <v/>
      </c>
      <c r="AC59" s="799">
        <f>AC54*AC57</f>
        <v/>
      </c>
      <c r="AD59" s="799">
        <f>AD54*AD57</f>
        <v/>
      </c>
      <c r="AE59" s="799">
        <f>AE54*AE57</f>
        <v/>
      </c>
      <c r="AF59" s="799">
        <f>AF54*AF57</f>
        <v/>
      </c>
      <c r="AG59" s="799">
        <f>AG54*AG57</f>
        <v/>
      </c>
      <c r="AH59" s="799">
        <f>AH54*AH57</f>
        <v/>
      </c>
      <c r="AI59" s="799">
        <f>AI54*AI57</f>
        <v/>
      </c>
      <c r="AJ59" s="799">
        <f>AJ54*AJ57</f>
        <v/>
      </c>
      <c r="AK59" s="799">
        <f>AK54*AK57</f>
        <v/>
      </c>
      <c r="AL59" s="799">
        <f>AL54*AL57</f>
        <v/>
      </c>
      <c r="AM59" s="799">
        <f>AM54*AM57</f>
        <v/>
      </c>
      <c r="AN59" s="799">
        <f>AN54*AN57</f>
        <v/>
      </c>
      <c r="AO59" s="799">
        <f>SUM(FI59:FJ59)</f>
        <v/>
      </c>
      <c r="AP59" s="799">
        <f>SUM(FM59:FN59)</f>
        <v/>
      </c>
      <c r="AQ59" s="799">
        <f>AQ54*AQ57</f>
        <v/>
      </c>
      <c r="AR59" s="799">
        <f>AR54*AR57</f>
        <v/>
      </c>
      <c r="AS59" s="799">
        <f>AS54*AS57</f>
        <v/>
      </c>
      <c r="AT59" s="799">
        <f>AT54*AT57</f>
        <v/>
      </c>
      <c r="AU59" s="288" t="n"/>
      <c r="AV59" s="991" t="n"/>
      <c r="AW59" s="991" t="n"/>
      <c r="AX59" s="992" t="n"/>
      <c r="AY59" s="991" t="n"/>
      <c r="AZ59" s="991" t="n"/>
      <c r="BA59" s="991" t="n"/>
      <c r="BB59" s="992" t="n"/>
      <c r="BD59" s="993" t="n"/>
      <c r="BE59" s="993" t="n"/>
      <c r="BF59" s="992" t="n"/>
      <c r="BH59" s="993" t="n"/>
      <c r="BI59" s="993" t="n"/>
      <c r="BJ59" s="992" t="n"/>
      <c r="BL59" s="993" t="n"/>
      <c r="BM59" s="993" t="n"/>
      <c r="BN59" s="992" t="n"/>
      <c r="BP59" s="993" t="n"/>
      <c r="BQ59" s="993" t="n"/>
      <c r="BR59" s="993" t="n"/>
      <c r="BT59" s="993" t="n"/>
      <c r="BU59" s="993" t="n"/>
      <c r="BV59" s="992" t="n"/>
      <c r="BX59" s="993" t="n"/>
      <c r="BY59" s="993" t="n"/>
      <c r="BZ59" s="992" t="n"/>
      <c r="CB59" s="731">
        <f>CB54*CB57</f>
        <v/>
      </c>
      <c r="CC59" s="731">
        <f>CD59-CB59</f>
        <v/>
      </c>
      <c r="CD59" s="731">
        <f>T59</f>
        <v/>
      </c>
      <c r="CE59" s="993" t="n"/>
      <c r="CF59" s="731">
        <f>CF54*CF57</f>
        <v/>
      </c>
      <c r="CG59" s="731">
        <f>CH59-CF59</f>
        <v/>
      </c>
      <c r="CH59" s="731">
        <f>U59</f>
        <v/>
      </c>
      <c r="CI59" s="992" t="n"/>
      <c r="CJ59" s="731">
        <f>CJ54*CJ57</f>
        <v/>
      </c>
      <c r="CK59" s="731">
        <f>CL59-CJ59</f>
        <v/>
      </c>
      <c r="CL59" s="731">
        <f>V59</f>
        <v/>
      </c>
      <c r="CM59" s="992" t="n"/>
      <c r="CN59" s="731">
        <f>CN54*CN57</f>
        <v/>
      </c>
      <c r="CO59" s="731">
        <f>CP59-CN59</f>
        <v/>
      </c>
      <c r="CP59" s="731">
        <f>W59</f>
        <v/>
      </c>
      <c r="CQ59" s="1044" t="n"/>
      <c r="CR59" s="731">
        <f>CR54*CR57</f>
        <v/>
      </c>
      <c r="CS59" s="731">
        <f>CS54*CS57</f>
        <v/>
      </c>
      <c r="CT59" s="731">
        <f>CU59-CS59</f>
        <v/>
      </c>
      <c r="CU59" s="731">
        <f>X59</f>
        <v/>
      </c>
      <c r="CV59" s="991" t="n"/>
      <c r="CW59" s="731">
        <f>CW54*CW57</f>
        <v/>
      </c>
      <c r="CX59" s="731">
        <f>CY59-CW59</f>
        <v/>
      </c>
      <c r="CY59" s="731">
        <f>Y59</f>
        <v/>
      </c>
      <c r="CZ59" s="991" t="n"/>
      <c r="DA59" s="731">
        <f>DA54*DA57</f>
        <v/>
      </c>
      <c r="DB59" s="731">
        <f>DC59-DA59</f>
        <v/>
      </c>
      <c r="DC59" s="23">
        <f>Z59</f>
        <v/>
      </c>
      <c r="DD59" s="991" t="n"/>
      <c r="DE59" s="731">
        <f>DE54*DE57</f>
        <v/>
      </c>
      <c r="DF59" s="731">
        <f>DG59-DE59</f>
        <v/>
      </c>
      <c r="DG59" s="23">
        <f>AA59</f>
        <v/>
      </c>
      <c r="DH59" s="290" t="n"/>
      <c r="DI59" s="731">
        <f>DI54*DI57</f>
        <v/>
      </c>
      <c r="DJ59" s="731">
        <f>DK59-DI59</f>
        <v/>
      </c>
      <c r="DK59" s="23">
        <f>AB59</f>
        <v/>
      </c>
      <c r="DL59" s="991" t="n"/>
      <c r="DM59" s="731">
        <f>DM54*DM57</f>
        <v/>
      </c>
      <c r="DN59" s="731">
        <f>DO59-DM59</f>
        <v/>
      </c>
      <c r="DO59" s="23">
        <f>AC59</f>
        <v/>
      </c>
      <c r="DP59" s="290" t="n"/>
      <c r="DQ59" s="731">
        <f>DQ54*DQ57</f>
        <v/>
      </c>
      <c r="DR59" s="731">
        <f>DS59-DQ59</f>
        <v/>
      </c>
      <c r="DS59" s="23">
        <f>AD59</f>
        <v/>
      </c>
      <c r="DT59" s="991" t="n"/>
      <c r="DU59" s="731">
        <f>DU54*DU57</f>
        <v/>
      </c>
      <c r="DV59" s="731">
        <f>DW59-DU59</f>
        <v/>
      </c>
      <c r="DW59" s="23">
        <f>AE59</f>
        <v/>
      </c>
      <c r="DX59" s="991" t="n"/>
      <c r="DY59" s="731">
        <f>DY54*DY57</f>
        <v/>
      </c>
      <c r="DZ59" s="731">
        <f>EA59-DY59</f>
        <v/>
      </c>
      <c r="EA59" s="23">
        <f>AF59</f>
        <v/>
      </c>
      <c r="EB59" s="1021" t="n"/>
      <c r="EC59" s="731">
        <f>EC54*EC57</f>
        <v/>
      </c>
      <c r="ED59" s="731">
        <f>EE59-EC59</f>
        <v/>
      </c>
      <c r="EE59" s="23">
        <f>AG59</f>
        <v/>
      </c>
      <c r="EF59" s="990" t="n"/>
      <c r="EG59" s="731">
        <f>EG54*EG57</f>
        <v/>
      </c>
      <c r="EH59" s="731">
        <f>EI59-EG59</f>
        <v/>
      </c>
      <c r="EI59" s="23">
        <f>AH59</f>
        <v/>
      </c>
      <c r="EJ59" s="990" t="n"/>
      <c r="EK59" s="731">
        <f>EK54*EK57</f>
        <v/>
      </c>
      <c r="EL59" s="731">
        <f>EM59-EK59</f>
        <v/>
      </c>
      <c r="EM59" s="23">
        <f>AI59</f>
        <v/>
      </c>
      <c r="EN59" s="990" t="n"/>
      <c r="EO59" s="731">
        <f>EO54*EO57</f>
        <v/>
      </c>
      <c r="EP59" s="731">
        <f>EQ59-EO59</f>
        <v/>
      </c>
      <c r="EQ59" s="23">
        <f>AJ59</f>
        <v/>
      </c>
      <c r="ER59" s="990" t="n"/>
      <c r="ES59" s="731">
        <f>ES54*ES57</f>
        <v/>
      </c>
      <c r="ET59" s="731">
        <f>EU59-ES59</f>
        <v/>
      </c>
      <c r="EU59" s="23">
        <f>AK59</f>
        <v/>
      </c>
      <c r="EV59" s="990" t="n"/>
      <c r="EW59" s="731">
        <f>EW54*EW57</f>
        <v/>
      </c>
      <c r="EX59" s="731">
        <f>EY59-EW59</f>
        <v/>
      </c>
      <c r="EY59" s="23">
        <f>AL59</f>
        <v/>
      </c>
      <c r="FA59" s="731">
        <f>FA54*FA57</f>
        <v/>
      </c>
      <c r="FB59" s="731">
        <f>FC59-FA59</f>
        <v/>
      </c>
      <c r="FC59" s="23">
        <f>AM59</f>
        <v/>
      </c>
      <c r="FE59" s="731">
        <f>FE54*FE57</f>
        <v/>
      </c>
      <c r="FF59" s="731">
        <f>FG59-FE59</f>
        <v/>
      </c>
      <c r="FG59" s="23">
        <f>AN59</f>
        <v/>
      </c>
      <c r="FI59" s="731">
        <f>FI54*FI57</f>
        <v/>
      </c>
      <c r="FJ59" s="731">
        <f>FK59-FI59</f>
        <v/>
      </c>
      <c r="FK59" s="23">
        <f>AO59</f>
        <v/>
      </c>
      <c r="FM59" s="731">
        <f>FM54*FM57</f>
        <v/>
      </c>
      <c r="FN59" s="731">
        <f>FN54*FN57</f>
        <v/>
      </c>
      <c r="FO59" s="23">
        <f>AP59</f>
        <v/>
      </c>
    </row>
    <row r="60" ht="14.25" customFormat="1" customHeight="1" s="986">
      <c r="A60" s="987" t="n"/>
      <c r="B60" s="988" t="inlineStr">
        <is>
          <t>YoY %</t>
        </is>
      </c>
      <c r="H60" s="1021" t="n"/>
      <c r="I60" s="1021" t="n"/>
      <c r="L60" s="989" t="n"/>
      <c r="M60" s="990" t="n"/>
      <c r="N60" s="989" t="n"/>
      <c r="O60" s="989" t="n"/>
      <c r="P60" s="989">
        <f>P59/O59-1</f>
        <v/>
      </c>
      <c r="Q60" s="989">
        <f>Q59/P59-1</f>
        <v/>
      </c>
      <c r="R60" s="989">
        <f>R59/Q59-1</f>
        <v/>
      </c>
      <c r="S60" s="989">
        <f>S59/R59-1</f>
        <v/>
      </c>
      <c r="T60" s="989">
        <f>T59/S59-1</f>
        <v/>
      </c>
      <c r="U60" s="989">
        <f>U59/T59-1</f>
        <v/>
      </c>
      <c r="V60" s="989">
        <f>V59/U59-1</f>
        <v/>
      </c>
      <c r="W60" s="989">
        <f>W59/V59-1</f>
        <v/>
      </c>
      <c r="X60" s="989">
        <f>X59/W59-1</f>
        <v/>
      </c>
      <c r="Y60" s="989">
        <f>Y59/X59-1</f>
        <v/>
      </c>
      <c r="Z60" s="989">
        <f>Z59/Y59-1</f>
        <v/>
      </c>
      <c r="AA60" s="989">
        <f>AA59/Z59-1</f>
        <v/>
      </c>
      <c r="AB60" s="989">
        <f>AB59/AA59-1</f>
        <v/>
      </c>
      <c r="AC60" s="989">
        <f>AC59/AB59-1</f>
        <v/>
      </c>
      <c r="AD60" s="989">
        <f>AD59/AC59-1</f>
        <v/>
      </c>
      <c r="AE60" s="989">
        <f>AE59/AD59-1</f>
        <v/>
      </c>
      <c r="AF60" s="989">
        <f>AF59/AE59-1</f>
        <v/>
      </c>
      <c r="AG60" s="989">
        <f>AG59/AF59-1</f>
        <v/>
      </c>
      <c r="AH60" s="989">
        <f>AH59/AG59-1</f>
        <v/>
      </c>
      <c r="AI60" s="989">
        <f>AI59/AH59-1</f>
        <v/>
      </c>
      <c r="AJ60" s="989">
        <f>AJ59/AI59-1</f>
        <v/>
      </c>
      <c r="AK60" s="989">
        <f>AK59/AJ59-1</f>
        <v/>
      </c>
      <c r="AL60" s="989">
        <f>AL59/AK59-1</f>
        <v/>
      </c>
      <c r="AM60" s="989">
        <f>AM59/AL59-1</f>
        <v/>
      </c>
      <c r="AN60" s="989">
        <f>AN59/AM59-1</f>
        <v/>
      </c>
      <c r="AO60" s="989">
        <f>AO59/AN59-1</f>
        <v/>
      </c>
      <c r="AP60" s="989">
        <f>AP59/AO59-1</f>
        <v/>
      </c>
      <c r="AQ60" s="989">
        <f>AQ59/AP59-1</f>
        <v/>
      </c>
      <c r="AR60" s="989">
        <f>AR59/AQ59-1</f>
        <v/>
      </c>
      <c r="AS60" s="989">
        <f>AS59/AR59-1</f>
        <v/>
      </c>
      <c r="AT60" s="989">
        <f>AT59/AS59-1</f>
        <v/>
      </c>
      <c r="AU60" s="288" t="n"/>
      <c r="AV60" s="991" t="n"/>
      <c r="AW60" s="991" t="n"/>
      <c r="AX60" s="992" t="n"/>
      <c r="AY60" s="991" t="n"/>
      <c r="AZ60" s="991" t="n"/>
      <c r="BA60" s="991" t="n"/>
      <c r="BB60" s="992" t="n"/>
      <c r="BD60" s="993" t="n"/>
      <c r="BE60" s="993" t="n"/>
      <c r="BF60" s="992" t="n"/>
      <c r="BH60" s="993" t="n"/>
      <c r="BI60" s="993" t="n"/>
      <c r="BJ60" s="992" t="n"/>
      <c r="BL60" s="993" t="n"/>
      <c r="BM60" s="993" t="n"/>
      <c r="BN60" s="992" t="n"/>
      <c r="BP60" s="993" t="n"/>
      <c r="BQ60" s="993" t="n"/>
      <c r="BR60" s="993" t="n"/>
      <c r="BT60" s="993" t="n"/>
      <c r="BU60" s="993" t="n"/>
      <c r="BV60" s="992" t="n"/>
      <c r="BX60" s="993" t="n"/>
      <c r="BY60" s="993" t="n"/>
      <c r="BZ60" s="992" t="n"/>
      <c r="CB60" s="993" t="n"/>
      <c r="CC60" s="993" t="n"/>
      <c r="CD60" s="992" t="n"/>
      <c r="CE60" s="993" t="n"/>
      <c r="CF60" s="993">
        <f>CF59/CB59-1</f>
        <v/>
      </c>
      <c r="CG60" s="993">
        <f>CG59/CC59-1</f>
        <v/>
      </c>
      <c r="CH60" s="993">
        <f>CH59/CD59-1</f>
        <v/>
      </c>
      <c r="CI60" s="992" t="n"/>
      <c r="CJ60" s="993">
        <f>CJ59/CF59-1</f>
        <v/>
      </c>
      <c r="CK60" s="993">
        <f>CK59/CG59-1</f>
        <v/>
      </c>
      <c r="CL60" s="993">
        <f>CL59/CH59-1</f>
        <v/>
      </c>
      <c r="CM60" s="992" t="n"/>
      <c r="CN60" s="993">
        <f>CN59/CJ59-1</f>
        <v/>
      </c>
      <c r="CO60" s="993">
        <f>CO59/CK59-1</f>
        <v/>
      </c>
      <c r="CP60" s="993">
        <f>CP59/CL59-1</f>
        <v/>
      </c>
      <c r="CQ60" s="1044" t="n"/>
      <c r="CR60" s="993">
        <f>CR59/CN59-1</f>
        <v/>
      </c>
      <c r="CS60" s="993">
        <f>CS59/CN59-1</f>
        <v/>
      </c>
      <c r="CT60" s="993">
        <f>CT59/CO59-1</f>
        <v/>
      </c>
      <c r="CU60" s="993">
        <f>CU59/CP59-1</f>
        <v/>
      </c>
      <c r="CV60" s="991" t="n"/>
      <c r="CW60" s="993">
        <f>CW59/CS59-1</f>
        <v/>
      </c>
      <c r="CX60" s="993">
        <f>CX59/CT59-1</f>
        <v/>
      </c>
      <c r="CY60" s="993">
        <f>CY59/CU59-1</f>
        <v/>
      </c>
      <c r="CZ60" s="991" t="n"/>
      <c r="DA60" s="993">
        <f>DA59/CW59-1</f>
        <v/>
      </c>
      <c r="DB60" s="993">
        <f>DB59/CX59-1</f>
        <v/>
      </c>
      <c r="DC60" s="993">
        <f>DC59/CY59-1</f>
        <v/>
      </c>
      <c r="DD60" s="991" t="n"/>
      <c r="DE60" s="993">
        <f>DE59/DA59-1</f>
        <v/>
      </c>
      <c r="DF60" s="993">
        <f>DF59/DB59-1</f>
        <v/>
      </c>
      <c r="DG60" s="993">
        <f>DG59/DC59-1</f>
        <v/>
      </c>
      <c r="DH60" s="290" t="n"/>
      <c r="DI60" s="993">
        <f>DI59/DE59-1</f>
        <v/>
      </c>
      <c r="DJ60" s="993">
        <f>DJ59/DF59-1</f>
        <v/>
      </c>
      <c r="DK60" s="993">
        <f>DK59/DG59-1</f>
        <v/>
      </c>
      <c r="DL60" s="991" t="n"/>
      <c r="DM60" s="993">
        <f>DM59/DI59-1</f>
        <v/>
      </c>
      <c r="DN60" s="993">
        <f>DN59/DJ59-1</f>
        <v/>
      </c>
      <c r="DO60" s="993">
        <f>DO59/DK59-1</f>
        <v/>
      </c>
      <c r="DP60" s="290" t="n"/>
      <c r="DQ60" s="993">
        <f>DQ59/DM59-1</f>
        <v/>
      </c>
      <c r="DR60" s="993">
        <f>DR59/DN59-1</f>
        <v/>
      </c>
      <c r="DS60" s="993">
        <f>DS59/DO59-1</f>
        <v/>
      </c>
      <c r="DT60" s="991" t="n"/>
      <c r="DU60" s="993">
        <f>DU59/DQ59-1</f>
        <v/>
      </c>
      <c r="DV60" s="993">
        <f>DV59/DR59-1</f>
        <v/>
      </c>
      <c r="DW60" s="993">
        <f>DW59/DS59-1</f>
        <v/>
      </c>
      <c r="DX60" s="991" t="n"/>
      <c r="DY60" s="993">
        <f>DY59/DU59-1</f>
        <v/>
      </c>
      <c r="DZ60" s="993">
        <f>DZ59/DV59-1</f>
        <v/>
      </c>
      <c r="EA60" s="993">
        <f>EA59/DW59-1</f>
        <v/>
      </c>
      <c r="EB60" s="1021" t="n"/>
      <c r="EC60" s="993">
        <f>EC59/DY59-1</f>
        <v/>
      </c>
      <c r="ED60" s="993">
        <f>ED59/DZ59-1</f>
        <v/>
      </c>
      <c r="EE60" s="993">
        <f>EE59/EA59-1</f>
        <v/>
      </c>
      <c r="EF60" s="990" t="n"/>
      <c r="EG60" s="993">
        <f>EG59/EC59-1</f>
        <v/>
      </c>
      <c r="EH60" s="993">
        <f>EH59/ED59-1</f>
        <v/>
      </c>
      <c r="EI60" s="993">
        <f>EI59/EE59-1</f>
        <v/>
      </c>
      <c r="EJ60" s="990" t="n"/>
      <c r="EK60" s="993">
        <f>EK59/EG59-1</f>
        <v/>
      </c>
      <c r="EL60" s="993">
        <f>EL59/EH59-1</f>
        <v/>
      </c>
      <c r="EM60" s="993">
        <f>EM59/EI59-1</f>
        <v/>
      </c>
      <c r="EN60" s="990" t="n"/>
      <c r="EO60" s="993">
        <f>EO59/EK59-1</f>
        <v/>
      </c>
      <c r="EP60" s="993">
        <f>EP59/EL59-1</f>
        <v/>
      </c>
      <c r="EQ60" s="993">
        <f>EQ59/EM59-1</f>
        <v/>
      </c>
      <c r="ER60" s="990" t="n"/>
      <c r="ES60" s="993">
        <f>ES59/EO59-1</f>
        <v/>
      </c>
      <c r="ET60" s="993">
        <f>ET59/EP59-1</f>
        <v/>
      </c>
      <c r="EU60" s="993">
        <f>EU59/EQ59-1</f>
        <v/>
      </c>
      <c r="EV60" s="990" t="n"/>
      <c r="EW60" s="993">
        <f>EW59/ES59-1</f>
        <v/>
      </c>
      <c r="EX60" s="993">
        <f>EX59/ET59-1</f>
        <v/>
      </c>
      <c r="EY60" s="993">
        <f>EY59/EU59-1</f>
        <v/>
      </c>
      <c r="FA60" s="993">
        <f>FA59/EW59-1</f>
        <v/>
      </c>
      <c r="FB60" s="993">
        <f>FB59/EX59-1</f>
        <v/>
      </c>
      <c r="FC60" s="993">
        <f>FC59/EY59-1</f>
        <v/>
      </c>
      <c r="FE60" s="993">
        <f>FE59/FA59-1</f>
        <v/>
      </c>
      <c r="FF60" s="993">
        <f>FF59/FB59-1</f>
        <v/>
      </c>
      <c r="FG60" s="993">
        <f>FG59/FC59-1</f>
        <v/>
      </c>
      <c r="FI60" s="993">
        <f>FI59/FE59-1</f>
        <v/>
      </c>
      <c r="FJ60" s="993">
        <f>FJ59/FF59-1</f>
        <v/>
      </c>
      <c r="FK60" s="993">
        <f>FK59/FG59-1</f>
        <v/>
      </c>
      <c r="FM60" s="993">
        <f>FM59/FI59-1</f>
        <v/>
      </c>
      <c r="FN60" s="993">
        <f>FN59/FJ59-1</f>
        <v/>
      </c>
      <c r="FO60" s="993">
        <f>FO59/FK59-1</f>
        <v/>
      </c>
    </row>
    <row r="61" ht="14.25" customFormat="1" customHeight="1" s="986">
      <c r="A61" s="987" t="n"/>
      <c r="B61" s="797" t="inlineStr">
        <is>
          <t>Air Hong Kong Revenue</t>
        </is>
      </c>
      <c r="H61" s="1021" t="n"/>
      <c r="I61" s="1021" t="n"/>
      <c r="L61" s="989" t="n"/>
      <c r="M61" s="990" t="n"/>
      <c r="N61" s="799" t="n"/>
      <c r="O61" s="799">
        <f>O63-O59</f>
        <v/>
      </c>
      <c r="P61" s="799">
        <f>P63-P59</f>
        <v/>
      </c>
      <c r="Q61" s="799">
        <f>Q63-Q59</f>
        <v/>
      </c>
      <c r="R61" s="799">
        <f>R63-R59</f>
        <v/>
      </c>
      <c r="S61" s="799">
        <f>S63-S59</f>
        <v/>
      </c>
      <c r="T61" s="799">
        <f>T63-T59</f>
        <v/>
      </c>
      <c r="U61" s="799">
        <f>U63-U59</f>
        <v/>
      </c>
      <c r="V61" s="799">
        <f>V63-V59</f>
        <v/>
      </c>
      <c r="W61" s="799">
        <f>W63-W59</f>
        <v/>
      </c>
      <c r="X61" s="799">
        <f>X63-X59</f>
        <v/>
      </c>
      <c r="Y61" s="799">
        <f>Y63-Y59</f>
        <v/>
      </c>
      <c r="Z61" s="799">
        <f>Z63-Z59</f>
        <v/>
      </c>
      <c r="AA61" s="799">
        <f>AA63-AA59</f>
        <v/>
      </c>
      <c r="AB61" s="799">
        <f>AB63-AB59</f>
        <v/>
      </c>
      <c r="AC61" s="799">
        <f>AC63-AC59</f>
        <v/>
      </c>
      <c r="AD61" s="799">
        <f>AD63-AD59</f>
        <v/>
      </c>
      <c r="AE61" s="799">
        <f>AE63-AE59</f>
        <v/>
      </c>
      <c r="AF61" s="799">
        <f>AF63-AF59</f>
        <v/>
      </c>
      <c r="AG61" s="799">
        <f>AG63-AG59</f>
        <v/>
      </c>
      <c r="AH61" s="799">
        <f>AH63-AH59</f>
        <v/>
      </c>
      <c r="AI61" s="799">
        <f>AI63-AI59</f>
        <v/>
      </c>
      <c r="AJ61" s="799">
        <f>AJ63-AJ59</f>
        <v/>
      </c>
      <c r="AK61" s="799">
        <f>AK63-AK59</f>
        <v/>
      </c>
      <c r="AL61" s="799">
        <f>AL63-AL59</f>
        <v/>
      </c>
      <c r="AM61" s="799">
        <f>AM63-AM59</f>
        <v/>
      </c>
      <c r="AN61" s="799">
        <f>AN63-AN59</f>
        <v/>
      </c>
      <c r="AO61" s="799">
        <f>SUM(FI61:FJ61)</f>
        <v/>
      </c>
      <c r="AP61" s="799">
        <f>SUM(FM61:FN61)</f>
        <v/>
      </c>
      <c r="AQ61" s="799">
        <f>AP61*(1+AQ62)</f>
        <v/>
      </c>
      <c r="AR61" s="799">
        <f>AQ61*(1+AR62)</f>
        <v/>
      </c>
      <c r="AS61" s="799">
        <f>AR61*(1+AS62)</f>
        <v/>
      </c>
      <c r="AT61" s="799">
        <f>AS61*(1+AT62)</f>
        <v/>
      </c>
      <c r="AU61" s="288" t="n"/>
      <c r="AV61" s="991" t="n"/>
      <c r="AW61" s="991" t="n"/>
      <c r="AX61" s="992" t="n"/>
      <c r="AY61" s="991" t="n"/>
      <c r="AZ61" s="991" t="n"/>
      <c r="BA61" s="991" t="n"/>
      <c r="BB61" s="992" t="n"/>
      <c r="BD61" s="993" t="n"/>
      <c r="BE61" s="993" t="n"/>
      <c r="BF61" s="992" t="n"/>
      <c r="BH61" s="993" t="n"/>
      <c r="BI61" s="993" t="n"/>
      <c r="BJ61" s="992" t="n"/>
      <c r="BL61" s="993" t="n"/>
      <c r="BM61" s="993" t="n"/>
      <c r="BN61" s="992" t="n"/>
      <c r="BP61" s="993" t="n"/>
      <c r="BQ61" s="993" t="n"/>
      <c r="BR61" s="993" t="n"/>
      <c r="BT61" s="993" t="n"/>
      <c r="BU61" s="993" t="n"/>
      <c r="BV61" s="992" t="n"/>
      <c r="BX61" s="993" t="n"/>
      <c r="BY61" s="993" t="n"/>
      <c r="BZ61" s="992" t="n"/>
      <c r="CB61" s="731">
        <f>CB63-CB59</f>
        <v/>
      </c>
      <c r="CC61" s="731">
        <f>CC63-CC59</f>
        <v/>
      </c>
      <c r="CD61" s="731">
        <f>CD63-CD59</f>
        <v/>
      </c>
      <c r="CE61" s="993" t="n"/>
      <c r="CF61" s="731">
        <f>CF63-CF59</f>
        <v/>
      </c>
      <c r="CG61" s="731">
        <f>CG63-CG59</f>
        <v/>
      </c>
      <c r="CH61" s="731">
        <f>CH63-CH59</f>
        <v/>
      </c>
      <c r="CI61" s="992" t="n"/>
      <c r="CJ61" s="731">
        <f>CJ63-CJ59</f>
        <v/>
      </c>
      <c r="CK61" s="731">
        <f>CK63-CK59</f>
        <v/>
      </c>
      <c r="CL61" s="731">
        <f>CL63-CL59</f>
        <v/>
      </c>
      <c r="CM61" s="992" t="n"/>
      <c r="CN61" s="731">
        <f>CN63-CN59</f>
        <v/>
      </c>
      <c r="CO61" s="731">
        <f>CO63-CO59</f>
        <v/>
      </c>
      <c r="CP61" s="731">
        <f>CP63-CP59</f>
        <v/>
      </c>
      <c r="CQ61" s="1044" t="n"/>
      <c r="CR61" s="731">
        <f>CR63-CR59</f>
        <v/>
      </c>
      <c r="CS61" s="731">
        <f>CS63-CS59</f>
        <v/>
      </c>
      <c r="CT61" s="731">
        <f>CT63-CT59</f>
        <v/>
      </c>
      <c r="CU61" s="731">
        <f>CU63-CU59</f>
        <v/>
      </c>
      <c r="CV61" s="991" t="n"/>
      <c r="CW61" s="731">
        <f>CW63-CW59</f>
        <v/>
      </c>
      <c r="CX61" s="731">
        <f>CX63-CX59</f>
        <v/>
      </c>
      <c r="CY61" s="731">
        <f>CY63-CY59</f>
        <v/>
      </c>
      <c r="CZ61" s="991" t="n"/>
      <c r="DA61" s="731">
        <f>DA63-DA59</f>
        <v/>
      </c>
      <c r="DB61" s="731">
        <f>DB63-DB59</f>
        <v/>
      </c>
      <c r="DC61" s="731">
        <f>DC63-DC59</f>
        <v/>
      </c>
      <c r="DD61" s="991" t="n"/>
      <c r="DE61" s="731">
        <f>DE63-DE59</f>
        <v/>
      </c>
      <c r="DF61" s="731">
        <f>DF63-DF59</f>
        <v/>
      </c>
      <c r="DG61" s="731">
        <f>DG63-DG59</f>
        <v/>
      </c>
      <c r="DH61" s="290" t="n"/>
      <c r="DI61" s="731">
        <f>DI63-DI59</f>
        <v/>
      </c>
      <c r="DJ61" s="731">
        <f>DJ63-DJ59</f>
        <v/>
      </c>
      <c r="DK61" s="731">
        <f>DK63-DK59</f>
        <v/>
      </c>
      <c r="DL61" s="991" t="n"/>
      <c r="DM61" s="731">
        <f>DM63-DM59</f>
        <v/>
      </c>
      <c r="DN61" s="731">
        <f>DN63-DN59</f>
        <v/>
      </c>
      <c r="DO61" s="731">
        <f>DO63-DO59</f>
        <v/>
      </c>
      <c r="DP61" s="290" t="n"/>
      <c r="DQ61" s="731">
        <f>DQ63-DQ59</f>
        <v/>
      </c>
      <c r="DR61" s="731">
        <f>DR63-DR59</f>
        <v/>
      </c>
      <c r="DS61" s="731">
        <f>DS63-DS59</f>
        <v/>
      </c>
      <c r="DT61" s="991" t="n"/>
      <c r="DU61" s="731">
        <f>DU63-DU59</f>
        <v/>
      </c>
      <c r="DV61" s="731">
        <f>DV63-DV59</f>
        <v/>
      </c>
      <c r="DW61" s="731">
        <f>DW63-DW59</f>
        <v/>
      </c>
      <c r="DX61" s="991" t="n"/>
      <c r="DY61" s="731">
        <f>DY63-DY59</f>
        <v/>
      </c>
      <c r="DZ61" s="731">
        <f>DZ63-DZ59</f>
        <v/>
      </c>
      <c r="EA61" s="731">
        <f>EA63-EA59</f>
        <v/>
      </c>
      <c r="EB61" s="1021" t="n"/>
      <c r="EC61" s="731">
        <f>EC63-EC59</f>
        <v/>
      </c>
      <c r="ED61" s="731">
        <f>ED63-ED59</f>
        <v/>
      </c>
      <c r="EE61" s="731">
        <f>EE63-EE59</f>
        <v/>
      </c>
      <c r="EF61" s="990" t="n"/>
      <c r="EG61" s="731">
        <f>EG63-EG59</f>
        <v/>
      </c>
      <c r="EH61" s="731">
        <f>EH63-EH59</f>
        <v/>
      </c>
      <c r="EI61" s="731">
        <f>EI63-EI59</f>
        <v/>
      </c>
      <c r="EJ61" s="990" t="n"/>
      <c r="EK61" s="731">
        <f>EK63-EK59</f>
        <v/>
      </c>
      <c r="EL61" s="731">
        <f>EL63-EL59</f>
        <v/>
      </c>
      <c r="EM61" s="731">
        <f>EM63-EM59</f>
        <v/>
      </c>
      <c r="EN61" s="990" t="n"/>
      <c r="EO61" s="731">
        <f>EO63-EO59</f>
        <v/>
      </c>
      <c r="EP61" s="731">
        <f>EP63-EP59</f>
        <v/>
      </c>
      <c r="EQ61" s="731">
        <f>EQ63-EQ59</f>
        <v/>
      </c>
      <c r="ER61" s="990" t="n"/>
      <c r="ES61" s="731">
        <f>ES63-ES59</f>
        <v/>
      </c>
      <c r="ET61" s="731">
        <f>ET63-ET59</f>
        <v/>
      </c>
      <c r="EU61" s="731">
        <f>EU63-EU59</f>
        <v/>
      </c>
      <c r="EV61" s="990" t="n"/>
      <c r="EW61" s="731">
        <f>EW63-EW59</f>
        <v/>
      </c>
      <c r="EX61" s="731">
        <f>EX63-EX59</f>
        <v/>
      </c>
      <c r="EY61" s="731">
        <f>EY63-EY59</f>
        <v/>
      </c>
      <c r="FA61" s="731">
        <f>FA63-FA59</f>
        <v/>
      </c>
      <c r="FB61" s="731">
        <f>FB63-FB59</f>
        <v/>
      </c>
      <c r="FC61" s="731">
        <f>FC63-FC59</f>
        <v/>
      </c>
      <c r="FE61" s="731">
        <f>FE63-FE59</f>
        <v/>
      </c>
      <c r="FF61" s="731">
        <f>FF63-FF59</f>
        <v/>
      </c>
      <c r="FG61" s="731">
        <f>FG63-FG59</f>
        <v/>
      </c>
      <c r="FI61" s="731">
        <f>FI63-FI59</f>
        <v/>
      </c>
      <c r="FJ61" s="731">
        <f>FJ63-FJ59</f>
        <v/>
      </c>
      <c r="FK61" s="731">
        <f>FK63-FK59</f>
        <v/>
      </c>
      <c r="FM61" s="731">
        <f>FM63-FM59</f>
        <v/>
      </c>
      <c r="FN61" s="731">
        <f>FJ61*(1+FN62)</f>
        <v/>
      </c>
      <c r="FO61" s="731">
        <f>FO63-FO59</f>
        <v/>
      </c>
    </row>
    <row r="62" ht="14.25" customFormat="1" customHeight="1" s="986">
      <c r="A62" s="987" t="n"/>
      <c r="B62" s="988" t="inlineStr">
        <is>
          <t>YoY %</t>
        </is>
      </c>
      <c r="H62" s="1021" t="n"/>
      <c r="I62" s="1021" t="n"/>
      <c r="L62" s="989" t="n"/>
      <c r="M62" s="990" t="n"/>
      <c r="N62" s="990" t="n"/>
      <c r="O62" s="990" t="n"/>
      <c r="P62" s="990">
        <f>P61/O61-1</f>
        <v/>
      </c>
      <c r="Q62" s="990">
        <f>Q61/P61-1</f>
        <v/>
      </c>
      <c r="R62" s="990">
        <f>R61/Q61-1</f>
        <v/>
      </c>
      <c r="S62" s="990">
        <f>S61/R61-1</f>
        <v/>
      </c>
      <c r="T62" s="990">
        <f>T61/S61-1</f>
        <v/>
      </c>
      <c r="U62" s="990">
        <f>U61/T61-1</f>
        <v/>
      </c>
      <c r="V62" s="990">
        <f>V61/U61-1</f>
        <v/>
      </c>
      <c r="W62" s="990">
        <f>W61/V61-1</f>
        <v/>
      </c>
      <c r="X62" s="990">
        <f>X61/W61-1</f>
        <v/>
      </c>
      <c r="Y62" s="990">
        <f>Y61/X61-1</f>
        <v/>
      </c>
      <c r="Z62" s="990">
        <f>Z61/Y61-1</f>
        <v/>
      </c>
      <c r="AA62" s="990">
        <f>AA61/Z61-1</f>
        <v/>
      </c>
      <c r="AB62" s="990">
        <f>AB61/AA61-1</f>
        <v/>
      </c>
      <c r="AC62" s="990">
        <f>AC61/AB61-1</f>
        <v/>
      </c>
      <c r="AD62" s="990">
        <f>AD61/AC61-1</f>
        <v/>
      </c>
      <c r="AE62" s="990">
        <f>AE61/AD61-1</f>
        <v/>
      </c>
      <c r="AF62" s="990">
        <f>AF61/AE61-1</f>
        <v/>
      </c>
      <c r="AG62" s="990">
        <f>AG61/AF61-1</f>
        <v/>
      </c>
      <c r="AH62" s="990">
        <f>AH61/AG61-1</f>
        <v/>
      </c>
      <c r="AI62" s="990">
        <f>AI61/AH61-1</f>
        <v/>
      </c>
      <c r="AJ62" s="990">
        <f>AJ61/AI61-1</f>
        <v/>
      </c>
      <c r="AK62" s="990">
        <f>AK61/AJ61-1</f>
        <v/>
      </c>
      <c r="AL62" s="990">
        <f>AL61/AK61-1</f>
        <v/>
      </c>
      <c r="AM62" s="990">
        <f>AM61/AL61-1</f>
        <v/>
      </c>
      <c r="AN62" s="990">
        <f>AN61/AM61-1</f>
        <v/>
      </c>
      <c r="AO62" s="990">
        <f>AO61/AN61-1</f>
        <v/>
      </c>
      <c r="AP62" s="990">
        <f>AP61/AO61-1</f>
        <v/>
      </c>
      <c r="AQ62" s="1045">
        <f>(1+AQ58)*(1+AQ55)-1</f>
        <v/>
      </c>
      <c r="AR62" s="1045">
        <f>(1+AR58)*(1+AR55)-1</f>
        <v/>
      </c>
      <c r="AS62" s="1045">
        <f>(1+AS58)*(1+AS55)-1</f>
        <v/>
      </c>
      <c r="AT62" s="1045">
        <f>(1+AT58)*(1+AT55)-1</f>
        <v/>
      </c>
      <c r="AU62" s="288" t="n"/>
      <c r="AV62" s="991" t="n"/>
      <c r="AW62" s="991" t="n"/>
      <c r="AX62" s="992" t="n"/>
      <c r="AY62" s="991" t="n"/>
      <c r="AZ62" s="991" t="n"/>
      <c r="BA62" s="991" t="n"/>
      <c r="BB62" s="992" t="n"/>
      <c r="BD62" s="993" t="n"/>
      <c r="BE62" s="993" t="n"/>
      <c r="BF62" s="992" t="n"/>
      <c r="BH62" s="993" t="n"/>
      <c r="BI62" s="993" t="n"/>
      <c r="BJ62" s="992" t="n"/>
      <c r="BL62" s="993" t="n"/>
      <c r="BM62" s="993" t="n"/>
      <c r="BN62" s="992" t="n"/>
      <c r="BP62" s="993" t="n"/>
      <c r="BQ62" s="993" t="n"/>
      <c r="BR62" s="993" t="n"/>
      <c r="BT62" s="993" t="n"/>
      <c r="BU62" s="993" t="n"/>
      <c r="BV62" s="992" t="n"/>
      <c r="BX62" s="993" t="n"/>
      <c r="BY62" s="993" t="n"/>
      <c r="BZ62" s="992" t="n"/>
      <c r="CB62" s="993" t="n"/>
      <c r="CC62" s="993" t="n"/>
      <c r="CD62" s="992" t="n"/>
      <c r="CE62" s="993" t="n"/>
      <c r="CF62" s="993">
        <f>CF61/CB61-1</f>
        <v/>
      </c>
      <c r="CG62" s="993">
        <f>CG61/CC61-1</f>
        <v/>
      </c>
      <c r="CH62" s="993">
        <f>CH61/CD61-1</f>
        <v/>
      </c>
      <c r="CI62" s="992" t="n"/>
      <c r="CJ62" s="993">
        <f>CJ61/CF61-1</f>
        <v/>
      </c>
      <c r="CK62" s="993">
        <f>CK61/CG61-1</f>
        <v/>
      </c>
      <c r="CL62" s="993">
        <f>CL61/CH61-1</f>
        <v/>
      </c>
      <c r="CM62" s="992" t="n"/>
      <c r="CN62" s="993">
        <f>CN61/CJ61-1</f>
        <v/>
      </c>
      <c r="CO62" s="993">
        <f>CO61/CK61-1</f>
        <v/>
      </c>
      <c r="CP62" s="993">
        <f>CP61/CL61-1</f>
        <v/>
      </c>
      <c r="CQ62" s="1044" t="n"/>
      <c r="CR62" s="993">
        <f>CR61/CN61-1</f>
        <v/>
      </c>
      <c r="CS62" s="993">
        <f>CS61/CN61-1</f>
        <v/>
      </c>
      <c r="CT62" s="993">
        <f>CT61/CO61-1</f>
        <v/>
      </c>
      <c r="CU62" s="993">
        <f>CU61/CP61-1</f>
        <v/>
      </c>
      <c r="CV62" s="991" t="n"/>
      <c r="CW62" s="993">
        <f>CW61/CS61-1</f>
        <v/>
      </c>
      <c r="CX62" s="993">
        <f>CX61/CT61-1</f>
        <v/>
      </c>
      <c r="CY62" s="993">
        <f>CY61/CU61-1</f>
        <v/>
      </c>
      <c r="CZ62" s="991" t="n"/>
      <c r="DA62" s="993">
        <f>DA61/CW61-1</f>
        <v/>
      </c>
      <c r="DB62" s="993">
        <f>DB61/CX61-1</f>
        <v/>
      </c>
      <c r="DC62" s="993">
        <f>DC61/CY61-1</f>
        <v/>
      </c>
      <c r="DD62" s="991" t="n"/>
      <c r="DE62" s="993">
        <f>DE61/DA61-1</f>
        <v/>
      </c>
      <c r="DF62" s="993">
        <f>DF61/DB61-1</f>
        <v/>
      </c>
      <c r="DG62" s="993">
        <f>DG61/DC61-1</f>
        <v/>
      </c>
      <c r="DH62" s="290" t="n"/>
      <c r="DI62" s="993">
        <f>DI61/DE61-1</f>
        <v/>
      </c>
      <c r="DJ62" s="993">
        <f>DJ61/DF61-1</f>
        <v/>
      </c>
      <c r="DK62" s="993">
        <f>DK61/DG61-1</f>
        <v/>
      </c>
      <c r="DL62" s="991" t="n"/>
      <c r="DM62" s="993">
        <f>DM61/DI61-1</f>
        <v/>
      </c>
      <c r="DN62" s="993">
        <f>DN61/DJ61-1</f>
        <v/>
      </c>
      <c r="DO62" s="993">
        <f>DO61/DK61-1</f>
        <v/>
      </c>
      <c r="DP62" s="290" t="n"/>
      <c r="DQ62" s="993">
        <f>DQ61/DM61-1</f>
        <v/>
      </c>
      <c r="DR62" s="993">
        <f>DR61/DN61-1</f>
        <v/>
      </c>
      <c r="DS62" s="993">
        <f>DS61/DO61-1</f>
        <v/>
      </c>
      <c r="DT62" s="991" t="n"/>
      <c r="DU62" s="993">
        <f>DU61/DQ61-1</f>
        <v/>
      </c>
      <c r="DV62" s="993">
        <f>DV61/DR61-1</f>
        <v/>
      </c>
      <c r="DW62" s="993">
        <f>DW61/DS61-1</f>
        <v/>
      </c>
      <c r="DX62" s="991" t="n"/>
      <c r="DY62" s="993">
        <f>DY61/DU61-1</f>
        <v/>
      </c>
      <c r="DZ62" s="993">
        <f>DZ61/DV61-1</f>
        <v/>
      </c>
      <c r="EA62" s="993">
        <f>EA61/DW61-1</f>
        <v/>
      </c>
      <c r="EB62" s="1021" t="n"/>
      <c r="EC62" s="993">
        <f>EC61/DY61-1</f>
        <v/>
      </c>
      <c r="ED62" s="993">
        <f>ED61/DZ61-1</f>
        <v/>
      </c>
      <c r="EE62" s="993">
        <f>EE61/EA61-1</f>
        <v/>
      </c>
      <c r="EF62" s="990" t="n"/>
      <c r="EG62" s="993">
        <f>EG61/EC61-1</f>
        <v/>
      </c>
      <c r="EH62" s="993">
        <f>EH61/ED61-1</f>
        <v/>
      </c>
      <c r="EI62" s="993">
        <f>EI61/EE61-1</f>
        <v/>
      </c>
      <c r="EJ62" s="990" t="n"/>
      <c r="EK62" s="993">
        <f>EK61/EG61-1</f>
        <v/>
      </c>
      <c r="EL62" s="993">
        <f>EL61/EH61-1</f>
        <v/>
      </c>
      <c r="EM62" s="993">
        <f>EM61/EI61-1</f>
        <v/>
      </c>
      <c r="EN62" s="990" t="n"/>
      <c r="EO62" s="993">
        <f>EO61/EK61-1</f>
        <v/>
      </c>
      <c r="EP62" s="993">
        <f>EP61/EL61-1</f>
        <v/>
      </c>
      <c r="EQ62" s="993">
        <f>EQ61/EM61-1</f>
        <v/>
      </c>
      <c r="ER62" s="990" t="n"/>
      <c r="ES62" s="993">
        <f>ES61/EO61-1</f>
        <v/>
      </c>
      <c r="ET62" s="993">
        <f>ET61/EP61-1</f>
        <v/>
      </c>
      <c r="EU62" s="993">
        <f>EU61/EQ61-1</f>
        <v/>
      </c>
      <c r="EV62" s="990" t="n"/>
      <c r="EW62" s="993">
        <f>EW61/ES61-1</f>
        <v/>
      </c>
      <c r="EX62" s="993">
        <f>EX61/ET61-1</f>
        <v/>
      </c>
      <c r="EY62" s="993">
        <f>EY61/EU61-1</f>
        <v/>
      </c>
      <c r="FA62" s="993">
        <f>FA61/EW61-1</f>
        <v/>
      </c>
      <c r="FB62" s="993">
        <f>FB61/EX61-1</f>
        <v/>
      </c>
      <c r="FC62" s="993">
        <f>FC61/EY61-1</f>
        <v/>
      </c>
      <c r="FE62" s="993">
        <f>FE61/FA61-1</f>
        <v/>
      </c>
      <c r="FF62" s="993">
        <f>FF61/FB61-1</f>
        <v/>
      </c>
      <c r="FG62" s="993">
        <f>FG61/FC61-1</f>
        <v/>
      </c>
      <c r="FI62" s="993">
        <f>FI61/FE61-1</f>
        <v/>
      </c>
      <c r="FJ62" s="993">
        <f>FJ61/FF61-1</f>
        <v/>
      </c>
      <c r="FK62" s="993">
        <f>FK61/FG61-1</f>
        <v/>
      </c>
      <c r="FM62" s="993">
        <f>FM61/FI61-1</f>
        <v/>
      </c>
      <c r="FN62" s="1045">
        <f>(1+FN58)*(1+FN55)-1</f>
        <v/>
      </c>
      <c r="FO62" s="993">
        <f>FO61/FK61-1</f>
        <v/>
      </c>
    </row>
    <row r="63" ht="14.25" customFormat="1" customHeight="1" s="997">
      <c r="A63" s="987" t="n"/>
      <c r="B63" s="583" t="inlineStr">
        <is>
          <t>Cargo Revenue</t>
        </is>
      </c>
      <c r="C63" s="602">
        <f>C114</f>
        <v/>
      </c>
      <c r="D63" s="602">
        <f>D114</f>
        <v/>
      </c>
      <c r="E63" s="602">
        <f>E114</f>
        <v/>
      </c>
      <c r="F63" s="602">
        <f>F114</f>
        <v/>
      </c>
      <c r="G63" s="602">
        <f>G114</f>
        <v/>
      </c>
      <c r="H63" s="602">
        <f>H114</f>
        <v/>
      </c>
      <c r="I63" s="602">
        <f>I114</f>
        <v/>
      </c>
      <c r="J63" s="602">
        <f>J114</f>
        <v/>
      </c>
      <c r="K63" s="602">
        <f>K114</f>
        <v/>
      </c>
      <c r="L63" s="602">
        <f>L114</f>
        <v/>
      </c>
      <c r="M63" s="602">
        <f>M114</f>
        <v/>
      </c>
      <c r="N63" s="602">
        <f>N114</f>
        <v/>
      </c>
      <c r="O63" s="602">
        <f>O114</f>
        <v/>
      </c>
      <c r="P63" s="602">
        <f>P114</f>
        <v/>
      </c>
      <c r="Q63" s="602">
        <f>Q114</f>
        <v/>
      </c>
      <c r="R63" s="602">
        <f>R114</f>
        <v/>
      </c>
      <c r="S63" s="602">
        <f>S114</f>
        <v/>
      </c>
      <c r="T63" s="602">
        <f>T114</f>
        <v/>
      </c>
      <c r="U63" s="602">
        <f>U114</f>
        <v/>
      </c>
      <c r="V63" s="602">
        <f>V114</f>
        <v/>
      </c>
      <c r="W63" s="602">
        <f>W114</f>
        <v/>
      </c>
      <c r="X63" s="602">
        <f>X114</f>
        <v/>
      </c>
      <c r="Y63" s="602">
        <f>Y114</f>
        <v/>
      </c>
      <c r="Z63" s="602">
        <f>Z114</f>
        <v/>
      </c>
      <c r="AA63" s="602">
        <f>AA114</f>
        <v/>
      </c>
      <c r="AB63" s="602">
        <f>AB114</f>
        <v/>
      </c>
      <c r="AC63" s="602">
        <f>AC114</f>
        <v/>
      </c>
      <c r="AD63" s="602">
        <f>AD114</f>
        <v/>
      </c>
      <c r="AE63" s="602">
        <f>AE114</f>
        <v/>
      </c>
      <c r="AF63" s="602">
        <f>AF114</f>
        <v/>
      </c>
      <c r="AG63" s="602">
        <f>AG114</f>
        <v/>
      </c>
      <c r="AH63" s="602">
        <f>AH114</f>
        <v/>
      </c>
      <c r="AI63" s="602">
        <f>AI114</f>
        <v/>
      </c>
      <c r="AJ63" s="602">
        <f>AJ114</f>
        <v/>
      </c>
      <c r="AK63" s="602">
        <f>AK114</f>
        <v/>
      </c>
      <c r="AL63" s="602">
        <f>AL114</f>
        <v/>
      </c>
      <c r="AM63" s="602">
        <f>AM114</f>
        <v/>
      </c>
      <c r="AN63" s="602">
        <f>AN114</f>
        <v/>
      </c>
      <c r="AO63" s="615">
        <f>+AO59+AO61</f>
        <v/>
      </c>
      <c r="AP63" s="615">
        <f>+AP59+AP61</f>
        <v/>
      </c>
      <c r="AQ63" s="615">
        <f>+AQ59+AQ61</f>
        <v/>
      </c>
      <c r="AR63" s="615">
        <f>+AR59+AR61</f>
        <v/>
      </c>
      <c r="AS63" s="615">
        <f>+AS59+AS61</f>
        <v/>
      </c>
      <c r="AT63" s="615">
        <f>+AT59+AT61</f>
        <v/>
      </c>
      <c r="AU63" s="623" t="n"/>
      <c r="AV63" s="602">
        <f>AV114</f>
        <v/>
      </c>
      <c r="AW63" s="602">
        <f>AW114</f>
        <v/>
      </c>
      <c r="AX63" s="602">
        <f>AX114</f>
        <v/>
      </c>
      <c r="AY63" s="602" t="n"/>
      <c r="AZ63" s="602">
        <f>AZ114</f>
        <v/>
      </c>
      <c r="BA63" s="602">
        <f>BA114</f>
        <v/>
      </c>
      <c r="BB63" s="602">
        <f>BB114</f>
        <v/>
      </c>
      <c r="BC63" s="602" t="n"/>
      <c r="BD63" s="602">
        <f>BD114</f>
        <v/>
      </c>
      <c r="BE63" s="602">
        <f>BE114</f>
        <v/>
      </c>
      <c r="BF63" s="602">
        <f>BF114</f>
        <v/>
      </c>
      <c r="BG63" s="602" t="n"/>
      <c r="BH63" s="602">
        <f>BH114</f>
        <v/>
      </c>
      <c r="BI63" s="602">
        <f>BI114</f>
        <v/>
      </c>
      <c r="BJ63" s="602">
        <f>BJ114</f>
        <v/>
      </c>
      <c r="BK63" s="602" t="n"/>
      <c r="BL63" s="602">
        <f>BL114</f>
        <v/>
      </c>
      <c r="BM63" s="602">
        <f>BM114</f>
        <v/>
      </c>
      <c r="BN63" s="602">
        <f>BN114</f>
        <v/>
      </c>
      <c r="BO63" s="602" t="n"/>
      <c r="BP63" s="602">
        <f>BP114</f>
        <v/>
      </c>
      <c r="BQ63" s="602">
        <f>BQ114</f>
        <v/>
      </c>
      <c r="BR63" s="602">
        <f>BR114</f>
        <v/>
      </c>
      <c r="BS63" s="602" t="n"/>
      <c r="BT63" s="602">
        <f>BT114</f>
        <v/>
      </c>
      <c r="BU63" s="602">
        <f>BU114</f>
        <v/>
      </c>
      <c r="BV63" s="602">
        <f>BV114</f>
        <v/>
      </c>
      <c r="BW63" s="602" t="n"/>
      <c r="BX63" s="602">
        <f>BX114</f>
        <v/>
      </c>
      <c r="BY63" s="602">
        <f>BY114</f>
        <v/>
      </c>
      <c r="BZ63" s="602">
        <f>BZ114</f>
        <v/>
      </c>
      <c r="CA63" s="602" t="n"/>
      <c r="CB63" s="602">
        <f>CB114</f>
        <v/>
      </c>
      <c r="CC63" s="602">
        <f>CC114</f>
        <v/>
      </c>
      <c r="CD63" s="602">
        <f>CD114</f>
        <v/>
      </c>
      <c r="CE63" s="602" t="n"/>
      <c r="CF63" s="602">
        <f>CF114</f>
        <v/>
      </c>
      <c r="CG63" s="602">
        <f>CG114</f>
        <v/>
      </c>
      <c r="CH63" s="602">
        <f>CH114</f>
        <v/>
      </c>
      <c r="CI63" s="602" t="n"/>
      <c r="CJ63" s="602">
        <f>CJ114</f>
        <v/>
      </c>
      <c r="CK63" s="602">
        <f>CK114</f>
        <v/>
      </c>
      <c r="CL63" s="602">
        <f>CL114</f>
        <v/>
      </c>
      <c r="CM63" s="602" t="n"/>
      <c r="CN63" s="602">
        <f>CN114</f>
        <v/>
      </c>
      <c r="CO63" s="602">
        <f>CO114</f>
        <v/>
      </c>
      <c r="CP63" s="602">
        <f>CP114</f>
        <v/>
      </c>
      <c r="CQ63" s="602" t="n"/>
      <c r="CR63" s="602">
        <f>CR114</f>
        <v/>
      </c>
      <c r="CS63" s="602">
        <f>CS114</f>
        <v/>
      </c>
      <c r="CT63" s="602">
        <f>CT114</f>
        <v/>
      </c>
      <c r="CU63" s="602">
        <f>CU114</f>
        <v/>
      </c>
      <c r="CV63" s="602" t="n"/>
      <c r="CW63" s="602">
        <f>CW114</f>
        <v/>
      </c>
      <c r="CX63" s="602">
        <f>CX114</f>
        <v/>
      </c>
      <c r="CY63" s="602">
        <f>CY114</f>
        <v/>
      </c>
      <c r="CZ63" s="602" t="n"/>
      <c r="DA63" s="602">
        <f>DA114</f>
        <v/>
      </c>
      <c r="DB63" s="602">
        <f>DB114</f>
        <v/>
      </c>
      <c r="DC63" s="602">
        <f>DC114</f>
        <v/>
      </c>
      <c r="DD63" s="602" t="n"/>
      <c r="DE63" s="602">
        <f>DE114</f>
        <v/>
      </c>
      <c r="DF63" s="602">
        <f>DF114</f>
        <v/>
      </c>
      <c r="DG63" s="602">
        <f>DG114</f>
        <v/>
      </c>
      <c r="DH63" s="602" t="n"/>
      <c r="DI63" s="602">
        <f>DI114</f>
        <v/>
      </c>
      <c r="DJ63" s="602">
        <f>DJ114</f>
        <v/>
      </c>
      <c r="DK63" s="602">
        <f>DK114</f>
        <v/>
      </c>
      <c r="DL63" s="602" t="n"/>
      <c r="DM63" s="602">
        <f>DM114</f>
        <v/>
      </c>
      <c r="DN63" s="602">
        <f>DN114</f>
        <v/>
      </c>
      <c r="DO63" s="602">
        <f>DO114</f>
        <v/>
      </c>
      <c r="DP63" s="602" t="n"/>
      <c r="DQ63" s="602">
        <f>DQ114</f>
        <v/>
      </c>
      <c r="DR63" s="602">
        <f>DR114</f>
        <v/>
      </c>
      <c r="DS63" s="602">
        <f>DS114</f>
        <v/>
      </c>
      <c r="DT63" s="602" t="n"/>
      <c r="DU63" s="602">
        <f>DU114</f>
        <v/>
      </c>
      <c r="DV63" s="602">
        <f>DV114</f>
        <v/>
      </c>
      <c r="DW63" s="602">
        <f>DW114</f>
        <v/>
      </c>
      <c r="DX63" s="602" t="n"/>
      <c r="DY63" s="602">
        <f>DY114</f>
        <v/>
      </c>
      <c r="DZ63" s="602">
        <f>DZ114</f>
        <v/>
      </c>
      <c r="EA63" s="602">
        <f>EA114</f>
        <v/>
      </c>
      <c r="EB63" s="602" t="n"/>
      <c r="EC63" s="602">
        <f>EC114</f>
        <v/>
      </c>
      <c r="ED63" s="602">
        <f>ED114</f>
        <v/>
      </c>
      <c r="EE63" s="602">
        <f>EE114</f>
        <v/>
      </c>
      <c r="EF63" s="602" t="n"/>
      <c r="EG63" s="602">
        <f>EG114</f>
        <v/>
      </c>
      <c r="EH63" s="602">
        <f>EH114</f>
        <v/>
      </c>
      <c r="EI63" s="602">
        <f>EI114</f>
        <v/>
      </c>
      <c r="EJ63" s="602" t="n"/>
      <c r="EK63" s="602">
        <f>EK114</f>
        <v/>
      </c>
      <c r="EL63" s="602">
        <f>EL114</f>
        <v/>
      </c>
      <c r="EM63" s="602">
        <f>EM114</f>
        <v/>
      </c>
      <c r="EN63" s="602" t="n"/>
      <c r="EO63" s="602">
        <f>EO114</f>
        <v/>
      </c>
      <c r="EP63" s="602">
        <f>EP114</f>
        <v/>
      </c>
      <c r="EQ63" s="602">
        <f>EQ114</f>
        <v/>
      </c>
      <c r="ER63" s="602" t="n"/>
      <c r="ES63" s="602">
        <f>ES114</f>
        <v/>
      </c>
      <c r="ET63" s="602">
        <f>ET114</f>
        <v/>
      </c>
      <c r="EU63" s="602">
        <f>EU114</f>
        <v/>
      </c>
      <c r="EV63" s="602" t="n"/>
      <c r="EW63" s="602">
        <f>EW114</f>
        <v/>
      </c>
      <c r="EX63" s="602">
        <f>EX114</f>
        <v/>
      </c>
      <c r="EY63" s="602">
        <f>EY114</f>
        <v/>
      </c>
      <c r="EZ63" s="602" t="n"/>
      <c r="FA63" s="602">
        <f>FA114</f>
        <v/>
      </c>
      <c r="FB63" s="602">
        <f>FB114</f>
        <v/>
      </c>
      <c r="FC63" s="602">
        <f>FC114</f>
        <v/>
      </c>
      <c r="FD63" s="602" t="n"/>
      <c r="FE63" s="602">
        <f>FE114</f>
        <v/>
      </c>
      <c r="FF63" s="602">
        <f>FF114</f>
        <v/>
      </c>
      <c r="FG63" s="602">
        <f>FG114</f>
        <v/>
      </c>
      <c r="FH63" s="602" t="n"/>
      <c r="FI63" s="602">
        <f>FI114</f>
        <v/>
      </c>
      <c r="FJ63" s="602">
        <f>FJ114</f>
        <v/>
      </c>
      <c r="FK63" s="602">
        <f>FK114</f>
        <v/>
      </c>
      <c r="FM63" s="602">
        <f>FM114</f>
        <v/>
      </c>
      <c r="FN63" s="602">
        <f>FN59+FN61</f>
        <v/>
      </c>
      <c r="FO63" s="602">
        <f>FO114</f>
        <v/>
      </c>
    </row>
    <row r="64" ht="14.25" customFormat="1" customHeight="1" s="986">
      <c r="A64" s="987" t="n"/>
      <c r="B64" s="988" t="n"/>
      <c r="H64" s="1021" t="n"/>
      <c r="I64" s="1021" t="n"/>
      <c r="L64" s="989" t="n"/>
      <c r="M64" s="990" t="n"/>
      <c r="N64" s="990" t="n"/>
      <c r="O64" s="990" t="n"/>
      <c r="P64" s="990" t="n"/>
      <c r="Q64" s="990" t="n"/>
      <c r="R64" s="990" t="n"/>
      <c r="S64" s="990" t="n"/>
      <c r="T64" s="990" t="n"/>
      <c r="U64" s="990" t="n"/>
      <c r="V64" s="990" t="n"/>
      <c r="W64" s="990" t="n"/>
      <c r="X64" s="990" t="n"/>
      <c r="Y64" s="990" t="n"/>
      <c r="Z64" s="990" t="n"/>
      <c r="AA64" s="990" t="n"/>
      <c r="AB64" s="990" t="n"/>
      <c r="AC64" s="990" t="n"/>
      <c r="AD64" s="990" t="n"/>
      <c r="AE64" s="990" t="n"/>
      <c r="AF64" s="990" t="n"/>
      <c r="AG64" s="990" t="n"/>
      <c r="AH64" s="990" t="n"/>
      <c r="AI64" s="990" t="n"/>
      <c r="AJ64" s="990" t="n"/>
      <c r="AK64" s="990" t="n"/>
      <c r="AL64" s="990" t="n"/>
      <c r="AM64" s="990" t="n"/>
      <c r="AN64" s="990" t="n"/>
      <c r="AO64" s="990" t="n"/>
      <c r="AP64" s="1030" t="n"/>
      <c r="AQ64" s="1030" t="n"/>
      <c r="AR64" s="1030" t="n"/>
      <c r="AS64" s="1030" t="n"/>
      <c r="AT64" s="1030" t="n"/>
      <c r="AU64" s="288" t="n"/>
      <c r="AV64" s="991" t="n"/>
      <c r="AW64" s="991" t="n"/>
      <c r="AX64" s="992" t="n"/>
      <c r="AY64" s="991" t="n"/>
      <c r="AZ64" s="991" t="n"/>
      <c r="BA64" s="991" t="n"/>
      <c r="BB64" s="992" t="n"/>
      <c r="BD64" s="993" t="n"/>
      <c r="BE64" s="993" t="n"/>
      <c r="BF64" s="992" t="n"/>
      <c r="BH64" s="993" t="n"/>
      <c r="BI64" s="993" t="n"/>
      <c r="BJ64" s="992" t="n"/>
      <c r="BL64" s="993" t="n"/>
      <c r="BM64" s="993" t="n"/>
      <c r="BN64" s="992" t="n"/>
      <c r="BP64" s="993" t="n"/>
      <c r="BQ64" s="993" t="n"/>
      <c r="BR64" s="993" t="n"/>
      <c r="BT64" s="993" t="n"/>
      <c r="BU64" s="993" t="n"/>
      <c r="BV64" s="992" t="n"/>
      <c r="BX64" s="993" t="n"/>
      <c r="BY64" s="993" t="n"/>
      <c r="BZ64" s="992" t="n"/>
      <c r="CB64" s="993" t="n"/>
      <c r="CC64" s="993" t="n"/>
      <c r="CD64" s="992" t="n"/>
      <c r="CE64" s="993" t="n"/>
      <c r="CF64" s="993" t="n"/>
      <c r="CG64" s="993" t="n"/>
      <c r="CH64" s="992" t="n"/>
      <c r="CI64" s="992" t="n"/>
      <c r="CJ64" s="993" t="n"/>
      <c r="CK64" s="993" t="n"/>
      <c r="CL64" s="992" t="n"/>
      <c r="CM64" s="992" t="n"/>
      <c r="CN64" s="993" t="n"/>
      <c r="CO64" s="993" t="n"/>
      <c r="CP64" s="1044" t="n"/>
      <c r="CQ64" s="1044" t="n"/>
      <c r="CR64" s="993" t="n"/>
      <c r="CS64" s="993" t="n"/>
      <c r="CT64" s="993" t="n"/>
      <c r="CU64" s="991" t="n"/>
      <c r="CV64" s="991" t="n"/>
      <c r="CW64" s="993" t="n"/>
      <c r="CX64" s="993" t="n"/>
      <c r="CY64" s="991" t="n"/>
      <c r="CZ64" s="991" t="n"/>
      <c r="DA64" s="993" t="n"/>
      <c r="DB64" s="993" t="n"/>
      <c r="DC64" s="991" t="n"/>
      <c r="DD64" s="991" t="n"/>
      <c r="DE64" s="993" t="n"/>
      <c r="DF64" s="993" t="n"/>
      <c r="DG64" s="991" t="n"/>
      <c r="DH64" s="290" t="n"/>
      <c r="DI64" s="993" t="n"/>
      <c r="DJ64" s="993" t="n"/>
      <c r="DK64" s="991" t="n"/>
      <c r="DL64" s="991" t="n"/>
      <c r="DM64" s="991" t="n"/>
      <c r="DN64" s="991" t="n"/>
      <c r="DO64" s="991" t="n"/>
      <c r="DP64" s="290" t="n"/>
      <c r="DQ64" s="990" t="n"/>
      <c r="DR64" s="990" t="n"/>
      <c r="DS64" s="991" t="n"/>
      <c r="DT64" s="991" t="n"/>
      <c r="DU64" s="990" t="n"/>
      <c r="DV64" s="990" t="n"/>
      <c r="DW64" s="990" t="n"/>
      <c r="DX64" s="991" t="n"/>
      <c r="DY64" s="990" t="n"/>
      <c r="DZ64" s="990" t="n"/>
      <c r="EA64" s="990" t="n"/>
      <c r="EB64" s="1021" t="n"/>
      <c r="EC64" s="990" t="n"/>
      <c r="ED64" s="990" t="n"/>
      <c r="EE64" s="990" t="n"/>
      <c r="EF64" s="990" t="n"/>
      <c r="EG64" s="990" t="n"/>
      <c r="EH64" s="990" t="n"/>
      <c r="EI64" s="990" t="n"/>
      <c r="EJ64" s="990" t="n"/>
      <c r="EK64" s="990" t="n"/>
      <c r="EL64" s="990" t="n"/>
      <c r="EM64" s="990" t="n"/>
      <c r="EN64" s="990" t="n"/>
      <c r="EO64" s="990" t="n"/>
      <c r="EP64" s="990" t="n"/>
      <c r="EQ64" s="990" t="n"/>
      <c r="ER64" s="990" t="n"/>
      <c r="ES64" s="990" t="n"/>
      <c r="ET64" s="990" t="n"/>
      <c r="EU64" s="990" t="n"/>
      <c r="EV64" s="990" t="n"/>
      <c r="EW64" s="990" t="n"/>
      <c r="EX64" s="990" t="n"/>
      <c r="EY64" s="990" t="n"/>
      <c r="FA64" s="990" t="n"/>
      <c r="FB64" s="990" t="n"/>
      <c r="FC64" s="990" t="n"/>
      <c r="FD64" s="986" t="n"/>
      <c r="FE64" s="990" t="n"/>
      <c r="FF64" s="990" t="n"/>
      <c r="FG64" s="990" t="n"/>
      <c r="FH64" s="986" t="n"/>
      <c r="FI64" s="1030" t="n"/>
      <c r="FJ64" s="990" t="n"/>
      <c r="FK64" s="990" t="n"/>
      <c r="FL64" s="986" t="n"/>
      <c r="FM64" s="1030" t="n"/>
      <c r="FN64" s="1030" t="n"/>
      <c r="FO64" s="990" t="n"/>
    </row>
    <row r="65" ht="14.25" customFormat="1" customHeight="1" s="986">
      <c r="A65" s="987" t="n"/>
      <c r="B65" s="967" t="inlineStr">
        <is>
          <t>Key assumptions</t>
        </is>
      </c>
      <c r="C65" s="967" t="n"/>
      <c r="D65" s="967" t="n"/>
      <c r="E65" s="967" t="n"/>
      <c r="F65" s="967" t="n"/>
      <c r="G65" s="967" t="n"/>
      <c r="H65" s="967" t="n"/>
      <c r="I65" s="967" t="n"/>
      <c r="J65" s="967" t="n"/>
      <c r="K65" s="967" t="n"/>
      <c r="L65" s="967" t="n"/>
      <c r="M65" s="967" t="n"/>
      <c r="N65" s="967" t="n"/>
      <c r="O65" s="967" t="n"/>
      <c r="P65" s="967" t="n"/>
      <c r="Q65" s="967" t="n"/>
      <c r="R65" s="967" t="n"/>
      <c r="S65" s="967" t="n"/>
      <c r="T65" s="967" t="n"/>
      <c r="U65" s="967" t="n"/>
      <c r="V65" s="967" t="n"/>
      <c r="W65" s="967" t="n"/>
      <c r="X65" s="967" t="n"/>
      <c r="Y65" s="967" t="n"/>
      <c r="Z65" s="967" t="n"/>
      <c r="AA65" s="967" t="n"/>
      <c r="AB65" s="967" t="n"/>
      <c r="AC65" s="967" t="n"/>
      <c r="AD65" s="967" t="n"/>
      <c r="AE65" s="967" t="n"/>
      <c r="AF65" s="967" t="n"/>
      <c r="AG65" s="967" t="n"/>
      <c r="AH65" s="967" t="n"/>
      <c r="AI65" s="967" t="n"/>
      <c r="AJ65" s="967" t="n"/>
      <c r="AK65" s="967" t="n"/>
      <c r="AL65" s="967" t="n"/>
      <c r="AM65" s="967" t="n"/>
      <c r="AN65" s="967" t="n"/>
      <c r="AO65" s="967" t="n"/>
      <c r="AP65" s="967" t="n"/>
      <c r="AQ65" s="967" t="n"/>
      <c r="AR65" s="967" t="n"/>
      <c r="AS65" s="967" t="n"/>
      <c r="AT65" s="967" t="n"/>
      <c r="AU65" s="968" t="n"/>
      <c r="AV65" s="967" t="n"/>
      <c r="AW65" s="967" t="n"/>
      <c r="AX65" s="967" t="n"/>
      <c r="AY65" s="967" t="n"/>
      <c r="AZ65" s="967" t="n"/>
      <c r="BA65" s="967" t="n"/>
      <c r="BB65" s="967" t="n"/>
      <c r="BC65" s="967" t="n"/>
      <c r="BD65" s="967" t="n"/>
      <c r="BE65" s="967" t="n"/>
      <c r="BF65" s="967" t="n"/>
      <c r="BG65" s="967" t="n"/>
      <c r="BH65" s="967" t="n"/>
      <c r="BI65" s="967" t="n"/>
      <c r="BJ65" s="967" t="n"/>
      <c r="BK65" s="967" t="n"/>
      <c r="BL65" s="967" t="n"/>
      <c r="BM65" s="967" t="n"/>
      <c r="BN65" s="967" t="n"/>
      <c r="BO65" s="967" t="n"/>
      <c r="BP65" s="967" t="n"/>
      <c r="BQ65" s="967" t="n"/>
      <c r="BR65" s="967" t="n"/>
      <c r="BS65" s="967" t="n"/>
      <c r="BT65" s="967" t="n"/>
      <c r="BU65" s="967" t="n"/>
      <c r="BV65" s="967" t="n"/>
      <c r="BW65" s="967" t="n"/>
      <c r="BX65" s="967" t="n"/>
      <c r="BY65" s="967" t="n"/>
      <c r="BZ65" s="967" t="n"/>
      <c r="CA65" s="967" t="n"/>
      <c r="CB65" s="967" t="n"/>
      <c r="CC65" s="967" t="n"/>
      <c r="CD65" s="967" t="n"/>
      <c r="CE65" s="967" t="n"/>
      <c r="CF65" s="967" t="n"/>
      <c r="CG65" s="967" t="n"/>
      <c r="CH65" s="967" t="n"/>
      <c r="CI65" s="967" t="n"/>
      <c r="CJ65" s="967" t="n"/>
      <c r="CK65" s="967" t="n"/>
      <c r="CL65" s="967" t="n"/>
      <c r="CM65" s="967" t="n"/>
      <c r="CN65" s="967" t="n"/>
      <c r="CO65" s="967" t="n"/>
      <c r="CP65" s="967" t="n"/>
      <c r="CQ65" s="967" t="n"/>
      <c r="CR65" s="967" t="n"/>
      <c r="CS65" s="967" t="n"/>
      <c r="CT65" s="967" t="n"/>
      <c r="CU65" s="967" t="n"/>
      <c r="CV65" s="967" t="n"/>
      <c r="CW65" s="967" t="n"/>
      <c r="CX65" s="967" t="n"/>
      <c r="CY65" s="967" t="n"/>
      <c r="CZ65" s="967" t="n"/>
      <c r="DA65" s="967" t="n"/>
      <c r="DB65" s="967" t="n"/>
      <c r="DC65" s="967" t="n"/>
      <c r="DD65" s="967" t="n"/>
      <c r="DE65" s="967" t="n"/>
      <c r="DF65" s="967" t="n"/>
      <c r="DG65" s="967" t="n"/>
      <c r="DH65" s="967" t="n"/>
      <c r="DI65" s="967" t="n"/>
      <c r="DJ65" s="967" t="n"/>
      <c r="DK65" s="967" t="n"/>
      <c r="DL65" s="967" t="n"/>
      <c r="DM65" s="967" t="n"/>
      <c r="DN65" s="967" t="n"/>
      <c r="DO65" s="967" t="n"/>
      <c r="DP65" s="967" t="n"/>
      <c r="DQ65" s="967" t="n"/>
      <c r="DR65" s="967" t="n"/>
      <c r="DS65" s="967" t="n"/>
      <c r="DT65" s="967" t="n"/>
      <c r="DU65" s="967" t="n"/>
      <c r="DV65" s="967" t="n"/>
      <c r="DW65" s="967" t="n"/>
      <c r="DX65" s="967" t="n"/>
      <c r="DY65" s="967" t="n"/>
      <c r="DZ65" s="967" t="n"/>
      <c r="EA65" s="967" t="n"/>
      <c r="EB65" s="967" t="n"/>
      <c r="EC65" s="967" t="n"/>
      <c r="ED65" s="967" t="n"/>
      <c r="EE65" s="967" t="n"/>
      <c r="EF65" s="967" t="n"/>
      <c r="EG65" s="967" t="n"/>
      <c r="EH65" s="967" t="n"/>
      <c r="EI65" s="967" t="n"/>
      <c r="EJ65" s="967" t="n"/>
      <c r="EK65" s="967" t="n"/>
      <c r="EL65" s="967" t="n"/>
      <c r="EM65" s="967" t="n"/>
      <c r="EN65" s="967" t="n"/>
      <c r="EO65" s="967" t="n"/>
      <c r="EP65" s="967" t="n"/>
      <c r="EQ65" s="967" t="n"/>
      <c r="ER65" s="967" t="n"/>
      <c r="ES65" s="967" t="n"/>
      <c r="ET65" s="967" t="n"/>
      <c r="EU65" s="967" t="n"/>
      <c r="EV65" s="967" t="n"/>
      <c r="EW65" s="967" t="n"/>
      <c r="EX65" s="967" t="n"/>
      <c r="EY65" s="967" t="n"/>
      <c r="EZ65" s="967" t="n"/>
      <c r="FA65" s="967" t="n"/>
      <c r="FB65" s="967" t="n"/>
      <c r="FC65" s="967" t="n"/>
      <c r="FD65" s="967" t="n"/>
      <c r="FE65" s="967" t="n"/>
      <c r="FF65" s="967" t="n"/>
      <c r="FG65" s="967" t="n"/>
      <c r="FH65" s="967" t="n"/>
      <c r="FI65" s="967" t="n"/>
      <c r="FJ65" s="967" t="n"/>
      <c r="FK65" s="967" t="n"/>
      <c r="FL65" s="986" t="n"/>
      <c r="FM65" s="967" t="n"/>
      <c r="FN65" s="967" t="n"/>
      <c r="FO65" s="967" t="n"/>
    </row>
    <row r="66" customFormat="1" s="1046">
      <c r="A66" s="1047" t="inlineStr">
        <is>
          <t>forex</t>
        </is>
      </c>
      <c r="B66" s="1048" t="inlineStr">
        <is>
          <t>hkd / $ (avg.)</t>
        </is>
      </c>
      <c r="C66" s="57" t="n">
        <v>7.7926</v>
      </c>
      <c r="D66" s="57" t="n">
        <v>7.8044</v>
      </c>
      <c r="E66" s="57" t="n">
        <v>7.801</v>
      </c>
      <c r="F66" s="57" t="n">
        <v>7.786</v>
      </c>
      <c r="G66" s="521">
        <f>AVERAGEIFS(FX!$B:$B,FX!$A:$A,"&gt;="&amp;DATE(LEFT(G$3,4),1,1),FX!$A:$A,"&lt;="&amp;DATE(LEFT(G$3,4),12,13))</f>
        <v/>
      </c>
      <c r="H66" s="521">
        <f>AVERAGEIFS(FX!$B:$B,FX!$A:$A,"&gt;="&amp;DATE(LEFT(H$3,4),1,1),FX!$A:$A,"&lt;="&amp;DATE(LEFT(H$3,4),12,13))</f>
        <v/>
      </c>
      <c r="I66" s="521">
        <f>AVERAGEIFS(FX!$B:$B,FX!$A:$A,"&gt;="&amp;DATE(LEFT(I$3,4),1,1),FX!$A:$A,"&lt;="&amp;DATE(LEFT(I$3,4),12,13))</f>
        <v/>
      </c>
      <c r="J66" s="521">
        <f>AVERAGEIFS(FX!$B:$B,FX!$A:$A,"&gt;="&amp;DATE(LEFT(J$3,4),1,1),FX!$A:$A,"&lt;="&amp;DATE(LEFT(J$3,4),12,13))</f>
        <v/>
      </c>
      <c r="K66" s="521">
        <f>AVERAGEIFS(FX!$B:$B,FX!$A:$A,"&gt;="&amp;DATE(LEFT(K$3,4),1,1),FX!$A:$A,"&lt;="&amp;DATE(LEFT(K$3,4),12,13))</f>
        <v/>
      </c>
      <c r="L66" s="521">
        <f>AVERAGEIFS(FX!$B:$B,FX!$A:$A,"&gt;="&amp;DATE(LEFT(L$3,4),1,1),FX!$A:$A,"&lt;="&amp;DATE(LEFT(L$3,4),12,13))</f>
        <v/>
      </c>
      <c r="M66" s="521">
        <f>AVERAGEIFS(FX!$B:$B,FX!$A:$A,"&gt;="&amp;DATE(LEFT(M$3,4),1,1),FX!$A:$A,"&lt;="&amp;DATE(LEFT(M$3,4),12,13))</f>
        <v/>
      </c>
      <c r="N66" s="521">
        <f>AVERAGEIFS(FX!$B:$B,FX!$A:$A,"&gt;="&amp;DATE(LEFT(N$3,4),1,1),FX!$A:$A,"&lt;="&amp;DATE(LEFT(N$3,4),12,13))</f>
        <v/>
      </c>
      <c r="O66" s="521">
        <f>AVERAGEIFS(FX!$B:$B,FX!$A:$A,"&gt;="&amp;DATE(LEFT(O$3,4),1,1),FX!$A:$A,"&lt;="&amp;DATE(LEFT(O$3,4),12,13))</f>
        <v/>
      </c>
      <c r="P66" s="521">
        <f>AVERAGEIFS(FX!$B:$B,FX!$A:$A,"&gt;="&amp;DATE(LEFT(P$3,4),1,1),FX!$A:$A,"&lt;="&amp;DATE(LEFT(P$3,4),12,13))</f>
        <v/>
      </c>
      <c r="Q66" s="521">
        <f>AVERAGEIFS(FX!$B:$B,FX!$A:$A,"&gt;="&amp;DATE(LEFT(Q$3,4),1,1),FX!$A:$A,"&lt;="&amp;DATE(LEFT(Q$3,4),12,13))</f>
        <v/>
      </c>
      <c r="R66" s="521">
        <f>AVERAGEIFS(FX!$B:$B,FX!$A:$A,"&gt;="&amp;DATE(LEFT(R$3,4),1,1),FX!$A:$A,"&lt;="&amp;DATE(LEFT(R$3,4),12,13))</f>
        <v/>
      </c>
      <c r="S66" s="521">
        <f>AVERAGEIFS(FX!$B:$B,FX!$A:$A,"&gt;="&amp;DATE(LEFT(S$3,4),1,1),FX!$A:$A,"&lt;="&amp;DATE(LEFT(S$3,4),12,13))</f>
        <v/>
      </c>
      <c r="T66" s="521">
        <f>AVERAGEIFS(FX!$B:$B,FX!$A:$A,"&gt;="&amp;DATE(LEFT(T$3,4),1,1),FX!$A:$A,"&lt;="&amp;DATE(LEFT(T$3,4),12,13))</f>
        <v/>
      </c>
      <c r="U66" s="521">
        <f>AVERAGEIFS(FX!$B:$B,FX!$A:$A,"&gt;="&amp;DATE(LEFT(U$3,4),1,1),FX!$A:$A,"&lt;="&amp;DATE(LEFT(U$3,4),12,13))</f>
        <v/>
      </c>
      <c r="V66" s="521">
        <f>AVERAGEIFS(FX!$B:$B,FX!$A:$A,"&gt;="&amp;DATE(LEFT(V$3,4),1,1),FX!$A:$A,"&lt;="&amp;DATE(LEFT(V$3,4),12,13))</f>
        <v/>
      </c>
      <c r="W66" s="521">
        <f>AVERAGEIFS(FX!$B:$B,FX!$A:$A,"&gt;="&amp;DATE(LEFT(W$3,4),1,1),FX!$A:$A,"&lt;="&amp;DATE(LEFT(W$3,4),12,13))</f>
        <v/>
      </c>
      <c r="X66" s="521">
        <f>AVERAGEIFS(FX!$B:$B,FX!$A:$A,"&gt;="&amp;DATE(LEFT(X$3,4),1,1),FX!$A:$A,"&lt;="&amp;DATE(LEFT(X$3,4),12,13))</f>
        <v/>
      </c>
      <c r="Y66" s="521">
        <f>AVERAGEIFS(FX!$B:$B,FX!$A:$A,"&gt;="&amp;DATE(LEFT(Y$3,4),1,1),FX!$A:$A,"&lt;="&amp;DATE(LEFT(Y$3,4),12,13))</f>
        <v/>
      </c>
      <c r="Z66" s="521">
        <f>AVERAGEIFS(FX!$B:$B,FX!$A:$A,"&gt;="&amp;DATE(LEFT(Z$3,4),1,1),FX!$A:$A,"&lt;="&amp;DATE(LEFT(Z$3,4),12,13))</f>
        <v/>
      </c>
      <c r="AA66" s="521">
        <f>AVERAGEIFS(FX!$B:$B,FX!$A:$A,"&gt;="&amp;DATE(LEFT(AA$3,4),1,1),FX!$A:$A,"&lt;="&amp;DATE(LEFT(AA$3,4),12,13))</f>
        <v/>
      </c>
      <c r="AB66" s="521">
        <f>AVERAGEIFS(FX!$B:$B,FX!$A:$A,"&gt;="&amp;DATE(LEFT(AB$3,4),1,1),FX!$A:$A,"&lt;="&amp;DATE(LEFT(AB$3,4),12,13))</f>
        <v/>
      </c>
      <c r="AC66" s="521">
        <f>AVERAGEIFS(FX!$B:$B,FX!$A:$A,"&gt;="&amp;DATE(LEFT(AC$3,4),1,1),FX!$A:$A,"&lt;="&amp;DATE(LEFT(AC$3,4),12,13))</f>
        <v/>
      </c>
      <c r="AD66" s="521">
        <f>AVERAGEIFS(FX!$B:$B,FX!$A:$A,"&gt;="&amp;DATE(LEFT(AD$3,4),1,1),FX!$A:$A,"&lt;="&amp;DATE(LEFT(AD$3,4),12,13))</f>
        <v/>
      </c>
      <c r="AE66" s="521">
        <f>AVERAGEIFS(FX!$B:$B,FX!$A:$A,"&gt;="&amp;DATE(LEFT(AE$3,4),1,1),FX!$A:$A,"&lt;="&amp;DATE(LEFT(AE$3,4),12,13))</f>
        <v/>
      </c>
      <c r="AF66" s="521">
        <f>AVERAGEIFS(FX!$B:$B,FX!$A:$A,"&gt;="&amp;DATE(LEFT(AF$3,4),1,1),FX!$A:$A,"&lt;="&amp;DATE(LEFT(AF$3,4),12,13))</f>
        <v/>
      </c>
      <c r="AG66" s="521">
        <f>AVERAGEIFS(FX!$B:$B,FX!$A:$A,"&gt;="&amp;DATE(LEFT(AG$3,4),1,1),FX!$A:$A,"&lt;="&amp;DATE(LEFT(AG$3,4),12,13))</f>
        <v/>
      </c>
      <c r="AH66" s="521">
        <f>AVERAGEIFS(FX!$B:$B,FX!$A:$A,"&gt;="&amp;DATE(LEFT(AH$3,4),1,1),FX!$A:$A,"&lt;="&amp;DATE(LEFT(AH$3,4),12,13))</f>
        <v/>
      </c>
      <c r="AI66" s="521">
        <f>AVERAGEIFS(FX!$B:$B,FX!$A:$A,"&gt;="&amp;DATE(LEFT(AI$3,4),1,1),FX!$A:$A,"&lt;="&amp;DATE(LEFT(AI$3,4),12,13))</f>
        <v/>
      </c>
      <c r="AJ66" s="521">
        <f>AVERAGEIFS(FX!$B:$B,FX!$A:$A,"&gt;="&amp;DATE(LEFT(AJ$3,4),1,1),FX!$A:$A,"&lt;="&amp;DATE(LEFT(AJ$3,4),12,13))</f>
        <v/>
      </c>
      <c r="AK66" s="521">
        <f>AVERAGEIFS(FX!$B:$B,FX!$A:$A,"&gt;="&amp;DATE(LEFT(AK$3,4),1,1),FX!$A:$A,"&lt;="&amp;DATE(LEFT(AK$3,4),12,13))</f>
        <v/>
      </c>
      <c r="AL66" s="521">
        <f>AVERAGEIFS(FX!$B:$B,FX!$A:$A,"&gt;="&amp;DATE(LEFT(AL$3,4),1,1),FX!$A:$A,"&lt;="&amp;DATE(LEFT(AL$3,4),12,13))</f>
        <v/>
      </c>
      <c r="AM66" s="521">
        <f>AVERAGEIFS(FX!$B:$B,FX!$A:$A,"&gt;="&amp;DATE(LEFT(AM$3,4),1,1),FX!$A:$A,"&lt;="&amp;DATE(LEFT(AM$3,4),12,13))</f>
        <v/>
      </c>
      <c r="AN66" s="521">
        <f>AVERAGEIFS(FX!$B:$B,FX!$A:$A,"&gt;="&amp;DATE(LEFT(AN$3,4),1,1),FX!$A:$A,"&lt;="&amp;DATE(LEFT(AN$3,4),12,13))</f>
        <v/>
      </c>
      <c r="AO66" s="58">
        <f>+AN66</f>
        <v/>
      </c>
      <c r="AP66" s="58">
        <f>+AO66</f>
        <v/>
      </c>
      <c r="AQ66" s="58">
        <f>+AP66</f>
        <v/>
      </c>
      <c r="AR66" s="58">
        <f>+AQ66</f>
        <v/>
      </c>
      <c r="AS66" s="58">
        <f>+AR66</f>
        <v/>
      </c>
      <c r="AT66" s="58">
        <f>+AS66</f>
        <v/>
      </c>
      <c r="AU66" s="58" t="n"/>
      <c r="AV66" s="985" t="n"/>
      <c r="AW66" s="985" t="n"/>
      <c r="AX66" s="1008" t="n"/>
      <c r="AY66" s="985" t="n"/>
      <c r="AZ66" s="985" t="n"/>
      <c r="BA66" s="985" t="n"/>
      <c r="BB66" s="1008" t="n"/>
      <c r="BD66" s="985" t="n"/>
      <c r="BE66" s="985" t="n"/>
      <c r="BF66" s="1008" t="n"/>
      <c r="BH66" s="985" t="n"/>
      <c r="BI66" s="985" t="n"/>
      <c r="BJ66" s="1008" t="n"/>
      <c r="BL66" s="985" t="n"/>
      <c r="BM66" s="985" t="n"/>
      <c r="BN66" s="1008" t="n"/>
      <c r="BP66" s="985" t="n"/>
      <c r="BQ66" s="985" t="n"/>
      <c r="BR66" s="1008" t="n"/>
      <c r="BT66" s="985" t="n"/>
      <c r="BU66" s="985" t="n"/>
      <c r="BV66" s="1008" t="n"/>
      <c r="BX66" s="985" t="n"/>
      <c r="BY66" s="985" t="n"/>
      <c r="BZ66" s="1008" t="n"/>
      <c r="CB66" s="985" t="n"/>
      <c r="CC66" s="985" t="n"/>
      <c r="CD66" s="1008" t="n"/>
      <c r="CE66" s="985" t="n"/>
      <c r="CF66" s="985" t="n"/>
      <c r="CG66" s="985" t="n"/>
      <c r="CH66" s="1008" t="n"/>
      <c r="CI66" s="1008" t="n"/>
      <c r="CJ66" s="985" t="n"/>
      <c r="CK66" s="985" t="n"/>
      <c r="CL66" s="1008" t="n"/>
      <c r="CM66" s="1008" t="n"/>
      <c r="CN66" s="985" t="n"/>
      <c r="CO66" s="985" t="n"/>
      <c r="CP66" s="1008" t="n"/>
      <c r="CQ66" s="1008" t="n"/>
      <c r="CR66" s="985" t="n"/>
      <c r="CS66" s="985" t="n"/>
      <c r="CT66" s="985" t="n"/>
      <c r="CU66" s="1008" t="n"/>
      <c r="CV66" s="1008" t="n"/>
      <c r="CW66" s="985" t="n"/>
      <c r="CX66" s="985" t="n"/>
      <c r="CY66" s="1008" t="n"/>
      <c r="CZ66" s="1008" t="n"/>
      <c r="DA66" s="985" t="n"/>
      <c r="DB66" s="985" t="n"/>
      <c r="DC66" s="1008" t="n"/>
      <c r="DD66" s="1008" t="n"/>
      <c r="DE66" s="985" t="n"/>
      <c r="DF66" s="985" t="n"/>
      <c r="DG66" s="1008" t="n"/>
      <c r="DH66" s="1008" t="n"/>
      <c r="DI66" s="63" t="n"/>
      <c r="DJ66" s="985" t="n"/>
      <c r="DK66" s="1008" t="n"/>
      <c r="DL66" s="1008" t="n"/>
      <c r="DM66" s="58" t="n"/>
      <c r="DN66" s="985" t="n"/>
      <c r="DO66" s="1008" t="n"/>
      <c r="DP66" s="1008" t="n"/>
      <c r="DQ66" s="58" t="n"/>
      <c r="DR66" s="985" t="n"/>
      <c r="DS66" s="985" t="n"/>
      <c r="DT66" s="985" t="n"/>
      <c r="DU66" s="58" t="n"/>
      <c r="DV66" s="58" t="n"/>
      <c r="DW66" s="58" t="n"/>
      <c r="DX66" s="985" t="n"/>
      <c r="DY66" s="58" t="n"/>
      <c r="DZ66" s="58" t="n"/>
      <c r="EA66" s="58" t="n"/>
      <c r="EC66" s="58" t="n"/>
      <c r="ED66" s="58" t="n"/>
      <c r="EE66" s="58" t="n"/>
      <c r="EF66" s="58" t="n"/>
      <c r="EG66" s="58" t="n"/>
      <c r="EH66" s="58" t="n"/>
      <c r="EI66" s="58" t="n"/>
      <c r="EJ66" s="58" t="n"/>
      <c r="EK66" s="521">
        <f>IF(VALUE(LEFT(EK$3,1))=1,AVERAGEIFS(FX!$B:$B,FX!$A:$A,"&gt;="&amp;DATE(MID(EK$3,3,4),1,1),FX!$A:$A,"&lt;="&amp;DATE(MID(EK$3,3,4),6,30)),IF(VALUE(LEFT(EK$3,1))=2,AVERAGEIFS(FX!$B:$B,FX!$A:$A,"&gt;="&amp;DATE(MID(EK$3,3,4),6,1),FX!$A:$A,"&lt;="&amp;DATE(MID(EK$3,3,4),12,31)),"NA"))</f>
        <v/>
      </c>
      <c r="EL66" s="521">
        <f>IF(VALUE(LEFT(EL$3,1))=1,AVERAGEIFS(FX!$B:$B,FX!$A:$A,"&gt;="&amp;DATE(MID(EL$3,3,4),1,1),FX!$A:$A,"&lt;="&amp;DATE(MID(EL$3,3,4),6,30)),IF(VALUE(LEFT(EL$3,1))=2,AVERAGEIFS(FX!$B:$B,FX!$A:$A,"&gt;="&amp;DATE(MID(EL$3,3,4),6,1),FX!$A:$A,"&lt;="&amp;DATE(MID(EL$3,3,4),12,31)),"NA"))</f>
        <v/>
      </c>
      <c r="EM66" s="58">
        <f>AI66</f>
        <v/>
      </c>
      <c r="EN66" s="58" t="n"/>
      <c r="EO66" s="521">
        <f>IF(VALUE(LEFT(EO$3,1))=1,AVERAGEIFS(FX!$B:$B,FX!$A:$A,"&gt;="&amp;DATE(MID(EO$3,3,4),1,1),FX!$A:$A,"&lt;="&amp;DATE(MID(EO$3,3,4),6,30)),IF(VALUE(LEFT(EO$3,1))=2,AVERAGEIFS(FX!$B:$B,FX!$A:$A,"&gt;="&amp;DATE(MID(EO$3,3,4),6,1),FX!$A:$A,"&lt;="&amp;DATE(MID(EO$3,3,4),12,31)),"NA"))</f>
        <v/>
      </c>
      <c r="EP66" s="521">
        <f>IF(VALUE(LEFT(EP$3,1))=1,AVERAGEIFS(FX!$B:$B,FX!$A:$A,"&gt;="&amp;DATE(MID(EP$3,3,4),1,1),FX!$A:$A,"&lt;="&amp;DATE(MID(EP$3,3,4),6,30)),IF(VALUE(LEFT(EP$3,1))=2,AVERAGEIFS(FX!$B:$B,FX!$A:$A,"&gt;="&amp;DATE(MID(EP$3,3,4),6,1),FX!$A:$A,"&lt;="&amp;DATE(MID(EP$3,3,4),12,31)),"NA"))</f>
        <v/>
      </c>
      <c r="EQ66" s="58">
        <f>AJ66</f>
        <v/>
      </c>
      <c r="ER66" s="1049" t="n"/>
      <c r="ES66" s="521">
        <f>IF(VALUE(LEFT(ES$3,1))=1,AVERAGEIFS(FX!$B:$B,FX!$A:$A,"&gt;="&amp;DATE(MID(ES$3,3,4),1,1),FX!$A:$A,"&lt;="&amp;DATE(MID(ES$3,3,4),6,30)),IF(VALUE(LEFT(ES$3,1))=2,AVERAGEIFS(FX!$B:$B,FX!$A:$A,"&gt;="&amp;DATE(MID(ES$3,3,4),6,1),FX!$A:$A,"&lt;="&amp;DATE(MID(ES$3,3,4),12,31)),"NA"))</f>
        <v/>
      </c>
      <c r="ET66" s="521">
        <f>IF(VALUE(LEFT(ET$3,1))=1,AVERAGEIFS(FX!$B:$B,FX!$A:$A,"&gt;="&amp;DATE(MID(ET$3,3,4),1,1),FX!$A:$A,"&lt;="&amp;DATE(MID(ET$3,3,4),6,30)),IF(VALUE(LEFT(ET$3,1))=2,AVERAGEIFS(FX!$B:$B,FX!$A:$A,"&gt;="&amp;DATE(MID(ET$3,3,4),6,1),FX!$A:$A,"&lt;="&amp;DATE(MID(ET$3,3,4),12,31)),"NA"))</f>
        <v/>
      </c>
      <c r="EU66" s="58">
        <f>AK66</f>
        <v/>
      </c>
      <c r="EV66" s="58" t="n"/>
      <c r="EW66" s="521">
        <f>IF(VALUE(LEFT(EW$3,1))=1,AVERAGEIFS(FX!$B:$B,FX!$A:$A,"&gt;="&amp;DATE(MID(EW$3,3,4),1,1),FX!$A:$A,"&lt;="&amp;DATE(MID(EW$3,3,4),6,30)),IF(VALUE(LEFT(EW$3,1))=2,AVERAGEIFS(FX!$B:$B,FX!$A:$A,"&gt;="&amp;DATE(MID(EW$3,3,4),6,1),FX!$A:$A,"&lt;="&amp;DATE(MID(EW$3,3,4),12,31)),"NA"))</f>
        <v/>
      </c>
      <c r="EX66" s="521">
        <f>IF(VALUE(LEFT(EX$3,1))=1,AVERAGEIFS(FX!$B:$B,FX!$A:$A,"&gt;="&amp;DATE(MID(EX$3,3,4),1,1),FX!$A:$A,"&lt;="&amp;DATE(MID(EX$3,3,4),6,30)),IF(VALUE(LEFT(EX$3,1))=2,AVERAGEIFS(FX!$B:$B,FX!$A:$A,"&gt;="&amp;DATE(MID(EX$3,3,4),6,1),FX!$A:$A,"&lt;="&amp;DATE(MID(EX$3,3,4),12,31)),"NA"))</f>
        <v/>
      </c>
      <c r="EY66" s="58">
        <f>AL66</f>
        <v/>
      </c>
      <c r="FA66" s="521">
        <f>IF(VALUE(LEFT(FA$3,1))=1,AVERAGEIFS(FX!$B:$B,FX!$A:$A,"&gt;="&amp;DATE(MID(FA$3,3,4),1,1),FX!$A:$A,"&lt;="&amp;DATE(MID(FA$3,3,4),6,30)),IF(VALUE(LEFT(FA$3,1))=2,AVERAGEIFS(FX!$B:$B,FX!$A:$A,"&gt;="&amp;DATE(MID(FA$3,3,4),6,1),FX!$A:$A,"&lt;="&amp;DATE(MID(FA$3,3,4),12,31)),"NA"))</f>
        <v/>
      </c>
      <c r="FB66" s="521">
        <f>IF(VALUE(LEFT(FB$3,1))=1,AVERAGEIFS(FX!$B:$B,FX!$A:$A,"&gt;="&amp;DATE(MID(FB$3,3,4),1,1),FX!$A:$A,"&lt;="&amp;DATE(MID(FB$3,3,4),6,30)),IF(VALUE(LEFT(FB$3,1))=2,AVERAGEIFS(FX!$B:$B,FX!$A:$A,"&gt;="&amp;DATE(MID(FB$3,3,4),6,1),FX!$A:$A,"&lt;="&amp;DATE(MID(FB$3,3,4),12,31)),"NA"))</f>
        <v/>
      </c>
      <c r="FC66" s="58">
        <f>AM66</f>
        <v/>
      </c>
      <c r="FE66" s="521">
        <f>IF(VALUE(LEFT(FE$3,1))=1,AVERAGEIFS(FX!$B:$B,FX!$A:$A,"&gt;="&amp;DATE(MID(FE$3,3,4),1,1),FX!$A:$A,"&lt;="&amp;DATE(MID(FE$3,3,4),6,30)),IF(VALUE(LEFT(FE$3,1))=2,AVERAGEIFS(FX!$B:$B,FX!$A:$A,"&gt;="&amp;DATE(MID(FE$3,3,4),6,1),FX!$A:$A,"&lt;="&amp;DATE(MID(FE$3,3,4),12,31)),"NA"))</f>
        <v/>
      </c>
      <c r="FF66" s="521">
        <f>IF(VALUE(LEFT(FF$3,1))=1,AVERAGEIFS(FX!$B:$B,FX!$A:$A,"&gt;="&amp;DATE(MID(FF$3,3,4),1,1),FX!$A:$A,"&lt;="&amp;DATE(MID(FF$3,3,4),6,30)),IF(VALUE(LEFT(FF$3,1))=2,AVERAGEIFS(FX!$B:$B,FX!$A:$A,"&gt;="&amp;DATE(MID(FF$3,3,4),6,1),FX!$A:$A,"&lt;="&amp;DATE(MID(FF$3,3,4),12,31)),"NA"))</f>
        <v/>
      </c>
      <c r="FG66" s="58">
        <f>AN66</f>
        <v/>
      </c>
      <c r="FI66" s="521">
        <f>IF(VALUE(LEFT(FI$3,1))=1,AVERAGEIFS(FX!$B:$B,FX!$A:$A,"&gt;="&amp;DATE(MID(FI$3,3,4),1,1),FX!$A:$A,"&lt;="&amp;DATE(MID(FI$3,3,4),6,30)),IF(VALUE(LEFT(FI$3,1))=2,AVERAGEIFS(FX!$B:$B,FX!$A:$A,"&gt;="&amp;DATE(MID(FI$3,3,4),6,1),FX!$A:$A,"&lt;="&amp;DATE(MID(FI$3,3,4),12,31)),"NA"))</f>
        <v/>
      </c>
      <c r="FJ66" s="521">
        <f>IF(VALUE(LEFT(FJ$3,1))=1,AVERAGEIFS(FX!$B:$B,FX!$A:$A,"&gt;="&amp;DATE(MID(FJ$3,3,4),1,1),FX!$A:$A,"&lt;="&amp;DATE(MID(FJ$3,3,4),6,30)),IF(VALUE(LEFT(FJ$3,1))=2,AVERAGEIFS(FX!$B:$B,FX!$A:$A,"&gt;="&amp;DATE(MID(FJ$3,3,4),6,1),FX!$A:$A,"&lt;="&amp;DATE(MID(FJ$3,3,4),12,31)),"NA"))</f>
        <v/>
      </c>
      <c r="FK66" s="58">
        <f>AO66</f>
        <v/>
      </c>
      <c r="FM66" s="57">
        <f>FJ66</f>
        <v/>
      </c>
      <c r="FN66" s="57">
        <f>FM66</f>
        <v/>
      </c>
      <c r="FO66" s="58">
        <f>AP66</f>
        <v/>
      </c>
    </row>
    <row r="67" customFormat="1" s="1046">
      <c r="A67" s="1047" t="n"/>
      <c r="B67" s="1050" t="inlineStr">
        <is>
          <t>hkd/ cny (avg.)</t>
        </is>
      </c>
      <c r="C67" s="95" t="n"/>
      <c r="D67" s="95" t="n"/>
      <c r="E67" s="95" t="n"/>
      <c r="F67" s="95" t="n"/>
      <c r="G67" s="522">
        <f>AVERAGEIFS(FX!$C:$C,FX!$A:$A,"&gt;="&amp;DATE(LEFT(G$3,4),1,1),FX!$A:$A,"&lt;="&amp;DATE(LEFT(G$3,4),12,13))</f>
        <v/>
      </c>
      <c r="H67" s="522">
        <f>AVERAGEIFS(FX!$C:$C,FX!$A:$A,"&gt;="&amp;DATE(LEFT(H$3,4),1,1),FX!$A:$A,"&lt;="&amp;DATE(LEFT(H$3,4),12,13))</f>
        <v/>
      </c>
      <c r="I67" s="522">
        <f>AVERAGEIFS(FX!$C:$C,FX!$A:$A,"&gt;="&amp;DATE(LEFT(I$3,4),1,1),FX!$A:$A,"&lt;="&amp;DATE(LEFT(I$3,4),12,13))</f>
        <v/>
      </c>
      <c r="J67" s="522">
        <f>AVERAGEIFS(FX!$C:$C,FX!$A:$A,"&gt;="&amp;DATE(LEFT(J$3,4),1,1),FX!$A:$A,"&lt;="&amp;DATE(LEFT(J$3,4),12,13))</f>
        <v/>
      </c>
      <c r="K67" s="522">
        <f>AVERAGEIFS(FX!$C:$C,FX!$A:$A,"&gt;="&amp;DATE(LEFT(K$3,4),1,1),FX!$A:$A,"&lt;="&amp;DATE(LEFT(K$3,4),12,13))</f>
        <v/>
      </c>
      <c r="L67" s="522">
        <f>AVERAGEIFS(FX!$C:$C,FX!$A:$A,"&gt;="&amp;DATE(LEFT(L$3,4),1,1),FX!$A:$A,"&lt;="&amp;DATE(LEFT(L$3,4),12,13))</f>
        <v/>
      </c>
      <c r="M67" s="522">
        <f>AVERAGEIFS(FX!$C:$C,FX!$A:$A,"&gt;="&amp;DATE(LEFT(M$3,4),1,1),FX!$A:$A,"&lt;="&amp;DATE(LEFT(M$3,4),12,13))</f>
        <v/>
      </c>
      <c r="N67" s="522">
        <f>AVERAGEIFS(FX!$C:$C,FX!$A:$A,"&gt;="&amp;DATE(LEFT(N$3,4),1,1),FX!$A:$A,"&lt;="&amp;DATE(LEFT(N$3,4),12,13))</f>
        <v/>
      </c>
      <c r="O67" s="522">
        <f>AVERAGEIFS(FX!$C:$C,FX!$A:$A,"&gt;="&amp;DATE(LEFT(O$3,4),1,1),FX!$A:$A,"&lt;="&amp;DATE(LEFT(O$3,4),12,13))</f>
        <v/>
      </c>
      <c r="P67" s="522">
        <f>AVERAGEIFS(FX!$C:$C,FX!$A:$A,"&gt;="&amp;DATE(LEFT(P$3,4),1,1),FX!$A:$A,"&lt;="&amp;DATE(LEFT(P$3,4),12,13))</f>
        <v/>
      </c>
      <c r="Q67" s="522">
        <f>AVERAGEIFS(FX!$C:$C,FX!$A:$A,"&gt;="&amp;DATE(LEFT(Q$3,4),1,1),FX!$A:$A,"&lt;="&amp;DATE(LEFT(Q$3,4),12,13))</f>
        <v/>
      </c>
      <c r="R67" s="522">
        <f>AVERAGEIFS(FX!$C:$C,FX!$A:$A,"&gt;="&amp;DATE(LEFT(R$3,4),1,1),FX!$A:$A,"&lt;="&amp;DATE(LEFT(R$3,4),12,13))</f>
        <v/>
      </c>
      <c r="S67" s="522">
        <f>AVERAGEIFS(FX!$C:$C,FX!$A:$A,"&gt;="&amp;DATE(LEFT(S$3,4),1,1),FX!$A:$A,"&lt;="&amp;DATE(LEFT(S$3,4),12,13))</f>
        <v/>
      </c>
      <c r="T67" s="522">
        <f>AVERAGEIFS(FX!$C:$C,FX!$A:$A,"&gt;="&amp;DATE(LEFT(T$3,4),1,1),FX!$A:$A,"&lt;="&amp;DATE(LEFT(T$3,4),12,13))</f>
        <v/>
      </c>
      <c r="U67" s="522">
        <f>AVERAGEIFS(FX!$C:$C,FX!$A:$A,"&gt;="&amp;DATE(LEFT(U$3,4),1,1),FX!$A:$A,"&lt;="&amp;DATE(LEFT(U$3,4),12,13))</f>
        <v/>
      </c>
      <c r="V67" s="522">
        <f>AVERAGEIFS(FX!$C:$C,FX!$A:$A,"&gt;="&amp;DATE(LEFT(V$3,4),1,1),FX!$A:$A,"&lt;="&amp;DATE(LEFT(V$3,4),12,13))</f>
        <v/>
      </c>
      <c r="W67" s="522">
        <f>AVERAGEIFS(FX!$C:$C,FX!$A:$A,"&gt;="&amp;DATE(LEFT(W$3,4),1,1),FX!$A:$A,"&lt;="&amp;DATE(LEFT(W$3,4),12,13))</f>
        <v/>
      </c>
      <c r="X67" s="522">
        <f>AVERAGEIFS(FX!$C:$C,FX!$A:$A,"&gt;="&amp;DATE(LEFT(X$3,4),1,1),FX!$A:$A,"&lt;="&amp;DATE(LEFT(X$3,4),12,13))</f>
        <v/>
      </c>
      <c r="Y67" s="522">
        <f>AVERAGEIFS(FX!$C:$C,FX!$A:$A,"&gt;="&amp;DATE(LEFT(Y$3,4),1,1),FX!$A:$A,"&lt;="&amp;DATE(LEFT(Y$3,4),12,13))</f>
        <v/>
      </c>
      <c r="Z67" s="522">
        <f>AVERAGEIFS(FX!$C:$C,FX!$A:$A,"&gt;="&amp;DATE(LEFT(Z$3,4),1,1),FX!$A:$A,"&lt;="&amp;DATE(LEFT(Z$3,4),12,13))</f>
        <v/>
      </c>
      <c r="AA67" s="522">
        <f>AVERAGEIFS(FX!$C:$C,FX!$A:$A,"&gt;="&amp;DATE(LEFT(AA$3,4),1,1),FX!$A:$A,"&lt;="&amp;DATE(LEFT(AA$3,4),12,13))</f>
        <v/>
      </c>
      <c r="AB67" s="522">
        <f>AVERAGEIFS(FX!$C:$C,FX!$A:$A,"&gt;="&amp;DATE(LEFT(AB$3,4),1,1),FX!$A:$A,"&lt;="&amp;DATE(LEFT(AB$3,4),12,13))</f>
        <v/>
      </c>
      <c r="AC67" s="522">
        <f>AVERAGEIFS(FX!$C:$C,FX!$A:$A,"&gt;="&amp;DATE(LEFT(AC$3,4),1,1),FX!$A:$A,"&lt;="&amp;DATE(LEFT(AC$3,4),12,13))</f>
        <v/>
      </c>
      <c r="AD67" s="522">
        <f>AVERAGEIFS(FX!$C:$C,FX!$A:$A,"&gt;="&amp;DATE(LEFT(AD$3,4),1,1),FX!$A:$A,"&lt;="&amp;DATE(LEFT(AD$3,4),12,13))</f>
        <v/>
      </c>
      <c r="AE67" s="522">
        <f>AVERAGEIFS(FX!$C:$C,FX!$A:$A,"&gt;="&amp;DATE(LEFT(AE$3,4),1,1),FX!$A:$A,"&lt;="&amp;DATE(LEFT(AE$3,4),12,13))</f>
        <v/>
      </c>
      <c r="AF67" s="522">
        <f>AVERAGEIFS(FX!$C:$C,FX!$A:$A,"&gt;="&amp;DATE(LEFT(AF$3,4),1,1),FX!$A:$A,"&lt;="&amp;DATE(LEFT(AF$3,4),12,13))</f>
        <v/>
      </c>
      <c r="AG67" s="522">
        <f>AVERAGEIFS(FX!$C:$C,FX!$A:$A,"&gt;="&amp;DATE(LEFT(AG$3,4),1,1),FX!$A:$A,"&lt;="&amp;DATE(LEFT(AG$3,4),12,13))</f>
        <v/>
      </c>
      <c r="AH67" s="522">
        <f>AVERAGEIFS(FX!$C:$C,FX!$A:$A,"&gt;="&amp;DATE(LEFT(AH$3,4),1,1),FX!$A:$A,"&lt;="&amp;DATE(LEFT(AH$3,4),12,13))</f>
        <v/>
      </c>
      <c r="AI67" s="522">
        <f>AVERAGEIFS(FX!$C:$C,FX!$A:$A,"&gt;="&amp;DATE(LEFT(AI$3,4),1,1),FX!$A:$A,"&lt;="&amp;DATE(LEFT(AI$3,4),12,13))</f>
        <v/>
      </c>
      <c r="AJ67" s="522">
        <f>AVERAGEIFS(FX!$C:$C,FX!$A:$A,"&gt;="&amp;DATE(LEFT(AJ$3,4),1,1),FX!$A:$A,"&lt;="&amp;DATE(LEFT(AJ$3,4),12,13))</f>
        <v/>
      </c>
      <c r="AK67" s="522">
        <f>AVERAGEIFS(FX!$C:$C,FX!$A:$A,"&gt;="&amp;DATE(LEFT(AK$3,4),1,1),FX!$A:$A,"&lt;="&amp;DATE(LEFT(AK$3,4),12,13))</f>
        <v/>
      </c>
      <c r="AL67" s="523">
        <f>AVERAGEIFS(FX!$C:$C,FX!$A:$A,"&gt;="&amp;DATE(LEFT(AL$3,4),1,1),FX!$A:$A,"&lt;="&amp;DATE(LEFT(AL$3,4),12,13))</f>
        <v/>
      </c>
      <c r="AM67" s="523">
        <f>AVERAGEIFS(FX!$C:$C,FX!$A:$A,"&gt;="&amp;DATE(LEFT(AM$3,4),1,1),FX!$A:$A,"&lt;="&amp;DATE(LEFT(AM$3,4),12,13))</f>
        <v/>
      </c>
      <c r="AN67" s="523">
        <f>AVERAGEIFS(FX!$C:$C,FX!$A:$A,"&gt;="&amp;DATE(LEFT(AN$3,4),1,1),FX!$A:$A,"&lt;="&amp;DATE(LEFT(AN$3,4),12,13))</f>
        <v/>
      </c>
      <c r="AO67" s="522">
        <f>AN67</f>
        <v/>
      </c>
      <c r="AP67" s="522">
        <f>AO67</f>
        <v/>
      </c>
      <c r="AQ67" s="522">
        <f>AP67</f>
        <v/>
      </c>
      <c r="AR67" s="522">
        <f>AQ67</f>
        <v/>
      </c>
      <c r="AS67" s="522">
        <f>AR67</f>
        <v/>
      </c>
      <c r="AT67" s="522">
        <f>AS67</f>
        <v/>
      </c>
      <c r="AU67" s="58" t="n"/>
      <c r="AV67" s="1051" t="n"/>
      <c r="AW67" s="1051" t="n"/>
      <c r="AX67" s="1052" t="n"/>
      <c r="AY67" s="985" t="n"/>
      <c r="AZ67" s="1051" t="n"/>
      <c r="BA67" s="1051" t="n"/>
      <c r="BB67" s="1052" t="n"/>
      <c r="BD67" s="1051" t="n"/>
      <c r="BE67" s="1051" t="n"/>
      <c r="BF67" s="1052" t="n"/>
      <c r="BH67" s="1051" t="n"/>
      <c r="BI67" s="1051" t="n"/>
      <c r="BJ67" s="1052" t="n"/>
      <c r="BL67" s="1051" t="n"/>
      <c r="BM67" s="1051" t="n"/>
      <c r="BN67" s="1052" t="n"/>
      <c r="BP67" s="1051" t="n"/>
      <c r="BQ67" s="1051" t="n"/>
      <c r="BR67" s="1052" t="n"/>
      <c r="BT67" s="1051" t="n"/>
      <c r="BU67" s="1051" t="n"/>
      <c r="BV67" s="1052" t="n"/>
      <c r="BX67" s="1051" t="n"/>
      <c r="BY67" s="1051" t="n"/>
      <c r="BZ67" s="1052" t="n"/>
      <c r="CB67" s="1051" t="n"/>
      <c r="CC67" s="1051" t="n"/>
      <c r="CD67" s="1052" t="n"/>
      <c r="CE67" s="985" t="n"/>
      <c r="CF67" s="1051" t="n"/>
      <c r="CG67" s="1051" t="n"/>
      <c r="CH67" s="1052" t="n"/>
      <c r="CI67" s="1008" t="n"/>
      <c r="CJ67" s="1051" t="n"/>
      <c r="CK67" s="1051" t="n"/>
      <c r="CL67" s="1052" t="n"/>
      <c r="CM67" s="1008" t="n"/>
      <c r="CN67" s="1051" t="n"/>
      <c r="CO67" s="1051" t="n"/>
      <c r="CP67" s="1052" t="n"/>
      <c r="CQ67" s="1008" t="n"/>
      <c r="CR67" s="1051" t="n"/>
      <c r="CS67" s="1051" t="n"/>
      <c r="CT67" s="1051" t="n"/>
      <c r="CU67" s="1052" t="n"/>
      <c r="CV67" s="1008" t="n"/>
      <c r="CW67" s="1051" t="n"/>
      <c r="CX67" s="1051" t="n"/>
      <c r="CY67" s="1052" t="n"/>
      <c r="CZ67" s="1008" t="n"/>
      <c r="DA67" s="1051" t="n"/>
      <c r="DB67" s="1051" t="n"/>
      <c r="DC67" s="1052" t="n"/>
      <c r="DD67" s="1008" t="n"/>
      <c r="DE67" s="1051" t="n"/>
      <c r="DF67" s="1051" t="n"/>
      <c r="DG67" s="1052" t="n"/>
      <c r="DH67" s="1008" t="n"/>
      <c r="DI67" s="99" t="n"/>
      <c r="DJ67" s="1051" t="n"/>
      <c r="DK67" s="1052" t="n"/>
      <c r="DL67" s="1008" t="n"/>
      <c r="DM67" s="96" t="n"/>
      <c r="DN67" s="1051" t="n"/>
      <c r="DO67" s="1052" t="n"/>
      <c r="DP67" s="1008" t="n"/>
      <c r="DQ67" s="96" t="n"/>
      <c r="DR67" s="1051" t="n"/>
      <c r="DS67" s="1051" t="n"/>
      <c r="DT67" s="1051" t="n"/>
      <c r="DU67" s="96" t="n"/>
      <c r="DV67" s="96" t="n"/>
      <c r="DW67" s="96" t="n"/>
      <c r="DX67" s="1051" t="n"/>
      <c r="DY67" s="96" t="n"/>
      <c r="DZ67" s="96" t="n"/>
      <c r="EA67" s="96" t="n"/>
      <c r="EC67" s="96" t="n"/>
      <c r="ED67" s="96" t="n"/>
      <c r="EE67" s="96" t="n"/>
      <c r="EF67" s="96" t="n"/>
      <c r="EG67" s="96" t="n"/>
      <c r="EH67" s="96" t="n"/>
      <c r="EI67" s="96" t="n"/>
      <c r="EJ67" s="96" t="n"/>
      <c r="EK67" s="522">
        <f>IF(VALUE(LEFT(EK$3,1))=1,AVERAGEIFS(FX!$C:$C,FX!$A:$A,"&gt;="&amp;DATE(MID(EK$3,3,4),1,1),FX!$A:$A,"&lt;="&amp;DATE(MID(EK$3,3,4),6,30)),IF(VALUE(LEFT(EK$3,1))=2,AVERAGEIFS(FX!$C:$C,FX!$A:$A,"&gt;="&amp;DATE(MID(EK$3,3,4),6,1),FX!$A:$A,"&lt;="&amp;DATE(MID(EK$3,3,4),12,31)),"NA"))</f>
        <v/>
      </c>
      <c r="EL67" s="522">
        <f>IF(VALUE(LEFT(EL$3,1))=1,AVERAGEIFS(FX!$C:$C,FX!$A:$A,"&gt;="&amp;DATE(MID(EL$3,3,4),1,1),FX!$A:$A,"&lt;="&amp;DATE(MID(EL$3,3,4),6,30)),IF(VALUE(LEFT(EL$3,1))=2,AVERAGEIFS(FX!$C:$C,FX!$A:$A,"&gt;="&amp;DATE(MID(EL$3,3,4),6,1),FX!$A:$A,"&lt;="&amp;DATE(MID(EL$3,3,4),12,31)),"NA"))</f>
        <v/>
      </c>
      <c r="EM67" s="96">
        <f>AI67</f>
        <v/>
      </c>
      <c r="EN67" s="96" t="n"/>
      <c r="EO67" s="522">
        <f>IF(VALUE(LEFT(EO$3,1))=1,AVERAGEIFS(FX!$C:$C,FX!$A:$A,"&gt;="&amp;DATE(MID(EO$3,3,4),1,1),FX!$A:$A,"&lt;="&amp;DATE(MID(EO$3,3,4),6,30)),IF(VALUE(LEFT(EO$3,1))=2,AVERAGEIFS(FX!$C:$C,FX!$A:$A,"&gt;="&amp;DATE(MID(EO$3,3,4),6,1),FX!$A:$A,"&lt;="&amp;DATE(MID(EO$3,3,4),12,31)),"NA"))</f>
        <v/>
      </c>
      <c r="EP67" s="522">
        <f>IF(VALUE(LEFT(EP$3,1))=1,AVERAGEIFS(FX!$C:$C,FX!$A:$A,"&gt;="&amp;DATE(MID(EP$3,3,4),1,1),FX!$A:$A,"&lt;="&amp;DATE(MID(EP$3,3,4),6,30)),IF(VALUE(LEFT(EP$3,1))=2,AVERAGEIFS(FX!$C:$C,FX!$A:$A,"&gt;="&amp;DATE(MID(EP$3,3,4),6,1),FX!$A:$A,"&lt;="&amp;DATE(MID(EP$3,3,4),12,31)),"NA"))</f>
        <v/>
      </c>
      <c r="EQ67" s="96">
        <f>AJ67</f>
        <v/>
      </c>
      <c r="ER67" s="1049" t="n"/>
      <c r="ES67" s="522">
        <f>IF(VALUE(LEFT(ES$3,1))=1,AVERAGEIFS(FX!$C:$C,FX!$A:$A,"&gt;="&amp;DATE(MID(ES$3,3,4),1,1),FX!$A:$A,"&lt;="&amp;DATE(MID(ES$3,3,4),6,30)),IF(VALUE(LEFT(ES$3,1))=2,AVERAGEIFS(FX!$C:$C,FX!$A:$A,"&gt;="&amp;DATE(MID(ES$3,3,4),6,1),FX!$A:$A,"&lt;="&amp;DATE(MID(ES$3,3,4),12,31)),"NA"))</f>
        <v/>
      </c>
      <c r="ET67" s="522">
        <f>IF(VALUE(LEFT(ET$3,1))=1,AVERAGEIFS(FX!$C:$C,FX!$A:$A,"&gt;="&amp;DATE(MID(ET$3,3,4),1,1),FX!$A:$A,"&lt;="&amp;DATE(MID(ET$3,3,4),6,30)),IF(VALUE(LEFT(ET$3,1))=2,AVERAGEIFS(FX!$C:$C,FX!$A:$A,"&gt;="&amp;DATE(MID(ET$3,3,4),6,1),FX!$A:$A,"&lt;="&amp;DATE(MID(ET$3,3,4),12,31)),"NA"))</f>
        <v/>
      </c>
      <c r="EU67" s="96">
        <f>AK67</f>
        <v/>
      </c>
      <c r="EV67" s="367" t="n"/>
      <c r="EW67" s="522">
        <f>IF(VALUE(LEFT(EW$3,1))=1,AVERAGEIFS(FX!$C:$C,FX!$A:$A,"&gt;="&amp;DATE(MID(EW$3,3,4),1,1),FX!$A:$A,"&lt;="&amp;DATE(MID(EW$3,3,4),6,30)),IF(VALUE(LEFT(EW$3,1))=2,AVERAGEIFS(FX!$C:$C,FX!$A:$A,"&gt;="&amp;DATE(MID(EW$3,3,4),6,1),FX!$A:$A,"&lt;="&amp;DATE(MID(EW$3,3,4),12,31)),"NA"))</f>
        <v/>
      </c>
      <c r="EX67" s="522">
        <f>IF(VALUE(LEFT(EX$3,1))=1,AVERAGEIFS(FX!$C:$C,FX!$A:$A,"&gt;="&amp;DATE(MID(EX$3,3,4),1,1),FX!$A:$A,"&lt;="&amp;DATE(MID(EX$3,3,4),6,30)),IF(VALUE(LEFT(EX$3,1))=2,AVERAGEIFS(FX!$C:$C,FX!$A:$A,"&gt;="&amp;DATE(MID(EX$3,3,4),6,1),FX!$A:$A,"&lt;="&amp;DATE(MID(EX$3,3,4),12,31)),"NA"))</f>
        <v/>
      </c>
      <c r="EY67" s="96">
        <f>AL67</f>
        <v/>
      </c>
      <c r="FA67" s="522">
        <f>IF(VALUE(LEFT(FA$3,1))=1,AVERAGEIFS(FX!$C:$C,FX!$A:$A,"&gt;="&amp;DATE(MID(FA$3,3,4),1,1),FX!$A:$A,"&lt;="&amp;DATE(MID(FA$3,3,4),6,30)),IF(VALUE(LEFT(FA$3,1))=2,AVERAGEIFS(FX!$C:$C,FX!$A:$A,"&gt;="&amp;DATE(MID(FA$3,3,4),6,1),FX!$A:$A,"&lt;="&amp;DATE(MID(FA$3,3,4),12,31)),"NA"))</f>
        <v/>
      </c>
      <c r="FB67" s="522">
        <f>IF(VALUE(LEFT(FB$3,1))=1,AVERAGEIFS(FX!$C:$C,FX!$A:$A,"&gt;="&amp;DATE(MID(FB$3,3,4),1,1),FX!$A:$A,"&lt;="&amp;DATE(MID(FB$3,3,4),6,30)),IF(VALUE(LEFT(FB$3,1))=2,AVERAGEIFS(FX!$C:$C,FX!$A:$A,"&gt;="&amp;DATE(MID(FB$3,3,4),6,1),FX!$A:$A,"&lt;="&amp;DATE(MID(FB$3,3,4),12,31)),"NA"))</f>
        <v/>
      </c>
      <c r="FC67" s="96">
        <f>AM67</f>
        <v/>
      </c>
      <c r="FE67" s="522">
        <f>IF(VALUE(LEFT(FE$3,1))=1,AVERAGEIFS(FX!$C:$C,FX!$A:$A,"&gt;="&amp;DATE(MID(FE$3,3,4),1,1),FX!$A:$A,"&lt;="&amp;DATE(MID(FE$3,3,4),6,30)),IF(VALUE(LEFT(FE$3,1))=2,AVERAGEIFS(FX!$C:$C,FX!$A:$A,"&gt;="&amp;DATE(MID(FE$3,3,4),6,1),FX!$A:$A,"&lt;="&amp;DATE(MID(FE$3,3,4),12,31)),"NA"))</f>
        <v/>
      </c>
      <c r="FF67" s="522">
        <f>IF(VALUE(LEFT(FF$3,1))=1,AVERAGEIFS(FX!$C:$C,FX!$A:$A,"&gt;="&amp;DATE(MID(FF$3,3,4),1,1),FX!$A:$A,"&lt;="&amp;DATE(MID(FF$3,3,4),6,30)),IF(VALUE(LEFT(FF$3,1))=2,AVERAGEIFS(FX!$C:$C,FX!$A:$A,"&gt;="&amp;DATE(MID(FF$3,3,4),6,1),FX!$A:$A,"&lt;="&amp;DATE(MID(FF$3,3,4),12,31)),"NA"))</f>
        <v/>
      </c>
      <c r="FG67" s="96">
        <f>AN67</f>
        <v/>
      </c>
      <c r="FI67" s="522">
        <f>IF(VALUE(LEFT(FI$3,1))=1,AVERAGEIFS(FX!$C:$C,FX!$A:$A,"&gt;="&amp;DATE(MID(FI$3,3,4),1,1),FX!$A:$A,"&lt;="&amp;DATE(MID(FI$3,3,4),6,30)),IF(VALUE(LEFT(FI$3,1))=2,AVERAGEIFS(FX!$C:$C,FX!$A:$A,"&gt;="&amp;DATE(MID(FI$3,3,4),6,1),FX!$A:$A,"&lt;="&amp;DATE(MID(FI$3,3,4),12,31)),"NA"))</f>
        <v/>
      </c>
      <c r="FJ67" s="522">
        <f>IF(VALUE(LEFT(FJ$3,1))=1,AVERAGEIFS(FX!$C:$C,FX!$A:$A,"&gt;="&amp;DATE(MID(FJ$3,3,4),1,1),FX!$A:$A,"&lt;="&amp;DATE(MID(FJ$3,3,4),6,30)),IF(VALUE(LEFT(FJ$3,1))=2,AVERAGEIFS(FX!$C:$C,FX!$A:$A,"&gt;="&amp;DATE(MID(FJ$3,3,4),6,1),FX!$A:$A,"&lt;="&amp;DATE(MID(FJ$3,3,4),12,31)),"NA"))</f>
        <v/>
      </c>
      <c r="FK67" s="96">
        <f>AO67</f>
        <v/>
      </c>
      <c r="FM67" s="95">
        <f>FJ67</f>
        <v/>
      </c>
      <c r="FN67" s="95">
        <f>FM67</f>
        <v/>
      </c>
      <c r="FO67" s="96">
        <f>AP67</f>
        <v/>
      </c>
    </row>
    <row r="68" customFormat="1" s="1046">
      <c r="A68" s="1047" t="n"/>
      <c r="B68" s="1048" t="n"/>
      <c r="C68" s="57" t="n"/>
      <c r="D68" s="57" t="n"/>
      <c r="E68" s="57" t="n"/>
      <c r="F68" s="57" t="n"/>
      <c r="G68" s="521" t="n"/>
      <c r="H68" s="521" t="n"/>
      <c r="I68" s="521" t="n"/>
      <c r="J68" s="521" t="n"/>
      <c r="K68" s="521" t="n"/>
      <c r="L68" s="521" t="n"/>
      <c r="M68" s="521" t="n"/>
      <c r="N68" s="521" t="n"/>
      <c r="O68" s="521" t="n"/>
      <c r="P68" s="521" t="n"/>
      <c r="Q68" s="521" t="n"/>
      <c r="R68" s="521" t="n"/>
      <c r="S68" s="521" t="n"/>
      <c r="T68" s="521" t="n"/>
      <c r="U68" s="521" t="n"/>
      <c r="V68" s="521" t="n"/>
      <c r="W68" s="521" t="n"/>
      <c r="X68" s="521" t="n"/>
      <c r="Y68" s="521" t="n"/>
      <c r="Z68" s="521" t="n"/>
      <c r="AA68" s="521" t="n"/>
      <c r="AB68" s="521" t="n"/>
      <c r="AC68" s="521" t="n"/>
      <c r="AD68" s="521" t="n"/>
      <c r="AE68" s="521" t="n"/>
      <c r="AF68" s="521" t="n"/>
      <c r="AG68" s="521" t="n"/>
      <c r="AH68" s="521" t="n"/>
      <c r="AI68" s="521" t="n"/>
      <c r="AJ68" s="521" t="n"/>
      <c r="AK68" s="521" t="n"/>
      <c r="AL68" s="521" t="n"/>
      <c r="AM68" s="521" t="n"/>
      <c r="AN68" s="521" t="n"/>
      <c r="AO68" s="521" t="n"/>
      <c r="AP68" s="521" t="n"/>
      <c r="AQ68" s="521" t="n"/>
      <c r="AR68" s="521" t="n"/>
      <c r="AS68" s="521" t="n"/>
      <c r="AT68" s="521" t="n"/>
      <c r="AU68" s="58" t="n"/>
      <c r="AV68" s="985" t="n"/>
      <c r="AW68" s="985" t="n"/>
      <c r="AX68" s="1008" t="n"/>
      <c r="AY68" s="985" t="n"/>
      <c r="AZ68" s="985" t="n"/>
      <c r="BA68" s="985" t="n"/>
      <c r="BB68" s="1008" t="n"/>
      <c r="BD68" s="985" t="n"/>
      <c r="BE68" s="985" t="n"/>
      <c r="BF68" s="1008" t="n"/>
      <c r="BH68" s="985" t="n"/>
      <c r="BI68" s="985" t="n"/>
      <c r="BJ68" s="1008" t="n"/>
      <c r="BL68" s="985" t="n"/>
      <c r="BM68" s="985" t="n"/>
      <c r="BN68" s="1008" t="n"/>
      <c r="BP68" s="985" t="n"/>
      <c r="BQ68" s="985" t="n"/>
      <c r="BR68" s="1008" t="n"/>
      <c r="BT68" s="985" t="n"/>
      <c r="BU68" s="985" t="n"/>
      <c r="BV68" s="1008" t="n"/>
      <c r="BX68" s="985" t="n"/>
      <c r="BY68" s="985" t="n"/>
      <c r="BZ68" s="1008" t="n"/>
      <c r="CB68" s="985" t="n"/>
      <c r="CC68" s="985" t="n"/>
      <c r="CD68" s="1008" t="n"/>
      <c r="CE68" s="985" t="n"/>
      <c r="CF68" s="985" t="n"/>
      <c r="CG68" s="985" t="n"/>
      <c r="CH68" s="1008" t="n"/>
      <c r="CI68" s="1008" t="n"/>
      <c r="CJ68" s="985" t="n"/>
      <c r="CK68" s="985" t="n"/>
      <c r="CL68" s="1008" t="n"/>
      <c r="CM68" s="1008" t="n"/>
      <c r="CN68" s="985" t="n"/>
      <c r="CO68" s="985" t="n"/>
      <c r="CP68" s="1008" t="n"/>
      <c r="CQ68" s="1008" t="n"/>
      <c r="CR68" s="985" t="n"/>
      <c r="CS68" s="985" t="n"/>
      <c r="CT68" s="985" t="n"/>
      <c r="CU68" s="1008" t="n"/>
      <c r="CV68" s="1008" t="n"/>
      <c r="CW68" s="985" t="n"/>
      <c r="CX68" s="985" t="n"/>
      <c r="CY68" s="1008" t="n"/>
      <c r="CZ68" s="1008" t="n"/>
      <c r="DA68" s="985" t="n"/>
      <c r="DB68" s="985" t="n"/>
      <c r="DC68" s="1008" t="n"/>
      <c r="DD68" s="1008" t="n"/>
      <c r="DE68" s="985" t="n"/>
      <c r="DF68" s="985" t="n"/>
      <c r="DG68" s="1008" t="n"/>
      <c r="DH68" s="1008" t="n"/>
      <c r="DI68" s="63" t="n"/>
      <c r="DJ68" s="985" t="n"/>
      <c r="DK68" s="1008" t="n"/>
      <c r="DL68" s="1008" t="n"/>
      <c r="DM68" s="58" t="n"/>
      <c r="DN68" s="985" t="n"/>
      <c r="DO68" s="1008" t="n"/>
      <c r="DP68" s="1008" t="n"/>
      <c r="DQ68" s="58" t="n"/>
      <c r="DR68" s="985" t="n"/>
      <c r="DS68" s="985" t="n"/>
      <c r="DT68" s="985" t="n"/>
      <c r="DU68" s="58" t="n"/>
      <c r="DV68" s="58" t="n"/>
      <c r="DW68" s="58" t="n"/>
      <c r="DX68" s="985" t="n"/>
      <c r="DY68" s="58" t="n"/>
      <c r="DZ68" s="58" t="n"/>
      <c r="EA68" s="58" t="n"/>
      <c r="EC68" s="58" t="n"/>
      <c r="ED68" s="58" t="n"/>
      <c r="EE68" s="58" t="n"/>
      <c r="EF68" s="58" t="n"/>
      <c r="EG68" s="58" t="n"/>
      <c r="EH68" s="58" t="n"/>
      <c r="EI68" s="58" t="n"/>
      <c r="EJ68" s="58" t="n"/>
      <c r="EK68" s="521" t="n"/>
      <c r="EL68" s="521" t="n"/>
      <c r="EM68" s="58" t="n"/>
      <c r="EN68" s="58" t="n"/>
      <c r="EO68" s="521" t="n"/>
      <c r="EP68" s="521" t="n"/>
      <c r="EQ68" s="58" t="n"/>
      <c r="ER68" s="1049" t="n"/>
      <c r="ES68" s="521" t="n"/>
      <c r="ET68" s="521" t="n"/>
      <c r="EU68" s="58" t="n"/>
      <c r="EV68" s="58" t="n"/>
      <c r="EW68" s="521" t="n"/>
      <c r="EX68" s="521" t="n"/>
      <c r="EY68" s="58" t="n"/>
      <c r="FA68" s="521" t="n"/>
      <c r="FB68" s="521" t="n"/>
      <c r="FC68" s="58" t="n"/>
      <c r="FE68" s="521" t="n"/>
      <c r="FF68" s="521" t="n"/>
      <c r="FG68" s="58" t="n"/>
      <c r="FI68" s="521" t="n"/>
      <c r="FJ68" s="521" t="n"/>
      <c r="FK68" s="58" t="n"/>
      <c r="FM68" s="521" t="n"/>
      <c r="FN68" s="57" t="n"/>
      <c r="FO68" s="58" t="n"/>
    </row>
    <row r="69" customFormat="1" s="1053">
      <c r="A69" s="960" t="n"/>
      <c r="B69" s="967" t="inlineStr">
        <is>
          <t>Labour Assumption</t>
        </is>
      </c>
      <c r="C69" s="967" t="n"/>
      <c r="D69" s="967" t="n"/>
      <c r="E69" s="967" t="n"/>
      <c r="F69" s="967" t="n"/>
      <c r="G69" s="967" t="n"/>
      <c r="H69" s="967" t="n"/>
      <c r="I69" s="967" t="n"/>
      <c r="J69" s="967" t="n"/>
      <c r="K69" s="967" t="n"/>
      <c r="L69" s="967" t="n"/>
      <c r="M69" s="967" t="n"/>
      <c r="N69" s="967" t="n"/>
      <c r="O69" s="967" t="n"/>
      <c r="P69" s="967" t="n"/>
      <c r="Q69" s="967" t="n"/>
      <c r="R69" s="967" t="n"/>
      <c r="S69" s="967" t="n"/>
      <c r="T69" s="967" t="n"/>
      <c r="U69" s="967" t="n"/>
      <c r="V69" s="967" t="n"/>
      <c r="W69" s="967" t="n"/>
      <c r="X69" s="967" t="n"/>
      <c r="Y69" s="967" t="n"/>
      <c r="Z69" s="967" t="n"/>
      <c r="AA69" s="967" t="n"/>
      <c r="AB69" s="967" t="n"/>
      <c r="AC69" s="967" t="n"/>
      <c r="AD69" s="967" t="n"/>
      <c r="AE69" s="967" t="n"/>
      <c r="AF69" s="967" t="n"/>
      <c r="AG69" s="967" t="n"/>
      <c r="AH69" s="967" t="n"/>
      <c r="AI69" s="967" t="n"/>
      <c r="AJ69" s="967" t="n"/>
      <c r="AK69" s="967" t="n"/>
      <c r="AL69" s="967" t="n"/>
      <c r="AM69" s="967" t="n"/>
      <c r="AN69" s="967" t="n"/>
      <c r="AO69" s="967" t="n"/>
      <c r="AP69" s="967" t="n"/>
      <c r="AQ69" s="967" t="n"/>
      <c r="AR69" s="967" t="n"/>
      <c r="AS69" s="967" t="n"/>
      <c r="AT69" s="967" t="n"/>
      <c r="AU69" s="968" t="n"/>
      <c r="AV69" s="967" t="n"/>
      <c r="AW69" s="967" t="n"/>
      <c r="AX69" s="967" t="n"/>
      <c r="AY69" s="967" t="n"/>
      <c r="AZ69" s="967" t="n"/>
      <c r="BA69" s="967" t="n"/>
      <c r="BB69" s="967" t="n"/>
      <c r="BC69" s="967" t="n"/>
      <c r="BD69" s="967" t="n"/>
      <c r="BE69" s="967" t="n"/>
      <c r="BF69" s="967" t="n"/>
      <c r="BG69" s="967" t="n"/>
      <c r="BH69" s="967" t="n"/>
      <c r="BI69" s="967" t="n"/>
      <c r="BJ69" s="967" t="n"/>
      <c r="BK69" s="967" t="n"/>
      <c r="BL69" s="967" t="n"/>
      <c r="BM69" s="967" t="n"/>
      <c r="BN69" s="967" t="n"/>
      <c r="BO69" s="967" t="n"/>
      <c r="BP69" s="967" t="n"/>
      <c r="BQ69" s="967" t="n"/>
      <c r="BR69" s="967" t="n"/>
      <c r="BS69" s="967" t="n"/>
      <c r="BT69" s="967" t="n"/>
      <c r="BU69" s="967" t="n"/>
      <c r="BV69" s="967" t="n"/>
      <c r="BW69" s="967" t="n"/>
      <c r="BX69" s="967" t="n"/>
      <c r="BY69" s="967" t="n"/>
      <c r="BZ69" s="967" t="n"/>
      <c r="CA69" s="967" t="n"/>
      <c r="CB69" s="967" t="n"/>
      <c r="CC69" s="967" t="n"/>
      <c r="CD69" s="967" t="n"/>
      <c r="CE69" s="967" t="n"/>
      <c r="CF69" s="967" t="n"/>
      <c r="CG69" s="967" t="n"/>
      <c r="CH69" s="967" t="n"/>
      <c r="CI69" s="967" t="n"/>
      <c r="CJ69" s="967" t="n"/>
      <c r="CK69" s="967" t="n"/>
      <c r="CL69" s="967" t="n"/>
      <c r="CM69" s="967" t="n"/>
      <c r="CN69" s="967" t="n"/>
      <c r="CO69" s="967" t="n"/>
      <c r="CP69" s="967" t="n"/>
      <c r="CQ69" s="967" t="n"/>
      <c r="CR69" s="967" t="n"/>
      <c r="CS69" s="967" t="n"/>
      <c r="CT69" s="967" t="n"/>
      <c r="CU69" s="967" t="n"/>
      <c r="CV69" s="967" t="n"/>
      <c r="CW69" s="967" t="n"/>
      <c r="CX69" s="967" t="n"/>
      <c r="CY69" s="967" t="n"/>
      <c r="CZ69" s="967" t="n"/>
      <c r="DA69" s="967" t="n"/>
      <c r="DB69" s="967" t="n"/>
      <c r="DC69" s="967" t="n"/>
      <c r="DD69" s="967" t="n"/>
      <c r="DE69" s="967" t="n"/>
      <c r="DF69" s="967" t="n"/>
      <c r="DG69" s="967" t="n"/>
      <c r="DH69" s="967" t="n"/>
      <c r="DI69" s="967" t="n"/>
      <c r="DJ69" s="967" t="n"/>
      <c r="DK69" s="967" t="n"/>
      <c r="DL69" s="967" t="n"/>
      <c r="DM69" s="967" t="n"/>
      <c r="DN69" s="967" t="n"/>
      <c r="DO69" s="967" t="n"/>
      <c r="DP69" s="967" t="n"/>
      <c r="DQ69" s="967" t="n"/>
      <c r="DR69" s="967" t="n"/>
      <c r="DS69" s="967" t="n"/>
      <c r="DT69" s="967" t="n"/>
      <c r="DU69" s="967" t="n"/>
      <c r="DV69" s="967" t="n"/>
      <c r="DW69" s="967" t="n"/>
      <c r="DX69" s="967" t="n"/>
      <c r="DY69" s="967" t="n"/>
      <c r="DZ69" s="967" t="n"/>
      <c r="EA69" s="967" t="n"/>
      <c r="EB69" s="967" t="n"/>
      <c r="EC69" s="967" t="n"/>
      <c r="ED69" s="967" t="n"/>
      <c r="EE69" s="967" t="n"/>
      <c r="EF69" s="967" t="n"/>
      <c r="EG69" s="967" t="n"/>
      <c r="EH69" s="967" t="n"/>
      <c r="EI69" s="967" t="n"/>
      <c r="EJ69" s="967" t="n"/>
      <c r="EK69" s="967" t="n"/>
      <c r="EL69" s="967" t="n"/>
      <c r="EM69" s="967" t="n"/>
      <c r="EN69" s="967" t="n"/>
      <c r="EO69" s="967" t="n"/>
      <c r="EP69" s="967" t="n"/>
      <c r="EQ69" s="967" t="n"/>
      <c r="ER69" s="967" t="n"/>
      <c r="ES69" s="967" t="n"/>
      <c r="ET69" s="967" t="n"/>
      <c r="EU69" s="967" t="n"/>
      <c r="EV69" s="967" t="n"/>
      <c r="EW69" s="967" t="n"/>
      <c r="EX69" s="967" t="n"/>
      <c r="EY69" s="967" t="n"/>
      <c r="EZ69" s="967" t="n"/>
      <c r="FA69" s="967" t="n"/>
      <c r="FB69" s="967" t="n"/>
      <c r="FC69" s="967" t="n"/>
      <c r="FD69" s="967" t="n"/>
      <c r="FE69" s="967" t="n"/>
      <c r="FF69" s="967" t="n"/>
      <c r="FG69" s="967" t="n"/>
      <c r="FH69" s="967" t="n"/>
      <c r="FI69" s="967" t="n"/>
      <c r="FJ69" s="967" t="n"/>
      <c r="FK69" s="967" t="n"/>
      <c r="FM69" s="967" t="n"/>
      <c r="FN69" s="967" t="n"/>
      <c r="FO69" s="967" t="n"/>
    </row>
    <row r="70" ht="14.25" customFormat="1" customHeight="1" s="20">
      <c r="A70" s="37" t="inlineStr">
        <is>
          <t>staff nos</t>
        </is>
      </c>
      <c r="B70" s="20" t="inlineStr">
        <is>
          <t>staff nos.</t>
        </is>
      </c>
      <c r="C70" s="21">
        <f>C71/D71*D70</f>
        <v/>
      </c>
      <c r="D70" s="21">
        <f>D71/E71*E70</f>
        <v/>
      </c>
      <c r="E70" s="21">
        <f>E71/F71*F70</f>
        <v/>
      </c>
      <c r="F70" s="21">
        <f>F71/G71*G70</f>
        <v/>
      </c>
      <c r="G70" s="21">
        <f>G71/H71*H70</f>
        <v/>
      </c>
      <c r="H70" s="21">
        <f>H71/I71*I70</f>
        <v/>
      </c>
      <c r="I70" s="21">
        <f>I71/J71*J70</f>
        <v/>
      </c>
      <c r="J70" s="21">
        <f>J71/K71*K70</f>
        <v/>
      </c>
      <c r="K70" s="21">
        <f>K71/L71*L70</f>
        <v/>
      </c>
      <c r="L70" s="21">
        <f>L71/M71*M70</f>
        <v/>
      </c>
      <c r="M70" s="21">
        <f>M71/N71*N70</f>
        <v/>
      </c>
      <c r="N70" s="21">
        <f>N71/O71*O70</f>
        <v/>
      </c>
      <c r="O70" s="21">
        <f>O71/P71*P70</f>
        <v/>
      </c>
      <c r="P70" s="21">
        <f>P71/Q71*Q70</f>
        <v/>
      </c>
      <c r="Q70" s="21">
        <f>Q71/R71*R70</f>
        <v/>
      </c>
      <c r="R70" s="21">
        <f>R71/S71*S70</f>
        <v/>
      </c>
      <c r="S70" s="21">
        <f>S71/T71*T70</f>
        <v/>
      </c>
      <c r="T70" s="21">
        <f>T71/U71*U70</f>
        <v/>
      </c>
      <c r="U70" s="21">
        <f>U71/V71*V70</f>
        <v/>
      </c>
      <c r="V70" s="270" t="n">
        <v>25000</v>
      </c>
      <c r="W70" s="270" t="n">
        <v>25900</v>
      </c>
      <c r="X70" s="270" t="n">
        <v>27100</v>
      </c>
      <c r="Y70" s="270" t="n">
        <v>26700</v>
      </c>
      <c r="Z70" s="270" t="n">
        <v>27500</v>
      </c>
      <c r="AA70" s="270" t="n">
        <v>29000</v>
      </c>
      <c r="AB70" s="270" t="n">
        <v>29900</v>
      </c>
      <c r="AC70" s="270" t="n">
        <v>31600</v>
      </c>
      <c r="AD70" s="270" t="n">
        <v>32900</v>
      </c>
      <c r="AE70" s="270" t="n">
        <v>33600</v>
      </c>
      <c r="AF70" s="270" t="n">
        <v>33800</v>
      </c>
      <c r="AG70" s="270" t="n">
        <v>32700</v>
      </c>
      <c r="AH70" s="270" t="n">
        <v>32400</v>
      </c>
      <c r="AI70" s="270" t="n">
        <v>34200</v>
      </c>
      <c r="AJ70" s="270" t="n">
        <v>25600</v>
      </c>
      <c r="AK70" s="270" t="n">
        <v>21600</v>
      </c>
      <c r="AL70" s="270" t="n">
        <v>21200</v>
      </c>
      <c r="AM70" s="270" t="n">
        <v>23800</v>
      </c>
      <c r="AN70" s="270" t="n">
        <v>30100</v>
      </c>
      <c r="AO70" s="21">
        <f>+FJ70</f>
        <v/>
      </c>
      <c r="AP70" s="21">
        <f>+FN70</f>
        <v/>
      </c>
      <c r="AQ70" s="21">
        <f>AP70*(1+AQ73)</f>
        <v/>
      </c>
      <c r="AR70" s="21">
        <f>AQ70*(1+AR73)</f>
        <v/>
      </c>
      <c r="AS70" s="21">
        <f>AR70*(1+AS73)</f>
        <v/>
      </c>
      <c r="AT70" s="21">
        <f>AS70*(1+AT73)</f>
        <v/>
      </c>
      <c r="AU70" s="1002" t="n"/>
      <c r="AV70" s="23" t="n"/>
      <c r="AW70" s="23" t="n"/>
      <c r="AX70" s="24">
        <f>L70</f>
        <v/>
      </c>
      <c r="AY70" s="23" t="n"/>
      <c r="AZ70" s="23" t="n"/>
      <c r="BA70" s="23" t="n"/>
      <c r="BB70" s="24">
        <f>M70</f>
        <v/>
      </c>
      <c r="BD70" s="487" t="n">
        <v>14812</v>
      </c>
      <c r="BE70" s="1054">
        <f>BF70</f>
        <v/>
      </c>
      <c r="BF70" s="24">
        <f>N70</f>
        <v/>
      </c>
      <c r="BH70" s="23" t="n">
        <v>13321</v>
      </c>
      <c r="BI70" s="985">
        <f>BJ70</f>
        <v/>
      </c>
      <c r="BJ70" s="24">
        <f>O70</f>
        <v/>
      </c>
      <c r="BL70" s="23" t="n">
        <v>13777</v>
      </c>
      <c r="BM70" s="985">
        <f>BN70</f>
        <v/>
      </c>
      <c r="BN70" s="24">
        <f>P70</f>
        <v/>
      </c>
      <c r="BP70" s="23" t="n">
        <v>14725</v>
      </c>
      <c r="BQ70" s="985">
        <f>BR70</f>
        <v/>
      </c>
      <c r="BR70" s="24">
        <f>Q70</f>
        <v/>
      </c>
      <c r="BT70" s="23">
        <f>BR70</f>
        <v/>
      </c>
      <c r="BU70" s="23">
        <f>BV70</f>
        <v/>
      </c>
      <c r="BV70" s="24">
        <f>R70</f>
        <v/>
      </c>
      <c r="BX70" s="23" t="n">
        <v>14800</v>
      </c>
      <c r="BY70" s="23">
        <f>BZ70</f>
        <v/>
      </c>
      <c r="BZ70" s="24">
        <f>S70</f>
        <v/>
      </c>
      <c r="CB70" s="23" t="n">
        <v>14800</v>
      </c>
      <c r="CC70" s="23">
        <f>CD70</f>
        <v/>
      </c>
      <c r="CD70" s="24">
        <f>T70</f>
        <v/>
      </c>
      <c r="CE70" s="23" t="n"/>
      <c r="CF70" s="23" t="n">
        <v>15400</v>
      </c>
      <c r="CG70" s="23">
        <f>CH70</f>
        <v/>
      </c>
      <c r="CH70" s="24">
        <f>U70</f>
        <v/>
      </c>
      <c r="CI70" s="24" t="n"/>
      <c r="CJ70" s="71">
        <f>CL70</f>
        <v/>
      </c>
      <c r="CK70" s="71">
        <f>CL70</f>
        <v/>
      </c>
      <c r="CL70" s="24">
        <f>V70</f>
        <v/>
      </c>
      <c r="CM70" s="24" t="n"/>
      <c r="CN70" s="24" t="n"/>
      <c r="CO70" s="23" t="n"/>
      <c r="CP70" s="23">
        <f>W70</f>
        <v/>
      </c>
      <c r="CQ70" s="24" t="n"/>
      <c r="CR70" s="24" t="n"/>
      <c r="CS70" s="24" t="n"/>
      <c r="CT70" s="24" t="n"/>
      <c r="CU70" s="23">
        <f>X70</f>
        <v/>
      </c>
      <c r="CV70" s="23" t="n"/>
      <c r="CW70" s="24" t="n"/>
      <c r="CX70" s="23" t="n"/>
      <c r="CY70" s="23">
        <f>Y70</f>
        <v/>
      </c>
      <c r="CZ70" s="23" t="n"/>
      <c r="DA70" s="23" t="n"/>
      <c r="DB70" s="23" t="n"/>
      <c r="DC70" s="23">
        <f>Z70</f>
        <v/>
      </c>
      <c r="DD70" s="23" t="n"/>
      <c r="DE70" s="21" t="n"/>
      <c r="DF70" s="23" t="n"/>
      <c r="DG70" s="23">
        <f>AA70</f>
        <v/>
      </c>
      <c r="DH70" s="118" t="n"/>
      <c r="DI70" s="217" t="n">
        <v>29800</v>
      </c>
      <c r="DJ70" s="23">
        <f>AB70</f>
        <v/>
      </c>
      <c r="DK70" s="23">
        <f>AB70</f>
        <v/>
      </c>
      <c r="DL70" s="23" t="n"/>
      <c r="DM70" s="217" t="n">
        <v>29900</v>
      </c>
      <c r="DN70" s="23">
        <f>AC70</f>
        <v/>
      </c>
      <c r="DO70" s="23">
        <f>AC70</f>
        <v/>
      </c>
      <c r="DP70" s="118" t="n"/>
      <c r="DQ70" s="217" t="n">
        <v>32200</v>
      </c>
      <c r="DR70" s="23">
        <f>AD70</f>
        <v/>
      </c>
      <c r="DS70" s="23">
        <f>AD70</f>
        <v/>
      </c>
      <c r="DT70" s="23" t="n"/>
      <c r="DU70" s="217" t="n">
        <v>33300</v>
      </c>
      <c r="DV70" s="21">
        <f>AE70</f>
        <v/>
      </c>
      <c r="DW70" s="21">
        <f>AE70</f>
        <v/>
      </c>
      <c r="DX70" s="23" t="n"/>
      <c r="DY70" s="217" t="n">
        <v>33700</v>
      </c>
      <c r="DZ70" s="21">
        <f>AF70</f>
        <v/>
      </c>
      <c r="EA70" s="21">
        <f>AF70</f>
        <v/>
      </c>
      <c r="EC70" s="217" t="n">
        <v>33200</v>
      </c>
      <c r="ED70" s="21">
        <f>AG70</f>
        <v/>
      </c>
      <c r="EE70" s="21">
        <f>AG70</f>
        <v/>
      </c>
      <c r="EF70" s="21" t="n"/>
      <c r="EG70" s="217" t="n">
        <v>32400</v>
      </c>
      <c r="EH70" s="21">
        <f>AH70</f>
        <v/>
      </c>
      <c r="EI70" s="21">
        <f>AH70</f>
        <v/>
      </c>
      <c r="EJ70" s="21" t="n"/>
      <c r="EK70" s="217" t="n">
        <v>32800</v>
      </c>
      <c r="EL70" s="21">
        <f>AI70</f>
        <v/>
      </c>
      <c r="EM70" s="21">
        <f>AI70</f>
        <v/>
      </c>
      <c r="EN70" s="21" t="n"/>
      <c r="EO70" s="217" t="n">
        <v>33000</v>
      </c>
      <c r="EP70" s="21">
        <f>AJ70</f>
        <v/>
      </c>
      <c r="EQ70" s="21">
        <f>AJ70</f>
        <v/>
      </c>
      <c r="ER70" s="21" t="n"/>
      <c r="ES70" s="217" t="n">
        <v>23100</v>
      </c>
      <c r="ET70" s="21">
        <f>AK70</f>
        <v/>
      </c>
      <c r="EU70" s="21">
        <f>AK70</f>
        <v/>
      </c>
      <c r="EV70" s="809" t="n"/>
      <c r="EW70" s="217" t="n">
        <v>20800</v>
      </c>
      <c r="EX70" s="21">
        <f>AL70</f>
        <v/>
      </c>
      <c r="EY70" s="21">
        <f>AL70</f>
        <v/>
      </c>
      <c r="FA70" s="217" t="n">
        <v>21900</v>
      </c>
      <c r="FB70" s="21">
        <f>AM70</f>
        <v/>
      </c>
      <c r="FC70" s="21">
        <f>AM70</f>
        <v/>
      </c>
      <c r="FE70" s="217" t="n">
        <v>27200</v>
      </c>
      <c r="FF70" s="21">
        <f>AN70</f>
        <v/>
      </c>
      <c r="FG70" s="21">
        <f>AN70</f>
        <v/>
      </c>
      <c r="FI70" s="217" t="n">
        <v>32200</v>
      </c>
      <c r="FJ70" s="21">
        <f>FK70</f>
        <v/>
      </c>
      <c r="FK70" s="21">
        <f>AO70</f>
        <v/>
      </c>
      <c r="FM70" s="217" t="n">
        <v>33000</v>
      </c>
      <c r="FN70" s="812">
        <f>FJ70*(1+FN73)</f>
        <v/>
      </c>
      <c r="FO70" s="21">
        <f>AP70</f>
        <v/>
      </c>
    </row>
    <row r="71" ht="14.25" customFormat="1" customHeight="1" s="20">
      <c r="A71" s="37" t="n"/>
      <c r="B71" s="565" t="inlineStr">
        <is>
          <t>Cathay Pacific (Company)</t>
        </is>
      </c>
      <c r="C71" s="573" t="n">
        <v>8581</v>
      </c>
      <c r="D71" s="573" t="n">
        <v>10142</v>
      </c>
      <c r="E71" s="573" t="n">
        <v>11728</v>
      </c>
      <c r="F71" s="573" t="n">
        <v>12764</v>
      </c>
      <c r="G71" s="573" t="n">
        <v>12747</v>
      </c>
      <c r="H71" s="573" t="n">
        <v>13240</v>
      </c>
      <c r="I71" s="573" t="n">
        <v>13857</v>
      </c>
      <c r="J71" s="573" t="n">
        <v>14216</v>
      </c>
      <c r="K71" s="573" t="n">
        <v>14744</v>
      </c>
      <c r="L71" s="573">
        <f>K71+1013</f>
        <v/>
      </c>
      <c r="M71" s="573" t="n">
        <v>15747</v>
      </c>
      <c r="N71" s="573" t="n">
        <v>13971</v>
      </c>
      <c r="O71" s="573" t="n">
        <v>13159</v>
      </c>
      <c r="P71" s="573" t="n">
        <v>14328</v>
      </c>
      <c r="Q71" s="573" t="n">
        <v>14473</v>
      </c>
      <c r="R71" s="573" t="n">
        <v>14649</v>
      </c>
      <c r="S71" s="573" t="n">
        <v>14673</v>
      </c>
      <c r="T71" s="573" t="n">
        <v>15054</v>
      </c>
      <c r="U71" s="573" t="n">
        <v>15806</v>
      </c>
      <c r="V71" s="573" t="n">
        <v>18992</v>
      </c>
      <c r="W71" s="573" t="n">
        <v>19840</v>
      </c>
      <c r="X71" s="573" t="n">
        <v>21309</v>
      </c>
      <c r="Y71" s="573" t="n">
        <v>20907</v>
      </c>
      <c r="Z71" s="573" t="n">
        <v>21592</v>
      </c>
      <c r="AA71" s="573" t="n">
        <v>23015</v>
      </c>
      <c r="AB71" s="573" t="n">
        <v>23844</v>
      </c>
      <c r="AC71" s="573" t="n">
        <v>24572</v>
      </c>
      <c r="AD71" s="573" t="n">
        <v>25755</v>
      </c>
      <c r="AE71" s="573" t="n">
        <v>26833</v>
      </c>
      <c r="AF71" s="573" t="n">
        <v>26674</v>
      </c>
      <c r="AG71" s="573" t="n">
        <v>26029</v>
      </c>
      <c r="AH71" s="573" t="n">
        <v>26623</v>
      </c>
      <c r="AI71" s="573" t="n">
        <v>27342</v>
      </c>
      <c r="AJ71" s="573" t="n">
        <v>19452</v>
      </c>
      <c r="AK71" s="573" t="n">
        <v>16721</v>
      </c>
      <c r="AL71" s="573" t="n">
        <v>16462</v>
      </c>
      <c r="AM71" s="573" t="n">
        <v>18211</v>
      </c>
      <c r="AN71" s="573" t="n">
        <v>25300</v>
      </c>
      <c r="AO71" s="21" t="n"/>
      <c r="AP71" s="21" t="n"/>
      <c r="AQ71" s="21" t="n"/>
      <c r="AR71" s="21" t="n"/>
      <c r="AS71" s="21" t="n"/>
      <c r="AT71" s="21" t="n"/>
      <c r="AU71" s="1002" t="n"/>
      <c r="AV71" s="23" t="n"/>
      <c r="AW71" s="23" t="n"/>
      <c r="AX71" s="24" t="n"/>
      <c r="AY71" s="23" t="n"/>
      <c r="AZ71" s="23" t="n"/>
      <c r="BA71" s="23" t="n"/>
      <c r="BB71" s="24" t="n"/>
      <c r="BD71" s="487" t="n"/>
      <c r="BE71" s="1054" t="n"/>
      <c r="BF71" s="24" t="n"/>
      <c r="BH71" s="23" t="n"/>
      <c r="BI71" s="985" t="n"/>
      <c r="BJ71" s="24" t="n"/>
      <c r="BL71" s="23" t="n"/>
      <c r="BM71" s="985" t="n"/>
      <c r="BN71" s="24" t="n"/>
      <c r="BP71" s="23" t="n"/>
      <c r="BQ71" s="985" t="n"/>
      <c r="BR71" s="24" t="n"/>
      <c r="BT71" s="23" t="n"/>
      <c r="BU71" s="23" t="n"/>
      <c r="BV71" s="24" t="n"/>
      <c r="BX71" s="23" t="n"/>
      <c r="BY71" s="23" t="n"/>
      <c r="BZ71" s="24" t="n"/>
      <c r="CB71" s="23" t="n"/>
      <c r="CC71" s="23" t="n"/>
      <c r="CD71" s="24" t="n"/>
      <c r="CE71" s="23" t="n"/>
      <c r="CF71" s="23" t="n"/>
      <c r="CG71" s="23" t="n"/>
      <c r="CH71" s="24" t="n"/>
      <c r="CI71" s="24" t="n"/>
      <c r="CJ71" s="71" t="n"/>
      <c r="CK71" s="71" t="n"/>
      <c r="CL71" s="24" t="n"/>
      <c r="CM71" s="24" t="n"/>
      <c r="CN71" s="24" t="n"/>
      <c r="CO71" s="23" t="n"/>
      <c r="CP71" s="23" t="n"/>
      <c r="CQ71" s="24" t="n"/>
      <c r="CR71" s="24" t="n"/>
      <c r="CS71" s="24" t="n"/>
      <c r="CT71" s="24" t="n"/>
      <c r="CU71" s="23" t="n"/>
      <c r="CV71" s="23" t="n"/>
      <c r="CW71" s="24" t="n"/>
      <c r="CX71" s="23" t="n"/>
      <c r="CY71" s="23" t="n"/>
      <c r="CZ71" s="23" t="n"/>
      <c r="DA71" s="23" t="n"/>
      <c r="DB71" s="23" t="n"/>
      <c r="DC71" s="23" t="n"/>
      <c r="DD71" s="23" t="n"/>
      <c r="DE71" s="21" t="n"/>
      <c r="DF71" s="23" t="n"/>
      <c r="DG71" s="23" t="n"/>
      <c r="DH71" s="118" t="n"/>
      <c r="DI71" s="21" t="n"/>
      <c r="DJ71" s="23" t="n"/>
      <c r="DK71" s="23" t="n"/>
      <c r="DL71" s="23" t="n"/>
      <c r="DM71" s="21" t="n"/>
      <c r="DN71" s="23" t="n"/>
      <c r="DO71" s="23" t="n"/>
      <c r="DP71" s="118" t="n"/>
      <c r="DQ71" s="217" t="n"/>
      <c r="DR71" s="23" t="n"/>
      <c r="DS71" s="23" t="n"/>
      <c r="DT71" s="23" t="n"/>
      <c r="DU71" s="217" t="n"/>
      <c r="DV71" s="21" t="n"/>
      <c r="DW71" s="21" t="n"/>
      <c r="DX71" s="23" t="n"/>
      <c r="DY71" s="217" t="n"/>
      <c r="DZ71" s="21" t="n"/>
      <c r="EA71" s="21" t="n"/>
      <c r="EC71" s="217" t="n"/>
      <c r="ED71" s="21" t="n"/>
      <c r="EE71" s="21" t="n"/>
      <c r="EF71" s="21" t="n"/>
      <c r="EG71" s="217">
        <f>EG4/603*1000</f>
        <v/>
      </c>
      <c r="EH71" s="21">
        <f>AH71</f>
        <v/>
      </c>
      <c r="EI71" s="21">
        <f>AH71</f>
        <v/>
      </c>
      <c r="EJ71" s="21" t="n"/>
      <c r="EK71" s="217">
        <f>EK4/604*1000</f>
        <v/>
      </c>
      <c r="EL71" s="21">
        <f>AI71</f>
        <v/>
      </c>
      <c r="EM71" s="21">
        <f>AI71</f>
        <v/>
      </c>
      <c r="EN71" s="21" t="n"/>
      <c r="EO71" s="217">
        <f>EO4/325*1000</f>
        <v/>
      </c>
      <c r="EP71" s="21">
        <f>AJ71</f>
        <v/>
      </c>
      <c r="EQ71" s="21">
        <f>AJ71</f>
        <v/>
      </c>
      <c r="ER71" s="21" t="n"/>
      <c r="ES71" s="217">
        <f>ES4/249*1000</f>
        <v/>
      </c>
      <c r="ET71" s="21">
        <f>AK71</f>
        <v/>
      </c>
      <c r="EU71" s="21">
        <f>AK71</f>
        <v/>
      </c>
      <c r="EV71" s="809" t="n"/>
      <c r="EW71" s="217">
        <f>EW4/191*1000</f>
        <v/>
      </c>
      <c r="EX71" s="21">
        <f>AL71</f>
        <v/>
      </c>
      <c r="EY71" s="21">
        <f>AL71</f>
        <v/>
      </c>
      <c r="FA71" s="217">
        <f>FA4/569*1000</f>
        <v/>
      </c>
      <c r="FB71" s="21">
        <f>AM71</f>
        <v/>
      </c>
      <c r="FC71" s="21">
        <f>AM71</f>
        <v/>
      </c>
      <c r="FE71" s="217">
        <f>FE4/573*1000</f>
        <v/>
      </c>
      <c r="FF71" s="21">
        <f>AN71</f>
        <v/>
      </c>
      <c r="FG71" s="21">
        <f>AN71</f>
        <v/>
      </c>
      <c r="FI71" s="217">
        <f>FI4/552*1000</f>
        <v/>
      </c>
      <c r="FJ71" s="21">
        <f>AO71</f>
        <v/>
      </c>
      <c r="FK71" s="21" t="n"/>
      <c r="FM71" s="217" t="n"/>
      <c r="FN71" s="21" t="n"/>
      <c r="FO71" s="21" t="n"/>
    </row>
    <row r="72" ht="14.25" customFormat="1" customHeight="1" s="20">
      <c r="A72" s="37" t="n"/>
      <c r="B72" s="565" t="inlineStr">
        <is>
          <t>Others</t>
        </is>
      </c>
      <c r="C72" s="20">
        <f>C70-C71</f>
        <v/>
      </c>
      <c r="D72" s="20">
        <f>D70-D71</f>
        <v/>
      </c>
      <c r="E72" s="20">
        <f>E70-E71</f>
        <v/>
      </c>
      <c r="F72" s="20">
        <f>F70-F71</f>
        <v/>
      </c>
      <c r="G72" s="20">
        <f>G70-G71</f>
        <v/>
      </c>
      <c r="H72" s="20">
        <f>H70-H71</f>
        <v/>
      </c>
      <c r="I72" s="20">
        <f>I70-I71</f>
        <v/>
      </c>
      <c r="J72" s="20">
        <f>J70-J71</f>
        <v/>
      </c>
      <c r="K72" s="20">
        <f>K70-K71</f>
        <v/>
      </c>
      <c r="L72" s="20">
        <f>L70-L71</f>
        <v/>
      </c>
      <c r="M72" s="20">
        <f>M70-M71</f>
        <v/>
      </c>
      <c r="N72" s="20">
        <f>N70-N71</f>
        <v/>
      </c>
      <c r="O72" s="20">
        <f>O70-O71</f>
        <v/>
      </c>
      <c r="P72" s="20">
        <f>P70-P71</f>
        <v/>
      </c>
      <c r="Q72" s="20">
        <f>Q70-Q71</f>
        <v/>
      </c>
      <c r="R72" s="20">
        <f>R70-R71</f>
        <v/>
      </c>
      <c r="S72" s="20">
        <f>S70-S71</f>
        <v/>
      </c>
      <c r="T72" s="20">
        <f>T70-T71</f>
        <v/>
      </c>
      <c r="U72" s="20">
        <f>U70-U71</f>
        <v/>
      </c>
      <c r="V72" s="20">
        <f>V70-V71</f>
        <v/>
      </c>
      <c r="W72" s="20">
        <f>W70-W71</f>
        <v/>
      </c>
      <c r="X72" s="20">
        <f>X70-X71</f>
        <v/>
      </c>
      <c r="Y72" s="20">
        <f>Y70-Y71</f>
        <v/>
      </c>
      <c r="Z72" s="20">
        <f>Z70-Z71</f>
        <v/>
      </c>
      <c r="AA72" s="20">
        <f>AA70-AA71</f>
        <v/>
      </c>
      <c r="AB72" s="20">
        <f>AB70-AB71</f>
        <v/>
      </c>
      <c r="AC72" s="20">
        <f>AC70-AC71</f>
        <v/>
      </c>
      <c r="AD72" s="20">
        <f>AD70-AD71</f>
        <v/>
      </c>
      <c r="AE72" s="20">
        <f>AE70-AE71</f>
        <v/>
      </c>
      <c r="AF72" s="20">
        <f>AF70-AF71</f>
        <v/>
      </c>
      <c r="AG72" s="20">
        <f>AG70-AG71</f>
        <v/>
      </c>
      <c r="AH72" s="20">
        <f>AH70-AH71</f>
        <v/>
      </c>
      <c r="AI72" s="20">
        <f>AI70-AI71</f>
        <v/>
      </c>
      <c r="AJ72" s="20">
        <f>AJ70-AJ71</f>
        <v/>
      </c>
      <c r="AK72" s="20">
        <f>AK70-AK71</f>
        <v/>
      </c>
      <c r="AL72" s="20">
        <f>AL70-AL71</f>
        <v/>
      </c>
      <c r="AM72" s="20">
        <f>AM70-AM71</f>
        <v/>
      </c>
      <c r="AN72" s="20">
        <f>AN70-AN71</f>
        <v/>
      </c>
      <c r="AP72" s="21" t="n"/>
      <c r="AQ72" s="21" t="n"/>
      <c r="AR72" s="21" t="n"/>
      <c r="AS72" s="21" t="n"/>
      <c r="AT72" s="21" t="n"/>
      <c r="AU72" s="1002" t="n"/>
      <c r="AV72" s="23" t="n"/>
      <c r="AW72" s="23" t="n"/>
      <c r="AX72" s="24" t="n"/>
      <c r="AY72" s="23" t="n"/>
      <c r="AZ72" s="23" t="n"/>
      <c r="BA72" s="23" t="n"/>
      <c r="BB72" s="24" t="n"/>
      <c r="BD72" s="487" t="n"/>
      <c r="BE72" s="1054" t="n"/>
      <c r="BF72" s="24" t="n"/>
      <c r="BH72" s="23" t="n"/>
      <c r="BI72" s="985" t="n"/>
      <c r="BJ72" s="24" t="n"/>
      <c r="BL72" s="23" t="n"/>
      <c r="BM72" s="985" t="n"/>
      <c r="BN72" s="24" t="n"/>
      <c r="BP72" s="23" t="n"/>
      <c r="BQ72" s="985" t="n"/>
      <c r="BR72" s="24" t="n"/>
      <c r="BT72" s="23" t="n"/>
      <c r="BU72" s="23" t="n"/>
      <c r="BV72" s="24" t="n"/>
      <c r="BX72" s="23" t="n"/>
      <c r="BY72" s="23" t="n"/>
      <c r="BZ72" s="24" t="n"/>
      <c r="CB72" s="23" t="n"/>
      <c r="CC72" s="23" t="n"/>
      <c r="CD72" s="24" t="n"/>
      <c r="CE72" s="23" t="n"/>
      <c r="CF72" s="23" t="n"/>
      <c r="CG72" s="23" t="n"/>
      <c r="CH72" s="24" t="n"/>
      <c r="CI72" s="24" t="n"/>
      <c r="CJ72" s="71" t="n"/>
      <c r="CK72" s="71" t="n"/>
      <c r="CL72" s="24" t="n"/>
      <c r="CM72" s="24" t="n"/>
      <c r="CN72" s="24" t="n"/>
      <c r="CO72" s="23" t="n"/>
      <c r="CP72" s="23" t="n"/>
      <c r="CQ72" s="24" t="n"/>
      <c r="CR72" s="24" t="n"/>
      <c r="CS72" s="24" t="n"/>
      <c r="CT72" s="24" t="n"/>
      <c r="CU72" s="23" t="n"/>
      <c r="CV72" s="23" t="n"/>
      <c r="CW72" s="24" t="n"/>
      <c r="CX72" s="23" t="n"/>
      <c r="CY72" s="23" t="n"/>
      <c r="CZ72" s="23" t="n"/>
      <c r="DA72" s="23" t="n"/>
      <c r="DB72" s="23" t="n"/>
      <c r="DC72" s="23" t="n"/>
      <c r="DD72" s="23" t="n"/>
      <c r="DE72" s="21" t="n"/>
      <c r="DF72" s="23" t="n"/>
      <c r="DG72" s="23" t="n"/>
      <c r="DH72" s="118" t="n"/>
      <c r="DI72" s="21" t="n"/>
      <c r="DJ72" s="23" t="n"/>
      <c r="DK72" s="23" t="n"/>
      <c r="DL72" s="23" t="n"/>
      <c r="DM72" s="21" t="n"/>
      <c r="DN72" s="23" t="n"/>
      <c r="DO72" s="23" t="n"/>
      <c r="DP72" s="118" t="n"/>
      <c r="DQ72" s="217" t="n"/>
      <c r="DR72" s="23" t="n"/>
      <c r="DS72" s="23" t="n"/>
      <c r="DT72" s="23" t="n"/>
      <c r="DU72" s="217" t="n"/>
      <c r="DV72" s="21" t="n"/>
      <c r="DW72" s="21" t="n"/>
      <c r="DX72" s="23" t="n"/>
      <c r="DY72" s="217" t="n"/>
      <c r="DZ72" s="21" t="n"/>
      <c r="EA72" s="21" t="n"/>
      <c r="EC72" s="217" t="n"/>
      <c r="ED72" s="21" t="n"/>
      <c r="EE72" s="21" t="n"/>
      <c r="EF72" s="21" t="n"/>
      <c r="EG72" s="20">
        <f>EG70-EG71</f>
        <v/>
      </c>
      <c r="EH72" s="20">
        <f>EH70-EH71</f>
        <v/>
      </c>
      <c r="EI72" s="20">
        <f>EI70-EI71</f>
        <v/>
      </c>
      <c r="EJ72" s="21" t="n"/>
      <c r="EK72" s="20">
        <f>EK70-EK71</f>
        <v/>
      </c>
      <c r="EL72" s="20">
        <f>EL70-EL71</f>
        <v/>
      </c>
      <c r="EM72" s="20">
        <f>EM70-EM71</f>
        <v/>
      </c>
      <c r="EN72" s="21" t="n"/>
      <c r="EO72" s="20">
        <f>EO70-EO71</f>
        <v/>
      </c>
      <c r="EP72" s="20">
        <f>EP70-EP71</f>
        <v/>
      </c>
      <c r="EQ72" s="20">
        <f>EQ70-EQ71</f>
        <v/>
      </c>
      <c r="ER72" s="21" t="n"/>
      <c r="ES72" s="20">
        <f>ES70-ES71</f>
        <v/>
      </c>
      <c r="ET72" s="20">
        <f>ET70-ET71</f>
        <v/>
      </c>
      <c r="EU72" s="20">
        <f>EU70-EU71</f>
        <v/>
      </c>
      <c r="EV72" s="809" t="n"/>
      <c r="EW72" s="20">
        <f>EW70-EW71</f>
        <v/>
      </c>
      <c r="EX72" s="20">
        <f>EX70-EX71</f>
        <v/>
      </c>
      <c r="EY72" s="20">
        <f>EY70-EY71</f>
        <v/>
      </c>
      <c r="FA72" s="20">
        <f>FA70-FA71</f>
        <v/>
      </c>
      <c r="FB72" s="20">
        <f>FB70-FB71</f>
        <v/>
      </c>
      <c r="FC72" s="20">
        <f>FC70-FC71</f>
        <v/>
      </c>
      <c r="FE72" s="20">
        <f>FE70-FE71</f>
        <v/>
      </c>
      <c r="FF72" s="20">
        <f>FF70-FF71</f>
        <v/>
      </c>
      <c r="FG72" s="20">
        <f>FG70-FG71</f>
        <v/>
      </c>
      <c r="FI72" s="20">
        <f>FI70-FI71</f>
        <v/>
      </c>
      <c r="FJ72" s="20">
        <f>FJ70-FJ71</f>
        <v/>
      </c>
      <c r="FK72" s="21" t="n"/>
      <c r="FN72" s="21" t="n"/>
      <c r="FO72" s="21" t="n"/>
    </row>
    <row r="73" ht="14.25" customFormat="1" customHeight="1" s="20">
      <c r="A73" s="37" t="n"/>
      <c r="B73" s="20" t="inlineStr">
        <is>
          <t>Change in staff nos</t>
        </is>
      </c>
      <c r="D73" s="1004">
        <f>D70/C70-1</f>
        <v/>
      </c>
      <c r="E73" s="1004">
        <f>E70/D70-1</f>
        <v/>
      </c>
      <c r="F73" s="1004">
        <f>F70/E70-1</f>
        <v/>
      </c>
      <c r="G73" s="1004">
        <f>G70/F70-1</f>
        <v/>
      </c>
      <c r="H73" s="1004">
        <f>H70/G70-1</f>
        <v/>
      </c>
      <c r="I73" s="1004">
        <f>I70/H70-1</f>
        <v/>
      </c>
      <c r="J73" s="1004">
        <f>J70/I70-1</f>
        <v/>
      </c>
      <c r="K73" s="1004">
        <f>K70/J70-1</f>
        <v/>
      </c>
      <c r="L73" s="1002">
        <f>L70/K70-1</f>
        <v/>
      </c>
      <c r="M73" s="1002">
        <f>M70/L70-1</f>
        <v/>
      </c>
      <c r="N73" s="1002">
        <f>N70/M70-1</f>
        <v/>
      </c>
      <c r="O73" s="1002">
        <f>O70/N70-1</f>
        <v/>
      </c>
      <c r="P73" s="1002">
        <f>P70/O70-1</f>
        <v/>
      </c>
      <c r="Q73" s="1002">
        <f>Q70/P70-1</f>
        <v/>
      </c>
      <c r="R73" s="1002">
        <f>R70/Q70-1</f>
        <v/>
      </c>
      <c r="S73" s="1002">
        <f>S70/R70-1</f>
        <v/>
      </c>
      <c r="T73" s="1002">
        <f>T70/S70-1</f>
        <v/>
      </c>
      <c r="U73" s="1002">
        <f>U70/T70-1</f>
        <v/>
      </c>
      <c r="V73" s="1002">
        <f>V70/U70-1</f>
        <v/>
      </c>
      <c r="W73" s="1004">
        <f>W70/V70-1</f>
        <v/>
      </c>
      <c r="X73" s="1004">
        <f>X70/W70-1</f>
        <v/>
      </c>
      <c r="Y73" s="1004">
        <f>Y70/X70-1</f>
        <v/>
      </c>
      <c r="Z73" s="1004">
        <f>Z70/Y70-1</f>
        <v/>
      </c>
      <c r="AA73" s="1004">
        <f>AA70/Z70-1</f>
        <v/>
      </c>
      <c r="AB73" s="1004">
        <f>AB70/AA70-1</f>
        <v/>
      </c>
      <c r="AC73" s="1004">
        <f>AC70/AB70-1</f>
        <v/>
      </c>
      <c r="AD73" s="1040">
        <f>AD70/AC70-1</f>
        <v/>
      </c>
      <c r="AE73" s="1040">
        <f>AE70/AD70-1</f>
        <v/>
      </c>
      <c r="AF73" s="1040">
        <f>AF70/AE70-1</f>
        <v/>
      </c>
      <c r="AG73" s="1004">
        <f>AG70/AF70-1</f>
        <v/>
      </c>
      <c r="AH73" s="1004">
        <f>AH70/AG70-1</f>
        <v/>
      </c>
      <c r="AI73" s="1004">
        <f>AI70/AH70-1</f>
        <v/>
      </c>
      <c r="AJ73" s="1004">
        <f>AJ70/AI70-1</f>
        <v/>
      </c>
      <c r="AK73" s="1004">
        <f>AK70/AJ70-1</f>
        <v/>
      </c>
      <c r="AL73" s="1004">
        <f>AL70/AK70-1</f>
        <v/>
      </c>
      <c r="AM73" s="1004">
        <f>AM70/AL70-1</f>
        <v/>
      </c>
      <c r="AN73" s="1004">
        <f>AN70/AM70-1</f>
        <v/>
      </c>
      <c r="AO73" s="986">
        <f>AO70/AN70-1</f>
        <v/>
      </c>
      <c r="AP73" s="986">
        <f>AP70/AO70-1</f>
        <v/>
      </c>
      <c r="AQ73" s="1005" t="n">
        <v>0.05</v>
      </c>
      <c r="AR73" s="1005" t="n">
        <v>0.05</v>
      </c>
      <c r="AS73" s="1005" t="n">
        <v>0.05</v>
      </c>
      <c r="AT73" s="1005" t="n">
        <v>0.05</v>
      </c>
      <c r="AU73" s="1002" t="n"/>
      <c r="AV73" s="23" t="n"/>
      <c r="AW73" s="23" t="n"/>
      <c r="AX73" s="24" t="n"/>
      <c r="AY73" s="23" t="n"/>
      <c r="AZ73" s="23" t="n"/>
      <c r="BA73" s="23" t="n"/>
      <c r="BB73" s="24" t="n"/>
      <c r="BD73" s="23" t="n"/>
      <c r="BE73" s="985" t="n"/>
      <c r="BF73" s="24" t="n"/>
      <c r="BH73" s="23" t="n"/>
      <c r="BI73" s="985" t="n"/>
      <c r="BJ73" s="24" t="n"/>
      <c r="BL73" s="23" t="n"/>
      <c r="BM73" s="985" t="n"/>
      <c r="BN73" s="24" t="n"/>
      <c r="BP73" s="23" t="n"/>
      <c r="BQ73" s="985" t="n"/>
      <c r="BR73" s="24" t="n"/>
      <c r="BT73" s="23" t="n"/>
      <c r="BU73" s="23" t="n"/>
      <c r="BV73" s="24" t="n"/>
      <c r="BX73" s="23" t="n"/>
      <c r="BY73" s="23" t="n"/>
      <c r="BZ73" s="24" t="n"/>
      <c r="CB73" s="23" t="n"/>
      <c r="CC73" s="23" t="n"/>
      <c r="CD73" s="24" t="n"/>
      <c r="CE73" s="23" t="n"/>
      <c r="CF73" s="23" t="n"/>
      <c r="CG73" s="23" t="n"/>
      <c r="CH73" s="24" t="n"/>
      <c r="CI73" s="24" t="n"/>
      <c r="CJ73" s="71" t="n"/>
      <c r="CK73" s="71" t="n"/>
      <c r="CL73" s="24" t="n"/>
      <c r="CM73" s="24" t="n"/>
      <c r="CN73" s="24" t="n"/>
      <c r="CO73" s="23" t="n"/>
      <c r="CP73" s="23" t="n"/>
      <c r="CQ73" s="24" t="n"/>
      <c r="CR73" s="24" t="n"/>
      <c r="CS73" s="24" t="n"/>
      <c r="CT73" s="24" t="n"/>
      <c r="CU73" s="23" t="n"/>
      <c r="CV73" s="23" t="n"/>
      <c r="CW73" s="24" t="n"/>
      <c r="CX73" s="23" t="n"/>
      <c r="CY73" s="23" t="n"/>
      <c r="CZ73" s="23" t="n"/>
      <c r="DA73" s="23" t="n"/>
      <c r="DB73" s="23" t="n"/>
      <c r="DC73" s="23" t="n"/>
      <c r="DD73" s="23" t="n"/>
      <c r="DE73" s="21" t="n"/>
      <c r="DF73" s="23" t="n"/>
      <c r="DG73" s="23" t="n"/>
      <c r="DH73" s="118" t="n"/>
      <c r="DI73" s="21" t="n"/>
      <c r="DJ73" s="23" t="n"/>
      <c r="DK73" s="23" t="n"/>
      <c r="DL73" s="23" t="n"/>
      <c r="DM73" s="21" t="n"/>
      <c r="DN73" s="23" t="n"/>
      <c r="DO73" s="23" t="n"/>
      <c r="DP73" s="118" t="n"/>
      <c r="DQ73" s="217" t="n"/>
      <c r="DR73" s="23" t="n"/>
      <c r="DS73" s="23" t="n"/>
      <c r="DT73" s="23" t="n"/>
      <c r="DU73" s="21" t="n"/>
      <c r="DV73" s="21" t="n"/>
      <c r="DW73" s="21" t="n"/>
      <c r="DX73" s="23" t="n"/>
      <c r="DY73" s="21" t="n"/>
      <c r="DZ73" s="21" t="n"/>
      <c r="EA73" s="21" t="n"/>
      <c r="EC73" s="21" t="n"/>
      <c r="ED73" s="21" t="n"/>
      <c r="EE73" s="21" t="n"/>
      <c r="EF73" s="21" t="n"/>
      <c r="EG73" s="21" t="n"/>
      <c r="EH73" s="21" t="n"/>
      <c r="EI73" s="21" t="n"/>
      <c r="EJ73" s="21" t="n"/>
      <c r="EK73" s="809">
        <f>EK70/EG70-1</f>
        <v/>
      </c>
      <c r="EL73" s="809">
        <f>EL70/EH70-1</f>
        <v/>
      </c>
      <c r="EM73" s="809">
        <f>EM70/EI70-1</f>
        <v/>
      </c>
      <c r="EN73" s="21" t="n"/>
      <c r="EO73" s="809">
        <f>EO70/EK70-1</f>
        <v/>
      </c>
      <c r="EP73" s="809">
        <f>EP70/EL70-1</f>
        <v/>
      </c>
      <c r="EQ73" s="809">
        <f>EQ70/EM70-1</f>
        <v/>
      </c>
      <c r="ER73" s="21" t="n"/>
      <c r="ES73" s="809">
        <f>ES70/EO70-1</f>
        <v/>
      </c>
      <c r="ET73" s="809">
        <f>ET70/EP70-1</f>
        <v/>
      </c>
      <c r="EU73" s="809">
        <f>EU70/EQ70-1</f>
        <v/>
      </c>
      <c r="EV73" s="21" t="n"/>
      <c r="EW73" s="809">
        <f>EW70/ES70-1</f>
        <v/>
      </c>
      <c r="EX73" s="809">
        <f>EX70/ET70-1</f>
        <v/>
      </c>
      <c r="EY73" s="809">
        <f>EY70/EU70-1</f>
        <v/>
      </c>
      <c r="FA73" s="809">
        <f>FA70/EW70-1</f>
        <v/>
      </c>
      <c r="FB73" s="809">
        <f>FB70/EX70-1</f>
        <v/>
      </c>
      <c r="FC73" s="809">
        <f>FC70/EY70-1</f>
        <v/>
      </c>
      <c r="FE73" s="809">
        <f>FE70/FA70-1</f>
        <v/>
      </c>
      <c r="FF73" s="809">
        <f>FF70/FB70-1</f>
        <v/>
      </c>
      <c r="FG73" s="809">
        <f>FG70/FC70-1</f>
        <v/>
      </c>
      <c r="FI73" s="809">
        <f>FI70/FE70-1</f>
        <v/>
      </c>
      <c r="FJ73" s="809">
        <f>FJ70/FF70-1</f>
        <v/>
      </c>
      <c r="FK73" s="809">
        <f>FK70/FG70-1</f>
        <v/>
      </c>
      <c r="FM73" s="809">
        <f>FM70/FI70-1</f>
        <v/>
      </c>
      <c r="FN73" s="1005" t="n">
        <v>0.05</v>
      </c>
      <c r="FO73" s="809">
        <f>FO70/FK70-1</f>
        <v/>
      </c>
    </row>
    <row r="74" customFormat="1" s="1049">
      <c r="A74" s="1055" t="n"/>
      <c r="B74" s="1049" t="inlineStr">
        <is>
          <t>Average Monthly Salary (HK$ per staff)</t>
        </is>
      </c>
      <c r="H74" s="20">
        <f>H121/H70*(1000^2)/12</f>
        <v/>
      </c>
      <c r="I74" s="20">
        <f>I121/I70*(1000^2)/12</f>
        <v/>
      </c>
      <c r="J74" s="20">
        <f>J121/J70*(1000^2)/12</f>
        <v/>
      </c>
      <c r="K74" s="20">
        <f>K121/K70*(1000^2)/12</f>
        <v/>
      </c>
      <c r="L74" s="20">
        <f>L121/L70*(1000^2)/12</f>
        <v/>
      </c>
      <c r="M74" s="20">
        <f>M121/M70*(1000^2)/12</f>
        <v/>
      </c>
      <c r="N74" s="20">
        <f>N121/N70*(1000^2)/12</f>
        <v/>
      </c>
      <c r="O74" s="20">
        <f>O121/O70*(1000^2)/12</f>
        <v/>
      </c>
      <c r="P74" s="20">
        <f>P121/P70*(1000^2)/12</f>
        <v/>
      </c>
      <c r="Q74" s="20">
        <f>Q121/Q70*(1000^2)/12</f>
        <v/>
      </c>
      <c r="R74" s="20">
        <f>R121/R70*(1000^2)/12</f>
        <v/>
      </c>
      <c r="S74" s="20">
        <f>S121/S70*(1000^2)/12</f>
        <v/>
      </c>
      <c r="T74" s="20">
        <f>T121/T70*(1000^2)/12</f>
        <v/>
      </c>
      <c r="U74" s="20">
        <f>U121/U70*(1000^2)/12</f>
        <v/>
      </c>
      <c r="V74" s="20">
        <f>V121/V70*(1000^2)/12</f>
        <v/>
      </c>
      <c r="W74" s="20">
        <f>W121/W70*(1000^2)/12</f>
        <v/>
      </c>
      <c r="X74" s="20">
        <f>X121/X70*(1000^2)/12</f>
        <v/>
      </c>
      <c r="Y74" s="20">
        <f>Y121/Y70*(1000^2)/12</f>
        <v/>
      </c>
      <c r="Z74" s="20">
        <f>Z121/Z70*(1000^2)/12</f>
        <v/>
      </c>
      <c r="AA74" s="20">
        <f>AA121/AA70*(1000^2)/12</f>
        <v/>
      </c>
      <c r="AB74" s="20">
        <f>AB121/AB70*(1000^2)/12</f>
        <v/>
      </c>
      <c r="AC74" s="20">
        <f>AC121/AC70*(1000^2)/12</f>
        <v/>
      </c>
      <c r="AD74" s="20">
        <f>AD121/AD70*(1000^2)/12</f>
        <v/>
      </c>
      <c r="AE74" s="20">
        <f>AE121/AE70*(1000^2)/12</f>
        <v/>
      </c>
      <c r="AF74" s="20">
        <f>AF121/AF70*(1000^2)/12</f>
        <v/>
      </c>
      <c r="AG74" s="20">
        <f>AG121/AG70*(1000^2)/12</f>
        <v/>
      </c>
      <c r="AH74" s="20">
        <f>AH121/AH70*(1000^2)/12</f>
        <v/>
      </c>
      <c r="AI74" s="20">
        <f>AI121/AI70*(1000^2)/12</f>
        <v/>
      </c>
      <c r="AJ74" s="20">
        <f>AJ121/AJ70*(1000^2)/12</f>
        <v/>
      </c>
      <c r="AK74" s="20">
        <f>AK121/AK70*(1000^2)/12</f>
        <v/>
      </c>
      <c r="AL74" s="20">
        <f>AL121/AL70*(1000^2)/12</f>
        <v/>
      </c>
      <c r="AM74" s="20">
        <f>AM121/AM70*(1000^2)/12</f>
        <v/>
      </c>
      <c r="AN74" s="20">
        <f>AN121/AN70*(1000^2)/12</f>
        <v/>
      </c>
      <c r="AO74" s="20">
        <f>AO121/AO70*(1000^2)/12</f>
        <v/>
      </c>
      <c r="AP74" s="20">
        <f>AP121/AP70*(1000^2)/12</f>
        <v/>
      </c>
      <c r="AQ74" s="20">
        <f>AQ121/AQ70*(1000^2)/12</f>
        <v/>
      </c>
      <c r="AR74" s="20">
        <f>AR121/AR70*(1000^2)/12</f>
        <v/>
      </c>
      <c r="AS74" s="20">
        <f>AS121/AS70*(1000^2)/12</f>
        <v/>
      </c>
      <c r="AT74" s="20">
        <f>AT121/AT70*(1000^2)/12</f>
        <v/>
      </c>
      <c r="AU74" s="1056" t="n"/>
      <c r="AV74" s="808" t="n"/>
      <c r="AW74" s="1057" t="n"/>
      <c r="AX74" s="1058" t="n"/>
      <c r="AY74" s="1057" t="n"/>
      <c r="AZ74" s="1057" t="n"/>
      <c r="BA74" s="1057" t="n"/>
      <c r="BB74" s="1058" t="n"/>
      <c r="BD74" s="1057" t="n"/>
      <c r="BE74" s="1057" t="n"/>
      <c r="BF74" s="1058" t="n"/>
      <c r="BH74" s="1056" t="n"/>
      <c r="BI74" s="1057" t="n"/>
      <c r="BJ74" s="1058" t="n"/>
      <c r="BL74" s="1057" t="n"/>
      <c r="BM74" s="1057" t="n"/>
      <c r="BN74" s="1058" t="n"/>
      <c r="BP74" s="1057" t="n"/>
      <c r="BQ74" s="1057" t="n"/>
      <c r="BR74" s="1057" t="n"/>
      <c r="BT74" s="1057" t="n"/>
      <c r="BU74" s="1057" t="n"/>
      <c r="BV74" s="1057" t="n"/>
      <c r="BX74" s="1057" t="n"/>
      <c r="BY74" s="1057" t="n"/>
      <c r="BZ74" s="1057" t="n"/>
      <c r="CB74" s="1057" t="n"/>
      <c r="CC74" s="1057" t="n"/>
      <c r="CD74" s="1057" t="n"/>
      <c r="CE74" s="1057" t="n"/>
      <c r="CF74" s="1057" t="n"/>
      <c r="CG74" s="1057" t="n"/>
      <c r="CH74" s="1057" t="n"/>
      <c r="CI74" s="1057" t="n"/>
      <c r="CJ74" s="1057" t="n"/>
      <c r="CK74" s="1057" t="n"/>
      <c r="CL74" s="1057" t="n"/>
      <c r="CM74" s="1057" t="n"/>
      <c r="CN74" s="1057" t="n"/>
      <c r="CO74" s="1057" t="n"/>
      <c r="CP74" s="1057" t="n"/>
      <c r="CQ74" s="1057" t="n"/>
      <c r="CR74" s="1057" t="n"/>
      <c r="CS74" s="1057" t="n"/>
      <c r="CT74" s="1057" t="n"/>
      <c r="CU74" s="1057" t="n"/>
      <c r="CV74" s="1057" t="n"/>
      <c r="CW74" s="1057" t="n"/>
      <c r="CX74" s="1057" t="n"/>
      <c r="CY74" s="1057" t="n"/>
      <c r="CZ74" s="1057" t="n"/>
      <c r="DA74" s="1057" t="n"/>
      <c r="DB74" s="1057" t="n"/>
      <c r="DC74" s="1057" t="n"/>
      <c r="DD74" s="1057" t="n"/>
      <c r="DE74" s="1057" t="n"/>
      <c r="DF74" s="1057" t="n"/>
      <c r="DG74" s="574">
        <f>+DG121/DG70*1000^2/12</f>
        <v/>
      </c>
      <c r="DH74" s="1057" t="n"/>
      <c r="DI74" s="574">
        <f>+DI121/DI70*1000^2/6</f>
        <v/>
      </c>
      <c r="DJ74" s="574">
        <f>+DJ121/DJ70*1000^2/6</f>
        <v/>
      </c>
      <c r="DK74" s="574">
        <f>+DK121/DK70*1000^2/12</f>
        <v/>
      </c>
      <c r="DL74" s="1057" t="n"/>
      <c r="DM74" s="574">
        <f>+DM121/DM70*1000^2/6</f>
        <v/>
      </c>
      <c r="DN74" s="574">
        <f>+DN121/DN70*1000^2/6</f>
        <v/>
      </c>
      <c r="DO74" s="574">
        <f>+DO121/DO70*1000^2/12</f>
        <v/>
      </c>
      <c r="DP74" s="1057" t="n"/>
      <c r="DQ74" s="574">
        <f>+DQ121/DQ70*1000^2/6</f>
        <v/>
      </c>
      <c r="DR74" s="574">
        <f>+DR121/DR70*1000^2/6</f>
        <v/>
      </c>
      <c r="DS74" s="574">
        <f>+DS121/DS70*1000^2/12</f>
        <v/>
      </c>
      <c r="DT74" s="1057" t="n"/>
      <c r="DU74" s="574">
        <f>+DU121/DU70*1000^2/6</f>
        <v/>
      </c>
      <c r="DV74" s="574">
        <f>+DV121/DV70*1000^2/6</f>
        <v/>
      </c>
      <c r="DW74" s="574">
        <f>+DW121/DW70*1000^2/12</f>
        <v/>
      </c>
      <c r="DX74" s="1057" t="n"/>
      <c r="DY74" s="574">
        <f>+DY121/DY70*1000^2/6</f>
        <v/>
      </c>
      <c r="DZ74" s="574">
        <f>+DZ121/DZ70*1000^2/6</f>
        <v/>
      </c>
      <c r="EA74" s="574">
        <f>+EA121/EA70*1000^2/12</f>
        <v/>
      </c>
      <c r="EC74" s="574">
        <f>+EC121/EC70*1000^2/6</f>
        <v/>
      </c>
      <c r="ED74" s="574">
        <f>+ED121/ED70*1000^2/6</f>
        <v/>
      </c>
      <c r="EE74" s="574">
        <f>+EE121/EE70*1000^2/12</f>
        <v/>
      </c>
      <c r="EF74" s="1059" t="n"/>
      <c r="EG74" s="574">
        <f>+EG121/EG70*1000^2/6</f>
        <v/>
      </c>
      <c r="EH74" s="574">
        <f>+EH121/EH70*1000^2/6</f>
        <v/>
      </c>
      <c r="EI74" s="574">
        <f>+EI121/EI70*1000^2/12</f>
        <v/>
      </c>
      <c r="EJ74" s="1059" t="n"/>
      <c r="EK74" s="574">
        <f>+EK121/EK70*1000^2/6</f>
        <v/>
      </c>
      <c r="EL74" s="574">
        <f>+EL121/EL70*1000^2/6</f>
        <v/>
      </c>
      <c r="EM74" s="574">
        <f>+EM121/EM70*1000^2/12</f>
        <v/>
      </c>
      <c r="EO74" s="574">
        <f>+EO121/EO70*1000^2/6</f>
        <v/>
      </c>
      <c r="EP74" s="574">
        <f>+EP121/EP70*1000^2/6</f>
        <v/>
      </c>
      <c r="EQ74" s="574">
        <f>+EQ121/EQ70*1000^2/12</f>
        <v/>
      </c>
      <c r="ES74" s="574">
        <f>+ES121/ES70*1000^2/6</f>
        <v/>
      </c>
      <c r="ET74" s="574">
        <f>+ET121/ET70*1000^2/6</f>
        <v/>
      </c>
      <c r="EU74" s="574">
        <f>AK74</f>
        <v/>
      </c>
      <c r="EV74" s="1059" t="n"/>
      <c r="EW74" s="574">
        <f>+EW121/EW70*1000^2/6</f>
        <v/>
      </c>
      <c r="EX74" s="574">
        <f>+EX121/EX70*1000^2/6</f>
        <v/>
      </c>
      <c r="EY74" s="574">
        <f>AL74</f>
        <v/>
      </c>
      <c r="FA74" s="574">
        <f>+FA121/FA70*1000^2/6</f>
        <v/>
      </c>
      <c r="FB74" s="574">
        <f>+FB121/FB70*1000^2/6</f>
        <v/>
      </c>
      <c r="FC74" s="574">
        <f>AM74</f>
        <v/>
      </c>
      <c r="FE74" s="574">
        <f>+FE121/FE70*1000^2/6</f>
        <v/>
      </c>
      <c r="FF74" s="574">
        <f>+FF121/FF70*1000^2/6</f>
        <v/>
      </c>
      <c r="FG74" s="574">
        <f>AN74</f>
        <v/>
      </c>
      <c r="FI74" s="574">
        <f>+FI121/FI70*1000^2/6</f>
        <v/>
      </c>
      <c r="FJ74" s="574">
        <f>+FJ121/FJ70*1000^2/6</f>
        <v/>
      </c>
      <c r="FK74" s="574">
        <f>AW74</f>
        <v/>
      </c>
      <c r="FM74" s="574">
        <f>+FM121/FM70*1000^2/6</f>
        <v/>
      </c>
      <c r="FN74" s="574">
        <f>FJ74*(1+FN75)</f>
        <v/>
      </c>
      <c r="FO74" s="574">
        <f>AW74</f>
        <v/>
      </c>
    </row>
    <row r="75" customFormat="1" s="1049">
      <c r="A75" s="1055" t="n"/>
      <c r="B75" s="1060" t="inlineStr">
        <is>
          <t>pay rise YoY %</t>
        </is>
      </c>
      <c r="H75" s="1056" t="n"/>
      <c r="I75" s="1056">
        <f>I74/H74-1</f>
        <v/>
      </c>
      <c r="J75" s="1056">
        <f>J74/I74-1</f>
        <v/>
      </c>
      <c r="K75" s="1056">
        <f>K74/J74-1</f>
        <v/>
      </c>
      <c r="L75" s="1056">
        <f>L74/K74-1</f>
        <v/>
      </c>
      <c r="M75" s="1056">
        <f>M74/L74-1</f>
        <v/>
      </c>
      <c r="N75" s="1056">
        <f>N74/M74-1</f>
        <v/>
      </c>
      <c r="O75" s="1056">
        <f>O74/N74-1</f>
        <v/>
      </c>
      <c r="P75" s="1056">
        <f>P74/O74-1</f>
        <v/>
      </c>
      <c r="Q75" s="1056">
        <f>Q74/P74-1</f>
        <v/>
      </c>
      <c r="R75" s="1056">
        <f>R74/Q74-1</f>
        <v/>
      </c>
      <c r="S75" s="1056">
        <f>S74/R74-1</f>
        <v/>
      </c>
      <c r="T75" s="1056">
        <f>T74/S74-1</f>
        <v/>
      </c>
      <c r="U75" s="1056">
        <f>U74/T74-1</f>
        <v/>
      </c>
      <c r="V75" s="1056">
        <f>V74/U74-1</f>
        <v/>
      </c>
      <c r="W75" s="1056">
        <f>W74/V74-1</f>
        <v/>
      </c>
      <c r="X75" s="1056">
        <f>X74/W74-1</f>
        <v/>
      </c>
      <c r="Y75" s="1056">
        <f>Y74/X74-1</f>
        <v/>
      </c>
      <c r="Z75" s="1056">
        <f>Z74/Y74-1</f>
        <v/>
      </c>
      <c r="AA75" s="1056">
        <f>AA74/Z74-1</f>
        <v/>
      </c>
      <c r="AB75" s="1056">
        <f>AB74/AA74-1</f>
        <v/>
      </c>
      <c r="AC75" s="1056">
        <f>AC74/AB74-1</f>
        <v/>
      </c>
      <c r="AD75" s="1056">
        <f>AD74/AC74-1</f>
        <v/>
      </c>
      <c r="AE75" s="1056">
        <f>AE74/AD74-1</f>
        <v/>
      </c>
      <c r="AF75" s="1056">
        <f>AF74/AE74-1</f>
        <v/>
      </c>
      <c r="AG75" s="1056">
        <f>AG74/AF74-1</f>
        <v/>
      </c>
      <c r="AH75" s="1056">
        <f>AH74/AG74-1</f>
        <v/>
      </c>
      <c r="AI75" s="1056">
        <f>AI74/AH74-1</f>
        <v/>
      </c>
      <c r="AJ75" s="1056">
        <f>AJ74/AI74-1</f>
        <v/>
      </c>
      <c r="AK75" s="1056">
        <f>AK74/AJ74-1</f>
        <v/>
      </c>
      <c r="AL75" s="1056">
        <f>AL74/AK74-1</f>
        <v/>
      </c>
      <c r="AM75" s="1056">
        <f>AM74/AL74-1</f>
        <v/>
      </c>
      <c r="AN75" s="1056">
        <f>AN74/AM74-1</f>
        <v/>
      </c>
      <c r="AO75" s="1056">
        <f>AO74/AN74-1</f>
        <v/>
      </c>
      <c r="AP75" s="1056">
        <f>AP74/AO74-1</f>
        <v/>
      </c>
      <c r="AQ75" s="1061" t="n">
        <v>0.03</v>
      </c>
      <c r="AR75" s="1061" t="n">
        <v>0.03</v>
      </c>
      <c r="AS75" s="1061" t="n">
        <v>0.03</v>
      </c>
      <c r="AT75" s="1061" t="n">
        <v>0.03</v>
      </c>
      <c r="AU75" s="93" t="n"/>
      <c r="AV75" s="1057" t="n"/>
      <c r="AW75" s="1057" t="n"/>
      <c r="AX75" s="1058" t="n"/>
      <c r="AY75" s="1057" t="n"/>
      <c r="AZ75" s="1057" t="n"/>
      <c r="BA75" s="1057" t="n"/>
      <c r="BB75" s="1058" t="n"/>
      <c r="BD75" s="1057" t="n"/>
      <c r="BE75" s="1057" t="n"/>
      <c r="BF75" s="1058" t="n"/>
      <c r="BH75" s="1056" t="n">
        <v>0.015</v>
      </c>
      <c r="BI75" s="1057" t="n"/>
      <c r="BJ75" s="1058" t="n"/>
      <c r="BL75" s="1057">
        <f>P75</f>
        <v/>
      </c>
      <c r="BM75" s="1057" t="n"/>
      <c r="BN75" s="1058" t="n"/>
      <c r="BP75" s="1057">
        <f>Q75</f>
        <v/>
      </c>
      <c r="BQ75" s="1057" t="n"/>
      <c r="BR75" s="1057">
        <f>Q75</f>
        <v/>
      </c>
      <c r="BT75" s="1057" t="n">
        <v>0</v>
      </c>
      <c r="BU75" s="1057" t="n"/>
      <c r="BV75" s="1057">
        <f>R75</f>
        <v/>
      </c>
      <c r="BX75" s="1057" t="n">
        <v>0.01</v>
      </c>
      <c r="BY75" s="1057" t="n"/>
      <c r="BZ75" s="1057">
        <f>S75</f>
        <v/>
      </c>
      <c r="CB75" s="1057" t="n">
        <v>0.025</v>
      </c>
      <c r="CC75" s="1057" t="n"/>
      <c r="CD75" s="1057">
        <f>T75</f>
        <v/>
      </c>
      <c r="CE75" s="1057" t="n"/>
      <c r="CF75" s="1057" t="n">
        <v>0.025</v>
      </c>
      <c r="CG75" s="1057" t="n"/>
      <c r="CH75" s="1057" t="n"/>
      <c r="CI75" s="1057" t="n"/>
      <c r="CJ75" s="1057" t="n">
        <v>0.025</v>
      </c>
      <c r="CK75" s="1057" t="n"/>
      <c r="CL75" s="1057">
        <f>V75</f>
        <v/>
      </c>
      <c r="CM75" s="1057" t="n"/>
      <c r="CN75" s="1057" t="n"/>
      <c r="CO75" s="1057" t="n"/>
      <c r="CP75" s="1057">
        <f>W75</f>
        <v/>
      </c>
      <c r="CQ75" s="1057" t="n"/>
      <c r="CR75" s="1057" t="n"/>
      <c r="CS75" s="1057" t="n"/>
      <c r="CT75" s="1057" t="n"/>
      <c r="CU75" s="1057">
        <f>X75</f>
        <v/>
      </c>
      <c r="CV75" s="1057" t="n"/>
      <c r="CW75" s="1057" t="n"/>
      <c r="CX75" s="1057" t="n"/>
      <c r="CY75" s="1057">
        <f>Y75</f>
        <v/>
      </c>
      <c r="CZ75" s="1057" t="n"/>
      <c r="DA75" s="1057" t="n"/>
      <c r="DB75" s="1057" t="n"/>
      <c r="DC75" s="1057">
        <f>Z75</f>
        <v/>
      </c>
      <c r="DD75" s="1057" t="n"/>
      <c r="DE75" s="1057" t="n"/>
      <c r="DF75" s="1057" t="n"/>
      <c r="DG75" s="1057">
        <f>AA75</f>
        <v/>
      </c>
      <c r="DH75" s="1057" t="n"/>
      <c r="DI75" s="1057" t="n">
        <v>0.03</v>
      </c>
      <c r="DJ75" s="1057" t="n"/>
      <c r="DK75" s="1057">
        <f>AB75</f>
        <v/>
      </c>
      <c r="DL75" s="1057" t="n"/>
      <c r="DM75" s="1056" t="n">
        <v>0.02</v>
      </c>
      <c r="DN75" s="1057" t="n"/>
      <c r="DO75" s="1057">
        <f>AC75</f>
        <v/>
      </c>
      <c r="DP75" s="1057" t="n"/>
      <c r="DQ75" s="1056">
        <f>+(DQ121/DM121)-(DQ70/DM70)</f>
        <v/>
      </c>
      <c r="DR75" s="1057" t="n"/>
      <c r="DS75" s="1057">
        <f>AG75</f>
        <v/>
      </c>
      <c r="DT75" s="1057" t="n"/>
      <c r="DU75" s="1056">
        <f>+(DU121/DQ121)-(DU70/DQ70)</f>
        <v/>
      </c>
      <c r="DV75" s="1062" t="n"/>
      <c r="DW75" s="1062">
        <f>AE75</f>
        <v/>
      </c>
      <c r="DX75" s="1057" t="n"/>
      <c r="DY75" s="1059" t="n">
        <v>-0.01</v>
      </c>
      <c r="DZ75" s="1059" t="n"/>
      <c r="EA75" s="1059">
        <f>AF75</f>
        <v/>
      </c>
      <c r="EC75" s="1059" t="n">
        <v>0.03</v>
      </c>
      <c r="ED75" s="1059" t="n"/>
      <c r="EE75" s="1059">
        <f>AG75</f>
        <v/>
      </c>
      <c r="EF75" s="1059" t="n"/>
      <c r="EG75" s="1059" t="n"/>
      <c r="EH75" s="1059" t="n"/>
      <c r="EI75" s="1059">
        <f>AH75</f>
        <v/>
      </c>
      <c r="EJ75" s="1059" t="n"/>
      <c r="EK75" s="1063">
        <f>(EK121/AVERAGE(EK70))/(EG121/AVERAGE(EG70))-1</f>
        <v/>
      </c>
      <c r="EL75" s="1063">
        <f>(EL121/AVERAGE(EL70))/(EH121/AVERAGE(EH70))-1</f>
        <v/>
      </c>
      <c r="EM75" s="1063">
        <f>AI75</f>
        <v/>
      </c>
      <c r="EO75" s="1063">
        <f>(EO121/AVERAGE(EO70))/(EK121/AVERAGE(EK70))-1</f>
        <v/>
      </c>
      <c r="EP75" s="1063">
        <f>(EP121/AVERAGE(EP70))/(EL121/AVERAGE(EL70))-1</f>
        <v/>
      </c>
      <c r="EQ75" s="1063">
        <f>AJ75</f>
        <v/>
      </c>
      <c r="ES75" s="1063">
        <f>(ES121/AVERAGE(ES70))/(EO121/AVERAGE(EO70))-1</f>
        <v/>
      </c>
      <c r="ET75" s="1063">
        <f>(ET121/AVERAGE(ET70))/(EP121/AVERAGE(EP70))-1</f>
        <v/>
      </c>
      <c r="EU75" s="1063">
        <f>AK75</f>
        <v/>
      </c>
      <c r="EV75" s="1059" t="n"/>
      <c r="EW75" s="1063">
        <f>(EW121/AVERAGE(EW70))/(ES121/AVERAGE(ES70))-1</f>
        <v/>
      </c>
      <c r="EX75" s="1063">
        <f>(EX121/AVERAGE(EX70))/(ET121/AVERAGE(ET70))-1</f>
        <v/>
      </c>
      <c r="EY75" s="1063">
        <f>AL75</f>
        <v/>
      </c>
      <c r="FA75" s="1063">
        <f>(FA121/AVERAGE(FA70))/(EW121/AVERAGE(EW70))-1</f>
        <v/>
      </c>
      <c r="FB75" s="1063">
        <f>(FB121/AVERAGE(FB70))/(EX121/AVERAGE(EX70))-1</f>
        <v/>
      </c>
      <c r="FC75" s="1063">
        <f>AM75</f>
        <v/>
      </c>
      <c r="FE75" s="1063">
        <f>FE74/FA74-1</f>
        <v/>
      </c>
      <c r="FF75" s="1063">
        <f>(FF121/AVERAGE(FF70))/(FB121/AVERAGE(FB70))-1</f>
        <v/>
      </c>
      <c r="FG75" s="1063">
        <f>AN75</f>
        <v/>
      </c>
      <c r="FI75" s="1063">
        <f>FI74/FE74-1</f>
        <v/>
      </c>
      <c r="FJ75" s="1063">
        <f>(FJ121/AVERAGE(FJ70))/(FF121/AVERAGE(FF70))-1</f>
        <v/>
      </c>
      <c r="FK75" s="1063">
        <f>AO75</f>
        <v/>
      </c>
      <c r="FM75" s="1063">
        <f>FM74/FI74-1</f>
        <v/>
      </c>
      <c r="FN75" s="1061" t="n">
        <v>0.07000000000000001</v>
      </c>
      <c r="FO75" s="1063">
        <f>AP75</f>
        <v/>
      </c>
    </row>
    <row r="76" ht="14.25" customFormat="1" customHeight="1" s="20">
      <c r="A76" s="37" t="n"/>
      <c r="B76" s="20" t="inlineStr">
        <is>
          <t>staff productivity (ATK per staff)</t>
        </is>
      </c>
      <c r="C76" s="1046">
        <f>(C4)/C70*1000</f>
        <v/>
      </c>
      <c r="D76" s="1046">
        <f>(D4)/D70*1000</f>
        <v/>
      </c>
      <c r="E76" s="1046">
        <f>(E4)/E70*1000</f>
        <v/>
      </c>
      <c r="F76" s="1046">
        <f>(F4)/F70*1000</f>
        <v/>
      </c>
      <c r="G76" s="1046">
        <f>(G4)/G70*1000</f>
        <v/>
      </c>
      <c r="H76" s="1046">
        <f>(H4)/H70*1000</f>
        <v/>
      </c>
      <c r="I76" s="1046">
        <f>(I4)/I70*1000</f>
        <v/>
      </c>
      <c r="J76" s="1046">
        <f>(J4)/J70*1000</f>
        <v/>
      </c>
      <c r="K76" s="1046">
        <f>(K4)/K70*1000</f>
        <v/>
      </c>
      <c r="L76" s="1046">
        <f>(L4)/L70*1000</f>
        <v/>
      </c>
      <c r="M76" s="1046">
        <f>(M4)/M70*1000</f>
        <v/>
      </c>
      <c r="N76" s="1046">
        <f>(N4)/N70*1000</f>
        <v/>
      </c>
      <c r="O76" s="1046">
        <f>(O4)/O70*1000</f>
        <v/>
      </c>
      <c r="P76" s="1046">
        <f>(P4)/P70*1000</f>
        <v/>
      </c>
      <c r="Q76" s="1046">
        <f>(Q4)/Q70*1000</f>
        <v/>
      </c>
      <c r="R76" s="1046">
        <f>(R4)/R70*1000</f>
        <v/>
      </c>
      <c r="S76" s="1046">
        <f>(S4)/S70*1000</f>
        <v/>
      </c>
      <c r="T76" s="1046">
        <f>(T4)/T70*1000</f>
        <v/>
      </c>
      <c r="U76" s="1046">
        <f>(U4)/U70*1000</f>
        <v/>
      </c>
      <c r="V76" s="1046">
        <f>(V4)/V70*1000</f>
        <v/>
      </c>
      <c r="W76" s="1046">
        <f>(W4)/W70*1000</f>
        <v/>
      </c>
      <c r="X76" s="1046">
        <f>(X4)/X70*1000</f>
        <v/>
      </c>
      <c r="Y76" s="1046">
        <f>(Y4)/Y70*1000</f>
        <v/>
      </c>
      <c r="Z76" s="1046">
        <f>(Z4)/Z70*1000</f>
        <v/>
      </c>
      <c r="AA76" s="1046">
        <f>(AA4)/AA70*1000</f>
        <v/>
      </c>
      <c r="AB76" s="1046">
        <f>(AB4)/AB70*1000</f>
        <v/>
      </c>
      <c r="AC76" s="1046">
        <f>(AC4)/AC70*1000</f>
        <v/>
      </c>
      <c r="AD76" s="1046">
        <f>(AD4)/AD70*1000</f>
        <v/>
      </c>
      <c r="AE76" s="1046">
        <f>(AE4)/AE70*1000</f>
        <v/>
      </c>
      <c r="AF76" s="1046">
        <f>(AF4)/AF70*1000</f>
        <v/>
      </c>
      <c r="AG76" s="1046">
        <f>(AG4)/AG70*1000</f>
        <v/>
      </c>
      <c r="AH76" s="1046">
        <f>(AH4)/AH70*1000</f>
        <v/>
      </c>
      <c r="AI76" s="1046">
        <f>(AI4)/AI70*1000</f>
        <v/>
      </c>
      <c r="AJ76" s="1046">
        <f>(AJ4)/AJ70*1000</f>
        <v/>
      </c>
      <c r="AK76" s="1046">
        <f>(AK4)/AK70*1000</f>
        <v/>
      </c>
      <c r="AL76" s="1046">
        <f>(AL4)/AL70*1000</f>
        <v/>
      </c>
      <c r="AM76" s="1046">
        <f>(AM4)/AM70*1000</f>
        <v/>
      </c>
      <c r="AN76" s="1046">
        <f>(AN4)/AN70*1000</f>
        <v/>
      </c>
      <c r="AO76" s="1046">
        <f>(AO4)/AO70*1000</f>
        <v/>
      </c>
      <c r="AP76" s="1046">
        <f>(AP4)/AP70*1000</f>
        <v/>
      </c>
      <c r="AQ76" s="1046">
        <f>(AQ4)/AQ70*1000</f>
        <v/>
      </c>
      <c r="AR76" s="1046">
        <f>(AR4)/AR70*1000</f>
        <v/>
      </c>
      <c r="AS76" s="1046">
        <f>(AS4)/AS70*1000</f>
        <v/>
      </c>
      <c r="AT76" s="1046">
        <f>(AT4)/AT70*1000</f>
        <v/>
      </c>
      <c r="AU76" s="1064" t="n"/>
      <c r="AV76" s="23" t="n"/>
      <c r="AW76" s="23" t="n"/>
      <c r="AX76" s="24">
        <f>L76</f>
        <v/>
      </c>
      <c r="AY76" s="23" t="n"/>
      <c r="AZ76" s="23" t="n"/>
      <c r="BA76" s="23" t="n"/>
      <c r="BB76" s="24">
        <f>M76</f>
        <v/>
      </c>
      <c r="BD76" s="1046">
        <f>(BD4)/BD70*1000</f>
        <v/>
      </c>
      <c r="BE76" s="1046">
        <f>(BE4)/BE70*1000</f>
        <v/>
      </c>
      <c r="BF76" s="24">
        <f>N76</f>
        <v/>
      </c>
      <c r="BH76" s="1046">
        <f>(BH4)/BH70*1000</f>
        <v/>
      </c>
      <c r="BI76" s="1046">
        <f>(BI4)/BI70*1000</f>
        <v/>
      </c>
      <c r="BJ76" s="24">
        <f>O76</f>
        <v/>
      </c>
      <c r="BL76" s="1046">
        <f>(BL4)/BL70*1000</f>
        <v/>
      </c>
      <c r="BM76" s="1046">
        <f>(BM4)/BM70*1000</f>
        <v/>
      </c>
      <c r="BN76" s="24">
        <f>P76</f>
        <v/>
      </c>
      <c r="BP76" s="1046">
        <f>(BP4)/BP70*1000</f>
        <v/>
      </c>
      <c r="BQ76" s="1046">
        <f>(BQ4)/BQ70*1000</f>
        <v/>
      </c>
      <c r="BR76" s="24">
        <f>Q76</f>
        <v/>
      </c>
      <c r="BT76" s="1046">
        <f>(BT4)/BT70*1000</f>
        <v/>
      </c>
      <c r="BU76" s="1046">
        <f>(BU4)/BU70*1000</f>
        <v/>
      </c>
      <c r="BV76" s="24">
        <f>R76</f>
        <v/>
      </c>
      <c r="BX76" s="1046">
        <f>(BX4)/BX70*1000</f>
        <v/>
      </c>
      <c r="BY76" s="1046">
        <f>(BY4)/BY70*1000</f>
        <v/>
      </c>
      <c r="BZ76" s="24">
        <f>S76</f>
        <v/>
      </c>
      <c r="CB76" s="1046">
        <f>(CB4)/CB70*1000</f>
        <v/>
      </c>
      <c r="CC76" s="1046">
        <f>(CC4)/CC70*1000</f>
        <v/>
      </c>
      <c r="CD76" s="24">
        <f>T76</f>
        <v/>
      </c>
      <c r="CE76" s="21" t="n"/>
      <c r="CF76" s="1046">
        <f>(CF4)/CF70*1000</f>
        <v/>
      </c>
      <c r="CG76" s="1046">
        <f>(CG4)/CG70*1000</f>
        <v/>
      </c>
      <c r="CH76" s="24">
        <f>U76</f>
        <v/>
      </c>
      <c r="CI76" s="24" t="n"/>
      <c r="CJ76" s="1046">
        <f>(CJ4)/CJ70*1000</f>
        <v/>
      </c>
      <c r="CK76" s="1046">
        <f>(CK4)/CK70*1000</f>
        <v/>
      </c>
      <c r="CL76" s="24">
        <f>V76</f>
        <v/>
      </c>
      <c r="CM76" s="24" t="n"/>
      <c r="CN76" s="24" t="n"/>
      <c r="CO76" s="58" t="n"/>
      <c r="CP76" s="21">
        <f>W76</f>
        <v/>
      </c>
      <c r="CQ76" s="24" t="n"/>
      <c r="CR76" s="24" t="n"/>
      <c r="CS76" s="24" t="n"/>
      <c r="CT76" s="24" t="n"/>
      <c r="CU76" s="21">
        <f>X76</f>
        <v/>
      </c>
      <c r="CV76" s="21" t="n"/>
      <c r="CW76" s="24" t="n"/>
      <c r="CX76" s="21" t="n"/>
      <c r="CY76" s="21">
        <f>Y76</f>
        <v/>
      </c>
      <c r="CZ76" s="21" t="n"/>
      <c r="DA76" s="21" t="n"/>
      <c r="DB76" s="21" t="n"/>
      <c r="DC76" s="21">
        <f>Z76</f>
        <v/>
      </c>
      <c r="DD76" s="21" t="n"/>
      <c r="DE76" s="21" t="n"/>
      <c r="DF76" s="21" t="n"/>
      <c r="DG76" s="21">
        <f>AA76</f>
        <v/>
      </c>
      <c r="DH76" s="118" t="n"/>
      <c r="DI76" s="21" t="n"/>
      <c r="DJ76" s="21" t="n"/>
      <c r="DK76" s="21">
        <f>AB76</f>
        <v/>
      </c>
      <c r="DL76" s="21" t="n"/>
      <c r="DM76" s="21" t="n"/>
      <c r="DN76" s="21" t="n"/>
      <c r="DO76" s="21">
        <f>AC76</f>
        <v/>
      </c>
      <c r="DP76" s="118" t="n"/>
      <c r="DQ76" s="21" t="n"/>
      <c r="DR76" s="21" t="n"/>
      <c r="DS76" s="21">
        <f>AD76</f>
        <v/>
      </c>
      <c r="DT76" s="21" t="n"/>
      <c r="DU76" s="21" t="n"/>
      <c r="DV76" s="21" t="n"/>
      <c r="DW76" s="21">
        <f>AE76</f>
        <v/>
      </c>
      <c r="DX76" s="21" t="n"/>
      <c r="DY76" s="21" t="n"/>
      <c r="DZ76" s="21" t="n"/>
      <c r="EA76" s="21">
        <f>AF76</f>
        <v/>
      </c>
      <c r="EC76" s="21" t="n"/>
      <c r="ED76" s="21" t="n"/>
      <c r="EE76" s="21">
        <f>AG76</f>
        <v/>
      </c>
      <c r="EF76" s="21" t="n"/>
      <c r="EG76" s="21" t="n"/>
      <c r="EH76" s="21" t="n"/>
      <c r="EI76" s="21">
        <f>AH76</f>
        <v/>
      </c>
      <c r="EJ76" s="21" t="n"/>
      <c r="EK76" s="1046">
        <f>(EK4)/EK70*1000</f>
        <v/>
      </c>
      <c r="EL76" s="1046">
        <f>(EL4)/EL70*1000</f>
        <v/>
      </c>
      <c r="EM76" s="58">
        <f>AI76</f>
        <v/>
      </c>
      <c r="EN76" s="21" t="n"/>
      <c r="EO76" s="1046">
        <f>(EO4)/EO70*1000</f>
        <v/>
      </c>
      <c r="EP76" s="1046">
        <f>(EP4)/EP70*1000</f>
        <v/>
      </c>
      <c r="EQ76" s="58">
        <f>AJ76</f>
        <v/>
      </c>
      <c r="ER76" s="21" t="n"/>
      <c r="ES76" s="1046">
        <f>(ES4)/ES70*1000</f>
        <v/>
      </c>
      <c r="ET76" s="1046">
        <f>(ET4)/ET70*1000</f>
        <v/>
      </c>
      <c r="EU76" s="58">
        <f>AK76</f>
        <v/>
      </c>
      <c r="EV76" s="21" t="n"/>
      <c r="EW76" s="1046">
        <f>(EW4)/EW70*1000</f>
        <v/>
      </c>
      <c r="EX76" s="1046">
        <f>(EX4)/EX70*1000</f>
        <v/>
      </c>
      <c r="EY76" s="58">
        <f>AL76</f>
        <v/>
      </c>
      <c r="FA76" s="1046">
        <f>(FA4)/FA70*1000</f>
        <v/>
      </c>
      <c r="FB76" s="1046">
        <f>(FB4)/FB70*1000</f>
        <v/>
      </c>
      <c r="FC76" s="58">
        <f>AM76</f>
        <v/>
      </c>
      <c r="FE76" s="1046">
        <f>(FE4)/FE70*1000</f>
        <v/>
      </c>
      <c r="FF76" s="1046">
        <f>(FF4)/FF70*1000</f>
        <v/>
      </c>
      <c r="FG76" s="58">
        <f>AN76</f>
        <v/>
      </c>
      <c r="FI76" s="1046">
        <f>(FI4)/FI70*1000</f>
        <v/>
      </c>
      <c r="FJ76" s="1046">
        <f>(FJ4)/FJ70*1000</f>
        <v/>
      </c>
      <c r="FK76" s="58">
        <f>AO76</f>
        <v/>
      </c>
      <c r="FM76" s="1046">
        <f>(FM4)/FM70*1000</f>
        <v/>
      </c>
      <c r="FN76" s="1046">
        <f>(FN4)/FN70*1000</f>
        <v/>
      </c>
      <c r="FO76" s="58">
        <f>AP76</f>
        <v/>
      </c>
    </row>
    <row r="77" ht="14.25" customFormat="1" customHeight="1" s="994">
      <c r="A77" s="1009" t="inlineStr">
        <is>
          <t>change staff pr</t>
        </is>
      </c>
      <c r="B77" s="1065" t="inlineStr">
        <is>
          <t>Change in staff productivity</t>
        </is>
      </c>
      <c r="C77" s="1066" t="n"/>
      <c r="D77" s="1066">
        <f>D76/C76-1</f>
        <v/>
      </c>
      <c r="E77" s="1066">
        <f>E76/D76-1</f>
        <v/>
      </c>
      <c r="F77" s="1066">
        <f>F76/E76-1</f>
        <v/>
      </c>
      <c r="G77" s="1066">
        <f>G76/F76-1</f>
        <v/>
      </c>
      <c r="H77" s="1066">
        <f>H76/G76-1</f>
        <v/>
      </c>
      <c r="I77" s="1066">
        <f>I76/H76-1</f>
        <v/>
      </c>
      <c r="J77" s="1066">
        <f>J76/I76-1</f>
        <v/>
      </c>
      <c r="K77" s="1067">
        <f>K76/J76-1</f>
        <v/>
      </c>
      <c r="L77" s="1067">
        <f>L76/K76-1</f>
        <v/>
      </c>
      <c r="M77" s="1067">
        <f>M76/L76-1</f>
        <v/>
      </c>
      <c r="N77" s="1067">
        <f>N76/M76-1</f>
        <v/>
      </c>
      <c r="O77" s="1067">
        <f>O76/N76-1</f>
        <v/>
      </c>
      <c r="P77" s="1068">
        <f>P76/O76-1</f>
        <v/>
      </c>
      <c r="Q77" s="1067">
        <f>Q76/P76-1</f>
        <v/>
      </c>
      <c r="R77" s="1067">
        <f>R76/Q76-1</f>
        <v/>
      </c>
      <c r="S77" s="1068">
        <f>S76/R76-1</f>
        <v/>
      </c>
      <c r="T77" s="1067">
        <f>T76/S76-1</f>
        <v/>
      </c>
      <c r="U77" s="1067">
        <f>U76/T76-1</f>
        <v/>
      </c>
      <c r="V77" s="1067">
        <f>V76/U76-1</f>
        <v/>
      </c>
      <c r="W77" s="1067">
        <f>W76/V76-1</f>
        <v/>
      </c>
      <c r="X77" s="1067">
        <f>X76/W76-1</f>
        <v/>
      </c>
      <c r="Y77" s="1067">
        <f>Y76/X76-1</f>
        <v/>
      </c>
      <c r="Z77" s="1067">
        <f>Z76/Y76-1</f>
        <v/>
      </c>
      <c r="AA77" s="1067">
        <f>AA76/Z76-1</f>
        <v/>
      </c>
      <c r="AB77" s="1067">
        <f>AB76/AA76-1</f>
        <v/>
      </c>
      <c r="AC77" s="1067">
        <f>AC76/AB76-1</f>
        <v/>
      </c>
      <c r="AD77" s="1067">
        <f>AD76/AC76-1</f>
        <v/>
      </c>
      <c r="AE77" s="1067">
        <f>AE76/AD76-1</f>
        <v/>
      </c>
      <c r="AF77" s="1067">
        <f>AF76/AE76-1</f>
        <v/>
      </c>
      <c r="AG77" s="1067">
        <f>AG76/AF76-1</f>
        <v/>
      </c>
      <c r="AH77" s="1067">
        <f>AH76/AG76-1</f>
        <v/>
      </c>
      <c r="AI77" s="1067">
        <f>AI76/AH76-1</f>
        <v/>
      </c>
      <c r="AJ77" s="1067">
        <f>AJ76/AI76-1</f>
        <v/>
      </c>
      <c r="AK77" s="1067">
        <f>AK76/AJ76-1</f>
        <v/>
      </c>
      <c r="AL77" s="1069">
        <f>AL76/AK76-1</f>
        <v/>
      </c>
      <c r="AM77" s="1069">
        <f>AM76/AL76-1</f>
        <v/>
      </c>
      <c r="AN77" s="1069">
        <f>AN76/AM76-1</f>
        <v/>
      </c>
      <c r="AO77" s="1067">
        <f>AO76/AN76-1</f>
        <v/>
      </c>
      <c r="AP77" s="1067">
        <f>AP76/AO76-1</f>
        <v/>
      </c>
      <c r="AQ77" s="1067">
        <f>AQ76/AP76-1</f>
        <v/>
      </c>
      <c r="AR77" s="1067">
        <f>AR76/AQ76-1</f>
        <v/>
      </c>
      <c r="AS77" s="1067">
        <f>AS76/AR76-1</f>
        <v/>
      </c>
      <c r="AT77" s="1067">
        <f>AT76/AS76-1</f>
        <v/>
      </c>
      <c r="AU77" s="1010" t="n"/>
      <c r="AV77" s="1070" t="n"/>
      <c r="AW77" s="1070" t="n"/>
      <c r="AX77" s="1071">
        <f>L77</f>
        <v/>
      </c>
      <c r="AY77" s="1012" t="n"/>
      <c r="AZ77" s="1070" t="n"/>
      <c r="BA77" s="1070" t="n"/>
      <c r="BB77" s="1071">
        <f>M77</f>
        <v/>
      </c>
      <c r="BD77" s="1070" t="n"/>
      <c r="BE77" s="1070" t="n"/>
      <c r="BF77" s="1071">
        <f>N77</f>
        <v/>
      </c>
      <c r="BH77" s="1072">
        <f>BH76/BD76-1</f>
        <v/>
      </c>
      <c r="BI77" s="1072">
        <f>BI76/BE76-1</f>
        <v/>
      </c>
      <c r="BJ77" s="1071">
        <f>O77</f>
        <v/>
      </c>
      <c r="BL77" s="1072">
        <f>BL76/BH76-1</f>
        <v/>
      </c>
      <c r="BM77" s="1072">
        <f>BM76/BI76-1</f>
        <v/>
      </c>
      <c r="BN77" s="1071">
        <f>P77</f>
        <v/>
      </c>
      <c r="BP77" s="1072">
        <f>BP76/BL76-1</f>
        <v/>
      </c>
      <c r="BQ77" s="1072">
        <f>BQ76/BM76-1</f>
        <v/>
      </c>
      <c r="BR77" s="1071">
        <f>Q77</f>
        <v/>
      </c>
      <c r="BT77" s="1072">
        <f>BT76/BP76-1</f>
        <v/>
      </c>
      <c r="BU77" s="1072">
        <f>BU76/BQ76-1</f>
        <v/>
      </c>
      <c r="BV77" s="1071">
        <f>R77</f>
        <v/>
      </c>
      <c r="BX77" s="1072">
        <f>BX76/BT76-1</f>
        <v/>
      </c>
      <c r="BY77" s="1072">
        <f>BY76/BU76-1</f>
        <v/>
      </c>
      <c r="BZ77" s="1071">
        <f>S77</f>
        <v/>
      </c>
      <c r="CB77" s="1072">
        <f>CB76/BX76-1</f>
        <v/>
      </c>
      <c r="CC77" s="1072">
        <f>CC76/BY76-1</f>
        <v/>
      </c>
      <c r="CD77" s="1071">
        <f>T77</f>
        <v/>
      </c>
      <c r="CE77" s="1073" t="n"/>
      <c r="CF77" s="1072">
        <f>CF76/CB76-1</f>
        <v/>
      </c>
      <c r="CG77" s="1072">
        <f>CG76/CC76-1</f>
        <v/>
      </c>
      <c r="CH77" s="1071">
        <f>U77</f>
        <v/>
      </c>
      <c r="CI77" s="1013" t="n"/>
      <c r="CJ77" s="1072">
        <f>CJ76/CF76-1</f>
        <v/>
      </c>
      <c r="CK77" s="1072">
        <f>CK76/CG76-1</f>
        <v/>
      </c>
      <c r="CL77" s="1071">
        <f>V77</f>
        <v/>
      </c>
      <c r="CM77" s="1013" t="n"/>
      <c r="CN77" s="1072" t="n"/>
      <c r="CO77" s="1072" t="n"/>
      <c r="CP77" s="1074">
        <f>W77</f>
        <v/>
      </c>
      <c r="CQ77" s="1017" t="n"/>
      <c r="CR77" s="1072" t="n"/>
      <c r="CS77" s="1072" t="n"/>
      <c r="CT77" s="1072" t="n"/>
      <c r="CU77" s="1074">
        <f>X77</f>
        <v/>
      </c>
      <c r="CV77" s="1017" t="n"/>
      <c r="CW77" s="1072" t="n"/>
      <c r="CX77" s="1072" t="n"/>
      <c r="CY77" s="1074">
        <f>Y77</f>
        <v/>
      </c>
      <c r="CZ77" s="1017" t="n"/>
      <c r="DA77" s="1072" t="n"/>
      <c r="DB77" s="1072" t="n"/>
      <c r="DC77" s="1074">
        <f>Z77</f>
        <v/>
      </c>
      <c r="DD77" s="1017" t="n"/>
      <c r="DE77" s="1067" t="n"/>
      <c r="DF77" s="1072" t="n"/>
      <c r="DG77" s="1074">
        <f>AA77</f>
        <v/>
      </c>
      <c r="DH77" s="118" t="n"/>
      <c r="DI77" s="1067" t="n"/>
      <c r="DJ77" s="1072" t="n"/>
      <c r="DK77" s="1074">
        <f>AB77</f>
        <v/>
      </c>
      <c r="DL77" s="1017" t="n"/>
      <c r="DM77" s="1067" t="n"/>
      <c r="DN77" s="1072" t="n"/>
      <c r="DO77" s="1074">
        <f>AC77</f>
        <v/>
      </c>
      <c r="DP77" s="118" t="n"/>
      <c r="DQ77" s="1067" t="n"/>
      <c r="DR77" s="1072" t="n"/>
      <c r="DS77" s="1072">
        <f>AD77</f>
        <v/>
      </c>
      <c r="DT77" s="1072" t="n"/>
      <c r="DU77" s="1067" t="n"/>
      <c r="DV77" s="1067" t="n"/>
      <c r="DW77" s="1067">
        <f>AE77</f>
        <v/>
      </c>
      <c r="DX77" s="1072" t="n"/>
      <c r="DY77" s="1067" t="n"/>
      <c r="DZ77" s="1067" t="n"/>
      <c r="EA77" s="1067">
        <f>AF77</f>
        <v/>
      </c>
      <c r="EC77" s="1067" t="n"/>
      <c r="ED77" s="1067" t="n"/>
      <c r="EE77" s="1067">
        <f>AG77</f>
        <v/>
      </c>
      <c r="EF77" s="1067" t="n"/>
      <c r="EG77" s="1067" t="n"/>
      <c r="EH77" s="1067" t="n"/>
      <c r="EI77" s="1067">
        <f>AH77</f>
        <v/>
      </c>
      <c r="EJ77" s="1067" t="n"/>
      <c r="EK77" s="1067" t="n"/>
      <c r="EL77" s="1067" t="n"/>
      <c r="EM77" s="1067">
        <f>AI77</f>
        <v/>
      </c>
      <c r="EN77" s="1067" t="n"/>
      <c r="EO77" s="1067" t="n"/>
      <c r="EP77" s="1067" t="n"/>
      <c r="EQ77" s="1067">
        <f>AJ77</f>
        <v/>
      </c>
      <c r="ER77" s="1067" t="n"/>
      <c r="ES77" s="1067" t="n"/>
      <c r="ET77" s="1067" t="n"/>
      <c r="EU77" s="1067">
        <f>AK77</f>
        <v/>
      </c>
      <c r="EV77" s="1075" t="n"/>
      <c r="EW77" s="1067" t="n"/>
      <c r="EX77" s="1067" t="n"/>
      <c r="EY77" s="1067">
        <f>AL77</f>
        <v/>
      </c>
      <c r="EZ77" s="1067" t="n"/>
      <c r="FA77" s="1067" t="n"/>
      <c r="FB77" s="1067" t="n"/>
      <c r="FC77" s="1067">
        <f>AM77</f>
        <v/>
      </c>
      <c r="FE77" s="1067" t="n"/>
      <c r="FF77" s="1067" t="n"/>
      <c r="FG77" s="1067">
        <f>AN77</f>
        <v/>
      </c>
      <c r="FI77" s="1067" t="n"/>
      <c r="FJ77" s="1067" t="n"/>
      <c r="FK77" s="1067">
        <f>AO77</f>
        <v/>
      </c>
      <c r="FM77" s="1067" t="n"/>
      <c r="FN77" s="1067" t="n"/>
      <c r="FO77" s="1067">
        <f>AP77</f>
        <v/>
      </c>
    </row>
    <row r="78" customFormat="1" s="1046">
      <c r="A78" s="1047" t="n"/>
      <c r="B78" s="1048" t="n"/>
      <c r="C78" s="57" t="n"/>
      <c r="D78" s="57" t="n"/>
      <c r="E78" s="57" t="n"/>
      <c r="F78" s="57" t="n"/>
      <c r="G78" s="521" t="n"/>
      <c r="H78" s="521" t="n"/>
      <c r="I78" s="521" t="n"/>
      <c r="J78" s="521" t="n"/>
      <c r="K78" s="521" t="n"/>
      <c r="L78" s="521" t="n"/>
      <c r="M78" s="521" t="n"/>
      <c r="N78" s="521" t="n"/>
      <c r="O78" s="521" t="n"/>
      <c r="P78" s="521" t="n"/>
      <c r="Q78" s="521" t="n"/>
      <c r="R78" s="521" t="n"/>
      <c r="S78" s="521" t="n"/>
      <c r="T78" s="521" t="n"/>
      <c r="U78" s="521" t="n"/>
      <c r="V78" s="521" t="n"/>
      <c r="W78" s="521" t="n"/>
      <c r="X78" s="521" t="n"/>
      <c r="Y78" s="521" t="n"/>
      <c r="Z78" s="521" t="n"/>
      <c r="AA78" s="521" t="n"/>
      <c r="AB78" s="521" t="n"/>
      <c r="AC78" s="521" t="n"/>
      <c r="AD78" s="521" t="n"/>
      <c r="AE78" s="521" t="n"/>
      <c r="AF78" s="521" t="n"/>
      <c r="AG78" s="521" t="n"/>
      <c r="AH78" s="521" t="n"/>
      <c r="AI78" s="521" t="n"/>
      <c r="AJ78" s="521" t="n"/>
      <c r="AK78" s="521" t="n"/>
      <c r="AL78" s="521" t="n"/>
      <c r="AM78" s="521" t="n"/>
      <c r="AN78" s="521" t="n"/>
      <c r="AO78" s="521" t="n"/>
      <c r="AP78" s="521" t="n"/>
      <c r="AQ78" s="1076" t="n"/>
      <c r="AR78" s="521" t="n"/>
      <c r="AS78" s="521" t="n"/>
      <c r="AT78" s="521" t="n"/>
      <c r="AU78" s="58" t="n"/>
      <c r="AV78" s="985" t="n"/>
      <c r="AW78" s="985" t="n"/>
      <c r="AX78" s="1008" t="n"/>
      <c r="AY78" s="985" t="n"/>
      <c r="AZ78" s="985" t="n"/>
      <c r="BA78" s="985" t="n"/>
      <c r="BB78" s="1008" t="n"/>
      <c r="BD78" s="985" t="n"/>
      <c r="BE78" s="985" t="n"/>
      <c r="BF78" s="1008" t="n"/>
      <c r="BH78" s="985" t="n"/>
      <c r="BI78" s="985" t="n"/>
      <c r="BJ78" s="1008" t="n"/>
      <c r="BL78" s="985" t="n"/>
      <c r="BM78" s="985" t="n"/>
      <c r="BN78" s="1008" t="n"/>
      <c r="BP78" s="985" t="n"/>
      <c r="BQ78" s="985" t="n"/>
      <c r="BR78" s="1008" t="n"/>
      <c r="BT78" s="985" t="n"/>
      <c r="BU78" s="985" t="n"/>
      <c r="BV78" s="1008" t="n"/>
      <c r="BX78" s="985" t="n"/>
      <c r="BY78" s="985" t="n"/>
      <c r="BZ78" s="1008" t="n"/>
      <c r="CB78" s="985" t="n"/>
      <c r="CC78" s="985" t="n"/>
      <c r="CD78" s="1008" t="n"/>
      <c r="CE78" s="985" t="n"/>
      <c r="CF78" s="985" t="n"/>
      <c r="CG78" s="985" t="n"/>
      <c r="CH78" s="1008" t="n"/>
      <c r="CI78" s="1008" t="n"/>
      <c r="CJ78" s="985" t="n"/>
      <c r="CK78" s="985" t="n"/>
      <c r="CL78" s="1008" t="n"/>
      <c r="CM78" s="1008" t="n"/>
      <c r="CN78" s="985" t="n"/>
      <c r="CO78" s="985" t="n"/>
      <c r="CP78" s="1008" t="n"/>
      <c r="CQ78" s="1008" t="n"/>
      <c r="CR78" s="985" t="n"/>
      <c r="CS78" s="985" t="n"/>
      <c r="CT78" s="985" t="n"/>
      <c r="CU78" s="1008" t="n"/>
      <c r="CV78" s="1008" t="n"/>
      <c r="CW78" s="985" t="n"/>
      <c r="CX78" s="985" t="n"/>
      <c r="CY78" s="1008" t="n"/>
      <c r="CZ78" s="1008" t="n"/>
      <c r="DA78" s="985" t="n"/>
      <c r="DB78" s="985" t="n"/>
      <c r="DC78" s="1008" t="n"/>
      <c r="DD78" s="1008" t="n"/>
      <c r="DE78" s="985" t="n"/>
      <c r="DF78" s="985" t="n"/>
      <c r="DG78" s="1008" t="n"/>
      <c r="DH78" s="1008" t="n"/>
      <c r="DI78" s="63" t="n"/>
      <c r="DJ78" s="985" t="n"/>
      <c r="DK78" s="1008" t="n"/>
      <c r="DL78" s="1008" t="n"/>
      <c r="DM78" s="58" t="n"/>
      <c r="DN78" s="985" t="n"/>
      <c r="DO78" s="1008" t="n"/>
      <c r="DP78" s="1008" t="n"/>
      <c r="DQ78" s="58" t="n"/>
      <c r="DR78" s="985" t="n"/>
      <c r="DS78" s="985" t="n"/>
      <c r="DT78" s="985" t="n"/>
      <c r="DU78" s="58" t="n"/>
      <c r="DV78" s="58" t="n"/>
      <c r="DW78" s="58" t="n"/>
      <c r="DX78" s="985" t="n"/>
      <c r="DY78" s="58" t="n"/>
      <c r="DZ78" s="58" t="n"/>
      <c r="EA78" s="58" t="n"/>
      <c r="EC78" s="58" t="n"/>
      <c r="ED78" s="58" t="n"/>
      <c r="EE78" s="58" t="n"/>
      <c r="EF78" s="58" t="n"/>
      <c r="EG78" s="58" t="n"/>
      <c r="EH78" s="58" t="n"/>
      <c r="EI78" s="58" t="n"/>
      <c r="EJ78" s="58" t="n"/>
      <c r="EK78" s="521" t="n"/>
      <c r="EL78" s="521" t="n"/>
      <c r="EM78" s="58" t="n"/>
      <c r="EN78" s="58" t="n"/>
      <c r="EO78" s="521" t="n"/>
      <c r="EP78" s="521" t="n"/>
      <c r="EQ78" s="58" t="n"/>
      <c r="ER78" s="1049" t="n"/>
      <c r="ES78" s="521" t="n"/>
      <c r="ET78" s="521" t="n"/>
      <c r="EU78" s="58" t="n"/>
      <c r="EV78" s="58" t="n"/>
      <c r="EW78" s="521" t="n"/>
      <c r="EX78" s="521" t="n"/>
      <c r="EY78" s="58" t="n"/>
      <c r="FA78" s="521" t="n"/>
      <c r="FB78" s="521" t="n"/>
      <c r="FC78" s="58" t="n"/>
      <c r="FE78" s="521" t="n"/>
      <c r="FF78" s="521" t="n"/>
      <c r="FG78" s="58" t="n"/>
      <c r="FI78" s="521" t="n"/>
      <c r="FJ78" s="521" t="n"/>
      <c r="FK78" s="58" t="n"/>
      <c r="FM78" s="521" t="n"/>
      <c r="FN78" s="57" t="n"/>
      <c r="FO78" s="58" t="n"/>
    </row>
    <row r="79">
      <c r="A79" s="1077" t="n"/>
      <c r="B79" s="967" t="inlineStr">
        <is>
          <t>Fuel Cost</t>
        </is>
      </c>
      <c r="C79" s="967" t="n"/>
      <c r="D79" s="967" t="n"/>
      <c r="E79" s="967" t="n"/>
      <c r="F79" s="967" t="n"/>
      <c r="G79" s="967" t="n"/>
      <c r="H79" s="967" t="n"/>
      <c r="I79" s="967" t="n"/>
      <c r="J79" s="967" t="n"/>
      <c r="K79" s="967" t="n"/>
      <c r="L79" s="967" t="n"/>
      <c r="M79" s="967" t="n"/>
      <c r="N79" s="967" t="n"/>
      <c r="O79" s="967" t="n"/>
      <c r="P79" s="967" t="n"/>
      <c r="Q79" s="967" t="n"/>
      <c r="R79" s="967" t="n"/>
      <c r="S79" s="967" t="n"/>
      <c r="T79" s="967" t="n"/>
      <c r="U79" s="967" t="n"/>
      <c r="V79" s="967" t="n"/>
      <c r="W79" s="967" t="n"/>
      <c r="X79" s="967" t="n"/>
      <c r="Y79" s="967" t="n"/>
      <c r="Z79" s="967" t="n"/>
      <c r="AA79" s="967" t="n"/>
      <c r="AB79" s="967" t="n"/>
      <c r="AC79" s="967" t="n"/>
      <c r="AD79" s="967" t="n"/>
      <c r="AE79" s="967" t="n"/>
      <c r="AF79" s="967" t="n"/>
      <c r="AG79" s="967" t="n"/>
      <c r="AH79" s="967" t="n"/>
      <c r="AI79" s="967" t="n"/>
      <c r="AJ79" s="967" t="n"/>
      <c r="AK79" s="967" t="n"/>
      <c r="AL79" s="967" t="n"/>
      <c r="AM79" s="967" t="n"/>
      <c r="AN79" s="967" t="n"/>
      <c r="AO79" s="967" t="n"/>
      <c r="AP79" s="967" t="n"/>
      <c r="AQ79" s="967" t="n"/>
      <c r="AR79" s="967" t="n"/>
      <c r="AS79" s="967" t="n"/>
      <c r="AT79" s="967" t="n"/>
      <c r="AU79" s="968" t="n"/>
      <c r="AV79" s="967" t="n"/>
      <c r="AW79" s="967" t="n"/>
      <c r="AX79" s="967" t="n"/>
      <c r="AY79" s="967" t="n"/>
      <c r="AZ79" s="967" t="n"/>
      <c r="BA79" s="967" t="n"/>
      <c r="BB79" s="967" t="n"/>
      <c r="BC79" s="967" t="n"/>
      <c r="BD79" s="967" t="n"/>
      <c r="BE79" s="967" t="n"/>
      <c r="BF79" s="967" t="n"/>
      <c r="BG79" s="967" t="n"/>
      <c r="BH79" s="967" t="n"/>
      <c r="BI79" s="967" t="n"/>
      <c r="BJ79" s="967" t="n"/>
      <c r="BK79" s="967" t="n"/>
      <c r="BL79" s="967" t="n"/>
      <c r="BM79" s="967" t="n"/>
      <c r="BN79" s="967" t="n"/>
      <c r="BO79" s="967" t="n"/>
      <c r="BP79" s="967" t="n"/>
      <c r="BQ79" s="967" t="n"/>
      <c r="BR79" s="967" t="n"/>
      <c r="BS79" s="967" t="n"/>
      <c r="BT79" s="967" t="n"/>
      <c r="BU79" s="967" t="n"/>
      <c r="BV79" s="967" t="n"/>
      <c r="BW79" s="967" t="n"/>
      <c r="BX79" s="967" t="n"/>
      <c r="BY79" s="967" t="n"/>
      <c r="BZ79" s="967" t="n"/>
      <c r="CA79" s="967" t="n"/>
      <c r="CB79" s="967" t="n"/>
      <c r="CC79" s="967" t="n"/>
      <c r="CD79" s="967" t="n"/>
      <c r="CE79" s="967" t="n"/>
      <c r="CF79" s="967" t="n"/>
      <c r="CG79" s="967" t="n"/>
      <c r="CH79" s="967" t="n"/>
      <c r="CI79" s="967" t="n"/>
      <c r="CJ79" s="967" t="n"/>
      <c r="CK79" s="967" t="n"/>
      <c r="CL79" s="967" t="n"/>
      <c r="CM79" s="967" t="n"/>
      <c r="CN79" s="967" t="n"/>
      <c r="CO79" s="967" t="n"/>
      <c r="CP79" s="967" t="n"/>
      <c r="CQ79" s="967" t="n"/>
      <c r="CR79" s="967" t="n"/>
      <c r="CS79" s="967" t="n"/>
      <c r="CT79" s="967" t="n"/>
      <c r="CU79" s="967" t="n"/>
      <c r="CV79" s="967" t="n"/>
      <c r="CW79" s="967" t="n"/>
      <c r="CX79" s="967" t="n"/>
      <c r="CY79" s="967" t="n"/>
      <c r="CZ79" s="967" t="n"/>
      <c r="DA79" s="967" t="n"/>
      <c r="DB79" s="967" t="n"/>
      <c r="DC79" s="967" t="n"/>
      <c r="DD79" s="967" t="n"/>
      <c r="DE79" s="967" t="n"/>
      <c r="DF79" s="967" t="n"/>
      <c r="DG79" s="967" t="n"/>
      <c r="DH79" s="967" t="n"/>
      <c r="DI79" s="967" t="n"/>
      <c r="DJ79" s="967" t="n"/>
      <c r="DK79" s="967" t="n"/>
      <c r="DL79" s="967" t="n"/>
      <c r="DM79" s="967" t="n"/>
      <c r="DN79" s="967" t="n"/>
      <c r="DO79" s="967" t="n"/>
      <c r="DP79" s="967" t="n"/>
      <c r="DQ79" s="967" t="n"/>
      <c r="DR79" s="967" t="n"/>
      <c r="DS79" s="967" t="n"/>
      <c r="DT79" s="967" t="n"/>
      <c r="DU79" s="967" t="n"/>
      <c r="DV79" s="967" t="n"/>
      <c r="DW79" s="967" t="n"/>
      <c r="DX79" s="967" t="n"/>
      <c r="DY79" s="967" t="n"/>
      <c r="DZ79" s="967" t="n"/>
      <c r="EA79" s="967" t="n"/>
      <c r="EB79" s="967" t="n"/>
      <c r="EC79" s="967" t="n"/>
      <c r="ED79" s="967" t="n"/>
      <c r="EE79" s="967" t="n"/>
      <c r="EF79" s="967" t="n"/>
      <c r="EG79" s="967" t="n"/>
      <c r="EH79" s="967" t="n"/>
      <c r="EI79" s="967" t="n"/>
      <c r="EJ79" s="967" t="n"/>
      <c r="EK79" s="967" t="n"/>
      <c r="EL79" s="967" t="n"/>
      <c r="EM79" s="967" t="n"/>
      <c r="EN79" s="967" t="n"/>
      <c r="EO79" s="967" t="n"/>
      <c r="EP79" s="967" t="n"/>
      <c r="EQ79" s="967" t="n"/>
      <c r="ER79" s="967" t="n"/>
      <c r="ES79" s="967" t="n"/>
      <c r="ET79" s="967" t="n"/>
      <c r="EU79" s="967" t="n"/>
      <c r="EV79" s="967" t="n"/>
      <c r="EW79" s="967" t="n"/>
      <c r="EX79" s="967" t="n"/>
      <c r="EY79" s="967" t="n"/>
      <c r="EZ79" s="967" t="n"/>
      <c r="FA79" s="967" t="n"/>
      <c r="FB79" s="967" t="n"/>
      <c r="FC79" s="967" t="n"/>
      <c r="FD79" s="967" t="n"/>
      <c r="FE79" s="967" t="n"/>
      <c r="FF79" s="967" t="n"/>
      <c r="FG79" s="967" t="n"/>
      <c r="FH79" s="967" t="n"/>
      <c r="FI79" s="967" t="n"/>
      <c r="FJ79" s="967" t="n"/>
      <c r="FK79" s="967" t="n"/>
      <c r="FM79" s="967" t="n"/>
      <c r="FN79" s="967" t="n"/>
      <c r="FO79" s="967" t="n"/>
    </row>
    <row r="80" customFormat="1" s="1078">
      <c r="A80" s="960" t="n"/>
      <c r="B80" s="1078" t="inlineStr">
        <is>
          <t>Brent oil Price</t>
        </is>
      </c>
      <c r="C80" s="1079">
        <f>INDEX(Fuel!$AG:$AG,MATCH(DATE(LEFT(C$3,4),12,31),Fuel!$AF:$AF,0),1,1)</f>
        <v/>
      </c>
      <c r="D80" s="1079">
        <f>INDEX(Fuel!$AG:$AG,MATCH(DATE(LEFT(D$3,4),12,31),Fuel!$AF:$AF,0),1,1)</f>
        <v/>
      </c>
      <c r="E80" s="1079">
        <f>INDEX(Fuel!$AG:$AG,MATCH(DATE(LEFT(E$3,4),12,31),Fuel!$AF:$AF,0),1,1)</f>
        <v/>
      </c>
      <c r="F80" s="1079">
        <f>INDEX(Fuel!$AG:$AG,MATCH(DATE(LEFT(F$3,4),12,31),Fuel!$AF:$AF,0),1,1)</f>
        <v/>
      </c>
      <c r="G80" s="1079">
        <f>INDEX(Fuel!$AG:$AG,MATCH(DATE(LEFT(G$3,4),12,31),Fuel!$AF:$AF,0),1,1)</f>
        <v/>
      </c>
      <c r="H80" s="1079">
        <f>INDEX(Fuel!$AG:$AG,MATCH(DATE(LEFT(H$3,4),12,31),Fuel!$AF:$AF,0),1,1)</f>
        <v/>
      </c>
      <c r="I80" s="1079">
        <f>INDEX(Fuel!$AG:$AG,MATCH(DATE(LEFT(I$3,4),12,31),Fuel!$AF:$AF,0),1,1)</f>
        <v/>
      </c>
      <c r="J80" s="1079">
        <f>INDEX(Fuel!$AG:$AG,MATCH(DATE(LEFT(J$3,4),12,31),Fuel!$AF:$AF,0),1,1)</f>
        <v/>
      </c>
      <c r="K80" s="1079">
        <f>INDEX(Fuel!$AG:$AG,MATCH(DATE(LEFT(K$3,4),12,31),Fuel!$AF:$AF,0),1,1)</f>
        <v/>
      </c>
      <c r="L80" s="1079">
        <f>INDEX(Fuel!$AG:$AG,MATCH(DATE(LEFT(L$3,4),12,31),Fuel!$AF:$AF,0),1,1)</f>
        <v/>
      </c>
      <c r="M80" s="1079">
        <f>INDEX(Fuel!$AG:$AG,MATCH(DATE(LEFT(M$3,4),12,31),Fuel!$AF:$AF,0),1,1)</f>
        <v/>
      </c>
      <c r="N80" s="1079">
        <f>INDEX(Fuel!$AG:$AG,MATCH(DATE(LEFT(N$3,4),12,31),Fuel!$AF:$AF,0),1,1)</f>
        <v/>
      </c>
      <c r="O80" s="1079">
        <f>INDEX(Fuel!$AG:$AG,MATCH(DATE(LEFT(O$3,4),12,31),Fuel!$AF:$AF,0),1,1)</f>
        <v/>
      </c>
      <c r="P80" s="1079">
        <f>INDEX(Fuel!$AG:$AG,MATCH(DATE(LEFT(P$3,4),12,31),Fuel!$AF:$AF,0),1,1)</f>
        <v/>
      </c>
      <c r="Q80" s="1079">
        <f>INDEX(Fuel!$AG:$AG,MATCH(DATE(LEFT(Q$3,4),12,31),Fuel!$AF:$AF,0),1,1)</f>
        <v/>
      </c>
      <c r="R80" s="1079">
        <f>INDEX(Fuel!$AG:$AG,MATCH(DATE(LEFT(R$3,4),12,31),Fuel!$AF:$AF,0),1,1)</f>
        <v/>
      </c>
      <c r="S80" s="1079">
        <f>INDEX(Fuel!$AG:$AG,MATCH(DATE(LEFT(S$3,4),12,31),Fuel!$AF:$AF,0),1,1)</f>
        <v/>
      </c>
      <c r="T80" s="1079">
        <f>INDEX(Fuel!$AG:$AG,MATCH(DATE(LEFT(T$3,4),12,31),Fuel!$AF:$AF,0),1,1)</f>
        <v/>
      </c>
      <c r="U80" s="1079">
        <f>INDEX(Fuel!$AG:$AG,MATCH(DATE(LEFT(U$3,4),12,31),Fuel!$AF:$AF,0),1,1)</f>
        <v/>
      </c>
      <c r="V80" s="1079">
        <f>INDEX(Fuel!$AG:$AG,MATCH(DATE(LEFT(V$3,4),12,31),Fuel!$AF:$AF,0),1,1)</f>
        <v/>
      </c>
      <c r="W80" s="1079">
        <f>INDEX(Fuel!$AG:$AG,MATCH(DATE(LEFT(W$3,4),12,31),Fuel!$AF:$AF,0),1,1)</f>
        <v/>
      </c>
      <c r="X80" s="1079">
        <f>INDEX(Fuel!$AG:$AG,MATCH(DATE(LEFT(X$3,4),12,31),Fuel!$AF:$AF,0),1,1)</f>
        <v/>
      </c>
      <c r="Y80" s="1079">
        <f>INDEX(Fuel!$AG:$AG,MATCH(DATE(LEFT(Y$3,4),12,31),Fuel!$AF:$AF,0),1,1)</f>
        <v/>
      </c>
      <c r="Z80" s="1079">
        <f>INDEX(Fuel!$AG:$AG,MATCH(DATE(LEFT(Z$3,4),12,31),Fuel!$AF:$AF,0),1,1)</f>
        <v/>
      </c>
      <c r="AA80" s="1079">
        <f>INDEX(Fuel!$AG:$AG,MATCH(DATE(LEFT(AA$3,4),12,31),Fuel!$AF:$AF,0),1,1)</f>
        <v/>
      </c>
      <c r="AB80" s="1079">
        <f>INDEX(Fuel!$AG:$AG,MATCH(DATE(LEFT(AB$3,4),12,31),Fuel!$AF:$AF,0),1,1)</f>
        <v/>
      </c>
      <c r="AC80" s="1079">
        <f>INDEX(Fuel!$AG:$AG,MATCH(DATE(LEFT(AC$3,4),12,31),Fuel!$AF:$AF,0),1,1)</f>
        <v/>
      </c>
      <c r="AD80" s="1079">
        <f>INDEX(Fuel!$AG:$AG,MATCH(DATE(LEFT(AD$3,4),12,31),Fuel!$AF:$AF,0),1,1)</f>
        <v/>
      </c>
      <c r="AE80" s="1079">
        <f>INDEX(Fuel!$AG:$AG,MATCH(DATE(LEFT(AE$3,4),12,31),Fuel!$AF:$AF,0),1,1)</f>
        <v/>
      </c>
      <c r="AF80" s="1079">
        <f>INDEX(Fuel!$AG:$AG,MATCH(DATE(LEFT(AF$3,4),12,31),Fuel!$AF:$AF,0),1,1)</f>
        <v/>
      </c>
      <c r="AG80" s="1079">
        <f>INDEX(Fuel!$AG:$AG,MATCH(DATE(LEFT(AG$3,4),12,31),Fuel!$AF:$AF,0),1,1)</f>
        <v/>
      </c>
      <c r="AH80" s="1079">
        <f>INDEX(Fuel!$AG:$AG,MATCH(DATE(LEFT(AH$3,4),12,31),Fuel!$AF:$AF,0),1,1)</f>
        <v/>
      </c>
      <c r="AI80" s="1079">
        <f>INDEX(Fuel!$AG:$AG,MATCH(DATE(LEFT(AI$3,4),12,31),Fuel!$AF:$AF,0),1,1)</f>
        <v/>
      </c>
      <c r="AJ80" s="1079">
        <f>INDEX(Fuel!$AG:$AG,MATCH(DATE(LEFT(AJ$3,4),12,31),Fuel!$AF:$AF,0),1,1)</f>
        <v/>
      </c>
      <c r="AK80" s="1079">
        <f>INDEX(Fuel!$AG:$AG,MATCH(DATE(LEFT(AK$3,4),12,31),Fuel!$AF:$AF,0),1,1)</f>
        <v/>
      </c>
      <c r="AL80" s="1079">
        <f>INDEX(Fuel!$AG:$AG,MATCH(DATE(LEFT(AL$3,4),12,31),Fuel!$AF:$AF,0),1,1)</f>
        <v/>
      </c>
      <c r="AM80" s="1079">
        <f>INDEX(Fuel!$AG:$AG,MATCH(DATE(LEFT(AM$3,4),12,31),Fuel!$AF:$AF,0),1,1)</f>
        <v/>
      </c>
      <c r="AN80" s="1079">
        <f>INDEX(Fuel!$AG:$AG,MATCH(DATE(LEFT(AN$3,4),12,31),Fuel!$AF:$AF,0),1,1)</f>
        <v/>
      </c>
      <c r="AO80" s="1080">
        <f>AVERAGE(FI80:FJ80)</f>
        <v/>
      </c>
      <c r="AP80" s="1080">
        <f>AVERAGE(FM80:FN80)</f>
        <v/>
      </c>
      <c r="AQ80" s="1080" t="n">
        <v>75</v>
      </c>
      <c r="AR80" s="1080" t="n">
        <v>75</v>
      </c>
      <c r="AS80" s="1080" t="n">
        <v>75</v>
      </c>
      <c r="AT80" s="1080" t="n">
        <v>75</v>
      </c>
      <c r="AV80" s="1081" t="n"/>
      <c r="AW80" s="1081" t="n"/>
      <c r="AX80" s="1082" t="n"/>
      <c r="AY80" s="1081" t="n"/>
      <c r="AZ80" s="1081" t="n"/>
      <c r="BA80" s="1081" t="n"/>
      <c r="BB80" s="1082" t="n"/>
      <c r="BD80" s="1081" t="n"/>
      <c r="BE80" s="1081" t="n"/>
      <c r="BF80" s="1082" t="n"/>
      <c r="BQ80" s="1081" t="n"/>
      <c r="EG80" s="1083" t="n"/>
      <c r="EH80" s="1084" t="n"/>
      <c r="EK80" s="1085">
        <f>INDEX(Fuel!$AB:$AB,MATCH(EOMONTH(DATE(MID(EK$3,3,4),LEFT(EK$3)*6,1),0),Fuel!$AA:$AA,0),1,1)</f>
        <v/>
      </c>
      <c r="EL80" s="1085">
        <f>INDEX(Fuel!$AB:$AB,MATCH(EOMONTH(DATE(MID(EL$3,3,4),LEFT(EL$3)*6,1),0),Fuel!$AA:$AA,0),1,1)</f>
        <v/>
      </c>
      <c r="EM80" s="1078">
        <f>AI80</f>
        <v/>
      </c>
      <c r="EO80" s="1085">
        <f>INDEX(Fuel!$AB:$AB,MATCH(EOMONTH(DATE(MID(EO$3,3,4),LEFT(EO$3)*6,1),0),Fuel!$AA:$AA,0),1,1)</f>
        <v/>
      </c>
      <c r="EP80" s="1085">
        <f>INDEX(Fuel!$AB:$AB,MATCH(EOMONTH(DATE(MID(EP$3,3,4),LEFT(EP$3)*6,1),0),Fuel!$AA:$AA,0),1,1)</f>
        <v/>
      </c>
      <c r="EQ80" s="1078">
        <f>AJ80</f>
        <v/>
      </c>
      <c r="ES80" s="1085">
        <f>INDEX(Fuel!$AB:$AB,MATCH(EOMONTH(DATE(MID(ES$3,3,4),LEFT(ES$3)*6,1),0),Fuel!$AA:$AA,0),1,1)</f>
        <v/>
      </c>
      <c r="ET80" s="1085">
        <f>INDEX(Fuel!$AB:$AB,MATCH(EOMONTH(DATE(MID(ET$3,3,4),LEFT(ET$3)*6,1),0),Fuel!$AA:$AA,0),1,1)</f>
        <v/>
      </c>
      <c r="EU80" s="1078">
        <f>AK80</f>
        <v/>
      </c>
      <c r="EW80" s="1085">
        <f>INDEX(Fuel!$AB:$AB,MATCH(EOMONTH(DATE(MID(EW$3,3,4),LEFT(EW$3)*6,1),0),Fuel!$AA:$AA,0),1,1)</f>
        <v/>
      </c>
      <c r="EX80" s="1085">
        <f>INDEX(Fuel!$AB:$AB,MATCH(EOMONTH(DATE(MID(EX$3,3,4),LEFT(EX$3)*6,1),0),Fuel!$AA:$AA,0),1,1)</f>
        <v/>
      </c>
      <c r="EY80" s="1078">
        <f>AL80</f>
        <v/>
      </c>
      <c r="FA80" s="1085">
        <f>INDEX(Fuel!$AB:$AB,MATCH(EOMONTH(DATE(MID(FA$3,3,4),LEFT(FA$3)*6,1),0),Fuel!$AA:$AA,0),1,1)</f>
        <v/>
      </c>
      <c r="FB80" s="1085">
        <f>INDEX(Fuel!$AB:$AB,MATCH(EOMONTH(DATE(MID(FB$3,3,4),LEFT(FB$3)*6,1),0),Fuel!$AA:$AA,0),1,1)</f>
        <v/>
      </c>
      <c r="FC80" s="1078">
        <f>AM80</f>
        <v/>
      </c>
      <c r="FE80" s="1085">
        <f>INDEX(Fuel!$AB:$AB,MATCH(EOMONTH(DATE(MID(FE$3,3,4),LEFT(FE$3)*6,1),0),Fuel!$AA:$AA,0),1,1)</f>
        <v/>
      </c>
      <c r="FF80" s="1085">
        <f>INDEX(Fuel!$AB:$AB,MATCH(EOMONTH(DATE(MID(FF$3,3,4),LEFT(FF$3)*6,1),0),Fuel!$AA:$AA,0),1,1)</f>
        <v/>
      </c>
      <c r="FG80" s="1078">
        <f>AN80</f>
        <v/>
      </c>
      <c r="FI80" s="1085">
        <f>INDEX(Fuel!$AB:$AB,MATCH(EOMONTH(DATE(MID(FI$3,3,4),LEFT(FI$3)*6,1),0),Fuel!$AA:$AA,0),1,1)</f>
        <v/>
      </c>
      <c r="FJ80" s="1085">
        <f>INDEX(Fuel!$AB:$AB,MATCH(EOMONTH(DATE(MID(FJ$3,3,4),LEFT(FJ$3)*6,1),0),Fuel!$AA:$AA,0),1,1)</f>
        <v/>
      </c>
      <c r="FK80" s="1078">
        <f>AO80</f>
        <v/>
      </c>
      <c r="FM80" s="1085">
        <f>INDEX(Fuel!$AB:$AB,MATCH(EOMONTH(DATE(MID(FM$3,3,4),LEFT(FM$3)*6,1),0),Fuel!$AA:$AA,0),1,1)</f>
        <v/>
      </c>
      <c r="FN80" s="1086" t="n">
        <v>80</v>
      </c>
      <c r="FO80" s="1078">
        <f>AP80</f>
        <v/>
      </c>
    </row>
    <row r="81" customFormat="1" s="1078">
      <c r="A81" s="960" t="n"/>
      <c r="B81" s="1087" t="inlineStr">
        <is>
          <t>YoY %</t>
        </is>
      </c>
      <c r="D81" s="515">
        <f>D80/C80-1</f>
        <v/>
      </c>
      <c r="E81" s="515">
        <f>E80/D80-1</f>
        <v/>
      </c>
      <c r="F81" s="515">
        <f>F80/E80-1</f>
        <v/>
      </c>
      <c r="G81" s="515">
        <f>G80/F80-1</f>
        <v/>
      </c>
      <c r="H81" s="515">
        <f>H80/G80-1</f>
        <v/>
      </c>
      <c r="I81" s="515">
        <f>I80/H80-1</f>
        <v/>
      </c>
      <c r="J81" s="515">
        <f>J80/I80-1</f>
        <v/>
      </c>
      <c r="K81" s="515">
        <f>K80/J80-1</f>
        <v/>
      </c>
      <c r="L81" s="515">
        <f>L80/K80-1</f>
        <v/>
      </c>
      <c r="M81" s="515">
        <f>M80/L80-1</f>
        <v/>
      </c>
      <c r="N81" s="515">
        <f>N80/M80-1</f>
        <v/>
      </c>
      <c r="O81" s="515">
        <f>O80/N80-1</f>
        <v/>
      </c>
      <c r="P81" s="515">
        <f>P80/O80-1</f>
        <v/>
      </c>
      <c r="Q81" s="515">
        <f>Q80/P80-1</f>
        <v/>
      </c>
      <c r="R81" s="515">
        <f>R80/Q80-1</f>
        <v/>
      </c>
      <c r="S81" s="515">
        <f>S80/R80-1</f>
        <v/>
      </c>
      <c r="T81" s="515">
        <f>T80/S80-1</f>
        <v/>
      </c>
      <c r="U81" s="515">
        <f>U80/T80-1</f>
        <v/>
      </c>
      <c r="V81" s="515">
        <f>V80/U80-1</f>
        <v/>
      </c>
      <c r="W81" s="515">
        <f>W80/V80-1</f>
        <v/>
      </c>
      <c r="X81" s="515">
        <f>X80/W80-1</f>
        <v/>
      </c>
      <c r="Y81" s="515">
        <f>Y80/X80-1</f>
        <v/>
      </c>
      <c r="Z81" s="515">
        <f>Z80/Y80-1</f>
        <v/>
      </c>
      <c r="AA81" s="515">
        <f>AA80/Z80-1</f>
        <v/>
      </c>
      <c r="AB81" s="515">
        <f>AB80/AA80-1</f>
        <v/>
      </c>
      <c r="AC81" s="515">
        <f>AC80/AB80-1</f>
        <v/>
      </c>
      <c r="AD81" s="515">
        <f>AD80/AC80-1</f>
        <v/>
      </c>
      <c r="AE81" s="515">
        <f>AE80/AD80-1</f>
        <v/>
      </c>
      <c r="AF81" s="515">
        <f>AF80/AE80-1</f>
        <v/>
      </c>
      <c r="AG81" s="515">
        <f>AG80/AF80-1</f>
        <v/>
      </c>
      <c r="AH81" s="515">
        <f>AH80/AG80-1</f>
        <v/>
      </c>
      <c r="AI81" s="515">
        <f>AI80/AH80-1</f>
        <v/>
      </c>
      <c r="AJ81" s="515">
        <f>AJ80/AI80-1</f>
        <v/>
      </c>
      <c r="AK81" s="515">
        <f>AK80/AJ80-1</f>
        <v/>
      </c>
      <c r="AL81" s="515">
        <f>AL80/AK80-1</f>
        <v/>
      </c>
      <c r="AM81" s="515">
        <f>AM80/AL80-1</f>
        <v/>
      </c>
      <c r="AN81" s="515">
        <f>AN80/AM80-1</f>
        <v/>
      </c>
      <c r="AO81" s="515">
        <f>AO80/AN80-1</f>
        <v/>
      </c>
      <c r="AP81" s="515">
        <f>AP80/AO80-1</f>
        <v/>
      </c>
      <c r="AQ81" s="515">
        <f>AQ80/AP80-1</f>
        <v/>
      </c>
      <c r="AR81" s="515">
        <f>AR80/AQ80-1</f>
        <v/>
      </c>
      <c r="AS81" s="515">
        <f>AS80/AR80-1</f>
        <v/>
      </c>
      <c r="AT81" s="515">
        <f>AT80/AS80-1</f>
        <v/>
      </c>
      <c r="AV81" s="1081" t="n"/>
      <c r="AW81" s="1081" t="n"/>
      <c r="AX81" s="1082" t="n"/>
      <c r="AY81" s="1081" t="n"/>
      <c r="AZ81" s="1081" t="n"/>
      <c r="BA81" s="1081" t="n"/>
      <c r="BB81" s="1082" t="n"/>
      <c r="BD81" s="1081" t="n"/>
      <c r="BE81" s="1081" t="n"/>
      <c r="BF81" s="1082" t="n"/>
      <c r="BQ81" s="1081" t="n"/>
      <c r="EG81" s="1083" t="n"/>
      <c r="EH81" s="1084" t="n"/>
      <c r="EK81" s="1083" t="n"/>
      <c r="EL81" s="1084" t="n"/>
      <c r="EO81" s="301">
        <f>EO80/EK80-1</f>
        <v/>
      </c>
      <c r="EP81" s="301">
        <f>EP80/EL80-1</f>
        <v/>
      </c>
      <c r="EQ81" s="301">
        <f>EQ80/EM80-1</f>
        <v/>
      </c>
      <c r="ES81" s="301">
        <f>ES80/EO80-1</f>
        <v/>
      </c>
      <c r="ET81" s="301">
        <f>ET80/EP80-1</f>
        <v/>
      </c>
      <c r="EU81" s="301">
        <f>EU80/EQ80-1</f>
        <v/>
      </c>
      <c r="EW81" s="301">
        <f>EW80/ES80-1</f>
        <v/>
      </c>
      <c r="EX81" s="301">
        <f>EX80/ET80-1</f>
        <v/>
      </c>
      <c r="EY81" s="301">
        <f>EY80/EU80-1</f>
        <v/>
      </c>
      <c r="FA81" s="301">
        <f>FA80/EW80-1</f>
        <v/>
      </c>
      <c r="FB81" s="301">
        <f>FB80/EX80-1</f>
        <v/>
      </c>
      <c r="FC81" s="301">
        <f>FC80/EY80-1</f>
        <v/>
      </c>
      <c r="FE81" s="301">
        <f>FE80/FA80-1</f>
        <v/>
      </c>
      <c r="FF81" s="301">
        <f>FF80/FB80-1</f>
        <v/>
      </c>
      <c r="FG81" s="515">
        <f>AN81</f>
        <v/>
      </c>
      <c r="FI81" s="301">
        <f>FI80/FE80-1</f>
        <v/>
      </c>
      <c r="FJ81" s="301">
        <f>FJ80/FF80-1</f>
        <v/>
      </c>
      <c r="FK81" s="515">
        <f>AO81</f>
        <v/>
      </c>
      <c r="FM81" s="301">
        <f>FM80/FI80-1</f>
        <v/>
      </c>
      <c r="FN81" s="301">
        <f>FN80/FJ80-1</f>
        <v/>
      </c>
      <c r="FO81" s="515">
        <f>AP81</f>
        <v/>
      </c>
    </row>
    <row r="82" customFormat="1" s="1078">
      <c r="A82" s="960" t="n"/>
      <c r="B82" s="1078" t="inlineStr">
        <is>
          <t>Crack spread</t>
        </is>
      </c>
      <c r="C82" s="1078">
        <f>C83-C80</f>
        <v/>
      </c>
      <c r="D82" s="1078">
        <f>D83-D80</f>
        <v/>
      </c>
      <c r="E82" s="1078">
        <f>E83-E80</f>
        <v/>
      </c>
      <c r="F82" s="1078">
        <f>F83-F80</f>
        <v/>
      </c>
      <c r="G82" s="1078">
        <f>G83-G80</f>
        <v/>
      </c>
      <c r="H82" s="1078">
        <f>H83-H80</f>
        <v/>
      </c>
      <c r="I82" s="1078">
        <f>I83-I80</f>
        <v/>
      </c>
      <c r="J82" s="1078">
        <f>J83-J80</f>
        <v/>
      </c>
      <c r="K82" s="1078">
        <f>K83-K80</f>
        <v/>
      </c>
      <c r="L82" s="1078">
        <f>L83-L80</f>
        <v/>
      </c>
      <c r="M82" s="1078">
        <f>M83-M80</f>
        <v/>
      </c>
      <c r="N82" s="1078">
        <f>N83-N80</f>
        <v/>
      </c>
      <c r="O82" s="1078">
        <f>O83-O80</f>
        <v/>
      </c>
      <c r="P82" s="1078">
        <f>P83-P80</f>
        <v/>
      </c>
      <c r="Q82" s="1078">
        <f>Q83-Q80</f>
        <v/>
      </c>
      <c r="R82" s="1078">
        <f>R83-R80</f>
        <v/>
      </c>
      <c r="S82" s="1078">
        <f>S83-S80</f>
        <v/>
      </c>
      <c r="T82" s="1078">
        <f>T83-T80</f>
        <v/>
      </c>
      <c r="U82" s="1078">
        <f>U83-U80</f>
        <v/>
      </c>
      <c r="V82" s="1078">
        <f>V83-V80</f>
        <v/>
      </c>
      <c r="W82" s="1078">
        <f>W83-W80</f>
        <v/>
      </c>
      <c r="X82" s="1078">
        <f>X83-X80</f>
        <v/>
      </c>
      <c r="Y82" s="1078">
        <f>Y83-Y80</f>
        <v/>
      </c>
      <c r="Z82" s="1078">
        <f>Z83-Z80</f>
        <v/>
      </c>
      <c r="AA82" s="1078">
        <f>AA83-AA80</f>
        <v/>
      </c>
      <c r="AB82" s="1078">
        <f>AB83-AB80</f>
        <v/>
      </c>
      <c r="AC82" s="1078">
        <f>AC83-AC80</f>
        <v/>
      </c>
      <c r="AD82" s="1078">
        <f>AD83-AD80</f>
        <v/>
      </c>
      <c r="AE82" s="1078">
        <f>AE83-AE80</f>
        <v/>
      </c>
      <c r="AF82" s="1078">
        <f>AF83-AF80</f>
        <v/>
      </c>
      <c r="AG82" s="1078">
        <f>AG83-AG80</f>
        <v/>
      </c>
      <c r="AH82" s="1078">
        <f>AH83-AH80</f>
        <v/>
      </c>
      <c r="AI82" s="1078">
        <f>AI83-AI80</f>
        <v/>
      </c>
      <c r="AJ82" s="1078">
        <f>AJ83-AJ80</f>
        <v/>
      </c>
      <c r="AK82" s="1078">
        <f>AK83-AK80</f>
        <v/>
      </c>
      <c r="AL82" s="1078">
        <f>AL83-AL80</f>
        <v/>
      </c>
      <c r="AM82" s="1078">
        <f>AM83-AM80</f>
        <v/>
      </c>
      <c r="AN82" s="1078">
        <f>AN83-AN80</f>
        <v/>
      </c>
      <c r="AO82" s="1086">
        <f>AVERAGE(FI82:FJ82)</f>
        <v/>
      </c>
      <c r="AP82" s="1086">
        <f>AVERAGE(FM82:FN82)</f>
        <v/>
      </c>
      <c r="AQ82" s="1086">
        <f>AVERAGE(AO82:AP82)</f>
        <v/>
      </c>
      <c r="AR82" s="1086">
        <f>AQ82</f>
        <v/>
      </c>
      <c r="AS82" s="1086">
        <f>AR82</f>
        <v/>
      </c>
      <c r="AT82" s="1086">
        <f>AS82</f>
        <v/>
      </c>
      <c r="AV82" s="1081" t="n"/>
      <c r="AW82" s="1081" t="n"/>
      <c r="AX82" s="1082" t="n"/>
      <c r="AY82" s="1081" t="n"/>
      <c r="AZ82" s="1081" t="n"/>
      <c r="BA82" s="1081" t="n"/>
      <c r="BB82" s="1082" t="n"/>
      <c r="BD82" s="1081" t="n"/>
      <c r="BE82" s="1081" t="n"/>
      <c r="BF82" s="1082" t="n"/>
      <c r="BQ82" s="1081" t="n"/>
      <c r="EG82" s="1083" t="n"/>
      <c r="EH82" s="1084" t="n"/>
      <c r="EK82" s="1084">
        <f>+EK83-EK80</f>
        <v/>
      </c>
      <c r="EL82" s="1084">
        <f>+EL83-EL80</f>
        <v/>
      </c>
      <c r="EM82" s="1084">
        <f>+EM83-EM80</f>
        <v/>
      </c>
      <c r="EO82" s="1084">
        <f>+EO83-EO80</f>
        <v/>
      </c>
      <c r="EP82" s="1084">
        <f>+EP83-EP80</f>
        <v/>
      </c>
      <c r="EQ82" s="1084">
        <f>+EQ83-EQ80</f>
        <v/>
      </c>
      <c r="ES82" s="1084">
        <f>+ES83-ES80</f>
        <v/>
      </c>
      <c r="ET82" s="1084">
        <f>+ET83-ET80</f>
        <v/>
      </c>
      <c r="EU82" s="1084">
        <f>+EU83-EU80</f>
        <v/>
      </c>
      <c r="EW82" s="1084">
        <f>+EW83-EW80</f>
        <v/>
      </c>
      <c r="EX82" s="1084">
        <f>+EX83-EX80</f>
        <v/>
      </c>
      <c r="EY82" s="1084">
        <f>+EY83-EY80</f>
        <v/>
      </c>
      <c r="FA82" s="1084">
        <f>+FA83-FA80</f>
        <v/>
      </c>
      <c r="FB82" s="1084">
        <f>+FB83-FB80</f>
        <v/>
      </c>
      <c r="FC82" s="1084">
        <f>+FC83-FC80</f>
        <v/>
      </c>
      <c r="FE82" s="1084">
        <f>+FE83-FE80</f>
        <v/>
      </c>
      <c r="FF82" s="1084">
        <f>+FF83-FF80</f>
        <v/>
      </c>
      <c r="FG82" s="1078">
        <f>AN82</f>
        <v/>
      </c>
      <c r="FI82" s="1084">
        <f>FI83-FI80</f>
        <v/>
      </c>
      <c r="FJ82" s="1084">
        <f>+FJ83-FJ80</f>
        <v/>
      </c>
      <c r="FK82" s="1078">
        <f>AO82</f>
        <v/>
      </c>
      <c r="FM82" s="1084">
        <f>+FM83-FM80</f>
        <v/>
      </c>
      <c r="FN82" s="1084">
        <f>FM82</f>
        <v/>
      </c>
      <c r="FO82" s="1078">
        <f>AP82</f>
        <v/>
      </c>
    </row>
    <row r="83" customFormat="1" s="1078">
      <c r="A83" s="960" t="n"/>
      <c r="B83" s="1078" t="inlineStr">
        <is>
          <t>Singapore Jet Price</t>
        </is>
      </c>
      <c r="C83" s="1079">
        <f>INDEX(Fuel!$AI:$AI,MATCH(DATE(LEFT(C$3,4),12,31),Fuel!$AF:$AF,0),1,1)</f>
        <v/>
      </c>
      <c r="D83" s="1079">
        <f>INDEX(Fuel!$AI:$AI,MATCH(DATE(LEFT(D$3,4),12,31),Fuel!$AF:$AF,0),1,1)</f>
        <v/>
      </c>
      <c r="E83" s="1079">
        <f>INDEX(Fuel!$AI:$AI,MATCH(DATE(LEFT(E$3,4),12,31),Fuel!$AF:$AF,0),1,1)</f>
        <v/>
      </c>
      <c r="F83" s="1079">
        <f>INDEX(Fuel!$AI:$AI,MATCH(DATE(LEFT(F$3,4),12,31),Fuel!$AF:$AF,0),1,1)</f>
        <v/>
      </c>
      <c r="G83" s="1079">
        <f>INDEX(Fuel!$AI:$AI,MATCH(DATE(LEFT(G$3,4),12,31),Fuel!$AF:$AF,0),1,1)</f>
        <v/>
      </c>
      <c r="H83" s="1079">
        <f>INDEX(Fuel!$AI:$AI,MATCH(DATE(LEFT(H$3,4),12,31),Fuel!$AF:$AF,0),1,1)</f>
        <v/>
      </c>
      <c r="I83" s="1079">
        <f>INDEX(Fuel!$AI:$AI,MATCH(DATE(LEFT(I$3,4),12,31),Fuel!$AF:$AF,0),1,1)</f>
        <v/>
      </c>
      <c r="J83" s="1079">
        <f>INDEX(Fuel!$AI:$AI,MATCH(DATE(LEFT(J$3,4),12,31),Fuel!$AF:$AF,0),1,1)</f>
        <v/>
      </c>
      <c r="K83" s="1079">
        <f>INDEX(Fuel!$AI:$AI,MATCH(DATE(LEFT(K$3,4),12,31),Fuel!$AF:$AF,0),1,1)</f>
        <v/>
      </c>
      <c r="L83" s="1079">
        <f>INDEX(Fuel!$AI:$AI,MATCH(DATE(LEFT(L$3,4),12,31),Fuel!$AF:$AF,0),1,1)</f>
        <v/>
      </c>
      <c r="M83" s="1079">
        <f>INDEX(Fuel!$AI:$AI,MATCH(DATE(LEFT(M$3,4),12,31),Fuel!$AF:$AF,0),1,1)</f>
        <v/>
      </c>
      <c r="N83" s="1079">
        <f>INDEX(Fuel!$AI:$AI,MATCH(DATE(LEFT(N$3,4),12,31),Fuel!$AF:$AF,0),1,1)</f>
        <v/>
      </c>
      <c r="O83" s="1079">
        <f>INDEX(Fuel!$AI:$AI,MATCH(DATE(LEFT(O$3,4),12,31),Fuel!$AF:$AF,0),1,1)</f>
        <v/>
      </c>
      <c r="P83" s="1079">
        <f>INDEX(Fuel!$AI:$AI,MATCH(DATE(LEFT(P$3,4),12,31),Fuel!$AF:$AF,0),1,1)</f>
        <v/>
      </c>
      <c r="Q83" s="1079">
        <f>INDEX(Fuel!$AI:$AI,MATCH(DATE(LEFT(Q$3,4),12,31),Fuel!$AF:$AF,0),1,1)</f>
        <v/>
      </c>
      <c r="R83" s="1079">
        <f>INDEX(Fuel!$AI:$AI,MATCH(DATE(LEFT(R$3,4),12,31),Fuel!$AF:$AF,0),1,1)</f>
        <v/>
      </c>
      <c r="S83" s="1079">
        <f>INDEX(Fuel!$AI:$AI,MATCH(DATE(LEFT(S$3,4),12,31),Fuel!$AF:$AF,0),1,1)</f>
        <v/>
      </c>
      <c r="T83" s="1079">
        <f>INDEX(Fuel!$AI:$AI,MATCH(DATE(LEFT(T$3,4),12,31),Fuel!$AF:$AF,0),1,1)</f>
        <v/>
      </c>
      <c r="U83" s="1079">
        <f>INDEX(Fuel!$AI:$AI,MATCH(DATE(LEFT(U$3,4),12,31),Fuel!$AF:$AF,0),1,1)</f>
        <v/>
      </c>
      <c r="V83" s="1079">
        <f>INDEX(Fuel!$AI:$AI,MATCH(DATE(LEFT(V$3,4),12,31),Fuel!$AF:$AF,0),1,1)</f>
        <v/>
      </c>
      <c r="W83" s="1079">
        <f>INDEX(Fuel!$AI:$AI,MATCH(DATE(LEFT(W$3,4),12,31),Fuel!$AF:$AF,0),1,1)</f>
        <v/>
      </c>
      <c r="X83" s="1079">
        <f>INDEX(Fuel!$AI:$AI,MATCH(DATE(LEFT(X$3,4),12,31),Fuel!$AF:$AF,0),1,1)</f>
        <v/>
      </c>
      <c r="Y83" s="1079">
        <f>INDEX(Fuel!$AI:$AI,MATCH(DATE(LEFT(Y$3,4),12,31),Fuel!$AF:$AF,0),1,1)</f>
        <v/>
      </c>
      <c r="Z83" s="1079">
        <f>INDEX(Fuel!$AI:$AI,MATCH(DATE(LEFT(Z$3,4),12,31),Fuel!$AF:$AF,0),1,1)</f>
        <v/>
      </c>
      <c r="AA83" s="1079">
        <f>INDEX(Fuel!$AI:$AI,MATCH(DATE(LEFT(AA$3,4),12,31),Fuel!$AF:$AF,0),1,1)</f>
        <v/>
      </c>
      <c r="AB83" s="1079">
        <f>INDEX(Fuel!$AI:$AI,MATCH(DATE(LEFT(AB$3,4),12,31),Fuel!$AF:$AF,0),1,1)</f>
        <v/>
      </c>
      <c r="AC83" s="1079">
        <f>INDEX(Fuel!$AI:$AI,MATCH(DATE(LEFT(AC$3,4),12,31),Fuel!$AF:$AF,0),1,1)</f>
        <v/>
      </c>
      <c r="AD83" s="1079">
        <f>INDEX(Fuel!$AI:$AI,MATCH(DATE(LEFT(AD$3,4),12,31),Fuel!$AF:$AF,0),1,1)</f>
        <v/>
      </c>
      <c r="AE83" s="1079">
        <f>INDEX(Fuel!$AI:$AI,MATCH(DATE(LEFT(AE$3,4),12,31),Fuel!$AF:$AF,0),1,1)</f>
        <v/>
      </c>
      <c r="AF83" s="1079">
        <f>INDEX(Fuel!$AI:$AI,MATCH(DATE(LEFT(AF$3,4),12,31),Fuel!$AF:$AF,0),1,1)</f>
        <v/>
      </c>
      <c r="AG83" s="1079">
        <f>INDEX(Fuel!$AI:$AI,MATCH(DATE(LEFT(AG$3,4),12,31),Fuel!$AF:$AF,0),1,1)</f>
        <v/>
      </c>
      <c r="AH83" s="1079">
        <f>INDEX(Fuel!$AI:$AI,MATCH(DATE(LEFT(AH$3,4),12,31),Fuel!$AF:$AF,0),1,1)</f>
        <v/>
      </c>
      <c r="AI83" s="1079">
        <f>INDEX(Fuel!$AI:$AI,MATCH(DATE(LEFT(AI$3,4),12,31),Fuel!$AF:$AF,0),1,1)</f>
        <v/>
      </c>
      <c r="AJ83" s="1079">
        <f>INDEX(Fuel!$AI:$AI,MATCH(DATE(LEFT(AJ$3,4),12,31),Fuel!$AF:$AF,0),1,1)</f>
        <v/>
      </c>
      <c r="AK83" s="1079">
        <f>INDEX(Fuel!$AI:$AI,MATCH(DATE(LEFT(AK$3,4),12,31),Fuel!$AF:$AF,0),1,1)</f>
        <v/>
      </c>
      <c r="AL83" s="1079">
        <f>INDEX(Fuel!$AI:$AI,MATCH(DATE(LEFT(AL$3,4),12,31),Fuel!$AF:$AF,0),1,1)</f>
        <v/>
      </c>
      <c r="AM83" s="1079">
        <f>INDEX(Fuel!$AI:$AI,MATCH(DATE(LEFT(AM$3,4),12,31),Fuel!$AF:$AF,0),1,1)</f>
        <v/>
      </c>
      <c r="AN83" s="1079">
        <f>INDEX(Fuel!$AI:$AI,MATCH(DATE(LEFT(AN$3,4),12,31),Fuel!$AF:$AF,0),1,1)</f>
        <v/>
      </c>
      <c r="AO83" s="1078">
        <f>+AO80+AO82</f>
        <v/>
      </c>
      <c r="AP83" s="1078">
        <f>+AP80+AP82</f>
        <v/>
      </c>
      <c r="AQ83" s="1078">
        <f>+AQ80+AQ82</f>
        <v/>
      </c>
      <c r="AR83" s="1078">
        <f>+AR80+AR82</f>
        <v/>
      </c>
      <c r="AS83" s="1078">
        <f>+AS80+AS82</f>
        <v/>
      </c>
      <c r="AT83" s="1078">
        <f>+AT80+AT82</f>
        <v/>
      </c>
      <c r="AV83" s="1081" t="n"/>
      <c r="AW83" s="1081" t="n"/>
      <c r="AX83" s="1082" t="n"/>
      <c r="AY83" s="1081" t="n"/>
      <c r="AZ83" s="1081" t="n"/>
      <c r="BA83" s="1081" t="n"/>
      <c r="BB83" s="1082" t="n"/>
      <c r="BD83" s="1081" t="n"/>
      <c r="BE83" s="1081" t="n"/>
      <c r="BF83" s="1082" t="n"/>
      <c r="BQ83" s="1081" t="n"/>
      <c r="EK83" s="1085">
        <f>INDEX(Fuel!$AD:$AD,MATCH(EOMONTH(DATE(MID(EK$3,3,4),LEFT(EK$3)*6,1),0),Fuel!$AA:$AA,0),1,1)</f>
        <v/>
      </c>
      <c r="EL83" s="1085">
        <f>INDEX(Fuel!$AD:$AD,MATCH(EOMONTH(DATE(MID(EL$3,3,4),LEFT(EL$3)*6,1),0),Fuel!$AA:$AA,0),1,1)</f>
        <v/>
      </c>
      <c r="EM83" s="1078">
        <f>AI83</f>
        <v/>
      </c>
      <c r="EO83" s="1085">
        <f>INDEX(Fuel!$AD:$AD,MATCH(EOMONTH(DATE(MID(EO$3,3,4),LEFT(EO$3)*6,1),0),Fuel!$AA:$AA,0),1,1)</f>
        <v/>
      </c>
      <c r="EP83" s="1085">
        <f>INDEX(Fuel!$AD:$AD,MATCH(EOMONTH(DATE(MID(EP$3,3,4),LEFT(EP$3)*6,1),0),Fuel!$AA:$AA,0),1,1)</f>
        <v/>
      </c>
      <c r="EQ83" s="1078">
        <f>AJ83</f>
        <v/>
      </c>
      <c r="ES83" s="1085">
        <f>INDEX(Fuel!$AD:$AD,MATCH(EOMONTH(DATE(MID(ES$3,3,4),LEFT(ES$3)*6,1),0),Fuel!$AA:$AA,0),1,1)</f>
        <v/>
      </c>
      <c r="ET83" s="1085">
        <f>INDEX(Fuel!$AD:$AD,MATCH(EOMONTH(DATE(MID(ET$3,3,4),LEFT(ET$3)*6,1),0),Fuel!$AA:$AA,0),1,1)</f>
        <v/>
      </c>
      <c r="EU83" s="1078">
        <f>AK83</f>
        <v/>
      </c>
      <c r="EW83" s="1085">
        <f>INDEX(Fuel!$AD:$AD,MATCH(EOMONTH(DATE(MID(EW$3,3,4),LEFT(EW$3)*6,1),0),Fuel!$AA:$AA,0),1,1)</f>
        <v/>
      </c>
      <c r="EX83" s="1085">
        <f>INDEX(Fuel!$AD:$AD,MATCH(EOMONTH(DATE(MID(EX$3,3,4),LEFT(EX$3)*6,1),0),Fuel!$AA:$AA,0),1,1)</f>
        <v/>
      </c>
      <c r="EY83" s="1078">
        <f>AL83</f>
        <v/>
      </c>
      <c r="FA83" s="1085">
        <f>INDEX(Fuel!$AD:$AD,MATCH(EOMONTH(DATE(MID(FA$3,3,4),LEFT(FA$3)*6,1),0),Fuel!$AA:$AA,0),1,1)</f>
        <v/>
      </c>
      <c r="FB83" s="1085">
        <f>INDEX(Fuel!$AD:$AD,MATCH(EOMONTH(DATE(MID(FB$3,3,4),LEFT(FB$3)*6,1),0),Fuel!$AA:$AA,0),1,1)</f>
        <v/>
      </c>
      <c r="FC83" s="1078">
        <f>AM83</f>
        <v/>
      </c>
      <c r="FE83" s="1085">
        <f>INDEX(Fuel!$AD:$AD,MATCH(EOMONTH(DATE(MID(FE$3,3,4),LEFT(FE$3)*6,1),0),Fuel!$AA:$AA,0),1,1)</f>
        <v/>
      </c>
      <c r="FF83" s="1085">
        <f>INDEX(Fuel!$AD:$AD,MATCH(EOMONTH(DATE(MID(FF$3,3,4),LEFT(FF$3)*6,1),0),Fuel!$AA:$AA,0),1,1)</f>
        <v/>
      </c>
      <c r="FG83" s="1078">
        <f>AN83</f>
        <v/>
      </c>
      <c r="FI83" s="1085">
        <f>INDEX(Fuel!$AD:$AD,MATCH(EOMONTH(DATE(MID(FI$3,3,4),LEFT(FI$3)*6,1),0),Fuel!$AA:$AA,0),1,1)</f>
        <v/>
      </c>
      <c r="FJ83" s="1085">
        <f>INDEX(Fuel!$AD:$AD,MATCH(EOMONTH(DATE(MID(FJ$3,3,4),LEFT(FJ$3)*6,1),0),Fuel!$AA:$AA,0),1,1)</f>
        <v/>
      </c>
      <c r="FK83" s="1078">
        <f>AO83</f>
        <v/>
      </c>
      <c r="FM83" s="1085">
        <f>INDEX(Fuel!$AD:$AD,MATCH(EOMONTH(DATE(MID(FM$3,3,4),LEFT(FM$3)*6,1),0),Fuel!$AA:$AA,0),1,1)</f>
        <v/>
      </c>
      <c r="FN83" s="1085">
        <f>INDEX(Fuel!$AD:$AD,MATCH(EOMONTH(DATE(MID(FN$3,3,4),LEFT(FN$3)*6,1),0),Fuel!$AA:$AA,0),1,1)</f>
        <v/>
      </c>
      <c r="FO83" s="1078">
        <f>AP83</f>
        <v/>
      </c>
    </row>
    <row r="84" customFormat="1" s="1078">
      <c r="A84" s="960" t="n"/>
      <c r="B84" s="1087" t="inlineStr">
        <is>
          <t>YoY %</t>
        </is>
      </c>
      <c r="D84" s="515">
        <f>D83/C83-1</f>
        <v/>
      </c>
      <c r="E84" s="515">
        <f>E83/D83-1</f>
        <v/>
      </c>
      <c r="F84" s="515">
        <f>F83/E83-1</f>
        <v/>
      </c>
      <c r="G84" s="515">
        <f>G83/F83-1</f>
        <v/>
      </c>
      <c r="H84" s="515">
        <f>H83/G83-1</f>
        <v/>
      </c>
      <c r="I84" s="515">
        <f>I83/H83-1</f>
        <v/>
      </c>
      <c r="J84" s="515">
        <f>J83/I83-1</f>
        <v/>
      </c>
      <c r="K84" s="515">
        <f>K83/J83-1</f>
        <v/>
      </c>
      <c r="L84" s="515">
        <f>L83/K83-1</f>
        <v/>
      </c>
      <c r="M84" s="515">
        <f>M83/L83-1</f>
        <v/>
      </c>
      <c r="N84" s="515">
        <f>N83/M83-1</f>
        <v/>
      </c>
      <c r="O84" s="515">
        <f>O83/N83-1</f>
        <v/>
      </c>
      <c r="P84" s="515">
        <f>P83/O83-1</f>
        <v/>
      </c>
      <c r="Q84" s="515">
        <f>Q83/P83-1</f>
        <v/>
      </c>
      <c r="R84" s="515">
        <f>R83/Q83-1</f>
        <v/>
      </c>
      <c r="S84" s="515">
        <f>S83/R83-1</f>
        <v/>
      </c>
      <c r="T84" s="515">
        <f>T83/S83-1</f>
        <v/>
      </c>
      <c r="U84" s="515">
        <f>U83/T83-1</f>
        <v/>
      </c>
      <c r="V84" s="515">
        <f>V83/U83-1</f>
        <v/>
      </c>
      <c r="W84" s="515">
        <f>W83/V83-1</f>
        <v/>
      </c>
      <c r="X84" s="515">
        <f>X83/W83-1</f>
        <v/>
      </c>
      <c r="Y84" s="515">
        <f>Y83/X83-1</f>
        <v/>
      </c>
      <c r="Z84" s="515">
        <f>Z83/Y83-1</f>
        <v/>
      </c>
      <c r="AA84" s="515">
        <f>AA83/Z83-1</f>
        <v/>
      </c>
      <c r="AB84" s="515">
        <f>AB83/AA83-1</f>
        <v/>
      </c>
      <c r="AC84" s="515">
        <f>AC83/AB83-1</f>
        <v/>
      </c>
      <c r="AD84" s="515">
        <f>AD83/AC83-1</f>
        <v/>
      </c>
      <c r="AE84" s="515">
        <f>AE83/AD83-1</f>
        <v/>
      </c>
      <c r="AF84" s="515">
        <f>AF83/AE83-1</f>
        <v/>
      </c>
      <c r="AG84" s="515">
        <f>AG83/AF83-1</f>
        <v/>
      </c>
      <c r="AH84" s="515">
        <f>AH83/AG83-1</f>
        <v/>
      </c>
      <c r="AI84" s="515">
        <f>AI83/AH83-1</f>
        <v/>
      </c>
      <c r="AJ84" s="515">
        <f>AJ83/AI83-1</f>
        <v/>
      </c>
      <c r="AK84" s="515">
        <f>AK83/AJ83-1</f>
        <v/>
      </c>
      <c r="AL84" s="515">
        <f>AL83/AK83-1</f>
        <v/>
      </c>
      <c r="AM84" s="515">
        <f>AM83/AL83-1</f>
        <v/>
      </c>
      <c r="AN84" s="515">
        <f>AN83/AM83-1</f>
        <v/>
      </c>
      <c r="AO84" s="515">
        <f>AO83/AN83-1</f>
        <v/>
      </c>
      <c r="AP84" s="515">
        <f>AP83/AO83-1</f>
        <v/>
      </c>
      <c r="AQ84" s="515">
        <f>AQ83/AP83-1</f>
        <v/>
      </c>
      <c r="AR84" s="515">
        <f>AR83/AQ83-1</f>
        <v/>
      </c>
      <c r="AS84" s="515">
        <f>AS83/AR83-1</f>
        <v/>
      </c>
      <c r="AT84" s="515">
        <f>AT83/AS83-1</f>
        <v/>
      </c>
      <c r="AV84" s="1081" t="n"/>
      <c r="AW84" s="1081" t="n"/>
      <c r="AX84" s="1082" t="n"/>
      <c r="AY84" s="1081" t="n"/>
      <c r="AZ84" s="1081" t="n"/>
      <c r="BA84" s="1081" t="n"/>
      <c r="BB84" s="1082" t="n"/>
      <c r="BD84" s="1081" t="n"/>
      <c r="BE84" s="1081" t="n"/>
      <c r="BF84" s="1082" t="n"/>
      <c r="BQ84" s="1081" t="n"/>
      <c r="EO84" s="515">
        <f>EO83/EK83-1</f>
        <v/>
      </c>
      <c r="EP84" s="515">
        <f>EP83/EL83-1</f>
        <v/>
      </c>
      <c r="EQ84" s="515">
        <f>EQ83/EM83-1</f>
        <v/>
      </c>
      <c r="ES84" s="515">
        <f>ES83/EO83-1</f>
        <v/>
      </c>
      <c r="ET84" s="515">
        <f>ET83/EP83-1</f>
        <v/>
      </c>
      <c r="EU84" s="515">
        <f>EU83/EQ83-1</f>
        <v/>
      </c>
      <c r="EW84" s="515">
        <f>EW83/ES83-1</f>
        <v/>
      </c>
      <c r="EX84" s="515">
        <f>EX83/ET83-1</f>
        <v/>
      </c>
      <c r="EY84" s="515">
        <f>EY83/EU83-1</f>
        <v/>
      </c>
      <c r="FA84" s="515">
        <f>FA83/EW83-1</f>
        <v/>
      </c>
      <c r="FB84" s="515">
        <f>FB83/EX83-1</f>
        <v/>
      </c>
      <c r="FC84" s="515">
        <f>FC83/EY83-1</f>
        <v/>
      </c>
      <c r="FE84" s="515">
        <f>FE83/FA83-1</f>
        <v/>
      </c>
      <c r="FF84" s="515">
        <f>FF83/FB83-1</f>
        <v/>
      </c>
      <c r="FG84" s="515">
        <f>AN84</f>
        <v/>
      </c>
      <c r="FI84" s="515">
        <f>FI83/FE83-1</f>
        <v/>
      </c>
      <c r="FJ84" s="515">
        <f>FJ83/FF83-1</f>
        <v/>
      </c>
      <c r="FK84" s="515">
        <f>AO84</f>
        <v/>
      </c>
      <c r="FM84" s="515">
        <f>FM83/FI83-1</f>
        <v/>
      </c>
      <c r="FN84" s="515">
        <f>FN83/FJ83-1</f>
        <v/>
      </c>
      <c r="FO84" s="515">
        <f>AP84</f>
        <v/>
      </c>
    </row>
    <row r="85" customFormat="1" s="1053">
      <c r="A85" s="960" t="n"/>
      <c r="B85" s="1053" t="inlineStr">
        <is>
          <t>Hedge Profiles</t>
        </is>
      </c>
      <c r="D85" s="706" t="n"/>
      <c r="E85" s="706" t="n"/>
      <c r="F85" s="706" t="n"/>
      <c r="G85" s="706" t="n"/>
      <c r="H85" s="706" t="n"/>
      <c r="I85" s="706" t="n"/>
      <c r="J85" s="706" t="n"/>
      <c r="K85" s="706" t="n"/>
      <c r="L85" s="706" t="n"/>
      <c r="M85" s="706" t="n"/>
      <c r="N85" s="706" t="n"/>
      <c r="O85" s="706" t="n"/>
      <c r="P85" s="706" t="n"/>
      <c r="Q85" s="706" t="n"/>
      <c r="R85" s="706" t="n"/>
      <c r="S85" s="706" t="n"/>
      <c r="T85" s="706" t="n"/>
      <c r="U85" s="706" t="n"/>
      <c r="V85" s="706" t="n"/>
      <c r="W85" s="706" t="n"/>
      <c r="X85" s="706" t="n"/>
      <c r="Y85" s="706" t="n"/>
      <c r="Z85" s="706" t="n"/>
      <c r="AA85" s="706" t="n"/>
      <c r="AB85" s="706" t="n"/>
      <c r="AC85" s="706" t="n"/>
      <c r="AD85" s="706" t="n"/>
      <c r="AE85" s="706" t="n"/>
      <c r="AF85" s="706" t="n"/>
      <c r="AG85" s="706" t="n"/>
      <c r="AH85" s="706" t="n"/>
      <c r="AI85" s="706" t="n"/>
      <c r="AJ85" s="706" t="n"/>
      <c r="AK85" s="706" t="n"/>
      <c r="AL85" s="706" t="n"/>
      <c r="AM85" s="706" t="n"/>
      <c r="AN85" s="706" t="n"/>
      <c r="AO85" s="706" t="n"/>
      <c r="AP85" s="706" t="n"/>
      <c r="AQ85" s="706" t="n"/>
      <c r="AR85" s="706" t="n"/>
      <c r="AS85" s="706" t="n"/>
      <c r="AT85" s="706" t="n"/>
      <c r="AV85" s="1088" t="n"/>
      <c r="AW85" s="1088" t="n"/>
      <c r="AX85" s="1089" t="n"/>
      <c r="AY85" s="1088" t="n"/>
      <c r="AZ85" s="1088" t="n"/>
      <c r="BA85" s="1088" t="n"/>
      <c r="BB85" s="1089" t="n"/>
      <c r="BD85" s="1088" t="n"/>
      <c r="BE85" s="1088" t="n"/>
      <c r="BF85" s="1089" t="n"/>
      <c r="BQ85" s="1088" t="n"/>
      <c r="EO85" s="706" t="n"/>
      <c r="EP85" s="706" t="n"/>
      <c r="EQ85" s="706" t="n"/>
      <c r="ES85" s="706" t="n"/>
      <c r="ET85" s="706" t="n"/>
      <c r="EU85" s="706" t="n"/>
      <c r="EW85" s="706" t="n"/>
      <c r="EX85" s="706" t="n"/>
      <c r="EY85" s="706" t="n"/>
      <c r="FA85" s="706" t="n"/>
      <c r="FB85" s="706" t="n"/>
      <c r="FC85" s="706" t="n"/>
      <c r="FE85" s="706" t="n"/>
      <c r="FF85" s="706" t="n"/>
      <c r="FG85" s="706" t="n"/>
      <c r="FI85" s="706" t="n"/>
      <c r="FJ85" s="706" t="n"/>
      <c r="FK85" s="706" t="n"/>
      <c r="FM85" s="706" t="n"/>
      <c r="FN85" s="706" t="n"/>
      <c r="FO85" s="706" t="n"/>
    </row>
    <row r="86" customFormat="1" s="1078">
      <c r="A86" s="960" t="n"/>
      <c r="B86" s="1078" t="inlineStr">
        <is>
          <t>Strike Price</t>
        </is>
      </c>
      <c r="L86" s="1090" t="n"/>
      <c r="M86" s="1090" t="n"/>
      <c r="N86" s="1090" t="n"/>
      <c r="O86" s="1090" t="n"/>
      <c r="P86" s="1090" t="n"/>
      <c r="Q86" s="1090" t="n"/>
      <c r="R86" s="1090" t="n"/>
      <c r="AO86" s="1091">
        <f>SUMPRODUCT($FI86:$FJ86,$FI$87:$FJ$87,$FI$90:$FJ$90)/SUMPRODUCT($FI$87:$FJ$87,$FI$90:$FJ$90)</f>
        <v/>
      </c>
      <c r="AP86" s="1091">
        <f>SUMPRODUCT($FM86:$FN86,$FM$87:$FN$87,$FM$90:$FN$90)/SUMPRODUCT($FM$87:$FN$87,$FM$90:$FN$90)</f>
        <v/>
      </c>
      <c r="AQ86" s="1091">
        <f>AVERAGE(65,66,67,68)</f>
        <v/>
      </c>
      <c r="AR86" s="1091">
        <f>AVERAGE(71,75)</f>
        <v/>
      </c>
      <c r="AV86" s="1081" t="n"/>
      <c r="AW86" s="1081" t="n"/>
      <c r="AX86" s="1082" t="n"/>
      <c r="AY86" s="1081" t="n"/>
      <c r="AZ86" s="1081" t="n"/>
      <c r="BA86" s="1081" t="n"/>
      <c r="BB86" s="1082" t="n"/>
      <c r="BD86" s="1081" t="n"/>
      <c r="BE86" s="1081" t="n"/>
      <c r="BF86" s="1082" t="n"/>
      <c r="BQ86" s="1081" t="n"/>
      <c r="EG86" s="1083" t="n"/>
      <c r="EH86" s="1084" t="n"/>
      <c r="EK86" s="1083" t="n"/>
      <c r="EL86" s="1084" t="n"/>
      <c r="EO86" s="1083" t="n"/>
      <c r="EP86" s="1084" t="n"/>
      <c r="EQ86" s="1084" t="n"/>
      <c r="ES86" s="1083" t="n"/>
      <c r="ET86" s="1084" t="n"/>
      <c r="EW86" s="1083" t="n"/>
      <c r="EX86" s="1084" t="n"/>
      <c r="FA86" s="1083" t="n"/>
      <c r="FB86" s="1084" t="n"/>
      <c r="FE86" s="1083" t="n"/>
      <c r="FF86" s="1084" t="n"/>
      <c r="FI86" s="1080" t="n">
        <v>75</v>
      </c>
      <c r="FJ86" s="1084" t="n"/>
      <c r="FM86" s="1080">
        <f>AVERAGE(76,70)</f>
        <v/>
      </c>
      <c r="FN86" s="1080">
        <f>AVERAGE(68,66)</f>
        <v/>
      </c>
      <c r="FQ86" s="1091" t="n"/>
    </row>
    <row r="87" customFormat="1" s="1078">
      <c r="A87" s="960" t="n"/>
      <c r="B87" s="1078" t="inlineStr">
        <is>
          <t>Hedge Ratio (%)</t>
        </is>
      </c>
      <c r="L87" s="1090" t="n"/>
      <c r="M87" s="1090" t="n"/>
      <c r="N87" s="1090" t="n"/>
      <c r="O87" s="1090" t="n"/>
      <c r="P87" s="1090" t="n"/>
      <c r="Q87" s="1090" t="n"/>
      <c r="R87" s="1090" t="n"/>
      <c r="AO87" s="716">
        <f>SUMPRODUCT($FI$87:$FJ$87,$FI$90:$FJ$90)/SUMPRODUCT($FI$90:$FJ$90)</f>
        <v/>
      </c>
      <c r="AP87" s="716">
        <f>SUMPRODUCT($FM$87:$FN$87,$FM$90:$FN$90)/SUMPRODUCT($FM$90:$FN$90)</f>
        <v/>
      </c>
      <c r="AQ87" s="716">
        <f>AVERAGE(33%,31%,30%,25%)</f>
        <v/>
      </c>
      <c r="AR87" s="716">
        <f>AVERAGE(15%,5%,0%,0%)</f>
        <v/>
      </c>
      <c r="AS87" s="716" t="n"/>
      <c r="AT87" s="716" t="n"/>
      <c r="AV87" s="1081" t="n"/>
      <c r="AW87" s="1081" t="n"/>
      <c r="AX87" s="1082" t="n"/>
      <c r="AY87" s="1081" t="n"/>
      <c r="AZ87" s="1081" t="n"/>
      <c r="BA87" s="1081" t="n"/>
      <c r="BB87" s="1082" t="n"/>
      <c r="BD87" s="1081" t="n"/>
      <c r="BE87" s="1081" t="n"/>
      <c r="BF87" s="1082" t="n"/>
      <c r="BQ87" s="1081" t="n"/>
      <c r="EG87" s="1083" t="n"/>
      <c r="EH87" s="1084" t="n"/>
      <c r="EK87" s="1083" t="n"/>
      <c r="EL87" s="1084" t="n"/>
      <c r="EO87" s="1083" t="n"/>
      <c r="EP87" s="1084" t="n"/>
      <c r="EQ87" s="1084" t="n"/>
      <c r="ES87" s="1083" t="n"/>
      <c r="ET87" s="1084" t="n"/>
      <c r="EW87" s="1083" t="n"/>
      <c r="EX87" s="1084" t="n"/>
      <c r="FA87" s="1083" t="n"/>
      <c r="FB87" s="1084" t="n"/>
      <c r="FE87" s="1083" t="n"/>
      <c r="FF87" s="1084" t="n"/>
      <c r="FI87" s="469">
        <f>AVERAGE(30%,28%)</f>
        <v/>
      </c>
      <c r="FJ87" s="1084" t="n"/>
      <c r="FM87" s="469">
        <f>AVERAGE(30%,33%)</f>
        <v/>
      </c>
      <c r="FN87" s="469">
        <f>AVERAGE(33%,35%)</f>
        <v/>
      </c>
      <c r="FQ87" s="716" t="n"/>
    </row>
    <row r="88" customFormat="1" s="1078">
      <c r="A88" s="960" t="n"/>
      <c r="B88" s="1078" t="inlineStr">
        <is>
          <t>Post-hedge Jet Fuel Price (US$/bbl)</t>
        </is>
      </c>
      <c r="L88" s="1090" t="n"/>
      <c r="M88" s="1090" t="n"/>
      <c r="N88" s="1090" t="n"/>
      <c r="O88" s="1090" t="n"/>
      <c r="P88" s="1092" t="n"/>
      <c r="Q88" s="1092" t="n"/>
      <c r="R88" s="1092" t="n"/>
      <c r="S88" s="1092" t="n"/>
      <c r="T88" s="1078">
        <f>T122/T90/T66</f>
        <v/>
      </c>
      <c r="U88" s="1078">
        <f>U122/U90/U66</f>
        <v/>
      </c>
      <c r="V88" s="1078">
        <f>V122/V90/V66</f>
        <v/>
      </c>
      <c r="W88" s="1078">
        <f>W122/W90/W66</f>
        <v/>
      </c>
      <c r="X88" s="1078">
        <f>X122/X90/X66</f>
        <v/>
      </c>
      <c r="Y88" s="1078">
        <f>Y122/Y90/Y66</f>
        <v/>
      </c>
      <c r="Z88" s="1078">
        <f>Z122/Z90/Z66</f>
        <v/>
      </c>
      <c r="AA88" s="1078">
        <f>AA122/AA90/AA66</f>
        <v/>
      </c>
      <c r="AB88" s="1078">
        <f>AB122/AB90/AB66</f>
        <v/>
      </c>
      <c r="AC88" s="1078">
        <f>AC122/AC90/AC66</f>
        <v/>
      </c>
      <c r="AD88" s="1078">
        <f>AD122/AD90/AD66</f>
        <v/>
      </c>
      <c r="AE88" s="1078">
        <f>AE122/AE90/AE66</f>
        <v/>
      </c>
      <c r="AF88" s="1078">
        <f>AF122/AF90/AF66</f>
        <v/>
      </c>
      <c r="AG88" s="1078">
        <f>AG122/AG90/AG66</f>
        <v/>
      </c>
      <c r="AH88" s="1078">
        <f>AH122/AH90/AH66</f>
        <v/>
      </c>
      <c r="AI88" s="1078">
        <f>AI122/AI90/AI66</f>
        <v/>
      </c>
      <c r="AJ88" s="1078">
        <f>AJ122/AJ90/AJ66</f>
        <v/>
      </c>
      <c r="AK88" s="1078">
        <f>AK122/AK90/AK66</f>
        <v/>
      </c>
      <c r="AL88" s="1078">
        <f>AL122/AL90/AL66</f>
        <v/>
      </c>
      <c r="AM88" s="1078">
        <f>AM122/AM90/AM66</f>
        <v/>
      </c>
      <c r="AN88" s="1078">
        <f>AN122/AN90/AN66</f>
        <v/>
      </c>
      <c r="AO88" s="1084">
        <f>AO122/AO90/AO66</f>
        <v/>
      </c>
      <c r="AP88" s="1084">
        <f>AP122/AP90/AP66</f>
        <v/>
      </c>
      <c r="AQ88" s="1084">
        <f>(+AQ$86+AQ82)*AQ$87+(1-AQ$87)*AQ$83</f>
        <v/>
      </c>
      <c r="AR88" s="1084">
        <f>(+AR$86+AR82)*AR$87+(1-AR$87)*AR$83</f>
        <v/>
      </c>
      <c r="AS88" s="1084">
        <f>(+AS$86+AS82)*AS$87+(1-AS$87)*AS$83</f>
        <v/>
      </c>
      <c r="AT88" s="1084">
        <f>(+AT$86+AT82)*AT$87+(1-AT$87)*AT$83</f>
        <v/>
      </c>
      <c r="AV88" s="1081" t="n"/>
      <c r="AW88" s="1081" t="n"/>
      <c r="AX88" s="1082" t="n"/>
      <c r="AY88" s="1081" t="n"/>
      <c r="AZ88" s="1081" t="n"/>
      <c r="BA88" s="1081" t="n"/>
      <c r="BB88" s="1082" t="n"/>
      <c r="BD88" s="1081" t="n"/>
      <c r="BE88" s="1081" t="n"/>
      <c r="BF88" s="1082" t="n"/>
      <c r="BQ88" s="1081" t="n"/>
      <c r="DU88" s="1078" t="n">
        <v>80</v>
      </c>
      <c r="DY88" s="1078">
        <f>85*0.6+47*0.4</f>
        <v/>
      </c>
      <c r="EC88" s="1078">
        <f>89*0.51+64*0.49</f>
        <v/>
      </c>
      <c r="EG88" s="1084">
        <f>EG122/EG90/7.8</f>
        <v/>
      </c>
      <c r="EH88" s="1084">
        <f>EH122/EH90/7.8</f>
        <v/>
      </c>
      <c r="EI88" s="1078">
        <f>AH88</f>
        <v/>
      </c>
      <c r="EK88" s="1084">
        <f>EK122/EK90/7.8</f>
        <v/>
      </c>
      <c r="EL88" s="1084">
        <f>EL122/EL90/7.8</f>
        <v/>
      </c>
      <c r="EM88" s="1078">
        <f>AI88</f>
        <v/>
      </c>
      <c r="EO88" s="1084">
        <f>EO122/EO90/7.8</f>
        <v/>
      </c>
      <c r="EP88" s="1084">
        <f>EP122/EP90/7.8</f>
        <v/>
      </c>
      <c r="EQ88" s="1084">
        <f>+AJ88</f>
        <v/>
      </c>
      <c r="ES88" s="1084">
        <f>ES122/ES90/7.8</f>
        <v/>
      </c>
      <c r="ET88" s="1084">
        <f>ET122/ET90/7.8</f>
        <v/>
      </c>
      <c r="EU88" s="1078">
        <f>AK88</f>
        <v/>
      </c>
      <c r="EW88" s="1084">
        <f>EW122/EW90/7.8</f>
        <v/>
      </c>
      <c r="EX88" s="1084">
        <f>EX122/EX90/7.8</f>
        <v/>
      </c>
      <c r="EY88" s="1078">
        <f>AL88</f>
        <v/>
      </c>
      <c r="FA88" s="1084">
        <f>FA122/FA90/7.8</f>
        <v/>
      </c>
      <c r="FB88" s="1084">
        <f>FB122/FB90/7.8</f>
        <v/>
      </c>
      <c r="FC88" s="1078">
        <f>AM88</f>
        <v/>
      </c>
      <c r="FE88" s="1083" t="n">
        <v>109.31</v>
      </c>
      <c r="FF88" s="1084">
        <f>FF122/FF90/7.8</f>
        <v/>
      </c>
      <c r="FG88" s="1078">
        <f>AN88</f>
        <v/>
      </c>
      <c r="FI88" s="1083" t="n">
        <v>93.68000000000001</v>
      </c>
      <c r="FJ88" s="1084">
        <f>FJ122/FJ90/7.8</f>
        <v/>
      </c>
      <c r="FK88" s="1078">
        <f>AO88</f>
        <v/>
      </c>
      <c r="FM88" s="1083" t="n">
        <v>138.31</v>
      </c>
      <c r="FN88" s="1093">
        <f>(+FN$86+FN82)*FN$87+(1-FN$87)*FN$83</f>
        <v/>
      </c>
      <c r="FO88" s="1078">
        <f>AP88</f>
        <v/>
      </c>
    </row>
    <row r="89" customFormat="1" s="1078">
      <c r="A89" s="960" t="n"/>
      <c r="B89" s="1087" t="inlineStr">
        <is>
          <t>YoY %</t>
        </is>
      </c>
      <c r="L89" s="1090" t="n"/>
      <c r="M89" s="1090" t="n"/>
      <c r="N89" s="1090" t="n"/>
      <c r="O89" s="1090" t="n"/>
      <c r="P89" s="1090" t="n"/>
      <c r="Q89" s="1094" t="n"/>
      <c r="R89" s="1094" t="n"/>
      <c r="S89" s="1094" t="n"/>
      <c r="T89" s="1094" t="n"/>
      <c r="U89" s="1094">
        <f>U88/T88-1</f>
        <v/>
      </c>
      <c r="V89" s="1094">
        <f>V88/U88-1</f>
        <v/>
      </c>
      <c r="W89" s="1094">
        <f>W88/V88-1</f>
        <v/>
      </c>
      <c r="X89" s="515">
        <f>X88/W88-1</f>
        <v/>
      </c>
      <c r="Y89" s="515">
        <f>Y88/X88-1</f>
        <v/>
      </c>
      <c r="Z89" s="515">
        <f>Z88/Y88-1</f>
        <v/>
      </c>
      <c r="AA89" s="515">
        <f>AA88/Z88-1</f>
        <v/>
      </c>
      <c r="AB89" s="515">
        <f>AB88/AA88-1</f>
        <v/>
      </c>
      <c r="AC89" s="515">
        <f>AC88/AB88-1</f>
        <v/>
      </c>
      <c r="AD89" s="515">
        <f>AD88/AC88-1</f>
        <v/>
      </c>
      <c r="AE89" s="515">
        <f>AE88/AD88-1</f>
        <v/>
      </c>
      <c r="AF89" s="515">
        <f>AF88/AE88-1</f>
        <v/>
      </c>
      <c r="AG89" s="515">
        <f>AG88/AF88-1</f>
        <v/>
      </c>
      <c r="AH89" s="515">
        <f>AH88/AG88-1</f>
        <v/>
      </c>
      <c r="AI89" s="515">
        <f>AI88/AH88-1</f>
        <v/>
      </c>
      <c r="AJ89" s="515">
        <f>AJ88/AI88-1</f>
        <v/>
      </c>
      <c r="AK89" s="515">
        <f>AK88/AJ88-1</f>
        <v/>
      </c>
      <c r="AL89" s="515">
        <f>AL88/AK88-1</f>
        <v/>
      </c>
      <c r="AM89" s="515">
        <f>AM88/AL88-1</f>
        <v/>
      </c>
      <c r="AN89" s="515">
        <f>AN88/AM88-1</f>
        <v/>
      </c>
      <c r="AO89" s="515">
        <f>AO88/AN88-1</f>
        <v/>
      </c>
      <c r="AP89" s="515">
        <f>AP88/AO88-1</f>
        <v/>
      </c>
      <c r="AQ89" s="515">
        <f>AQ88/AP88-1</f>
        <v/>
      </c>
      <c r="AR89" s="515">
        <f>AR88/AQ88-1</f>
        <v/>
      </c>
      <c r="AS89" s="515">
        <f>AS88/AR88-1</f>
        <v/>
      </c>
      <c r="AT89" s="515">
        <f>AT88/AS88-1</f>
        <v/>
      </c>
      <c r="AV89" s="1081" t="n"/>
      <c r="AW89" s="1081" t="n"/>
      <c r="AX89" s="1082" t="n"/>
      <c r="AY89" s="1081" t="n"/>
      <c r="AZ89" s="1081" t="n"/>
      <c r="BA89" s="1081" t="n"/>
      <c r="BB89" s="1082" t="n"/>
      <c r="BD89" s="1081" t="n"/>
      <c r="BE89" s="1081" t="n"/>
      <c r="BF89" s="1082" t="n"/>
      <c r="BQ89" s="1081" t="n"/>
      <c r="DU89" s="515" t="n"/>
      <c r="DV89" s="515" t="n"/>
      <c r="DW89" s="515" t="n"/>
      <c r="DY89" s="515" t="n"/>
      <c r="DZ89" s="515" t="n"/>
      <c r="EA89" s="515" t="n"/>
      <c r="EC89" s="515" t="n"/>
      <c r="ED89" s="515" t="n"/>
      <c r="EE89" s="515" t="n"/>
      <c r="EF89" s="515" t="n"/>
      <c r="EJ89" s="515" t="n"/>
      <c r="EN89" s="515" t="n"/>
      <c r="EO89" s="515">
        <f>EO88/EK88-1</f>
        <v/>
      </c>
      <c r="EP89" s="515">
        <f>EP88/EL88-1</f>
        <v/>
      </c>
      <c r="EQ89" s="515">
        <f>EQ88/EM88-1</f>
        <v/>
      </c>
      <c r="ES89" s="515">
        <f>ES88/EO88-1</f>
        <v/>
      </c>
      <c r="ET89" s="515">
        <f>ET88/EP88-1</f>
        <v/>
      </c>
      <c r="EU89" s="515">
        <f>EU88/EQ88-1</f>
        <v/>
      </c>
      <c r="EW89" s="515">
        <f>EW88/ES88-1</f>
        <v/>
      </c>
      <c r="EX89" s="515">
        <f>EX88/ET88-1</f>
        <v/>
      </c>
      <c r="EY89" s="515">
        <f>EY88/EU88-1</f>
        <v/>
      </c>
      <c r="FA89" s="515">
        <f>FA88/EW88-1</f>
        <v/>
      </c>
      <c r="FB89" s="515">
        <f>FB88/EX88-1</f>
        <v/>
      </c>
      <c r="FC89" s="515">
        <f>FC88/EY88-1</f>
        <v/>
      </c>
      <c r="FE89" s="515">
        <f>FE88/FA88-1</f>
        <v/>
      </c>
      <c r="FF89" s="515">
        <f>FF88/FB88-1</f>
        <v/>
      </c>
      <c r="FG89" s="515">
        <f>AN89</f>
        <v/>
      </c>
      <c r="FI89" s="515">
        <f>FI88/FE88-1</f>
        <v/>
      </c>
      <c r="FJ89" s="515">
        <f>FJ88/FF88-1</f>
        <v/>
      </c>
      <c r="FK89" s="515">
        <f>AO89</f>
        <v/>
      </c>
      <c r="FM89" s="515">
        <f>FM88/FI88-1</f>
        <v/>
      </c>
      <c r="FN89" s="515">
        <f>FN88/FJ88-1</f>
        <v/>
      </c>
      <c r="FO89" s="515">
        <f>AP89</f>
        <v/>
      </c>
    </row>
    <row r="90" customFormat="1" s="1078">
      <c r="A90" s="960" t="n"/>
      <c r="B90" s="1078" t="inlineStr">
        <is>
          <t>Average fuel consumption (mn bbl)</t>
        </is>
      </c>
      <c r="L90" s="1090" t="n"/>
      <c r="M90" s="1090" t="n"/>
      <c r="N90" s="1090" t="n"/>
      <c r="O90" s="1090" t="n"/>
      <c r="P90" s="1095" t="n"/>
      <c r="Q90" s="1095" t="n"/>
      <c r="R90" s="1095" t="n"/>
      <c r="S90" s="1095" t="n"/>
      <c r="T90" s="1096">
        <f>U90/(1.112)</f>
        <v/>
      </c>
      <c r="U90" s="1097">
        <f>1160/42</f>
        <v/>
      </c>
      <c r="V90" s="1097" t="n">
        <v>29</v>
      </c>
      <c r="W90" s="1097" t="n">
        <v>35.8</v>
      </c>
      <c r="X90" s="1097" t="n">
        <v>38.3</v>
      </c>
      <c r="Y90" s="1097" t="n">
        <v>35.3</v>
      </c>
      <c r="Z90" s="1097" t="n">
        <v>37.9</v>
      </c>
      <c r="AA90" s="1097" t="n">
        <v>40.4</v>
      </c>
      <c r="AB90" s="1097" t="n">
        <v>40.1</v>
      </c>
      <c r="AC90" s="1097" t="n">
        <v>39.5</v>
      </c>
      <c r="AD90" s="1097" t="n">
        <v>41.7</v>
      </c>
      <c r="AE90" s="1097" t="n">
        <v>43.5</v>
      </c>
      <c r="AF90" s="1097" t="n">
        <v>43.9</v>
      </c>
      <c r="AG90" s="1097" t="n">
        <v>45.1</v>
      </c>
      <c r="AH90" s="1097" t="n">
        <v>45.8</v>
      </c>
      <c r="AI90" s="1097" t="n">
        <v>46.6</v>
      </c>
      <c r="AJ90" s="1097" t="n">
        <v>18.7</v>
      </c>
      <c r="AK90" s="1097" t="n">
        <v>15</v>
      </c>
      <c r="AL90" s="1097" t="n">
        <v>13.3</v>
      </c>
      <c r="AM90" s="1097" t="n">
        <v>28.8</v>
      </c>
      <c r="AN90" s="1097" t="n">
        <v>35.1</v>
      </c>
      <c r="AO90" s="1078">
        <f>SUM(FI90:FJ90)</f>
        <v/>
      </c>
      <c r="AP90" s="1078">
        <f>SUM(FM90:FN90)</f>
        <v/>
      </c>
      <c r="AQ90" s="1078">
        <f>AQ4/AQ92</f>
        <v/>
      </c>
      <c r="AR90" s="1078">
        <f>AR4/AR92</f>
        <v/>
      </c>
      <c r="AS90" s="1078">
        <f>AS4/AS92</f>
        <v/>
      </c>
      <c r="AT90" s="1078">
        <f>AT4/AT92</f>
        <v/>
      </c>
      <c r="AV90" s="1081" t="n"/>
      <c r="AW90" s="1081" t="n"/>
      <c r="AX90" s="1082" t="n"/>
      <c r="AY90" s="1081" t="n"/>
      <c r="AZ90" s="1081" t="n"/>
      <c r="BA90" s="1081" t="n"/>
      <c r="BB90" s="1082" t="n"/>
      <c r="BD90" s="1081" t="n"/>
      <c r="BE90" s="1081" t="n"/>
      <c r="BF90" s="1082" t="n"/>
      <c r="BQ90" s="1081" t="n"/>
      <c r="EG90" s="1084">
        <f>EG4/EG92</f>
        <v/>
      </c>
      <c r="EH90" s="1084">
        <f>EI90-EG90</f>
        <v/>
      </c>
      <c r="EI90" s="1078">
        <f>AH90</f>
        <v/>
      </c>
      <c r="EK90" s="1084">
        <f>EK4/EK92</f>
        <v/>
      </c>
      <c r="EL90" s="1084">
        <f>EM90-EK90</f>
        <v/>
      </c>
      <c r="EM90" s="1078">
        <f>AI90</f>
        <v/>
      </c>
      <c r="EO90" s="1084">
        <f>EO4/EO92</f>
        <v/>
      </c>
      <c r="EP90" s="1084">
        <f>EQ90-EO90</f>
        <v/>
      </c>
      <c r="EQ90" s="1084">
        <f>+AJ90</f>
        <v/>
      </c>
      <c r="ES90" s="1084">
        <f>ES4/ES92</f>
        <v/>
      </c>
      <c r="ET90" s="1084">
        <f>EU90-ES90</f>
        <v/>
      </c>
      <c r="EU90" s="1078">
        <f>AK90</f>
        <v/>
      </c>
      <c r="EW90" s="1084">
        <f>EW4/EW92</f>
        <v/>
      </c>
      <c r="EX90" s="1084">
        <f>EY90-EW90</f>
        <v/>
      </c>
      <c r="EY90" s="1078">
        <f>AL90</f>
        <v/>
      </c>
      <c r="FA90" s="1084">
        <f>FA4/FA92</f>
        <v/>
      </c>
      <c r="FB90" s="1084">
        <f>FC90-FA90</f>
        <v/>
      </c>
      <c r="FC90" s="1078">
        <f>AM90</f>
        <v/>
      </c>
      <c r="FE90" s="1084">
        <f>FE122/(FE88*FE66)</f>
        <v/>
      </c>
      <c r="FF90" s="1084">
        <f>FG90-FE90</f>
        <v/>
      </c>
      <c r="FG90" s="1078">
        <f>AN90</f>
        <v/>
      </c>
      <c r="FI90" s="1084">
        <f>FI122/(FI88*FI66)</f>
        <v/>
      </c>
      <c r="FJ90" s="1084">
        <f>FK90-FI90</f>
        <v/>
      </c>
      <c r="FK90" s="1078">
        <f>AO90</f>
        <v/>
      </c>
      <c r="FM90" s="1084">
        <f>FM122/(FM88*FM66)</f>
        <v/>
      </c>
      <c r="FN90" s="1084">
        <f>FN4/FN92</f>
        <v/>
      </c>
      <c r="FO90" s="1078">
        <f>AP90</f>
        <v/>
      </c>
    </row>
    <row r="91" customFormat="1" s="1078">
      <c r="A91" s="960" t="n"/>
      <c r="B91" s="1087" t="inlineStr">
        <is>
          <t>YoY %</t>
        </is>
      </c>
      <c r="L91" s="1090" t="n"/>
      <c r="M91" s="1090" t="n"/>
      <c r="N91" s="1090" t="n"/>
      <c r="O91" s="1090" t="n"/>
      <c r="P91" s="1090" t="n"/>
      <c r="Q91" s="1090" t="n"/>
      <c r="R91" s="515" t="n"/>
      <c r="S91" s="515" t="n"/>
      <c r="T91" s="515" t="n"/>
      <c r="U91" s="515">
        <f>+U90/T90-1</f>
        <v/>
      </c>
      <c r="V91" s="515">
        <f>+V90/U90-1</f>
        <v/>
      </c>
      <c r="W91" s="515">
        <f>+W90/V90-1</f>
        <v/>
      </c>
      <c r="X91" s="515">
        <f>+X90/W90-1</f>
        <v/>
      </c>
      <c r="Y91" s="515">
        <f>+Y90/X90-1</f>
        <v/>
      </c>
      <c r="Z91" s="515">
        <f>+Z90/Y90-1</f>
        <v/>
      </c>
      <c r="AA91" s="515">
        <f>+AA90/Z90-1</f>
        <v/>
      </c>
      <c r="AB91" s="515">
        <f>+AB90/AA90-1</f>
        <v/>
      </c>
      <c r="AC91" s="515">
        <f>+AC90/AB90-1</f>
        <v/>
      </c>
      <c r="AD91" s="515">
        <f>+AD90/AC90-1</f>
        <v/>
      </c>
      <c r="AE91" s="515">
        <f>+AE90/AD90-1</f>
        <v/>
      </c>
      <c r="AF91" s="515">
        <f>+AF90/AE90-1</f>
        <v/>
      </c>
      <c r="AG91" s="515">
        <f>+AG90/AF90-1</f>
        <v/>
      </c>
      <c r="AH91" s="515">
        <f>+AH90/AG90-1</f>
        <v/>
      </c>
      <c r="AI91" s="515">
        <f>+AI90/AH90-1</f>
        <v/>
      </c>
      <c r="AJ91" s="515">
        <f>+AJ90/AI90-1</f>
        <v/>
      </c>
      <c r="AK91" s="515">
        <f>+AK90/AJ90-1</f>
        <v/>
      </c>
      <c r="AL91" s="515">
        <f>+AL90/AK90-1</f>
        <v/>
      </c>
      <c r="AM91" s="515">
        <f>+AM90/AL90-1</f>
        <v/>
      </c>
      <c r="AN91" s="515">
        <f>+AN90/AM90-1</f>
        <v/>
      </c>
      <c r="AO91" s="515">
        <f>+AO90/AN90-1</f>
        <v/>
      </c>
      <c r="AP91" s="515">
        <f>+AP90/AO90-1</f>
        <v/>
      </c>
      <c r="AQ91" s="515">
        <f>+AQ90/AP90-1</f>
        <v/>
      </c>
      <c r="AR91" s="515">
        <f>+AR90/AQ90-1</f>
        <v/>
      </c>
      <c r="AS91" s="515">
        <f>+AS90/AR90-1</f>
        <v/>
      </c>
      <c r="AT91" s="515">
        <f>+AT90/AS90-1</f>
        <v/>
      </c>
      <c r="AV91" s="1081" t="n"/>
      <c r="AW91" s="1081" t="n"/>
      <c r="AX91" s="1082" t="n"/>
      <c r="AY91" s="1081" t="n"/>
      <c r="AZ91" s="1081" t="n"/>
      <c r="BA91" s="1081" t="n"/>
      <c r="BB91" s="1082" t="n"/>
      <c r="BD91" s="1081" t="n"/>
      <c r="BE91" s="1081" t="n"/>
      <c r="BF91" s="1082" t="n"/>
      <c r="BQ91" s="1081" t="n"/>
      <c r="EH91" s="1084" t="n"/>
      <c r="EK91" s="301">
        <f>EK90/EG90-1</f>
        <v/>
      </c>
      <c r="EL91" s="301">
        <f>EL90/EH90-1</f>
        <v/>
      </c>
      <c r="EM91" s="301">
        <f>EM90/EI90-1</f>
        <v/>
      </c>
      <c r="EO91" s="301">
        <f>EO90/EK90-1</f>
        <v/>
      </c>
      <c r="EP91" s="301">
        <f>EP90/EL90-1</f>
        <v/>
      </c>
      <c r="EQ91" s="301">
        <f>EQ90/EM90-1</f>
        <v/>
      </c>
      <c r="ES91" s="301">
        <f>ES90/EO90-1</f>
        <v/>
      </c>
      <c r="ET91" s="301">
        <f>ET90/EP90-1</f>
        <v/>
      </c>
      <c r="EU91" s="301">
        <f>EU90/EQ90-1</f>
        <v/>
      </c>
      <c r="EW91" s="301">
        <f>EW90/ES90-1</f>
        <v/>
      </c>
      <c r="EX91" s="301">
        <f>EX90/ET90-1</f>
        <v/>
      </c>
      <c r="EY91" s="301">
        <f>EY90/EU90-1</f>
        <v/>
      </c>
      <c r="FA91" s="301">
        <f>FA90/EW90-1</f>
        <v/>
      </c>
      <c r="FB91" s="301">
        <f>FB90/EX90-1</f>
        <v/>
      </c>
      <c r="FC91" s="301">
        <f>FC90/EY90-1</f>
        <v/>
      </c>
      <c r="FE91" s="301">
        <f>FE90/FA90-1</f>
        <v/>
      </c>
      <c r="FF91" s="301">
        <f>FF90/FB90-1</f>
        <v/>
      </c>
      <c r="FG91" s="515">
        <f>AN91</f>
        <v/>
      </c>
      <c r="FI91" s="301">
        <f>FI90/FE90-1</f>
        <v/>
      </c>
      <c r="FJ91" s="301">
        <f>FJ90/FF90-1</f>
        <v/>
      </c>
      <c r="FK91" s="515">
        <f>AO91</f>
        <v/>
      </c>
      <c r="FM91" s="301">
        <f>FM90/FI90-1</f>
        <v/>
      </c>
      <c r="FN91" s="301">
        <f>FN90/FJ90-1</f>
        <v/>
      </c>
      <c r="FO91" s="515">
        <f>AP91</f>
        <v/>
      </c>
    </row>
    <row r="92" customFormat="1" s="1098">
      <c r="A92" s="1099" t="n"/>
      <c r="B92" s="1098" t="inlineStr">
        <is>
          <t>Fuel efficiency (ATK per Barrel of fuel)</t>
        </is>
      </c>
      <c r="P92" s="194" t="n"/>
      <c r="Q92" s="194" t="n"/>
      <c r="R92" s="194" t="n"/>
      <c r="S92" s="194" t="n"/>
      <c r="T92" s="194">
        <f>T4/T90</f>
        <v/>
      </c>
      <c r="U92" s="194">
        <f>U4/U90</f>
        <v/>
      </c>
      <c r="V92" s="194">
        <f>V4/V90</f>
        <v/>
      </c>
      <c r="W92" s="194">
        <f>W4/W90</f>
        <v/>
      </c>
      <c r="X92" s="194">
        <f>X4/X90</f>
        <v/>
      </c>
      <c r="Y92" s="194">
        <f>Y4/Y90</f>
        <v/>
      </c>
      <c r="Z92" s="194">
        <f>Z4/Z90</f>
        <v/>
      </c>
      <c r="AA92" s="194">
        <f>AA4/AA90</f>
        <v/>
      </c>
      <c r="AB92" s="194">
        <f>AB4/AB90</f>
        <v/>
      </c>
      <c r="AC92" s="194">
        <f>AC4/AC90</f>
        <v/>
      </c>
      <c r="AD92" s="194">
        <f>AD4/AD90</f>
        <v/>
      </c>
      <c r="AE92" s="194">
        <f>AE4/AE90</f>
        <v/>
      </c>
      <c r="AF92" s="194">
        <f>AF4/AF90</f>
        <v/>
      </c>
      <c r="AG92" s="194">
        <f>AG4/AG90</f>
        <v/>
      </c>
      <c r="AH92" s="194">
        <f>AH4/AH90</f>
        <v/>
      </c>
      <c r="AI92" s="194">
        <f>AI4/AI90</f>
        <v/>
      </c>
      <c r="AJ92" s="194">
        <f>AJ4/AJ90</f>
        <v/>
      </c>
      <c r="AK92" s="194">
        <f>AK4/AK90</f>
        <v/>
      </c>
      <c r="AL92" s="194">
        <f>AL4/AL90</f>
        <v/>
      </c>
      <c r="AM92" s="194">
        <f>AM4/AM90</f>
        <v/>
      </c>
      <c r="AN92" s="194">
        <f>AN4/AN90</f>
        <v/>
      </c>
      <c r="AO92" s="194">
        <f>AO4/AO90</f>
        <v/>
      </c>
      <c r="AP92" s="194">
        <f>AP4/AP90</f>
        <v/>
      </c>
      <c r="AQ92" s="720">
        <f>AP92*(1+AQ93)</f>
        <v/>
      </c>
      <c r="AR92" s="720">
        <f>AQ92*(1+AR93)</f>
        <v/>
      </c>
      <c r="AS92" s="720">
        <f>AR92*(1+AS93)</f>
        <v/>
      </c>
      <c r="AT92" s="720">
        <f>AS92*(1+AT93)</f>
        <v/>
      </c>
      <c r="AV92" s="194" t="n"/>
      <c r="AW92" s="194" t="n"/>
      <c r="AX92" s="1100" t="n"/>
      <c r="AY92" s="1100" t="n"/>
      <c r="AZ92" s="1100" t="n"/>
      <c r="BA92" s="1100" t="n"/>
      <c r="BB92" s="1100" t="n"/>
      <c r="BD92" s="1100" t="n"/>
      <c r="BE92" s="1100" t="n"/>
      <c r="BF92" s="1100" t="n"/>
      <c r="BH92" s="1100" t="n"/>
      <c r="BI92" s="1100" t="n"/>
      <c r="BJ92" s="1100" t="n"/>
      <c r="BL92" s="1100" t="n"/>
      <c r="BM92" s="1100" t="n"/>
      <c r="BN92" s="1100" t="n"/>
      <c r="BP92" s="1100" t="n"/>
      <c r="BQ92" s="1100" t="n"/>
      <c r="BR92" s="1100" t="n"/>
      <c r="BT92" s="1100" t="n"/>
      <c r="BU92" s="1100" t="n"/>
      <c r="BV92" s="1100" t="n"/>
      <c r="BX92" s="1100" t="n"/>
      <c r="BY92" s="1100" t="n"/>
      <c r="BZ92" s="1100" t="n"/>
      <c r="CB92" s="1100" t="n"/>
      <c r="CC92" s="1100" t="n"/>
      <c r="CD92" s="1100" t="n"/>
      <c r="CE92" s="1100" t="n"/>
      <c r="CF92" s="1100" t="n"/>
      <c r="CG92" s="1100" t="n"/>
      <c r="CH92" s="1100" t="n"/>
      <c r="CI92" s="1100" t="n"/>
      <c r="CJ92" s="1100" t="n"/>
      <c r="CK92" s="1100" t="n"/>
      <c r="CL92" s="1100" t="n"/>
      <c r="CM92" s="1100" t="n"/>
      <c r="CN92" s="1100" t="n"/>
      <c r="CO92" s="1100" t="n"/>
      <c r="CP92" s="1100" t="n"/>
      <c r="CQ92" s="1100" t="n"/>
      <c r="CR92" s="1100" t="n"/>
      <c r="CS92" s="1100" t="n"/>
      <c r="CT92" s="1100" t="n"/>
      <c r="CU92" s="1100" t="n"/>
      <c r="CV92" s="1100" t="n"/>
      <c r="CW92" s="1100" t="n"/>
      <c r="CX92" s="1100" t="n"/>
      <c r="CY92" s="1100" t="n"/>
      <c r="CZ92" s="1100" t="n"/>
      <c r="DC92" s="1100" t="n"/>
      <c r="DD92" s="1100" t="n"/>
      <c r="DG92" s="1100" t="n"/>
      <c r="DH92" s="1100" t="n"/>
      <c r="DK92" s="1100" t="n"/>
      <c r="DL92" s="1100" t="n"/>
      <c r="DP92" s="1100" t="n"/>
      <c r="EC92" s="194" t="n"/>
      <c r="ED92" s="194" t="n"/>
      <c r="EG92" s="1083">
        <f>1000^2/1390</f>
        <v/>
      </c>
      <c r="EH92" s="194">
        <f>EH4/EH90</f>
        <v/>
      </c>
      <c r="EI92" s="1078">
        <f>AH92</f>
        <v/>
      </c>
      <c r="EK92" s="1083">
        <f>1000^2/1369</f>
        <v/>
      </c>
      <c r="EL92" s="194">
        <f>EL4/EL90</f>
        <v/>
      </c>
      <c r="EM92" s="1078">
        <f>AI92</f>
        <v/>
      </c>
      <c r="EO92" s="1083">
        <f>1000^2/1253</f>
        <v/>
      </c>
      <c r="EP92" s="194">
        <f>EP4/EP90</f>
        <v/>
      </c>
      <c r="EQ92" s="1084">
        <f>+AJ92</f>
        <v/>
      </c>
      <c r="ES92" s="1083">
        <f>1000^2/1109</f>
        <v/>
      </c>
      <c r="ET92" s="194">
        <f>ET4/ET90</f>
        <v/>
      </c>
      <c r="EU92" s="1078">
        <f>AK92</f>
        <v/>
      </c>
      <c r="EW92" s="1083">
        <f>1000^2/1316</f>
        <v/>
      </c>
      <c r="EX92" s="194">
        <f>EX4/EX90</f>
        <v/>
      </c>
      <c r="EY92" s="1078">
        <f>AL92</f>
        <v/>
      </c>
      <c r="FA92" s="1083">
        <f>1000^2/1222</f>
        <v/>
      </c>
      <c r="FB92" s="194">
        <f>FB4/FB90</f>
        <v/>
      </c>
      <c r="FC92" s="1078">
        <f>AM92</f>
        <v/>
      </c>
      <c r="FE92" s="194">
        <f>FE4/FE90</f>
        <v/>
      </c>
      <c r="FF92" s="194">
        <f>FF4/FF90</f>
        <v/>
      </c>
      <c r="FG92" s="1078">
        <f>AN92</f>
        <v/>
      </c>
      <c r="FI92" s="194">
        <f>FI4/FI90</f>
        <v/>
      </c>
      <c r="FJ92" s="194">
        <f>FJ4/FJ90</f>
        <v/>
      </c>
      <c r="FM92" s="194">
        <f>FM4/FM90</f>
        <v/>
      </c>
      <c r="FN92" s="721">
        <f>FJ92</f>
        <v/>
      </c>
    </row>
    <row r="93" customFormat="1" s="1098">
      <c r="A93" s="1099" t="n"/>
      <c r="B93" s="1101" t="inlineStr">
        <is>
          <t>YoY %</t>
        </is>
      </c>
      <c r="U93" s="1098">
        <f>U92/T92-1</f>
        <v/>
      </c>
      <c r="V93" s="1098">
        <f>V92/U92-1</f>
        <v/>
      </c>
      <c r="W93" s="1098">
        <f>W92/V92-1</f>
        <v/>
      </c>
      <c r="X93" s="1098">
        <f>X92/W92-1</f>
        <v/>
      </c>
      <c r="Y93" s="1098">
        <f>Y92/X92-1</f>
        <v/>
      </c>
      <c r="Z93" s="1098">
        <f>Z92/Y92-1</f>
        <v/>
      </c>
      <c r="AA93" s="1098">
        <f>AA92/Z92-1</f>
        <v/>
      </c>
      <c r="AB93" s="1098">
        <f>AB92/AA92-1</f>
        <v/>
      </c>
      <c r="AC93" s="1098">
        <f>AC92/AB92-1</f>
        <v/>
      </c>
      <c r="AD93" s="1098">
        <f>AD92/AC92-1</f>
        <v/>
      </c>
      <c r="AE93" s="1098">
        <f>AE92/AD92-1</f>
        <v/>
      </c>
      <c r="AF93" s="1098">
        <f>AF92/AE92-1</f>
        <v/>
      </c>
      <c r="AG93" s="1098">
        <f>AG92/AF92-1</f>
        <v/>
      </c>
      <c r="AH93" s="1098">
        <f>AH92/AG92-1</f>
        <v/>
      </c>
      <c r="AI93" s="1098">
        <f>AI92/AH92-1</f>
        <v/>
      </c>
      <c r="AJ93" s="1098">
        <f>AJ92/AI92-1</f>
        <v/>
      </c>
      <c r="AK93" s="1098">
        <f>AK92/AJ92-1</f>
        <v/>
      </c>
      <c r="AL93" s="1098">
        <f>AL92/AK92-1</f>
        <v/>
      </c>
      <c r="AM93" s="1098">
        <f>AM92/AL92-1</f>
        <v/>
      </c>
      <c r="AN93" s="1098">
        <f>AN92/AM92-1</f>
        <v/>
      </c>
      <c r="AO93" s="1098">
        <f>AO92/AN92-1</f>
        <v/>
      </c>
      <c r="AP93" s="1098">
        <f>AP92/AO92-1</f>
        <v/>
      </c>
      <c r="AQ93" s="1102" t="n">
        <v>0</v>
      </c>
      <c r="AR93" s="1102" t="n">
        <v>0</v>
      </c>
      <c r="AS93" s="1102" t="n">
        <v>0</v>
      </c>
      <c r="AT93" s="1102" t="n">
        <v>0</v>
      </c>
      <c r="AV93" s="1100" t="n"/>
      <c r="AW93" s="1100" t="n"/>
      <c r="AX93" s="1100" t="n"/>
      <c r="AY93" s="1100" t="n"/>
      <c r="AZ93" s="1100" t="n"/>
      <c r="BA93" s="1100" t="n"/>
      <c r="BB93" s="1100" t="n"/>
      <c r="BD93" s="1100" t="n"/>
      <c r="BE93" s="1100" t="n"/>
      <c r="BF93" s="1100" t="n"/>
      <c r="BH93" s="1100" t="n"/>
      <c r="BI93" s="1100" t="n"/>
      <c r="BJ93" s="1100" t="n"/>
      <c r="BL93" s="1100" t="n"/>
      <c r="BM93" s="1100" t="n"/>
      <c r="BN93" s="1100" t="n"/>
      <c r="BP93" s="1100" t="n"/>
      <c r="BQ93" s="1100" t="n"/>
      <c r="BR93" s="1100" t="n"/>
      <c r="BT93" s="1100" t="n"/>
      <c r="BU93" s="1100" t="n"/>
      <c r="BV93" s="1100" t="n"/>
      <c r="BX93" s="1100" t="n"/>
      <c r="BY93" s="1100" t="n"/>
      <c r="BZ93" s="1100" t="n"/>
      <c r="CB93" s="1100" t="n"/>
      <c r="CC93" s="1100" t="n"/>
      <c r="CD93" s="1100" t="n"/>
      <c r="CE93" s="1100" t="n"/>
      <c r="CF93" s="1100" t="n"/>
      <c r="CG93" s="1100" t="n"/>
      <c r="CH93" s="1100" t="n"/>
      <c r="CI93" s="1100" t="n"/>
      <c r="CJ93" s="1100" t="n"/>
      <c r="CK93" s="1100" t="n"/>
      <c r="CL93" s="1100" t="n"/>
      <c r="CM93" s="1100" t="n"/>
      <c r="CN93" s="1100" t="n"/>
      <c r="CO93" s="1100" t="n"/>
      <c r="CP93" s="1100" t="n"/>
      <c r="CQ93" s="1100" t="n"/>
      <c r="CR93" s="1100" t="n"/>
      <c r="CS93" s="1100" t="n"/>
      <c r="CT93" s="1100" t="n"/>
      <c r="CU93" s="1100" t="n"/>
      <c r="CV93" s="1100" t="n"/>
      <c r="CW93" s="1100" t="n"/>
      <c r="CX93" s="1100" t="n"/>
      <c r="CY93" s="1100" t="n"/>
      <c r="CZ93" s="1100" t="n"/>
      <c r="DC93" s="1100" t="n"/>
      <c r="DD93" s="1100" t="n"/>
      <c r="DG93" s="1100" t="n"/>
      <c r="DH93" s="1100" t="n"/>
      <c r="DK93" s="1100" t="n"/>
      <c r="DL93" s="1100" t="n"/>
      <c r="DP93" s="1100" t="n"/>
      <c r="EW93" s="194" t="n"/>
      <c r="FA93" s="194" t="n"/>
      <c r="FE93" s="226">
        <f>FE92/FA92-1</f>
        <v/>
      </c>
      <c r="FF93" s="226">
        <f>FF92/FB92-1</f>
        <v/>
      </c>
      <c r="FI93" s="226">
        <f>FI92/FE92-1</f>
        <v/>
      </c>
      <c r="FJ93" s="226">
        <f>FJ92/FF92-1</f>
        <v/>
      </c>
      <c r="FM93" s="226">
        <f>FM92/FI92-1</f>
        <v/>
      </c>
      <c r="FN93" s="226">
        <f>FN92/FJ92-1</f>
        <v/>
      </c>
    </row>
    <row r="94" customFormat="1" s="1053">
      <c r="A94" s="960" t="n"/>
      <c r="B94" s="1053" t="inlineStr">
        <is>
          <t>Net Fuel Cost</t>
        </is>
      </c>
      <c r="H94" s="1053">
        <f>+H122</f>
        <v/>
      </c>
      <c r="I94" s="1053">
        <f>+I122</f>
        <v/>
      </c>
      <c r="J94" s="1053">
        <f>+J122</f>
        <v/>
      </c>
      <c r="K94" s="1053">
        <f>+K122</f>
        <v/>
      </c>
      <c r="L94" s="1103">
        <f>+L122</f>
        <v/>
      </c>
      <c r="M94" s="1103">
        <f>+M122</f>
        <v/>
      </c>
      <c r="N94" s="1103">
        <f>+N122</f>
        <v/>
      </c>
      <c r="O94" s="516">
        <f>+O122</f>
        <v/>
      </c>
      <c r="P94" s="516">
        <f>+P122</f>
        <v/>
      </c>
      <c r="Q94" s="516">
        <f>+Q122</f>
        <v/>
      </c>
      <c r="R94" s="516">
        <f>+R122</f>
        <v/>
      </c>
      <c r="S94" s="516">
        <f>+S122</f>
        <v/>
      </c>
      <c r="T94" s="516">
        <f>+T122</f>
        <v/>
      </c>
      <c r="U94" s="516">
        <f>+U122</f>
        <v/>
      </c>
      <c r="V94" s="516">
        <f>+V122</f>
        <v/>
      </c>
      <c r="W94" s="516">
        <f>+W122</f>
        <v/>
      </c>
      <c r="X94" s="516">
        <f>+X122</f>
        <v/>
      </c>
      <c r="Y94" s="516">
        <f>+Y122</f>
        <v/>
      </c>
      <c r="Z94" s="516">
        <f>+Z122</f>
        <v/>
      </c>
      <c r="AA94" s="516">
        <f>+AA122</f>
        <v/>
      </c>
      <c r="AB94" s="516">
        <f>+AB122</f>
        <v/>
      </c>
      <c r="AC94" s="516">
        <f>+AC122</f>
        <v/>
      </c>
      <c r="AD94" s="516">
        <f>+AD122</f>
        <v/>
      </c>
      <c r="AE94" s="516">
        <f>+AE122</f>
        <v/>
      </c>
      <c r="AF94" s="516">
        <f>+AF122</f>
        <v/>
      </c>
      <c r="AG94" s="516">
        <f>+AG122</f>
        <v/>
      </c>
      <c r="AH94" s="516">
        <f>+AH122</f>
        <v/>
      </c>
      <c r="AI94" s="516">
        <f>+AI122</f>
        <v/>
      </c>
      <c r="AJ94" s="516">
        <f>+AJ122</f>
        <v/>
      </c>
      <c r="AK94" s="516">
        <f>+AK122</f>
        <v/>
      </c>
      <c r="AL94" s="516">
        <f>+AL122</f>
        <v/>
      </c>
      <c r="AM94" s="516">
        <f>+AM122</f>
        <v/>
      </c>
      <c r="AN94" s="516">
        <f>+AN122</f>
        <v/>
      </c>
      <c r="AO94" s="516">
        <f>+AO122</f>
        <v/>
      </c>
      <c r="AP94" s="516">
        <f>+AP122</f>
        <v/>
      </c>
      <c r="AQ94" s="516">
        <f>+AQ122</f>
        <v/>
      </c>
      <c r="AR94" s="516">
        <f>+AR122</f>
        <v/>
      </c>
      <c r="AS94" s="516">
        <f>+AS122</f>
        <v/>
      </c>
      <c r="AT94" s="516">
        <f>+AT122</f>
        <v/>
      </c>
      <c r="AU94" s="516" t="n"/>
      <c r="AV94" s="1088" t="n"/>
      <c r="AW94" s="1088" t="n"/>
      <c r="AX94" s="1089" t="n"/>
      <c r="AY94" s="1088" t="n"/>
      <c r="AZ94" s="1088" t="n"/>
      <c r="BA94" s="1088" t="n"/>
      <c r="BB94" s="1089" t="n"/>
      <c r="BD94" s="1088" t="n"/>
      <c r="BE94" s="1088" t="n"/>
      <c r="BF94" s="1089" t="n"/>
      <c r="BQ94" s="1088" t="n"/>
      <c r="CW94" s="516" t="n"/>
      <c r="CX94" s="516" t="n"/>
      <c r="CY94" s="516" t="n"/>
      <c r="DA94" s="516" t="n"/>
      <c r="DB94" s="516" t="n"/>
      <c r="DC94" s="516" t="n"/>
      <c r="DE94" s="516" t="n"/>
      <c r="DF94" s="516" t="n"/>
      <c r="DG94" s="516" t="n"/>
      <c r="DI94" s="516" t="n"/>
      <c r="DJ94" s="516" t="n"/>
      <c r="DK94" s="516" t="n"/>
      <c r="DL94" s="516" t="n"/>
      <c r="DM94" s="516" t="n"/>
      <c r="DN94" s="516" t="n"/>
      <c r="DO94" s="516" t="n"/>
      <c r="DQ94" s="516" t="n"/>
      <c r="DR94" s="516" t="n"/>
      <c r="DS94" s="516" t="n"/>
      <c r="DT94" s="516" t="n"/>
      <c r="DU94" s="516" t="n"/>
      <c r="DV94" s="516" t="n"/>
      <c r="DW94" s="516" t="n"/>
      <c r="DX94" s="516" t="n"/>
      <c r="DY94" s="516" t="n"/>
      <c r="DZ94" s="516" t="n"/>
      <c r="EA94" s="516" t="n"/>
      <c r="EC94" s="516" t="n"/>
      <c r="ED94" s="516" t="n"/>
      <c r="EE94" s="516" t="n"/>
      <c r="EF94" s="516" t="n"/>
      <c r="EJ94" s="516" t="n"/>
      <c r="EN94" s="516" t="n"/>
      <c r="ES94" s="1104" t="n"/>
      <c r="ET94" s="1104" t="n"/>
      <c r="EW94" s="1104" t="n"/>
      <c r="EX94" s="1104" t="n"/>
      <c r="FA94" s="1104" t="n"/>
      <c r="FB94" s="1104" t="n"/>
      <c r="FE94" s="1104" t="n"/>
      <c r="FF94" s="1104" t="n"/>
      <c r="FI94" s="1104" t="n"/>
      <c r="FJ94" s="1104" t="n"/>
      <c r="FM94" s="1104" t="n"/>
    </row>
    <row r="95" customFormat="1" s="1078">
      <c r="A95" s="1105" t="n"/>
      <c r="B95" s="1087" t="inlineStr">
        <is>
          <t>Fuel hedging gains/losses</t>
        </is>
      </c>
      <c r="L95" s="1090" t="n"/>
      <c r="M95" s="1090" t="n"/>
      <c r="N95" s="1090" t="n"/>
      <c r="O95" s="1090" t="n"/>
      <c r="P95" s="1090" t="n"/>
      <c r="Q95" s="1090" t="n"/>
      <c r="R95" s="1090" t="n"/>
      <c r="V95" s="1106">
        <f>W95-527</f>
        <v/>
      </c>
      <c r="W95" s="1106" t="n">
        <v>933</v>
      </c>
      <c r="X95" s="1106">
        <f>-7661-309</f>
        <v/>
      </c>
      <c r="Y95" s="1106" t="n">
        <v>2758</v>
      </c>
      <c r="Z95" s="1106" t="n">
        <v>-41</v>
      </c>
      <c r="AA95" s="1106" t="n">
        <v>1814</v>
      </c>
      <c r="AB95" s="1106" t="n">
        <v>544</v>
      </c>
      <c r="AC95" s="1106" t="n">
        <v>985</v>
      </c>
      <c r="AD95" s="1106" t="n">
        <v>-911</v>
      </c>
      <c r="AE95" s="1106" t="n">
        <v>-8474</v>
      </c>
      <c r="AF95" s="1106" t="n">
        <v>-8456</v>
      </c>
      <c r="AG95" s="1106" t="n">
        <v>-6377</v>
      </c>
      <c r="AH95" s="1106" t="n">
        <v>-1445</v>
      </c>
      <c r="AI95" s="1106" t="n">
        <v>-101</v>
      </c>
      <c r="AJ95" s="1106" t="n">
        <v>-3017</v>
      </c>
      <c r="AK95" s="1106" t="n">
        <v>2336</v>
      </c>
      <c r="AL95" s="1106" t="n">
        <v>3639</v>
      </c>
      <c r="AM95" s="1106" t="n">
        <v>694</v>
      </c>
      <c r="AN95" s="1106" t="n">
        <v>35</v>
      </c>
      <c r="AO95" s="1106" t="n"/>
      <c r="AP95" s="1091" t="n"/>
      <c r="AQ95" s="1091" t="n"/>
      <c r="AR95" s="1091" t="n"/>
      <c r="AS95" s="1091" t="n"/>
      <c r="AT95" s="1091" t="n"/>
      <c r="AV95" s="1081" t="n"/>
      <c r="AW95" s="1081" t="n"/>
      <c r="AX95" s="1082" t="n"/>
      <c r="AY95" s="1081" t="n"/>
      <c r="AZ95" s="1081" t="n"/>
      <c r="BA95" s="1081" t="n"/>
      <c r="BB95" s="1082" t="n"/>
      <c r="BD95" s="1081" t="n"/>
      <c r="BE95" s="1081" t="n"/>
      <c r="BF95" s="1082" t="n"/>
      <c r="BQ95" s="1081" t="n"/>
    </row>
    <row r="96" ht="14.25" customFormat="1" customHeight="1" s="994">
      <c r="A96" s="1009" t="n"/>
      <c r="B96" s="1107" t="n"/>
      <c r="C96" s="994" t="n"/>
      <c r="D96" s="994" t="n"/>
      <c r="E96" s="994" t="n"/>
      <c r="F96" s="994" t="n"/>
      <c r="G96" s="994" t="n"/>
      <c r="H96" s="994" t="n"/>
      <c r="I96" s="994" t="n"/>
      <c r="J96" s="994" t="n"/>
      <c r="K96" s="1010" t="n"/>
      <c r="L96" s="1010" t="n"/>
      <c r="M96" s="1010" t="n"/>
      <c r="N96" s="1010" t="n"/>
      <c r="O96" s="1010" t="n"/>
      <c r="P96" s="1108" t="n"/>
      <c r="Q96" s="1010" t="n"/>
      <c r="R96" s="1010" t="n"/>
      <c r="S96" s="1108" t="n"/>
      <c r="T96" s="1010" t="n"/>
      <c r="U96" s="1010" t="n"/>
      <c r="V96" s="1010" t="n"/>
      <c r="W96" s="1010" t="n"/>
      <c r="X96" s="1010" t="n"/>
      <c r="Y96" s="1010" t="n"/>
      <c r="Z96" s="1010" t="n"/>
      <c r="AA96" s="1010" t="n"/>
      <c r="AB96" s="1010" t="n"/>
      <c r="AC96" s="1010" t="n"/>
      <c r="AD96" s="1010" t="n"/>
      <c r="AE96" s="1010" t="n"/>
      <c r="AF96" s="1010" t="n"/>
      <c r="AG96" s="1010" t="n"/>
      <c r="AH96" s="1010" t="n"/>
      <c r="AI96" s="1010" t="n"/>
      <c r="AJ96" s="1010" t="n"/>
      <c r="AK96" s="1010" t="n"/>
      <c r="AL96" s="1010" t="n"/>
      <c r="AM96" s="1010" t="n"/>
      <c r="AN96" s="1010" t="n"/>
      <c r="AO96" s="1010" t="n"/>
      <c r="AP96" s="1010" t="n"/>
      <c r="AQ96" s="1010" t="n"/>
      <c r="AR96" s="1010" t="n"/>
      <c r="AS96" s="1010" t="n"/>
      <c r="AT96" s="1010" t="n"/>
      <c r="AU96" s="1010" t="n"/>
      <c r="AV96" s="1012" t="n"/>
      <c r="AW96" s="1012" t="n"/>
      <c r="AX96" s="1013" t="n"/>
      <c r="AY96" s="1012" t="n"/>
      <c r="AZ96" s="1012" t="n"/>
      <c r="BA96" s="1012" t="n"/>
      <c r="BB96" s="1013" t="n"/>
      <c r="BD96" s="1012" t="n"/>
      <c r="BE96" s="1012" t="n"/>
      <c r="BF96" s="1013" t="n"/>
      <c r="BH96" s="1073" t="n"/>
      <c r="BI96" s="1073" t="n"/>
      <c r="BJ96" s="1013" t="n"/>
      <c r="BL96" s="1073" t="n"/>
      <c r="BM96" s="1073" t="n"/>
      <c r="BN96" s="1013" t="n"/>
      <c r="BP96" s="1073" t="n"/>
      <c r="BQ96" s="1073" t="n"/>
      <c r="BR96" s="1013" t="n"/>
      <c r="BT96" s="1073" t="n"/>
      <c r="BU96" s="1073" t="n"/>
      <c r="BV96" s="1013" t="n"/>
      <c r="BX96" s="1073" t="n"/>
      <c r="BY96" s="1073" t="n"/>
      <c r="BZ96" s="1013" t="n"/>
      <c r="CB96" s="1073" t="n"/>
      <c r="CC96" s="1073" t="n"/>
      <c r="CD96" s="1013" t="n"/>
      <c r="CE96" s="1073" t="n"/>
      <c r="CF96" s="1073" t="n"/>
      <c r="CG96" s="1073" t="n"/>
      <c r="CH96" s="1013" t="n"/>
      <c r="CI96" s="1013" t="n"/>
      <c r="CJ96" s="1073" t="n"/>
      <c r="CK96" s="1073" t="n"/>
      <c r="CL96" s="1013" t="n"/>
      <c r="CM96" s="1013" t="n"/>
      <c r="CN96" s="1073" t="n"/>
      <c r="CO96" s="1073" t="n"/>
      <c r="CP96" s="1017" t="n"/>
      <c r="CQ96" s="1017" t="n"/>
      <c r="CR96" s="1073" t="n"/>
      <c r="CS96" s="1073" t="n"/>
      <c r="CT96" s="1073" t="n"/>
      <c r="CU96" s="1017" t="n"/>
      <c r="CV96" s="1017" t="n"/>
      <c r="CW96" s="1073" t="n"/>
      <c r="CX96" s="1073" t="n"/>
      <c r="CY96" s="1017" t="n"/>
      <c r="CZ96" s="1017" t="n"/>
      <c r="DA96" s="1073" t="n"/>
      <c r="DB96" s="1073" t="n"/>
      <c r="DC96" s="1017" t="n"/>
      <c r="DD96" s="1017" t="n"/>
      <c r="DE96" s="1010" t="n"/>
      <c r="DF96" s="1073" t="n"/>
      <c r="DG96" s="1017" t="n"/>
      <c r="DH96" s="118" t="n"/>
      <c r="DI96" s="1010" t="n"/>
      <c r="DJ96" s="1073" t="n"/>
      <c r="DK96" s="1017" t="n"/>
      <c r="DL96" s="1017" t="n"/>
      <c r="DM96" s="1010" t="n"/>
      <c r="DN96" s="1073" t="n"/>
      <c r="DO96" s="1017" t="n"/>
      <c r="DP96" s="118" t="n"/>
      <c r="DQ96" s="1010" t="n"/>
      <c r="DR96" s="1073" t="n"/>
      <c r="DS96" s="1073" t="n"/>
      <c r="DT96" s="1073" t="n"/>
      <c r="DU96" s="1010" t="n"/>
      <c r="DV96" s="1010" t="n"/>
      <c r="DW96" s="1010" t="n"/>
      <c r="DX96" s="1073" t="n"/>
      <c r="DY96" s="1010" t="n"/>
      <c r="DZ96" s="1010" t="n"/>
      <c r="EA96" s="1010" t="n"/>
      <c r="EC96" s="1010" t="n"/>
      <c r="ED96" s="1010" t="n"/>
      <c r="EE96" s="1010" t="n"/>
      <c r="EF96" s="1010" t="n"/>
      <c r="EG96" s="1010" t="n"/>
      <c r="EH96" s="1010" t="n"/>
      <c r="EI96" s="1010" t="n"/>
      <c r="EJ96" s="1010" t="n"/>
      <c r="EK96" s="1010" t="n"/>
      <c r="EL96" s="1010" t="n"/>
      <c r="EM96" s="1010" t="n"/>
      <c r="EN96" s="1010" t="n"/>
      <c r="EO96" s="1010" t="n"/>
      <c r="EP96" s="1010" t="n"/>
      <c r="EQ96" s="1010" t="n"/>
      <c r="ER96" s="1010" t="n"/>
      <c r="ES96" s="1010" t="n"/>
      <c r="ET96" s="1010" t="n"/>
      <c r="EU96" s="1010" t="n"/>
      <c r="EV96" s="1010" t="n"/>
      <c r="EW96" s="1010" t="n"/>
      <c r="EX96" s="1010" t="n"/>
      <c r="EY96" s="1010" t="n"/>
      <c r="EZ96" s="1010" t="n"/>
      <c r="FA96" s="1010" t="n"/>
      <c r="FB96" s="1010" t="n"/>
      <c r="FC96" s="1010" t="n"/>
      <c r="FE96" s="1010" t="n"/>
      <c r="FF96" s="1010" t="n"/>
      <c r="FG96" s="1010" t="n"/>
      <c r="FI96" s="1010" t="n"/>
      <c r="FJ96" s="1010" t="n"/>
      <c r="FK96" s="1010" t="n"/>
      <c r="FM96" s="1010" t="n"/>
      <c r="FN96" s="1010" t="n"/>
      <c r="FO96" s="1010" t="n"/>
    </row>
    <row r="97" customFormat="1" s="1098">
      <c r="A97" s="1109" t="n"/>
      <c r="B97" s="967" t="inlineStr">
        <is>
          <t>Other assumptions</t>
        </is>
      </c>
      <c r="C97" s="967" t="n"/>
      <c r="D97" s="967" t="n"/>
      <c r="E97" s="967" t="n"/>
      <c r="F97" s="967" t="n"/>
      <c r="G97" s="967" t="n"/>
      <c r="H97" s="967" t="n"/>
      <c r="I97" s="967" t="n"/>
      <c r="J97" s="967" t="n"/>
      <c r="K97" s="967" t="n"/>
      <c r="L97" s="967" t="n"/>
      <c r="M97" s="967" t="n"/>
      <c r="N97" s="967" t="n"/>
      <c r="O97" s="967" t="n"/>
      <c r="P97" s="967" t="n"/>
      <c r="Q97" s="967" t="n"/>
      <c r="R97" s="967" t="n"/>
      <c r="S97" s="967" t="n"/>
      <c r="T97" s="967" t="n"/>
      <c r="U97" s="967" t="n"/>
      <c r="V97" s="967" t="n"/>
      <c r="W97" s="967" t="n"/>
      <c r="X97" s="967" t="n"/>
      <c r="Y97" s="967" t="n"/>
      <c r="Z97" s="967" t="n"/>
      <c r="AA97" s="967" t="n"/>
      <c r="AB97" s="967" t="n"/>
      <c r="AC97" s="967" t="n"/>
      <c r="AD97" s="967" t="n"/>
      <c r="AE97" s="967" t="n"/>
      <c r="AF97" s="967" t="n"/>
      <c r="AG97" s="967" t="n"/>
      <c r="AH97" s="967" t="n"/>
      <c r="AI97" s="967" t="n"/>
      <c r="AJ97" s="967" t="n"/>
      <c r="AK97" s="967" t="n"/>
      <c r="AL97" s="967" t="n"/>
      <c r="AM97" s="967" t="n"/>
      <c r="AN97" s="967" t="n"/>
      <c r="AO97" s="967" t="n"/>
      <c r="AP97" s="967" t="n"/>
      <c r="AQ97" s="967" t="n"/>
      <c r="AR97" s="967" t="n"/>
      <c r="AS97" s="967" t="n"/>
      <c r="AT97" s="967" t="n"/>
      <c r="AU97" s="967" t="n"/>
      <c r="AV97" s="967" t="n"/>
      <c r="AW97" s="967" t="n"/>
      <c r="AX97" s="967" t="n"/>
      <c r="AY97" s="967" t="n"/>
      <c r="AZ97" s="967" t="n"/>
      <c r="BA97" s="967" t="n"/>
      <c r="BB97" s="967" t="n"/>
      <c r="BC97" s="967" t="n"/>
      <c r="BD97" s="967" t="n"/>
      <c r="BE97" s="967" t="n"/>
      <c r="BF97" s="967" t="n"/>
      <c r="BG97" s="967" t="n"/>
      <c r="BH97" s="967" t="n"/>
      <c r="BI97" s="967" t="n"/>
      <c r="BJ97" s="967" t="n"/>
      <c r="BK97" s="967" t="n"/>
      <c r="BL97" s="967" t="n"/>
      <c r="BM97" s="967" t="n"/>
      <c r="BN97" s="967" t="n"/>
      <c r="BO97" s="967" t="n"/>
      <c r="BP97" s="967" t="n"/>
      <c r="BQ97" s="967" t="n"/>
      <c r="BR97" s="967" t="n"/>
      <c r="BS97" s="967" t="n"/>
      <c r="BT97" s="967" t="n"/>
      <c r="BU97" s="967" t="n"/>
      <c r="BV97" s="967" t="n"/>
      <c r="BW97" s="967" t="n"/>
      <c r="BX97" s="967" t="n"/>
      <c r="BY97" s="967" t="n"/>
      <c r="BZ97" s="967" t="n"/>
      <c r="CA97" s="967" t="n"/>
      <c r="CB97" s="967" t="n"/>
      <c r="CC97" s="967" t="n"/>
      <c r="CD97" s="967" t="n"/>
      <c r="CE97" s="967" t="n"/>
      <c r="CF97" s="967" t="n"/>
      <c r="CG97" s="967" t="n"/>
      <c r="CH97" s="967" t="n"/>
      <c r="CI97" s="967" t="n"/>
      <c r="CJ97" s="967" t="n"/>
      <c r="CK97" s="967" t="n"/>
      <c r="CL97" s="967" t="n"/>
      <c r="CM97" s="967" t="n"/>
      <c r="CN97" s="967" t="n"/>
      <c r="CO97" s="967" t="n"/>
      <c r="CP97" s="967" t="n"/>
      <c r="CQ97" s="967" t="n"/>
      <c r="CR97" s="967" t="n"/>
      <c r="CS97" s="967" t="n"/>
      <c r="CT97" s="967" t="n"/>
      <c r="CU97" s="967" t="n"/>
      <c r="CV97" s="967" t="n"/>
      <c r="CW97" s="967" t="n"/>
      <c r="CX97" s="967" t="n"/>
      <c r="CY97" s="967" t="n"/>
      <c r="CZ97" s="967" t="n"/>
      <c r="DA97" s="967" t="n"/>
      <c r="DB97" s="967" t="n"/>
      <c r="DC97" s="967" t="n"/>
      <c r="DD97" s="967" t="n"/>
      <c r="DE97" s="967" t="n"/>
      <c r="DF97" s="967" t="n"/>
      <c r="DG97" s="967" t="n"/>
      <c r="DH97" s="967" t="n"/>
      <c r="DI97" s="967" t="n"/>
      <c r="DJ97" s="967" t="n"/>
      <c r="DK97" s="967" t="n"/>
      <c r="DL97" s="967" t="n"/>
      <c r="DM97" s="967" t="n"/>
      <c r="DN97" s="967" t="n"/>
      <c r="DO97" s="967" t="n"/>
      <c r="DP97" s="967" t="n"/>
      <c r="DQ97" s="967" t="n"/>
      <c r="DR97" s="967" t="n"/>
      <c r="DS97" s="967" t="n"/>
      <c r="DT97" s="967" t="n"/>
      <c r="DU97" s="967" t="n"/>
      <c r="DV97" s="967" t="n"/>
      <c r="DW97" s="967" t="n"/>
      <c r="DX97" s="967" t="n"/>
      <c r="DY97" s="967" t="n"/>
      <c r="DZ97" s="967" t="n"/>
      <c r="EA97" s="967" t="n"/>
      <c r="EB97" s="967" t="n"/>
      <c r="EC97" s="967" t="n"/>
      <c r="ED97" s="967" t="n"/>
      <c r="EE97" s="967" t="n"/>
      <c r="EF97" s="967" t="n"/>
      <c r="EG97" s="967" t="n"/>
      <c r="EH97" s="967" t="n"/>
      <c r="EI97" s="967" t="n"/>
      <c r="EJ97" s="967" t="n"/>
      <c r="EK97" s="967" t="n"/>
      <c r="EL97" s="967" t="n"/>
      <c r="EM97" s="967" t="n"/>
      <c r="EN97" s="967" t="n"/>
      <c r="EO97" s="967" t="n"/>
      <c r="EP97" s="967" t="n"/>
      <c r="EQ97" s="967" t="n"/>
      <c r="ER97" s="967" t="n"/>
      <c r="ES97" s="967" t="n"/>
      <c r="ET97" s="967" t="n"/>
      <c r="EU97" s="967" t="n"/>
      <c r="EV97" s="967" t="n"/>
      <c r="EW97" s="967" t="n"/>
      <c r="EX97" s="967" t="n"/>
      <c r="EY97" s="967" t="n"/>
      <c r="EZ97" s="967" t="n"/>
      <c r="FA97" s="967" t="n"/>
      <c r="FB97" s="967" t="n"/>
      <c r="FC97" s="967" t="n"/>
      <c r="FD97" s="967" t="n"/>
      <c r="FE97" s="967" t="n"/>
      <c r="FF97" s="967" t="n"/>
      <c r="FG97" s="967" t="n"/>
      <c r="FH97" s="967" t="n"/>
      <c r="FI97" s="967" t="n"/>
      <c r="FJ97" s="967" t="n"/>
      <c r="FK97" s="967" t="n"/>
      <c r="FM97" s="967" t="n"/>
      <c r="FN97" s="967" t="n"/>
      <c r="FO97" s="967" t="n"/>
    </row>
    <row r="98" customFormat="1" s="1049">
      <c r="A98" s="1110" t="n"/>
      <c r="B98" s="1111" t="inlineStr">
        <is>
          <t>Background efficiency</t>
        </is>
      </c>
      <c r="M98" s="459">
        <f>M4/(+M131-M129-M128-M122-M121)</f>
        <v/>
      </c>
      <c r="N98" s="459">
        <f>N4/(+N131-N129-N128-N122-N121)</f>
        <v/>
      </c>
      <c r="O98" s="459">
        <f>O4/(+O131-O129-O128-O122-O121)</f>
        <v/>
      </c>
      <c r="P98" s="459">
        <f>P4/(+P131-P129-P128-P122-P121)</f>
        <v/>
      </c>
      <c r="Q98" s="459">
        <f>Q4/(+Q131-Q129-Q128-Q122-Q121)</f>
        <v/>
      </c>
      <c r="R98" s="459">
        <f>R4/(+R131-R129-R128-R122-R121)</f>
        <v/>
      </c>
      <c r="S98" s="459">
        <f>S4/(+S131-S129-S128-S122-S121)</f>
        <v/>
      </c>
      <c r="T98" s="459">
        <f>T4/(+T131-T129-T128-T122-T121)</f>
        <v/>
      </c>
      <c r="U98" s="459">
        <f>U4/(+U131-U129-U128-U122-U121)</f>
        <v/>
      </c>
      <c r="V98" s="459">
        <f>V4/(+V131-V129-V128-V122-V121)</f>
        <v/>
      </c>
      <c r="W98" s="459">
        <f>W4/(+W131-W129-W128-W122-W121)</f>
        <v/>
      </c>
      <c r="X98" s="459">
        <f>X4/(+X131-X129-X128-X122-X121)</f>
        <v/>
      </c>
      <c r="Y98" s="459">
        <f>Y4/(+Y131-Y129-Y128-Y122-Y121)</f>
        <v/>
      </c>
      <c r="Z98" s="459">
        <f>Z4/(+Z131-Z129-Z128-Z122-Z121)</f>
        <v/>
      </c>
      <c r="AA98" s="459">
        <f>AA4/(+AA131-AA129-AA128-AA122-AA121)</f>
        <v/>
      </c>
      <c r="AB98" s="459">
        <f>AB4/(+AB131-AB129-AB128-AB122-AB121)</f>
        <v/>
      </c>
      <c r="AC98" s="459">
        <f>AC4/(+AC131-AC129-AC128-AC122-AC121)</f>
        <v/>
      </c>
      <c r="AD98" s="459">
        <f>AD4/(+AD131-AD129-AD128-AD122-AD121)</f>
        <v/>
      </c>
      <c r="AE98" s="459">
        <f>AE4/(+AE131-AE129-AE128-AE122-AE121)</f>
        <v/>
      </c>
      <c r="AF98" s="459">
        <f>AF4/(+AF131-AF129-AF128-AF122-AF121)</f>
        <v/>
      </c>
      <c r="AG98" s="459">
        <f>AG4/(+AG131-AG129-AG128-AG122-AG121)</f>
        <v/>
      </c>
      <c r="AH98" s="459">
        <f>AH4/(+AH131-AH129-AH128-AH122-AH121)</f>
        <v/>
      </c>
      <c r="AI98" s="459">
        <f>AI4/(+AI131-AI129-AI128-AI122-AI121)</f>
        <v/>
      </c>
      <c r="AJ98" s="459">
        <f>AJ4/(+AJ131-AJ129-AJ128-AJ122-AJ121)</f>
        <v/>
      </c>
      <c r="AK98" s="459">
        <f>AK4/(+AK131-AK129-AK128-AK122-AK121)</f>
        <v/>
      </c>
      <c r="AL98" s="459">
        <f>AL4/(+AL131-AL129-AL128-AL122-AL121)</f>
        <v/>
      </c>
      <c r="AM98" s="459">
        <f>AM4/(+AM131-AM129-AM128-AM122-AM121)</f>
        <v/>
      </c>
      <c r="AN98" s="459">
        <f>AN4/(+AN131-AN129-AN128-AN122-AN121)</f>
        <v/>
      </c>
      <c r="AO98" s="459">
        <f>AO4/(+AO131-AO129-AO128-AO122-AO121)</f>
        <v/>
      </c>
      <c r="AP98" s="459">
        <f>AP4/(+AP131-AP129-AP128-AP122-AP121)</f>
        <v/>
      </c>
      <c r="AQ98" s="459">
        <f>AP98*(1+AQ99)</f>
        <v/>
      </c>
      <c r="AR98" s="459">
        <f>AQ98*(1+AR99)</f>
        <v/>
      </c>
      <c r="AS98" s="459">
        <f>AR98*(1+AS99)</f>
        <v/>
      </c>
      <c r="AT98" s="459">
        <f>AS98*(1+AT99)</f>
        <v/>
      </c>
      <c r="AU98" s="226" t="n"/>
      <c r="AV98" s="226" t="n"/>
      <c r="AW98" s="1057" t="n"/>
      <c r="AX98" s="1057" t="n"/>
      <c r="AY98" s="1057" t="n"/>
      <c r="AZ98" s="1057" t="n"/>
      <c r="BA98" s="1057" t="n"/>
      <c r="BB98" s="1057" t="n"/>
      <c r="BD98" s="1057" t="n"/>
      <c r="BE98" s="1057" t="n"/>
      <c r="BF98" s="1057" t="n"/>
      <c r="BH98" s="1057" t="n"/>
      <c r="BI98" s="1057" t="n"/>
      <c r="BJ98" s="1057" t="n"/>
      <c r="BL98" s="1057" t="n"/>
      <c r="BM98" s="1057" t="n"/>
      <c r="BN98" s="1057" t="n"/>
      <c r="BP98" s="1057" t="n"/>
      <c r="BQ98" s="1057" t="n"/>
      <c r="BR98" s="1057" t="n"/>
      <c r="BT98" s="1057" t="n"/>
      <c r="BU98" s="1057" t="n"/>
      <c r="BV98" s="1057" t="n"/>
      <c r="BX98" s="1057" t="n"/>
      <c r="BY98" s="1057" t="n"/>
      <c r="BZ98" s="1057" t="n"/>
      <c r="CB98" s="1057" t="n"/>
      <c r="CC98" s="1057" t="n"/>
      <c r="CD98" s="1057" t="n"/>
      <c r="CE98" s="1057" t="n"/>
      <c r="CF98" s="1057" t="n"/>
      <c r="CG98" s="1057" t="n"/>
      <c r="CH98" s="1057" t="n"/>
      <c r="CI98" s="1057" t="n"/>
      <c r="CJ98" s="1057" t="n"/>
      <c r="CK98" s="1057" t="n"/>
      <c r="CL98" s="1057" t="n"/>
      <c r="CM98" s="1057" t="n"/>
      <c r="CN98" s="1057" t="n"/>
      <c r="CO98" s="1057" t="n"/>
      <c r="CP98" s="1057" t="n"/>
      <c r="CQ98" s="1057" t="n"/>
      <c r="CR98" s="1057" t="n"/>
      <c r="CS98" s="1057" t="n"/>
      <c r="CT98" s="1057" t="n"/>
      <c r="CU98" s="1057" t="n"/>
      <c r="CV98" s="1057" t="n"/>
      <c r="CW98" s="1057" t="n"/>
      <c r="CX98" s="1057" t="n"/>
      <c r="CY98" s="1057" t="n"/>
      <c r="CZ98" s="1057" t="n"/>
      <c r="DC98" s="1057" t="n"/>
      <c r="DD98" s="1057" t="n"/>
      <c r="DG98" s="1057" t="n"/>
      <c r="DH98" s="1057" t="n"/>
      <c r="DK98" s="1057" t="n"/>
      <c r="DL98" s="1057" t="n"/>
      <c r="DP98" s="1057" t="n"/>
      <c r="DU98" s="459">
        <f>DU4/(+DU131-DU129-DU128-DU122-DU121)</f>
        <v/>
      </c>
      <c r="DV98" s="459">
        <f>DV4/(+DV131-DV129-DV128-DV122-DV121)</f>
        <v/>
      </c>
      <c r="DY98" s="459">
        <f>DY4/(+DY131-DY129-DY128-DY122-DY121)</f>
        <v/>
      </c>
      <c r="DZ98" s="459">
        <f>DZ4/(+DZ131-DZ129-DZ128-DZ122-DZ121)</f>
        <v/>
      </c>
      <c r="EC98" s="459">
        <f>EC4/(+EC131-EC129-EC128-EC122-EC121)</f>
        <v/>
      </c>
      <c r="ED98" s="459">
        <f>ED4/(+ED131-ED129-ED128-ED122-ED121)</f>
        <v/>
      </c>
      <c r="EG98" s="459">
        <f>EG4/(+EG131-EG129-EG128-EG122-EG121)</f>
        <v/>
      </c>
      <c r="EH98" s="459">
        <f>EH4/(+EH131-EH129-EH128-EH122-EH121)</f>
        <v/>
      </c>
      <c r="EK98" s="459">
        <f>EK4/(+EK131-EK129-EK128-EK122-EK121)</f>
        <v/>
      </c>
      <c r="EL98" s="459">
        <f>EL4/(+EL131-EL129-EL128-EL122-EL121)</f>
        <v/>
      </c>
      <c r="EO98" s="459">
        <f>EO4/(+EO131-EO129-EO128-EO122-EO121)</f>
        <v/>
      </c>
      <c r="EP98" s="459">
        <f>EP4/(+EP131-EP129-EP128-EP122-EP121)</f>
        <v/>
      </c>
      <c r="ES98" s="459">
        <f>ES4/(+ES131-ES129-ES128-ES122-ES121)</f>
        <v/>
      </c>
      <c r="ET98" s="459">
        <f>ET4/(+ET131-ET129-ET128-ET122-ET121)</f>
        <v/>
      </c>
      <c r="EW98" s="459">
        <f>EW4/(+EW131-EW129-EW128-EW122-EW121)</f>
        <v/>
      </c>
      <c r="EX98" s="459">
        <f>EX4/(+EX131-EX129-EX128-EX122-EX121)</f>
        <v/>
      </c>
      <c r="FA98" s="459">
        <f>FA4/(+FA131-FA129-FA128-FA122-FA121)</f>
        <v/>
      </c>
      <c r="FB98" s="459">
        <f>FB4/(+FB131-FB129-FB128-FB122-FB121)</f>
        <v/>
      </c>
      <c r="FE98" s="459">
        <f>FE4/(+FE131-FE129-FE128-FE122-FE121)</f>
        <v/>
      </c>
      <c r="FF98" s="459">
        <f>FF4/(+FF131-FF129-FF128-FF122-FF121)</f>
        <v/>
      </c>
      <c r="FI98" s="459">
        <f>FI4/(+FI131-FI129-FI128-FI122-FI121)</f>
        <v/>
      </c>
      <c r="FJ98" s="459">
        <f>FJ4/(+FJ131-FJ129-FJ128-FJ122-FJ121)</f>
        <v/>
      </c>
      <c r="FM98" s="459">
        <f>FM4/(+FM131-FM129-FM128-FM122-FM121)</f>
        <v/>
      </c>
      <c r="FN98" s="486">
        <f>FJ98*(1+FN99)</f>
        <v/>
      </c>
    </row>
    <row r="99" customFormat="1" s="1049">
      <c r="A99" s="1055" t="n"/>
      <c r="B99" s="1101" t="inlineStr">
        <is>
          <t>% chg</t>
        </is>
      </c>
      <c r="J99" s="1056" t="n"/>
      <c r="K99" s="1056" t="n"/>
      <c r="L99" s="1056" t="n"/>
      <c r="M99" s="1056" t="n"/>
      <c r="N99" s="1056">
        <f>N98/M98-1</f>
        <v/>
      </c>
      <c r="O99" s="1056">
        <f>O98/N98-1</f>
        <v/>
      </c>
      <c r="P99" s="1056">
        <f>P98/O98-1</f>
        <v/>
      </c>
      <c r="Q99" s="1056">
        <f>Q98/P98-1</f>
        <v/>
      </c>
      <c r="R99" s="1056">
        <f>R98/Q98-1</f>
        <v/>
      </c>
      <c r="S99" s="1056">
        <f>S98/R98-1</f>
        <v/>
      </c>
      <c r="T99" s="1056">
        <f>T98/S98-1</f>
        <v/>
      </c>
      <c r="U99" s="1056">
        <f>U98/T98-1</f>
        <v/>
      </c>
      <c r="V99" s="1056">
        <f>V98/U98-1</f>
        <v/>
      </c>
      <c r="W99" s="1056">
        <f>W98/V98-1</f>
        <v/>
      </c>
      <c r="X99" s="1056">
        <f>X98/W98-1</f>
        <v/>
      </c>
      <c r="Y99" s="1112">
        <f>Y98/X98-1</f>
        <v/>
      </c>
      <c r="Z99" s="1056">
        <f>Z98/Y98-1</f>
        <v/>
      </c>
      <c r="AA99" s="1056">
        <f>AA98/Z98-1</f>
        <v/>
      </c>
      <c r="AB99" s="1056">
        <f>AB98/AA98-1</f>
        <v/>
      </c>
      <c r="AC99" s="1056">
        <f>AC98/AB98-1</f>
        <v/>
      </c>
      <c r="AD99" s="1056">
        <f>AD98/AC98-1</f>
        <v/>
      </c>
      <c r="AE99" s="1056">
        <f>AE98/AD98-1</f>
        <v/>
      </c>
      <c r="AF99" s="1056">
        <f>AF98/AE98-1</f>
        <v/>
      </c>
      <c r="AG99" s="1002">
        <f>AG98/AF98-1</f>
        <v/>
      </c>
      <c r="AH99" s="1002">
        <f>AH98/AG98-1</f>
        <v/>
      </c>
      <c r="AI99" s="1002">
        <f>AI98/AH98-1</f>
        <v/>
      </c>
      <c r="AJ99" s="1002">
        <f>AJ98/AI98-1</f>
        <v/>
      </c>
      <c r="AK99" s="1002">
        <f>AK98/AJ98-1</f>
        <v/>
      </c>
      <c r="AL99" s="1002">
        <f>AL98/AK98-1</f>
        <v/>
      </c>
      <c r="AM99" s="1002">
        <f>AM98/AL98-1</f>
        <v/>
      </c>
      <c r="AN99" s="1002">
        <f>AN98/AM98-1</f>
        <v/>
      </c>
      <c r="AO99" s="1002">
        <f>AO98/AN98-1</f>
        <v/>
      </c>
      <c r="AP99" s="1002">
        <f>AP98/AO98-1</f>
        <v/>
      </c>
      <c r="AQ99" s="1061" t="n">
        <v>-0.01</v>
      </c>
      <c r="AR99" s="1061" t="n">
        <v>-0.01</v>
      </c>
      <c r="AS99" s="1061" t="n">
        <v>-0.01</v>
      </c>
      <c r="AT99" s="1061" t="n">
        <v>-0.01</v>
      </c>
      <c r="AU99" s="1056" t="n"/>
      <c r="AV99" s="1057" t="n"/>
      <c r="AW99" s="1057" t="n"/>
      <c r="AX99" s="1058" t="n"/>
      <c r="AY99" s="1057" t="n"/>
      <c r="AZ99" s="1057" t="n"/>
      <c r="BA99" s="1057" t="n"/>
      <c r="BB99" s="1058" t="n"/>
      <c r="BD99" s="1057" t="n"/>
      <c r="BE99" s="1057" t="n"/>
      <c r="BF99" s="1058" t="n"/>
      <c r="BH99" s="1057" t="n"/>
      <c r="BI99" s="1057" t="n"/>
      <c r="BJ99" s="1058" t="n"/>
      <c r="BL99" s="1057" t="n"/>
      <c r="BM99" s="1057" t="n"/>
      <c r="BN99" s="1058" t="n"/>
      <c r="BP99" s="1057" t="n"/>
      <c r="BQ99" s="1057" t="n"/>
      <c r="BR99" s="1057" t="n"/>
      <c r="BT99" s="1057" t="n"/>
      <c r="BU99" s="1057" t="n"/>
      <c r="BV99" s="1057" t="n"/>
      <c r="BX99" s="1057" t="n"/>
      <c r="BY99" s="1057" t="n"/>
      <c r="BZ99" s="1057" t="n"/>
      <c r="CB99" s="1057" t="n"/>
      <c r="CC99" s="1057" t="n"/>
      <c r="CD99" s="1057" t="n"/>
      <c r="CE99" s="1057" t="n"/>
      <c r="CF99" s="1057" t="n"/>
      <c r="CG99" s="1057" t="n"/>
      <c r="CH99" s="1057" t="n"/>
      <c r="CI99" s="1057" t="n"/>
      <c r="CJ99" s="1057" t="n"/>
      <c r="CK99" s="1057" t="n"/>
      <c r="CL99" s="1057" t="n"/>
      <c r="CM99" s="1057" t="n"/>
      <c r="CN99" s="1057" t="n"/>
      <c r="CO99" s="1057" t="n"/>
      <c r="CP99" s="1057" t="n"/>
      <c r="CQ99" s="1057" t="n"/>
      <c r="CR99" s="1057" t="n"/>
      <c r="CS99" s="1057" t="n"/>
      <c r="CT99" s="1057" t="n"/>
      <c r="CU99" s="1057" t="n"/>
      <c r="CV99" s="1057" t="n"/>
      <c r="CW99" s="1057" t="n"/>
      <c r="CX99" s="1057" t="n"/>
      <c r="CY99" s="1057" t="n"/>
      <c r="CZ99" s="1057" t="n"/>
      <c r="DA99" s="1057" t="n"/>
      <c r="DB99" s="1057" t="n"/>
      <c r="DC99" s="1057" t="n"/>
      <c r="DD99" s="1057" t="n"/>
      <c r="DE99" s="1057" t="n"/>
      <c r="DF99" s="1057" t="n"/>
      <c r="DG99" s="1057" t="n"/>
      <c r="DH99" s="1057" t="n"/>
      <c r="DI99" s="1057" t="n"/>
      <c r="DJ99" s="1057" t="n"/>
      <c r="DK99" s="1057" t="n"/>
      <c r="DL99" s="1057" t="n"/>
      <c r="DM99" s="1056" t="n"/>
      <c r="DN99" s="1057" t="n"/>
      <c r="DO99" s="1057" t="n"/>
      <c r="DP99" s="1057" t="n"/>
      <c r="DQ99" s="1056" t="n"/>
      <c r="DR99" s="1057" t="n"/>
      <c r="DS99" s="1057" t="n"/>
      <c r="DT99" s="1057" t="n"/>
      <c r="DU99" s="1056" t="n"/>
      <c r="DV99" s="1062" t="n"/>
      <c r="DW99" s="1062" t="n"/>
      <c r="DX99" s="1057" t="n"/>
      <c r="DY99" s="1062" t="n"/>
      <c r="DZ99" s="1062" t="n"/>
      <c r="EA99" s="1062" t="n"/>
      <c r="EC99" s="1062" t="n"/>
      <c r="ED99" s="1062" t="n"/>
      <c r="EE99" s="1062" t="n"/>
      <c r="EF99" s="1062" t="n"/>
      <c r="EG99" s="1062" t="n"/>
      <c r="EH99" s="1062" t="n"/>
      <c r="EI99" s="1062" t="n"/>
      <c r="EJ99" s="1062" t="n"/>
      <c r="EK99" s="1112" t="n"/>
      <c r="EL99" s="1112" t="n"/>
      <c r="EM99" s="1112" t="n"/>
      <c r="EO99" s="1112" t="n"/>
      <c r="EP99" s="1112" t="n"/>
      <c r="EQ99" s="1112" t="n"/>
      <c r="ES99" s="1112" t="n"/>
      <c r="ET99" s="1112" t="n"/>
      <c r="EU99" s="1112" t="n"/>
      <c r="EV99" s="1062" t="n"/>
      <c r="EW99" s="1112" t="n"/>
      <c r="EX99" s="1112" t="n"/>
      <c r="EY99" s="1112" t="n"/>
      <c r="FA99" s="1112" t="n"/>
      <c r="FB99" s="1112" t="n"/>
      <c r="FC99" s="1112" t="n"/>
      <c r="FE99" s="1112" t="n"/>
      <c r="FF99" s="1112" t="n"/>
      <c r="FG99" s="1112" t="n"/>
      <c r="FI99" s="1112">
        <f>FI98/FE98-1</f>
        <v/>
      </c>
      <c r="FJ99" s="1112" t="n"/>
      <c r="FK99" s="1112" t="n"/>
      <c r="FM99" s="1112">
        <f>FM98/FI98-1</f>
        <v/>
      </c>
      <c r="FN99" s="1062" t="n">
        <v>0</v>
      </c>
      <c r="FO99" s="1112" t="n"/>
    </row>
    <row r="100" customFormat="1" s="1111">
      <c r="A100" s="1113" t="n"/>
      <c r="B100" s="1111" t="inlineStr">
        <is>
          <t>Unit costs - ex-fuel</t>
        </is>
      </c>
      <c r="C100" s="1114">
        <f>(C131-C122)/C4</f>
        <v/>
      </c>
      <c r="D100" s="1114">
        <f>(D131-D122)/D4</f>
        <v/>
      </c>
      <c r="E100" s="1114">
        <f>(E131-E122)/E4</f>
        <v/>
      </c>
      <c r="F100" s="1114">
        <f>(F131-F122)/F4</f>
        <v/>
      </c>
      <c r="G100" s="1114">
        <f>(G131-G122)/G4</f>
        <v/>
      </c>
      <c r="H100" s="1114">
        <f>(H131-H122)/H4</f>
        <v/>
      </c>
      <c r="I100" s="1114">
        <f>(I131-I122)/I4</f>
        <v/>
      </c>
      <c r="J100" s="1114">
        <f>(J131-J122)/J4</f>
        <v/>
      </c>
      <c r="K100" s="1114">
        <f>(K131-K122)/K4</f>
        <v/>
      </c>
      <c r="L100" s="1114">
        <f>(L131-L122)/L4</f>
        <v/>
      </c>
      <c r="M100" s="1114">
        <f>(M131-M122)/M4</f>
        <v/>
      </c>
      <c r="N100" s="1114">
        <f>(N131-N122)/N4</f>
        <v/>
      </c>
      <c r="O100" s="1114">
        <f>(O131-O122)/O4</f>
        <v/>
      </c>
      <c r="P100" s="1114">
        <f>(P131-P122)/P4</f>
        <v/>
      </c>
      <c r="Q100" s="1114">
        <f>(Q131-Q122)/Q4</f>
        <v/>
      </c>
      <c r="R100" s="1114">
        <f>(R131-R122)/R4</f>
        <v/>
      </c>
      <c r="S100" s="1114">
        <f>(S131-S122)/S4</f>
        <v/>
      </c>
      <c r="T100" s="1114">
        <f>(T131-T122)/T4</f>
        <v/>
      </c>
      <c r="U100" s="1114">
        <f>(U131-U122)/U4</f>
        <v/>
      </c>
      <c r="V100" s="1114">
        <f>(V131-V122)/V4</f>
        <v/>
      </c>
      <c r="W100" s="1114">
        <f>(W131-W122)/W4</f>
        <v/>
      </c>
      <c r="X100" s="1114">
        <f>(X131-X122)/X4</f>
        <v/>
      </c>
      <c r="Y100" s="1114">
        <f>(Y131-Y122)/Y4</f>
        <v/>
      </c>
      <c r="Z100" s="1114">
        <f>(Z131-Z122)/Z4</f>
        <v/>
      </c>
      <c r="AA100" s="1114">
        <f>(AA131-AA122)/AA4</f>
        <v/>
      </c>
      <c r="AB100" s="1114">
        <f>(AB131-AB122)/AB4</f>
        <v/>
      </c>
      <c r="AC100" s="1114">
        <f>(AC131-AC122)/AC4</f>
        <v/>
      </c>
      <c r="AD100" s="1114">
        <f>(AD131-AD122)/AD4</f>
        <v/>
      </c>
      <c r="AE100" s="1114">
        <f>(AE131-AE122)/AE4</f>
        <v/>
      </c>
      <c r="AF100" s="1114">
        <f>(AF131-AF122)/AF4</f>
        <v/>
      </c>
      <c r="AG100" s="1114">
        <f>(AG131-AG122)/AG4</f>
        <v/>
      </c>
      <c r="AH100" s="1114">
        <f>(AH131-AH122)/AH4</f>
        <v/>
      </c>
      <c r="AI100" s="1114">
        <f>(AI131-AI122)/AI4</f>
        <v/>
      </c>
      <c r="AJ100" s="1114">
        <f>(AJ131-AJ122)/AJ4</f>
        <v/>
      </c>
      <c r="AK100" s="1114">
        <f>(AK131-AK122)/AK4</f>
        <v/>
      </c>
      <c r="AL100" s="1114">
        <f>(AL131-AL122)/AL4</f>
        <v/>
      </c>
      <c r="AM100" s="1114">
        <f>(AM131-AM122)/AM4</f>
        <v/>
      </c>
      <c r="AN100" s="1114">
        <f>(AN131-AN122)/AN4</f>
        <v/>
      </c>
      <c r="AO100" s="1114">
        <f>(AO131-AO122)/AO4</f>
        <v/>
      </c>
      <c r="AP100" s="1114">
        <f>(AP131-AP122)/AP4</f>
        <v/>
      </c>
      <c r="AQ100" s="1114">
        <f>(AQ131-AQ122)/AQ4</f>
        <v/>
      </c>
      <c r="AR100" s="1114">
        <f>(AR131-AR122)/AR4</f>
        <v/>
      </c>
      <c r="AS100" s="1114">
        <f>(AS131-AS122)/AS4</f>
        <v/>
      </c>
      <c r="AT100" s="1114">
        <f>(AT131-AT122)/AT4</f>
        <v/>
      </c>
      <c r="AU100" s="1114" t="n"/>
      <c r="AV100" s="1114">
        <f>(AV131-AV122)/AV4</f>
        <v/>
      </c>
      <c r="AW100" s="1114">
        <f>(AW131-AW122)/AW4</f>
        <v/>
      </c>
      <c r="AX100" s="1114">
        <f>(AX131-AX122)/AX4</f>
        <v/>
      </c>
      <c r="AY100" s="1115" t="n"/>
      <c r="AZ100" s="1114">
        <f>(AZ131-AZ122)/AZ4</f>
        <v/>
      </c>
      <c r="BA100" s="1114">
        <f>(BA131-BA122)/BA4</f>
        <v/>
      </c>
      <c r="BB100" s="1114">
        <f>(BB131-BB122)/BB4</f>
        <v/>
      </c>
      <c r="BD100" s="1114">
        <f>(BD131-BD122)/BD4</f>
        <v/>
      </c>
      <c r="BE100" s="1114">
        <f>(BE131-BE122)/BE4</f>
        <v/>
      </c>
      <c r="BF100" s="1114">
        <f>(BF131-BF122)/BF4</f>
        <v/>
      </c>
      <c r="BH100" s="1114">
        <f>(BH131-BH122)/BH4</f>
        <v/>
      </c>
      <c r="BI100" s="1114">
        <f>(BI131-BI122)/BI4</f>
        <v/>
      </c>
      <c r="BJ100" s="1114">
        <f>(BJ131-BJ122)/BJ4</f>
        <v/>
      </c>
      <c r="BL100" s="1114">
        <f>(BL131-BL122)/BL4</f>
        <v/>
      </c>
      <c r="BM100" s="1114">
        <f>(BM131-BM122)/BM4</f>
        <v/>
      </c>
      <c r="BN100" s="1114">
        <f>(BN131-BN122)/BN4</f>
        <v/>
      </c>
      <c r="BP100" s="1114">
        <f>(BP131-BP122)/BP4</f>
        <v/>
      </c>
      <c r="BQ100" s="1114">
        <f>(BQ131-BQ122)/BQ4</f>
        <v/>
      </c>
      <c r="BR100" s="1114">
        <f>(BR131-BR122)/BR4</f>
        <v/>
      </c>
      <c r="BT100" s="1114">
        <f>(BT131-BT122)/BT4</f>
        <v/>
      </c>
      <c r="BU100" s="1114">
        <f>(BU131-BU122)/BU4</f>
        <v/>
      </c>
      <c r="BV100" s="1114">
        <f>(BV131-BV122)/BV4</f>
        <v/>
      </c>
      <c r="BX100" s="1114">
        <f>(BX131-BX122)/BX4</f>
        <v/>
      </c>
      <c r="BY100" s="1114">
        <f>(BY131-BY122)/BY4</f>
        <v/>
      </c>
      <c r="BZ100" s="1114">
        <f>(BZ131-BZ122)/BZ4</f>
        <v/>
      </c>
      <c r="CB100" s="1114">
        <f>(CB131-CB122)/CB4</f>
        <v/>
      </c>
      <c r="CC100" s="1114">
        <f>(CC131-CC122)/CC4</f>
        <v/>
      </c>
      <c r="CD100" s="1114">
        <f>(CD131-CD122)/CD4</f>
        <v/>
      </c>
      <c r="CE100" s="1114" t="n"/>
      <c r="CF100" s="1114">
        <f>(CF131-CF122)/CF4</f>
        <v/>
      </c>
      <c r="CG100" s="1114">
        <f>(CG131-CG122)/CG4</f>
        <v/>
      </c>
      <c r="CH100" s="1114">
        <f>(CH131-CH122)/CH4</f>
        <v/>
      </c>
      <c r="CI100" s="1114" t="n"/>
      <c r="CJ100" s="1114">
        <f>(CJ131-CJ122)/CJ4</f>
        <v/>
      </c>
      <c r="CK100" s="1114">
        <f>(CK131-CK122)/CK4</f>
        <v/>
      </c>
      <c r="CL100" s="1114">
        <f>V100</f>
        <v/>
      </c>
      <c r="CM100" s="1114" t="n"/>
      <c r="CN100" s="1114">
        <f>(CN131-CN122)/CN4</f>
        <v/>
      </c>
      <c r="CO100" s="1114">
        <f>(CO131-CO122)/CO4</f>
        <v/>
      </c>
      <c r="CP100" s="1114">
        <f>W100</f>
        <v/>
      </c>
      <c r="CQ100" s="1114" t="n"/>
      <c r="CR100" s="1114">
        <f>(CR131-CR122)/CR4</f>
        <v/>
      </c>
      <c r="CS100" s="1114" t="n"/>
      <c r="CT100" s="1114">
        <f>(CT131-CT122)/CT4</f>
        <v/>
      </c>
      <c r="CU100" s="1114">
        <f>X100</f>
        <v/>
      </c>
      <c r="CV100" s="1114" t="n"/>
      <c r="CW100" s="1114">
        <f>(CW131-CW122)/CW4</f>
        <v/>
      </c>
      <c r="CX100" s="1114">
        <f>(CX131-CX122)/CX4</f>
        <v/>
      </c>
      <c r="CY100" s="1114">
        <f>Y100</f>
        <v/>
      </c>
      <c r="CZ100" s="1114" t="n"/>
      <c r="DA100" s="1114">
        <f>(DA131-DA122)/DA4</f>
        <v/>
      </c>
      <c r="DB100" s="1114">
        <f>(DB131-DB122)/DB4</f>
        <v/>
      </c>
      <c r="DC100" s="1114">
        <f>Z100</f>
        <v/>
      </c>
      <c r="DD100" s="1114" t="n"/>
      <c r="DE100" s="1114">
        <f>(DE131-DE122)/DE4</f>
        <v/>
      </c>
      <c r="DF100" s="1114">
        <f>(DF131-DF122)/DF4</f>
        <v/>
      </c>
      <c r="DG100" s="1114">
        <f>AA100</f>
        <v/>
      </c>
      <c r="DH100" s="1114" t="n"/>
      <c r="DI100" s="1114">
        <f>(DI131-DI122)/DI4</f>
        <v/>
      </c>
      <c r="DJ100" s="1114">
        <f>(DJ131-DJ122)/DJ4</f>
        <v/>
      </c>
      <c r="DK100" s="1114">
        <f>AB100</f>
        <v/>
      </c>
      <c r="DL100" s="1114" t="n"/>
      <c r="DM100" s="1114">
        <f>(DM131-DM122)/DM4</f>
        <v/>
      </c>
      <c r="DN100" s="1114">
        <f>(DN131-DN122)/DN4</f>
        <v/>
      </c>
      <c r="DO100" s="1114">
        <f>AC100</f>
        <v/>
      </c>
      <c r="DP100" s="1114" t="n"/>
      <c r="DQ100" s="1114">
        <f>(DQ131-DQ122)/DQ4</f>
        <v/>
      </c>
      <c r="DR100" s="1114">
        <f>(DR131-DR122)/DR4</f>
        <v/>
      </c>
      <c r="DS100" s="1114">
        <f>AG100</f>
        <v/>
      </c>
      <c r="DT100" s="1114" t="n"/>
      <c r="DU100" s="1114">
        <f>(DU131-DU122)/DU4</f>
        <v/>
      </c>
      <c r="DV100" s="1114">
        <f>(DV131-DV122)/DV4</f>
        <v/>
      </c>
      <c r="DW100" s="1114">
        <f>AE100</f>
        <v/>
      </c>
      <c r="DX100" s="1114" t="n"/>
      <c r="DY100" s="1114">
        <f>(DY131-DY122)/DY4</f>
        <v/>
      </c>
      <c r="DZ100" s="1114">
        <f>(DZ131-DZ122)/DZ4</f>
        <v/>
      </c>
      <c r="EA100" s="1114">
        <f>AF100</f>
        <v/>
      </c>
      <c r="EC100" s="1114">
        <f>(EC131-EC122)/EC4</f>
        <v/>
      </c>
      <c r="ED100" s="1114">
        <f>(ED131-ED122)/ED4</f>
        <v/>
      </c>
      <c r="EE100" s="1114">
        <f>AG100</f>
        <v/>
      </c>
      <c r="EF100" s="1114" t="n"/>
      <c r="EG100" s="1114">
        <f>(EG131-EG122)/EG4</f>
        <v/>
      </c>
      <c r="EH100" s="1114">
        <f>(EH131-EH122)/EH4</f>
        <v/>
      </c>
      <c r="EI100" s="1114">
        <f>AH100</f>
        <v/>
      </c>
      <c r="EJ100" s="1114" t="n"/>
      <c r="EK100" s="1114">
        <f>(EK131-EK122)/EK4</f>
        <v/>
      </c>
      <c r="EL100" s="1114">
        <f>(EL131-EL122)/EL4</f>
        <v/>
      </c>
      <c r="EM100" s="1114">
        <f>AI100</f>
        <v/>
      </c>
      <c r="EN100" s="1114" t="n"/>
      <c r="EO100" s="1114">
        <f>(EO131-EO122)/EO4</f>
        <v/>
      </c>
      <c r="EP100" s="1114">
        <f>(EP131-EP122)/EP4</f>
        <v/>
      </c>
      <c r="EQ100" s="1114">
        <f>AJ100</f>
        <v/>
      </c>
      <c r="ER100" s="1114" t="n"/>
      <c r="ES100" s="1114">
        <f>(ES131-ES122)/ES4</f>
        <v/>
      </c>
      <c r="ET100" s="1114">
        <f>(ET131-ET122)/ET4</f>
        <v/>
      </c>
      <c r="EU100" s="1114">
        <f>AK100</f>
        <v/>
      </c>
      <c r="EV100" s="1114" t="n"/>
      <c r="EW100" s="1114">
        <f>(EW131-EW122)/EW4</f>
        <v/>
      </c>
      <c r="EX100" s="1114">
        <f>(EX131-EX122)/EX4</f>
        <v/>
      </c>
      <c r="EY100" s="1114">
        <f>AL100</f>
        <v/>
      </c>
      <c r="FA100" s="1114">
        <f>(FA131-FA122)/FA4</f>
        <v/>
      </c>
      <c r="FB100" s="1114">
        <f>(FB131-FB122)/FB4</f>
        <v/>
      </c>
      <c r="FC100" s="1114">
        <f>AM100</f>
        <v/>
      </c>
      <c r="FE100" s="1114">
        <f>(FE131-FE122)/FE4</f>
        <v/>
      </c>
      <c r="FF100" s="1114">
        <f>(FF131-FF122)/FF4</f>
        <v/>
      </c>
      <c r="FG100" s="1114">
        <f>AN100</f>
        <v/>
      </c>
      <c r="FI100" s="1114">
        <f>(FI131-FI122)/FI4</f>
        <v/>
      </c>
      <c r="FJ100" s="1114">
        <f>(FJ131-FJ122)/FJ4</f>
        <v/>
      </c>
      <c r="FK100" s="1114">
        <f>AO100</f>
        <v/>
      </c>
      <c r="FM100" s="1114">
        <f>(FM131-FM122)/FM4</f>
        <v/>
      </c>
      <c r="FN100" s="1114">
        <f>(FN131-FN122)/FN4</f>
        <v/>
      </c>
      <c r="FO100" s="1114">
        <f>AP100</f>
        <v/>
      </c>
    </row>
    <row r="101" customFormat="1" s="1111">
      <c r="A101" s="1113" t="n"/>
      <c r="B101" s="1101" t="inlineStr">
        <is>
          <t>YoY %</t>
        </is>
      </c>
      <c r="D101" s="1111">
        <f>D100/C100-1</f>
        <v/>
      </c>
      <c r="E101" s="1111">
        <f>E100/D100-1</f>
        <v/>
      </c>
      <c r="F101" s="1111">
        <f>F100/E100-1</f>
        <v/>
      </c>
      <c r="G101" s="1111">
        <f>G100/F100-1</f>
        <v/>
      </c>
      <c r="H101" s="1111">
        <f>H100/G100-1</f>
        <v/>
      </c>
      <c r="I101" s="1111">
        <f>I100/H100-1</f>
        <v/>
      </c>
      <c r="J101" s="1111">
        <f>J100/I100-1</f>
        <v/>
      </c>
      <c r="K101" s="1111">
        <f>K100/J100-1</f>
        <v/>
      </c>
      <c r="L101" s="1111">
        <f>L100/K100-1</f>
        <v/>
      </c>
      <c r="M101" s="1111">
        <f>M100/L100-1</f>
        <v/>
      </c>
      <c r="N101" s="1111">
        <f>N100/M100-1</f>
        <v/>
      </c>
      <c r="O101" s="1111">
        <f>O100/N100-1</f>
        <v/>
      </c>
      <c r="P101" s="1111">
        <f>P100/O100-1</f>
        <v/>
      </c>
      <c r="Q101" s="1111">
        <f>Q100/P100-1</f>
        <v/>
      </c>
      <c r="R101" s="1111">
        <f>R100/Q100-1</f>
        <v/>
      </c>
      <c r="S101" s="1111">
        <f>S100/R100-1</f>
        <v/>
      </c>
      <c r="T101" s="1111">
        <f>T100/S100-1</f>
        <v/>
      </c>
      <c r="U101" s="1111">
        <f>U100/T100-1</f>
        <v/>
      </c>
      <c r="V101" s="1111">
        <f>V100/U100-1</f>
        <v/>
      </c>
      <c r="W101" s="1111">
        <f>W100/V100-1</f>
        <v/>
      </c>
      <c r="X101" s="1111">
        <f>X100/W100-1</f>
        <v/>
      </c>
      <c r="Y101" s="1111">
        <f>Y100/X100-1</f>
        <v/>
      </c>
      <c r="Z101" s="1111">
        <f>Z100/Y100-1</f>
        <v/>
      </c>
      <c r="AA101" s="1111">
        <f>AA100/Z100-1</f>
        <v/>
      </c>
      <c r="AB101" s="1111">
        <f>AB100/AA100-1</f>
        <v/>
      </c>
      <c r="AC101" s="1111">
        <f>AC100/AB100-1</f>
        <v/>
      </c>
      <c r="AD101" s="1111">
        <f>AD100/AC100-1</f>
        <v/>
      </c>
      <c r="AE101" s="1111">
        <f>AE100/AD100-1</f>
        <v/>
      </c>
      <c r="AF101" s="1111">
        <f>AF100/AE100-1</f>
        <v/>
      </c>
      <c r="AG101" s="1111">
        <f>AG100/AF100-1</f>
        <v/>
      </c>
      <c r="AH101" s="1111">
        <f>AH100/AG100-1</f>
        <v/>
      </c>
      <c r="AI101" s="1111">
        <f>AI100/AH100-1</f>
        <v/>
      </c>
      <c r="AJ101" s="1111">
        <f>AJ100/AI100-1</f>
        <v/>
      </c>
      <c r="AK101" s="1111">
        <f>AK100/AJ100-1</f>
        <v/>
      </c>
      <c r="AL101" s="1111">
        <f>AL100/AK100-1</f>
        <v/>
      </c>
      <c r="AM101" s="1111">
        <f>AM100/AL100-1</f>
        <v/>
      </c>
      <c r="AN101" s="1111">
        <f>AN100/AM100-1</f>
        <v/>
      </c>
      <c r="AO101" s="1111">
        <f>AO100/AN100-1</f>
        <v/>
      </c>
      <c r="AP101" s="1111">
        <f>AP100/AO100-1</f>
        <v/>
      </c>
      <c r="AQ101" s="1111">
        <f>AQ100/AP100-1</f>
        <v/>
      </c>
      <c r="AR101" s="1111">
        <f>AR100/AQ100-1</f>
        <v/>
      </c>
      <c r="AS101" s="1111">
        <f>AS100/AR100-1</f>
        <v/>
      </c>
      <c r="AT101" s="1111">
        <f>AT100/AS100-1</f>
        <v/>
      </c>
      <c r="AV101" s="1115" t="n"/>
      <c r="AW101" s="1115" t="n"/>
      <c r="AX101" s="1115" t="n"/>
      <c r="AY101" s="1115" t="n"/>
      <c r="AZ101" s="1115">
        <f>AZ100/AV100-1</f>
        <v/>
      </c>
      <c r="BA101" s="1115">
        <f>BA100/AW100-1</f>
        <v/>
      </c>
      <c r="BB101" s="1115">
        <f>BB100/AX100-1</f>
        <v/>
      </c>
      <c r="BD101" s="1115">
        <f>BD100/AZ100-1</f>
        <v/>
      </c>
      <c r="BE101" s="1115">
        <f>BE100/BA100-1</f>
        <v/>
      </c>
      <c r="BF101" s="1115">
        <f>BF100/BB100-1</f>
        <v/>
      </c>
      <c r="BH101" s="1115">
        <f>BH100/BD100-1</f>
        <v/>
      </c>
      <c r="BI101" s="1115">
        <f>BI100/BE100-1</f>
        <v/>
      </c>
      <c r="BJ101" s="1115">
        <f>BJ100/BF100-1</f>
        <v/>
      </c>
      <c r="BL101" s="1115">
        <f>BL100/BH100-1</f>
        <v/>
      </c>
      <c r="BM101" s="1115">
        <f>BM100/BI100-1</f>
        <v/>
      </c>
      <c r="BN101" s="1115">
        <f>BN100/BJ100-1</f>
        <v/>
      </c>
      <c r="BP101" s="1115">
        <f>BP100/BL100-1</f>
        <v/>
      </c>
      <c r="BQ101" s="1115">
        <f>BQ100/BM100-1</f>
        <v/>
      </c>
      <c r="BR101" s="1115">
        <f>BR100/BN100-1</f>
        <v/>
      </c>
      <c r="BT101" s="1115">
        <f>BT100/BP100-1</f>
        <v/>
      </c>
      <c r="BU101" s="1115">
        <f>BU100/BQ100-1</f>
        <v/>
      </c>
      <c r="BV101" s="1115">
        <f>BV100/BR100-1</f>
        <v/>
      </c>
      <c r="BX101" s="1115">
        <f>BX100/BT100-1</f>
        <v/>
      </c>
      <c r="BY101" s="1115">
        <f>BY100/BU100-1</f>
        <v/>
      </c>
      <c r="BZ101" s="1115">
        <f>BZ100/BV100-1</f>
        <v/>
      </c>
      <c r="CB101" s="1115">
        <f>CB100/BX100-1</f>
        <v/>
      </c>
      <c r="CC101" s="1115">
        <f>CC100/BY100-1</f>
        <v/>
      </c>
      <c r="CD101" s="1115">
        <f>CD100/BZ100-1</f>
        <v/>
      </c>
      <c r="CE101" s="1115" t="n"/>
      <c r="CF101" s="1115">
        <f>CF100/CB100-1</f>
        <v/>
      </c>
      <c r="CG101" s="1115">
        <f>CG100/CC100-1</f>
        <v/>
      </c>
      <c r="CH101" s="1115">
        <f>CH100/CD100-1</f>
        <v/>
      </c>
      <c r="CI101" s="1115" t="n"/>
      <c r="CJ101" s="1115">
        <f>CJ100/CF100-1</f>
        <v/>
      </c>
      <c r="CK101" s="1115">
        <f>CK100/CG100-1</f>
        <v/>
      </c>
      <c r="CL101" s="1115">
        <f>V101</f>
        <v/>
      </c>
      <c r="CM101" s="1115" t="n"/>
      <c r="CN101" s="1115">
        <f>CN100/CJ100-1</f>
        <v/>
      </c>
      <c r="CO101" s="1115">
        <f>CO100/CK100-1</f>
        <v/>
      </c>
      <c r="CP101" s="1115">
        <f>W101</f>
        <v/>
      </c>
      <c r="CQ101" s="1115" t="n"/>
      <c r="CR101" s="1115">
        <f>CR100/CN100-1</f>
        <v/>
      </c>
      <c r="CS101" s="1115" t="n"/>
      <c r="CT101" s="1115">
        <f>CT100/CO100-1</f>
        <v/>
      </c>
      <c r="CU101" s="1115">
        <f>X101</f>
        <v/>
      </c>
      <c r="CV101" s="1115" t="n"/>
      <c r="CW101" s="1115" t="n"/>
      <c r="CX101" s="1115" t="n"/>
      <c r="CY101" s="1115">
        <f>Y101</f>
        <v/>
      </c>
      <c r="CZ101" s="1115" t="n"/>
      <c r="DA101" s="1111">
        <f>DA100/CW100-1</f>
        <v/>
      </c>
      <c r="DB101" s="1111">
        <f>DB100/CX100-1</f>
        <v/>
      </c>
      <c r="DC101" s="1115">
        <f>Z101</f>
        <v/>
      </c>
      <c r="DD101" s="1115" t="n"/>
      <c r="DE101" s="1111">
        <f>DE100/DA100-1</f>
        <v/>
      </c>
      <c r="DF101" s="1111">
        <f>DF100/DB100-1</f>
        <v/>
      </c>
      <c r="DG101" s="1115">
        <f>AA101</f>
        <v/>
      </c>
      <c r="DH101" s="1115" t="n"/>
      <c r="DI101" s="1111">
        <f>DI100/DE100-1</f>
        <v/>
      </c>
      <c r="DJ101" s="1111">
        <f>DJ100/DF100-1</f>
        <v/>
      </c>
      <c r="DK101" s="1115">
        <f>AB101</f>
        <v/>
      </c>
      <c r="DL101" s="1115" t="n"/>
      <c r="DM101" s="1111">
        <f>DM100/DI100-1</f>
        <v/>
      </c>
      <c r="DN101" s="1111">
        <f>DN100/DJ100-1</f>
        <v/>
      </c>
      <c r="DO101" s="1111">
        <f>AC101</f>
        <v/>
      </c>
      <c r="DP101" s="1115" t="n"/>
      <c r="DQ101" s="1111">
        <f>DQ100/DM100-1</f>
        <v/>
      </c>
      <c r="DR101" s="1111">
        <f>DR100/DN100-1</f>
        <v/>
      </c>
      <c r="DS101" s="1111">
        <f>AG101</f>
        <v/>
      </c>
      <c r="DU101" s="1111">
        <f>DU100/DQ100-1</f>
        <v/>
      </c>
      <c r="DV101" s="1111">
        <f>DV100/DR100-1</f>
        <v/>
      </c>
      <c r="DW101" s="1111">
        <f>AE101</f>
        <v/>
      </c>
      <c r="DY101" s="1111">
        <f>DY100/DU100-1</f>
        <v/>
      </c>
      <c r="DZ101" s="1111">
        <f>DZ100/DV100-1</f>
        <v/>
      </c>
      <c r="EA101" s="1111">
        <f>AF101</f>
        <v/>
      </c>
      <c r="EC101" s="1111">
        <f>EC100/DY100-1</f>
        <v/>
      </c>
      <c r="ED101" s="1111">
        <f>ED100/DZ100-1</f>
        <v/>
      </c>
      <c r="EE101" s="1111">
        <f>AG101</f>
        <v/>
      </c>
      <c r="EG101" s="1111">
        <f>EG100/EC100-1</f>
        <v/>
      </c>
      <c r="EH101" s="1111">
        <f>EH100/ED100-1</f>
        <v/>
      </c>
      <c r="EI101" s="1111">
        <f>AH101</f>
        <v/>
      </c>
      <c r="EK101" s="1111">
        <f>EK100/EG100-1</f>
        <v/>
      </c>
      <c r="EL101" s="1111">
        <f>EL100/EH100-1</f>
        <v/>
      </c>
      <c r="EM101" s="1111">
        <f>AI101</f>
        <v/>
      </c>
      <c r="EO101" s="1111">
        <f>EO100/EK100-1</f>
        <v/>
      </c>
      <c r="EP101" s="1111">
        <f>EP100/EL100-1</f>
        <v/>
      </c>
      <c r="EQ101" s="1111">
        <f>AJ101</f>
        <v/>
      </c>
      <c r="ES101" s="1111">
        <f>ES100/EO100-1</f>
        <v/>
      </c>
      <c r="ET101" s="1111">
        <f>ET100/EP100-1</f>
        <v/>
      </c>
      <c r="EU101" s="1111">
        <f>AK101</f>
        <v/>
      </c>
      <c r="EW101" s="1111">
        <f>EW100/ES100-1</f>
        <v/>
      </c>
      <c r="EX101" s="1111">
        <f>EX100/ET100-1</f>
        <v/>
      </c>
      <c r="EY101" s="1111">
        <f>AL101</f>
        <v/>
      </c>
      <c r="FA101" s="1111">
        <f>FA100/EW100-1</f>
        <v/>
      </c>
      <c r="FB101" s="1111">
        <f>FB100/EX100-1</f>
        <v/>
      </c>
      <c r="FC101" s="1111">
        <f>AM101</f>
        <v/>
      </c>
      <c r="FE101" s="1111">
        <f>FE100/FA100-1</f>
        <v/>
      </c>
      <c r="FF101" s="1111">
        <f>FF100/FB100-1</f>
        <v/>
      </c>
      <c r="FG101" s="1111">
        <f>AN101</f>
        <v/>
      </c>
      <c r="FI101" s="1111">
        <f>FI100/FE100-1</f>
        <v/>
      </c>
      <c r="FJ101" s="1111">
        <f>FJ100/FF100-1</f>
        <v/>
      </c>
      <c r="FK101" s="1111">
        <f>AO101</f>
        <v/>
      </c>
      <c r="FM101" s="1111">
        <f>FM100/FI100-1</f>
        <v/>
      </c>
      <c r="FN101" s="1111">
        <f>FN100/FJ100-1</f>
        <v/>
      </c>
      <c r="FO101" s="1111">
        <f>AP101</f>
        <v/>
      </c>
    </row>
    <row r="102" customFormat="1" s="1049">
      <c r="A102" s="1110" t="n"/>
      <c r="B102" s="1111" t="inlineStr">
        <is>
          <t>Unit costs</t>
        </is>
      </c>
      <c r="C102" s="1016">
        <f>C131/C4</f>
        <v/>
      </c>
      <c r="D102" s="1016">
        <f>D131/D4</f>
        <v/>
      </c>
      <c r="E102" s="1016">
        <f>E131/E4</f>
        <v/>
      </c>
      <c r="F102" s="1016">
        <f>F131/F4</f>
        <v/>
      </c>
      <c r="G102" s="1016">
        <f>G131/G4</f>
        <v/>
      </c>
      <c r="H102" s="1016">
        <f>H131/H4</f>
        <v/>
      </c>
      <c r="I102" s="1016">
        <f>I131/I4</f>
        <v/>
      </c>
      <c r="J102" s="1016">
        <f>J131/J4</f>
        <v/>
      </c>
      <c r="K102" s="1016">
        <f>K131/K4</f>
        <v/>
      </c>
      <c r="L102" s="1016">
        <f>L131/L4</f>
        <v/>
      </c>
      <c r="M102" s="1016">
        <f>M131/M4</f>
        <v/>
      </c>
      <c r="N102" s="1016">
        <f>N131/N4</f>
        <v/>
      </c>
      <c r="O102" s="1016">
        <f>O131/O4</f>
        <v/>
      </c>
      <c r="P102" s="1016">
        <f>P131/P4</f>
        <v/>
      </c>
      <c r="Q102" s="1016">
        <f>Q131/Q4</f>
        <v/>
      </c>
      <c r="R102" s="1016">
        <f>R131/R4</f>
        <v/>
      </c>
      <c r="S102" s="1016">
        <f>S131/S4</f>
        <v/>
      </c>
      <c r="T102" s="1016">
        <f>T131/T4</f>
        <v/>
      </c>
      <c r="U102" s="1016">
        <f>U131/U4</f>
        <v/>
      </c>
      <c r="V102" s="1016">
        <f>V131/V4</f>
        <v/>
      </c>
      <c r="W102" s="1016">
        <f>W131/W4</f>
        <v/>
      </c>
      <c r="X102" s="1016">
        <f>X131/X4</f>
        <v/>
      </c>
      <c r="Y102" s="1016">
        <f>Y131/Y4</f>
        <v/>
      </c>
      <c r="Z102" s="1016">
        <f>Z131/Z4</f>
        <v/>
      </c>
      <c r="AA102" s="1016">
        <f>AA131/AA4</f>
        <v/>
      </c>
      <c r="AB102" s="1016">
        <f>AB131/AB4</f>
        <v/>
      </c>
      <c r="AC102" s="1016">
        <f>AC131/AC4</f>
        <v/>
      </c>
      <c r="AD102" s="1016">
        <f>AD131/AD4</f>
        <v/>
      </c>
      <c r="AE102" s="1016">
        <f>AE131/AE4</f>
        <v/>
      </c>
      <c r="AF102" s="1016">
        <f>AF131/AF4</f>
        <v/>
      </c>
      <c r="AG102" s="1016">
        <f>AG131/AG4</f>
        <v/>
      </c>
      <c r="AH102" s="1016">
        <f>AH131/AH4</f>
        <v/>
      </c>
      <c r="AI102" s="1016">
        <f>AI131/AI4</f>
        <v/>
      </c>
      <c r="AJ102" s="1016">
        <f>AJ131/AJ4</f>
        <v/>
      </c>
      <c r="AK102" s="1016">
        <f>AK131/AK4</f>
        <v/>
      </c>
      <c r="AL102" s="1016">
        <f>AL131/AL4</f>
        <v/>
      </c>
      <c r="AM102" s="1016">
        <f>AM131/AM4</f>
        <v/>
      </c>
      <c r="AN102" s="1016">
        <f>AN131/AN4</f>
        <v/>
      </c>
      <c r="AO102" s="1016">
        <f>AO131/AO4</f>
        <v/>
      </c>
      <c r="AP102" s="1016">
        <f>AP131/AP4</f>
        <v/>
      </c>
      <c r="AQ102" s="1016">
        <f>AQ131/AQ4</f>
        <v/>
      </c>
      <c r="AR102" s="1016">
        <f>AR131/AR4</f>
        <v/>
      </c>
      <c r="AS102" s="1016">
        <f>AS131/AS4</f>
        <v/>
      </c>
      <c r="AT102" s="1016">
        <f>AT131/AT4</f>
        <v/>
      </c>
      <c r="AU102" s="1016" t="n"/>
      <c r="AV102" s="1116">
        <f>AV131/AV4</f>
        <v/>
      </c>
      <c r="AW102" s="1116">
        <f>AW131/AW4</f>
        <v/>
      </c>
      <c r="AX102" s="1116">
        <f>AX131/AX4</f>
        <v/>
      </c>
      <c r="AY102" s="1057" t="n"/>
      <c r="AZ102" s="1116">
        <f>AZ131/AZ4</f>
        <v/>
      </c>
      <c r="BA102" s="1116">
        <f>BA131/BA4</f>
        <v/>
      </c>
      <c r="BB102" s="1116">
        <f>BB131/BB4</f>
        <v/>
      </c>
      <c r="BD102" s="1116">
        <f>BD131/BD4</f>
        <v/>
      </c>
      <c r="BE102" s="1116">
        <f>BE131/BE4</f>
        <v/>
      </c>
      <c r="BF102" s="1116">
        <f>BF131/BF4</f>
        <v/>
      </c>
      <c r="BH102" s="1116">
        <f>BH131/BH4</f>
        <v/>
      </c>
      <c r="BI102" s="1116">
        <f>BI131/BI4</f>
        <v/>
      </c>
      <c r="BJ102" s="1116">
        <f>BJ131/BJ4</f>
        <v/>
      </c>
      <c r="BL102" s="1116">
        <f>BL131/BL4</f>
        <v/>
      </c>
      <c r="BM102" s="1116">
        <f>BM131/BM4</f>
        <v/>
      </c>
      <c r="BN102" s="1116">
        <f>BN131/BN4</f>
        <v/>
      </c>
      <c r="BP102" s="1116">
        <f>BP131/BP4</f>
        <v/>
      </c>
      <c r="BQ102" s="1116">
        <f>BQ131/BQ4</f>
        <v/>
      </c>
      <c r="BR102" s="1116">
        <f>BR131/BR4</f>
        <v/>
      </c>
      <c r="BT102" s="1116">
        <f>BT131/BT4</f>
        <v/>
      </c>
      <c r="BU102" s="1116">
        <f>BU131/BU4</f>
        <v/>
      </c>
      <c r="BV102" s="1116">
        <f>BV131/BV4</f>
        <v/>
      </c>
      <c r="BX102" s="1116">
        <f>BX131/BX4</f>
        <v/>
      </c>
      <c r="BY102" s="1116">
        <f>BY131/BY4</f>
        <v/>
      </c>
      <c r="BZ102" s="1116">
        <f>BZ131/BZ4</f>
        <v/>
      </c>
      <c r="CB102" s="1116">
        <f>CB131/CB4</f>
        <v/>
      </c>
      <c r="CC102" s="1116">
        <f>CC131/CC4</f>
        <v/>
      </c>
      <c r="CD102" s="1116">
        <f>CD131/CD4</f>
        <v/>
      </c>
      <c r="CE102" s="1016" t="n"/>
      <c r="CF102" s="1116">
        <f>CF131/CF4</f>
        <v/>
      </c>
      <c r="CG102" s="1116">
        <f>CG131/CG4</f>
        <v/>
      </c>
      <c r="CH102" s="1116">
        <f>CH131/CH4</f>
        <v/>
      </c>
      <c r="CI102" s="1016" t="n"/>
      <c r="CJ102" s="1116">
        <f>CJ131/CJ4</f>
        <v/>
      </c>
      <c r="CK102" s="1116">
        <f>CK131/CK4</f>
        <v/>
      </c>
      <c r="CL102" s="1116">
        <f>V102</f>
        <v/>
      </c>
      <c r="CM102" s="1016" t="n"/>
      <c r="CN102" s="1116">
        <f>CN131/CN4</f>
        <v/>
      </c>
      <c r="CO102" s="1116">
        <f>CO131/CO4</f>
        <v/>
      </c>
      <c r="CP102" s="1116">
        <f>W102</f>
        <v/>
      </c>
      <c r="CQ102" s="1016" t="n"/>
      <c r="CR102" s="1116">
        <f>CR131/CR4</f>
        <v/>
      </c>
      <c r="CS102" s="1116" t="n"/>
      <c r="CT102" s="1116">
        <f>CT131/CT4</f>
        <v/>
      </c>
      <c r="CU102" s="1116">
        <f>X102</f>
        <v/>
      </c>
      <c r="CV102" s="1016" t="n"/>
      <c r="CW102" s="1016">
        <f>CW131/CW4</f>
        <v/>
      </c>
      <c r="CX102" s="1016">
        <f>CX131/CX4</f>
        <v/>
      </c>
      <c r="CY102" s="1116">
        <f>Y102</f>
        <v/>
      </c>
      <c r="CZ102" s="1016" t="n"/>
      <c r="DA102" s="1016">
        <f>DA131/DA4</f>
        <v/>
      </c>
      <c r="DB102" s="1016">
        <f>DB131/DB4</f>
        <v/>
      </c>
      <c r="DC102" s="1116">
        <f>Z102</f>
        <v/>
      </c>
      <c r="DD102" s="1016" t="n"/>
      <c r="DE102" s="1016">
        <f>DE131/DE4</f>
        <v/>
      </c>
      <c r="DF102" s="1016">
        <f>DF131/DF4</f>
        <v/>
      </c>
      <c r="DG102" s="1016">
        <f>AA102</f>
        <v/>
      </c>
      <c r="DH102" s="1016" t="n"/>
      <c r="DI102" s="1016">
        <f>DI131/DI4</f>
        <v/>
      </c>
      <c r="DJ102" s="1016">
        <f>DJ131/DJ4</f>
        <v/>
      </c>
      <c r="DK102" s="1016">
        <f>AB102</f>
        <v/>
      </c>
      <c r="DL102" s="1016" t="n"/>
      <c r="DM102" s="1016">
        <f>DM131/DM4</f>
        <v/>
      </c>
      <c r="DN102" s="1016">
        <f>DN131/DN4</f>
        <v/>
      </c>
      <c r="DO102" s="1016">
        <f>AC102</f>
        <v/>
      </c>
      <c r="DP102" s="1016" t="n"/>
      <c r="DQ102" s="1016">
        <f>DQ131/DQ4</f>
        <v/>
      </c>
      <c r="DR102" s="1016">
        <f>DR131/DR4</f>
        <v/>
      </c>
      <c r="DS102" s="1016">
        <f>AG102</f>
        <v/>
      </c>
      <c r="DT102" s="1016" t="n"/>
      <c r="DU102" s="1016">
        <f>DU131/DU4</f>
        <v/>
      </c>
      <c r="DV102" s="1016">
        <f>DV131/DV4</f>
        <v/>
      </c>
      <c r="DW102" s="1016">
        <f>AE102</f>
        <v/>
      </c>
      <c r="DX102" s="1016" t="n"/>
      <c r="DY102" s="1016">
        <f>DY131/DY4</f>
        <v/>
      </c>
      <c r="DZ102" s="1016">
        <f>DZ131/DZ4</f>
        <v/>
      </c>
      <c r="EA102" s="1016">
        <f>AF102</f>
        <v/>
      </c>
      <c r="EC102" s="1016">
        <f>EC131/EC4</f>
        <v/>
      </c>
      <c r="ED102" s="1016">
        <f>ED131/ED4</f>
        <v/>
      </c>
      <c r="EE102" s="1016">
        <f>AG102</f>
        <v/>
      </c>
      <c r="EF102" s="1016" t="n"/>
      <c r="EG102" s="1016">
        <f>EG131/EG4</f>
        <v/>
      </c>
      <c r="EH102" s="1016">
        <f>EH131/EH4</f>
        <v/>
      </c>
      <c r="EI102" s="1016">
        <f>AH102</f>
        <v/>
      </c>
      <c r="EJ102" s="1016" t="n"/>
      <c r="EK102" s="1016">
        <f>EK131/EK4</f>
        <v/>
      </c>
      <c r="EL102" s="1016">
        <f>EL131/EL4</f>
        <v/>
      </c>
      <c r="EM102" s="1016">
        <f>AI102</f>
        <v/>
      </c>
      <c r="EN102" s="1016" t="n"/>
      <c r="EO102" s="1016">
        <f>EO131/EO4</f>
        <v/>
      </c>
      <c r="EP102" s="1016">
        <f>EP131/EP4</f>
        <v/>
      </c>
      <c r="EQ102" s="1016">
        <f>AJ102</f>
        <v/>
      </c>
      <c r="ER102" s="1016" t="n"/>
      <c r="ES102" s="1016">
        <f>ES131/ES4</f>
        <v/>
      </c>
      <c r="ET102" s="1016">
        <f>ET131/ET4</f>
        <v/>
      </c>
      <c r="EU102" s="1016">
        <f>AK102</f>
        <v/>
      </c>
      <c r="EV102" s="1016" t="n"/>
      <c r="EW102" s="1016">
        <f>EW131/EW4</f>
        <v/>
      </c>
      <c r="EX102" s="1016">
        <f>EX131/EX4</f>
        <v/>
      </c>
      <c r="EY102" s="1016">
        <f>AL102</f>
        <v/>
      </c>
      <c r="FA102" s="1016">
        <f>FA131/FA4</f>
        <v/>
      </c>
      <c r="FB102" s="1016">
        <f>FB131/FB4</f>
        <v/>
      </c>
      <c r="FC102" s="1016">
        <f>AM102</f>
        <v/>
      </c>
      <c r="FE102" s="1016">
        <f>FE131/FE4</f>
        <v/>
      </c>
      <c r="FF102" s="1016">
        <f>FF131/FF4</f>
        <v/>
      </c>
      <c r="FG102" s="1016">
        <f>AN102</f>
        <v/>
      </c>
      <c r="FI102" s="1016">
        <f>FI131/FI4</f>
        <v/>
      </c>
      <c r="FJ102" s="1016">
        <f>FJ131/FJ4</f>
        <v/>
      </c>
      <c r="FK102" s="1016" t="n">
        <v>0</v>
      </c>
      <c r="FM102" s="1016">
        <f>FM131/FM4</f>
        <v/>
      </c>
      <c r="FN102" s="1016">
        <f>FN131/FN4</f>
        <v/>
      </c>
      <c r="FO102" s="1016" t="n">
        <v>0</v>
      </c>
    </row>
    <row r="103" customFormat="1" s="1049">
      <c r="A103" s="1110" t="n"/>
      <c r="B103" s="1101" t="inlineStr">
        <is>
          <t>YoY %</t>
        </is>
      </c>
      <c r="D103" s="1049">
        <f>D102/C102-1</f>
        <v/>
      </c>
      <c r="E103" s="1049">
        <f>E102/D102-1</f>
        <v/>
      </c>
      <c r="F103" s="1049">
        <f>F102/E102-1</f>
        <v/>
      </c>
      <c r="G103" s="1049">
        <f>G102/F102-1</f>
        <v/>
      </c>
      <c r="H103" s="1049">
        <f>H102/G102-1</f>
        <v/>
      </c>
      <c r="I103" s="1049">
        <f>I102/H102-1</f>
        <v/>
      </c>
      <c r="J103" s="1049">
        <f>J102/I102-1</f>
        <v/>
      </c>
      <c r="K103" s="1049">
        <f>K102/J102-1</f>
        <v/>
      </c>
      <c r="L103" s="1049">
        <f>L102/K102-1</f>
        <v/>
      </c>
      <c r="M103" s="1049">
        <f>M102/L102-1</f>
        <v/>
      </c>
      <c r="N103" s="1049">
        <f>N102/M102-1</f>
        <v/>
      </c>
      <c r="O103" s="1049">
        <f>O102/N102-1</f>
        <v/>
      </c>
      <c r="P103" s="1049">
        <f>P102/O102-1</f>
        <v/>
      </c>
      <c r="Q103" s="1049">
        <f>Q102/P102-1</f>
        <v/>
      </c>
      <c r="R103" s="1049">
        <f>R102/Q102-1</f>
        <v/>
      </c>
      <c r="S103" s="1049">
        <f>S102/R102-1</f>
        <v/>
      </c>
      <c r="T103" s="1049">
        <f>T102/S102-1</f>
        <v/>
      </c>
      <c r="U103" s="1049">
        <f>U102/T102-1</f>
        <v/>
      </c>
      <c r="V103" s="1049">
        <f>V102/U102-1</f>
        <v/>
      </c>
      <c r="W103" s="1049">
        <f>W102/V102-1</f>
        <v/>
      </c>
      <c r="X103" s="1049">
        <f>X102/W102-1</f>
        <v/>
      </c>
      <c r="Y103" s="1049">
        <f>Y102/X102-1</f>
        <v/>
      </c>
      <c r="Z103" s="1049">
        <f>Z102/Y102-1</f>
        <v/>
      </c>
      <c r="AA103" s="1049">
        <f>AA102/Z102-1</f>
        <v/>
      </c>
      <c r="AB103" s="1049">
        <f>AB102/AA102-1</f>
        <v/>
      </c>
      <c r="AC103" s="1049">
        <f>AC102/AB102-1</f>
        <v/>
      </c>
      <c r="AD103" s="1049">
        <f>AD102/AC102-1</f>
        <v/>
      </c>
      <c r="AE103" s="1049">
        <f>AE102/AD102-1</f>
        <v/>
      </c>
      <c r="AF103" s="1049">
        <f>AF102/AE102-1</f>
        <v/>
      </c>
      <c r="AG103" s="1049">
        <f>AG102/AF102-1</f>
        <v/>
      </c>
      <c r="AH103" s="1049">
        <f>AH102/AG102-1</f>
        <v/>
      </c>
      <c r="AI103" s="1049">
        <f>AI102/AH102-1</f>
        <v/>
      </c>
      <c r="AJ103" s="1049">
        <f>AJ102/AI102-1</f>
        <v/>
      </c>
      <c r="AK103" s="1049">
        <f>AK102/AJ102-1</f>
        <v/>
      </c>
      <c r="AL103" s="1049">
        <f>AL102/AK102-1</f>
        <v/>
      </c>
      <c r="AM103" s="1049">
        <f>AM102/AL102-1</f>
        <v/>
      </c>
      <c r="AN103" s="1049">
        <f>AN102/AM102-1</f>
        <v/>
      </c>
      <c r="AO103" s="1049">
        <f>AO102/AN102-1</f>
        <v/>
      </c>
      <c r="AP103" s="1049">
        <f>AP102/AO102-1</f>
        <v/>
      </c>
      <c r="AQ103" s="1049">
        <f>AQ102/AP102-1</f>
        <v/>
      </c>
      <c r="AR103" s="1049">
        <f>AR102/AQ102-1</f>
        <v/>
      </c>
      <c r="AS103" s="1049">
        <f>AS102/AR102-1</f>
        <v/>
      </c>
      <c r="AT103" s="1049">
        <f>AT102/AS102-1</f>
        <v/>
      </c>
      <c r="AV103" s="1057" t="n"/>
      <c r="AW103" s="1057" t="n"/>
      <c r="AX103" s="1057" t="n"/>
      <c r="AY103" s="1057" t="n"/>
      <c r="AZ103" s="1057">
        <f>AZ102/AV102-1</f>
        <v/>
      </c>
      <c r="BA103" s="1057">
        <f>BA102/AW102-1</f>
        <v/>
      </c>
      <c r="BB103" s="1057">
        <f>BB102/AX102-1</f>
        <v/>
      </c>
      <c r="BD103" s="1057">
        <f>BD102/AZ102-1</f>
        <v/>
      </c>
      <c r="BE103" s="1057">
        <f>BE102/BA102-1</f>
        <v/>
      </c>
      <c r="BF103" s="1057">
        <f>BF102/BB102-1</f>
        <v/>
      </c>
      <c r="BH103" s="1057">
        <f>BH102/BD102-1</f>
        <v/>
      </c>
      <c r="BI103" s="1057">
        <f>BI102/BE102-1</f>
        <v/>
      </c>
      <c r="BJ103" s="1057">
        <f>BJ102/BF102-1</f>
        <v/>
      </c>
      <c r="BL103" s="1057">
        <f>BL102/BH102-1</f>
        <v/>
      </c>
      <c r="BM103" s="1057">
        <f>BM102/BI102-1</f>
        <v/>
      </c>
      <c r="BN103" s="1057">
        <f>BN102/BJ102-1</f>
        <v/>
      </c>
      <c r="BP103" s="1057">
        <f>BP102/BL102-1</f>
        <v/>
      </c>
      <c r="BQ103" s="1057">
        <f>BQ102/BM102-1</f>
        <v/>
      </c>
      <c r="BR103" s="1057">
        <f>BR102/BN102-1</f>
        <v/>
      </c>
      <c r="BT103" s="1057">
        <f>BT102/BP102-1</f>
        <v/>
      </c>
      <c r="BU103" s="1057">
        <f>BU102/BQ102-1</f>
        <v/>
      </c>
      <c r="BV103" s="1057">
        <f>BV102/BR102-1</f>
        <v/>
      </c>
      <c r="BX103" s="1057">
        <f>BX102/BT102-1</f>
        <v/>
      </c>
      <c r="BY103" s="1057">
        <f>BY102/BU102-1</f>
        <v/>
      </c>
      <c r="BZ103" s="1057">
        <f>BZ102/BV102-1</f>
        <v/>
      </c>
      <c r="CB103" s="1057">
        <f>CB102/BX102-1</f>
        <v/>
      </c>
      <c r="CC103" s="1057">
        <f>CC102/BY102-1</f>
        <v/>
      </c>
      <c r="CD103" s="1057">
        <f>CD102/BZ102-1</f>
        <v/>
      </c>
      <c r="CE103" s="1057" t="n"/>
      <c r="CF103" s="1057">
        <f>CF102/CB102-1</f>
        <v/>
      </c>
      <c r="CG103" s="1057">
        <f>CG102/CC102-1</f>
        <v/>
      </c>
      <c r="CH103" s="1057">
        <f>CH102/CD102-1</f>
        <v/>
      </c>
      <c r="CI103" s="1057" t="n"/>
      <c r="CJ103" s="1057">
        <f>CJ102/CF102-1</f>
        <v/>
      </c>
      <c r="CK103" s="1057">
        <f>CK102/CG102-1</f>
        <v/>
      </c>
      <c r="CL103" s="1057">
        <f>V103</f>
        <v/>
      </c>
      <c r="CM103" s="1057" t="n"/>
      <c r="CN103" s="1057">
        <f>CN102/CJ102-1</f>
        <v/>
      </c>
      <c r="CO103" s="1057">
        <f>CO102/CK102-1</f>
        <v/>
      </c>
      <c r="CP103" s="1057">
        <f>W103</f>
        <v/>
      </c>
      <c r="CQ103" s="1057" t="n"/>
      <c r="CR103" s="1057">
        <f>CR102/CN102-1</f>
        <v/>
      </c>
      <c r="CS103" s="1057" t="n"/>
      <c r="CT103" s="1057">
        <f>CT102/CO102-1</f>
        <v/>
      </c>
      <c r="CU103" s="1057">
        <f>X103</f>
        <v/>
      </c>
      <c r="CV103" s="1057" t="n"/>
      <c r="CW103" s="1057" t="n"/>
      <c r="CX103" s="1057" t="n"/>
      <c r="CY103" s="1057">
        <f>Y103</f>
        <v/>
      </c>
      <c r="CZ103" s="1057" t="n"/>
      <c r="DA103" s="1049">
        <f>DA102/CW102-1</f>
        <v/>
      </c>
      <c r="DB103" s="1049">
        <f>DB102/CX102-1</f>
        <v/>
      </c>
      <c r="DC103" s="1057">
        <f>Z103</f>
        <v/>
      </c>
      <c r="DD103" s="1057" t="n"/>
      <c r="DE103" s="1049">
        <f>DE102/DA102-1</f>
        <v/>
      </c>
      <c r="DF103" s="1049">
        <f>DF102/DB102-1</f>
        <v/>
      </c>
      <c r="DG103" s="1057">
        <f>AA103</f>
        <v/>
      </c>
      <c r="DH103" s="1057" t="n"/>
      <c r="DI103" s="1049">
        <f>DI102/DE102-1</f>
        <v/>
      </c>
      <c r="DJ103" s="1049">
        <f>DJ102/DF102-1</f>
        <v/>
      </c>
      <c r="DK103" s="1057">
        <f>AB103</f>
        <v/>
      </c>
      <c r="DL103" s="1057" t="n"/>
      <c r="DM103" s="1049">
        <f>DM102/DI102-1</f>
        <v/>
      </c>
      <c r="DN103" s="1049">
        <f>DN102/DJ102-1</f>
        <v/>
      </c>
      <c r="DO103" s="1049">
        <f>AC103</f>
        <v/>
      </c>
      <c r="DP103" s="1057" t="n"/>
      <c r="DQ103" s="1049">
        <f>DQ102/DM102-1</f>
        <v/>
      </c>
      <c r="DR103" s="1049">
        <f>DR102/DN102-1</f>
        <v/>
      </c>
      <c r="DS103" s="1049">
        <f>AG103</f>
        <v/>
      </c>
      <c r="DU103" s="1049">
        <f>DU102/DQ102-1</f>
        <v/>
      </c>
      <c r="DV103" s="1049">
        <f>DV102/DR102-1</f>
        <v/>
      </c>
      <c r="DW103" s="1049">
        <f>AE103</f>
        <v/>
      </c>
      <c r="DY103" s="1049">
        <f>DY102/DU102-1</f>
        <v/>
      </c>
      <c r="DZ103" s="1049">
        <f>DZ102/DV102-1</f>
        <v/>
      </c>
      <c r="EA103" s="1049">
        <f>AF103</f>
        <v/>
      </c>
      <c r="EC103" s="1049">
        <f>EC102/DY102-1</f>
        <v/>
      </c>
      <c r="ED103" s="1049">
        <f>ED102/DZ102-1</f>
        <v/>
      </c>
      <c r="EE103" s="1049">
        <f>AG103</f>
        <v/>
      </c>
      <c r="EG103" s="1049">
        <f>EG102/EC102-1</f>
        <v/>
      </c>
      <c r="EH103" s="1049">
        <f>EH102/ED102-1</f>
        <v/>
      </c>
      <c r="EI103" s="1049">
        <f>AH103</f>
        <v/>
      </c>
      <c r="EK103" s="1049">
        <f>EK102/EG102-1</f>
        <v/>
      </c>
      <c r="EL103" s="1049">
        <f>EL102/EH102-1</f>
        <v/>
      </c>
      <c r="EM103" s="1049">
        <f>AI103</f>
        <v/>
      </c>
      <c r="EO103" s="1049">
        <f>EO102/EK102-1</f>
        <v/>
      </c>
      <c r="EP103" s="1049">
        <f>EP102/EL102-1</f>
        <v/>
      </c>
      <c r="EQ103" s="1049">
        <f>AJ103</f>
        <v/>
      </c>
      <c r="ES103" s="1049">
        <f>ES102/EO102-1</f>
        <v/>
      </c>
      <c r="ET103" s="1049">
        <f>ET102/EP102-1</f>
        <v/>
      </c>
      <c r="EU103" s="1049">
        <f>AK103</f>
        <v/>
      </c>
      <c r="EW103" s="1049">
        <f>EW102/ES102-1</f>
        <v/>
      </c>
      <c r="EX103" s="1049">
        <f>EX102/ET102-1</f>
        <v/>
      </c>
      <c r="EY103" s="1049">
        <f>AL103</f>
        <v/>
      </c>
      <c r="FA103" s="1049">
        <f>FA102/EW102-1</f>
        <v/>
      </c>
      <c r="FB103" s="1049">
        <f>FB102/EX102-1</f>
        <v/>
      </c>
      <c r="FC103" s="1049">
        <f>AM103</f>
        <v/>
      </c>
      <c r="FE103" s="1049">
        <f>FE102/FA102-1</f>
        <v/>
      </c>
      <c r="FF103" s="1049">
        <f>FF102/FB102-1</f>
        <v/>
      </c>
      <c r="FG103" s="1049">
        <f>AN103</f>
        <v/>
      </c>
      <c r="FI103" s="1049">
        <f>FI102/FE102-1</f>
        <v/>
      </c>
      <c r="FJ103" s="1049">
        <f>FJ102/FF102-1</f>
        <v/>
      </c>
      <c r="FK103" s="1049">
        <f>AO103</f>
        <v/>
      </c>
      <c r="FM103" s="1049">
        <f>FM102/FI102-1</f>
        <v/>
      </c>
      <c r="FN103" s="1049">
        <f>FN102/FJ102-1</f>
        <v/>
      </c>
      <c r="FO103" s="1049">
        <f>AP103</f>
        <v/>
      </c>
    </row>
    <row r="104" customFormat="1" s="1117">
      <c r="A104" s="1118" t="n"/>
      <c r="B104" s="1119" t="inlineStr">
        <is>
          <t>Airline unit costs (per ATK)</t>
        </is>
      </c>
      <c r="H104" s="1117">
        <f>(H131-H127)/H4</f>
        <v/>
      </c>
      <c r="I104" s="1117">
        <f>(I131-I127)/I4</f>
        <v/>
      </c>
      <c r="J104" s="1117">
        <f>(J131-J127)/J4</f>
        <v/>
      </c>
      <c r="K104" s="1117">
        <f>(K131-K127)/K4</f>
        <v/>
      </c>
      <c r="L104" s="1117">
        <f>(L131-L127)/L4</f>
        <v/>
      </c>
      <c r="M104" s="1117">
        <f>(M131-M127)/M4</f>
        <v/>
      </c>
      <c r="N104" s="1117">
        <f>(N131-N127)/N4</f>
        <v/>
      </c>
      <c r="O104" s="1117">
        <f>(O131-O127)/O4</f>
        <v/>
      </c>
      <c r="P104" s="1117">
        <f>(P131-P127)/P4</f>
        <v/>
      </c>
      <c r="Q104" s="1117">
        <f>(Q131-Q127)/Q4</f>
        <v/>
      </c>
      <c r="R104" s="1117">
        <f>(R131-R127)/R4</f>
        <v/>
      </c>
      <c r="S104" s="1117">
        <f>(S131-S127)/S4</f>
        <v/>
      </c>
      <c r="T104" s="1117">
        <f>(T131-T127)/T4</f>
        <v/>
      </c>
      <c r="U104" s="1117">
        <f>(U131-U127)/U4</f>
        <v/>
      </c>
      <c r="V104" s="1117">
        <f>(V131-V127)/V4</f>
        <v/>
      </c>
      <c r="W104" s="1117">
        <f>(W131-W127)/W4</f>
        <v/>
      </c>
      <c r="X104" s="1117">
        <f>(X131-X127)/X4</f>
        <v/>
      </c>
      <c r="Y104" s="1117">
        <f>(Y131-Y127)/Y4</f>
        <v/>
      </c>
      <c r="Z104" s="1117">
        <f>(Z131-Z127)/Z4</f>
        <v/>
      </c>
      <c r="AA104" s="1117">
        <f>(AA131-AA127)/AA4</f>
        <v/>
      </c>
      <c r="AB104" s="1117">
        <f>(AB131-AB127)/AB4</f>
        <v/>
      </c>
      <c r="AC104" s="1117">
        <f>(AC131-AC127)/AC4</f>
        <v/>
      </c>
      <c r="AD104" s="1117">
        <f>(AD131-AD127)/AD4</f>
        <v/>
      </c>
      <c r="AE104" s="1117">
        <f>(AE131-AE127)/AE4</f>
        <v/>
      </c>
      <c r="AF104" s="1117">
        <f>(AF131-AF127)/AF4</f>
        <v/>
      </c>
      <c r="AG104" s="1117">
        <f>(AG131-AG127)/AG4</f>
        <v/>
      </c>
      <c r="AH104" s="1117">
        <f>(AH131-AH127)/AH4</f>
        <v/>
      </c>
      <c r="AI104" s="1117">
        <f>(AI131-AI127)/AI4</f>
        <v/>
      </c>
      <c r="AJ104" s="1117">
        <f>(AJ131-AJ127)/AJ4</f>
        <v/>
      </c>
      <c r="AK104" s="1117">
        <f>(AK131-AK127)/AK4</f>
        <v/>
      </c>
      <c r="AL104" s="1117">
        <f>(AL131-AL127)/AL4</f>
        <v/>
      </c>
      <c r="AM104" s="1117">
        <f>(AM131-AM127)/AM4</f>
        <v/>
      </c>
      <c r="AN104" s="1117">
        <f>(AN131-AN127)/AN4</f>
        <v/>
      </c>
      <c r="AO104" s="1117">
        <f>(AO131-AO127)/AO4</f>
        <v/>
      </c>
      <c r="AP104" s="1117">
        <f>(AP131-AP127)/AP4</f>
        <v/>
      </c>
      <c r="AQ104" s="1117">
        <f>(AQ131-AQ127)/AQ4</f>
        <v/>
      </c>
      <c r="AR104" s="1117">
        <f>(AR131-AR127)/AR4</f>
        <v/>
      </c>
      <c r="AS104" s="1117">
        <f>(AS131-AS127)/AS4</f>
        <v/>
      </c>
      <c r="AT104" s="1117">
        <f>(AT131-AT127)/AT4</f>
        <v/>
      </c>
      <c r="AV104" s="1120">
        <f>(AV131-AV127)/AV4</f>
        <v/>
      </c>
      <c r="AW104" s="1120">
        <f>(AW131-AW127)/AW4</f>
        <v/>
      </c>
      <c r="AX104" s="1120">
        <f>(AX131-AX127)/AX4</f>
        <v/>
      </c>
      <c r="AY104" s="1120" t="n"/>
      <c r="AZ104" s="1120">
        <f>(AZ131-AZ127)/AZ4</f>
        <v/>
      </c>
      <c r="BA104" s="1120">
        <f>(BA131-BA127)/BA4</f>
        <v/>
      </c>
      <c r="BB104" s="1120">
        <f>(BB131-BB127)/BB4</f>
        <v/>
      </c>
      <c r="BD104" s="1120">
        <f>(BD131-BD127)/BD4</f>
        <v/>
      </c>
      <c r="BE104" s="1120">
        <f>(BE131-BE127)/BE4</f>
        <v/>
      </c>
      <c r="BF104" s="1120">
        <f>(BF131-BF127)/BF4</f>
        <v/>
      </c>
      <c r="BH104" s="1120">
        <f>(BH131-BH127)/BH4</f>
        <v/>
      </c>
      <c r="BI104" s="1120">
        <f>(BI131-BI127)/BI4</f>
        <v/>
      </c>
      <c r="BJ104" s="1120">
        <f>(BJ131-BJ127)/BJ4</f>
        <v/>
      </c>
      <c r="BL104" s="1120">
        <f>(BL131-BL127)/BL4</f>
        <v/>
      </c>
      <c r="BM104" s="1120">
        <f>(BM131-BM127)/BM4</f>
        <v/>
      </c>
      <c r="BN104" s="1120">
        <f>(BN131-BN127)/BN4</f>
        <v/>
      </c>
      <c r="BP104" s="1120">
        <f>(BP131-BP127)/BP4</f>
        <v/>
      </c>
      <c r="BQ104" s="1120">
        <f>(BQ131-BQ127)/BQ4</f>
        <v/>
      </c>
      <c r="BR104" s="1120">
        <f>(BR131-BR127)/BR4</f>
        <v/>
      </c>
      <c r="BT104" s="1120">
        <f>(BT131-BT127)/BT4</f>
        <v/>
      </c>
      <c r="BU104" s="1120">
        <f>(BU131-BU127)/BU4</f>
        <v/>
      </c>
      <c r="BV104" s="1120">
        <f>(BV131-BV127)/BV4</f>
        <v/>
      </c>
      <c r="BX104" s="1120">
        <f>(BX131-BX127)/BX4</f>
        <v/>
      </c>
      <c r="BY104" s="1120">
        <f>(BY131-BY127)/BY4</f>
        <v/>
      </c>
      <c r="BZ104" s="1120">
        <f>(BZ131-BZ127)/BZ4</f>
        <v/>
      </c>
      <c r="CB104" s="1120">
        <f>(CB131-CB127)/CB4</f>
        <v/>
      </c>
      <c r="CC104" s="1120">
        <f>(CC131-CC127)/CC4</f>
        <v/>
      </c>
      <c r="CD104" s="1120">
        <f>(CD131-CD127)/CD4</f>
        <v/>
      </c>
      <c r="CE104" s="1120" t="n"/>
      <c r="CF104" s="1120">
        <f>(CF131-CF127)/CF4</f>
        <v/>
      </c>
      <c r="CG104" s="1120">
        <f>(CG131-CG127)/CG4</f>
        <v/>
      </c>
      <c r="CH104" s="1120">
        <f>(CH131-CH127)/CH4</f>
        <v/>
      </c>
      <c r="CI104" s="1120" t="n"/>
      <c r="CJ104" s="1120">
        <f>(CJ131-CJ127)/CJ4</f>
        <v/>
      </c>
      <c r="CK104" s="1120">
        <f>(CK131-CK127)/CK4</f>
        <v/>
      </c>
      <c r="CL104" s="1120">
        <f>V104</f>
        <v/>
      </c>
      <c r="CM104" s="1120" t="n"/>
      <c r="CN104" s="1120">
        <f>(CN131-CN127)/CN4</f>
        <v/>
      </c>
      <c r="CO104" s="1120">
        <f>(CO131-CO127)/CO4</f>
        <v/>
      </c>
      <c r="CP104" s="1120">
        <f>W104</f>
        <v/>
      </c>
      <c r="CQ104" s="1120" t="n"/>
      <c r="CR104" s="1120">
        <f>(CR131-CR127)/CR4</f>
        <v/>
      </c>
      <c r="CS104" s="1120" t="n"/>
      <c r="CT104" s="1120">
        <f>(CT131-CT127)/CT4</f>
        <v/>
      </c>
      <c r="CU104" s="1120">
        <f>X104</f>
        <v/>
      </c>
      <c r="CV104" s="1120" t="n"/>
      <c r="CW104" s="1117">
        <f>(CW131-CW127)/CW4</f>
        <v/>
      </c>
      <c r="CX104" s="1117">
        <f>(CX131-CX127)/CX4</f>
        <v/>
      </c>
      <c r="CY104" s="1120">
        <f>Y104</f>
        <v/>
      </c>
      <c r="CZ104" s="1120" t="n"/>
      <c r="DA104" s="1117">
        <f>(DA131-DA127)/DA4</f>
        <v/>
      </c>
      <c r="DB104" s="1117">
        <f>(DB131-DB127)/DB4</f>
        <v/>
      </c>
      <c r="DC104" s="1120">
        <f>Z104</f>
        <v/>
      </c>
      <c r="DD104" s="1120" t="n"/>
      <c r="DE104" s="1117">
        <f>(DE131-DE127)/DE4</f>
        <v/>
      </c>
      <c r="DF104" s="1117">
        <f>(DF131-DF127)/DF4</f>
        <v/>
      </c>
      <c r="DG104" s="1120">
        <f>AA104</f>
        <v/>
      </c>
      <c r="DH104" s="1120" t="n"/>
      <c r="DI104" s="1117">
        <f>(DI131-DI127)/DI4</f>
        <v/>
      </c>
      <c r="DJ104" s="1117">
        <f>(DJ131-DJ127)/DJ4</f>
        <v/>
      </c>
      <c r="DK104" s="1120">
        <f>AB104</f>
        <v/>
      </c>
      <c r="DL104" s="1120" t="n"/>
      <c r="DM104" s="1117">
        <f>(DM131-DM127)/DM4</f>
        <v/>
      </c>
      <c r="DN104" s="1117">
        <f>(DN131-DN127)/DN4</f>
        <v/>
      </c>
      <c r="DO104" s="1117">
        <f>AC104</f>
        <v/>
      </c>
      <c r="DP104" s="1120" t="n"/>
      <c r="DQ104" s="1117">
        <f>(DQ131-DQ127)/DQ4</f>
        <v/>
      </c>
      <c r="DR104" s="1117">
        <f>(DR131-DR127)/DR4</f>
        <v/>
      </c>
      <c r="DS104" s="1117">
        <f>AG104</f>
        <v/>
      </c>
      <c r="DU104" s="1117">
        <f>(DU131-DU127)/DU4</f>
        <v/>
      </c>
      <c r="DV104" s="1117">
        <f>(DV131-DV127)/DV4</f>
        <v/>
      </c>
      <c r="DW104" s="1117">
        <f>AE104</f>
        <v/>
      </c>
      <c r="DY104" s="1117">
        <f>(DY131-DY127)/DY4</f>
        <v/>
      </c>
      <c r="DZ104" s="1117">
        <f>(DZ131-DZ127)/DZ4</f>
        <v/>
      </c>
      <c r="EA104" s="1117">
        <f>AF104</f>
        <v/>
      </c>
      <c r="EC104" s="1117">
        <f>(EC131-EC127)/EC4</f>
        <v/>
      </c>
      <c r="ED104" s="1117">
        <f>(ED131-ED127)/ED4</f>
        <v/>
      </c>
      <c r="EE104" s="1117">
        <f>AG104</f>
        <v/>
      </c>
      <c r="EG104" s="1117">
        <f>(EG131-EG127)/EG4</f>
        <v/>
      </c>
      <c r="EH104" s="1117">
        <f>(EH131-EH127)/EH4</f>
        <v/>
      </c>
      <c r="EI104" s="1117">
        <f>AH104</f>
        <v/>
      </c>
      <c r="EK104" s="1117">
        <f>(EK131-EK127)/EK4</f>
        <v/>
      </c>
      <c r="EL104" s="1117">
        <f>(EL131-EL127)/EL4</f>
        <v/>
      </c>
      <c r="EM104" s="1117">
        <f>AI104</f>
        <v/>
      </c>
      <c r="EO104" s="1117">
        <f>(EO131-EO127)/EO4</f>
        <v/>
      </c>
      <c r="EP104" s="1117">
        <f>(EP131-EP127)/EP4</f>
        <v/>
      </c>
      <c r="EQ104" s="1117">
        <f>AJ104</f>
        <v/>
      </c>
      <c r="ES104" s="1117">
        <f>(ES131-ES127)/ES4</f>
        <v/>
      </c>
      <c r="ET104" s="1117">
        <f>(ET131-ET127)/ET4</f>
        <v/>
      </c>
      <c r="EU104" s="1117">
        <f>AK104</f>
        <v/>
      </c>
      <c r="EW104" s="1117">
        <f>(EW131-EW127)/EW4</f>
        <v/>
      </c>
      <c r="EX104" s="1117">
        <f>(EX131-EX127)/EX4</f>
        <v/>
      </c>
      <c r="EY104" s="1117">
        <f>AL104</f>
        <v/>
      </c>
      <c r="FA104" s="1117">
        <f>(FA131-FA127)/FA4</f>
        <v/>
      </c>
      <c r="FB104" s="1117">
        <f>(FB131-FB127)/FB4</f>
        <v/>
      </c>
      <c r="FC104" s="1117">
        <f>AM104</f>
        <v/>
      </c>
      <c r="FE104" s="1117">
        <f>(FE131-FE127)/FE4</f>
        <v/>
      </c>
      <c r="FF104" s="1117">
        <f>(FF131-FF127)/FF4</f>
        <v/>
      </c>
      <c r="FG104" s="1117">
        <f>AN104</f>
        <v/>
      </c>
      <c r="FI104" s="1117">
        <f>(FI131-FI127)/FI4</f>
        <v/>
      </c>
      <c r="FJ104" s="1117">
        <f>(FJ131-FJ127)/FJ4</f>
        <v/>
      </c>
      <c r="FK104" s="1117">
        <f>AO104</f>
        <v/>
      </c>
      <c r="FM104" s="1117">
        <f>(FM131-FM127)/FM4</f>
        <v/>
      </c>
      <c r="FN104" s="1117">
        <f>(FN131-FN127)/FN4</f>
        <v/>
      </c>
      <c r="FO104" s="1117">
        <f>AP104</f>
        <v/>
      </c>
    </row>
    <row r="105" customFormat="1" s="1049">
      <c r="A105" s="1110" t="n"/>
      <c r="B105" s="1101" t="inlineStr">
        <is>
          <t>YoY %</t>
        </is>
      </c>
      <c r="I105" s="1049">
        <f>I104/H104-1</f>
        <v/>
      </c>
      <c r="J105" s="1049">
        <f>J104/I104-1</f>
        <v/>
      </c>
      <c r="K105" s="1049">
        <f>K104/J104-1</f>
        <v/>
      </c>
      <c r="L105" s="1049">
        <f>L104/K104-1</f>
        <v/>
      </c>
      <c r="M105" s="1049">
        <f>M104/L104-1</f>
        <v/>
      </c>
      <c r="N105" s="1049">
        <f>N104/M104-1</f>
        <v/>
      </c>
      <c r="O105" s="1049">
        <f>O104/N104-1</f>
        <v/>
      </c>
      <c r="P105" s="1049">
        <f>P104/O104-1</f>
        <v/>
      </c>
      <c r="Q105" s="1049">
        <f>Q104/P104-1</f>
        <v/>
      </c>
      <c r="R105" s="1049">
        <f>R104/Q104-1</f>
        <v/>
      </c>
      <c r="S105" s="1049">
        <f>S104/R104-1</f>
        <v/>
      </c>
      <c r="T105" s="1049">
        <f>T104/S104-1</f>
        <v/>
      </c>
      <c r="U105" s="1049">
        <f>U104/T104-1</f>
        <v/>
      </c>
      <c r="V105" s="1049">
        <f>V104/U104-1</f>
        <v/>
      </c>
      <c r="W105" s="1049">
        <f>W104/V104-1</f>
        <v/>
      </c>
      <c r="X105" s="1049">
        <f>X104/W104-1</f>
        <v/>
      </c>
      <c r="Y105" s="1049">
        <f>Y104/X104-1</f>
        <v/>
      </c>
      <c r="Z105" s="1049">
        <f>Z104/Y104-1</f>
        <v/>
      </c>
      <c r="AA105" s="1049">
        <f>AA104/Z104-1</f>
        <v/>
      </c>
      <c r="AB105" s="1049">
        <f>AB104/AA104-1</f>
        <v/>
      </c>
      <c r="AC105" s="1049">
        <f>AC104/AB104-1</f>
        <v/>
      </c>
      <c r="AD105" s="1049">
        <f>AD104/AC104-1</f>
        <v/>
      </c>
      <c r="AE105" s="1049">
        <f>AE104/AD104-1</f>
        <v/>
      </c>
      <c r="AF105" s="1049">
        <f>AF104/AE104-1</f>
        <v/>
      </c>
      <c r="AG105" s="1049">
        <f>AG104/AF104-1</f>
        <v/>
      </c>
      <c r="AH105" s="1049">
        <f>AH104/AG104-1</f>
        <v/>
      </c>
      <c r="AI105" s="1049">
        <f>AI104/AH104-1</f>
        <v/>
      </c>
      <c r="AJ105" s="1049">
        <f>AJ104/AI104-1</f>
        <v/>
      </c>
      <c r="AK105" s="1049">
        <f>AK104/AJ104-1</f>
        <v/>
      </c>
      <c r="AL105" s="1049">
        <f>AL104/AK104-1</f>
        <v/>
      </c>
      <c r="AM105" s="1049">
        <f>AM104/AL104-1</f>
        <v/>
      </c>
      <c r="AN105" s="1049">
        <f>AN104/AM104-1</f>
        <v/>
      </c>
      <c r="AO105" s="1049">
        <f>AO104/AN104-1</f>
        <v/>
      </c>
      <c r="AP105" s="1049">
        <f>AP104/AO104-1</f>
        <v/>
      </c>
      <c r="AQ105" s="1049">
        <f>AQ104/AP104-1</f>
        <v/>
      </c>
      <c r="AR105" s="1049">
        <f>AR104/AQ104-1</f>
        <v/>
      </c>
      <c r="AS105" s="1049">
        <f>AS104/AR104-1</f>
        <v/>
      </c>
      <c r="AT105" s="1049">
        <f>AT104/AS104-1</f>
        <v/>
      </c>
      <c r="AU105" s="384" t="n"/>
      <c r="AV105" s="1057" t="n"/>
      <c r="AW105" s="1057" t="n"/>
      <c r="AX105" s="1057" t="n"/>
      <c r="AY105" s="1057" t="n"/>
      <c r="AZ105" s="1057">
        <f>AZ104/AV104-1</f>
        <v/>
      </c>
      <c r="BA105" s="1057">
        <f>BA104/AW104-1</f>
        <v/>
      </c>
      <c r="BB105" s="1057">
        <f>BB104/AX104-1</f>
        <v/>
      </c>
      <c r="BD105" s="1057">
        <f>BD104/AZ104-1</f>
        <v/>
      </c>
      <c r="BE105" s="1057">
        <f>BE104/BA104-1</f>
        <v/>
      </c>
      <c r="BF105" s="1057">
        <f>BF104/BB104-1</f>
        <v/>
      </c>
      <c r="BH105" s="1057">
        <f>BH104/BD104-1</f>
        <v/>
      </c>
      <c r="BI105" s="1057">
        <f>BI104/BE104-1</f>
        <v/>
      </c>
      <c r="BJ105" s="1057">
        <f>BJ104/BF104-1</f>
        <v/>
      </c>
      <c r="BL105" s="1057">
        <f>BL104/BH104-1</f>
        <v/>
      </c>
      <c r="BM105" s="1057">
        <f>BM104/BI104-1</f>
        <v/>
      </c>
      <c r="BN105" s="1057">
        <f>BN104/BJ104-1</f>
        <v/>
      </c>
      <c r="BP105" s="1057">
        <f>BP104/BL104-1</f>
        <v/>
      </c>
      <c r="BQ105" s="1057">
        <f>BQ104/BM104-1</f>
        <v/>
      </c>
      <c r="BR105" s="1057">
        <f>BR104/BN104-1</f>
        <v/>
      </c>
      <c r="BT105" s="1057">
        <f>BT104/BP104-1</f>
        <v/>
      </c>
      <c r="BU105" s="1057">
        <f>BU104/BQ104-1</f>
        <v/>
      </c>
      <c r="BV105" s="1057">
        <f>BV104/BR104-1</f>
        <v/>
      </c>
      <c r="BX105" s="1057">
        <f>BX104/BT104-1</f>
        <v/>
      </c>
      <c r="BY105" s="1057">
        <f>BY104/BU104-1</f>
        <v/>
      </c>
      <c r="BZ105" s="1057">
        <f>BZ104/BV104-1</f>
        <v/>
      </c>
      <c r="CB105" s="1057">
        <f>CB104/BX104-1</f>
        <v/>
      </c>
      <c r="CC105" s="1057">
        <f>CC104/BY104-1</f>
        <v/>
      </c>
      <c r="CD105" s="1057">
        <f>CD104/BZ104-1</f>
        <v/>
      </c>
      <c r="CE105" s="1057" t="n"/>
      <c r="CF105" s="1057">
        <f>CF104/CB104-1</f>
        <v/>
      </c>
      <c r="CG105" s="1057">
        <f>CG104/CC104-1</f>
        <v/>
      </c>
      <c r="CH105" s="1057">
        <f>CH104/CD104-1</f>
        <v/>
      </c>
      <c r="CI105" s="1057" t="n"/>
      <c r="CJ105" s="1057">
        <f>CJ104/CF104-1</f>
        <v/>
      </c>
      <c r="CK105" s="1057">
        <f>CK104/CG104-1</f>
        <v/>
      </c>
      <c r="CL105" s="1057">
        <f>V105</f>
        <v/>
      </c>
      <c r="CM105" s="1057" t="n"/>
      <c r="CN105" s="1057">
        <f>CN104/CJ104-1</f>
        <v/>
      </c>
      <c r="CO105" s="1057">
        <f>CO104/CK104-1</f>
        <v/>
      </c>
      <c r="CP105" s="1057">
        <f>W105</f>
        <v/>
      </c>
      <c r="CQ105" s="1057" t="n"/>
      <c r="CR105" s="1057">
        <f>CR104/CN104-1</f>
        <v/>
      </c>
      <c r="CS105" s="1057" t="n"/>
      <c r="CT105" s="1057">
        <f>CT104/CO104-1</f>
        <v/>
      </c>
      <c r="CU105" s="1057">
        <f>X105</f>
        <v/>
      </c>
      <c r="CV105" s="1057" t="n"/>
      <c r="CW105" s="1057" t="n"/>
      <c r="CX105" s="1057" t="n"/>
      <c r="CY105" s="1057">
        <f>Y105</f>
        <v/>
      </c>
      <c r="CZ105" s="1057" t="n"/>
      <c r="DA105" s="1049">
        <f>DA104/CW104-1</f>
        <v/>
      </c>
      <c r="DB105" s="1049">
        <f>DB104/CX104-1</f>
        <v/>
      </c>
      <c r="DC105" s="1057">
        <f>Z105</f>
        <v/>
      </c>
      <c r="DD105" s="1057" t="n"/>
      <c r="DE105" s="1049">
        <f>DE104/DA104-1</f>
        <v/>
      </c>
      <c r="DF105" s="1049">
        <f>DF104/DB104-1</f>
        <v/>
      </c>
      <c r="DG105" s="1057">
        <f>AA105</f>
        <v/>
      </c>
      <c r="DH105" s="1057" t="n"/>
      <c r="DI105" s="1049">
        <f>DI104/DE104-1</f>
        <v/>
      </c>
      <c r="DJ105" s="1049">
        <f>DJ104/DF104-1</f>
        <v/>
      </c>
      <c r="DK105" s="1057">
        <f>AB105</f>
        <v/>
      </c>
      <c r="DL105" s="1057" t="n"/>
      <c r="DM105" s="1049">
        <f>DM104/DI104-1</f>
        <v/>
      </c>
      <c r="DN105" s="1049">
        <f>DN104/DJ104-1</f>
        <v/>
      </c>
      <c r="DO105" s="1049">
        <f>AC105</f>
        <v/>
      </c>
      <c r="DP105" s="1057" t="n"/>
      <c r="DQ105" s="1049">
        <f>DQ104/DM104-1</f>
        <v/>
      </c>
      <c r="DR105" s="1049">
        <f>DR104/DN104-1</f>
        <v/>
      </c>
      <c r="DS105" s="1049">
        <f>AG105</f>
        <v/>
      </c>
      <c r="DU105" s="1049">
        <f>DU104/DQ104-1</f>
        <v/>
      </c>
      <c r="DV105" s="1049">
        <f>DV104/DR104-1</f>
        <v/>
      </c>
      <c r="DW105" s="1049">
        <f>AE105</f>
        <v/>
      </c>
      <c r="DY105" s="1049">
        <f>DY104/DU104-1</f>
        <v/>
      </c>
      <c r="DZ105" s="1049">
        <f>DZ104/DV104-1</f>
        <v/>
      </c>
      <c r="EA105" s="1049">
        <f>AF105</f>
        <v/>
      </c>
      <c r="EC105" s="1049">
        <f>EC104/DY104-1</f>
        <v/>
      </c>
      <c r="ED105" s="1049">
        <f>ED104/DZ104-1</f>
        <v/>
      </c>
      <c r="EE105" s="1049">
        <f>AG105</f>
        <v/>
      </c>
      <c r="EG105" s="1049">
        <f>EG104/EC104-1</f>
        <v/>
      </c>
      <c r="EH105" s="1049">
        <f>EH104/ED104-1</f>
        <v/>
      </c>
      <c r="EI105" s="1049">
        <f>AH105</f>
        <v/>
      </c>
      <c r="EK105" s="1049">
        <f>EK104/EG104-1</f>
        <v/>
      </c>
      <c r="EL105" s="1049">
        <f>EL104/EH104-1</f>
        <v/>
      </c>
      <c r="EM105" s="1049">
        <f>AI105</f>
        <v/>
      </c>
      <c r="EO105" s="1049">
        <f>EO104/EK104-1</f>
        <v/>
      </c>
      <c r="EP105" s="1049">
        <f>EP104/EL104-1</f>
        <v/>
      </c>
      <c r="EQ105" s="1049">
        <f>AJ105</f>
        <v/>
      </c>
      <c r="ES105" s="1049">
        <f>ES104/EO104-1</f>
        <v/>
      </c>
      <c r="ET105" s="1049">
        <f>ET104/EP104-1</f>
        <v/>
      </c>
      <c r="EU105" s="1049">
        <f>AK105</f>
        <v/>
      </c>
      <c r="EW105" s="1049">
        <f>EW104/ES104-1</f>
        <v/>
      </c>
      <c r="EX105" s="1049">
        <f>EX104/ET104-1</f>
        <v/>
      </c>
      <c r="EY105" s="1049">
        <f>AL105</f>
        <v/>
      </c>
      <c r="FA105" s="1049">
        <f>FA104/EW104-1</f>
        <v/>
      </c>
      <c r="FB105" s="1049">
        <f>FB104/EX104-1</f>
        <v/>
      </c>
      <c r="FC105" s="1049">
        <f>AM105</f>
        <v/>
      </c>
      <c r="FE105" s="1049">
        <f>FE104/FA104-1</f>
        <v/>
      </c>
      <c r="FF105" s="1049">
        <f>FF104/FB104-1</f>
        <v/>
      </c>
      <c r="FG105" s="1049">
        <f>AN105</f>
        <v/>
      </c>
      <c r="FI105" s="1049">
        <f>FI104/FE104-1</f>
        <v/>
      </c>
      <c r="FJ105" s="1049">
        <f>FJ104/FF104-1</f>
        <v/>
      </c>
      <c r="FK105" s="1049">
        <f>AO105</f>
        <v/>
      </c>
      <c r="FM105" s="1049">
        <f>FM104/FI104-1</f>
        <v/>
      </c>
      <c r="FN105" s="1049">
        <f>FN104/FJ104-1</f>
        <v/>
      </c>
      <c r="FO105" s="1049">
        <f>AP105</f>
        <v/>
      </c>
    </row>
    <row r="106" customFormat="1" s="1049">
      <c r="A106" s="1110" t="n"/>
      <c r="B106" s="1111" t="inlineStr">
        <is>
          <t>Unit revenues</t>
        </is>
      </c>
      <c r="C106" s="1016">
        <f>(C112+C114)/C4</f>
        <v/>
      </c>
      <c r="D106" s="1016">
        <f>(D112+D114)/D4</f>
        <v/>
      </c>
      <c r="E106" s="1016">
        <f>(E112+E114)/E4</f>
        <v/>
      </c>
      <c r="F106" s="1016">
        <f>(F112+F114)/F4</f>
        <v/>
      </c>
      <c r="G106" s="1016">
        <f>(G112+G114)/G4</f>
        <v/>
      </c>
      <c r="H106" s="1016">
        <f>(H112+H114)/H4</f>
        <v/>
      </c>
      <c r="I106" s="1016">
        <f>(I112+I114)/I4</f>
        <v/>
      </c>
      <c r="J106" s="1016">
        <f>(J112+J114)/J4</f>
        <v/>
      </c>
      <c r="K106" s="1016">
        <f>(K112+K114)/K4</f>
        <v/>
      </c>
      <c r="L106" s="1016">
        <f>(L112+L114)/L4</f>
        <v/>
      </c>
      <c r="M106" s="1016">
        <f>(M112+M114)/M4</f>
        <v/>
      </c>
      <c r="N106" s="1016">
        <f>(N112+N114)/N4</f>
        <v/>
      </c>
      <c r="O106" s="1016">
        <f>(O112+O114)/O4</f>
        <v/>
      </c>
      <c r="P106" s="1016">
        <f>(P112+P114)/P4</f>
        <v/>
      </c>
      <c r="Q106" s="1016">
        <f>(Q112+Q114)/Q4</f>
        <v/>
      </c>
      <c r="R106" s="1016">
        <f>(R112+R114)/R4</f>
        <v/>
      </c>
      <c r="S106" s="1016">
        <f>(S112+S114)/S4</f>
        <v/>
      </c>
      <c r="T106" s="1016">
        <f>(T112+T114)/T4</f>
        <v/>
      </c>
      <c r="U106" s="1016">
        <f>(U112+U114)/U4</f>
        <v/>
      </c>
      <c r="V106" s="1016">
        <f>(V112+V114)/V4</f>
        <v/>
      </c>
      <c r="W106" s="1016">
        <f>(W112+W114)/W4</f>
        <v/>
      </c>
      <c r="X106" s="1016">
        <f>(X112+X114)/X4</f>
        <v/>
      </c>
      <c r="Y106" s="1016">
        <f>(Y112+Y114)/Y4</f>
        <v/>
      </c>
      <c r="Z106" s="1016">
        <f>(Z112+Z114)/Z4</f>
        <v/>
      </c>
      <c r="AA106" s="1016">
        <f>(AA112+AA114)/AA4</f>
        <v/>
      </c>
      <c r="AB106" s="1016">
        <f>(AB112+AB114)/AB4</f>
        <v/>
      </c>
      <c r="AC106" s="1016">
        <f>(AC112+AC114)/AC4</f>
        <v/>
      </c>
      <c r="AD106" s="1016">
        <f>(AD112+AD114)/AD4</f>
        <v/>
      </c>
      <c r="AE106" s="1016">
        <f>(AE112+AE114)/AE4</f>
        <v/>
      </c>
      <c r="AF106" s="1016">
        <f>(AF112+AF114)/AF4</f>
        <v/>
      </c>
      <c r="AG106" s="1016">
        <f>(AG112+AG114)/AG4</f>
        <v/>
      </c>
      <c r="AH106" s="1016">
        <f>(AH112+AH114)/AH4</f>
        <v/>
      </c>
      <c r="AI106" s="1016">
        <f>(AI112+AI114)/AI4</f>
        <v/>
      </c>
      <c r="AJ106" s="1016">
        <f>(AJ112+AJ114)/AJ4</f>
        <v/>
      </c>
      <c r="AK106" s="1016">
        <f>(AK112+AK114)/AK4</f>
        <v/>
      </c>
      <c r="AL106" s="1016">
        <f>(AL112+AL114)/AL4</f>
        <v/>
      </c>
      <c r="AM106" s="1016">
        <f>(AM112+AM114)/AM4</f>
        <v/>
      </c>
      <c r="AN106" s="1016">
        <f>(AN112+AN114)/AN4</f>
        <v/>
      </c>
      <c r="AO106" s="1016">
        <f>(AO112+AO114)/AO4</f>
        <v/>
      </c>
      <c r="AP106" s="1016">
        <f>(AP112+AP114)/AP4</f>
        <v/>
      </c>
      <c r="AQ106" s="1016">
        <f>(AQ112+AQ114)/AQ4</f>
        <v/>
      </c>
      <c r="AR106" s="1016">
        <f>(AR112+AR114)/AR4</f>
        <v/>
      </c>
      <c r="AS106" s="1016">
        <f>(AS112+AS114)/AS4</f>
        <v/>
      </c>
      <c r="AT106" s="1016">
        <f>(AT112+AT114)/AT4</f>
        <v/>
      </c>
      <c r="AU106" s="1016" t="n"/>
      <c r="AV106" s="1116">
        <f>(AV112+AV114)/AV4</f>
        <v/>
      </c>
      <c r="AW106" s="1116">
        <f>(AW112+AW114)/AW4</f>
        <v/>
      </c>
      <c r="AX106" s="1116">
        <f>(AX112+AX114)/AX4</f>
        <v/>
      </c>
      <c r="AY106" s="1057" t="n"/>
      <c r="AZ106" s="1116">
        <f>(AZ112+AZ114)/AZ4</f>
        <v/>
      </c>
      <c r="BA106" s="1116">
        <f>(BA112+BA114)/BA4</f>
        <v/>
      </c>
      <c r="BB106" s="1116">
        <f>(BB112+BB114)/BB4</f>
        <v/>
      </c>
      <c r="BD106" s="1116">
        <f>(BD112+BD114)/BD4</f>
        <v/>
      </c>
      <c r="BE106" s="1116">
        <f>(BE112+BE114)/BE4</f>
        <v/>
      </c>
      <c r="BF106" s="1116">
        <f>(BF112+BF114)/BF4</f>
        <v/>
      </c>
      <c r="BH106" s="1116">
        <f>(BH112+BH114)/BH4</f>
        <v/>
      </c>
      <c r="BI106" s="1116">
        <f>(BI112+BI114)/BI4</f>
        <v/>
      </c>
      <c r="BJ106" s="1116">
        <f>(BJ112+BJ114)/BJ4</f>
        <v/>
      </c>
      <c r="BL106" s="1116">
        <f>(BL112+BL114)/BL4</f>
        <v/>
      </c>
      <c r="BM106" s="1116">
        <f>(BM112+BM114)/BM4</f>
        <v/>
      </c>
      <c r="BN106" s="1116">
        <f>(BN112+BN114)/BN4</f>
        <v/>
      </c>
      <c r="BP106" s="1116">
        <f>(BP112+BP114)/BP4</f>
        <v/>
      </c>
      <c r="BQ106" s="1116">
        <f>(BQ112+BQ114)/BQ4</f>
        <v/>
      </c>
      <c r="BR106" s="1116">
        <f>(BR112+BR114)/BR4</f>
        <v/>
      </c>
      <c r="BT106" s="1116">
        <f>(BT112+BT114)/BT4</f>
        <v/>
      </c>
      <c r="BU106" s="1116">
        <f>(BU112+BU114)/BU4</f>
        <v/>
      </c>
      <c r="BV106" s="1116">
        <f>(BV112+BV114)/BV4</f>
        <v/>
      </c>
      <c r="BX106" s="1116">
        <f>(BX112+BX114)/BX4</f>
        <v/>
      </c>
      <c r="BY106" s="1116">
        <f>(BY112+BY114)/BY4</f>
        <v/>
      </c>
      <c r="BZ106" s="1116">
        <f>(BZ112+BZ114)/BZ4</f>
        <v/>
      </c>
      <c r="CB106" s="1116">
        <f>(CB112+CB114)/CB4</f>
        <v/>
      </c>
      <c r="CC106" s="1116">
        <f>(CC112+CC114)/CC4</f>
        <v/>
      </c>
      <c r="CD106" s="1116">
        <f>(CD112+CD114)/CD4</f>
        <v/>
      </c>
      <c r="CE106" s="1016" t="n"/>
      <c r="CF106" s="1116">
        <f>(CF112+CF114)/CF4</f>
        <v/>
      </c>
      <c r="CG106" s="1116">
        <f>(CG112+CG114)/CG4</f>
        <v/>
      </c>
      <c r="CH106" s="1116">
        <f>(CH112+CH114)/CH4</f>
        <v/>
      </c>
      <c r="CI106" s="1016" t="n"/>
      <c r="CJ106" s="1116">
        <f>(CJ112+CJ114)/CJ4</f>
        <v/>
      </c>
      <c r="CK106" s="1116">
        <f>(CK112+CK114)/CK4</f>
        <v/>
      </c>
      <c r="CL106" s="1116">
        <f>V106</f>
        <v/>
      </c>
      <c r="CM106" s="1016" t="n"/>
      <c r="CN106" s="1116">
        <f>(CN112+CN114)/CN4</f>
        <v/>
      </c>
      <c r="CO106" s="1116">
        <f>(CO112+CO114)/CO4</f>
        <v/>
      </c>
      <c r="CP106" s="1116">
        <f>W106</f>
        <v/>
      </c>
      <c r="CQ106" s="1016" t="n"/>
      <c r="CR106" s="1116">
        <f>(CR112+CR114)/CR4</f>
        <v/>
      </c>
      <c r="CS106" s="1116" t="n"/>
      <c r="CT106" s="1116">
        <f>(CT112+CT114)/CT4</f>
        <v/>
      </c>
      <c r="CU106" s="1116">
        <f>X106</f>
        <v/>
      </c>
      <c r="CV106" s="1016" t="n"/>
      <c r="CW106" s="1016">
        <f>(CW112+CW114)/CW4</f>
        <v/>
      </c>
      <c r="CX106" s="1016">
        <f>(CX112+CX114)/CX4</f>
        <v/>
      </c>
      <c r="CY106" s="1116">
        <f>Y106</f>
        <v/>
      </c>
      <c r="CZ106" s="1016" t="n"/>
      <c r="DA106" s="1016">
        <f>(DA112+DA114)/DA4</f>
        <v/>
      </c>
      <c r="DB106" s="1016">
        <f>(DB112+DB114)/DB4</f>
        <v/>
      </c>
      <c r="DC106" s="1116">
        <f>Z106</f>
        <v/>
      </c>
      <c r="DD106" s="1016" t="n"/>
      <c r="DE106" s="1016">
        <f>(DE112+DE114)/DE4</f>
        <v/>
      </c>
      <c r="DF106" s="1016">
        <f>(DF112+DF114)/DF4</f>
        <v/>
      </c>
      <c r="DG106" s="1016">
        <f>AA106</f>
        <v/>
      </c>
      <c r="DH106" s="1016" t="n"/>
      <c r="DI106" s="1016">
        <f>(DI112+DI114)/DI4</f>
        <v/>
      </c>
      <c r="DJ106" s="1016">
        <f>(DJ112+DJ114)/DJ4</f>
        <v/>
      </c>
      <c r="DK106" s="1016">
        <f>AB106</f>
        <v/>
      </c>
      <c r="DL106" s="1016" t="n"/>
      <c r="DM106" s="1016">
        <f>(DM112+DM114)/DM4</f>
        <v/>
      </c>
      <c r="DN106" s="1016">
        <f>(DN112+DN114)/DN4</f>
        <v/>
      </c>
      <c r="DO106" s="1016">
        <f>AC106</f>
        <v/>
      </c>
      <c r="DP106" s="1016" t="n"/>
      <c r="DQ106" s="1016">
        <f>(DQ112+DQ114)/DQ4</f>
        <v/>
      </c>
      <c r="DR106" s="1016">
        <f>(DR112+DR114)/DR4</f>
        <v/>
      </c>
      <c r="DS106" s="1016">
        <f>AG106</f>
        <v/>
      </c>
      <c r="DT106" s="1016" t="n"/>
      <c r="DU106" s="1016">
        <f>(DU112+DU114)/DU4</f>
        <v/>
      </c>
      <c r="DV106" s="1016">
        <f>(DV112+DV114)/DV4</f>
        <v/>
      </c>
      <c r="DW106" s="1016">
        <f>AE106</f>
        <v/>
      </c>
      <c r="DX106" s="1016" t="n"/>
      <c r="DY106" s="1016">
        <f>(DY112+DY114)/DY4</f>
        <v/>
      </c>
      <c r="DZ106" s="1016">
        <f>(DZ112+DZ114)/DZ4</f>
        <v/>
      </c>
      <c r="EA106" s="1016">
        <f>AF106</f>
        <v/>
      </c>
      <c r="EC106" s="1016">
        <f>(EC112+EC114)/EC4</f>
        <v/>
      </c>
      <c r="ED106" s="1016">
        <f>(ED112+ED114)/ED4</f>
        <v/>
      </c>
      <c r="EE106" s="1016">
        <f>AG106</f>
        <v/>
      </c>
      <c r="EF106" s="1016" t="n"/>
      <c r="EG106" s="1016">
        <f>(EG112+EG114)/EG4</f>
        <v/>
      </c>
      <c r="EH106" s="1016">
        <f>(EH112+EH114)/EH4</f>
        <v/>
      </c>
      <c r="EI106" s="1016">
        <f>AH106</f>
        <v/>
      </c>
      <c r="EJ106" s="1016" t="n"/>
      <c r="EK106" s="1016">
        <f>(EK112+EK114)/EK4</f>
        <v/>
      </c>
      <c r="EL106" s="1016">
        <f>(EL112+EL114)/EL4</f>
        <v/>
      </c>
      <c r="EM106" s="1016">
        <f>AI106</f>
        <v/>
      </c>
      <c r="EN106" s="1016" t="n"/>
      <c r="EO106" s="1016">
        <f>(EO112+EO114)/EO4</f>
        <v/>
      </c>
      <c r="EP106" s="1016">
        <f>(EP112+EP114)/EP4</f>
        <v/>
      </c>
      <c r="EQ106" s="1016">
        <f>AJ106</f>
        <v/>
      </c>
      <c r="ES106" s="1016">
        <f>(ES112+ES114)/ES4</f>
        <v/>
      </c>
      <c r="ET106" s="1016">
        <f>(ET112+ET114)/ET4</f>
        <v/>
      </c>
      <c r="EU106" s="1016">
        <f>AK106</f>
        <v/>
      </c>
      <c r="EV106" s="1016" t="n"/>
      <c r="EW106" s="1016">
        <f>(EW112+EW114)/EW4</f>
        <v/>
      </c>
      <c r="EX106" s="1016">
        <f>(EX112+EX114)/EX4</f>
        <v/>
      </c>
      <c r="EY106" s="1016">
        <f>AL106</f>
        <v/>
      </c>
      <c r="FA106" s="1016">
        <f>(FA112+FA114)/FA4</f>
        <v/>
      </c>
      <c r="FB106" s="1016">
        <f>(FB112+FB114)/FB4</f>
        <v/>
      </c>
      <c r="FC106" s="1016">
        <f>AM106</f>
        <v/>
      </c>
      <c r="FE106" s="1016">
        <f>(FE112+FE114)/FE4</f>
        <v/>
      </c>
      <c r="FF106" s="1016">
        <f>(FF112+FF114)/FF4</f>
        <v/>
      </c>
      <c r="FG106" s="1016">
        <f>AN106</f>
        <v/>
      </c>
      <c r="FI106" s="1016">
        <f>(FI112+FI114)/FI4</f>
        <v/>
      </c>
      <c r="FJ106" s="1016">
        <f>(FJ112+FJ114)/FJ4</f>
        <v/>
      </c>
      <c r="FK106" s="1016">
        <f>AO106</f>
        <v/>
      </c>
      <c r="FM106" s="1016">
        <f>(FM112+FM114)/FM4</f>
        <v/>
      </c>
      <c r="FN106" s="1016">
        <f>(FN112+FN114)/FN4</f>
        <v/>
      </c>
      <c r="FO106" s="1016">
        <f>AP106</f>
        <v/>
      </c>
    </row>
    <row r="107" customFormat="1" s="1049">
      <c r="A107" s="1110" t="n"/>
      <c r="B107" s="1101" t="inlineStr">
        <is>
          <t>YoY %</t>
        </is>
      </c>
      <c r="D107" s="1049">
        <f>D106/C106-1</f>
        <v/>
      </c>
      <c r="E107" s="1049">
        <f>E106/D106-1</f>
        <v/>
      </c>
      <c r="F107" s="1049">
        <f>F106/E106-1</f>
        <v/>
      </c>
      <c r="G107" s="1049">
        <f>G106/F106-1</f>
        <v/>
      </c>
      <c r="H107" s="1049">
        <f>H106/G106-1</f>
        <v/>
      </c>
      <c r="I107" s="1049">
        <f>I106/H106-1</f>
        <v/>
      </c>
      <c r="J107" s="1049">
        <f>J106/I106-1</f>
        <v/>
      </c>
      <c r="K107" s="1049">
        <f>K106/J106-1</f>
        <v/>
      </c>
      <c r="L107" s="1049">
        <f>L106/K106-1</f>
        <v/>
      </c>
      <c r="M107" s="1049">
        <f>M106/L106-1</f>
        <v/>
      </c>
      <c r="N107" s="1049">
        <f>N106/M106-1</f>
        <v/>
      </c>
      <c r="O107" s="1049">
        <f>O106/N106-1</f>
        <v/>
      </c>
      <c r="P107" s="1049">
        <f>P106/O106-1</f>
        <v/>
      </c>
      <c r="Q107" s="1049">
        <f>Q106/P106-1</f>
        <v/>
      </c>
      <c r="R107" s="1049">
        <f>R106/Q106-1</f>
        <v/>
      </c>
      <c r="S107" s="1049">
        <f>S106/R106-1</f>
        <v/>
      </c>
      <c r="T107" s="1049">
        <f>T106/S106-1</f>
        <v/>
      </c>
      <c r="U107" s="1049">
        <f>U106/T106-1</f>
        <v/>
      </c>
      <c r="V107" s="1049">
        <f>V106/U106-1</f>
        <v/>
      </c>
      <c r="W107" s="1049">
        <f>W106/V106-1</f>
        <v/>
      </c>
      <c r="X107" s="1049">
        <f>X106/W106-1</f>
        <v/>
      </c>
      <c r="Y107" s="1049">
        <f>Y106/X106-1</f>
        <v/>
      </c>
      <c r="Z107" s="1049">
        <f>Z106/Y106-1</f>
        <v/>
      </c>
      <c r="AA107" s="1049">
        <f>AA106/Z106-1</f>
        <v/>
      </c>
      <c r="AB107" s="1049">
        <f>AB106/AA106-1</f>
        <v/>
      </c>
      <c r="AC107" s="1049">
        <f>AC106/AB106-1</f>
        <v/>
      </c>
      <c r="AD107" s="1049">
        <f>AD106/AC106-1</f>
        <v/>
      </c>
      <c r="AE107" s="1049">
        <f>AE106/AD106-1</f>
        <v/>
      </c>
      <c r="AF107" s="1049">
        <f>AF106/AE106-1</f>
        <v/>
      </c>
      <c r="AG107" s="1049">
        <f>AG106/AF106-1</f>
        <v/>
      </c>
      <c r="AH107" s="1049">
        <f>AH106/AG106-1</f>
        <v/>
      </c>
      <c r="AI107" s="1049">
        <f>AI106/AH106-1</f>
        <v/>
      </c>
      <c r="AJ107" s="1049">
        <f>AJ106/AI106-1</f>
        <v/>
      </c>
      <c r="AK107" s="1049">
        <f>AK106/AJ106-1</f>
        <v/>
      </c>
      <c r="AL107" s="1049">
        <f>AL106/AK106-1</f>
        <v/>
      </c>
      <c r="AM107" s="1049">
        <f>AM106/AL106-1</f>
        <v/>
      </c>
      <c r="AN107" s="1049">
        <f>AN106/AM106-1</f>
        <v/>
      </c>
      <c r="AO107" s="1049">
        <f>AO106/AN106-1</f>
        <v/>
      </c>
      <c r="AP107" s="1049">
        <f>AP106/AO106-1</f>
        <v/>
      </c>
      <c r="AQ107" s="1049">
        <f>AQ106/AP106-1</f>
        <v/>
      </c>
      <c r="AR107" s="1049">
        <f>AR106/AQ106-1</f>
        <v/>
      </c>
      <c r="AS107" s="1049">
        <f>AS106/AR106-1</f>
        <v/>
      </c>
      <c r="AT107" s="1049">
        <f>AT106/AS106-1</f>
        <v/>
      </c>
      <c r="AV107" s="1057" t="n"/>
      <c r="AW107" s="1057" t="n"/>
      <c r="AX107" s="1057" t="n"/>
      <c r="AY107" s="1057" t="n"/>
      <c r="AZ107" s="1057">
        <f>AZ106/AV106-1</f>
        <v/>
      </c>
      <c r="BA107" s="1057">
        <f>BA106/AW106-1</f>
        <v/>
      </c>
      <c r="BB107" s="1057">
        <f>BB106/AX106-1</f>
        <v/>
      </c>
      <c r="BD107" s="1057">
        <f>BD106/AZ106-1</f>
        <v/>
      </c>
      <c r="BE107" s="1057">
        <f>BE106/BA106-1</f>
        <v/>
      </c>
      <c r="BF107" s="1057">
        <f>BF106/BB106-1</f>
        <v/>
      </c>
      <c r="BH107" s="1057">
        <f>BH106/BD106-1</f>
        <v/>
      </c>
      <c r="BI107" s="1057">
        <f>BI106/BE106-1</f>
        <v/>
      </c>
      <c r="BJ107" s="1057">
        <f>BJ106/BF106-1</f>
        <v/>
      </c>
      <c r="BL107" s="1057">
        <f>BL106/BH106-1</f>
        <v/>
      </c>
      <c r="BM107" s="1057">
        <f>BM106/BI106-1</f>
        <v/>
      </c>
      <c r="BN107" s="1057">
        <f>BN106/BJ106-1</f>
        <v/>
      </c>
      <c r="BP107" s="1057">
        <f>BP106/BL106-1</f>
        <v/>
      </c>
      <c r="BQ107" s="1057">
        <f>BQ106/BM106-1</f>
        <v/>
      </c>
      <c r="BR107" s="1057">
        <f>BR106/BN106-1</f>
        <v/>
      </c>
      <c r="BT107" s="1057">
        <f>BT106/BP106-1</f>
        <v/>
      </c>
      <c r="BU107" s="1057">
        <f>BU106/BQ106-1</f>
        <v/>
      </c>
      <c r="BV107" s="1057">
        <f>BV106/BR106-1</f>
        <v/>
      </c>
      <c r="BX107" s="1057">
        <f>BX106/BT106-1</f>
        <v/>
      </c>
      <c r="BY107" s="1057">
        <f>BY106/BU106-1</f>
        <v/>
      </c>
      <c r="BZ107" s="1057">
        <f>BZ106/BV106-1</f>
        <v/>
      </c>
      <c r="CB107" s="1057">
        <f>CB106/BX106-1</f>
        <v/>
      </c>
      <c r="CC107" s="1057">
        <f>CC106/BY106-1</f>
        <v/>
      </c>
      <c r="CD107" s="1057">
        <f>CD106/BZ106-1</f>
        <v/>
      </c>
      <c r="CE107" s="1057" t="n"/>
      <c r="CF107" s="1057">
        <f>CF106/CB106-1</f>
        <v/>
      </c>
      <c r="CG107" s="1057">
        <f>CG106/CC106-1</f>
        <v/>
      </c>
      <c r="CH107" s="1057">
        <f>CH106/CD106-1</f>
        <v/>
      </c>
      <c r="CI107" s="1057" t="n"/>
      <c r="CJ107" s="1057">
        <f>CJ106/CF106-1</f>
        <v/>
      </c>
      <c r="CK107" s="1057">
        <f>CK106/CG106-1</f>
        <v/>
      </c>
      <c r="CL107" s="1057">
        <f>V107</f>
        <v/>
      </c>
      <c r="CM107" s="1057" t="n"/>
      <c r="CN107" s="1057">
        <f>CN106/CJ106-1</f>
        <v/>
      </c>
      <c r="CO107" s="1057">
        <f>CO106/CK106-1</f>
        <v/>
      </c>
      <c r="CP107" s="1057">
        <f>W107</f>
        <v/>
      </c>
      <c r="CQ107" s="1057" t="n"/>
      <c r="CR107" s="1057">
        <f>CR106/CN106-1</f>
        <v/>
      </c>
      <c r="CS107" s="1057" t="n"/>
      <c r="CT107" s="1057">
        <f>CT106/CO106-1</f>
        <v/>
      </c>
      <c r="CU107" s="1057">
        <f>X107</f>
        <v/>
      </c>
      <c r="CV107" s="1057" t="n"/>
      <c r="CW107" s="1057" t="n"/>
      <c r="CX107" s="1057" t="n"/>
      <c r="CY107" s="1057">
        <f>Y107</f>
        <v/>
      </c>
      <c r="CZ107" s="1057" t="n"/>
      <c r="DA107" s="1049">
        <f>DA106/CW106-1</f>
        <v/>
      </c>
      <c r="DB107" s="1049">
        <f>DB106/CX106-1</f>
        <v/>
      </c>
      <c r="DC107" s="1057">
        <f>Z107</f>
        <v/>
      </c>
      <c r="DD107" s="1057" t="n"/>
      <c r="DE107" s="1049">
        <f>DE106/DA106-1</f>
        <v/>
      </c>
      <c r="DF107" s="1049">
        <f>DF106/DB106-1</f>
        <v/>
      </c>
      <c r="DG107" s="1057">
        <f>AA107</f>
        <v/>
      </c>
      <c r="DH107" s="1057" t="n"/>
      <c r="DI107" s="1049">
        <f>DI106/DE106-1</f>
        <v/>
      </c>
      <c r="DJ107" s="1049">
        <f>DJ106/DF106-1</f>
        <v/>
      </c>
      <c r="DK107" s="1057">
        <f>AB107</f>
        <v/>
      </c>
      <c r="DL107" s="1057" t="n"/>
      <c r="DM107" s="1049">
        <f>DM106/DI106-1</f>
        <v/>
      </c>
      <c r="DN107" s="1049">
        <f>DN106/DJ106-1</f>
        <v/>
      </c>
      <c r="DO107" s="1049">
        <f>AC107</f>
        <v/>
      </c>
      <c r="DP107" s="1057" t="n"/>
      <c r="DQ107" s="1049">
        <f>DQ106/DM106-1</f>
        <v/>
      </c>
      <c r="DR107" s="1049">
        <f>DR106/DN106-1</f>
        <v/>
      </c>
      <c r="DS107" s="1049">
        <f>AG107</f>
        <v/>
      </c>
      <c r="DU107" s="1049">
        <f>DU106/DQ106-1</f>
        <v/>
      </c>
      <c r="DV107" s="1049">
        <f>DV106/DR106-1</f>
        <v/>
      </c>
      <c r="DW107" s="1049">
        <f>AE107</f>
        <v/>
      </c>
      <c r="DY107" s="1049">
        <f>DY106/DU106-1</f>
        <v/>
      </c>
      <c r="DZ107" s="1049">
        <f>DZ106/DV106-1</f>
        <v/>
      </c>
      <c r="EA107" s="1049">
        <f>AF107</f>
        <v/>
      </c>
      <c r="EC107" s="1049">
        <f>EC106/DY106-1</f>
        <v/>
      </c>
      <c r="ED107" s="1049">
        <f>ED106/DZ106-1</f>
        <v/>
      </c>
      <c r="EE107" s="1049">
        <f>AG107</f>
        <v/>
      </c>
      <c r="EG107" s="1049">
        <f>EG106/EC106-1</f>
        <v/>
      </c>
      <c r="EH107" s="1049">
        <f>EH106/ED106-1</f>
        <v/>
      </c>
      <c r="EI107" s="1049">
        <f>AH107</f>
        <v/>
      </c>
      <c r="EK107" s="1049">
        <f>EK106/EG106-1</f>
        <v/>
      </c>
      <c r="EL107" s="1049">
        <f>EL106/EH106-1</f>
        <v/>
      </c>
      <c r="EM107" s="1049">
        <f>AI107</f>
        <v/>
      </c>
      <c r="EO107" s="1049">
        <f>EO106/EK106-1</f>
        <v/>
      </c>
      <c r="EP107" s="1049">
        <f>EP106/EL106-1</f>
        <v/>
      </c>
      <c r="EQ107" s="1049">
        <f>AJ107</f>
        <v/>
      </c>
      <c r="ES107" s="1049">
        <f>ES106/EO106-1</f>
        <v/>
      </c>
      <c r="ET107" s="1049">
        <f>ET106/EP106-1</f>
        <v/>
      </c>
      <c r="EU107" s="1049">
        <f>AK107</f>
        <v/>
      </c>
      <c r="EW107" s="1049">
        <f>EW106/ES106-1</f>
        <v/>
      </c>
      <c r="EX107" s="1049">
        <f>EX106/ET106-1</f>
        <v/>
      </c>
      <c r="EY107" s="1049">
        <f>AL107</f>
        <v/>
      </c>
      <c r="FA107" s="1049">
        <f>FA106/EW106-1</f>
        <v/>
      </c>
      <c r="FB107" s="1049">
        <f>FB106/EX106-1</f>
        <v/>
      </c>
      <c r="FC107" s="1049">
        <f>AM107</f>
        <v/>
      </c>
      <c r="FE107" s="1049">
        <f>FE106/FA106-1</f>
        <v/>
      </c>
      <c r="FF107" s="1049">
        <f>FF106/FB106-1</f>
        <v/>
      </c>
      <c r="FG107" s="1049">
        <f>AN107</f>
        <v/>
      </c>
      <c r="FI107" s="1049">
        <f>FI106/FE106-1</f>
        <v/>
      </c>
      <c r="FJ107" s="1049">
        <f>FJ106/FF106-1</f>
        <v/>
      </c>
      <c r="FK107" s="1049">
        <f>AO107</f>
        <v/>
      </c>
      <c r="FM107" s="1049">
        <f>FM106/FI106-1</f>
        <v/>
      </c>
      <c r="FN107" s="1049">
        <f>FN106/FJ106-1</f>
        <v/>
      </c>
      <c r="FO107" s="1049">
        <f>AP107</f>
        <v/>
      </c>
    </row>
    <row r="108" customFormat="1" s="1049">
      <c r="A108" s="1055" t="n"/>
      <c r="B108" s="1111" t="n"/>
      <c r="J108" s="1056" t="n"/>
      <c r="K108" s="1056" t="n"/>
      <c r="L108" s="1056" t="n"/>
      <c r="M108" s="1056" t="n"/>
      <c r="N108" s="1056" t="n"/>
      <c r="O108" s="1056" t="n"/>
      <c r="P108" s="1056" t="n"/>
      <c r="Q108" s="1056" t="n"/>
      <c r="R108" s="1056" t="n"/>
      <c r="S108" s="1056" t="n"/>
      <c r="T108" s="1056" t="n"/>
      <c r="U108" s="1056" t="n"/>
      <c r="V108" s="1056" t="n"/>
      <c r="W108" s="1056" t="n"/>
      <c r="X108" s="1056" t="n"/>
      <c r="Y108" s="1056" t="n"/>
      <c r="Z108" s="1056" t="n"/>
      <c r="AA108" s="1056" t="n"/>
      <c r="AB108" s="1056" t="n"/>
      <c r="AC108" s="1056" t="n"/>
      <c r="AD108" s="1056" t="n"/>
      <c r="AE108" s="1056" t="n"/>
      <c r="AF108" s="1056" t="n"/>
      <c r="AG108" s="1056" t="n"/>
      <c r="AH108" s="1056" t="n"/>
      <c r="AI108" s="1056" t="n"/>
      <c r="AJ108" s="1056" t="n"/>
      <c r="AK108" s="1056" t="n"/>
      <c r="AL108" s="1056" t="n"/>
      <c r="AM108" s="1056" t="n"/>
      <c r="AN108" s="1056" t="n"/>
      <c r="AO108" s="1056" t="n"/>
      <c r="AP108" s="1056" t="n"/>
      <c r="AQ108" s="1056" t="n"/>
      <c r="AR108" s="1056" t="n"/>
      <c r="AS108" s="1056" t="n"/>
      <c r="AT108" s="1056" t="n"/>
      <c r="AU108" s="1056" t="n"/>
      <c r="AV108" s="1057" t="n"/>
      <c r="AW108" s="1057" t="n"/>
      <c r="AX108" s="1058" t="n"/>
      <c r="AY108" s="1057" t="n"/>
      <c r="AZ108" s="1057" t="n"/>
      <c r="BA108" s="1057" t="n"/>
      <c r="BB108" s="1058" t="n"/>
      <c r="BD108" s="1057" t="n"/>
      <c r="BE108" s="1057" t="n"/>
      <c r="BF108" s="1058" t="n"/>
      <c r="BH108" s="1057" t="n"/>
      <c r="BI108" s="1057" t="n"/>
      <c r="BJ108" s="1058" t="n"/>
      <c r="BL108" s="1057" t="n"/>
      <c r="BM108" s="1057" t="n"/>
      <c r="BN108" s="1058" t="n"/>
      <c r="BP108" s="1057" t="n"/>
      <c r="BQ108" s="1057" t="n"/>
      <c r="BR108" s="1057" t="n"/>
      <c r="BT108" s="1057" t="n"/>
      <c r="BU108" s="1057" t="n"/>
      <c r="BV108" s="1057" t="n"/>
      <c r="BX108" s="1057" t="n"/>
      <c r="BY108" s="1057" t="n"/>
      <c r="BZ108" s="1057" t="n"/>
      <c r="CB108" s="1057" t="n"/>
      <c r="CC108" s="1057" t="n"/>
      <c r="CD108" s="1057" t="n"/>
      <c r="CE108" s="1057" t="n"/>
      <c r="CF108" s="1057" t="n"/>
      <c r="CG108" s="1057" t="n"/>
      <c r="CH108" s="1057" t="n"/>
      <c r="CI108" s="1057" t="n"/>
      <c r="CJ108" s="1057" t="n"/>
      <c r="CK108" s="1057" t="n"/>
      <c r="CL108" s="1057" t="n"/>
      <c r="CM108" s="1057" t="n"/>
      <c r="CN108" s="1057" t="n"/>
      <c r="CO108" s="1057" t="n"/>
      <c r="CP108" s="1057" t="n"/>
      <c r="CQ108" s="1057" t="n"/>
      <c r="CR108" s="1057" t="n"/>
      <c r="CS108" s="1057" t="n"/>
      <c r="CT108" s="1057" t="n"/>
      <c r="CU108" s="1057" t="n"/>
      <c r="CV108" s="1057" t="n"/>
      <c r="CW108" s="1057" t="n"/>
      <c r="CX108" s="1057" t="n"/>
      <c r="CY108" s="1057" t="n"/>
      <c r="CZ108" s="1057" t="n"/>
      <c r="DA108" s="1057" t="n"/>
      <c r="DB108" s="1057" t="n"/>
      <c r="DC108" s="1057" t="n"/>
      <c r="DD108" s="1057" t="n"/>
      <c r="DE108" s="1057" t="n"/>
      <c r="DF108" s="1057" t="n"/>
      <c r="DG108" s="1057" t="n"/>
      <c r="DH108" s="1057" t="n"/>
      <c r="DI108" s="1057" t="n"/>
      <c r="DJ108" s="1057" t="n"/>
      <c r="DK108" s="1057" t="n"/>
      <c r="DL108" s="1057" t="n"/>
      <c r="DM108" s="1002" t="n"/>
      <c r="DN108" s="1057" t="n"/>
      <c r="DO108" s="1002" t="n"/>
      <c r="DP108" s="1057" t="n"/>
      <c r="DQ108" s="1002" t="n"/>
      <c r="DR108" s="1057" t="n"/>
      <c r="DS108" s="1057" t="n"/>
      <c r="DT108" s="1057" t="n"/>
      <c r="DU108" s="1056" t="n"/>
      <c r="DV108" s="1056" t="n"/>
      <c r="DW108" s="1056" t="n"/>
      <c r="DX108" s="1057" t="n"/>
      <c r="DY108" s="1056" t="n"/>
      <c r="DZ108" s="1056" t="n"/>
      <c r="EA108" s="1056" t="n"/>
      <c r="EC108" s="1056" t="n"/>
      <c r="ED108" s="1056" t="n"/>
      <c r="EE108" s="1056" t="n"/>
      <c r="EF108" s="1056" t="n"/>
      <c r="EG108" s="1056" t="n"/>
      <c r="EH108" s="1056" t="n"/>
      <c r="EI108" s="1056" t="n"/>
      <c r="EJ108" s="1056" t="n"/>
      <c r="EM108" s="1056" t="n"/>
      <c r="EQ108" s="1056" t="n"/>
      <c r="EU108" s="1056" t="n"/>
      <c r="EV108" s="1056" t="n"/>
      <c r="EY108" s="1056" t="n"/>
      <c r="FC108" s="1056" t="n"/>
      <c r="FG108" s="1056" t="n"/>
      <c r="FK108" s="1056" t="n"/>
      <c r="FO108" s="1056" t="n"/>
    </row>
    <row r="109" customFormat="1" s="1046">
      <c r="A109" s="1047" t="n"/>
      <c r="C109" s="57" t="n"/>
      <c r="D109" s="57" t="n"/>
      <c r="E109" s="57" t="n"/>
      <c r="F109" s="57" t="n"/>
      <c r="G109" s="57" t="n"/>
      <c r="H109" s="57" t="n"/>
      <c r="I109" s="57" t="n"/>
      <c r="J109" s="57" t="n"/>
      <c r="K109" s="57" t="n"/>
      <c r="L109" s="58" t="n"/>
      <c r="M109" s="58" t="n"/>
      <c r="N109" s="58" t="n"/>
      <c r="O109" s="58" t="n"/>
      <c r="P109" s="58" t="n"/>
      <c r="Q109" s="58" t="n"/>
      <c r="R109" s="58" t="n"/>
      <c r="S109" s="58" t="n"/>
      <c r="T109" s="58" t="n"/>
      <c r="U109" s="58" t="n"/>
      <c r="V109" s="58" t="n"/>
      <c r="W109" s="58" t="n"/>
      <c r="X109" s="58" t="n"/>
      <c r="Y109" s="58" t="n"/>
      <c r="Z109" s="58" t="n"/>
      <c r="AA109" s="58" t="n"/>
      <c r="AB109" s="58" t="n"/>
      <c r="AC109" s="58" t="n"/>
      <c r="AD109" s="58" t="n"/>
      <c r="AE109" s="58" t="n"/>
      <c r="AF109" s="58" t="n"/>
      <c r="AG109" s="58" t="n"/>
      <c r="AH109" s="58" t="n"/>
      <c r="AI109" s="58" t="n"/>
      <c r="AJ109" s="58" t="n"/>
      <c r="AK109" s="58" t="n"/>
      <c r="AL109" s="58" t="n"/>
      <c r="AM109" s="58" t="n"/>
      <c r="AN109" s="58" t="n"/>
      <c r="AO109" s="58" t="n"/>
      <c r="AP109" s="1014" t="n"/>
      <c r="AQ109" s="58" t="n"/>
      <c r="AR109" s="1002" t="n"/>
      <c r="AS109" s="58" t="n"/>
      <c r="AT109" s="58" t="n"/>
      <c r="AU109" s="58" t="n"/>
      <c r="AV109" s="985" t="n"/>
      <c r="AW109" s="985" t="n"/>
      <c r="AX109" s="1008" t="n"/>
      <c r="AY109" s="985" t="n"/>
      <c r="AZ109" s="985" t="n"/>
      <c r="BA109" s="985" t="n"/>
      <c r="BB109" s="1008" t="n"/>
      <c r="BD109" s="985" t="n"/>
      <c r="BE109" s="985" t="n"/>
      <c r="BF109" s="1008" t="n"/>
      <c r="BH109" s="985" t="n"/>
      <c r="BI109" s="985" t="n"/>
      <c r="BJ109" s="1008" t="n"/>
      <c r="BL109" s="985" t="n"/>
      <c r="BM109" s="985" t="n"/>
      <c r="BN109" s="1008" t="n"/>
      <c r="BP109" s="985" t="n"/>
      <c r="BQ109" s="985" t="n"/>
      <c r="BR109" s="1008" t="n"/>
      <c r="BT109" s="985" t="n"/>
      <c r="BU109" s="985" t="n"/>
      <c r="BV109" s="1008" t="n"/>
      <c r="BX109" s="985" t="n"/>
      <c r="BY109" s="985" t="n"/>
      <c r="BZ109" s="1008" t="n"/>
      <c r="CB109" s="985" t="n"/>
      <c r="CC109" s="985" t="n"/>
      <c r="CD109" s="1008" t="n"/>
      <c r="CE109" s="985" t="n"/>
      <c r="CF109" s="985" t="n"/>
      <c r="CG109" s="985" t="n"/>
      <c r="CH109" s="1008" t="n"/>
      <c r="CI109" s="1008" t="n"/>
      <c r="CJ109" s="985" t="n"/>
      <c r="CK109" s="985" t="n"/>
      <c r="CL109" s="1008" t="n"/>
      <c r="CM109" s="1008" t="n"/>
      <c r="CN109" s="985" t="n"/>
      <c r="CO109" s="985" t="n"/>
      <c r="CP109" s="1008" t="n"/>
      <c r="CQ109" s="1008" t="n"/>
      <c r="CR109" s="985" t="n"/>
      <c r="CS109" s="985" t="n"/>
      <c r="CT109" s="985" t="n"/>
      <c r="CU109" s="1008" t="n"/>
      <c r="CV109" s="1008" t="n"/>
      <c r="CW109" s="985" t="n"/>
      <c r="CX109" s="985" t="n"/>
      <c r="CY109" s="1008" t="n"/>
      <c r="CZ109" s="1008" t="n"/>
      <c r="DA109" s="985" t="n"/>
      <c r="DB109" s="985" t="n"/>
      <c r="DC109" s="1008" t="n"/>
      <c r="DD109" s="1008" t="n"/>
      <c r="DE109" s="985" t="n"/>
      <c r="DF109" s="985" t="n"/>
      <c r="DG109" s="1008" t="n"/>
      <c r="DH109" s="1008" t="n"/>
      <c r="DI109" s="63" t="n"/>
      <c r="DJ109" s="985" t="n"/>
      <c r="DK109" s="1008" t="n"/>
      <c r="DL109" s="1008" t="n"/>
      <c r="DM109" s="58" t="n"/>
      <c r="DN109" s="985" t="n"/>
      <c r="DO109" s="1008" t="n"/>
      <c r="DP109" s="1008" t="n"/>
      <c r="DQ109" s="58" t="n"/>
      <c r="DR109" s="985" t="n"/>
      <c r="DS109" s="985" t="n"/>
      <c r="DT109" s="985" t="n"/>
      <c r="DU109" s="58" t="n"/>
      <c r="DV109" s="58" t="n"/>
      <c r="DW109" s="58" t="n"/>
      <c r="DX109" s="985" t="n"/>
      <c r="DY109" s="58" t="n"/>
      <c r="DZ109" s="58" t="n"/>
      <c r="EA109" s="58" t="n"/>
      <c r="EC109" s="58" t="n"/>
      <c r="ED109" s="58" t="n"/>
      <c r="EE109" s="58" t="n"/>
      <c r="EF109" s="58" t="n"/>
      <c r="EG109" s="58" t="n"/>
      <c r="EH109" s="58" t="n"/>
      <c r="EI109" s="58" t="n"/>
      <c r="EJ109" s="58" t="n"/>
      <c r="EK109" s="58" t="n"/>
      <c r="EL109" s="58" t="n"/>
      <c r="EM109" s="58" t="n"/>
      <c r="EN109" s="58" t="n"/>
      <c r="EO109" s="58" t="n"/>
      <c r="EP109" s="58" t="n"/>
      <c r="EQ109" s="58" t="n"/>
      <c r="ER109" s="1049" t="n"/>
      <c r="ES109" s="58" t="n"/>
      <c r="ET109" s="58" t="n"/>
      <c r="EU109" s="58" t="n"/>
      <c r="EV109" s="58" t="n"/>
      <c r="EW109" s="58" t="n"/>
      <c r="EX109" s="58" t="n"/>
      <c r="EY109" s="58" t="n"/>
      <c r="FA109" s="58" t="n"/>
      <c r="FB109" s="58" t="n"/>
      <c r="FC109" s="58" t="n"/>
      <c r="FE109" s="58" t="n"/>
      <c r="FF109" s="58" t="n"/>
      <c r="FG109" s="58" t="n"/>
      <c r="FI109" s="58" t="n"/>
      <c r="FJ109" s="58" t="n"/>
      <c r="FK109" s="58" t="n"/>
      <c r="FM109" s="58" t="n"/>
      <c r="FN109" s="58" t="n"/>
      <c r="FO109" s="58" t="n"/>
    </row>
    <row r="110">
      <c r="A110" s="1077" t="n"/>
      <c r="B110" s="967" t="inlineStr">
        <is>
          <t>Profit &amp; loss (HK$m)</t>
        </is>
      </c>
      <c r="C110" s="967" t="n"/>
      <c r="D110" s="967" t="n"/>
      <c r="E110" s="967" t="n"/>
      <c r="F110" s="967" t="n"/>
      <c r="G110" s="967" t="n"/>
      <c r="H110" s="967" t="n"/>
      <c r="I110" s="967" t="n"/>
      <c r="J110" s="967" t="n"/>
      <c r="K110" s="967" t="n"/>
      <c r="L110" s="967" t="n"/>
      <c r="M110" s="967" t="n"/>
      <c r="N110" s="967" t="n"/>
      <c r="O110" s="967" t="n"/>
      <c r="P110" s="967" t="n"/>
      <c r="Q110" s="967" t="n"/>
      <c r="R110" s="967" t="n"/>
      <c r="S110" s="967" t="n"/>
      <c r="T110" s="967" t="n"/>
      <c r="U110" s="967" t="n"/>
      <c r="V110" s="967" t="n"/>
      <c r="W110" s="967" t="n"/>
      <c r="X110" s="967" t="n"/>
      <c r="Y110" s="967" t="n"/>
      <c r="Z110" s="967" t="n"/>
      <c r="AA110" s="967" t="n"/>
      <c r="AB110" s="967" t="n"/>
      <c r="AC110" s="967" t="n"/>
      <c r="AD110" s="967" t="n"/>
      <c r="AE110" s="967" t="n"/>
      <c r="AF110" s="967" t="n"/>
      <c r="AG110" s="967" t="n"/>
      <c r="AH110" s="967" t="n"/>
      <c r="AI110" s="967" t="n"/>
      <c r="AJ110" s="967" t="n"/>
      <c r="AK110" s="967" t="n"/>
      <c r="AL110" s="967" t="n"/>
      <c r="AM110" s="967" t="n"/>
      <c r="AN110" s="967" t="n"/>
      <c r="AO110" s="967" t="n"/>
      <c r="AP110" s="967" t="n"/>
      <c r="AQ110" s="967" t="n"/>
      <c r="AR110" s="967" t="n"/>
      <c r="AS110" s="967" t="n"/>
      <c r="AT110" s="967" t="n"/>
      <c r="AU110" s="962" t="n"/>
      <c r="AV110" s="967" t="n"/>
      <c r="AW110" s="967" t="n"/>
      <c r="AX110" s="967" t="n"/>
      <c r="AY110" s="967" t="n"/>
      <c r="AZ110" s="967" t="n"/>
      <c r="BA110" s="967" t="n"/>
      <c r="BB110" s="967" t="n"/>
      <c r="BC110" s="967" t="n"/>
      <c r="BD110" s="967" t="n"/>
      <c r="BE110" s="967" t="n"/>
      <c r="BF110" s="967" t="n"/>
      <c r="BG110" s="967" t="n"/>
      <c r="BH110" s="967" t="n"/>
      <c r="BI110" s="967" t="n"/>
      <c r="BJ110" s="967" t="n"/>
      <c r="BK110" s="967" t="n"/>
      <c r="BL110" s="967" t="n"/>
      <c r="BM110" s="967" t="n"/>
      <c r="BN110" s="967" t="n"/>
      <c r="BO110" s="967" t="n"/>
      <c r="BP110" s="967" t="n"/>
      <c r="BQ110" s="967" t="n"/>
      <c r="BR110" s="967" t="n"/>
      <c r="BS110" s="967" t="n"/>
      <c r="BT110" s="967" t="n"/>
      <c r="BU110" s="967" t="n"/>
      <c r="BV110" s="967" t="n"/>
      <c r="BW110" s="967" t="n"/>
      <c r="BX110" s="967" t="n"/>
      <c r="BY110" s="967" t="n"/>
      <c r="BZ110" s="967" t="n"/>
      <c r="CA110" s="967" t="n"/>
      <c r="CB110" s="967" t="n"/>
      <c r="CC110" s="967" t="n"/>
      <c r="CD110" s="967" t="n"/>
      <c r="CE110" s="967" t="n"/>
      <c r="CF110" s="967" t="n"/>
      <c r="CG110" s="967" t="n"/>
      <c r="CH110" s="967" t="n"/>
      <c r="CI110" s="967" t="n"/>
      <c r="CJ110" s="967" t="n"/>
      <c r="CK110" s="967" t="n"/>
      <c r="CL110" s="967" t="n"/>
      <c r="CM110" s="967" t="n"/>
      <c r="CN110" s="967" t="n"/>
      <c r="CO110" s="967" t="n"/>
      <c r="CP110" s="967" t="n"/>
      <c r="CQ110" s="967" t="n"/>
      <c r="CR110" s="967" t="n"/>
      <c r="CS110" s="967" t="n"/>
      <c r="CT110" s="967" t="n"/>
      <c r="CU110" s="967" t="n"/>
      <c r="CV110" s="967" t="n"/>
      <c r="CW110" s="967" t="n"/>
      <c r="CX110" s="967" t="n"/>
      <c r="CY110" s="967" t="n"/>
      <c r="CZ110" s="967" t="n"/>
      <c r="DA110" s="967" t="n"/>
      <c r="DB110" s="967" t="n"/>
      <c r="DC110" s="967" t="n"/>
      <c r="DD110" s="967" t="n"/>
      <c r="DE110" s="967" t="n"/>
      <c r="DF110" s="967" t="n"/>
      <c r="DG110" s="967" t="n"/>
      <c r="DH110" s="967" t="n"/>
      <c r="DI110" s="967" t="n"/>
      <c r="DJ110" s="967" t="n"/>
      <c r="DK110" s="967" t="n"/>
      <c r="DL110" s="967" t="n"/>
      <c r="DM110" s="967" t="n"/>
      <c r="DN110" s="967" t="n"/>
      <c r="DO110" s="967" t="n"/>
      <c r="DP110" s="967" t="n"/>
      <c r="DQ110" s="967" t="n"/>
      <c r="DR110" s="967" t="n"/>
      <c r="DS110" s="967" t="n"/>
      <c r="DT110" s="967" t="n"/>
      <c r="DU110" s="967" t="n"/>
      <c r="DV110" s="967" t="n"/>
      <c r="DW110" s="967" t="n"/>
      <c r="DX110" s="967" t="n"/>
      <c r="DY110" s="967" t="n"/>
      <c r="DZ110" s="967" t="n"/>
      <c r="EA110" s="967" t="n"/>
      <c r="EB110" s="967" t="n"/>
      <c r="EC110" s="967" t="n"/>
      <c r="ED110" s="967" t="n"/>
      <c r="EE110" s="967" t="n"/>
      <c r="EF110" s="967" t="n"/>
      <c r="EG110" s="967" t="n"/>
      <c r="EH110" s="967" t="n"/>
      <c r="EI110" s="967" t="n"/>
      <c r="EJ110" s="967" t="n"/>
      <c r="EK110" s="967" t="n"/>
      <c r="EL110" s="967" t="n"/>
      <c r="EM110" s="967" t="n"/>
      <c r="EN110" s="967" t="n"/>
      <c r="EO110" s="967" t="n"/>
      <c r="EP110" s="967" t="n"/>
      <c r="EQ110" s="967" t="n"/>
      <c r="ER110" s="967" t="n"/>
      <c r="ES110" s="967" t="n"/>
      <c r="ET110" s="967" t="n"/>
      <c r="EU110" s="967" t="n"/>
      <c r="EV110" s="967" t="n"/>
      <c r="EW110" s="967" t="n"/>
      <c r="EX110" s="967" t="n"/>
      <c r="EY110" s="967" t="n"/>
      <c r="EZ110" s="967" t="n"/>
      <c r="FA110" s="967" t="n"/>
      <c r="FB110" s="967" t="n"/>
      <c r="FC110" s="967" t="n"/>
      <c r="FD110" s="967" t="n"/>
      <c r="FE110" s="967" t="n"/>
      <c r="FF110" s="967" t="n"/>
      <c r="FG110" s="967" t="n"/>
      <c r="FH110" s="967" t="n"/>
      <c r="FI110" s="967" t="n"/>
      <c r="FJ110" s="967" t="n"/>
      <c r="FK110" s="967" t="n"/>
      <c r="FM110" s="967" t="n"/>
      <c r="FN110" s="967" t="n"/>
      <c r="FO110" s="967" t="n"/>
    </row>
    <row r="111">
      <c r="A111" s="1077" t="n"/>
      <c r="B111" s="1121" t="inlineStr">
        <is>
          <t>Year to December</t>
        </is>
      </c>
      <c r="C111" s="1122" t="n">
        <v>1987</v>
      </c>
      <c r="D111" s="1123" t="inlineStr">
        <is>
          <t>1988A</t>
        </is>
      </c>
      <c r="E111" s="1122" t="inlineStr">
        <is>
          <t>1989A</t>
        </is>
      </c>
      <c r="F111" s="1122" t="inlineStr">
        <is>
          <t>1990A</t>
        </is>
      </c>
      <c r="G111" s="1122" t="inlineStr">
        <is>
          <t>1991A</t>
        </is>
      </c>
      <c r="H111" s="1122" t="inlineStr">
        <is>
          <t>1992A</t>
        </is>
      </c>
      <c r="I111" s="1122" t="inlineStr">
        <is>
          <t>1993A</t>
        </is>
      </c>
      <c r="J111" s="1122" t="inlineStr">
        <is>
          <t>1994A</t>
        </is>
      </c>
      <c r="K111" s="1122" t="inlineStr">
        <is>
          <t>1995A</t>
        </is>
      </c>
      <c r="L111" s="1124" t="inlineStr">
        <is>
          <t>1996A</t>
        </is>
      </c>
      <c r="M111" s="1124" t="inlineStr">
        <is>
          <t>1997A</t>
        </is>
      </c>
      <c r="N111" s="1124" t="inlineStr">
        <is>
          <t>1998A</t>
        </is>
      </c>
      <c r="O111" s="1124" t="inlineStr">
        <is>
          <t>1999A</t>
        </is>
      </c>
      <c r="P111" s="1124" t="inlineStr">
        <is>
          <t>2000A</t>
        </is>
      </c>
      <c r="Q111" s="1124" t="inlineStr">
        <is>
          <t>2001A</t>
        </is>
      </c>
      <c r="R111" s="1124" t="inlineStr">
        <is>
          <t>2002A</t>
        </is>
      </c>
      <c r="S111" s="1124">
        <f>S3</f>
        <v/>
      </c>
      <c r="T111" s="1124">
        <f>T3</f>
        <v/>
      </c>
      <c r="U111" s="1124">
        <f>U3</f>
        <v/>
      </c>
      <c r="V111" s="1124">
        <f>V3</f>
        <v/>
      </c>
      <c r="W111" s="1124">
        <f>W3</f>
        <v/>
      </c>
      <c r="X111" s="1124">
        <f>X3</f>
        <v/>
      </c>
      <c r="Y111" s="1124">
        <f>Y3</f>
        <v/>
      </c>
      <c r="Z111" s="1124">
        <f>Z3</f>
        <v/>
      </c>
      <c r="AA111" s="1124">
        <f>AA3</f>
        <v/>
      </c>
      <c r="AB111" s="1124">
        <f>AB3</f>
        <v/>
      </c>
      <c r="AC111" s="1124">
        <f>AC3</f>
        <v/>
      </c>
      <c r="AD111" s="1124">
        <f>AD3</f>
        <v/>
      </c>
      <c r="AE111" s="1124">
        <f>AE3</f>
        <v/>
      </c>
      <c r="AF111" s="1124">
        <f>AF3</f>
        <v/>
      </c>
      <c r="AG111" s="1124">
        <f>AG3</f>
        <v/>
      </c>
      <c r="AH111" s="1124">
        <f>AH3</f>
        <v/>
      </c>
      <c r="AI111" s="1124">
        <f>AI3</f>
        <v/>
      </c>
      <c r="AJ111" s="1124">
        <f>AJ3</f>
        <v/>
      </c>
      <c r="AK111" s="1124">
        <f>AK3</f>
        <v/>
      </c>
      <c r="AL111" s="1125">
        <f>AL3</f>
        <v/>
      </c>
      <c r="AM111" s="1125">
        <f>AM3</f>
        <v/>
      </c>
      <c r="AN111" s="1125">
        <f>AN3</f>
        <v/>
      </c>
      <c r="AO111" s="1124">
        <f>AO3</f>
        <v/>
      </c>
      <c r="AP111" s="1124">
        <f>AP3</f>
        <v/>
      </c>
      <c r="AQ111" s="1124">
        <f>AQ3</f>
        <v/>
      </c>
      <c r="AR111" s="1124">
        <f>AR3</f>
        <v/>
      </c>
      <c r="AS111" s="1124">
        <f>AS3</f>
        <v/>
      </c>
      <c r="AT111" s="1124">
        <f>AT3</f>
        <v/>
      </c>
      <c r="AU111" s="1126" t="n"/>
      <c r="AV111" s="1122" t="inlineStr">
        <is>
          <t>1H1996</t>
        </is>
      </c>
      <c r="AW111" s="1122" t="inlineStr">
        <is>
          <t>2H1996</t>
        </is>
      </c>
      <c r="AX111" s="1124" t="inlineStr">
        <is>
          <t>FY1996</t>
        </is>
      </c>
      <c r="AY111" s="1127" t="n"/>
      <c r="AZ111" s="1122" t="inlineStr">
        <is>
          <t>1H1997</t>
        </is>
      </c>
      <c r="BA111" s="1122" t="inlineStr">
        <is>
          <t>2H1997</t>
        </is>
      </c>
      <c r="BB111" s="1124" t="inlineStr">
        <is>
          <t>FY1997</t>
        </is>
      </c>
      <c r="BD111" s="1122" t="inlineStr">
        <is>
          <t>1H1998</t>
        </is>
      </c>
      <c r="BE111" s="1122" t="inlineStr">
        <is>
          <t>2H1998</t>
        </is>
      </c>
      <c r="BF111" s="1124" t="inlineStr">
        <is>
          <t>FY1998</t>
        </is>
      </c>
      <c r="BH111" s="1122" t="inlineStr">
        <is>
          <t>1H1999</t>
        </is>
      </c>
      <c r="BI111" s="1122" t="inlineStr">
        <is>
          <t>2H1999</t>
        </is>
      </c>
      <c r="BJ111" s="1124" t="inlineStr">
        <is>
          <t>FY1999</t>
        </is>
      </c>
      <c r="BL111" s="1122" t="inlineStr">
        <is>
          <t>1H2000</t>
        </is>
      </c>
      <c r="BM111" s="1122" t="inlineStr">
        <is>
          <t>2H2000</t>
        </is>
      </c>
      <c r="BN111" s="1124" t="inlineStr">
        <is>
          <t>FY2000</t>
        </is>
      </c>
      <c r="BO111" s="1127" t="n"/>
      <c r="BP111" s="1122" t="inlineStr">
        <is>
          <t>1H2001A</t>
        </is>
      </c>
      <c r="BQ111" s="1122" t="inlineStr">
        <is>
          <t>2H2001A</t>
        </is>
      </c>
      <c r="BR111" s="1124" t="inlineStr">
        <is>
          <t>FY2001A</t>
        </is>
      </c>
      <c r="BT111" s="1122" t="inlineStr">
        <is>
          <t>1H2002A</t>
        </is>
      </c>
      <c r="BU111" s="1122" t="inlineStr">
        <is>
          <t>2H2002A</t>
        </is>
      </c>
      <c r="BV111" s="1124" t="inlineStr">
        <is>
          <t>FY2002A</t>
        </is>
      </c>
      <c r="BX111" s="1122" t="inlineStr">
        <is>
          <t>1H2003A</t>
        </is>
      </c>
      <c r="BY111" s="1122" t="inlineStr">
        <is>
          <t>2H2003A</t>
        </is>
      </c>
      <c r="BZ111" s="1124" t="inlineStr">
        <is>
          <t>FY2003A</t>
        </is>
      </c>
      <c r="CB111" s="1122" t="inlineStr">
        <is>
          <t>1H2004A</t>
        </is>
      </c>
      <c r="CC111" s="1122" t="inlineStr">
        <is>
          <t>2H2004A</t>
        </is>
      </c>
      <c r="CD111" s="1124" t="inlineStr">
        <is>
          <t>FY2004A</t>
        </is>
      </c>
      <c r="CE111" s="1127" t="n"/>
      <c r="CF111" s="1122">
        <f>CF3</f>
        <v/>
      </c>
      <c r="CG111" s="1122">
        <f>CG3</f>
        <v/>
      </c>
      <c r="CH111" s="1122">
        <f>CH3</f>
        <v/>
      </c>
      <c r="CI111" s="1126" t="n"/>
      <c r="CJ111" s="1122">
        <f>CJ3</f>
        <v/>
      </c>
      <c r="CK111" s="1122">
        <f>CK3</f>
        <v/>
      </c>
      <c r="CL111" s="1122">
        <f>CL3</f>
        <v/>
      </c>
      <c r="CM111" s="1127" t="n"/>
      <c r="CN111" s="1122">
        <f>CN3</f>
        <v/>
      </c>
      <c r="CO111" s="1122">
        <f>CO3</f>
        <v/>
      </c>
      <c r="CP111" s="1122">
        <f>CP3</f>
        <v/>
      </c>
      <c r="CQ111" s="1127" t="n"/>
      <c r="CR111" s="1122">
        <f>CR3</f>
        <v/>
      </c>
      <c r="CS111" s="1122">
        <f>CS3</f>
        <v/>
      </c>
      <c r="CT111" s="1122">
        <f>CT3</f>
        <v/>
      </c>
      <c r="CU111" s="1122">
        <f>CU3</f>
        <v/>
      </c>
      <c r="CV111" s="1127" t="n"/>
      <c r="CW111" s="1122">
        <f>CW3</f>
        <v/>
      </c>
      <c r="CX111" s="1122">
        <f>CX3</f>
        <v/>
      </c>
      <c r="CY111" s="1122">
        <f>CY3</f>
        <v/>
      </c>
      <c r="CZ111" s="1127" t="n"/>
      <c r="DA111" s="1122">
        <f>DA3</f>
        <v/>
      </c>
      <c r="DB111" s="1122">
        <f>DB3</f>
        <v/>
      </c>
      <c r="DC111" s="1122">
        <f>DC3</f>
        <v/>
      </c>
      <c r="DD111" s="1127" t="n"/>
      <c r="DE111" s="1122">
        <f>DE3</f>
        <v/>
      </c>
      <c r="DF111" s="1122">
        <f>DF3</f>
        <v/>
      </c>
      <c r="DG111" s="1122">
        <f>DG3</f>
        <v/>
      </c>
      <c r="DH111" s="1127" t="n"/>
      <c r="DI111" s="1122">
        <f>DI3</f>
        <v/>
      </c>
      <c r="DJ111" s="1122">
        <f>DJ3</f>
        <v/>
      </c>
      <c r="DK111" s="1122">
        <f>DK3</f>
        <v/>
      </c>
      <c r="DL111" s="1127" t="n"/>
      <c r="DM111" s="1122">
        <f>DM3</f>
        <v/>
      </c>
      <c r="DN111" s="1122">
        <f>DN3</f>
        <v/>
      </c>
      <c r="DO111" s="1122">
        <f>DO3</f>
        <v/>
      </c>
      <c r="DP111" s="1127" t="n"/>
      <c r="DQ111" s="1122">
        <f>DQ3</f>
        <v/>
      </c>
      <c r="DR111" s="1122">
        <f>DR3</f>
        <v/>
      </c>
      <c r="DS111" s="1122">
        <f>DS3</f>
        <v/>
      </c>
      <c r="DT111" s="1122" t="n"/>
      <c r="DU111" s="1124">
        <f>DU3</f>
        <v/>
      </c>
      <c r="DV111" s="1124">
        <f>DV3</f>
        <v/>
      </c>
      <c r="DW111" s="1124">
        <f>AE111</f>
        <v/>
      </c>
      <c r="DX111" s="1122" t="n"/>
      <c r="DY111" s="1124">
        <f>DY3</f>
        <v/>
      </c>
      <c r="DZ111" s="1124">
        <f>DZ3</f>
        <v/>
      </c>
      <c r="EA111" s="1124">
        <f>AF111</f>
        <v/>
      </c>
      <c r="EC111" s="1124">
        <f>EC3</f>
        <v/>
      </c>
      <c r="ED111" s="1124">
        <f>ED3</f>
        <v/>
      </c>
      <c r="EE111" s="1124">
        <f>AG111</f>
        <v/>
      </c>
      <c r="EF111" s="1124" t="n"/>
      <c r="EG111" s="1124">
        <f>EG3</f>
        <v/>
      </c>
      <c r="EH111" s="1124">
        <f>EH3</f>
        <v/>
      </c>
      <c r="EI111" s="1124">
        <f>AH111</f>
        <v/>
      </c>
      <c r="EJ111" s="1124" t="n"/>
      <c r="EK111" s="1124">
        <f>EK3</f>
        <v/>
      </c>
      <c r="EL111" s="1124">
        <f>EL3</f>
        <v/>
      </c>
      <c r="EM111" s="1124">
        <f>AI111</f>
        <v/>
      </c>
      <c r="EN111" s="1124" t="n"/>
      <c r="EO111" s="1124">
        <f>EO3</f>
        <v/>
      </c>
      <c r="EP111" s="1124">
        <f>EP3</f>
        <v/>
      </c>
      <c r="EQ111" s="1124">
        <f>AJ111</f>
        <v/>
      </c>
      <c r="ER111" s="1049" t="n"/>
      <c r="ES111" s="1124">
        <f>ES3</f>
        <v/>
      </c>
      <c r="ET111" s="1124">
        <f>ET3</f>
        <v/>
      </c>
      <c r="EU111" s="1124">
        <f>AK111</f>
        <v/>
      </c>
      <c r="EV111" s="1128" t="n"/>
      <c r="EW111" s="1124">
        <f>EW3</f>
        <v/>
      </c>
      <c r="EX111" s="1124">
        <f>EX3</f>
        <v/>
      </c>
      <c r="EY111" s="1124">
        <f>EY3</f>
        <v/>
      </c>
      <c r="FA111" s="1124">
        <f>FA3</f>
        <v/>
      </c>
      <c r="FB111" s="1124">
        <f>FB3</f>
        <v/>
      </c>
      <c r="FC111" s="1124">
        <f>FC3</f>
        <v/>
      </c>
      <c r="FE111" s="1124">
        <f>FE3</f>
        <v/>
      </c>
      <c r="FF111" s="1124">
        <f>FF3</f>
        <v/>
      </c>
      <c r="FG111" s="1124">
        <f>FG3</f>
        <v/>
      </c>
      <c r="FI111" s="1124">
        <f>FI3</f>
        <v/>
      </c>
      <c r="FJ111" s="1124">
        <f>FJ3</f>
        <v/>
      </c>
      <c r="FK111" s="1124">
        <f>FK3</f>
        <v/>
      </c>
      <c r="FM111" s="1124">
        <f>FM3</f>
        <v/>
      </c>
      <c r="FN111" s="1124">
        <f>FN3</f>
        <v/>
      </c>
      <c r="FO111" s="1124">
        <f>FO3</f>
        <v/>
      </c>
    </row>
    <row r="112">
      <c r="A112" s="960" t="inlineStr">
        <is>
          <t>pax revenue</t>
        </is>
      </c>
      <c r="B112" s="961" t="inlineStr">
        <is>
          <t>Passenger revenue</t>
        </is>
      </c>
      <c r="C112" s="961" t="n">
        <v>9077</v>
      </c>
      <c r="D112" s="961" t="n">
        <v>11922</v>
      </c>
      <c r="E112" s="961" t="n">
        <v>13952</v>
      </c>
      <c r="F112" s="961" t="n">
        <v>15823</v>
      </c>
      <c r="G112" s="961" t="n">
        <v>16459</v>
      </c>
      <c r="H112" s="961" t="n">
        <v>18284</v>
      </c>
      <c r="I112" s="961" t="n">
        <v>18321</v>
      </c>
      <c r="J112" s="961" t="n">
        <v>20027</v>
      </c>
      <c r="K112" s="961" t="n">
        <v>22128</v>
      </c>
      <c r="L112" s="962">
        <f>K112*(1+L25)*(1+L30)-45.4</f>
        <v/>
      </c>
      <c r="M112" s="962" t="n">
        <v>21851</v>
      </c>
      <c r="N112" s="962" t="n">
        <v>18532</v>
      </c>
      <c r="O112" s="962" t="n">
        <v>18979</v>
      </c>
      <c r="P112" s="962" t="n">
        <v>22878</v>
      </c>
      <c r="Q112" s="962" t="n">
        <v>20580</v>
      </c>
      <c r="R112" s="962" t="n">
        <v>22376</v>
      </c>
      <c r="S112" s="962" t="n">
        <v>18663</v>
      </c>
      <c r="T112" s="962" t="n">
        <v>26407</v>
      </c>
      <c r="U112" s="962" t="n">
        <v>30274</v>
      </c>
      <c r="V112" s="962" t="n">
        <v>35155</v>
      </c>
      <c r="W112" s="1129" t="n">
        <v>49520</v>
      </c>
      <c r="X112" s="1129" t="n">
        <v>58046</v>
      </c>
      <c r="Y112" s="1129" t="n">
        <v>45920</v>
      </c>
      <c r="Z112" s="1129" t="n">
        <v>59354</v>
      </c>
      <c r="AA112" s="1129" t="n">
        <v>67778</v>
      </c>
      <c r="AB112" s="1129" t="n">
        <v>70133</v>
      </c>
      <c r="AC112" s="1129" t="n">
        <v>71826</v>
      </c>
      <c r="AD112" s="237" t="n">
        <v>75734</v>
      </c>
      <c r="AE112" s="237" t="n">
        <v>73047</v>
      </c>
      <c r="AF112" s="237" t="n">
        <v>66926</v>
      </c>
      <c r="AG112" s="237" t="n">
        <v>66408</v>
      </c>
      <c r="AH112" s="237" t="n">
        <v>73119</v>
      </c>
      <c r="AI112" s="237" t="n">
        <v>73985</v>
      </c>
      <c r="AJ112" s="237" t="n">
        <v>11950</v>
      </c>
      <c r="AK112" s="237" t="n">
        <v>4357</v>
      </c>
      <c r="AL112" s="237" t="n">
        <v>14333</v>
      </c>
      <c r="AM112" s="237" t="n">
        <v>61437</v>
      </c>
      <c r="AN112" s="237" t="n">
        <v>68589</v>
      </c>
      <c r="AO112" s="120">
        <f>SUM(FI112:FJ112)</f>
        <v/>
      </c>
      <c r="AP112" s="120">
        <f>SUM(FM112:FN112)</f>
        <v/>
      </c>
      <c r="AQ112" s="120">
        <f>AQ20</f>
        <v/>
      </c>
      <c r="AR112" s="120">
        <f>AR20</f>
        <v/>
      </c>
      <c r="AS112" s="120">
        <f>AS20</f>
        <v/>
      </c>
      <c r="AT112" s="120">
        <f>AT20</f>
        <v/>
      </c>
      <c r="AU112" s="405" t="n"/>
      <c r="AV112" s="963">
        <f>AV118-AV114-AV116</f>
        <v/>
      </c>
      <c r="AW112" s="963">
        <f>AX112-AV112</f>
        <v/>
      </c>
      <c r="AX112" s="964">
        <f>L112</f>
        <v/>
      </c>
      <c r="AZ112" s="963" t="n">
        <v>11471</v>
      </c>
      <c r="BA112" s="963">
        <f>BB112-AZ112</f>
        <v/>
      </c>
      <c r="BB112" s="964">
        <f>M112</f>
        <v/>
      </c>
      <c r="BD112" s="963" t="n">
        <v>9159</v>
      </c>
      <c r="BE112" s="963">
        <f>BF112-BD112</f>
        <v/>
      </c>
      <c r="BF112" s="964">
        <f>N112</f>
        <v/>
      </c>
      <c r="BH112" s="963" t="n">
        <v>8949</v>
      </c>
      <c r="BI112" s="963">
        <f>BJ112-BH112</f>
        <v/>
      </c>
      <c r="BJ112" s="964">
        <f>O112</f>
        <v/>
      </c>
      <c r="BK112" s="994" t="n"/>
      <c r="BL112" s="963" t="n">
        <v>10820</v>
      </c>
      <c r="BM112" s="963">
        <f>BN112-BL112</f>
        <v/>
      </c>
      <c r="BN112" s="964">
        <f>P112</f>
        <v/>
      </c>
      <c r="BO112" s="963" t="n"/>
      <c r="BP112" s="963" t="n">
        <v>11092</v>
      </c>
      <c r="BQ112" s="963">
        <f>BR112-BP112</f>
        <v/>
      </c>
      <c r="BR112" s="964">
        <f>Q112</f>
        <v/>
      </c>
      <c r="BT112" s="963" t="n">
        <v>10550</v>
      </c>
      <c r="BU112" s="963">
        <f>BV112-BT112</f>
        <v/>
      </c>
      <c r="BV112" s="964">
        <f>R112</f>
        <v/>
      </c>
      <c r="BX112" s="963" t="n">
        <v>7438</v>
      </c>
      <c r="BY112" s="963">
        <f>BZ112-BX112</f>
        <v/>
      </c>
      <c r="BZ112" s="964">
        <f>S112</f>
        <v/>
      </c>
      <c r="CB112" s="963" t="n">
        <v>12341</v>
      </c>
      <c r="CC112" s="963">
        <f>CD112-CB112</f>
        <v/>
      </c>
      <c r="CD112" s="964">
        <f>T112</f>
        <v/>
      </c>
      <c r="CE112" s="963" t="n"/>
      <c r="CF112" s="963" t="n">
        <v>14660</v>
      </c>
      <c r="CG112" s="963">
        <f>CH112-CF112</f>
        <v/>
      </c>
      <c r="CH112" s="964">
        <f>U112</f>
        <v/>
      </c>
      <c r="CI112" s="964" t="n"/>
      <c r="CJ112" s="963" t="n">
        <v>15941</v>
      </c>
      <c r="CK112" s="963">
        <f>CL112-CJ112</f>
        <v/>
      </c>
      <c r="CL112" s="964">
        <f>V112</f>
        <v/>
      </c>
      <c r="CM112" s="964" t="n"/>
      <c r="CN112" s="963" t="n">
        <v>20980</v>
      </c>
      <c r="CO112" s="963">
        <f>CP112-CN112</f>
        <v/>
      </c>
      <c r="CP112" s="963">
        <f>W112</f>
        <v/>
      </c>
      <c r="CQ112" s="963" t="n"/>
      <c r="CR112" s="962" t="n">
        <v>25566</v>
      </c>
      <c r="CS112" s="962" t="n">
        <v>28287</v>
      </c>
      <c r="CT112" s="624">
        <f>CU112-CS112</f>
        <v/>
      </c>
      <c r="CU112" s="963">
        <f>X112</f>
        <v/>
      </c>
      <c r="CV112" s="624" t="n"/>
      <c r="CW112" s="962" t="n">
        <v>21809</v>
      </c>
      <c r="CX112" s="624">
        <f>CY112-CW112</f>
        <v/>
      </c>
      <c r="CY112" s="963">
        <f>Y112</f>
        <v/>
      </c>
      <c r="CZ112" s="118">
        <f>CX112/CW112-1</f>
        <v/>
      </c>
      <c r="DA112" s="1130" t="n">
        <v>27411</v>
      </c>
      <c r="DB112" s="624">
        <f>DC112-DA112</f>
        <v/>
      </c>
      <c r="DC112" s="963">
        <f>Z112</f>
        <v/>
      </c>
      <c r="DD112" s="118" t="n"/>
      <c r="DE112" s="961" t="n">
        <v>31774</v>
      </c>
      <c r="DF112" s="624">
        <f>DG112-DE112</f>
        <v/>
      </c>
      <c r="DG112" s="963">
        <f>AA112</f>
        <v/>
      </c>
      <c r="DH112" s="118" t="n"/>
      <c r="DI112" s="962" t="n">
        <v>34713</v>
      </c>
      <c r="DJ112" s="1131">
        <f>+DK112-DI112</f>
        <v/>
      </c>
      <c r="DK112" s="963">
        <f>AB112</f>
        <v/>
      </c>
      <c r="DL112" s="43" t="n"/>
      <c r="DM112" s="962" t="n">
        <v>34978</v>
      </c>
      <c r="DN112" s="1131">
        <f>+DO112-DM112</f>
        <v/>
      </c>
      <c r="DO112" s="963">
        <f>AC112</f>
        <v/>
      </c>
      <c r="DP112" s="118" t="n"/>
      <c r="DQ112" s="1129" t="n">
        <v>36520</v>
      </c>
      <c r="DR112" s="962">
        <f>+DS112-DQ112</f>
        <v/>
      </c>
      <c r="DS112" s="1131">
        <f>AD112</f>
        <v/>
      </c>
      <c r="DT112" s="1131" t="n"/>
      <c r="DU112" s="1129" t="n">
        <v>36226</v>
      </c>
      <c r="DV112" s="962">
        <f>+DW112-DU112</f>
        <v/>
      </c>
      <c r="DW112" s="962">
        <f>AE112</f>
        <v/>
      </c>
      <c r="DX112" s="1131" t="n"/>
      <c r="DY112" s="237" t="n">
        <v>33413</v>
      </c>
      <c r="DZ112" s="120">
        <f>+EA112-DY112</f>
        <v/>
      </c>
      <c r="EA112" s="120">
        <f>AF112</f>
        <v/>
      </c>
      <c r="EB112" s="194" t="n"/>
      <c r="EC112" s="237" t="n">
        <v>32105</v>
      </c>
      <c r="ED112" s="120">
        <f>+EE112-EC112</f>
        <v/>
      </c>
      <c r="EE112" s="120">
        <f>AG112</f>
        <v/>
      </c>
      <c r="EF112" s="120" t="n"/>
      <c r="EG112" s="237" t="n">
        <v>35452</v>
      </c>
      <c r="EH112" s="120">
        <f>+EI112-EG112</f>
        <v/>
      </c>
      <c r="EI112" s="120">
        <f>AH112</f>
        <v/>
      </c>
      <c r="EJ112" s="120" t="n"/>
      <c r="EK112" s="237" t="n">
        <v>37449</v>
      </c>
      <c r="EL112" s="120">
        <f>+EM112-EK112</f>
        <v/>
      </c>
      <c r="EM112" s="120">
        <f>AI112</f>
        <v/>
      </c>
      <c r="EN112" s="120" t="n"/>
      <c r="EO112" s="237" t="n">
        <v>11056</v>
      </c>
      <c r="EP112" s="120">
        <f>+EQ112-EO112</f>
        <v/>
      </c>
      <c r="EQ112" s="120">
        <f>AJ112</f>
        <v/>
      </c>
      <c r="ER112" s="1049" t="n"/>
      <c r="ES112" s="237" t="n">
        <v>748</v>
      </c>
      <c r="ET112" s="120">
        <f>+EU112-ES112</f>
        <v/>
      </c>
      <c r="EU112" s="120">
        <f>AK112</f>
        <v/>
      </c>
      <c r="EV112" s="120" t="n"/>
      <c r="EW112" s="237" t="n">
        <v>2086</v>
      </c>
      <c r="EX112" s="120">
        <f>+EY112-EW112</f>
        <v/>
      </c>
      <c r="EY112" s="120">
        <f>AL112</f>
        <v/>
      </c>
      <c r="FA112" s="237" t="n">
        <v>27563</v>
      </c>
      <c r="FB112" s="120">
        <f>+FC112-FA112</f>
        <v/>
      </c>
      <c r="FC112" s="120">
        <f>AM112</f>
        <v/>
      </c>
      <c r="FD112" s="20" t="n"/>
      <c r="FE112" s="237" t="n">
        <v>33004</v>
      </c>
      <c r="FF112" s="120">
        <f>+FG112-FE112</f>
        <v/>
      </c>
      <c r="FG112" s="120">
        <f>AN112</f>
        <v/>
      </c>
      <c r="FI112" s="237" t="n">
        <v>37212</v>
      </c>
      <c r="FJ112" s="120">
        <f>+FK112-FI112</f>
        <v/>
      </c>
      <c r="FK112" s="120">
        <f>AO112</f>
        <v/>
      </c>
      <c r="FM112" s="237" t="n">
        <v>47342</v>
      </c>
      <c r="FN112" s="120">
        <f>FN20</f>
        <v/>
      </c>
      <c r="FO112" s="120">
        <f>AP112</f>
        <v/>
      </c>
    </row>
    <row r="113">
      <c r="B113" s="961" t="inlineStr">
        <is>
          <t>YoY of Passenger revenue (%)</t>
        </is>
      </c>
      <c r="D113" s="226">
        <f>D112/C112-1</f>
        <v/>
      </c>
      <c r="E113" s="226">
        <f>E112/D112-1</f>
        <v/>
      </c>
      <c r="F113" s="226">
        <f>F112/E112-1</f>
        <v/>
      </c>
      <c r="G113" s="226">
        <f>G112/F112-1</f>
        <v/>
      </c>
      <c r="H113" s="226">
        <f>H112/G112-1</f>
        <v/>
      </c>
      <c r="I113" s="226">
        <f>I112/H112-1</f>
        <v/>
      </c>
      <c r="J113" s="226">
        <f>J112/I112-1</f>
        <v/>
      </c>
      <c r="K113" s="226">
        <f>K112/J112-1</f>
        <v/>
      </c>
      <c r="L113" s="226">
        <f>L112/K112-1</f>
        <v/>
      </c>
      <c r="M113" s="226">
        <f>M112/L112-1</f>
        <v/>
      </c>
      <c r="N113" s="226">
        <f>N112/M112-1</f>
        <v/>
      </c>
      <c r="O113" s="226">
        <f>O112/N112-1</f>
        <v/>
      </c>
      <c r="P113" s="226">
        <f>P112/O112-1</f>
        <v/>
      </c>
      <c r="Q113" s="226">
        <f>Q112/P112-1</f>
        <v/>
      </c>
      <c r="R113" s="226">
        <f>R112/Q112-1</f>
        <v/>
      </c>
      <c r="S113" s="226">
        <f>S112/R112-1</f>
        <v/>
      </c>
      <c r="T113" s="226">
        <f>T112/S112-1</f>
        <v/>
      </c>
      <c r="U113" s="226">
        <f>U112/T112-1</f>
        <v/>
      </c>
      <c r="V113" s="226">
        <f>V112/U112-1</f>
        <v/>
      </c>
      <c r="W113" s="226">
        <f>W112/V112-1</f>
        <v/>
      </c>
      <c r="X113" s="226">
        <f>X112/W112-1</f>
        <v/>
      </c>
      <c r="Y113" s="226">
        <f>Y112/X112-1</f>
        <v/>
      </c>
      <c r="Z113" s="226">
        <f>Z112/Y112-1</f>
        <v/>
      </c>
      <c r="AA113" s="226">
        <f>AA112/Z112-1</f>
        <v/>
      </c>
      <c r="AB113" s="226">
        <f>AB112/AA112-1</f>
        <v/>
      </c>
      <c r="AC113" s="226">
        <f>AC112/AB112-1</f>
        <v/>
      </c>
      <c r="AD113" s="226">
        <f>AD112/AC112-1</f>
        <v/>
      </c>
      <c r="AE113" s="226">
        <f>AE112/AD112-1</f>
        <v/>
      </c>
      <c r="AF113" s="226">
        <f>AF112/AE112-1</f>
        <v/>
      </c>
      <c r="AG113" s="226">
        <f>AG112/AF112-1</f>
        <v/>
      </c>
      <c r="AH113" s="226">
        <f>AH112/AG112-1</f>
        <v/>
      </c>
      <c r="AI113" s="226">
        <f>AI112/AH112-1</f>
        <v/>
      </c>
      <c r="AJ113" s="226">
        <f>AJ112/AI112-1</f>
        <v/>
      </c>
      <c r="AK113" s="226">
        <f>AK112/AJ112-1</f>
        <v/>
      </c>
      <c r="AL113" s="226">
        <f>AL112/AK112-1</f>
        <v/>
      </c>
      <c r="AM113" s="226">
        <f>AM112/AL112-1</f>
        <v/>
      </c>
      <c r="AN113" s="226">
        <f>AN112/AM112-1</f>
        <v/>
      </c>
      <c r="AO113" s="226">
        <f>AO112/AN112-1</f>
        <v/>
      </c>
      <c r="AP113" s="226">
        <f>AP112/AO112-1</f>
        <v/>
      </c>
      <c r="AQ113" s="226">
        <f>AQ112/AP112-1</f>
        <v/>
      </c>
      <c r="AR113" s="226">
        <f>AR112/AQ112-1</f>
        <v/>
      </c>
      <c r="AS113" s="226">
        <f>AS112/AR112-1</f>
        <v/>
      </c>
      <c r="AT113" s="226">
        <f>AT112/AS112-1</f>
        <v/>
      </c>
      <c r="AU113" s="317" t="n"/>
      <c r="BH113" s="963" t="n"/>
      <c r="BI113" s="963" t="n"/>
      <c r="BJ113" s="964" t="n"/>
      <c r="BK113" s="994" t="n"/>
      <c r="BL113" s="963" t="n"/>
      <c r="BM113" s="963" t="n"/>
      <c r="BN113" s="964" t="n"/>
      <c r="BO113" s="963" t="n"/>
      <c r="BP113" s="963" t="n"/>
      <c r="BR113" s="964" t="n"/>
      <c r="BT113" s="963" t="n"/>
      <c r="BU113" s="963" t="n"/>
      <c r="BV113" s="964" t="n"/>
      <c r="BX113" s="963" t="n"/>
      <c r="BY113" s="963" t="n"/>
      <c r="BZ113" s="964" t="n"/>
      <c r="CB113" s="963" t="n"/>
      <c r="CC113" s="963" t="n"/>
      <c r="CD113" s="964" t="n"/>
      <c r="CE113" s="963" t="n"/>
      <c r="CF113" s="963" t="n"/>
      <c r="CG113" s="963" t="n"/>
      <c r="CH113" s="964" t="n"/>
      <c r="CI113" s="964" t="n"/>
      <c r="CJ113" s="963" t="n"/>
      <c r="CK113" s="963" t="n"/>
      <c r="CL113" s="964" t="n"/>
      <c r="CM113" s="964" t="n"/>
      <c r="CN113" s="963" t="n"/>
      <c r="CO113" s="963" t="n"/>
      <c r="CP113" s="963" t="n"/>
      <c r="CQ113" s="963" t="n"/>
      <c r="CR113" s="962" t="n"/>
      <c r="CS113" s="962" t="n"/>
      <c r="CT113" s="624" t="n"/>
      <c r="CU113" s="963" t="n"/>
      <c r="CV113" s="624" t="n"/>
      <c r="CW113" s="962" t="n"/>
      <c r="CX113" s="624" t="n"/>
      <c r="CY113" s="963" t="n"/>
      <c r="CZ113" s="118" t="n"/>
      <c r="DA113" s="1130" t="n"/>
      <c r="DB113" s="624" t="n"/>
      <c r="DC113" s="963" t="n"/>
      <c r="DD113" s="118" t="n"/>
      <c r="DF113" s="624" t="n"/>
      <c r="DG113" s="963" t="n"/>
      <c r="DH113" s="118" t="n"/>
      <c r="DI113" s="962" t="n"/>
      <c r="DJ113" s="1131" t="n"/>
      <c r="DK113" s="963" t="n"/>
      <c r="DL113" s="43" t="n"/>
      <c r="DM113" s="962" t="n"/>
      <c r="DN113" s="1131" t="n"/>
      <c r="DO113" s="963" t="n"/>
      <c r="DP113" s="118" t="n"/>
      <c r="DQ113" s="1129" t="n"/>
      <c r="DR113" s="962" t="n"/>
      <c r="DS113" s="1131" t="n"/>
      <c r="DT113" s="1131" t="n"/>
      <c r="DU113" s="1129" t="n"/>
      <c r="DV113" s="962" t="n"/>
      <c r="DW113" s="962" t="n"/>
      <c r="DX113" s="1131" t="n"/>
      <c r="DY113" s="237" t="n"/>
      <c r="DZ113" s="120" t="n"/>
      <c r="EA113" s="120" t="n"/>
      <c r="EB113" s="194" t="n"/>
      <c r="EC113" s="237" t="n"/>
      <c r="ED113" s="120" t="n"/>
      <c r="EE113" s="120" t="n"/>
      <c r="EF113" s="120" t="n"/>
      <c r="EG113" s="237" t="n"/>
      <c r="EH113" s="120" t="n"/>
      <c r="EI113" s="120" t="n"/>
      <c r="EJ113" s="120" t="n"/>
      <c r="EK113" s="226">
        <f>EK112/EG112-1</f>
        <v/>
      </c>
      <c r="EL113" s="226">
        <f>EL112/EH112-1</f>
        <v/>
      </c>
      <c r="EM113" s="226">
        <f>EM112/EI112-1</f>
        <v/>
      </c>
      <c r="EN113" s="120" t="n"/>
      <c r="EO113" s="226">
        <f>EO112/EK112-1</f>
        <v/>
      </c>
      <c r="EP113" s="226">
        <f>EP112/EL112-1</f>
        <v/>
      </c>
      <c r="EQ113" s="226">
        <f>EQ112/EM112-1</f>
        <v/>
      </c>
      <c r="ER113" s="1049" t="n"/>
      <c r="ES113" s="226">
        <f>ES112/EO112-1</f>
        <v/>
      </c>
      <c r="ET113" s="226">
        <f>ET112/EP112-1</f>
        <v/>
      </c>
      <c r="EU113" s="226">
        <f>EU112/EQ112-1</f>
        <v/>
      </c>
      <c r="EV113" s="120" t="n"/>
      <c r="EW113" s="226">
        <f>EW112/ES112-1</f>
        <v/>
      </c>
      <c r="EX113" s="226">
        <f>EX112/ET112-1</f>
        <v/>
      </c>
      <c r="EY113" s="226">
        <f>EY112/EU112-1</f>
        <v/>
      </c>
      <c r="FA113" s="226">
        <f>FA112/EW112-1</f>
        <v/>
      </c>
      <c r="FB113" s="226">
        <f>FB112/EX112-1</f>
        <v/>
      </c>
      <c r="FC113" s="226">
        <f>FC112/EY112-1</f>
        <v/>
      </c>
      <c r="FE113" s="226">
        <f>FE112/FA112-1</f>
        <v/>
      </c>
      <c r="FF113" s="226">
        <f>FF112/FB112-1</f>
        <v/>
      </c>
      <c r="FG113" s="226">
        <f>FG112/FC112-1</f>
        <v/>
      </c>
      <c r="FI113" s="226">
        <f>FI112/FE112-1</f>
        <v/>
      </c>
      <c r="FJ113" s="226">
        <f>FJ112/FF112-1</f>
        <v/>
      </c>
      <c r="FK113" s="226">
        <f>FK112/FG112-1</f>
        <v/>
      </c>
      <c r="FM113" s="226">
        <f>FM112/FI112-1</f>
        <v/>
      </c>
      <c r="FN113" s="226">
        <f>FN112/FJ112-1</f>
        <v/>
      </c>
      <c r="FO113" s="226">
        <f>FO112/FK112-1</f>
        <v/>
      </c>
    </row>
    <row r="114">
      <c r="A114" s="960" t="inlineStr">
        <is>
          <t>cargo revenue</t>
        </is>
      </c>
      <c r="B114" s="961" t="inlineStr">
        <is>
          <t>Cargo / mail revenue</t>
        </is>
      </c>
      <c r="C114" s="961" t="n">
        <v>2267</v>
      </c>
      <c r="D114" s="961" t="n">
        <v>2775</v>
      </c>
      <c r="E114" s="961" t="n">
        <v>2899</v>
      </c>
      <c r="F114" s="961" t="n">
        <v>3332</v>
      </c>
      <c r="G114" s="961" t="n">
        <v>3671</v>
      </c>
      <c r="H114" s="961" t="n">
        <v>3974</v>
      </c>
      <c r="I114" s="961" t="n">
        <v>4277</v>
      </c>
      <c r="J114" s="961" t="n">
        <v>5616</v>
      </c>
      <c r="K114" s="961" t="n">
        <v>6699</v>
      </c>
      <c r="L114" s="962">
        <f>K114*(1+L55)*(1+L58)-115</f>
        <v/>
      </c>
      <c r="M114" s="962" t="n">
        <v>7782</v>
      </c>
      <c r="N114" s="962" t="n">
        <v>6955</v>
      </c>
      <c r="O114" s="962" t="n">
        <v>8391</v>
      </c>
      <c r="P114" s="962" t="n">
        <v>10136</v>
      </c>
      <c r="Q114" s="962" t="n">
        <v>8343</v>
      </c>
      <c r="R114" s="962" t="n">
        <v>9387</v>
      </c>
      <c r="S114" s="962" t="n">
        <v>9913</v>
      </c>
      <c r="T114" s="962" t="n">
        <v>11395</v>
      </c>
      <c r="U114" s="962" t="n">
        <v>12852</v>
      </c>
      <c r="V114" s="962" t="n">
        <v>14251</v>
      </c>
      <c r="W114" s="1129" t="n">
        <v>21783</v>
      </c>
      <c r="X114" s="1129" t="n">
        <v>24623</v>
      </c>
      <c r="Y114" s="1129" t="n">
        <v>17255</v>
      </c>
      <c r="Z114" s="1129" t="n">
        <v>25901</v>
      </c>
      <c r="AA114" s="1129" t="n">
        <v>25980</v>
      </c>
      <c r="AB114" s="1129" t="n">
        <v>24555</v>
      </c>
      <c r="AC114" s="1129" t="n">
        <v>23663</v>
      </c>
      <c r="AD114" s="237" t="n">
        <v>25400</v>
      </c>
      <c r="AE114" s="237" t="n">
        <v>23122</v>
      </c>
      <c r="AF114" s="237" t="n">
        <v>20063</v>
      </c>
      <c r="AG114" s="237" t="n">
        <v>23903</v>
      </c>
      <c r="AH114" s="237" t="n">
        <v>28316</v>
      </c>
      <c r="AI114" s="237" t="n">
        <v>23810</v>
      </c>
      <c r="AJ114" s="237" t="n">
        <v>27890</v>
      </c>
      <c r="AK114" s="237" t="n">
        <v>35814</v>
      </c>
      <c r="AL114" s="237" t="n">
        <v>30554</v>
      </c>
      <c r="AM114" s="237" t="n">
        <v>25606</v>
      </c>
      <c r="AN114" s="237" t="n">
        <v>27417</v>
      </c>
      <c r="AO114" s="120">
        <f>SUM(FI114:FJ114)</f>
        <v/>
      </c>
      <c r="AP114" s="120">
        <f>SUM(FM114:FN114)</f>
        <v/>
      </c>
      <c r="AQ114" s="120">
        <f>AQ63</f>
        <v/>
      </c>
      <c r="AR114" s="120">
        <f>AR63</f>
        <v/>
      </c>
      <c r="AS114" s="120">
        <f>AS63</f>
        <v/>
      </c>
      <c r="AT114" s="120">
        <f>AT63</f>
        <v/>
      </c>
      <c r="AU114" s="317" t="n"/>
      <c r="AV114" s="963" t="n">
        <v>2681</v>
      </c>
      <c r="AW114" s="963">
        <f>AX114-AV114</f>
        <v/>
      </c>
      <c r="AX114" s="964">
        <f>L114</f>
        <v/>
      </c>
      <c r="AZ114" s="963" t="n">
        <v>3502</v>
      </c>
      <c r="BA114" s="963">
        <f>BB114-AZ114</f>
        <v/>
      </c>
      <c r="BB114" s="964">
        <f>M114</f>
        <v/>
      </c>
      <c r="BD114" s="963" t="n">
        <v>3337</v>
      </c>
      <c r="BE114" s="963">
        <f>BF114-BD114</f>
        <v/>
      </c>
      <c r="BF114" s="964">
        <f>N114</f>
        <v/>
      </c>
      <c r="BH114" s="963" t="n">
        <v>3575</v>
      </c>
      <c r="BI114" s="963">
        <f>BJ114-BH114</f>
        <v/>
      </c>
      <c r="BJ114" s="964">
        <f>O114</f>
        <v/>
      </c>
      <c r="BK114" s="994" t="n"/>
      <c r="BL114" s="963" t="n">
        <v>4598</v>
      </c>
      <c r="BM114" s="963">
        <f>BN114-BL114</f>
        <v/>
      </c>
      <c r="BN114" s="964">
        <f>P114</f>
        <v/>
      </c>
      <c r="BO114" s="963" t="n"/>
      <c r="BP114" s="963" t="n">
        <v>4005</v>
      </c>
      <c r="BQ114" s="963">
        <f>BR114-BP114</f>
        <v/>
      </c>
      <c r="BR114" s="964">
        <f>Q114</f>
        <v/>
      </c>
      <c r="BS114" s="226" t="n"/>
      <c r="BT114" s="963" t="n">
        <v>4225</v>
      </c>
      <c r="BU114" s="963">
        <f>BV114-BT114</f>
        <v/>
      </c>
      <c r="BV114" s="964">
        <f>R114</f>
        <v/>
      </c>
      <c r="BX114" s="963" t="n">
        <v>4405</v>
      </c>
      <c r="BY114" s="963">
        <f>BZ114-BX114</f>
        <v/>
      </c>
      <c r="BZ114" s="964">
        <f>S114</f>
        <v/>
      </c>
      <c r="CB114" s="963" t="n">
        <v>5251</v>
      </c>
      <c r="CC114" s="963">
        <f>CD114-CB114</f>
        <v/>
      </c>
      <c r="CD114" s="964">
        <f>T114</f>
        <v/>
      </c>
      <c r="CE114" s="963" t="n"/>
      <c r="CF114" s="963" t="n">
        <v>5981</v>
      </c>
      <c r="CG114" s="963">
        <f>CH114-CF114</f>
        <v/>
      </c>
      <c r="CH114" s="964">
        <f>U114</f>
        <v/>
      </c>
      <c r="CI114" s="964" t="n"/>
      <c r="CJ114" s="963" t="n">
        <v>6314</v>
      </c>
      <c r="CK114" s="963">
        <f>CL114-CJ114</f>
        <v/>
      </c>
      <c r="CL114" s="964">
        <f>V114</f>
        <v/>
      </c>
      <c r="CM114" s="964" t="n"/>
      <c r="CN114" s="963" t="n">
        <v>7377</v>
      </c>
      <c r="CO114" s="963">
        <f>CP114-CN114</f>
        <v/>
      </c>
      <c r="CP114" s="963">
        <f>W114</f>
        <v/>
      </c>
      <c r="CQ114" s="963" t="n"/>
      <c r="CR114" s="962" t="n">
        <v>8145</v>
      </c>
      <c r="CS114" s="962" t="n">
        <v>12005</v>
      </c>
      <c r="CT114" s="624">
        <f>CU114-CS114</f>
        <v/>
      </c>
      <c r="CU114" s="963">
        <f>X114</f>
        <v/>
      </c>
      <c r="CV114" s="624" t="n"/>
      <c r="CW114" s="962" t="n">
        <v>7264</v>
      </c>
      <c r="CX114" s="624">
        <f>CY114-CW114</f>
        <v/>
      </c>
      <c r="CY114" s="963">
        <f>Y114</f>
        <v/>
      </c>
      <c r="CZ114" s="118">
        <f>CX114/CW114-1</f>
        <v/>
      </c>
      <c r="DA114" s="1130" t="n">
        <v>11844</v>
      </c>
      <c r="DB114" s="624">
        <f>DC114-DA114</f>
        <v/>
      </c>
      <c r="DC114" s="963">
        <f>Z114</f>
        <v/>
      </c>
      <c r="DD114" s="118" t="n"/>
      <c r="DE114" s="961" t="n">
        <v>12870</v>
      </c>
      <c r="DF114" s="624">
        <f>DG114-DE114</f>
        <v/>
      </c>
      <c r="DG114" s="963">
        <f>AA114</f>
        <v/>
      </c>
      <c r="DH114" s="118" t="n"/>
      <c r="DI114" s="962" t="n">
        <v>11897</v>
      </c>
      <c r="DJ114" s="1131">
        <f>+DK114-DI114</f>
        <v/>
      </c>
      <c r="DK114" s="963">
        <f>AB114</f>
        <v/>
      </c>
      <c r="DL114" s="43" t="n"/>
      <c r="DM114" s="962" t="n">
        <v>11278</v>
      </c>
      <c r="DN114" s="1131">
        <f>+DO114-DM114</f>
        <v/>
      </c>
      <c r="DO114" s="963">
        <f>AC114</f>
        <v/>
      </c>
      <c r="DP114" s="118" t="n"/>
      <c r="DQ114" s="1129" t="n">
        <v>11663</v>
      </c>
      <c r="DR114" s="962">
        <f>+DS114-DQ114</f>
        <v/>
      </c>
      <c r="DS114" s="1131">
        <f>AD114</f>
        <v/>
      </c>
      <c r="DT114" s="1131" t="n"/>
      <c r="DU114" s="1129" t="n">
        <v>11376</v>
      </c>
      <c r="DV114" s="962">
        <f>+DW114-DU114</f>
        <v/>
      </c>
      <c r="DW114" s="962">
        <f>AE114</f>
        <v/>
      </c>
      <c r="DX114" s="1131" t="n"/>
      <c r="DY114" s="237" t="n">
        <v>9415</v>
      </c>
      <c r="DZ114" s="120">
        <f>+EA114-DY114</f>
        <v/>
      </c>
      <c r="EA114" s="120">
        <f>AF114</f>
        <v/>
      </c>
      <c r="EB114" s="194" t="n"/>
      <c r="EC114" s="237" t="n">
        <v>10515</v>
      </c>
      <c r="ED114" s="120">
        <f>+EE114-EC114</f>
        <v/>
      </c>
      <c r="EE114" s="120">
        <f>AG114</f>
        <v/>
      </c>
      <c r="EF114" s="120" t="n"/>
      <c r="EG114" s="237" t="n">
        <v>12971</v>
      </c>
      <c r="EH114" s="120">
        <f>+EI114-EG114</f>
        <v/>
      </c>
      <c r="EI114" s="120">
        <f>AH114</f>
        <v/>
      </c>
      <c r="EJ114" s="120" t="n"/>
      <c r="EK114" s="237" t="n">
        <v>11498</v>
      </c>
      <c r="EL114" s="120">
        <f>+EM114-EK114</f>
        <v/>
      </c>
      <c r="EM114" s="120">
        <f>AI114</f>
        <v/>
      </c>
      <c r="EN114" s="120" t="n"/>
      <c r="EO114" s="237" t="n">
        <v>12692</v>
      </c>
      <c r="EP114" s="120">
        <f>+EQ114-EO114</f>
        <v/>
      </c>
      <c r="EQ114" s="120">
        <f>AJ114</f>
        <v/>
      </c>
      <c r="ER114" s="1049" t="n"/>
      <c r="ES114" s="237" t="n">
        <v>12702</v>
      </c>
      <c r="ET114" s="120">
        <f>+EU114-ES114</f>
        <v/>
      </c>
      <c r="EU114" s="120">
        <f>AK114</f>
        <v/>
      </c>
      <c r="EV114" s="120" t="n"/>
      <c r="EW114" s="237" t="n">
        <v>13830</v>
      </c>
      <c r="EX114" s="120">
        <f>+EY114-EW114</f>
        <v/>
      </c>
      <c r="EY114" s="120">
        <f>AL114</f>
        <v/>
      </c>
      <c r="FA114" s="237" t="n">
        <v>12432</v>
      </c>
      <c r="FB114" s="120">
        <f>+FC114-FA114</f>
        <v/>
      </c>
      <c r="FC114" s="120">
        <f>AM114</f>
        <v/>
      </c>
      <c r="FD114" s="226" t="n"/>
      <c r="FE114" s="237" t="n">
        <v>12610</v>
      </c>
      <c r="FF114" s="120">
        <f>+FG114-FE114</f>
        <v/>
      </c>
      <c r="FG114" s="120">
        <f>AN114</f>
        <v/>
      </c>
      <c r="FH114" s="226" t="n"/>
      <c r="FI114" s="237" t="n">
        <v>12761</v>
      </c>
      <c r="FJ114" s="120">
        <f>+FK114-FI114</f>
        <v/>
      </c>
      <c r="FK114" s="120">
        <f>AO114</f>
        <v/>
      </c>
      <c r="FL114" s="226" t="n"/>
      <c r="FM114" s="237" t="n">
        <v>15702</v>
      </c>
      <c r="FN114" s="120">
        <f>FN63</f>
        <v/>
      </c>
      <c r="FO114" s="120">
        <f>AP114</f>
        <v/>
      </c>
    </row>
    <row r="115">
      <c r="B115" s="961" t="inlineStr">
        <is>
          <t>YoY of Cargo / mail revenue (%)</t>
        </is>
      </c>
      <c r="D115" s="226">
        <f>D114/C114-1</f>
        <v/>
      </c>
      <c r="E115" s="226">
        <f>E114/D114-1</f>
        <v/>
      </c>
      <c r="F115" s="226">
        <f>F114/E114-1</f>
        <v/>
      </c>
      <c r="G115" s="226">
        <f>G114/F114-1</f>
        <v/>
      </c>
      <c r="H115" s="226">
        <f>H114/G114-1</f>
        <v/>
      </c>
      <c r="I115" s="226">
        <f>I114/H114-1</f>
        <v/>
      </c>
      <c r="J115" s="226">
        <f>J114/I114-1</f>
        <v/>
      </c>
      <c r="K115" s="226">
        <f>K114/J114-1</f>
        <v/>
      </c>
      <c r="L115" s="226">
        <f>L114/K114-1</f>
        <v/>
      </c>
      <c r="M115" s="226">
        <f>M114/L114-1</f>
        <v/>
      </c>
      <c r="N115" s="226">
        <f>N114/M114-1</f>
        <v/>
      </c>
      <c r="O115" s="226">
        <f>O114/N114-1</f>
        <v/>
      </c>
      <c r="P115" s="226">
        <f>P114/O114-1</f>
        <v/>
      </c>
      <c r="Q115" s="226">
        <f>Q114/P114-1</f>
        <v/>
      </c>
      <c r="R115" s="226">
        <f>R114/Q114-1</f>
        <v/>
      </c>
      <c r="S115" s="226">
        <f>S114/R114-1</f>
        <v/>
      </c>
      <c r="T115" s="226">
        <f>T114/S114-1</f>
        <v/>
      </c>
      <c r="U115" s="226">
        <f>U114/T114-1</f>
        <v/>
      </c>
      <c r="V115" s="226">
        <f>V114/U114-1</f>
        <v/>
      </c>
      <c r="W115" s="226">
        <f>W114/V114-1</f>
        <v/>
      </c>
      <c r="X115" s="226">
        <f>X114/W114-1</f>
        <v/>
      </c>
      <c r="Y115" s="226">
        <f>Y114/X114-1</f>
        <v/>
      </c>
      <c r="Z115" s="226">
        <f>Z114/Y114-1</f>
        <v/>
      </c>
      <c r="AA115" s="226">
        <f>AA114/Z114-1</f>
        <v/>
      </c>
      <c r="AB115" s="226">
        <f>AB114/AA114-1</f>
        <v/>
      </c>
      <c r="AC115" s="226">
        <f>AC114/AB114-1</f>
        <v/>
      </c>
      <c r="AD115" s="226">
        <f>AD114/AC114-1</f>
        <v/>
      </c>
      <c r="AE115" s="226">
        <f>AE114/AD114-1</f>
        <v/>
      </c>
      <c r="AF115" s="226">
        <f>AF114/AE114-1</f>
        <v/>
      </c>
      <c r="AG115" s="226">
        <f>AG114/AF114-1</f>
        <v/>
      </c>
      <c r="AH115" s="226">
        <f>AH114/AG114-1</f>
        <v/>
      </c>
      <c r="AI115" s="226">
        <f>AI114/AH114-1</f>
        <v/>
      </c>
      <c r="AJ115" s="226">
        <f>AJ114/AI114-1</f>
        <v/>
      </c>
      <c r="AK115" s="226">
        <f>AK114/AJ114-1</f>
        <v/>
      </c>
      <c r="AL115" s="226">
        <f>AL114/AK114-1</f>
        <v/>
      </c>
      <c r="AM115" s="226">
        <f>AM114/AL114-1</f>
        <v/>
      </c>
      <c r="AN115" s="226">
        <f>AN114/AM114-1</f>
        <v/>
      </c>
      <c r="AO115" s="226">
        <f>AO114/AN114-1</f>
        <v/>
      </c>
      <c r="AP115" s="226">
        <f>AP114/AO114-1</f>
        <v/>
      </c>
      <c r="AQ115" s="226">
        <f>AQ114/AP114-1</f>
        <v/>
      </c>
      <c r="AR115" s="226">
        <f>AR114/AQ114-1</f>
        <v/>
      </c>
      <c r="AS115" s="226">
        <f>AS114/AR114-1</f>
        <v/>
      </c>
      <c r="AT115" s="226">
        <f>AT114/AS114-1</f>
        <v/>
      </c>
      <c r="AU115" s="317" t="n"/>
      <c r="BH115" s="963" t="n"/>
      <c r="BI115" s="963" t="n"/>
      <c r="BJ115" s="964" t="n"/>
      <c r="BK115" s="994" t="n"/>
      <c r="BL115" s="963" t="n"/>
      <c r="BM115" s="963" t="n"/>
      <c r="BN115" s="964" t="n"/>
      <c r="BO115" s="963" t="n"/>
      <c r="BP115" s="963" t="n"/>
      <c r="BR115" s="964" t="n"/>
      <c r="BS115" s="226" t="n"/>
      <c r="BT115" s="963" t="n"/>
      <c r="BU115" s="963" t="n"/>
      <c r="BV115" s="964" t="n"/>
      <c r="BX115" s="963" t="n"/>
      <c r="BY115" s="963" t="n"/>
      <c r="BZ115" s="964" t="n"/>
      <c r="CB115" s="963" t="n"/>
      <c r="CC115" s="963" t="n"/>
      <c r="CD115" s="964" t="n"/>
      <c r="CE115" s="963" t="n"/>
      <c r="CF115" s="963" t="n"/>
      <c r="CG115" s="963" t="n"/>
      <c r="CH115" s="964" t="n"/>
      <c r="CI115" s="964" t="n"/>
      <c r="CJ115" s="963" t="n"/>
      <c r="CK115" s="963" t="n"/>
      <c r="CL115" s="964" t="n"/>
      <c r="CM115" s="964" t="n"/>
      <c r="CN115" s="963" t="n"/>
      <c r="CO115" s="963" t="n"/>
      <c r="CP115" s="963" t="n"/>
      <c r="CQ115" s="963" t="n"/>
      <c r="CR115" s="962" t="n"/>
      <c r="CS115" s="962" t="n"/>
      <c r="CT115" s="624" t="n"/>
      <c r="CU115" s="963" t="n"/>
      <c r="CV115" s="624" t="n"/>
      <c r="CW115" s="962" t="n"/>
      <c r="CX115" s="624" t="n"/>
      <c r="CY115" s="963" t="n"/>
      <c r="CZ115" s="118" t="n"/>
      <c r="DA115" s="1130" t="n"/>
      <c r="DB115" s="624" t="n"/>
      <c r="DC115" s="963" t="n"/>
      <c r="DD115" s="118" t="n"/>
      <c r="DF115" s="624" t="n"/>
      <c r="DG115" s="963" t="n"/>
      <c r="DH115" s="118" t="n"/>
      <c r="DI115" s="962" t="n"/>
      <c r="DJ115" s="1131" t="n"/>
      <c r="DK115" s="963" t="n"/>
      <c r="DL115" s="43" t="n"/>
      <c r="DM115" s="962" t="n"/>
      <c r="DN115" s="1131" t="n"/>
      <c r="DO115" s="963" t="n"/>
      <c r="DP115" s="118" t="n"/>
      <c r="DQ115" s="1129" t="n"/>
      <c r="DR115" s="962" t="n"/>
      <c r="DS115" s="1131" t="n"/>
      <c r="DT115" s="1131" t="n"/>
      <c r="DU115" s="1129" t="n"/>
      <c r="DV115" s="962" t="n"/>
      <c r="DW115" s="962" t="n"/>
      <c r="DX115" s="1131" t="n"/>
      <c r="DY115" s="237" t="n"/>
      <c r="DZ115" s="120" t="n"/>
      <c r="EA115" s="120" t="n"/>
      <c r="EB115" s="194" t="n"/>
      <c r="EC115" s="237" t="n"/>
      <c r="ED115" s="120" t="n"/>
      <c r="EE115" s="120" t="n"/>
      <c r="EF115" s="120" t="n"/>
      <c r="EG115" s="237" t="n"/>
      <c r="EH115" s="120" t="n"/>
      <c r="EI115" s="120" t="n"/>
      <c r="EJ115" s="120" t="n"/>
      <c r="EK115" s="226">
        <f>EK114/EG114-1</f>
        <v/>
      </c>
      <c r="EL115" s="226">
        <f>EL114/EH114-1</f>
        <v/>
      </c>
      <c r="EM115" s="226">
        <f>EM114/EI114-1</f>
        <v/>
      </c>
      <c r="EN115" s="120" t="n"/>
      <c r="EO115" s="226">
        <f>EO114/EK114-1</f>
        <v/>
      </c>
      <c r="EP115" s="226">
        <f>EP114/EL114-1</f>
        <v/>
      </c>
      <c r="EQ115" s="226">
        <f>EQ114/EM114-1</f>
        <v/>
      </c>
      <c r="ER115" s="120" t="n"/>
      <c r="ES115" s="226">
        <f>ES114/EO114-1</f>
        <v/>
      </c>
      <c r="ET115" s="226">
        <f>ET114/EP114-1</f>
        <v/>
      </c>
      <c r="EU115" s="226">
        <f>EU114/EQ114-1</f>
        <v/>
      </c>
      <c r="EV115" s="120" t="n"/>
      <c r="EW115" s="226">
        <f>EW114/ES114-1</f>
        <v/>
      </c>
      <c r="EX115" s="226">
        <f>EX114/ET114-1</f>
        <v/>
      </c>
      <c r="EY115" s="226">
        <f>EY114/EU114-1</f>
        <v/>
      </c>
      <c r="FA115" s="226">
        <f>FA114/EW114-1</f>
        <v/>
      </c>
      <c r="FB115" s="226">
        <f>FB114/EX114-1</f>
        <v/>
      </c>
      <c r="FC115" s="226">
        <f>FC114/EY114-1</f>
        <v/>
      </c>
      <c r="FE115" s="226">
        <f>FE114/FA114-1</f>
        <v/>
      </c>
      <c r="FF115" s="226">
        <f>FF114/FB114-1</f>
        <v/>
      </c>
      <c r="FG115" s="226">
        <f>FG114/FC114-1</f>
        <v/>
      </c>
      <c r="FI115" s="226">
        <f>FI114/FE114-1</f>
        <v/>
      </c>
      <c r="FJ115" s="226">
        <f>FJ114/FF114-1</f>
        <v/>
      </c>
      <c r="FK115" s="226">
        <f>FK114/FG114-1</f>
        <v/>
      </c>
      <c r="FM115" s="226">
        <f>FM114/FI114-1</f>
        <v/>
      </c>
      <c r="FN115" s="226">
        <f>FN114/FJ114-1</f>
        <v/>
      </c>
      <c r="FO115" s="226">
        <f>FO114/FK114-1</f>
        <v/>
      </c>
    </row>
    <row r="116">
      <c r="B116" s="961" t="inlineStr">
        <is>
          <t>Catering / other services revenue</t>
        </is>
      </c>
      <c r="C116" s="961" t="n">
        <v>365</v>
      </c>
      <c r="D116" s="961" t="n">
        <v>401</v>
      </c>
      <c r="E116" s="961" t="n">
        <v>427</v>
      </c>
      <c r="F116" s="961" t="n">
        <v>663</v>
      </c>
      <c r="G116" s="961" t="n">
        <v>805</v>
      </c>
      <c r="H116" s="961" t="n">
        <v>1048</v>
      </c>
      <c r="I116" s="961" t="n">
        <v>1410</v>
      </c>
      <c r="J116" s="961" t="n">
        <v>1572</v>
      </c>
      <c r="K116" s="962" t="n">
        <v>1627</v>
      </c>
      <c r="L116" s="962">
        <f>K116*(1.0627)</f>
        <v/>
      </c>
      <c r="M116" s="962" t="n">
        <v>1014</v>
      </c>
      <c r="N116" s="962" t="n">
        <v>1123</v>
      </c>
      <c r="O116" s="962" t="n">
        <v>1332</v>
      </c>
      <c r="P116" s="962" t="n">
        <v>1509</v>
      </c>
      <c r="Q116" s="962" t="n">
        <v>1513</v>
      </c>
      <c r="R116" s="962" t="n">
        <v>1327</v>
      </c>
      <c r="S116" s="962" t="n">
        <v>1002</v>
      </c>
      <c r="T116" s="962" t="n">
        <v>4959</v>
      </c>
      <c r="U116" s="962" t="n">
        <v>7783</v>
      </c>
      <c r="V116" s="962" t="n">
        <v>11377</v>
      </c>
      <c r="W116" s="1129" t="n">
        <v>4055</v>
      </c>
      <c r="X116" s="1129" t="n">
        <v>3909</v>
      </c>
      <c r="Y116" s="1129" t="n">
        <v>3803</v>
      </c>
      <c r="Z116" s="1129" t="n">
        <v>4269</v>
      </c>
      <c r="AA116" s="1129" t="n">
        <v>4648</v>
      </c>
      <c r="AB116" s="1129" t="n">
        <v>4688</v>
      </c>
      <c r="AC116" s="1129" t="n">
        <v>4995</v>
      </c>
      <c r="AD116" s="237" t="n">
        <v>4857</v>
      </c>
      <c r="AE116" s="237" t="n">
        <v>6173</v>
      </c>
      <c r="AF116" s="237" t="n">
        <v>5762</v>
      </c>
      <c r="AG116" s="237" t="n">
        <v>6973</v>
      </c>
      <c r="AH116" s="237" t="n">
        <v>9625</v>
      </c>
      <c r="AI116" s="237" t="n">
        <v>9178</v>
      </c>
      <c r="AJ116" s="237" t="n">
        <v>7094</v>
      </c>
      <c r="AK116" s="237" t="n">
        <v>5416</v>
      </c>
      <c r="AL116" s="237" t="n">
        <v>6149</v>
      </c>
      <c r="AM116" s="237" t="n">
        <v>7442</v>
      </c>
      <c r="AN116" s="237" t="n">
        <v>8365</v>
      </c>
      <c r="AO116" s="120">
        <f>SUM(FI116:FJ116)</f>
        <v/>
      </c>
      <c r="AP116" s="120">
        <f>SUM(FM116:FN116)</f>
        <v/>
      </c>
      <c r="AQ116" s="120">
        <f>AP116*(1+AQ117)</f>
        <v/>
      </c>
      <c r="AR116" s="120">
        <f>AQ116*(1+AR117)</f>
        <v/>
      </c>
      <c r="AS116" s="120">
        <f>AR116*(1+AS117)</f>
        <v/>
      </c>
      <c r="AT116" s="120">
        <f>AS116*(1+AT117)</f>
        <v/>
      </c>
      <c r="AU116" s="317" t="n"/>
      <c r="AV116" s="963" t="n">
        <v>773</v>
      </c>
      <c r="AW116" s="963">
        <f>AX116-AV116</f>
        <v/>
      </c>
      <c r="AX116" s="964">
        <f>L116</f>
        <v/>
      </c>
      <c r="AZ116" s="963" t="n">
        <v>517</v>
      </c>
      <c r="BA116" s="963">
        <f>BB116-AZ116</f>
        <v/>
      </c>
      <c r="BB116" s="964">
        <f>M116</f>
        <v/>
      </c>
      <c r="BD116" s="963" t="n">
        <v>495</v>
      </c>
      <c r="BE116" s="963">
        <f>BF116-BD116</f>
        <v/>
      </c>
      <c r="BF116" s="964">
        <f>N116</f>
        <v/>
      </c>
      <c r="BH116" s="963" t="n">
        <v>589</v>
      </c>
      <c r="BI116" s="963">
        <f>BJ116-BH116</f>
        <v/>
      </c>
      <c r="BJ116" s="964">
        <f>O116</f>
        <v/>
      </c>
      <c r="BK116" s="994" t="n"/>
      <c r="BL116" s="963" t="n">
        <v>725</v>
      </c>
      <c r="BM116" s="963">
        <f>BN116-BL116</f>
        <v/>
      </c>
      <c r="BN116" s="964">
        <f>P116</f>
        <v/>
      </c>
      <c r="BO116" s="963" t="n"/>
      <c r="BP116" s="963" t="n">
        <v>746</v>
      </c>
      <c r="BQ116" s="963">
        <f>BR116-BP116</f>
        <v/>
      </c>
      <c r="BR116" s="964">
        <f>Q116</f>
        <v/>
      </c>
      <c r="BT116" s="963" t="n">
        <v>736</v>
      </c>
      <c r="BU116" s="963">
        <f>BV116-BT116</f>
        <v/>
      </c>
      <c r="BV116" s="964">
        <f>R116</f>
        <v/>
      </c>
      <c r="BX116" s="963" t="n">
        <v>432</v>
      </c>
      <c r="BY116" s="963">
        <f>BZ116-BX116</f>
        <v/>
      </c>
      <c r="BZ116" s="964">
        <f>S116</f>
        <v/>
      </c>
      <c r="CB116" s="963">
        <f>2067-1474</f>
        <v/>
      </c>
      <c r="CC116" s="963">
        <f>CD116-CB116</f>
        <v/>
      </c>
      <c r="CD116" s="964">
        <f>T116</f>
        <v/>
      </c>
      <c r="CE116" s="963" t="n"/>
      <c r="CF116" s="963" t="n">
        <v>3243</v>
      </c>
      <c r="CG116" s="963">
        <f>CH116-CF116</f>
        <v/>
      </c>
      <c r="CH116" s="964">
        <f>U116</f>
        <v/>
      </c>
      <c r="CI116" s="964" t="n"/>
      <c r="CJ116" s="963" t="n">
        <v>4831</v>
      </c>
      <c r="CK116" s="963">
        <f>CL116-CJ116</f>
        <v/>
      </c>
      <c r="CL116" s="964">
        <f>V116</f>
        <v/>
      </c>
      <c r="CM116" s="964" t="n"/>
      <c r="CN116" s="963" t="n">
        <v>6274</v>
      </c>
      <c r="CO116" s="963">
        <f>CP116-CN116</f>
        <v/>
      </c>
      <c r="CP116" s="963">
        <f>W116</f>
        <v/>
      </c>
      <c r="CQ116" s="963" t="n"/>
      <c r="CR116" s="963" t="n">
        <v>8737</v>
      </c>
      <c r="CS116" s="963" t="n">
        <v>2098</v>
      </c>
      <c r="CT116" s="963">
        <f>CU116-CS116</f>
        <v/>
      </c>
      <c r="CU116" s="963">
        <f>X116</f>
        <v/>
      </c>
      <c r="CV116" s="963" t="n"/>
      <c r="CW116" s="963" t="n">
        <v>1848</v>
      </c>
      <c r="CX116" s="963">
        <f>CY116-CW116</f>
        <v/>
      </c>
      <c r="CY116" s="963">
        <f>Y116</f>
        <v/>
      </c>
      <c r="CZ116" s="118">
        <f>CX116/CW116-1</f>
        <v/>
      </c>
      <c r="DA116" s="1132" t="n">
        <v>2082</v>
      </c>
      <c r="DB116" s="963">
        <f>DC116-DA116</f>
        <v/>
      </c>
      <c r="DC116" s="963">
        <f>Z116</f>
        <v/>
      </c>
      <c r="DD116" s="118" t="n"/>
      <c r="DE116" s="963" t="n">
        <v>2147</v>
      </c>
      <c r="DF116" s="963">
        <f>DG116-DE116</f>
        <v/>
      </c>
      <c r="DG116" s="963">
        <f>AA116</f>
        <v/>
      </c>
      <c r="DH116" s="118" t="n"/>
      <c r="DI116" s="962" t="n">
        <v>2251</v>
      </c>
      <c r="DJ116" s="1131">
        <f>+DK116-DI116</f>
        <v/>
      </c>
      <c r="DK116" s="963">
        <f>AB116</f>
        <v/>
      </c>
      <c r="DL116" s="43" t="n"/>
      <c r="DM116" s="962" t="n">
        <v>2328</v>
      </c>
      <c r="DN116" s="1131">
        <f>+DO116-DM116</f>
        <v/>
      </c>
      <c r="DO116" s="963">
        <f>AC116</f>
        <v/>
      </c>
      <c r="DP116" s="118" t="n"/>
      <c r="DQ116" s="1129" t="n">
        <v>2657</v>
      </c>
      <c r="DR116" s="962">
        <f>DN116*1.05</f>
        <v/>
      </c>
      <c r="DS116" s="1131">
        <f>AD116</f>
        <v/>
      </c>
      <c r="DT116" s="1131" t="n"/>
      <c r="DU116" s="1129" t="n">
        <v>2786</v>
      </c>
      <c r="DV116" s="962">
        <f>DR116*1.05</f>
        <v/>
      </c>
      <c r="DW116" s="962">
        <f>AE116</f>
        <v/>
      </c>
      <c r="DX116" s="1131" t="n"/>
      <c r="DY116" s="237" t="n">
        <v>2855</v>
      </c>
      <c r="DZ116" s="120">
        <f>DV116*1.05</f>
        <v/>
      </c>
      <c r="EA116" s="120">
        <f>AF116</f>
        <v/>
      </c>
      <c r="EB116" s="194" t="n"/>
      <c r="EC116" s="237" t="n">
        <v>3238</v>
      </c>
      <c r="ED116" s="120">
        <f>DZ116*1.05</f>
        <v/>
      </c>
      <c r="EE116" s="120">
        <f>AG116</f>
        <v/>
      </c>
      <c r="EF116" s="120" t="n"/>
      <c r="EG116" s="237" t="n">
        <v>4655</v>
      </c>
      <c r="EH116" s="120">
        <f>+EI116-EG116</f>
        <v/>
      </c>
      <c r="EI116" s="120">
        <f>AH116</f>
        <v/>
      </c>
      <c r="EJ116" s="120" t="n"/>
      <c r="EK116" s="237" t="n">
        <v>4600</v>
      </c>
      <c r="EL116" s="120">
        <f>EH116*1.05</f>
        <v/>
      </c>
      <c r="EM116" s="120">
        <f>AI116</f>
        <v/>
      </c>
      <c r="EN116" s="120" t="n"/>
      <c r="EO116" s="237" t="n">
        <v>3921</v>
      </c>
      <c r="EP116" s="120">
        <f>EL116*1.05</f>
        <v/>
      </c>
      <c r="EQ116" s="120">
        <f>AJ116</f>
        <v/>
      </c>
      <c r="ER116" s="120" t="n"/>
      <c r="ES116" s="237" t="n">
        <v>2404</v>
      </c>
      <c r="ET116" s="120">
        <f>+EU116-ES116</f>
        <v/>
      </c>
      <c r="EU116" s="120">
        <f>AK116</f>
        <v/>
      </c>
      <c r="EV116" s="120" t="n"/>
      <c r="EW116" s="237" t="n">
        <v>2635</v>
      </c>
      <c r="EX116" s="120">
        <f>+EY116-EW116</f>
        <v/>
      </c>
      <c r="EY116" s="120">
        <f>AL116</f>
        <v/>
      </c>
      <c r="FA116" s="237" t="n">
        <v>3598</v>
      </c>
      <c r="FB116" s="120">
        <f>+FC116-FA116</f>
        <v/>
      </c>
      <c r="FC116" s="120">
        <f>AM116</f>
        <v/>
      </c>
      <c r="FD116" s="20" t="n"/>
      <c r="FE116" s="237" t="n">
        <v>3990</v>
      </c>
      <c r="FF116" s="120">
        <f>+FG116-FE116</f>
        <v/>
      </c>
      <c r="FG116" s="120">
        <f>AN116</f>
        <v/>
      </c>
      <c r="FI116" s="237" t="n">
        <v>4336</v>
      </c>
      <c r="FJ116" s="120">
        <f>+FK116-FI116</f>
        <v/>
      </c>
      <c r="FK116" s="120">
        <f>AO116</f>
        <v/>
      </c>
      <c r="FM116" s="237" t="n">
        <v>5017</v>
      </c>
      <c r="FN116" s="120">
        <f>FJ116*(1+FN117)</f>
        <v/>
      </c>
      <c r="FO116" s="120">
        <f>AP116</f>
        <v/>
      </c>
    </row>
    <row r="117">
      <c r="B117" s="961" t="inlineStr">
        <is>
          <t>YoY of Catering / other services revenue (%)</t>
        </is>
      </c>
      <c r="D117" s="226">
        <f>D116/C116-1</f>
        <v/>
      </c>
      <c r="E117" s="226">
        <f>E116/D116-1</f>
        <v/>
      </c>
      <c r="F117" s="226">
        <f>F116/E116-1</f>
        <v/>
      </c>
      <c r="G117" s="226">
        <f>G116/F116-1</f>
        <v/>
      </c>
      <c r="H117" s="226">
        <f>H116/G116-1</f>
        <v/>
      </c>
      <c r="I117" s="226">
        <f>I116/H116-1</f>
        <v/>
      </c>
      <c r="J117" s="226">
        <f>J116/I116-1</f>
        <v/>
      </c>
      <c r="K117" s="226">
        <f>K116/J116-1</f>
        <v/>
      </c>
      <c r="L117" s="226">
        <f>L116/K116-1</f>
        <v/>
      </c>
      <c r="M117" s="226">
        <f>M116/L116-1</f>
        <v/>
      </c>
      <c r="N117" s="226">
        <f>N116/M116-1</f>
        <v/>
      </c>
      <c r="O117" s="226">
        <f>O116/N116-1</f>
        <v/>
      </c>
      <c r="P117" s="226">
        <f>P116/O116-1</f>
        <v/>
      </c>
      <c r="Q117" s="226">
        <f>Q116/P116-1</f>
        <v/>
      </c>
      <c r="R117" s="226">
        <f>R116/Q116-1</f>
        <v/>
      </c>
      <c r="S117" s="226">
        <f>S116/R116-1</f>
        <v/>
      </c>
      <c r="T117" s="226">
        <f>T116/S116-1</f>
        <v/>
      </c>
      <c r="U117" s="226">
        <f>U116/T116-1</f>
        <v/>
      </c>
      <c r="V117" s="226">
        <f>V116/U116-1</f>
        <v/>
      </c>
      <c r="W117" s="226">
        <f>W116/V116-1</f>
        <v/>
      </c>
      <c r="X117" s="226">
        <f>X116/W116-1</f>
        <v/>
      </c>
      <c r="Y117" s="226">
        <f>Y116/X116-1</f>
        <v/>
      </c>
      <c r="Z117" s="226">
        <f>Z116/Y116-1</f>
        <v/>
      </c>
      <c r="AA117" s="226">
        <f>AA116/Z116-1</f>
        <v/>
      </c>
      <c r="AB117" s="226">
        <f>AB116/AA116-1</f>
        <v/>
      </c>
      <c r="AC117" s="226">
        <f>AC116/AB116-1</f>
        <v/>
      </c>
      <c r="AD117" s="226">
        <f>AD116/AC116-1</f>
        <v/>
      </c>
      <c r="AE117" s="226">
        <f>AE116/AD116-1</f>
        <v/>
      </c>
      <c r="AF117" s="226">
        <f>AF116/AE116-1</f>
        <v/>
      </c>
      <c r="AG117" s="226">
        <f>AG116/AF116-1</f>
        <v/>
      </c>
      <c r="AH117" s="226">
        <f>AH116/AG116-1</f>
        <v/>
      </c>
      <c r="AI117" s="226">
        <f>AI116/AH116-1</f>
        <v/>
      </c>
      <c r="AJ117" s="226">
        <f>AJ116/AI116-1</f>
        <v/>
      </c>
      <c r="AK117" s="226">
        <f>AK116/AJ116-1</f>
        <v/>
      </c>
      <c r="AL117" s="226">
        <f>AL116/AK116-1</f>
        <v/>
      </c>
      <c r="AM117" s="226">
        <f>AM116/AL116-1</f>
        <v/>
      </c>
      <c r="AN117" s="226">
        <f>AN116/AM116-1</f>
        <v/>
      </c>
      <c r="AO117" s="400" t="n">
        <v>0.05</v>
      </c>
      <c r="AP117" s="400" t="n">
        <v>0.05</v>
      </c>
      <c r="AQ117" s="400" t="n">
        <v>0.05</v>
      </c>
      <c r="AR117" s="400" t="n">
        <v>0.05</v>
      </c>
      <c r="AS117" s="400" t="n">
        <v>0.05</v>
      </c>
      <c r="AT117" s="400" t="n">
        <v>0.05</v>
      </c>
      <c r="AU117" s="317" t="n"/>
      <c r="BH117" s="963" t="n"/>
      <c r="BI117" s="963" t="n"/>
      <c r="BJ117" s="964" t="n"/>
      <c r="BK117" s="994" t="n"/>
      <c r="BL117" s="963" t="n"/>
      <c r="BM117" s="963" t="n"/>
      <c r="BN117" s="964" t="n"/>
      <c r="BO117" s="963" t="n"/>
      <c r="BP117" s="963" t="n"/>
      <c r="BR117" s="964" t="n"/>
      <c r="BT117" s="963" t="n"/>
      <c r="BU117" s="963" t="n"/>
      <c r="BV117" s="964" t="n"/>
      <c r="BX117" s="963" t="n"/>
      <c r="BY117" s="963" t="n"/>
      <c r="BZ117" s="964" t="n"/>
      <c r="CB117" s="963" t="n"/>
      <c r="CC117" s="963" t="n"/>
      <c r="CD117" s="964" t="n"/>
      <c r="CE117" s="963" t="n"/>
      <c r="CF117" s="963" t="n"/>
      <c r="CG117" s="963" t="n"/>
      <c r="CH117" s="964" t="n"/>
      <c r="CI117" s="964" t="n"/>
      <c r="CJ117" s="963" t="n"/>
      <c r="CK117" s="963" t="n"/>
      <c r="CL117" s="964" t="n"/>
      <c r="CM117" s="964" t="n"/>
      <c r="CN117" s="963" t="n"/>
      <c r="CO117" s="963" t="n"/>
      <c r="CP117" s="963" t="n"/>
      <c r="CQ117" s="963" t="n"/>
      <c r="CR117" s="963" t="n"/>
      <c r="CS117" s="963" t="n"/>
      <c r="CT117" s="963" t="n"/>
      <c r="CU117" s="963" t="n"/>
      <c r="CV117" s="963" t="n"/>
      <c r="CW117" s="963" t="n"/>
      <c r="CX117" s="963" t="n"/>
      <c r="CY117" s="963" t="n"/>
      <c r="CZ117" s="118" t="n"/>
      <c r="DA117" s="1132" t="n"/>
      <c r="DB117" s="963" t="n"/>
      <c r="DC117" s="963" t="n"/>
      <c r="DD117" s="118" t="n"/>
      <c r="DE117" s="963" t="n"/>
      <c r="DF117" s="963" t="n"/>
      <c r="DG117" s="963" t="n"/>
      <c r="DH117" s="118" t="n"/>
      <c r="DI117" s="962" t="n"/>
      <c r="DJ117" s="1131" t="n"/>
      <c r="DK117" s="963" t="n"/>
      <c r="DL117" s="43" t="n"/>
      <c r="DM117" s="962" t="n"/>
      <c r="DN117" s="1131" t="n"/>
      <c r="DO117" s="963" t="n"/>
      <c r="DP117" s="118" t="n"/>
      <c r="DQ117" s="1129" t="n"/>
      <c r="DR117" s="962" t="n"/>
      <c r="DS117" s="1131" t="n"/>
      <c r="DT117" s="1131" t="n"/>
      <c r="DU117" s="1129" t="n"/>
      <c r="DV117" s="962" t="n"/>
      <c r="DW117" s="962" t="n"/>
      <c r="DX117" s="1131" t="n"/>
      <c r="DY117" s="237" t="n"/>
      <c r="DZ117" s="120" t="n"/>
      <c r="EA117" s="120" t="n"/>
      <c r="EB117" s="194" t="n"/>
      <c r="EC117" s="237" t="n"/>
      <c r="ED117" s="120" t="n"/>
      <c r="EE117" s="120" t="n"/>
      <c r="EF117" s="120" t="n"/>
      <c r="EG117" s="237" t="n"/>
      <c r="EH117" s="120" t="n"/>
      <c r="EI117" s="120" t="n"/>
      <c r="EJ117" s="120" t="n"/>
      <c r="EK117" s="226">
        <f>EK116/EG116-1</f>
        <v/>
      </c>
      <c r="EL117" s="226">
        <f>EL116/EH116-1</f>
        <v/>
      </c>
      <c r="EM117" s="226">
        <f>EM116/EI116-1</f>
        <v/>
      </c>
      <c r="EN117" s="120" t="n"/>
      <c r="EO117" s="226">
        <f>EO116/EK116-1</f>
        <v/>
      </c>
      <c r="EP117" s="226">
        <f>EP116/EL116-1</f>
        <v/>
      </c>
      <c r="EQ117" s="226">
        <f>EQ116/EM116-1</f>
        <v/>
      </c>
      <c r="ER117" s="120" t="n"/>
      <c r="ES117" s="226">
        <f>ES116/EO116-1</f>
        <v/>
      </c>
      <c r="ET117" s="226">
        <f>ET116/EP116-1</f>
        <v/>
      </c>
      <c r="EU117" s="226">
        <f>EU116/EQ116-1</f>
        <v/>
      </c>
      <c r="EV117" s="120" t="n"/>
      <c r="EW117" s="226">
        <f>EW116/ES116-1</f>
        <v/>
      </c>
      <c r="EX117" s="226">
        <f>EX116/ET116-1</f>
        <v/>
      </c>
      <c r="EY117" s="226">
        <f>EY116/EU116-1</f>
        <v/>
      </c>
      <c r="FA117" s="226">
        <f>FA116/EW116-1</f>
        <v/>
      </c>
      <c r="FB117" s="226">
        <f>FB116/EX116-1</f>
        <v/>
      </c>
      <c r="FC117" s="226">
        <f>FC116/EY116-1</f>
        <v/>
      </c>
      <c r="FE117" s="226">
        <f>FE116/FA116-1</f>
        <v/>
      </c>
      <c r="FF117" s="226">
        <f>FF116/FB116-1</f>
        <v/>
      </c>
      <c r="FG117" s="226">
        <f>FG116/FC116-1</f>
        <v/>
      </c>
      <c r="FI117" s="226">
        <f>FI116/FE116-1</f>
        <v/>
      </c>
      <c r="FJ117" s="226">
        <f>FJ116/FF116-1</f>
        <v/>
      </c>
      <c r="FK117" s="226">
        <f>FK116/FG116-1</f>
        <v/>
      </c>
      <c r="FM117" s="226">
        <f>FM116/FI116-1</f>
        <v/>
      </c>
      <c r="FN117" s="400" t="n">
        <v>0.03</v>
      </c>
      <c r="FO117" s="226">
        <f>FO116/FK116-1</f>
        <v/>
      </c>
    </row>
    <row r="118" customFormat="1" s="1133">
      <c r="A118" s="960" t="inlineStr">
        <is>
          <t>total sales</t>
        </is>
      </c>
      <c r="B118" s="1134" t="inlineStr">
        <is>
          <t>Total sales</t>
        </is>
      </c>
      <c r="C118" s="1133">
        <f>+C112+C114+C116</f>
        <v/>
      </c>
      <c r="D118" s="1133">
        <f>+D112+D114+D116</f>
        <v/>
      </c>
      <c r="E118" s="1133">
        <f>+E112+E114+E116</f>
        <v/>
      </c>
      <c r="F118" s="1133">
        <f>+F112+F114+F116</f>
        <v/>
      </c>
      <c r="G118" s="1133">
        <f>+G112+G114+G116</f>
        <v/>
      </c>
      <c r="H118" s="1133">
        <f>+H112+H114+H116</f>
        <v/>
      </c>
      <c r="I118" s="1133">
        <f>+I112+I114+I116</f>
        <v/>
      </c>
      <c r="J118" s="1133">
        <f>+J112+J114+J116</f>
        <v/>
      </c>
      <c r="K118" s="1133">
        <f>+K112+K114+K116</f>
        <v/>
      </c>
      <c r="L118" s="1135">
        <f>+L112+L114+L116</f>
        <v/>
      </c>
      <c r="M118" s="1135">
        <f>+M112+M114+M116</f>
        <v/>
      </c>
      <c r="N118" s="1135">
        <f>+N112+N114+N116</f>
        <v/>
      </c>
      <c r="O118" s="1135">
        <f>+O112+O114+O116</f>
        <v/>
      </c>
      <c r="P118" s="1135">
        <f>+P112+P114+P116</f>
        <v/>
      </c>
      <c r="Q118" s="1135">
        <f>+Q112+Q114+Q116</f>
        <v/>
      </c>
      <c r="R118" s="1135">
        <f>+R112+R114+R116</f>
        <v/>
      </c>
      <c r="S118" s="1135">
        <f>+S112+S114+S116</f>
        <v/>
      </c>
      <c r="T118" s="1135">
        <f>+T112+T114+T116</f>
        <v/>
      </c>
      <c r="U118" s="1135">
        <f>+U112+U114+U116</f>
        <v/>
      </c>
      <c r="V118" s="1135">
        <f>+V112+V114+V116</f>
        <v/>
      </c>
      <c r="W118" s="1135">
        <f>+W112+W114+W116</f>
        <v/>
      </c>
      <c r="X118" s="1135">
        <f>+X112+X114+X116</f>
        <v/>
      </c>
      <c r="Y118" s="1135">
        <f>+Y112+Y114+Y116</f>
        <v/>
      </c>
      <c r="Z118" s="1135">
        <f>+Z112+Z114+Z116</f>
        <v/>
      </c>
      <c r="AA118" s="1135">
        <f>+AA112+AA114+AA116</f>
        <v/>
      </c>
      <c r="AB118" s="1135">
        <f>+AB112+AB114+AB116</f>
        <v/>
      </c>
      <c r="AC118" s="1135">
        <f>+AC112+AC114+AC116</f>
        <v/>
      </c>
      <c r="AD118" s="125">
        <f>+AD112+AD114+AD116</f>
        <v/>
      </c>
      <c r="AE118" s="125">
        <f>+AE112+AE114+AE116</f>
        <v/>
      </c>
      <c r="AF118" s="125">
        <f>+AF112+AF114+AF116</f>
        <v/>
      </c>
      <c r="AG118" s="125">
        <f>+AG112+AG114+AG116</f>
        <v/>
      </c>
      <c r="AH118" s="125">
        <f>+AH112+AH114+AH116</f>
        <v/>
      </c>
      <c r="AI118" s="125">
        <f>+AI112+AI114+AI116</f>
        <v/>
      </c>
      <c r="AJ118" s="125">
        <f>+AJ112+AJ114+AJ116</f>
        <v/>
      </c>
      <c r="AK118" s="125">
        <f>+AK112+AK114+AK116</f>
        <v/>
      </c>
      <c r="AL118" s="125">
        <f>+AL112+AL114+AL116</f>
        <v/>
      </c>
      <c r="AM118" s="125">
        <f>+AM112+AM114+AM116</f>
        <v/>
      </c>
      <c r="AN118" s="125">
        <f>+AN112+AN114+AN116</f>
        <v/>
      </c>
      <c r="AO118" s="125">
        <f>+AO112+AO114+AO116</f>
        <v/>
      </c>
      <c r="AP118" s="125">
        <f>+AP112+AP114+AP116</f>
        <v/>
      </c>
      <c r="AQ118" s="125">
        <f>+AQ112+AQ114+AQ116</f>
        <v/>
      </c>
      <c r="AR118" s="125">
        <f>+AR112+AR114+AR116</f>
        <v/>
      </c>
      <c r="AS118" s="125">
        <f>+AS112+AS114+AS116</f>
        <v/>
      </c>
      <c r="AT118" s="125">
        <f>+AT112+AT114+AT116</f>
        <v/>
      </c>
      <c r="AU118" s="317" t="n"/>
      <c r="AV118" s="1127" t="n">
        <v>15163</v>
      </c>
      <c r="AW118" s="1127">
        <f>AX118-AV118</f>
        <v/>
      </c>
      <c r="AX118" s="1126">
        <f>L118</f>
        <v/>
      </c>
      <c r="AY118" s="1127" t="n"/>
      <c r="AZ118" s="1127">
        <f>SUM(AZ112:AZ116)</f>
        <v/>
      </c>
      <c r="BA118" s="1127">
        <f>BB118-AZ118</f>
        <v/>
      </c>
      <c r="BB118" s="1126">
        <f>M118</f>
        <v/>
      </c>
      <c r="BD118" s="1127">
        <f>SUM(BD112:BD116)</f>
        <v/>
      </c>
      <c r="BE118" s="1127">
        <f>BF118-BD118</f>
        <v/>
      </c>
      <c r="BF118" s="1126">
        <f>N118</f>
        <v/>
      </c>
      <c r="BH118" s="1127">
        <f>SUM(BH112:BH116)</f>
        <v/>
      </c>
      <c r="BI118" s="1127">
        <f>BJ118-BH118</f>
        <v/>
      </c>
      <c r="BJ118" s="1126">
        <f>O118</f>
        <v/>
      </c>
      <c r="BK118" s="1136" t="n"/>
      <c r="BL118" s="1127">
        <f>SUM(BL112:BL116)</f>
        <v/>
      </c>
      <c r="BM118" s="1127">
        <f>BN118-BL118</f>
        <v/>
      </c>
      <c r="BN118" s="1126">
        <f>P118</f>
        <v/>
      </c>
      <c r="BO118" s="1127" t="n"/>
      <c r="BP118" s="1127">
        <f>SUM(BP112:BP116)</f>
        <v/>
      </c>
      <c r="BQ118" s="1127">
        <f>BR118-BP118</f>
        <v/>
      </c>
      <c r="BR118" s="1126">
        <f>Q118</f>
        <v/>
      </c>
      <c r="BT118" s="1127">
        <f>SUM(BT112:BT116)</f>
        <v/>
      </c>
      <c r="BU118" s="1127">
        <f>BV118-BT118</f>
        <v/>
      </c>
      <c r="BV118" s="1126">
        <f>R118</f>
        <v/>
      </c>
      <c r="BX118" s="1127">
        <f>SUM(BX112:BX116)</f>
        <v/>
      </c>
      <c r="BY118" s="1127">
        <f>BZ118-BX118</f>
        <v/>
      </c>
      <c r="BZ118" s="1126">
        <f>S118</f>
        <v/>
      </c>
      <c r="CB118" s="1127">
        <f>SUM(CB112:CB116)</f>
        <v/>
      </c>
      <c r="CC118" s="1127">
        <f>CD118-CB118</f>
        <v/>
      </c>
      <c r="CD118" s="1126">
        <f>T118</f>
        <v/>
      </c>
      <c r="CE118" s="1127" t="n"/>
      <c r="CF118" s="1127">
        <f>SUM(CF112:CF116)</f>
        <v/>
      </c>
      <c r="CG118" s="1127">
        <f>SUM(CG112:CG116)</f>
        <v/>
      </c>
      <c r="CH118" s="1126">
        <f>U118</f>
        <v/>
      </c>
      <c r="CI118" s="109" t="n"/>
      <c r="CJ118" s="1127">
        <f>SUM(CJ112:CJ116)</f>
        <v/>
      </c>
      <c r="CK118" s="1127">
        <f>CL118-CJ118</f>
        <v/>
      </c>
      <c r="CL118" s="1126">
        <f>V118</f>
        <v/>
      </c>
      <c r="CM118" s="109" t="n"/>
      <c r="CN118" s="1127">
        <f>SUM(CN112:CN116)</f>
        <v/>
      </c>
      <c r="CO118" s="1127">
        <f>CP118-CN118</f>
        <v/>
      </c>
      <c r="CP118" s="1127">
        <f>W118</f>
        <v/>
      </c>
      <c r="CQ118" s="110" t="n"/>
      <c r="CR118" s="1127">
        <f>SUM(CR112:CR116)</f>
        <v/>
      </c>
      <c r="CS118" s="1127">
        <f>SUM(CS112:CS116)</f>
        <v/>
      </c>
      <c r="CT118" s="1127">
        <f>CU118-CS118</f>
        <v/>
      </c>
      <c r="CU118" s="1127">
        <f>X118</f>
        <v/>
      </c>
      <c r="CV118" s="1127" t="n"/>
      <c r="CW118" s="1127">
        <f>CW112+CW114+CW116</f>
        <v/>
      </c>
      <c r="CX118" s="1127">
        <f>CY118-CW118</f>
        <v/>
      </c>
      <c r="CY118" s="1127">
        <f>Y118</f>
        <v/>
      </c>
      <c r="CZ118" s="118">
        <f>CX118/CW118-1</f>
        <v/>
      </c>
      <c r="DA118" s="1127">
        <f>DA112+DA114+DA116</f>
        <v/>
      </c>
      <c r="DB118" s="1127">
        <f>DC118-DA118</f>
        <v/>
      </c>
      <c r="DC118" s="1127">
        <f>Z118</f>
        <v/>
      </c>
      <c r="DD118" s="118" t="n"/>
      <c r="DE118" s="1127">
        <f>SUM(DE112:DE116)</f>
        <v/>
      </c>
      <c r="DF118" s="1127">
        <f>DG118-DE118</f>
        <v/>
      </c>
      <c r="DG118" s="1127">
        <f>AA118</f>
        <v/>
      </c>
      <c r="DH118" s="118" t="n"/>
      <c r="DI118" s="1135">
        <f>SUM(DI112:DI116)</f>
        <v/>
      </c>
      <c r="DJ118" s="1127">
        <f>DK118-DI118</f>
        <v/>
      </c>
      <c r="DK118" s="1127">
        <f>AB118</f>
        <v/>
      </c>
      <c r="DL118" s="111" t="n"/>
      <c r="DM118" s="1135">
        <f>SUM(DM112:DM116)</f>
        <v/>
      </c>
      <c r="DN118" s="1127">
        <f>DO118-DM118</f>
        <v/>
      </c>
      <c r="DO118" s="1127">
        <f>AC118</f>
        <v/>
      </c>
      <c r="DP118" s="118" t="n"/>
      <c r="DQ118" s="1135">
        <f>SUM(DQ112:DQ116)</f>
        <v/>
      </c>
      <c r="DR118" s="1127">
        <f>DS118-DQ118</f>
        <v/>
      </c>
      <c r="DS118" s="1127">
        <f>AD118</f>
        <v/>
      </c>
      <c r="DT118" s="1127" t="n"/>
      <c r="DU118" s="1135">
        <f>SUM(DU112:DU116)</f>
        <v/>
      </c>
      <c r="DV118" s="1135">
        <f>DW118-DU118</f>
        <v/>
      </c>
      <c r="DW118" s="1135">
        <f>AE118</f>
        <v/>
      </c>
      <c r="DX118" s="1127" t="n"/>
      <c r="DY118" s="125">
        <f>SUM(DY112:DY116)</f>
        <v/>
      </c>
      <c r="DZ118" s="125">
        <f>EA118-DY118</f>
        <v/>
      </c>
      <c r="EA118" s="125">
        <f>AF118</f>
        <v/>
      </c>
      <c r="EB118" s="224" t="n"/>
      <c r="EC118" s="125">
        <f>SUM(EC112:EC116)</f>
        <v/>
      </c>
      <c r="ED118" s="125">
        <f>EE118-EC118</f>
        <v/>
      </c>
      <c r="EE118" s="125">
        <f>AG118</f>
        <v/>
      </c>
      <c r="EF118" s="125" t="n"/>
      <c r="EG118" s="125">
        <f>SUM(EG112:EG116)</f>
        <v/>
      </c>
      <c r="EH118" s="125">
        <f>SUM(EH112:EH116)</f>
        <v/>
      </c>
      <c r="EI118" s="125">
        <f>AH118</f>
        <v/>
      </c>
      <c r="EJ118" s="125" t="n"/>
      <c r="EK118" s="125">
        <f>+EK112+EK114+EK116</f>
        <v/>
      </c>
      <c r="EL118" s="125">
        <f>+EL112+EL114+EL116</f>
        <v/>
      </c>
      <c r="EM118" s="125">
        <f>+EM112+EM114+EM116</f>
        <v/>
      </c>
      <c r="EN118" s="125" t="n"/>
      <c r="EO118" s="125">
        <f>+EO112+EO114+EO116</f>
        <v/>
      </c>
      <c r="EP118" s="125">
        <f>+EP112+EP114+EP116</f>
        <v/>
      </c>
      <c r="EQ118" s="125">
        <f>+EQ112+EQ114+EQ116</f>
        <v/>
      </c>
      <c r="ER118" s="125" t="n"/>
      <c r="ES118" s="125">
        <f>+ES112+ES114+ES116</f>
        <v/>
      </c>
      <c r="ET118" s="125">
        <f>+ET112+ET114+ET116</f>
        <v/>
      </c>
      <c r="EU118" s="125">
        <f>+EU112+EU114+EU116</f>
        <v/>
      </c>
      <c r="EV118" s="125" t="n"/>
      <c r="EW118" s="125">
        <f>+EW112+EW114+EW116</f>
        <v/>
      </c>
      <c r="EX118" s="125">
        <f>+EX112+EX114+EX116</f>
        <v/>
      </c>
      <c r="EY118" s="125">
        <f>+EY112+EY114+EY116</f>
        <v/>
      </c>
      <c r="FA118" s="125">
        <f>+FA112+FA114+FA116</f>
        <v/>
      </c>
      <c r="FB118" s="125">
        <f>+FB112+FB114+FB116</f>
        <v/>
      </c>
      <c r="FC118" s="125">
        <f>+FC112+FC114+FC116</f>
        <v/>
      </c>
      <c r="FD118" s="20" t="n"/>
      <c r="FE118" s="125">
        <f>+FE112+FE114+FE116</f>
        <v/>
      </c>
      <c r="FF118" s="125">
        <f>+FF112+FF114+FF116</f>
        <v/>
      </c>
      <c r="FG118" s="125">
        <f>+FG112+FG114+FG116</f>
        <v/>
      </c>
      <c r="FI118" s="125">
        <f>+FI112+FI114+FI116</f>
        <v/>
      </c>
      <c r="FJ118" s="125">
        <f>+FJ112+FJ114+FJ116</f>
        <v/>
      </c>
      <c r="FK118" s="125">
        <f>+FK112+FK114+FK116</f>
        <v/>
      </c>
      <c r="FM118" s="125">
        <f>+FM112+FM114+FM116</f>
        <v/>
      </c>
      <c r="FN118" s="125">
        <f>+FN112+FN114+FN116</f>
        <v/>
      </c>
      <c r="FO118" s="125">
        <f>+FO112+FO114+FO116</f>
        <v/>
      </c>
    </row>
    <row r="119" customFormat="1" s="1137">
      <c r="A119" s="1138" t="n"/>
      <c r="B119" s="1137" t="inlineStr">
        <is>
          <t>YoY Change of sales revenue</t>
        </is>
      </c>
      <c r="D119" s="1137">
        <f>D118/C118-1</f>
        <v/>
      </c>
      <c r="E119" s="1137">
        <f>E118/D118-1</f>
        <v/>
      </c>
      <c r="F119" s="1137">
        <f>F118/E118-1</f>
        <v/>
      </c>
      <c r="G119" s="1137">
        <f>G118/F118-1</f>
        <v/>
      </c>
      <c r="H119" s="1137">
        <f>H118/G118-1</f>
        <v/>
      </c>
      <c r="I119" s="1137">
        <f>I118/H118-1</f>
        <v/>
      </c>
      <c r="J119" s="1137">
        <f>J118/I118-1</f>
        <v/>
      </c>
      <c r="K119" s="1137">
        <f>K118/J118-1</f>
        <v/>
      </c>
      <c r="L119" s="1137">
        <f>L118/K118-1</f>
        <v/>
      </c>
      <c r="M119" s="1137">
        <f>M118/L118-1</f>
        <v/>
      </c>
      <c r="N119" s="1137">
        <f>N118/M118-1</f>
        <v/>
      </c>
      <c r="O119" s="1137">
        <f>O118/N118-1</f>
        <v/>
      </c>
      <c r="P119" s="1137">
        <f>P118/O118-1</f>
        <v/>
      </c>
      <c r="Q119" s="1137">
        <f>Q118/P118-1</f>
        <v/>
      </c>
      <c r="R119" s="1137">
        <f>R118/Q118-1</f>
        <v/>
      </c>
      <c r="S119" s="1137">
        <f>S118/R118-1</f>
        <v/>
      </c>
      <c r="T119" s="1137">
        <f>T118/S118-1</f>
        <v/>
      </c>
      <c r="U119" s="1137">
        <f>U118/T118-1</f>
        <v/>
      </c>
      <c r="V119" s="1137">
        <f>V118/U118-1</f>
        <v/>
      </c>
      <c r="W119" s="1137">
        <f>W118/V118-1</f>
        <v/>
      </c>
      <c r="X119" s="1137">
        <f>X118/W118-1</f>
        <v/>
      </c>
      <c r="Y119" s="1137">
        <f>Y118/X118-1</f>
        <v/>
      </c>
      <c r="Z119" s="1137">
        <f>Z118/Y118-1</f>
        <v/>
      </c>
      <c r="AA119" s="1137">
        <f>AA118/Z118-1</f>
        <v/>
      </c>
      <c r="AB119" s="1137">
        <f>AB118/AA118-1</f>
        <v/>
      </c>
      <c r="AC119" s="1137">
        <f>AC118/AB118-1</f>
        <v/>
      </c>
      <c r="AD119" s="1137">
        <f>AD118/AC118-1</f>
        <v/>
      </c>
      <c r="AE119" s="1137">
        <f>AE118/AD118-1</f>
        <v/>
      </c>
      <c r="AF119" s="1137">
        <f>AF118/AE118-1</f>
        <v/>
      </c>
      <c r="AG119" s="1137">
        <f>AG118/AF118-1</f>
        <v/>
      </c>
      <c r="AH119" s="1137">
        <f>AH118/AG118-1</f>
        <v/>
      </c>
      <c r="AI119" s="1137">
        <f>AI118/AH118-1</f>
        <v/>
      </c>
      <c r="AJ119" s="1137">
        <f>AJ118/AI118-1</f>
        <v/>
      </c>
      <c r="AK119" s="1137">
        <f>AK118/AJ118-1</f>
        <v/>
      </c>
      <c r="AL119" s="1137">
        <f>AL118/AK118-1</f>
        <v/>
      </c>
      <c r="AM119" s="1137">
        <f>AM118/AL118-1</f>
        <v/>
      </c>
      <c r="AN119" s="1137">
        <f>AN118/AM118-1</f>
        <v/>
      </c>
      <c r="AO119" s="1137">
        <f>AO118/AN118-1</f>
        <v/>
      </c>
      <c r="AP119" s="1137">
        <f>AP118/AO118-1</f>
        <v/>
      </c>
      <c r="AQ119" s="1137">
        <f>AQ118/AP118-1</f>
        <v/>
      </c>
      <c r="AR119" s="1137">
        <f>AR118/AQ118-1</f>
        <v/>
      </c>
      <c r="AS119" s="1137">
        <f>AS118/AR118-1</f>
        <v/>
      </c>
      <c r="AT119" s="1137">
        <f>AT118/AS118-1</f>
        <v/>
      </c>
      <c r="AU119" s="994" t="n"/>
      <c r="AV119" s="1139" t="n"/>
      <c r="AW119" s="1140" t="n"/>
      <c r="AX119" s="1140">
        <f>L119</f>
        <v/>
      </c>
      <c r="AY119" s="1140" t="n"/>
      <c r="AZ119" s="1140">
        <f>AZ118/AV118-1</f>
        <v/>
      </c>
      <c r="BA119" s="1140">
        <f>BA118/AW118-1</f>
        <v/>
      </c>
      <c r="BB119" s="1140">
        <f>M119</f>
        <v/>
      </c>
      <c r="BD119" s="1140">
        <f>BD118/AZ118-1</f>
        <v/>
      </c>
      <c r="BE119" s="1140">
        <f>BE118/BA118-1</f>
        <v/>
      </c>
      <c r="BF119" s="1140">
        <f>N119</f>
        <v/>
      </c>
      <c r="BH119" s="1140">
        <f>BH118/BD118-1</f>
        <v/>
      </c>
      <c r="BI119" s="1140">
        <f>BI118/BE118-1</f>
        <v/>
      </c>
      <c r="BJ119" s="1140">
        <f>O119</f>
        <v/>
      </c>
      <c r="BL119" s="1140">
        <f>BL118/BH118-1</f>
        <v/>
      </c>
      <c r="BM119" s="1140">
        <f>BM118/BI118-1</f>
        <v/>
      </c>
      <c r="BN119" s="1140">
        <f>P119</f>
        <v/>
      </c>
      <c r="BO119" s="1140" t="n"/>
      <c r="BP119" s="1140">
        <f>BP118/BL118-1</f>
        <v/>
      </c>
      <c r="BQ119" s="1140">
        <f>BQ118/BM118-1</f>
        <v/>
      </c>
      <c r="BR119" s="1140">
        <f>Q119</f>
        <v/>
      </c>
      <c r="BT119" s="1140">
        <f>BT118/BP118-1</f>
        <v/>
      </c>
      <c r="BU119" s="1140">
        <f>BU118/BQ118-1</f>
        <v/>
      </c>
      <c r="BV119" s="1140">
        <f>R119</f>
        <v/>
      </c>
      <c r="BX119" s="1140">
        <f>BX118/BT118-1</f>
        <v/>
      </c>
      <c r="BY119" s="1140">
        <f>BY118/BU118-1</f>
        <v/>
      </c>
      <c r="BZ119" s="1140">
        <f>S119</f>
        <v/>
      </c>
      <c r="CB119" s="1140">
        <f>CB118/BX118-1</f>
        <v/>
      </c>
      <c r="CC119" s="1140">
        <f>CC118/BY118-1</f>
        <v/>
      </c>
      <c r="CD119" s="1140">
        <f>T119</f>
        <v/>
      </c>
      <c r="CE119" s="1140" t="n"/>
      <c r="CF119" s="1140">
        <f>CF118/CB118-1</f>
        <v/>
      </c>
      <c r="CG119" s="1140">
        <f>CG118/CC118-1</f>
        <v/>
      </c>
      <c r="CH119" s="1140">
        <f>X119</f>
        <v/>
      </c>
      <c r="CI119" s="1140" t="n"/>
      <c r="CJ119" s="1140">
        <f>CJ118/CF118-1</f>
        <v/>
      </c>
      <c r="CK119" s="1140">
        <f>CK118/CG118-1</f>
        <v/>
      </c>
      <c r="CL119" s="1140">
        <f>V119</f>
        <v/>
      </c>
      <c r="CM119" s="1140" t="n"/>
      <c r="CN119" s="1140">
        <f>CN118/CJ118-1</f>
        <v/>
      </c>
      <c r="CO119" s="1140">
        <f>CO118/CK118-1</f>
        <v/>
      </c>
      <c r="CP119" s="1140">
        <f>W119</f>
        <v/>
      </c>
      <c r="CQ119" s="1140" t="n"/>
      <c r="CR119" s="1140">
        <f>CR118/CN118-1</f>
        <v/>
      </c>
      <c r="CS119" s="1140" t="n"/>
      <c r="CT119" s="1140">
        <f>CT118/CO118-1</f>
        <v/>
      </c>
      <c r="CU119" s="1140">
        <f>X119</f>
        <v/>
      </c>
      <c r="CV119" s="1140" t="n"/>
      <c r="CW119" s="1140">
        <f>CW118/CR118-1</f>
        <v/>
      </c>
      <c r="CX119" s="1140">
        <f>CX118/CT118-1</f>
        <v/>
      </c>
      <c r="CY119" s="1140">
        <f>Y119</f>
        <v/>
      </c>
      <c r="CZ119" s="1140" t="n"/>
      <c r="DA119" s="1140">
        <f>DA118/CW118-1</f>
        <v/>
      </c>
      <c r="DB119" s="1140">
        <f>DB118/CX118-1</f>
        <v/>
      </c>
      <c r="DC119" s="1140">
        <f>Z119</f>
        <v/>
      </c>
      <c r="DD119" s="1140" t="n"/>
      <c r="DE119" s="1140">
        <f>DE118/DA118-1</f>
        <v/>
      </c>
      <c r="DF119" s="1140">
        <f>DF118/DB118-1</f>
        <v/>
      </c>
      <c r="DG119" s="1140">
        <f>AA119</f>
        <v/>
      </c>
      <c r="DH119" s="118" t="n"/>
      <c r="DI119" s="118">
        <f>DI118/DE118-1</f>
        <v/>
      </c>
      <c r="DJ119" s="118">
        <f>DJ118/DF118-1</f>
        <v/>
      </c>
      <c r="DK119" s="118">
        <f>AB119</f>
        <v/>
      </c>
      <c r="DL119" s="118" t="n"/>
      <c r="DM119" s="118">
        <f>DM118/DI118-1</f>
        <v/>
      </c>
      <c r="DN119" s="118">
        <f>DN118/DJ118-1</f>
        <v/>
      </c>
      <c r="DO119" s="118">
        <f>AC119</f>
        <v/>
      </c>
      <c r="DP119" s="118" t="n"/>
      <c r="DQ119" s="1137">
        <f>DQ118/DM118-1</f>
        <v/>
      </c>
      <c r="DR119" s="1137">
        <f>DR118/DN118-1</f>
        <v/>
      </c>
      <c r="DS119" s="1137">
        <f>AD119</f>
        <v/>
      </c>
      <c r="DT119" s="963" t="n"/>
      <c r="DU119" s="1137">
        <f>DU118/DQ118-1</f>
        <v/>
      </c>
      <c r="DV119" s="1137">
        <f>DV118/DR118-1</f>
        <v/>
      </c>
      <c r="DW119" s="1137">
        <f>AE119</f>
        <v/>
      </c>
      <c r="DX119" s="963" t="n"/>
      <c r="DY119" s="1137">
        <f>DY118/DU118-1</f>
        <v/>
      </c>
      <c r="DZ119" s="1137">
        <f>DZ118/DV118-1</f>
        <v/>
      </c>
      <c r="EA119" s="1137">
        <f>AF119</f>
        <v/>
      </c>
      <c r="EC119" s="1137">
        <f>EC118/DY118-1</f>
        <v/>
      </c>
      <c r="ED119" s="1137">
        <f>ED118/DZ118-1</f>
        <v/>
      </c>
      <c r="EE119" s="1137">
        <f>AG119</f>
        <v/>
      </c>
      <c r="EG119" s="1137">
        <f>EG118/EC118-1</f>
        <v/>
      </c>
      <c r="EH119" s="1137">
        <f>EH118/ED118-1</f>
        <v/>
      </c>
      <c r="EI119" s="1137">
        <f>AH119</f>
        <v/>
      </c>
      <c r="EK119" s="1137">
        <f>EK118/EG118-1</f>
        <v/>
      </c>
      <c r="EL119" s="1137">
        <f>EL118/EH118-1</f>
        <v/>
      </c>
      <c r="EM119" s="1137">
        <f>AI119</f>
        <v/>
      </c>
      <c r="EO119" s="1137">
        <f>EO118/EK118-1</f>
        <v/>
      </c>
      <c r="EP119" s="1137">
        <f>EP118/EL118-1</f>
        <v/>
      </c>
      <c r="EQ119" s="1137">
        <f>+EQ118/EM118-1</f>
        <v/>
      </c>
      <c r="ES119" s="1137">
        <f>ES118/EO118-1</f>
        <v/>
      </c>
      <c r="ET119" s="1137">
        <f>ET118/EP118-1</f>
        <v/>
      </c>
      <c r="EU119" s="1141">
        <f>+EU118/EQ118-1</f>
        <v/>
      </c>
      <c r="EV119" s="1141" t="n"/>
      <c r="EW119" s="1137">
        <f>EW118/ES118-1</f>
        <v/>
      </c>
      <c r="EX119" s="1137">
        <f>EX118/ET118-1</f>
        <v/>
      </c>
      <c r="EY119" s="1141">
        <f>+EY118/EU118-1</f>
        <v/>
      </c>
      <c r="FA119" s="1137">
        <f>FA118/EW118-1</f>
        <v/>
      </c>
      <c r="FB119" s="1137">
        <f>FB118/EX118-1</f>
        <v/>
      </c>
      <c r="FC119" s="1141">
        <f>+FC118/EY118-1</f>
        <v/>
      </c>
      <c r="FE119" s="1137">
        <f>FE118/FA118-1</f>
        <v/>
      </c>
      <c r="FF119" s="1137">
        <f>FF118/FB118-1</f>
        <v/>
      </c>
      <c r="FG119" s="1141">
        <f>+FG118/FC118-1</f>
        <v/>
      </c>
      <c r="FI119" s="1137">
        <f>FI118/FE118-1</f>
        <v/>
      </c>
      <c r="FJ119" s="1137">
        <f>FJ118/FF118-1</f>
        <v/>
      </c>
      <c r="FK119" s="1141">
        <f>+FK118/FG118-1</f>
        <v/>
      </c>
      <c r="FM119" s="1137">
        <f>FM118/FI118-1</f>
        <v/>
      </c>
      <c r="FN119" s="1137">
        <f>FN118/FJ118-1</f>
        <v/>
      </c>
      <c r="FO119" s="1141">
        <f>+FO118/FK118-1</f>
        <v/>
      </c>
    </row>
    <row r="120">
      <c r="A120" s="1142" t="n"/>
      <c r="B120" s="226" t="n"/>
      <c r="C120" s="226" t="n"/>
      <c r="D120" s="226" t="n"/>
      <c r="E120" s="226" t="n"/>
      <c r="F120" s="226" t="n"/>
      <c r="G120" s="226" t="n"/>
      <c r="H120" s="226" t="n"/>
      <c r="I120" s="226" t="n"/>
      <c r="J120" s="226" t="n"/>
      <c r="K120" s="226" t="n"/>
      <c r="L120" s="317" t="n"/>
      <c r="M120" s="317" t="n"/>
      <c r="N120" s="317" t="n"/>
      <c r="O120" s="317" t="n"/>
      <c r="P120" s="317" t="n"/>
      <c r="Q120" s="317" t="n"/>
      <c r="R120" s="317" t="n"/>
      <c r="S120" s="317" t="n"/>
      <c r="T120" s="317" t="n"/>
      <c r="U120" s="317" t="n"/>
      <c r="V120" s="317" t="n"/>
      <c r="W120" s="226" t="n"/>
      <c r="X120" s="226" t="n"/>
      <c r="Y120" s="226" t="n"/>
      <c r="Z120" s="226" t="n"/>
      <c r="AA120" s="309" t="n"/>
      <c r="AB120" s="309" t="n"/>
      <c r="AC120" s="309" t="n"/>
      <c r="AD120" s="309" t="n"/>
      <c r="AE120" s="309" t="n"/>
      <c r="AF120" s="309" t="n"/>
      <c r="AG120" s="309" t="n"/>
      <c r="AH120" s="309" t="n"/>
      <c r="AI120" s="309" t="n"/>
      <c r="AJ120" s="309" t="n"/>
      <c r="AK120" s="309" t="n"/>
      <c r="AL120" s="309" t="n"/>
      <c r="AM120" s="309" t="n"/>
      <c r="AN120" s="309" t="n"/>
      <c r="AO120" s="309" t="n"/>
      <c r="AP120" s="309" t="n"/>
      <c r="AQ120" s="309" t="n"/>
      <c r="AR120" s="309" t="n"/>
      <c r="AS120" s="309" t="n"/>
      <c r="AT120" s="309" t="n"/>
      <c r="AU120" s="226" t="n"/>
      <c r="AX120" s="963" t="n"/>
      <c r="BB120" s="963" t="n"/>
      <c r="BF120" s="963" t="n"/>
      <c r="BH120" s="963" t="n"/>
      <c r="BI120" s="963" t="n"/>
      <c r="BJ120" s="963" t="n"/>
      <c r="BL120" s="963" t="n"/>
      <c r="BM120" s="963" t="n"/>
      <c r="BN120" s="963" t="n"/>
      <c r="BO120" s="963" t="n"/>
      <c r="BP120" s="963" t="n"/>
      <c r="BR120" s="963" t="n"/>
      <c r="BS120" s="226" t="n"/>
      <c r="BT120" s="963" t="n"/>
      <c r="BU120" s="963" t="n"/>
      <c r="BV120" s="963" t="n"/>
      <c r="BX120" s="963" t="n"/>
      <c r="BY120" s="963" t="n"/>
      <c r="BZ120" s="963" t="n"/>
      <c r="CB120" s="963" t="n"/>
      <c r="CC120" s="963" t="n"/>
      <c r="CD120" s="963" t="n"/>
      <c r="CE120" s="118" t="n"/>
      <c r="CF120" s="963" t="n"/>
      <c r="CG120" s="963" t="n"/>
      <c r="CH120" s="963" t="n"/>
      <c r="CI120" s="963" t="n"/>
      <c r="CJ120" s="963" t="n"/>
      <c r="CK120" s="963" t="n"/>
      <c r="CL120" s="963" t="n"/>
      <c r="CM120" s="963" t="n"/>
      <c r="CN120" s="963" t="n"/>
      <c r="CO120" s="963" t="n"/>
      <c r="CP120" s="963" t="n"/>
      <c r="CQ120" s="963" t="n"/>
      <c r="CR120" s="963" t="n"/>
      <c r="CS120" s="963" t="n"/>
      <c r="CT120" s="963" t="n"/>
      <c r="CU120" s="963" t="n"/>
      <c r="CV120" s="963" t="n"/>
      <c r="CW120" s="963" t="n"/>
      <c r="CX120" s="963" t="n"/>
      <c r="CY120" s="963" t="n"/>
      <c r="CZ120" s="963" t="n"/>
      <c r="DA120" s="963" t="n"/>
      <c r="DB120" s="118" t="n"/>
      <c r="DC120" s="963" t="n"/>
      <c r="DD120" s="963" t="n"/>
      <c r="DE120" s="963" t="n"/>
      <c r="DF120" s="118" t="n"/>
      <c r="DG120" s="963" t="n"/>
      <c r="DH120" s="118" t="n"/>
      <c r="DI120" s="963" t="n"/>
      <c r="DJ120" s="963" t="n"/>
      <c r="DK120" s="963" t="n"/>
      <c r="DL120" s="43" t="n"/>
      <c r="DM120" s="963" t="n"/>
      <c r="DN120" s="963" t="n"/>
      <c r="DO120" s="963" t="n"/>
      <c r="DP120" s="118" t="n"/>
      <c r="DQ120" s="963" t="n"/>
      <c r="DR120" s="963" t="n"/>
      <c r="DS120" s="963" t="n"/>
      <c r="DT120" s="963" t="n"/>
      <c r="DU120" s="234" t="n"/>
      <c r="DV120" s="234" t="n"/>
      <c r="DW120" s="234" t="n"/>
      <c r="DX120" s="963" t="n"/>
      <c r="DY120" s="234" t="n"/>
      <c r="DZ120" s="234" t="n"/>
      <c r="EA120" s="234" t="n"/>
      <c r="EC120" s="234" t="n"/>
      <c r="ED120" s="234" t="n"/>
      <c r="EE120" s="234" t="n"/>
      <c r="EF120" s="234" t="n"/>
      <c r="EG120" s="234" t="n"/>
      <c r="EH120" s="234" t="n"/>
      <c r="EI120" s="234" t="n"/>
      <c r="EJ120" s="234" t="n"/>
      <c r="EK120" s="226" t="n"/>
      <c r="EL120" s="234" t="n"/>
      <c r="EM120" s="234" t="n"/>
      <c r="EN120" s="234" t="n"/>
      <c r="EO120" s="234" t="n"/>
      <c r="EP120" s="234" t="n"/>
      <c r="EQ120" s="234" t="n"/>
      <c r="ER120" s="234" t="n"/>
      <c r="ET120" s="234" t="n"/>
      <c r="EU120" s="234" t="n"/>
      <c r="EV120" s="234" t="n"/>
      <c r="EX120" s="234" t="n"/>
      <c r="EY120" s="234" t="n"/>
      <c r="FB120" s="234" t="n"/>
      <c r="FC120" s="234" t="n"/>
      <c r="FF120" s="234" t="n"/>
      <c r="FG120" s="234" t="n"/>
      <c r="FI120" s="234">
        <f>FI131-FI122</f>
        <v/>
      </c>
      <c r="FJ120" s="234" t="n"/>
      <c r="FK120" s="234" t="n"/>
      <c r="FM120" s="234" t="n"/>
      <c r="FN120" s="234" t="n"/>
      <c r="FO120" s="226" t="n"/>
    </row>
    <row r="121">
      <c r="A121" s="960" t="inlineStr">
        <is>
          <t>total staff cost</t>
        </is>
      </c>
      <c r="B121" s="961" t="inlineStr">
        <is>
          <t>Personnel</t>
        </is>
      </c>
      <c r="H121" s="1129" t="n">
        <v>5030</v>
      </c>
      <c r="I121" s="1129" t="n">
        <v>5439</v>
      </c>
      <c r="J121" s="1129" t="n">
        <v>6177</v>
      </c>
      <c r="K121" s="1129" t="n">
        <v>6820</v>
      </c>
      <c r="L121" s="1129" t="n">
        <v>7356.519430884427</v>
      </c>
      <c r="M121" s="1129" t="n">
        <v>7712</v>
      </c>
      <c r="N121" s="1129" t="n">
        <v>7569</v>
      </c>
      <c r="O121" s="1129" t="n">
        <v>7299</v>
      </c>
      <c r="P121" s="1129" t="n">
        <v>7482</v>
      </c>
      <c r="Q121" s="1129" t="n">
        <v>7629</v>
      </c>
      <c r="R121" s="1129" t="n">
        <v>7918</v>
      </c>
      <c r="S121" s="1129" t="n">
        <v>8035</v>
      </c>
      <c r="T121" s="1129" t="n">
        <v>8842</v>
      </c>
      <c r="U121" s="1129" t="n">
        <v>9025</v>
      </c>
      <c r="V121" s="1129" t="n">
        <v>9950</v>
      </c>
      <c r="W121" s="1129" t="n">
        <v>12142</v>
      </c>
      <c r="X121" s="1129" t="n">
        <v>12428</v>
      </c>
      <c r="Y121" s="1129" t="n">
        <v>12618</v>
      </c>
      <c r="Z121" s="1129" t="n">
        <v>13850</v>
      </c>
      <c r="AA121" s="1129" t="n">
        <v>14772</v>
      </c>
      <c r="AB121" s="1129" t="n">
        <v>16248</v>
      </c>
      <c r="AC121" s="1129" t="n">
        <v>17027</v>
      </c>
      <c r="AD121" s="237" t="n">
        <v>18101</v>
      </c>
      <c r="AE121" s="237" t="n">
        <v>18990</v>
      </c>
      <c r="AF121" s="237" t="n">
        <v>19770</v>
      </c>
      <c r="AG121" s="237" t="n">
        <v>19962</v>
      </c>
      <c r="AH121" s="237" t="n">
        <v>20211</v>
      </c>
      <c r="AI121" s="237" t="n">
        <v>20125</v>
      </c>
      <c r="AJ121" s="237" t="n">
        <v>15786</v>
      </c>
      <c r="AK121" s="237" t="n">
        <v>11298</v>
      </c>
      <c r="AL121" s="237" t="n">
        <v>10646</v>
      </c>
      <c r="AM121" s="237" t="n">
        <v>14785</v>
      </c>
      <c r="AN121" s="237" t="n">
        <v>16840</v>
      </c>
      <c r="AO121" s="194">
        <f>SUM(FI121:FJ121)</f>
        <v/>
      </c>
      <c r="AP121" s="194">
        <f>SUM(FM121:FN121)</f>
        <v/>
      </c>
      <c r="AQ121" s="194">
        <f>AP121*(1+AQ75)*(1+AQ73)</f>
        <v/>
      </c>
      <c r="AR121" s="194">
        <f>AQ121*(1+AR75)*(1+AR73)</f>
        <v/>
      </c>
      <c r="AS121" s="194">
        <f>AR121*(1+AS75)*(1+AS73)</f>
        <v/>
      </c>
      <c r="AT121" s="194">
        <f>AS121*(1+AT75)*(1+AT73)</f>
        <v/>
      </c>
      <c r="AU121" s="226" t="n"/>
      <c r="AV121" s="194" t="n"/>
      <c r="AW121" s="43">
        <f>AX121-AZ121</f>
        <v/>
      </c>
      <c r="AX121" s="43">
        <f>L121</f>
        <v/>
      </c>
      <c r="AY121" s="43" t="n"/>
      <c r="AZ121" s="43" t="n">
        <v>3936</v>
      </c>
      <c r="BA121" s="43">
        <f>BB121-AZ121</f>
        <v/>
      </c>
      <c r="BB121" s="43">
        <f>M121</f>
        <v/>
      </c>
      <c r="BC121" s="194" t="n"/>
      <c r="BD121" s="43" t="n">
        <v>3838</v>
      </c>
      <c r="BE121" s="43">
        <f>BF121-BD121</f>
        <v/>
      </c>
      <c r="BF121" s="43">
        <f>N121</f>
        <v/>
      </c>
      <c r="BG121" s="194" t="n"/>
      <c r="BH121" s="43" t="n">
        <v>3652</v>
      </c>
      <c r="BI121" s="43">
        <f>BJ121-BH121</f>
        <v/>
      </c>
      <c r="BJ121" s="43">
        <f>O121</f>
        <v/>
      </c>
      <c r="BK121" s="557" t="n"/>
      <c r="BL121" s="43" t="n">
        <v>3643</v>
      </c>
      <c r="BM121" s="43">
        <f>BN121-BL121</f>
        <v/>
      </c>
      <c r="BN121" s="43">
        <f>P121</f>
        <v/>
      </c>
      <c r="BO121" s="43" t="n"/>
      <c r="BP121" s="43" t="n">
        <v>3989</v>
      </c>
      <c r="BQ121" s="43">
        <f>BR121-BP121</f>
        <v/>
      </c>
      <c r="BR121" s="43">
        <f>Q121</f>
        <v/>
      </c>
      <c r="BS121" s="194" t="n"/>
      <c r="BT121" s="43" t="n">
        <v>3810</v>
      </c>
      <c r="BU121" s="43">
        <f>BV121-BT121</f>
        <v/>
      </c>
      <c r="BV121" s="43">
        <f>R121</f>
        <v/>
      </c>
      <c r="BW121" s="557" t="n"/>
      <c r="BX121" s="43" t="n">
        <v>3961</v>
      </c>
      <c r="BY121" s="43">
        <f>BZ121-BX121</f>
        <v/>
      </c>
      <c r="BZ121" s="43">
        <f>S121</f>
        <v/>
      </c>
      <c r="CA121" s="194" t="n"/>
      <c r="CB121" s="43" t="n">
        <v>4255</v>
      </c>
      <c r="CC121" s="43">
        <f>CD121-CB121</f>
        <v/>
      </c>
      <c r="CD121" s="43">
        <f>T121</f>
        <v/>
      </c>
      <c r="CE121" s="43" t="n"/>
      <c r="CF121" s="43" t="n">
        <v>4581</v>
      </c>
      <c r="CG121" s="43">
        <f>CH121-CF121</f>
        <v/>
      </c>
      <c r="CH121" s="43">
        <f>U121</f>
        <v/>
      </c>
      <c r="CI121" s="43" t="n"/>
      <c r="CJ121" s="43" t="n">
        <v>4709</v>
      </c>
      <c r="CK121" s="43">
        <f>CL121-CJ121</f>
        <v/>
      </c>
      <c r="CL121" s="43">
        <f>V121</f>
        <v/>
      </c>
      <c r="CM121" s="625" t="n"/>
      <c r="CN121" s="43" t="n">
        <v>5781</v>
      </c>
      <c r="CO121" s="43">
        <f>CP121-CN121</f>
        <v/>
      </c>
      <c r="CP121" s="43">
        <f>W121</f>
        <v/>
      </c>
      <c r="CQ121" s="43" t="n"/>
      <c r="CR121" s="43" t="n">
        <v>6284</v>
      </c>
      <c r="CS121" s="43" t="n">
        <v>6284</v>
      </c>
      <c r="CT121" s="43">
        <f>CU121-CR121</f>
        <v/>
      </c>
      <c r="CU121" s="43">
        <f>X121</f>
        <v/>
      </c>
      <c r="CV121" s="43" t="n"/>
      <c r="CW121" s="43" t="n">
        <v>6075</v>
      </c>
      <c r="CX121" s="43">
        <f>CY121-CW121</f>
        <v/>
      </c>
      <c r="CY121" s="43">
        <f>Y121</f>
        <v/>
      </c>
      <c r="CZ121" s="43">
        <f>CX121/CT121-1</f>
        <v/>
      </c>
      <c r="DA121" s="43" t="n">
        <v>6759</v>
      </c>
      <c r="DB121" s="43">
        <f>DC121-DA121</f>
        <v/>
      </c>
      <c r="DC121" s="43">
        <f>Z121</f>
        <v/>
      </c>
      <c r="DD121" s="43" t="n"/>
      <c r="DE121" s="43" t="n">
        <v>7206</v>
      </c>
      <c r="DF121" s="43">
        <f>DG121-DE121</f>
        <v/>
      </c>
      <c r="DG121" s="43">
        <f>AA121</f>
        <v/>
      </c>
      <c r="DH121" s="625" t="n"/>
      <c r="DI121" s="194" t="n">
        <v>8046</v>
      </c>
      <c r="DJ121" s="246">
        <f>+DK121-DI121</f>
        <v/>
      </c>
      <c r="DK121" s="43">
        <f>AB121</f>
        <v/>
      </c>
      <c r="DL121" s="43" t="n"/>
      <c r="DM121" s="194" t="n">
        <v>8432</v>
      </c>
      <c r="DN121" s="246">
        <f>+DO121-DM121</f>
        <v/>
      </c>
      <c r="DO121" s="43">
        <f>AC121</f>
        <v/>
      </c>
      <c r="DP121" s="625" t="n"/>
      <c r="DQ121" s="237" t="n">
        <v>8899</v>
      </c>
      <c r="DR121" s="246">
        <f>+DS121-DQ121</f>
        <v/>
      </c>
      <c r="DS121" s="246">
        <f>AD121</f>
        <v/>
      </c>
      <c r="DT121" s="557" t="n"/>
      <c r="DU121" s="237" t="n">
        <v>9373</v>
      </c>
      <c r="DV121" s="194">
        <f>+DW121-DU121</f>
        <v/>
      </c>
      <c r="DW121" s="194">
        <f>AE121</f>
        <v/>
      </c>
      <c r="DX121" s="246" t="n"/>
      <c r="DY121" s="237" t="n">
        <v>9867</v>
      </c>
      <c r="DZ121" s="194">
        <f>+EA121-DY121</f>
        <v/>
      </c>
      <c r="EA121" s="194">
        <f>AF121</f>
        <v/>
      </c>
      <c r="EB121" s="194" t="n"/>
      <c r="EC121" s="237">
        <f>9845</f>
        <v/>
      </c>
      <c r="ED121" s="194">
        <f>+EE121-EC121</f>
        <v/>
      </c>
      <c r="EE121" s="194">
        <f>AG121</f>
        <v/>
      </c>
      <c r="EF121" s="194" t="n"/>
      <c r="EG121" s="237" t="n">
        <v>9935</v>
      </c>
      <c r="EH121" s="194">
        <f>+EI121-EG121</f>
        <v/>
      </c>
      <c r="EI121" s="194">
        <f>AH121</f>
        <v/>
      </c>
      <c r="EJ121" s="194" t="n"/>
      <c r="EK121" s="237" t="n">
        <v>10133</v>
      </c>
      <c r="EL121" s="194">
        <f>+EM121-EK121</f>
        <v/>
      </c>
      <c r="EM121" s="194">
        <f>AI121</f>
        <v/>
      </c>
      <c r="EN121" s="194" t="n"/>
      <c r="EO121" s="237" t="n">
        <v>8623</v>
      </c>
      <c r="EP121" s="194">
        <f>+EQ121-EO121</f>
        <v/>
      </c>
      <c r="EQ121" s="120">
        <f>AJ121</f>
        <v/>
      </c>
      <c r="ER121" s="317" t="n"/>
      <c r="ES121" s="237" t="n">
        <v>5746</v>
      </c>
      <c r="ET121" s="194">
        <f>+EU121-ES121</f>
        <v/>
      </c>
      <c r="EU121" s="120">
        <f>AK121</f>
        <v/>
      </c>
      <c r="EV121" s="120" t="n"/>
      <c r="EW121" s="237" t="n">
        <v>5057</v>
      </c>
      <c r="EX121" s="194">
        <f>+EY121-EW121</f>
        <v/>
      </c>
      <c r="EY121" s="120">
        <f>AL121</f>
        <v/>
      </c>
      <c r="FA121" s="237" t="n">
        <v>6612</v>
      </c>
      <c r="FB121" s="194">
        <f>+FC121-FA121</f>
        <v/>
      </c>
      <c r="FC121" s="120">
        <f>AM121</f>
        <v/>
      </c>
      <c r="FE121" s="237" t="n">
        <v>7770</v>
      </c>
      <c r="FF121" s="194">
        <f>+FG121-FE121</f>
        <v/>
      </c>
      <c r="FG121" s="120">
        <f>AN121</f>
        <v/>
      </c>
      <c r="FI121" s="237" t="n">
        <v>9382</v>
      </c>
      <c r="FJ121" s="194">
        <f>+FK121-FI121</f>
        <v/>
      </c>
      <c r="FK121" s="120">
        <f>AO121</f>
        <v/>
      </c>
      <c r="FM121" s="237" t="n">
        <v>10287</v>
      </c>
      <c r="FN121" s="194">
        <f>FJ121*(1+FN75)*(1+FN73)</f>
        <v/>
      </c>
      <c r="FO121" s="120">
        <f>AP121</f>
        <v/>
      </c>
    </row>
    <row r="122">
      <c r="A122" s="960" t="inlineStr">
        <is>
          <t>fuel</t>
        </is>
      </c>
      <c r="B122" s="961" t="inlineStr">
        <is>
          <t>Fuel</t>
        </is>
      </c>
      <c r="H122" s="1129" t="n">
        <v>2920</v>
      </c>
      <c r="I122" s="1129" t="n">
        <v>2994</v>
      </c>
      <c r="J122" s="1129" t="n">
        <v>3196</v>
      </c>
      <c r="K122" s="1129" t="n">
        <v>3588</v>
      </c>
      <c r="L122" s="1129" t="n">
        <v>4354.698306815999</v>
      </c>
      <c r="M122" s="1129" t="n">
        <v>4709</v>
      </c>
      <c r="N122" s="1129" t="n">
        <v>3612</v>
      </c>
      <c r="O122" s="1129" t="n">
        <v>3641</v>
      </c>
      <c r="P122" s="1129" t="n">
        <v>5770</v>
      </c>
      <c r="Q122" s="1129" t="n">
        <v>5313</v>
      </c>
      <c r="R122" s="1129" t="n">
        <v>4895</v>
      </c>
      <c r="S122" s="1129" t="n">
        <v>5236</v>
      </c>
      <c r="T122" s="1129" t="n">
        <v>9321</v>
      </c>
      <c r="U122" s="1129" t="n">
        <v>15588</v>
      </c>
      <c r="V122" s="1129" t="n">
        <v>20214</v>
      </c>
      <c r="W122" s="1129" t="n">
        <v>24624</v>
      </c>
      <c r="X122" s="1129" t="n">
        <v>47317</v>
      </c>
      <c r="Y122" s="1129" t="n">
        <v>17349</v>
      </c>
      <c r="Z122" s="1129">
        <f>28276</f>
        <v/>
      </c>
      <c r="AA122" s="1129" t="n">
        <v>38877</v>
      </c>
      <c r="AB122" s="1129" t="n">
        <v>40470</v>
      </c>
      <c r="AC122" s="1129" t="n">
        <v>38132</v>
      </c>
      <c r="AD122" s="237" t="n">
        <v>40299</v>
      </c>
      <c r="AE122" s="237" t="n">
        <v>32968</v>
      </c>
      <c r="AF122" s="237" t="n">
        <v>27953</v>
      </c>
      <c r="AG122" s="237" t="n">
        <v>31112</v>
      </c>
      <c r="AH122" s="237" t="n">
        <v>33869</v>
      </c>
      <c r="AI122" s="237" t="n">
        <v>29812</v>
      </c>
      <c r="AJ122" s="237" t="n">
        <v>11379</v>
      </c>
      <c r="AK122" s="237" t="n">
        <v>7031</v>
      </c>
      <c r="AL122" s="237" t="n">
        <v>10488</v>
      </c>
      <c r="AM122" s="237" t="n">
        <v>24989</v>
      </c>
      <c r="AN122" s="237" t="n">
        <v>28260</v>
      </c>
      <c r="AO122" s="194">
        <f>SUM(FI122:FJ122)</f>
        <v/>
      </c>
      <c r="AP122" s="194">
        <f>SUM(FM122:FN122)</f>
        <v/>
      </c>
      <c r="AQ122" s="194">
        <f>(+AQ$90*AQ$88*AQ66)</f>
        <v/>
      </c>
      <c r="AR122" s="194">
        <f>(+AR$90*AR$88*AR66)</f>
        <v/>
      </c>
      <c r="AS122" s="194">
        <f>(+AS$90*AS$88*AS66)</f>
        <v/>
      </c>
      <c r="AT122" s="194">
        <f>(+AT$90*AT$88*AT66)</f>
        <v/>
      </c>
      <c r="AU122" s="226" t="n"/>
      <c r="AV122" s="43" t="n"/>
      <c r="AW122" s="43">
        <f>AX122-AV122</f>
        <v/>
      </c>
      <c r="AX122" s="43">
        <f>L122</f>
        <v/>
      </c>
      <c r="AY122" s="43" t="n"/>
      <c r="AZ122" s="43" t="n">
        <v>2422</v>
      </c>
      <c r="BA122" s="43">
        <f>BB122-AZ122</f>
        <v/>
      </c>
      <c r="BB122" s="43">
        <f>M122</f>
        <v/>
      </c>
      <c r="BC122" s="194" t="n"/>
      <c r="BD122" s="43" t="n">
        <v>1859</v>
      </c>
      <c r="BE122" s="43">
        <f>BF122-BD122</f>
        <v/>
      </c>
      <c r="BF122" s="43">
        <f>N122</f>
        <v/>
      </c>
      <c r="BG122" s="194" t="n"/>
      <c r="BH122" s="43" t="n">
        <v>1534</v>
      </c>
      <c r="BI122" s="43">
        <f>BJ122-BH122</f>
        <v/>
      </c>
      <c r="BJ122" s="43">
        <f>O122</f>
        <v/>
      </c>
      <c r="BK122" s="557" t="n"/>
      <c r="BL122" s="43" t="n">
        <v>2458</v>
      </c>
      <c r="BM122" s="43">
        <f>BN122-BL122</f>
        <v/>
      </c>
      <c r="BN122" s="43">
        <f>P122</f>
        <v/>
      </c>
      <c r="BO122" s="43" t="n"/>
      <c r="BP122" s="43" t="n">
        <v>2754</v>
      </c>
      <c r="BQ122" s="43">
        <f>BR122-BP122</f>
        <v/>
      </c>
      <c r="BR122" s="43">
        <f>Q122</f>
        <v/>
      </c>
      <c r="BS122" s="194" t="n"/>
      <c r="BT122" s="43" t="n">
        <v>2197</v>
      </c>
      <c r="BU122" s="43">
        <f>BV122-BT122</f>
        <v/>
      </c>
      <c r="BV122" s="43">
        <f>R122</f>
        <v/>
      </c>
      <c r="BW122" s="557" t="n"/>
      <c r="BX122" s="43" t="n">
        <v>2402</v>
      </c>
      <c r="BY122" s="43">
        <f>BZ122-BX122</f>
        <v/>
      </c>
      <c r="BZ122" s="43">
        <f>S122</f>
        <v/>
      </c>
      <c r="CA122" s="557" t="n"/>
      <c r="CB122" s="43" t="n">
        <v>3435</v>
      </c>
      <c r="CC122" s="43">
        <f>CD122-CB122</f>
        <v/>
      </c>
      <c r="CD122" s="43">
        <f>T122</f>
        <v/>
      </c>
      <c r="CE122" s="43" t="n"/>
      <c r="CF122" s="43" t="n">
        <v>6655</v>
      </c>
      <c r="CG122" s="43">
        <f>CH122-CF122</f>
        <v/>
      </c>
      <c r="CH122" s="43">
        <f>U122</f>
        <v/>
      </c>
      <c r="CI122" s="43" t="n"/>
      <c r="CJ122" s="43" t="n">
        <v>8681</v>
      </c>
      <c r="CK122" s="43">
        <f>CL122-CJ122</f>
        <v/>
      </c>
      <c r="CL122" s="43">
        <f>V122</f>
        <v/>
      </c>
      <c r="CM122" s="43" t="n"/>
      <c r="CN122" s="43" t="n">
        <v>10553</v>
      </c>
      <c r="CO122" s="43">
        <f>CP122-CN122</f>
        <v/>
      </c>
      <c r="CP122" s="43">
        <f>W122</f>
        <v/>
      </c>
      <c r="CQ122" s="43" t="n"/>
      <c r="CR122" s="43" t="n">
        <v>19307</v>
      </c>
      <c r="CS122" s="43" t="n">
        <v>19307</v>
      </c>
      <c r="CT122" s="43">
        <f>CU122-CR122</f>
        <v/>
      </c>
      <c r="CU122" s="43">
        <f>X122</f>
        <v/>
      </c>
      <c r="CV122" s="625" t="n"/>
      <c r="CW122" s="43" t="n">
        <v>6645</v>
      </c>
      <c r="CX122" s="43">
        <f>CY122-CW122</f>
        <v/>
      </c>
      <c r="CY122" s="43">
        <f>Y122</f>
        <v/>
      </c>
      <c r="CZ122" s="43">
        <f>CX122/CT122-1</f>
        <v/>
      </c>
      <c r="DA122" s="194" t="n">
        <v>13169</v>
      </c>
      <c r="DB122" s="43">
        <f>DC122-DA122</f>
        <v/>
      </c>
      <c r="DC122" s="43">
        <f>Z122</f>
        <v/>
      </c>
      <c r="DD122" s="43" t="n"/>
      <c r="DE122" s="194" t="n">
        <v>18564</v>
      </c>
      <c r="DF122" s="43">
        <f>DG122-DE122</f>
        <v/>
      </c>
      <c r="DG122" s="43">
        <f>AA122</f>
        <v/>
      </c>
      <c r="DH122" s="625" t="n"/>
      <c r="DI122" s="194" t="n">
        <v>20407</v>
      </c>
      <c r="DJ122" s="246">
        <f>+DK122-DI122</f>
        <v/>
      </c>
      <c r="DK122" s="43">
        <f>AB122</f>
        <v/>
      </c>
      <c r="DL122" s="43" t="n"/>
      <c r="DM122" s="194" t="n">
        <v>18674</v>
      </c>
      <c r="DN122" s="246">
        <f>+DO122-DM122</f>
        <v/>
      </c>
      <c r="DO122" s="43">
        <f>AC122</f>
        <v/>
      </c>
      <c r="DP122" s="625" t="n"/>
      <c r="DQ122" s="237" t="n">
        <v>18930</v>
      </c>
      <c r="DR122" s="246">
        <f>+DS122-DQ122</f>
        <v/>
      </c>
      <c r="DS122" s="246">
        <f>AD122</f>
        <v/>
      </c>
      <c r="DT122" s="557" t="n"/>
      <c r="DU122" s="237" t="n">
        <v>16619</v>
      </c>
      <c r="DV122" s="194">
        <f>+DW122-DU122</f>
        <v/>
      </c>
      <c r="DW122" s="194">
        <f>AE122</f>
        <v/>
      </c>
      <c r="DX122" s="246" t="n"/>
      <c r="DY122" s="237" t="n">
        <v>13259</v>
      </c>
      <c r="DZ122" s="194">
        <f>+EA122-DY122</f>
        <v/>
      </c>
      <c r="EA122" s="194">
        <f>AF122</f>
        <v/>
      </c>
      <c r="EB122" s="194" t="n"/>
      <c r="EC122" s="237" t="n">
        <v>14937</v>
      </c>
      <c r="ED122" s="194">
        <f>+EE122-EC122</f>
        <v/>
      </c>
      <c r="EE122" s="194">
        <f>AG122</f>
        <v/>
      </c>
      <c r="EF122" s="194" t="n"/>
      <c r="EG122" s="237" t="n">
        <v>16046</v>
      </c>
      <c r="EH122" s="194">
        <f>+EI122-EG122</f>
        <v/>
      </c>
      <c r="EI122" s="194">
        <f>AH122</f>
        <v/>
      </c>
      <c r="EJ122" s="194" t="n"/>
      <c r="EK122" s="237" t="n">
        <v>14807</v>
      </c>
      <c r="EL122" s="194">
        <f>+EM122-EK122</f>
        <v/>
      </c>
      <c r="EM122" s="194">
        <f>AI122</f>
        <v/>
      </c>
      <c r="EN122" s="194" t="n"/>
      <c r="EO122" s="237" t="n">
        <v>7318</v>
      </c>
      <c r="EP122" s="194">
        <f>+EQ122-EO122</f>
        <v/>
      </c>
      <c r="EQ122" s="120">
        <f>AJ122</f>
        <v/>
      </c>
      <c r="ER122" s="120" t="n"/>
      <c r="ES122" s="237" t="n">
        <v>2312</v>
      </c>
      <c r="ET122" s="194">
        <f>+EU122-ES122</f>
        <v/>
      </c>
      <c r="EU122" s="120">
        <f>AK122</f>
        <v/>
      </c>
      <c r="EV122" s="120" t="n"/>
      <c r="EW122" s="237" t="n">
        <v>2630</v>
      </c>
      <c r="EX122" s="194">
        <f>+EY122-EW122</f>
        <v/>
      </c>
      <c r="EY122" s="120">
        <f>AL122</f>
        <v/>
      </c>
      <c r="FA122" s="237" t="n">
        <v>10635</v>
      </c>
      <c r="FB122" s="194">
        <f>+FC122-FA122</f>
        <v/>
      </c>
      <c r="FC122" s="120">
        <f>AM122</f>
        <v/>
      </c>
      <c r="FE122" s="237" t="n">
        <v>14160</v>
      </c>
      <c r="FF122" s="194">
        <f>+FG122-FE122</f>
        <v/>
      </c>
      <c r="FG122" s="120">
        <f>AN122</f>
        <v/>
      </c>
      <c r="FI122" s="237" t="n">
        <v>14654</v>
      </c>
      <c r="FJ122" s="194">
        <f>+FK122-FI122</f>
        <v/>
      </c>
      <c r="FK122" s="120">
        <f>AO122</f>
        <v/>
      </c>
      <c r="FM122" s="237" t="n">
        <v>23224</v>
      </c>
      <c r="FN122" s="194">
        <f>(+FN$90*FN$88*FN66)</f>
        <v/>
      </c>
      <c r="FO122" s="120">
        <f>AP122</f>
        <v/>
      </c>
      <c r="FQ122" s="226" t="n"/>
      <c r="FR122" s="226" t="n"/>
    </row>
    <row r="123">
      <c r="B123" s="961" t="inlineStr">
        <is>
          <t>Maintenance</t>
        </is>
      </c>
      <c r="H123" s="1129" t="n">
        <v>2299</v>
      </c>
      <c r="I123" s="1129" t="n">
        <v>2561</v>
      </c>
      <c r="J123" s="1129" t="n">
        <v>2662</v>
      </c>
      <c r="K123" s="1129" t="n">
        <v>2962</v>
      </c>
      <c r="L123" s="1143">
        <f>K123*(1+4%)*(1+L5)</f>
        <v/>
      </c>
      <c r="M123" s="1129" t="n">
        <v>3100</v>
      </c>
      <c r="N123" s="1129" t="n">
        <v>2670</v>
      </c>
      <c r="O123" s="1129" t="n">
        <v>2714</v>
      </c>
      <c r="P123" s="1129" t="n">
        <v>2920</v>
      </c>
      <c r="Q123" s="1129" t="n">
        <v>3234</v>
      </c>
      <c r="R123" s="1129" t="n">
        <v>3312</v>
      </c>
      <c r="S123" s="1129" t="n">
        <v>2856</v>
      </c>
      <c r="T123" s="1129" t="n">
        <v>3784</v>
      </c>
      <c r="U123" s="1129" t="n">
        <v>4527</v>
      </c>
      <c r="V123" s="1129" t="n">
        <v>5330</v>
      </c>
      <c r="W123" s="1129" t="n">
        <v>6830</v>
      </c>
      <c r="X123" s="1129" t="n">
        <v>7643</v>
      </c>
      <c r="Y123" s="1129" t="n">
        <v>6567</v>
      </c>
      <c r="Z123" s="1129" t="n">
        <v>7072</v>
      </c>
      <c r="AA123" s="1129" t="n">
        <v>8468</v>
      </c>
      <c r="AB123" s="1129" t="n">
        <v>8197</v>
      </c>
      <c r="AC123" s="1129" t="n">
        <v>7542</v>
      </c>
      <c r="AD123" s="237" t="n">
        <v>7077</v>
      </c>
      <c r="AE123" s="237" t="n">
        <v>7504</v>
      </c>
      <c r="AF123" s="237" t="n">
        <v>8856</v>
      </c>
      <c r="AG123" s="237" t="n">
        <v>9607</v>
      </c>
      <c r="AH123" s="237" t="n">
        <v>9401</v>
      </c>
      <c r="AI123" s="237" t="n">
        <v>9858</v>
      </c>
      <c r="AJ123" s="237" t="n">
        <v>5772</v>
      </c>
      <c r="AK123" s="237" t="n">
        <v>5152</v>
      </c>
      <c r="AL123" s="237" t="n">
        <v>3206</v>
      </c>
      <c r="AM123" s="237" t="n">
        <v>7357</v>
      </c>
      <c r="AN123" s="237" t="n">
        <v>8498</v>
      </c>
      <c r="AO123" s="194">
        <f>SUM(FI123:FJ123)</f>
        <v/>
      </c>
      <c r="AP123" s="194">
        <f>SUM(FM123:FN123)</f>
        <v/>
      </c>
      <c r="AQ123" s="194">
        <f>AP123*(1+AQ$5)/(1+AQ$99)</f>
        <v/>
      </c>
      <c r="AR123" s="194">
        <f>AQ123*(1+AR$5)/(1+AR$99)</f>
        <v/>
      </c>
      <c r="AS123" s="194">
        <f>AR123*(1+AS$5)/(1+AS$99)</f>
        <v/>
      </c>
      <c r="AT123" s="194">
        <f>AS123*(1+AT$5)/(1+AT$99)</f>
        <v/>
      </c>
      <c r="AU123" s="226" t="n"/>
      <c r="AV123" s="625">
        <f>W123/W118</f>
        <v/>
      </c>
      <c r="AW123" s="43">
        <f>AX123-AV123</f>
        <v/>
      </c>
      <c r="AX123" s="43">
        <f>L123</f>
        <v/>
      </c>
      <c r="AY123" s="43" t="n"/>
      <c r="AZ123" s="43" t="n">
        <v>1619</v>
      </c>
      <c r="BA123" s="43">
        <f>BB123-AZ123</f>
        <v/>
      </c>
      <c r="BB123" s="43">
        <f>M123</f>
        <v/>
      </c>
      <c r="BC123" s="194" t="n"/>
      <c r="BD123" s="43" t="n">
        <v>1487</v>
      </c>
      <c r="BE123" s="43">
        <f>BF123-BD123</f>
        <v/>
      </c>
      <c r="BF123" s="43">
        <f>N123</f>
        <v/>
      </c>
      <c r="BG123" s="194" t="n"/>
      <c r="BH123" s="194" t="n">
        <v>1299</v>
      </c>
      <c r="BI123" s="43">
        <f>BJ123-BH123</f>
        <v/>
      </c>
      <c r="BJ123" s="43">
        <f>O123</f>
        <v/>
      </c>
      <c r="BK123" s="557" t="n"/>
      <c r="BL123" s="194" t="n">
        <v>1414</v>
      </c>
      <c r="BM123" s="43">
        <f>BN123-BL123</f>
        <v/>
      </c>
      <c r="BN123" s="43">
        <f>P123</f>
        <v/>
      </c>
      <c r="BO123" s="194" t="n"/>
      <c r="BP123" s="194" t="n">
        <v>1664</v>
      </c>
      <c r="BQ123" s="43">
        <f>BR123-BP123</f>
        <v/>
      </c>
      <c r="BR123" s="43">
        <f>Q123</f>
        <v/>
      </c>
      <c r="BS123" s="194" t="n"/>
      <c r="BT123" s="194" t="n">
        <v>1589</v>
      </c>
      <c r="BU123" s="43">
        <f>BV123-BT123</f>
        <v/>
      </c>
      <c r="BV123" s="43">
        <f>R123</f>
        <v/>
      </c>
      <c r="BW123" s="557" t="n"/>
      <c r="BX123" s="194" t="n">
        <v>1298</v>
      </c>
      <c r="BY123" s="43">
        <f>BZ123-BX123</f>
        <v/>
      </c>
      <c r="BZ123" s="43">
        <f>S123</f>
        <v/>
      </c>
      <c r="CA123" s="194" t="n"/>
      <c r="CB123" s="194" t="n">
        <v>1652</v>
      </c>
      <c r="CC123" s="43">
        <f>CD123-CB123</f>
        <v/>
      </c>
      <c r="CD123" s="43">
        <f>T123</f>
        <v/>
      </c>
      <c r="CE123" s="194" t="n"/>
      <c r="CF123" s="194" t="n">
        <v>1891</v>
      </c>
      <c r="CG123" s="43">
        <f>CH123-CF123</f>
        <v/>
      </c>
      <c r="CH123" s="43">
        <f>U123</f>
        <v/>
      </c>
      <c r="CI123" s="43" t="n"/>
      <c r="CJ123" s="194" t="n">
        <v>2512</v>
      </c>
      <c r="CK123" s="43">
        <f>CL123-CJ123</f>
        <v/>
      </c>
      <c r="CL123" s="43">
        <f>V123</f>
        <v/>
      </c>
      <c r="CM123" s="625" t="n"/>
      <c r="CN123" s="194" t="n">
        <v>3499</v>
      </c>
      <c r="CO123" s="194">
        <f>CP123-CN123</f>
        <v/>
      </c>
      <c r="CP123" s="194">
        <f>W123</f>
        <v/>
      </c>
      <c r="CQ123" s="194" t="n"/>
      <c r="CR123" s="43" t="n">
        <v>3923</v>
      </c>
      <c r="CS123" s="43" t="n">
        <v>3923</v>
      </c>
      <c r="CT123" s="43">
        <f>CU123-CR123</f>
        <v/>
      </c>
      <c r="CU123" s="194">
        <f>X123</f>
        <v/>
      </c>
      <c r="CV123" s="194" t="n"/>
      <c r="CW123" s="43" t="n">
        <v>3326</v>
      </c>
      <c r="CX123" s="43">
        <f>CY123-CW123</f>
        <v/>
      </c>
      <c r="CY123" s="194">
        <f>Y123</f>
        <v/>
      </c>
      <c r="CZ123" s="43">
        <f>CX123/CT123-1</f>
        <v/>
      </c>
      <c r="DA123" s="43" t="n">
        <v>3167</v>
      </c>
      <c r="DB123" s="43">
        <f>DC123-DA123</f>
        <v/>
      </c>
      <c r="DC123" s="194">
        <f>Z123</f>
        <v/>
      </c>
      <c r="DD123" s="43" t="n"/>
      <c r="DE123" s="43" t="n">
        <v>3760</v>
      </c>
      <c r="DF123" s="43">
        <f>DG123-DE123</f>
        <v/>
      </c>
      <c r="DG123" s="194">
        <f>AA123</f>
        <v/>
      </c>
      <c r="DH123" s="625" t="n"/>
      <c r="DI123" s="194" t="n">
        <v>4643</v>
      </c>
      <c r="DJ123" s="246">
        <f>+DK123-DI123</f>
        <v/>
      </c>
      <c r="DK123" s="194">
        <f>AB123</f>
        <v/>
      </c>
      <c r="DL123" s="194" t="n"/>
      <c r="DM123" s="194" t="n">
        <v>3861</v>
      </c>
      <c r="DN123" s="246">
        <f>+DO123-DM123</f>
        <v/>
      </c>
      <c r="DO123" s="194">
        <f>AC123</f>
        <v/>
      </c>
      <c r="DP123" s="625" t="n"/>
      <c r="DQ123" s="237" t="n">
        <v>3664</v>
      </c>
      <c r="DR123" s="246">
        <f>+DS123-DQ123</f>
        <v/>
      </c>
      <c r="DS123" s="246">
        <f>AD123</f>
        <v/>
      </c>
      <c r="DT123" s="557" t="n"/>
      <c r="DU123" s="237" t="n">
        <v>3653</v>
      </c>
      <c r="DV123" s="194">
        <f>+DW123-DU123</f>
        <v/>
      </c>
      <c r="DW123" s="194">
        <f>AE123</f>
        <v/>
      </c>
      <c r="DX123" s="246" t="n"/>
      <c r="DY123" s="237" t="n">
        <v>4170</v>
      </c>
      <c r="DZ123" s="194">
        <f>+EA123-DY123</f>
        <v/>
      </c>
      <c r="EA123" s="194">
        <f>AF123</f>
        <v/>
      </c>
      <c r="EB123" s="194" t="n"/>
      <c r="EC123" s="237" t="n">
        <v>4461</v>
      </c>
      <c r="ED123" s="194">
        <f>+EE123-EC123</f>
        <v/>
      </c>
      <c r="EE123" s="194">
        <f>AG123</f>
        <v/>
      </c>
      <c r="EF123" s="194" t="n"/>
      <c r="EG123" s="237" t="n">
        <v>4691</v>
      </c>
      <c r="EH123" s="194">
        <f>+EI123-EG123</f>
        <v/>
      </c>
      <c r="EI123" s="194">
        <f>AH123</f>
        <v/>
      </c>
      <c r="EJ123" s="194" t="n"/>
      <c r="EK123" s="237" t="n">
        <v>4708</v>
      </c>
      <c r="EL123" s="194">
        <f>+EM123-EK123</f>
        <v/>
      </c>
      <c r="EM123" s="194">
        <f>AI123</f>
        <v/>
      </c>
      <c r="EN123" s="194" t="n"/>
      <c r="EO123" s="237" t="n">
        <v>3673</v>
      </c>
      <c r="EP123" s="194">
        <f>+EQ123-EO123</f>
        <v/>
      </c>
      <c r="EQ123" s="120">
        <f>AJ123</f>
        <v/>
      </c>
      <c r="ER123" s="120" t="n"/>
      <c r="ES123" s="237" t="n">
        <v>1798</v>
      </c>
      <c r="ET123" s="194">
        <f>+EU123-ES123</f>
        <v/>
      </c>
      <c r="EU123" s="120">
        <f>AK123</f>
        <v/>
      </c>
      <c r="EV123" s="120" t="n"/>
      <c r="EW123" s="237" t="n">
        <v>1414</v>
      </c>
      <c r="EX123" s="194">
        <f>+EY123-EW123</f>
        <v/>
      </c>
      <c r="EY123" s="120">
        <f>AL123</f>
        <v/>
      </c>
      <c r="FA123" s="237" t="n">
        <v>3253</v>
      </c>
      <c r="FB123" s="194">
        <f>+FC123-FA123</f>
        <v/>
      </c>
      <c r="FC123" s="120">
        <f>AM123</f>
        <v/>
      </c>
      <c r="FE123" s="237" t="n">
        <v>4047</v>
      </c>
      <c r="FF123" s="194">
        <f>+FG123-FE123</f>
        <v/>
      </c>
      <c r="FG123" s="120">
        <f>AN123</f>
        <v/>
      </c>
      <c r="FI123" s="237" t="n">
        <v>4295</v>
      </c>
      <c r="FJ123" s="194">
        <f>+FK123-FI123</f>
        <v/>
      </c>
      <c r="FK123" s="120">
        <f>AO123</f>
        <v/>
      </c>
      <c r="FM123" s="237" t="n">
        <v>5648</v>
      </c>
      <c r="FN123" s="194">
        <f>FJ123*(1+FN$5)/(1+FN$99)</f>
        <v/>
      </c>
      <c r="FO123" s="120">
        <f>AP123</f>
        <v/>
      </c>
    </row>
    <row r="124">
      <c r="B124" s="961" t="inlineStr">
        <is>
          <t>Route operating costs</t>
        </is>
      </c>
      <c r="C124" s="1129" t="n"/>
      <c r="D124" s="1129" t="n"/>
      <c r="E124" s="1129" t="n"/>
      <c r="F124" s="1129" t="n"/>
      <c r="G124" s="1129" t="n"/>
      <c r="H124" s="1129" t="n">
        <v>4381</v>
      </c>
      <c r="I124" s="1129" t="n">
        <v>4997</v>
      </c>
      <c r="J124" s="1129" t="n">
        <v>5655</v>
      </c>
      <c r="K124" s="1129" t="n">
        <v>6376</v>
      </c>
      <c r="L124" s="1129">
        <f>K124*1.047</f>
        <v/>
      </c>
      <c r="M124" s="1129" t="n">
        <v>6677</v>
      </c>
      <c r="N124" s="1129" t="n">
        <v>6476</v>
      </c>
      <c r="O124" s="1129" t="n">
        <v>6352</v>
      </c>
      <c r="P124" s="1129" t="n">
        <v>6756</v>
      </c>
      <c r="Q124" s="1129" t="n">
        <v>6698</v>
      </c>
      <c r="R124" s="1129" t="n">
        <v>6113</v>
      </c>
      <c r="S124" s="1129" t="n">
        <v>5416</v>
      </c>
      <c r="T124" s="1129" t="n">
        <v>6121</v>
      </c>
      <c r="U124" s="1129" t="n">
        <v>6947</v>
      </c>
      <c r="V124" s="1129" t="n">
        <v>8066</v>
      </c>
      <c r="W124" s="1129" t="n">
        <v>9950</v>
      </c>
      <c r="X124" s="1129" t="n">
        <v>11039</v>
      </c>
      <c r="Y124" s="1129" t="n">
        <v>10458</v>
      </c>
      <c r="Z124" s="1129" t="n">
        <v>11301</v>
      </c>
      <c r="AA124" s="1129" t="n">
        <v>13105</v>
      </c>
      <c r="AB124" s="1129" t="n">
        <v>13603</v>
      </c>
      <c r="AC124" s="1129" t="n">
        <v>13531</v>
      </c>
      <c r="AD124" s="237" t="n">
        <v>14196</v>
      </c>
      <c r="AE124" s="237" t="n">
        <v>14675</v>
      </c>
      <c r="AF124" s="237" t="n">
        <v>14985</v>
      </c>
      <c r="AG124" s="237" t="n">
        <v>15225</v>
      </c>
      <c r="AH124" s="237" t="n">
        <v>17486</v>
      </c>
      <c r="AI124" s="237" t="n">
        <v>17758</v>
      </c>
      <c r="AJ124" s="237" t="n">
        <v>6868</v>
      </c>
      <c r="AK124" s="237" t="n">
        <v>5743</v>
      </c>
      <c r="AL124" s="237" t="n">
        <v>5590</v>
      </c>
      <c r="AM124" s="237" t="n">
        <v>11190</v>
      </c>
      <c r="AN124" s="237" t="n">
        <v>14023</v>
      </c>
      <c r="AO124" s="194">
        <f>SUM(FI124:FJ124)</f>
        <v/>
      </c>
      <c r="AP124" s="194">
        <f>SUM(FM124:FN124)</f>
        <v/>
      </c>
      <c r="AQ124" s="194">
        <f>AP124*(1+AQ$5)/(1+AQ$99)</f>
        <v/>
      </c>
      <c r="AR124" s="194">
        <f>AQ124*(1+AR$5)/(1+AR$99)</f>
        <v/>
      </c>
      <c r="AS124" s="194">
        <f>AR124*(1+AS$5)/(1+AS$99)</f>
        <v/>
      </c>
      <c r="AT124" s="194">
        <f>AS124*(1+AT$5)/(1+AT$99)</f>
        <v/>
      </c>
      <c r="AU124" s="226" t="n"/>
      <c r="AV124" s="43" t="n"/>
      <c r="AW124" s="43">
        <f>AX124-AV124</f>
        <v/>
      </c>
      <c r="AX124" s="43">
        <f>L124</f>
        <v/>
      </c>
      <c r="AY124" s="43" t="n"/>
      <c r="AZ124" s="43" t="n">
        <v>3402</v>
      </c>
      <c r="BA124" s="43">
        <f>BB124-AZ124</f>
        <v/>
      </c>
      <c r="BB124" s="43">
        <f>M124</f>
        <v/>
      </c>
      <c r="BC124" s="194" t="n"/>
      <c r="BD124" s="43" t="n">
        <v>3226</v>
      </c>
      <c r="BE124" s="43">
        <f>BF124-BD124</f>
        <v/>
      </c>
      <c r="BF124" s="43">
        <f>N124</f>
        <v/>
      </c>
      <c r="BG124" s="194" t="n"/>
      <c r="BH124" s="194" t="n">
        <v>3217</v>
      </c>
      <c r="BI124" s="43">
        <f>BJ124-BH124</f>
        <v/>
      </c>
      <c r="BJ124" s="43">
        <f>O124</f>
        <v/>
      </c>
      <c r="BK124" s="557" t="n"/>
      <c r="BL124" s="194" t="n">
        <v>3250</v>
      </c>
      <c r="BM124" s="43">
        <f>BN124-BL124</f>
        <v/>
      </c>
      <c r="BN124" s="43">
        <f>P124</f>
        <v/>
      </c>
      <c r="BO124" s="194" t="n"/>
      <c r="BP124" s="194" t="n">
        <v>3315</v>
      </c>
      <c r="BQ124" s="43">
        <f>BR124-BP124</f>
        <v/>
      </c>
      <c r="BR124" s="43">
        <f>Q124</f>
        <v/>
      </c>
      <c r="BS124" s="194" t="n"/>
      <c r="BT124" s="194" t="n">
        <v>2992</v>
      </c>
      <c r="BU124" s="43">
        <f>BV124-BT124</f>
        <v/>
      </c>
      <c r="BV124" s="43">
        <f>R124</f>
        <v/>
      </c>
      <c r="BW124" s="194" t="n"/>
      <c r="BX124" s="194" t="n">
        <v>2484</v>
      </c>
      <c r="BY124" s="43">
        <f>BZ124-BX124</f>
        <v/>
      </c>
      <c r="BZ124" s="43">
        <f>S124</f>
        <v/>
      </c>
      <c r="CA124" s="194" t="n"/>
      <c r="CB124" s="194">
        <f>2674+749</f>
        <v/>
      </c>
      <c r="CC124" s="43">
        <f>CD124-CB124</f>
        <v/>
      </c>
      <c r="CD124" s="43">
        <f>T124</f>
        <v/>
      </c>
      <c r="CE124" s="194" t="n"/>
      <c r="CF124" s="194">
        <f>2850+866</f>
        <v/>
      </c>
      <c r="CG124" s="43">
        <f>CH124-CF124</f>
        <v/>
      </c>
      <c r="CH124" s="43">
        <f>U124</f>
        <v/>
      </c>
      <c r="CI124" s="43" t="n"/>
      <c r="CJ124" s="194" t="n">
        <v>3674</v>
      </c>
      <c r="CK124" s="43">
        <f>CL124-CJ124</f>
        <v/>
      </c>
      <c r="CL124" s="43">
        <f>V124</f>
        <v/>
      </c>
      <c r="CM124" s="43" t="n"/>
      <c r="CN124" s="194" t="n">
        <v>4775</v>
      </c>
      <c r="CO124" s="194">
        <f>CP124-CN124</f>
        <v/>
      </c>
      <c r="CP124" s="194">
        <f>W124</f>
        <v/>
      </c>
      <c r="CQ124" s="194" t="n"/>
      <c r="CR124" s="43" t="n">
        <v>5560</v>
      </c>
      <c r="CS124" s="43" t="n">
        <v>5452</v>
      </c>
      <c r="CT124" s="43">
        <f>CU124-CR124</f>
        <v/>
      </c>
      <c r="CU124" s="194">
        <f>X124</f>
        <v/>
      </c>
      <c r="CV124" s="557" t="n"/>
      <c r="CW124" s="43" t="n">
        <v>4999</v>
      </c>
      <c r="CX124" s="43">
        <f>CY124-CW124</f>
        <v/>
      </c>
      <c r="CY124" s="194">
        <f>Y124</f>
        <v/>
      </c>
      <c r="CZ124" s="43">
        <f>CX124/CT124-1</f>
        <v/>
      </c>
      <c r="DA124" s="43" t="n">
        <v>5280</v>
      </c>
      <c r="DB124" s="43">
        <f>DC124-DA124</f>
        <v/>
      </c>
      <c r="DC124" s="194">
        <f>Z124</f>
        <v/>
      </c>
      <c r="DD124" s="43" t="n"/>
      <c r="DE124" s="43" t="n">
        <v>6259</v>
      </c>
      <c r="DF124" s="43">
        <f>DG124-DE124</f>
        <v/>
      </c>
      <c r="DG124" s="194">
        <f>AA124</f>
        <v/>
      </c>
      <c r="DH124" s="625" t="n"/>
      <c r="DI124" s="194" t="n">
        <v>6714</v>
      </c>
      <c r="DJ124" s="246">
        <f>+DK124-DI124</f>
        <v/>
      </c>
      <c r="DK124" s="194">
        <f>AB124</f>
        <v/>
      </c>
      <c r="DL124" s="194" t="n"/>
      <c r="DM124" s="194" t="n">
        <v>6668</v>
      </c>
      <c r="DN124" s="246">
        <f>+DO124-DM124</f>
        <v/>
      </c>
      <c r="DO124" s="194">
        <f>AC124</f>
        <v/>
      </c>
      <c r="DP124" s="625" t="n"/>
      <c r="DQ124" s="237" t="n">
        <v>6944</v>
      </c>
      <c r="DR124" s="246">
        <f>+DS124-DQ124</f>
        <v/>
      </c>
      <c r="DS124" s="246">
        <f>AD124</f>
        <v/>
      </c>
      <c r="DT124" s="557" t="n"/>
      <c r="DU124" s="237" t="n">
        <v>7266</v>
      </c>
      <c r="DV124" s="194">
        <f>+DW124-DU124</f>
        <v/>
      </c>
      <c r="DW124" s="194">
        <f>AE124</f>
        <v/>
      </c>
      <c r="DX124" s="246" t="n"/>
      <c r="DY124" s="237" t="n">
        <v>7376</v>
      </c>
      <c r="DZ124" s="194">
        <f>+EA124-DY124</f>
        <v/>
      </c>
      <c r="EA124" s="194">
        <f>AF124</f>
        <v/>
      </c>
      <c r="EB124" s="194" t="n"/>
      <c r="EC124" s="237" t="n">
        <v>7307</v>
      </c>
      <c r="ED124" s="194">
        <f>+EE124-EC124</f>
        <v/>
      </c>
      <c r="EE124" s="194">
        <f>AG124</f>
        <v/>
      </c>
      <c r="EF124" s="194" t="n"/>
      <c r="EG124" s="237" t="n">
        <v>8648</v>
      </c>
      <c r="EH124" s="194">
        <f>+EI124-EG124</f>
        <v/>
      </c>
      <c r="EI124" s="194">
        <f>AH124</f>
        <v/>
      </c>
      <c r="EJ124" s="194" t="n"/>
      <c r="EK124" s="237" t="n">
        <v>8635</v>
      </c>
      <c r="EL124" s="194">
        <f>+EM124-EK124</f>
        <v/>
      </c>
      <c r="EM124" s="194">
        <f>AI124</f>
        <v/>
      </c>
      <c r="EN124" s="194" t="n"/>
      <c r="EO124" s="237" t="n">
        <v>4242</v>
      </c>
      <c r="EP124" s="194">
        <f>+EQ124-EO124</f>
        <v/>
      </c>
      <c r="EQ124" s="120">
        <f>AJ124</f>
        <v/>
      </c>
      <c r="ER124" s="120" t="n"/>
      <c r="ES124" s="237" t="n">
        <v>2293</v>
      </c>
      <c r="ET124" s="194">
        <f>+EU124-ES124</f>
        <v/>
      </c>
      <c r="EU124" s="120">
        <f>AK124</f>
        <v/>
      </c>
      <c r="EV124" s="120" t="n"/>
      <c r="EW124" s="237" t="n">
        <v>2305</v>
      </c>
      <c r="EX124" s="194">
        <f>+EY124-EW124</f>
        <v/>
      </c>
      <c r="EY124" s="120">
        <f>AL124</f>
        <v/>
      </c>
      <c r="FA124" s="237" t="n">
        <v>5066</v>
      </c>
      <c r="FB124" s="194">
        <f>+FC124-FA124</f>
        <v/>
      </c>
      <c r="FC124" s="120">
        <f>AM124</f>
        <v/>
      </c>
      <c r="FE124" s="237" t="n">
        <v>6572</v>
      </c>
      <c r="FF124" s="194">
        <f>+FG124-FE124</f>
        <v/>
      </c>
      <c r="FG124" s="120">
        <f>AN124</f>
        <v/>
      </c>
      <c r="FI124" s="237" t="n">
        <v>8076</v>
      </c>
      <c r="FJ124" s="194">
        <f>+FK124-FI124</f>
        <v/>
      </c>
      <c r="FK124" s="120">
        <f>AO124</f>
        <v/>
      </c>
      <c r="FM124" s="237" t="n">
        <v>9367</v>
      </c>
      <c r="FN124" s="194">
        <f>FJ124*(1+FN$5)/(1+FN$99)</f>
        <v/>
      </c>
      <c r="FO124" s="120">
        <f>AP124</f>
        <v/>
      </c>
    </row>
    <row r="125">
      <c r="B125" s="961" t="inlineStr">
        <is>
          <t>Commissions</t>
        </is>
      </c>
      <c r="C125" s="1129" t="n"/>
      <c r="D125" s="1129" t="n"/>
      <c r="E125" s="1129" t="n"/>
      <c r="F125" s="1129" t="n"/>
      <c r="G125" s="1129" t="n"/>
      <c r="H125" s="1129" t="n">
        <v>837</v>
      </c>
      <c r="I125" s="1129" t="n">
        <v>782</v>
      </c>
      <c r="J125" s="1129" t="n">
        <v>862</v>
      </c>
      <c r="K125" s="1129" t="n">
        <v>935</v>
      </c>
      <c r="L125" s="1129">
        <f>K125*(L112/K112)</f>
        <v/>
      </c>
      <c r="M125" s="1129" t="n">
        <v>872</v>
      </c>
      <c r="N125" s="1129" t="n">
        <v>717</v>
      </c>
      <c r="O125" s="1129" t="n">
        <v>663</v>
      </c>
      <c r="P125" s="1129" t="n">
        <v>719</v>
      </c>
      <c r="Q125" s="1129" t="n">
        <v>539</v>
      </c>
      <c r="R125" s="1129" t="n">
        <v>501</v>
      </c>
      <c r="S125" s="1129" t="n">
        <v>400</v>
      </c>
      <c r="T125" s="1129" t="n">
        <v>529</v>
      </c>
      <c r="U125" s="1129" t="n">
        <v>555</v>
      </c>
      <c r="V125" s="1129" t="n">
        <v>668</v>
      </c>
      <c r="W125" s="1129" t="n">
        <v>860</v>
      </c>
      <c r="X125" s="1129" t="n">
        <v>851</v>
      </c>
      <c r="Y125" s="1129" t="n">
        <v>571</v>
      </c>
      <c r="Z125" s="1129" t="n">
        <v>736</v>
      </c>
      <c r="AA125" s="1129" t="n">
        <v>791</v>
      </c>
      <c r="AB125" s="1129" t="n">
        <v>777</v>
      </c>
      <c r="AC125" s="1129" t="n">
        <v>775</v>
      </c>
      <c r="AD125" s="237" t="n">
        <v>799</v>
      </c>
      <c r="AE125" s="237" t="n">
        <v>798</v>
      </c>
      <c r="AF125" s="237" t="n">
        <v>700</v>
      </c>
      <c r="AG125" s="237" t="n">
        <v>681</v>
      </c>
      <c r="AH125" s="237" t="n">
        <v>862</v>
      </c>
      <c r="AI125" s="237" t="n">
        <v>927</v>
      </c>
      <c r="AJ125" s="237" t="n">
        <v>146</v>
      </c>
      <c r="AK125" s="237" t="n">
        <v>16</v>
      </c>
      <c r="AL125" s="237" t="n"/>
      <c r="AM125" s="237" t="n"/>
      <c r="AN125" s="237" t="n"/>
      <c r="AO125" s="237" t="n"/>
      <c r="AP125" s="266" t="n"/>
      <c r="AQ125" s="266" t="n"/>
      <c r="AR125" s="266" t="n"/>
      <c r="AS125" s="266" t="n"/>
      <c r="AT125" s="266" t="n"/>
      <c r="AU125" s="226" t="n"/>
      <c r="AV125" s="43" t="n"/>
      <c r="AW125" s="43">
        <f>AX125-AV125</f>
        <v/>
      </c>
      <c r="AX125" s="43">
        <f>L125</f>
        <v/>
      </c>
      <c r="AY125" s="43" t="n"/>
      <c r="AZ125" s="43" t="n">
        <v>444</v>
      </c>
      <c r="BA125" s="43">
        <f>BB125-AZ125</f>
        <v/>
      </c>
      <c r="BB125" s="43">
        <f>M125</f>
        <v/>
      </c>
      <c r="BC125" s="194" t="n"/>
      <c r="BD125" s="43" t="n">
        <v>367</v>
      </c>
      <c r="BE125" s="43">
        <f>BF125-BD125</f>
        <v/>
      </c>
      <c r="BF125" s="43">
        <f>N125</f>
        <v/>
      </c>
      <c r="BG125" s="194" t="n"/>
      <c r="BH125" s="194" t="n">
        <v>329</v>
      </c>
      <c r="BI125" s="43">
        <f>BJ125-BH125</f>
        <v/>
      </c>
      <c r="BJ125" s="43">
        <f>O125</f>
        <v/>
      </c>
      <c r="BK125" s="557" t="n"/>
      <c r="BL125" s="194" t="n">
        <v>362</v>
      </c>
      <c r="BM125" s="43">
        <f>BN125-BL125</f>
        <v/>
      </c>
      <c r="BN125" s="43">
        <f>P125</f>
        <v/>
      </c>
      <c r="BO125" s="194" t="n"/>
      <c r="BP125" s="194" t="n">
        <v>315</v>
      </c>
      <c r="BQ125" s="43">
        <f>BR125-BP125</f>
        <v/>
      </c>
      <c r="BR125" s="43">
        <f>Q125</f>
        <v/>
      </c>
      <c r="BS125" s="194" t="n"/>
      <c r="BT125" s="194" t="n">
        <v>247</v>
      </c>
      <c r="BU125" s="43">
        <f>BV125-BT125</f>
        <v/>
      </c>
      <c r="BV125" s="43">
        <f>R125</f>
        <v/>
      </c>
      <c r="BW125" s="194" t="n"/>
      <c r="BX125" s="194" t="n">
        <v>158</v>
      </c>
      <c r="BY125" s="43">
        <f>BZ125-BX125</f>
        <v/>
      </c>
      <c r="BZ125" s="43">
        <f>S125</f>
        <v/>
      </c>
      <c r="CA125" s="194" t="n"/>
      <c r="CB125" s="194" t="n">
        <v>272</v>
      </c>
      <c r="CC125" s="43">
        <f>CD125-CB125</f>
        <v/>
      </c>
      <c r="CD125" s="43">
        <f>T125</f>
        <v/>
      </c>
      <c r="CE125" s="194" t="n"/>
      <c r="CF125" s="194" t="n">
        <v>273</v>
      </c>
      <c r="CG125" s="43">
        <f>CH125-CF125</f>
        <v/>
      </c>
      <c r="CH125" s="43">
        <f>U125</f>
        <v/>
      </c>
      <c r="CI125" s="43" t="n"/>
      <c r="CJ125" s="194" t="n">
        <v>299</v>
      </c>
      <c r="CK125" s="43">
        <f>CL125-CJ125</f>
        <v/>
      </c>
      <c r="CL125" s="43">
        <f>V125</f>
        <v/>
      </c>
      <c r="CM125" s="43" t="n"/>
      <c r="CN125" s="194" t="n">
        <v>414</v>
      </c>
      <c r="CO125" s="194">
        <f>CP125-CN125</f>
        <v/>
      </c>
      <c r="CP125" s="194">
        <f>W125</f>
        <v/>
      </c>
      <c r="CQ125" s="194" t="n"/>
      <c r="CR125" s="43" t="n">
        <v>461</v>
      </c>
      <c r="CS125" s="43" t="n">
        <v>461</v>
      </c>
      <c r="CT125" s="43">
        <f>CU125-CR125</f>
        <v/>
      </c>
      <c r="CU125" s="194">
        <f>X125</f>
        <v/>
      </c>
      <c r="CV125" s="194" t="n"/>
      <c r="CW125" s="43" t="n">
        <v>258</v>
      </c>
      <c r="CX125" s="43">
        <f>CY125-CW125</f>
        <v/>
      </c>
      <c r="CY125" s="194">
        <f>Y125</f>
        <v/>
      </c>
      <c r="CZ125" s="43">
        <f>CX125/CT125-1</f>
        <v/>
      </c>
      <c r="DA125" s="43" t="n">
        <v>357</v>
      </c>
      <c r="DB125" s="43">
        <f>DC125-DA125</f>
        <v/>
      </c>
      <c r="DC125" s="194">
        <f>Z125</f>
        <v/>
      </c>
      <c r="DD125" s="43" t="n"/>
      <c r="DE125" s="43" t="n">
        <v>398</v>
      </c>
      <c r="DF125" s="43">
        <f>DG125-DE125</f>
        <v/>
      </c>
      <c r="DG125" s="194">
        <f>AA125</f>
        <v/>
      </c>
      <c r="DH125" s="625" t="n"/>
      <c r="DI125" s="194" t="n">
        <v>388</v>
      </c>
      <c r="DJ125" s="246">
        <f>+DK125-DI125</f>
        <v/>
      </c>
      <c r="DK125" s="194">
        <f>AB125</f>
        <v/>
      </c>
      <c r="DL125" s="194" t="n"/>
      <c r="DM125" s="194" t="n">
        <v>386</v>
      </c>
      <c r="DN125" s="246">
        <f>+DO125-DM125</f>
        <v/>
      </c>
      <c r="DO125" s="194">
        <f>AC125</f>
        <v/>
      </c>
      <c r="DP125" s="625" t="n"/>
      <c r="DQ125" s="237" t="n">
        <v>401</v>
      </c>
      <c r="DR125" s="246">
        <f>+DS125-DQ125</f>
        <v/>
      </c>
      <c r="DS125" s="246">
        <f>AD125</f>
        <v/>
      </c>
      <c r="DT125" s="557" t="n"/>
      <c r="DU125" s="237" t="n">
        <v>400</v>
      </c>
      <c r="DV125" s="194">
        <f>+DW125-DU125</f>
        <v/>
      </c>
      <c r="DW125" s="194">
        <f>AE125</f>
        <v/>
      </c>
      <c r="DX125" s="246" t="n"/>
      <c r="DY125" s="237" t="n">
        <v>371</v>
      </c>
      <c r="DZ125" s="194">
        <f>+EA125-DY125</f>
        <v/>
      </c>
      <c r="EA125" s="194">
        <f>AF125</f>
        <v/>
      </c>
      <c r="EB125" s="194" t="n"/>
      <c r="EC125" s="237" t="n">
        <v>320</v>
      </c>
      <c r="ED125" s="194">
        <f>+EE125-EC125</f>
        <v/>
      </c>
      <c r="EE125" s="194">
        <f>AG125</f>
        <v/>
      </c>
      <c r="EF125" s="194" t="n"/>
      <c r="EG125" s="237" t="n">
        <v>398</v>
      </c>
      <c r="EH125" s="194">
        <f>+EI125-EG125</f>
        <v/>
      </c>
      <c r="EI125" s="194">
        <f>AH125</f>
        <v/>
      </c>
      <c r="EJ125" s="194" t="n"/>
      <c r="EK125" s="237" t="n">
        <v>503</v>
      </c>
      <c r="EL125" s="194">
        <f>+EM125-EK125</f>
        <v/>
      </c>
      <c r="EM125" s="194">
        <f>AI125</f>
        <v/>
      </c>
      <c r="EN125" s="194" t="n"/>
      <c r="EO125" s="237" t="n">
        <v>125</v>
      </c>
      <c r="EP125" s="194">
        <f>+EQ125-EO125</f>
        <v/>
      </c>
      <c r="EQ125" s="120">
        <f>AJ125</f>
        <v/>
      </c>
      <c r="ER125" s="120" t="n"/>
      <c r="ES125" s="237" t="n">
        <v>16</v>
      </c>
      <c r="ET125" s="194">
        <f>+EU125-ES125</f>
        <v/>
      </c>
      <c r="EU125" s="120">
        <f>AK125</f>
        <v/>
      </c>
      <c r="EV125" s="120" t="n"/>
      <c r="EW125" s="237" t="n"/>
      <c r="EX125" s="194" t="n"/>
      <c r="EY125" s="120" t="n"/>
      <c r="FA125" s="237" t="n"/>
      <c r="FB125" s="194" t="n"/>
      <c r="FC125" s="120" t="n"/>
      <c r="FE125" s="237" t="n"/>
      <c r="FF125" s="194" t="n"/>
      <c r="FG125" s="120" t="n"/>
      <c r="FI125" s="266" t="n"/>
      <c r="FJ125" s="194" t="n"/>
      <c r="FK125" s="120" t="n"/>
      <c r="FM125" s="266" t="n"/>
      <c r="FN125" s="266" t="n"/>
      <c r="FO125" s="120" t="n"/>
    </row>
    <row r="126">
      <c r="B126" s="961" t="inlineStr">
        <is>
          <t>Other direct costs</t>
        </is>
      </c>
      <c r="C126" s="1129" t="n"/>
      <c r="D126" s="1129" t="n"/>
      <c r="E126" s="1129" t="n"/>
      <c r="F126" s="1129" t="n"/>
      <c r="G126" s="1129" t="n"/>
      <c r="H126" s="1129">
        <f>H131-SUM(H121:H125)-SUM(H127:H129)</f>
        <v/>
      </c>
      <c r="I126" s="1129">
        <f>I131-SUM(I121:I125)-SUM(I127:I129)</f>
        <v/>
      </c>
      <c r="J126" s="1129">
        <f>J131-SUM(J121:J125)-SUM(J127:J129)</f>
        <v/>
      </c>
      <c r="K126" s="1129" t="n">
        <v>848</v>
      </c>
      <c r="L126" s="1129" t="n">
        <v>903</v>
      </c>
      <c r="M126" s="1129" t="n">
        <v>850</v>
      </c>
      <c r="N126" s="1129" t="n">
        <v>1128</v>
      </c>
      <c r="O126" s="1129" t="n">
        <v>935</v>
      </c>
      <c r="P126" s="1129" t="n">
        <v>686</v>
      </c>
      <c r="Q126" s="1129" t="n">
        <v>729.7227199999938</v>
      </c>
      <c r="R126" s="1129" t="n">
        <v>881</v>
      </c>
      <c r="S126" s="1129" t="n">
        <v>550</v>
      </c>
      <c r="T126" s="1129">
        <f>37514-SUM(T121:T125,T127:T129)</f>
        <v/>
      </c>
      <c r="U126" s="1129">
        <f>46766-SUM(U121:U125,U127:U129)</f>
        <v/>
      </c>
      <c r="V126" s="1129">
        <f>55565-SUM(V121:V125,V127:V129)</f>
        <v/>
      </c>
      <c r="W126" s="1129">
        <f>67619-SUM(W121:W125,W127:W129)</f>
        <v/>
      </c>
      <c r="X126" s="1129">
        <f>94039-SUM(X121:X125,X127:X129)</f>
        <v/>
      </c>
      <c r="Y126" s="1129">
        <f>62499-SUM(Y127:Y129,Y121:Y125)</f>
        <v/>
      </c>
      <c r="Z126" s="1129">
        <f>78471-618-SUM(Z127:Z129,Z121:Z125)</f>
        <v/>
      </c>
      <c r="AA126" s="1129">
        <f>3794+3697-250</f>
        <v/>
      </c>
      <c r="AB126" s="1129">
        <f>4140+4017-52-140-247</f>
        <v/>
      </c>
      <c r="AC126" s="1129">
        <f>4138+4116-13-210+213</f>
        <v/>
      </c>
      <c r="AD126" s="237">
        <f>4438+4119</f>
        <v/>
      </c>
      <c r="AE126" s="237">
        <f>4713+2837+57.12*8.6</f>
        <v/>
      </c>
      <c r="AF126" s="237">
        <f>4734+3270</f>
        <v/>
      </c>
      <c r="AG126" s="237">
        <f>4996+3340-586-244</f>
        <v/>
      </c>
      <c r="AH126" s="237">
        <f>5292+4750</f>
        <v/>
      </c>
      <c r="AI126" s="237">
        <f>5306+4847</f>
        <v/>
      </c>
      <c r="AJ126" s="237">
        <f>1102+2987</f>
        <v/>
      </c>
      <c r="AK126" s="237">
        <f>366+3622-AK125</f>
        <v/>
      </c>
      <c r="AL126" s="237">
        <f>694+4513</f>
        <v/>
      </c>
      <c r="AM126" s="237">
        <f>3026+7701</f>
        <v/>
      </c>
      <c r="AN126" s="237">
        <f>4175+6888</f>
        <v/>
      </c>
      <c r="AO126" s="194">
        <f>SUM(FI126:FJ126)</f>
        <v/>
      </c>
      <c r="AP126" s="194">
        <f>SUM(FM126:FN126)</f>
        <v/>
      </c>
      <c r="AQ126" s="194">
        <f>AP126*(1+AQ$5)/(1+AQ$99)</f>
        <v/>
      </c>
      <c r="AR126" s="194">
        <f>AQ126*(1+AR$5)/(1+AR$99)</f>
        <v/>
      </c>
      <c r="AS126" s="194">
        <f>AR126*(1+AS$5)/(1+AS$99)</f>
        <v/>
      </c>
      <c r="AT126" s="194">
        <f>AS126*(1+AT$5)/(1+AT$99)</f>
        <v/>
      </c>
      <c r="AU126" s="226" t="n"/>
      <c r="AV126" s="43" t="n"/>
      <c r="AW126" s="43">
        <f>AX126-AV126</f>
        <v/>
      </c>
      <c r="AX126" s="43">
        <f>L126</f>
        <v/>
      </c>
      <c r="AY126" s="43" t="n"/>
      <c r="AZ126" s="43" t="n"/>
      <c r="BA126" s="43">
        <f>BB126-AZ126</f>
        <v/>
      </c>
      <c r="BB126" s="43">
        <f>M126</f>
        <v/>
      </c>
      <c r="BC126" s="194" t="n"/>
      <c r="BD126" s="43" t="n">
        <v>592.54</v>
      </c>
      <c r="BE126" s="43">
        <f>BF126-BD126</f>
        <v/>
      </c>
      <c r="BF126" s="43">
        <f>N126</f>
        <v/>
      </c>
      <c r="BG126" s="194" t="n"/>
      <c r="BH126" s="223" t="n">
        <v>437</v>
      </c>
      <c r="BI126" s="43">
        <f>BJ126-BH126</f>
        <v/>
      </c>
      <c r="BJ126" s="43">
        <f>O126</f>
        <v/>
      </c>
      <c r="BK126" s="557" t="n"/>
      <c r="BL126" s="696" t="n">
        <v>449.876808021834</v>
      </c>
      <c r="BM126" s="43">
        <f>BN126-BL126</f>
        <v/>
      </c>
      <c r="BN126" s="43">
        <f>P126</f>
        <v/>
      </c>
      <c r="BO126" s="194" t="n"/>
      <c r="BP126" s="194" t="n">
        <v>478</v>
      </c>
      <c r="BQ126" s="43">
        <f>BR126-BP126</f>
        <v/>
      </c>
      <c r="BR126" s="43">
        <f>Q126</f>
        <v/>
      </c>
      <c r="BS126" s="194" t="n"/>
      <c r="BT126" s="194" t="n">
        <v>402</v>
      </c>
      <c r="BU126" s="43">
        <f>BV126-BT126</f>
        <v/>
      </c>
      <c r="BV126" s="43">
        <f>R126</f>
        <v/>
      </c>
      <c r="BW126" s="194" t="n"/>
      <c r="BX126" s="194" t="n">
        <v>299</v>
      </c>
      <c r="BY126" s="43">
        <f>BZ126-BX126</f>
        <v/>
      </c>
      <c r="BZ126" s="43">
        <f>S126</f>
        <v/>
      </c>
      <c r="CA126" s="194" t="n"/>
      <c r="CB126" s="194">
        <f>CB131-SUM(CB121:CB125,CB127:CB129)</f>
        <v/>
      </c>
      <c r="CC126" s="43">
        <f>CD126-CB126</f>
        <v/>
      </c>
      <c r="CD126" s="43">
        <f>T126</f>
        <v/>
      </c>
      <c r="CE126" s="194" t="n"/>
      <c r="CF126" s="194">
        <f>CF131-SUM(CF121:CF125,CF127:CF129)</f>
        <v/>
      </c>
      <c r="CG126" s="43">
        <f>CH126-CF126</f>
        <v/>
      </c>
      <c r="CH126" s="43">
        <f>U126</f>
        <v/>
      </c>
      <c r="CI126" s="43" t="n"/>
      <c r="CJ126" s="194">
        <f>CJ131-SUM(CJ121:CJ125,CJ127:CJ129)</f>
        <v/>
      </c>
      <c r="CK126" s="43">
        <f>CL126-CJ126</f>
        <v/>
      </c>
      <c r="CL126" s="43">
        <f>V126</f>
        <v/>
      </c>
      <c r="CM126" s="43" t="n"/>
      <c r="CN126" s="194">
        <f>CN131-SUM(CN121:CN125,CN127:CN129)</f>
        <v/>
      </c>
      <c r="CO126" s="194">
        <f>CP126-CN126</f>
        <v/>
      </c>
      <c r="CP126" s="194">
        <f>W126</f>
        <v/>
      </c>
      <c r="CQ126" s="194" t="n"/>
      <c r="CR126" s="43">
        <f>(CN126/CP126)*CU126</f>
        <v/>
      </c>
      <c r="CS126" s="43">
        <f>CS131-CS129-CS128-CS125-CS124-CS123-CS122-CS121</f>
        <v/>
      </c>
      <c r="CT126" s="43">
        <f>CU126-CR126</f>
        <v/>
      </c>
      <c r="CU126" s="194">
        <f>X126</f>
        <v/>
      </c>
      <c r="CV126" s="194" t="n"/>
      <c r="CW126" s="43">
        <f>CW131-CW129-CW128-CW125-CW124-CW123-CW122-CW121</f>
        <v/>
      </c>
      <c r="CX126" s="43">
        <f>CY126-CW126</f>
        <v/>
      </c>
      <c r="CY126" s="194">
        <f>Y126</f>
        <v/>
      </c>
      <c r="CZ126" s="43">
        <f>CX126/CT126-1</f>
        <v/>
      </c>
      <c r="DA126" s="43">
        <f>DA131-DA129-DA128-DA125-DA124-DA123-DA122-DA121</f>
        <v/>
      </c>
      <c r="DB126" s="43">
        <f>DC126-DA126</f>
        <v/>
      </c>
      <c r="DC126" s="194">
        <f>Z126</f>
        <v/>
      </c>
      <c r="DD126" s="43" t="n"/>
      <c r="DE126" s="43">
        <f>DE131-DE129-DE128-DE125-DE124-DE123-DE122-DE121</f>
        <v/>
      </c>
      <c r="DF126" s="43">
        <f>DG126-DE126</f>
        <v/>
      </c>
      <c r="DG126" s="194">
        <f>AA126</f>
        <v/>
      </c>
      <c r="DH126" s="625" t="n"/>
      <c r="DI126" s="194">
        <f>1911+1979-247-37</f>
        <v/>
      </c>
      <c r="DJ126" s="246">
        <f>+DK126-DI126</f>
        <v/>
      </c>
      <c r="DK126" s="194">
        <f>AB126</f>
        <v/>
      </c>
      <c r="DL126" s="194" t="n"/>
      <c r="DM126" s="194">
        <f>1986+2088-12</f>
        <v/>
      </c>
      <c r="DN126" s="246">
        <f>+DO126-DM126</f>
        <v/>
      </c>
      <c r="DO126" s="194">
        <f>AC126</f>
        <v/>
      </c>
      <c r="DP126" s="625" t="n"/>
      <c r="DQ126" s="237">
        <f>2162+2176</f>
        <v/>
      </c>
      <c r="DR126" s="246">
        <f>+DS126-DQ126</f>
        <v/>
      </c>
      <c r="DS126" s="246">
        <f>AD126</f>
        <v/>
      </c>
      <c r="DT126" s="557" t="n"/>
      <c r="DU126" s="237">
        <f>2284+1730</f>
        <v/>
      </c>
      <c r="DV126" s="194">
        <f>+DW126-DU126</f>
        <v/>
      </c>
      <c r="DW126" s="194">
        <f>AE126</f>
        <v/>
      </c>
      <c r="DX126" s="246" t="n"/>
      <c r="DY126" s="237">
        <f>2372+1326</f>
        <v/>
      </c>
      <c r="DZ126" s="194">
        <f>+EA126-DY126</f>
        <v/>
      </c>
      <c r="EA126" s="194">
        <f>AF126</f>
        <v/>
      </c>
      <c r="EB126" s="194" t="n"/>
      <c r="EC126" s="237">
        <f>2412+2157-586-244</f>
        <v/>
      </c>
      <c r="ED126" s="194">
        <f>+EE126-EC126</f>
        <v/>
      </c>
      <c r="EE126" s="194">
        <f>AG126</f>
        <v/>
      </c>
      <c r="EF126" s="194" t="n"/>
      <c r="EG126" s="237">
        <f>2625+2252</f>
        <v/>
      </c>
      <c r="EH126" s="194">
        <f>+EI126-EG126</f>
        <v/>
      </c>
      <c r="EI126" s="194">
        <f>AH126</f>
        <v/>
      </c>
      <c r="EJ126" s="194" t="n"/>
      <c r="EK126" s="237">
        <f>2682+2269</f>
        <v/>
      </c>
      <c r="EL126" s="194">
        <f>+EM126-EK126</f>
        <v/>
      </c>
      <c r="EM126" s="194">
        <f>AI126</f>
        <v/>
      </c>
      <c r="EN126" s="194" t="n"/>
      <c r="EO126" s="237">
        <f>949+1431</f>
        <v/>
      </c>
      <c r="EP126" s="194">
        <f>+EQ126-EO126</f>
        <v/>
      </c>
      <c r="EQ126" s="120">
        <f>AJ126</f>
        <v/>
      </c>
      <c r="ER126" s="120" t="n"/>
      <c r="ES126" s="237">
        <f>141+1648</f>
        <v/>
      </c>
      <c r="ET126" s="194">
        <f>+EU126-ES126</f>
        <v/>
      </c>
      <c r="EU126" s="120">
        <f>AK126</f>
        <v/>
      </c>
      <c r="EV126" s="120" t="n"/>
      <c r="EW126" s="237">
        <f>166+2045</f>
        <v/>
      </c>
      <c r="EX126" s="194">
        <f>+EY126-EW126</f>
        <v/>
      </c>
      <c r="EY126" s="120">
        <f>AL126</f>
        <v/>
      </c>
      <c r="FA126" s="237">
        <f>1244+3799</f>
        <v/>
      </c>
      <c r="FB126" s="194">
        <f>+FC126-FA126</f>
        <v/>
      </c>
      <c r="FC126" s="120">
        <f>AM126</f>
        <v/>
      </c>
      <c r="FE126" s="237">
        <f>1957+3006</f>
        <v/>
      </c>
      <c r="FF126" s="194">
        <f>+FG126-FE126</f>
        <v/>
      </c>
      <c r="FG126" s="120">
        <f>AN126</f>
        <v/>
      </c>
      <c r="FI126" s="237">
        <f>2583+3403</f>
        <v/>
      </c>
      <c r="FJ126" s="194">
        <f>+FK126-FI126</f>
        <v/>
      </c>
      <c r="FK126" s="120">
        <f>AO126</f>
        <v/>
      </c>
      <c r="FM126" s="237">
        <f>3140+3539</f>
        <v/>
      </c>
      <c r="FN126" s="194">
        <f>FJ126*(1+FN$5)/(1+FN$99)</f>
        <v/>
      </c>
      <c r="FO126" s="120">
        <f>AP126</f>
        <v/>
      </c>
    </row>
    <row r="127">
      <c r="B127" s="961" t="inlineStr">
        <is>
          <t>Catering / other services cost</t>
        </is>
      </c>
      <c r="C127" s="1129" t="n"/>
      <c r="D127" s="1129" t="n"/>
      <c r="E127" s="1129" t="n"/>
      <c r="F127" s="1129" t="n"/>
      <c r="G127" s="1129" t="n"/>
      <c r="H127" s="1129" t="n">
        <v>793</v>
      </c>
      <c r="I127" s="1129" t="n">
        <v>1208</v>
      </c>
      <c r="J127" s="1129" t="n">
        <v>1363</v>
      </c>
      <c r="K127" s="1129">
        <f>26689-SUM(K121:K126,K128:K129)</f>
        <v/>
      </c>
      <c r="L127" s="1129">
        <f>28591.1-SUM(L121:L126,L128:L129)</f>
        <v/>
      </c>
      <c r="M127" s="1129">
        <f>28246-SUM(M121:M126,M128:M129)</f>
        <v/>
      </c>
      <c r="N127" s="1129">
        <f>26298-SUM(N121:N126,N128:N129)</f>
        <v/>
      </c>
      <c r="O127" s="1129">
        <f>25891-SUM(O121:O126,O128:O129)</f>
        <v/>
      </c>
      <c r="P127" s="1129">
        <f>29234-SUM(P121:P126,P128:P129)</f>
        <v/>
      </c>
      <c r="Q127" s="1129">
        <f>29604-SUM(Q121:Q126,Q128:Q129)</f>
        <v/>
      </c>
      <c r="R127" s="1129" t="n"/>
      <c r="S127" s="1129" t="n"/>
      <c r="T127" s="1129" t="n"/>
      <c r="U127" s="1129" t="n"/>
      <c r="V127" s="1129" t="n"/>
      <c r="W127" s="1129" t="n"/>
      <c r="X127" s="1129" t="n"/>
      <c r="Y127" s="1129" t="n"/>
      <c r="Z127" s="1129" t="n"/>
      <c r="AA127" s="1129" t="n"/>
      <c r="AB127" s="1129" t="n"/>
      <c r="AC127" s="1129" t="n"/>
      <c r="AD127" s="237" t="n"/>
      <c r="AE127" s="237" t="n"/>
      <c r="AF127" s="237" t="n"/>
      <c r="AG127" s="237" t="n"/>
      <c r="AH127" s="237" t="n"/>
      <c r="AI127" s="237" t="n"/>
      <c r="AJ127" s="237" t="n"/>
      <c r="AK127" s="226" t="n"/>
      <c r="AL127" s="226" t="n"/>
      <c r="AM127" s="226" t="n"/>
      <c r="AN127" s="226" t="n"/>
      <c r="AO127" s="226" t="n"/>
      <c r="AP127" s="226" t="n"/>
      <c r="AQ127" s="226" t="n"/>
      <c r="AR127" s="226" t="n"/>
      <c r="AS127" s="226" t="n"/>
      <c r="AT127" s="226" t="n"/>
      <c r="AU127" s="226" t="n"/>
      <c r="AV127" s="43" t="n"/>
      <c r="AW127" s="43">
        <f>AX127-AV127</f>
        <v/>
      </c>
      <c r="AX127" s="43">
        <f>L127</f>
        <v/>
      </c>
      <c r="AY127" s="43" t="n"/>
      <c r="AZ127" s="43" t="n"/>
      <c r="BA127" s="43">
        <f>BB127-AZ127</f>
        <v/>
      </c>
      <c r="BB127" s="43">
        <f>M127</f>
        <v/>
      </c>
      <c r="BC127" s="194" t="n"/>
      <c r="BD127" s="43">
        <f>BF127*0.51</f>
        <v/>
      </c>
      <c r="BE127" s="43">
        <f>BF127-BD127</f>
        <v/>
      </c>
      <c r="BF127" s="43">
        <f>N127</f>
        <v/>
      </c>
      <c r="BG127" s="194" t="n"/>
      <c r="BH127" s="194">
        <f>12877-SUM(BH121:BH126,BH128:BH129)</f>
        <v/>
      </c>
      <c r="BI127" s="43">
        <f>BJ127-BH127</f>
        <v/>
      </c>
      <c r="BJ127" s="43">
        <f>O127</f>
        <v/>
      </c>
      <c r="BK127" s="557" t="n"/>
      <c r="BL127" s="696" t="n">
        <v>234.1231919781658</v>
      </c>
      <c r="BM127" s="43">
        <f>BN127-BL127</f>
        <v/>
      </c>
      <c r="BN127" s="43">
        <f>P127</f>
        <v/>
      </c>
      <c r="BO127" s="194" t="n"/>
      <c r="BP127" s="194">
        <f>14803-SUM(BP121:BP126,BP128:BP129)</f>
        <v/>
      </c>
      <c r="BQ127" s="43">
        <f>BR127-BP127</f>
        <v/>
      </c>
      <c r="BR127" s="43">
        <f>Q127</f>
        <v/>
      </c>
      <c r="BS127" s="194" t="n"/>
      <c r="BT127" s="194">
        <f>13675-SUM(BT121:BT126,BT128:BT129)</f>
        <v/>
      </c>
      <c r="BU127" s="43" t="n"/>
      <c r="BV127" s="43" t="n"/>
      <c r="BW127" s="194" t="n"/>
      <c r="BX127" s="43" t="n"/>
      <c r="BY127" s="43" t="n"/>
      <c r="BZ127" s="43" t="n"/>
      <c r="CA127" s="194" t="n"/>
      <c r="CB127" s="43" t="n"/>
      <c r="CC127" s="43" t="n"/>
      <c r="CD127" s="43" t="n"/>
      <c r="CE127" s="43" t="n"/>
      <c r="CF127" s="43" t="n"/>
      <c r="CG127" s="43" t="n"/>
      <c r="CH127" s="43" t="n"/>
      <c r="CI127" s="43" t="n"/>
      <c r="CJ127" s="43" t="n"/>
      <c r="CK127" s="43" t="n"/>
      <c r="CL127" s="43" t="n"/>
      <c r="CM127" s="43" t="n"/>
      <c r="CN127" s="43" t="n"/>
      <c r="CO127" s="43" t="n"/>
      <c r="CP127" s="43" t="n"/>
      <c r="CQ127" s="43" t="n"/>
      <c r="CR127" s="43" t="n"/>
      <c r="CS127" s="43" t="n"/>
      <c r="CT127" s="43" t="n"/>
      <c r="CU127" s="43" t="n"/>
      <c r="CV127" s="43" t="n"/>
      <c r="CW127" s="43" t="n"/>
      <c r="CX127" s="43" t="n"/>
      <c r="CY127" s="43" t="n"/>
      <c r="CZ127" s="43" t="n"/>
      <c r="DA127" s="43" t="n"/>
      <c r="DB127" s="43" t="n"/>
      <c r="DC127" s="43" t="n"/>
      <c r="DD127" s="43" t="n"/>
      <c r="DE127" s="43" t="n"/>
      <c r="DF127" s="43" t="n"/>
      <c r="DG127" s="43" t="n"/>
      <c r="DH127" s="625" t="n"/>
      <c r="DI127" s="194" t="n"/>
      <c r="DJ127" s="246" t="n"/>
      <c r="DK127" s="194" t="n"/>
      <c r="DL127" s="43" t="n"/>
      <c r="DM127" s="194" t="n"/>
      <c r="DN127" s="246" t="n"/>
      <c r="DO127" s="194" t="n"/>
      <c r="DP127" s="625" t="n"/>
      <c r="DQ127" s="237" t="n"/>
      <c r="DR127" s="246" t="n"/>
      <c r="DS127" s="246" t="n"/>
      <c r="DT127" s="557" t="n"/>
      <c r="DU127" s="237" t="n"/>
      <c r="DV127" s="194" t="n"/>
      <c r="DW127" s="194" t="n"/>
      <c r="DX127" s="246" t="n"/>
      <c r="DY127" s="194" t="n"/>
      <c r="DZ127" s="194" t="n"/>
      <c r="EA127" s="194" t="n"/>
      <c r="EB127" s="194" t="n"/>
      <c r="EC127" s="194" t="n"/>
      <c r="ED127" s="194" t="n"/>
      <c r="EE127" s="194" t="n"/>
      <c r="EF127" s="194" t="n"/>
      <c r="EG127" s="194" t="n"/>
      <c r="EH127" s="194" t="n"/>
      <c r="EI127" s="194" t="n"/>
      <c r="EJ127" s="194" t="n"/>
      <c r="EK127" s="194" t="n"/>
      <c r="EL127" s="194" t="n"/>
      <c r="EM127" s="194" t="n"/>
      <c r="EN127" s="194" t="n"/>
      <c r="EO127" s="194" t="n"/>
      <c r="EP127" s="194" t="n"/>
      <c r="EQ127" s="120" t="n"/>
      <c r="ER127" s="120" t="n"/>
      <c r="ET127" s="194" t="n"/>
      <c r="EU127" s="120" t="n"/>
      <c r="EV127" s="120" t="n"/>
      <c r="EX127" s="194" t="n"/>
      <c r="EY127" s="120" t="n"/>
      <c r="FB127" s="194" t="n"/>
      <c r="FC127" s="120" t="n"/>
      <c r="FF127" s="194" t="n"/>
      <c r="FG127" s="120" t="n"/>
      <c r="FI127" s="266" t="n"/>
      <c r="FJ127" s="194" t="n"/>
      <c r="FK127" s="120" t="n"/>
      <c r="FM127" s="266" t="n"/>
      <c r="FN127" s="266" t="n"/>
      <c r="FO127" s="120" t="n"/>
    </row>
    <row r="128">
      <c r="A128" s="960" t="inlineStr">
        <is>
          <t>lease rental</t>
        </is>
      </c>
      <c r="B128" s="961" t="inlineStr">
        <is>
          <t>Aircraft leases</t>
        </is>
      </c>
      <c r="C128" s="1129" t="n"/>
      <c r="D128" s="1129" t="n">
        <v>91.3</v>
      </c>
      <c r="E128" s="1129" t="n">
        <v>91.40000000000001</v>
      </c>
      <c r="F128" s="1129" t="n">
        <v>197</v>
      </c>
      <c r="G128" s="1129" t="n">
        <v>125</v>
      </c>
      <c r="H128" s="1129" t="n">
        <v>225</v>
      </c>
      <c r="I128" s="1129" t="n">
        <v>233</v>
      </c>
      <c r="J128" s="1129" t="n">
        <v>453</v>
      </c>
      <c r="K128" s="1129" t="n">
        <v>617</v>
      </c>
      <c r="L128" s="1129" t="n">
        <v>608</v>
      </c>
      <c r="M128" s="1129" t="n">
        <v>219</v>
      </c>
      <c r="N128" s="1129" t="n">
        <v>205</v>
      </c>
      <c r="O128" s="1129" t="n">
        <v>410</v>
      </c>
      <c r="P128" s="1129" t="n">
        <v>616</v>
      </c>
      <c r="Q128" s="1129" t="n">
        <v>753</v>
      </c>
      <c r="R128" s="1129" t="n">
        <v>444</v>
      </c>
      <c r="S128" s="1129" t="n">
        <v>675</v>
      </c>
      <c r="T128" s="1129" t="n">
        <v>948</v>
      </c>
      <c r="U128" s="1129" t="n">
        <v>1258</v>
      </c>
      <c r="V128" s="1129" t="n">
        <v>1379</v>
      </c>
      <c r="W128" s="1129" t="n">
        <v>1941</v>
      </c>
      <c r="X128" s="1129" t="n">
        <v>2436</v>
      </c>
      <c r="Y128" s="1129" t="n">
        <v>2707</v>
      </c>
      <c r="Z128" s="1129" t="n">
        <v>2343</v>
      </c>
      <c r="AA128" s="1129">
        <f>734+2465+35</f>
        <v/>
      </c>
      <c r="AB128" s="1129">
        <f>823+2715+34</f>
        <v/>
      </c>
      <c r="AC128" s="1129">
        <f>938+3139+34</f>
        <v/>
      </c>
      <c r="AD128" s="237">
        <f>979+3167+42</f>
        <v/>
      </c>
      <c r="AE128" s="237">
        <f>969+3318+47</f>
        <v/>
      </c>
      <c r="AF128" s="237" t="n">
        <v>4149</v>
      </c>
      <c r="AG128" s="237">
        <f>1090+4126+70</f>
        <v/>
      </c>
      <c r="AH128" s="237">
        <f>1107+4579+106</f>
        <v/>
      </c>
      <c r="AI128" s="237" t="n">
        <v>0</v>
      </c>
      <c r="AJ128" s="237" t="n">
        <v>0</v>
      </c>
      <c r="AK128" s="237" t="n">
        <v>0</v>
      </c>
      <c r="AL128" s="237" t="n">
        <v>0</v>
      </c>
      <c r="AM128" s="237" t="n">
        <v>0</v>
      </c>
      <c r="AN128" s="237" t="n">
        <v>0</v>
      </c>
      <c r="AO128" s="403" t="n">
        <v>0</v>
      </c>
      <c r="AP128" s="403" t="n">
        <v>0</v>
      </c>
      <c r="AQ128" s="403" t="n">
        <v>0</v>
      </c>
      <c r="AR128" s="403" t="n">
        <v>0</v>
      </c>
      <c r="AS128" s="403" t="n">
        <v>0</v>
      </c>
      <c r="AT128" s="403" t="n">
        <v>0</v>
      </c>
      <c r="AU128" s="226" t="n"/>
      <c r="AV128" s="43" t="n">
        <v>319</v>
      </c>
      <c r="AW128" s="43">
        <f>AX128-AV128</f>
        <v/>
      </c>
      <c r="AX128" s="43">
        <f>L128</f>
        <v/>
      </c>
      <c r="AY128" s="43" t="n"/>
      <c r="AZ128" s="43" t="n">
        <v>116</v>
      </c>
      <c r="BA128" s="43">
        <f>BB128-AZ128</f>
        <v/>
      </c>
      <c r="BB128" s="43">
        <f>M128</f>
        <v/>
      </c>
      <c r="BC128" s="194" t="n"/>
      <c r="BD128" s="43" t="n">
        <v>103</v>
      </c>
      <c r="BE128" s="43">
        <f>BF128-BD128</f>
        <v/>
      </c>
      <c r="BF128" s="43">
        <f>N128</f>
        <v/>
      </c>
      <c r="BG128" s="194" t="n"/>
      <c r="BH128" s="43" t="n">
        <v>297</v>
      </c>
      <c r="BI128" s="43">
        <f>BJ128-BH128</f>
        <v/>
      </c>
      <c r="BJ128" s="43">
        <f>O128</f>
        <v/>
      </c>
      <c r="BK128" s="557" t="n"/>
      <c r="BL128" s="43" t="n">
        <v>213</v>
      </c>
      <c r="BM128" s="43">
        <f>BN128-BL128</f>
        <v/>
      </c>
      <c r="BN128" s="43">
        <f>P128</f>
        <v/>
      </c>
      <c r="BO128" s="43" t="n"/>
      <c r="BP128" s="43" t="n">
        <v>350</v>
      </c>
      <c r="BQ128" s="43">
        <f>BR128-BP128</f>
        <v/>
      </c>
      <c r="BR128" s="43">
        <f>Q128</f>
        <v/>
      </c>
      <c r="BS128" s="194" t="n"/>
      <c r="BT128" s="43" t="n">
        <v>450</v>
      </c>
      <c r="BU128" s="43">
        <f>BV128-BT128</f>
        <v/>
      </c>
      <c r="BV128" s="43">
        <f>R128</f>
        <v/>
      </c>
      <c r="BW128" s="194" t="n"/>
      <c r="BX128" s="43" t="n">
        <v>324</v>
      </c>
      <c r="BY128" s="43">
        <f>BZ128-BX128</f>
        <v/>
      </c>
      <c r="BZ128" s="43">
        <f>S128</f>
        <v/>
      </c>
      <c r="CA128" s="194" t="n"/>
      <c r="CB128" s="43" t="n">
        <v>409</v>
      </c>
      <c r="CC128" s="43">
        <f>CD128-CB128</f>
        <v/>
      </c>
      <c r="CD128" s="43">
        <f>T128</f>
        <v/>
      </c>
      <c r="CE128" s="43" t="n"/>
      <c r="CF128" s="43" t="n">
        <v>591</v>
      </c>
      <c r="CG128" s="43">
        <f>CH128-CF128</f>
        <v/>
      </c>
      <c r="CH128" s="43">
        <f>U128</f>
        <v/>
      </c>
      <c r="CI128" s="43" t="n"/>
      <c r="CJ128" s="43" t="n">
        <v>589</v>
      </c>
      <c r="CK128" s="43">
        <f>CL128-CJ128</f>
        <v/>
      </c>
      <c r="CL128" s="43">
        <f>V128</f>
        <v/>
      </c>
      <c r="CM128" s="43" t="n"/>
      <c r="CN128" s="43" t="n">
        <v>956</v>
      </c>
      <c r="CO128" s="43">
        <f>CP128-CN128</f>
        <v/>
      </c>
      <c r="CP128" s="43">
        <f>W128</f>
        <v/>
      </c>
      <c r="CQ128" s="43" t="n"/>
      <c r="CR128" s="43" t="n">
        <v>1197</v>
      </c>
      <c r="CS128" s="43" t="n">
        <v>1197</v>
      </c>
      <c r="CT128" s="43">
        <f>CU128-CR128</f>
        <v/>
      </c>
      <c r="CU128" s="43">
        <f>X128</f>
        <v/>
      </c>
      <c r="CV128" s="43" t="n"/>
      <c r="CW128" s="43" t="n">
        <v>1590</v>
      </c>
      <c r="CX128" s="43">
        <f>CY128-CW128</f>
        <v/>
      </c>
      <c r="CY128" s="43">
        <f>Y128</f>
        <v/>
      </c>
      <c r="CZ128" s="43">
        <f>CX128/CT128-1</f>
        <v/>
      </c>
      <c r="DA128" s="43" t="n">
        <v>1155</v>
      </c>
      <c r="DB128" s="43">
        <f>DC128-DA128</f>
        <v/>
      </c>
      <c r="DC128" s="43">
        <f>Z128</f>
        <v/>
      </c>
      <c r="DD128" s="43" t="n"/>
      <c r="DE128" s="43">
        <f>358+1201+15</f>
        <v/>
      </c>
      <c r="DF128" s="43">
        <f>DG128-DE128</f>
        <v/>
      </c>
      <c r="DG128" s="43">
        <f>AA128</f>
        <v/>
      </c>
      <c r="DH128" s="625" t="n"/>
      <c r="DI128" s="194" t="n">
        <v>1730</v>
      </c>
      <c r="DJ128" s="246">
        <f>+DK128-DI128</f>
        <v/>
      </c>
      <c r="DK128" s="194">
        <f>AB128</f>
        <v/>
      </c>
      <c r="DL128" s="43" t="n"/>
      <c r="DM128" s="194" t="n">
        <v>1913</v>
      </c>
      <c r="DN128" s="246">
        <f>+DO128-DM128</f>
        <v/>
      </c>
      <c r="DO128" s="194">
        <f>AC128</f>
        <v/>
      </c>
      <c r="DP128" s="625" t="n"/>
      <c r="DQ128" s="237">
        <f>493+1509+21</f>
        <v/>
      </c>
      <c r="DR128" s="246">
        <f>+DS128-DQ128</f>
        <v/>
      </c>
      <c r="DS128" s="246">
        <f>AD128</f>
        <v/>
      </c>
      <c r="DT128" s="557" t="n"/>
      <c r="DU128" s="237">
        <f>478+1675+22</f>
        <v/>
      </c>
      <c r="DV128" s="194">
        <f>+DW128-DU128</f>
        <v/>
      </c>
      <c r="DW128" s="194">
        <f>AE128</f>
        <v/>
      </c>
      <c r="DX128" s="246" t="n"/>
      <c r="DY128" s="237">
        <f>525+1592+31</f>
        <v/>
      </c>
      <c r="DZ128" s="194">
        <f>+EA128-DY128</f>
        <v/>
      </c>
      <c r="EA128" s="194">
        <f>AF128</f>
        <v/>
      </c>
      <c r="EB128" s="194" t="n"/>
      <c r="EC128" s="237">
        <f>535+1855+27</f>
        <v/>
      </c>
      <c r="ED128" s="194">
        <f>+EE128-EC128</f>
        <v/>
      </c>
      <c r="EE128" s="194">
        <f>AG128</f>
        <v/>
      </c>
      <c r="EF128" s="194" t="n"/>
      <c r="EG128" s="237">
        <f>566+2288+58</f>
        <v/>
      </c>
      <c r="EH128" s="194">
        <f>+EI128-EG128</f>
        <v/>
      </c>
      <c r="EI128" s="194">
        <f>AH128</f>
        <v/>
      </c>
      <c r="EJ128" s="194" t="n"/>
      <c r="EK128" s="237" t="n">
        <v>0</v>
      </c>
      <c r="EL128" s="194">
        <f>+EM128-EK128</f>
        <v/>
      </c>
      <c r="EM128" s="194">
        <f>AI128</f>
        <v/>
      </c>
      <c r="EN128" s="194" t="n"/>
      <c r="EO128" s="237" t="n">
        <v>0</v>
      </c>
      <c r="EP128" s="194">
        <f>+EQ128-EO128</f>
        <v/>
      </c>
      <c r="EQ128" s="120">
        <f>AJ128</f>
        <v/>
      </c>
      <c r="ER128" s="120" t="n"/>
      <c r="ET128" s="194" t="n"/>
      <c r="EU128" s="120">
        <f>AK128</f>
        <v/>
      </c>
      <c r="EV128" s="120" t="n"/>
      <c r="EX128" s="194" t="n"/>
      <c r="EY128" s="120">
        <f>AL128</f>
        <v/>
      </c>
      <c r="FB128" s="194" t="n"/>
      <c r="FC128" s="120">
        <f>AM128</f>
        <v/>
      </c>
      <c r="FF128" s="194" t="n"/>
      <c r="FG128" s="120">
        <f>AN128</f>
        <v/>
      </c>
      <c r="FI128" s="266" t="n">
        <v>0</v>
      </c>
      <c r="FJ128" s="194" t="n"/>
      <c r="FK128" s="120">
        <f>AO128</f>
        <v/>
      </c>
      <c r="FM128" s="266" t="n">
        <v>0</v>
      </c>
      <c r="FN128" s="266" t="n">
        <v>0</v>
      </c>
      <c r="FO128" s="120">
        <f>AP128</f>
        <v/>
      </c>
    </row>
    <row r="129">
      <c r="A129" s="960" t="inlineStr">
        <is>
          <t>dep</t>
        </is>
      </c>
      <c r="B129" s="961" t="inlineStr">
        <is>
          <t>Depreciation / amortisation</t>
        </is>
      </c>
      <c r="C129" s="1129">
        <f>363.4+315.6-226.8+136.6</f>
        <v/>
      </c>
      <c r="D129" s="1129">
        <f>565.7+339.9-252.9+154.4</f>
        <v/>
      </c>
      <c r="E129" s="1129">
        <f>625.4+461.5-249.2+152.8</f>
        <v/>
      </c>
      <c r="F129" s="1129">
        <f>791+581-261+149</f>
        <v/>
      </c>
      <c r="G129" s="1129">
        <f>1052+491-314+158</f>
        <v/>
      </c>
      <c r="H129" s="1129">
        <f>1316+416-315+81</f>
        <v/>
      </c>
      <c r="I129" s="1129">
        <f>1182+399+74</f>
        <v/>
      </c>
      <c r="J129" s="1129">
        <f>1284+438+86</f>
        <v/>
      </c>
      <c r="K129" s="1129">
        <f>1747+1039-K128</f>
        <v/>
      </c>
      <c r="L129" s="1129">
        <f>2070+1016-L128</f>
        <v/>
      </c>
      <c r="M129" s="1129">
        <f>2330+1017-M128</f>
        <v/>
      </c>
      <c r="N129" s="1129">
        <f>2743-N128</f>
        <v/>
      </c>
      <c r="O129" s="1129">
        <f>3886-O128</f>
        <v/>
      </c>
      <c r="P129" s="1129">
        <f>4244-P128</f>
        <v/>
      </c>
      <c r="Q129" s="1129">
        <f>4968-Q128</f>
        <v/>
      </c>
      <c r="R129" s="1129">
        <f>4720-R128</f>
        <v/>
      </c>
      <c r="S129" s="1129">
        <f>4860-S128</f>
        <v/>
      </c>
      <c r="T129" s="1129">
        <f>4801-T128</f>
        <v/>
      </c>
      <c r="U129" s="1129">
        <f>5345-U128</f>
        <v/>
      </c>
      <c r="V129" s="1129">
        <f>5283+862-V128</f>
        <v/>
      </c>
      <c r="W129" s="1129">
        <f>6369+998-W128</f>
        <v/>
      </c>
      <c r="X129" s="1129">
        <f>7211+1060-X128</f>
        <v/>
      </c>
      <c r="Y129" s="1129">
        <f>7978+1103-Y128</f>
        <v/>
      </c>
      <c r="Z129" s="1129">
        <f>8288+1107-Z128</f>
        <v/>
      </c>
      <c r="AA129" s="1129">
        <f>1971+4156+41</f>
        <v/>
      </c>
      <c r="AB129" s="1129">
        <f>2317+4300+122</f>
        <v/>
      </c>
      <c r="AC129" s="1129">
        <f>2525+4617+210</f>
        <v/>
      </c>
      <c r="AD129" s="237">
        <f>2442+5574+323</f>
        <v/>
      </c>
      <c r="AE129" s="237">
        <f>2234+6153+472</f>
        <v/>
      </c>
      <c r="AF129" s="237" t="n">
        <v>8859</v>
      </c>
      <c r="AG129" s="237">
        <f>2015+6809+530</f>
        <v/>
      </c>
      <c r="AH129" s="237">
        <f>2015+7234+553</f>
        <v/>
      </c>
      <c r="AI129" s="237">
        <f>12022+2991</f>
        <v/>
      </c>
      <c r="AJ129" s="237">
        <f>11879+2720</f>
        <v/>
      </c>
      <c r="AK129" s="237">
        <f>10444+2381</f>
        <v/>
      </c>
      <c r="AL129" s="237">
        <f>9884+2544</f>
        <v/>
      </c>
      <c r="AM129" s="237">
        <f>9860+2578</f>
        <v/>
      </c>
      <c r="AN129" s="237">
        <f>9801+2709</f>
        <v/>
      </c>
      <c r="AO129" s="194">
        <f>AO130*AO233</f>
        <v/>
      </c>
      <c r="AP129" s="194">
        <f>AP130*AP233</f>
        <v/>
      </c>
      <c r="AQ129" s="194">
        <f>AQ130*AQ233</f>
        <v/>
      </c>
      <c r="AR129" s="194">
        <f>AR130*AR233</f>
        <v/>
      </c>
      <c r="AS129" s="194">
        <f>AS130*AS233</f>
        <v/>
      </c>
      <c r="AT129" s="194">
        <f>AT130*AT233</f>
        <v/>
      </c>
      <c r="AU129" s="226" t="n"/>
      <c r="AV129" s="43" t="n">
        <v>929</v>
      </c>
      <c r="AW129" s="43">
        <f>AX129-AV129</f>
        <v/>
      </c>
      <c r="AX129" s="43">
        <f>L129</f>
        <v/>
      </c>
      <c r="AY129" s="43" t="n"/>
      <c r="AZ129" s="43" t="n">
        <v>1199</v>
      </c>
      <c r="BA129" s="43">
        <f>BB129-AZ129</f>
        <v/>
      </c>
      <c r="BB129" s="43">
        <f>M129</f>
        <v/>
      </c>
      <c r="BC129" s="194" t="n"/>
      <c r="BD129" s="43">
        <f>785+443</f>
        <v/>
      </c>
      <c r="BE129" s="43">
        <f>BF129-BD129</f>
        <v/>
      </c>
      <c r="BF129" s="43">
        <f>N129</f>
        <v/>
      </c>
      <c r="BG129" s="194" t="n"/>
      <c r="BH129" s="194">
        <f>2161-BH128</f>
        <v/>
      </c>
      <c r="BI129" s="43">
        <f>BJ129-BH129</f>
        <v/>
      </c>
      <c r="BJ129" s="43">
        <f>O129</f>
        <v/>
      </c>
      <c r="BK129" s="557" t="n"/>
      <c r="BL129" s="194">
        <f>1956-BL128</f>
        <v/>
      </c>
      <c r="BM129" s="43">
        <f>BN129-BL129</f>
        <v/>
      </c>
      <c r="BN129" s="43">
        <f>P129</f>
        <v/>
      </c>
      <c r="BO129" s="194" t="n"/>
      <c r="BP129" s="194">
        <f>2087-BP128</f>
        <v/>
      </c>
      <c r="BQ129" s="43">
        <f>BR129-BP129</f>
        <v/>
      </c>
      <c r="BR129" s="43">
        <f>Q129</f>
        <v/>
      </c>
      <c r="BS129" s="194" t="n"/>
      <c r="BT129" s="194">
        <f>2317-BT128</f>
        <v/>
      </c>
      <c r="BU129" s="43">
        <f>BV129-BT129</f>
        <v/>
      </c>
      <c r="BV129" s="43">
        <f>R129</f>
        <v/>
      </c>
      <c r="BW129" s="194" t="n"/>
      <c r="BX129" s="43">
        <f>2433-BX128</f>
        <v/>
      </c>
      <c r="BY129" s="43">
        <f>BZ129-BX129</f>
        <v/>
      </c>
      <c r="BZ129" s="43">
        <f>S129</f>
        <v/>
      </c>
      <c r="CA129" s="194" t="n"/>
      <c r="CB129" s="43">
        <f>2126+405-CB128</f>
        <v/>
      </c>
      <c r="CC129" s="43">
        <f>CD129-CB129</f>
        <v/>
      </c>
      <c r="CD129" s="43">
        <f>T129</f>
        <v/>
      </c>
      <c r="CE129" s="43" t="n"/>
      <c r="CF129" s="43">
        <f>2400+398-CF128</f>
        <v/>
      </c>
      <c r="CG129" s="43">
        <f>CH129-CF129</f>
        <v/>
      </c>
      <c r="CH129" s="43">
        <f>U129</f>
        <v/>
      </c>
      <c r="CI129" s="43" t="n"/>
      <c r="CJ129" s="43">
        <f>2424+401-CJ128</f>
        <v/>
      </c>
      <c r="CK129" s="43">
        <f>CL129-CJ129</f>
        <v/>
      </c>
      <c r="CL129" s="43">
        <f>V129</f>
        <v/>
      </c>
      <c r="CM129" s="43" t="n"/>
      <c r="CN129" s="43">
        <f>3180+471-CN128</f>
        <v/>
      </c>
      <c r="CO129" s="43">
        <f>CP129-CN129</f>
        <v/>
      </c>
      <c r="CP129" s="43">
        <f>W129</f>
        <v/>
      </c>
      <c r="CQ129" s="43" t="n"/>
      <c r="CR129" s="43">
        <f>3532+512-CR128</f>
        <v/>
      </c>
      <c r="CS129" s="43">
        <f>3532+512-CS128</f>
        <v/>
      </c>
      <c r="CT129" s="43">
        <f>CU129-CR129</f>
        <v/>
      </c>
      <c r="CU129" s="43">
        <f>X129</f>
        <v/>
      </c>
      <c r="CV129" s="43" t="n"/>
      <c r="CW129" s="43">
        <f>4187+540-CW128</f>
        <v/>
      </c>
      <c r="CX129" s="43">
        <f>CY129-CW129</f>
        <v/>
      </c>
      <c r="CY129" s="43">
        <f>Y129</f>
        <v/>
      </c>
      <c r="CZ129" s="43">
        <f>CX129/CT129-1</f>
        <v/>
      </c>
      <c r="DA129" s="43">
        <f>4091+547-DA128</f>
        <v/>
      </c>
      <c r="DB129" s="43">
        <f>DC129-DA129</f>
        <v/>
      </c>
      <c r="DC129" s="43">
        <f>Z129</f>
        <v/>
      </c>
      <c r="DD129" s="43" t="n"/>
      <c r="DE129" s="43">
        <f>958+2120+20</f>
        <v/>
      </c>
      <c r="DF129" s="43">
        <f>DG129-DE129</f>
        <v/>
      </c>
      <c r="DG129" s="43">
        <f>AA129</f>
        <v/>
      </c>
      <c r="DH129" s="625" t="n"/>
      <c r="DI129" s="194" t="n">
        <v>3354</v>
      </c>
      <c r="DJ129" s="246">
        <f>+DK129-DI129</f>
        <v/>
      </c>
      <c r="DK129" s="43">
        <f>AB129</f>
        <v/>
      </c>
      <c r="DL129" s="43" t="n"/>
      <c r="DM129" s="194" t="n">
        <v>3541</v>
      </c>
      <c r="DN129" s="246">
        <f>+DO129-DM129</f>
        <v/>
      </c>
      <c r="DO129" s="43">
        <f>AC129</f>
        <v/>
      </c>
      <c r="DP129" s="248" t="n"/>
      <c r="DQ129" s="237">
        <f>1254+2658+153</f>
        <v/>
      </c>
      <c r="DR129" s="246">
        <f>+DS129-DQ129</f>
        <v/>
      </c>
      <c r="DS129" s="246">
        <f>AD129</f>
        <v/>
      </c>
      <c r="DT129" s="557" t="n"/>
      <c r="DU129" s="237">
        <f>1129+3174+223</f>
        <v/>
      </c>
      <c r="DV129" s="194">
        <f>+DW129-DU129</f>
        <v/>
      </c>
      <c r="DW129" s="194">
        <f>AE129</f>
        <v/>
      </c>
      <c r="DX129" s="246" t="n"/>
      <c r="DY129" s="237">
        <f>1017+2870+243</f>
        <v/>
      </c>
      <c r="DZ129" s="194">
        <f>+EA129-DY129</f>
        <v/>
      </c>
      <c r="EA129" s="194">
        <f>AF129</f>
        <v/>
      </c>
      <c r="EB129" s="194" t="n"/>
      <c r="EC129" s="237">
        <f>1005+3277+254</f>
        <v/>
      </c>
      <c r="ED129" s="194">
        <f>+EE129-EC129</f>
        <v/>
      </c>
      <c r="EE129" s="194">
        <f>AG129</f>
        <v/>
      </c>
      <c r="EF129" s="194" t="n"/>
      <c r="EG129" s="237">
        <f>998+3613+263</f>
        <v/>
      </c>
      <c r="EH129" s="194">
        <f>+EI129-EG129</f>
        <v/>
      </c>
      <c r="EI129" s="194">
        <f>AH129</f>
        <v/>
      </c>
      <c r="EJ129" s="194" t="n"/>
      <c r="EK129" s="237">
        <f>5944+1392</f>
        <v/>
      </c>
      <c r="EL129" s="194">
        <f>+EM129-EK129</f>
        <v/>
      </c>
      <c r="EM129" s="194">
        <f>AI129</f>
        <v/>
      </c>
      <c r="EN129" s="194" t="n"/>
      <c r="EO129" s="237">
        <f>6163+1415+2465</f>
        <v/>
      </c>
      <c r="EP129" s="194">
        <f>+EQ129-EO129</f>
        <v/>
      </c>
      <c r="EQ129" s="120">
        <f>AJ129</f>
        <v/>
      </c>
      <c r="ER129" s="120" t="n"/>
      <c r="ES129" s="237">
        <f>5234+1198+403+500</f>
        <v/>
      </c>
      <c r="ET129" s="194">
        <f>+EU129-ES129</f>
        <v/>
      </c>
      <c r="EU129" s="120">
        <f>AK129</f>
        <v/>
      </c>
      <c r="EV129" s="120" t="n"/>
      <c r="EW129" s="237">
        <f>4966+1221</f>
        <v/>
      </c>
      <c r="EX129" s="194">
        <f>+EY129-EW129</f>
        <v/>
      </c>
      <c r="EY129" s="120">
        <f>AL129</f>
        <v/>
      </c>
      <c r="FA129" s="237">
        <f>5043+1305</f>
        <v/>
      </c>
      <c r="FB129" s="194">
        <f>+FC129-FA129</f>
        <v/>
      </c>
      <c r="FC129" s="120">
        <f>AM129</f>
        <v/>
      </c>
      <c r="FE129" s="237">
        <f>4929+1256</f>
        <v/>
      </c>
      <c r="FF129" s="194">
        <f>+FG129-FE129</f>
        <v/>
      </c>
      <c r="FG129" s="120">
        <f>AN129</f>
        <v/>
      </c>
      <c r="FI129" s="237">
        <f>4589+1401</f>
        <v/>
      </c>
      <c r="FJ129" s="194">
        <f>+FK129-FI129</f>
        <v/>
      </c>
      <c r="FK129" s="120">
        <f>AO129</f>
        <v/>
      </c>
      <c r="FM129" s="237">
        <f>4739+1522</f>
        <v/>
      </c>
      <c r="FN129" s="194">
        <f>+FO129-FM129</f>
        <v/>
      </c>
      <c r="FO129" s="120">
        <f>AP129</f>
        <v/>
      </c>
    </row>
    <row r="130">
      <c r="B130" s="1144" t="inlineStr">
        <is>
          <t>As % of Gross FA</t>
        </is>
      </c>
      <c r="C130" s="849">
        <f>C129/C233</f>
        <v/>
      </c>
      <c r="D130" s="849">
        <f>D129/D233</f>
        <v/>
      </c>
      <c r="E130" s="849">
        <f>E129/E233</f>
        <v/>
      </c>
      <c r="F130" s="849">
        <f>F129/F233</f>
        <v/>
      </c>
      <c r="G130" s="849">
        <f>G129/G233</f>
        <v/>
      </c>
      <c r="H130" s="849">
        <f>H129/H233</f>
        <v/>
      </c>
      <c r="I130" s="849">
        <f>I129/I233</f>
        <v/>
      </c>
      <c r="J130" s="849">
        <f>J129/J233</f>
        <v/>
      </c>
      <c r="K130" s="849">
        <f>K129/K233</f>
        <v/>
      </c>
      <c r="L130" s="849">
        <f>L129/L233</f>
        <v/>
      </c>
      <c r="M130" s="849">
        <f>M129/M233</f>
        <v/>
      </c>
      <c r="N130" s="849">
        <f>N129/N233</f>
        <v/>
      </c>
      <c r="O130" s="849">
        <f>O129/O233</f>
        <v/>
      </c>
      <c r="P130" s="849">
        <f>P129/P233</f>
        <v/>
      </c>
      <c r="Q130" s="849">
        <f>Q129/Q233</f>
        <v/>
      </c>
      <c r="R130" s="1145">
        <f>R129/R233</f>
        <v/>
      </c>
      <c r="S130" s="1145">
        <f>S129/S233</f>
        <v/>
      </c>
      <c r="T130" s="1145">
        <f>T129/T233</f>
        <v/>
      </c>
      <c r="U130" s="1145">
        <f>U129/U233</f>
        <v/>
      </c>
      <c r="V130" s="1145">
        <f>V129/V233</f>
        <v/>
      </c>
      <c r="W130" s="1145">
        <f>W129/W233</f>
        <v/>
      </c>
      <c r="X130" s="1145">
        <f>X129/X233</f>
        <v/>
      </c>
      <c r="Y130" s="1145">
        <f>Y129/Y233</f>
        <v/>
      </c>
      <c r="Z130" s="1145">
        <f>Z129/Z233</f>
        <v/>
      </c>
      <c r="AA130" s="1145">
        <f>AA129/AA233</f>
        <v/>
      </c>
      <c r="AB130" s="1145">
        <f>AB129/AB233</f>
        <v/>
      </c>
      <c r="AC130" s="1012">
        <f>AC129/AC233</f>
        <v/>
      </c>
      <c r="AD130" s="1012">
        <f>AD129/AD233</f>
        <v/>
      </c>
      <c r="AE130" s="1012">
        <f>AE129/AE233</f>
        <v/>
      </c>
      <c r="AF130" s="1012">
        <f>AF129/AF233</f>
        <v/>
      </c>
      <c r="AG130" s="1012">
        <f>AG129/AG233</f>
        <v/>
      </c>
      <c r="AH130" s="1012">
        <f>AH129/AH233</f>
        <v/>
      </c>
      <c r="AI130" s="1012">
        <f>AI129/AI233</f>
        <v/>
      </c>
      <c r="AJ130" s="1012">
        <f>AJ129/AJ233</f>
        <v/>
      </c>
      <c r="AK130" s="1012">
        <f>AK129/AK233</f>
        <v/>
      </c>
      <c r="AL130" s="1012">
        <f>AL129/AL233</f>
        <v/>
      </c>
      <c r="AM130" s="1012">
        <f>AM129/AM233</f>
        <v/>
      </c>
      <c r="AN130" s="1012">
        <f>AN129/AN233</f>
        <v/>
      </c>
      <c r="AO130" s="1146" t="n">
        <v>0.05</v>
      </c>
      <c r="AP130" s="1146" t="n">
        <v>0.05</v>
      </c>
      <c r="AQ130" s="1146" t="n">
        <v>0.05</v>
      </c>
      <c r="AR130" s="1146" t="n">
        <v>0.05</v>
      </c>
      <c r="AS130" s="1146" t="n">
        <v>0.05</v>
      </c>
      <c r="AT130" s="1146" t="n">
        <v>0.05</v>
      </c>
      <c r="AU130" s="1145" t="n"/>
      <c r="AV130" s="1145" t="n"/>
      <c r="AW130" s="1145" t="n"/>
      <c r="AX130" s="1145" t="n"/>
      <c r="AY130" s="1145" t="n"/>
      <c r="AZ130" s="1145" t="n"/>
      <c r="BA130" s="1145" t="n"/>
      <c r="BB130" s="1145" t="n"/>
      <c r="BC130" s="1145" t="n"/>
      <c r="BD130" s="1145" t="n"/>
      <c r="BE130" s="1145" t="n"/>
      <c r="BF130" s="1145" t="n"/>
      <c r="BG130" s="1145" t="n"/>
      <c r="BH130" s="1145" t="n"/>
      <c r="BI130" s="1145" t="n"/>
      <c r="BJ130" s="1145" t="n"/>
      <c r="BK130" s="1145" t="n"/>
      <c r="BL130" s="1145" t="n"/>
      <c r="BM130" s="1145" t="n"/>
      <c r="BN130" s="1145" t="n"/>
      <c r="BO130" s="1145" t="n"/>
      <c r="BP130" s="1145" t="n"/>
      <c r="BQ130" s="1145" t="n"/>
      <c r="BR130" s="1145" t="n"/>
      <c r="BS130" s="1145" t="n"/>
      <c r="BT130" s="1145" t="n"/>
      <c r="BU130" s="1145" t="n"/>
      <c r="BV130" s="1145" t="n"/>
      <c r="BW130" s="1145" t="n"/>
      <c r="BX130" s="1145" t="n"/>
      <c r="BY130" s="1145" t="n"/>
      <c r="BZ130" s="1145" t="n"/>
      <c r="CA130" s="1145" t="n"/>
      <c r="CB130" s="1145" t="n"/>
      <c r="CC130" s="1145" t="n"/>
      <c r="CD130" s="1145" t="n"/>
      <c r="CE130" s="1145" t="n"/>
      <c r="CF130" s="1145" t="n"/>
      <c r="CG130" s="1145" t="n"/>
      <c r="CH130" s="1145" t="n"/>
      <c r="CI130" s="1145" t="n"/>
      <c r="CJ130" s="1145" t="n"/>
      <c r="CK130" s="1145" t="n"/>
      <c r="CL130" s="1145" t="n"/>
      <c r="CM130" s="1145" t="n"/>
      <c r="CN130" s="1145" t="n"/>
      <c r="CO130" s="1145" t="n"/>
      <c r="CP130" s="1145" t="n"/>
      <c r="CQ130" s="1145" t="n"/>
      <c r="CR130" s="1145" t="n"/>
      <c r="CS130" s="1145" t="n"/>
      <c r="CT130" s="1145" t="n"/>
      <c r="CU130" s="1145" t="n"/>
      <c r="CV130" s="1145" t="n"/>
      <c r="CW130" s="1145" t="n"/>
      <c r="CX130" s="1145" t="n"/>
      <c r="CY130" s="1145" t="n"/>
      <c r="CZ130" s="1145" t="n"/>
      <c r="DA130" s="1145" t="n"/>
      <c r="DB130" s="1145" t="n"/>
      <c r="DC130" s="1145" t="n"/>
      <c r="DD130" s="1145" t="n"/>
      <c r="DE130" s="1145" t="n"/>
      <c r="DF130" s="1145" t="n"/>
      <c r="DG130" s="1145" t="n"/>
      <c r="DH130" s="1145" t="n"/>
      <c r="DI130" s="1145" t="n"/>
      <c r="DJ130" s="1145" t="n"/>
      <c r="DK130" s="1145" t="n"/>
      <c r="DL130" s="1145" t="n"/>
      <c r="DM130" s="1145" t="n"/>
      <c r="DN130" s="1145" t="n"/>
      <c r="DO130" s="1145" t="n"/>
      <c r="DP130" s="1145" t="n"/>
      <c r="DQ130" s="1145" t="n"/>
      <c r="DR130" s="1145" t="n"/>
      <c r="DS130" s="1145" t="n"/>
      <c r="DT130" s="1145" t="n"/>
      <c r="DU130" s="1145" t="n"/>
      <c r="DV130" s="1145" t="n"/>
      <c r="DW130" s="1145" t="n"/>
      <c r="DX130" s="1145" t="n"/>
      <c r="DY130" s="1145" t="n"/>
      <c r="DZ130" s="1145" t="n"/>
      <c r="EA130" s="1145" t="n"/>
      <c r="EB130" s="1145" t="n"/>
      <c r="EC130" s="1145" t="n"/>
      <c r="ED130" s="1145" t="n"/>
      <c r="EE130" s="1145" t="n"/>
      <c r="EF130" s="1145" t="n"/>
      <c r="EH130" s="1133" t="n"/>
      <c r="EI130" s="1133" t="n"/>
      <c r="EJ130" s="1145" t="n"/>
      <c r="EL130" s="1133" t="n"/>
      <c r="EM130" s="1133" t="n"/>
      <c r="EN130" s="1145" t="n"/>
      <c r="EO130" s="994" t="n"/>
      <c r="EP130" s="994" t="n"/>
      <c r="EQ130" s="1133" t="n"/>
      <c r="ER130" s="1133" t="n"/>
      <c r="ET130" s="1048" t="n"/>
      <c r="EX130" s="1048" t="n"/>
      <c r="FB130" s="1048" t="n"/>
      <c r="FF130" s="1048" t="n"/>
      <c r="FJ130" s="1048" t="n"/>
      <c r="FN130" s="1048" t="n"/>
    </row>
    <row r="131" customFormat="1" s="1133">
      <c r="A131" s="960" t="inlineStr">
        <is>
          <t>operating cost</t>
        </is>
      </c>
      <c r="B131" s="1133" t="inlineStr">
        <is>
          <t>Operating costs</t>
        </is>
      </c>
      <c r="C131" s="1133">
        <f>C118-C133</f>
        <v/>
      </c>
      <c r="D131" s="1133">
        <f>D118-D133</f>
        <v/>
      </c>
      <c r="E131" s="1133">
        <f>E118-E133</f>
        <v/>
      </c>
      <c r="F131" s="1133">
        <f>F118-F133</f>
        <v/>
      </c>
      <c r="G131" s="1133">
        <f>G118-G133</f>
        <v/>
      </c>
      <c r="H131" s="1133">
        <f>18902+H127</f>
        <v/>
      </c>
      <c r="I131" s="1133">
        <f>20225+I127</f>
        <v/>
      </c>
      <c r="J131" s="1133">
        <f>22698+J127</f>
        <v/>
      </c>
      <c r="K131" s="1135">
        <f>SUM(K121,K122,K123,K124,K125,K126,K127,K128,K129)</f>
        <v/>
      </c>
      <c r="L131" s="1135">
        <f>SUM(L121,L122,L123,L124,L125,L126,L127,L128,L129)</f>
        <v/>
      </c>
      <c r="M131" s="1135">
        <f>SUM(M121,M122,M123,M124,M125,M126,M127,M128,M129)</f>
        <v/>
      </c>
      <c r="N131" s="1135">
        <f>SUM(N121:N129)</f>
        <v/>
      </c>
      <c r="O131" s="1135">
        <f>SUM(O121,O122,O123,O124,O125,O126,O127,O128,O129)</f>
        <v/>
      </c>
      <c r="P131" s="1135">
        <f>SUM(P121,P122,P123,P124,P125,P126,P127,P128,P129)</f>
        <v/>
      </c>
      <c r="Q131" s="1135">
        <f>SUM(Q121,Q122,Q123,Q124,Q125,Q126,Q127,Q128,Q129)</f>
        <v/>
      </c>
      <c r="R131" s="1135">
        <f>SUM(R121,R122,R123,R124,R125,R126,R127,R128,R129)</f>
        <v/>
      </c>
      <c r="S131" s="1135">
        <f>SUM(S121,S122,S123,S124,S125,S126,S127,S128,S129)</f>
        <v/>
      </c>
      <c r="T131" s="1135">
        <f>SUM(T121,T122,T123,T124,T125,T126,T127,T128,T129)</f>
        <v/>
      </c>
      <c r="U131" s="1135">
        <f>SUM(U121,U122,U123,U124,U125,U126,U127,U128,U129)</f>
        <v/>
      </c>
      <c r="V131" s="1135">
        <f>SUM(V121,V122,V123,V124,V125,V126,V127,V128,V129)</f>
        <v/>
      </c>
      <c r="W131" s="1135">
        <f>SUM(W121,W122,W123,W124,W125,W126,W127,W128,W129)</f>
        <v/>
      </c>
      <c r="X131" s="1135">
        <f>SUM(X121,X122,X123,X124,X125,X126,X127,X128,X129)</f>
        <v/>
      </c>
      <c r="Y131" s="1135">
        <f>SUM(Y121,Y122,Y123,Y124,Y125,Y126,Y127,Y128,Y129)</f>
        <v/>
      </c>
      <c r="Z131" s="1135">
        <f>SUM(Z121,Z122,Z123,Z124,Z125,Z126,Z127,Z128,Z129)</f>
        <v/>
      </c>
      <c r="AA131" s="1135">
        <f>SUM(AA121,AA122,AA123,AA124,AA125,AA126,AA127,AA128,AA129)</f>
        <v/>
      </c>
      <c r="AB131" s="1135">
        <f>SUM(AB121,AB122,AB123,AB124,AB125,AB126,AB127,AB128,AB129)</f>
        <v/>
      </c>
      <c r="AC131" s="1135">
        <f>SUM(AC121,AC122,AC123,AC124,AC125,AC126,AC127,AC128,AC129)</f>
        <v/>
      </c>
      <c r="AD131" s="125">
        <f>SUM(AD121,AD122,AD123,AD124,AD125,AD126,AD127,AD128,AD129)</f>
        <v/>
      </c>
      <c r="AE131" s="125">
        <f>SUM(AE121,AE122,AE123,AE124,AE125,AE126,AE127,AE128,AE129)</f>
        <v/>
      </c>
      <c r="AF131" s="125">
        <f>SUM(AF121,AF122,AF123,AF124,AF125,AF126,AF127,AF128,AF129)</f>
        <v/>
      </c>
      <c r="AG131" s="224">
        <f>SUM(AG121,AG122,AG123,AG124,AG125,AG126,AG127,AG128,AG129)</f>
        <v/>
      </c>
      <c r="AH131" s="224">
        <f>SUM(AH121,AH122,AH123,AH124,AH125,AH126,AH127,AH128,AH129)</f>
        <v/>
      </c>
      <c r="AI131" s="224">
        <f>SUM(AI121,AI122,AI123,AI124,AI125,AI126,AI127,AI128,AI129)</f>
        <v/>
      </c>
      <c r="AJ131" s="224">
        <f>SUM(AJ121,AJ122,AJ123,AJ124,AJ125,AJ126,AJ127,AJ128,AJ129)</f>
        <v/>
      </c>
      <c r="AK131" s="224">
        <f>SUM(AK121,AK122,AK123,AK124,AK125,AK126,AK127,AK128,AK129)</f>
        <v/>
      </c>
      <c r="AL131" s="224">
        <f>SUM(AL121,AL122,AL123,AL124,AL125,AL126,AL127,AL128,AL129)</f>
        <v/>
      </c>
      <c r="AM131" s="224">
        <f>SUM(AM121,AM122,AM123,AM124,AM125,AM126,AM127,AM128,AM129)</f>
        <v/>
      </c>
      <c r="AN131" s="224">
        <f>SUM(AN121,AN122,AN123,AN124,AN125,AN126,AN127,AN128,AN129)</f>
        <v/>
      </c>
      <c r="AO131" s="224">
        <f>SUM(AO121,AO122,AO123,AO124,AO125,AO126,AO127,AO128,AO129)</f>
        <v/>
      </c>
      <c r="AP131" s="224">
        <f>SUM(AP121,AP122,AP123,AP124,AP125,AP126,AP127,AP128,AP129)</f>
        <v/>
      </c>
      <c r="AQ131" s="224">
        <f>SUM(AQ121,AQ122,AQ123,AQ124,AQ125,AQ126,AQ127,AQ128,AQ129)</f>
        <v/>
      </c>
      <c r="AR131" s="224">
        <f>SUM(AR121,AR122,AR123,AR124,AR125,AR126,AR127,AR128,AR129)</f>
        <v/>
      </c>
      <c r="AS131" s="224">
        <f>SUM(AS121,AS122,AS123,AS124,AS125,AS126,AS127,AS128,AS129)</f>
        <v/>
      </c>
      <c r="AT131" s="224">
        <f>SUM(AT121,AT122,AT123,AT124,AT125,AT126,AT127,AT128,AT129)</f>
        <v/>
      </c>
      <c r="AU131" s="557" t="n"/>
      <c r="AV131" s="111" t="n">
        <v>13775</v>
      </c>
      <c r="AW131" s="111">
        <f>AX131-AV131</f>
        <v/>
      </c>
      <c r="AX131" s="111">
        <f>L131</f>
        <v/>
      </c>
      <c r="AY131" s="111" t="n"/>
      <c r="AZ131" s="111" t="n">
        <v>14213</v>
      </c>
      <c r="BA131" s="111">
        <f>BB131-AZ131</f>
        <v/>
      </c>
      <c r="BB131" s="111">
        <f>M131</f>
        <v/>
      </c>
      <c r="BC131" s="224" t="n"/>
      <c r="BD131" s="111">
        <f>SUM(BD121:BD129)</f>
        <v/>
      </c>
      <c r="BE131" s="111">
        <f>BF131-BD131</f>
        <v/>
      </c>
      <c r="BF131" s="111">
        <f>N131</f>
        <v/>
      </c>
      <c r="BG131" s="224" t="n"/>
      <c r="BH131" s="111">
        <f>SUM(BH121:BH129)</f>
        <v/>
      </c>
      <c r="BI131" s="111">
        <f>BJ131-BH131</f>
        <v/>
      </c>
      <c r="BJ131" s="111">
        <f>O131</f>
        <v/>
      </c>
      <c r="BK131" s="249" t="n"/>
      <c r="BL131" s="111">
        <f>SUM(BL121:BL129)</f>
        <v/>
      </c>
      <c r="BM131" s="111">
        <f>BN131-BL131</f>
        <v/>
      </c>
      <c r="BN131" s="111">
        <f>P131</f>
        <v/>
      </c>
      <c r="BO131" s="111" t="n"/>
      <c r="BP131" s="111">
        <f>SUM(BP121:BP129)</f>
        <v/>
      </c>
      <c r="BQ131" s="111">
        <f>BR131-BP131</f>
        <v/>
      </c>
      <c r="BR131" s="111">
        <f>Q131</f>
        <v/>
      </c>
      <c r="BS131" s="224" t="n"/>
      <c r="BT131" s="111">
        <f>SUM(BT121:BT129)</f>
        <v/>
      </c>
      <c r="BU131" s="111">
        <f>BV131-BT131</f>
        <v/>
      </c>
      <c r="BV131" s="111">
        <f>R131</f>
        <v/>
      </c>
      <c r="BW131" s="224" t="n"/>
      <c r="BX131" s="111">
        <f>SUM(BX121:BX129)</f>
        <v/>
      </c>
      <c r="BY131" s="111">
        <f>BZ131-BX131</f>
        <v/>
      </c>
      <c r="BZ131" s="111">
        <f>S131</f>
        <v/>
      </c>
      <c r="CA131" s="224" t="n"/>
      <c r="CB131" s="111" t="n">
        <v>15955</v>
      </c>
      <c r="CC131" s="111">
        <f>CD131-CB131</f>
        <v/>
      </c>
      <c r="CD131" s="111">
        <f>T131</f>
        <v/>
      </c>
      <c r="CE131" s="111" t="n"/>
      <c r="CF131" s="111" t="n">
        <v>21749</v>
      </c>
      <c r="CG131" s="43">
        <f>CH131-CF131</f>
        <v/>
      </c>
      <c r="CH131" s="111">
        <f>U131</f>
        <v/>
      </c>
      <c r="CI131" s="111" t="n"/>
      <c r="CJ131" s="111" t="n">
        <v>24969</v>
      </c>
      <c r="CK131" s="43">
        <f>CL131-CJ131</f>
        <v/>
      </c>
      <c r="CL131" s="111">
        <f>V131</f>
        <v/>
      </c>
      <c r="CM131" s="111" t="n"/>
      <c r="CN131" s="111" t="n">
        <v>31441</v>
      </c>
      <c r="CO131" s="111">
        <f>CP131-CN131</f>
        <v/>
      </c>
      <c r="CP131" s="111">
        <f>W131</f>
        <v/>
      </c>
      <c r="CQ131" s="111" t="n"/>
      <c r="CR131" s="224" t="n">
        <v>42584</v>
      </c>
      <c r="CS131" s="224" t="n">
        <v>42620</v>
      </c>
      <c r="CT131" s="111">
        <f>CU131-CR131</f>
        <v/>
      </c>
      <c r="CU131" s="111">
        <f>X131</f>
        <v/>
      </c>
      <c r="CV131" s="111" t="n"/>
      <c r="CW131" s="111" t="n">
        <v>28878</v>
      </c>
      <c r="CX131" s="111">
        <f>CY131-CW131</f>
        <v/>
      </c>
      <c r="CY131" s="111">
        <f>Y131</f>
        <v/>
      </c>
      <c r="CZ131" s="43">
        <f>CX131/CT131-1</f>
        <v/>
      </c>
      <c r="DA131" s="111" t="n">
        <v>36375</v>
      </c>
      <c r="DB131" s="111">
        <f>DC131-DA131</f>
        <v/>
      </c>
      <c r="DC131" s="111">
        <f>Z131</f>
        <v/>
      </c>
      <c r="DD131" s="43" t="n"/>
      <c r="DE131" s="111" t="n">
        <v>43993</v>
      </c>
      <c r="DF131" s="111">
        <f>DG131-DE131</f>
        <v/>
      </c>
      <c r="DG131" s="111">
        <f>AA131</f>
        <v/>
      </c>
      <c r="DH131" s="625" t="n"/>
      <c r="DI131" s="224">
        <f>SUM(DI121:DI129)</f>
        <v/>
      </c>
      <c r="DJ131" s="111">
        <f>DK131-DI131</f>
        <v/>
      </c>
      <c r="DK131" s="111">
        <f>AB131</f>
        <v/>
      </c>
      <c r="DL131" s="111" t="n"/>
      <c r="DM131" s="224">
        <f>SUM(DM121,DM122,DM123,DM124,DM125,DM126,DM127,DM128,DM129)</f>
        <v/>
      </c>
      <c r="DN131" s="111">
        <f>DO131-DM131</f>
        <v/>
      </c>
      <c r="DO131" s="111">
        <f>AC131</f>
        <v/>
      </c>
      <c r="DP131" s="625" t="n"/>
      <c r="DQ131" s="224">
        <f>SUM(DQ121,DQ122,DQ123,DQ124,DQ125,DQ126,DQ127,DQ128,DQ129)</f>
        <v/>
      </c>
      <c r="DR131" s="111">
        <f>DS131-DQ131</f>
        <v/>
      </c>
      <c r="DS131" s="111">
        <f>AD131</f>
        <v/>
      </c>
      <c r="DT131" s="557" t="n"/>
      <c r="DU131" s="224">
        <f>SUM(DU121,DU122,DU123,DU124,DU125,DU126,DU127,DU128,DU129)</f>
        <v/>
      </c>
      <c r="DV131" s="224">
        <f>DW131-DU131</f>
        <v/>
      </c>
      <c r="DW131" s="224">
        <f>AE131</f>
        <v/>
      </c>
      <c r="DX131" s="111" t="n"/>
      <c r="DY131" s="224">
        <f>SUM(DY121,DY122,DY123,DY124,DY125,DY126,DY127,DY128,DY129)</f>
        <v/>
      </c>
      <c r="DZ131" s="224">
        <f>EA131-DY131</f>
        <v/>
      </c>
      <c r="EA131" s="224">
        <f>AF131</f>
        <v/>
      </c>
      <c r="EB131" s="194" t="n"/>
      <c r="EC131" s="224">
        <f>SUM(EC121,EC122,EC123,EC124,EC125,EC126,EC127,EC128,EC129)</f>
        <v/>
      </c>
      <c r="ED131" s="224">
        <f>EE131-EC131</f>
        <v/>
      </c>
      <c r="EE131" s="224">
        <f>AG131</f>
        <v/>
      </c>
      <c r="EF131" s="224" t="n"/>
      <c r="EG131" s="224">
        <f>SUM(EG121,EG122,EG123,EG124,EG125,EG126,EG127,EG128,EG129)</f>
        <v/>
      </c>
      <c r="EH131" s="224">
        <f>EI131-EG131</f>
        <v/>
      </c>
      <c r="EI131" s="224">
        <f>AH131</f>
        <v/>
      </c>
      <c r="EJ131" s="224" t="n"/>
      <c r="EK131" s="224">
        <f>SUM(EK121,EK122,EK123,EK124,EK125,EK126,EK127,EK128,EK129)</f>
        <v/>
      </c>
      <c r="EL131" s="224">
        <f>EM131-EK131</f>
        <v/>
      </c>
      <c r="EM131" s="224">
        <f>AI131</f>
        <v/>
      </c>
      <c r="EN131" s="224" t="n"/>
      <c r="EO131" s="224">
        <f>SUM(EO121,EO122,EO123,EO124,EO125,EO126,EO127,EO128,EO129)</f>
        <v/>
      </c>
      <c r="EP131" s="224">
        <f>EQ131-EO131</f>
        <v/>
      </c>
      <c r="EQ131" s="224">
        <f>SUM(EQ121:EQ129)</f>
        <v/>
      </c>
      <c r="ER131" s="224" t="n"/>
      <c r="ES131" s="224">
        <f>SUM(ES121,ES122,ES123,ES124,ES125,ES126,ES127,ES128,ES129)</f>
        <v/>
      </c>
      <c r="ET131" s="224">
        <f>EU131-ES131</f>
        <v/>
      </c>
      <c r="EU131" s="224">
        <f>SUM(EU121:EU129)</f>
        <v/>
      </c>
      <c r="EV131" s="224" t="n"/>
      <c r="EW131" s="224">
        <f>SUM(EW121,EW122,EW123,EW124,EW125,EW126,EW127,EW128,EW129)</f>
        <v/>
      </c>
      <c r="EX131" s="224">
        <f>EY131-EW131</f>
        <v/>
      </c>
      <c r="EY131" s="224">
        <f>SUM(EY121:EY129)</f>
        <v/>
      </c>
      <c r="FA131" s="224">
        <f>SUM(FA121,FA122,FA123,FA124,FA125,FA126,FA127,FA128,FA129)</f>
        <v/>
      </c>
      <c r="FB131" s="224">
        <f>FC131-FA131</f>
        <v/>
      </c>
      <c r="FC131" s="224">
        <f>SUM(FC121:FC129)</f>
        <v/>
      </c>
      <c r="FE131" s="224">
        <f>SUM(FE121,FE122,FE123,FE124,FE125,FE126,FE127,FE128,FE129)</f>
        <v/>
      </c>
      <c r="FF131" s="224">
        <f>FG131-FE131</f>
        <v/>
      </c>
      <c r="FG131" s="224">
        <f>SUM(FG121:FG129)</f>
        <v/>
      </c>
      <c r="FI131" s="224">
        <f>SUM(FI121,FI122,FI123,FI124,FI125,FI126,FI127,FI128,FI129)</f>
        <v/>
      </c>
      <c r="FJ131" s="224">
        <f>FK131-FI131</f>
        <v/>
      </c>
      <c r="FK131" s="224">
        <f>SUM(FK121:FK129)</f>
        <v/>
      </c>
      <c r="FM131" s="224">
        <f>SUM(FM121,FM122,FM123,FM124,FM125,FM126,FM127,FM128,FM129)</f>
        <v/>
      </c>
      <c r="FN131" s="224">
        <f>SUM(FN121,FN122,FN123,FN124,FN125,FN126,FN127,FN128,FN129)</f>
        <v/>
      </c>
      <c r="FO131" s="224">
        <f>SUM(FO121:FO129)</f>
        <v/>
      </c>
    </row>
    <row r="132">
      <c r="O132" s="1010" t="n"/>
      <c r="P132" s="1147" t="n"/>
      <c r="Q132" s="1010" t="n"/>
      <c r="R132" s="1010" t="n"/>
      <c r="S132" s="1010" t="n"/>
      <c r="T132" s="1010" t="n"/>
      <c r="U132" s="1010" t="n"/>
      <c r="V132" s="1010" t="n"/>
      <c r="W132" s="1010" t="n"/>
      <c r="X132" s="210" t="n"/>
      <c r="Y132" s="236" t="n"/>
      <c r="Z132" s="1010" t="n"/>
      <c r="AA132" s="1010">
        <f>AA131/Z131-1</f>
        <v/>
      </c>
      <c r="AB132" s="1010" t="n"/>
      <c r="AC132" s="1010" t="n"/>
      <c r="AD132" s="1010" t="n"/>
      <c r="AE132" s="1010" t="n"/>
      <c r="AF132" s="1010" t="n"/>
      <c r="AG132" s="994" t="n"/>
      <c r="AH132" s="994" t="n"/>
      <c r="AI132" s="994" t="n"/>
      <c r="AJ132" s="994" t="n"/>
      <c r="AK132" s="994" t="n"/>
      <c r="AL132" s="994" t="n"/>
      <c r="AM132" s="557" t="n"/>
      <c r="AN132" s="557" t="n"/>
      <c r="AO132" s="557" t="n"/>
      <c r="AP132" s="994" t="n"/>
      <c r="AQ132" s="994" t="n"/>
      <c r="AR132" s="994" t="n"/>
      <c r="AS132" s="994" t="n"/>
      <c r="AT132" s="994" t="n"/>
      <c r="AU132" s="994" t="n"/>
      <c r="AV132" s="100" t="n"/>
      <c r="AX132" s="963" t="n"/>
      <c r="AZ132" s="100" t="n"/>
      <c r="BA132" s="100" t="n"/>
      <c r="BB132" s="963" t="n"/>
      <c r="BD132" s="100" t="n"/>
      <c r="BE132" s="100" t="n"/>
      <c r="BF132" s="963" t="n"/>
      <c r="BH132" s="100" t="n"/>
      <c r="BI132" s="100" t="n"/>
      <c r="BJ132" s="963" t="n"/>
      <c r="BL132" s="100" t="n"/>
      <c r="BM132" s="100" t="n"/>
      <c r="BN132" s="963" t="n"/>
      <c r="BO132" s="963" t="n"/>
      <c r="BP132" s="100" t="n"/>
      <c r="BQ132" s="100" t="n"/>
      <c r="BR132" s="963" t="n"/>
      <c r="BS132" s="226" t="n"/>
      <c r="BT132" s="100" t="n"/>
      <c r="BU132" s="100" t="n"/>
      <c r="BV132" s="963" t="n"/>
      <c r="BX132" s="100" t="n"/>
      <c r="BY132" s="100" t="n"/>
      <c r="BZ132" s="963" t="n"/>
      <c r="CA132" s="226" t="n"/>
      <c r="CB132" s="100" t="n"/>
      <c r="CC132" s="100" t="n"/>
      <c r="CD132" s="963" t="n"/>
      <c r="CE132" s="963" t="n"/>
      <c r="CF132" s="100" t="n"/>
      <c r="CG132" s="100" t="n"/>
      <c r="CH132" s="963" t="n"/>
      <c r="CI132" s="963" t="n"/>
      <c r="CJ132" s="100" t="n"/>
      <c r="CK132" s="100" t="n"/>
      <c r="CL132" s="963" t="n"/>
      <c r="CM132" s="963" t="n"/>
      <c r="CN132" s="1012" t="n"/>
      <c r="CO132" s="1012" t="n"/>
      <c r="CP132" s="100" t="n"/>
      <c r="CQ132" s="100" t="n"/>
      <c r="CR132" s="1042" t="n"/>
      <c r="CS132" s="1042" t="n"/>
      <c r="CT132" s="1042" t="n"/>
      <c r="CU132" s="100" t="n"/>
      <c r="CV132" s="100" t="n"/>
      <c r="CW132" s="1042" t="n"/>
      <c r="CX132" s="1042" t="n"/>
      <c r="CY132" s="100" t="n"/>
      <c r="CZ132" s="100" t="n"/>
      <c r="DA132" s="1042" t="n"/>
      <c r="DB132" s="1042" t="n"/>
      <c r="DC132" s="100" t="n"/>
      <c r="DD132" s="100" t="n"/>
      <c r="DE132" s="1042" t="n"/>
      <c r="DF132" s="1042" t="n"/>
      <c r="DG132" s="100" t="n"/>
      <c r="DH132" s="118" t="n"/>
      <c r="DI132" s="985" t="n"/>
      <c r="DJ132" s="985" t="n"/>
      <c r="DK132" s="963" t="n"/>
      <c r="DL132" s="43" t="n"/>
      <c r="DM132" s="985" t="n"/>
      <c r="DN132" s="985" t="n"/>
      <c r="DO132" s="963" t="n"/>
      <c r="DP132" s="118" t="n"/>
      <c r="DQ132" s="985" t="n"/>
      <c r="DR132" s="985" t="n"/>
      <c r="DS132" s="985" t="n"/>
      <c r="DT132" s="985" t="n"/>
      <c r="DU132" s="994" t="n"/>
      <c r="DV132" s="994" t="n"/>
      <c r="DW132" s="994" t="n"/>
      <c r="DX132" s="985" t="n"/>
      <c r="DY132" s="994" t="n"/>
      <c r="DZ132" s="994" t="n"/>
      <c r="EA132" s="994" t="n"/>
      <c r="EB132" s="121" t="n"/>
      <c r="EC132" s="994" t="n"/>
      <c r="ED132" s="994" t="n"/>
      <c r="EE132" s="994" t="n"/>
      <c r="EF132" s="994" t="n"/>
      <c r="EG132" s="994" t="n"/>
      <c r="EH132" s="557" t="n"/>
      <c r="EI132" s="557" t="n"/>
      <c r="EJ132" s="994" t="n"/>
      <c r="EK132" s="557" t="n"/>
      <c r="EL132" s="557" t="n"/>
      <c r="EM132" s="557" t="n"/>
      <c r="EN132" s="994" t="n"/>
      <c r="EO132" s="557" t="n"/>
      <c r="EP132" s="557" t="n"/>
      <c r="EQ132" s="557" t="n"/>
      <c r="ER132" s="557" t="n"/>
      <c r="ET132" s="557" t="n"/>
      <c r="EU132" s="557" t="n"/>
      <c r="EV132" s="557" t="n"/>
      <c r="EX132" s="557" t="n"/>
      <c r="EY132" s="557" t="n"/>
      <c r="FB132" s="557" t="n"/>
      <c r="FC132" s="557" t="n"/>
      <c r="FF132" s="557" t="n"/>
      <c r="FG132" s="557" t="n"/>
      <c r="FI132" s="557" t="n"/>
      <c r="FJ132" s="557" t="n"/>
      <c r="FK132" s="557" t="n"/>
      <c r="FM132" s="557" t="n"/>
      <c r="FN132" s="557" t="n"/>
      <c r="FO132" s="557" t="n"/>
    </row>
    <row r="133" customFormat="1" s="1133">
      <c r="A133" s="960" t="n"/>
      <c r="B133" s="1133" t="inlineStr">
        <is>
          <t>Operating profit</t>
        </is>
      </c>
      <c r="C133" s="1133">
        <f>C154-C136-C145-C151-C152</f>
        <v/>
      </c>
      <c r="D133" s="1133">
        <f>D154-D136-D145-D151-D152</f>
        <v/>
      </c>
      <c r="E133" s="1133">
        <f>E154-E136-E145-E151-E152</f>
        <v/>
      </c>
      <c r="F133" s="1133">
        <f>F154-F136-F145-F151-F152</f>
        <v/>
      </c>
      <c r="G133" s="1133">
        <f>G154-G136-G145-G151-G152</f>
        <v/>
      </c>
      <c r="H133" s="1133">
        <f>H118-H131</f>
        <v/>
      </c>
      <c r="I133" s="1133">
        <f>I118-I131</f>
        <v/>
      </c>
      <c r="J133" s="1133">
        <f>J118-J131</f>
        <v/>
      </c>
      <c r="K133" s="1133">
        <f>K118-K131</f>
        <v/>
      </c>
      <c r="L133" s="1135">
        <f>L118-L131</f>
        <v/>
      </c>
      <c r="M133" s="1135">
        <f>M118-M131</f>
        <v/>
      </c>
      <c r="N133" s="1135">
        <f>N118-N131</f>
        <v/>
      </c>
      <c r="O133" s="1135">
        <f>O118-O131</f>
        <v/>
      </c>
      <c r="P133" s="1135">
        <f>P118-P131</f>
        <v/>
      </c>
      <c r="Q133" s="1135">
        <f>Q118-Q131</f>
        <v/>
      </c>
      <c r="R133" s="1135">
        <f>R118-R131</f>
        <v/>
      </c>
      <c r="S133" s="1148">
        <f>S118-S131</f>
        <v/>
      </c>
      <c r="T133" s="1135">
        <f>T118-T131</f>
        <v/>
      </c>
      <c r="U133" s="1135">
        <f>U118-U131</f>
        <v/>
      </c>
      <c r="V133" s="1135">
        <f>V118-V131</f>
        <v/>
      </c>
      <c r="W133" s="1135">
        <f>(W118-W131)</f>
        <v/>
      </c>
      <c r="X133" s="1135">
        <f>(X118-X131)</f>
        <v/>
      </c>
      <c r="Y133" s="1135">
        <f>(Y118-Y131)</f>
        <v/>
      </c>
      <c r="Z133" s="1135">
        <f>(Z118-Z131)</f>
        <v/>
      </c>
      <c r="AA133" s="1135">
        <f>(AA118-AA131)</f>
        <v/>
      </c>
      <c r="AB133" s="1135">
        <f>(AB118-AB131)</f>
        <v/>
      </c>
      <c r="AC133" s="1135">
        <f>(AC118-AC131)</f>
        <v/>
      </c>
      <c r="AD133" s="125">
        <f>(AD118-AD131)</f>
        <v/>
      </c>
      <c r="AE133" s="125">
        <f>(AE118-AE131)</f>
        <v/>
      </c>
      <c r="AF133" s="125">
        <f>(AF118-AF131)</f>
        <v/>
      </c>
      <c r="AG133" s="224">
        <f>(AG118-AG131)</f>
        <v/>
      </c>
      <c r="AH133" s="224">
        <f>(AH118-AH131)</f>
        <v/>
      </c>
      <c r="AI133" s="224">
        <f>(AI118-AI131)</f>
        <v/>
      </c>
      <c r="AJ133" s="224">
        <f>(AJ118-AJ131)</f>
        <v/>
      </c>
      <c r="AK133" s="224">
        <f>(AK118-AK131)</f>
        <v/>
      </c>
      <c r="AL133" s="224">
        <f>(AL118-AL131)</f>
        <v/>
      </c>
      <c r="AM133" s="224">
        <f>(AM118-AM131)</f>
        <v/>
      </c>
      <c r="AN133" s="224">
        <f>(AN118-AN131)</f>
        <v/>
      </c>
      <c r="AO133" s="224">
        <f>(AO118-AO131)</f>
        <v/>
      </c>
      <c r="AP133" s="224">
        <f>(AP118-AP131)</f>
        <v/>
      </c>
      <c r="AQ133" s="224">
        <f>(AQ118-AQ131)</f>
        <v/>
      </c>
      <c r="AR133" s="224">
        <f>(AR118-AR131)</f>
        <v/>
      </c>
      <c r="AS133" s="224">
        <f>(AS118-AS131)</f>
        <v/>
      </c>
      <c r="AT133" s="224">
        <f>(AT118-AT131)</f>
        <v/>
      </c>
      <c r="AU133" s="252" t="n"/>
      <c r="AV133" s="111">
        <f>AV118-AV131</f>
        <v/>
      </c>
      <c r="AW133" s="111">
        <f>AX133-AV133</f>
        <v/>
      </c>
      <c r="AX133" s="111">
        <f>L133</f>
        <v/>
      </c>
      <c r="AY133" s="111" t="n"/>
      <c r="AZ133" s="111">
        <f>AZ118-AZ131</f>
        <v/>
      </c>
      <c r="BA133" s="111">
        <f>BB133-AZ133</f>
        <v/>
      </c>
      <c r="BB133" s="111">
        <f>M133</f>
        <v/>
      </c>
      <c r="BC133" s="224" t="n"/>
      <c r="BD133" s="111">
        <f>BD118-BD131</f>
        <v/>
      </c>
      <c r="BE133" s="111">
        <f>BF133-BD133</f>
        <v/>
      </c>
      <c r="BF133" s="111">
        <f>N133</f>
        <v/>
      </c>
      <c r="BG133" s="224" t="n"/>
      <c r="BH133" s="111">
        <f>BH118-BH131</f>
        <v/>
      </c>
      <c r="BI133" s="111">
        <f>BJ133-BH133</f>
        <v/>
      </c>
      <c r="BJ133" s="111">
        <f>O133</f>
        <v/>
      </c>
      <c r="BK133" s="249" t="n"/>
      <c r="BL133" s="111">
        <f>BL118-BL131</f>
        <v/>
      </c>
      <c r="BM133" s="111">
        <f>BN133-BL133</f>
        <v/>
      </c>
      <c r="BN133" s="111">
        <f>P133</f>
        <v/>
      </c>
      <c r="BO133" s="111" t="n"/>
      <c r="BP133" s="111">
        <f>BP118-BP131</f>
        <v/>
      </c>
      <c r="BQ133" s="111">
        <f>BR133-BP133</f>
        <v/>
      </c>
      <c r="BR133" s="111">
        <f>Q133</f>
        <v/>
      </c>
      <c r="BS133" s="224" t="n"/>
      <c r="BT133" s="111">
        <f>BT118-BT131</f>
        <v/>
      </c>
      <c r="BU133" s="111">
        <f>BV133-BT133</f>
        <v/>
      </c>
      <c r="BV133" s="111">
        <f>R133</f>
        <v/>
      </c>
      <c r="BW133" s="224" t="n"/>
      <c r="BX133" s="224">
        <f>BX118-BX131</f>
        <v/>
      </c>
      <c r="BY133" s="111">
        <f>BZ133-BX133</f>
        <v/>
      </c>
      <c r="BZ133" s="224">
        <f>S133</f>
        <v/>
      </c>
      <c r="CA133" s="224" t="n"/>
      <c r="CB133" s="224">
        <f>CB118-CB131</f>
        <v/>
      </c>
      <c r="CC133" s="111">
        <f>CD133-CB133</f>
        <v/>
      </c>
      <c r="CD133" s="224">
        <f>T133</f>
        <v/>
      </c>
      <c r="CE133" s="224" t="n"/>
      <c r="CF133" s="224">
        <f>CF118-CF131</f>
        <v/>
      </c>
      <c r="CG133" s="43">
        <f>CH133-CF133</f>
        <v/>
      </c>
      <c r="CH133" s="224">
        <f>U133</f>
        <v/>
      </c>
      <c r="CI133" s="224" t="n"/>
      <c r="CJ133" s="224">
        <f>CJ118-CJ131</f>
        <v/>
      </c>
      <c r="CK133" s="224">
        <f>CL133-CJ133</f>
        <v/>
      </c>
      <c r="CL133" s="224">
        <f>V133</f>
        <v/>
      </c>
      <c r="CM133" s="224" t="n"/>
      <c r="CN133" s="224">
        <f>CN118-CN131</f>
        <v/>
      </c>
      <c r="CO133" s="224">
        <f>CP133-CN133</f>
        <v/>
      </c>
      <c r="CP133" s="224">
        <f>W133</f>
        <v/>
      </c>
      <c r="CQ133" s="224" t="n"/>
      <c r="CR133" s="224">
        <f>CR118-CR131</f>
        <v/>
      </c>
      <c r="CS133" s="224">
        <f>CS118-CS131</f>
        <v/>
      </c>
      <c r="CT133" s="224">
        <f>CU133-CR133</f>
        <v/>
      </c>
      <c r="CU133" s="224">
        <f>X133</f>
        <v/>
      </c>
      <c r="CV133" s="224" t="n"/>
      <c r="CW133" s="224">
        <f>CW118-CW131</f>
        <v/>
      </c>
      <c r="CX133" s="224">
        <f>CX118-CX131</f>
        <v/>
      </c>
      <c r="CY133" s="224">
        <f>Y133</f>
        <v/>
      </c>
      <c r="CZ133" s="224">
        <f>CW133-2003</f>
        <v/>
      </c>
      <c r="DA133" s="224">
        <f>DA118-DA131</f>
        <v/>
      </c>
      <c r="DB133" s="224">
        <f>DB118-DB131</f>
        <v/>
      </c>
      <c r="DC133" s="224">
        <f>Z133</f>
        <v/>
      </c>
      <c r="DD133" s="224" t="n"/>
      <c r="DE133" s="224">
        <f>DE118-DE131</f>
        <v/>
      </c>
      <c r="DF133" s="224">
        <f>DF118-DF131</f>
        <v/>
      </c>
      <c r="DG133" s="224">
        <f>AA133</f>
        <v/>
      </c>
      <c r="DH133" s="625" t="n"/>
      <c r="DI133" s="224">
        <f>DI118-DI131</f>
        <v/>
      </c>
      <c r="DJ133" s="224">
        <f>DJ118-DJ131</f>
        <v/>
      </c>
      <c r="DK133" s="224">
        <f>AB133</f>
        <v/>
      </c>
      <c r="DL133" s="224" t="n"/>
      <c r="DM133" s="224">
        <f>DM118-DM131</f>
        <v/>
      </c>
      <c r="DN133" s="224">
        <f>DN118-DN131</f>
        <v/>
      </c>
      <c r="DO133" s="224">
        <f>AC133</f>
        <v/>
      </c>
      <c r="DP133" s="625" t="n"/>
      <c r="DQ133" s="224">
        <f>DQ118-DQ131</f>
        <v/>
      </c>
      <c r="DR133" s="224">
        <f>DR118-DR131</f>
        <v/>
      </c>
      <c r="DS133" s="224">
        <f>AD133</f>
        <v/>
      </c>
      <c r="DT133" s="224" t="n"/>
      <c r="DU133" s="224">
        <f>(DU118-DU131)</f>
        <v/>
      </c>
      <c r="DV133" s="224">
        <f>DV118-DV131</f>
        <v/>
      </c>
      <c r="DW133" s="224">
        <f>AE133</f>
        <v/>
      </c>
      <c r="DX133" s="224" t="n"/>
      <c r="DY133" s="224">
        <f>(DY118-DY131)</f>
        <v/>
      </c>
      <c r="DZ133" s="224">
        <f>DZ118-DZ131</f>
        <v/>
      </c>
      <c r="EA133" s="224">
        <f>AF133</f>
        <v/>
      </c>
      <c r="EB133" s="224" t="n"/>
      <c r="EC133" s="224">
        <f>(EC118-EC131)</f>
        <v/>
      </c>
      <c r="ED133" s="224">
        <f>ED118-ED131</f>
        <v/>
      </c>
      <c r="EE133" s="224">
        <f>AG133</f>
        <v/>
      </c>
      <c r="EF133" s="224" t="n"/>
      <c r="EG133" s="224">
        <f>(EG118-EG131)</f>
        <v/>
      </c>
      <c r="EH133" s="224">
        <f>EH118-EH131</f>
        <v/>
      </c>
      <c r="EI133" s="224">
        <f>AH133</f>
        <v/>
      </c>
      <c r="EJ133" s="224" t="n"/>
      <c r="EK133" s="224">
        <f>(EK118-EK131)</f>
        <v/>
      </c>
      <c r="EL133" s="224">
        <f>EL118-EL131</f>
        <v/>
      </c>
      <c r="EM133" s="224">
        <f>AI133</f>
        <v/>
      </c>
      <c r="EN133" s="224" t="n"/>
      <c r="EO133" s="224">
        <f>(EO118-EO131)</f>
        <v/>
      </c>
      <c r="EP133" s="224">
        <f>EP118-EP131</f>
        <v/>
      </c>
      <c r="EQ133" s="319">
        <f>AJ133</f>
        <v/>
      </c>
      <c r="ER133" s="319" t="n"/>
      <c r="ES133" s="224">
        <f>(ES118-ES131)</f>
        <v/>
      </c>
      <c r="ET133" s="224">
        <f>(ET118-ET131)</f>
        <v/>
      </c>
      <c r="EU133" s="319">
        <f>AK133</f>
        <v/>
      </c>
      <c r="EV133" s="319" t="n"/>
      <c r="EW133" s="224">
        <f>(EW118-EW131)</f>
        <v/>
      </c>
      <c r="EX133" s="224">
        <f>(EX118-EX131)</f>
        <v/>
      </c>
      <c r="EY133" s="319">
        <f>AL133</f>
        <v/>
      </c>
      <c r="EZ133" s="520" t="n"/>
      <c r="FA133" s="224">
        <f>(FA118-FA131)</f>
        <v/>
      </c>
      <c r="FB133" s="224">
        <f>(FB118-FB131)</f>
        <v/>
      </c>
      <c r="FC133" s="319">
        <f>AM133</f>
        <v/>
      </c>
      <c r="FE133" s="224">
        <f>(FE118-FE131)</f>
        <v/>
      </c>
      <c r="FF133" s="224">
        <f>(FF118-FF131)</f>
        <v/>
      </c>
      <c r="FG133" s="319">
        <f>AN133</f>
        <v/>
      </c>
      <c r="FI133" s="224">
        <f>(FI118-FI131)</f>
        <v/>
      </c>
      <c r="FJ133" s="224">
        <f>(FJ118-FJ131)</f>
        <v/>
      </c>
      <c r="FK133" s="319">
        <f>AO133</f>
        <v/>
      </c>
      <c r="FL133" s="520" t="n"/>
      <c r="FM133" s="224">
        <f>(FM118-FM131)</f>
        <v/>
      </c>
      <c r="FN133" s="224">
        <f>(FN118-FN131)</f>
        <v/>
      </c>
      <c r="FO133" s="319">
        <f>AP133</f>
        <v/>
      </c>
    </row>
    <row r="134" customFormat="1" s="1137">
      <c r="A134" s="960" t="inlineStr">
        <is>
          <t>op margin</t>
        </is>
      </c>
      <c r="B134" s="1137" t="inlineStr">
        <is>
          <t>Margin</t>
        </is>
      </c>
      <c r="C134" s="1137">
        <f>C133/C118</f>
        <v/>
      </c>
      <c r="D134" s="1137">
        <f>D133/D118</f>
        <v/>
      </c>
      <c r="E134" s="1137">
        <f>E133/E118</f>
        <v/>
      </c>
      <c r="F134" s="1137">
        <f>F133/F118</f>
        <v/>
      </c>
      <c r="G134" s="1137">
        <f>G133/G118</f>
        <v/>
      </c>
      <c r="H134" s="1137">
        <f>H133/H118</f>
        <v/>
      </c>
      <c r="I134" s="1137">
        <f>I133/I118</f>
        <v/>
      </c>
      <c r="J134" s="1137">
        <f>J133/J118</f>
        <v/>
      </c>
      <c r="K134" s="1137">
        <f>K133/K118</f>
        <v/>
      </c>
      <c r="L134" s="1149">
        <f>L133/L118</f>
        <v/>
      </c>
      <c r="M134" s="1149">
        <f>M133/M118</f>
        <v/>
      </c>
      <c r="N134" s="1149">
        <f>N133/N118</f>
        <v/>
      </c>
      <c r="O134" s="1149">
        <f>O133/O118</f>
        <v/>
      </c>
      <c r="P134" s="1149">
        <f>P133/P118</f>
        <v/>
      </c>
      <c r="Q134" s="1149">
        <f>Q133/Q118</f>
        <v/>
      </c>
      <c r="R134" s="1149">
        <f>R133/R118</f>
        <v/>
      </c>
      <c r="S134" s="1149">
        <f>S133/S118</f>
        <v/>
      </c>
      <c r="T134" s="1149">
        <f>T133/T118</f>
        <v/>
      </c>
      <c r="U134" s="1149">
        <f>U133/U118</f>
        <v/>
      </c>
      <c r="V134" s="1149">
        <f>V133/V118</f>
        <v/>
      </c>
      <c r="W134" s="1149">
        <f>W133/W118</f>
        <v/>
      </c>
      <c r="X134" s="1149">
        <f>X133/X118</f>
        <v/>
      </c>
      <c r="Y134" s="1149">
        <f>Y133/Y118</f>
        <v/>
      </c>
      <c r="Z134" s="1149">
        <f>Z133/Z118</f>
        <v/>
      </c>
      <c r="AA134" s="1149">
        <f>AA133/AA118</f>
        <v/>
      </c>
      <c r="AB134" s="1149">
        <f>AB133/AB118</f>
        <v/>
      </c>
      <c r="AC134" s="1149">
        <f>AC133/AC118</f>
        <v/>
      </c>
      <c r="AD134" s="1149">
        <f>AD133/AD118</f>
        <v/>
      </c>
      <c r="AE134" s="1149">
        <f>AE133/AE118</f>
        <v/>
      </c>
      <c r="AF134" s="1149">
        <f>AF133/AF118</f>
        <v/>
      </c>
      <c r="AG134" s="1137">
        <f>AG133/AG118</f>
        <v/>
      </c>
      <c r="AH134" s="1137">
        <f>AH133/AH118</f>
        <v/>
      </c>
      <c r="AI134" s="1137">
        <f>AI133/AI118</f>
        <v/>
      </c>
      <c r="AJ134" s="1137">
        <f>AJ133/AJ118</f>
        <v/>
      </c>
      <c r="AK134" s="1137">
        <f>AK133/AK118</f>
        <v/>
      </c>
      <c r="AL134" s="1137">
        <f>AL133/AL118</f>
        <v/>
      </c>
      <c r="AM134" s="1137">
        <f>AM133/AM118</f>
        <v/>
      </c>
      <c r="AN134" s="1137">
        <f>AN133/AN118</f>
        <v/>
      </c>
      <c r="AO134" s="1137">
        <f>AO133/AO118</f>
        <v/>
      </c>
      <c r="AP134" s="1137">
        <f>AP133/AP118</f>
        <v/>
      </c>
      <c r="AQ134" s="1137">
        <f>AQ133/AQ118</f>
        <v/>
      </c>
      <c r="AR134" s="1137">
        <f>AR133/AR118</f>
        <v/>
      </c>
      <c r="AS134" s="1137">
        <f>AS133/AS118</f>
        <v/>
      </c>
      <c r="AT134" s="1137">
        <f>AT133/AT118</f>
        <v/>
      </c>
      <c r="AU134" s="520" t="n"/>
      <c r="AV134" s="1137">
        <f>AV133/AV118</f>
        <v/>
      </c>
      <c r="AW134" s="1137">
        <f>AW133/AW118</f>
        <v/>
      </c>
      <c r="AX134" s="1140">
        <f>L134</f>
        <v/>
      </c>
      <c r="AY134" s="1140" t="n"/>
      <c r="AZ134" s="1137">
        <f>AZ133/AZ118</f>
        <v/>
      </c>
      <c r="BA134" s="1137">
        <f>BA133/BA118</f>
        <v/>
      </c>
      <c r="BB134" s="1140">
        <f>M134</f>
        <v/>
      </c>
      <c r="BD134" s="1137">
        <f>BD133/BD118</f>
        <v/>
      </c>
      <c r="BE134" s="1137">
        <f>BE133/BE118</f>
        <v/>
      </c>
      <c r="BF134" s="1140">
        <f>N134</f>
        <v/>
      </c>
      <c r="BH134" s="1137">
        <f>BH133/BH118</f>
        <v/>
      </c>
      <c r="BI134" s="1137">
        <f>BI133/BI118</f>
        <v/>
      </c>
      <c r="BJ134" s="1140">
        <f>O134</f>
        <v/>
      </c>
      <c r="BL134" s="1137">
        <f>BL133/BL118</f>
        <v/>
      </c>
      <c r="BM134" s="1137">
        <f>BM133/BM118</f>
        <v/>
      </c>
      <c r="BN134" s="1140">
        <f>P134</f>
        <v/>
      </c>
      <c r="BP134" s="1137">
        <f>BP133/BP118</f>
        <v/>
      </c>
      <c r="BQ134" s="1137">
        <f>BQ133/BQ118</f>
        <v/>
      </c>
      <c r="BR134" s="1140">
        <f>Q134</f>
        <v/>
      </c>
      <c r="BT134" s="1137">
        <f>BT133/BT118</f>
        <v/>
      </c>
      <c r="BU134" s="1137">
        <f>BU133/BU118</f>
        <v/>
      </c>
      <c r="BV134" s="1140">
        <f>R134</f>
        <v/>
      </c>
      <c r="BW134" s="1140" t="n"/>
      <c r="BX134" s="1137">
        <f>BX133/BX118</f>
        <v/>
      </c>
      <c r="BY134" s="1137">
        <f>BY133/BY118</f>
        <v/>
      </c>
      <c r="BZ134" s="1140">
        <f>S134</f>
        <v/>
      </c>
      <c r="CB134" s="1137">
        <f>CB133/CB118</f>
        <v/>
      </c>
      <c r="CC134" s="1137">
        <f>CC133/CC118</f>
        <v/>
      </c>
      <c r="CD134" s="1140">
        <f>T134</f>
        <v/>
      </c>
      <c r="CF134" s="1137">
        <f>CF133/CF118</f>
        <v/>
      </c>
      <c r="CG134" s="1137">
        <f>CG133/CG118</f>
        <v/>
      </c>
      <c r="CH134" s="1140">
        <f>U134</f>
        <v/>
      </c>
      <c r="CI134" s="1140" t="n"/>
      <c r="CJ134" s="1137">
        <f>CJ133/CJ118</f>
        <v/>
      </c>
      <c r="CK134" s="1137">
        <f>CK133/CK118</f>
        <v/>
      </c>
      <c r="CL134" s="1140">
        <f>V134</f>
        <v/>
      </c>
      <c r="CM134" s="1140" t="n"/>
      <c r="CN134" s="1137">
        <f>CN133/CN118</f>
        <v/>
      </c>
      <c r="CO134" s="1137">
        <f>CO133/CO118</f>
        <v/>
      </c>
      <c r="CP134" s="1137">
        <f>W134</f>
        <v/>
      </c>
      <c r="CR134" s="1137">
        <f>CR133/CR118</f>
        <v/>
      </c>
      <c r="CS134" s="1137">
        <f>CS133/CS118</f>
        <v/>
      </c>
      <c r="CT134" s="1137">
        <f>CT133/CT118</f>
        <v/>
      </c>
      <c r="CU134" s="1137">
        <f>X134</f>
        <v/>
      </c>
      <c r="CW134" s="1137">
        <f>CW133/CW118</f>
        <v/>
      </c>
      <c r="CX134" s="1137">
        <f>CX133/CX118</f>
        <v/>
      </c>
      <c r="CY134" s="1137">
        <f>Y134</f>
        <v/>
      </c>
      <c r="CZ134" s="234">
        <f>CZ133+396+169</f>
        <v/>
      </c>
      <c r="DA134" s="1137">
        <f>DA133/DA118</f>
        <v/>
      </c>
      <c r="DB134" s="1137">
        <f>DB133/DB118</f>
        <v/>
      </c>
      <c r="DC134" s="1137">
        <f>Z134</f>
        <v/>
      </c>
      <c r="DD134" s="234" t="n"/>
      <c r="DE134" s="1137">
        <f>DE133/DE118</f>
        <v/>
      </c>
      <c r="DF134" s="1137">
        <f>DF133/DF118</f>
        <v/>
      </c>
      <c r="DG134" s="1137">
        <f>AA134</f>
        <v/>
      </c>
      <c r="DH134" s="118" t="n"/>
      <c r="DI134" s="1137">
        <f>DI133/DI118</f>
        <v/>
      </c>
      <c r="DJ134" s="1137">
        <f>DJ133/DJ118</f>
        <v/>
      </c>
      <c r="DK134" s="1137">
        <f>AB134</f>
        <v/>
      </c>
      <c r="DM134" s="1137">
        <f>DM133/DM118</f>
        <v/>
      </c>
      <c r="DN134" s="1137">
        <f>DN133/DN118</f>
        <v/>
      </c>
      <c r="DO134" s="1137">
        <f>AC134</f>
        <v/>
      </c>
      <c r="DP134" s="118" t="n"/>
      <c r="DQ134" s="1137">
        <f>DQ133/DQ118</f>
        <v/>
      </c>
      <c r="DR134" s="1137">
        <f>DR133/DR118</f>
        <v/>
      </c>
      <c r="DS134" s="1137">
        <f>AD134</f>
        <v/>
      </c>
      <c r="DU134" s="1137">
        <f>DU133/DU118</f>
        <v/>
      </c>
      <c r="DV134" s="1137">
        <f>DV133/DV118</f>
        <v/>
      </c>
      <c r="DW134" s="1137">
        <f>AE134</f>
        <v/>
      </c>
      <c r="DY134" s="1137">
        <f>DY133/DY118</f>
        <v/>
      </c>
      <c r="DZ134" s="1137">
        <f>DZ133/DZ118</f>
        <v/>
      </c>
      <c r="EA134" s="1137">
        <f>AF134</f>
        <v/>
      </c>
      <c r="EC134" s="1137">
        <f>EC133/EC118</f>
        <v/>
      </c>
      <c r="ED134" s="1137">
        <f>ED133/ED118</f>
        <v/>
      </c>
      <c r="EE134" s="1137">
        <f>AG134</f>
        <v/>
      </c>
      <c r="EG134" s="1137">
        <f>EG133/EG118</f>
        <v/>
      </c>
      <c r="EH134" s="1137">
        <f>EH133/EH118</f>
        <v/>
      </c>
      <c r="EI134" s="1137">
        <f>AH134</f>
        <v/>
      </c>
      <c r="EK134" s="1137">
        <f>EK133/EK118</f>
        <v/>
      </c>
      <c r="EL134" s="1137">
        <f>EL133/EL118</f>
        <v/>
      </c>
      <c r="EM134" s="1137">
        <f>AI134</f>
        <v/>
      </c>
      <c r="EO134" s="1137">
        <f>EO133/EO118</f>
        <v/>
      </c>
      <c r="EP134" s="1137">
        <f>EP133/EP118</f>
        <v/>
      </c>
      <c r="EQ134" s="1137">
        <f>EQ133/EQ118</f>
        <v/>
      </c>
      <c r="ES134" s="1137">
        <f>ES133/ES118</f>
        <v/>
      </c>
      <c r="ET134" s="1137">
        <f>ET133/ET118</f>
        <v/>
      </c>
      <c r="EU134" s="1137">
        <f>EU133/EU118</f>
        <v/>
      </c>
      <c r="EW134" s="1137">
        <f>EW133/EW118</f>
        <v/>
      </c>
      <c r="EX134" s="1137">
        <f>EX133/EX118</f>
        <v/>
      </c>
      <c r="EY134" s="1137">
        <f>EY133/EY118</f>
        <v/>
      </c>
      <c r="FA134" s="1137">
        <f>FA133/FA118</f>
        <v/>
      </c>
      <c r="FB134" s="1137">
        <f>FB133/FB118</f>
        <v/>
      </c>
      <c r="FC134" s="1137">
        <f>FC133/FC118</f>
        <v/>
      </c>
      <c r="FE134" s="1137">
        <f>FE133/FE118</f>
        <v/>
      </c>
      <c r="FF134" s="1137">
        <f>FF133/FF118</f>
        <v/>
      </c>
      <c r="FG134" s="1137">
        <f>FG133/FG118</f>
        <v/>
      </c>
      <c r="FI134" s="1137">
        <f>FI133/FI118</f>
        <v/>
      </c>
      <c r="FJ134" s="1137">
        <f>FJ133/FJ118</f>
        <v/>
      </c>
      <c r="FK134" s="1137">
        <f>FK133/FK118</f>
        <v/>
      </c>
      <c r="FM134" s="1137">
        <f>FM133/FM118</f>
        <v/>
      </c>
      <c r="FN134" s="1137">
        <f>FN133/FN118</f>
        <v/>
      </c>
      <c r="FO134" s="1137">
        <f>FO133/FO118</f>
        <v/>
      </c>
    </row>
    <row r="135" customFormat="1" s="1098">
      <c r="A135" s="1109" t="n"/>
      <c r="D135" s="1150" t="n"/>
      <c r="E135" s="1150" t="n"/>
      <c r="F135" s="1150" t="n"/>
      <c r="G135" s="1150" t="n"/>
      <c r="H135" s="1150" t="n"/>
      <c r="I135" s="1150" t="n"/>
      <c r="J135" s="1150" t="n"/>
      <c r="K135" s="1150" t="n"/>
      <c r="L135" s="1150" t="n"/>
      <c r="M135" s="1150" t="n"/>
      <c r="N135" s="1150" t="n"/>
      <c r="O135" s="1150" t="n"/>
      <c r="P135" s="1150" t="n"/>
      <c r="Q135" s="1150" t="n"/>
      <c r="R135" s="1150" t="n"/>
      <c r="S135" s="1150" t="n"/>
      <c r="T135" s="1150" t="n"/>
      <c r="U135" s="1150" t="n"/>
      <c r="V135" s="1150" t="n"/>
      <c r="W135" s="1150" t="n"/>
      <c r="X135" s="1150" t="n"/>
      <c r="Y135" s="994" t="n"/>
      <c r="Z135" s="994" t="n"/>
      <c r="AA135" s="994" t="n"/>
      <c r="AB135" s="1150" t="n"/>
      <c r="AC135" s="994" t="n"/>
      <c r="AD135" s="1150" t="n"/>
      <c r="AE135" s="1150" t="n"/>
      <c r="AF135" s="1150" t="n"/>
      <c r="AG135" s="1150" t="n"/>
      <c r="AH135" s="1150" t="n"/>
      <c r="AI135" s="1150" t="n"/>
      <c r="AJ135" s="1150" t="n"/>
      <c r="AK135" s="1150" t="n"/>
      <c r="AL135" s="1150" t="n"/>
      <c r="AM135" s="1150" t="n"/>
      <c r="AN135" s="1150" t="n"/>
      <c r="AO135" s="1150" t="n"/>
      <c r="AP135" s="1150" t="n"/>
      <c r="AQ135" s="1150" t="n"/>
      <c r="AR135" s="1150" t="n"/>
      <c r="AS135" s="1150" t="n"/>
      <c r="AT135" s="1150" t="n"/>
      <c r="AU135" s="1150" t="n"/>
      <c r="BF135" s="1151" t="n"/>
      <c r="BJ135" s="1151" t="n"/>
      <c r="BN135" s="1151" t="n"/>
      <c r="BR135" s="1151" t="n"/>
      <c r="BV135" s="1151" t="n"/>
      <c r="BZ135" s="1151" t="n"/>
      <c r="CD135" s="1151" t="n"/>
      <c r="CH135" s="1151" t="n"/>
      <c r="CI135" s="1151" t="n"/>
      <c r="CL135" s="1151" t="n"/>
      <c r="CM135" s="1151" t="n"/>
      <c r="CR135" s="1152" t="n"/>
      <c r="CS135" s="1152" t="n"/>
      <c r="CT135" s="1153" t="n"/>
      <c r="CW135" s="234" t="n"/>
      <c r="CX135" s="1153" t="n"/>
      <c r="DH135" s="118" t="n"/>
      <c r="DM135" s="961" t="n"/>
      <c r="DN135" s="961" t="n"/>
      <c r="DO135" s="961" t="n"/>
      <c r="DP135" s="118" t="n"/>
      <c r="DQ135" s="961" t="n"/>
      <c r="DR135" s="961" t="n"/>
      <c r="DS135" s="961" t="n"/>
      <c r="DT135" s="961" t="n"/>
      <c r="DU135" s="1150" t="n"/>
      <c r="DV135" s="1150" t="n"/>
      <c r="DW135" s="1150" t="n"/>
      <c r="DX135" s="961" t="n"/>
      <c r="DY135" s="1150" t="n"/>
      <c r="DZ135" s="1150" t="n"/>
      <c r="EA135" s="1150" t="n"/>
      <c r="EC135" s="994" t="n"/>
      <c r="ED135" s="1150" t="n"/>
      <c r="EE135" s="1150" t="n"/>
      <c r="EF135" s="1150" t="n"/>
      <c r="EG135" s="994" t="n"/>
      <c r="EH135" s="1150" t="n"/>
      <c r="EI135" s="1150" t="n"/>
      <c r="EJ135" s="1150" t="n"/>
      <c r="EK135" s="1150" t="n"/>
      <c r="EL135" s="1150" t="n"/>
      <c r="EM135" s="1150" t="n"/>
      <c r="EN135" s="1150" t="n"/>
      <c r="EO135" s="1150" t="n"/>
      <c r="EP135" s="1150" t="n"/>
      <c r="EQ135" s="1150" t="n"/>
      <c r="ER135" s="1150" t="n"/>
      <c r="ES135" s="1150" t="n"/>
      <c r="ET135" s="1150" t="n"/>
      <c r="EU135" s="1150" t="n"/>
      <c r="EV135" s="1150" t="n"/>
      <c r="EW135" s="1150" t="n"/>
      <c r="EX135" s="1150" t="n"/>
      <c r="EY135" s="1150" t="n"/>
      <c r="FA135" s="1150" t="n"/>
      <c r="FB135" s="1150" t="n"/>
      <c r="FC135" s="1150" t="n"/>
      <c r="FE135" s="1150" t="n"/>
      <c r="FF135" s="1150" t="n"/>
      <c r="FG135" s="1150" t="n"/>
      <c r="FI135" s="1150" t="n"/>
      <c r="FJ135" s="1150" t="n"/>
      <c r="FK135" s="1150" t="n"/>
      <c r="FM135" s="226" t="n"/>
      <c r="FN135" s="1150" t="n"/>
      <c r="FO135" s="1150" t="n"/>
    </row>
    <row r="136" customFormat="1" s="1154">
      <c r="A136" s="1155" t="inlineStr">
        <is>
          <t>pl net interest</t>
        </is>
      </c>
      <c r="B136" s="1154" t="inlineStr">
        <is>
          <t>Net interest</t>
        </is>
      </c>
      <c r="C136" s="1154">
        <f>C137-C139</f>
        <v/>
      </c>
      <c r="D136" s="1154">
        <f>D137-D139</f>
        <v/>
      </c>
      <c r="E136" s="1154">
        <f>E137-E139</f>
        <v/>
      </c>
      <c r="F136" s="1154">
        <f>F137-F139</f>
        <v/>
      </c>
      <c r="G136" s="1154">
        <f>G137-G139</f>
        <v/>
      </c>
      <c r="H136" s="1154">
        <f>H137-H139</f>
        <v/>
      </c>
      <c r="I136" s="1154">
        <f>I137-I139</f>
        <v/>
      </c>
      <c r="J136" s="1154">
        <f>J137-J139</f>
        <v/>
      </c>
      <c r="K136" s="1154">
        <f>K137-K139</f>
        <v/>
      </c>
      <c r="L136" s="1156">
        <f>L137-L139</f>
        <v/>
      </c>
      <c r="M136" s="1156">
        <f>M137-M139</f>
        <v/>
      </c>
      <c r="N136" s="1156">
        <f>N137-N139</f>
        <v/>
      </c>
      <c r="O136" s="1156">
        <f>O137-O139</f>
        <v/>
      </c>
      <c r="P136" s="1156">
        <f>P137-P139</f>
        <v/>
      </c>
      <c r="Q136" s="1156">
        <f>Q137-Q139</f>
        <v/>
      </c>
      <c r="R136" s="1156">
        <f>R137-R139</f>
        <v/>
      </c>
      <c r="S136" s="1156">
        <f>S137-S139</f>
        <v/>
      </c>
      <c r="T136" s="1156">
        <f>T137-T139</f>
        <v/>
      </c>
      <c r="U136" s="1156">
        <f>U137-U139</f>
        <v/>
      </c>
      <c r="V136" s="1156">
        <f>V137-V139</f>
        <v/>
      </c>
      <c r="W136" s="1156">
        <f>W137-W139</f>
        <v/>
      </c>
      <c r="X136" s="1156">
        <f>X137-X139</f>
        <v/>
      </c>
      <c r="Y136" s="1156">
        <f>Y137-Y139</f>
        <v/>
      </c>
      <c r="Z136" s="1156">
        <f>Z137-Z139</f>
        <v/>
      </c>
      <c r="AA136" s="1156">
        <f>AA137-AA139</f>
        <v/>
      </c>
      <c r="AB136" s="1156">
        <f>AB137-AB139</f>
        <v/>
      </c>
      <c r="AC136" s="1156">
        <f>AC137-AC139</f>
        <v/>
      </c>
      <c r="AD136" s="319">
        <f>AD137-AD139</f>
        <v/>
      </c>
      <c r="AE136" s="319">
        <f>AE137-AE139</f>
        <v/>
      </c>
      <c r="AF136" s="319">
        <f>AF137-AF139</f>
        <v/>
      </c>
      <c r="AG136" s="527">
        <f>AG137-AG139</f>
        <v/>
      </c>
      <c r="AH136" s="527">
        <f>AH137-AH139</f>
        <v/>
      </c>
      <c r="AI136" s="527">
        <f>AI137-AI139</f>
        <v/>
      </c>
      <c r="AJ136" s="527">
        <f>AJ137-AJ139</f>
        <v/>
      </c>
      <c r="AK136" s="527">
        <f>AK137-AK139</f>
        <v/>
      </c>
      <c r="AL136" s="527">
        <f>AL137-AL139</f>
        <v/>
      </c>
      <c r="AM136" s="527">
        <f>AM137-AM139</f>
        <v/>
      </c>
      <c r="AN136" s="527">
        <f>AN137-AN139</f>
        <v/>
      </c>
      <c r="AO136" s="527">
        <f>AO137-AO139</f>
        <v/>
      </c>
      <c r="AP136" s="527">
        <f>AP137-AP139</f>
        <v/>
      </c>
      <c r="AQ136" s="527">
        <f>AQ137-AQ139</f>
        <v/>
      </c>
      <c r="AR136" s="527">
        <f>AR137-AR139</f>
        <v/>
      </c>
      <c r="AS136" s="527">
        <f>AS137-AS139</f>
        <v/>
      </c>
      <c r="AT136" s="527">
        <f>AT137-AT139</f>
        <v/>
      </c>
      <c r="AU136" s="527" t="n"/>
      <c r="AV136" s="527">
        <f>AV137-AV139</f>
        <v/>
      </c>
      <c r="AW136" s="734">
        <f>AX136-AV136</f>
        <v/>
      </c>
      <c r="AX136" s="734">
        <f>L136</f>
        <v/>
      </c>
      <c r="AY136" s="734" t="n"/>
      <c r="AZ136" s="527">
        <f>AZ137-AZ139</f>
        <v/>
      </c>
      <c r="BA136" s="734">
        <f>BB136-AZ136</f>
        <v/>
      </c>
      <c r="BB136" s="734">
        <f>M136</f>
        <v/>
      </c>
      <c r="BC136" s="527" t="n"/>
      <c r="BD136" s="527">
        <f>BD137-BD139</f>
        <v/>
      </c>
      <c r="BE136" s="527">
        <f>BF136-BD136</f>
        <v/>
      </c>
      <c r="BF136" s="734">
        <f>N136</f>
        <v/>
      </c>
      <c r="BG136" s="527" t="n"/>
      <c r="BH136" s="527">
        <f>BH137-BH139</f>
        <v/>
      </c>
      <c r="BI136" s="527">
        <f>BJ136-BH136</f>
        <v/>
      </c>
      <c r="BJ136" s="734">
        <f>O136</f>
        <v/>
      </c>
      <c r="BK136" s="837" t="n"/>
      <c r="BL136" s="527">
        <f>BL137-BL139</f>
        <v/>
      </c>
      <c r="BM136" s="527">
        <f>BN136-BL136</f>
        <v/>
      </c>
      <c r="BN136" s="734">
        <f>P136</f>
        <v/>
      </c>
      <c r="BO136" s="527" t="n"/>
      <c r="BP136" s="527">
        <f>BP137-BP139</f>
        <v/>
      </c>
      <c r="BQ136" s="527">
        <f>BR136-BP136</f>
        <v/>
      </c>
      <c r="BR136" s="734">
        <f>Q136</f>
        <v/>
      </c>
      <c r="BS136" s="527" t="n"/>
      <c r="BT136" s="527">
        <f>BT137-BT139</f>
        <v/>
      </c>
      <c r="BU136" s="527">
        <f>BV136-BT136</f>
        <v/>
      </c>
      <c r="BV136" s="734">
        <f>R136</f>
        <v/>
      </c>
      <c r="BW136" s="527" t="n"/>
      <c r="BX136" s="527">
        <f>BX137-BX139</f>
        <v/>
      </c>
      <c r="BY136" s="527">
        <f>BZ136-BX136</f>
        <v/>
      </c>
      <c r="BZ136" s="734">
        <f>S136</f>
        <v/>
      </c>
      <c r="CA136" s="527" t="n"/>
      <c r="CB136" s="527">
        <f>CB137-CB139</f>
        <v/>
      </c>
      <c r="CC136" s="527">
        <f>CD136-CB136</f>
        <v/>
      </c>
      <c r="CD136" s="734">
        <f>T136</f>
        <v/>
      </c>
      <c r="CE136" s="527" t="n"/>
      <c r="CF136" s="527">
        <f>CF137-CF139</f>
        <v/>
      </c>
      <c r="CG136" s="734">
        <f>CH136-CF136</f>
        <v/>
      </c>
      <c r="CH136" s="734">
        <f>U136</f>
        <v/>
      </c>
      <c r="CI136" s="734" t="n"/>
      <c r="CJ136" s="527">
        <f>CJ137-CJ139</f>
        <v/>
      </c>
      <c r="CK136" s="527" t="n"/>
      <c r="CL136" s="734">
        <f>V136</f>
        <v/>
      </c>
      <c r="CM136" s="734" t="n"/>
      <c r="CN136" s="527">
        <f>CN137-CN139</f>
        <v/>
      </c>
      <c r="CO136" s="527">
        <f>CP136-CN136</f>
        <v/>
      </c>
      <c r="CP136" s="527">
        <f>W136</f>
        <v/>
      </c>
      <c r="CQ136" s="527" t="n"/>
      <c r="CR136" s="527">
        <f>CR137-CR139</f>
        <v/>
      </c>
      <c r="CS136" s="527">
        <f>CS137-CS139</f>
        <v/>
      </c>
      <c r="CT136" s="527">
        <f>CT137-CT139</f>
        <v/>
      </c>
      <c r="CU136" s="527">
        <f>X136</f>
        <v/>
      </c>
      <c r="CV136" s="527" t="n"/>
      <c r="CW136" s="527">
        <f>CW137-CW139</f>
        <v/>
      </c>
      <c r="CX136" s="734">
        <f>CY136-CW136</f>
        <v/>
      </c>
      <c r="CY136" s="527">
        <f>Y136</f>
        <v/>
      </c>
      <c r="CZ136" s="527" t="n"/>
      <c r="DA136" s="527">
        <f>DA137-DA139</f>
        <v/>
      </c>
      <c r="DB136" s="527">
        <f>DB137-DB139</f>
        <v/>
      </c>
      <c r="DC136" s="527">
        <f>Z136</f>
        <v/>
      </c>
      <c r="DD136" s="527" t="n"/>
      <c r="DE136" s="527">
        <f>DE137-DE139</f>
        <v/>
      </c>
      <c r="DF136" s="527">
        <f>DF137-DF139</f>
        <v/>
      </c>
      <c r="DG136" s="527">
        <f>AA136</f>
        <v/>
      </c>
      <c r="DH136" s="758" t="n"/>
      <c r="DI136" s="527">
        <f>DI137-DI139</f>
        <v/>
      </c>
      <c r="DJ136" s="527">
        <f>DJ137-DJ139</f>
        <v/>
      </c>
      <c r="DK136" s="527">
        <f>AB136</f>
        <v/>
      </c>
      <c r="DL136" s="527" t="n"/>
      <c r="DM136" s="527">
        <f>DM137-DM139</f>
        <v/>
      </c>
      <c r="DN136" s="527">
        <f>DN137-DN139</f>
        <v/>
      </c>
      <c r="DO136" s="527">
        <f>AC136</f>
        <v/>
      </c>
      <c r="DP136" s="758" t="n"/>
      <c r="DQ136" s="526">
        <f>DQ137-DQ139</f>
        <v/>
      </c>
      <c r="DR136" s="527">
        <f>DR137-DR139</f>
        <v/>
      </c>
      <c r="DS136" s="527">
        <f>AD136</f>
        <v/>
      </c>
      <c r="DT136" s="527" t="n"/>
      <c r="DU136" s="526">
        <f>DU137-DU139</f>
        <v/>
      </c>
      <c r="DV136" s="527">
        <f>DV137-DV139</f>
        <v/>
      </c>
      <c r="DW136" s="527">
        <f>AE136</f>
        <v/>
      </c>
      <c r="DX136" s="527" t="n"/>
      <c r="DY136" s="526">
        <f>DY137-DY139</f>
        <v/>
      </c>
      <c r="DZ136" s="527">
        <f>DZ137-DZ139</f>
        <v/>
      </c>
      <c r="EA136" s="527">
        <f>AF136</f>
        <v/>
      </c>
      <c r="EB136" s="833" t="n"/>
      <c r="EC136" s="526">
        <f>EC137-EC139</f>
        <v/>
      </c>
      <c r="ED136" s="527">
        <f>ED137-ED139</f>
        <v/>
      </c>
      <c r="EE136" s="527">
        <f>AG136</f>
        <v/>
      </c>
      <c r="EF136" s="527" t="n"/>
      <c r="EG136" s="526">
        <f>EG137-EG139</f>
        <v/>
      </c>
      <c r="EH136" s="527">
        <f>EH137-EH139</f>
        <v/>
      </c>
      <c r="EI136" s="527">
        <f>AH136</f>
        <v/>
      </c>
      <c r="EJ136" s="527" t="n"/>
      <c r="EK136" s="526" t="n">
        <v>-1420</v>
      </c>
      <c r="EL136" s="527">
        <f>EL137-EL139</f>
        <v/>
      </c>
      <c r="EM136" s="527">
        <f>AI136</f>
        <v/>
      </c>
      <c r="EN136" s="527" t="n"/>
      <c r="EO136" s="526" t="n">
        <v>-1652</v>
      </c>
      <c r="EP136" s="527">
        <f>EP137-EP139</f>
        <v/>
      </c>
      <c r="EQ136" s="319">
        <f>AJ136</f>
        <v/>
      </c>
      <c r="ER136" s="319" t="n"/>
      <c r="ES136" s="526" t="n">
        <v>-1249</v>
      </c>
      <c r="ET136" s="527">
        <f>ET137-ET139</f>
        <v/>
      </c>
      <c r="EU136" s="319">
        <f>AK136</f>
        <v/>
      </c>
      <c r="EV136" s="319" t="n"/>
      <c r="EW136" s="526" t="n">
        <v>-1369</v>
      </c>
      <c r="EX136" s="527">
        <f>EX137-EX139</f>
        <v/>
      </c>
      <c r="EY136" s="319">
        <f>AL136</f>
        <v/>
      </c>
      <c r="FA136" s="526" t="n">
        <v>-1446</v>
      </c>
      <c r="FB136" s="527">
        <f>FB137-FB139</f>
        <v/>
      </c>
      <c r="FC136" s="319">
        <f>AM136</f>
        <v/>
      </c>
      <c r="FE136" s="526" t="n">
        <v>-1455</v>
      </c>
      <c r="FF136" s="527">
        <f>FF137-FF139</f>
        <v/>
      </c>
      <c r="FG136" s="319">
        <f>AN136</f>
        <v/>
      </c>
      <c r="FI136" s="526" t="n">
        <v>-1477</v>
      </c>
      <c r="FJ136" s="527">
        <f>FJ137-FJ139</f>
        <v/>
      </c>
      <c r="FK136" s="319">
        <f>AO136</f>
        <v/>
      </c>
      <c r="FM136" s="526" t="n">
        <v>-1088</v>
      </c>
      <c r="FN136" s="527">
        <f>FN137-FN139</f>
        <v/>
      </c>
      <c r="FO136" s="319">
        <f>AP136</f>
        <v/>
      </c>
    </row>
    <row r="137" ht="12" customFormat="1" customHeight="1" s="1048">
      <c r="A137" s="1157" t="inlineStr">
        <is>
          <t>interest in</t>
        </is>
      </c>
      <c r="B137" s="1158" t="inlineStr">
        <is>
          <t>Interest Income</t>
        </is>
      </c>
      <c r="C137" s="1159">
        <f>100.1+90.2+231.4+59.3</f>
        <v/>
      </c>
      <c r="D137" s="1159">
        <f>306.5+126.4+81.5+144.5+1</f>
        <v/>
      </c>
      <c r="E137" s="1159">
        <f>538.4+133.3+213.1+165.3+19.7</f>
        <v/>
      </c>
      <c r="F137" s="1159">
        <f>365+55+698+203+339+56+19</f>
        <v/>
      </c>
      <c r="G137" s="1159">
        <f>796+360+134+266+23+366+46</f>
        <v/>
      </c>
      <c r="H137" s="1159">
        <f>892+435+516+134+25+503+26</f>
        <v/>
      </c>
      <c r="I137" s="1159">
        <f>729+345+277+85+524+18</f>
        <v/>
      </c>
      <c r="J137" s="1159">
        <f>788+362+286+96+546+20</f>
        <v/>
      </c>
      <c r="K137" s="1159">
        <f>910+333+121+590+10</f>
        <v/>
      </c>
      <c r="L137" s="1159">
        <f>982+317+211+549+6</f>
        <v/>
      </c>
      <c r="M137" s="1159">
        <f>942+303+462+572</f>
        <v/>
      </c>
      <c r="N137" s="1159">
        <f>933+290+256+245+570</f>
        <v/>
      </c>
      <c r="O137" s="1159" t="n">
        <v>1857</v>
      </c>
      <c r="P137" s="1159" t="n">
        <v>2364</v>
      </c>
      <c r="Q137" s="1159" t="n">
        <v>2097</v>
      </c>
      <c r="R137" s="1159" t="n">
        <v>1678</v>
      </c>
      <c r="S137" s="1159" t="n">
        <v>1187</v>
      </c>
      <c r="T137" s="1159" t="n">
        <v>1045</v>
      </c>
      <c r="U137" s="1159" t="n">
        <v>1161</v>
      </c>
      <c r="V137" s="1159" t="n">
        <v>1353</v>
      </c>
      <c r="W137" s="1159" t="n">
        <v>1664</v>
      </c>
      <c r="X137" s="1159" t="n">
        <v>1416</v>
      </c>
      <c r="Y137" s="1159" t="n">
        <v>588</v>
      </c>
      <c r="Z137" s="1159" t="n">
        <v>677</v>
      </c>
      <c r="AA137" s="1159" t="n">
        <v>982</v>
      </c>
      <c r="AB137" s="1159" t="n">
        <v>745</v>
      </c>
      <c r="AC137" s="1159" t="n">
        <v>351</v>
      </c>
      <c r="AD137" s="655" t="n">
        <v>302</v>
      </c>
      <c r="AE137" s="655" t="n">
        <v>216</v>
      </c>
      <c r="AF137" s="655" t="n">
        <v>260</v>
      </c>
      <c r="AG137" s="655" t="n">
        <v>462</v>
      </c>
      <c r="AH137" s="655" t="n">
        <v>343</v>
      </c>
      <c r="AI137" s="655" t="n">
        <v>337</v>
      </c>
      <c r="AJ137" s="655" t="n">
        <v>149</v>
      </c>
      <c r="AK137" s="655" t="n">
        <v>75</v>
      </c>
      <c r="AL137" s="655" t="n">
        <v>165</v>
      </c>
      <c r="AM137" s="655" t="n">
        <v>1228</v>
      </c>
      <c r="AN137" s="655" t="n">
        <v>841</v>
      </c>
      <c r="AO137" s="657">
        <f>+AN210*AO138</f>
        <v/>
      </c>
      <c r="AP137" s="657">
        <f>+AO210*AP138</f>
        <v/>
      </c>
      <c r="AQ137" s="657">
        <f>+AP210*AQ138</f>
        <v/>
      </c>
      <c r="AR137" s="657">
        <f>+AQ210*AR138</f>
        <v/>
      </c>
      <c r="AS137" s="657">
        <f>+AR210*AS138</f>
        <v/>
      </c>
      <c r="AT137" s="657">
        <f>+AS210*AT138</f>
        <v/>
      </c>
      <c r="AU137" s="657" t="n"/>
      <c r="AV137" s="731">
        <f>490+161+67+342</f>
        <v/>
      </c>
      <c r="AW137" s="731">
        <f>AX137-AV137</f>
        <v/>
      </c>
      <c r="AX137" s="731">
        <f>L137</f>
        <v/>
      </c>
      <c r="AY137" s="731" t="n"/>
      <c r="AZ137" s="731">
        <f>488+153+150+379</f>
        <v/>
      </c>
      <c r="BA137" s="731">
        <f>BB137-AZ137</f>
        <v/>
      </c>
      <c r="BB137" s="731">
        <f>M137</f>
        <v/>
      </c>
      <c r="BC137" s="657" t="n"/>
      <c r="BD137" s="731" t="n">
        <v>1032</v>
      </c>
      <c r="BE137" s="731">
        <f>BF137-BD137</f>
        <v/>
      </c>
      <c r="BF137" s="731">
        <f>N137</f>
        <v/>
      </c>
      <c r="BG137" s="657" t="n"/>
      <c r="BH137" s="731" t="n">
        <v>877</v>
      </c>
      <c r="BI137" s="731">
        <f>BJ137-BH137</f>
        <v/>
      </c>
      <c r="BJ137" s="731">
        <f>O137</f>
        <v/>
      </c>
      <c r="BK137" s="816" t="n"/>
      <c r="BL137" s="731" t="n">
        <v>1206</v>
      </c>
      <c r="BM137" s="731">
        <f>BN137-BL137</f>
        <v/>
      </c>
      <c r="BN137" s="731">
        <f>P137</f>
        <v/>
      </c>
      <c r="BO137" s="731" t="n"/>
      <c r="BP137" s="731" t="n">
        <v>1108</v>
      </c>
      <c r="BQ137" s="731">
        <f>BR137-BP137</f>
        <v/>
      </c>
      <c r="BR137" s="731">
        <f>Q137</f>
        <v/>
      </c>
      <c r="BS137" s="657" t="n"/>
      <c r="BT137" s="731" t="n">
        <v>808</v>
      </c>
      <c r="BU137" s="731">
        <f>BV137-BT137</f>
        <v/>
      </c>
      <c r="BV137" s="731">
        <f>R137</f>
        <v/>
      </c>
      <c r="BW137" s="657" t="n"/>
      <c r="BX137" s="731" t="n">
        <v>690</v>
      </c>
      <c r="BY137" s="731">
        <f>BZ137-BX137</f>
        <v/>
      </c>
      <c r="BZ137" s="731">
        <f>S137</f>
        <v/>
      </c>
      <c r="CA137" s="657" t="n"/>
      <c r="CB137" s="731" t="n">
        <v>511</v>
      </c>
      <c r="CC137" s="731">
        <f>CD137-CB137</f>
        <v/>
      </c>
      <c r="CD137" s="731">
        <f>T137</f>
        <v/>
      </c>
      <c r="CE137" s="731" t="n"/>
      <c r="CF137" s="731" t="n">
        <v>576</v>
      </c>
      <c r="CG137" s="731">
        <f>CH137-CF137</f>
        <v/>
      </c>
      <c r="CH137" s="731">
        <f>U137</f>
        <v/>
      </c>
      <c r="CI137" s="731" t="n"/>
      <c r="CJ137" s="731" t="n">
        <v>620</v>
      </c>
      <c r="CK137" s="731">
        <f>CL137-CJ137</f>
        <v/>
      </c>
      <c r="CL137" s="731">
        <f>V137</f>
        <v/>
      </c>
      <c r="CM137" s="731" t="n"/>
      <c r="CN137" s="731" t="n">
        <v>690</v>
      </c>
      <c r="CO137" s="731">
        <f>CP137-CN137</f>
        <v/>
      </c>
      <c r="CP137" s="731">
        <f>W137</f>
        <v/>
      </c>
      <c r="CQ137" s="731" t="n"/>
      <c r="CR137" s="731" t="n">
        <v>679</v>
      </c>
      <c r="CS137" s="731" t="n">
        <v>679</v>
      </c>
      <c r="CT137" s="731">
        <f>CU137-CR137</f>
        <v/>
      </c>
      <c r="CU137" s="731">
        <f>X137</f>
        <v/>
      </c>
      <c r="CV137" s="731" t="n"/>
      <c r="CW137" s="731" t="n">
        <v>454</v>
      </c>
      <c r="CX137" s="731">
        <f>CY137-CW137</f>
        <v/>
      </c>
      <c r="CY137" s="731">
        <f>Y137</f>
        <v/>
      </c>
      <c r="CZ137" s="731" t="n"/>
      <c r="DA137" s="731" t="n">
        <v>325</v>
      </c>
      <c r="DB137" s="731">
        <f>DC137-DA137</f>
        <v/>
      </c>
      <c r="DC137" s="731">
        <f>Z137</f>
        <v/>
      </c>
      <c r="DD137" s="731" t="n"/>
      <c r="DE137" s="731" t="n">
        <v>535</v>
      </c>
      <c r="DF137" s="731">
        <f>DG137-DE137</f>
        <v/>
      </c>
      <c r="DG137" s="731">
        <f>AA137</f>
        <v/>
      </c>
      <c r="DH137" s="766" t="n"/>
      <c r="DI137" s="731" t="n">
        <v>300</v>
      </c>
      <c r="DJ137" s="731">
        <f>+DK137-DI137</f>
        <v/>
      </c>
      <c r="DK137" s="731">
        <f>AB137</f>
        <v/>
      </c>
      <c r="DL137" s="731" t="n"/>
      <c r="DM137" s="731" t="n">
        <v>116</v>
      </c>
      <c r="DN137" s="731">
        <f>+DO137-DM137</f>
        <v/>
      </c>
      <c r="DO137" s="731">
        <f>AC137</f>
        <v/>
      </c>
      <c r="DP137" s="766" t="n"/>
      <c r="DQ137" s="817" t="n">
        <v>275</v>
      </c>
      <c r="DR137" s="731">
        <f>+DS137-DQ137</f>
        <v/>
      </c>
      <c r="DS137" s="731">
        <f>AD137</f>
        <v/>
      </c>
      <c r="DT137" s="731" t="n"/>
      <c r="DU137" s="817" t="n">
        <v>127</v>
      </c>
      <c r="DV137" s="657">
        <f>+DW137-DU137</f>
        <v/>
      </c>
      <c r="DW137" s="657">
        <f>AE137</f>
        <v/>
      </c>
      <c r="DX137" s="731" t="n"/>
      <c r="DY137" s="817" t="n">
        <v>244</v>
      </c>
      <c r="DZ137" s="657">
        <f>+EA137-DY137</f>
        <v/>
      </c>
      <c r="EA137" s="657">
        <f>AF137</f>
        <v/>
      </c>
      <c r="EB137" s="818" t="n"/>
      <c r="EC137" s="817" t="n">
        <v>247</v>
      </c>
      <c r="ED137" s="657">
        <f>+EE137-EC137</f>
        <v/>
      </c>
      <c r="EE137" s="657">
        <f>AG137</f>
        <v/>
      </c>
      <c r="EF137" s="657" t="n"/>
      <c r="EG137" s="817" t="n">
        <v>159</v>
      </c>
      <c r="EH137" s="657">
        <f>+EI137-EG137</f>
        <v/>
      </c>
      <c r="EI137" s="657">
        <f>AH137</f>
        <v/>
      </c>
      <c r="EJ137" s="657" t="n"/>
      <c r="EK137" s="817" t="n">
        <v>197</v>
      </c>
      <c r="EL137" s="657">
        <f>+EM137-EK137</f>
        <v/>
      </c>
      <c r="EM137" s="657">
        <f>AI137</f>
        <v/>
      </c>
      <c r="EN137" s="657" t="n"/>
      <c r="EO137" s="817" t="n">
        <v>65</v>
      </c>
      <c r="EP137" s="657">
        <f>+EQ137-EO137</f>
        <v/>
      </c>
      <c r="EQ137" s="727">
        <f>AJ137</f>
        <v/>
      </c>
      <c r="ER137" s="727" t="n"/>
      <c r="ES137" s="817" t="n">
        <v>58</v>
      </c>
      <c r="ET137" s="657">
        <f>+EU137-ES137</f>
        <v/>
      </c>
      <c r="EU137" s="727">
        <f>AK137</f>
        <v/>
      </c>
      <c r="EV137" s="727" t="n"/>
      <c r="EW137" s="817" t="n">
        <v>17</v>
      </c>
      <c r="EX137" s="657">
        <f>+EY137-EW137</f>
        <v/>
      </c>
      <c r="EY137" s="727">
        <f>AL137</f>
        <v/>
      </c>
      <c r="FA137" s="817" t="n">
        <v>551</v>
      </c>
      <c r="FB137" s="657">
        <f>+FC137-FA137</f>
        <v/>
      </c>
      <c r="FC137" s="727">
        <f>AM137</f>
        <v/>
      </c>
      <c r="FE137" s="817" t="n">
        <v>484</v>
      </c>
      <c r="FF137" s="657">
        <f>+FG137-FE137</f>
        <v/>
      </c>
      <c r="FG137" s="727">
        <f>AN137</f>
        <v/>
      </c>
      <c r="FI137" s="817" t="n">
        <v>216</v>
      </c>
      <c r="FJ137" s="657">
        <f>+FK137-FI137</f>
        <v/>
      </c>
      <c r="FK137" s="727">
        <f>AO137</f>
        <v/>
      </c>
      <c r="FM137" s="817" t="n">
        <v>328</v>
      </c>
      <c r="FN137" s="657">
        <f>FO137-FM137</f>
        <v/>
      </c>
      <c r="FO137" s="727">
        <f>AP137</f>
        <v/>
      </c>
    </row>
    <row r="138" customFormat="1" s="1048">
      <c r="A138" s="1160" t="n"/>
      <c r="B138" s="1161" t="inlineStr">
        <is>
          <t xml:space="preserve">as % of average cash </t>
        </is>
      </c>
      <c r="D138" s="1141">
        <f>D137/AVERAGE(C210:D210)</f>
        <v/>
      </c>
      <c r="E138" s="1141">
        <f>E137/AVERAGE(D210:E210)</f>
        <v/>
      </c>
      <c r="F138" s="1141">
        <f>F137/AVERAGE(E210:F210)</f>
        <v/>
      </c>
      <c r="G138" s="1141">
        <f>G137/AVERAGE(F210:G210)</f>
        <v/>
      </c>
      <c r="H138" s="1141">
        <f>H137/AVERAGE(G210:H210)</f>
        <v/>
      </c>
      <c r="I138" s="1141">
        <f>I137/AVERAGE(H210:I210)</f>
        <v/>
      </c>
      <c r="J138" s="1141">
        <f>J137/AVERAGE(I210:J210)</f>
        <v/>
      </c>
      <c r="K138" s="1141">
        <f>K137/AVERAGE(J210:K210)</f>
        <v/>
      </c>
      <c r="L138" s="1141">
        <f>L137/AVERAGE(K210:L210)</f>
        <v/>
      </c>
      <c r="M138" s="1141">
        <f>M137/AVERAGE(L210:M210)</f>
        <v/>
      </c>
      <c r="N138" s="1141">
        <f>N137/AVERAGE(M210:N210)</f>
        <v/>
      </c>
      <c r="O138" s="1141">
        <f>O137/AVERAGE(N210:O210)</f>
        <v/>
      </c>
      <c r="P138" s="1141">
        <f>P137/AVERAGE(O210:P210)</f>
        <v/>
      </c>
      <c r="Q138" s="1141">
        <f>Q137/AVERAGE(P210:Q210)</f>
        <v/>
      </c>
      <c r="R138" s="1141">
        <f>R137/AVERAGE(Q210:R210)</f>
        <v/>
      </c>
      <c r="S138" s="1141">
        <f>S137/AVERAGE(R210:S210)</f>
        <v/>
      </c>
      <c r="T138" s="1141">
        <f>T137/AVERAGE(S210:T210)</f>
        <v/>
      </c>
      <c r="U138" s="1141">
        <f>U137/AVERAGE(T210:U210)</f>
        <v/>
      </c>
      <c r="V138" s="1141">
        <f>V137/AVERAGE(U210:V210)</f>
        <v/>
      </c>
      <c r="W138" s="1141">
        <f>W137/AVERAGE(V210:W210)</f>
        <v/>
      </c>
      <c r="X138" s="1141">
        <f>X137/AVERAGE(W210:X210)</f>
        <v/>
      </c>
      <c r="Y138" s="1141">
        <f>Y137/AVERAGE(X210:Y210)</f>
        <v/>
      </c>
      <c r="Z138" s="1141">
        <f>Z137/AVERAGE(Y210:Z210)</f>
        <v/>
      </c>
      <c r="AA138" s="1141">
        <f>AA137/AVERAGE(Z210:AA210)</f>
        <v/>
      </c>
      <c r="AB138" s="1141">
        <f>AB137/AVERAGE(AA210:AB210)</f>
        <v/>
      </c>
      <c r="AC138" s="1141">
        <f>AC137/AVERAGE(AB210:AC210)</f>
        <v/>
      </c>
      <c r="AD138" s="1141">
        <f>AD137/AVERAGE(AC210:AD210)</f>
        <v/>
      </c>
      <c r="AE138" s="1141">
        <f>AE137/AVERAGE(AD210:AE210)</f>
        <v/>
      </c>
      <c r="AF138" s="1141">
        <f>AF137/AVERAGE(AE210:AF210)</f>
        <v/>
      </c>
      <c r="AG138" s="1141">
        <f>AG137/AVERAGE(AF210:AG210)</f>
        <v/>
      </c>
      <c r="AH138" s="1141">
        <f>AH137/AVERAGE(AG210:AH210)</f>
        <v/>
      </c>
      <c r="AI138" s="1141">
        <f>AI137/AVERAGE(AH210:AI210)</f>
        <v/>
      </c>
      <c r="AJ138" s="1141">
        <f>AJ137/AVERAGE(AI210:AJ210)</f>
        <v/>
      </c>
      <c r="AK138" s="1141">
        <f>AK137/AVERAGE(AJ210:AK210)</f>
        <v/>
      </c>
      <c r="AL138" s="1141">
        <f>AL137/AVERAGE(AK210:AL210)</f>
        <v/>
      </c>
      <c r="AM138" s="1141">
        <f>AM137/AVERAGE(AL210:AM210)</f>
        <v/>
      </c>
      <c r="AN138" s="1141">
        <f>AN137/AVERAGE(AM210:AN210)</f>
        <v/>
      </c>
      <c r="AO138" s="1162" t="n">
        <v>0.01</v>
      </c>
      <c r="AP138" s="1162" t="n">
        <v>0.01</v>
      </c>
      <c r="AQ138" s="1162" t="n">
        <v>0.01</v>
      </c>
      <c r="AR138" s="1162" t="n">
        <v>0.01</v>
      </c>
      <c r="AS138" s="1162" t="n">
        <v>0.01</v>
      </c>
      <c r="AT138" s="1162" t="n">
        <v>0.01</v>
      </c>
      <c r="AU138" s="1141" t="n"/>
      <c r="AV138" s="1163" t="n"/>
      <c r="AW138" s="1163" t="n"/>
      <c r="AX138" s="731" t="n"/>
      <c r="AY138" s="1163" t="n"/>
      <c r="AZ138" s="1163" t="n"/>
      <c r="BA138" s="1163" t="n"/>
      <c r="BB138" s="731" t="n"/>
      <c r="BD138" s="1163" t="n"/>
      <c r="BE138" s="1163" t="n"/>
      <c r="BF138" s="731" t="n"/>
      <c r="BH138" s="1163" t="n"/>
      <c r="BI138" s="1163" t="n"/>
      <c r="BJ138" s="731" t="n"/>
      <c r="BL138" s="1163" t="n"/>
      <c r="BM138" s="1163" t="n"/>
      <c r="BN138" s="731" t="n"/>
      <c r="BO138" s="1163" t="n"/>
      <c r="BP138" s="1163" t="n"/>
      <c r="BQ138" s="1163" t="n"/>
      <c r="BR138" s="731" t="n"/>
      <c r="BT138" s="1163" t="n"/>
      <c r="BU138" s="1163" t="n"/>
      <c r="BV138" s="731" t="n"/>
      <c r="BX138" s="1163" t="n"/>
      <c r="BY138" s="1163" t="n"/>
      <c r="BZ138" s="731" t="n"/>
      <c r="CB138" s="1163" t="n"/>
      <c r="CC138" s="1163" t="n"/>
      <c r="CD138" s="731" t="n"/>
      <c r="CE138" s="1163" t="n"/>
      <c r="CF138" s="1163" t="n"/>
      <c r="CG138" s="1163" t="n"/>
      <c r="CH138" s="731" t="n"/>
      <c r="CI138" s="731" t="n"/>
      <c r="CJ138" s="1163" t="n"/>
      <c r="CK138" s="1163" t="n"/>
      <c r="CL138" s="731" t="n"/>
      <c r="CM138" s="731" t="n"/>
      <c r="CN138" s="1163" t="n"/>
      <c r="CO138" s="1163" t="n"/>
      <c r="CP138" s="1163" t="n"/>
      <c r="CQ138" s="1163" t="n"/>
      <c r="CR138" s="1163" t="n"/>
      <c r="CS138" s="1163" t="n"/>
      <c r="CT138" s="1163" t="n"/>
      <c r="CU138" s="1163" t="n"/>
      <c r="CV138" s="1163" t="n"/>
      <c r="CW138" s="1163" t="n"/>
      <c r="CX138" s="1163" t="n"/>
      <c r="CY138" s="1163" t="n"/>
      <c r="CZ138" s="1163" t="n"/>
      <c r="DA138" s="1163" t="n"/>
      <c r="DB138" s="1163" t="n"/>
      <c r="DC138" s="1163" t="n"/>
      <c r="DD138" s="1163" t="n"/>
      <c r="DE138" s="1163" t="n"/>
      <c r="DF138" s="1163" t="n"/>
      <c r="DG138" s="1163" t="n"/>
      <c r="DH138" s="824" t="n"/>
      <c r="DI138" s="1163" t="n"/>
      <c r="DJ138" s="1163" t="n"/>
      <c r="DK138" s="1163" t="n"/>
      <c r="DL138" s="731" t="n"/>
      <c r="DM138" s="1163" t="n"/>
      <c r="DN138" s="1163" t="n"/>
      <c r="DO138" s="1163" t="n"/>
      <c r="DP138" s="824" t="n"/>
      <c r="DQ138" s="1163" t="n"/>
      <c r="DR138" s="1163" t="n"/>
      <c r="DS138" s="1163" t="n"/>
      <c r="DT138" s="1163" t="n"/>
      <c r="DU138" s="1163" t="n"/>
      <c r="DV138" s="1141" t="n"/>
      <c r="DW138" s="1141" t="n"/>
      <c r="DX138" s="1163" t="n"/>
      <c r="DY138" s="1163" t="n"/>
      <c r="DZ138" s="1141" t="n"/>
      <c r="EA138" s="1141" t="n"/>
      <c r="EB138" s="1164" t="n"/>
      <c r="EC138" s="1163" t="n"/>
      <c r="ED138" s="1141" t="n"/>
      <c r="EE138" s="1141" t="n"/>
      <c r="EF138" s="1141" t="n"/>
      <c r="EG138" s="1163" t="n"/>
      <c r="EH138" s="1141" t="n"/>
      <c r="EI138" s="1141" t="n"/>
      <c r="EJ138" s="1141" t="n"/>
      <c r="EK138" s="1141" t="n"/>
      <c r="EL138" s="1141" t="n"/>
      <c r="EM138" s="1141" t="n"/>
      <c r="EN138" s="1141" t="n"/>
      <c r="EO138" s="1141" t="n"/>
      <c r="EP138" s="1141" t="n"/>
      <c r="EQ138" s="1141" t="n"/>
      <c r="ER138" s="1141" t="n"/>
      <c r="ES138" s="1141" t="n"/>
      <c r="EU138" s="1141" t="n"/>
      <c r="EV138" s="1141" t="n"/>
      <c r="EW138" s="1141" t="n"/>
      <c r="EY138" s="1141" t="n"/>
      <c r="FA138" s="1141" t="n"/>
      <c r="FC138" s="1141" t="n"/>
      <c r="FE138" s="1141" t="n"/>
      <c r="FG138" s="1141" t="n"/>
      <c r="FK138" s="1141" t="n"/>
      <c r="FO138" s="1141" t="n"/>
    </row>
    <row r="139" ht="12" customFormat="1" customHeight="1" s="1048">
      <c r="A139" s="1157" t="inlineStr">
        <is>
          <t>interest out</t>
        </is>
      </c>
      <c r="B139" s="1158" t="inlineStr">
        <is>
          <t>interest expenses</t>
        </is>
      </c>
      <c r="C139" s="1159">
        <f>43.7+397.7+397.7</f>
        <v/>
      </c>
      <c r="D139" s="1159">
        <f>10.4+390.5+764.8</f>
        <v/>
      </c>
      <c r="E139" s="1159">
        <f>9.9+312.9+903.9</f>
        <v/>
      </c>
      <c r="F139" s="1159">
        <f>453+164+81+1204</f>
        <v/>
      </c>
      <c r="G139" s="1159">
        <f>1521+53+368+159+228</f>
        <v/>
      </c>
      <c r="H139" s="1159">
        <f>1599+293+375+105+587</f>
        <v/>
      </c>
      <c r="I139" s="1159">
        <f>1701+359+55+542</f>
        <v/>
      </c>
      <c r="J139" s="1159">
        <f>1787+411+142+335</f>
        <v/>
      </c>
      <c r="K139" s="1159">
        <f>1960+622+112</f>
        <v/>
      </c>
      <c r="L139" s="1159">
        <f>1965+580+80</f>
        <v/>
      </c>
      <c r="M139" s="1159">
        <f>2058+519+37</f>
        <v/>
      </c>
      <c r="N139" s="1159">
        <f>2047+518+40</f>
        <v/>
      </c>
      <c r="O139" s="1159" t="n">
        <v>2775</v>
      </c>
      <c r="P139" s="1159" t="n">
        <v>2731</v>
      </c>
      <c r="Q139" s="1159" t="n">
        <v>2668</v>
      </c>
      <c r="R139" s="1159" t="n">
        <v>2421</v>
      </c>
      <c r="S139" s="1159" t="n">
        <v>1807</v>
      </c>
      <c r="T139" s="1159" t="n">
        <v>1628</v>
      </c>
      <c r="U139" s="1159" t="n">
        <v>1605</v>
      </c>
      <c r="V139" s="1159" t="n">
        <v>1818</v>
      </c>
      <c r="W139" s="1159" t="n">
        <v>2451</v>
      </c>
      <c r="X139" s="1159" t="n">
        <v>2428</v>
      </c>
      <c r="Y139" s="1159" t="n">
        <v>1435</v>
      </c>
      <c r="Z139" s="1159" t="n">
        <v>1655</v>
      </c>
      <c r="AA139" s="1159" t="n">
        <v>1726</v>
      </c>
      <c r="AB139" s="1159" t="n">
        <v>1629</v>
      </c>
      <c r="AC139" s="1159" t="n">
        <v>1370</v>
      </c>
      <c r="AD139" s="655" t="n">
        <v>1460</v>
      </c>
      <c r="AE139" s="655" t="n">
        <v>1380</v>
      </c>
      <c r="AF139" s="655" t="n">
        <v>1561</v>
      </c>
      <c r="AG139" s="655" t="n">
        <v>2223</v>
      </c>
      <c r="AH139" s="655" t="n">
        <v>2457</v>
      </c>
      <c r="AI139" s="655" t="n">
        <v>3276</v>
      </c>
      <c r="AJ139" s="655" t="n">
        <v>3044</v>
      </c>
      <c r="AK139" s="655" t="n">
        <v>2704</v>
      </c>
      <c r="AL139" s="655" t="n">
        <v>3074</v>
      </c>
      <c r="AM139" s="655" t="n">
        <v>3961</v>
      </c>
      <c r="AN139" s="655" t="n">
        <v>3897</v>
      </c>
      <c r="AO139" s="657">
        <f>+(AN207+AN208)*AO140</f>
        <v/>
      </c>
      <c r="AP139" s="657">
        <f>+(AO207+AO208)*AP140</f>
        <v/>
      </c>
      <c r="AQ139" s="657">
        <f>+(AP207+AP208)*AQ140</f>
        <v/>
      </c>
      <c r="AR139" s="657">
        <f>+(AQ207+AQ208)*AR140</f>
        <v/>
      </c>
      <c r="AS139" s="657">
        <f>+(AR207+AR208)*AS140</f>
        <v/>
      </c>
      <c r="AT139" s="657">
        <f>+(AS207+AS208)*AT140</f>
        <v/>
      </c>
      <c r="AU139" s="657" t="n"/>
      <c r="AV139" s="731">
        <f>952+289+42</f>
        <v/>
      </c>
      <c r="AW139" s="731">
        <f>AX139-AV139</f>
        <v/>
      </c>
      <c r="AX139" s="731">
        <f>L139</f>
        <v/>
      </c>
      <c r="AY139" s="731" t="n"/>
      <c r="AZ139" s="731">
        <f>980+310+27</f>
        <v/>
      </c>
      <c r="BA139" s="731">
        <f>BB139-AZ139</f>
        <v/>
      </c>
      <c r="BB139" s="731">
        <f>M139</f>
        <v/>
      </c>
      <c r="BC139" s="657" t="n"/>
      <c r="BD139" s="731" t="n">
        <v>1168</v>
      </c>
      <c r="BE139" s="731">
        <f>BF139-BD139</f>
        <v/>
      </c>
      <c r="BF139" s="731">
        <f>N139</f>
        <v/>
      </c>
      <c r="BG139" s="657" t="n"/>
      <c r="BH139" s="731" t="n">
        <v>1297</v>
      </c>
      <c r="BI139" s="731">
        <f>BJ139-BH139</f>
        <v/>
      </c>
      <c r="BJ139" s="731">
        <f>O139</f>
        <v/>
      </c>
      <c r="BK139" s="816" t="n"/>
      <c r="BL139" s="731" t="n">
        <v>1456</v>
      </c>
      <c r="BM139" s="731">
        <f>BN139-BL139</f>
        <v/>
      </c>
      <c r="BN139" s="731">
        <f>P139</f>
        <v/>
      </c>
      <c r="BO139" s="731" t="n"/>
      <c r="BP139" s="731" t="n">
        <v>1276</v>
      </c>
      <c r="BQ139" s="731">
        <f>BR139-BP139</f>
        <v/>
      </c>
      <c r="BR139" s="731">
        <f>Q139</f>
        <v/>
      </c>
      <c r="BS139" s="657" t="n"/>
      <c r="BT139" s="731" t="n">
        <v>1264</v>
      </c>
      <c r="BU139" s="731">
        <f>BV139-BT139</f>
        <v/>
      </c>
      <c r="BV139" s="731">
        <f>R139</f>
        <v/>
      </c>
      <c r="BW139" s="657" t="n"/>
      <c r="BX139" s="731" t="n">
        <v>971</v>
      </c>
      <c r="BY139" s="731">
        <f>BZ139-BX139</f>
        <v/>
      </c>
      <c r="BZ139" s="731">
        <f>S139</f>
        <v/>
      </c>
      <c r="CA139" s="657" t="n"/>
      <c r="CB139" s="731" t="n">
        <v>827</v>
      </c>
      <c r="CC139" s="731">
        <f>CD139-CB139</f>
        <v/>
      </c>
      <c r="CD139" s="731">
        <f>T139</f>
        <v/>
      </c>
      <c r="CE139" s="731" t="n"/>
      <c r="CF139" s="731" t="n">
        <v>786</v>
      </c>
      <c r="CG139" s="731">
        <f>CH139-CF139</f>
        <v/>
      </c>
      <c r="CH139" s="731">
        <f>U139</f>
        <v/>
      </c>
      <c r="CI139" s="731" t="n"/>
      <c r="CJ139" s="731" t="n">
        <v>797</v>
      </c>
      <c r="CK139" s="731">
        <f>CL139-CJ139</f>
        <v/>
      </c>
      <c r="CL139" s="731">
        <f>V139</f>
        <v/>
      </c>
      <c r="CM139" s="731" t="n"/>
      <c r="CN139" s="731" t="n">
        <v>1094</v>
      </c>
      <c r="CO139" s="731">
        <f>CP139-CN139</f>
        <v/>
      </c>
      <c r="CP139" s="731">
        <f>W139</f>
        <v/>
      </c>
      <c r="CQ139" s="731" t="n"/>
      <c r="CR139" s="731" t="n">
        <v>1147</v>
      </c>
      <c r="CS139" s="731" t="n">
        <v>1147</v>
      </c>
      <c r="CT139" s="731">
        <f>CU139-CR139</f>
        <v/>
      </c>
      <c r="CU139" s="731">
        <f>X139</f>
        <v/>
      </c>
      <c r="CV139" s="731" t="n"/>
      <c r="CW139" s="731" t="n">
        <v>891</v>
      </c>
      <c r="CX139" s="731">
        <f>CY139-CW139</f>
        <v/>
      </c>
      <c r="CY139" s="731">
        <f>Y139</f>
        <v/>
      </c>
      <c r="CZ139" s="731" t="n"/>
      <c r="DA139" s="731" t="n">
        <v>887</v>
      </c>
      <c r="DB139" s="731">
        <f>DC139-DA139</f>
        <v/>
      </c>
      <c r="DC139" s="731">
        <f>Z139</f>
        <v/>
      </c>
      <c r="DD139" s="731" t="n"/>
      <c r="DE139" s="731" t="n">
        <v>849</v>
      </c>
      <c r="DF139" s="731">
        <f>DG139-DE139</f>
        <v/>
      </c>
      <c r="DG139" s="731">
        <f>AA139</f>
        <v/>
      </c>
      <c r="DH139" s="766" t="n"/>
      <c r="DI139" s="731" t="n">
        <v>681</v>
      </c>
      <c r="DJ139" s="731">
        <f>+DK139-DI139</f>
        <v/>
      </c>
      <c r="DK139" s="731">
        <f>AB139</f>
        <v/>
      </c>
      <c r="DL139" s="731" t="n"/>
      <c r="DM139" s="731" t="n">
        <v>658</v>
      </c>
      <c r="DN139" s="731">
        <f>+DO139-DM139</f>
        <v/>
      </c>
      <c r="DO139" s="731">
        <f>AC139</f>
        <v/>
      </c>
      <c r="DP139" s="766" t="n"/>
      <c r="DQ139" s="817" t="n">
        <v>896</v>
      </c>
      <c r="DR139" s="731">
        <f>+DS139-DQ139</f>
        <v/>
      </c>
      <c r="DS139" s="731">
        <f>AD139</f>
        <v/>
      </c>
      <c r="DT139" s="731" t="n"/>
      <c r="DU139" s="817" t="n">
        <v>686</v>
      </c>
      <c r="DV139" s="657">
        <f>+DW139-DU139</f>
        <v/>
      </c>
      <c r="DW139" s="657">
        <f>AE139</f>
        <v/>
      </c>
      <c r="DX139" s="731" t="n"/>
      <c r="DY139" s="817" t="n">
        <v>851</v>
      </c>
      <c r="DZ139" s="657">
        <f>+EA139-DY139</f>
        <v/>
      </c>
      <c r="EA139" s="657">
        <f>AF139</f>
        <v/>
      </c>
      <c r="EB139" s="818" t="n"/>
      <c r="EC139" s="817" t="n">
        <v>1061</v>
      </c>
      <c r="ED139" s="657">
        <f>+EE139-EC139</f>
        <v/>
      </c>
      <c r="EE139" s="657">
        <f>AG139</f>
        <v/>
      </c>
      <c r="EF139" s="657" t="n"/>
      <c r="EG139" s="817" t="n">
        <v>1169</v>
      </c>
      <c r="EH139" s="657">
        <f>+EI139-EG139</f>
        <v/>
      </c>
      <c r="EI139" s="657">
        <f>AH139</f>
        <v/>
      </c>
      <c r="EJ139" s="657" t="n"/>
      <c r="EK139" s="817" t="n">
        <v>1617</v>
      </c>
      <c r="EL139" s="657">
        <f>+EM139-EK139</f>
        <v/>
      </c>
      <c r="EM139" s="657">
        <f>AI139</f>
        <v/>
      </c>
      <c r="EN139" s="657" t="n"/>
      <c r="EO139" s="817" t="n">
        <v>1717</v>
      </c>
      <c r="EP139" s="657">
        <f>+EQ139-EO139</f>
        <v/>
      </c>
      <c r="EQ139" s="727">
        <f>AJ139</f>
        <v/>
      </c>
      <c r="ER139" s="727" t="n"/>
      <c r="ES139" s="817" t="n">
        <v>1307</v>
      </c>
      <c r="ET139" s="657">
        <f>+EU139-ES139</f>
        <v/>
      </c>
      <c r="EU139" s="727">
        <f>AK139</f>
        <v/>
      </c>
      <c r="EV139" s="727" t="n"/>
      <c r="EW139" s="817" t="n">
        <v>1386</v>
      </c>
      <c r="EX139" s="657">
        <f>+EY139-EW139</f>
        <v/>
      </c>
      <c r="EY139" s="727">
        <f>AL139</f>
        <v/>
      </c>
      <c r="FA139" s="817" t="n">
        <v>1997</v>
      </c>
      <c r="FB139" s="657">
        <f>+FC139-FA139</f>
        <v/>
      </c>
      <c r="FC139" s="727">
        <f>AM139</f>
        <v/>
      </c>
      <c r="FE139" s="817" t="n">
        <v>1939</v>
      </c>
      <c r="FF139" s="657">
        <f>+FG139-FE139</f>
        <v/>
      </c>
      <c r="FG139" s="727">
        <f>AN139</f>
        <v/>
      </c>
      <c r="FI139" s="817" t="n">
        <v>1693</v>
      </c>
      <c r="FJ139" s="657">
        <f>+FK139-FI139</f>
        <v/>
      </c>
      <c r="FK139" s="727">
        <f>AO139</f>
        <v/>
      </c>
      <c r="FM139" s="817" t="n">
        <v>1416</v>
      </c>
      <c r="FN139" s="826">
        <f>FO139-FM139</f>
        <v/>
      </c>
      <c r="FO139" s="727">
        <f>AP139</f>
        <v/>
      </c>
    </row>
    <row r="140" customFormat="1" s="1141">
      <c r="A140" s="1165" t="n"/>
      <c r="B140" s="1166" t="inlineStr">
        <is>
          <t>as % of gross debt</t>
        </is>
      </c>
      <c r="D140" s="1141">
        <f>D139/AVERAGE((C207:D207)+(C208:D208))</f>
        <v/>
      </c>
      <c r="E140" s="1141">
        <f>E139/AVERAGE((D207:E207)+(D208:E208))</f>
        <v/>
      </c>
      <c r="F140" s="1141">
        <f>F139/AVERAGE((E207:F207)+(E208:F208))</f>
        <v/>
      </c>
      <c r="G140" s="1141">
        <f>G139/AVERAGE((F207:G207)+(F208:G208))</f>
        <v/>
      </c>
      <c r="H140" s="1141">
        <f>H139/AVERAGE((G207:H207)+(G208:H208))</f>
        <v/>
      </c>
      <c r="I140" s="1141">
        <f>I139/AVERAGE((H207:I207)+(H208:I208))</f>
        <v/>
      </c>
      <c r="J140" s="1141">
        <f>J139/AVERAGE((I207:J207)+(I208:J208))</f>
        <v/>
      </c>
      <c r="K140" s="1141">
        <f>K139/AVERAGE((J207:K207)+(J208:K208))</f>
        <v/>
      </c>
      <c r="L140" s="1141">
        <f>L139/AVERAGE((K207:L207)+(K208:L208))</f>
        <v/>
      </c>
      <c r="M140" s="1141">
        <f>M139/AVERAGE((L207:M207)+(L208:M208))</f>
        <v/>
      </c>
      <c r="N140" s="1141">
        <f>N139/AVERAGE((M207:N207)+(M208:N208))</f>
        <v/>
      </c>
      <c r="O140" s="1141">
        <f>O139/AVERAGE((N207:O207)+(N208:O208))</f>
        <v/>
      </c>
      <c r="P140" s="1141">
        <f>P139/AVERAGE((O207:P207)+(O208:P208))</f>
        <v/>
      </c>
      <c r="Q140" s="1141">
        <f>Q139/AVERAGE((P207:Q207)+(P208:Q208))</f>
        <v/>
      </c>
      <c r="R140" s="1141">
        <f>R139/AVERAGE((Q207:R207)+(Q208:R208))</f>
        <v/>
      </c>
      <c r="S140" s="1141">
        <f>S139/AVERAGE((R207:S207)+(R208:S208))</f>
        <v/>
      </c>
      <c r="T140" s="1141">
        <f>T139/AVERAGE((S207:T207)+(S208:T208))</f>
        <v/>
      </c>
      <c r="U140" s="1141">
        <f>U139/AVERAGE((T207:U207)+(T208:U208))</f>
        <v/>
      </c>
      <c r="V140" s="1141">
        <f>V139/AVERAGE((U207:V207)+(U208:V208))</f>
        <v/>
      </c>
      <c r="W140" s="1141">
        <f>W139/AVERAGE((V207:W207)+(V208:W208))</f>
        <v/>
      </c>
      <c r="X140" s="1141">
        <f>X139/AVERAGE((W207:X207)+(W208:X208))</f>
        <v/>
      </c>
      <c r="Y140" s="1141">
        <f>Y139/AVERAGE((X207:Y207)+(X208:Y208))</f>
        <v/>
      </c>
      <c r="Z140" s="1141">
        <f>Z139/AVERAGE((Y207:Z207)+(Y208:Z208))</f>
        <v/>
      </c>
      <c r="AA140" s="1141">
        <f>AA139/AVERAGE((Z207:AA207)+(Z208:AA208))</f>
        <v/>
      </c>
      <c r="AB140" s="1141">
        <f>AB139/AVERAGE((AA207:AB207)+(AA208:AB208))</f>
        <v/>
      </c>
      <c r="AC140" s="1141">
        <f>AC139/AVERAGE((AB207:AC207)+(AB208:AC208))</f>
        <v/>
      </c>
      <c r="AD140" s="1141">
        <f>AD139/AVERAGE((AC207:AD207)+(AC208:AD208))</f>
        <v/>
      </c>
      <c r="AE140" s="1141">
        <f>AE139/AVERAGE((AD207:AE207)+(AD208:AE208))</f>
        <v/>
      </c>
      <c r="AF140" s="1141">
        <f>AF139/AVERAGE((AE207:AF207)+(AE208:AF208))</f>
        <v/>
      </c>
      <c r="AG140" s="1141">
        <f>AG139/AVERAGE((AF207:AG207)+(AF208:AG208))</f>
        <v/>
      </c>
      <c r="AH140" s="1141">
        <f>AH139/AVERAGE((AG207:AH207)+(AG208:AH208))</f>
        <v/>
      </c>
      <c r="AI140" s="1141">
        <f>AI139/AVERAGE((AH207:AI207)+(AH208:AI208))</f>
        <v/>
      </c>
      <c r="AJ140" s="1141">
        <f>AJ139/AVERAGE((AI207:AJ207)+(AI208:AJ208))</f>
        <v/>
      </c>
      <c r="AK140" s="1141">
        <f>AK139/AVERAGE((AJ207:AK207)+(AJ208:AK208))</f>
        <v/>
      </c>
      <c r="AL140" s="1141">
        <f>AL139/AVERAGE((AK207:AL207)+(AK208:AL208))</f>
        <v/>
      </c>
      <c r="AM140" s="1141">
        <f>AM139/AVERAGE((AL207:AM207)+(AL208:AM208))</f>
        <v/>
      </c>
      <c r="AN140" s="1141">
        <f>AN139/AVERAGE((AM207:AN207)+(AM208:AN208))</f>
        <v/>
      </c>
      <c r="AO140" s="1162" t="n">
        <v>0.05</v>
      </c>
      <c r="AP140" s="1162" t="n">
        <v>0.05</v>
      </c>
      <c r="AQ140" s="1162">
        <f>AP140</f>
        <v/>
      </c>
      <c r="AR140" s="1162">
        <f>AQ140</f>
        <v/>
      </c>
      <c r="AS140" s="1162">
        <f>AR140</f>
        <v/>
      </c>
      <c r="AT140" s="1162">
        <f>AS140</f>
        <v/>
      </c>
      <c r="AU140" s="828" t="n"/>
      <c r="AV140" s="1167" t="n"/>
      <c r="AW140" s="1167" t="n"/>
      <c r="AX140" s="1168">
        <f>L140</f>
        <v/>
      </c>
      <c r="AY140" s="1167" t="n"/>
      <c r="AZ140" s="1167" t="n"/>
      <c r="BA140" s="1167" t="n"/>
      <c r="BB140" s="1168">
        <f>M140</f>
        <v/>
      </c>
      <c r="BD140" s="1167" t="n"/>
      <c r="BE140" s="1167" t="n"/>
      <c r="BF140" s="1168">
        <f>N140</f>
        <v/>
      </c>
      <c r="BH140" s="1167" t="n"/>
      <c r="BI140" s="1167" t="n"/>
      <c r="BJ140" s="1168">
        <f>O140</f>
        <v/>
      </c>
      <c r="BL140" s="1167" t="n"/>
      <c r="BM140" s="1167" t="n"/>
      <c r="BN140" s="1168">
        <f>P140</f>
        <v/>
      </c>
      <c r="BO140" s="1167" t="n"/>
      <c r="BP140" s="1167" t="n"/>
      <c r="BQ140" s="1167" t="n"/>
      <c r="BR140" s="1168">
        <f>Q140</f>
        <v/>
      </c>
      <c r="BT140" s="1167" t="n"/>
      <c r="BU140" s="1167" t="n"/>
      <c r="BV140" s="1168">
        <f>R140</f>
        <v/>
      </c>
      <c r="BX140" s="1167" t="n"/>
      <c r="BY140" s="1167" t="n"/>
      <c r="BZ140" s="1168">
        <f>S140</f>
        <v/>
      </c>
      <c r="CB140" s="1167" t="n"/>
      <c r="CC140" s="1167" t="n"/>
      <c r="CD140" s="1168">
        <f>T140</f>
        <v/>
      </c>
      <c r="CE140" s="1167" t="n"/>
      <c r="CF140" s="1167" t="n"/>
      <c r="CG140" s="1163">
        <f>CH140-CF140</f>
        <v/>
      </c>
      <c r="CH140" s="1168">
        <f>U140</f>
        <v/>
      </c>
      <c r="CI140" s="1168" t="n"/>
      <c r="CJ140" s="1167" t="n"/>
      <c r="CK140" s="1167" t="n"/>
      <c r="CL140" s="1168">
        <f>V140</f>
        <v/>
      </c>
      <c r="CM140" s="1168" t="n"/>
      <c r="CN140" s="1167" t="n"/>
      <c r="CO140" s="1167" t="n"/>
      <c r="CP140" s="1167">
        <f>W140</f>
        <v/>
      </c>
      <c r="CQ140" s="1167" t="n"/>
      <c r="CR140" s="1167" t="n"/>
      <c r="CS140" s="1167" t="n"/>
      <c r="CT140" s="1167" t="n"/>
      <c r="CU140" s="1167">
        <f>X140</f>
        <v/>
      </c>
      <c r="CV140" s="1167" t="n"/>
      <c r="CW140" s="1167" t="n"/>
      <c r="CX140" s="1167" t="n"/>
      <c r="CY140" s="1167">
        <f>Y140</f>
        <v/>
      </c>
      <c r="CZ140" s="1167" t="n"/>
      <c r="DA140" s="1167" t="n"/>
      <c r="DB140" s="1167" t="n"/>
      <c r="DC140" s="1167">
        <f>Z140</f>
        <v/>
      </c>
      <c r="DD140" s="1167" t="n"/>
      <c r="DE140" s="1167" t="n"/>
      <c r="DF140" s="1167" t="n"/>
      <c r="DG140" s="1167">
        <f>AA140</f>
        <v/>
      </c>
      <c r="DH140" s="824" t="n"/>
      <c r="DI140" s="1169" t="n"/>
      <c r="DJ140" s="1169" t="n"/>
      <c r="DK140" s="1169">
        <f>AB140</f>
        <v/>
      </c>
      <c r="DL140" s="766" t="n"/>
      <c r="DM140" s="1169" t="n"/>
      <c r="DN140" s="1169" t="n"/>
      <c r="DO140" s="1169">
        <f>AC140</f>
        <v/>
      </c>
      <c r="DP140" s="824" t="n"/>
      <c r="DQ140" s="1169" t="n"/>
      <c r="DR140" s="1169" t="n"/>
      <c r="DS140" s="1169">
        <f>AD140</f>
        <v/>
      </c>
      <c r="DT140" s="1169" t="n"/>
      <c r="DU140" s="1169" t="n"/>
      <c r="DW140" s="1141">
        <f>AE140</f>
        <v/>
      </c>
      <c r="DX140" s="1169" t="n"/>
      <c r="DY140" s="1169" t="n"/>
      <c r="EA140" s="1141">
        <f>AF140</f>
        <v/>
      </c>
      <c r="EB140" s="1164" t="n"/>
      <c r="EC140" s="1169" t="n"/>
      <c r="EE140" s="1141">
        <f>AG140</f>
        <v/>
      </c>
      <c r="EG140" s="1169" t="n"/>
      <c r="EI140" s="1141">
        <f>AH140</f>
        <v/>
      </c>
      <c r="EK140" s="1169" t="n"/>
      <c r="EM140" s="1141">
        <f>AI140</f>
        <v/>
      </c>
      <c r="EO140" s="1141">
        <f>EO139/AVERAGE((EN207:EO207)+(EN208:EO208))*2</f>
        <v/>
      </c>
      <c r="EQ140" s="1141">
        <f>AJ140</f>
        <v/>
      </c>
      <c r="EU140" s="1141">
        <f>AK140</f>
        <v/>
      </c>
      <c r="EY140" s="1141">
        <f>AL140</f>
        <v/>
      </c>
      <c r="FC140" s="1141">
        <f>AM140</f>
        <v/>
      </c>
      <c r="FG140" s="1141">
        <f>AN140</f>
        <v/>
      </c>
      <c r="FK140" s="1141">
        <f>AO140</f>
        <v/>
      </c>
      <c r="FO140" s="1141">
        <f>AP140</f>
        <v/>
      </c>
    </row>
    <row r="141" customFormat="1" s="1150">
      <c r="A141" s="1170" t="n"/>
      <c r="L141" s="1171" t="n"/>
      <c r="M141" s="1171" t="n"/>
      <c r="N141" s="1171" t="n"/>
      <c r="O141" s="1171" t="n"/>
      <c r="P141" s="1171" t="n"/>
      <c r="Q141" s="1171" t="n"/>
      <c r="R141" s="1171" t="n"/>
      <c r="S141" s="1171" t="n"/>
      <c r="T141" s="1171" t="n"/>
      <c r="U141" s="1171" t="n"/>
      <c r="V141" s="1171" t="n"/>
      <c r="W141" s="1171" t="n"/>
      <c r="X141" s="1171" t="n"/>
      <c r="Y141" s="1171" t="n"/>
      <c r="Z141" s="1171" t="n"/>
      <c r="AA141" s="1171" t="n"/>
      <c r="AB141" s="1171" t="n"/>
      <c r="AC141" s="1171" t="n"/>
      <c r="AD141" s="120" t="n"/>
      <c r="AE141" s="120" t="n"/>
      <c r="AF141" s="120" t="n"/>
      <c r="AG141" s="194" t="n"/>
      <c r="AH141" s="194" t="n"/>
      <c r="AI141" s="194" t="n"/>
      <c r="AJ141" s="194" t="n"/>
      <c r="AK141" s="194" t="n"/>
      <c r="AL141" s="194" t="n"/>
      <c r="AM141" s="194" t="n"/>
      <c r="AN141" s="194" t="n"/>
      <c r="AO141" s="194" t="n"/>
      <c r="AP141" s="194" t="n"/>
      <c r="AQ141" s="194" t="n"/>
      <c r="AR141" s="194" t="n"/>
      <c r="AS141" s="194" t="n"/>
      <c r="AT141" s="194" t="n"/>
      <c r="AU141" s="194" t="n"/>
      <c r="AV141" s="194" t="n"/>
      <c r="AW141" s="43" t="n"/>
      <c r="AX141" s="43" t="n"/>
      <c r="AY141" s="43" t="n"/>
      <c r="AZ141" s="194" t="n"/>
      <c r="BA141" s="43" t="n"/>
      <c r="BB141" s="43" t="n"/>
      <c r="BC141" s="194" t="n"/>
      <c r="BD141" s="194" t="n"/>
      <c r="BE141" s="194" t="n"/>
      <c r="BF141" s="43" t="n"/>
      <c r="BG141" s="194" t="n"/>
      <c r="BH141" s="194" t="n"/>
      <c r="BI141" s="194" t="n"/>
      <c r="BJ141" s="43" t="n"/>
      <c r="BK141" s="557" t="n"/>
      <c r="BL141" s="194" t="n"/>
      <c r="BM141" s="194" t="n"/>
      <c r="BN141" s="43" t="n"/>
      <c r="BO141" s="194" t="n"/>
      <c r="BP141" s="194" t="n"/>
      <c r="BQ141" s="194" t="n"/>
      <c r="BR141" s="43" t="n"/>
      <c r="BS141" s="194" t="n"/>
      <c r="BT141" s="194" t="n"/>
      <c r="BU141" s="194" t="n"/>
      <c r="BV141" s="43" t="n"/>
      <c r="BW141" s="194" t="n"/>
      <c r="BX141" s="194" t="n"/>
      <c r="BY141" s="194" t="n"/>
      <c r="BZ141" s="43" t="n"/>
      <c r="CA141" s="194" t="n"/>
      <c r="CB141" s="194" t="n"/>
      <c r="CC141" s="194" t="n"/>
      <c r="CD141" s="43" t="n"/>
      <c r="CE141" s="194" t="n"/>
      <c r="CF141" s="194" t="n"/>
      <c r="CG141" s="43" t="n"/>
      <c r="CH141" s="43" t="n"/>
      <c r="CI141" s="43" t="n"/>
      <c r="CJ141" s="194" t="n"/>
      <c r="CK141" s="194" t="n"/>
      <c r="CL141" s="43" t="n"/>
      <c r="CM141" s="43" t="n"/>
      <c r="CN141" s="194" t="n"/>
      <c r="CO141" s="194" t="n"/>
      <c r="CP141" s="194" t="n"/>
      <c r="CQ141" s="194" t="n"/>
      <c r="CR141" s="194" t="n"/>
      <c r="CS141" s="194" t="n"/>
      <c r="CT141" s="194" t="n"/>
      <c r="CU141" s="194" t="n"/>
      <c r="CV141" s="194" t="n"/>
      <c r="CW141" s="194" t="n"/>
      <c r="CX141" s="43" t="n"/>
      <c r="CY141" s="194" t="n"/>
      <c r="CZ141" s="194" t="n"/>
      <c r="DA141" s="194" t="n"/>
      <c r="DB141" s="194" t="n"/>
      <c r="DC141" s="194" t="n"/>
      <c r="DD141" s="194" t="n"/>
      <c r="DE141" s="194" t="n"/>
      <c r="DF141" s="194" t="n"/>
      <c r="DG141" s="194" t="n"/>
      <c r="DH141" s="625" t="n"/>
      <c r="DI141" s="194" t="n"/>
      <c r="DJ141" s="194" t="n"/>
      <c r="DK141" s="194" t="n"/>
      <c r="DL141" s="194" t="n"/>
      <c r="DM141" s="194" t="n"/>
      <c r="DN141" s="194" t="n"/>
      <c r="DO141" s="194" t="n"/>
      <c r="DP141" s="625" t="n"/>
      <c r="DQ141" s="237" t="n"/>
      <c r="DR141" s="194" t="n"/>
      <c r="DS141" s="194" t="n"/>
      <c r="DT141" s="194" t="n"/>
      <c r="DU141" s="237" t="n"/>
      <c r="DV141" s="194" t="n"/>
      <c r="DW141" s="194" t="n"/>
      <c r="DX141" s="194" t="n"/>
      <c r="DY141" s="237" t="n"/>
      <c r="DZ141" s="194" t="n"/>
      <c r="EA141" s="194" t="n"/>
      <c r="EB141" s="250" t="n"/>
      <c r="EC141" s="237" t="n"/>
      <c r="ED141" s="194" t="n"/>
      <c r="EE141" s="194" t="n"/>
      <c r="EF141" s="194" t="n"/>
      <c r="EG141" s="237" t="n"/>
      <c r="EH141" s="194" t="n"/>
      <c r="EI141" s="194" t="n"/>
      <c r="EJ141" s="194" t="n"/>
      <c r="EK141" s="237" t="n"/>
      <c r="EL141" s="194" t="n"/>
      <c r="EM141" s="194" t="n"/>
      <c r="EN141" s="194" t="n"/>
      <c r="EO141" s="237" t="n"/>
      <c r="EP141" s="194" t="n"/>
      <c r="EQ141" s="120" t="n"/>
      <c r="ER141" s="120" t="n"/>
      <c r="ES141" s="237" t="n"/>
      <c r="ET141" s="194" t="n"/>
      <c r="EU141" s="120" t="n"/>
      <c r="EV141" s="120" t="n"/>
      <c r="EW141" s="237" t="n"/>
      <c r="EX141" s="194" t="n"/>
      <c r="EY141" s="120" t="n"/>
      <c r="FA141" s="237" t="n"/>
      <c r="FB141" s="194" t="n"/>
      <c r="FC141" s="120" t="n"/>
      <c r="FE141" s="237" t="n"/>
      <c r="FF141" s="194" t="n"/>
      <c r="FG141" s="120" t="n"/>
      <c r="FI141" s="237" t="n"/>
      <c r="FJ141" s="194" t="n"/>
      <c r="FK141" s="120" t="n"/>
      <c r="FM141" s="194" t="n"/>
      <c r="FN141" s="194" t="n"/>
      <c r="FO141" s="120" t="n"/>
    </row>
    <row r="142" hidden="1" outlineLevel="1" customFormat="1" s="1172">
      <c r="A142" s="1173" t="n"/>
      <c r="B142" s="1172" t="inlineStr">
        <is>
          <t xml:space="preserve">  HAECO</t>
        </is>
      </c>
      <c r="C142" s="1172" t="n">
        <v>52.1</v>
      </c>
      <c r="D142" s="1172" t="n">
        <v>70</v>
      </c>
      <c r="E142" s="1172" t="n">
        <v>83.3</v>
      </c>
      <c r="F142" s="1172" t="n">
        <v>82</v>
      </c>
      <c r="G142" s="1172" t="n">
        <v>92</v>
      </c>
      <c r="H142" s="1172" t="n">
        <v>113.4</v>
      </c>
      <c r="I142" s="1172" t="n">
        <v>134.975</v>
      </c>
      <c r="J142" s="1172" t="n">
        <v>124.8</v>
      </c>
      <c r="K142" s="1172" t="n">
        <v>97.40000000000001</v>
      </c>
      <c r="L142" s="1174" t="n">
        <v>142.125</v>
      </c>
      <c r="M142" s="1174" t="n">
        <v>80.32266</v>
      </c>
      <c r="N142" s="1174" t="n">
        <v>54.6</v>
      </c>
      <c r="O142" s="1174" t="n">
        <v>17.82225000000003</v>
      </c>
      <c r="P142" s="1174" t="n">
        <v>106.2</v>
      </c>
      <c r="Q142" s="1174" t="n">
        <v>87.34999999999999</v>
      </c>
      <c r="R142" s="1174" t="n">
        <v>147.681</v>
      </c>
      <c r="S142" s="1174" t="n">
        <v>112.58892</v>
      </c>
      <c r="T142" s="1174" t="n">
        <v>130</v>
      </c>
      <c r="U142" s="1174">
        <f>T142*1.2</f>
        <v/>
      </c>
      <c r="V142" s="1174">
        <f>U142*1.2</f>
        <v/>
      </c>
      <c r="W142" s="1174" t="n">
        <v>250</v>
      </c>
      <c r="X142" s="1174" t="n"/>
      <c r="Y142" s="1174" t="n"/>
      <c r="Z142" s="1174" t="n"/>
      <c r="AA142" s="1174" t="n"/>
      <c r="AB142" s="1174" t="n"/>
      <c r="AC142" s="1174" t="n"/>
      <c r="AD142" s="21" t="n"/>
      <c r="AE142" s="21" t="n"/>
      <c r="AF142" s="21" t="n"/>
      <c r="AG142" s="20" t="n"/>
      <c r="AH142" s="20" t="n"/>
      <c r="AI142" s="20" t="n"/>
      <c r="AJ142" s="20" t="n"/>
      <c r="AK142" s="20" t="n"/>
      <c r="AL142" s="20" t="n"/>
      <c r="AM142" s="20" t="n"/>
      <c r="AN142" s="20" t="n"/>
      <c r="AO142" s="20" t="n"/>
      <c r="AP142" s="20" t="n"/>
      <c r="AQ142" s="20" t="n"/>
      <c r="AR142" s="20" t="n"/>
      <c r="AS142" s="20" t="n"/>
      <c r="AT142" s="20" t="n"/>
      <c r="AU142" s="251" t="n"/>
      <c r="AV142" s="20" t="n"/>
      <c r="AW142" s="20" t="n"/>
      <c r="AX142" s="20" t="n"/>
      <c r="AY142" s="20" t="n"/>
      <c r="AZ142" s="20" t="n"/>
      <c r="BA142" s="20" t="n"/>
      <c r="BB142" s="20" t="n"/>
      <c r="BC142" s="20" t="n"/>
      <c r="BD142" s="20" t="n"/>
      <c r="BE142" s="20" t="n"/>
      <c r="BF142" s="20" t="n"/>
      <c r="BG142" s="20" t="n"/>
      <c r="BH142" s="20" t="n"/>
      <c r="BI142" s="20" t="n"/>
      <c r="BJ142" s="20" t="n"/>
      <c r="BK142" s="20" t="n"/>
      <c r="BL142" s="23" t="n"/>
      <c r="BM142" s="20" t="n"/>
      <c r="BN142" s="23" t="n"/>
      <c r="BO142" s="23" t="n"/>
      <c r="BP142" s="23" t="n"/>
      <c r="BQ142" s="20" t="n"/>
      <c r="BR142" s="23" t="n"/>
      <c r="BS142" s="20" t="n"/>
      <c r="BT142" s="23" t="n"/>
      <c r="BU142" s="20" t="n"/>
      <c r="BV142" s="23" t="n"/>
      <c r="BW142" s="20" t="n"/>
      <c r="BX142" s="23" t="n"/>
      <c r="BY142" s="20" t="n"/>
      <c r="BZ142" s="23" t="n"/>
      <c r="CA142" s="20" t="n"/>
      <c r="CB142" s="23" t="n"/>
      <c r="CC142" s="20" t="n"/>
      <c r="CD142" s="23" t="n"/>
      <c r="CE142" s="23" t="n"/>
      <c r="CF142" s="23" t="n"/>
      <c r="CG142" s="20" t="n"/>
      <c r="CH142" s="23" t="n"/>
      <c r="CI142" s="23" t="n"/>
      <c r="CJ142" s="23" t="n"/>
      <c r="CK142" s="23" t="n"/>
      <c r="CL142" s="23" t="n"/>
      <c r="CM142" s="23" t="n"/>
      <c r="CN142" s="23" t="n"/>
      <c r="CO142" s="23" t="n"/>
      <c r="CP142" s="23" t="n"/>
      <c r="CQ142" s="23" t="n"/>
      <c r="CR142" s="23" t="n"/>
      <c r="CS142" s="23" t="n"/>
      <c r="CT142" s="23" t="n"/>
      <c r="CU142" s="23" t="n"/>
      <c r="CV142" s="23" t="n"/>
      <c r="CW142" s="23" t="n"/>
      <c r="CX142" s="23" t="n"/>
      <c r="CY142" s="23" t="n"/>
      <c r="CZ142" s="23" t="n"/>
      <c r="DA142" s="23" t="n"/>
      <c r="DB142" s="23" t="n"/>
      <c r="DC142" s="23" t="n"/>
      <c r="DD142" s="23" t="n"/>
      <c r="DE142" s="23" t="n"/>
      <c r="DF142" s="23" t="n"/>
      <c r="DG142" s="23" t="n"/>
      <c r="DH142" s="625" t="n"/>
      <c r="DI142" s="23" t="n"/>
      <c r="DJ142" s="23" t="n"/>
      <c r="DK142" s="23" t="n"/>
      <c r="DL142" s="23" t="n"/>
      <c r="DM142" s="23" t="n"/>
      <c r="DN142" s="23" t="n"/>
      <c r="DO142" s="23" t="n"/>
      <c r="DP142" s="625" t="n"/>
      <c r="DQ142" s="23" t="n"/>
      <c r="DR142" s="23" t="n"/>
      <c r="DS142" s="23" t="n"/>
      <c r="DT142" s="23" t="n"/>
      <c r="DU142" s="20" t="n"/>
      <c r="DV142" s="20" t="n"/>
      <c r="DW142" s="20" t="n"/>
      <c r="DX142" s="23" t="n"/>
      <c r="DY142" s="20" t="n"/>
      <c r="DZ142" s="20" t="n"/>
      <c r="EA142" s="20" t="n"/>
      <c r="EB142" s="194" t="n"/>
      <c r="EC142" s="20" t="n"/>
      <c r="ED142" s="20" t="n"/>
      <c r="EE142" s="20" t="n"/>
      <c r="EF142" s="20" t="n"/>
      <c r="EG142" s="20" t="n"/>
      <c r="EH142" s="20" t="n"/>
      <c r="EI142" s="20" t="n"/>
      <c r="EJ142" s="20" t="n"/>
      <c r="EK142" s="20" t="n"/>
      <c r="EL142" s="20" t="n"/>
      <c r="EM142" s="20" t="n"/>
      <c r="EN142" s="20" t="n"/>
      <c r="EO142" s="20" t="n"/>
      <c r="EP142" s="20" t="n"/>
      <c r="EQ142" s="120" t="n"/>
      <c r="ER142" s="120" t="n"/>
      <c r="ES142" s="20" t="n"/>
      <c r="ET142" s="20" t="n"/>
      <c r="EU142" s="120" t="n"/>
      <c r="EV142" s="120" t="n"/>
      <c r="EW142" s="20" t="n"/>
      <c r="EX142" s="20" t="n"/>
      <c r="EY142" s="120" t="n"/>
      <c r="FA142" s="20" t="n"/>
      <c r="FB142" s="20" t="n"/>
      <c r="FC142" s="120" t="n"/>
      <c r="FE142" s="20" t="n"/>
      <c r="FF142" s="20" t="n"/>
      <c r="FG142" s="120" t="n"/>
      <c r="FI142" s="20" t="n"/>
      <c r="FJ142" s="20" t="n"/>
      <c r="FK142" s="120" t="n"/>
      <c r="FM142" s="20" t="n"/>
      <c r="FN142" s="20" t="n"/>
      <c r="FO142" s="120" t="n"/>
    </row>
    <row r="143" hidden="1" outlineLevel="1" customFormat="1" s="1172">
      <c r="A143" s="1173" t="n"/>
      <c r="B143" s="1172" t="inlineStr">
        <is>
          <t xml:space="preserve">  Dragonair</t>
        </is>
      </c>
      <c r="C143" s="1172" t="n">
        <v>0</v>
      </c>
      <c r="D143" s="1172" t="n">
        <v>0</v>
      </c>
      <c r="E143" s="1172" t="n">
        <v>0</v>
      </c>
      <c r="F143" s="1172" t="n">
        <v>20.15869407824483</v>
      </c>
      <c r="G143" s="1172" t="n">
        <v>43.50525333867922</v>
      </c>
      <c r="H143" s="1172" t="n">
        <v>76.14</v>
      </c>
      <c r="I143" s="1172" t="n">
        <v>141.69</v>
      </c>
      <c r="J143" s="1172" t="n">
        <v>227.34</v>
      </c>
      <c r="K143" s="1172" t="n">
        <v>266.7</v>
      </c>
      <c r="L143" s="1174" t="n">
        <v>215.875</v>
      </c>
      <c r="M143" s="1175" t="n">
        <v>171.3971</v>
      </c>
      <c r="N143" s="1175" t="n">
        <v>190.6555</v>
      </c>
      <c r="O143" s="1175" t="n">
        <v>81.74768999999999</v>
      </c>
      <c r="P143" s="1175" t="n">
        <v>119.86948</v>
      </c>
      <c r="Q143" s="1175" t="n">
        <v>79.00200000000001</v>
      </c>
      <c r="R143" s="1175" t="n">
        <v>127.8643</v>
      </c>
      <c r="S143" s="1175" t="n">
        <v>13.07834982984041</v>
      </c>
      <c r="T143" s="1175" t="n">
        <v>98.32991122270624</v>
      </c>
      <c r="U143" s="1175" t="n">
        <v>75</v>
      </c>
      <c r="V143" s="1174" t="n">
        <v>60</v>
      </c>
      <c r="W143" s="1174" t="n"/>
      <c r="X143" s="1174" t="n"/>
      <c r="Y143" s="1174" t="n"/>
      <c r="Z143" s="1174" t="n"/>
      <c r="AA143" s="1174" t="n"/>
      <c r="AB143" s="1174" t="n"/>
      <c r="AC143" s="1174" t="n"/>
      <c r="AD143" s="21" t="n"/>
      <c r="AE143" s="21" t="n"/>
      <c r="AF143" s="21" t="n"/>
      <c r="AG143" s="20" t="n"/>
      <c r="AH143" s="20" t="n"/>
      <c r="AI143" s="20" t="n"/>
      <c r="AJ143" s="20" t="n"/>
      <c r="AK143" s="20" t="n"/>
      <c r="AL143" s="20" t="n"/>
      <c r="AM143" s="20" t="n"/>
      <c r="AN143" s="20" t="n"/>
      <c r="AO143" s="20" t="n"/>
      <c r="AP143" s="20" t="n"/>
      <c r="AQ143" s="20" t="n"/>
      <c r="AR143" s="20" t="n"/>
      <c r="AS143" s="20" t="n"/>
      <c r="AT143" s="20" t="n"/>
      <c r="AU143" s="20" t="n"/>
      <c r="AV143" s="23" t="n"/>
      <c r="AW143" s="23" t="n"/>
      <c r="AX143" s="43" t="n"/>
      <c r="AY143" s="23" t="n"/>
      <c r="AZ143" s="23" t="n"/>
      <c r="BA143" s="23" t="n"/>
      <c r="BB143" s="43" t="n"/>
      <c r="BC143" s="20" t="n"/>
      <c r="BD143" s="23" t="n"/>
      <c r="BE143" s="20" t="n"/>
      <c r="BF143" s="23" t="n"/>
      <c r="BG143" s="20" t="n"/>
      <c r="BH143" s="23" t="n"/>
      <c r="BI143" s="20" t="n"/>
      <c r="BJ143" s="23" t="n"/>
      <c r="BK143" s="20" t="n"/>
      <c r="BL143" s="23" t="n"/>
      <c r="BM143" s="20" t="n"/>
      <c r="BN143" s="23" t="n"/>
      <c r="BO143" s="23" t="n"/>
      <c r="BP143" s="23" t="n"/>
      <c r="BQ143" s="20" t="n"/>
      <c r="BR143" s="23" t="n"/>
      <c r="BS143" s="20" t="n"/>
      <c r="BT143" s="23" t="n"/>
      <c r="BU143" s="20" t="n"/>
      <c r="BV143" s="23" t="n"/>
      <c r="BW143" s="20" t="n"/>
      <c r="BX143" s="23" t="n"/>
      <c r="BY143" s="20" t="n"/>
      <c r="BZ143" s="23" t="n"/>
      <c r="CA143" s="20" t="n"/>
      <c r="CB143" s="23" t="n"/>
      <c r="CC143" s="20" t="n"/>
      <c r="CD143" s="23" t="n"/>
      <c r="CE143" s="23" t="n"/>
      <c r="CF143" s="23" t="n"/>
      <c r="CG143" s="20" t="n"/>
      <c r="CH143" s="23" t="n"/>
      <c r="CI143" s="23" t="n"/>
      <c r="CJ143" s="23" t="n"/>
      <c r="CK143" s="23" t="n"/>
      <c r="CL143" s="23" t="n"/>
      <c r="CM143" s="23" t="n"/>
      <c r="CN143" s="23" t="n"/>
      <c r="CO143" s="23" t="n"/>
      <c r="CP143" s="23" t="n"/>
      <c r="CQ143" s="23" t="n"/>
      <c r="CR143" s="23" t="n"/>
      <c r="CS143" s="23" t="n"/>
      <c r="CT143" s="23" t="n"/>
      <c r="CU143" s="23" t="n"/>
      <c r="CV143" s="23" t="n"/>
      <c r="CW143" s="23" t="n"/>
      <c r="CX143" s="23" t="n"/>
      <c r="CY143" s="23" t="n"/>
      <c r="CZ143" s="23" t="n"/>
      <c r="DA143" s="23" t="n"/>
      <c r="DB143" s="23" t="n"/>
      <c r="DC143" s="23" t="n"/>
      <c r="DD143" s="23" t="n"/>
      <c r="DE143" s="23" t="n"/>
      <c r="DF143" s="23" t="n"/>
      <c r="DG143" s="23" t="n"/>
      <c r="DH143" s="625" t="n"/>
      <c r="DI143" s="23" t="n"/>
      <c r="DJ143" s="23" t="n"/>
      <c r="DK143" s="23" t="n"/>
      <c r="DL143" s="23" t="n"/>
      <c r="DM143" s="23" t="n"/>
      <c r="DN143" s="23" t="n"/>
      <c r="DO143" s="23" t="n"/>
      <c r="DP143" s="625" t="n"/>
      <c r="DQ143" s="23" t="n"/>
      <c r="DR143" s="23" t="n"/>
      <c r="DS143" s="23" t="n"/>
      <c r="DT143" s="23" t="n"/>
      <c r="DU143" s="20" t="n"/>
      <c r="DV143" s="20" t="n"/>
      <c r="DW143" s="20" t="n"/>
      <c r="DX143" s="23" t="n"/>
      <c r="DY143" s="20" t="n"/>
      <c r="DZ143" s="20" t="n"/>
      <c r="EA143" s="20" t="n"/>
      <c r="EB143" s="194" t="n"/>
      <c r="EC143" s="20" t="n"/>
      <c r="ED143" s="20" t="n"/>
      <c r="EE143" s="20" t="n"/>
      <c r="EF143" s="20" t="n"/>
      <c r="EG143" s="20" t="n"/>
      <c r="EH143" s="20" t="n"/>
      <c r="EI143" s="20" t="n"/>
      <c r="EJ143" s="20" t="n"/>
      <c r="EK143" s="20" t="n"/>
      <c r="EL143" s="20" t="n"/>
      <c r="EM143" s="20" t="n"/>
      <c r="EN143" s="20" t="n"/>
      <c r="EO143" s="20" t="n"/>
      <c r="EP143" s="20" t="n"/>
      <c r="EQ143" s="120" t="n"/>
      <c r="ER143" s="120" t="n"/>
      <c r="ES143" s="20" t="n"/>
      <c r="ET143" s="20" t="n"/>
      <c r="EU143" s="120" t="n"/>
      <c r="EV143" s="120" t="n"/>
      <c r="EW143" s="20" t="n"/>
      <c r="EX143" s="20" t="n"/>
      <c r="EY143" s="120" t="n"/>
      <c r="FA143" s="20" t="n"/>
      <c r="FB143" s="20" t="n"/>
      <c r="FC143" s="120" t="n"/>
      <c r="FE143" s="20" t="n"/>
      <c r="FF143" s="20" t="n"/>
      <c r="FG143" s="120" t="n"/>
      <c r="FI143" s="20" t="n"/>
      <c r="FJ143" s="20" t="n"/>
      <c r="FK143" s="120" t="n"/>
      <c r="FM143" s="20" t="n"/>
      <c r="FN143" s="20" t="n"/>
      <c r="FO143" s="120" t="n"/>
    </row>
    <row r="144" hidden="1" outlineLevel="1" customFormat="1" s="1172">
      <c r="A144" s="1173" t="n"/>
      <c r="B144" s="1172" t="inlineStr">
        <is>
          <t xml:space="preserve">  Other associates</t>
        </is>
      </c>
      <c r="C144" s="1172" t="n">
        <v>19</v>
      </c>
      <c r="D144" s="1172" t="n">
        <v>30</v>
      </c>
      <c r="E144" s="1172" t="n">
        <v>34.3</v>
      </c>
      <c r="F144" s="1172" t="n">
        <v>34</v>
      </c>
      <c r="G144" s="1172" t="n">
        <v>40</v>
      </c>
      <c r="H144" s="1172" t="n">
        <v>43.5</v>
      </c>
      <c r="I144" s="1172" t="n">
        <v>39</v>
      </c>
      <c r="J144" s="1172" t="n">
        <v>29</v>
      </c>
      <c r="K144" s="1172" t="n">
        <v>15</v>
      </c>
      <c r="L144" s="1174" t="n">
        <v>5</v>
      </c>
      <c r="M144" s="1174">
        <f>M145-M142-M143</f>
        <v/>
      </c>
      <c r="N144" s="1174">
        <f>N145-N142-N143</f>
        <v/>
      </c>
      <c r="O144" s="1174" t="n">
        <v>29.1</v>
      </c>
      <c r="P144" s="1174" t="n">
        <v>53.20931710579009</v>
      </c>
      <c r="Q144" s="1174">
        <f>188-Q142-Q143</f>
        <v/>
      </c>
      <c r="R144" s="1174">
        <f>324-R142-R143</f>
        <v/>
      </c>
      <c r="S144" s="1174">
        <f>S145-S142-S143</f>
        <v/>
      </c>
      <c r="T144" s="1174">
        <f>T145-T142-T143</f>
        <v/>
      </c>
      <c r="U144" s="1174">
        <f>U145-U142-U143</f>
        <v/>
      </c>
      <c r="V144" s="1174">
        <f>V145-V142-V143</f>
        <v/>
      </c>
      <c r="W144" s="1174">
        <f>W145-W142</f>
        <v/>
      </c>
      <c r="X144" s="1174" t="n"/>
      <c r="Y144" s="1176" t="n"/>
      <c r="Z144" s="1174" t="n"/>
      <c r="AA144" s="1174" t="n"/>
      <c r="AB144" s="1174" t="n"/>
      <c r="AC144" s="809" t="n"/>
      <c r="AD144" s="21" t="n"/>
      <c r="AE144" s="21" t="n"/>
      <c r="AF144" s="21" t="n"/>
      <c r="AG144" s="20" t="n"/>
      <c r="AH144" s="20" t="n"/>
      <c r="AI144" s="20" t="n"/>
      <c r="AJ144" s="20" t="n"/>
      <c r="AK144" s="20" t="n"/>
      <c r="AL144" s="20" t="n"/>
      <c r="AM144" s="20" t="n"/>
      <c r="AN144" s="20" t="n"/>
      <c r="AO144" s="20" t="n"/>
      <c r="AP144" s="20" t="n"/>
      <c r="AQ144" s="20" t="n"/>
      <c r="AR144" s="20" t="n"/>
      <c r="AS144" s="20" t="n"/>
      <c r="AT144" s="20" t="n"/>
      <c r="AU144" s="20" t="n"/>
      <c r="AV144" s="23" t="n"/>
      <c r="AW144" s="23" t="n"/>
      <c r="AX144" s="43" t="n"/>
      <c r="AY144" s="23" t="n"/>
      <c r="AZ144" s="23" t="n"/>
      <c r="BA144" s="23" t="n"/>
      <c r="BB144" s="43" t="n"/>
      <c r="BC144" s="20" t="n"/>
      <c r="BD144" s="23" t="n"/>
      <c r="BE144" s="20" t="n"/>
      <c r="BF144" s="23" t="n"/>
      <c r="BG144" s="20" t="n"/>
      <c r="BH144" s="23" t="n"/>
      <c r="BI144" s="20" t="n"/>
      <c r="BJ144" s="23" t="n"/>
      <c r="BK144" s="20" t="n"/>
      <c r="BL144" s="23" t="n"/>
      <c r="BM144" s="20" t="n"/>
      <c r="BN144" s="23" t="n"/>
      <c r="BO144" s="23" t="n"/>
      <c r="BP144" s="23" t="n"/>
      <c r="BQ144" s="20" t="n"/>
      <c r="BR144" s="23" t="n"/>
      <c r="BS144" s="20" t="n"/>
      <c r="BT144" s="23" t="n"/>
      <c r="BU144" s="20" t="n"/>
      <c r="BV144" s="23" t="n"/>
      <c r="BW144" s="20" t="n"/>
      <c r="BX144" s="23" t="n"/>
      <c r="BY144" s="20" t="n"/>
      <c r="BZ144" s="23" t="n"/>
      <c r="CA144" s="20" t="n"/>
      <c r="CB144" s="23" t="n"/>
      <c r="CC144" s="20" t="n"/>
      <c r="CD144" s="23" t="n"/>
      <c r="CE144" s="23" t="n"/>
      <c r="CF144" s="23" t="n"/>
      <c r="CG144" s="20" t="n"/>
      <c r="CH144" s="23" t="n"/>
      <c r="CI144" s="23" t="n"/>
      <c r="CJ144" s="23" t="n"/>
      <c r="CK144" s="23" t="n"/>
      <c r="CL144" s="23" t="n"/>
      <c r="CM144" s="23" t="n"/>
      <c r="CN144" s="23" t="n"/>
      <c r="CO144" s="23" t="n"/>
      <c r="CP144" s="23" t="n"/>
      <c r="CQ144" s="23" t="n"/>
      <c r="CR144" s="23" t="n"/>
      <c r="CS144" s="23" t="n"/>
      <c r="CT144" s="23" t="n"/>
      <c r="CU144" s="23" t="n"/>
      <c r="CV144" s="23" t="n"/>
      <c r="CW144" s="23" t="n"/>
      <c r="CX144" s="23" t="n"/>
      <c r="CY144" s="23" t="n"/>
      <c r="CZ144" s="23" t="n"/>
      <c r="DA144" s="23" t="n"/>
      <c r="DB144" s="23" t="n"/>
      <c r="DC144" s="23" t="n"/>
      <c r="DD144" s="23" t="n"/>
      <c r="DE144" s="23" t="n"/>
      <c r="DF144" s="23" t="n"/>
      <c r="DG144" s="23" t="n"/>
      <c r="DH144" s="625" t="n"/>
      <c r="DI144" s="23" t="n"/>
      <c r="DJ144" s="23" t="n"/>
      <c r="DK144" s="23" t="n"/>
      <c r="DL144" s="23" t="n"/>
      <c r="DM144" s="23" t="n"/>
      <c r="DN144" s="23" t="n"/>
      <c r="DO144" s="23" t="n"/>
      <c r="DP144" s="625" t="n"/>
      <c r="DQ144" s="23" t="n"/>
      <c r="DR144" s="23" t="n"/>
      <c r="DS144" s="23" t="n"/>
      <c r="DT144" s="23" t="n"/>
      <c r="DU144" s="20" t="n"/>
      <c r="DV144" s="20" t="n"/>
      <c r="DW144" s="20" t="n"/>
      <c r="DX144" s="23" t="n"/>
      <c r="DY144" s="20" t="n"/>
      <c r="DZ144" s="20" t="n"/>
      <c r="EA144" s="20" t="n"/>
      <c r="EB144" s="242" t="n"/>
      <c r="EC144" s="20" t="n"/>
      <c r="ED144" s="20" t="n"/>
      <c r="EE144" s="20" t="n"/>
      <c r="EF144" s="20" t="n"/>
      <c r="EG144" s="20" t="n"/>
      <c r="EH144" s="20" t="n"/>
      <c r="EI144" s="20" t="n"/>
      <c r="EJ144" s="20" t="n"/>
      <c r="EK144" s="20" t="n"/>
      <c r="EL144" s="20" t="n"/>
      <c r="EM144" s="20" t="n"/>
      <c r="EN144" s="20" t="n"/>
      <c r="EO144" s="20" t="n"/>
      <c r="EP144" s="20" t="n"/>
      <c r="EQ144" s="120" t="n"/>
      <c r="ER144" s="120" t="n"/>
      <c r="ES144" s="20" t="n"/>
      <c r="ET144" s="20" t="n"/>
      <c r="EU144" s="120" t="n"/>
      <c r="EV144" s="120" t="n"/>
      <c r="EW144" s="20" t="n"/>
      <c r="EX144" s="20" t="n"/>
      <c r="EY144" s="120" t="n"/>
      <c r="FA144" s="20" t="n"/>
      <c r="FB144" s="20" t="n"/>
      <c r="FC144" s="120" t="n"/>
      <c r="FE144" s="20" t="n"/>
      <c r="FF144" s="20" t="n"/>
      <c r="FG144" s="120" t="n"/>
      <c r="FI144" s="20" t="n"/>
      <c r="FJ144" s="20" t="n"/>
      <c r="FK144" s="120" t="n"/>
      <c r="FM144" s="20" t="n"/>
      <c r="FN144" s="20" t="n"/>
      <c r="FO144" s="120" t="n"/>
    </row>
    <row r="145" collapsed="1" customFormat="1" s="1154">
      <c r="A145" s="1155" t="n"/>
      <c r="B145" s="1154" t="inlineStr">
        <is>
          <t>Associates</t>
        </is>
      </c>
      <c r="C145" s="1177">
        <f>SUM(C142:C144)</f>
        <v/>
      </c>
      <c r="D145" s="1177">
        <f>SUM(D142:D144)</f>
        <v/>
      </c>
      <c r="E145" s="1177">
        <f>SUM(E142:E144)</f>
        <v/>
      </c>
      <c r="F145" s="1177">
        <f>SUM(F142:F144)</f>
        <v/>
      </c>
      <c r="G145" s="1177">
        <f>SUM(G142:G144)</f>
        <v/>
      </c>
      <c r="H145" s="1177">
        <f>SUM(H142:H144)</f>
        <v/>
      </c>
      <c r="I145" s="1177">
        <f>SUM(I142:I144)</f>
        <v/>
      </c>
      <c r="J145" s="1177">
        <f>SUM(J142:J144)</f>
        <v/>
      </c>
      <c r="K145" s="1177">
        <f>SUM(K142:K144)</f>
        <v/>
      </c>
      <c r="L145" s="1177" t="n">
        <v>363</v>
      </c>
      <c r="M145" s="1177" t="n">
        <v>306</v>
      </c>
      <c r="N145" s="1177" t="n">
        <v>172</v>
      </c>
      <c r="O145" s="1177" t="n">
        <v>108</v>
      </c>
      <c r="P145" s="1177">
        <f>SUM(P142:P144)</f>
        <v/>
      </c>
      <c r="Q145" s="1177">
        <f>SUM(Q142:Q144)</f>
        <v/>
      </c>
      <c r="R145" s="1177" t="n">
        <v>324</v>
      </c>
      <c r="S145" s="1177" t="n">
        <v>151</v>
      </c>
      <c r="T145" s="1177" t="n">
        <v>269</v>
      </c>
      <c r="U145" s="1177" t="n">
        <v>298</v>
      </c>
      <c r="V145" s="1177" t="n">
        <v>301</v>
      </c>
      <c r="W145" s="1177" t="n">
        <v>1057</v>
      </c>
      <c r="X145" s="1178" t="n">
        <v>-730</v>
      </c>
      <c r="Y145" s="1178" t="n">
        <v>261</v>
      </c>
      <c r="Z145" s="1178" t="n">
        <v>2587</v>
      </c>
      <c r="AA145" s="1178">
        <f>1717+396</f>
        <v/>
      </c>
      <c r="AB145" s="1178" t="n">
        <v>754</v>
      </c>
      <c r="AC145" s="1178" t="n">
        <v>838</v>
      </c>
      <c r="AD145" s="526" t="n">
        <v>772</v>
      </c>
      <c r="AE145" s="526" t="n">
        <v>1965</v>
      </c>
      <c r="AF145" s="526" t="n">
        <v>2049</v>
      </c>
      <c r="AG145" s="526" t="n">
        <v>2630</v>
      </c>
      <c r="AH145" s="526" t="n">
        <v>1762</v>
      </c>
      <c r="AI145" s="526" t="n">
        <v>1643</v>
      </c>
      <c r="AJ145" s="526" t="n">
        <v>-1282</v>
      </c>
      <c r="AK145" s="526" t="n">
        <v>-1985</v>
      </c>
      <c r="AL145" s="526" t="n">
        <v>-6677</v>
      </c>
      <c r="AM145" s="526" t="n">
        <v>-1534</v>
      </c>
      <c r="AN145" s="526" t="n">
        <v>331</v>
      </c>
      <c r="AO145" s="835">
        <f>+AO146+AO150</f>
        <v/>
      </c>
      <c r="AP145" s="835">
        <f>+AP146+AP150</f>
        <v/>
      </c>
      <c r="AQ145" s="835">
        <f>+AQ146+AQ150</f>
        <v/>
      </c>
      <c r="AR145" s="835">
        <f>+AR146+AR150</f>
        <v/>
      </c>
      <c r="AS145" s="835">
        <f>+AS146+AS150</f>
        <v/>
      </c>
      <c r="AT145" s="835">
        <f>+AT146+AT150</f>
        <v/>
      </c>
      <c r="AU145" s="527" t="n"/>
      <c r="AV145" s="734" t="n">
        <v>162</v>
      </c>
      <c r="AW145" s="734">
        <f>AX145-AV145</f>
        <v/>
      </c>
      <c r="AX145" s="734">
        <f>L145</f>
        <v/>
      </c>
      <c r="AY145" s="734" t="n"/>
      <c r="AZ145" s="734" t="n">
        <v>158</v>
      </c>
      <c r="BA145" s="734">
        <f>BB145-AZ145</f>
        <v/>
      </c>
      <c r="BB145" s="734">
        <f>M145</f>
        <v/>
      </c>
      <c r="BC145" s="527" t="n"/>
      <c r="BD145" s="734" t="n">
        <v>127</v>
      </c>
      <c r="BE145" s="734">
        <f>BF145-BD145</f>
        <v/>
      </c>
      <c r="BF145" s="734">
        <f>N145</f>
        <v/>
      </c>
      <c r="BG145" s="527" t="n"/>
      <c r="BH145" s="734" t="n">
        <v>47</v>
      </c>
      <c r="BI145" s="734">
        <f>BJ145-BH145</f>
        <v/>
      </c>
      <c r="BJ145" s="734">
        <f>O145</f>
        <v/>
      </c>
      <c r="BK145" s="837" t="n"/>
      <c r="BL145" s="836" t="n">
        <v>39.29130858615544</v>
      </c>
      <c r="BM145" s="734">
        <f>BN145-BL145</f>
        <v/>
      </c>
      <c r="BN145" s="734">
        <f>P145</f>
        <v/>
      </c>
      <c r="BO145" s="734" t="n"/>
      <c r="BP145" s="734" t="n">
        <v>127</v>
      </c>
      <c r="BQ145" s="734">
        <f>BR145-BP145</f>
        <v/>
      </c>
      <c r="BR145" s="734">
        <f>Q145</f>
        <v/>
      </c>
      <c r="BS145" s="527" t="n"/>
      <c r="BT145" s="734" t="n">
        <v>141</v>
      </c>
      <c r="BU145" s="734">
        <f>BV145-BT145</f>
        <v/>
      </c>
      <c r="BV145" s="734">
        <f>R145</f>
        <v/>
      </c>
      <c r="BW145" s="527" t="n"/>
      <c r="BX145" s="734" t="n">
        <v>8</v>
      </c>
      <c r="BY145" s="734">
        <f>BZ145-BX145</f>
        <v/>
      </c>
      <c r="BZ145" s="734">
        <f>S145</f>
        <v/>
      </c>
      <c r="CA145" s="527" t="n"/>
      <c r="CB145" s="734" t="n">
        <v>151</v>
      </c>
      <c r="CC145" s="734">
        <f>CD145-CB145</f>
        <v/>
      </c>
      <c r="CD145" s="734">
        <f>T145</f>
        <v/>
      </c>
      <c r="CE145" s="734" t="n"/>
      <c r="CF145" s="734" t="n">
        <v>132</v>
      </c>
      <c r="CG145" s="734">
        <f>CH145-CF145</f>
        <v/>
      </c>
      <c r="CH145" s="734">
        <f>U145</f>
        <v/>
      </c>
      <c r="CI145" s="734" t="n"/>
      <c r="CJ145" s="734" t="n">
        <v>130</v>
      </c>
      <c r="CK145" s="734">
        <f>CL145-CJ145</f>
        <v/>
      </c>
      <c r="CL145" s="734">
        <f>V145</f>
        <v/>
      </c>
      <c r="CM145" s="734" t="n"/>
      <c r="CN145" s="734" t="n">
        <v>265</v>
      </c>
      <c r="CO145" s="734">
        <f>CP145-CN145</f>
        <v/>
      </c>
      <c r="CP145" s="734">
        <f>W145</f>
        <v/>
      </c>
      <c r="CQ145" s="734" t="n"/>
      <c r="CR145" s="734" t="n">
        <v>506</v>
      </c>
      <c r="CS145" s="734" t="n">
        <v>506</v>
      </c>
      <c r="CT145" s="734">
        <f>CU145-CR145</f>
        <v/>
      </c>
      <c r="CU145" s="734">
        <f>X145</f>
        <v/>
      </c>
      <c r="CV145" s="734" t="n"/>
      <c r="CW145" s="527" t="n">
        <v>-426</v>
      </c>
      <c r="CX145" s="734">
        <f>CY145-CW145</f>
        <v/>
      </c>
      <c r="CY145" s="734">
        <f>Y145</f>
        <v/>
      </c>
      <c r="CZ145" s="734" t="n"/>
      <c r="DA145" s="527" t="n">
        <v>827</v>
      </c>
      <c r="DB145" s="734">
        <f>DC145-DA145</f>
        <v/>
      </c>
      <c r="DC145" s="734">
        <f>Z145</f>
        <v/>
      </c>
      <c r="DD145" s="734" t="n"/>
      <c r="DE145" s="527" t="n">
        <v>861</v>
      </c>
      <c r="DF145" s="734">
        <f>DG145-DE145</f>
        <v/>
      </c>
      <c r="DG145" s="734">
        <f>AA145</f>
        <v/>
      </c>
      <c r="DH145" s="758" t="n"/>
      <c r="DI145" s="734" t="n">
        <v>-71</v>
      </c>
      <c r="DJ145" s="734">
        <f>DK145-DI145</f>
        <v/>
      </c>
      <c r="DK145" s="734">
        <f>AB145</f>
        <v/>
      </c>
      <c r="DL145" s="734" t="n"/>
      <c r="DM145" s="734" t="n">
        <v>-155</v>
      </c>
      <c r="DN145" s="734">
        <f>DO145-DM145</f>
        <v/>
      </c>
      <c r="DO145" s="734">
        <f>AC145</f>
        <v/>
      </c>
      <c r="DP145" s="758" t="n"/>
      <c r="DQ145" s="836" t="n">
        <v>-265</v>
      </c>
      <c r="DR145" s="734">
        <f>DS145-DQ145</f>
        <v/>
      </c>
      <c r="DS145" s="734">
        <f>AD145</f>
        <v/>
      </c>
      <c r="DT145" s="734" t="n"/>
      <c r="DU145" s="836" t="n">
        <v>771</v>
      </c>
      <c r="DV145" s="527">
        <f>DW145-DU145</f>
        <v/>
      </c>
      <c r="DW145" s="527">
        <f>AE145</f>
        <v/>
      </c>
      <c r="DX145" s="734" t="n"/>
      <c r="DY145" s="836" t="n">
        <v>683</v>
      </c>
      <c r="DZ145" s="527">
        <f>EA145-DY145</f>
        <v/>
      </c>
      <c r="EA145" s="527">
        <f>AF145</f>
        <v/>
      </c>
      <c r="EB145" s="527" t="n"/>
      <c r="EC145" s="836" t="n">
        <v>533</v>
      </c>
      <c r="ED145" s="527">
        <f>EE145-EC145</f>
        <v/>
      </c>
      <c r="EE145" s="527">
        <f>AG145</f>
        <v/>
      </c>
      <c r="EF145" s="527" t="n"/>
      <c r="EG145" s="836" t="n">
        <v>449</v>
      </c>
      <c r="EH145" s="527">
        <f>EI145-EG145</f>
        <v/>
      </c>
      <c r="EI145" s="527">
        <f>AH145</f>
        <v/>
      </c>
      <c r="EJ145" s="527" t="n"/>
      <c r="EK145" s="836" t="n">
        <v>648</v>
      </c>
      <c r="EL145" s="527">
        <f>EM145-EK145</f>
        <v/>
      </c>
      <c r="EM145" s="527">
        <f>AI145</f>
        <v/>
      </c>
      <c r="EN145" s="527" t="n"/>
      <c r="EO145" s="836" t="n">
        <v>-526</v>
      </c>
      <c r="EP145" s="527">
        <f>EQ145-EO145</f>
        <v/>
      </c>
      <c r="EQ145" s="319">
        <f>AJ145</f>
        <v/>
      </c>
      <c r="ER145" s="319" t="n"/>
      <c r="ES145" s="836" t="n">
        <v>-1509</v>
      </c>
      <c r="ET145" s="527">
        <f>EU145-ES145</f>
        <v/>
      </c>
      <c r="EU145" s="319">
        <f>AK145</f>
        <v/>
      </c>
      <c r="EV145" s="319" t="n"/>
      <c r="EW145" s="836" t="n">
        <v>-2726</v>
      </c>
      <c r="EX145" s="527">
        <f>EY145-EW145</f>
        <v/>
      </c>
      <c r="EY145" s="319">
        <f>AL145</f>
        <v/>
      </c>
      <c r="FA145" s="836" t="n">
        <v>-2620</v>
      </c>
      <c r="FB145" s="527">
        <f>FC145-FA145</f>
        <v/>
      </c>
      <c r="FC145" s="319">
        <f>AM145</f>
        <v/>
      </c>
      <c r="FE145" s="836" t="n">
        <v>-320</v>
      </c>
      <c r="FF145" s="527">
        <f>FG145-FE145</f>
        <v/>
      </c>
      <c r="FG145" s="319">
        <f>AN145</f>
        <v/>
      </c>
      <c r="FI145" s="836" t="n">
        <v>-128</v>
      </c>
      <c r="FJ145" s="527">
        <f>FK145-FI145</f>
        <v/>
      </c>
      <c r="FK145" s="319">
        <f>AO145</f>
        <v/>
      </c>
      <c r="FM145" s="836" t="n">
        <v>440</v>
      </c>
      <c r="FN145" s="527">
        <f>FN146+FN150</f>
        <v/>
      </c>
      <c r="FO145" s="319">
        <f>AP145</f>
        <v/>
      </c>
    </row>
    <row r="146" customFormat="1" s="1172">
      <c r="A146" s="1173" t="n"/>
      <c r="B146" s="1179" t="inlineStr">
        <is>
          <t>Associate Income from Air China</t>
        </is>
      </c>
      <c r="L146" s="1174" t="n"/>
      <c r="M146" s="1174" t="n"/>
      <c r="N146" s="1174" t="n"/>
      <c r="O146" s="1174" t="n"/>
      <c r="P146" s="1174" t="n"/>
      <c r="Q146" s="1174" t="n"/>
      <c r="R146" s="1174" t="n"/>
      <c r="S146" s="1174" t="n"/>
      <c r="T146" s="1174" t="n"/>
      <c r="U146" s="1174" t="n"/>
      <c r="V146" s="1174" t="n"/>
      <c r="W146" s="1174" t="n"/>
      <c r="X146" s="1174" t="n"/>
      <c r="Y146" s="1176" t="n"/>
      <c r="Z146" s="1174" t="n"/>
      <c r="AA146" s="1174" t="n"/>
      <c r="AB146" s="1174" t="n"/>
      <c r="AC146" s="809" t="n"/>
      <c r="AD146" s="20">
        <f>+AD147*AD149*AD67</f>
        <v/>
      </c>
      <c r="AE146" s="20">
        <f>+AE147*AE149*AE67</f>
        <v/>
      </c>
      <c r="AF146" s="20">
        <f>+AF147*AF149*AF67</f>
        <v/>
      </c>
      <c r="AG146" s="20">
        <f>+AG147*AG149*AG67</f>
        <v/>
      </c>
      <c r="AH146" s="20">
        <f>+AH147*AH149*AH67</f>
        <v/>
      </c>
      <c r="AI146" s="20">
        <f>+AI147*AI149*AI67</f>
        <v/>
      </c>
      <c r="AJ146" s="20">
        <f>+AJ147*AJ149*AJ67</f>
        <v/>
      </c>
      <c r="AK146" s="20">
        <f>+AK147*AK149*AK67</f>
        <v/>
      </c>
      <c r="AL146" s="20">
        <f>+AL147*AL149*AL67</f>
        <v/>
      </c>
      <c r="AM146" s="20">
        <f>+AM147*AM149*AM67</f>
        <v/>
      </c>
      <c r="AN146" s="20">
        <f>+AN147*AN149*AN67</f>
        <v/>
      </c>
      <c r="AO146" s="20">
        <f>SUM(FI146:FJ146)</f>
        <v/>
      </c>
      <c r="AP146" s="20">
        <f>SUM(FM146:FN146)</f>
        <v/>
      </c>
      <c r="AQ146" s="20">
        <f>+AQ147*AQ149*AQ67</f>
        <v/>
      </c>
      <c r="AR146" s="20">
        <f>+AR147*AR149*AR67</f>
        <v/>
      </c>
      <c r="AS146" s="20">
        <f>+AS147*AS149*AS67</f>
        <v/>
      </c>
      <c r="AT146" s="20">
        <f>+AT147*AT149*AT67</f>
        <v/>
      </c>
      <c r="AU146" s="20" t="n"/>
      <c r="AV146" s="23" t="n"/>
      <c r="AW146" s="23" t="n"/>
      <c r="AX146" s="43" t="n"/>
      <c r="AY146" s="23" t="n"/>
      <c r="AZ146" s="23" t="n"/>
      <c r="BA146" s="23" t="n"/>
      <c r="BB146" s="43" t="n"/>
      <c r="BC146" s="20" t="n"/>
      <c r="BD146" s="23" t="n"/>
      <c r="BE146" s="20" t="n"/>
      <c r="BF146" s="23" t="n"/>
      <c r="BG146" s="20" t="n"/>
      <c r="BH146" s="23" t="n"/>
      <c r="BI146" s="20" t="n"/>
      <c r="BJ146" s="23" t="n"/>
      <c r="BK146" s="20" t="n"/>
      <c r="BL146" s="23" t="n"/>
      <c r="BM146" s="20" t="n"/>
      <c r="BN146" s="23" t="n"/>
      <c r="BO146" s="23" t="n"/>
      <c r="BP146" s="23" t="n"/>
      <c r="BQ146" s="20" t="n"/>
      <c r="BR146" s="23" t="n"/>
      <c r="BS146" s="20" t="n"/>
      <c r="BT146" s="23" t="n"/>
      <c r="BU146" s="20" t="n"/>
      <c r="BV146" s="23" t="n"/>
      <c r="BW146" s="20" t="n"/>
      <c r="BX146" s="23" t="n"/>
      <c r="BY146" s="20" t="n"/>
      <c r="BZ146" s="23" t="n"/>
      <c r="CA146" s="20" t="n"/>
      <c r="CB146" s="23" t="n"/>
      <c r="CC146" s="20" t="n"/>
      <c r="CD146" s="23" t="n"/>
      <c r="CE146" s="23" t="n"/>
      <c r="CF146" s="23" t="n"/>
      <c r="CG146" s="20" t="n"/>
      <c r="CH146" s="23" t="n"/>
      <c r="CI146" s="23" t="n"/>
      <c r="CJ146" s="23" t="n"/>
      <c r="CK146" s="23" t="n"/>
      <c r="CL146" s="23" t="n"/>
      <c r="CM146" s="23" t="n"/>
      <c r="CN146" s="23" t="n"/>
      <c r="CO146" s="23" t="n"/>
      <c r="CP146" s="23" t="n"/>
      <c r="CQ146" s="23" t="n"/>
      <c r="CR146" s="23" t="n"/>
      <c r="CS146" s="23" t="n"/>
      <c r="CT146" s="23" t="n"/>
      <c r="CU146" s="23" t="n"/>
      <c r="CV146" s="23" t="n"/>
      <c r="CW146" s="23" t="n"/>
      <c r="CX146" s="23" t="n"/>
      <c r="CY146" s="23" t="n"/>
      <c r="CZ146" s="23" t="n"/>
      <c r="DA146" s="23" t="n"/>
      <c r="DB146" s="23" t="n"/>
      <c r="DC146" s="23" t="n"/>
      <c r="DD146" s="23" t="n"/>
      <c r="DE146" s="23" t="n"/>
      <c r="DF146" s="23" t="n"/>
      <c r="DG146" s="23" t="n"/>
      <c r="DH146" s="625" t="n"/>
      <c r="DI146" s="23" t="n"/>
      <c r="DJ146" s="23" t="n"/>
      <c r="DK146" s="23" t="n"/>
      <c r="DL146" s="23" t="n"/>
      <c r="DM146" s="23" t="n"/>
      <c r="DN146" s="23" t="n"/>
      <c r="DO146" s="23" t="n"/>
      <c r="DP146" s="625" t="n"/>
      <c r="DQ146" s="23" t="n"/>
      <c r="DR146" s="23" t="n"/>
      <c r="DS146" s="23" t="n"/>
      <c r="DT146" s="23" t="n"/>
      <c r="DU146" s="20" t="n"/>
      <c r="DV146" s="20" t="n"/>
      <c r="DW146" s="20" t="n"/>
      <c r="DX146" s="23" t="n"/>
      <c r="DY146" s="20" t="n"/>
      <c r="DZ146" s="20" t="n"/>
      <c r="EA146" s="20" t="n"/>
      <c r="EB146" s="242" t="n"/>
      <c r="EC146" s="20" t="n"/>
      <c r="ED146" s="20" t="n"/>
      <c r="EE146" s="20" t="n"/>
      <c r="EF146" s="20" t="n"/>
      <c r="EG146" s="20" t="n"/>
      <c r="EH146" s="20" t="n"/>
      <c r="EI146" s="20" t="n"/>
      <c r="EJ146" s="20" t="n"/>
      <c r="EK146" s="20" t="n"/>
      <c r="EL146" s="20" t="n"/>
      <c r="EM146" s="20" t="n"/>
      <c r="EN146" s="20" t="n"/>
      <c r="EO146" s="20" t="n"/>
      <c r="EP146" s="20" t="n"/>
      <c r="EQ146" s="120" t="n"/>
      <c r="ER146" s="120" t="n"/>
      <c r="ES146" s="20" t="n"/>
      <c r="ET146" s="20" t="n"/>
      <c r="EU146" s="120" t="n"/>
      <c r="EV146" s="120" t="n"/>
      <c r="EW146" s="20" t="n"/>
      <c r="EX146" s="20" t="n"/>
      <c r="EY146" s="120" t="n"/>
      <c r="FA146" s="20">
        <f>+FA147*FA149*FA67</f>
        <v/>
      </c>
      <c r="FB146" s="20" t="n"/>
      <c r="FC146" s="120">
        <f>AM146</f>
        <v/>
      </c>
      <c r="FE146" s="20">
        <f>+FE147*FE149*FE67</f>
        <v/>
      </c>
      <c r="FF146" s="20" t="n"/>
      <c r="FG146" s="120">
        <f>AN146</f>
        <v/>
      </c>
      <c r="FI146" s="20">
        <f>+FI147*FI149*FI67</f>
        <v/>
      </c>
      <c r="FJ146" s="20" t="n"/>
      <c r="FK146" s="120">
        <f>AO146</f>
        <v/>
      </c>
      <c r="FM146" s="20">
        <f>+FM147*FM149*FM67</f>
        <v/>
      </c>
      <c r="FN146" s="20">
        <f>+FN147*FN149*FN67</f>
        <v/>
      </c>
      <c r="FO146" s="120">
        <f>AP146</f>
        <v/>
      </c>
    </row>
    <row r="147" customFormat="1" s="1172">
      <c r="A147" s="1173" t="n"/>
      <c r="B147" s="1180" t="inlineStr">
        <is>
          <t>Air China Net Profit (RMB, 12 month rolling, end as of Sept)</t>
        </is>
      </c>
      <c r="L147" s="1174" t="n"/>
      <c r="M147" s="1174" t="n"/>
      <c r="N147" s="1174" t="n"/>
      <c r="O147" s="1174" t="n"/>
      <c r="P147" s="1174" t="n"/>
      <c r="Q147" s="1174" t="n"/>
      <c r="R147" s="1174" t="n"/>
      <c r="S147" s="1174" t="n"/>
      <c r="T147" s="1174" t="n"/>
      <c r="U147" s="1174" t="n"/>
      <c r="V147" s="1174" t="n"/>
      <c r="W147" s="1174" t="n"/>
      <c r="X147" s="1174" t="n"/>
      <c r="Y147" s="1176" t="n"/>
      <c r="Z147" s="1181" t="n"/>
      <c r="AA147" s="1181" t="n"/>
      <c r="AB147" s="1181" t="n"/>
      <c r="AC147" s="1181" t="n"/>
      <c r="AD147" s="1181" t="n">
        <v>2428.105999999992</v>
      </c>
      <c r="AE147" s="1181" t="n">
        <v>6927.396999999995</v>
      </c>
      <c r="AF147" s="1181" t="n">
        <v>7720.217999999993</v>
      </c>
      <c r="AG147" s="1181" t="n">
        <v>7865.787000000009</v>
      </c>
      <c r="AH147" s="1181" t="n">
        <v>5899.218000000016</v>
      </c>
      <c r="AI147" s="1181" t="n">
        <v>7161.003999999983</v>
      </c>
      <c r="AJ147" s="1181" t="n">
        <v>-10465.344</v>
      </c>
      <c r="AK147" s="1181" t="n">
        <v>-14619.24900000001</v>
      </c>
      <c r="AL147" s="1181" t="n">
        <v>-34423.90900000001</v>
      </c>
      <c r="AM147" s="1181" t="n">
        <v>-9724.851999999995</v>
      </c>
      <c r="AN147" s="1181" t="n">
        <v>-476.047</v>
      </c>
      <c r="AO147" s="432" t="n">
        <v>-4030.329847637658</v>
      </c>
      <c r="AP147" s="432" t="n">
        <v>-4030.329847637658</v>
      </c>
      <c r="AQ147" s="432" t="n">
        <v>2362.62318318918</v>
      </c>
      <c r="AR147" s="432" t="n">
        <v>8209.90065989687</v>
      </c>
      <c r="AS147" s="432">
        <f>AR147</f>
        <v/>
      </c>
      <c r="AT147" s="432">
        <f>AS147</f>
        <v/>
      </c>
      <c r="AU147" s="20" t="n"/>
      <c r="AV147" s="23" t="n"/>
      <c r="AW147" s="23" t="n"/>
      <c r="AX147" s="43" t="n"/>
      <c r="AY147" s="23" t="n"/>
      <c r="AZ147" s="23" t="n"/>
      <c r="BA147" s="23" t="n"/>
      <c r="BB147" s="43" t="n"/>
      <c r="BC147" s="20" t="n"/>
      <c r="BD147" s="23" t="n"/>
      <c r="BE147" s="20" t="n"/>
      <c r="BF147" s="23" t="n"/>
      <c r="BG147" s="20" t="n"/>
      <c r="BH147" s="23" t="n"/>
      <c r="BI147" s="20" t="n"/>
      <c r="BJ147" s="23" t="n"/>
      <c r="BK147" s="20" t="n"/>
      <c r="BL147" s="23" t="n"/>
      <c r="BM147" s="20" t="n"/>
      <c r="BN147" s="23" t="n"/>
      <c r="BO147" s="23" t="n"/>
      <c r="BP147" s="23" t="n"/>
      <c r="BQ147" s="20" t="n"/>
      <c r="BR147" s="23" t="n"/>
      <c r="BS147" s="20" t="n"/>
      <c r="BT147" s="23" t="n"/>
      <c r="BU147" s="20" t="n"/>
      <c r="BV147" s="23" t="n"/>
      <c r="BW147" s="20" t="n"/>
      <c r="BX147" s="23" t="n"/>
      <c r="BY147" s="20" t="n"/>
      <c r="BZ147" s="23" t="n"/>
      <c r="CA147" s="20" t="n"/>
      <c r="CB147" s="23" t="n"/>
      <c r="CC147" s="20" t="n"/>
      <c r="CD147" s="23" t="n"/>
      <c r="CE147" s="23" t="n"/>
      <c r="CF147" s="23" t="n"/>
      <c r="CG147" s="20" t="n"/>
      <c r="CH147" s="23" t="n"/>
      <c r="CI147" s="23" t="n"/>
      <c r="CJ147" s="23" t="n"/>
      <c r="CK147" s="23" t="n"/>
      <c r="CL147" s="23" t="n"/>
      <c r="CM147" s="23" t="n"/>
      <c r="CN147" s="23" t="n"/>
      <c r="CO147" s="23" t="n"/>
      <c r="CP147" s="23" t="n"/>
      <c r="CQ147" s="23" t="n"/>
      <c r="CR147" s="23" t="n"/>
      <c r="CS147" s="23" t="n"/>
      <c r="CT147" s="23" t="n"/>
      <c r="CU147" s="23" t="n"/>
      <c r="CV147" s="23" t="n"/>
      <c r="CW147" s="23" t="n"/>
      <c r="CX147" s="23" t="n"/>
      <c r="CY147" s="23" t="n"/>
      <c r="CZ147" s="23" t="n"/>
      <c r="DA147" s="23" t="n"/>
      <c r="DB147" s="23" t="n"/>
      <c r="DC147" s="23" t="n"/>
      <c r="DD147" s="23" t="n"/>
      <c r="DE147" s="23" t="n"/>
      <c r="DF147" s="23" t="n"/>
      <c r="DG147" s="23" t="n"/>
      <c r="DH147" s="625" t="n"/>
      <c r="DI147" s="23" t="n"/>
      <c r="DJ147" s="23" t="n"/>
      <c r="DK147" s="23" t="n"/>
      <c r="DL147" s="23" t="n"/>
      <c r="DM147" s="23" t="n"/>
      <c r="DN147" s="23" t="n"/>
      <c r="DO147" s="23" t="n"/>
      <c r="DP147" s="625" t="n"/>
      <c r="DQ147" s="23" t="n"/>
      <c r="DR147" s="23" t="n"/>
      <c r="DS147" s="23" t="n"/>
      <c r="DT147" s="23" t="n"/>
      <c r="DU147" s="20" t="n"/>
      <c r="DV147" s="20" t="n"/>
      <c r="DW147" s="20" t="n"/>
      <c r="DX147" s="23" t="n"/>
      <c r="DY147" s="20" t="n"/>
      <c r="DZ147" s="20" t="n"/>
      <c r="EA147" s="20" t="n"/>
      <c r="EB147" s="242" t="n"/>
      <c r="EC147" s="20" t="n"/>
      <c r="ED147" s="20" t="n"/>
      <c r="EE147" s="20" t="n"/>
      <c r="EF147" s="20" t="n"/>
      <c r="EG147" s="20" t="n"/>
      <c r="EH147" s="20" t="n"/>
      <c r="EI147" s="20" t="n"/>
      <c r="EJ147" s="20" t="n"/>
      <c r="EK147" s="20" t="n"/>
      <c r="EL147" s="20" t="n"/>
      <c r="EM147" s="20" t="n"/>
      <c r="EN147" s="20" t="n"/>
      <c r="EO147" s="20" t="n"/>
      <c r="EP147" s="20" t="n"/>
      <c r="EQ147" s="120" t="n"/>
      <c r="ER147" s="120" t="n"/>
      <c r="ES147" s="20" t="n"/>
      <c r="ET147" s="20" t="n"/>
      <c r="EU147" s="120" t="n"/>
      <c r="EV147" s="120" t="n"/>
      <c r="EW147" s="20" t="n"/>
      <c r="EX147" s="20" t="n"/>
      <c r="EY147" s="120" t="n"/>
      <c r="FA147" s="217" t="n">
        <v>-13442.642</v>
      </c>
      <c r="FB147" s="20" t="n">
        <v>3717.790000000006</v>
      </c>
      <c r="FC147" s="120">
        <f>AM147</f>
        <v/>
      </c>
      <c r="FE147" s="217" t="n">
        <v>-3512.25</v>
      </c>
      <c r="FF147" s="20">
        <f>FG147-FE147</f>
        <v/>
      </c>
      <c r="FG147" s="120">
        <f>AN147</f>
        <v/>
      </c>
      <c r="FI147" s="217" t="n">
        <v>-3638.297</v>
      </c>
      <c r="FJ147" s="20">
        <f>FK147-FI147</f>
        <v/>
      </c>
      <c r="FK147" s="120">
        <f>AO147</f>
        <v/>
      </c>
      <c r="FM147" s="217" t="n">
        <v>-1943.682</v>
      </c>
      <c r="FN147" s="316" t="n">
        <v>-2086.64784763766</v>
      </c>
      <c r="FO147" s="120">
        <f>AP147</f>
        <v/>
      </c>
    </row>
    <row r="148" customFormat="1" s="1172">
      <c r="A148" s="1173" t="n"/>
      <c r="B148" s="1182" t="inlineStr">
        <is>
          <t>YoY %</t>
        </is>
      </c>
      <c r="L148" s="1174" t="n"/>
      <c r="M148" s="1174" t="n"/>
      <c r="N148" s="1174" t="n"/>
      <c r="O148" s="1174" t="n"/>
      <c r="P148" s="1174" t="n"/>
      <c r="Q148" s="1174" t="n"/>
      <c r="R148" s="1174" t="n"/>
      <c r="S148" s="1174" t="n"/>
      <c r="T148" s="1174" t="n"/>
      <c r="U148" s="1174" t="n"/>
      <c r="V148" s="1174" t="n"/>
      <c r="W148" s="1174" t="n"/>
      <c r="X148" s="1174" t="n"/>
      <c r="Y148" s="1176" t="n"/>
      <c r="Z148" s="1174" t="n"/>
      <c r="AA148" s="809" t="n"/>
      <c r="AB148" s="809" t="n"/>
      <c r="AC148" s="809" t="n"/>
      <c r="AD148" s="809" t="n"/>
      <c r="AE148" s="809">
        <f>IF(AD147&gt;0,AE147/AD147-1,"NM")</f>
        <v/>
      </c>
      <c r="AF148" s="809">
        <f>IF(AE147&gt;0,AF147/AE147-1,"NM")</f>
        <v/>
      </c>
      <c r="AG148" s="809">
        <f>IF(AF147&gt;0,AG147/AF147-1,"NM")</f>
        <v/>
      </c>
      <c r="AH148" s="809">
        <f>IF(AG147&gt;0,AH147/AG147-1,"NM")</f>
        <v/>
      </c>
      <c r="AI148" s="809">
        <f>IF(AH147&gt;0,AI147/AH147-1,"NM")</f>
        <v/>
      </c>
      <c r="AJ148" s="809">
        <f>IF(AI147&gt;0,AJ147/AI147-1,"NM")</f>
        <v/>
      </c>
      <c r="AK148" s="809">
        <f>IF(AJ147&gt;0,AK147/AJ147-1,"NM")</f>
        <v/>
      </c>
      <c r="AL148" s="809">
        <f>IF(AK147&gt;0,AL147/AK147-1,"NM")</f>
        <v/>
      </c>
      <c r="AM148" s="809">
        <f>IF(AL147&gt;0,AM147/AL147-1,"NM")</f>
        <v/>
      </c>
      <c r="AN148" s="809">
        <f>IF(AM147&gt;0,AN147/AM147-1,"NM")</f>
        <v/>
      </c>
      <c r="AO148" s="809">
        <f>IF(AN147&gt;0,AO147/AN147-1,"NM")</f>
        <v/>
      </c>
      <c r="AP148" s="809">
        <f>IF(AO147&gt;0,AP147/AO147-1,"NM")</f>
        <v/>
      </c>
      <c r="AQ148" s="809">
        <f>IF(AP147&gt;0,AQ147/AP147-1,"NM")</f>
        <v/>
      </c>
      <c r="AR148" s="809">
        <f>IF(AQ147&gt;0,AR147/AQ147-1,"NM")</f>
        <v/>
      </c>
      <c r="AS148" s="809">
        <f>IF(AR147&gt;0,AS147/AR147-1,"NM")</f>
        <v/>
      </c>
      <c r="AT148" s="809">
        <f>IF(AS147&gt;0,AT147/AS147-1,"NM")</f>
        <v/>
      </c>
      <c r="AU148" s="20" t="n"/>
      <c r="AV148" s="23" t="n"/>
      <c r="AW148" s="23" t="n"/>
      <c r="AX148" s="43" t="n"/>
      <c r="AY148" s="23" t="n"/>
      <c r="AZ148" s="23" t="n"/>
      <c r="BA148" s="23" t="n"/>
      <c r="BB148" s="43" t="n"/>
      <c r="BC148" s="20" t="n"/>
      <c r="BD148" s="23" t="n"/>
      <c r="BE148" s="20" t="n"/>
      <c r="BF148" s="23" t="n"/>
      <c r="BG148" s="20" t="n"/>
      <c r="BH148" s="23" t="n"/>
      <c r="BI148" s="20" t="n"/>
      <c r="BJ148" s="23" t="n"/>
      <c r="BK148" s="20" t="n"/>
      <c r="BL148" s="23" t="n"/>
      <c r="BM148" s="20" t="n"/>
      <c r="BN148" s="23" t="n"/>
      <c r="BO148" s="23" t="n"/>
      <c r="BP148" s="23" t="n"/>
      <c r="BQ148" s="20" t="n"/>
      <c r="BR148" s="23" t="n"/>
      <c r="BS148" s="20" t="n"/>
      <c r="BT148" s="23" t="n"/>
      <c r="BU148" s="20" t="n"/>
      <c r="BV148" s="23" t="n"/>
      <c r="BW148" s="20" t="n"/>
      <c r="BX148" s="23" t="n"/>
      <c r="BY148" s="20" t="n"/>
      <c r="BZ148" s="23" t="n"/>
      <c r="CA148" s="20" t="n"/>
      <c r="CB148" s="23" t="n"/>
      <c r="CC148" s="20" t="n"/>
      <c r="CD148" s="23" t="n"/>
      <c r="CE148" s="23" t="n"/>
      <c r="CF148" s="23" t="n"/>
      <c r="CG148" s="20" t="n"/>
      <c r="CH148" s="23" t="n"/>
      <c r="CI148" s="23" t="n"/>
      <c r="CJ148" s="23" t="n"/>
      <c r="CK148" s="23" t="n"/>
      <c r="CL148" s="23" t="n"/>
      <c r="CM148" s="23" t="n"/>
      <c r="CN148" s="23" t="n"/>
      <c r="CO148" s="23" t="n"/>
      <c r="CP148" s="23" t="n"/>
      <c r="CQ148" s="23" t="n"/>
      <c r="CR148" s="23" t="n"/>
      <c r="CS148" s="23" t="n"/>
      <c r="CT148" s="23" t="n"/>
      <c r="CU148" s="23" t="n"/>
      <c r="CV148" s="23" t="n"/>
      <c r="CW148" s="23" t="n"/>
      <c r="CX148" s="23" t="n"/>
      <c r="CY148" s="23" t="n"/>
      <c r="CZ148" s="23" t="n"/>
      <c r="DA148" s="23" t="n"/>
      <c r="DB148" s="23" t="n"/>
      <c r="DC148" s="23" t="n"/>
      <c r="DD148" s="23" t="n"/>
      <c r="DE148" s="23" t="n"/>
      <c r="DF148" s="23" t="n"/>
      <c r="DG148" s="23" t="n"/>
      <c r="DH148" s="625" t="n"/>
      <c r="DI148" s="23" t="n"/>
      <c r="DJ148" s="23" t="n"/>
      <c r="DK148" s="23" t="n"/>
      <c r="DL148" s="23" t="n"/>
      <c r="DM148" s="23" t="n"/>
      <c r="DN148" s="23" t="n"/>
      <c r="DO148" s="23" t="n"/>
      <c r="DP148" s="625" t="n"/>
      <c r="DQ148" s="23" t="n"/>
      <c r="DR148" s="23" t="n"/>
      <c r="DS148" s="23" t="n"/>
      <c r="DT148" s="23" t="n"/>
      <c r="DU148" s="20" t="n"/>
      <c r="DV148" s="20" t="n"/>
      <c r="DW148" s="20" t="n"/>
      <c r="DX148" s="23" t="n"/>
      <c r="DY148" s="20" t="n"/>
      <c r="DZ148" s="20" t="n"/>
      <c r="EA148" s="20" t="n"/>
      <c r="EB148" s="242" t="n"/>
      <c r="EC148" s="20" t="n"/>
      <c r="ED148" s="20" t="n"/>
      <c r="EE148" s="20" t="n"/>
      <c r="EF148" s="20" t="n"/>
      <c r="EG148" s="20" t="n"/>
      <c r="EH148" s="20" t="n"/>
      <c r="EI148" s="20" t="n"/>
      <c r="EJ148" s="20" t="n"/>
      <c r="EK148" s="20" t="n"/>
      <c r="EL148" s="20" t="n"/>
      <c r="EM148" s="20" t="n"/>
      <c r="EN148" s="20" t="n"/>
      <c r="EO148" s="20" t="n"/>
      <c r="EP148" s="20" t="n"/>
      <c r="EQ148" s="120" t="n"/>
      <c r="ER148" s="120" t="n"/>
      <c r="ES148" s="20" t="n"/>
      <c r="ET148" s="20" t="n"/>
      <c r="EU148" s="120" t="n"/>
      <c r="EV148" s="120" t="n"/>
      <c r="EW148" s="20" t="n"/>
      <c r="EX148" s="20" t="n"/>
      <c r="EY148" s="120" t="n"/>
      <c r="FA148" s="20" t="n"/>
      <c r="FB148" s="20" t="n"/>
      <c r="FC148" s="120" t="n"/>
      <c r="FE148" s="20">
        <f>1674.5+1038.4</f>
        <v/>
      </c>
      <c r="FF148" s="20" t="n"/>
      <c r="FG148" s="120" t="n"/>
      <c r="FI148" s="20" t="n"/>
      <c r="FJ148" s="20" t="n"/>
      <c r="FK148" s="120" t="n"/>
      <c r="FM148" s="20" t="n"/>
      <c r="FN148" s="20" t="n"/>
      <c r="FO148" s="120" t="n"/>
    </row>
    <row r="149" customFormat="1" s="1172">
      <c r="A149" s="1173" t="n"/>
      <c r="B149" s="1183" t="inlineStr">
        <is>
          <t>Equity stake on Air China</t>
        </is>
      </c>
      <c r="L149" s="1174" t="n"/>
      <c r="M149" s="1174" t="n"/>
      <c r="N149" s="1174" t="n"/>
      <c r="O149" s="1174" t="n"/>
      <c r="P149" s="1174" t="n"/>
      <c r="Q149" s="1174" t="n"/>
      <c r="R149" s="1174" t="n"/>
      <c r="S149" s="1174" t="n"/>
      <c r="T149" s="1174" t="n"/>
      <c r="U149" s="1174" t="n"/>
      <c r="V149" s="1174" t="n"/>
      <c r="W149" s="1174" t="n"/>
      <c r="X149" s="1174" t="n"/>
      <c r="Y149" s="1176" t="n"/>
      <c r="Z149" s="1174" t="n"/>
      <c r="AA149" s="1174" t="n"/>
      <c r="AB149" s="1174" t="n"/>
      <c r="AC149" s="809" t="n"/>
      <c r="AD149" s="1040" t="n">
        <v>0.2013</v>
      </c>
      <c r="AE149" s="1040" t="n">
        <v>0.2013</v>
      </c>
      <c r="AF149" s="1040" t="n">
        <v>0.2013</v>
      </c>
      <c r="AG149" s="1040" t="n">
        <v>0.1813</v>
      </c>
      <c r="AH149" s="1040" t="n">
        <v>0.1813</v>
      </c>
      <c r="AI149" s="1040" t="n">
        <v>0.1813</v>
      </c>
      <c r="AJ149" s="1040" t="n">
        <v>0.1813</v>
      </c>
      <c r="AK149" s="1040" t="n">
        <v>0.1813</v>
      </c>
      <c r="AL149" s="1040" t="n">
        <v>0.1813</v>
      </c>
      <c r="AM149" s="1040" t="n">
        <v>0.1626</v>
      </c>
      <c r="AN149" s="1040" t="n">
        <v>0.1509</v>
      </c>
      <c r="AO149" s="1005" t="n">
        <v>0.1285</v>
      </c>
      <c r="AP149" s="1005" t="n">
        <v>0.1285</v>
      </c>
      <c r="AQ149" s="1005">
        <f>AP149</f>
        <v/>
      </c>
      <c r="AR149" s="1005">
        <f>AQ149</f>
        <v/>
      </c>
      <c r="AS149" s="1005">
        <f>AR149</f>
        <v/>
      </c>
      <c r="AT149" s="1005">
        <f>AS149</f>
        <v/>
      </c>
      <c r="AU149" s="20" t="n"/>
      <c r="AV149" s="23" t="n"/>
      <c r="AW149" s="23" t="n"/>
      <c r="AX149" s="43" t="n"/>
      <c r="AY149" s="23" t="n"/>
      <c r="AZ149" s="23" t="n"/>
      <c r="BA149" s="23" t="n"/>
      <c r="BB149" s="43" t="n"/>
      <c r="BC149" s="20" t="n"/>
      <c r="BD149" s="23" t="n"/>
      <c r="BE149" s="20" t="n"/>
      <c r="BF149" s="23" t="n"/>
      <c r="BG149" s="20" t="n"/>
      <c r="BH149" s="23" t="n"/>
      <c r="BI149" s="20" t="n"/>
      <c r="BJ149" s="23" t="n"/>
      <c r="BK149" s="20" t="n"/>
      <c r="BL149" s="23" t="n"/>
      <c r="BM149" s="20" t="n"/>
      <c r="BN149" s="23" t="n"/>
      <c r="BO149" s="23" t="n"/>
      <c r="BP149" s="23" t="n"/>
      <c r="BQ149" s="20" t="n"/>
      <c r="BR149" s="23" t="n"/>
      <c r="BS149" s="20" t="n"/>
      <c r="BT149" s="23" t="n"/>
      <c r="BU149" s="20" t="n"/>
      <c r="BV149" s="23" t="n"/>
      <c r="BW149" s="20" t="n"/>
      <c r="BX149" s="23" t="n"/>
      <c r="BY149" s="20" t="n"/>
      <c r="BZ149" s="23" t="n"/>
      <c r="CA149" s="20" t="n"/>
      <c r="CB149" s="23" t="n"/>
      <c r="CC149" s="20" t="n"/>
      <c r="CD149" s="23" t="n"/>
      <c r="CE149" s="23" t="n"/>
      <c r="CF149" s="23" t="n"/>
      <c r="CG149" s="20" t="n"/>
      <c r="CH149" s="23" t="n"/>
      <c r="CI149" s="23" t="n"/>
      <c r="CJ149" s="23" t="n"/>
      <c r="CK149" s="23" t="n"/>
      <c r="CL149" s="23" t="n"/>
      <c r="CM149" s="23" t="n"/>
      <c r="CN149" s="23" t="n"/>
      <c r="CO149" s="23" t="n"/>
      <c r="CP149" s="23" t="n"/>
      <c r="CQ149" s="23" t="n"/>
      <c r="CR149" s="23" t="n"/>
      <c r="CS149" s="23" t="n"/>
      <c r="CT149" s="23" t="n"/>
      <c r="CU149" s="23" t="n"/>
      <c r="CV149" s="23" t="n"/>
      <c r="CW149" s="23" t="n"/>
      <c r="CX149" s="23" t="n"/>
      <c r="CY149" s="23" t="n"/>
      <c r="CZ149" s="23" t="n"/>
      <c r="DA149" s="23" t="n"/>
      <c r="DB149" s="23" t="n"/>
      <c r="DC149" s="23" t="n"/>
      <c r="DD149" s="23" t="n"/>
      <c r="DE149" s="23" t="n"/>
      <c r="DF149" s="23" t="n"/>
      <c r="DG149" s="23" t="n"/>
      <c r="DH149" s="625" t="n"/>
      <c r="DI149" s="23" t="n"/>
      <c r="DJ149" s="23" t="n"/>
      <c r="DK149" s="23" t="n"/>
      <c r="DL149" s="23" t="n"/>
      <c r="DM149" s="23" t="n"/>
      <c r="DN149" s="23" t="n"/>
      <c r="DO149" s="23" t="n"/>
      <c r="DP149" s="625" t="n"/>
      <c r="DQ149" s="23" t="n"/>
      <c r="DR149" s="23" t="n"/>
      <c r="DS149" s="23" t="n"/>
      <c r="DT149" s="23" t="n"/>
      <c r="DU149" s="20" t="n"/>
      <c r="DV149" s="20" t="n"/>
      <c r="DW149" s="20" t="n"/>
      <c r="DX149" s="23" t="n"/>
      <c r="DY149" s="20" t="n"/>
      <c r="DZ149" s="20" t="n"/>
      <c r="EA149" s="20" t="n"/>
      <c r="EB149" s="242" t="n"/>
      <c r="EC149" s="20" t="n"/>
      <c r="ED149" s="20" t="n"/>
      <c r="EE149" s="20" t="n"/>
      <c r="EF149" s="20" t="n"/>
      <c r="EG149" s="20" t="n"/>
      <c r="EH149" s="20" t="n"/>
      <c r="EI149" s="20" t="n"/>
      <c r="EJ149" s="20" t="n"/>
      <c r="EK149" s="20" t="n"/>
      <c r="EL149" s="20" t="n"/>
      <c r="EM149" s="20" t="n"/>
      <c r="EN149" s="20" t="n"/>
      <c r="EO149" s="20" t="n"/>
      <c r="EP149" s="20" t="n"/>
      <c r="EQ149" s="120" t="n"/>
      <c r="ER149" s="120" t="n"/>
      <c r="ES149" s="20" t="n"/>
      <c r="ET149" s="20" t="n"/>
      <c r="EU149" s="120" t="n"/>
      <c r="EV149" s="120" t="n"/>
      <c r="EW149" s="20" t="n"/>
      <c r="EX149" s="20" t="n"/>
      <c r="EY149" s="120" t="n"/>
      <c r="FA149" s="795" t="n">
        <v>0.1626</v>
      </c>
      <c r="FB149" s="20" t="n"/>
      <c r="FC149" s="493">
        <f>AM149</f>
        <v/>
      </c>
      <c r="FE149" s="795" t="n">
        <v>0.1587</v>
      </c>
      <c r="FF149" s="20" t="n"/>
      <c r="FG149" s="493">
        <f>AN149</f>
        <v/>
      </c>
      <c r="FI149" s="795" t="n">
        <v>0.1509</v>
      </c>
      <c r="FJ149" s="20" t="n"/>
      <c r="FK149" s="493">
        <f>AO149</f>
        <v/>
      </c>
      <c r="FM149" s="795" t="n">
        <v>0.1285</v>
      </c>
      <c r="FN149" s="492" t="n">
        <v>0.1285</v>
      </c>
      <c r="FO149" s="493">
        <f>AP149</f>
        <v/>
      </c>
    </row>
    <row r="150" customFormat="1" s="1172">
      <c r="A150" s="1173" t="n"/>
      <c r="B150" s="1179" t="inlineStr">
        <is>
          <t>Associate Income from others</t>
        </is>
      </c>
      <c r="L150" s="1174" t="n"/>
      <c r="M150" s="1174" t="n"/>
      <c r="N150" s="1174" t="n"/>
      <c r="O150" s="1174" t="n"/>
      <c r="P150" s="1174" t="n"/>
      <c r="Q150" s="1174" t="n"/>
      <c r="R150" s="1174" t="n"/>
      <c r="S150" s="1174" t="n"/>
      <c r="T150" s="1174" t="n"/>
      <c r="U150" s="1174" t="n"/>
      <c r="V150" s="1174" t="n"/>
      <c r="W150" s="1174" t="n"/>
      <c r="X150" s="1174" t="n"/>
      <c r="Y150" s="1176" t="n"/>
      <c r="Z150" s="1174" t="n"/>
      <c r="AA150" s="1174" t="n"/>
      <c r="AB150" s="1174" t="n"/>
      <c r="AC150" s="809" t="n"/>
      <c r="AD150" s="20">
        <f>+AD145-AD146</f>
        <v/>
      </c>
      <c r="AE150" s="20">
        <f>+AE145-AE146</f>
        <v/>
      </c>
      <c r="AF150" s="20">
        <f>+AF145-AF146</f>
        <v/>
      </c>
      <c r="AG150" s="20">
        <f>+AG145-AG146</f>
        <v/>
      </c>
      <c r="AH150" s="20">
        <f>+AH145-AH146</f>
        <v/>
      </c>
      <c r="AI150" s="20">
        <f>+AI145-AI146</f>
        <v/>
      </c>
      <c r="AJ150" s="20">
        <f>+AJ145-AJ146</f>
        <v/>
      </c>
      <c r="AK150" s="20">
        <f>+AK145-AK146</f>
        <v/>
      </c>
      <c r="AL150" s="20">
        <f>+AL145-AL146</f>
        <v/>
      </c>
      <c r="AM150" s="20">
        <f>+AM145-AM146</f>
        <v/>
      </c>
      <c r="AN150" s="20">
        <f>+AN145-AN146</f>
        <v/>
      </c>
      <c r="AO150" s="316">
        <f>AN150</f>
        <v/>
      </c>
      <c r="AP150" s="316">
        <f>AO150</f>
        <v/>
      </c>
      <c r="AQ150" s="316">
        <f>AP150</f>
        <v/>
      </c>
      <c r="AR150" s="316">
        <f>AQ150</f>
        <v/>
      </c>
      <c r="AS150" s="316">
        <f>AR150</f>
        <v/>
      </c>
      <c r="AT150" s="316">
        <f>AS150</f>
        <v/>
      </c>
      <c r="AU150" s="20" t="n"/>
      <c r="AV150" s="23" t="n"/>
      <c r="AW150" s="23" t="n"/>
      <c r="AX150" s="43" t="n"/>
      <c r="AY150" s="23" t="n"/>
      <c r="AZ150" s="23" t="n"/>
      <c r="BA150" s="23" t="n"/>
      <c r="BB150" s="43" t="n"/>
      <c r="BC150" s="20" t="n"/>
      <c r="BD150" s="23" t="n"/>
      <c r="BE150" s="20" t="n"/>
      <c r="BF150" s="23" t="n"/>
      <c r="BG150" s="20" t="n"/>
      <c r="BH150" s="23" t="n"/>
      <c r="BI150" s="20" t="n"/>
      <c r="BJ150" s="23" t="n"/>
      <c r="BK150" s="20" t="n"/>
      <c r="BL150" s="23" t="n"/>
      <c r="BM150" s="20" t="n"/>
      <c r="BN150" s="23" t="n"/>
      <c r="BO150" s="23" t="n"/>
      <c r="BP150" s="23" t="n"/>
      <c r="BQ150" s="20" t="n"/>
      <c r="BR150" s="23" t="n"/>
      <c r="BS150" s="20" t="n"/>
      <c r="BT150" s="23" t="n"/>
      <c r="BU150" s="20" t="n"/>
      <c r="BV150" s="23" t="n"/>
      <c r="BW150" s="20" t="n"/>
      <c r="BX150" s="23" t="n"/>
      <c r="BY150" s="20" t="n"/>
      <c r="BZ150" s="23" t="n"/>
      <c r="CA150" s="20" t="n"/>
      <c r="CB150" s="23" t="n"/>
      <c r="CC150" s="20" t="n"/>
      <c r="CD150" s="23" t="n"/>
      <c r="CE150" s="23" t="n"/>
      <c r="CF150" s="23" t="n"/>
      <c r="CG150" s="20" t="n"/>
      <c r="CH150" s="23" t="n"/>
      <c r="CI150" s="23" t="n"/>
      <c r="CJ150" s="23" t="n"/>
      <c r="CK150" s="23" t="n"/>
      <c r="CL150" s="23" t="n"/>
      <c r="CM150" s="23" t="n"/>
      <c r="CN150" s="23" t="n"/>
      <c r="CO150" s="23" t="n"/>
      <c r="CP150" s="23" t="n"/>
      <c r="CQ150" s="23" t="n"/>
      <c r="CR150" s="23" t="n"/>
      <c r="CS150" s="23" t="n"/>
      <c r="CT150" s="23" t="n"/>
      <c r="CU150" s="23" t="n"/>
      <c r="CV150" s="23" t="n"/>
      <c r="CW150" s="23" t="n"/>
      <c r="CX150" s="23" t="n"/>
      <c r="CY150" s="23" t="n"/>
      <c r="CZ150" s="23" t="n"/>
      <c r="DA150" s="23" t="n"/>
      <c r="DB150" s="23" t="n"/>
      <c r="DC150" s="23" t="n"/>
      <c r="DD150" s="23" t="n"/>
      <c r="DE150" s="23" t="n"/>
      <c r="DF150" s="23" t="n"/>
      <c r="DG150" s="23" t="n"/>
      <c r="DH150" s="625" t="n"/>
      <c r="DI150" s="23" t="n"/>
      <c r="DJ150" s="23" t="n"/>
      <c r="DK150" s="23" t="n"/>
      <c r="DL150" s="23" t="n"/>
      <c r="DM150" s="23" t="n"/>
      <c r="DN150" s="23" t="n"/>
      <c r="DO150" s="23" t="n"/>
      <c r="DP150" s="625" t="n"/>
      <c r="DQ150" s="23" t="n"/>
      <c r="DR150" s="23" t="n"/>
      <c r="DS150" s="23" t="n"/>
      <c r="DT150" s="23" t="n"/>
      <c r="DU150" s="20" t="n"/>
      <c r="DV150" s="20" t="n"/>
      <c r="DW150" s="20" t="n"/>
      <c r="DX150" s="23" t="n"/>
      <c r="DY150" s="20" t="n"/>
      <c r="DZ150" s="20" t="n"/>
      <c r="EA150" s="20" t="n"/>
      <c r="EB150" s="242" t="n"/>
      <c r="EC150" s="20" t="n"/>
      <c r="ED150" s="20" t="n"/>
      <c r="EE150" s="20" t="n"/>
      <c r="EF150" s="20" t="n"/>
      <c r="EG150" s="20" t="n"/>
      <c r="EH150" s="20" t="n"/>
      <c r="EI150" s="20" t="n"/>
      <c r="EJ150" s="20" t="n"/>
      <c r="EK150" s="20" t="n"/>
      <c r="EL150" s="20" t="n"/>
      <c r="EM150" s="20" t="n"/>
      <c r="EN150" s="20" t="n"/>
      <c r="EO150" s="20" t="n"/>
      <c r="EP150" s="20" t="n"/>
      <c r="EQ150" s="120" t="n"/>
      <c r="ER150" s="120" t="n"/>
      <c r="ES150" s="20" t="n"/>
      <c r="ET150" s="20" t="n"/>
      <c r="EU150" s="120" t="n"/>
      <c r="EV150" s="120" t="n"/>
      <c r="EW150" s="20" t="n"/>
      <c r="EX150" s="20" t="n"/>
      <c r="EY150" s="120" t="n"/>
      <c r="FA150" s="20">
        <f>+FA145-FA146</f>
        <v/>
      </c>
      <c r="FB150" s="20" t="n"/>
      <c r="FC150" s="120">
        <f>AM150</f>
        <v/>
      </c>
      <c r="FE150" s="20">
        <f>+FE145-FE146</f>
        <v/>
      </c>
      <c r="FF150" s="20" t="n"/>
      <c r="FG150" s="120">
        <f>AN150</f>
        <v/>
      </c>
      <c r="FI150" s="20">
        <f>+FI145-FI146</f>
        <v/>
      </c>
      <c r="FJ150" s="20" t="n"/>
      <c r="FK150" s="120">
        <f>AO150</f>
        <v/>
      </c>
      <c r="FM150" s="20">
        <f>+FM145-FM146</f>
        <v/>
      </c>
      <c r="FN150" s="316">
        <f>FO150-FM150</f>
        <v/>
      </c>
      <c r="FO150" s="120">
        <f>AP150</f>
        <v/>
      </c>
    </row>
    <row r="151" customFormat="1" s="1154">
      <c r="A151" s="1155" t="n"/>
      <c r="B151" s="1154" t="inlineStr">
        <is>
          <t>Securities surplus/(deficit)</t>
        </is>
      </c>
      <c r="C151" s="526">
        <f>48.5-37.8</f>
        <v/>
      </c>
      <c r="D151" s="526">
        <f>57.2-116.2</f>
        <v/>
      </c>
      <c r="E151" s="526">
        <f>209.2-198.6</f>
        <v/>
      </c>
      <c r="F151" s="526">
        <f>157-151</f>
        <v/>
      </c>
      <c r="G151" s="526">
        <f>147-47</f>
        <v/>
      </c>
      <c r="H151" s="526">
        <f>160-51</f>
        <v/>
      </c>
      <c r="I151" s="526">
        <f>361+84-24-22</f>
        <v/>
      </c>
      <c r="J151" s="526">
        <f>-127+212-84+19</f>
        <v/>
      </c>
      <c r="K151" s="526">
        <f>-7+161-11-10</f>
        <v/>
      </c>
      <c r="L151" s="526">
        <f>18+148+7+3</f>
        <v/>
      </c>
      <c r="M151" s="526" t="n">
        <v>0</v>
      </c>
      <c r="N151" s="526" t="n">
        <v>0</v>
      </c>
      <c r="O151" s="526" t="n">
        <v>0</v>
      </c>
      <c r="P151" s="526" t="n">
        <v>0</v>
      </c>
      <c r="Q151" s="526" t="n">
        <v>0</v>
      </c>
      <c r="R151" s="526" t="n">
        <v>0</v>
      </c>
      <c r="S151" s="526" t="n">
        <v>0</v>
      </c>
      <c r="T151" s="526" t="n">
        <v>0</v>
      </c>
      <c r="U151" s="526" t="n">
        <v>0</v>
      </c>
      <c r="V151" s="526" t="n">
        <v>0</v>
      </c>
      <c r="W151" s="526" t="n">
        <v>0</v>
      </c>
      <c r="X151" s="526" t="n">
        <v>0</v>
      </c>
      <c r="Y151" s="526" t="n">
        <v>0</v>
      </c>
      <c r="Z151" s="526" t="n">
        <v>0</v>
      </c>
      <c r="AA151" s="526" t="n">
        <v>0</v>
      </c>
      <c r="AB151" s="526" t="n">
        <v>0</v>
      </c>
      <c r="AC151" s="526" t="n">
        <v>0</v>
      </c>
      <c r="AD151" s="526" t="n">
        <v>0</v>
      </c>
      <c r="AE151" s="526" t="n">
        <v>0</v>
      </c>
      <c r="AF151" s="526" t="n">
        <v>0</v>
      </c>
      <c r="AG151" s="526" t="n">
        <v>0</v>
      </c>
      <c r="AH151" s="526" t="n">
        <v>0</v>
      </c>
      <c r="AI151" s="526" t="n">
        <v>0</v>
      </c>
      <c r="AJ151" s="526" t="n">
        <v>0</v>
      </c>
      <c r="AK151" s="526" t="n">
        <v>0</v>
      </c>
      <c r="AL151" s="526" t="n">
        <v>0</v>
      </c>
      <c r="AM151" s="526" t="n">
        <v>0</v>
      </c>
      <c r="AN151" s="526" t="n">
        <v>0</v>
      </c>
      <c r="AO151" s="526" t="n"/>
      <c r="AP151" s="527" t="n"/>
      <c r="AQ151" s="527" t="n"/>
      <c r="AR151" s="527" t="n"/>
      <c r="AS151" s="527" t="n"/>
      <c r="AT151" s="527" t="n"/>
      <c r="AU151" s="837" t="n"/>
      <c r="AV151" s="734" t="n">
        <v>0</v>
      </c>
      <c r="AW151" s="734">
        <f>AX151-AV151</f>
        <v/>
      </c>
      <c r="AX151" s="734">
        <f>L151</f>
        <v/>
      </c>
      <c r="AY151" s="734" t="n"/>
      <c r="AZ151" s="734" t="n">
        <v>0</v>
      </c>
      <c r="BA151" s="734">
        <f>BB151-AZ151</f>
        <v/>
      </c>
      <c r="BB151" s="734">
        <f>M151</f>
        <v/>
      </c>
      <c r="BC151" s="527" t="n"/>
      <c r="BD151" s="734" t="n">
        <v>0</v>
      </c>
      <c r="BE151" s="734">
        <f>BF151-BD151</f>
        <v/>
      </c>
      <c r="BF151" s="734">
        <f>N151</f>
        <v/>
      </c>
      <c r="BG151" s="527" t="n"/>
      <c r="BH151" s="734" t="n">
        <v>0</v>
      </c>
      <c r="BI151" s="734">
        <f>BJ151-BH151</f>
        <v/>
      </c>
      <c r="BJ151" s="734">
        <f>O151</f>
        <v/>
      </c>
      <c r="BK151" s="527" t="n"/>
      <c r="BL151" s="734" t="n">
        <v>0</v>
      </c>
      <c r="BM151" s="734">
        <f>BN151-BL151</f>
        <v/>
      </c>
      <c r="BN151" s="734">
        <f>P151</f>
        <v/>
      </c>
      <c r="BO151" s="734" t="n"/>
      <c r="BP151" s="734" t="n">
        <v>0</v>
      </c>
      <c r="BQ151" s="734">
        <f>BR151-BP151</f>
        <v/>
      </c>
      <c r="BR151" s="734">
        <f>Q151</f>
        <v/>
      </c>
      <c r="BS151" s="527" t="n"/>
      <c r="BT151" s="734" t="n">
        <v>0</v>
      </c>
      <c r="BU151" s="734">
        <f>BV151-BT151</f>
        <v/>
      </c>
      <c r="BV151" s="734">
        <f>R151</f>
        <v/>
      </c>
      <c r="BW151" s="527" t="n"/>
      <c r="BX151" s="734" t="n">
        <v>0</v>
      </c>
      <c r="BY151" s="734">
        <f>BZ151-BX151</f>
        <v/>
      </c>
      <c r="BZ151" s="734">
        <f>S151</f>
        <v/>
      </c>
      <c r="CA151" s="527" t="n"/>
      <c r="CB151" s="734" t="n">
        <v>0</v>
      </c>
      <c r="CC151" s="734">
        <f>CD151-CB151</f>
        <v/>
      </c>
      <c r="CD151" s="734">
        <f>T151</f>
        <v/>
      </c>
      <c r="CE151" s="734" t="n"/>
      <c r="CF151" s="734" t="n">
        <v>0</v>
      </c>
      <c r="CG151" s="734" t="n"/>
      <c r="CH151" s="734">
        <f>U151</f>
        <v/>
      </c>
      <c r="CI151" s="734" t="n"/>
      <c r="CJ151" s="734" t="n">
        <v>0</v>
      </c>
      <c r="CK151" s="734" t="n"/>
      <c r="CL151" s="734">
        <f>V151</f>
        <v/>
      </c>
      <c r="CM151" s="734" t="n"/>
      <c r="CN151" s="734" t="n">
        <v>0</v>
      </c>
      <c r="CO151" s="734" t="n"/>
      <c r="CP151" s="734">
        <f>W151</f>
        <v/>
      </c>
      <c r="CQ151" s="734" t="n"/>
      <c r="CR151" s="734" t="n"/>
      <c r="CS151" s="734" t="n"/>
      <c r="CT151" s="734" t="n"/>
      <c r="CU151" s="734">
        <f>X151</f>
        <v/>
      </c>
      <c r="CV151" s="734" t="n"/>
      <c r="CW151" s="734" t="n"/>
      <c r="CX151" s="734" t="n"/>
      <c r="CY151" s="734">
        <f>Y151</f>
        <v/>
      </c>
      <c r="CZ151" s="734" t="n"/>
      <c r="DA151" s="734" t="n"/>
      <c r="DB151" s="734" t="n"/>
      <c r="DC151" s="734">
        <f>Z151</f>
        <v/>
      </c>
      <c r="DD151" s="734" t="n"/>
      <c r="DE151" s="734" t="n"/>
      <c r="DF151" s="734" t="n"/>
      <c r="DG151" s="734">
        <f>AA151</f>
        <v/>
      </c>
      <c r="DH151" s="758" t="n"/>
      <c r="DI151" s="734" t="n"/>
      <c r="DJ151" s="734" t="n"/>
      <c r="DK151" s="734">
        <f>AB151</f>
        <v/>
      </c>
      <c r="DL151" s="734" t="n"/>
      <c r="DM151" s="734" t="n"/>
      <c r="DN151" s="734" t="n"/>
      <c r="DO151" s="734">
        <f>AC151</f>
        <v/>
      </c>
      <c r="DP151" s="758" t="n"/>
      <c r="DQ151" s="734" t="n"/>
      <c r="DR151" s="734" t="n"/>
      <c r="DS151" s="734">
        <f>AD151</f>
        <v/>
      </c>
      <c r="DT151" s="734" t="n"/>
      <c r="DU151" s="527" t="n"/>
      <c r="DV151" s="527" t="n"/>
      <c r="DW151" s="527">
        <f>AE151</f>
        <v/>
      </c>
      <c r="DX151" s="734" t="n"/>
      <c r="DY151" s="527" t="n"/>
      <c r="DZ151" s="527" t="n"/>
      <c r="EA151" s="527">
        <f>AF151</f>
        <v/>
      </c>
      <c r="EB151" s="527" t="n"/>
      <c r="EC151" s="527" t="n"/>
      <c r="ED151" s="527" t="n"/>
      <c r="EE151" s="527">
        <f>AG151</f>
        <v/>
      </c>
      <c r="EF151" s="527" t="n"/>
      <c r="EG151" s="527" t="n"/>
      <c r="EH151" s="664" t="n"/>
      <c r="EI151" s="527">
        <f>AH151</f>
        <v/>
      </c>
      <c r="EJ151" s="527" t="n"/>
      <c r="EK151" s="527" t="n"/>
      <c r="EL151" s="527" t="n"/>
      <c r="EM151" s="527">
        <f>AI151</f>
        <v/>
      </c>
      <c r="EN151" s="527" t="n"/>
      <c r="EO151" s="527" t="n"/>
      <c r="EP151" s="527" t="n"/>
      <c r="EQ151" s="319">
        <f>AJ151</f>
        <v/>
      </c>
      <c r="ER151" s="319" t="n"/>
      <c r="ES151" s="527" t="n"/>
      <c r="ET151" s="527" t="n"/>
      <c r="EU151" s="319">
        <f>AK151</f>
        <v/>
      </c>
      <c r="EV151" s="319" t="n"/>
      <c r="EW151" s="527" t="n"/>
      <c r="EX151" s="527" t="n"/>
      <c r="EY151" s="319">
        <f>AL151</f>
        <v/>
      </c>
      <c r="FA151" s="527" t="n"/>
      <c r="FB151" s="527" t="n"/>
      <c r="FC151" s="319">
        <f>AM151</f>
        <v/>
      </c>
      <c r="FE151" s="527" t="n"/>
      <c r="FF151" s="527" t="n"/>
      <c r="FG151" s="319">
        <f>AN151</f>
        <v/>
      </c>
      <c r="FI151" s="527" t="n"/>
      <c r="FJ151" s="527" t="n"/>
      <c r="FK151" s="319">
        <f>AO151</f>
        <v/>
      </c>
      <c r="FM151" s="527" t="n"/>
      <c r="FN151" s="527" t="n"/>
      <c r="FO151" s="319">
        <f>AP151</f>
        <v/>
      </c>
    </row>
    <row r="152" customFormat="1" s="1154">
      <c r="A152" s="1155" t="inlineStr">
        <is>
          <t>pl asset sales</t>
        </is>
      </c>
      <c r="B152" s="1154" t="inlineStr">
        <is>
          <t>Asset sales / Impairment / one -offs</t>
        </is>
      </c>
      <c r="C152" s="526" t="n"/>
      <c r="D152" s="526" t="n">
        <v>2.3</v>
      </c>
      <c r="E152" s="526" t="n">
        <v>178.7</v>
      </c>
      <c r="F152" s="526" t="n">
        <v>4</v>
      </c>
      <c r="G152" s="526" t="n">
        <v>47</v>
      </c>
      <c r="H152" s="526" t="n">
        <v>10</v>
      </c>
      <c r="I152" s="526" t="n">
        <v>2</v>
      </c>
      <c r="J152" s="526" t="n">
        <v>3</v>
      </c>
      <c r="K152" s="526" t="n">
        <v>4</v>
      </c>
      <c r="L152" s="526" t="n">
        <v>0</v>
      </c>
      <c r="M152" s="526" t="n">
        <v>0</v>
      </c>
      <c r="N152" s="526" t="n">
        <v>0</v>
      </c>
      <c r="O152" s="526" t="n">
        <v>0</v>
      </c>
      <c r="P152" s="526" t="n">
        <v>0</v>
      </c>
      <c r="Q152" s="526" t="n">
        <v>0</v>
      </c>
      <c r="R152" s="526" t="n">
        <v>0</v>
      </c>
      <c r="S152" s="526" t="n">
        <v>0</v>
      </c>
      <c r="T152" s="526" t="n">
        <v>0</v>
      </c>
      <c r="U152" s="526" t="n">
        <v>0</v>
      </c>
      <c r="V152" s="526" t="n">
        <v>0</v>
      </c>
      <c r="W152" s="526" t="n">
        <v>0</v>
      </c>
      <c r="X152" s="526" t="n">
        <v>0</v>
      </c>
      <c r="Y152" s="526" t="n">
        <v>0</v>
      </c>
      <c r="Z152" s="526" t="n">
        <v>0</v>
      </c>
      <c r="AA152" s="526" t="n">
        <v>0</v>
      </c>
      <c r="AB152" s="526" t="n">
        <v>0</v>
      </c>
      <c r="AC152" s="526" t="n">
        <v>0</v>
      </c>
      <c r="AD152" s="526" t="n">
        <v>0</v>
      </c>
      <c r="AE152" s="526" t="n">
        <v>0</v>
      </c>
      <c r="AF152" s="526" t="n">
        <v>0</v>
      </c>
      <c r="AG152" s="526" t="n">
        <v>0</v>
      </c>
      <c r="AH152" s="526" t="n">
        <v>0</v>
      </c>
      <c r="AI152" s="526" t="n">
        <v>114</v>
      </c>
      <c r="AJ152" s="526">
        <f>-2383-4056</f>
        <v/>
      </c>
      <c r="AK152" s="526">
        <f>-385-818+210</f>
        <v/>
      </c>
      <c r="AL152" s="526" t="n">
        <v>0</v>
      </c>
      <c r="AM152" s="526">
        <f>1929+197</f>
        <v/>
      </c>
      <c r="AN152" s="526">
        <f>578+173</f>
        <v/>
      </c>
      <c r="AO152" s="835">
        <f>SUM(FI152:FJ152)</f>
        <v/>
      </c>
      <c r="AP152" s="835">
        <f>SUM(FM152:FN152)</f>
        <v/>
      </c>
      <c r="AQ152" s="838" t="n">
        <v>0</v>
      </c>
      <c r="AR152" s="838" t="n">
        <v>0</v>
      </c>
      <c r="AS152" s="838" t="n">
        <v>0</v>
      </c>
      <c r="AT152" s="838" t="n">
        <v>0</v>
      </c>
      <c r="AU152" s="527" t="n"/>
      <c r="AV152" s="734" t="n">
        <v>0</v>
      </c>
      <c r="AW152" s="734">
        <f>AX152-AV152</f>
        <v/>
      </c>
      <c r="AX152" s="734">
        <f>L152</f>
        <v/>
      </c>
      <c r="AY152" s="734" t="n"/>
      <c r="AZ152" s="734" t="n">
        <v>0</v>
      </c>
      <c r="BA152" s="734">
        <f>BB152-AZ152</f>
        <v/>
      </c>
      <c r="BB152" s="734">
        <f>M152</f>
        <v/>
      </c>
      <c r="BC152" s="527" t="n"/>
      <c r="BD152" s="734" t="n">
        <v>0</v>
      </c>
      <c r="BE152" s="734">
        <f>BF152-BD152</f>
        <v/>
      </c>
      <c r="BF152" s="734">
        <f>N152</f>
        <v/>
      </c>
      <c r="BG152" s="527" t="n"/>
      <c r="BH152" s="734" t="n">
        <v>0</v>
      </c>
      <c r="BI152" s="734">
        <f>BJ152-BH152</f>
        <v/>
      </c>
      <c r="BJ152" s="734">
        <f>O152</f>
        <v/>
      </c>
      <c r="BK152" s="527" t="n"/>
      <c r="BL152" s="734" t="n">
        <v>0</v>
      </c>
      <c r="BM152" s="734">
        <f>BN152-BL152</f>
        <v/>
      </c>
      <c r="BN152" s="734">
        <f>P152</f>
        <v/>
      </c>
      <c r="BO152" s="734" t="n"/>
      <c r="BP152" s="734" t="n">
        <v>0</v>
      </c>
      <c r="BQ152" s="734">
        <f>BR152-BP152</f>
        <v/>
      </c>
      <c r="BR152" s="734">
        <f>Q152</f>
        <v/>
      </c>
      <c r="BS152" s="527" t="n"/>
      <c r="BT152" s="734" t="n">
        <v>0</v>
      </c>
      <c r="BU152" s="734">
        <f>BV152-BT152</f>
        <v/>
      </c>
      <c r="BV152" s="734">
        <f>R152</f>
        <v/>
      </c>
      <c r="BW152" s="527" t="n"/>
      <c r="BX152" s="734" t="n">
        <v>0</v>
      </c>
      <c r="BY152" s="734">
        <f>BZ152-BX152</f>
        <v/>
      </c>
      <c r="BZ152" s="734">
        <f>S152</f>
        <v/>
      </c>
      <c r="CA152" s="527" t="n"/>
      <c r="CB152" s="734" t="n">
        <v>0</v>
      </c>
      <c r="CC152" s="734">
        <f>CD152-CB152</f>
        <v/>
      </c>
      <c r="CD152" s="734">
        <f>T152</f>
        <v/>
      </c>
      <c r="CE152" s="734" t="n"/>
      <c r="CF152" s="734" t="n">
        <v>0</v>
      </c>
      <c r="CG152" s="734" t="n"/>
      <c r="CH152" s="734">
        <f>U152</f>
        <v/>
      </c>
      <c r="CI152" s="734" t="n"/>
      <c r="CJ152" s="734" t="n">
        <v>0</v>
      </c>
      <c r="CK152" s="734" t="n"/>
      <c r="CL152" s="734">
        <f>V152</f>
        <v/>
      </c>
      <c r="CM152" s="734" t="n"/>
      <c r="CN152" s="734" t="n">
        <v>0</v>
      </c>
      <c r="CO152" s="734" t="n"/>
      <c r="CP152" s="734">
        <f>W152</f>
        <v/>
      </c>
      <c r="CQ152" s="734" t="n"/>
      <c r="CR152" s="734" t="n"/>
      <c r="CS152" s="734" t="n"/>
      <c r="CT152" s="734" t="n"/>
      <c r="CU152" s="734">
        <f>X152</f>
        <v/>
      </c>
      <c r="CV152" s="734" t="n"/>
      <c r="CW152" s="734" t="n"/>
      <c r="CX152" s="734" t="n"/>
      <c r="CY152" s="734">
        <f>Y152</f>
        <v/>
      </c>
      <c r="CZ152" s="734" t="n"/>
      <c r="DA152" s="527" t="n"/>
      <c r="DB152" s="734" t="n"/>
      <c r="DC152" s="734">
        <f>Z152</f>
        <v/>
      </c>
      <c r="DD152" s="734" t="n"/>
      <c r="DE152" s="527" t="n"/>
      <c r="DF152" s="734" t="n"/>
      <c r="DG152" s="734">
        <f>AA152</f>
        <v/>
      </c>
      <c r="DH152" s="758" t="n"/>
      <c r="DI152" s="527" t="n"/>
      <c r="DJ152" s="734" t="n"/>
      <c r="DK152" s="734">
        <f>AB152</f>
        <v/>
      </c>
      <c r="DL152" s="734" t="n"/>
      <c r="DM152" s="527" t="n"/>
      <c r="DN152" s="734" t="n"/>
      <c r="DO152" s="734">
        <f>AC152</f>
        <v/>
      </c>
      <c r="DP152" s="758" t="n"/>
      <c r="DQ152" s="527" t="n"/>
      <c r="DR152" s="734" t="n"/>
      <c r="DS152" s="734">
        <f>AD152</f>
        <v/>
      </c>
      <c r="DT152" s="734" t="n"/>
      <c r="DU152" s="527" t="n"/>
      <c r="DV152" s="527" t="n"/>
      <c r="DW152" s="527">
        <f>AE152</f>
        <v/>
      </c>
      <c r="DX152" s="734" t="n"/>
      <c r="DY152" s="527" t="n"/>
      <c r="DZ152" s="527" t="n"/>
      <c r="EA152" s="527">
        <f>AF152</f>
        <v/>
      </c>
      <c r="EB152" s="527" t="n"/>
      <c r="EC152" s="527" t="n"/>
      <c r="ED152" s="527" t="n"/>
      <c r="EE152" s="527">
        <f>AG152</f>
        <v/>
      </c>
      <c r="EF152" s="527" t="n"/>
      <c r="EG152" s="527" t="n"/>
      <c r="EH152" s="527" t="n"/>
      <c r="EI152" s="527">
        <f>AH152</f>
        <v/>
      </c>
      <c r="EJ152" s="527" t="n"/>
      <c r="EK152" s="527" t="n"/>
      <c r="EL152" s="527" t="n"/>
      <c r="EM152" s="527">
        <f>AI152</f>
        <v/>
      </c>
      <c r="EN152" s="527" t="n"/>
      <c r="EO152" s="527" t="n"/>
      <c r="EP152" s="527">
        <f>EQ152-EO152</f>
        <v/>
      </c>
      <c r="EQ152" s="319">
        <f>AJ152</f>
        <v/>
      </c>
      <c r="ER152" s="319" t="n"/>
      <c r="ES152" s="527" t="n"/>
      <c r="ET152" s="527">
        <f>EU152-ES152</f>
        <v/>
      </c>
      <c r="EU152" s="319">
        <f>AK152</f>
        <v/>
      </c>
      <c r="EV152" s="319" t="n"/>
      <c r="EW152" s="527" t="n"/>
      <c r="EX152" s="527">
        <f>EY152-EW152</f>
        <v/>
      </c>
      <c r="EY152" s="319">
        <f>AL152</f>
        <v/>
      </c>
      <c r="FA152" s="526">
        <f>1929+208</f>
        <v/>
      </c>
      <c r="FB152" s="527">
        <f>FC152-FA152</f>
        <v/>
      </c>
      <c r="FC152" s="319">
        <f>AM152</f>
        <v/>
      </c>
      <c r="FE152" s="526">
        <f>90+19</f>
        <v/>
      </c>
      <c r="FF152" s="527">
        <f>FG152-FE152</f>
        <v/>
      </c>
      <c r="FG152" s="319">
        <f>AN152</f>
        <v/>
      </c>
      <c r="FI152" s="1184" t="n">
        <v>0</v>
      </c>
      <c r="FJ152" s="527">
        <f>FK152-FI152</f>
        <v/>
      </c>
      <c r="FK152" s="319">
        <f>AO152</f>
        <v/>
      </c>
      <c r="FM152" s="1184">
        <f>1432-479</f>
        <v/>
      </c>
      <c r="FN152" s="838" t="n">
        <v>0</v>
      </c>
      <c r="FO152" s="319">
        <f>AP152</f>
        <v/>
      </c>
    </row>
    <row r="153">
      <c r="S153" s="962" t="n"/>
      <c r="T153" s="962" t="n"/>
      <c r="U153" s="962" t="n"/>
      <c r="V153" s="962" t="n"/>
      <c r="W153" s="962" t="n"/>
      <c r="X153" s="962" t="n"/>
      <c r="Y153" s="962" t="n"/>
      <c r="Z153" s="962" t="n"/>
      <c r="AA153" s="962" t="n"/>
      <c r="AB153" s="962" t="n"/>
      <c r="AC153" s="962" t="n"/>
      <c r="AD153" s="120" t="n"/>
      <c r="AE153" s="120" t="n"/>
      <c r="AF153" s="120" t="n"/>
      <c r="AG153" s="194" t="n"/>
      <c r="AH153" s="194" t="n"/>
      <c r="AI153" s="194" t="n"/>
      <c r="AJ153" s="194" t="n"/>
      <c r="AK153" s="194" t="n"/>
      <c r="AL153" s="194" t="n"/>
      <c r="AM153" s="194" t="n"/>
      <c r="AN153" s="194" t="n"/>
      <c r="AO153" s="194" t="n"/>
      <c r="AP153" s="194" t="n"/>
      <c r="AQ153" s="194" t="n"/>
      <c r="AR153" s="194" t="n"/>
      <c r="AS153" s="194" t="n"/>
      <c r="AT153" s="194" t="n"/>
      <c r="AU153" s="557" t="n"/>
      <c r="AV153" s="43" t="n"/>
      <c r="AW153" s="43" t="n"/>
      <c r="AX153" s="43" t="n"/>
      <c r="AY153" s="43" t="n"/>
      <c r="AZ153" s="43" t="n"/>
      <c r="BA153" s="43" t="n"/>
      <c r="BB153" s="43" t="n"/>
      <c r="BC153" s="194" t="n"/>
      <c r="BD153" s="43" t="n"/>
      <c r="BE153" s="43" t="n"/>
      <c r="BF153" s="43" t="n"/>
      <c r="BG153" s="194" t="n"/>
      <c r="BH153" s="43" t="n"/>
      <c r="BI153" s="43" t="n"/>
      <c r="BJ153" s="43" t="n"/>
      <c r="BK153" s="194" t="n"/>
      <c r="BL153" s="43" t="n"/>
      <c r="BM153" s="43" t="n"/>
      <c r="BN153" s="43" t="n"/>
      <c r="BO153" s="43" t="n"/>
      <c r="BP153" s="43" t="n"/>
      <c r="BQ153" s="43" t="n"/>
      <c r="BR153" s="43" t="n"/>
      <c r="BS153" s="194" t="n"/>
      <c r="BT153" s="43" t="n"/>
      <c r="BU153" s="43" t="n"/>
      <c r="BV153" s="43" t="n"/>
      <c r="BW153" s="194" t="n"/>
      <c r="BX153" s="43" t="n"/>
      <c r="BY153" s="43" t="n"/>
      <c r="BZ153" s="43" t="n"/>
      <c r="CA153" s="194" t="n"/>
      <c r="CB153" s="43" t="n"/>
      <c r="CC153" s="43" t="n"/>
      <c r="CD153" s="43" t="n"/>
      <c r="CE153" s="43" t="n"/>
      <c r="CF153" s="43" t="n"/>
      <c r="CG153" s="43" t="n"/>
      <c r="CH153" s="43" t="n"/>
      <c r="CI153" s="43" t="n"/>
      <c r="CJ153" s="43" t="n"/>
      <c r="CK153" s="43" t="n"/>
      <c r="CL153" s="43" t="n"/>
      <c r="CM153" s="43" t="n"/>
      <c r="CN153" s="43" t="n"/>
      <c r="CO153" s="43" t="n"/>
      <c r="CP153" s="43" t="n"/>
      <c r="CQ153" s="43" t="n"/>
      <c r="CR153" s="43" t="n"/>
      <c r="CS153" s="43" t="n"/>
      <c r="CT153" s="43" t="n"/>
      <c r="CU153" s="43" t="n"/>
      <c r="CV153" s="43" t="n"/>
      <c r="CW153" s="43" t="n"/>
      <c r="CX153" s="43" t="n"/>
      <c r="CY153" s="43" t="n"/>
      <c r="CZ153" s="43" t="n"/>
      <c r="DA153" s="43" t="n"/>
      <c r="DB153" s="43" t="n"/>
      <c r="DC153" s="43" t="n"/>
      <c r="DD153" s="43" t="n"/>
      <c r="DE153" s="43" t="n"/>
      <c r="DF153" s="43" t="n"/>
      <c r="DG153" s="43" t="n"/>
      <c r="DH153" s="625" t="n"/>
      <c r="DI153" s="43" t="n"/>
      <c r="DJ153" s="43" t="n"/>
      <c r="DK153" s="43" t="n"/>
      <c r="DL153" s="43" t="n"/>
      <c r="DM153" s="43" t="n"/>
      <c r="DN153" s="43" t="n"/>
      <c r="DO153" s="43" t="n"/>
      <c r="DP153" s="625" t="n"/>
      <c r="DQ153" s="43" t="n"/>
      <c r="DR153" s="43" t="n"/>
      <c r="DS153" s="43" t="n"/>
      <c r="DT153" s="43" t="n"/>
      <c r="DU153" s="194" t="n"/>
      <c r="DV153" s="194" t="n"/>
      <c r="DW153" s="194" t="n"/>
      <c r="DX153" s="43" t="n"/>
      <c r="DY153" s="194" t="n"/>
      <c r="DZ153" s="194" t="n"/>
      <c r="EA153" s="194" t="n"/>
      <c r="EB153" s="194" t="n"/>
      <c r="EC153" s="194" t="n"/>
      <c r="ED153" s="194" t="n"/>
      <c r="EE153" s="194" t="n"/>
      <c r="EF153" s="194" t="n"/>
      <c r="EG153" s="194" t="n"/>
      <c r="EH153" s="194" t="n"/>
      <c r="EI153" s="194" t="n"/>
      <c r="EJ153" s="194" t="n"/>
      <c r="EK153" s="194" t="n"/>
      <c r="EL153" s="194" t="n"/>
      <c r="EM153" s="194" t="n"/>
      <c r="EN153" s="194" t="n"/>
      <c r="EO153" s="194" t="n"/>
      <c r="EP153" s="194" t="n"/>
      <c r="EQ153" s="194" t="n"/>
      <c r="ER153" s="194" t="n"/>
      <c r="ES153" s="194" t="n"/>
      <c r="ET153" s="194" t="n"/>
      <c r="EU153" s="194" t="n"/>
      <c r="EV153" s="194" t="n"/>
      <c r="EW153" s="194" t="n"/>
      <c r="EX153" s="194" t="n"/>
      <c r="EY153" s="194" t="n"/>
      <c r="FA153" s="194" t="n"/>
      <c r="FB153" s="194" t="n"/>
      <c r="FC153" s="194" t="n"/>
      <c r="FE153" s="194" t="n"/>
      <c r="FF153" s="194" t="n"/>
      <c r="FG153" s="194" t="n"/>
      <c r="FI153" s="194" t="n"/>
      <c r="FJ153" s="194" t="n"/>
      <c r="FK153" s="194" t="n"/>
      <c r="FM153" s="194" t="n"/>
      <c r="FN153" s="194" t="n"/>
      <c r="FO153" s="194" t="n"/>
    </row>
    <row r="154" customFormat="1" s="1185">
      <c r="A154" s="1170" t="inlineStr">
        <is>
          <t>pretax profit</t>
        </is>
      </c>
      <c r="B154" s="1185" t="inlineStr">
        <is>
          <t>Pre-tax profit</t>
        </is>
      </c>
      <c r="C154" s="1185" t="n">
        <v>2581</v>
      </c>
      <c r="D154" s="1185" t="n">
        <v>3285.7</v>
      </c>
      <c r="E154" s="1185" t="n">
        <v>3905</v>
      </c>
      <c r="F154" s="1185" t="n">
        <v>3593</v>
      </c>
      <c r="G154" s="1185" t="n">
        <v>3591</v>
      </c>
      <c r="H154" s="1185">
        <f>H133+SUM(H136:H152)-SUM(H142:H144)</f>
        <v/>
      </c>
      <c r="I154" s="1185">
        <f>I133+SUM(I136:I152)-SUM(I142:I144)</f>
        <v/>
      </c>
      <c r="J154" s="1185">
        <f>J133+J136+SUM(J145:J152)</f>
        <v/>
      </c>
      <c r="K154" s="1185">
        <f>K133+K136+SUM(K145:K152)</f>
        <v/>
      </c>
      <c r="L154" s="1148">
        <f>L133+L136+SUM(L145:L152)</f>
        <v/>
      </c>
      <c r="M154" s="1148">
        <f>M133+M136+M145+M151+M152</f>
        <v/>
      </c>
      <c r="N154" s="1148">
        <f>N133+N136+N145+N151+N152</f>
        <v/>
      </c>
      <c r="O154" s="1148">
        <f>O133+O136+O145+O151+O152</f>
        <v/>
      </c>
      <c r="P154" s="1148">
        <f>P133+P136+P145+P151+P152</f>
        <v/>
      </c>
      <c r="Q154" s="1148">
        <f>Q133+Q136+Q145+Q151+Q152</f>
        <v/>
      </c>
      <c r="R154" s="1148">
        <f>R133+R136+R145+R151+R152</f>
        <v/>
      </c>
      <c r="S154" s="1148">
        <f>S133+S136+S145+S151+S152</f>
        <v/>
      </c>
      <c r="T154" s="1148">
        <f>T133+T136+T145+T151+T152</f>
        <v/>
      </c>
      <c r="U154" s="1148">
        <f>U133+U136+U145+U151+U152</f>
        <v/>
      </c>
      <c r="V154" s="1148">
        <f>V133+V136+V145+V151+V152</f>
        <v/>
      </c>
      <c r="W154" s="1148">
        <f>W133+W136+W145+W151+W152</f>
        <v/>
      </c>
      <c r="X154" s="1148">
        <f>X133+X136+X145+X151+X152</f>
        <v/>
      </c>
      <c r="Y154" s="1148">
        <f>Y133+Y136+Y145+Y151+Y152</f>
        <v/>
      </c>
      <c r="Z154" s="1148">
        <f>Z133+Z136+Z145+Z151+Z152</f>
        <v/>
      </c>
      <c r="AA154" s="1148">
        <f>AA133+AA136+AA145+AA151+AA152</f>
        <v/>
      </c>
      <c r="AB154" s="1148">
        <f>AB133+AB136+AB145+AB151+AB152</f>
        <v/>
      </c>
      <c r="AC154" s="1148">
        <f>AC133+AC136+AC145+AC151+AC152</f>
        <v/>
      </c>
      <c r="AD154" s="1186">
        <f>AD133+AD136+AD145+AD151+AD152</f>
        <v/>
      </c>
      <c r="AE154" s="1186">
        <f>AE133+AE136+AE145+AE151+AE152</f>
        <v/>
      </c>
      <c r="AF154" s="1186">
        <f>AF133+AF136+AF145+AF151+AF152</f>
        <v/>
      </c>
      <c r="AG154" s="1187">
        <f>AG133+AG136+AG145+AG151+AG152</f>
        <v/>
      </c>
      <c r="AH154" s="1187">
        <f>AH133+AH136+AH145+AH151+AH152</f>
        <v/>
      </c>
      <c r="AI154" s="1187">
        <f>AI133+AI136+AI145+AI151+AI152</f>
        <v/>
      </c>
      <c r="AJ154" s="1187">
        <f>AJ133+AJ136+AJ145+AJ151+AJ152</f>
        <v/>
      </c>
      <c r="AK154" s="1187">
        <f>AK133+AK136+AK145+AK151+AK152</f>
        <v/>
      </c>
      <c r="AL154" s="1187">
        <f>AL133+AL136+AL145+AL151+AL152</f>
        <v/>
      </c>
      <c r="AM154" s="1187">
        <f>AM133+AM136+AM145+AM151+AM152</f>
        <v/>
      </c>
      <c r="AN154" s="1187">
        <f>AN133+AN136+AN145+AN151+AN152</f>
        <v/>
      </c>
      <c r="AO154" s="1187">
        <f>AO133+AO136+AO145+AO151+AO152</f>
        <v/>
      </c>
      <c r="AP154" s="1187">
        <f>AP133+AP136+AP145+AP151+AP152</f>
        <v/>
      </c>
      <c r="AQ154" s="1187">
        <f>AQ133+AQ136+AQ145+AQ151+AQ152</f>
        <v/>
      </c>
      <c r="AR154" s="1187">
        <f>AR133+AR136+AR145+AR151+AR152</f>
        <v/>
      </c>
      <c r="AS154" s="1187">
        <f>AS133+AS136+AS145+AS151+AS152</f>
        <v/>
      </c>
      <c r="AT154" s="1187">
        <f>AT133+AT136+AT145+AT151+AT152</f>
        <v/>
      </c>
      <c r="AU154" s="1187" t="n"/>
      <c r="AV154" s="1187">
        <f>AV133+AV136+AV145+AV151+AV152</f>
        <v/>
      </c>
      <c r="AW154" s="1188">
        <f>AX154-AV154</f>
        <v/>
      </c>
      <c r="AX154" s="1188">
        <f>L154</f>
        <v/>
      </c>
      <c r="AY154" s="1188" t="n"/>
      <c r="AZ154" s="1187">
        <f>AZ133+AZ136+AZ145+AZ151+AZ152</f>
        <v/>
      </c>
      <c r="BA154" s="1188">
        <f>BB154-AZ154</f>
        <v/>
      </c>
      <c r="BB154" s="1188">
        <f>M154</f>
        <v/>
      </c>
      <c r="BC154" s="1187" t="n"/>
      <c r="BD154" s="1187">
        <f>BD133+BD136+BD145+BD151+BD152</f>
        <v/>
      </c>
      <c r="BE154" s="1188">
        <f>BF154-BD154</f>
        <v/>
      </c>
      <c r="BF154" s="1188">
        <f>N154</f>
        <v/>
      </c>
      <c r="BG154" s="1187" t="n"/>
      <c r="BH154" s="1187">
        <f>BH133+BH136+BH145+BH151+BH152</f>
        <v/>
      </c>
      <c r="BI154" s="1188">
        <f>BJ154-BH154</f>
        <v/>
      </c>
      <c r="BJ154" s="1188">
        <f>O154</f>
        <v/>
      </c>
      <c r="BK154" s="1189" t="n"/>
      <c r="BL154" s="1187">
        <f>BL133+BL136+BL145+BL151+BL152</f>
        <v/>
      </c>
      <c r="BM154" s="1188">
        <f>BN154-BL154</f>
        <v/>
      </c>
      <c r="BN154" s="1188">
        <f>P154</f>
        <v/>
      </c>
      <c r="BO154" s="1187" t="n"/>
      <c r="BP154" s="1187">
        <f>BP133+BP136+BP145+BP151+BP152</f>
        <v/>
      </c>
      <c r="BQ154" s="1188">
        <f>BR154-BP154</f>
        <v/>
      </c>
      <c r="BR154" s="1188">
        <f>Q154</f>
        <v/>
      </c>
      <c r="BS154" s="1187" t="n"/>
      <c r="BT154" s="1187">
        <f>BT133+BT136+BT145+BT151+BT152</f>
        <v/>
      </c>
      <c r="BU154" s="1188">
        <f>BV154-BT154</f>
        <v/>
      </c>
      <c r="BV154" s="1188">
        <f>R154</f>
        <v/>
      </c>
      <c r="BW154" s="1187" t="n"/>
      <c r="BX154" s="1187">
        <f>BX133+BX136+BX145+BX151+BX152</f>
        <v/>
      </c>
      <c r="BY154" s="1188">
        <f>BZ154-BX154</f>
        <v/>
      </c>
      <c r="BZ154" s="1188">
        <f>S154</f>
        <v/>
      </c>
      <c r="CA154" s="1187" t="n"/>
      <c r="CB154" s="1187">
        <f>CB133+CB136+CB145+CB151+CB152</f>
        <v/>
      </c>
      <c r="CC154" s="1188">
        <f>CD154-CB154</f>
        <v/>
      </c>
      <c r="CD154" s="1188">
        <f>T154</f>
        <v/>
      </c>
      <c r="CE154" s="1189" t="n"/>
      <c r="CF154" s="1187">
        <f>CF133+CF136+CF145+CF151+CF152</f>
        <v/>
      </c>
      <c r="CG154" s="1190">
        <f>CH154-CF154</f>
        <v/>
      </c>
      <c r="CH154" s="1188">
        <f>U154</f>
        <v/>
      </c>
      <c r="CI154" s="1188" t="n"/>
      <c r="CJ154" s="1187">
        <f>CJ133+CJ136+CJ145+CJ151+CJ152</f>
        <v/>
      </c>
      <c r="CK154" s="1187">
        <f>CL154-CJ154</f>
        <v/>
      </c>
      <c r="CL154" s="1188">
        <f>V154</f>
        <v/>
      </c>
      <c r="CM154" s="1188" t="n"/>
      <c r="CN154" s="1187">
        <f>CN133+CN136+CN145+CN151+CN152</f>
        <v/>
      </c>
      <c r="CO154" s="1187">
        <f>CP154-CN154</f>
        <v/>
      </c>
      <c r="CP154" s="1187">
        <f>W154</f>
        <v/>
      </c>
      <c r="CQ154" s="1187" t="n"/>
      <c r="CR154" s="1187">
        <f>CR133+CR136+CR145+CR151+CR152</f>
        <v/>
      </c>
      <c r="CS154" s="1187">
        <f>CS133+CS136+CS145+CS151+CS152</f>
        <v/>
      </c>
      <c r="CT154" s="1187">
        <f>CU154-CR154</f>
        <v/>
      </c>
      <c r="CU154" s="1187">
        <f>X154</f>
        <v/>
      </c>
      <c r="CV154" s="1187" t="n"/>
      <c r="CW154" s="1187">
        <f>CW133+CW136+CW145+CW151+CW152</f>
        <v/>
      </c>
      <c r="CX154" s="1187">
        <f>CY154-CW154</f>
        <v/>
      </c>
      <c r="CY154" s="1187">
        <f>Y154</f>
        <v/>
      </c>
      <c r="CZ154" s="1187" t="n"/>
      <c r="DA154" s="1187">
        <f>DA133+DA136+DA145+DA151+DA152</f>
        <v/>
      </c>
      <c r="DB154" s="1187">
        <f>DC154-DA154</f>
        <v/>
      </c>
      <c r="DC154" s="1187">
        <f>Z154</f>
        <v/>
      </c>
      <c r="DD154" s="1187" t="n"/>
      <c r="DE154" s="1187">
        <f>DE133+DE136+DE145+DE151+DE152</f>
        <v/>
      </c>
      <c r="DF154" s="1187">
        <f>DG154-DE154</f>
        <v/>
      </c>
      <c r="DG154" s="1187">
        <f>AA154</f>
        <v/>
      </c>
      <c r="DH154" s="1191" t="n"/>
      <c r="DI154" s="1188">
        <f>DI133+DI136+DI145+DI151+DI152</f>
        <v/>
      </c>
      <c r="DJ154" s="1187">
        <f>DK154-DI154</f>
        <v/>
      </c>
      <c r="DK154" s="1187">
        <f>AB154</f>
        <v/>
      </c>
      <c r="DL154" s="1187" t="n"/>
      <c r="DM154" s="1188">
        <f>DM133+DM136+DM145+DM151+DM152</f>
        <v/>
      </c>
      <c r="DN154" s="1187">
        <f>DO154-DM154</f>
        <v/>
      </c>
      <c r="DO154" s="1187">
        <f>AC154</f>
        <v/>
      </c>
      <c r="DP154" s="1191" t="n"/>
      <c r="DQ154" s="1188">
        <f>DQ133+DQ136+DQ145+DQ151+DQ152</f>
        <v/>
      </c>
      <c r="DR154" s="1187">
        <f>DS154-DQ154</f>
        <v/>
      </c>
      <c r="DS154" s="1187">
        <f>AD154</f>
        <v/>
      </c>
      <c r="DT154" s="1187" t="n"/>
      <c r="DU154" s="1187">
        <f>DU133+DU136+DU145+DU151+DU152</f>
        <v/>
      </c>
      <c r="DV154" s="1187">
        <f>DW154-DU154</f>
        <v/>
      </c>
      <c r="DW154" s="1187">
        <f>AE154</f>
        <v/>
      </c>
      <c r="DX154" s="1187" t="n"/>
      <c r="DY154" s="1187">
        <f>DY133+DY136+DY145+DY151+DY152</f>
        <v/>
      </c>
      <c r="DZ154" s="1187">
        <f>EA154-DY154</f>
        <v/>
      </c>
      <c r="EA154" s="1187">
        <f>AF154</f>
        <v/>
      </c>
      <c r="EB154" s="1187" t="n"/>
      <c r="EC154" s="1187">
        <f>EC133+EC136+EC145+EC151+EC152</f>
        <v/>
      </c>
      <c r="ED154" s="1187">
        <f>EE154-EC154</f>
        <v/>
      </c>
      <c r="EE154" s="1187">
        <f>AG154</f>
        <v/>
      </c>
      <c r="EF154" s="1187" t="n"/>
      <c r="EG154" s="1187">
        <f>EG133+EG136+EG145+EG151+EG152</f>
        <v/>
      </c>
      <c r="EH154" s="224">
        <f>EI154-EG154</f>
        <v/>
      </c>
      <c r="EI154" s="224">
        <f>AH154</f>
        <v/>
      </c>
      <c r="EJ154" s="1187" t="n"/>
      <c r="EK154" s="1187">
        <f>EK133+EK136+EK145+EK151+EK152</f>
        <v/>
      </c>
      <c r="EL154" s="224">
        <f>EM154-EK154</f>
        <v/>
      </c>
      <c r="EM154" s="224">
        <f>AI154</f>
        <v/>
      </c>
      <c r="EN154" s="1187" t="n"/>
      <c r="EO154" s="224">
        <f>EO133+EO136+EO145+EO151+EO152</f>
        <v/>
      </c>
      <c r="EP154" s="224">
        <f>EQ154-EO154</f>
        <v/>
      </c>
      <c r="EQ154" s="224">
        <f>EQ133+EQ136+EQ145+EQ151+EQ152</f>
        <v/>
      </c>
      <c r="ER154" s="224" t="n"/>
      <c r="ES154" s="224">
        <f>ES133+ES136+ES145+ES151+ES152</f>
        <v/>
      </c>
      <c r="ET154" s="224">
        <f>EU154-ES154</f>
        <v/>
      </c>
      <c r="EU154" s="224">
        <f>EU133+EU136+EU145+EU151+EU152</f>
        <v/>
      </c>
      <c r="EV154" s="224" t="n"/>
      <c r="EW154" s="224">
        <f>EW133+EW136+EW145+EW151+EW152</f>
        <v/>
      </c>
      <c r="EX154" s="224">
        <f>EY154-EW154</f>
        <v/>
      </c>
      <c r="EY154" s="224">
        <f>EY133+EY136+EY145+EY151+EY152</f>
        <v/>
      </c>
      <c r="FA154" s="224">
        <f>FA133+FA136+FA145+FA151+FA152</f>
        <v/>
      </c>
      <c r="FB154" s="224">
        <f>FC154-FA154</f>
        <v/>
      </c>
      <c r="FC154" s="224">
        <f>FC133+FC136+FC145+FC151+FC152</f>
        <v/>
      </c>
      <c r="FE154" s="224">
        <f>FE133+FE136+FE145+FE151+FE152</f>
        <v/>
      </c>
      <c r="FF154" s="224">
        <f>FG154-FE154</f>
        <v/>
      </c>
      <c r="FG154" s="224">
        <f>FG133+FG136+FG145+FG151+FG152</f>
        <v/>
      </c>
      <c r="FH154" s="224" t="n"/>
      <c r="FI154" s="224">
        <f>FI133+FI136+FI145+FI151+FI152</f>
        <v/>
      </c>
      <c r="FJ154" s="224">
        <f>FK154-FI154</f>
        <v/>
      </c>
      <c r="FK154" s="224">
        <f>FK133+FK136+FK145+FK151+FK152</f>
        <v/>
      </c>
      <c r="FM154" s="224">
        <f>FM133+FM136+FM145+FM151+FM152</f>
        <v/>
      </c>
      <c r="FN154" s="224">
        <f>FN133+FN136+FN145+FN151+FN152</f>
        <v/>
      </c>
      <c r="FO154" s="224">
        <f>FO133+FO136+FO145+FO151+FO152</f>
        <v/>
      </c>
      <c r="FQ154" s="1133" t="n"/>
    </row>
    <row r="155" customFormat="1" s="1150">
      <c r="A155" s="1170" t="inlineStr">
        <is>
          <t>tax</t>
        </is>
      </c>
      <c r="B155" s="1150" t="inlineStr">
        <is>
          <t>Tax</t>
        </is>
      </c>
      <c r="C155" s="1192" t="n">
        <v>450.3</v>
      </c>
      <c r="D155" s="1192" t="n">
        <v>446.9</v>
      </c>
      <c r="E155" s="1192" t="n">
        <v>569.7</v>
      </c>
      <c r="F155" s="1192" t="n">
        <v>582</v>
      </c>
      <c r="G155" s="1192" t="n">
        <v>622</v>
      </c>
      <c r="H155" s="1192" t="n">
        <v>505</v>
      </c>
      <c r="I155" s="1192" t="n">
        <v>288</v>
      </c>
      <c r="J155" s="1192" t="n">
        <v>560</v>
      </c>
      <c r="K155" s="1192">
        <f>K154*0.1453</f>
        <v/>
      </c>
      <c r="L155" s="1192" t="n">
        <v>484</v>
      </c>
      <c r="M155" s="1192" t="n">
        <v>291</v>
      </c>
      <c r="N155" s="1192" t="n">
        <v>-104</v>
      </c>
      <c r="O155" s="1192" t="n">
        <v>219</v>
      </c>
      <c r="P155" s="1192" t="n">
        <v>110</v>
      </c>
      <c r="Q155" s="1192" t="n">
        <v>202</v>
      </c>
      <c r="R155" s="1192" t="n">
        <v>328</v>
      </c>
      <c r="S155" s="1192" t="n">
        <v>409</v>
      </c>
      <c r="T155" s="1192" t="n">
        <v>446</v>
      </c>
      <c r="U155" s="1192" t="n">
        <v>500</v>
      </c>
      <c r="V155" s="1192" t="n">
        <v>782</v>
      </c>
      <c r="W155" s="1192" t="n">
        <v>799</v>
      </c>
      <c r="X155" s="1192" t="n">
        <v>-1337</v>
      </c>
      <c r="Y155" s="1192" t="n">
        <v>283</v>
      </c>
      <c r="Z155" s="1192" t="n">
        <v>1462</v>
      </c>
      <c r="AA155" s="1192" t="n">
        <v>803</v>
      </c>
      <c r="AB155" s="1192" t="n">
        <v>409</v>
      </c>
      <c r="AC155" s="1192" t="n">
        <v>675</v>
      </c>
      <c r="AD155" s="1192" t="n">
        <v>599</v>
      </c>
      <c r="AE155" s="1192" t="n">
        <v>1157</v>
      </c>
      <c r="AF155" s="1192" t="n">
        <v>497</v>
      </c>
      <c r="AG155" s="1192" t="n">
        <v>308</v>
      </c>
      <c r="AH155" s="1192" t="n">
        <v>466</v>
      </c>
      <c r="AI155" s="1192" t="n">
        <v>454</v>
      </c>
      <c r="AJ155" s="1192" t="n">
        <v>-674</v>
      </c>
      <c r="AK155" s="1192" t="n">
        <v>-531</v>
      </c>
      <c r="AL155" s="1192" t="n">
        <v>507</v>
      </c>
      <c r="AM155" s="1192" t="n">
        <v>1068</v>
      </c>
      <c r="AN155" s="1192" t="n">
        <v>1315</v>
      </c>
      <c r="AO155" s="1193">
        <f>SUM(FI155:FJ155)</f>
        <v/>
      </c>
      <c r="AP155" s="1193">
        <f>SUM(FM155:FN155)</f>
        <v/>
      </c>
      <c r="AQ155" s="1193">
        <f>AQ154*AQ156</f>
        <v/>
      </c>
      <c r="AR155" s="1193">
        <f>AR154*AR156</f>
        <v/>
      </c>
      <c r="AS155" s="1193">
        <f>AS154*AS156</f>
        <v/>
      </c>
      <c r="AT155" s="1193">
        <f>AT154*AT156</f>
        <v/>
      </c>
      <c r="AU155" s="1194" t="n"/>
      <c r="AV155" s="1190">
        <f>220</f>
        <v/>
      </c>
      <c r="AW155" s="1190">
        <f>AX155-AV155</f>
        <v/>
      </c>
      <c r="AX155" s="1190">
        <f>L155</f>
        <v/>
      </c>
      <c r="AY155" s="1190" t="n"/>
      <c r="AZ155" s="1190" t="n">
        <v>212</v>
      </c>
      <c r="BA155" s="1190">
        <f>BB155-AZ155</f>
        <v/>
      </c>
      <c r="BB155" s="1190">
        <f>M155</f>
        <v/>
      </c>
      <c r="BC155" s="1193" t="n"/>
      <c r="BD155" s="1190" t="n">
        <v>108</v>
      </c>
      <c r="BE155" s="1190">
        <f>BF155-BD155</f>
        <v/>
      </c>
      <c r="BF155" s="1190">
        <f>N155</f>
        <v/>
      </c>
      <c r="BG155" s="1193" t="n"/>
      <c r="BH155" s="1190" t="n">
        <v>54</v>
      </c>
      <c r="BI155" s="1190">
        <f>BJ155-BH155</f>
        <v/>
      </c>
      <c r="BJ155" s="1190">
        <f>O155</f>
        <v/>
      </c>
      <c r="BK155" s="1195" t="n"/>
      <c r="BL155" s="1190" t="n">
        <v>41</v>
      </c>
      <c r="BM155" s="1190">
        <f>BN155-BL155</f>
        <v/>
      </c>
      <c r="BN155" s="1190">
        <f>P155</f>
        <v/>
      </c>
      <c r="BO155" s="1190" t="n"/>
      <c r="BP155" s="1190" t="n">
        <v>124</v>
      </c>
      <c r="BQ155" s="1190">
        <f>BR155-BP155</f>
        <v/>
      </c>
      <c r="BR155" s="1190">
        <f>Q155</f>
        <v/>
      </c>
      <c r="BS155" s="1193" t="n"/>
      <c r="BT155" s="1190" t="n">
        <v>102</v>
      </c>
      <c r="BU155" s="1190">
        <f>BV155-BT155</f>
        <v/>
      </c>
      <c r="BV155" s="1190">
        <f>R155</f>
        <v/>
      </c>
      <c r="BW155" s="1193" t="n"/>
      <c r="BX155" s="1190" t="n">
        <v>194</v>
      </c>
      <c r="BY155" s="1190">
        <f>BZ155-BX155</f>
        <v/>
      </c>
      <c r="BZ155" s="1190">
        <f>S155</f>
        <v/>
      </c>
      <c r="CA155" s="1193" t="n"/>
      <c r="CB155" s="1190" t="n">
        <v>250</v>
      </c>
      <c r="CC155" s="1190">
        <f>CD155-CB155</f>
        <v/>
      </c>
      <c r="CD155" s="1190">
        <f>T155</f>
        <v/>
      </c>
      <c r="CE155" s="1190" t="n"/>
      <c r="CF155" s="1190" t="n">
        <v>307</v>
      </c>
      <c r="CG155" s="1190">
        <f>CH155-CF155</f>
        <v/>
      </c>
      <c r="CH155" s="1190">
        <f>U155</f>
        <v/>
      </c>
      <c r="CI155" s="1190" t="n"/>
      <c r="CJ155" s="1190" t="n">
        <v>316</v>
      </c>
      <c r="CK155" s="1190">
        <f>CL155-CJ155</f>
        <v/>
      </c>
      <c r="CL155" s="1190">
        <f>V155</f>
        <v/>
      </c>
      <c r="CM155" s="1190" t="n"/>
      <c r="CN155" s="1190" t="n">
        <v>389</v>
      </c>
      <c r="CO155" s="1190">
        <f>CP155-CN155</f>
        <v/>
      </c>
      <c r="CP155" s="1190">
        <f>W155</f>
        <v/>
      </c>
      <c r="CQ155" s="1190" t="n"/>
      <c r="CR155" s="1190" t="n">
        <v>-10</v>
      </c>
      <c r="CS155" s="1190" t="n">
        <v>-7</v>
      </c>
      <c r="CT155" s="1190">
        <f>CU155-CR155</f>
        <v/>
      </c>
      <c r="CU155" s="1190">
        <f>X155</f>
        <v/>
      </c>
      <c r="CV155" s="1190" t="n"/>
      <c r="CW155" s="1193" t="n">
        <v>259</v>
      </c>
      <c r="CX155" s="1190">
        <f>CY155-CW155</f>
        <v/>
      </c>
      <c r="CY155" s="1190">
        <f>Y155</f>
        <v/>
      </c>
      <c r="CZ155" s="1190" t="n"/>
      <c r="DA155" s="1193" t="n">
        <v>462</v>
      </c>
      <c r="DB155" s="1193">
        <f>+DC155-DA155</f>
        <v/>
      </c>
      <c r="DC155" s="1190">
        <f>Z155</f>
        <v/>
      </c>
      <c r="DD155" s="1190" t="n"/>
      <c r="DE155" s="1193" t="n">
        <v>445</v>
      </c>
      <c r="DF155" s="1193">
        <f>+DG155-DE155</f>
        <v/>
      </c>
      <c r="DG155" s="1190">
        <f>AA155</f>
        <v/>
      </c>
      <c r="DH155" s="1191" t="n"/>
      <c r="DI155" s="1193" t="n">
        <v>57</v>
      </c>
      <c r="DJ155" s="1193">
        <f>+DK155-DI155</f>
        <v/>
      </c>
      <c r="DK155" s="1190">
        <f>AB155</f>
        <v/>
      </c>
      <c r="DL155" s="1190" t="n"/>
      <c r="DM155" s="1193" t="n">
        <v>173</v>
      </c>
      <c r="DN155" s="1193">
        <f>+DO155-DM155</f>
        <v/>
      </c>
      <c r="DO155" s="1190">
        <f>AC155</f>
        <v/>
      </c>
      <c r="DP155" s="1191" t="n"/>
      <c r="DQ155" s="1192" t="n">
        <v>196</v>
      </c>
      <c r="DR155" s="1193">
        <f>+DS155-DQ155</f>
        <v/>
      </c>
      <c r="DS155" s="1193">
        <f>AD155</f>
        <v/>
      </c>
      <c r="DT155" s="1193" t="n"/>
      <c r="DU155" s="1192" t="n">
        <v>444</v>
      </c>
      <c r="DV155" s="1193">
        <f>+DW155-DU155</f>
        <v/>
      </c>
      <c r="DW155" s="1193">
        <f>AE155</f>
        <v/>
      </c>
      <c r="DX155" s="1193" t="n"/>
      <c r="DY155" s="1192" t="n">
        <v>237</v>
      </c>
      <c r="DZ155" s="1193">
        <f>+EA155-DY155</f>
        <v/>
      </c>
      <c r="EA155" s="1193">
        <f>AF155</f>
        <v/>
      </c>
      <c r="EB155" s="1193" t="n"/>
      <c r="EC155" s="1192" t="n">
        <v>-84</v>
      </c>
      <c r="ED155" s="1193">
        <f>+EE155-EC155</f>
        <v/>
      </c>
      <c r="EE155" s="1193">
        <f>AG155</f>
        <v/>
      </c>
      <c r="EF155" s="1193" t="n"/>
      <c r="EG155" s="1192" t="n">
        <v>211</v>
      </c>
      <c r="EH155" s="194">
        <f>+EI155-EG155</f>
        <v/>
      </c>
      <c r="EI155" s="194">
        <f>AH155</f>
        <v/>
      </c>
      <c r="EJ155" s="1193" t="n"/>
      <c r="EK155" s="1192" t="n">
        <v>355</v>
      </c>
      <c r="EL155" s="194">
        <f>+EM155-EK155</f>
        <v/>
      </c>
      <c r="EM155" s="194">
        <f>AI155</f>
        <v/>
      </c>
      <c r="EN155" s="1193" t="n"/>
      <c r="EO155" s="1192" t="n">
        <v>-1049</v>
      </c>
      <c r="EP155" s="1193">
        <f>+EQ155-EO155</f>
        <v/>
      </c>
      <c r="EQ155" s="120">
        <f>AJ155</f>
        <v/>
      </c>
      <c r="ER155" s="120" t="n"/>
      <c r="ES155" s="1192" t="n">
        <v>-629</v>
      </c>
      <c r="ET155" s="1193">
        <f>+EU155-ES155</f>
        <v/>
      </c>
      <c r="EU155" s="120">
        <f>AK155</f>
        <v/>
      </c>
      <c r="EV155" s="120" t="n"/>
      <c r="EW155" s="1192" t="n">
        <v>-349</v>
      </c>
      <c r="EX155" s="1193">
        <f>EY155-EW155</f>
        <v/>
      </c>
      <c r="EY155" s="120">
        <f>AL155</f>
        <v/>
      </c>
      <c r="FA155" s="1192" t="n">
        <v>439</v>
      </c>
      <c r="FB155" s="1193">
        <f>FC155-FA155</f>
        <v/>
      </c>
      <c r="FC155" s="120">
        <f>AM155</f>
        <v/>
      </c>
      <c r="FE155" s="1192" t="n">
        <v>628</v>
      </c>
      <c r="FF155" s="1193">
        <f>FG155-FE155</f>
        <v/>
      </c>
      <c r="FG155" s="120">
        <f>AN155</f>
        <v/>
      </c>
      <c r="FH155" s="224" t="n"/>
      <c r="FI155" s="1192" t="n">
        <v>670</v>
      </c>
      <c r="FJ155" s="1193">
        <f>FK155-FI155</f>
        <v/>
      </c>
      <c r="FK155" s="120">
        <f>AO155</f>
        <v/>
      </c>
      <c r="FM155" s="1192" t="n">
        <v>656</v>
      </c>
      <c r="FN155" s="1193">
        <f>FN154*FN156</f>
        <v/>
      </c>
      <c r="FO155" s="120">
        <f>AP155</f>
        <v/>
      </c>
    </row>
    <row r="156" customFormat="1" s="994">
      <c r="A156" s="1009" t="n"/>
      <c r="B156" s="994" t="inlineStr">
        <is>
          <t>Rate</t>
        </is>
      </c>
      <c r="C156" s="994">
        <f>C155/(C154-C145+C163)</f>
        <v/>
      </c>
      <c r="D156" s="994">
        <f>D155/(D154-D145+D163)</f>
        <v/>
      </c>
      <c r="E156" s="994">
        <f>E155/(E154-E145+E163)</f>
        <v/>
      </c>
      <c r="F156" s="994">
        <f>F155/(F154-F145+F163)</f>
        <v/>
      </c>
      <c r="G156" s="994">
        <f>G155/(G154-G145+G163)</f>
        <v/>
      </c>
      <c r="H156" s="994">
        <f>H155/(H154-H145+H163)</f>
        <v/>
      </c>
      <c r="I156" s="994">
        <f>I155/(I154-I145+I163)</f>
        <v/>
      </c>
      <c r="J156" s="994">
        <f>J155/(J154-J145+J163)</f>
        <v/>
      </c>
      <c r="K156" s="994">
        <f>K155/(K154-K145+K163)</f>
        <v/>
      </c>
      <c r="L156" s="994">
        <f>L155/(L154-L145+L163)</f>
        <v/>
      </c>
      <c r="M156" s="994">
        <f>M155/(M154-M145+M163)</f>
        <v/>
      </c>
      <c r="N156" s="994">
        <f>N155/(N154-N145+N163)</f>
        <v/>
      </c>
      <c r="O156" s="994">
        <f>O155/(O154-O145+O163)</f>
        <v/>
      </c>
      <c r="P156" s="994">
        <f>P155/(P154-P145+P163)</f>
        <v/>
      </c>
      <c r="Q156" s="994">
        <f>Q155/(Q154-Q145+Q163)</f>
        <v/>
      </c>
      <c r="R156" s="994">
        <f>R155/(R154-R145+R163)</f>
        <v/>
      </c>
      <c r="S156" s="994">
        <f>S155/(S154-S145+S163)</f>
        <v/>
      </c>
      <c r="T156" s="994">
        <f>T155/(T154-T145+T163)</f>
        <v/>
      </c>
      <c r="U156" s="994">
        <f>U155/(U154-U145+U163)</f>
        <v/>
      </c>
      <c r="V156" s="994">
        <f>V155/(V154-V145+V163)</f>
        <v/>
      </c>
      <c r="W156" s="994">
        <f>W155/(W154-W145+W163)</f>
        <v/>
      </c>
      <c r="X156" s="994">
        <f>X155/(X154-X145+X163)</f>
        <v/>
      </c>
      <c r="Y156" s="994">
        <f>Y155/(Y154-Y145+Y162)</f>
        <v/>
      </c>
      <c r="Z156" s="994">
        <f>Z155/(Z154-Z145+Z162)</f>
        <v/>
      </c>
      <c r="AA156" s="994">
        <f>AA155/(AA154-AA145+AA163)</f>
        <v/>
      </c>
      <c r="AB156" s="994">
        <f>AB155/(AB154-AB145+AB163)</f>
        <v/>
      </c>
      <c r="AC156" s="994">
        <f>AC155/AC154</f>
        <v/>
      </c>
      <c r="AD156" s="994">
        <f>+AC156</f>
        <v/>
      </c>
      <c r="AE156" s="994">
        <f>AE155/AE154</f>
        <v/>
      </c>
      <c r="AF156" s="994">
        <f>AF155/AF154</f>
        <v/>
      </c>
      <c r="AG156" s="994">
        <f>AG155/AG154</f>
        <v/>
      </c>
      <c r="AH156" s="994">
        <f>AH155/AH154</f>
        <v/>
      </c>
      <c r="AI156" s="994">
        <f>AI155/AI154</f>
        <v/>
      </c>
      <c r="AJ156" s="994">
        <f>AJ155/AJ154</f>
        <v/>
      </c>
      <c r="AK156" s="994">
        <f>AK155/AK154</f>
        <v/>
      </c>
      <c r="AL156" s="994">
        <f>AL155/AL154</f>
        <v/>
      </c>
      <c r="AM156" s="994">
        <f>AM155/AM154</f>
        <v/>
      </c>
      <c r="AN156" s="994">
        <f>AN155/AN154</f>
        <v/>
      </c>
      <c r="AO156" s="994">
        <f>AO155/AO154</f>
        <v/>
      </c>
      <c r="AP156" s="994">
        <f>AP155/AP154</f>
        <v/>
      </c>
      <c r="AQ156" s="1011" t="n">
        <v>0.17</v>
      </c>
      <c r="AR156" s="1011" t="n">
        <v>0.17</v>
      </c>
      <c r="AS156" s="1011" t="n">
        <v>0.17</v>
      </c>
      <c r="AT156" s="1011" t="n">
        <v>0.17</v>
      </c>
      <c r="AU156" s="994" t="n"/>
      <c r="AV156" s="1012">
        <f>AV155/AV154</f>
        <v/>
      </c>
      <c r="AW156" s="1012">
        <f>AW155/AW154</f>
        <v/>
      </c>
      <c r="AX156" s="1140">
        <f>L156</f>
        <v/>
      </c>
      <c r="AY156" s="1012" t="n"/>
      <c r="AZ156" s="1012">
        <f>AZ155/AZ154</f>
        <v/>
      </c>
      <c r="BA156" s="1012">
        <f>BA155/BA154</f>
        <v/>
      </c>
      <c r="BB156" s="1140">
        <f>M156</f>
        <v/>
      </c>
      <c r="BD156" s="1073">
        <f>BD155/BD154</f>
        <v/>
      </c>
      <c r="BE156" s="1073">
        <f>BE155/BE154</f>
        <v/>
      </c>
      <c r="BF156" s="1100">
        <f>N156</f>
        <v/>
      </c>
      <c r="BH156" s="1012">
        <f>BH155/BH154</f>
        <v/>
      </c>
      <c r="BI156" s="1012">
        <f>BI155/BI154</f>
        <v/>
      </c>
      <c r="BJ156" s="1140">
        <f>O156</f>
        <v/>
      </c>
      <c r="BL156" s="1012">
        <f>BL155/BL154</f>
        <v/>
      </c>
      <c r="BM156" s="1012">
        <f>BM155/BM154</f>
        <v/>
      </c>
      <c r="BN156" s="1140">
        <f>P156</f>
        <v/>
      </c>
      <c r="BO156" s="1012" t="n"/>
      <c r="BP156" s="1012">
        <f>BP155/BP154</f>
        <v/>
      </c>
      <c r="BQ156" s="1012">
        <f>BQ155/BQ154</f>
        <v/>
      </c>
      <c r="BR156" s="1140">
        <f>Q156</f>
        <v/>
      </c>
      <c r="BT156" s="1012">
        <f>BT155/BT154</f>
        <v/>
      </c>
      <c r="BU156" s="1012">
        <f>BU155/BU154</f>
        <v/>
      </c>
      <c r="BV156" s="1140">
        <f>R156</f>
        <v/>
      </c>
      <c r="BX156" s="1012">
        <f>BX155/BX154</f>
        <v/>
      </c>
      <c r="BY156" s="1012">
        <f>BY155/BY154</f>
        <v/>
      </c>
      <c r="BZ156" s="1140">
        <f>S156</f>
        <v/>
      </c>
      <c r="CB156" s="1012">
        <f>CB155/CB154</f>
        <v/>
      </c>
      <c r="CC156" s="1012">
        <f>CC155/CC154</f>
        <v/>
      </c>
      <c r="CD156" s="1140">
        <f>T156</f>
        <v/>
      </c>
      <c r="CE156" s="1012" t="n"/>
      <c r="CF156" s="1012">
        <f>CF155/CF154</f>
        <v/>
      </c>
      <c r="CG156" s="1012">
        <f>CG155/CG154</f>
        <v/>
      </c>
      <c r="CH156" s="1140">
        <f>U156</f>
        <v/>
      </c>
      <c r="CI156" s="1140" t="n"/>
      <c r="CJ156" s="1012">
        <f>CJ155/CJ154</f>
        <v/>
      </c>
      <c r="CK156" s="1012">
        <f>CK155/CK154</f>
        <v/>
      </c>
      <c r="CL156" s="1140">
        <f>V156</f>
        <v/>
      </c>
      <c r="CM156" s="1140" t="n"/>
      <c r="CN156" s="1012">
        <f>CN155/CN154</f>
        <v/>
      </c>
      <c r="CO156" s="1012">
        <f>CO155/CO154</f>
        <v/>
      </c>
      <c r="CP156" s="1012">
        <f>W156</f>
        <v/>
      </c>
      <c r="CQ156" s="1012" t="n"/>
      <c r="CR156" s="1012">
        <f>CR155/CR154</f>
        <v/>
      </c>
      <c r="CS156" s="1012">
        <f>CS155/CS154</f>
        <v/>
      </c>
      <c r="CT156" s="1012">
        <f>CT155/CT154</f>
        <v/>
      </c>
      <c r="CU156" s="1012">
        <f>X156</f>
        <v/>
      </c>
      <c r="CV156" s="1012" t="n"/>
      <c r="CW156" s="1012">
        <f>CW155/CW154</f>
        <v/>
      </c>
      <c r="CX156" s="1012" t="n"/>
      <c r="CY156" s="1012">
        <f>Y156</f>
        <v/>
      </c>
      <c r="CZ156" s="1012" t="n"/>
      <c r="DA156" s="994">
        <f>DA155/(DA154-DA145+DA163)</f>
        <v/>
      </c>
      <c r="DB156" s="994">
        <f>DB155/(DB154-DB145+DB163)</f>
        <v/>
      </c>
      <c r="DC156" s="1012">
        <f>Z156</f>
        <v/>
      </c>
      <c r="DD156" s="1012" t="n"/>
      <c r="DE156" s="994">
        <f>DE155/(DE154-DE145+DE163)</f>
        <v/>
      </c>
      <c r="DF156" s="994">
        <f>DF155/(DF154-DF145+DF163)</f>
        <v/>
      </c>
      <c r="DG156" s="1012">
        <f>AA156</f>
        <v/>
      </c>
      <c r="DH156" s="118" t="n"/>
      <c r="DI156" s="994">
        <f>DI155/(DI154-DI145+DI163)</f>
        <v/>
      </c>
      <c r="DJ156" s="994">
        <f>DJ155/(DJ154-DJ145+DJ163)</f>
        <v/>
      </c>
      <c r="DK156" s="1012">
        <f>AB156</f>
        <v/>
      </c>
      <c r="DL156" s="1012" t="n"/>
      <c r="DM156" s="994">
        <f>DM155/(DM154-DM145+DM163)</f>
        <v/>
      </c>
      <c r="DN156" s="994">
        <f>DN155/(DN154-DN145+DN163)</f>
        <v/>
      </c>
      <c r="DO156" s="1012">
        <f>AC156</f>
        <v/>
      </c>
      <c r="DP156" s="118" t="n"/>
      <c r="DQ156" s="994">
        <f>DQ155/(DQ154-DQ145+DQ163)</f>
        <v/>
      </c>
      <c r="DR156" s="994">
        <f>DR155/(DR154-DR145+DR163)</f>
        <v/>
      </c>
      <c r="DS156" s="994">
        <f>AD156</f>
        <v/>
      </c>
      <c r="DU156" s="994">
        <f>DU155/DU154</f>
        <v/>
      </c>
      <c r="DV156" s="994">
        <f>DV155/DV154</f>
        <v/>
      </c>
      <c r="DW156" s="994">
        <f>DW155/DW154</f>
        <v/>
      </c>
      <c r="DY156" s="994">
        <f>DY155/DY154</f>
        <v/>
      </c>
      <c r="DZ156" s="994">
        <f>DZ155/DZ154</f>
        <v/>
      </c>
      <c r="EA156" s="994">
        <f>AF156</f>
        <v/>
      </c>
      <c r="EC156" s="994">
        <f>EC155/EC154</f>
        <v/>
      </c>
      <c r="ED156" s="994">
        <f>ED155/ED154</f>
        <v/>
      </c>
      <c r="EE156" s="994">
        <f>AG156</f>
        <v/>
      </c>
      <c r="EG156" s="994">
        <f>EG155/EG154</f>
        <v/>
      </c>
      <c r="EH156" s="994">
        <f>EH155/EH154</f>
        <v/>
      </c>
      <c r="EI156" s="226">
        <f>AH156</f>
        <v/>
      </c>
      <c r="EK156" s="994">
        <f>EK155/EK154</f>
        <v/>
      </c>
      <c r="EL156" s="994">
        <f>EL155/EL154</f>
        <v/>
      </c>
      <c r="EM156" s="994">
        <f>AI156</f>
        <v/>
      </c>
      <c r="EO156" s="226">
        <f>+EO155/EO154</f>
        <v/>
      </c>
      <c r="EP156" s="226">
        <f>EP155/EP154</f>
        <v/>
      </c>
      <c r="EQ156" s="226">
        <f>+EQ155/EQ154</f>
        <v/>
      </c>
      <c r="ER156" s="226" t="n"/>
      <c r="ES156" s="226">
        <f>+ES155/ES154</f>
        <v/>
      </c>
      <c r="ET156" s="226">
        <f>ET155/ET154</f>
        <v/>
      </c>
      <c r="EU156" s="226">
        <f>+EU155/EU154</f>
        <v/>
      </c>
      <c r="EV156" s="226" t="n"/>
      <c r="EW156" s="226">
        <f>+EW155/EW154</f>
        <v/>
      </c>
      <c r="EX156" s="226">
        <f>+EX155/EX154</f>
        <v/>
      </c>
      <c r="EY156" s="226">
        <f>+EY155/EY154</f>
        <v/>
      </c>
      <c r="FA156" s="226">
        <f>+FA155/FA154</f>
        <v/>
      </c>
      <c r="FB156" s="226">
        <f>+FB155/FB154</f>
        <v/>
      </c>
      <c r="FC156" s="226">
        <f>+FC155/FC154</f>
        <v/>
      </c>
      <c r="FE156" s="226">
        <f>+FE155/FE154</f>
        <v/>
      </c>
      <c r="FF156" s="226">
        <f>+FF155/FF154</f>
        <v/>
      </c>
      <c r="FG156" s="226">
        <f>+FG155/FG154</f>
        <v/>
      </c>
      <c r="FH156" s="224" t="n"/>
      <c r="FI156" s="226">
        <f>+FI155/FI154</f>
        <v/>
      </c>
      <c r="FJ156" s="226">
        <f>+FJ155/FJ154</f>
        <v/>
      </c>
      <c r="FK156" s="226">
        <f>+FK155/FK154</f>
        <v/>
      </c>
      <c r="FM156" s="226">
        <f>+FM155/FM154</f>
        <v/>
      </c>
      <c r="FN156" s="1011" t="n">
        <v>0.17</v>
      </c>
      <c r="FO156" s="226">
        <f>+FO155/FO154</f>
        <v/>
      </c>
    </row>
    <row r="157" customFormat="1" s="994">
      <c r="A157" s="1009" t="n"/>
      <c r="B157" s="994" t="inlineStr">
        <is>
          <t>Preferred Dividend</t>
        </is>
      </c>
      <c r="C157" s="1192" t="n">
        <v>0</v>
      </c>
      <c r="D157" s="1192" t="n">
        <v>0</v>
      </c>
      <c r="E157" s="1192" t="n">
        <v>0</v>
      </c>
      <c r="F157" s="1192" t="n">
        <v>0</v>
      </c>
      <c r="G157" s="1192" t="n">
        <v>0</v>
      </c>
      <c r="H157" s="1192" t="n">
        <v>0</v>
      </c>
      <c r="I157" s="1192" t="n">
        <v>0</v>
      </c>
      <c r="J157" s="1192" t="n">
        <v>0</v>
      </c>
      <c r="K157" s="1192" t="n">
        <v>0</v>
      </c>
      <c r="L157" s="1192" t="n">
        <v>0</v>
      </c>
      <c r="M157" s="1192" t="n">
        <v>0</v>
      </c>
      <c r="N157" s="1192" t="n">
        <v>0</v>
      </c>
      <c r="O157" s="1192" t="n">
        <v>0</v>
      </c>
      <c r="P157" s="1192" t="n">
        <v>0</v>
      </c>
      <c r="Q157" s="1192" t="n">
        <v>0</v>
      </c>
      <c r="R157" s="1192" t="n">
        <v>0</v>
      </c>
      <c r="S157" s="1192" t="n">
        <v>0</v>
      </c>
      <c r="T157" s="1192" t="n">
        <v>0</v>
      </c>
      <c r="U157" s="1192" t="n">
        <v>0</v>
      </c>
      <c r="V157" s="1192" t="n">
        <v>0</v>
      </c>
      <c r="W157" s="1192" t="n">
        <v>0</v>
      </c>
      <c r="X157" s="1192" t="n">
        <v>0</v>
      </c>
      <c r="Y157" s="1192" t="n">
        <v>0</v>
      </c>
      <c r="Z157" s="1192" t="n">
        <v>0</v>
      </c>
      <c r="AA157" s="1192" t="n">
        <v>0</v>
      </c>
      <c r="AB157" s="1192" t="n">
        <v>0</v>
      </c>
      <c r="AC157" s="1192" t="n">
        <v>0</v>
      </c>
      <c r="AD157" s="1192" t="n">
        <v>0</v>
      </c>
      <c r="AE157" s="1192" t="n">
        <v>0</v>
      </c>
      <c r="AF157" s="1192" t="n">
        <v>0</v>
      </c>
      <c r="AG157" s="1192" t="n">
        <v>0</v>
      </c>
      <c r="AH157" s="1192" t="n">
        <v>0</v>
      </c>
      <c r="AI157" s="1192" t="n">
        <v>0</v>
      </c>
      <c r="AJ157" s="1192" t="n">
        <v>-228</v>
      </c>
      <c r="AK157" s="1192" t="n">
        <v>-596</v>
      </c>
      <c r="AL157" s="1192" t="n">
        <v>-614</v>
      </c>
      <c r="AM157" s="1192" t="n">
        <v>-722</v>
      </c>
      <c r="AN157" s="1192" t="n">
        <v>-281</v>
      </c>
      <c r="AO157" s="772">
        <f>SUM(FI157:FJ157)</f>
        <v/>
      </c>
      <c r="AP157" s="772">
        <f>SUM(FM157:FN157)</f>
        <v/>
      </c>
      <c r="AQ157" s="679" t="n">
        <v>0</v>
      </c>
      <c r="AR157" s="679" t="n">
        <v>0</v>
      </c>
      <c r="AS157" s="679" t="n">
        <v>0</v>
      </c>
      <c r="AT157" s="679" t="n">
        <v>0</v>
      </c>
      <c r="AU157" s="994" t="n"/>
      <c r="AV157" s="1012" t="n"/>
      <c r="AW157" s="1012" t="n"/>
      <c r="AX157" s="1140" t="n"/>
      <c r="AY157" s="1012" t="n"/>
      <c r="AZ157" s="1012" t="n"/>
      <c r="BA157" s="1012" t="n"/>
      <c r="BB157" s="1140" t="n"/>
      <c r="BD157" s="1073" t="n"/>
      <c r="BE157" s="1073" t="n"/>
      <c r="BF157" s="1100" t="n"/>
      <c r="BH157" s="1012" t="n"/>
      <c r="BI157" s="1012" t="n"/>
      <c r="BJ157" s="1140" t="n"/>
      <c r="BL157" s="1012" t="n"/>
      <c r="BM157" s="1012" t="n"/>
      <c r="BN157" s="1140" t="n"/>
      <c r="BO157" s="1012" t="n"/>
      <c r="BP157" s="1012" t="n"/>
      <c r="BQ157" s="1012" t="n"/>
      <c r="BR157" s="1140" t="n"/>
      <c r="BT157" s="1012" t="n"/>
      <c r="BU157" s="1012" t="n"/>
      <c r="BV157" s="1140" t="n"/>
      <c r="BX157" s="1012" t="n"/>
      <c r="BY157" s="1012" t="n"/>
      <c r="BZ157" s="1140" t="n"/>
      <c r="CB157" s="1012" t="n"/>
      <c r="CC157" s="1012" t="n"/>
      <c r="CD157" s="1140" t="n"/>
      <c r="CE157" s="1012" t="n"/>
      <c r="CF157" s="1012" t="n"/>
      <c r="CG157" s="1012" t="n"/>
      <c r="CH157" s="1140" t="n"/>
      <c r="CI157" s="1140" t="n"/>
      <c r="CJ157" s="1012" t="n"/>
      <c r="CK157" s="1012" t="n"/>
      <c r="CL157" s="1140" t="n"/>
      <c r="CM157" s="1140" t="n"/>
      <c r="CN157" s="1012" t="n"/>
      <c r="CO157" s="1012" t="n"/>
      <c r="CP157" s="1012" t="n"/>
      <c r="CQ157" s="1012" t="n"/>
      <c r="CR157" s="1012" t="n"/>
      <c r="CS157" s="1012" t="n"/>
      <c r="CT157" s="1012" t="n"/>
      <c r="CU157" s="1012" t="n"/>
      <c r="CV157" s="1012" t="n"/>
      <c r="CW157" s="1012" t="n"/>
      <c r="CX157" s="1012" t="n"/>
      <c r="CY157" s="1012" t="n"/>
      <c r="CZ157" s="1012" t="n"/>
      <c r="DC157" s="1012" t="n"/>
      <c r="DD157" s="1012" t="n"/>
      <c r="DG157" s="1012" t="n"/>
      <c r="DH157" s="118" t="n"/>
      <c r="DK157" s="1012" t="n"/>
      <c r="DL157" s="1012" t="n"/>
      <c r="DO157" s="1012" t="n"/>
      <c r="DP157" s="118" t="n"/>
      <c r="EI157" s="226" t="n"/>
      <c r="EO157" s="1196" t="n">
        <v>0</v>
      </c>
      <c r="EP157" s="194">
        <f>+EQ157-EO157</f>
        <v/>
      </c>
      <c r="EQ157" s="194">
        <f>AJ157</f>
        <v/>
      </c>
      <c r="ER157" s="226" t="n"/>
      <c r="ES157" s="1196" t="n">
        <v>-293</v>
      </c>
      <c r="ET157" s="1193">
        <f>EU157-ES157</f>
        <v/>
      </c>
      <c r="EU157" s="120">
        <f>AK157</f>
        <v/>
      </c>
      <c r="EV157" s="226" t="n"/>
      <c r="EW157" s="1196" t="n">
        <v>-300</v>
      </c>
      <c r="EX157" s="120">
        <f>EY157-EW157</f>
        <v/>
      </c>
      <c r="EY157" s="120">
        <f>AL157</f>
        <v/>
      </c>
      <c r="FA157" s="1196" t="n">
        <v>-309</v>
      </c>
      <c r="FB157" s="194">
        <f>FC157-FA157</f>
        <v/>
      </c>
      <c r="FC157" s="194">
        <f>AM157</f>
        <v/>
      </c>
      <c r="FE157" s="1196" t="n">
        <v>-241</v>
      </c>
      <c r="FF157" s="194">
        <f>FG157-FE157</f>
        <v/>
      </c>
      <c r="FG157" s="194">
        <f>AN157</f>
        <v/>
      </c>
      <c r="FH157" s="224" t="n"/>
      <c r="FI157" s="781" t="n">
        <v>0</v>
      </c>
      <c r="FJ157" s="194">
        <f>FK157-FI157</f>
        <v/>
      </c>
      <c r="FK157" s="194">
        <f>AO157</f>
        <v/>
      </c>
      <c r="FM157" s="781" t="n">
        <v>0</v>
      </c>
      <c r="FN157" s="316" t="n">
        <v>0</v>
      </c>
      <c r="FO157" s="194">
        <f>AP157</f>
        <v/>
      </c>
    </row>
    <row r="158" customFormat="1" s="1150">
      <c r="A158" s="1170" t="inlineStr">
        <is>
          <t>minorities</t>
        </is>
      </c>
      <c r="B158" s="1150" t="inlineStr">
        <is>
          <t>Minorities</t>
        </is>
      </c>
      <c r="C158" s="1197" t="n">
        <v>-14.8</v>
      </c>
      <c r="D158" s="1197" t="n">
        <v>-15.1</v>
      </c>
      <c r="E158" s="1197" t="n">
        <v>-14.3</v>
      </c>
      <c r="F158" s="1197" t="n">
        <v>-16</v>
      </c>
      <c r="G158" s="1197" t="n">
        <v>-19</v>
      </c>
      <c r="H158" s="1197" t="n">
        <v>-22</v>
      </c>
      <c r="I158" s="1197" t="n">
        <v>-32</v>
      </c>
      <c r="J158" s="1197" t="n">
        <v>-33</v>
      </c>
      <c r="K158" s="1197" t="n">
        <v>-57</v>
      </c>
      <c r="L158" s="1197" t="n">
        <v>-17</v>
      </c>
      <c r="M158" s="1197" t="n">
        <v>-40</v>
      </c>
      <c r="N158" s="1197" t="n">
        <v>-35</v>
      </c>
      <c r="O158" s="1197" t="n">
        <v>-84</v>
      </c>
      <c r="P158" s="1197" t="n">
        <v>-86</v>
      </c>
      <c r="Q158" s="1197" t="n">
        <v>-42</v>
      </c>
      <c r="R158" s="1197" t="n">
        <v>-20</v>
      </c>
      <c r="S158" s="1197" t="n">
        <v>-44</v>
      </c>
      <c r="T158" s="1197" t="n">
        <v>-99</v>
      </c>
      <c r="U158" s="1197" t="n">
        <v>-170</v>
      </c>
      <c r="V158" s="1197" t="n">
        <v>-184</v>
      </c>
      <c r="W158" s="1197" t="n">
        <v>-187</v>
      </c>
      <c r="X158" s="1197" t="n">
        <v>-224</v>
      </c>
      <c r="Y158" s="1197" t="n">
        <v>-170</v>
      </c>
      <c r="Z158" s="1197" t="n">
        <v>-185</v>
      </c>
      <c r="AA158" s="1197" t="n">
        <v>-169</v>
      </c>
      <c r="AB158" s="1197" t="n">
        <v>-212</v>
      </c>
      <c r="AC158" s="1197" t="n">
        <v>-284</v>
      </c>
      <c r="AD158" s="1192" t="n">
        <v>-300</v>
      </c>
      <c r="AE158" s="1192" t="n">
        <v>-308</v>
      </c>
      <c r="AF158" s="1192" t="n">
        <v>-301</v>
      </c>
      <c r="AG158" s="1192" t="n">
        <v>-371</v>
      </c>
      <c r="AH158" s="1192" t="n">
        <v>-432</v>
      </c>
      <c r="AI158" s="1192" t="n">
        <v>0</v>
      </c>
      <c r="AJ158" s="1192" t="n">
        <v>-1</v>
      </c>
      <c r="AK158" s="1192" t="n">
        <v>-1</v>
      </c>
      <c r="AL158" s="1192" t="n">
        <v>-1</v>
      </c>
      <c r="AM158" s="1192" t="n">
        <v>-1</v>
      </c>
      <c r="AN158" s="1192" t="n">
        <v>0</v>
      </c>
      <c r="AO158" s="1193">
        <f>SUM(FI158:FJ158)</f>
        <v/>
      </c>
      <c r="AP158" s="1193">
        <f>SUM(FM158:FN158)</f>
        <v/>
      </c>
      <c r="AQ158" s="1198" t="n">
        <v>0</v>
      </c>
      <c r="AR158" s="1198" t="n">
        <v>0</v>
      </c>
      <c r="AS158" s="1198" t="n">
        <v>0</v>
      </c>
      <c r="AT158" s="1198" t="n">
        <v>0</v>
      </c>
      <c r="AU158" s="1195" t="n"/>
      <c r="AV158" s="1190" t="n">
        <v>-1</v>
      </c>
      <c r="AW158" s="1190">
        <f>AX158-AV158</f>
        <v/>
      </c>
      <c r="AX158" s="1190">
        <f>L158</f>
        <v/>
      </c>
      <c r="AY158" s="1190" t="n"/>
      <c r="AZ158" s="1190" t="n">
        <v>-8</v>
      </c>
      <c r="BA158" s="1190">
        <f>BB158-AZ158</f>
        <v/>
      </c>
      <c r="BB158" s="1190">
        <f>M158</f>
        <v/>
      </c>
      <c r="BC158" s="1193" t="n"/>
      <c r="BD158" s="1190" t="n">
        <v>-19</v>
      </c>
      <c r="BE158" s="1190">
        <f>BF158-BD158</f>
        <v/>
      </c>
      <c r="BF158" s="1190">
        <f>N158</f>
        <v/>
      </c>
      <c r="BG158" s="1193" t="n"/>
      <c r="BH158" s="1190" t="n">
        <v>-23</v>
      </c>
      <c r="BI158" s="1190">
        <f>BJ158-BH158</f>
        <v/>
      </c>
      <c r="BJ158" s="1190">
        <f>O158</f>
        <v/>
      </c>
      <c r="BK158" s="1195" t="n"/>
      <c r="BL158" s="1190" t="n">
        <v>-38</v>
      </c>
      <c r="BM158" s="1190">
        <f>BN158-BL158</f>
        <v/>
      </c>
      <c r="BN158" s="1190">
        <f>P158</f>
        <v/>
      </c>
      <c r="BO158" s="1190" t="n"/>
      <c r="BP158" s="1190" t="n">
        <v>-8</v>
      </c>
      <c r="BQ158" s="1190">
        <f>BR158-BP158</f>
        <v/>
      </c>
      <c r="BR158" s="1190">
        <f>Q158</f>
        <v/>
      </c>
      <c r="BS158" s="1193" t="n"/>
      <c r="BT158" s="1190" t="n">
        <v>-7</v>
      </c>
      <c r="BU158" s="1190">
        <f>BV158-BT158</f>
        <v/>
      </c>
      <c r="BV158" s="1190">
        <f>R158</f>
        <v/>
      </c>
      <c r="BW158" s="1193" t="n"/>
      <c r="BX158" s="1190" t="n">
        <v>-14</v>
      </c>
      <c r="BY158" s="1190">
        <f>BZ158-BX158</f>
        <v/>
      </c>
      <c r="BZ158" s="1190">
        <f>S158</f>
        <v/>
      </c>
      <c r="CA158" s="1193" t="n"/>
      <c r="CB158" s="1190" t="n">
        <v>-44</v>
      </c>
      <c r="CC158" s="1190">
        <f>CD158-CB158</f>
        <v/>
      </c>
      <c r="CD158" s="1190">
        <f>T158</f>
        <v/>
      </c>
      <c r="CE158" s="1190" t="n"/>
      <c r="CF158" s="1190" t="n">
        <v>-80</v>
      </c>
      <c r="CG158" s="1190">
        <f>CH158-CF158</f>
        <v/>
      </c>
      <c r="CH158" s="1190">
        <f>U158</f>
        <v/>
      </c>
      <c r="CI158" s="1190" t="n"/>
      <c r="CJ158" s="1190" t="n">
        <v>-86</v>
      </c>
      <c r="CK158" s="1190" t="n"/>
      <c r="CL158" s="1190">
        <f>V158</f>
        <v/>
      </c>
      <c r="CM158" s="1190" t="n"/>
      <c r="CN158" s="1190" t="n">
        <v>-81</v>
      </c>
      <c r="CO158" s="1190">
        <f>CP158-CN158</f>
        <v/>
      </c>
      <c r="CP158" s="1190">
        <f>W158</f>
        <v/>
      </c>
      <c r="CQ158" s="1190" t="n"/>
      <c r="CR158" s="1190" t="n">
        <v>-107</v>
      </c>
      <c r="CS158" s="1190" t="n">
        <v>-107</v>
      </c>
      <c r="CT158" s="1190">
        <f>CU158-CR158</f>
        <v/>
      </c>
      <c r="CU158" s="1190">
        <f>X158</f>
        <v/>
      </c>
      <c r="CV158" s="1190" t="n"/>
      <c r="CW158" s="1190" t="n">
        <v>-109</v>
      </c>
      <c r="CX158" s="1190">
        <f>CY158-CW158</f>
        <v/>
      </c>
      <c r="CY158" s="1190">
        <f>Y158</f>
        <v/>
      </c>
      <c r="CZ158" s="1190" t="n"/>
      <c r="DA158" s="1190" t="n">
        <v>-90</v>
      </c>
      <c r="DB158" s="1190">
        <f>DC158-DA158</f>
        <v/>
      </c>
      <c r="DC158" s="1190">
        <f>Z158</f>
        <v/>
      </c>
      <c r="DD158" s="1190" t="n"/>
      <c r="DE158" s="1190" t="n">
        <v>-92</v>
      </c>
      <c r="DF158" s="1190">
        <f>DG158-DE158</f>
        <v/>
      </c>
      <c r="DG158" s="1190">
        <f>AA158</f>
        <v/>
      </c>
      <c r="DH158" s="1191" t="n"/>
      <c r="DI158" s="1190" t="n">
        <v>-109</v>
      </c>
      <c r="DJ158" s="1190">
        <f>DK158-DI158</f>
        <v/>
      </c>
      <c r="DK158" s="1190">
        <f>AB158</f>
        <v/>
      </c>
      <c r="DL158" s="1190" t="n"/>
      <c r="DM158" s="1190" t="n">
        <v>-141</v>
      </c>
      <c r="DN158" s="1190">
        <f>DO158-DM158</f>
        <v/>
      </c>
      <c r="DO158" s="1190">
        <f>AC158</f>
        <v/>
      </c>
      <c r="DP158" s="1191" t="n"/>
      <c r="DQ158" s="1196" t="n">
        <v>-147</v>
      </c>
      <c r="DR158" s="1190">
        <f>DS158-DQ158</f>
        <v/>
      </c>
      <c r="DS158" s="1190">
        <f>AD158</f>
        <v/>
      </c>
      <c r="DT158" s="1190" t="n"/>
      <c r="DU158" s="1196" t="n">
        <v>-158</v>
      </c>
      <c r="DV158" s="1190">
        <f>DW158-DU158</f>
        <v/>
      </c>
      <c r="DW158" s="1190">
        <f>AE158</f>
        <v/>
      </c>
      <c r="DX158" s="1190" t="n"/>
      <c r="DY158" s="1196" t="n">
        <v>-150</v>
      </c>
      <c r="DZ158" s="1193">
        <f>EA158-DY158</f>
        <v/>
      </c>
      <c r="EA158" s="1193">
        <f>AF158</f>
        <v/>
      </c>
      <c r="EB158" s="1193" t="n"/>
      <c r="EC158" s="1196" t="n">
        <v>-150</v>
      </c>
      <c r="ED158" s="1193">
        <f>EE158-EC158</f>
        <v/>
      </c>
      <c r="EE158" s="1193">
        <f>AG158</f>
        <v/>
      </c>
      <c r="EF158" s="1193" t="n"/>
      <c r="EG158" s="1196" t="n">
        <v>-188</v>
      </c>
      <c r="EH158" s="194">
        <f>EI158-EG158</f>
        <v/>
      </c>
      <c r="EI158" s="194">
        <f>AH158</f>
        <v/>
      </c>
      <c r="EJ158" s="1193" t="n"/>
      <c r="EK158" s="1196" t="n">
        <v>0</v>
      </c>
      <c r="EL158" s="194">
        <f>EM158-EK158</f>
        <v/>
      </c>
      <c r="EM158" s="194">
        <f>AI158</f>
        <v/>
      </c>
      <c r="EN158" s="1193" t="n"/>
      <c r="EO158" s="1196" t="n">
        <v>-1</v>
      </c>
      <c r="EP158" s="194">
        <f>+EQ158-EO158</f>
        <v/>
      </c>
      <c r="EQ158" s="194">
        <f>AJ158</f>
        <v/>
      </c>
      <c r="ER158" s="194" t="n"/>
      <c r="ES158" s="1196">
        <f>-1</f>
        <v/>
      </c>
      <c r="ET158" s="194">
        <f>+EU158-ES158</f>
        <v/>
      </c>
      <c r="EU158" s="194">
        <f>AK158</f>
        <v/>
      </c>
      <c r="EV158" s="194" t="n"/>
      <c r="EW158" s="1196" t="n">
        <v>0</v>
      </c>
      <c r="EX158" s="194">
        <f>EY158-EW158</f>
        <v/>
      </c>
      <c r="EY158" s="194">
        <f>AL158</f>
        <v/>
      </c>
      <c r="FA158" s="1196" t="n">
        <v>0</v>
      </c>
      <c r="FB158" s="194">
        <f>FC158-FA158</f>
        <v/>
      </c>
      <c r="FC158" s="194">
        <f>AM158</f>
        <v/>
      </c>
      <c r="FE158" s="1196" t="n">
        <v>0</v>
      </c>
      <c r="FF158" s="194">
        <f>FG158-FE158</f>
        <v/>
      </c>
      <c r="FG158" s="194">
        <f>AN158</f>
        <v/>
      </c>
      <c r="FH158" s="224" t="n"/>
      <c r="FI158" s="782" t="n">
        <v>0</v>
      </c>
      <c r="FJ158" s="194">
        <f>FK158-FI158</f>
        <v/>
      </c>
      <c r="FK158" s="194">
        <f>AO158</f>
        <v/>
      </c>
      <c r="FM158" s="782" t="n">
        <v>-1</v>
      </c>
      <c r="FN158" s="316" t="n">
        <v>0</v>
      </c>
      <c r="FO158" s="194">
        <f>AP158</f>
        <v/>
      </c>
      <c r="FQ158" s="1133" t="n"/>
    </row>
    <row r="159" customFormat="1" s="1185">
      <c r="A159" s="1170" t="inlineStr">
        <is>
          <t>pl net profit</t>
        </is>
      </c>
      <c r="B159" s="1199" t="inlineStr">
        <is>
          <t>Net profit</t>
        </is>
      </c>
      <c r="C159" s="1200">
        <f>C154-C155+C157+C158</f>
        <v/>
      </c>
      <c r="D159" s="1200">
        <f>D154-D155+D157+D158</f>
        <v/>
      </c>
      <c r="E159" s="1200">
        <f>E154-E155+E157+E158</f>
        <v/>
      </c>
      <c r="F159" s="1200">
        <f>F154-F155+F157+F158</f>
        <v/>
      </c>
      <c r="G159" s="1200">
        <f>G154-G155+G157+G158</f>
        <v/>
      </c>
      <c r="H159" s="1200">
        <f>H154-H155+H157+H158</f>
        <v/>
      </c>
      <c r="I159" s="1200">
        <f>I154-I155+I157+I158</f>
        <v/>
      </c>
      <c r="J159" s="1200">
        <f>J154-J155+J157+J158</f>
        <v/>
      </c>
      <c r="K159" s="1200">
        <f>K154-K155+K157+K158</f>
        <v/>
      </c>
      <c r="L159" s="1201">
        <f>L154-L155+L157+L158</f>
        <v/>
      </c>
      <c r="M159" s="1201">
        <f>M154-M155+M157+M158</f>
        <v/>
      </c>
      <c r="N159" s="1201">
        <f>N154-N155+N157+N158</f>
        <v/>
      </c>
      <c r="O159" s="1201">
        <f>O154-O155+O157+O158</f>
        <v/>
      </c>
      <c r="P159" s="1201">
        <f>P154-P155+P157+P158</f>
        <v/>
      </c>
      <c r="Q159" s="1201">
        <f>Q154-Q155+Q157+Q158</f>
        <v/>
      </c>
      <c r="R159" s="1201">
        <f>R154-R155+R157+R158</f>
        <v/>
      </c>
      <c r="S159" s="1201">
        <f>S154-S155+S157+S158</f>
        <v/>
      </c>
      <c r="T159" s="1201">
        <f>T154-T155+T157+T158</f>
        <v/>
      </c>
      <c r="U159" s="1201">
        <f>U154-U155+U157+U158</f>
        <v/>
      </c>
      <c r="V159" s="1201">
        <f>V154-V155+V157+V158</f>
        <v/>
      </c>
      <c r="W159" s="1201">
        <f>W154-W155+W157+W158</f>
        <v/>
      </c>
      <c r="X159" s="1201">
        <f>X154-X155+X157+X158</f>
        <v/>
      </c>
      <c r="Y159" s="1201">
        <f>Y154-Y155+Y157+Y158</f>
        <v/>
      </c>
      <c r="Z159" s="1201">
        <f>Z154-Z155+Z157+Z158</f>
        <v/>
      </c>
      <c r="AA159" s="1201">
        <f>AA154-AA155+AA157+AA158</f>
        <v/>
      </c>
      <c r="AB159" s="1201">
        <f>AB154-AB155+AB157+AB158</f>
        <v/>
      </c>
      <c r="AC159" s="1201">
        <f>AC154-AC155+AC157+AC158</f>
        <v/>
      </c>
      <c r="AD159" s="1202">
        <f>AD154-AD155+AD157+AD158</f>
        <v/>
      </c>
      <c r="AE159" s="1202">
        <f>AE154-AE155+AE157+AE158</f>
        <v/>
      </c>
      <c r="AF159" s="1202">
        <f>AF154-AF155+AF157+AF158</f>
        <v/>
      </c>
      <c r="AG159" s="1203">
        <f>AG154-AG155+AG157+AG158</f>
        <v/>
      </c>
      <c r="AH159" s="1203">
        <f>AH154-AH155+AH157+AH158</f>
        <v/>
      </c>
      <c r="AI159" s="1203">
        <f>AI154-AI155+AI157+AI158</f>
        <v/>
      </c>
      <c r="AJ159" s="1204">
        <f>AJ154-AJ155+AJ157+AJ158</f>
        <v/>
      </c>
      <c r="AK159" s="1204">
        <f>AK154-AK155+AK157+AK158</f>
        <v/>
      </c>
      <c r="AL159" s="1204">
        <f>AL154-AL155+AL157+AL158</f>
        <v/>
      </c>
      <c r="AM159" s="1204">
        <f>AM154-AM155+AM157+AM158</f>
        <v/>
      </c>
      <c r="AN159" s="1204">
        <f>AN154-AN155+AN157+AN158</f>
        <v/>
      </c>
      <c r="AO159" s="1204">
        <f>AO154-AO155+AO157+AO158</f>
        <v/>
      </c>
      <c r="AP159" s="1204">
        <f>AP154-AP155+AP157+AP158</f>
        <v/>
      </c>
      <c r="AQ159" s="1204">
        <f>AQ154-AQ155+AQ157+AQ158</f>
        <v/>
      </c>
      <c r="AR159" s="1204">
        <f>AR154-AR155+AR157+AR158</f>
        <v/>
      </c>
      <c r="AS159" s="1204">
        <f>AS154-AS155+AS157+AS158</f>
        <v/>
      </c>
      <c r="AT159" s="1204">
        <f>AT154-AT155+AT157+AT158</f>
        <v/>
      </c>
      <c r="AU159" s="868" t="n"/>
      <c r="AV159" s="1187">
        <f>AV154-AV155+AV158</f>
        <v/>
      </c>
      <c r="AW159" s="1188">
        <f>AX159-AV159</f>
        <v/>
      </c>
      <c r="AX159" s="1188">
        <f>L159</f>
        <v/>
      </c>
      <c r="AY159" s="1188" t="n"/>
      <c r="AZ159" s="1187">
        <f>AZ154-AZ155+AZ158</f>
        <v/>
      </c>
      <c r="BA159" s="1188">
        <f>BB159-AZ159</f>
        <v/>
      </c>
      <c r="BB159" s="1188">
        <f>M159</f>
        <v/>
      </c>
      <c r="BC159" s="1187" t="n"/>
      <c r="BD159" s="1187">
        <f>BD154-BD155+BD158</f>
        <v/>
      </c>
      <c r="BE159" s="1188">
        <f>BF159-BD159</f>
        <v/>
      </c>
      <c r="BF159" s="1188">
        <f>N159</f>
        <v/>
      </c>
      <c r="BG159" s="1187" t="n"/>
      <c r="BH159" s="1187">
        <f>BH154-BH155+BH158</f>
        <v/>
      </c>
      <c r="BI159" s="1188">
        <f>BJ159-BH159</f>
        <v/>
      </c>
      <c r="BJ159" s="1188">
        <f>O159</f>
        <v/>
      </c>
      <c r="BK159" s="1189" t="n"/>
      <c r="BL159" s="1187">
        <f>BL154-BL155+BL158</f>
        <v/>
      </c>
      <c r="BM159" s="1188">
        <f>BN159-BL159</f>
        <v/>
      </c>
      <c r="BN159" s="1188">
        <f>P159</f>
        <v/>
      </c>
      <c r="BO159" s="1187" t="n"/>
      <c r="BP159" s="1187">
        <f>BP154-BP155+BP158</f>
        <v/>
      </c>
      <c r="BQ159" s="1188">
        <f>BR159-BP159</f>
        <v/>
      </c>
      <c r="BR159" s="1188">
        <f>Q159</f>
        <v/>
      </c>
      <c r="BS159" s="1187" t="n"/>
      <c r="BT159" s="1187">
        <f>BT154-BT155+BT158</f>
        <v/>
      </c>
      <c r="BU159" s="1188">
        <f>BV159-BT159</f>
        <v/>
      </c>
      <c r="BV159" s="1188">
        <f>R159</f>
        <v/>
      </c>
      <c r="BW159" s="1189" t="n"/>
      <c r="BX159" s="1187">
        <f>BX154-BX155+BX158</f>
        <v/>
      </c>
      <c r="BY159" s="1188">
        <f>BZ159-BX159</f>
        <v/>
      </c>
      <c r="BZ159" s="1188">
        <f>S159</f>
        <v/>
      </c>
      <c r="CA159" s="1187" t="n"/>
      <c r="CB159" s="1187">
        <f>CB154-CB155+CB158</f>
        <v/>
      </c>
      <c r="CC159" s="1188">
        <f>CD159-CB159</f>
        <v/>
      </c>
      <c r="CD159" s="1188">
        <f>T159</f>
        <v/>
      </c>
      <c r="CE159" s="1189" t="n"/>
      <c r="CF159" s="1187">
        <f>CF154-CF155+CF158</f>
        <v/>
      </c>
      <c r="CG159" s="1190">
        <f>CH159-CF159</f>
        <v/>
      </c>
      <c r="CH159" s="1188">
        <f>U159</f>
        <v/>
      </c>
      <c r="CI159" s="1205" t="n"/>
      <c r="CJ159" s="1187">
        <f>CJ154-CJ155+CJ158</f>
        <v/>
      </c>
      <c r="CK159" s="1187">
        <f>CL159-CJ159</f>
        <v/>
      </c>
      <c r="CL159" s="1188">
        <f>V159</f>
        <v/>
      </c>
      <c r="CM159" s="1188" t="n"/>
      <c r="CN159" s="1187">
        <f>CN154-CN155+CN158</f>
        <v/>
      </c>
      <c r="CO159" s="1187">
        <f>CP159-CN159</f>
        <v/>
      </c>
      <c r="CP159" s="1187">
        <f>W159</f>
        <v/>
      </c>
      <c r="CQ159" s="1187" t="n"/>
      <c r="CR159" s="1187">
        <f>CR154-CR155+CR158</f>
        <v/>
      </c>
      <c r="CS159" s="1187">
        <f>CS154-CS155+CS158</f>
        <v/>
      </c>
      <c r="CT159" s="1187">
        <f>CU159-CR159</f>
        <v/>
      </c>
      <c r="CU159" s="1187">
        <f>X159</f>
        <v/>
      </c>
      <c r="CV159" s="1187" t="n"/>
      <c r="CW159" s="1187">
        <f>CW154-CW155+CW158</f>
        <v/>
      </c>
      <c r="CX159" s="1187">
        <f>CY159-CW159</f>
        <v/>
      </c>
      <c r="CY159" s="1187">
        <f>Y159</f>
        <v/>
      </c>
      <c r="CZ159" s="1187" t="n"/>
      <c r="DA159" s="1187">
        <f>DA154-DA155+DA158</f>
        <v/>
      </c>
      <c r="DB159" s="1187">
        <f>DC159-DA159</f>
        <v/>
      </c>
      <c r="DC159" s="1187">
        <f>Z159</f>
        <v/>
      </c>
      <c r="DD159" s="1187" t="n"/>
      <c r="DE159" s="1187">
        <f>DE154-DE155+DE158</f>
        <v/>
      </c>
      <c r="DF159" s="1187">
        <f>DG159-DE159</f>
        <v/>
      </c>
      <c r="DG159" s="1187">
        <f>AA159</f>
        <v/>
      </c>
      <c r="DH159" s="1189" t="n"/>
      <c r="DI159" s="1188">
        <f>DI154-DI155+DI158</f>
        <v/>
      </c>
      <c r="DJ159" s="1187">
        <f>DK159-DI159</f>
        <v/>
      </c>
      <c r="DK159" s="1187">
        <f>AB159</f>
        <v/>
      </c>
      <c r="DL159" s="1187" t="n"/>
      <c r="DM159" s="1188">
        <f>DM154-DM155+DM158</f>
        <v/>
      </c>
      <c r="DN159" s="1187">
        <f>DO159-DM159</f>
        <v/>
      </c>
      <c r="DO159" s="1187">
        <f>AC159</f>
        <v/>
      </c>
      <c r="DP159" s="1189" t="n"/>
      <c r="DQ159" s="1188">
        <f>DQ154-DQ155+DQ158</f>
        <v/>
      </c>
      <c r="DR159" s="1187">
        <f>DS159-DQ159</f>
        <v/>
      </c>
      <c r="DS159" s="1187">
        <f>AD159</f>
        <v/>
      </c>
      <c r="DT159" s="1187" t="n"/>
      <c r="DU159" s="1187">
        <f>DU154-DU155+DU158</f>
        <v/>
      </c>
      <c r="DV159" s="1187">
        <f>DW159-DU159</f>
        <v/>
      </c>
      <c r="DW159" s="1187">
        <f>AE159</f>
        <v/>
      </c>
      <c r="DX159" s="1187" t="n"/>
      <c r="DY159" s="1187">
        <f>DY154-DY155+DY158</f>
        <v/>
      </c>
      <c r="DZ159" s="1187">
        <f>EA159-DY159</f>
        <v/>
      </c>
      <c r="EA159" s="1187">
        <f>AF159</f>
        <v/>
      </c>
      <c r="EB159" s="1187" t="n"/>
      <c r="EC159" s="1187">
        <f>EC154-EC155+EC158</f>
        <v/>
      </c>
      <c r="ED159" s="1187">
        <f>EE159-EC159</f>
        <v/>
      </c>
      <c r="EE159" s="1187">
        <f>AG159</f>
        <v/>
      </c>
      <c r="EF159" s="1187" t="n"/>
      <c r="EG159" s="1187">
        <f>EG154-EG155+EG158</f>
        <v/>
      </c>
      <c r="EH159" s="224">
        <f>EI159-EG159</f>
        <v/>
      </c>
      <c r="EI159" s="224">
        <f>AH159</f>
        <v/>
      </c>
      <c r="EJ159" s="1187" t="n"/>
      <c r="EK159" s="1187">
        <f>EK154-EK155+EK158</f>
        <v/>
      </c>
      <c r="EL159" s="224">
        <f>EM159-EK159</f>
        <v/>
      </c>
      <c r="EM159" s="224">
        <f>AI159</f>
        <v/>
      </c>
      <c r="EN159" s="1187" t="n"/>
      <c r="EO159" s="224">
        <f>EO154-EO155+EO158</f>
        <v/>
      </c>
      <c r="EP159" s="224">
        <f>EQ159-EO159</f>
        <v/>
      </c>
      <c r="EQ159" s="224">
        <f>EQ154-EQ155+EQ158+EQ157</f>
        <v/>
      </c>
      <c r="ER159" s="224" t="n"/>
      <c r="ES159" s="224">
        <f>ES154-ES155+ES158+ES157</f>
        <v/>
      </c>
      <c r="ET159" s="224">
        <f>EU159-ES159</f>
        <v/>
      </c>
      <c r="EU159" s="224">
        <f>EU154-EU155+EU158+EU157</f>
        <v/>
      </c>
      <c r="EV159" s="224" t="n"/>
      <c r="EW159" s="224">
        <f>EW154-EW155+EW158+EW157</f>
        <v/>
      </c>
      <c r="EX159" s="224">
        <f>EY159-EW159</f>
        <v/>
      </c>
      <c r="EY159" s="224">
        <f>EY154-EY155+EY158+EY157</f>
        <v/>
      </c>
      <c r="FA159" s="224">
        <f>FA154-FA155+FA158+FA157</f>
        <v/>
      </c>
      <c r="FB159" s="224">
        <f>FC159-FA159</f>
        <v/>
      </c>
      <c r="FC159" s="224">
        <f>FC154-FC155+FC158+FC157</f>
        <v/>
      </c>
      <c r="FD159" s="558" t="n"/>
      <c r="FE159" s="224">
        <f>FE154-FE155+FE158</f>
        <v/>
      </c>
      <c r="FF159" s="224">
        <f>FG159-FE159</f>
        <v/>
      </c>
      <c r="FG159" s="224">
        <f>FG154-FG155+FG158+FG157</f>
        <v/>
      </c>
      <c r="FH159" s="224" t="n"/>
      <c r="FI159" s="224">
        <f>FI154-FI155+FI158</f>
        <v/>
      </c>
      <c r="FJ159" s="224">
        <f>FK159-FI159</f>
        <v/>
      </c>
      <c r="FK159" s="224">
        <f>FK154-FK155+FK158+FK157</f>
        <v/>
      </c>
      <c r="FM159" s="224">
        <f>FM154-FM155+FM158</f>
        <v/>
      </c>
      <c r="FN159" s="224">
        <f>FN154-FN155+FN158</f>
        <v/>
      </c>
      <c r="FO159" s="224">
        <f>FO154-FO155+FO158+FO157</f>
        <v/>
      </c>
      <c r="FQ159" s="1133" t="n"/>
    </row>
    <row r="160" customFormat="1" s="1206">
      <c r="A160" s="1207" t="n"/>
      <c r="B160" s="1208" t="inlineStr">
        <is>
          <t>chg</t>
        </is>
      </c>
      <c r="C160" s="1167" t="n"/>
      <c r="D160" s="1167" t="n"/>
      <c r="E160" s="1167" t="n"/>
      <c r="F160" s="1167" t="n"/>
      <c r="G160" s="1167" t="n"/>
      <c r="H160" s="1167" t="n"/>
      <c r="I160" s="1167" t="n"/>
      <c r="J160" s="1167">
        <f>J159/I159-1</f>
        <v/>
      </c>
      <c r="K160" s="1167">
        <f>K159/J159-1</f>
        <v/>
      </c>
      <c r="L160" s="1167">
        <f>L159/K159-1</f>
        <v/>
      </c>
      <c r="M160" s="1167">
        <f>M159/L159-1</f>
        <v/>
      </c>
      <c r="N160" s="1167">
        <f>N159/M159-1</f>
        <v/>
      </c>
      <c r="O160" s="1167">
        <f>O159/N159-1</f>
        <v/>
      </c>
      <c r="P160" s="1167">
        <f>P159/O159-1</f>
        <v/>
      </c>
      <c r="Q160" s="1167">
        <f>Q159/P159-1</f>
        <v/>
      </c>
      <c r="R160" s="1167">
        <f>R159/Q159-1</f>
        <v/>
      </c>
      <c r="S160" s="1167">
        <f>S159/R159-1</f>
        <v/>
      </c>
      <c r="T160" s="1167">
        <f>T159/S159-1</f>
        <v/>
      </c>
      <c r="U160" s="1167">
        <f>U159/T159-1</f>
        <v/>
      </c>
      <c r="V160" s="1167">
        <f>V159/U159-1</f>
        <v/>
      </c>
      <c r="W160" s="1167">
        <f>W159/V159-1</f>
        <v/>
      </c>
      <c r="X160" s="1167">
        <f>X159/W159-1</f>
        <v/>
      </c>
      <c r="Y160" s="1167">
        <f>Y159/X159-1</f>
        <v/>
      </c>
      <c r="Z160" s="1167">
        <f>Z159/Y159-1</f>
        <v/>
      </c>
      <c r="AA160" s="1167">
        <f>AA159/Z159-1</f>
        <v/>
      </c>
      <c r="AB160" s="1167">
        <f>AB159/AA159-1</f>
        <v/>
      </c>
      <c r="AC160" s="1167">
        <f>AC159/AB159-1</f>
        <v/>
      </c>
      <c r="AD160" s="824">
        <f>IF(MIN(AD159,AC159)&gt;0,AD159/AC159-1,"NM")</f>
        <v/>
      </c>
      <c r="AE160" s="824">
        <f>IF(MIN(AE159,AD159)&gt;0,AE159/AD159-1,"NM")</f>
        <v/>
      </c>
      <c r="AF160" s="824">
        <f>IF(MIN(AF159,AE159)&gt;0,AF159/AE159-1,"NM")</f>
        <v/>
      </c>
      <c r="AG160" s="824">
        <f>IF(MIN(AG159,AF159)&gt;0,AG159/AF159-1,"NM")</f>
        <v/>
      </c>
      <c r="AH160" s="824">
        <f>IF(MIN(AH159,AG159)&gt;0,AH159/AG159-1,"NM")</f>
        <v/>
      </c>
      <c r="AI160" s="824">
        <f>IF(MIN(AI159,AH159)&gt;0,AI159/AH159-1,"NM")</f>
        <v/>
      </c>
      <c r="AJ160" s="824">
        <f>IF(MIN(AJ159,AI159)&gt;0,AJ159/AI159-1,"NM")</f>
        <v/>
      </c>
      <c r="AK160" s="824">
        <f>IF(MIN(AK159,AJ159)&gt;0,AK159/AJ159-1,"NM")</f>
        <v/>
      </c>
      <c r="AL160" s="824">
        <f>IF(MIN(AL159,AK159)&gt;0,AL159/AK159-1,"NM")</f>
        <v/>
      </c>
      <c r="AM160" s="824">
        <f>IF(MIN(AM159,AL159)&gt;0,AM159/AL159-1,"NM")</f>
        <v/>
      </c>
      <c r="AN160" s="824">
        <f>IF(MIN(AN159,AM159)&gt;0,AN159/AM159-1,"NM")</f>
        <v/>
      </c>
      <c r="AO160" s="824">
        <f>IF(MIN(AO159,AN159)&gt;0,AO159/AN159-1,"NM")</f>
        <v/>
      </c>
      <c r="AP160" s="824">
        <f>IF(MIN(AP159,AO159)&gt;0,AP159/AO159-1,"NM")</f>
        <v/>
      </c>
      <c r="AQ160" s="824">
        <f>IF(MIN(AQ159,AP159)&gt;0,AQ159/AP159-1,"NM")</f>
        <v/>
      </c>
      <c r="AR160" s="824">
        <f>IF(MIN(AR159,AQ159)&gt;0,AR159/AQ159-1,"NM")</f>
        <v/>
      </c>
      <c r="AS160" s="824">
        <f>IF(MIN(AS159,AR159)&gt;0,AS159/AR159-1,"NM")</f>
        <v/>
      </c>
      <c r="AT160" s="824">
        <f>IF(MIN(AT159,AS159)&gt;0,AT159/AS159-1,"NM")</f>
        <v/>
      </c>
      <c r="AU160" s="1167" t="n"/>
      <c r="AV160" s="1167" t="n"/>
      <c r="AW160" s="1167" t="n"/>
      <c r="AX160" s="1168">
        <f>L160</f>
        <v/>
      </c>
      <c r="AY160" s="1167" t="n"/>
      <c r="AZ160" s="1167">
        <f>AZ159/AV159-1</f>
        <v/>
      </c>
      <c r="BA160" s="1167">
        <f>BA159/AW159-1</f>
        <v/>
      </c>
      <c r="BB160" s="1168">
        <f>M160</f>
        <v/>
      </c>
      <c r="BC160" s="1167" t="n"/>
      <c r="BD160" s="1167">
        <f>BD159/AZ159-1</f>
        <v/>
      </c>
      <c r="BE160" s="1167">
        <f>BE159/BA159-1</f>
        <v/>
      </c>
      <c r="BF160" s="1168">
        <f>N160</f>
        <v/>
      </c>
      <c r="BG160" s="1167" t="n"/>
      <c r="BH160" s="1167">
        <f>BH159/BD159-1</f>
        <v/>
      </c>
      <c r="BI160" s="1167">
        <f>BI159/BE159-1</f>
        <v/>
      </c>
      <c r="BJ160" s="1168">
        <f>O160</f>
        <v/>
      </c>
      <c r="BK160" s="1167" t="n"/>
      <c r="BL160" s="1167">
        <f>ABS(BL159/BH159-1)</f>
        <v/>
      </c>
      <c r="BM160" s="1167">
        <f>BM159/BI159-1</f>
        <v/>
      </c>
      <c r="BN160" s="1168">
        <f>P160</f>
        <v/>
      </c>
      <c r="BO160" s="1167" t="n"/>
      <c r="BP160" s="1167">
        <f>ABS(BP159/BL159-1)</f>
        <v/>
      </c>
      <c r="BQ160" s="1167">
        <f>BQ159/BM159-1</f>
        <v/>
      </c>
      <c r="BR160" s="1168">
        <f>Q160</f>
        <v/>
      </c>
      <c r="BS160" s="1167" t="n"/>
      <c r="BT160" s="1167">
        <f>(BT159/BP159-1)</f>
        <v/>
      </c>
      <c r="BU160" s="1167">
        <f>ABS(BU159/BQ159-1)</f>
        <v/>
      </c>
      <c r="BV160" s="1168">
        <f>R160</f>
        <v/>
      </c>
      <c r="BW160" s="1167" t="n"/>
      <c r="BX160" s="1167">
        <f>(BX159/BT159-1)</f>
        <v/>
      </c>
      <c r="BY160" s="1167">
        <f>ABS(BY159/BU159-1)</f>
        <v/>
      </c>
      <c r="BZ160" s="1168">
        <f>S160</f>
        <v/>
      </c>
      <c r="CA160" s="1167" t="n"/>
      <c r="CB160" s="1167">
        <f>(CB159/BX159-1)</f>
        <v/>
      </c>
      <c r="CC160" s="1167">
        <f>ABS(CC159/BY159-1)</f>
        <v/>
      </c>
      <c r="CD160" s="1168">
        <f>T160</f>
        <v/>
      </c>
      <c r="CE160" s="1167" t="n"/>
      <c r="CF160" s="1167">
        <f>(CF159/CB159-1)</f>
        <v/>
      </c>
      <c r="CG160" s="1167">
        <f>(CG159/CC159-1)</f>
        <v/>
      </c>
      <c r="CH160" s="1168">
        <f>U160</f>
        <v/>
      </c>
      <c r="CI160" s="1168" t="n"/>
      <c r="CJ160" s="1167">
        <f>(CJ159/CF159-1)</f>
        <v/>
      </c>
      <c r="CK160" s="1167" t="n"/>
      <c r="CL160" s="1168">
        <f>V160</f>
        <v/>
      </c>
      <c r="CM160" s="1168" t="n"/>
      <c r="CN160" s="1167">
        <f>(CN159/CJ159-1)</f>
        <v/>
      </c>
      <c r="CO160" s="1167">
        <f>(CO159/CK159-1)</f>
        <v/>
      </c>
      <c r="CP160" s="1167">
        <f>W160</f>
        <v/>
      </c>
      <c r="CQ160" s="1167" t="n"/>
      <c r="CR160" s="1167" t="n"/>
      <c r="CS160" s="1167" t="n"/>
      <c r="CT160" s="1167" t="n"/>
      <c r="CU160" s="1167">
        <f>X160</f>
        <v/>
      </c>
      <c r="CV160" s="1167" t="n"/>
      <c r="CW160" s="746" t="n"/>
      <c r="CX160" s="1167" t="n"/>
      <c r="CY160" s="1167">
        <f>Y160</f>
        <v/>
      </c>
      <c r="CZ160" s="1167" t="n"/>
      <c r="DA160" s="1167">
        <f>+DA159/CW159-1</f>
        <v/>
      </c>
      <c r="DB160" s="1167">
        <f>+DB159/CX159-1</f>
        <v/>
      </c>
      <c r="DC160" s="1167">
        <f>Z160</f>
        <v/>
      </c>
      <c r="DD160" s="1167" t="n"/>
      <c r="DE160" s="1167">
        <f>+DE159/DA159-1</f>
        <v/>
      </c>
      <c r="DF160" s="1167">
        <f>+DF159/DB159-1</f>
        <v/>
      </c>
      <c r="DG160" s="1167">
        <f>AA160</f>
        <v/>
      </c>
      <c r="DH160" s="1167" t="n"/>
      <c r="DI160" s="1167">
        <f>+DI159/DE159-1</f>
        <v/>
      </c>
      <c r="DJ160" s="1167">
        <f>+DJ159/DF159-1</f>
        <v/>
      </c>
      <c r="DK160" s="1167">
        <f>AB160</f>
        <v/>
      </c>
      <c r="DL160" s="1167" t="n"/>
      <c r="DM160" s="1167">
        <f>-(DM159/DI159-1)</f>
        <v/>
      </c>
      <c r="DN160" s="1167">
        <f>+DN159/DJ159-1</f>
        <v/>
      </c>
      <c r="DO160" s="1167">
        <f>AC160</f>
        <v/>
      </c>
      <c r="DP160" s="1167" t="n"/>
      <c r="DQ160" s="1167">
        <f>(DQ159/DM159-1)</f>
        <v/>
      </c>
      <c r="DR160" s="1167">
        <f>+DR159/DN159-1</f>
        <v/>
      </c>
      <c r="DS160" s="1167">
        <f>AD160</f>
        <v/>
      </c>
      <c r="DT160" s="1167" t="n"/>
      <c r="DU160" s="1167">
        <f>DU159/DQ159-1</f>
        <v/>
      </c>
      <c r="DV160" s="1167">
        <f>+DV159/DR159-1</f>
        <v/>
      </c>
      <c r="DW160" s="1167">
        <f>AE160</f>
        <v/>
      </c>
      <c r="DX160" s="1167" t="n"/>
      <c r="DY160" s="1167">
        <f>DY159/DU159-1</f>
        <v/>
      </c>
      <c r="DZ160" s="1167">
        <f>+DZ159/DV159-1</f>
        <v/>
      </c>
      <c r="EA160" s="1167">
        <f>AF160</f>
        <v/>
      </c>
      <c r="EC160" s="824">
        <f>IF(MIN(EC159,DY159)&gt;0,EC159/DY159-1,"NM")</f>
        <v/>
      </c>
      <c r="ED160" s="824">
        <f>IF(MIN(ED159,DZ159)&gt;0,ED159/DZ159-1,"NM")</f>
        <v/>
      </c>
      <c r="EE160" s="1167">
        <f>AG160</f>
        <v/>
      </c>
      <c r="EF160" s="1167" t="n"/>
      <c r="EG160" s="824">
        <f>IF(MIN(EG159,EC159)&gt;0,EG159/EC159-1,"NM")</f>
        <v/>
      </c>
      <c r="EH160" s="824">
        <f>IF(MIN(EH159,ED159)&gt;0,EH159/ED159-1,"NM")</f>
        <v/>
      </c>
      <c r="EI160" s="824">
        <f>AH160</f>
        <v/>
      </c>
      <c r="EJ160" s="1167" t="n"/>
      <c r="EK160" s="824">
        <f>IF(MIN(EK159,EG159)&gt;0,EK159/EG159-1,"NM")</f>
        <v/>
      </c>
      <c r="EL160" s="824">
        <f>IF(MIN(EL159,EH159)&gt;0,EL159/EH159-1,"NM")</f>
        <v/>
      </c>
      <c r="EM160" s="824">
        <f>AI160</f>
        <v/>
      </c>
      <c r="EN160" s="1167" t="n"/>
      <c r="EO160" s="824">
        <f>IF(MIN(EO159,EK159)&gt;0,EO159/EK159-1,"NM")</f>
        <v/>
      </c>
      <c r="EP160" s="824">
        <f>IF(MIN(EP159,EL159)&gt;0,EP159/EL159-1,"NM")</f>
        <v/>
      </c>
      <c r="EQ160" s="824">
        <f>AJ160</f>
        <v/>
      </c>
      <c r="ER160" s="824" t="n"/>
      <c r="ES160" s="824">
        <f>IF(MIN(ES159,EO159)&gt;0,ES159/EO159-1,"NM")</f>
        <v/>
      </c>
      <c r="ET160" s="824">
        <f>IF(MIN(ET159,EP159)&gt;0,ET159/EP159-1,"NM")</f>
        <v/>
      </c>
      <c r="EU160" s="824">
        <f>AK160</f>
        <v/>
      </c>
      <c r="EV160" s="824" t="n"/>
      <c r="EW160" s="824">
        <f>IF(MIN(EW159,ES159)&gt;0,EW159/ES159-1,"NM")</f>
        <v/>
      </c>
      <c r="EX160" s="824">
        <f>IF(MIN(EX159,ET159)&gt;0,EX159/ET159-1,"NM")</f>
        <v/>
      </c>
      <c r="EY160" s="824">
        <f>AL160</f>
        <v/>
      </c>
      <c r="FA160" s="824">
        <f>IF(MIN(FA159,EW159)&gt;0,FA159/EW159-1,"NM")</f>
        <v/>
      </c>
      <c r="FB160" s="824">
        <f>IF(MIN(FB159,EX159)&gt;0,FB159/EX159-1,"NM")</f>
        <v/>
      </c>
      <c r="FC160" s="824">
        <f>AM160</f>
        <v/>
      </c>
      <c r="FE160" s="824">
        <f>IF(MIN(FE159,FA159)&gt;0,FE159/FA159-1,"NM")</f>
        <v/>
      </c>
      <c r="FF160" s="824">
        <f>IF(MIN(FF159,FB159)&gt;0,FF159/FB159-1,"NM")</f>
        <v/>
      </c>
      <c r="FG160" s="824">
        <f>AN160</f>
        <v/>
      </c>
      <c r="FI160" s="824">
        <f>IF(MIN(FI159,FE159)&gt;0,FI159/FE159-1,"NM")</f>
        <v/>
      </c>
      <c r="FJ160" s="824">
        <f>IF(MIN(FJ159,FF159)&gt;0,FJ159/FF159-1,"NM")</f>
        <v/>
      </c>
      <c r="FK160" s="824">
        <f>AO160</f>
        <v/>
      </c>
      <c r="FM160" s="824">
        <f>IF(MIN(FM159,FI159)&gt;0,FM159/FI159-1,"NM")</f>
        <v/>
      </c>
      <c r="FN160" s="824">
        <f>IF(MIN(FN159,FJ159)&gt;0,FN159/FJ159-1,"NM")</f>
        <v/>
      </c>
      <c r="FO160" s="824">
        <f>AP160</f>
        <v/>
      </c>
    </row>
    <row r="161" customFormat="1" s="1150">
      <c r="A161" s="1170" t="n"/>
      <c r="B161" s="1179" t="inlineStr">
        <is>
          <t>ROE (%)</t>
        </is>
      </c>
      <c r="C161" s="1010">
        <f>C159/C215</f>
        <v/>
      </c>
      <c r="D161" s="1010">
        <f>D159/D215</f>
        <v/>
      </c>
      <c r="E161" s="1010">
        <f>E159/E215</f>
        <v/>
      </c>
      <c r="F161" s="1010">
        <f>F159/F215</f>
        <v/>
      </c>
      <c r="G161" s="1010">
        <f>G159/G215</f>
        <v/>
      </c>
      <c r="H161" s="1010">
        <f>H159/H215</f>
        <v/>
      </c>
      <c r="I161" s="1010">
        <f>I159/I215</f>
        <v/>
      </c>
      <c r="J161" s="1010">
        <f>J159/J215</f>
        <v/>
      </c>
      <c r="K161" s="1010">
        <f>K159/K215</f>
        <v/>
      </c>
      <c r="L161" s="1010">
        <f>L159/L215</f>
        <v/>
      </c>
      <c r="M161" s="1010">
        <f>M159/M215</f>
        <v/>
      </c>
      <c r="N161" s="1010">
        <f>N159/N215</f>
        <v/>
      </c>
      <c r="O161" s="1010">
        <f>O159/O215</f>
        <v/>
      </c>
      <c r="P161" s="1010">
        <f>P159/P215</f>
        <v/>
      </c>
      <c r="Q161" s="1010">
        <f>Q159/Q215</f>
        <v/>
      </c>
      <c r="R161" s="1010">
        <f>R159/R215</f>
        <v/>
      </c>
      <c r="S161" s="1010">
        <f>S159/S215</f>
        <v/>
      </c>
      <c r="T161" s="1010">
        <f>T159/T215</f>
        <v/>
      </c>
      <c r="U161" s="1010">
        <f>U159/U215</f>
        <v/>
      </c>
      <c r="V161" s="1010">
        <f>V159/V215</f>
        <v/>
      </c>
      <c r="W161" s="1010">
        <f>W159/W215</f>
        <v/>
      </c>
      <c r="X161" s="1010">
        <f>X159/X215</f>
        <v/>
      </c>
      <c r="Y161" s="1010">
        <f>Y159/Y215</f>
        <v/>
      </c>
      <c r="Z161" s="1010">
        <f>Z159/Z215</f>
        <v/>
      </c>
      <c r="AA161" s="1010">
        <f>AA159/AA215</f>
        <v/>
      </c>
      <c r="AB161" s="1010">
        <f>AB159/AB215</f>
        <v/>
      </c>
      <c r="AC161" s="1010">
        <f>AC159/AC215</f>
        <v/>
      </c>
      <c r="AD161" s="1010">
        <f>AD159/AD215</f>
        <v/>
      </c>
      <c r="AE161" s="1010">
        <f>AE159/AE215</f>
        <v/>
      </c>
      <c r="AF161" s="1010">
        <f>AF159/AF215</f>
        <v/>
      </c>
      <c r="AG161" s="1010">
        <f>AG159/AG215</f>
        <v/>
      </c>
      <c r="AH161" s="1010">
        <f>AH159/AH215</f>
        <v/>
      </c>
      <c r="AI161" s="1010">
        <f>AI159/AI215</f>
        <v/>
      </c>
      <c r="AJ161" s="1010">
        <f>AJ159/AJ215</f>
        <v/>
      </c>
      <c r="AK161" s="1010">
        <f>AK159/AK215</f>
        <v/>
      </c>
      <c r="AL161" s="1010">
        <f>AL159/AL215</f>
        <v/>
      </c>
      <c r="AM161" s="1010">
        <f>AM159/AM215</f>
        <v/>
      </c>
      <c r="AN161" s="1010">
        <f>AN159/AN215</f>
        <v/>
      </c>
      <c r="AO161" s="1010">
        <f>AO159/AO215</f>
        <v/>
      </c>
      <c r="AP161" s="1010">
        <f>AP159/AP215</f>
        <v/>
      </c>
      <c r="AQ161" s="1010">
        <f>AQ159/AQ215</f>
        <v/>
      </c>
      <c r="AR161" s="1010">
        <f>AR159/AR215</f>
        <v/>
      </c>
      <c r="AS161" s="1010">
        <f>AS159/AS215</f>
        <v/>
      </c>
      <c r="AT161" s="1010">
        <f>AT159/AT215</f>
        <v/>
      </c>
      <c r="AU161" s="1209" t="n"/>
      <c r="AV161" s="1210" t="n"/>
      <c r="AW161" s="118" t="n"/>
      <c r="AX161" s="1211" t="n"/>
      <c r="AY161" s="1210" t="n"/>
      <c r="AZ161" s="1210" t="n"/>
      <c r="BA161" s="1210" t="n"/>
      <c r="BB161" s="1211" t="n"/>
      <c r="BD161" s="1210" t="n"/>
      <c r="BE161" s="1210" t="n"/>
      <c r="BF161" s="1211" t="n"/>
      <c r="BQ161" s="1210" t="n"/>
      <c r="DU161" s="214" t="n"/>
      <c r="DV161" s="214" t="n"/>
      <c r="DW161" s="214" t="n"/>
      <c r="DY161" s="214" t="n"/>
      <c r="DZ161" s="214" t="n"/>
      <c r="EA161" s="214" t="n"/>
      <c r="EC161" s="214" t="n"/>
      <c r="ED161" s="214" t="n"/>
      <c r="EE161" s="214" t="n"/>
      <c r="EF161" s="214" t="n"/>
      <c r="EH161" s="1212" t="n"/>
      <c r="EI161" s="1212" t="n"/>
      <c r="EJ161" s="214" t="n"/>
      <c r="EK161" s="1010" t="n"/>
      <c r="EL161" s="1212" t="n"/>
      <c r="EM161" s="1212" t="n"/>
      <c r="EN161" s="214" t="n"/>
      <c r="EP161" s="1212" t="n"/>
      <c r="EQ161" s="1212" t="n"/>
      <c r="ER161" s="1212" t="n"/>
      <c r="EU161" s="1212" t="n"/>
      <c r="EY161" s="1212" t="n"/>
      <c r="FC161" s="1212" t="n"/>
      <c r="FG161" s="1212" t="n"/>
      <c r="FL161" s="226" t="n"/>
      <c r="FN161" s="226" t="n"/>
    </row>
    <row r="162">
      <c r="A162" s="960" t="inlineStr">
        <is>
          <t>extraordinaries</t>
        </is>
      </c>
      <c r="B162" s="1153" t="inlineStr">
        <is>
          <t>extraordinaries</t>
        </is>
      </c>
      <c r="C162" s="1213" t="n">
        <v>0</v>
      </c>
      <c r="D162" s="1213" t="n">
        <v>0</v>
      </c>
      <c r="E162" s="1213" t="n">
        <v>0</v>
      </c>
      <c r="F162" s="1213" t="n">
        <v>0</v>
      </c>
      <c r="G162" s="1213" t="n">
        <v>0</v>
      </c>
      <c r="H162" s="1213" t="n">
        <v>0</v>
      </c>
      <c r="I162" s="1213" t="n">
        <v>0</v>
      </c>
      <c r="J162" s="1213" t="n">
        <v>0</v>
      </c>
      <c r="K162" s="1213" t="n">
        <v>0</v>
      </c>
      <c r="L162" s="1213" t="n">
        <v>0</v>
      </c>
      <c r="M162" s="1213" t="n">
        <v>0</v>
      </c>
      <c r="N162" s="1213" t="n">
        <v>0</v>
      </c>
      <c r="O162" s="1213" t="n">
        <v>0</v>
      </c>
      <c r="P162" s="1213" t="n">
        <v>0</v>
      </c>
      <c r="Q162" s="1213" t="n">
        <v>0</v>
      </c>
      <c r="R162" s="1213" t="n">
        <v>0</v>
      </c>
      <c r="S162" s="1213" t="n">
        <v>0</v>
      </c>
      <c r="T162" s="1213" t="n">
        <v>0</v>
      </c>
      <c r="U162" s="1213" t="n">
        <v>0</v>
      </c>
      <c r="V162" s="1213" t="n">
        <v>0</v>
      </c>
      <c r="W162" s="1214" t="n">
        <v>0</v>
      </c>
      <c r="X162" s="1214" t="n">
        <v>-468</v>
      </c>
      <c r="Y162" s="1197" t="n">
        <v>1254</v>
      </c>
      <c r="Z162" s="1197">
        <f>2165+868-618</f>
        <v/>
      </c>
      <c r="AA162" s="1214">
        <f>+-250-396</f>
        <v/>
      </c>
      <c r="AB162" s="1214">
        <f>-52-140-247</f>
        <v/>
      </c>
      <c r="AC162" s="1214" t="n">
        <v>-10</v>
      </c>
      <c r="AD162" s="1213" t="n">
        <v>0</v>
      </c>
      <c r="AE162" s="1213">
        <f>57.12*8.6</f>
        <v/>
      </c>
      <c r="AF162" s="1213" t="n">
        <v>0</v>
      </c>
      <c r="AG162" s="1213">
        <f>+EC162</f>
        <v/>
      </c>
      <c r="AH162" s="1213" t="n">
        <v>0</v>
      </c>
      <c r="AI162" s="1213" t="n">
        <v>114</v>
      </c>
      <c r="AJ162" s="1213">
        <f>AJ152</f>
        <v/>
      </c>
      <c r="AK162" s="1213">
        <f>AK152</f>
        <v/>
      </c>
      <c r="AL162" s="1213">
        <f>AL152</f>
        <v/>
      </c>
      <c r="AM162" s="1213">
        <f>AM152</f>
        <v/>
      </c>
      <c r="AN162" s="1213">
        <f>AN152</f>
        <v/>
      </c>
      <c r="AO162" s="1213">
        <f>AO152</f>
        <v/>
      </c>
      <c r="AP162" s="1213">
        <f>AP152</f>
        <v/>
      </c>
      <c r="AQ162" s="1213">
        <f>AQ152</f>
        <v/>
      </c>
      <c r="AR162" s="1213">
        <f>AR152</f>
        <v/>
      </c>
      <c r="AS162" s="1213">
        <f>AS152</f>
        <v/>
      </c>
      <c r="AT162" s="1213">
        <f>AT152</f>
        <v/>
      </c>
      <c r="AU162" s="1213" t="n"/>
      <c r="BD162" s="963" t="n">
        <v>0</v>
      </c>
      <c r="BE162" s="963">
        <f>BF162-BD162</f>
        <v/>
      </c>
      <c r="BF162" s="964">
        <f>N162</f>
        <v/>
      </c>
      <c r="BH162" s="963" t="n">
        <v>0</v>
      </c>
      <c r="BI162" s="963">
        <f>BJ162-BH162</f>
        <v/>
      </c>
      <c r="BJ162" s="964">
        <f>O162</f>
        <v/>
      </c>
      <c r="BL162" s="963" t="n">
        <v>0</v>
      </c>
      <c r="BM162" s="963">
        <f>BN162-BL162</f>
        <v/>
      </c>
      <c r="BN162" s="964">
        <f>P162</f>
        <v/>
      </c>
      <c r="BO162" s="963" t="n"/>
      <c r="BP162" s="963" t="n">
        <v>0</v>
      </c>
      <c r="BQ162" s="963">
        <f>BR162-BP162</f>
        <v/>
      </c>
      <c r="BR162" s="964">
        <f>Q162</f>
        <v/>
      </c>
      <c r="BT162" s="963" t="n">
        <v>0</v>
      </c>
      <c r="BU162" s="963">
        <f>BV162-BT162</f>
        <v/>
      </c>
      <c r="BV162" s="964">
        <f>R162</f>
        <v/>
      </c>
      <c r="BX162" s="963" t="n">
        <v>0</v>
      </c>
      <c r="BY162" s="963">
        <f>BZ162-BX162</f>
        <v/>
      </c>
      <c r="BZ162" s="964">
        <f>S162</f>
        <v/>
      </c>
      <c r="CB162" s="963" t="n">
        <v>0</v>
      </c>
      <c r="CC162" s="963">
        <f>CD162-CB162</f>
        <v/>
      </c>
      <c r="CD162" s="964">
        <f>T162</f>
        <v/>
      </c>
      <c r="CE162" s="963" t="n"/>
      <c r="CF162" s="963" t="n">
        <v>0</v>
      </c>
      <c r="CG162" s="963" t="n"/>
      <c r="CH162" s="964">
        <f>U162</f>
        <v/>
      </c>
      <c r="CI162" s="964" t="n"/>
      <c r="CJ162" s="963" t="n">
        <v>0</v>
      </c>
      <c r="CK162" s="963" t="n"/>
      <c r="CL162" s="964">
        <f>V162</f>
        <v/>
      </c>
      <c r="CM162" s="964" t="n"/>
      <c r="CN162" s="963" t="n"/>
      <c r="CO162" s="963" t="n"/>
      <c r="CP162" s="963">
        <f>W162</f>
        <v/>
      </c>
      <c r="CQ162" s="963" t="n"/>
      <c r="CR162" s="963" t="n">
        <v>-468</v>
      </c>
      <c r="CS162" s="963" t="n">
        <v>-468</v>
      </c>
      <c r="CT162" s="963" t="n"/>
      <c r="CU162" s="963">
        <f>X162</f>
        <v/>
      </c>
      <c r="CV162" s="963" t="n"/>
      <c r="CW162" s="963" t="n"/>
      <c r="CX162" s="963" t="n"/>
      <c r="CY162" s="963">
        <f>Y162</f>
        <v/>
      </c>
      <c r="CZ162" s="963" t="n"/>
      <c r="DA162" s="963" t="n"/>
      <c r="DB162" s="963" t="n"/>
      <c r="DC162" s="963">
        <f>Z162</f>
        <v/>
      </c>
      <c r="DD162" s="963" t="n"/>
      <c r="DE162" s="963" t="n"/>
      <c r="DF162" s="963" t="n"/>
      <c r="DG162" s="963">
        <f>AA162</f>
        <v/>
      </c>
      <c r="DH162" s="963" t="n"/>
      <c r="DI162" s="963">
        <f>-247-37</f>
        <v/>
      </c>
      <c r="DJ162" s="963">
        <f>+DK162-DI162</f>
        <v/>
      </c>
      <c r="DK162" s="963">
        <f>AB162</f>
        <v/>
      </c>
      <c r="DL162" s="963" t="n"/>
      <c r="DM162" s="963" t="n">
        <v>-12</v>
      </c>
      <c r="DN162" s="963">
        <f>+DO162-DM162</f>
        <v/>
      </c>
      <c r="DO162" s="963">
        <f>AC162</f>
        <v/>
      </c>
      <c r="DP162" s="963" t="n"/>
      <c r="DQ162" s="963" t="n">
        <v>0</v>
      </c>
      <c r="DR162" s="963">
        <f>+DS162-DQ162</f>
        <v/>
      </c>
      <c r="DS162" s="963">
        <f>AD162</f>
        <v/>
      </c>
      <c r="DT162" s="963" t="n"/>
      <c r="DU162" s="1213" t="n">
        <v>0</v>
      </c>
      <c r="DV162" s="1213">
        <f>+DW162-DU162</f>
        <v/>
      </c>
      <c r="DW162" s="1213">
        <f>AE162</f>
        <v/>
      </c>
      <c r="DX162" s="963" t="n"/>
      <c r="DY162" s="1213" t="n">
        <v>0</v>
      </c>
      <c r="DZ162" s="1213">
        <f>+EA162-DY162</f>
        <v/>
      </c>
      <c r="EA162" s="1213">
        <f>AF162</f>
        <v/>
      </c>
      <c r="EC162" s="1213">
        <f>586+244-498-224</f>
        <v/>
      </c>
      <c r="ED162" s="1213">
        <f>+EE162-EC162</f>
        <v/>
      </c>
      <c r="EE162" s="1213">
        <f>AG162</f>
        <v/>
      </c>
      <c r="EF162" s="1213" t="n"/>
      <c r="EG162" s="1213" t="n">
        <v>0</v>
      </c>
      <c r="EH162" s="120" t="n">
        <v>0</v>
      </c>
      <c r="EI162" s="120">
        <f>AH162</f>
        <v/>
      </c>
      <c r="EJ162" s="1213" t="n"/>
      <c r="EK162" s="1213" t="n">
        <v>0</v>
      </c>
      <c r="EL162" s="194">
        <f>EM162-EK162</f>
        <v/>
      </c>
      <c r="EM162" s="120">
        <f>AI162</f>
        <v/>
      </c>
      <c r="EN162" s="1213" t="n"/>
      <c r="EO162" s="120" t="n">
        <v>2400</v>
      </c>
      <c r="EP162" s="120">
        <f>EQ162-EO162</f>
        <v/>
      </c>
      <c r="EQ162" s="120">
        <f>AJ162</f>
        <v/>
      </c>
      <c r="ER162" s="120" t="n"/>
      <c r="ES162" s="120" t="n"/>
      <c r="ET162" s="120">
        <f>EU162-ES162</f>
        <v/>
      </c>
      <c r="EU162" s="120">
        <f>AK162</f>
        <v/>
      </c>
      <c r="EV162" s="120" t="n"/>
      <c r="EW162" s="120" t="n"/>
      <c r="EX162" s="120">
        <f>EY162-EW162</f>
        <v/>
      </c>
      <c r="EY162" s="120">
        <f>AL162</f>
        <v/>
      </c>
      <c r="FA162" s="120">
        <f>FC162</f>
        <v/>
      </c>
      <c r="FB162" s="120">
        <f>FC162-FA162</f>
        <v/>
      </c>
      <c r="FC162" s="120">
        <f>AM162</f>
        <v/>
      </c>
      <c r="FE162" s="120">
        <f>FE152</f>
        <v/>
      </c>
      <c r="FF162" s="120">
        <f>FG162-FE162</f>
        <v/>
      </c>
      <c r="FG162" s="120">
        <f>AN162</f>
        <v/>
      </c>
      <c r="FI162" s="120">
        <f>FI152</f>
        <v/>
      </c>
      <c r="FJ162" s="120">
        <f>FK162-FI162</f>
        <v/>
      </c>
      <c r="FK162" s="120">
        <f>AO162</f>
        <v/>
      </c>
      <c r="FM162" s="120">
        <f>FM152</f>
        <v/>
      </c>
      <c r="FN162" s="120">
        <f>FN152</f>
        <v/>
      </c>
      <c r="FO162" s="120">
        <f>AP162</f>
        <v/>
      </c>
    </row>
    <row r="163" customFormat="1" s="1153">
      <c r="A163" s="1215" t="n"/>
      <c r="B163" s="1153" t="inlineStr">
        <is>
          <t>Exceptional profit</t>
        </is>
      </c>
      <c r="C163" s="1213" t="n">
        <v>0</v>
      </c>
      <c r="D163" s="1213" t="n">
        <v>0</v>
      </c>
      <c r="E163" s="1213" t="n">
        <v>0</v>
      </c>
      <c r="F163" s="1213" t="n">
        <v>0</v>
      </c>
      <c r="G163" s="1213" t="n">
        <v>0</v>
      </c>
      <c r="H163" s="1213" t="n">
        <v>0</v>
      </c>
      <c r="I163" s="1213" t="n">
        <v>0</v>
      </c>
      <c r="J163" s="1213" t="n">
        <v>0</v>
      </c>
      <c r="K163" s="1213" t="n">
        <v>0</v>
      </c>
      <c r="L163" s="1213">
        <f>541.1</f>
        <v/>
      </c>
      <c r="M163" s="1213" t="n">
        <v>-347</v>
      </c>
      <c r="N163" s="1213">
        <f>185-217-607-230</f>
        <v/>
      </c>
      <c r="O163" s="1213" t="n">
        <v>482</v>
      </c>
      <c r="P163" s="1213" t="n">
        <v>0</v>
      </c>
      <c r="Q163" s="1213" t="n">
        <v>452</v>
      </c>
      <c r="R163" s="1213" t="n">
        <v>0</v>
      </c>
      <c r="S163" s="1213" t="n">
        <v>0</v>
      </c>
      <c r="T163" s="1213" t="n">
        <v>0</v>
      </c>
      <c r="U163" s="1213" t="n">
        <v>0</v>
      </c>
      <c r="V163" s="1213" t="n">
        <v>0</v>
      </c>
      <c r="W163" s="1213" t="n">
        <v>0</v>
      </c>
      <c r="X163" s="1213" t="n">
        <v>0</v>
      </c>
      <c r="Y163" s="1153" t="n">
        <v>0</v>
      </c>
      <c r="Z163" s="1153" t="n">
        <v>0</v>
      </c>
      <c r="AA163" s="962" t="n">
        <v>0</v>
      </c>
      <c r="AB163" s="962" t="n">
        <v>0</v>
      </c>
      <c r="AC163" s="1213" t="n">
        <v>0</v>
      </c>
      <c r="AD163" s="1213" t="n">
        <v>0</v>
      </c>
      <c r="AE163" s="1213" t="n">
        <v>0</v>
      </c>
      <c r="AF163" s="1213" t="n">
        <v>0</v>
      </c>
      <c r="AG163" s="1213" t="n">
        <v>0</v>
      </c>
      <c r="AH163" s="1213" t="n">
        <v>0</v>
      </c>
      <c r="AI163" s="1213" t="n">
        <v>0</v>
      </c>
      <c r="AJ163" s="1213" t="n">
        <v>0</v>
      </c>
      <c r="AK163" s="1213" t="n">
        <v>0</v>
      </c>
      <c r="AL163" s="1213" t="n">
        <v>0</v>
      </c>
      <c r="AM163" s="1213" t="n">
        <v>0</v>
      </c>
      <c r="AN163" s="1213" t="n">
        <v>0</v>
      </c>
      <c r="AO163" s="1213" t="n">
        <v>0</v>
      </c>
      <c r="AP163" s="1213" t="n">
        <v>0</v>
      </c>
      <c r="AQ163" s="1213" t="n">
        <v>0</v>
      </c>
      <c r="AR163" s="1213" t="n">
        <v>0</v>
      </c>
      <c r="AS163" s="1213" t="n">
        <v>0</v>
      </c>
      <c r="AT163" s="1213" t="n">
        <v>0</v>
      </c>
      <c r="AU163" s="1213" t="n"/>
      <c r="AV163" s="1216">
        <f>541.1</f>
        <v/>
      </c>
      <c r="AW163" s="963">
        <f>AX163-AV163</f>
        <v/>
      </c>
      <c r="AX163" s="964">
        <f>L163</f>
        <v/>
      </c>
      <c r="AY163" s="1216" t="n"/>
      <c r="AZ163" s="1216" t="n">
        <v>0</v>
      </c>
      <c r="BA163" s="963">
        <f>BB163-AZ163</f>
        <v/>
      </c>
      <c r="BB163" s="1217">
        <f>M163</f>
        <v/>
      </c>
      <c r="BD163" s="1216" t="n">
        <v>0</v>
      </c>
      <c r="BE163" s="963">
        <f>BF163-BD163</f>
        <v/>
      </c>
      <c r="BF163" s="1217">
        <f>N163</f>
        <v/>
      </c>
      <c r="BH163" s="1216" t="n">
        <v>322</v>
      </c>
      <c r="BI163" s="963">
        <f>BJ163-BH163</f>
        <v/>
      </c>
      <c r="BJ163" s="1217">
        <f>O163</f>
        <v/>
      </c>
      <c r="BK163" s="994" t="n"/>
      <c r="BL163" s="1216" t="n">
        <v>0</v>
      </c>
      <c r="BM163" s="963">
        <f>BN163-BL163</f>
        <v/>
      </c>
      <c r="BN163" s="1217">
        <f>P163</f>
        <v/>
      </c>
      <c r="BO163" s="1216" t="n"/>
      <c r="BP163" s="1216" t="n">
        <v>452</v>
      </c>
      <c r="BQ163" s="963">
        <f>BR163-BP163</f>
        <v/>
      </c>
      <c r="BR163" s="1217">
        <f>Q163</f>
        <v/>
      </c>
      <c r="BT163" s="1216" t="n">
        <v>0</v>
      </c>
      <c r="BU163" s="963">
        <f>BV163-BT163</f>
        <v/>
      </c>
      <c r="BV163" s="1217">
        <f>R163</f>
        <v/>
      </c>
      <c r="BX163" s="1216" t="n">
        <v>0</v>
      </c>
      <c r="BY163" s="963">
        <f>BZ163-BX163</f>
        <v/>
      </c>
      <c r="BZ163" s="1217">
        <f>S163</f>
        <v/>
      </c>
      <c r="CB163" s="1216" t="n">
        <v>0</v>
      </c>
      <c r="CC163" s="963">
        <f>CD163-CB163</f>
        <v/>
      </c>
      <c r="CD163" s="1217">
        <f>T163</f>
        <v/>
      </c>
      <c r="CE163" s="1216" t="n"/>
      <c r="CF163" s="1216" t="n">
        <v>0</v>
      </c>
      <c r="CG163" s="963" t="n"/>
      <c r="CH163" s="1217">
        <f>U163</f>
        <v/>
      </c>
      <c r="CI163" s="1217" t="n"/>
      <c r="CJ163" s="1216" t="n">
        <v>0</v>
      </c>
      <c r="CK163" s="1216" t="n"/>
      <c r="CL163" s="1217">
        <f>V163</f>
        <v/>
      </c>
      <c r="CM163" s="1217" t="n"/>
      <c r="CN163" s="1216" t="n"/>
      <c r="CO163" s="1216" t="n"/>
      <c r="CP163" s="1216">
        <f>W163</f>
        <v/>
      </c>
      <c r="CQ163" s="1216" t="n"/>
      <c r="CR163" s="1216" t="n"/>
      <c r="CS163" s="1216" t="n"/>
      <c r="CT163" s="1216" t="n"/>
      <c r="CU163" s="1216">
        <f>X163</f>
        <v/>
      </c>
      <c r="CV163" s="1216" t="n"/>
      <c r="CW163" s="1216" t="n"/>
      <c r="CX163" s="1216" t="n"/>
      <c r="CY163" s="1216">
        <f>Y162</f>
        <v/>
      </c>
      <c r="CZ163" s="1216" t="n"/>
      <c r="DA163" s="1171" t="n">
        <v>2165</v>
      </c>
      <c r="DB163" s="1216">
        <f>+DC163-DA163</f>
        <v/>
      </c>
      <c r="DC163" s="1216">
        <f>Z162</f>
        <v/>
      </c>
      <c r="DD163" s="1216" t="n"/>
      <c r="DE163" s="1171" t="n"/>
      <c r="DF163" s="1216" t="n"/>
      <c r="DG163" s="1216">
        <f>AA163</f>
        <v/>
      </c>
      <c r="DH163" s="1216" t="n"/>
      <c r="DI163" s="962" t="n"/>
      <c r="DJ163" s="118" t="n"/>
      <c r="DK163" s="963">
        <f>AB163</f>
        <v/>
      </c>
      <c r="DL163" s="963" t="n"/>
      <c r="DM163" s="962" t="n"/>
      <c r="DN163" s="118" t="n"/>
      <c r="DO163" s="963">
        <f>AC163</f>
        <v/>
      </c>
      <c r="DP163" s="1216" t="n"/>
      <c r="DQ163" s="962" t="n"/>
      <c r="DR163" s="118" t="n"/>
      <c r="DS163" s="118">
        <f>AD163</f>
        <v/>
      </c>
      <c r="DT163" s="118" t="n"/>
      <c r="DU163" s="1213" t="n"/>
      <c r="DV163" s="1213" t="n"/>
      <c r="DW163" s="1213">
        <f>AE163</f>
        <v/>
      </c>
      <c r="DX163" s="118" t="n"/>
      <c r="DY163" s="1213" t="n">
        <v>0</v>
      </c>
      <c r="DZ163" s="1213" t="n"/>
      <c r="EA163" s="1213">
        <f>AF163</f>
        <v/>
      </c>
      <c r="EC163" s="1213" t="n">
        <v>0</v>
      </c>
      <c r="ED163" s="1213" t="n"/>
      <c r="EE163" s="1213">
        <f>AG163</f>
        <v/>
      </c>
      <c r="EF163" s="1213" t="n"/>
      <c r="EG163" s="1213" t="n">
        <v>0</v>
      </c>
      <c r="EH163" s="120" t="n"/>
      <c r="EI163" s="120">
        <f>AH163</f>
        <v/>
      </c>
      <c r="EJ163" s="1213" t="n"/>
      <c r="EK163" s="1213" t="n">
        <v>0</v>
      </c>
      <c r="EL163" s="120" t="n"/>
      <c r="EM163" s="120">
        <f>AI163</f>
        <v/>
      </c>
      <c r="EN163" s="1213" t="n"/>
      <c r="EO163" s="120">
        <f>+EO159+EO162</f>
        <v/>
      </c>
      <c r="EP163" s="120" t="n"/>
      <c r="EQ163" s="120">
        <f>AJ163</f>
        <v/>
      </c>
      <c r="ER163" s="120" t="n"/>
      <c r="ES163" s="120" t="n"/>
      <c r="ET163" s="120" t="n"/>
      <c r="EU163" s="120">
        <f>AK163</f>
        <v/>
      </c>
      <c r="EV163" s="120" t="n"/>
      <c r="EW163" s="120" t="n"/>
      <c r="EX163" s="120" t="n"/>
      <c r="EY163" s="120">
        <f>AL163</f>
        <v/>
      </c>
      <c r="FA163" s="120" t="n"/>
      <c r="FB163" s="120" t="n"/>
      <c r="FC163" s="120">
        <f>AM163</f>
        <v/>
      </c>
      <c r="FE163" s="120" t="n"/>
      <c r="FF163" s="120" t="n"/>
      <c r="FG163" s="120">
        <f>AN163</f>
        <v/>
      </c>
      <c r="FI163" s="120" t="n"/>
      <c r="FJ163" s="120" t="n"/>
      <c r="FK163" s="120">
        <f>AO163</f>
        <v/>
      </c>
      <c r="FM163" s="120" t="n"/>
      <c r="FN163" s="120" t="n"/>
      <c r="FO163" s="120">
        <f>AP163</f>
        <v/>
      </c>
    </row>
    <row r="164">
      <c r="A164" s="1218" t="n"/>
      <c r="P164" s="1148" t="n"/>
      <c r="Q164" s="1148" t="n"/>
      <c r="R164" s="1148" t="n"/>
      <c r="S164" s="1148" t="n"/>
      <c r="T164" s="1148" t="n"/>
      <c r="U164" s="512" t="n"/>
      <c r="V164" s="512" t="n"/>
      <c r="W164" s="512" t="n"/>
      <c r="X164" s="512" t="n"/>
      <c r="Y164" s="512" t="n"/>
      <c r="Z164" s="512" t="n"/>
      <c r="AA164" s="512" t="n"/>
      <c r="AB164" s="512" t="n"/>
      <c r="AC164" s="158" t="n"/>
      <c r="AD164" s="158" t="n"/>
      <c r="AE164" s="158" t="n"/>
      <c r="AF164" s="158" t="n"/>
      <c r="AG164" s="512" t="n"/>
      <c r="AH164" s="512" t="n"/>
      <c r="AI164" s="512" t="n"/>
      <c r="AJ164" s="512" t="n"/>
      <c r="AK164" s="512" t="n"/>
      <c r="AL164" s="512" t="n"/>
      <c r="AM164" s="512" t="n"/>
      <c r="AN164" s="512" t="n"/>
      <c r="AO164" s="512" t="n"/>
      <c r="AP164" s="158" t="n"/>
      <c r="AQ164" s="158" t="n"/>
      <c r="AR164" s="158" t="n"/>
      <c r="AS164" s="158" t="n"/>
      <c r="AT164" s="158" t="n"/>
      <c r="AU164" s="1219" t="n"/>
      <c r="BH164" s="963" t="n"/>
      <c r="BI164" s="963" t="n"/>
      <c r="BJ164" s="964" t="n"/>
      <c r="BL164" s="963" t="n"/>
      <c r="BM164" s="963" t="n"/>
      <c r="BN164" s="964" t="n"/>
      <c r="BO164" s="963" t="n"/>
      <c r="BP164" s="963" t="n"/>
      <c r="BR164" s="964" t="n"/>
      <c r="BT164" s="963" t="n"/>
      <c r="BU164" s="963" t="n"/>
      <c r="BV164" s="964" t="n"/>
      <c r="BX164" s="963" t="n"/>
      <c r="BY164" s="963" t="n"/>
      <c r="BZ164" s="964" t="n"/>
      <c r="CB164" s="963" t="n"/>
      <c r="CC164" s="963" t="n"/>
      <c r="CD164" s="964" t="n"/>
      <c r="CE164" s="963" t="n"/>
      <c r="CF164" s="963" t="n"/>
      <c r="CG164" s="963" t="n"/>
      <c r="CH164" s="964" t="n"/>
      <c r="CI164" s="964" t="n"/>
      <c r="CJ164" s="963" t="n"/>
      <c r="CK164" s="963" t="n"/>
      <c r="CL164" s="964" t="n"/>
      <c r="CM164" s="964" t="n"/>
      <c r="CN164" s="963" t="n"/>
      <c r="CO164" s="963" t="n"/>
      <c r="CP164" s="963" t="n"/>
      <c r="CQ164" s="963" t="n"/>
      <c r="CR164" s="963" t="n"/>
      <c r="CS164" s="963" t="n"/>
      <c r="CT164" s="963" t="n"/>
      <c r="CU164" s="963" t="n"/>
      <c r="CV164" s="963" t="n"/>
      <c r="CW164" s="963" t="n"/>
      <c r="CX164" s="963" t="n"/>
      <c r="CY164" s="963" t="n"/>
      <c r="CZ164" s="963" t="n"/>
      <c r="DA164" s="963" t="n"/>
      <c r="DB164" s="963" t="n"/>
      <c r="DC164" s="963" t="n"/>
      <c r="DD164" s="963" t="n"/>
      <c r="DE164" s="963" t="n"/>
      <c r="DF164" s="963" t="n"/>
      <c r="DG164" s="963" t="n"/>
      <c r="DH164" s="963" t="n"/>
      <c r="DI164" s="963" t="n"/>
      <c r="DJ164" s="963" t="n"/>
      <c r="DK164" s="963" t="n"/>
      <c r="DL164" s="963" t="n"/>
      <c r="DM164" s="963" t="n"/>
      <c r="DN164" s="963" t="n"/>
      <c r="DO164" s="963" t="n"/>
      <c r="DP164" s="963" t="n"/>
      <c r="DQ164" s="963" t="n"/>
      <c r="DR164" s="963" t="n"/>
      <c r="DS164" s="963" t="n"/>
      <c r="DT164" s="963" t="n"/>
      <c r="DU164" s="512" t="n"/>
      <c r="DV164" s="512" t="n"/>
      <c r="DW164" s="512" t="n"/>
      <c r="DX164" s="963" t="n"/>
      <c r="DY164" s="512" t="n"/>
      <c r="DZ164" s="512" t="n"/>
      <c r="EA164" s="512" t="n"/>
      <c r="EC164" s="512" t="n"/>
      <c r="ED164" s="512" t="n"/>
      <c r="EE164" s="512" t="n"/>
      <c r="EF164" s="512" t="n"/>
      <c r="EG164" s="512" t="n"/>
      <c r="EH164" s="267" t="n"/>
      <c r="EI164" s="267" t="n"/>
      <c r="EJ164" s="512" t="n"/>
      <c r="EK164" s="512" t="n"/>
      <c r="EL164" s="267" t="n"/>
      <c r="EM164" s="267" t="n"/>
      <c r="EN164" s="512" t="n"/>
      <c r="EO164" s="267" t="n"/>
      <c r="EP164" s="267" t="n"/>
      <c r="EQ164" s="267" t="n"/>
      <c r="ER164" s="267" t="n"/>
      <c r="ET164" s="267" t="n"/>
      <c r="EU164" s="267" t="n"/>
      <c r="EV164" s="267" t="n"/>
      <c r="EX164" s="267" t="n"/>
      <c r="EY164" s="267" t="n"/>
      <c r="FB164" s="267" t="n"/>
      <c r="FC164" s="267" t="n"/>
      <c r="FF164" s="267" t="n"/>
      <c r="FG164" s="267" t="n"/>
      <c r="FI164" s="267" t="n"/>
      <c r="FJ164" s="267" t="n"/>
      <c r="FK164" s="267" t="n"/>
      <c r="FM164" s="267" t="n"/>
      <c r="FN164" s="267" t="n"/>
      <c r="FO164" s="267" t="n"/>
    </row>
    <row r="165" customFormat="1" s="1150">
      <c r="A165" s="1170" t="inlineStr">
        <is>
          <t>eps</t>
        </is>
      </c>
      <c r="B165" s="1150" t="inlineStr">
        <is>
          <t>EPS ($)</t>
        </is>
      </c>
      <c r="C165" s="1150">
        <f>C159/C170</f>
        <v/>
      </c>
      <c r="D165" s="1150">
        <f>D159/D170</f>
        <v/>
      </c>
      <c r="E165" s="1150">
        <f>E159/E170</f>
        <v/>
      </c>
      <c r="F165" s="160">
        <f>F159/F170</f>
        <v/>
      </c>
      <c r="G165" s="160">
        <f>G159/G170</f>
        <v/>
      </c>
      <c r="H165" s="160">
        <f>H159/H170</f>
        <v/>
      </c>
      <c r="I165" s="160">
        <f>I159/I170</f>
        <v/>
      </c>
      <c r="J165" s="160">
        <f>J159/J170</f>
        <v/>
      </c>
      <c r="K165" s="160">
        <f>K159/K170</f>
        <v/>
      </c>
      <c r="L165" s="161">
        <f>L159/L170</f>
        <v/>
      </c>
      <c r="M165" s="161">
        <f>M159/M170</f>
        <v/>
      </c>
      <c r="N165" s="161">
        <f>N159/N170</f>
        <v/>
      </c>
      <c r="O165" s="161">
        <f>O159/O170</f>
        <v/>
      </c>
      <c r="P165" s="161">
        <f>P159/P170</f>
        <v/>
      </c>
      <c r="Q165" s="161">
        <f>Q159/Q170</f>
        <v/>
      </c>
      <c r="R165" s="161">
        <f>R159/R170</f>
        <v/>
      </c>
      <c r="S165" s="161">
        <f>S159/S170</f>
        <v/>
      </c>
      <c r="T165" s="161">
        <f>T159/T170</f>
        <v/>
      </c>
      <c r="U165" s="161">
        <f>U159/U170</f>
        <v/>
      </c>
      <c r="V165" s="161">
        <f>V159/V170</f>
        <v/>
      </c>
      <c r="W165" s="161">
        <f>W159/W170</f>
        <v/>
      </c>
      <c r="X165" s="161">
        <f>X159/X170</f>
        <v/>
      </c>
      <c r="Y165" s="161">
        <f>Y159/Y170</f>
        <v/>
      </c>
      <c r="Z165" s="161">
        <f>Z159/Z170</f>
        <v/>
      </c>
      <c r="AA165" s="161">
        <f>AA159/AA170</f>
        <v/>
      </c>
      <c r="AB165" s="161">
        <f>AB159/AB170</f>
        <v/>
      </c>
      <c r="AC165" s="161">
        <f>AC159/AC170</f>
        <v/>
      </c>
      <c r="AD165" s="161">
        <f>AD159/AD170</f>
        <v/>
      </c>
      <c r="AE165" s="161">
        <f>AE159/AE170</f>
        <v/>
      </c>
      <c r="AF165" s="161">
        <f>AF159/AF170</f>
        <v/>
      </c>
      <c r="AG165" s="161">
        <f>AG159/AG170</f>
        <v/>
      </c>
      <c r="AH165" s="161">
        <f>AH159/AH170</f>
        <v/>
      </c>
      <c r="AI165" s="161">
        <f>AI159/AI170</f>
        <v/>
      </c>
      <c r="AJ165" s="161">
        <f>AJ159/AJ170</f>
        <v/>
      </c>
      <c r="AK165" s="161">
        <f>AK159/AK170</f>
        <v/>
      </c>
      <c r="AL165" s="161">
        <f>AL159/AL170</f>
        <v/>
      </c>
      <c r="AM165" s="161">
        <f>AM159/AM170</f>
        <v/>
      </c>
      <c r="AN165" s="161">
        <f>AN159/AN170</f>
        <v/>
      </c>
      <c r="AO165" s="161">
        <f>AO159/AO170</f>
        <v/>
      </c>
      <c r="AP165" s="161">
        <f>AP159/AP170</f>
        <v/>
      </c>
      <c r="AQ165" s="161">
        <f>AQ159/AQ170</f>
        <v/>
      </c>
      <c r="AR165" s="161">
        <f>AR159/AR170</f>
        <v/>
      </c>
      <c r="AS165" s="161">
        <f>AS159/AS170</f>
        <v/>
      </c>
      <c r="AT165" s="161">
        <f>AT159/AT170</f>
        <v/>
      </c>
      <c r="AU165" s="317" t="n"/>
      <c r="AV165" s="1220">
        <f>AV159/AV170</f>
        <v/>
      </c>
      <c r="AW165" s="1221">
        <f>AW159/AW170</f>
        <v/>
      </c>
      <c r="AX165" s="164">
        <f>L165</f>
        <v/>
      </c>
      <c r="AY165" s="1210" t="n"/>
      <c r="AZ165" s="1221">
        <f>AZ159/AZ170</f>
        <v/>
      </c>
      <c r="BA165" s="1221">
        <f>BA159/BA170</f>
        <v/>
      </c>
      <c r="BB165" s="1222">
        <f>M165</f>
        <v/>
      </c>
      <c r="BD165" s="1221">
        <f>BD159/BD170</f>
        <v/>
      </c>
      <c r="BE165" s="1221">
        <f>BE159/BE170</f>
        <v/>
      </c>
      <c r="BF165" s="1222">
        <f>N165</f>
        <v/>
      </c>
      <c r="BH165" s="1221">
        <f>BH159/BH170</f>
        <v/>
      </c>
      <c r="BI165" s="1221">
        <f>BI159/BI170</f>
        <v/>
      </c>
      <c r="BJ165" s="1222">
        <f>O165</f>
        <v/>
      </c>
      <c r="BL165" s="1221">
        <f>BL159/BL170</f>
        <v/>
      </c>
      <c r="BM165" s="1221">
        <f>BM159/BM170</f>
        <v/>
      </c>
      <c r="BN165" s="1222">
        <f>P165</f>
        <v/>
      </c>
      <c r="BO165" s="1221" t="n"/>
      <c r="BP165" s="1221">
        <f>BP159/BP170</f>
        <v/>
      </c>
      <c r="BQ165" s="1221">
        <f>BQ159/BQ170</f>
        <v/>
      </c>
      <c r="BR165" s="1222">
        <f>Q165</f>
        <v/>
      </c>
      <c r="BT165" s="1221">
        <f>BT159/BT170</f>
        <v/>
      </c>
      <c r="BU165" s="1221">
        <f>BU159/BU170</f>
        <v/>
      </c>
      <c r="BV165" s="1222">
        <f>R165</f>
        <v/>
      </c>
      <c r="BX165" s="1221">
        <f>BX159/BX170</f>
        <v/>
      </c>
      <c r="BY165" s="1221">
        <f>BY159/BY170</f>
        <v/>
      </c>
      <c r="BZ165" s="1222">
        <f>S165</f>
        <v/>
      </c>
      <c r="CB165" s="1221">
        <f>CB159/CB170</f>
        <v/>
      </c>
      <c r="CC165" s="1221">
        <f>CC159/CC170</f>
        <v/>
      </c>
      <c r="CD165" s="1222">
        <f>T165</f>
        <v/>
      </c>
      <c r="CE165" s="1221" t="n"/>
      <c r="CF165" s="1221">
        <f>CF159/CF170</f>
        <v/>
      </c>
      <c r="CG165" s="1221">
        <f>CG159/CG170</f>
        <v/>
      </c>
      <c r="CH165" s="1222">
        <f>U165</f>
        <v/>
      </c>
      <c r="CI165" s="1222" t="n"/>
      <c r="CJ165" s="1221">
        <f>CJ159/CJ170</f>
        <v/>
      </c>
      <c r="CK165" s="1221" t="n"/>
      <c r="CL165" s="1222">
        <f>V165</f>
        <v/>
      </c>
      <c r="CM165" s="1222" t="n"/>
      <c r="CN165" s="1221">
        <f>CN159/CN170</f>
        <v/>
      </c>
      <c r="CO165" s="1221">
        <f>CO159/CO170</f>
        <v/>
      </c>
      <c r="CP165" s="1221">
        <f>W165</f>
        <v/>
      </c>
      <c r="CQ165" s="1221" t="n"/>
      <c r="CR165" s="1221">
        <f>CR159/CR170</f>
        <v/>
      </c>
      <c r="CS165" s="1221">
        <f>CS159/CS170</f>
        <v/>
      </c>
      <c r="CT165" s="1221" t="n"/>
      <c r="CU165" s="1221">
        <f>X165</f>
        <v/>
      </c>
      <c r="CV165" s="1221" t="n"/>
      <c r="CW165" s="1221">
        <f>CW159/CW170</f>
        <v/>
      </c>
      <c r="CX165" s="1221" t="n"/>
      <c r="CY165" s="1221">
        <f>Y165</f>
        <v/>
      </c>
      <c r="CZ165" s="1221" t="n"/>
      <c r="DA165" s="1221">
        <f>DA159/DA170</f>
        <v/>
      </c>
      <c r="DB165" s="1221">
        <f>+DC165-DA165</f>
        <v/>
      </c>
      <c r="DC165" s="1221">
        <f>Z165</f>
        <v/>
      </c>
      <c r="DD165" s="1221" t="n"/>
      <c r="DE165" s="1221">
        <f>DE159/DE170</f>
        <v/>
      </c>
      <c r="DF165" s="1221">
        <f>+DG165-DE165</f>
        <v/>
      </c>
      <c r="DG165" s="1221">
        <f>AA165</f>
        <v/>
      </c>
      <c r="DH165" s="1221" t="n"/>
      <c r="DI165" s="100">
        <f>DI159/DI170</f>
        <v/>
      </c>
      <c r="DJ165" s="1221">
        <f>+DK165-DI165</f>
        <v/>
      </c>
      <c r="DK165" s="1221">
        <f>AB165</f>
        <v/>
      </c>
      <c r="DL165" s="1221" t="n"/>
      <c r="DM165" s="100">
        <f>DM159/DM170</f>
        <v/>
      </c>
      <c r="DN165" s="1221">
        <f>+DO165-DM165</f>
        <v/>
      </c>
      <c r="DO165" s="1221">
        <f>AC165</f>
        <v/>
      </c>
      <c r="DP165" s="1221" t="n"/>
      <c r="DQ165" s="1223">
        <f>DQ159/DQ170</f>
        <v/>
      </c>
      <c r="DR165" s="1221">
        <f>+DS165-DQ165</f>
        <v/>
      </c>
      <c r="DS165" s="1221">
        <f>AD165</f>
        <v/>
      </c>
      <c r="DT165" s="1221" t="n"/>
      <c r="DU165" s="1147">
        <f>DU159/DU170</f>
        <v/>
      </c>
      <c r="DV165" s="161">
        <f>+DW165-DU165</f>
        <v/>
      </c>
      <c r="DW165" s="161">
        <f>AE165</f>
        <v/>
      </c>
      <c r="DX165" s="1221" t="n"/>
      <c r="DY165" s="161">
        <f>DY159/DY170</f>
        <v/>
      </c>
      <c r="DZ165" s="161">
        <f>+EA165-DY165</f>
        <v/>
      </c>
      <c r="EA165" s="161">
        <f>AF165</f>
        <v/>
      </c>
      <c r="EC165" s="161">
        <f>EC159/EC170</f>
        <v/>
      </c>
      <c r="ED165" s="161">
        <f>+EE165-EC165</f>
        <v/>
      </c>
      <c r="EE165" s="161">
        <f>AG165</f>
        <v/>
      </c>
      <c r="EF165" s="161" t="n"/>
      <c r="EG165" s="161">
        <f>EG159/EG170</f>
        <v/>
      </c>
      <c r="EH165" s="161">
        <f>+EI165-EG165</f>
        <v/>
      </c>
      <c r="EI165" s="161">
        <f>AH165</f>
        <v/>
      </c>
      <c r="EJ165" s="161" t="n"/>
      <c r="EK165" s="161">
        <f>EK159/EK170</f>
        <v/>
      </c>
      <c r="EL165" s="161">
        <f>+EM165-EK165</f>
        <v/>
      </c>
      <c r="EM165" s="161">
        <f>AI165</f>
        <v/>
      </c>
      <c r="EN165" s="161" t="n"/>
      <c r="EO165" s="161">
        <f>EO159/EO170</f>
        <v/>
      </c>
      <c r="EP165" s="161">
        <f>EP159/EP170</f>
        <v/>
      </c>
      <c r="EQ165" s="161">
        <f>EQ159/EQ170</f>
        <v/>
      </c>
      <c r="ER165" s="161" t="n"/>
      <c r="ES165" s="161">
        <f>ES159/ES170</f>
        <v/>
      </c>
      <c r="ET165" s="161">
        <f>ET159/ET170</f>
        <v/>
      </c>
      <c r="EU165" s="161">
        <f>EU159/EU170</f>
        <v/>
      </c>
      <c r="EV165" s="161" t="n"/>
      <c r="EW165" s="161">
        <f>EW159/EW170</f>
        <v/>
      </c>
      <c r="EX165" s="161">
        <f>EX159/EX170</f>
        <v/>
      </c>
      <c r="EY165" s="161">
        <f>EY159/EY170</f>
        <v/>
      </c>
      <c r="FA165" s="161">
        <f>FA159/FA170</f>
        <v/>
      </c>
      <c r="FB165" s="161">
        <f>FB159/FB170</f>
        <v/>
      </c>
      <c r="FC165" s="161">
        <f>FC159/FC170</f>
        <v/>
      </c>
      <c r="FE165" s="161">
        <f>FE159/FE170</f>
        <v/>
      </c>
      <c r="FF165" s="161">
        <f>FF159/FF170</f>
        <v/>
      </c>
      <c r="FG165" s="161">
        <f>FG159/FG170</f>
        <v/>
      </c>
      <c r="FH165" s="226" t="n"/>
      <c r="FI165" s="161">
        <f>FI159/FI170</f>
        <v/>
      </c>
      <c r="FJ165" s="161">
        <f>FJ159/FJ170</f>
        <v/>
      </c>
      <c r="FK165" s="161">
        <f>FK159/FK170</f>
        <v/>
      </c>
      <c r="FM165" s="161">
        <f>FM159/FM170</f>
        <v/>
      </c>
      <c r="FN165" s="161">
        <f>FN159/FN170</f>
        <v/>
      </c>
      <c r="FO165" s="161">
        <f>FO159/FO170</f>
        <v/>
      </c>
    </row>
    <row r="166" customFormat="1" s="1020">
      <c r="A166" s="1224" t="n"/>
      <c r="B166" s="1020" t="inlineStr">
        <is>
          <t>growth</t>
        </is>
      </c>
      <c r="K166" s="1004">
        <f>K165/J165-1</f>
        <v/>
      </c>
      <c r="L166" s="1002">
        <f>L165/K165-1</f>
        <v/>
      </c>
      <c r="M166" s="1002">
        <f>M165/L165-1</f>
        <v/>
      </c>
      <c r="N166" s="1002">
        <f>N165/M165-1</f>
        <v/>
      </c>
      <c r="O166" s="1002">
        <f>O165/N165-1</f>
        <v/>
      </c>
      <c r="P166" s="1002">
        <f>P165/O165-1</f>
        <v/>
      </c>
      <c r="Q166" s="1002">
        <f>Q165/P165-1</f>
        <v/>
      </c>
      <c r="R166" s="1002">
        <f>R165/Q165-1</f>
        <v/>
      </c>
      <c r="S166" s="1002">
        <f>S165/R165-1</f>
        <v/>
      </c>
      <c r="T166" s="1002">
        <f>T165/S165-1</f>
        <v/>
      </c>
      <c r="U166" s="1002">
        <f>U165/T165-1</f>
        <v/>
      </c>
      <c r="V166" s="1002">
        <f>V165/U165-1</f>
        <v/>
      </c>
      <c r="W166" s="1002">
        <f>W165/V165-1</f>
        <v/>
      </c>
      <c r="X166" s="1002">
        <f>X165/W165-1</f>
        <v/>
      </c>
      <c r="Y166" s="1002">
        <f>Y165/X165-1</f>
        <v/>
      </c>
      <c r="Z166" s="1002">
        <f>Z165/Y165-1</f>
        <v/>
      </c>
      <c r="AA166" s="1002">
        <f>AA165/Z165-1</f>
        <v/>
      </c>
      <c r="AB166" s="1002">
        <f>AB165/AA165-1</f>
        <v/>
      </c>
      <c r="AC166" s="1002">
        <f>AC165/AB165-1</f>
        <v/>
      </c>
      <c r="AD166" s="1002">
        <f>AD165/AC165-1</f>
        <v/>
      </c>
      <c r="AE166" s="1002">
        <f>AE165/AD165-1</f>
        <v/>
      </c>
      <c r="AF166" s="1002">
        <f>AF165/AE165-1</f>
        <v/>
      </c>
      <c r="AG166" s="1002">
        <f>AG165/AF165-1</f>
        <v/>
      </c>
      <c r="AH166" s="1002">
        <f>AH165/AG165-1</f>
        <v/>
      </c>
      <c r="AI166" s="1002">
        <f>AI165/AH165-1</f>
        <v/>
      </c>
      <c r="AJ166" s="1002">
        <f>AJ165/AI165-1</f>
        <v/>
      </c>
      <c r="AK166" s="1002">
        <f>AK165/AJ165-1</f>
        <v/>
      </c>
      <c r="AL166" s="1002">
        <f>AL165/AK165-1</f>
        <v/>
      </c>
      <c r="AM166" s="1002">
        <f>AM165/AL165-1</f>
        <v/>
      </c>
      <c r="AN166" s="1002">
        <f>AN165/AM165-1</f>
        <v/>
      </c>
      <c r="AO166" s="1002">
        <f>AO165/AN165-1</f>
        <v/>
      </c>
      <c r="AP166" s="1002">
        <f>AP165/AO165-1</f>
        <v/>
      </c>
      <c r="AQ166" s="1002">
        <f>AQ165/AP165-1</f>
        <v/>
      </c>
      <c r="AR166" s="1002">
        <f>AR165/AQ165-1</f>
        <v/>
      </c>
      <c r="AS166" s="1002">
        <f>AS165/AR165-1</f>
        <v/>
      </c>
      <c r="AT166" s="1002">
        <f>AT165/AS165-1</f>
        <v/>
      </c>
      <c r="AU166" s="1225" t="n"/>
      <c r="AV166" s="1042" t="n"/>
      <c r="AW166" s="1042" t="n"/>
      <c r="AX166" s="1013">
        <f>L166</f>
        <v/>
      </c>
      <c r="AY166" s="1042" t="n"/>
      <c r="AZ166" s="1042">
        <f>AZ165/AV165-1</f>
        <v/>
      </c>
      <c r="BA166" s="1042">
        <f>BA165/AW165-1</f>
        <v/>
      </c>
      <c r="BB166" s="1041">
        <f>M166</f>
        <v/>
      </c>
      <c r="BD166" s="1042">
        <f>BD165/AZ165-1</f>
        <v/>
      </c>
      <c r="BE166" s="1042">
        <f>BE165/BA165-1</f>
        <v/>
      </c>
      <c r="BF166" s="1041">
        <f>N166</f>
        <v/>
      </c>
      <c r="BH166" s="1042">
        <f>BH165/BD165-1</f>
        <v/>
      </c>
      <c r="BI166" s="1042">
        <f>BI165/BE165-1</f>
        <v/>
      </c>
      <c r="BJ166" s="1041">
        <f>O166</f>
        <v/>
      </c>
      <c r="BL166" s="1042">
        <f>BL165/BH165-1</f>
        <v/>
      </c>
      <c r="BM166" s="1042">
        <f>BM165/BI165-1</f>
        <v/>
      </c>
      <c r="BN166" s="1041">
        <f>P166</f>
        <v/>
      </c>
      <c r="BO166" s="1042" t="n"/>
      <c r="BP166" s="1042">
        <f>BP165/BL165-1</f>
        <v/>
      </c>
      <c r="BQ166" s="1042">
        <f>BQ165/BM165-1</f>
        <v/>
      </c>
      <c r="BR166" s="1041">
        <f>Q166</f>
        <v/>
      </c>
      <c r="BT166" s="1042">
        <f>BT165/BP165-1</f>
        <v/>
      </c>
      <c r="BU166" s="1042">
        <f>BU165/BQ165-1</f>
        <v/>
      </c>
      <c r="BV166" s="1041">
        <f>R166</f>
        <v/>
      </c>
      <c r="BX166" s="1042">
        <f>BX165/BT165-1</f>
        <v/>
      </c>
      <c r="BY166" s="1042">
        <f>BY165/BU165-1</f>
        <v/>
      </c>
      <c r="BZ166" s="1041">
        <f>S166</f>
        <v/>
      </c>
      <c r="CB166" s="1042">
        <f>CB165/BX165-1</f>
        <v/>
      </c>
      <c r="CC166" s="1042">
        <f>CC165/BY165-1</f>
        <v/>
      </c>
      <c r="CD166" s="1041">
        <f>T166</f>
        <v/>
      </c>
      <c r="CE166" s="1042" t="n"/>
      <c r="CF166" s="1042">
        <f>CF165/CB165-1</f>
        <v/>
      </c>
      <c r="CG166" s="1042">
        <f>CG165/CC165-1</f>
        <v/>
      </c>
      <c r="CH166" s="1041">
        <f>U166</f>
        <v/>
      </c>
      <c r="CI166" s="1041" t="n"/>
      <c r="CJ166" s="1042">
        <f>CJ165/CF165-1</f>
        <v/>
      </c>
      <c r="CK166" s="1042" t="n"/>
      <c r="CL166" s="1041">
        <f>V166</f>
        <v/>
      </c>
      <c r="CM166" s="1041" t="n"/>
      <c r="CN166" s="1042">
        <f>CN165/CJ165-1</f>
        <v/>
      </c>
      <c r="CO166" s="1042" t="n"/>
      <c r="CP166" s="1042">
        <f>W166</f>
        <v/>
      </c>
      <c r="CQ166" s="1042" t="n"/>
      <c r="CR166" s="1042">
        <f>CR165/CN165-1</f>
        <v/>
      </c>
      <c r="CS166" s="1042">
        <f>CS165/CN165-1</f>
        <v/>
      </c>
      <c r="CT166" s="1042" t="n"/>
      <c r="CU166" s="1042">
        <f>X166</f>
        <v/>
      </c>
      <c r="CV166" s="1042" t="n"/>
      <c r="CW166" s="1042">
        <f>CW165/CR165-1</f>
        <v/>
      </c>
      <c r="CX166" s="1042" t="n"/>
      <c r="CY166" s="1042">
        <f>Y166</f>
        <v/>
      </c>
      <c r="CZ166" s="1042" t="n"/>
      <c r="DA166" s="1042">
        <f>DA165/CW165-1</f>
        <v/>
      </c>
      <c r="DB166" s="1042">
        <f>DB165/CX165-1</f>
        <v/>
      </c>
      <c r="DC166" s="1042">
        <f>Z166</f>
        <v/>
      </c>
      <c r="DD166" s="1042" t="n"/>
      <c r="DE166" s="1042">
        <f>DE165/DA165-1</f>
        <v/>
      </c>
      <c r="DF166" s="1042">
        <f>DF165/DB165-1</f>
        <v/>
      </c>
      <c r="DG166" s="1042">
        <f>AA166</f>
        <v/>
      </c>
      <c r="DH166" s="1042" t="n"/>
      <c r="DI166" s="1042">
        <f>DI165/DE165-1</f>
        <v/>
      </c>
      <c r="DJ166" s="1042">
        <f>DJ165/DF165-1</f>
        <v/>
      </c>
      <c r="DK166" s="1042">
        <f>AB166</f>
        <v/>
      </c>
      <c r="DL166" s="1042" t="n"/>
      <c r="DM166" s="1042">
        <f>DM165/DI165-1</f>
        <v/>
      </c>
      <c r="DN166" s="1042">
        <f>DN165/DJ165-1</f>
        <v/>
      </c>
      <c r="DO166" s="1042">
        <f>AC166</f>
        <v/>
      </c>
      <c r="DP166" s="1042" t="n"/>
      <c r="DQ166" s="1042">
        <f>DQ165/DM165-1</f>
        <v/>
      </c>
      <c r="DR166" s="1042">
        <f>DR165/DN165-1</f>
        <v/>
      </c>
      <c r="DS166" s="1042">
        <f>AD166</f>
        <v/>
      </c>
      <c r="DT166" s="1042" t="n"/>
      <c r="DU166" s="1002">
        <f>DU165/DQ165-1</f>
        <v/>
      </c>
      <c r="DV166" s="1002">
        <f>DV165/DR165-1</f>
        <v/>
      </c>
      <c r="DW166" s="1002">
        <f>AE166</f>
        <v/>
      </c>
      <c r="DX166" s="1042" t="n"/>
      <c r="DY166" s="1002">
        <f>DY165/DU165-1</f>
        <v/>
      </c>
      <c r="DZ166" s="1002">
        <f>DZ165/DV165-1</f>
        <v/>
      </c>
      <c r="EA166" s="1002">
        <f>AF166</f>
        <v/>
      </c>
      <c r="EC166" s="1002">
        <f>EC165/DY165-1</f>
        <v/>
      </c>
      <c r="ED166" s="1002">
        <f>ED165/DZ165-1</f>
        <v/>
      </c>
      <c r="EE166" s="1002">
        <f>AG166</f>
        <v/>
      </c>
      <c r="EF166" s="1002" t="n"/>
      <c r="EG166" s="1002">
        <f>EG165/EC165-1</f>
        <v/>
      </c>
      <c r="EH166" s="809">
        <f>EH165/ED165-1</f>
        <v/>
      </c>
      <c r="EI166" s="809">
        <f>AH166</f>
        <v/>
      </c>
      <c r="EJ166" s="1002" t="n"/>
      <c r="EK166" s="809">
        <f>EK165/EG165-1</f>
        <v/>
      </c>
      <c r="EL166" s="809">
        <f>EL165/EH165-1</f>
        <v/>
      </c>
      <c r="EM166" s="809">
        <f>AI166</f>
        <v/>
      </c>
      <c r="EN166" s="1002" t="n"/>
      <c r="EO166" s="809">
        <f>EO165/EK165-1</f>
        <v/>
      </c>
      <c r="EP166" s="809">
        <f>EP165/EL165-1</f>
        <v/>
      </c>
      <c r="EQ166" s="809">
        <f>AJ166</f>
        <v/>
      </c>
      <c r="ER166" s="809" t="n"/>
      <c r="ES166" s="809">
        <f>ES165/EO165-1</f>
        <v/>
      </c>
      <c r="ET166" s="809">
        <f>ET165/EP165-1</f>
        <v/>
      </c>
      <c r="EU166" s="809">
        <f>AK166</f>
        <v/>
      </c>
      <c r="EV166" s="809" t="n"/>
      <c r="EW166" s="809">
        <f>EW165/ES165-1</f>
        <v/>
      </c>
      <c r="EX166" s="809">
        <f>EX165/ET165-1</f>
        <v/>
      </c>
      <c r="EY166" s="809">
        <f>AL166</f>
        <v/>
      </c>
      <c r="FA166" s="809">
        <f>FA165/EW165-1</f>
        <v/>
      </c>
      <c r="FB166" s="809">
        <f>FB165/EX165-1</f>
        <v/>
      </c>
      <c r="FC166" s="809">
        <f>AM166</f>
        <v/>
      </c>
      <c r="FE166" s="809">
        <f>FE165/FA165-1</f>
        <v/>
      </c>
      <c r="FF166" s="809">
        <f>FF165/FB165-1</f>
        <v/>
      </c>
      <c r="FG166" s="809">
        <f>AN166</f>
        <v/>
      </c>
      <c r="FI166" s="809">
        <f>FI165/FE165-1</f>
        <v/>
      </c>
      <c r="FJ166" s="809">
        <f>FJ165/FF165-1</f>
        <v/>
      </c>
      <c r="FK166" s="809">
        <f>AO166</f>
        <v/>
      </c>
      <c r="FM166" s="809">
        <f>FM165/FI165-1</f>
        <v/>
      </c>
      <c r="FN166" s="809">
        <f>FN165/FJ165-1</f>
        <v/>
      </c>
      <c r="FO166" s="809">
        <f>AP166</f>
        <v/>
      </c>
    </row>
    <row r="167" customFormat="1" s="1150">
      <c r="A167" s="1170" t="inlineStr">
        <is>
          <t>ceps</t>
        </is>
      </c>
      <c r="B167" s="1150" t="inlineStr">
        <is>
          <t>Cash EPS ($)</t>
        </is>
      </c>
      <c r="C167" s="161">
        <f>(C154+C129-C155+C145-C152)/C170</f>
        <v/>
      </c>
      <c r="D167" s="161">
        <f>(D154+D129-D155+D145-D152)/D170</f>
        <v/>
      </c>
      <c r="E167" s="161">
        <f>(E154+E129-E155+E145-E152)/E170</f>
        <v/>
      </c>
      <c r="F167" s="161">
        <f>(F154+F129-F155+F145-F152)/F170</f>
        <v/>
      </c>
      <c r="G167" s="161">
        <f>(G154+G129-G155+G145-G152)/G170</f>
        <v/>
      </c>
      <c r="H167" s="161">
        <f>(H154+H129-H155+H145-H152)/H170</f>
        <v/>
      </c>
      <c r="I167" s="161">
        <f>(I154+I129-I155+I145-I152)/I170</f>
        <v/>
      </c>
      <c r="J167" s="161">
        <f>(J154+J129-J155+J145-J152)/J170</f>
        <v/>
      </c>
      <c r="K167" s="161">
        <f>(K154+K129-K155+K145-K152)/K170</f>
        <v/>
      </c>
      <c r="L167" s="161">
        <f>(L154+L129-L155+L145-L152)/L170</f>
        <v/>
      </c>
      <c r="M167" s="161">
        <f>(M154+M129-M155+M145-M152)/M170</f>
        <v/>
      </c>
      <c r="N167" s="161">
        <f>(N154+N129-N155+N145-N152)/N170</f>
        <v/>
      </c>
      <c r="O167" s="161">
        <f>(O154+O129-O155+O145-O152)/O170</f>
        <v/>
      </c>
      <c r="P167" s="161">
        <f>(P154+P129-P155+P145-P152)/P170</f>
        <v/>
      </c>
      <c r="Q167" s="161">
        <f>(Q154+Q129-Q155+Q145-Q152)/Q170</f>
        <v/>
      </c>
      <c r="R167" s="161">
        <f>(R154+R129-R155+R145-R152)/R170</f>
        <v/>
      </c>
      <c r="S167" s="161">
        <f>(S154+S129-S155+S145-S152)/S170</f>
        <v/>
      </c>
      <c r="T167" s="161">
        <f>(T154+T129-T155+T145-T152)/T170</f>
        <v/>
      </c>
      <c r="U167" s="161">
        <f>(U154+U129-U155+U145-U152)/U170</f>
        <v/>
      </c>
      <c r="V167" s="161">
        <f>(V154+V129-V155+V145-V152)/V170</f>
        <v/>
      </c>
      <c r="W167" s="161">
        <f>(W154+W129-W155+W145-W152)/W170</f>
        <v/>
      </c>
      <c r="X167" s="161">
        <f>(X154+X129-X155+X145-X152)/X170</f>
        <v/>
      </c>
      <c r="Y167" s="161">
        <f>(Y154+Y129-Y155+Y145-Y152)/Y170</f>
        <v/>
      </c>
      <c r="Z167" s="161">
        <f>(Z154+Z129-Z155+Z145-Z152)/Z170</f>
        <v/>
      </c>
      <c r="AA167" s="161">
        <f>(AA154+AA129-AA155+AA145-AA152)/AA170</f>
        <v/>
      </c>
      <c r="AB167" s="161">
        <f>(AB154+AB129-AB155+AB145-AB152)/AB170</f>
        <v/>
      </c>
      <c r="AC167" s="161">
        <f>(AC154+AC129-AC155+AC145-AC152)/AC170</f>
        <v/>
      </c>
      <c r="AD167" s="161">
        <f>(AD154+AD129-AD155+AD145-AD152)/AD170</f>
        <v/>
      </c>
      <c r="AE167" s="161">
        <f>(AE154+AE129-AE155+AE145-AE152)/AE170</f>
        <v/>
      </c>
      <c r="AF167" s="161">
        <f>(AF154+AF129-AF155+AF145-AF152)/AF170</f>
        <v/>
      </c>
      <c r="AG167" s="161">
        <f>(AG154+AG129-AG155+AG145-AG152)/AG170</f>
        <v/>
      </c>
      <c r="AH167" s="161">
        <f>(AH154+AH129-AH155+AH145-AH152)/AH170</f>
        <v/>
      </c>
      <c r="AI167" s="161">
        <f>(AI154+AI129-AI155+AI145-AI152)/AI170</f>
        <v/>
      </c>
      <c r="AJ167" s="161">
        <f>(AJ154+AJ129-AJ155+AJ145-AJ152)/AJ170</f>
        <v/>
      </c>
      <c r="AK167" s="161">
        <f>(AK154+AK129-AK155+AK145-AK152)/AK170</f>
        <v/>
      </c>
      <c r="AL167" s="161">
        <f>(AL154+AL129-AL155+AL145-AL152)/AL170</f>
        <v/>
      </c>
      <c r="AM167" s="161">
        <f>(AM154+AM129-AM155+AM145-AM152)/AM170</f>
        <v/>
      </c>
      <c r="AN167" s="161">
        <f>(AN154+AN129-AN155+AN145-AN152)/AN170</f>
        <v/>
      </c>
      <c r="AO167" s="161">
        <f>(AO154+AO129-AO155+AO145-AO152)/AO170</f>
        <v/>
      </c>
      <c r="AP167" s="161">
        <f>(AP154+AP129-AP155+AP145-AP152)/AP170</f>
        <v/>
      </c>
      <c r="AQ167" s="161">
        <f>(AQ154+AQ129-AQ155+AQ145-AQ152)/AQ170</f>
        <v/>
      </c>
      <c r="AR167" s="161">
        <f>(AR154+AR129-AR155+AR145-AR152)/AR170</f>
        <v/>
      </c>
      <c r="AS167" s="161">
        <f>(AS154+AS129-AS155+AS145-AS152)/AS170</f>
        <v/>
      </c>
      <c r="AT167" s="161">
        <f>(AT154+AT129-AT155+AT145-AT152)/AT170</f>
        <v/>
      </c>
      <c r="AU167" s="317" t="n"/>
      <c r="AV167" s="161">
        <f>(AV159+AV129-AV145-AV152)/AV170</f>
        <v/>
      </c>
      <c r="AW167" s="161">
        <f>(AW159+AW129-AW145-AW152)/AW170</f>
        <v/>
      </c>
      <c r="AX167" s="164">
        <f>L167</f>
        <v/>
      </c>
      <c r="AY167" s="1210" t="n"/>
      <c r="AZ167" s="161">
        <f>(AZ159+AZ129-AZ145-AZ152)/AZ170</f>
        <v/>
      </c>
      <c r="BA167" s="161">
        <f>(BA159+BA129-BA145-BA152)/BA170</f>
        <v/>
      </c>
      <c r="BB167" s="1222">
        <f>M167</f>
        <v/>
      </c>
      <c r="BD167" s="161">
        <f>(BD159+BD129-BD145-BD152)/BD170</f>
        <v/>
      </c>
      <c r="BE167" s="161">
        <f>(BE159+BE129-BE145-BE152)/BE170</f>
        <v/>
      </c>
      <c r="BF167" s="1222">
        <f>N167</f>
        <v/>
      </c>
      <c r="BH167" s="161">
        <f>(BH159+BH129-BH145-BH152)/BH170</f>
        <v/>
      </c>
      <c r="BI167" s="161">
        <f>(BI159+BI129-BI145-BI152)/BI170</f>
        <v/>
      </c>
      <c r="BJ167" s="1222">
        <f>O167</f>
        <v/>
      </c>
      <c r="BL167" s="161">
        <f>(BL159+BL129-BL145-BL152)/BL170</f>
        <v/>
      </c>
      <c r="BM167" s="161">
        <f>(BM159+BM129-BM145-BM152)/BM170</f>
        <v/>
      </c>
      <c r="BN167" s="1222">
        <f>P167</f>
        <v/>
      </c>
      <c r="BO167" s="161" t="n"/>
      <c r="BP167" s="161">
        <f>(BP159+BP129-BP145-BP152)/BP170</f>
        <v/>
      </c>
      <c r="BQ167" s="161">
        <f>(BQ159+BQ129-BQ145-BQ152)/BQ170</f>
        <v/>
      </c>
      <c r="BR167" s="1222">
        <f>Q167</f>
        <v/>
      </c>
      <c r="BT167" s="161">
        <f>(BT159+BT129-BT145-BT152)/BT170</f>
        <v/>
      </c>
      <c r="BU167" s="161">
        <f>(BU159+BU129-BU145-BU152)/BU170</f>
        <v/>
      </c>
      <c r="BV167" s="1222">
        <f>R167</f>
        <v/>
      </c>
      <c r="BX167" s="161">
        <f>(BX159+BX129-BX145-BX152)/BX170</f>
        <v/>
      </c>
      <c r="BY167" s="161">
        <f>(BY159+BY129-BY145-BY152)/BY170</f>
        <v/>
      </c>
      <c r="BZ167" s="1222">
        <f>S167</f>
        <v/>
      </c>
      <c r="CB167" s="161">
        <f>(CB159+CB129-CB145-CB152)/CB170</f>
        <v/>
      </c>
      <c r="CC167" s="161">
        <f>(CC159+CC129-CC145-CC152)/CC170</f>
        <v/>
      </c>
      <c r="CD167" s="1222">
        <f>T167</f>
        <v/>
      </c>
      <c r="CE167" s="161" t="n"/>
      <c r="CF167" s="161">
        <f>(CF159+CF129-CF145-CF152)/CF170</f>
        <v/>
      </c>
      <c r="CG167" s="161" t="n"/>
      <c r="CH167" s="1222">
        <f>U167</f>
        <v/>
      </c>
      <c r="CI167" s="1222" t="n"/>
      <c r="CJ167" s="161">
        <f>(CJ159+CJ129-CJ145-CJ152)/CJ170</f>
        <v/>
      </c>
      <c r="CK167" s="161" t="n"/>
      <c r="CL167" s="1222">
        <f>V167</f>
        <v/>
      </c>
      <c r="CM167" s="1222" t="n"/>
      <c r="CN167" s="161">
        <f>(CN159+CN129-CN145-CN152)/CN170</f>
        <v/>
      </c>
      <c r="CO167" s="1210">
        <f>CP167-CN167</f>
        <v/>
      </c>
      <c r="CP167" s="161">
        <f>W167</f>
        <v/>
      </c>
      <c r="CQ167" s="161" t="n"/>
      <c r="CR167" s="161">
        <f>(CR159+CR129-CR145-CR152)/CR170</f>
        <v/>
      </c>
      <c r="CS167" s="161">
        <f>(CS159+CS129-CS145-CS152)/CS170</f>
        <v/>
      </c>
      <c r="CT167" s="1210" t="n"/>
      <c r="CU167" s="161">
        <f>X167</f>
        <v/>
      </c>
      <c r="CV167" s="161" t="n"/>
      <c r="CW167" s="161">
        <f>(CW159+CW129-CW145-CW152)/CW170</f>
        <v/>
      </c>
      <c r="CX167" s="1210" t="n"/>
      <c r="CY167" s="161">
        <f>Y167</f>
        <v/>
      </c>
      <c r="CZ167" s="161" t="n"/>
      <c r="DA167" s="161">
        <f>(DA159+DA129-DA145-DA152)/DA170</f>
        <v/>
      </c>
      <c r="DB167" s="1221">
        <f>+DC167-DA167</f>
        <v/>
      </c>
      <c r="DC167" s="161">
        <f>Z167</f>
        <v/>
      </c>
      <c r="DD167" s="161" t="n"/>
      <c r="DE167" s="161">
        <f>(DE159+DE129-DE145-DE152)/DE170</f>
        <v/>
      </c>
      <c r="DF167" s="1221">
        <f>+DG167-DE167</f>
        <v/>
      </c>
      <c r="DG167" s="161">
        <f>AA167</f>
        <v/>
      </c>
      <c r="DH167" s="161" t="n"/>
      <c r="DI167" s="161">
        <f>(DI159+DI129-DI145-DI152)/DI170</f>
        <v/>
      </c>
      <c r="DJ167" s="1221">
        <f>+DK167-DI167</f>
        <v/>
      </c>
      <c r="DK167" s="161">
        <f>AB167</f>
        <v/>
      </c>
      <c r="DL167" s="161" t="n"/>
      <c r="DM167" s="161">
        <f>(DM159+DM129-DM145-DM152)/DM170</f>
        <v/>
      </c>
      <c r="DN167" s="1221">
        <f>+DO167-DM167</f>
        <v/>
      </c>
      <c r="DO167" s="161">
        <f>AC167</f>
        <v/>
      </c>
      <c r="DP167" s="161" t="n"/>
      <c r="DQ167" s="161">
        <f>(DQ159+DQ129-DQ145-DQ152)/DQ170</f>
        <v/>
      </c>
      <c r="DR167" s="1221">
        <f>+DS167-DQ167</f>
        <v/>
      </c>
      <c r="DS167" s="1221">
        <f>AD167</f>
        <v/>
      </c>
      <c r="DT167" s="1221" t="n"/>
      <c r="DU167" s="161">
        <f>(DU154+DU129-DU155+DU145-DU152)/DU170</f>
        <v/>
      </c>
      <c r="DV167" s="161">
        <f>+DW167-DU167</f>
        <v/>
      </c>
      <c r="DW167" s="161">
        <f>AE167</f>
        <v/>
      </c>
      <c r="DX167" s="1221" t="n"/>
      <c r="DY167" s="161">
        <f>(DY154+DY129-DY155+DY145-DY152)/DY170</f>
        <v/>
      </c>
      <c r="DZ167" s="161">
        <f>+EA167-DY167</f>
        <v/>
      </c>
      <c r="EA167" s="161">
        <f>AF167</f>
        <v/>
      </c>
      <c r="EC167" s="161">
        <f>(EC154+EC129-EC155+EC145-EC152)/EC170</f>
        <v/>
      </c>
      <c r="ED167" s="161">
        <f>+EE167-EC167</f>
        <v/>
      </c>
      <c r="EE167" s="161">
        <f>AG167</f>
        <v/>
      </c>
      <c r="EF167" s="161" t="n"/>
      <c r="EG167" s="161">
        <f>(EG154+EG129-EG155+EG145-EG152)/EG170</f>
        <v/>
      </c>
      <c r="EH167" s="161">
        <f>+EI167-EG167</f>
        <v/>
      </c>
      <c r="EI167" s="161">
        <f>AH167</f>
        <v/>
      </c>
      <c r="EJ167" s="161" t="n"/>
      <c r="EK167" s="161">
        <f>(EK154+EK129-EK155+EK145-EK152)/EK170</f>
        <v/>
      </c>
      <c r="EL167" s="161">
        <f>+EM167-EK167</f>
        <v/>
      </c>
      <c r="EM167" s="161">
        <f>AI167</f>
        <v/>
      </c>
      <c r="EN167" s="161" t="n"/>
      <c r="EO167" s="161">
        <f>(EO154+EO129-EO155+EO145-EO152)/EO170</f>
        <v/>
      </c>
      <c r="EP167" s="161">
        <f>+EQ167-EO167</f>
        <v/>
      </c>
      <c r="EQ167" s="161">
        <f>AJ167</f>
        <v/>
      </c>
      <c r="ER167" s="161" t="n"/>
      <c r="ES167" s="161">
        <f>(ES154+ES129-ES155+ES145-ES152)/ES170</f>
        <v/>
      </c>
      <c r="ET167" s="161">
        <f>+EU167-ES167</f>
        <v/>
      </c>
      <c r="EU167" s="161">
        <f>AK167</f>
        <v/>
      </c>
      <c r="EV167" s="161" t="n"/>
      <c r="EW167" s="161">
        <f>(EW154+EW129-EW155+EW145-EW152)/EW170</f>
        <v/>
      </c>
      <c r="EX167" s="161">
        <f>+EY167-EW167</f>
        <v/>
      </c>
      <c r="EY167" s="161">
        <f>AL167</f>
        <v/>
      </c>
      <c r="FA167" s="161">
        <f>(FA154+FA129-FA155+FA145-FA152)/FA170</f>
        <v/>
      </c>
      <c r="FB167" s="161">
        <f>+FC167-FA167</f>
        <v/>
      </c>
      <c r="FC167" s="161">
        <f>AM167</f>
        <v/>
      </c>
      <c r="FE167" s="161">
        <f>(FE154+FE129-FE155+FE145-FE152)/FE170</f>
        <v/>
      </c>
      <c r="FF167" s="161">
        <f>+FG167-FE167</f>
        <v/>
      </c>
      <c r="FG167" s="161">
        <f>AN167</f>
        <v/>
      </c>
      <c r="FI167" s="161">
        <f>(FI154+FI129-FI155+FI145-FI152)/FI170</f>
        <v/>
      </c>
      <c r="FJ167" s="161">
        <f>+FK167-FI167</f>
        <v/>
      </c>
      <c r="FK167" s="161">
        <f>AO167</f>
        <v/>
      </c>
      <c r="FM167" s="161">
        <f>(FM154+FM129-FM155+FM145-FM152)/FM170</f>
        <v/>
      </c>
      <c r="FN167" s="161">
        <f>(FN154+FN129-FN155+FN145-FN152)/FN170</f>
        <v/>
      </c>
      <c r="FO167" s="161">
        <f>AP167</f>
        <v/>
      </c>
    </row>
    <row r="168" customFormat="1" s="1150">
      <c r="A168" s="1170" t="inlineStr">
        <is>
          <t>dps</t>
        </is>
      </c>
      <c r="B168" s="1150" t="inlineStr">
        <is>
          <t>DPS ($)</t>
        </is>
      </c>
      <c r="C168" s="222" t="n">
        <v>0.2</v>
      </c>
      <c r="D168" s="222" t="n">
        <v>0.28</v>
      </c>
      <c r="E168" s="222" t="n">
        <v>0.36</v>
      </c>
      <c r="F168" s="222">
        <f>-F188/F170</f>
        <v/>
      </c>
      <c r="G168" s="222">
        <f>-G188/G170</f>
        <v/>
      </c>
      <c r="H168" s="222">
        <f>-H188/H170</f>
        <v/>
      </c>
      <c r="I168" s="222">
        <f>-I188/I170</f>
        <v/>
      </c>
      <c r="J168" s="222">
        <f>-J188/J170</f>
        <v/>
      </c>
      <c r="K168" s="222" t="n">
        <v>0.48</v>
      </c>
      <c r="L168" s="222" t="n">
        <v>0.53</v>
      </c>
      <c r="M168" s="222" t="n">
        <v>0.29</v>
      </c>
      <c r="N168" s="222" t="n">
        <v>0.1</v>
      </c>
      <c r="O168" s="222">
        <f>-O188/O170</f>
        <v/>
      </c>
      <c r="P168" s="222" t="n">
        <v>0.65</v>
      </c>
      <c r="Q168" s="222" t="n">
        <v>0.175</v>
      </c>
      <c r="R168" s="222">
        <f>R188/-R170</f>
        <v/>
      </c>
      <c r="S168" s="222" t="n">
        <v>0.48</v>
      </c>
      <c r="T168" s="222" t="n">
        <v>0.65</v>
      </c>
      <c r="U168" s="222">
        <f>0.28+0.2</f>
        <v/>
      </c>
      <c r="V168" s="222" t="n">
        <v>0.84</v>
      </c>
      <c r="W168" s="222" t="n">
        <v>0.84</v>
      </c>
      <c r="X168" s="222" t="n">
        <v>0.03</v>
      </c>
      <c r="Y168" s="222" t="n">
        <v>0.1</v>
      </c>
      <c r="Z168" s="222">
        <f>0.33+0.78</f>
        <v/>
      </c>
      <c r="AA168" s="222" t="n">
        <v>0.52</v>
      </c>
      <c r="AB168" s="222" t="n">
        <v>0.08</v>
      </c>
      <c r="AC168" s="222" t="n">
        <v>0.22</v>
      </c>
      <c r="AD168" s="222">
        <f>0.36</f>
        <v/>
      </c>
      <c r="AE168" s="222">
        <f>0.53</f>
        <v/>
      </c>
      <c r="AF168" s="222" t="n">
        <v>0.05</v>
      </c>
      <c r="AG168" s="222" t="n">
        <v>0.05</v>
      </c>
      <c r="AH168" s="222" t="n">
        <v>0.3</v>
      </c>
      <c r="AI168" s="222" t="n">
        <v>0.18</v>
      </c>
      <c r="AJ168" s="222" t="n">
        <v>0</v>
      </c>
      <c r="AK168" s="222" t="n">
        <v>0</v>
      </c>
      <c r="AL168" s="222" t="n">
        <v>0</v>
      </c>
      <c r="AM168" s="222" t="n">
        <v>0.43</v>
      </c>
      <c r="AN168" s="222" t="n">
        <v>0.6899999999999999</v>
      </c>
      <c r="AO168" s="160">
        <f>IF((AO159-AO162)/AO170*50%&lt;0,0,(AO159-AO162)/AO170*50%)</f>
        <v/>
      </c>
      <c r="AP168" s="160">
        <f>IF((AP159-AP162)/AP170*50%&lt;0,0,(AP159-AP162)/AP170*50%)</f>
        <v/>
      </c>
      <c r="AQ168" s="160">
        <f>IF(AQ165*AQ169/100&lt;0,0,AQ165*AQ169/100)</f>
        <v/>
      </c>
      <c r="AR168" s="160">
        <f>IF(AR165*AR169/100&lt;0,0,AR165*AR169/100)</f>
        <v/>
      </c>
      <c r="AS168" s="160">
        <f>IF(AS165*AS169/100&lt;0,0,AS165*AS169/100)</f>
        <v/>
      </c>
      <c r="AT168" s="160">
        <f>IF(AT165*AT169/100&lt;0,0,AT165*AT169/100)</f>
        <v/>
      </c>
      <c r="AU168" s="214" t="n"/>
      <c r="AV168" s="1221" t="n">
        <v>0.115</v>
      </c>
      <c r="AW168" s="100">
        <f>AX168-AV168</f>
        <v/>
      </c>
      <c r="AX168" s="164">
        <f>L168</f>
        <v/>
      </c>
      <c r="AY168" s="1210" t="n"/>
      <c r="AZ168" s="1221" t="n">
        <v>0.115</v>
      </c>
      <c r="BA168" s="100">
        <f>BB168-AZ168</f>
        <v/>
      </c>
      <c r="BB168" s="1222">
        <f>M168</f>
        <v/>
      </c>
      <c r="BD168" s="100" t="n">
        <v>0.03</v>
      </c>
      <c r="BE168" s="100">
        <f>BF168-BD168</f>
        <v/>
      </c>
      <c r="BF168" s="1222">
        <f>N168</f>
        <v/>
      </c>
      <c r="BH168" s="100" t="n">
        <v>0.03</v>
      </c>
      <c r="BI168" s="100">
        <f>BJ168-BH168</f>
        <v/>
      </c>
      <c r="BJ168" s="1222">
        <f>O168</f>
        <v/>
      </c>
      <c r="BL168" s="100" t="n">
        <v>0.2</v>
      </c>
      <c r="BM168" s="100">
        <f>BN168-BL168</f>
        <v/>
      </c>
      <c r="BN168" s="1222">
        <f>P168</f>
        <v/>
      </c>
      <c r="BO168" s="100" t="n"/>
      <c r="BP168" s="100" t="n">
        <v>0.125</v>
      </c>
      <c r="BQ168" s="100">
        <f>BR168-BP168</f>
        <v/>
      </c>
      <c r="BR168" s="1222">
        <f>Q168</f>
        <v/>
      </c>
      <c r="BT168" s="100" t="n">
        <v>0.16</v>
      </c>
      <c r="BU168" s="100">
        <f>BV168-BT168</f>
        <v/>
      </c>
      <c r="BV168" s="1222">
        <f>R168</f>
        <v/>
      </c>
      <c r="BX168" s="100" t="n">
        <v>0.03</v>
      </c>
      <c r="BY168" s="100">
        <f>BZ168-BX168</f>
        <v/>
      </c>
      <c r="BZ168" s="1222">
        <f>S168</f>
        <v/>
      </c>
      <c r="CB168" s="100" t="n">
        <v>0.2</v>
      </c>
      <c r="CC168" s="100">
        <f>CD168-CB168</f>
        <v/>
      </c>
      <c r="CD168" s="1222">
        <f>T168</f>
        <v/>
      </c>
      <c r="CE168" s="100" t="n"/>
      <c r="CF168" s="100" t="n">
        <v>0.2</v>
      </c>
      <c r="CG168" s="100">
        <f>CH168-CF168</f>
        <v/>
      </c>
      <c r="CH168" s="1222">
        <f>U168</f>
        <v/>
      </c>
      <c r="CI168" s="1222" t="n"/>
      <c r="CJ168" s="100" t="n">
        <v>0.2</v>
      </c>
      <c r="CK168" s="100" t="n"/>
      <c r="CL168" s="1222">
        <f>V168</f>
        <v/>
      </c>
      <c r="CM168" s="1222" t="n"/>
      <c r="CN168" s="100" t="n">
        <v>0.25</v>
      </c>
      <c r="CO168" s="100" t="n">
        <v>0.25</v>
      </c>
      <c r="CP168" s="100">
        <f>W168</f>
        <v/>
      </c>
      <c r="CQ168" s="100" t="n"/>
      <c r="CR168" s="100" t="n">
        <v>0.03</v>
      </c>
      <c r="CS168" s="100" t="n">
        <v>0.03</v>
      </c>
      <c r="CT168" s="100" t="n"/>
      <c r="CU168" s="100">
        <f>X168</f>
        <v/>
      </c>
      <c r="CV168" s="100" t="n"/>
      <c r="CW168" s="100" t="n">
        <v>0.03</v>
      </c>
      <c r="CX168" s="100" t="n"/>
      <c r="CY168" s="100">
        <f>Y168</f>
        <v/>
      </c>
      <c r="CZ168" s="100" t="n"/>
      <c r="DA168" s="100" t="n">
        <v>0.33</v>
      </c>
      <c r="DB168" s="1221">
        <f>+DC168-DA168</f>
        <v/>
      </c>
      <c r="DC168" s="100">
        <f>Z168</f>
        <v/>
      </c>
      <c r="DD168" s="100" t="n"/>
      <c r="DE168" s="100" t="n">
        <v>0.18</v>
      </c>
      <c r="DF168" s="1221">
        <f>+DG168-DE168</f>
        <v/>
      </c>
      <c r="DG168" s="100">
        <f>AA168</f>
        <v/>
      </c>
      <c r="DH168" s="100" t="n"/>
      <c r="DI168" s="100" t="n">
        <v>0</v>
      </c>
      <c r="DJ168" s="1221">
        <f>+DK168-DI168</f>
        <v/>
      </c>
      <c r="DK168" s="100">
        <f>AB168</f>
        <v/>
      </c>
      <c r="DL168" s="100" t="n"/>
      <c r="DM168" s="100" t="n">
        <v>0.06</v>
      </c>
      <c r="DN168" s="1221">
        <f>+DO168-DM168</f>
        <v/>
      </c>
      <c r="DO168" s="100">
        <f>AC168</f>
        <v/>
      </c>
      <c r="DP168" s="100" t="n"/>
      <c r="DQ168" s="229" t="n">
        <v>0.1</v>
      </c>
      <c r="DR168" s="1221">
        <f>+DS168-DQ168</f>
        <v/>
      </c>
      <c r="DS168" s="1221">
        <f>AD168</f>
        <v/>
      </c>
      <c r="DT168" s="1221" t="n"/>
      <c r="DU168" s="229" t="n">
        <v>0.26</v>
      </c>
      <c r="DV168" s="161">
        <f>AE168/2</f>
        <v/>
      </c>
      <c r="DW168" s="161">
        <f>AE168</f>
        <v/>
      </c>
      <c r="DX168" s="1221" t="n"/>
      <c r="DY168" s="229" t="n">
        <v>0.05</v>
      </c>
      <c r="DZ168" s="161">
        <f>EA168-DY168</f>
        <v/>
      </c>
      <c r="EA168" s="161">
        <f>AF168</f>
        <v/>
      </c>
      <c r="EC168" s="229" t="n">
        <v>0</v>
      </c>
      <c r="ED168" s="161">
        <f>EE168-EC168</f>
        <v/>
      </c>
      <c r="EE168" s="161">
        <f>AG168</f>
        <v/>
      </c>
      <c r="EF168" s="161" t="n"/>
      <c r="EG168" s="229" t="n">
        <v>0.1</v>
      </c>
      <c r="EH168" s="161">
        <f>EI168-EG168</f>
        <v/>
      </c>
      <c r="EI168" s="161">
        <f>AH168</f>
        <v/>
      </c>
      <c r="EJ168" s="161" t="n"/>
      <c r="EK168" s="229" t="n">
        <v>0.18</v>
      </c>
      <c r="EL168" s="161">
        <f>EM168-EK168</f>
        <v/>
      </c>
      <c r="EM168" s="161">
        <f>AI168</f>
        <v/>
      </c>
      <c r="EN168" s="1213" t="n"/>
      <c r="EO168" s="229" t="n">
        <v>0</v>
      </c>
      <c r="EP168" s="161">
        <f>EQ168-EO168</f>
        <v/>
      </c>
      <c r="EQ168" s="161">
        <f>AJ168</f>
        <v/>
      </c>
      <c r="ER168" s="161" t="n"/>
      <c r="ES168" s="229" t="n">
        <v>0</v>
      </c>
      <c r="ET168" s="161">
        <f>EU168-ES168</f>
        <v/>
      </c>
      <c r="EU168" s="161">
        <f>AK168</f>
        <v/>
      </c>
      <c r="EV168" s="161" t="n"/>
      <c r="EW168" s="229" t="n">
        <v>0</v>
      </c>
      <c r="EX168" s="161">
        <f>EY168-EW168</f>
        <v/>
      </c>
      <c r="EY168" s="161">
        <f>AL168</f>
        <v/>
      </c>
      <c r="FA168" s="229" t="n">
        <v>0</v>
      </c>
      <c r="FB168" s="161">
        <f>FC168-FA168</f>
        <v/>
      </c>
      <c r="FC168" s="161">
        <f>AM168</f>
        <v/>
      </c>
      <c r="FE168" s="229" t="n">
        <v>0.2</v>
      </c>
      <c r="FF168" s="161">
        <f>FG168-FE168</f>
        <v/>
      </c>
      <c r="FG168" s="161">
        <f>AN168</f>
        <v/>
      </c>
      <c r="FH168" s="994" t="n"/>
      <c r="FI168" s="229" t="n">
        <v>0.2</v>
      </c>
      <c r="FJ168" s="161">
        <f>FK168-FI168</f>
        <v/>
      </c>
      <c r="FK168" s="161">
        <f>AO168</f>
        <v/>
      </c>
      <c r="FM168" s="229" t="n">
        <v>0.26</v>
      </c>
      <c r="FN168" s="160">
        <f>FO168-FM168</f>
        <v/>
      </c>
      <c r="FO168" s="161">
        <f>AP168</f>
        <v/>
      </c>
    </row>
    <row r="169" customFormat="1" s="1150">
      <c r="A169" s="1170" t="n"/>
      <c r="B169" s="1150" t="inlineStr">
        <is>
          <t>Payout ratio (%)</t>
        </is>
      </c>
      <c r="C169" s="1150">
        <f>C168/C165*100</f>
        <v/>
      </c>
      <c r="D169" s="1150">
        <f>D168/D165*100</f>
        <v/>
      </c>
      <c r="E169" s="1150">
        <f>E168/E165*100</f>
        <v/>
      </c>
      <c r="F169" s="1150">
        <f>F168/F165*100</f>
        <v/>
      </c>
      <c r="G169" s="1150">
        <f>G168/G165*100</f>
        <v/>
      </c>
      <c r="H169" s="1150">
        <f>H168/H165*100</f>
        <v/>
      </c>
      <c r="I169" s="1150">
        <f>I168/I165*100</f>
        <v/>
      </c>
      <c r="J169" s="1150">
        <f>J168/J165*100</f>
        <v/>
      </c>
      <c r="K169" s="1150">
        <f>K168/K165*100</f>
        <v/>
      </c>
      <c r="L169" s="1171">
        <f>L168/L165*100</f>
        <v/>
      </c>
      <c r="M169" s="1171">
        <f>M168/M165*100</f>
        <v/>
      </c>
      <c r="N169" s="1171">
        <f>N168/N165*100</f>
        <v/>
      </c>
      <c r="O169" s="1171">
        <f>O168/O165*100</f>
        <v/>
      </c>
      <c r="P169" s="1171">
        <f>P168/P165*100</f>
        <v/>
      </c>
      <c r="Q169" s="1171">
        <f>Q168/Q165*100</f>
        <v/>
      </c>
      <c r="R169" s="1171">
        <f>S168/R165*100</f>
        <v/>
      </c>
      <c r="S169" s="1171">
        <f>T168/S165*100</f>
        <v/>
      </c>
      <c r="T169" s="1171">
        <f>T168/T165*100</f>
        <v/>
      </c>
      <c r="U169" s="1171">
        <f>U168/U165*100</f>
        <v/>
      </c>
      <c r="V169" s="1171">
        <f>V168/V165*100</f>
        <v/>
      </c>
      <c r="W169" s="1171">
        <f>W168/W165*100</f>
        <v/>
      </c>
      <c r="X169" s="1171">
        <f>X168/X165*100</f>
        <v/>
      </c>
      <c r="Y169" s="1171">
        <f>Y168/Y165*100</f>
        <v/>
      </c>
      <c r="Z169" s="1171">
        <f>Z168/Z165*100</f>
        <v/>
      </c>
      <c r="AA169" s="1171">
        <f>AA168/AA165*100</f>
        <v/>
      </c>
      <c r="AB169" s="1171">
        <f>AB168/AB165*100</f>
        <v/>
      </c>
      <c r="AC169" s="1171">
        <f>AC168/AC165*100</f>
        <v/>
      </c>
      <c r="AD169" s="1171">
        <f>AD168/AD165*100</f>
        <v/>
      </c>
      <c r="AE169" s="1171">
        <f>AE168/AE165*100</f>
        <v/>
      </c>
      <c r="AF169" s="1171">
        <f>AF168/AF165*100</f>
        <v/>
      </c>
      <c r="AG169" s="1171">
        <f>AG168/AG165*100</f>
        <v/>
      </c>
      <c r="AH169" s="1171">
        <f>AH168/AH165*100</f>
        <v/>
      </c>
      <c r="AI169" s="1171">
        <f>AI168/AI165*100</f>
        <v/>
      </c>
      <c r="AJ169" s="1171" t="n">
        <v>0</v>
      </c>
      <c r="AK169" s="1171">
        <f>AK168/AK165*100</f>
        <v/>
      </c>
      <c r="AL169" s="1171">
        <f>AL168/AL165*100</f>
        <v/>
      </c>
      <c r="AM169" s="1171">
        <f>AM168/AM165*100</f>
        <v/>
      </c>
      <c r="AN169" s="1171">
        <f>AN168/AN165*100</f>
        <v/>
      </c>
      <c r="AO169" s="1171">
        <f>AO168/AO165*100</f>
        <v/>
      </c>
      <c r="AP169" s="1171">
        <f>AP168/AP165*100</f>
        <v/>
      </c>
      <c r="AQ169" s="1226" t="n">
        <v>50</v>
      </c>
      <c r="AR169" s="1226" t="n">
        <v>50</v>
      </c>
      <c r="AS169" s="1226" t="n">
        <v>50</v>
      </c>
      <c r="AT169" s="1226" t="n">
        <v>50</v>
      </c>
      <c r="AU169" s="317" t="n"/>
      <c r="AV169" s="1171">
        <f>AV168/AV165*100</f>
        <v/>
      </c>
      <c r="AW169" s="1171">
        <f>AW168/AW165*100</f>
        <v/>
      </c>
      <c r="AX169" s="964">
        <f>L169</f>
        <v/>
      </c>
      <c r="AY169" s="1210" t="n"/>
      <c r="AZ169" s="1171">
        <f>AZ168/AZ165*100</f>
        <v/>
      </c>
      <c r="BA169" s="1171">
        <f>BA168/BA165*100</f>
        <v/>
      </c>
      <c r="BB169" s="1211">
        <f>M169</f>
        <v/>
      </c>
      <c r="BD169" s="1171">
        <f>BD168/BD165*100</f>
        <v/>
      </c>
      <c r="BE169" s="1171">
        <f>BE168/BE165*100</f>
        <v/>
      </c>
      <c r="BF169" s="1211">
        <f>N169</f>
        <v/>
      </c>
      <c r="BH169" s="1171">
        <f>BH168/BH165*100</f>
        <v/>
      </c>
      <c r="BI169" s="1171">
        <f>BI168/BI165*100</f>
        <v/>
      </c>
      <c r="BJ169" s="1211">
        <f>O169</f>
        <v/>
      </c>
      <c r="BL169" s="1171">
        <f>BL168/BL165*100</f>
        <v/>
      </c>
      <c r="BM169" s="1171">
        <f>BM168/BM165*100</f>
        <v/>
      </c>
      <c r="BN169" s="1211">
        <f>P169</f>
        <v/>
      </c>
      <c r="BO169" s="1171" t="n"/>
      <c r="BP169" s="1171">
        <f>BP168/BP165*100</f>
        <v/>
      </c>
      <c r="BQ169" s="1171">
        <f>BQ168/BQ165*100</f>
        <v/>
      </c>
      <c r="BR169" s="1211">
        <f>Q169</f>
        <v/>
      </c>
      <c r="BT169" s="1171">
        <f>BT168/BT165*100</f>
        <v/>
      </c>
      <c r="BU169" s="1171">
        <f>BU168/BU165*100</f>
        <v/>
      </c>
      <c r="BV169" s="1211">
        <f>R169</f>
        <v/>
      </c>
      <c r="BX169" s="1171">
        <f>BX168/BX165*100</f>
        <v/>
      </c>
      <c r="BY169" s="1171">
        <f>BY168/BY165*100</f>
        <v/>
      </c>
      <c r="BZ169" s="1211">
        <f>S169</f>
        <v/>
      </c>
      <c r="CB169" s="1171">
        <f>CB168/CB165*100</f>
        <v/>
      </c>
      <c r="CC169" s="1171">
        <f>CC168/CC165*100</f>
        <v/>
      </c>
      <c r="CD169" s="1211">
        <f>T169</f>
        <v/>
      </c>
      <c r="CE169" s="1171" t="n"/>
      <c r="CF169" s="1171">
        <f>CF168/CF165*100</f>
        <v/>
      </c>
      <c r="CG169" s="1171" t="n"/>
      <c r="CH169" s="1211">
        <f>U169</f>
        <v/>
      </c>
      <c r="CI169" s="1211" t="n"/>
      <c r="CJ169" s="1171">
        <f>CJ168/CJ165*100</f>
        <v/>
      </c>
      <c r="CK169" s="1171" t="n"/>
      <c r="CL169" s="1211">
        <f>V169</f>
        <v/>
      </c>
      <c r="CM169" s="1211" t="n"/>
      <c r="CN169" s="1171">
        <f>CN168/CN165*100</f>
        <v/>
      </c>
      <c r="CO169" s="1171">
        <f>CO168/CO165*100</f>
        <v/>
      </c>
      <c r="CP169" s="1171">
        <f>W169</f>
        <v/>
      </c>
      <c r="CQ169" s="1171" t="n"/>
      <c r="CR169" s="1171">
        <f>CR168/CR165*100</f>
        <v/>
      </c>
      <c r="CS169" s="1171">
        <f>CS168/CS165*100</f>
        <v/>
      </c>
      <c r="CT169" s="1171" t="n"/>
      <c r="CU169" s="1171">
        <f>X169</f>
        <v/>
      </c>
      <c r="CV169" s="1171" t="n"/>
      <c r="CW169" s="1171">
        <f>CW168/CW165*100</f>
        <v/>
      </c>
      <c r="CX169" s="1171" t="n"/>
      <c r="CY169" s="1171">
        <f>Y169</f>
        <v/>
      </c>
      <c r="CZ169" s="1171" t="n"/>
      <c r="DA169" s="1171">
        <f>DA168/DA165*100</f>
        <v/>
      </c>
      <c r="DB169" s="1171">
        <f>DB168/DB165*100</f>
        <v/>
      </c>
      <c r="DC169" s="1171">
        <f>Z169</f>
        <v/>
      </c>
      <c r="DD169" s="1171" t="n"/>
      <c r="DE169" s="1171">
        <f>DE168/DE165*100</f>
        <v/>
      </c>
      <c r="DF169" s="1171">
        <f>DF168/DF165*100</f>
        <v/>
      </c>
      <c r="DG169" s="1171">
        <f>AA169</f>
        <v/>
      </c>
      <c r="DH169" s="1171" t="n"/>
      <c r="DI169" s="1171">
        <f>DI168/DI165*100</f>
        <v/>
      </c>
      <c r="DJ169" s="1171">
        <f>DJ168/DJ165*100</f>
        <v/>
      </c>
      <c r="DK169" s="1171">
        <f>AB169</f>
        <v/>
      </c>
      <c r="DL169" s="1171" t="n"/>
      <c r="DM169" s="1171">
        <f>DM168/DM165*100</f>
        <v/>
      </c>
      <c r="DN169" s="1171">
        <f>DN168/DN165*100</f>
        <v/>
      </c>
      <c r="DO169" s="1171">
        <f>AC169</f>
        <v/>
      </c>
      <c r="DP169" s="1171" t="n"/>
      <c r="DQ169" s="1171">
        <f>DQ168/DQ165*100</f>
        <v/>
      </c>
      <c r="DR169" s="1171">
        <f>DR168/DR165*100</f>
        <v/>
      </c>
      <c r="DS169" s="1171">
        <f>AD169</f>
        <v/>
      </c>
      <c r="DT169" s="1171" t="n"/>
      <c r="DU169" s="1171">
        <f>DU168/DU165*100</f>
        <v/>
      </c>
      <c r="DV169" s="1171">
        <f>DV168/DV165*100</f>
        <v/>
      </c>
      <c r="DW169" s="1171">
        <f>AE169</f>
        <v/>
      </c>
      <c r="DX169" s="1171" t="n"/>
      <c r="DY169" s="1171">
        <f>DY168/DY165*100</f>
        <v/>
      </c>
      <c r="DZ169" s="1171">
        <f>DZ168/DZ165*100</f>
        <v/>
      </c>
      <c r="EA169" s="1171">
        <f>AF169</f>
        <v/>
      </c>
      <c r="EC169" s="1171">
        <f>EC168/EC165*100</f>
        <v/>
      </c>
      <c r="ED169" s="1171">
        <f>ED168/ED165*100</f>
        <v/>
      </c>
      <c r="EE169" s="1171">
        <f>AG169</f>
        <v/>
      </c>
      <c r="EF169" s="1171" t="n"/>
      <c r="EG169" s="1171">
        <f>EG168/EG165*100</f>
        <v/>
      </c>
      <c r="EH169" s="120">
        <f>EH168/EH165*100</f>
        <v/>
      </c>
      <c r="EI169" s="120">
        <f>AH169</f>
        <v/>
      </c>
      <c r="EJ169" s="1171" t="n"/>
      <c r="EK169" s="120">
        <f>EK168/EK165*100</f>
        <v/>
      </c>
      <c r="EL169" s="120">
        <f>EL168/EL165*100</f>
        <v/>
      </c>
      <c r="EM169" s="120">
        <f>AI169</f>
        <v/>
      </c>
      <c r="EN169" s="1213" t="n"/>
      <c r="EO169" s="120">
        <f>EO168/EO165*100</f>
        <v/>
      </c>
      <c r="EP169" s="120">
        <f>EP168/EP165*100</f>
        <v/>
      </c>
      <c r="EQ169" s="120">
        <f>AJ169</f>
        <v/>
      </c>
      <c r="ER169" s="120" t="n"/>
      <c r="ES169" s="120">
        <f>ES168/ES165*100</f>
        <v/>
      </c>
      <c r="ET169" s="120">
        <f>ET168/ET165*100</f>
        <v/>
      </c>
      <c r="EU169" s="120">
        <f>AK169</f>
        <v/>
      </c>
      <c r="EW169" s="120">
        <f>EW168/EW165*100</f>
        <v/>
      </c>
      <c r="EX169" s="120">
        <f>EX168/EX165*100</f>
        <v/>
      </c>
      <c r="EY169" s="120">
        <f>AL169</f>
        <v/>
      </c>
      <c r="FA169" s="120">
        <f>FA168/FA165*100</f>
        <v/>
      </c>
      <c r="FB169" s="120">
        <f>FB168/FB165*100</f>
        <v/>
      </c>
      <c r="FC169" s="120">
        <f>AM169</f>
        <v/>
      </c>
      <c r="FE169" s="120">
        <f>FE168/FE165*100</f>
        <v/>
      </c>
      <c r="FF169" s="120">
        <f>FF168/FF165*100</f>
        <v/>
      </c>
      <c r="FG169" s="120">
        <f>AN169</f>
        <v/>
      </c>
      <c r="FI169" s="120">
        <f>FI168/FI165*100</f>
        <v/>
      </c>
      <c r="FJ169" s="120">
        <f>FJ168/FJ165*100</f>
        <v/>
      </c>
      <c r="FK169" s="120">
        <f>AO169</f>
        <v/>
      </c>
      <c r="FM169" s="120">
        <f>FM168/FM165*100</f>
        <v/>
      </c>
      <c r="FN169" s="120">
        <f>FN168/FN165*100</f>
        <v/>
      </c>
      <c r="FO169" s="120">
        <f>AP169</f>
        <v/>
      </c>
    </row>
    <row r="170" customFormat="1" s="1150">
      <c r="A170" s="1170" t="inlineStr">
        <is>
          <t>shares issued</t>
        </is>
      </c>
      <c r="B170" s="1150" t="inlineStr">
        <is>
          <t>No of shares issued (m)</t>
        </is>
      </c>
      <c r="C170" s="222" t="n">
        <v>2846.82937</v>
      </c>
      <c r="D170" s="222" t="n">
        <v>2864.51154</v>
      </c>
      <c r="E170" s="222" t="n">
        <v>2864.51154</v>
      </c>
      <c r="F170" s="222" t="n">
        <v>2864.51154</v>
      </c>
      <c r="G170" s="222" t="n">
        <v>2864.51154</v>
      </c>
      <c r="H170" s="222" t="n">
        <v>2864.51154</v>
      </c>
      <c r="I170" s="222" t="n">
        <v>2864.51154</v>
      </c>
      <c r="J170" s="222" t="n">
        <v>2864.51154</v>
      </c>
      <c r="K170" s="222" t="n">
        <v>2864.51154</v>
      </c>
      <c r="L170" s="222">
        <f>K170*5.33/12+(K170+572.902308)*6.67/12</f>
        <v/>
      </c>
      <c r="M170" s="222">
        <f>3429.063848-49.614</f>
        <v/>
      </c>
      <c r="N170" s="222" t="n">
        <v>3384.199848</v>
      </c>
      <c r="O170" s="222">
        <f>N170</f>
        <v/>
      </c>
      <c r="P170" s="222" t="n">
        <v>3350.621848</v>
      </c>
      <c r="Q170" s="222" t="n">
        <v>3329.817848</v>
      </c>
      <c r="R170" s="222" t="n">
        <v>3333</v>
      </c>
      <c r="S170" s="222" t="n">
        <v>3338</v>
      </c>
      <c r="T170" s="222" t="n">
        <v>3362</v>
      </c>
      <c r="U170" s="222" t="n">
        <v>3377</v>
      </c>
      <c r="V170" s="222" t="n">
        <v>3526</v>
      </c>
      <c r="W170" s="222" t="n">
        <v>3940.025072</v>
      </c>
      <c r="X170" s="222" t="n">
        <v>3935</v>
      </c>
      <c r="Y170" s="222" t="n">
        <v>3934</v>
      </c>
      <c r="Z170" s="222">
        <f>Y170</f>
        <v/>
      </c>
      <c r="AA170" s="222">
        <f>Z170</f>
        <v/>
      </c>
      <c r="AB170" s="222">
        <f>AA170</f>
        <v/>
      </c>
      <c r="AC170" s="222">
        <f>AB170</f>
        <v/>
      </c>
      <c r="AD170" s="222">
        <f>AC170</f>
        <v/>
      </c>
      <c r="AE170" s="222" t="n">
        <v>3933.844572</v>
      </c>
      <c r="AF170" s="222" t="n">
        <v>3933.844572</v>
      </c>
      <c r="AG170" s="222" t="n">
        <v>3933.844572</v>
      </c>
      <c r="AH170" s="222" t="n">
        <v>3933.844572</v>
      </c>
      <c r="AI170" s="222" t="n">
        <v>3933.844572</v>
      </c>
      <c r="AJ170" s="222" t="n">
        <v>6437.200203</v>
      </c>
      <c r="AK170" s="222" t="n">
        <v>6437.200203</v>
      </c>
      <c r="AL170" s="222" t="n">
        <v>6437.200203</v>
      </c>
      <c r="AM170" s="222" t="n">
        <v>6437.462747</v>
      </c>
      <c r="AN170" s="222" t="n">
        <v>6438.120562</v>
      </c>
      <c r="AO170" s="1212">
        <f>AN170</f>
        <v/>
      </c>
      <c r="AP170" s="1212">
        <f>AO170</f>
        <v/>
      </c>
      <c r="AQ170" s="1171">
        <f>AP170</f>
        <v/>
      </c>
      <c r="AR170" s="1171">
        <f>AQ170</f>
        <v/>
      </c>
      <c r="AS170" s="1171">
        <f>AR170</f>
        <v/>
      </c>
      <c r="AT170" s="1171">
        <f>AS170</f>
        <v/>
      </c>
      <c r="AU170" s="1209" t="n"/>
      <c r="AV170" s="1129" t="n">
        <v>3437.413848</v>
      </c>
      <c r="AW170" s="1210">
        <f>AX170</f>
        <v/>
      </c>
      <c r="AX170" s="964">
        <f>L170</f>
        <v/>
      </c>
      <c r="AY170" s="1210" t="n"/>
      <c r="AZ170" s="1129" t="n">
        <v>3429.063848</v>
      </c>
      <c r="BA170" s="1210">
        <f>BB170</f>
        <v/>
      </c>
      <c r="BB170" s="1211">
        <f>M170</f>
        <v/>
      </c>
      <c r="BD170" s="1129" t="n">
        <v>3384.199848</v>
      </c>
      <c r="BE170" s="1210">
        <f>BF170</f>
        <v/>
      </c>
      <c r="BF170" s="1211">
        <f>N170</f>
        <v/>
      </c>
      <c r="BH170" s="1129">
        <f>BI170</f>
        <v/>
      </c>
      <c r="BI170" s="1210">
        <f>BJ170</f>
        <v/>
      </c>
      <c r="BJ170" s="1211">
        <f>O170</f>
        <v/>
      </c>
      <c r="BL170" s="1129" t="n">
        <v>3369.746848</v>
      </c>
      <c r="BM170" s="1210">
        <f>BN170</f>
        <v/>
      </c>
      <c r="BN170" s="1211">
        <f>P170</f>
        <v/>
      </c>
      <c r="BO170" s="1210" t="n"/>
      <c r="BP170" s="1129" t="n">
        <v>3329.753848</v>
      </c>
      <c r="BQ170" s="1210">
        <f>BR170</f>
        <v/>
      </c>
      <c r="BR170" s="1211">
        <f>Q170</f>
        <v/>
      </c>
      <c r="BT170" s="1129" t="n">
        <v>3334.350348</v>
      </c>
      <c r="BU170" s="1210">
        <f>BV170</f>
        <v/>
      </c>
      <c r="BV170" s="1211">
        <f>R170</f>
        <v/>
      </c>
      <c r="BX170" s="1129" t="n">
        <v>3334.350348</v>
      </c>
      <c r="BY170" s="1210">
        <f>BZ170</f>
        <v/>
      </c>
      <c r="BZ170" s="1211">
        <f>S170</f>
        <v/>
      </c>
      <c r="CB170" s="1129" t="n">
        <v>3355</v>
      </c>
      <c r="CC170" s="1210">
        <f>CD170</f>
        <v/>
      </c>
      <c r="CD170" s="1211">
        <f>T170</f>
        <v/>
      </c>
      <c r="CE170" s="1210" t="n"/>
      <c r="CF170" s="1129" t="n">
        <v>3374</v>
      </c>
      <c r="CG170" s="1210">
        <f>(CH170+CF170)/2</f>
        <v/>
      </c>
      <c r="CH170" s="1211">
        <f>U170</f>
        <v/>
      </c>
      <c r="CI170" s="1211" t="n"/>
      <c r="CJ170" s="1129" t="n">
        <v>3374</v>
      </c>
      <c r="CK170" s="1210" t="n"/>
      <c r="CL170" s="1211">
        <f>V170</f>
        <v/>
      </c>
      <c r="CM170" s="1211" t="n"/>
      <c r="CN170" s="1129" t="n">
        <v>3937</v>
      </c>
      <c r="CO170" s="1210">
        <f>CP170</f>
        <v/>
      </c>
      <c r="CP170" s="1210">
        <f>W170</f>
        <v/>
      </c>
      <c r="CQ170" s="1210" t="n"/>
      <c r="CR170" s="1129" t="n">
        <v>3935</v>
      </c>
      <c r="CS170" s="1210">
        <f>CU170</f>
        <v/>
      </c>
      <c r="CT170" s="1210" t="n"/>
      <c r="CU170" s="1210">
        <f>X170</f>
        <v/>
      </c>
      <c r="CV170" s="1210" t="n"/>
      <c r="CW170" s="1210">
        <f>CY170</f>
        <v/>
      </c>
      <c r="CX170" s="1210" t="n"/>
      <c r="CY170" s="1210">
        <f>Y170</f>
        <v/>
      </c>
      <c r="CZ170" s="1210" t="n"/>
      <c r="DA170" s="1210">
        <f>+DC170</f>
        <v/>
      </c>
      <c r="DB170" s="1210">
        <f>+DA170</f>
        <v/>
      </c>
      <c r="DC170" s="1210">
        <f>Z170</f>
        <v/>
      </c>
      <c r="DD170" s="1210" t="n"/>
      <c r="DE170" s="1210">
        <f>+DG170</f>
        <v/>
      </c>
      <c r="DF170" s="1210">
        <f>+DE170</f>
        <v/>
      </c>
      <c r="DG170" s="1210">
        <f>AA170</f>
        <v/>
      </c>
      <c r="DH170" s="1210" t="n"/>
      <c r="DI170" s="1210">
        <f>+DK170</f>
        <v/>
      </c>
      <c r="DJ170" s="1210">
        <f>+DI170</f>
        <v/>
      </c>
      <c r="DK170" s="1210">
        <f>AB170</f>
        <v/>
      </c>
      <c r="DL170" s="1210" t="n"/>
      <c r="DM170" s="1210">
        <f>+DO170</f>
        <v/>
      </c>
      <c r="DN170" s="1210">
        <f>+DM170</f>
        <v/>
      </c>
      <c r="DO170" s="1210">
        <f>AC170</f>
        <v/>
      </c>
      <c r="DP170" s="1210" t="n"/>
      <c r="DQ170" s="1210">
        <f>+DS170</f>
        <v/>
      </c>
      <c r="DR170" s="1210">
        <f>+DQ170</f>
        <v/>
      </c>
      <c r="DS170" s="1210">
        <f>AD170</f>
        <v/>
      </c>
      <c r="DT170" s="1210" t="n"/>
      <c r="DU170" s="1171">
        <f>AE170</f>
        <v/>
      </c>
      <c r="DV170" s="1171">
        <f>+DU170</f>
        <v/>
      </c>
      <c r="DW170" s="1171">
        <f>AE170</f>
        <v/>
      </c>
      <c r="DX170" s="1210" t="n"/>
      <c r="DY170" s="1171">
        <f>AI170</f>
        <v/>
      </c>
      <c r="DZ170" s="1171">
        <f>+DY170</f>
        <v/>
      </c>
      <c r="EA170" s="1171">
        <f>AF170</f>
        <v/>
      </c>
      <c r="EC170" s="1171" t="n">
        <v>3934</v>
      </c>
      <c r="ED170" s="1171">
        <f>+EC170</f>
        <v/>
      </c>
      <c r="EE170" s="1171">
        <f>AG170</f>
        <v/>
      </c>
      <c r="EF170" s="1171" t="n"/>
      <c r="EG170" s="1171">
        <f>EI170</f>
        <v/>
      </c>
      <c r="EH170" s="120">
        <f>EI170</f>
        <v/>
      </c>
      <c r="EI170" s="120">
        <f>AH170</f>
        <v/>
      </c>
      <c r="EJ170" s="1171" t="n"/>
      <c r="EK170" s="120">
        <f>EM170</f>
        <v/>
      </c>
      <c r="EL170" s="120">
        <f>EM170</f>
        <v/>
      </c>
      <c r="EM170" s="120">
        <f>AI170</f>
        <v/>
      </c>
      <c r="EN170" s="1213" t="n"/>
      <c r="EO170" s="120">
        <f>+EM170</f>
        <v/>
      </c>
      <c r="EP170" s="120">
        <f>EQ170</f>
        <v/>
      </c>
      <c r="EQ170" s="120">
        <f>AJ170</f>
        <v/>
      </c>
      <c r="ER170" s="120" t="n"/>
      <c r="ES170" s="120">
        <f>+EQ170</f>
        <v/>
      </c>
      <c r="ET170" s="120">
        <f>EU170</f>
        <v/>
      </c>
      <c r="EU170" s="120">
        <f>AK170</f>
        <v/>
      </c>
      <c r="EW170" s="120">
        <f>+EU170</f>
        <v/>
      </c>
      <c r="EX170" s="120">
        <f>EY170</f>
        <v/>
      </c>
      <c r="EY170" s="120">
        <f>AL170</f>
        <v/>
      </c>
      <c r="FA170" s="120">
        <f>+EY170</f>
        <v/>
      </c>
      <c r="FB170" s="120">
        <f>FC170</f>
        <v/>
      </c>
      <c r="FC170" s="120">
        <f>AM170</f>
        <v/>
      </c>
      <c r="FE170" s="120">
        <f>+FC170</f>
        <v/>
      </c>
      <c r="FF170" s="120">
        <f>FG170</f>
        <v/>
      </c>
      <c r="FG170" s="120">
        <f>AN170</f>
        <v/>
      </c>
      <c r="FI170" s="1227" t="n">
        <v>6439.40925</v>
      </c>
      <c r="FJ170" s="120">
        <f>FK170</f>
        <v/>
      </c>
      <c r="FK170" s="120">
        <f>AO170</f>
        <v/>
      </c>
      <c r="FM170" s="1227" t="n">
        <v>6272.865886</v>
      </c>
      <c r="FN170" s="120">
        <f>FO170</f>
        <v/>
      </c>
      <c r="FO170" s="120">
        <f>AP170</f>
        <v/>
      </c>
    </row>
    <row r="171" customFormat="1" s="1150">
      <c r="A171" s="1170" t="n"/>
      <c r="B171" s="1150" t="inlineStr">
        <is>
          <t>No of diluted shares (m)</t>
        </is>
      </c>
      <c r="L171" s="1171" t="n"/>
      <c r="M171" s="1171" t="n"/>
      <c r="N171" s="1171" t="n"/>
      <c r="O171" s="1171" t="n"/>
      <c r="P171" s="1171" t="n"/>
      <c r="Q171" s="1171" t="n"/>
      <c r="R171" s="1171" t="n"/>
      <c r="S171" s="1171" t="n"/>
      <c r="T171" s="1171" t="n"/>
      <c r="U171" s="1171" t="n"/>
      <c r="V171" s="1171" t="n"/>
      <c r="W171" s="1171" t="n"/>
      <c r="X171" s="1171" t="n"/>
      <c r="Y171" s="1171" t="n"/>
      <c r="Z171" s="1171" t="n"/>
      <c r="AA171" s="1171" t="n"/>
      <c r="AB171" s="1171" t="n"/>
      <c r="AC171" s="1171" t="n"/>
      <c r="AD171" s="1171" t="n"/>
      <c r="AE171" s="222" t="n"/>
      <c r="AF171" s="222" t="n"/>
      <c r="AG171" s="222" t="n"/>
      <c r="AH171" s="222" t="n"/>
      <c r="AI171" s="222" t="n"/>
      <c r="AJ171" s="222" t="n"/>
      <c r="AK171" s="222" t="n"/>
      <c r="AL171" s="222" t="n"/>
      <c r="AM171" s="222" t="n">
        <v>7395.239049</v>
      </c>
      <c r="AN171" s="222" t="n">
        <v>7384.259034</v>
      </c>
      <c r="AO171" s="1150">
        <f>AO170-AN170+AN171</f>
        <v/>
      </c>
      <c r="AP171" s="1150">
        <f>AP170-AO170+AO171</f>
        <v/>
      </c>
      <c r="AQ171" s="1150">
        <f>AP171</f>
        <v/>
      </c>
      <c r="AR171" s="1150">
        <f>AQ171</f>
        <v/>
      </c>
      <c r="AS171" s="1150">
        <f>AR171</f>
        <v/>
      </c>
      <c r="AT171" s="1150">
        <f>AS171</f>
        <v/>
      </c>
      <c r="AU171" s="1209" t="n"/>
      <c r="AV171" s="1210" t="n"/>
      <c r="AW171" s="1210" t="n"/>
      <c r="AX171" s="964" t="n"/>
      <c r="AY171" s="1210" t="n"/>
      <c r="AZ171" s="1210" t="n"/>
      <c r="BA171" s="1210" t="n"/>
      <c r="BB171" s="1211" t="n"/>
      <c r="BD171" s="1210" t="n"/>
      <c r="BE171" s="1210" t="n"/>
      <c r="BF171" s="1211" t="n"/>
      <c r="BH171" s="1210" t="n"/>
      <c r="BI171" s="1210" t="n"/>
      <c r="BJ171" s="1211" t="n"/>
      <c r="BL171" s="1210" t="n"/>
      <c r="BM171" s="1210" t="n"/>
      <c r="BN171" s="1211" t="n"/>
      <c r="BO171" s="1210" t="n"/>
      <c r="BP171" s="1210" t="n"/>
      <c r="BQ171" s="1210" t="n"/>
      <c r="BR171" s="1211" t="n"/>
      <c r="BT171" s="1210" t="n"/>
      <c r="BU171" s="1210" t="n"/>
      <c r="BV171" s="1211" t="n"/>
      <c r="BX171" s="1210" t="n"/>
      <c r="BY171" s="1210" t="n"/>
      <c r="BZ171" s="1211" t="n"/>
      <c r="CB171" s="1210" t="n"/>
      <c r="CC171" s="1210" t="n"/>
      <c r="CD171" s="1211" t="n"/>
      <c r="CE171" s="1210" t="n"/>
      <c r="CF171" s="1210" t="n"/>
      <c r="CG171" s="1210" t="n"/>
      <c r="CH171" s="1211" t="n"/>
      <c r="CI171" s="1211" t="n"/>
      <c r="CJ171" s="1210" t="n"/>
      <c r="CK171" s="1210" t="n"/>
      <c r="CL171" s="1211" t="n"/>
      <c r="CM171" s="1211" t="n"/>
      <c r="CN171" s="1210" t="n"/>
      <c r="CO171" s="1210" t="n"/>
      <c r="CP171" s="1210" t="n"/>
      <c r="CQ171" s="1210" t="n"/>
      <c r="CR171" s="1210" t="n"/>
      <c r="CS171" s="1210" t="n"/>
      <c r="CT171" s="1210" t="n"/>
      <c r="CU171" s="1210" t="n"/>
      <c r="CV171" s="1210" t="n"/>
      <c r="CW171" s="1210" t="n"/>
      <c r="CX171" s="1210" t="n"/>
      <c r="CY171" s="1210" t="n"/>
      <c r="CZ171" s="1210" t="n"/>
      <c r="DA171" s="1210" t="n"/>
      <c r="DB171" s="1210" t="n"/>
      <c r="DC171" s="1210" t="n"/>
      <c r="DD171" s="1210" t="n"/>
      <c r="DE171" s="1210" t="n"/>
      <c r="DF171" s="1210" t="n"/>
      <c r="DG171" s="1210" t="n"/>
      <c r="DH171" s="1210" t="n"/>
      <c r="DI171" s="1210" t="n"/>
      <c r="DJ171" s="1210" t="n"/>
      <c r="DK171" s="1210" t="n"/>
      <c r="DL171" s="1210" t="n"/>
      <c r="DM171" s="1210" t="n"/>
      <c r="DN171" s="1210" t="n"/>
      <c r="DO171" s="1210" t="n"/>
      <c r="DP171" s="1210" t="n"/>
      <c r="DQ171" s="1210" t="n"/>
      <c r="DR171" s="1210" t="n"/>
      <c r="DS171" s="1210" t="n"/>
      <c r="DT171" s="1210" t="n"/>
      <c r="DU171" s="1171" t="n"/>
      <c r="DV171" s="1171" t="n"/>
      <c r="DW171" s="1171" t="n"/>
      <c r="DX171" s="1210" t="n"/>
      <c r="DY171" s="1171" t="n"/>
      <c r="DZ171" s="1171" t="n"/>
      <c r="EA171" s="1171" t="n"/>
      <c r="EC171" s="1171" t="n"/>
      <c r="ED171" s="1171" t="n"/>
      <c r="EE171" s="1171" t="n"/>
      <c r="EF171" s="1171" t="n"/>
      <c r="EG171" s="1171" t="n"/>
      <c r="EH171" s="120" t="n"/>
      <c r="EI171" s="120" t="n"/>
      <c r="EJ171" s="1171" t="n"/>
      <c r="EK171" s="120" t="n"/>
      <c r="EL171" s="120" t="n"/>
      <c r="EM171" s="120" t="n"/>
      <c r="EN171" s="1213" t="n"/>
      <c r="EO171" s="120" t="n"/>
      <c r="EP171" s="120" t="n"/>
      <c r="EQ171" s="120" t="n"/>
      <c r="ER171" s="120" t="n"/>
      <c r="ES171" s="120" t="n"/>
      <c r="ET171" s="120" t="n"/>
      <c r="EU171" s="120" t="n"/>
      <c r="EW171" s="120" t="n"/>
      <c r="EX171" s="120" t="n"/>
      <c r="EY171" s="120" t="n"/>
      <c r="FA171" s="120" t="n"/>
      <c r="FB171" s="120" t="n"/>
      <c r="FC171" s="120" t="n"/>
      <c r="FE171" s="120" t="n"/>
      <c r="FF171" s="120" t="n"/>
      <c r="FG171" s="120" t="n"/>
      <c r="FI171" s="1227" t="n">
        <v>6719.077743</v>
      </c>
      <c r="FJ171" s="120" t="n"/>
      <c r="FK171" s="120">
        <f>AO171</f>
        <v/>
      </c>
      <c r="FM171" s="1227" t="n">
        <v>6274.128173</v>
      </c>
      <c r="FN171" s="120">
        <f>FO171</f>
        <v/>
      </c>
      <c r="FO171" s="120">
        <f>AP171</f>
        <v/>
      </c>
    </row>
    <row r="172" customFormat="1" s="1150">
      <c r="A172" s="1170" t="n"/>
      <c r="B172" s="1150" t="inlineStr">
        <is>
          <t>No of Treasury shraes (m)</t>
        </is>
      </c>
      <c r="C172" s="1197" t="n">
        <v>0</v>
      </c>
      <c r="D172" s="1197" t="n">
        <v>0</v>
      </c>
      <c r="E172" s="1197" t="n">
        <v>0</v>
      </c>
      <c r="F172" s="1197" t="n">
        <v>0</v>
      </c>
      <c r="G172" s="1197" t="n">
        <v>0</v>
      </c>
      <c r="H172" s="1197" t="n">
        <v>0</v>
      </c>
      <c r="I172" s="1197" t="n">
        <v>0</v>
      </c>
      <c r="J172" s="1197" t="n">
        <v>0</v>
      </c>
      <c r="K172" s="1197" t="n">
        <v>0</v>
      </c>
      <c r="L172" s="1197" t="n">
        <v>0</v>
      </c>
      <c r="M172" s="1197" t="n">
        <v>0</v>
      </c>
      <c r="N172" s="1197" t="n">
        <v>0</v>
      </c>
      <c r="O172" s="1197" t="n">
        <v>0</v>
      </c>
      <c r="P172" s="1197" t="n">
        <v>0</v>
      </c>
      <c r="Q172" s="1197" t="n">
        <v>0</v>
      </c>
      <c r="R172" s="1197" t="n">
        <v>0</v>
      </c>
      <c r="S172" s="1197" t="n">
        <v>0</v>
      </c>
      <c r="T172" s="1197" t="n">
        <v>0</v>
      </c>
      <c r="U172" s="1197" t="n">
        <v>0</v>
      </c>
      <c r="V172" s="1197" t="n">
        <v>0</v>
      </c>
      <c r="W172" s="1197" t="n">
        <v>0</v>
      </c>
      <c r="X172" s="1197" t="n">
        <v>0</v>
      </c>
      <c r="Y172" s="1197" t="n">
        <v>0</v>
      </c>
      <c r="Z172" s="1197" t="n">
        <v>0</v>
      </c>
      <c r="AA172" s="1197" t="n">
        <v>0</v>
      </c>
      <c r="AB172" s="1197" t="n">
        <v>0</v>
      </c>
      <c r="AC172" s="1197" t="n">
        <v>0</v>
      </c>
      <c r="AD172" s="1197" t="n">
        <v>0</v>
      </c>
      <c r="AE172" s="1197" t="n">
        <v>0</v>
      </c>
      <c r="AF172" s="1197" t="n">
        <v>0</v>
      </c>
      <c r="AG172" s="1197" t="n">
        <v>0</v>
      </c>
      <c r="AH172" s="1197" t="n">
        <v>0</v>
      </c>
      <c r="AI172" s="1197" t="n">
        <v>0</v>
      </c>
      <c r="AJ172" s="1197" t="n">
        <v>0</v>
      </c>
      <c r="AK172" s="1197" t="n">
        <v>0</v>
      </c>
      <c r="AL172" s="1197" t="n">
        <v>0</v>
      </c>
      <c r="AM172" s="1197" t="n">
        <v>0</v>
      </c>
      <c r="AN172" s="1197" t="n">
        <v>0</v>
      </c>
      <c r="AO172" s="1212" t="n">
        <v>643.076181</v>
      </c>
      <c r="AP172" s="1212" t="n">
        <v>643.076181</v>
      </c>
      <c r="AQ172" s="1171">
        <f>AP172</f>
        <v/>
      </c>
      <c r="AR172" s="1171">
        <f>AQ172</f>
        <v/>
      </c>
      <c r="AS172" s="1171">
        <f>AR172</f>
        <v/>
      </c>
      <c r="AT172" s="1171">
        <f>AS172</f>
        <v/>
      </c>
      <c r="AU172" s="1209" t="n"/>
      <c r="AV172" s="1210" t="n"/>
      <c r="AW172" s="1210" t="n"/>
      <c r="AX172" s="964" t="n"/>
      <c r="AY172" s="1210" t="n"/>
      <c r="AZ172" s="1210" t="n"/>
      <c r="BA172" s="1210" t="n"/>
      <c r="BB172" s="1211" t="n"/>
      <c r="BD172" s="1210" t="n"/>
      <c r="BE172" s="1210" t="n"/>
      <c r="BF172" s="1211" t="n"/>
      <c r="BH172" s="1210" t="n"/>
      <c r="BI172" s="1210" t="n"/>
      <c r="BJ172" s="1211" t="n"/>
      <c r="BL172" s="1210" t="n"/>
      <c r="BM172" s="1210" t="n"/>
      <c r="BN172" s="1211" t="n"/>
      <c r="BO172" s="1210" t="n"/>
      <c r="BP172" s="1210" t="n"/>
      <c r="BQ172" s="1210" t="n"/>
      <c r="BR172" s="1211" t="n"/>
      <c r="BT172" s="1210" t="n"/>
      <c r="BU172" s="1210" t="n"/>
      <c r="BV172" s="1211" t="n"/>
      <c r="BX172" s="1210" t="n"/>
      <c r="BY172" s="1210" t="n"/>
      <c r="BZ172" s="1211" t="n"/>
      <c r="CB172" s="1210" t="n"/>
      <c r="CC172" s="1210" t="n"/>
      <c r="CD172" s="1211" t="n"/>
      <c r="CE172" s="1210" t="n"/>
      <c r="CF172" s="1210" t="n"/>
      <c r="CG172" s="1210" t="n"/>
      <c r="CH172" s="1211" t="n"/>
      <c r="CI172" s="1211" t="n"/>
      <c r="CJ172" s="1210" t="n"/>
      <c r="CK172" s="1210" t="n"/>
      <c r="CL172" s="1211" t="n"/>
      <c r="CM172" s="1211" t="n"/>
      <c r="CN172" s="1210" t="n"/>
      <c r="CO172" s="1210" t="n"/>
      <c r="CP172" s="1210" t="n"/>
      <c r="CQ172" s="1210" t="n"/>
      <c r="CR172" s="1210" t="n"/>
      <c r="CS172" s="1210" t="n"/>
      <c r="CT172" s="1210" t="n"/>
      <c r="CU172" s="1210" t="n"/>
      <c r="CV172" s="1210" t="n"/>
      <c r="CW172" s="1210" t="n"/>
      <c r="CX172" s="1210" t="n"/>
      <c r="CY172" s="1210" t="n"/>
      <c r="CZ172" s="1210" t="n"/>
      <c r="DA172" s="1210" t="n"/>
      <c r="DB172" s="1210" t="n"/>
      <c r="DC172" s="1210" t="n"/>
      <c r="DD172" s="1210" t="n"/>
      <c r="DE172" s="1210" t="n"/>
      <c r="DF172" s="1210" t="n"/>
      <c r="DG172" s="1210" t="n"/>
      <c r="DH172" s="1210" t="n"/>
      <c r="DI172" s="1210" t="n"/>
      <c r="DJ172" s="1210" t="n"/>
      <c r="DK172" s="1210" t="n"/>
      <c r="DL172" s="1210" t="n"/>
      <c r="DM172" s="1210" t="n"/>
      <c r="DN172" s="1210" t="n"/>
      <c r="DO172" s="1210" t="n"/>
      <c r="DP172" s="1210" t="n"/>
      <c r="DQ172" s="1210" t="n"/>
      <c r="DR172" s="1210" t="n"/>
      <c r="DS172" s="1210" t="n"/>
      <c r="DT172" s="1210" t="n"/>
      <c r="DU172" s="1171" t="n"/>
      <c r="DV172" s="1171" t="n"/>
      <c r="DW172" s="1171" t="n"/>
      <c r="DX172" s="1210" t="n"/>
      <c r="DY172" s="1171" t="n"/>
      <c r="DZ172" s="1171" t="n"/>
      <c r="EA172" s="1171" t="n"/>
      <c r="EC172" s="1171" t="n"/>
      <c r="ED172" s="1171" t="n"/>
      <c r="EE172" s="1171" t="n"/>
      <c r="EF172" s="1171" t="n"/>
      <c r="EG172" s="1171" t="n"/>
      <c r="EH172" s="120" t="n"/>
      <c r="EI172" s="120" t="n"/>
      <c r="EJ172" s="1171" t="n"/>
      <c r="EK172" s="120" t="n"/>
      <c r="EL172" s="120" t="n"/>
      <c r="EM172" s="120" t="n"/>
      <c r="EN172" s="1213" t="n"/>
      <c r="EO172" s="120" t="n"/>
      <c r="EP172" s="120" t="n"/>
      <c r="EQ172" s="120" t="n"/>
      <c r="ER172" s="120" t="n"/>
      <c r="ES172" s="120" t="n"/>
      <c r="ET172" s="120" t="n"/>
      <c r="EU172" s="120" t="n"/>
      <c r="EW172" s="120" t="n"/>
      <c r="EX172" s="120" t="n"/>
      <c r="EY172" s="120" t="n"/>
      <c r="FA172" s="120" t="n"/>
      <c r="FB172" s="120" t="n"/>
      <c r="FC172" s="120" t="n"/>
      <c r="FE172" s="120" t="n"/>
      <c r="FF172" s="120" t="n"/>
      <c r="FG172" s="120" t="n"/>
      <c r="FI172" s="1227" t="n">
        <v>0</v>
      </c>
      <c r="FJ172" s="120" t="n"/>
      <c r="FK172" s="120">
        <f>AO172</f>
        <v/>
      </c>
      <c r="FM172" s="1227" t="n">
        <v>0</v>
      </c>
      <c r="FN172" s="120">
        <f>FO172</f>
        <v/>
      </c>
      <c r="FO172" s="120">
        <f>AP172</f>
        <v/>
      </c>
    </row>
    <row r="173" customFormat="1" s="1150">
      <c r="A173" s="1170" t="n"/>
      <c r="B173" s="1150" t="inlineStr">
        <is>
          <t>No of shares issued (ex treasury shares)</t>
        </is>
      </c>
      <c r="C173" s="1150">
        <f>C170-C172</f>
        <v/>
      </c>
      <c r="D173" s="1150">
        <f>D170-D172</f>
        <v/>
      </c>
      <c r="E173" s="1150">
        <f>E170-E172</f>
        <v/>
      </c>
      <c r="F173" s="1150">
        <f>F170-F172</f>
        <v/>
      </c>
      <c r="G173" s="1150">
        <f>G170-G172</f>
        <v/>
      </c>
      <c r="H173" s="1150">
        <f>H170-H172</f>
        <v/>
      </c>
      <c r="I173" s="1150">
        <f>I170-I172</f>
        <v/>
      </c>
      <c r="J173" s="1150">
        <f>J170-J172</f>
        <v/>
      </c>
      <c r="K173" s="1150">
        <f>K170-K172</f>
        <v/>
      </c>
      <c r="L173" s="1150">
        <f>L170-L172</f>
        <v/>
      </c>
      <c r="M173" s="1150">
        <f>M170-M172</f>
        <v/>
      </c>
      <c r="N173" s="1150">
        <f>N170-N172</f>
        <v/>
      </c>
      <c r="O173" s="1150">
        <f>O170-O172</f>
        <v/>
      </c>
      <c r="P173" s="1150">
        <f>P170-P172</f>
        <v/>
      </c>
      <c r="Q173" s="1150">
        <f>Q170-Q172</f>
        <v/>
      </c>
      <c r="R173" s="1150">
        <f>R170-R172</f>
        <v/>
      </c>
      <c r="S173" s="1150">
        <f>S170-S172</f>
        <v/>
      </c>
      <c r="T173" s="1150">
        <f>T170-T172</f>
        <v/>
      </c>
      <c r="U173" s="1150">
        <f>U170-U172</f>
        <v/>
      </c>
      <c r="V173" s="1150">
        <f>V170-V172</f>
        <v/>
      </c>
      <c r="W173" s="1150">
        <f>W170-W172</f>
        <v/>
      </c>
      <c r="X173" s="1150">
        <f>X170-X172</f>
        <v/>
      </c>
      <c r="Y173" s="1150">
        <f>Y170-Y172</f>
        <v/>
      </c>
      <c r="Z173" s="1150">
        <f>Z170-Z172</f>
        <v/>
      </c>
      <c r="AA173" s="1150">
        <f>AA170-AA172</f>
        <v/>
      </c>
      <c r="AB173" s="1150">
        <f>AB170-AB172</f>
        <v/>
      </c>
      <c r="AC173" s="1150">
        <f>AC170-AC172</f>
        <v/>
      </c>
      <c r="AD173" s="1150">
        <f>AD170-AD172</f>
        <v/>
      </c>
      <c r="AE173" s="1150">
        <f>AE170-AE172</f>
        <v/>
      </c>
      <c r="AF173" s="1150">
        <f>AF170-AF172</f>
        <v/>
      </c>
      <c r="AG173" s="1150">
        <f>AG170-AG172</f>
        <v/>
      </c>
      <c r="AH173" s="1150">
        <f>AH170-AH172</f>
        <v/>
      </c>
      <c r="AI173" s="1150">
        <f>AI170-AI172</f>
        <v/>
      </c>
      <c r="AJ173" s="1150">
        <f>AJ170-AJ172</f>
        <v/>
      </c>
      <c r="AK173" s="1150">
        <f>AK170-AK172</f>
        <v/>
      </c>
      <c r="AL173" s="1150">
        <f>AL170-AL172</f>
        <v/>
      </c>
      <c r="AM173" s="1150">
        <f>AM170-AM172</f>
        <v/>
      </c>
      <c r="AN173" s="1150">
        <f>AN170-AN172</f>
        <v/>
      </c>
      <c r="AO173" s="1150">
        <f>AO170-AO172</f>
        <v/>
      </c>
      <c r="AP173" s="1150">
        <f>AP170-AP172</f>
        <v/>
      </c>
      <c r="AQ173" s="1150">
        <f>AQ170-AQ172</f>
        <v/>
      </c>
      <c r="AR173" s="1150">
        <f>AR170-AR172</f>
        <v/>
      </c>
      <c r="AS173" s="1150">
        <f>AS170-AS172</f>
        <v/>
      </c>
      <c r="AT173" s="1150">
        <f>AT170-AT172</f>
        <v/>
      </c>
      <c r="AU173" s="1209" t="n"/>
      <c r="AV173" s="1210" t="n"/>
      <c r="AW173" s="1210" t="n"/>
      <c r="AX173" s="964" t="n"/>
      <c r="AY173" s="1210" t="n"/>
      <c r="AZ173" s="1210" t="n"/>
      <c r="BA173" s="1210" t="n"/>
      <c r="BB173" s="1211" t="n"/>
      <c r="BD173" s="1210" t="n"/>
      <c r="BE173" s="1210" t="n"/>
      <c r="BF173" s="1211" t="n"/>
      <c r="BH173" s="1210" t="n"/>
      <c r="BI173" s="1210" t="n"/>
      <c r="BJ173" s="1211" t="n"/>
      <c r="BL173" s="1210" t="n"/>
      <c r="BM173" s="1210" t="n"/>
      <c r="BN173" s="1211" t="n"/>
      <c r="BO173" s="1210" t="n"/>
      <c r="BP173" s="1210" t="n"/>
      <c r="BQ173" s="1210" t="n"/>
      <c r="BR173" s="1211" t="n"/>
      <c r="BT173" s="1210" t="n"/>
      <c r="BU173" s="1210" t="n"/>
      <c r="BV173" s="1211" t="n"/>
      <c r="BX173" s="1210" t="n"/>
      <c r="BY173" s="1210" t="n"/>
      <c r="BZ173" s="1211" t="n"/>
      <c r="CB173" s="1210" t="n"/>
      <c r="CC173" s="1210" t="n"/>
      <c r="CD173" s="1211" t="n"/>
      <c r="CE173" s="1210" t="n"/>
      <c r="CF173" s="1210" t="n"/>
      <c r="CG173" s="1210" t="n"/>
      <c r="CH173" s="1211" t="n"/>
      <c r="CI173" s="1211" t="n"/>
      <c r="CJ173" s="1210" t="n"/>
      <c r="CK173" s="1210" t="n"/>
      <c r="CL173" s="1211" t="n"/>
      <c r="CM173" s="1211" t="n"/>
      <c r="CN173" s="1210" t="n"/>
      <c r="CO173" s="1210" t="n"/>
      <c r="CP173" s="1210" t="n"/>
      <c r="CQ173" s="1210" t="n"/>
      <c r="CR173" s="1210" t="n"/>
      <c r="CS173" s="1210" t="n"/>
      <c r="CT173" s="1210" t="n"/>
      <c r="CU173" s="1210" t="n"/>
      <c r="CV173" s="1210" t="n"/>
      <c r="CW173" s="1210" t="n"/>
      <c r="CX173" s="1210" t="n"/>
      <c r="CY173" s="1210" t="n"/>
      <c r="CZ173" s="1210" t="n"/>
      <c r="DA173" s="1210" t="n"/>
      <c r="DB173" s="1210" t="n"/>
      <c r="DC173" s="1210" t="n"/>
      <c r="DD173" s="1210" t="n"/>
      <c r="DE173" s="1210" t="n"/>
      <c r="DF173" s="1210" t="n"/>
      <c r="DG173" s="1210" t="n"/>
      <c r="DH173" s="1210" t="n"/>
      <c r="DI173" s="1210" t="n"/>
      <c r="DJ173" s="1210" t="n"/>
      <c r="DK173" s="1210" t="n"/>
      <c r="DL173" s="1210" t="n"/>
      <c r="DM173" s="1210" t="n"/>
      <c r="DN173" s="1210" t="n"/>
      <c r="DO173" s="1210" t="n"/>
      <c r="DP173" s="1210" t="n"/>
      <c r="DQ173" s="1210" t="n"/>
      <c r="DR173" s="1210" t="n"/>
      <c r="DS173" s="1210" t="n"/>
      <c r="DT173" s="1210" t="n"/>
      <c r="DU173" s="1171" t="n"/>
      <c r="DV173" s="1171" t="n"/>
      <c r="DW173" s="1171" t="n"/>
      <c r="DX173" s="1210" t="n"/>
      <c r="DY173" s="1171" t="n"/>
      <c r="DZ173" s="1171" t="n"/>
      <c r="EA173" s="1171" t="n"/>
      <c r="EC173" s="1171" t="n"/>
      <c r="ED173" s="1171" t="n"/>
      <c r="EE173" s="1171" t="n"/>
      <c r="EF173" s="1171" t="n"/>
      <c r="EG173" s="1171" t="n"/>
      <c r="EH173" s="120" t="n"/>
      <c r="EI173" s="120" t="n"/>
      <c r="EJ173" s="1171" t="n"/>
      <c r="EK173" s="120" t="n"/>
      <c r="EL173" s="120" t="n"/>
      <c r="EM173" s="120" t="n"/>
      <c r="EN173" s="1213" t="n"/>
      <c r="EO173" s="120" t="n"/>
      <c r="EP173" s="120" t="n"/>
      <c r="EQ173" s="120" t="n"/>
      <c r="ER173" s="120" t="n"/>
      <c r="ES173" s="120" t="n"/>
      <c r="ET173" s="120" t="n"/>
      <c r="EU173" s="120" t="n"/>
      <c r="EW173" s="120" t="n"/>
      <c r="EX173" s="120" t="n"/>
      <c r="EY173" s="120" t="n"/>
      <c r="FA173" s="120" t="n"/>
      <c r="FB173" s="120" t="n"/>
      <c r="FC173" s="120" t="n"/>
      <c r="FE173" s="120" t="n"/>
      <c r="FF173" s="120" t="n"/>
      <c r="FG173" s="120" t="n"/>
      <c r="FI173" s="120">
        <f>FI170-FI172</f>
        <v/>
      </c>
      <c r="FJ173" s="120" t="n"/>
      <c r="FK173" s="120">
        <f>AO173</f>
        <v/>
      </c>
      <c r="FM173" s="120">
        <f>FM170-FM172</f>
        <v/>
      </c>
      <c r="FN173" s="120">
        <f>FN170-FN172</f>
        <v/>
      </c>
      <c r="FO173" s="120">
        <f>AP173</f>
        <v/>
      </c>
    </row>
    <row r="174" customFormat="1" s="1150">
      <c r="A174" s="1170" t="n"/>
      <c r="B174" s="1150" t="inlineStr">
        <is>
          <t>No of diluted shares (ex treasury shares)</t>
        </is>
      </c>
      <c r="C174" s="120" t="n"/>
      <c r="AN174" s="1150">
        <f>AN171-AN172</f>
        <v/>
      </c>
      <c r="AO174" s="1150">
        <f>AO171-AO172</f>
        <v/>
      </c>
      <c r="AP174" s="1150">
        <f>AP171-AP172</f>
        <v/>
      </c>
      <c r="AQ174" s="1150">
        <f>AQ171-AQ172</f>
        <v/>
      </c>
      <c r="AR174" s="1150">
        <f>AR171-AR172</f>
        <v/>
      </c>
      <c r="AS174" s="1150">
        <f>AS171-AS172</f>
        <v/>
      </c>
      <c r="AT174" s="1150">
        <f>AT171-AT172</f>
        <v/>
      </c>
      <c r="AU174" s="1209" t="n"/>
      <c r="AV174" s="1210" t="n"/>
      <c r="AW174" s="1210" t="n"/>
      <c r="AX174" s="964" t="n"/>
      <c r="AY174" s="1210" t="n"/>
      <c r="AZ174" s="1210" t="n"/>
      <c r="BA174" s="1210" t="n"/>
      <c r="BB174" s="1211" t="n"/>
      <c r="BD174" s="1210" t="n"/>
      <c r="BE174" s="1210" t="n"/>
      <c r="BF174" s="1211" t="n"/>
      <c r="BH174" s="1210" t="n"/>
      <c r="BI174" s="1210" t="n"/>
      <c r="BJ174" s="1211" t="n"/>
      <c r="BL174" s="1210" t="n"/>
      <c r="BM174" s="1210" t="n"/>
      <c r="BN174" s="1211" t="n"/>
      <c r="BO174" s="1210" t="n"/>
      <c r="BP174" s="1210" t="n"/>
      <c r="BQ174" s="1210" t="n"/>
      <c r="BR174" s="1211" t="n"/>
      <c r="BT174" s="1210" t="n"/>
      <c r="BU174" s="1210" t="n"/>
      <c r="BV174" s="1211" t="n"/>
      <c r="BX174" s="1210" t="n"/>
      <c r="BY174" s="1210" t="n"/>
      <c r="BZ174" s="1211" t="n"/>
      <c r="CB174" s="1210" t="n"/>
      <c r="CC174" s="1210" t="n"/>
      <c r="CD174" s="1211" t="n"/>
      <c r="CE174" s="1210" t="n"/>
      <c r="CF174" s="1210" t="n"/>
      <c r="CG174" s="1210" t="n"/>
      <c r="CH174" s="1211" t="n"/>
      <c r="CI174" s="1211" t="n"/>
      <c r="CJ174" s="1210" t="n"/>
      <c r="CK174" s="1210" t="n"/>
      <c r="CL174" s="1211" t="n"/>
      <c r="CM174" s="1211" t="n"/>
      <c r="CN174" s="1210" t="n"/>
      <c r="CO174" s="1210" t="n"/>
      <c r="CP174" s="1210" t="n"/>
      <c r="CQ174" s="1210" t="n"/>
      <c r="CR174" s="1210" t="n"/>
      <c r="CS174" s="1210" t="n"/>
      <c r="CT174" s="1210" t="n"/>
      <c r="CU174" s="1210" t="n"/>
      <c r="CV174" s="1210" t="n"/>
      <c r="CW174" s="1210" t="n"/>
      <c r="CX174" s="1210" t="n"/>
      <c r="CY174" s="1210" t="n"/>
      <c r="CZ174" s="1210" t="n"/>
      <c r="DA174" s="1210" t="n"/>
      <c r="DB174" s="1210" t="n"/>
      <c r="DC174" s="1210" t="n"/>
      <c r="DD174" s="1210" t="n"/>
      <c r="DE174" s="1210" t="n"/>
      <c r="DF174" s="1210" t="n"/>
      <c r="DG174" s="1210" t="n"/>
      <c r="DH174" s="1210" t="n"/>
      <c r="DI174" s="1210" t="n"/>
      <c r="DJ174" s="1210" t="n"/>
      <c r="DK174" s="1210" t="n"/>
      <c r="DL174" s="1210" t="n"/>
      <c r="DM174" s="1210" t="n"/>
      <c r="DN174" s="1210" t="n"/>
      <c r="DO174" s="1210" t="n"/>
      <c r="DP174" s="1210" t="n"/>
      <c r="DQ174" s="1210" t="n"/>
      <c r="DR174" s="1210" t="n"/>
      <c r="DS174" s="1210" t="n"/>
      <c r="DT174" s="1210" t="n"/>
      <c r="DU174" s="1171" t="n"/>
      <c r="DV174" s="1171" t="n"/>
      <c r="DW174" s="1171" t="n"/>
      <c r="DX174" s="1210" t="n"/>
      <c r="DY174" s="1171" t="n"/>
      <c r="DZ174" s="1171" t="n"/>
      <c r="EA174" s="1171" t="n"/>
      <c r="EC174" s="1171" t="n"/>
      <c r="ED174" s="1171" t="n"/>
      <c r="EE174" s="1171" t="n"/>
      <c r="EF174" s="1171" t="n"/>
      <c r="EG174" s="1171" t="n"/>
      <c r="EH174" s="120" t="n"/>
      <c r="EI174" s="120" t="n"/>
      <c r="EJ174" s="1171" t="n"/>
      <c r="EK174" s="120" t="n"/>
      <c r="EL174" s="120" t="n"/>
      <c r="EM174" s="120" t="n"/>
      <c r="EN174" s="1213" t="n"/>
      <c r="EO174" s="120" t="n"/>
      <c r="EP174" s="120" t="n"/>
      <c r="EQ174" s="120" t="n"/>
      <c r="ER174" s="120" t="n"/>
      <c r="ES174" s="120" t="n"/>
      <c r="ET174" s="120" t="n"/>
      <c r="EU174" s="120" t="n"/>
      <c r="EW174" s="120" t="n"/>
      <c r="EX174" s="120" t="n"/>
      <c r="EY174" s="120" t="n"/>
      <c r="FA174" s="120" t="n"/>
      <c r="FB174" s="120" t="n"/>
      <c r="FC174" s="120" t="n"/>
      <c r="FE174" s="120" t="n"/>
      <c r="FF174" s="120" t="n"/>
      <c r="FG174" s="120" t="n"/>
      <c r="FI174" s="120">
        <f>FI171-FI172</f>
        <v/>
      </c>
      <c r="FJ174" s="120" t="n"/>
      <c r="FK174" s="120">
        <f>AO174</f>
        <v/>
      </c>
      <c r="FM174" s="120">
        <f>FM171-FM172</f>
        <v/>
      </c>
      <c r="FN174" s="120">
        <f>FN171-FN172</f>
        <v/>
      </c>
      <c r="FO174" s="120">
        <f>AP174</f>
        <v/>
      </c>
    </row>
    <row r="175" customFormat="1" s="1150">
      <c r="A175" s="1170" t="n"/>
      <c r="L175" s="1171" t="n"/>
      <c r="M175" s="1171" t="n"/>
      <c r="N175" s="1171" t="n"/>
      <c r="O175" s="1171" t="n"/>
      <c r="P175" s="1171" t="n"/>
      <c r="Q175" s="1171" t="n"/>
      <c r="R175" s="1171" t="n"/>
      <c r="S175" s="1171" t="n"/>
      <c r="T175" s="1171" t="n"/>
      <c r="U175" s="1171" t="n"/>
      <c r="V175" s="1171" t="n"/>
      <c r="W175" s="1171" t="n"/>
      <c r="X175" s="1171" t="n"/>
      <c r="Y175" s="1171" t="n"/>
      <c r="Z175" s="1171" t="n"/>
      <c r="AA175" s="1171" t="n"/>
      <c r="AB175" s="1171" t="n"/>
      <c r="AC175" s="1171" t="n"/>
      <c r="AD175" s="1171" t="n"/>
      <c r="AE175" s="222" t="n"/>
      <c r="AF175" s="222" t="n"/>
      <c r="AG175" s="222" t="n"/>
      <c r="AH175" s="222" t="n"/>
      <c r="AI175" s="222" t="n"/>
      <c r="AJ175" s="222" t="n"/>
      <c r="AK175" s="222" t="n"/>
      <c r="AL175" s="222" t="n"/>
      <c r="AM175" s="222" t="n"/>
      <c r="AN175" s="222" t="n"/>
      <c r="AO175" s="222" t="n"/>
      <c r="AP175" s="1171" t="n"/>
      <c r="AQ175" s="1171" t="n"/>
      <c r="AR175" s="1171" t="n"/>
      <c r="AS175" s="1171" t="n"/>
      <c r="AT175" s="1171" t="n"/>
      <c r="AU175" s="1209" t="n"/>
      <c r="AV175" s="1210" t="n"/>
      <c r="AW175" s="1210" t="n"/>
      <c r="AX175" s="964" t="n"/>
      <c r="AY175" s="1210" t="n"/>
      <c r="AZ175" s="1210" t="n"/>
      <c r="BA175" s="1210" t="n"/>
      <c r="BB175" s="1211" t="n"/>
      <c r="BD175" s="1210" t="n"/>
      <c r="BE175" s="1210" t="n"/>
      <c r="BF175" s="1211" t="n"/>
      <c r="BH175" s="1210" t="n"/>
      <c r="BI175" s="1210" t="n"/>
      <c r="BJ175" s="1211" t="n"/>
      <c r="BL175" s="1210" t="n"/>
      <c r="BM175" s="1210" t="n"/>
      <c r="BN175" s="1211" t="n"/>
      <c r="BO175" s="1210" t="n"/>
      <c r="BP175" s="1210" t="n"/>
      <c r="BQ175" s="1210" t="n"/>
      <c r="BR175" s="1211" t="n"/>
      <c r="BT175" s="1210" t="n"/>
      <c r="BU175" s="1210" t="n"/>
      <c r="BV175" s="1211" t="n"/>
      <c r="BX175" s="1210" t="n"/>
      <c r="BY175" s="1210" t="n"/>
      <c r="BZ175" s="1211" t="n"/>
      <c r="CB175" s="1210" t="n"/>
      <c r="CC175" s="1210" t="n"/>
      <c r="CD175" s="1211" t="n"/>
      <c r="CE175" s="1210" t="n"/>
      <c r="CF175" s="1210" t="n"/>
      <c r="CG175" s="1210" t="n"/>
      <c r="CH175" s="1211" t="n"/>
      <c r="CI175" s="1211" t="n"/>
      <c r="CJ175" s="1210" t="n"/>
      <c r="CK175" s="1210" t="n"/>
      <c r="CL175" s="1211" t="n"/>
      <c r="CM175" s="1211" t="n"/>
      <c r="CN175" s="1210" t="n"/>
      <c r="CO175" s="1210" t="n"/>
      <c r="CP175" s="1210" t="n"/>
      <c r="CQ175" s="1210" t="n"/>
      <c r="CR175" s="1210" t="n"/>
      <c r="CS175" s="1210" t="n"/>
      <c r="CT175" s="1210" t="n"/>
      <c r="CU175" s="1210" t="n"/>
      <c r="CV175" s="1210" t="n"/>
      <c r="CW175" s="1210" t="n"/>
      <c r="CX175" s="1210" t="n"/>
      <c r="CY175" s="1210" t="n"/>
      <c r="CZ175" s="1210" t="n"/>
      <c r="DA175" s="1210" t="n"/>
      <c r="DB175" s="1210" t="n"/>
      <c r="DC175" s="1210" t="n"/>
      <c r="DD175" s="1210" t="n"/>
      <c r="DE175" s="1210" t="n"/>
      <c r="DF175" s="1210" t="n"/>
      <c r="DG175" s="1210" t="n"/>
      <c r="DH175" s="1210" t="n"/>
      <c r="DI175" s="1210" t="n"/>
      <c r="DJ175" s="1210" t="n"/>
      <c r="DK175" s="1210" t="n"/>
      <c r="DL175" s="1210" t="n"/>
      <c r="DM175" s="1210" t="n"/>
      <c r="DN175" s="1210" t="n"/>
      <c r="DO175" s="1210" t="n"/>
      <c r="DP175" s="1210" t="n"/>
      <c r="DQ175" s="1210" t="n"/>
      <c r="DR175" s="1210" t="n"/>
      <c r="DS175" s="1210" t="n"/>
      <c r="DT175" s="1210" t="n"/>
      <c r="DU175" s="1171" t="n"/>
      <c r="DV175" s="1171" t="n"/>
      <c r="DW175" s="1171" t="n"/>
      <c r="DX175" s="1210" t="n"/>
      <c r="DY175" s="1171" t="n"/>
      <c r="DZ175" s="1171" t="n"/>
      <c r="EA175" s="1171" t="n"/>
      <c r="EC175" s="1171" t="n"/>
      <c r="ED175" s="1171" t="n"/>
      <c r="EE175" s="1171" t="n"/>
      <c r="EF175" s="1171" t="n"/>
      <c r="EG175" s="1171" t="n"/>
      <c r="EH175" s="120" t="n"/>
      <c r="EI175" s="120" t="n"/>
      <c r="EJ175" s="1171" t="n"/>
      <c r="EK175" s="120" t="n"/>
      <c r="EL175" s="120" t="n"/>
      <c r="EM175" s="120" t="n"/>
      <c r="EN175" s="1213" t="n"/>
      <c r="EO175" s="120" t="n"/>
      <c r="EP175" s="120" t="n"/>
      <c r="EQ175" s="120" t="n"/>
      <c r="ER175" s="120" t="n"/>
      <c r="ES175" s="120" t="n"/>
      <c r="ET175" s="120" t="n"/>
      <c r="EU175" s="120" t="n"/>
      <c r="EW175" s="120" t="n"/>
      <c r="EX175" s="120" t="n"/>
      <c r="EY175" s="120" t="n"/>
      <c r="FA175" s="120" t="n"/>
      <c r="FB175" s="120" t="n"/>
      <c r="FC175" s="120" t="n"/>
      <c r="FE175" s="120" t="n"/>
      <c r="FF175" s="120" t="n"/>
      <c r="FG175" s="120" t="n"/>
      <c r="FI175" s="120" t="n"/>
      <c r="FJ175" s="120" t="n"/>
      <c r="FK175" s="120" t="n"/>
      <c r="FM175" s="120" t="n"/>
      <c r="FN175" s="120" t="n"/>
      <c r="FO175" s="120" t="n"/>
    </row>
    <row r="176">
      <c r="M176" s="725" t="n"/>
      <c r="N176" s="725" t="n"/>
      <c r="O176" s="174" t="n"/>
      <c r="P176" s="174" t="n"/>
      <c r="Q176" s="174" t="n"/>
      <c r="R176" s="174" t="n"/>
      <c r="S176" s="174" t="n"/>
      <c r="T176" s="174" t="n"/>
      <c r="U176" s="317" t="n"/>
      <c r="V176" s="1149" t="n"/>
      <c r="W176" s="1149" t="n"/>
      <c r="X176" s="236" t="n"/>
      <c r="Y176" s="214" t="n"/>
      <c r="Z176" s="317" t="n"/>
      <c r="AA176" s="236" t="n"/>
      <c r="AB176" s="236" t="n"/>
      <c r="AC176" s="236" t="n"/>
      <c r="AD176" s="236" t="n"/>
      <c r="AE176" s="236" t="n"/>
      <c r="AF176" s="236" t="n"/>
      <c r="AG176" s="236" t="n"/>
      <c r="AH176" s="236" t="n"/>
      <c r="AI176" s="236" t="n"/>
      <c r="AJ176" s="236" t="n"/>
      <c r="AK176" s="236" t="n"/>
      <c r="AL176" s="236" t="n"/>
      <c r="AM176" s="236" t="n"/>
      <c r="AN176" s="236" t="n"/>
      <c r="AO176" s="236" t="n"/>
      <c r="AP176" s="317" t="n"/>
      <c r="AQ176" s="236" t="n"/>
      <c r="AR176" s="236" t="n"/>
      <c r="AS176" s="236" t="n"/>
      <c r="AT176" s="236" t="n"/>
      <c r="AU176" s="1228" t="n"/>
      <c r="BM176" s="226" t="n"/>
      <c r="CR176" s="160" t="n"/>
      <c r="CS176" s="160" t="n"/>
      <c r="DU176" s="236" t="n"/>
      <c r="DV176" s="236" t="n"/>
      <c r="DW176" s="236" t="n"/>
      <c r="DY176" s="236" t="n"/>
      <c r="DZ176" s="236" t="n"/>
      <c r="EA176" s="236" t="n"/>
      <c r="EC176" s="236" t="n"/>
      <c r="ED176" s="236" t="n"/>
      <c r="EE176" s="236" t="n"/>
      <c r="EF176" s="236" t="n"/>
      <c r="EH176" s="1150" t="n"/>
      <c r="EI176" s="1150" t="n"/>
      <c r="EJ176" s="236" t="n"/>
      <c r="EK176" s="226" t="n"/>
      <c r="EL176" s="226" t="n"/>
      <c r="EM176" s="226" t="n"/>
      <c r="EN176" s="226" t="n"/>
      <c r="EP176" s="1150" t="n"/>
      <c r="EQ176" s="1150" t="n"/>
      <c r="ER176" s="1150" t="n"/>
      <c r="ET176" s="1150" t="n"/>
      <c r="EU176" s="1150" t="n"/>
      <c r="EV176" s="1150" t="n"/>
      <c r="EX176" s="1150" t="n"/>
      <c r="EY176" s="1150" t="n"/>
      <c r="FB176" s="1150" t="n"/>
      <c r="FC176" s="1150" t="n"/>
      <c r="FF176" s="1150" t="n"/>
      <c r="FG176" s="1150" t="n"/>
      <c r="FI176" s="994" t="n"/>
      <c r="FJ176" s="1150" t="n"/>
      <c r="FM176" s="994" t="n"/>
      <c r="FN176" s="994" t="n"/>
    </row>
    <row r="177" customFormat="1" s="1150">
      <c r="A177" s="1229" t="n"/>
      <c r="B177" s="1230" t="inlineStr">
        <is>
          <t>Cash flow &amp; balance sheet</t>
        </is>
      </c>
      <c r="C177" s="1230" t="n"/>
      <c r="D177" s="1230" t="n"/>
      <c r="E177" s="1230" t="n"/>
      <c r="F177" s="1230" t="n"/>
      <c r="G177" s="1230" t="n"/>
      <c r="H177" s="1230" t="n"/>
      <c r="I177" s="1230" t="n"/>
      <c r="J177" s="1230" t="n"/>
      <c r="K177" s="1230" t="n"/>
      <c r="L177" s="1230" t="n"/>
      <c r="M177" s="1230" t="n"/>
      <c r="N177" s="1230" t="n"/>
      <c r="O177" s="1230" t="n"/>
      <c r="P177" s="1230" t="n"/>
      <c r="Q177" s="1230" t="n"/>
      <c r="R177" s="1230" t="n"/>
      <c r="S177" s="1230" t="n"/>
      <c r="T177" s="1230" t="n"/>
      <c r="U177" s="1230" t="n"/>
      <c r="V177" s="1230" t="n"/>
      <c r="W177" s="1230" t="n"/>
      <c r="X177" s="1230" t="n"/>
      <c r="Y177" s="1230" t="n"/>
      <c r="Z177" s="1230" t="n"/>
      <c r="AA177" s="1230" t="n"/>
      <c r="AB177" s="1230" t="n"/>
      <c r="AC177" s="1230" t="n"/>
      <c r="AD177" s="1230" t="n"/>
      <c r="AE177" s="1230" t="n"/>
      <c r="AF177" s="1230" t="n"/>
      <c r="AG177" s="1230" t="n"/>
      <c r="AH177" s="1230" t="n"/>
      <c r="AI177" s="1230" t="n"/>
      <c r="AJ177" s="1230" t="n"/>
      <c r="AK177" s="1230" t="n"/>
      <c r="AL177" s="1230" t="n"/>
      <c r="AM177" s="1230" t="n"/>
      <c r="AN177" s="1230" t="n"/>
      <c r="AO177" s="1230" t="n"/>
      <c r="AP177" s="1230" t="n"/>
      <c r="AQ177" s="1230" t="n"/>
      <c r="AR177" s="1230" t="n"/>
      <c r="AS177" s="1230" t="n"/>
      <c r="AT177" s="1230" t="n"/>
      <c r="AU177" s="961" t="n"/>
      <c r="AV177" s="1210" t="n"/>
      <c r="AW177" s="1210" t="n"/>
      <c r="AX177" s="1210" t="n"/>
      <c r="AY177" s="1210" t="n"/>
      <c r="AZ177" s="1210" t="n"/>
      <c r="BA177" s="1210" t="inlineStr">
        <is>
          <t> </t>
        </is>
      </c>
      <c r="BB177" s="1210" t="n"/>
      <c r="BD177" s="1210" t="n"/>
      <c r="BE177" s="1210" t="inlineStr">
        <is>
          <t> </t>
        </is>
      </c>
      <c r="BF177" s="1210" t="n"/>
      <c r="BQ177" s="1210" t="n"/>
      <c r="CW177" s="234" t="n"/>
      <c r="EH177" s="961" t="n"/>
      <c r="EI177" s="961" t="n"/>
      <c r="EL177" s="961" t="n"/>
      <c r="EM177" s="961" t="n"/>
      <c r="EN177" s="1153" t="n"/>
      <c r="EP177" s="961" t="n"/>
      <c r="EQ177" s="961" t="n"/>
      <c r="ER177" s="961" t="n"/>
      <c r="EU177" s="961" t="n"/>
      <c r="EY177" s="961" t="n"/>
      <c r="FC177" s="961" t="n"/>
      <c r="FG177" s="961" t="n"/>
    </row>
    <row r="178" customFormat="1" s="1150">
      <c r="A178" s="1231" t="n"/>
      <c r="B178" s="967" t="inlineStr">
        <is>
          <t>Year to December</t>
        </is>
      </c>
      <c r="C178" s="967">
        <f>C3</f>
        <v/>
      </c>
      <c r="D178" s="967" t="inlineStr">
        <is>
          <t>1988A</t>
        </is>
      </c>
      <c r="E178" s="967" t="inlineStr">
        <is>
          <t>1989A</t>
        </is>
      </c>
      <c r="F178" s="967" t="inlineStr">
        <is>
          <t>1990A</t>
        </is>
      </c>
      <c r="G178" s="967" t="inlineStr">
        <is>
          <t>1991A</t>
        </is>
      </c>
      <c r="H178" s="967" t="inlineStr">
        <is>
          <t>1992A</t>
        </is>
      </c>
      <c r="I178" s="967" t="inlineStr">
        <is>
          <t>1993A</t>
        </is>
      </c>
      <c r="J178" s="967" t="inlineStr">
        <is>
          <t>1994A</t>
        </is>
      </c>
      <c r="K178" s="967" t="inlineStr">
        <is>
          <t>1995A</t>
        </is>
      </c>
      <c r="L178" s="967" t="inlineStr">
        <is>
          <t>1996A</t>
        </is>
      </c>
      <c r="M178" s="967" t="inlineStr">
        <is>
          <t>1997A</t>
        </is>
      </c>
      <c r="N178" s="967" t="inlineStr">
        <is>
          <t>1998A</t>
        </is>
      </c>
      <c r="O178" s="967" t="inlineStr">
        <is>
          <t>1999A</t>
        </is>
      </c>
      <c r="P178" s="967" t="inlineStr">
        <is>
          <t>2000A</t>
        </is>
      </c>
      <c r="Q178" s="967" t="inlineStr">
        <is>
          <t>2001A</t>
        </is>
      </c>
      <c r="R178" s="967" t="inlineStr">
        <is>
          <t>2002A</t>
        </is>
      </c>
      <c r="S178" s="967">
        <f>S3</f>
        <v/>
      </c>
      <c r="T178" s="967">
        <f>T3</f>
        <v/>
      </c>
      <c r="U178" s="967">
        <f>U3</f>
        <v/>
      </c>
      <c r="V178" s="967">
        <f>V3</f>
        <v/>
      </c>
      <c r="W178" s="967">
        <f>W3</f>
        <v/>
      </c>
      <c r="X178" s="967">
        <f>X3</f>
        <v/>
      </c>
      <c r="Y178" s="967">
        <f>Y3</f>
        <v/>
      </c>
      <c r="Z178" s="967">
        <f>Z3</f>
        <v/>
      </c>
      <c r="AA178" s="967">
        <f>AA3</f>
        <v/>
      </c>
      <c r="AB178" s="967">
        <f>AB3</f>
        <v/>
      </c>
      <c r="AC178" s="967">
        <f>AC3</f>
        <v/>
      </c>
      <c r="AD178" s="967" t="inlineStr">
        <is>
          <t>2014A</t>
        </is>
      </c>
      <c r="AE178" s="967" t="inlineStr">
        <is>
          <t>2015A</t>
        </is>
      </c>
      <c r="AF178" s="967" t="inlineStr">
        <is>
          <t>2016A</t>
        </is>
      </c>
      <c r="AG178" s="967">
        <f>AG111</f>
        <v/>
      </c>
      <c r="AH178" s="967">
        <f>AH111</f>
        <v/>
      </c>
      <c r="AI178" s="967">
        <f>AI111</f>
        <v/>
      </c>
      <c r="AJ178" s="967">
        <f>AJ111</f>
        <v/>
      </c>
      <c r="AK178" s="967">
        <f>AK111</f>
        <v/>
      </c>
      <c r="AL178" s="967">
        <f>AL111</f>
        <v/>
      </c>
      <c r="AM178" s="967">
        <f>AM111</f>
        <v/>
      </c>
      <c r="AN178" s="967">
        <f>AN111</f>
        <v/>
      </c>
      <c r="AO178" s="967">
        <f>AO111</f>
        <v/>
      </c>
      <c r="AP178" s="967">
        <f>AP111</f>
        <v/>
      </c>
      <c r="AQ178" s="967">
        <f>AQ111</f>
        <v/>
      </c>
      <c r="AR178" s="967">
        <f>AR111</f>
        <v/>
      </c>
      <c r="AS178" s="967">
        <f>AS111</f>
        <v/>
      </c>
      <c r="AT178" s="967">
        <f>AT111</f>
        <v/>
      </c>
      <c r="AU178" s="962" t="n"/>
      <c r="AV178" s="1210" t="n"/>
      <c r="AW178" s="1210" t="n"/>
      <c r="AX178" s="1211" t="n"/>
      <c r="AY178" s="1210" t="n"/>
      <c r="AZ178" s="1210" t="n"/>
      <c r="BA178" s="1210" t="n"/>
      <c r="BB178" s="1211" t="n"/>
      <c r="BD178" s="1210" t="n"/>
      <c r="BE178" s="1210" t="n"/>
      <c r="BF178" s="1211" t="n"/>
      <c r="BQ178" s="1210" t="n"/>
      <c r="CW178" s="234" t="n"/>
      <c r="EH178" s="961" t="n"/>
      <c r="EI178" s="961" t="n"/>
      <c r="EL178" s="961" t="n"/>
      <c r="EM178" s="961" t="n"/>
      <c r="EN178" s="1213" t="n"/>
      <c r="EP178" s="961" t="n"/>
      <c r="EQ178" s="961" t="n"/>
      <c r="ER178" s="961" t="n"/>
      <c r="EU178" s="961" t="n"/>
      <c r="EY178" s="961" t="n"/>
      <c r="FC178" s="961" t="n"/>
      <c r="FG178" s="961" t="n"/>
    </row>
    <row r="179" customFormat="1" s="1150">
      <c r="A179" s="1231" t="n"/>
      <c r="B179" s="1232" t="inlineStr">
        <is>
          <t>Cash Flow Statement</t>
        </is>
      </c>
      <c r="C179" s="1232" t="n"/>
      <c r="D179" s="1232" t="n"/>
      <c r="E179" s="1232" t="n"/>
      <c r="F179" s="1232" t="n"/>
      <c r="G179" s="1232" t="n"/>
      <c r="H179" s="1232" t="n"/>
      <c r="I179" s="1232" t="n"/>
      <c r="J179" s="1232" t="n"/>
      <c r="K179" s="1232" t="n"/>
      <c r="L179" s="1232" t="n"/>
      <c r="M179" s="1232" t="n"/>
      <c r="N179" s="1232" t="n"/>
      <c r="O179" s="1232" t="n"/>
      <c r="P179" s="1232" t="n"/>
      <c r="Q179" s="1232" t="n"/>
      <c r="R179" s="1232" t="n"/>
      <c r="S179" s="1232" t="n"/>
      <c r="T179" s="1232" t="n"/>
      <c r="U179" s="1232" t="n"/>
      <c r="V179" s="1232" t="n"/>
      <c r="W179" s="1232" t="n"/>
      <c r="X179" s="1232" t="n"/>
      <c r="Y179" s="1232" t="n"/>
      <c r="Z179" s="1232" t="n"/>
      <c r="AA179" s="1232" t="n"/>
      <c r="AB179" s="1232" t="n"/>
      <c r="AC179" s="1232" t="n"/>
      <c r="AD179" s="1232" t="n"/>
      <c r="AE179" s="1232" t="n"/>
      <c r="AF179" s="1232" t="n"/>
      <c r="AG179" s="1232" t="n"/>
      <c r="AH179" s="1232" t="n"/>
      <c r="AI179" s="1232" t="n"/>
      <c r="AJ179" s="1232" t="n"/>
      <c r="AK179" s="1232" t="n"/>
      <c r="AL179" s="1232" t="n"/>
      <c r="AM179" s="1232" t="n"/>
      <c r="AN179" s="1232" t="n"/>
      <c r="AO179" s="1232" t="n"/>
      <c r="AP179" s="1232" t="n"/>
      <c r="AQ179" s="1232" t="n"/>
      <c r="AR179" s="1232" t="n"/>
      <c r="AS179" s="1232" t="n"/>
      <c r="AT179" s="1232" t="n"/>
      <c r="AU179" s="962" t="n"/>
      <c r="AV179" s="1210" t="n"/>
      <c r="AW179" s="1210" t="n"/>
      <c r="AX179" s="1211" t="n"/>
      <c r="AY179" s="1210" t="n"/>
      <c r="AZ179" s="1210" t="n"/>
      <c r="BA179" s="1210" t="inlineStr">
        <is>
          <t> </t>
        </is>
      </c>
      <c r="BB179" s="1211" t="n"/>
      <c r="BD179" s="1210" t="n"/>
      <c r="BE179" s="1210" t="inlineStr">
        <is>
          <t> </t>
        </is>
      </c>
      <c r="BF179" s="1211" t="n"/>
      <c r="BQ179" s="1210" t="n"/>
      <c r="CW179" s="234" t="n"/>
      <c r="EH179" s="961" t="n"/>
      <c r="EI179" s="961" t="n"/>
      <c r="EL179" s="961" t="n"/>
      <c r="EM179" s="961" t="n"/>
      <c r="EN179" s="1213" t="n"/>
      <c r="EP179" s="961" t="n"/>
      <c r="EQ179" s="961" t="n"/>
      <c r="ER179" s="961" t="n"/>
      <c r="EU179" s="961" t="n"/>
      <c r="EY179" s="961" t="n"/>
      <c r="FC179" s="961" t="n"/>
      <c r="FG179" s="961" t="n"/>
    </row>
    <row r="180" customFormat="1" s="1046">
      <c r="A180" s="960" t="n"/>
      <c r="B180" s="1048" t="inlineStr">
        <is>
          <t>operating profit</t>
        </is>
      </c>
      <c r="C180" s="1046">
        <f>C133</f>
        <v/>
      </c>
      <c r="D180" s="1046">
        <f>D133</f>
        <v/>
      </c>
      <c r="E180" s="1046">
        <f>E133</f>
        <v/>
      </c>
      <c r="F180" s="1064">
        <f>F133</f>
        <v/>
      </c>
      <c r="G180" s="1064">
        <f>G133</f>
        <v/>
      </c>
      <c r="H180" s="1064">
        <f>H133</f>
        <v/>
      </c>
      <c r="I180" s="1064">
        <f>I133</f>
        <v/>
      </c>
      <c r="J180" s="1064">
        <f>J133</f>
        <v/>
      </c>
      <c r="K180" s="1064">
        <f>K133</f>
        <v/>
      </c>
      <c r="L180" s="1064">
        <f>L133</f>
        <v/>
      </c>
      <c r="M180" s="1064">
        <f>M133</f>
        <v/>
      </c>
      <c r="N180" s="21">
        <f>N133</f>
        <v/>
      </c>
      <c r="O180" s="21">
        <f>O133</f>
        <v/>
      </c>
      <c r="P180" s="21">
        <f>P133</f>
        <v/>
      </c>
      <c r="Q180" s="21">
        <f>Q133</f>
        <v/>
      </c>
      <c r="R180" s="21">
        <f>R133</f>
        <v/>
      </c>
      <c r="S180" s="21">
        <f>S133</f>
        <v/>
      </c>
      <c r="T180" s="21">
        <f>T133</f>
        <v/>
      </c>
      <c r="U180" s="21">
        <f>U133</f>
        <v/>
      </c>
      <c r="V180" s="21">
        <f>V133</f>
        <v/>
      </c>
      <c r="W180" s="21">
        <f>W133</f>
        <v/>
      </c>
      <c r="X180" s="21">
        <f>X133</f>
        <v/>
      </c>
      <c r="Y180" s="21">
        <f>Y133</f>
        <v/>
      </c>
      <c r="Z180" s="21">
        <f>Z133</f>
        <v/>
      </c>
      <c r="AA180" s="21">
        <f>AA133</f>
        <v/>
      </c>
      <c r="AB180" s="21">
        <f>AB133</f>
        <v/>
      </c>
      <c r="AC180" s="21">
        <f>AC133</f>
        <v/>
      </c>
      <c r="AD180" s="21">
        <f>AD133</f>
        <v/>
      </c>
      <c r="AE180" s="21">
        <f>AE133</f>
        <v/>
      </c>
      <c r="AF180" s="21">
        <f>AF133</f>
        <v/>
      </c>
      <c r="AG180" s="21">
        <f>AG133</f>
        <v/>
      </c>
      <c r="AH180" s="21">
        <f>AH133</f>
        <v/>
      </c>
      <c r="AI180" s="21">
        <f>AI133</f>
        <v/>
      </c>
      <c r="AJ180" s="21">
        <f>AJ133</f>
        <v/>
      </c>
      <c r="AK180" s="21">
        <f>AK133</f>
        <v/>
      </c>
      <c r="AL180" s="21">
        <f>AL133</f>
        <v/>
      </c>
      <c r="AM180" s="21">
        <f>AM133</f>
        <v/>
      </c>
      <c r="AN180" s="21">
        <f>AN133</f>
        <v/>
      </c>
      <c r="AO180" s="21">
        <f>AO133</f>
        <v/>
      </c>
      <c r="AP180" s="21">
        <f>AP133</f>
        <v/>
      </c>
      <c r="AQ180" s="21">
        <f>AQ133</f>
        <v/>
      </c>
      <c r="AR180" s="21">
        <f>AR133</f>
        <v/>
      </c>
      <c r="AS180" s="21">
        <f>AS133</f>
        <v/>
      </c>
      <c r="AT180" s="21">
        <f>AT133</f>
        <v/>
      </c>
      <c r="AU180" s="1064" t="n"/>
      <c r="AV180" s="985" t="n"/>
      <c r="AW180" s="985" t="n"/>
      <c r="AX180" s="964" t="n"/>
      <c r="AY180" s="985" t="n"/>
      <c r="AZ180" s="985" t="n"/>
      <c r="BA180" s="985" t="n"/>
      <c r="BB180" s="1008" t="n"/>
      <c r="BD180" s="985" t="n"/>
      <c r="BE180" s="985" t="n"/>
      <c r="BF180" s="1008" t="n"/>
      <c r="BQ180" s="985" t="n"/>
      <c r="DU180" s="1064" t="n"/>
      <c r="DV180" s="1064" t="n"/>
      <c r="DW180" s="1064" t="n"/>
      <c r="DY180" s="1064" t="n"/>
      <c r="DZ180" s="1064" t="n"/>
      <c r="EA180" s="1064" t="n"/>
      <c r="EC180" s="1064" t="n"/>
      <c r="ED180" s="1064" t="n"/>
      <c r="EE180" s="1064" t="n"/>
      <c r="EF180" s="1064" t="n"/>
      <c r="EH180" s="1150" t="n"/>
      <c r="EI180" s="1150" t="n"/>
      <c r="EJ180" s="1064" t="n"/>
      <c r="EK180" s="21">
        <f>EK133</f>
        <v/>
      </c>
      <c r="EL180" s="1150" t="n"/>
      <c r="EM180" s="1150" t="n"/>
      <c r="EN180" s="1213" t="n"/>
      <c r="EO180" s="21">
        <f>EO133</f>
        <v/>
      </c>
      <c r="EP180" s="1150" t="n"/>
      <c r="EQ180" s="1150" t="n"/>
      <c r="ER180" s="1150" t="n"/>
      <c r="ES180" s="21">
        <f>ES133</f>
        <v/>
      </c>
      <c r="EU180" s="1150" t="n"/>
      <c r="EV180" s="1150" t="n"/>
      <c r="EW180" s="21">
        <f>EW133</f>
        <v/>
      </c>
      <c r="EY180" s="1150" t="n"/>
      <c r="FA180" s="21">
        <f>FA133</f>
        <v/>
      </c>
      <c r="FC180" s="1150" t="n"/>
      <c r="FE180" s="21">
        <f>FE133</f>
        <v/>
      </c>
      <c r="FG180" s="1150" t="n"/>
      <c r="FI180" s="21">
        <f>FI133</f>
        <v/>
      </c>
      <c r="FM180" s="21">
        <f>FM133</f>
        <v/>
      </c>
    </row>
    <row r="181" customFormat="1" s="1046">
      <c r="A181" s="960" t="n"/>
      <c r="B181" s="1048" t="inlineStr">
        <is>
          <t>depreciation</t>
        </is>
      </c>
      <c r="C181" s="1046">
        <f>C129</f>
        <v/>
      </c>
      <c r="D181" s="1046">
        <f>D129</f>
        <v/>
      </c>
      <c r="E181" s="1046">
        <f>E129</f>
        <v/>
      </c>
      <c r="F181" s="1064">
        <f>F129</f>
        <v/>
      </c>
      <c r="G181" s="1064">
        <f>G129</f>
        <v/>
      </c>
      <c r="H181" s="1064">
        <f>H129</f>
        <v/>
      </c>
      <c r="I181" s="1064">
        <f>I129</f>
        <v/>
      </c>
      <c r="J181" s="1064">
        <f>J129</f>
        <v/>
      </c>
      <c r="K181" s="1064">
        <f>K129</f>
        <v/>
      </c>
      <c r="L181" s="1064">
        <f>L129</f>
        <v/>
      </c>
      <c r="M181" s="1064">
        <f>M129</f>
        <v/>
      </c>
      <c r="N181" s="21">
        <f>N129</f>
        <v/>
      </c>
      <c r="O181" s="21">
        <f>O129</f>
        <v/>
      </c>
      <c r="P181" s="21">
        <f>P129</f>
        <v/>
      </c>
      <c r="Q181" s="21">
        <f>Q129</f>
        <v/>
      </c>
      <c r="R181" s="21">
        <f>R129</f>
        <v/>
      </c>
      <c r="S181" s="21">
        <f>S129</f>
        <v/>
      </c>
      <c r="T181" s="21">
        <f>T129</f>
        <v/>
      </c>
      <c r="U181" s="21">
        <f>U129</f>
        <v/>
      </c>
      <c r="V181" s="21">
        <f>V129</f>
        <v/>
      </c>
      <c r="W181" s="21">
        <f>W129</f>
        <v/>
      </c>
      <c r="X181" s="21">
        <f>X129</f>
        <v/>
      </c>
      <c r="Y181" s="21">
        <f>Y129</f>
        <v/>
      </c>
      <c r="Z181" s="21">
        <f>Z129</f>
        <v/>
      </c>
      <c r="AA181" s="21">
        <f>AA129</f>
        <v/>
      </c>
      <c r="AB181" s="21">
        <f>AB129</f>
        <v/>
      </c>
      <c r="AC181" s="21">
        <f>AC129</f>
        <v/>
      </c>
      <c r="AD181" s="21">
        <f>AD129</f>
        <v/>
      </c>
      <c r="AE181" s="21">
        <f>AE129</f>
        <v/>
      </c>
      <c r="AF181" s="21">
        <f>AF129</f>
        <v/>
      </c>
      <c r="AG181" s="21">
        <f>AG129</f>
        <v/>
      </c>
      <c r="AH181" s="21">
        <f>AH129</f>
        <v/>
      </c>
      <c r="AI181" s="21">
        <f>AI129</f>
        <v/>
      </c>
      <c r="AJ181" s="21">
        <f>AJ129</f>
        <v/>
      </c>
      <c r="AK181" s="21">
        <f>AK129</f>
        <v/>
      </c>
      <c r="AL181" s="21">
        <f>AL129</f>
        <v/>
      </c>
      <c r="AM181" s="21">
        <f>AM129</f>
        <v/>
      </c>
      <c r="AN181" s="21">
        <f>AN129</f>
        <v/>
      </c>
      <c r="AO181" s="21">
        <f>AO129</f>
        <v/>
      </c>
      <c r="AP181" s="21">
        <f>AP129</f>
        <v/>
      </c>
      <c r="AQ181" s="21">
        <f>AQ129</f>
        <v/>
      </c>
      <c r="AR181" s="21">
        <f>AR129</f>
        <v/>
      </c>
      <c r="AS181" s="21">
        <f>AS129</f>
        <v/>
      </c>
      <c r="AT181" s="21">
        <f>AT129</f>
        <v/>
      </c>
      <c r="AU181" s="1225" t="n"/>
      <c r="AV181" s="63" t="n"/>
      <c r="AW181" s="179" t="n"/>
      <c r="AX181" s="964" t="n"/>
      <c r="AY181" s="985" t="n"/>
      <c r="AZ181" s="985" t="n"/>
      <c r="BA181" s="985" t="n"/>
      <c r="BB181" s="1008" t="n"/>
      <c r="BD181" s="985" t="n"/>
      <c r="BE181" s="985" t="n"/>
      <c r="BF181" s="1008" t="n"/>
      <c r="BQ181" s="985" t="n"/>
      <c r="CJ181" s="57" t="n"/>
      <c r="CK181" s="57" t="n"/>
      <c r="CN181" s="57" t="n"/>
      <c r="CO181" s="57" t="n"/>
      <c r="CP181" s="181" t="n"/>
      <c r="CQ181" s="181" t="n"/>
      <c r="CR181" s="57" t="n"/>
      <c r="CS181" s="57" t="n"/>
      <c r="CT181" s="181" t="n"/>
      <c r="CU181" s="181" t="n"/>
      <c r="CV181" s="181" t="n"/>
      <c r="CW181" s="181" t="n"/>
      <c r="CX181" s="181" t="n"/>
      <c r="CY181" s="181" t="n"/>
      <c r="CZ181" s="1233" t="n"/>
      <c r="DA181" s="181" t="n"/>
      <c r="DB181" s="181" t="n"/>
      <c r="DC181" s="181" t="n"/>
      <c r="DD181" s="1233" t="n"/>
      <c r="DE181" s="181" t="n"/>
      <c r="DF181" s="181" t="n"/>
      <c r="DG181" s="181" t="n"/>
      <c r="DH181" s="181" t="n"/>
      <c r="DI181" s="181" t="n"/>
      <c r="DJ181" s="181" t="n"/>
      <c r="DK181" s="181" t="n"/>
      <c r="DL181" s="181" t="n"/>
      <c r="DM181" s="181" t="n"/>
      <c r="DN181" s="181" t="n"/>
      <c r="DO181" s="181" t="n"/>
      <c r="DP181" s="181" t="n"/>
      <c r="DQ181" s="181" t="n"/>
      <c r="DR181" s="181" t="n"/>
      <c r="DS181" s="181" t="n"/>
      <c r="DT181" s="181" t="n"/>
      <c r="DU181" s="1064" t="n"/>
      <c r="DV181" s="1064" t="n"/>
      <c r="DW181" s="1064" t="n"/>
      <c r="DX181" s="181" t="n"/>
      <c r="DY181" s="1064" t="n"/>
      <c r="DZ181" s="1064" t="n"/>
      <c r="EA181" s="1064" t="n"/>
      <c r="EC181" s="1064" t="n"/>
      <c r="ED181" s="1064" t="n"/>
      <c r="EE181" s="1064" t="n"/>
      <c r="EF181" s="1064" t="n"/>
      <c r="EJ181" s="1064" t="n"/>
      <c r="EK181" s="21">
        <f>EK129</f>
        <v/>
      </c>
      <c r="EN181" s="1213" t="n"/>
      <c r="EO181" s="21">
        <f>EO129</f>
        <v/>
      </c>
      <c r="ES181" s="21">
        <f>ES129</f>
        <v/>
      </c>
      <c r="EV181" s="1150" t="n"/>
      <c r="EW181" s="21">
        <f>EW129</f>
        <v/>
      </c>
      <c r="FA181" s="21">
        <f>FA129</f>
        <v/>
      </c>
      <c r="FE181" s="21">
        <f>FE129</f>
        <v/>
      </c>
      <c r="FI181" s="21">
        <f>FI129</f>
        <v/>
      </c>
      <c r="FM181" s="21">
        <f>FM129</f>
        <v/>
      </c>
    </row>
    <row r="182" customFormat="1" s="1176">
      <c r="A182" s="1170" t="n"/>
      <c r="B182" s="1234" t="inlineStr">
        <is>
          <t>Decrease (Increase) in net working capital</t>
        </is>
      </c>
      <c r="C182" s="1235">
        <f>-699.5+1881.7</f>
        <v/>
      </c>
      <c r="D182" s="1235">
        <f>-759.9+222.5</f>
        <v/>
      </c>
      <c r="E182" s="1235" t="n">
        <v>-87</v>
      </c>
      <c r="F182" s="1235" t="n">
        <v>93</v>
      </c>
      <c r="G182" s="217">
        <f>16-515+35+133-118+45</f>
        <v/>
      </c>
      <c r="H182" s="217">
        <f>-203+76+96-425+196+23</f>
        <v/>
      </c>
      <c r="I182" s="217">
        <f>-56-255-76+154-434+100</f>
        <v/>
      </c>
      <c r="J182" s="217">
        <f>32-630-21+675+34+57</f>
        <v/>
      </c>
      <c r="K182" s="217">
        <f>69-446+136+838-97-26</f>
        <v/>
      </c>
      <c r="L182" s="217">
        <f>-93+88-9-203+175+29</f>
        <v/>
      </c>
      <c r="M182" s="217">
        <f>-216+605+26+59-449-55</f>
        <v/>
      </c>
      <c r="N182" s="217">
        <f>380+480+185+639-261-460</f>
        <v/>
      </c>
      <c r="O182" s="217">
        <f>44-348-32+371-42+331</f>
        <v/>
      </c>
      <c r="P182" s="217">
        <f>1-1175-9-483+513+487</f>
        <v/>
      </c>
      <c r="Q182" s="217">
        <f>60+222-23-964-289+1160</f>
        <v/>
      </c>
      <c r="R182" s="217">
        <f>157+488+45+677+553-387</f>
        <v/>
      </c>
      <c r="S182" s="217">
        <f>32-460-22+288+321-147</f>
        <v/>
      </c>
      <c r="T182" s="217">
        <f>-126-557+115+1488+783-669</f>
        <v/>
      </c>
      <c r="U182" s="217">
        <f>-133-1190-77+514+242+663</f>
        <v/>
      </c>
      <c r="V182" s="217">
        <f>-67-429-70+1730+441-294</f>
        <v/>
      </c>
      <c r="W182" s="217">
        <f>-93-2679+111+3732+1583+288</f>
        <v/>
      </c>
      <c r="X182" s="217">
        <f>-82-732-119+8045-143-721</f>
        <v/>
      </c>
      <c r="Y182" s="217">
        <f>13+2422+94-8303-574+118</f>
        <v/>
      </c>
      <c r="Z182" s="217">
        <f>-74-2091+87+3552+1091-1470</f>
        <v/>
      </c>
      <c r="AA182" s="217">
        <f>-134+1148-104+2694+447+607</f>
        <v/>
      </c>
      <c r="AB182" s="217">
        <f>-39-1075-15-393-32+2239</f>
        <v/>
      </c>
      <c r="AC182" s="217">
        <f>-317-905+182-395+1656+3502</f>
        <v/>
      </c>
      <c r="AD182" s="217">
        <f>-78+1008-28+12821+1001-16241</f>
        <v/>
      </c>
      <c r="AE182" s="217">
        <f>223+2351-8+5526+774-14888</f>
        <v/>
      </c>
      <c r="AF182" s="217">
        <f>-148+408-93-11595-86+3660</f>
        <v/>
      </c>
      <c r="AG182" s="217">
        <f>-1-2270-1-5514+1035-510</f>
        <v/>
      </c>
      <c r="AH182" s="217">
        <f>-313-1174+23+1815+1243+1117</f>
        <v/>
      </c>
      <c r="AI182" s="217">
        <f>16+1776-70+1526+149-1946</f>
        <v/>
      </c>
      <c r="AJ182" s="217">
        <f>93+3751+271-7555-7819-11</f>
        <v/>
      </c>
      <c r="AK182" s="217">
        <f>340-159-232-1376+281+987</f>
        <v/>
      </c>
      <c r="AL182" s="217">
        <f>132+705+55+382+5416-742</f>
        <v/>
      </c>
      <c r="AM182" s="217">
        <f>170-6+53+5515+1656-164</f>
        <v/>
      </c>
      <c r="AN182" s="217">
        <f>-419-974+397+1803+3087-322</f>
        <v/>
      </c>
      <c r="AO182" s="21">
        <f>AN250-AO250</f>
        <v/>
      </c>
      <c r="AP182" s="21">
        <f>AO250-AP250</f>
        <v/>
      </c>
      <c r="AQ182" s="21">
        <f>AP250-AQ250</f>
        <v/>
      </c>
      <c r="AR182" s="21">
        <f>AQ250-AR250</f>
        <v/>
      </c>
      <c r="AS182" s="21">
        <f>AR250-AS250</f>
        <v/>
      </c>
      <c r="AT182" s="21">
        <f>AS250-AT250</f>
        <v/>
      </c>
      <c r="AU182" s="1174" t="n"/>
      <c r="AV182" s="179" t="n"/>
      <c r="AW182" s="1236" t="n"/>
      <c r="AX182" s="1211" t="n"/>
      <c r="AY182" s="1236" t="n"/>
      <c r="AZ182" s="1236" t="n"/>
      <c r="BA182" s="1236" t="n"/>
      <c r="BB182" s="1237" t="n"/>
      <c r="BD182" s="1236" t="n"/>
      <c r="BE182" s="1236" t="n"/>
      <c r="BF182" s="1237" t="n"/>
      <c r="BQ182" s="1236" t="n"/>
      <c r="CW182" s="1004" t="n"/>
      <c r="DA182" s="181" t="n"/>
      <c r="DE182" s="181" t="n"/>
      <c r="DI182" s="181" t="n"/>
      <c r="DM182" s="181" t="n"/>
      <c r="DQ182" s="181" t="n"/>
      <c r="DU182" s="1174" t="n"/>
      <c r="DV182" s="1174" t="n"/>
      <c r="DW182" s="1174" t="n"/>
      <c r="DY182" s="1174" t="n"/>
      <c r="DZ182" s="1174" t="n"/>
      <c r="EA182" s="1174" t="n"/>
      <c r="EC182" s="1174" t="n"/>
      <c r="ED182" s="1174" t="n"/>
      <c r="EE182" s="1174" t="n"/>
      <c r="EF182" s="1174" t="n"/>
      <c r="EJ182" s="1174" t="n"/>
      <c r="EK182" s="217" t="n"/>
      <c r="EN182" s="1174" t="n"/>
      <c r="EO182" s="217" t="n"/>
      <c r="ES182" s="217" t="n"/>
      <c r="EW182" s="217" t="n"/>
      <c r="FA182" s="217" t="n"/>
      <c r="FE182" s="217" t="n"/>
    </row>
    <row r="183" customFormat="1" s="1176">
      <c r="A183" s="1170" t="n"/>
      <c r="B183" s="1179" t="inlineStr">
        <is>
          <t>As % of revenue</t>
        </is>
      </c>
      <c r="C183" s="181">
        <f>C182/C118</f>
        <v/>
      </c>
      <c r="D183" s="181">
        <f>D182/D118</f>
        <v/>
      </c>
      <c r="E183" s="181">
        <f>E182/E118</f>
        <v/>
      </c>
      <c r="F183" s="181">
        <f>F182/F118</f>
        <v/>
      </c>
      <c r="G183" s="181">
        <f>G182/G118</f>
        <v/>
      </c>
      <c r="H183" s="181">
        <f>H182/H118</f>
        <v/>
      </c>
      <c r="I183" s="181">
        <f>I182/I118</f>
        <v/>
      </c>
      <c r="J183" s="181">
        <f>J182/J118</f>
        <v/>
      </c>
      <c r="K183" s="181">
        <f>K182/K118</f>
        <v/>
      </c>
      <c r="L183" s="181">
        <f>L182/L118</f>
        <v/>
      </c>
      <c r="M183" s="181">
        <f>M182/M118</f>
        <v/>
      </c>
      <c r="N183" s="181">
        <f>N182/N118</f>
        <v/>
      </c>
      <c r="O183" s="181">
        <f>O182/O118</f>
        <v/>
      </c>
      <c r="P183" s="181">
        <f>P182/P118</f>
        <v/>
      </c>
      <c r="Q183" s="181">
        <f>Q182/Q118</f>
        <v/>
      </c>
      <c r="R183" s="181">
        <f>R182/R118</f>
        <v/>
      </c>
      <c r="S183" s="181">
        <f>S182/S118</f>
        <v/>
      </c>
      <c r="T183" s="181">
        <f>T182/T118</f>
        <v/>
      </c>
      <c r="U183" s="181">
        <f>U182/U118</f>
        <v/>
      </c>
      <c r="V183" s="181">
        <f>V182/V118</f>
        <v/>
      </c>
      <c r="W183" s="181">
        <f>W182/W118</f>
        <v/>
      </c>
      <c r="X183" s="181">
        <f>X182/X118</f>
        <v/>
      </c>
      <c r="Y183" s="181">
        <f>Y182/Y118</f>
        <v/>
      </c>
      <c r="Z183" s="181">
        <f>Z182/Z118</f>
        <v/>
      </c>
      <c r="AA183" s="181">
        <f>AA182/AA118</f>
        <v/>
      </c>
      <c r="AB183" s="181">
        <f>AB182/AB118</f>
        <v/>
      </c>
      <c r="AC183" s="181">
        <f>AC182/AC118</f>
        <v/>
      </c>
      <c r="AD183" s="181">
        <f>AD182/AD118</f>
        <v/>
      </c>
      <c r="AE183" s="181">
        <f>AE182/AE118</f>
        <v/>
      </c>
      <c r="AF183" s="181">
        <f>AF182/AF118</f>
        <v/>
      </c>
      <c r="AG183" s="181">
        <f>AG182/AG118</f>
        <v/>
      </c>
      <c r="AH183" s="181">
        <f>AH182/AH118</f>
        <v/>
      </c>
      <c r="AI183" s="181">
        <f>AI182/AI118</f>
        <v/>
      </c>
      <c r="AJ183" s="181">
        <f>AJ182/AJ118</f>
        <v/>
      </c>
      <c r="AK183" s="181">
        <f>AK182/AK118</f>
        <v/>
      </c>
      <c r="AL183" s="181">
        <f>AL182/AL118</f>
        <v/>
      </c>
      <c r="AM183" s="181">
        <f>AM182/AM118</f>
        <v/>
      </c>
      <c r="AN183" s="181">
        <f>AN182/AN118</f>
        <v/>
      </c>
      <c r="AO183" s="181">
        <f>AO182/AO118</f>
        <v/>
      </c>
      <c r="AP183" s="181">
        <f>AP182/AP118</f>
        <v/>
      </c>
      <c r="AQ183" s="181">
        <f>AQ182/AQ118</f>
        <v/>
      </c>
      <c r="AR183" s="181">
        <f>AR182/AR118</f>
        <v/>
      </c>
      <c r="AS183" s="181">
        <f>AS182/AS118</f>
        <v/>
      </c>
      <c r="AT183" s="181">
        <f>AT182/AT118</f>
        <v/>
      </c>
      <c r="AU183" s="1174" t="n"/>
      <c r="AV183" s="179" t="n"/>
      <c r="AW183" s="1236" t="n"/>
      <c r="AX183" s="1211" t="n"/>
      <c r="AY183" s="1236" t="n"/>
      <c r="AZ183" s="1236" t="n"/>
      <c r="BA183" s="1236" t="n"/>
      <c r="BB183" s="1237" t="n"/>
      <c r="BD183" s="1236" t="n"/>
      <c r="BE183" s="1236" t="n"/>
      <c r="BF183" s="1237" t="n"/>
      <c r="BQ183" s="1236" t="n"/>
      <c r="CW183" s="1004" t="n"/>
      <c r="DA183" s="181" t="n"/>
      <c r="DE183" s="181" t="n"/>
      <c r="DI183" s="181" t="n"/>
      <c r="DM183" s="181" t="n"/>
      <c r="DQ183" s="181" t="n"/>
      <c r="DU183" s="1174" t="n"/>
      <c r="DV183" s="1174" t="n"/>
      <c r="DW183" s="1174" t="n"/>
      <c r="DY183" s="1174" t="n"/>
      <c r="DZ183" s="1174" t="n"/>
      <c r="EA183" s="1174" t="n"/>
      <c r="EC183" s="1174" t="n"/>
      <c r="ED183" s="1174" t="n"/>
      <c r="EE183" s="1174" t="n"/>
      <c r="EF183" s="1174" t="n"/>
      <c r="EJ183" s="1174" t="n"/>
      <c r="EK183" s="217" t="n"/>
      <c r="EN183" s="1174" t="n"/>
      <c r="EO183" s="217" t="n"/>
      <c r="ES183" s="217" t="n"/>
      <c r="EW183" s="217" t="n"/>
      <c r="FA183" s="217" t="n"/>
      <c r="FE183" s="217" t="n"/>
    </row>
    <row r="184" customFormat="1" s="1176">
      <c r="A184" s="1170" t="n"/>
      <c r="B184" s="1234" t="inlineStr">
        <is>
          <t>Others</t>
        </is>
      </c>
      <c r="C184" s="20">
        <f>C185-C182-C181-C180</f>
        <v/>
      </c>
      <c r="D184" s="20">
        <f>D185-D182-D181-D180</f>
        <v/>
      </c>
      <c r="E184" s="20">
        <f>E185-E182-E181-E180</f>
        <v/>
      </c>
      <c r="F184" s="20">
        <f>F185-F182-F181-F180</f>
        <v/>
      </c>
      <c r="G184" s="20">
        <f>G185-G182-G181-G180</f>
        <v/>
      </c>
      <c r="H184" s="20">
        <f>H185-H182-H181-H180</f>
        <v/>
      </c>
      <c r="I184" s="20">
        <f>I185-I182-I181-I180</f>
        <v/>
      </c>
      <c r="J184" s="20">
        <f>J185-J182-J181-J180</f>
        <v/>
      </c>
      <c r="K184" s="20">
        <f>K185-K182-K181-K180</f>
        <v/>
      </c>
      <c r="L184" s="20">
        <f>L185-L182-L181-L180</f>
        <v/>
      </c>
      <c r="M184" s="20">
        <f>M185-M182-M181-M180</f>
        <v/>
      </c>
      <c r="N184" s="20">
        <f>N185-N182-N181-N180</f>
        <v/>
      </c>
      <c r="O184" s="20">
        <f>O185-O182-O181-O180</f>
        <v/>
      </c>
      <c r="P184" s="20">
        <f>P185-P182-P181-P180</f>
        <v/>
      </c>
      <c r="Q184" s="20">
        <f>Q185-Q182-Q181-Q180</f>
        <v/>
      </c>
      <c r="R184" s="20">
        <f>R185-R182-R181-R180</f>
        <v/>
      </c>
      <c r="S184" s="20">
        <f>S185-S182-S181-S180</f>
        <v/>
      </c>
      <c r="T184" s="20">
        <f>T185-T182-T181-T180</f>
        <v/>
      </c>
      <c r="U184" s="20">
        <f>U185-U182-U181-U180</f>
        <v/>
      </c>
      <c r="V184" s="20">
        <f>V185-V182-V181-V180</f>
        <v/>
      </c>
      <c r="W184" s="20">
        <f>W185-W182-W181-W180</f>
        <v/>
      </c>
      <c r="X184" s="20">
        <f>X185-X182-X181-X180</f>
        <v/>
      </c>
      <c r="Y184" s="20">
        <f>Y185-Y182-Y181-Y180</f>
        <v/>
      </c>
      <c r="Z184" s="20">
        <f>Z185-Z182-Z181-Z180</f>
        <v/>
      </c>
      <c r="AA184" s="20">
        <f>AA185-AA182-AA181-AA180</f>
        <v/>
      </c>
      <c r="AB184" s="20">
        <f>AB185-AB182-AB181-AB180</f>
        <v/>
      </c>
      <c r="AC184" s="20">
        <f>AC185-AC182-AC181-AC180</f>
        <v/>
      </c>
      <c r="AD184" s="20">
        <f>AD185-AD182-AD181-AD180</f>
        <v/>
      </c>
      <c r="AE184" s="20">
        <f>AE185-AE182-AE181-AE180</f>
        <v/>
      </c>
      <c r="AF184" s="20">
        <f>AF185-AF182-AF181-AF180</f>
        <v/>
      </c>
      <c r="AG184" s="20">
        <f>AG185-AG182-AG181-AG180</f>
        <v/>
      </c>
      <c r="AH184" s="20">
        <f>AH185-AH182-AH181-AH180</f>
        <v/>
      </c>
      <c r="AI184" s="20">
        <f>AI185-AI182-AI181-AI180</f>
        <v/>
      </c>
      <c r="AJ184" s="20">
        <f>AJ185-AJ182-AJ181-AJ180</f>
        <v/>
      </c>
      <c r="AK184" s="20">
        <f>AK185-AK182-AK181-AK180</f>
        <v/>
      </c>
      <c r="AL184" s="20">
        <f>AL185-AL182-AL181-AL180</f>
        <v/>
      </c>
      <c r="AM184" s="20">
        <f>AM185-AM182-AM181-AM180</f>
        <v/>
      </c>
      <c r="AN184" s="20">
        <f>AN185-AN182-AN181-AN180</f>
        <v/>
      </c>
      <c r="AO184" s="427" t="n">
        <v>0</v>
      </c>
      <c r="AP184" s="427" t="n">
        <v>0</v>
      </c>
      <c r="AQ184" s="427" t="n">
        <v>0</v>
      </c>
      <c r="AR184" s="427" t="n">
        <v>0</v>
      </c>
      <c r="AS184" s="427" t="n">
        <v>0</v>
      </c>
      <c r="AT184" s="427" t="n">
        <v>0</v>
      </c>
      <c r="AU184" s="1174" t="n"/>
      <c r="AV184" s="179" t="n"/>
      <c r="AW184" s="1236" t="n"/>
      <c r="AX184" s="1211" t="n"/>
      <c r="AY184" s="1236" t="n"/>
      <c r="AZ184" s="1236" t="n"/>
      <c r="BA184" s="1236" t="n"/>
      <c r="BB184" s="1237" t="n"/>
      <c r="BD184" s="1236" t="n"/>
      <c r="BE184" s="1236" t="n"/>
      <c r="BF184" s="1237" t="n"/>
      <c r="BQ184" s="1236" t="n"/>
      <c r="CW184" s="1004" t="n"/>
      <c r="DA184" s="181" t="n"/>
      <c r="DE184" s="181" t="n"/>
      <c r="DI184" s="181" t="n"/>
      <c r="DM184" s="181" t="n"/>
      <c r="DQ184" s="181" t="n"/>
      <c r="DU184" s="1174" t="n"/>
      <c r="DV184" s="1174" t="n"/>
      <c r="DW184" s="1174" t="n"/>
      <c r="DY184" s="1174" t="n"/>
      <c r="DZ184" s="1174" t="n"/>
      <c r="EA184" s="1174" t="n"/>
      <c r="EC184" s="1174" t="n"/>
      <c r="ED184" s="1174" t="n"/>
      <c r="EE184" s="1174" t="n"/>
      <c r="EF184" s="1174" t="n"/>
      <c r="EJ184" s="1174" t="n"/>
      <c r="EK184" s="20" t="n"/>
      <c r="EN184" s="1174" t="n"/>
      <c r="EO184" s="20" t="n"/>
      <c r="ES184" s="20" t="n"/>
      <c r="EW184" s="20" t="n"/>
      <c r="FA184" s="20" t="n"/>
      <c r="FE184" s="20" t="n"/>
    </row>
    <row r="185" customFormat="1" s="1154">
      <c r="A185" s="1155" t="inlineStr">
        <is>
          <t>cf cash inflow</t>
        </is>
      </c>
      <c r="B185" s="1154" t="inlineStr">
        <is>
          <t>Cash generated from operations before interest and tax</t>
        </is>
      </c>
      <c r="C185" s="526">
        <f>2773.9+C182-C136-C187</f>
        <v/>
      </c>
      <c r="D185" s="526">
        <f>4209.6+D182-D136-D187</f>
        <v/>
      </c>
      <c r="E185" s="526">
        <f>5156+E182-E136</f>
        <v/>
      </c>
      <c r="F185" s="526">
        <f>5241+F182-F136</f>
        <v/>
      </c>
      <c r="G185" s="526">
        <f>5175+65</f>
        <v/>
      </c>
      <c r="H185" s="526">
        <f>5509+88</f>
        <v/>
      </c>
      <c r="I185" s="526">
        <f>4288+187</f>
        <v/>
      </c>
      <c r="J185" s="526">
        <f>6031+238</f>
        <v/>
      </c>
      <c r="K185" s="526">
        <f>6979+303</f>
        <v/>
      </c>
      <c r="L185" s="526">
        <f>6267+229</f>
        <v/>
      </c>
      <c r="M185" s="526">
        <f>4722+110</f>
        <v/>
      </c>
      <c r="N185" s="526">
        <f>4066+89</f>
        <v/>
      </c>
      <c r="O185" s="526">
        <f>6625+48</f>
        <v/>
      </c>
      <c r="P185" s="526">
        <f>8284+65</f>
        <v/>
      </c>
      <c r="Q185" s="526">
        <f>4613+77</f>
        <v/>
      </c>
      <c r="R185" s="526">
        <f>9300+133</f>
        <v/>
      </c>
      <c r="S185" s="526">
        <f>6370+187</f>
        <v/>
      </c>
      <c r="T185" s="526">
        <f>10595+122</f>
        <v/>
      </c>
      <c r="U185" s="526">
        <f>8706+170</f>
        <v/>
      </c>
      <c r="V185" s="526">
        <f>11122+241</f>
        <v/>
      </c>
      <c r="W185" s="526">
        <f>16101+274</f>
        <v/>
      </c>
      <c r="X185" s="526">
        <f>3882+383</f>
        <v/>
      </c>
      <c r="Y185" s="526">
        <f>4490+174</f>
        <v/>
      </c>
      <c r="Z185" s="526">
        <f>18844+100</f>
        <v/>
      </c>
      <c r="AA185" s="526" t="n">
        <v>15393</v>
      </c>
      <c r="AB185" s="526" t="n">
        <v>9239</v>
      </c>
      <c r="AC185" s="526" t="n">
        <v>14163</v>
      </c>
      <c r="AD185" s="526" t="n">
        <v>12274</v>
      </c>
      <c r="AE185" s="526" t="n">
        <v>17137</v>
      </c>
      <c r="AF185" s="526" t="n">
        <v>7701</v>
      </c>
      <c r="AG185" s="526" t="n">
        <v>6415</v>
      </c>
      <c r="AH185" s="526" t="n">
        <v>17737</v>
      </c>
      <c r="AI185" s="526" t="n">
        <v>18458</v>
      </c>
      <c r="AJ185" s="526" t="n">
        <v>-11237</v>
      </c>
      <c r="AK185" s="526" t="n">
        <v>11705</v>
      </c>
      <c r="AL185" s="526" t="n">
        <v>21386</v>
      </c>
      <c r="AM185" s="526" t="n">
        <v>32148</v>
      </c>
      <c r="AN185" s="526" t="n">
        <v>28257</v>
      </c>
      <c r="AO185" s="319">
        <f>SUM(AO180:AO184)</f>
        <v/>
      </c>
      <c r="AP185" s="319">
        <f>SUM(AP180:AP184)</f>
        <v/>
      </c>
      <c r="AQ185" s="319">
        <f>SUM(AQ180:AQ184)</f>
        <v/>
      </c>
      <c r="AR185" s="319">
        <f>SUM(AR180:AR184)</f>
        <v/>
      </c>
      <c r="AS185" s="319">
        <f>SUM(AS180:AS184)</f>
        <v/>
      </c>
      <c r="AT185" s="319">
        <f>SUM(AT180:AT184)</f>
        <v/>
      </c>
      <c r="AU185" s="1156" t="n"/>
      <c r="AV185" s="1238" t="n"/>
      <c r="AW185" s="1238" t="n"/>
      <c r="AX185" s="1239" t="n"/>
      <c r="AY185" s="1238" t="n"/>
      <c r="AZ185" s="1238" t="n"/>
      <c r="BA185" s="1238" t="n"/>
      <c r="BB185" s="1239" t="n"/>
      <c r="BD185" s="1238" t="n"/>
      <c r="BE185" s="1238" t="n"/>
      <c r="BF185" s="1239" t="n"/>
      <c r="BQ185" s="1238" t="n"/>
      <c r="CB185" s="664" t="n"/>
      <c r="CW185" s="1028" t="n"/>
      <c r="DU185" s="1156" t="n"/>
      <c r="DV185" s="1156" t="n"/>
      <c r="DW185" s="1156" t="n"/>
      <c r="DY185" s="1156" t="n"/>
      <c r="DZ185" s="1156" t="n"/>
      <c r="EA185" s="1156" t="n"/>
      <c r="EC185" s="1156" t="n"/>
      <c r="ED185" s="1156" t="n"/>
      <c r="EE185" s="1156" t="n"/>
      <c r="EF185" s="1156" t="n"/>
      <c r="EH185" s="1240" t="n"/>
      <c r="EI185" s="1240" t="n"/>
      <c r="EJ185" s="1156" t="n"/>
      <c r="EK185" s="526" t="n">
        <v>11425</v>
      </c>
      <c r="EL185" s="1240" t="n"/>
      <c r="EM185" s="1240" t="n"/>
      <c r="EN185" s="1156" t="n"/>
      <c r="EO185" s="526" t="n">
        <v>-6285</v>
      </c>
      <c r="EP185" s="1240" t="n"/>
      <c r="EQ185" s="1240" t="n"/>
      <c r="ER185" s="1240" t="n"/>
      <c r="ES185" s="526" t="n">
        <v>2423</v>
      </c>
      <c r="EU185" s="1240" t="n"/>
      <c r="EV185" s="1240" t="n"/>
      <c r="EW185" s="526" t="n">
        <v>6993</v>
      </c>
      <c r="EY185" s="1240" t="n"/>
      <c r="FA185" s="526" t="n">
        <v>20752</v>
      </c>
      <c r="FC185" s="1240" t="n"/>
      <c r="FE185" s="526" t="n">
        <v>12140</v>
      </c>
      <c r="FG185" s="1240" t="n"/>
      <c r="FI185" s="526" t="n">
        <v>12615</v>
      </c>
      <c r="FM185" s="526" t="n">
        <v>15057</v>
      </c>
    </row>
    <row r="186" customFormat="1" s="1176">
      <c r="A186" s="1170" t="inlineStr">
        <is>
          <t>cf net interest</t>
        </is>
      </c>
      <c r="B186" s="1234" t="inlineStr">
        <is>
          <t>Cash net interest</t>
        </is>
      </c>
      <c r="C186" s="1176">
        <f>C136</f>
        <v/>
      </c>
      <c r="D186" s="1176">
        <f>D136</f>
        <v/>
      </c>
      <c r="E186" s="1176">
        <f>E136</f>
        <v/>
      </c>
      <c r="F186" s="1176">
        <f>F136</f>
        <v/>
      </c>
      <c r="G186" s="217">
        <f>277-598-191</f>
        <v/>
      </c>
      <c r="H186" s="217">
        <f>154-823-134</f>
        <v/>
      </c>
      <c r="I186" s="217">
        <f>79-1199-50</f>
        <v/>
      </c>
      <c r="J186" s="217">
        <f>360-1188-254</f>
        <v/>
      </c>
      <c r="K186" s="217">
        <f>230-1400-297</f>
        <v/>
      </c>
      <c r="L186" s="217">
        <f>206-1308-118</f>
        <v/>
      </c>
      <c r="M186" s="217">
        <f>497-1385-206</f>
        <v/>
      </c>
      <c r="N186" s="217">
        <f>387-1407</f>
        <v/>
      </c>
      <c r="O186" s="217">
        <f>415-1790</f>
        <v/>
      </c>
      <c r="P186" s="217">
        <f>192-1326</f>
        <v/>
      </c>
      <c r="Q186" s="217">
        <f>139-1250</f>
        <v/>
      </c>
      <c r="R186" s="217">
        <f>103-1021</f>
        <v/>
      </c>
      <c r="S186" s="217">
        <f>49-928</f>
        <v/>
      </c>
      <c r="T186" s="217">
        <f>59-786</f>
        <v/>
      </c>
      <c r="U186" s="217">
        <f>163-671</f>
        <v/>
      </c>
      <c r="V186" s="217">
        <f>267-1006</f>
        <v/>
      </c>
      <c r="W186" s="217">
        <f>322-1454</f>
        <v/>
      </c>
      <c r="X186" s="217">
        <f>258-1305</f>
        <v/>
      </c>
      <c r="Y186" s="217">
        <f>79-965</f>
        <v/>
      </c>
      <c r="Z186" s="217">
        <f>89-624</f>
        <v/>
      </c>
      <c r="AA186" s="217">
        <f>119-488</f>
        <v/>
      </c>
      <c r="AB186" s="217">
        <f>221-664</f>
        <v/>
      </c>
      <c r="AC186" s="217">
        <f>178-774</f>
        <v/>
      </c>
      <c r="AD186" s="217">
        <f>198-792</f>
        <v/>
      </c>
      <c r="AE186" s="217">
        <f>152-825</f>
        <v/>
      </c>
      <c r="AF186" s="217">
        <f>189-1032</f>
        <v/>
      </c>
      <c r="AG186" s="217">
        <f>237-1546</f>
        <v/>
      </c>
      <c r="AH186" s="217">
        <f>248-1956</f>
        <v/>
      </c>
      <c r="AI186" s="217">
        <f>179-3010</f>
        <v/>
      </c>
      <c r="AJ186" s="217">
        <f>92-2223</f>
        <v/>
      </c>
      <c r="AK186" s="217">
        <f>-1946+67</f>
        <v/>
      </c>
      <c r="AL186" s="217">
        <f>-2432+129</f>
        <v/>
      </c>
      <c r="AM186" s="217">
        <f>-3364+737</f>
        <v/>
      </c>
      <c r="AN186" s="217">
        <f>-3246+540</f>
        <v/>
      </c>
      <c r="AO186" s="21">
        <f>AO137-AO139</f>
        <v/>
      </c>
      <c r="AP186" s="21">
        <f>AP137-AP139</f>
        <v/>
      </c>
      <c r="AQ186" s="21">
        <f>AQ137-AQ139</f>
        <v/>
      </c>
      <c r="AR186" s="21">
        <f>AR137-AR139</f>
        <v/>
      </c>
      <c r="AS186" s="21">
        <f>AS137-AS139</f>
        <v/>
      </c>
      <c r="AT186" s="21">
        <f>AT137-AT139</f>
        <v/>
      </c>
      <c r="AU186" s="1174" t="n"/>
      <c r="AV186" s="179" t="n"/>
      <c r="AW186" s="1236" t="n"/>
      <c r="AX186" s="1211" t="n"/>
      <c r="AY186" s="1236" t="n"/>
      <c r="AZ186" s="1236" t="n"/>
      <c r="BA186" s="1236" t="n"/>
      <c r="BB186" s="1237" t="n"/>
      <c r="BD186" s="1236" t="n"/>
      <c r="BE186" s="1236" t="n"/>
      <c r="BF186" s="1237" t="n"/>
      <c r="BQ186" s="1236" t="n"/>
      <c r="DU186" s="1174" t="n"/>
      <c r="DV186" s="1174" t="n"/>
      <c r="DW186" s="1174" t="n"/>
      <c r="DY186" s="1174" t="n"/>
      <c r="DZ186" s="1174" t="n"/>
      <c r="EA186" s="1174" t="n"/>
      <c r="EC186" s="1174" t="n"/>
      <c r="ED186" s="1174" t="n"/>
      <c r="EE186" s="1174" t="n"/>
      <c r="EF186" s="1174" t="n"/>
      <c r="EH186" s="1150" t="n"/>
      <c r="EI186" s="1150" t="n"/>
      <c r="EJ186" s="1174" t="n"/>
      <c r="EK186" s="217">
        <f>95-1496</f>
        <v/>
      </c>
      <c r="EL186" s="1150" t="n"/>
      <c r="EM186" s="1150" t="n"/>
      <c r="EN186" s="1174" t="n"/>
      <c r="EO186" s="217">
        <f>50-1278</f>
        <v/>
      </c>
      <c r="EP186" s="1150" t="n"/>
      <c r="EQ186" s="1150" t="n"/>
      <c r="ER186" s="1150" t="n"/>
      <c r="ES186" s="217">
        <f>34-807</f>
        <v/>
      </c>
      <c r="EU186" s="1150" t="n"/>
      <c r="EV186" s="1150" t="n"/>
      <c r="EW186" s="217">
        <f>16-1071</f>
        <v/>
      </c>
      <c r="EY186" s="1150" t="n"/>
      <c r="FA186" s="217">
        <f>207-1570</f>
        <v/>
      </c>
      <c r="FC186" s="1150" t="n"/>
      <c r="FE186" s="217">
        <f>271-1383</f>
        <v/>
      </c>
      <c r="FG186" s="1150" t="n"/>
      <c r="FI186" s="217">
        <f>144-1446</f>
        <v/>
      </c>
      <c r="FM186" s="217">
        <f>224-1198</f>
        <v/>
      </c>
    </row>
    <row r="187" customFormat="1" s="1176">
      <c r="A187" s="1170" t="inlineStr">
        <is>
          <t>cf tax</t>
        </is>
      </c>
      <c r="B187" s="1234" t="inlineStr">
        <is>
          <t>Tax paid</t>
        </is>
      </c>
      <c r="C187" s="1176">
        <f>-C155</f>
        <v/>
      </c>
      <c r="D187" s="1176">
        <f>-D155</f>
        <v/>
      </c>
      <c r="E187" s="1235" t="n">
        <v>-386</v>
      </c>
      <c r="F187" s="217" t="n">
        <v>-407</v>
      </c>
      <c r="G187" s="217" t="n">
        <v>-356</v>
      </c>
      <c r="H187" s="217" t="n">
        <v>-401</v>
      </c>
      <c r="I187" s="217" t="n">
        <v>-181</v>
      </c>
      <c r="J187" s="217" t="n">
        <v>-274</v>
      </c>
      <c r="K187" s="217" t="n">
        <v>-273</v>
      </c>
      <c r="L187" s="217" t="n">
        <v>-405</v>
      </c>
      <c r="M187" s="217" t="n">
        <v>-475</v>
      </c>
      <c r="N187" s="217">
        <f>-75</f>
        <v/>
      </c>
      <c r="O187" s="217" t="n">
        <v>-94</v>
      </c>
      <c r="P187" s="217" t="n">
        <v>-282</v>
      </c>
      <c r="Q187" s="217" t="n">
        <v>-348</v>
      </c>
      <c r="R187" s="217" t="n">
        <v>-394</v>
      </c>
      <c r="S187" s="217" t="n">
        <v>-815</v>
      </c>
      <c r="T187" s="217" t="n">
        <v>-785</v>
      </c>
      <c r="U187" s="217" t="n">
        <v>-971</v>
      </c>
      <c r="V187" s="217" t="n">
        <v>-2107</v>
      </c>
      <c r="W187" s="217" t="n">
        <v>-2075</v>
      </c>
      <c r="X187" s="217">
        <f>-1402</f>
        <v/>
      </c>
      <c r="Y187" s="217" t="n">
        <v>-1743</v>
      </c>
      <c r="Z187" s="217" t="n">
        <v>-810</v>
      </c>
      <c r="AA187" s="217" t="n">
        <v>-1461</v>
      </c>
      <c r="AB187" s="217" t="n">
        <v>-1356</v>
      </c>
      <c r="AC187" s="217">
        <f>-891</f>
        <v/>
      </c>
      <c r="AD187" s="217" t="n">
        <v>-1395</v>
      </c>
      <c r="AE187" s="217" t="n">
        <v>-469</v>
      </c>
      <c r="AF187" s="217" t="n">
        <v>-750</v>
      </c>
      <c r="AG187" s="217">
        <f>-783</f>
        <v/>
      </c>
      <c r="AH187" s="217" t="n">
        <v>-1504</v>
      </c>
      <c r="AI187" s="217" t="n">
        <v>-285</v>
      </c>
      <c r="AJ187" s="217">
        <f>-923</f>
        <v/>
      </c>
      <c r="AK187" s="217" t="n">
        <v>-991</v>
      </c>
      <c r="AL187" s="217" t="n">
        <v>-1247</v>
      </c>
      <c r="AM187" s="217" t="n">
        <v>-3113</v>
      </c>
      <c r="AN187" s="217" t="n">
        <v>-2010</v>
      </c>
      <c r="AO187" s="21">
        <f>-AO155</f>
        <v/>
      </c>
      <c r="AP187" s="21">
        <f>-AP155</f>
        <v/>
      </c>
      <c r="AQ187" s="21">
        <f>-AQ155</f>
        <v/>
      </c>
      <c r="AR187" s="21">
        <f>-AR155</f>
        <v/>
      </c>
      <c r="AS187" s="21">
        <f>-AS155</f>
        <v/>
      </c>
      <c r="AT187" s="21">
        <f>-AT155</f>
        <v/>
      </c>
      <c r="AU187" s="1174" t="n"/>
      <c r="AV187" s="1236" t="n"/>
      <c r="AW187" s="1236" t="n"/>
      <c r="AX187" s="1211" t="n"/>
      <c r="AY187" s="1236" t="n"/>
      <c r="AZ187" s="1236" t="n"/>
      <c r="BA187" s="1236" t="n"/>
      <c r="BB187" s="1237" t="n"/>
      <c r="BD187" s="1236" t="n"/>
      <c r="BE187" s="1236" t="n"/>
      <c r="BF187" s="1237" t="n"/>
      <c r="BQ187" s="1236" t="n"/>
      <c r="DU187" s="1174" t="n"/>
      <c r="DV187" s="1174" t="n"/>
      <c r="DW187" s="1174" t="n"/>
      <c r="DY187" s="1174" t="n"/>
      <c r="DZ187" s="1174" t="n"/>
      <c r="EA187" s="1174" t="n"/>
      <c r="EC187" s="1174" t="n"/>
      <c r="ED187" s="1174" t="n"/>
      <c r="EE187" s="1174" t="n"/>
      <c r="EF187" s="1174" t="n"/>
      <c r="EJ187" s="1174" t="n"/>
      <c r="EK187" s="217">
        <f>-156</f>
        <v/>
      </c>
      <c r="EN187" s="1174" t="n"/>
      <c r="EO187" s="217" t="n">
        <v>-604</v>
      </c>
      <c r="ES187" s="217" t="n">
        <v>-225</v>
      </c>
      <c r="EW187" s="217" t="n">
        <v>-302</v>
      </c>
      <c r="FA187" s="217" t="n">
        <v>-368</v>
      </c>
      <c r="FE187" s="217" t="n">
        <v>-415</v>
      </c>
      <c r="FI187" s="217" t="n">
        <v>-160</v>
      </c>
      <c r="FM187" s="217" t="n">
        <v>-410</v>
      </c>
    </row>
    <row r="188" customFormat="1" s="1176">
      <c r="A188" s="1170" t="inlineStr">
        <is>
          <t>cf dividend</t>
        </is>
      </c>
      <c r="B188" s="1234" t="inlineStr">
        <is>
          <t>Dividends paid</t>
        </is>
      </c>
      <c r="C188" s="1235">
        <f>-586.1-12.7</f>
        <v/>
      </c>
      <c r="D188" s="1235">
        <f>-845-13</f>
        <v/>
      </c>
      <c r="E188" s="217">
        <f>-1074-14</f>
        <v/>
      </c>
      <c r="F188" s="217">
        <f>-1203-7</f>
        <v/>
      </c>
      <c r="G188" s="217">
        <f>-1203-19</f>
        <v/>
      </c>
      <c r="H188" s="217">
        <f>-1203-17</f>
        <v/>
      </c>
      <c r="I188" s="217">
        <f>-1203-30</f>
        <v/>
      </c>
      <c r="J188" s="217">
        <f>-1203-38</f>
        <v/>
      </c>
      <c r="K188" s="217">
        <f>-1217-46</f>
        <v/>
      </c>
      <c r="L188" s="217">
        <f>-1455-15</f>
        <v/>
      </c>
      <c r="M188" s="217">
        <f>-1817-11</f>
        <v/>
      </c>
      <c r="N188" s="217">
        <f>-694-31</f>
        <v/>
      </c>
      <c r="O188" s="217">
        <f>-339-87</f>
        <v/>
      </c>
      <c r="P188" s="217">
        <f>-1585-73</f>
        <v/>
      </c>
      <c r="Q188" s="217">
        <f>-1915-48</f>
        <v/>
      </c>
      <c r="R188" s="217">
        <f>-701-39</f>
        <v/>
      </c>
      <c r="S188" s="217">
        <f>-1035-20</f>
        <v/>
      </c>
      <c r="T188" s="217">
        <f>-2189-69</f>
        <v/>
      </c>
      <c r="U188" s="217">
        <f>-2196-21</f>
        <v/>
      </c>
      <c r="V188" s="217">
        <f>-2992-286</f>
        <v/>
      </c>
      <c r="W188" s="217">
        <f>-2245-161</f>
        <v/>
      </c>
      <c r="X188" s="217">
        <f>-2438-258</f>
        <v/>
      </c>
      <c r="Y188" s="217">
        <f>-143</f>
        <v/>
      </c>
      <c r="Z188" s="217">
        <f>-1691-177</f>
        <v/>
      </c>
      <c r="AA188" s="217">
        <f>-3777-189</f>
        <v/>
      </c>
      <c r="AB188" s="217">
        <f>-1338-227</f>
        <v/>
      </c>
      <c r="AC188" s="217">
        <f>-551-278</f>
        <v/>
      </c>
      <c r="AD188" s="217">
        <f>-1022-292</f>
        <v/>
      </c>
      <c r="AE188" s="217">
        <f>-2046-283</f>
        <v/>
      </c>
      <c r="AF188" s="217">
        <f>-1259-188</f>
        <v/>
      </c>
      <c r="AG188" s="217" t="n">
        <v>-453</v>
      </c>
      <c r="AH188" s="217">
        <f>-590-564</f>
        <v/>
      </c>
      <c r="AI188" s="217">
        <f>-1495-1</f>
        <v/>
      </c>
      <c r="AJ188" s="217" t="n">
        <v>0</v>
      </c>
      <c r="AK188" s="217" t="n">
        <v>0</v>
      </c>
      <c r="AL188" s="217" t="n">
        <v>0</v>
      </c>
      <c r="AM188" s="217" t="n">
        <v>-1969</v>
      </c>
      <c r="AN188" s="217">
        <f>-4056-471</f>
        <v/>
      </c>
      <c r="AO188" s="21">
        <f>-AN168*AN170</f>
        <v/>
      </c>
      <c r="AP188" s="21">
        <f>-AO168*AO170</f>
        <v/>
      </c>
      <c r="AQ188" s="21">
        <f>-AP168*AP170</f>
        <v/>
      </c>
      <c r="AR188" s="21">
        <f>-AQ168*AQ170</f>
        <v/>
      </c>
      <c r="AS188" s="21">
        <f>-AR168*AR170</f>
        <v/>
      </c>
      <c r="AT188" s="21">
        <f>-AS168*AS170</f>
        <v/>
      </c>
      <c r="AU188" s="1174" t="n"/>
      <c r="AV188" s="179" t="n"/>
      <c r="AW188" s="1236" t="n"/>
      <c r="AX188" s="1211" t="n"/>
      <c r="AY188" s="1236" t="n"/>
      <c r="AZ188" s="1236" t="n"/>
      <c r="BA188" s="1236" t="n"/>
      <c r="BB188" s="1237" t="n"/>
      <c r="BD188" s="179" t="n"/>
      <c r="BE188" s="1236" t="n"/>
      <c r="BF188" s="1237" t="n"/>
      <c r="BQ188" s="1236" t="n"/>
      <c r="DU188" s="1174" t="n"/>
      <c r="DV188" s="1174" t="n"/>
      <c r="DW188" s="1174" t="n"/>
      <c r="DY188" s="1174" t="n"/>
      <c r="DZ188" s="1174" t="n"/>
      <c r="EA188" s="1174" t="n"/>
      <c r="EC188" s="1174" t="n"/>
      <c r="ED188" s="1174" t="n"/>
      <c r="EE188" s="1174" t="n"/>
      <c r="EF188" s="1174" t="n"/>
      <c r="EJ188" s="1174" t="n"/>
      <c r="EK188" s="217">
        <f>-787-1</f>
        <v/>
      </c>
      <c r="EN188" s="1174" t="n"/>
      <c r="EO188" s="217" t="n">
        <v>0</v>
      </c>
      <c r="ES188" s="217" t="n">
        <v>0</v>
      </c>
      <c r="EW188" s="217" t="n">
        <v>0</v>
      </c>
      <c r="FA188" s="217" t="n">
        <v>-1524</v>
      </c>
      <c r="FE188" s="217">
        <f>-2768-244</f>
        <v/>
      </c>
      <c r="FI188" s="217" t="n">
        <v>-3155</v>
      </c>
      <c r="FM188" s="217" t="n">
        <v>-3892</v>
      </c>
    </row>
    <row r="189" customFormat="1" s="1150">
      <c r="A189" s="1170" t="inlineStr">
        <is>
          <t>cf funding cost</t>
        </is>
      </c>
      <c r="B189" s="1234" t="inlineStr">
        <is>
          <t>Funding cost / other</t>
        </is>
      </c>
      <c r="C189" s="1171">
        <f>SUM(C186:C188)</f>
        <v/>
      </c>
      <c r="D189" s="1171">
        <f>SUM(D186:D188)</f>
        <v/>
      </c>
      <c r="E189" s="1171">
        <f>SUM(E186:E188)</f>
        <v/>
      </c>
      <c r="F189" s="1171">
        <f>SUM(F186:F188)</f>
        <v/>
      </c>
      <c r="G189" s="1171">
        <f>SUM(G186:G188)</f>
        <v/>
      </c>
      <c r="H189" s="1171">
        <f>SUM(H186:H188)</f>
        <v/>
      </c>
      <c r="I189" s="1171">
        <f>SUM(I186:I188)</f>
        <v/>
      </c>
      <c r="J189" s="1171">
        <f>SUM(J186:J188)</f>
        <v/>
      </c>
      <c r="K189" s="1171">
        <f>SUM(K186:K188)</f>
        <v/>
      </c>
      <c r="L189" s="1171">
        <f>SUM(L186:L188)</f>
        <v/>
      </c>
      <c r="M189" s="1171">
        <f>SUM(M186:M188)</f>
        <v/>
      </c>
      <c r="N189" s="120">
        <f>SUM(N186:N188)</f>
        <v/>
      </c>
      <c r="O189" s="120">
        <f>SUM(O186:O188)</f>
        <v/>
      </c>
      <c r="P189" s="120">
        <f>SUM(P186:P188)</f>
        <v/>
      </c>
      <c r="Q189" s="120">
        <f>SUM(Q186:Q188)</f>
        <v/>
      </c>
      <c r="R189" s="120">
        <f>SUM(R186:R188)</f>
        <v/>
      </c>
      <c r="S189" s="120">
        <f>SUM(S186:S188)</f>
        <v/>
      </c>
      <c r="T189" s="120">
        <f>SUM(T186:T188)</f>
        <v/>
      </c>
      <c r="U189" s="120">
        <f>SUM(U186:U188)</f>
        <v/>
      </c>
      <c r="V189" s="120">
        <f>SUM(V186:V188)</f>
        <v/>
      </c>
      <c r="W189" s="120">
        <f>SUM(W186:W188)</f>
        <v/>
      </c>
      <c r="X189" s="120">
        <f>SUM(X186:X188)</f>
        <v/>
      </c>
      <c r="Y189" s="120">
        <f>SUM(Y186:Y188)</f>
        <v/>
      </c>
      <c r="Z189" s="120">
        <f>SUM(Z186:Z188)</f>
        <v/>
      </c>
      <c r="AA189" s="120">
        <f>SUM(AA186:AA188)</f>
        <v/>
      </c>
      <c r="AB189" s="120">
        <f>SUM(AB186:AB188)</f>
        <v/>
      </c>
      <c r="AC189" s="120">
        <f>SUM(AC186:AC188)</f>
        <v/>
      </c>
      <c r="AD189" s="120">
        <f>SUM(AD186:AD188)</f>
        <v/>
      </c>
      <c r="AE189" s="120">
        <f>SUM(AE186:AE188)</f>
        <v/>
      </c>
      <c r="AF189" s="120">
        <f>SUM(AF186:AF188)</f>
        <v/>
      </c>
      <c r="AG189" s="120">
        <f>SUM(AG186:AG188)</f>
        <v/>
      </c>
      <c r="AH189" s="120">
        <f>SUM(AH186:AH188)</f>
        <v/>
      </c>
      <c r="AI189" s="120">
        <f>SUM(AI186:AI188)</f>
        <v/>
      </c>
      <c r="AJ189" s="120">
        <f>SUM(AJ186:AJ188)</f>
        <v/>
      </c>
      <c r="AK189" s="120">
        <f>SUM(AK186:AK188)</f>
        <v/>
      </c>
      <c r="AL189" s="120">
        <f>SUM(AL186:AL188)</f>
        <v/>
      </c>
      <c r="AM189" s="120">
        <f>SUM(AM186:AM188)</f>
        <v/>
      </c>
      <c r="AN189" s="120">
        <f>SUM(AN186:AN188)</f>
        <v/>
      </c>
      <c r="AO189" s="120">
        <f>SUM(AO186:AO188)</f>
        <v/>
      </c>
      <c r="AP189" s="120">
        <f>SUM(AP186:AP188)</f>
        <v/>
      </c>
      <c r="AQ189" s="120">
        <f>SUM(AQ186:AQ188)</f>
        <v/>
      </c>
      <c r="AR189" s="120">
        <f>SUM(AR186:AR188)</f>
        <v/>
      </c>
      <c r="AS189" s="120">
        <f>SUM(AS186:AS188)</f>
        <v/>
      </c>
      <c r="AT189" s="120">
        <f>SUM(AT186:AT188)</f>
        <v/>
      </c>
      <c r="AU189" s="1171" t="n"/>
      <c r="AV189" s="118" t="n"/>
      <c r="AW189" s="1210" t="n"/>
      <c r="AX189" s="1211" t="n"/>
      <c r="AY189" s="1210" t="n"/>
      <c r="AZ189" s="1210" t="n"/>
      <c r="BA189" s="1210" t="n"/>
      <c r="BB189" s="1211" t="n"/>
      <c r="BD189" s="1210" t="n"/>
      <c r="BE189" s="1210" t="n"/>
      <c r="BF189" s="1211" t="n"/>
      <c r="BQ189" s="1210" t="n"/>
      <c r="CV189" s="1241" t="n"/>
      <c r="DU189" s="1171" t="n"/>
      <c r="DV189" s="1171" t="n"/>
      <c r="DW189" s="1171" t="n"/>
      <c r="DY189" s="1171" t="n"/>
      <c r="DZ189" s="1171" t="n"/>
      <c r="EA189" s="1171" t="n"/>
      <c r="EC189" s="1171" t="n"/>
      <c r="ED189" s="1171" t="n"/>
      <c r="EE189" s="1171" t="n"/>
      <c r="EF189" s="1171" t="n"/>
      <c r="EH189" s="1176" t="n"/>
      <c r="EI189" s="1176" t="n"/>
      <c r="EJ189" s="1171" t="n"/>
      <c r="EK189" s="120">
        <f>SUM(EK186:EK188)</f>
        <v/>
      </c>
      <c r="EL189" s="1176" t="n"/>
      <c r="EM189" s="1176" t="n"/>
      <c r="EN189" s="1171" t="n"/>
      <c r="EO189" s="120">
        <f>SUM(EO186:EO188)</f>
        <v/>
      </c>
      <c r="EP189" s="1176" t="n"/>
      <c r="EQ189" s="1176" t="n"/>
      <c r="ER189" s="1176" t="n"/>
      <c r="ES189" s="120">
        <f>SUM(ES186:ES188)</f>
        <v/>
      </c>
      <c r="EU189" s="1176" t="n"/>
      <c r="EV189" s="1176" t="n"/>
      <c r="EW189" s="120">
        <f>SUM(EW186:EW188)</f>
        <v/>
      </c>
      <c r="EY189" s="1176" t="n"/>
      <c r="FA189" s="120">
        <f>SUM(FA186:FA188)</f>
        <v/>
      </c>
      <c r="FC189" s="1176" t="n"/>
      <c r="FE189" s="120">
        <f>SUM(FE186:FE188)</f>
        <v/>
      </c>
      <c r="FG189" s="1176" t="n"/>
      <c r="FI189" s="120">
        <f>SUM(FI186:FI188)</f>
        <v/>
      </c>
      <c r="FM189" s="120">
        <f>SUM(FM186:FM188)</f>
        <v/>
      </c>
    </row>
    <row r="190" customFormat="1" s="1154">
      <c r="A190" s="1155" t="n"/>
      <c r="B190" s="1154" t="inlineStr">
        <is>
          <t>Operating cash flow</t>
        </is>
      </c>
      <c r="C190" s="1154">
        <f>C185+C186+C187</f>
        <v/>
      </c>
      <c r="D190" s="1154">
        <f>D185+D186+D187</f>
        <v/>
      </c>
      <c r="E190" s="1154">
        <f>E185+E186+E187</f>
        <v/>
      </c>
      <c r="F190" s="1154">
        <f>F185+F186+F187</f>
        <v/>
      </c>
      <c r="G190" s="1154">
        <f>G185+G186+G187</f>
        <v/>
      </c>
      <c r="H190" s="1154">
        <f>H185+H186+H187</f>
        <v/>
      </c>
      <c r="I190" s="1154">
        <f>I185+I186+I187</f>
        <v/>
      </c>
      <c r="J190" s="1154">
        <f>J185+J186+J187</f>
        <v/>
      </c>
      <c r="K190" s="1154">
        <f>K185+K186+K187</f>
        <v/>
      </c>
      <c r="L190" s="1154">
        <f>L185+L186+L187</f>
        <v/>
      </c>
      <c r="M190" s="1154">
        <f>M185+M186+M187</f>
        <v/>
      </c>
      <c r="N190" s="1154">
        <f>N185+N186+N187</f>
        <v/>
      </c>
      <c r="O190" s="1154">
        <f>O185+O186+O187</f>
        <v/>
      </c>
      <c r="P190" s="1154">
        <f>P185+P186+P187</f>
        <v/>
      </c>
      <c r="Q190" s="1154">
        <f>Q185+Q186+Q187</f>
        <v/>
      </c>
      <c r="R190" s="1154">
        <f>R185+R186+R187</f>
        <v/>
      </c>
      <c r="S190" s="1154">
        <f>S185+S186+S187</f>
        <v/>
      </c>
      <c r="T190" s="1154">
        <f>T185+T186+T187</f>
        <v/>
      </c>
      <c r="U190" s="1154">
        <f>U185+U186+U187</f>
        <v/>
      </c>
      <c r="V190" s="1154">
        <f>V185+V186+V187</f>
        <v/>
      </c>
      <c r="W190" s="1154">
        <f>W185+W186+W187</f>
        <v/>
      </c>
      <c r="X190" s="1154">
        <f>X185+X186+X187</f>
        <v/>
      </c>
      <c r="Y190" s="1154">
        <f>Y185+Y186+Y187</f>
        <v/>
      </c>
      <c r="Z190" s="1154">
        <f>Z185+Z186+Z187</f>
        <v/>
      </c>
      <c r="AA190" s="1154">
        <f>AA185+AA186+AA187</f>
        <v/>
      </c>
      <c r="AB190" s="1154">
        <f>AB185+AB186+AB187</f>
        <v/>
      </c>
      <c r="AC190" s="1154">
        <f>AC185+AC186+AC187</f>
        <v/>
      </c>
      <c r="AD190" s="1154">
        <f>AD185+AD186+AD187</f>
        <v/>
      </c>
      <c r="AE190" s="1154">
        <f>AE185+AE186+AE187</f>
        <v/>
      </c>
      <c r="AF190" s="1154">
        <f>AF185+AF186+AF187</f>
        <v/>
      </c>
      <c r="AG190" s="1154">
        <f>AG185+AG186+AG187</f>
        <v/>
      </c>
      <c r="AH190" s="1154">
        <f>AH185+AH186+AH187</f>
        <v/>
      </c>
      <c r="AI190" s="1154">
        <f>AI185+AI186+AI187</f>
        <v/>
      </c>
      <c r="AJ190" s="1154">
        <f>AJ185+AJ186+AJ187</f>
        <v/>
      </c>
      <c r="AK190" s="1154">
        <f>AK185+AK186+AK187</f>
        <v/>
      </c>
      <c r="AL190" s="1154">
        <f>AL185+AL186+AL187</f>
        <v/>
      </c>
      <c r="AM190" s="1154">
        <f>AM185+AM186+AM187</f>
        <v/>
      </c>
      <c r="AN190" s="1154">
        <f>AN185+AN186+AN187</f>
        <v/>
      </c>
      <c r="AO190" s="1154">
        <f>AO185+AO186+AO187</f>
        <v/>
      </c>
      <c r="AP190" s="1154">
        <f>AP185+AP186+AP187</f>
        <v/>
      </c>
      <c r="AQ190" s="1154">
        <f>AQ185+AQ186+AQ187</f>
        <v/>
      </c>
      <c r="AR190" s="1154">
        <f>AR185+AR186+AR187</f>
        <v/>
      </c>
      <c r="AS190" s="1154">
        <f>AS185+AS186+AS187</f>
        <v/>
      </c>
      <c r="AT190" s="1154">
        <f>AT185+AT186+AT187</f>
        <v/>
      </c>
      <c r="AU190" s="1156" t="n"/>
      <c r="AV190" s="662" t="n"/>
      <c r="AW190" s="1238" t="n"/>
      <c r="AX190" s="1239" t="n"/>
      <c r="AY190" s="1238" t="n"/>
      <c r="AZ190" s="1238" t="n"/>
      <c r="BA190" s="1238" t="n"/>
      <c r="BB190" s="1239" t="n"/>
      <c r="BD190" s="1238" t="n"/>
      <c r="BE190" s="1238" t="n"/>
      <c r="BF190" s="1239" t="n"/>
      <c r="BQ190" s="1238" t="n"/>
      <c r="CV190" s="1242" t="n"/>
      <c r="DU190" s="1156" t="n"/>
      <c r="DV190" s="1156" t="n"/>
      <c r="DW190" s="1156" t="n"/>
      <c r="DY190" s="1156" t="n"/>
      <c r="DZ190" s="1156" t="n"/>
      <c r="EA190" s="1156" t="n"/>
      <c r="EC190" s="1156" t="n"/>
      <c r="ED190" s="1156" t="n"/>
      <c r="EE190" s="1156" t="n"/>
      <c r="EF190" s="1156" t="n"/>
      <c r="EH190" s="1240" t="n"/>
      <c r="EI190" s="1240" t="n"/>
      <c r="EJ190" s="1156" t="n"/>
      <c r="EK190" s="1154">
        <f>EK185+EK186+EK187</f>
        <v/>
      </c>
      <c r="EL190" s="1240" t="n"/>
      <c r="EM190" s="1240" t="n"/>
      <c r="EN190" s="1156" t="n"/>
      <c r="EO190" s="1154">
        <f>EO185+EO186+EO187</f>
        <v/>
      </c>
      <c r="EP190" s="1240" t="n"/>
      <c r="EQ190" s="1240" t="n"/>
      <c r="ER190" s="1240" t="n"/>
      <c r="ES190" s="1154">
        <f>ES185+ES186+ES187</f>
        <v/>
      </c>
      <c r="EU190" s="1240" t="n"/>
      <c r="EV190" s="1240" t="n"/>
      <c r="EW190" s="1154">
        <f>EW185+EW186+EW187</f>
        <v/>
      </c>
      <c r="EY190" s="1240" t="n"/>
      <c r="FA190" s="1154">
        <f>FA185+FA186+FA187</f>
        <v/>
      </c>
      <c r="FC190" s="1240" t="n"/>
      <c r="FE190" s="1154">
        <f>FE185+FE186+FE187</f>
        <v/>
      </c>
      <c r="FG190" s="1240" t="n"/>
      <c r="FI190" s="1154">
        <f>FI185+FI186+FI187</f>
        <v/>
      </c>
      <c r="FM190" s="1154">
        <f>FM185+FM186+FM187</f>
        <v/>
      </c>
    </row>
    <row r="191" customFormat="1" s="1176">
      <c r="A191" s="1170" t="inlineStr">
        <is>
          <t>cf capex</t>
        </is>
      </c>
      <c r="B191" s="1234" t="inlineStr">
        <is>
          <t>Capex</t>
        </is>
      </c>
      <c r="C191" s="1235">
        <f>-(868+2649.7)</f>
        <v/>
      </c>
      <c r="D191" s="1235">
        <f>-(1142.9+1397.4)</f>
        <v/>
      </c>
      <c r="E191" s="1235">
        <f>-(3449+454+61+115)</f>
        <v/>
      </c>
      <c r="F191" s="1235">
        <f>-(5567+332+76+87)</f>
        <v/>
      </c>
      <c r="G191" s="217" t="n">
        <v>-1762</v>
      </c>
      <c r="H191" s="217" t="n">
        <v>-881</v>
      </c>
      <c r="I191" s="217" t="n">
        <v>-753</v>
      </c>
      <c r="J191" s="217" t="n">
        <v>-3630</v>
      </c>
      <c r="K191" s="217" t="n">
        <v>-2493</v>
      </c>
      <c r="L191" s="217" t="n">
        <v>-5597</v>
      </c>
      <c r="M191" s="217" t="n">
        <v>-5389</v>
      </c>
      <c r="N191" s="217" t="n">
        <v>-5074</v>
      </c>
      <c r="O191" s="217" t="n">
        <v>-2651</v>
      </c>
      <c r="P191" s="217" t="n">
        <v>-4307</v>
      </c>
      <c r="Q191" s="217" t="n">
        <v>-7305</v>
      </c>
      <c r="R191" s="217" t="n">
        <v>-2790</v>
      </c>
      <c r="S191" s="217" t="n">
        <v>-5147</v>
      </c>
      <c r="T191" s="217" t="n">
        <v>-4064</v>
      </c>
      <c r="U191" s="217" t="n">
        <v>-4354</v>
      </c>
      <c r="V191" s="217" t="n">
        <v>-5311</v>
      </c>
      <c r="W191" s="217" t="n">
        <v>-9801</v>
      </c>
      <c r="X191" s="217" t="n">
        <v>-9228</v>
      </c>
      <c r="Y191" s="217" t="n">
        <v>-6776</v>
      </c>
      <c r="Z191" s="217">
        <f>-8299</f>
        <v/>
      </c>
      <c r="AA191" s="217" t="n">
        <v>-17610</v>
      </c>
      <c r="AB191" s="217">
        <f>-20975</f>
        <v/>
      </c>
      <c r="AC191" s="217" t="n">
        <v>-20534</v>
      </c>
      <c r="AD191" s="217" t="n">
        <v>-14818</v>
      </c>
      <c r="AE191" s="217" t="n">
        <v>-13179</v>
      </c>
      <c r="AF191" s="217" t="n">
        <v>-14886</v>
      </c>
      <c r="AG191" s="217" t="n">
        <v>-16926</v>
      </c>
      <c r="AH191" s="217" t="n">
        <v>-15991</v>
      </c>
      <c r="AI191" s="217" t="n">
        <v>-12171</v>
      </c>
      <c r="AJ191" s="217" t="n">
        <v>-5418</v>
      </c>
      <c r="AK191" s="217" t="n">
        <v>-2276</v>
      </c>
      <c r="AL191" s="217" t="n">
        <v>-3729</v>
      </c>
      <c r="AM191" s="217" t="n">
        <v>-6801</v>
      </c>
      <c r="AN191" s="217" t="n">
        <v>-9207</v>
      </c>
      <c r="AO191" s="427">
        <f>(-AO66*AO301*6-AO66*AO298*2)/0.7</f>
        <v/>
      </c>
      <c r="AP191" s="427">
        <f>(-AP66*AP301*6-AP66*AP298*2)/0.7</f>
        <v/>
      </c>
      <c r="AQ191" s="427">
        <f>(-9*AQ324*AQ$66-14*AQ301*AQ$66-2*AQ298*AQ$66)*0.85</f>
        <v/>
      </c>
      <c r="AR191" s="427" t="n">
        <v>-20000</v>
      </c>
      <c r="AS191" s="427" t="n">
        <v>-20000</v>
      </c>
      <c r="AT191" s="427" t="n">
        <v>-20000</v>
      </c>
      <c r="AU191" s="1174" t="n"/>
      <c r="AV191" s="1236" t="n"/>
      <c r="AW191" s="1236" t="n"/>
      <c r="AX191" s="1211" t="n"/>
      <c r="AY191" s="1236" t="n"/>
      <c r="AZ191" s="1236" t="n"/>
      <c r="BA191" s="1236" t="n"/>
      <c r="BB191" s="1237" t="n"/>
      <c r="BD191" s="1236" t="n"/>
      <c r="BE191" s="1236" t="n"/>
      <c r="BF191" s="1237" t="n"/>
      <c r="BQ191" s="1236" t="n"/>
      <c r="CV191" s="1243" t="n"/>
      <c r="DU191" s="1174" t="n"/>
      <c r="DV191" s="1174" t="n"/>
      <c r="DW191" s="1174" t="n"/>
      <c r="DY191" s="1174" t="n"/>
      <c r="DZ191" s="1174" t="n"/>
      <c r="EA191" s="1174" t="n"/>
      <c r="EC191" s="1174" t="n"/>
      <c r="ED191" s="1174" t="n"/>
      <c r="EE191" s="1174" t="n"/>
      <c r="EF191" s="1174" t="n"/>
      <c r="EH191" s="1150" t="n"/>
      <c r="EI191" s="1150" t="n"/>
      <c r="EJ191" s="1174" t="n"/>
      <c r="EK191" s="217" t="n">
        <v>-7654</v>
      </c>
      <c r="EL191" s="1150" t="n"/>
      <c r="EM191" s="1150" t="n"/>
      <c r="EN191" s="1174" t="n"/>
      <c r="EO191" s="217" t="n">
        <v>-1652</v>
      </c>
      <c r="EP191" s="1150" t="n"/>
      <c r="EQ191" s="1150" t="n"/>
      <c r="ER191" s="1150" t="n"/>
      <c r="ES191" s="217" t="n">
        <v>-1016</v>
      </c>
      <c r="EU191" s="1150" t="n"/>
      <c r="EV191" s="1150" t="n"/>
      <c r="EW191" s="217" t="n">
        <v>-1379</v>
      </c>
      <c r="EY191" s="1150" t="n"/>
      <c r="FA191" s="217" t="n">
        <v>-1994</v>
      </c>
      <c r="FC191" s="1150" t="n"/>
      <c r="FE191" s="217" t="n">
        <v>-2907</v>
      </c>
      <c r="FG191" s="1150" t="n"/>
      <c r="FI191" s="217" t="n">
        <v>-4094</v>
      </c>
      <c r="FM191" s="217" t="n">
        <v>-3707</v>
      </c>
    </row>
    <row r="192" customFormat="1" s="1176">
      <c r="A192" s="1170" t="inlineStr">
        <is>
          <t>cf asset sales</t>
        </is>
      </c>
      <c r="B192" s="1234" t="inlineStr">
        <is>
          <t>Asset sales</t>
        </is>
      </c>
      <c r="C192" s="1235" t="n">
        <v>1225.1</v>
      </c>
      <c r="D192" s="1235" t="n">
        <v>831.8</v>
      </c>
      <c r="E192" s="1235" t="n">
        <v>1194</v>
      </c>
      <c r="F192" s="1235" t="n">
        <v>1801</v>
      </c>
      <c r="G192" s="573" t="n">
        <v>494</v>
      </c>
      <c r="H192" s="573" t="n">
        <v>164</v>
      </c>
      <c r="I192" s="573" t="n">
        <v>10</v>
      </c>
      <c r="J192" s="573" t="n">
        <v>13</v>
      </c>
      <c r="K192" s="573" t="n">
        <v>222</v>
      </c>
      <c r="L192" s="573" t="n">
        <v>182</v>
      </c>
      <c r="M192" s="573" t="n">
        <v>11</v>
      </c>
      <c r="N192" s="573" t="n">
        <v>52</v>
      </c>
      <c r="O192" s="573" t="n">
        <v>13</v>
      </c>
      <c r="P192" s="573" t="n">
        <v>353</v>
      </c>
      <c r="Q192" s="573" t="n">
        <v>105</v>
      </c>
      <c r="R192" s="573" t="n">
        <v>623</v>
      </c>
      <c r="S192" s="573" t="n">
        <v>27</v>
      </c>
      <c r="T192" s="573" t="n">
        <v>54</v>
      </c>
      <c r="U192" s="573" t="n">
        <v>21</v>
      </c>
      <c r="V192" s="573" t="n">
        <v>58</v>
      </c>
      <c r="W192" s="573" t="n">
        <v>81</v>
      </c>
      <c r="X192" s="573">
        <f>76</f>
        <v/>
      </c>
      <c r="Y192" s="573">
        <f>1304</f>
        <v/>
      </c>
      <c r="Z192" s="573">
        <f>869</f>
        <v/>
      </c>
      <c r="AA192" s="217">
        <f>2288</f>
        <v/>
      </c>
      <c r="AB192" s="217">
        <f>1702</f>
        <v/>
      </c>
      <c r="AC192" s="217">
        <f>2030</f>
        <v/>
      </c>
      <c r="AD192" s="217">
        <f>1864</f>
        <v/>
      </c>
      <c r="AE192" s="217">
        <f>515</f>
        <v/>
      </c>
      <c r="AF192" s="217">
        <f>23</f>
        <v/>
      </c>
      <c r="AG192" s="217">
        <f>1371</f>
        <v/>
      </c>
      <c r="AH192" s="217">
        <f>71</f>
        <v/>
      </c>
      <c r="AI192" s="217" t="n">
        <v>134</v>
      </c>
      <c r="AJ192" s="217" t="n">
        <v>153</v>
      </c>
      <c r="AK192" s="217" t="n">
        <v>112</v>
      </c>
      <c r="AL192" s="217" t="n">
        <v>50</v>
      </c>
      <c r="AM192" s="217" t="n">
        <v>222</v>
      </c>
      <c r="AN192" s="217" t="n">
        <v>190</v>
      </c>
      <c r="AO192" s="427" t="n">
        <v>0</v>
      </c>
      <c r="AP192" s="427" t="n">
        <v>0</v>
      </c>
      <c r="AQ192" s="427" t="n">
        <v>0</v>
      </c>
      <c r="AR192" s="427" t="n">
        <v>0</v>
      </c>
      <c r="AS192" s="427" t="n">
        <v>0</v>
      </c>
      <c r="AT192" s="427" t="n">
        <v>0</v>
      </c>
      <c r="AU192" s="1174" t="n"/>
      <c r="AV192" s="179" t="n"/>
      <c r="AW192" s="1236" t="n"/>
      <c r="AX192" s="1211" t="n"/>
      <c r="AY192" s="1236" t="n"/>
      <c r="AZ192" s="1236" t="n"/>
      <c r="BA192" s="1236" t="n"/>
      <c r="BB192" s="1237" t="n"/>
      <c r="BD192" s="1236" t="n"/>
      <c r="BE192" s="1236" t="n"/>
      <c r="BF192" s="1237" t="n"/>
      <c r="BQ192" s="1236" t="n"/>
      <c r="CN192" s="1004" t="n"/>
      <c r="CO192" s="1004" t="n"/>
      <c r="CR192" s="1004" t="n"/>
      <c r="CS192" s="1004" t="n"/>
      <c r="DU192" s="1174" t="n"/>
      <c r="DV192" s="1174" t="n"/>
      <c r="DW192" s="1174" t="n"/>
      <c r="DY192" s="1174" t="n"/>
      <c r="DZ192" s="1174" t="n"/>
      <c r="EA192" s="1174" t="n"/>
      <c r="EC192" s="1174" t="n"/>
      <c r="ED192" s="1174" t="n"/>
      <c r="EE192" s="1174" t="n"/>
      <c r="EF192" s="1174" t="n"/>
      <c r="EH192" s="1046" t="n"/>
      <c r="EI192" s="1046" t="n"/>
      <c r="EJ192" s="1174" t="n"/>
      <c r="EK192" s="217" t="n">
        <v>23</v>
      </c>
      <c r="EL192" s="1046" t="n"/>
      <c r="EM192" s="1046" t="n"/>
      <c r="EN192" s="1213" t="n"/>
      <c r="EO192" s="217" t="n">
        <v>57</v>
      </c>
      <c r="EP192" s="1046" t="n"/>
      <c r="EQ192" s="1046" t="n"/>
      <c r="ER192" s="1046" t="n"/>
      <c r="ES192" s="217" t="n">
        <v>40</v>
      </c>
      <c r="EU192" s="1046" t="n"/>
      <c r="EV192" s="1046" t="n"/>
      <c r="EW192" s="217" t="n">
        <v>27</v>
      </c>
      <c r="EY192" s="1046" t="n"/>
      <c r="FA192" s="217" t="n">
        <v>40</v>
      </c>
      <c r="FC192" s="1046" t="n"/>
      <c r="FE192" s="217" t="n">
        <v>151</v>
      </c>
      <c r="FG192" s="1046" t="n"/>
      <c r="FI192" s="217" t="n">
        <v>20</v>
      </c>
      <c r="FM192" s="217" t="n">
        <v>24</v>
      </c>
    </row>
    <row r="193" customFormat="1" s="1176">
      <c r="A193" s="1170" t="inlineStr">
        <is>
          <t>cf investments</t>
        </is>
      </c>
      <c r="B193" s="1234" t="inlineStr">
        <is>
          <t>Others</t>
        </is>
      </c>
      <c r="C193" s="1235" t="n">
        <v>0</v>
      </c>
      <c r="D193" s="1235" t="n">
        <v>-25.7</v>
      </c>
      <c r="E193" s="1235">
        <f>-16-39</f>
        <v/>
      </c>
      <c r="F193" s="1235">
        <f>-304-378</f>
        <v/>
      </c>
      <c r="G193" s="21">
        <f>+G194-G192-G191</f>
        <v/>
      </c>
      <c r="H193" s="21">
        <f>+H194-H192-H191</f>
        <v/>
      </c>
      <c r="I193" s="21">
        <f>+I194-I192-I191</f>
        <v/>
      </c>
      <c r="J193" s="21">
        <f>+J194-J192-J191</f>
        <v/>
      </c>
      <c r="K193" s="21">
        <f>+K194-K192-K191</f>
        <v/>
      </c>
      <c r="L193" s="21">
        <f>+L194-L192-L191</f>
        <v/>
      </c>
      <c r="M193" s="21">
        <f>+M194-M192-M191</f>
        <v/>
      </c>
      <c r="N193" s="21">
        <f>+N194-N192-N191</f>
        <v/>
      </c>
      <c r="O193" s="21">
        <f>+O194-O192-O191</f>
        <v/>
      </c>
      <c r="P193" s="21">
        <f>+P194-P192-P191</f>
        <v/>
      </c>
      <c r="Q193" s="21">
        <f>+Q194-Q192-Q191</f>
        <v/>
      </c>
      <c r="R193" s="21">
        <f>+R194-R192-R191</f>
        <v/>
      </c>
      <c r="S193" s="21">
        <f>+S194-S192-S191</f>
        <v/>
      </c>
      <c r="T193" s="21">
        <f>+T194-T192-T191</f>
        <v/>
      </c>
      <c r="U193" s="21">
        <f>+U194-U192-U191</f>
        <v/>
      </c>
      <c r="V193" s="21">
        <f>+V194-V192-V191</f>
        <v/>
      </c>
      <c r="W193" s="21">
        <f>+W194-W192-W191</f>
        <v/>
      </c>
      <c r="X193" s="21">
        <f>+X194-X192-X191</f>
        <v/>
      </c>
      <c r="Y193" s="21">
        <f>+Y194-Y192-Y191</f>
        <v/>
      </c>
      <c r="Z193" s="21">
        <f>+Z194-Z192-Z191</f>
        <v/>
      </c>
      <c r="AA193" s="21">
        <f>+AA194-AA192-AA191</f>
        <v/>
      </c>
      <c r="AB193" s="21">
        <f>+AB194-AB192-AB191</f>
        <v/>
      </c>
      <c r="AC193" s="21">
        <f>+AC194-AC192-AC191</f>
        <v/>
      </c>
      <c r="AD193" s="21">
        <f>+AD194-AD192-AD191</f>
        <v/>
      </c>
      <c r="AE193" s="21">
        <f>+AE194-AE192-AE191</f>
        <v/>
      </c>
      <c r="AF193" s="21">
        <f>+AF194-AF192-AF191</f>
        <v/>
      </c>
      <c r="AG193" s="21">
        <f>+AG194-AG192-AG191</f>
        <v/>
      </c>
      <c r="AH193" s="21">
        <f>+AH194-AH192-AH191</f>
        <v/>
      </c>
      <c r="AI193" s="21">
        <f>+AI194-AI192-AI191</f>
        <v/>
      </c>
      <c r="AJ193" s="21">
        <f>+AJ194-AJ192-AJ191</f>
        <v/>
      </c>
      <c r="AK193" s="21">
        <f>+AK194-AK192-AK191</f>
        <v/>
      </c>
      <c r="AL193" s="21">
        <f>+AL194-AL192-AL191</f>
        <v/>
      </c>
      <c r="AM193" s="21">
        <f>+AM194-AM192-AM191</f>
        <v/>
      </c>
      <c r="AN193" s="21">
        <f>+AN194-AN192-AN191</f>
        <v/>
      </c>
      <c r="AO193" s="427" t="n">
        <v>0</v>
      </c>
      <c r="AP193" s="427" t="n">
        <v>0</v>
      </c>
      <c r="AQ193" s="427" t="n">
        <v>0</v>
      </c>
      <c r="AR193" s="427" t="n">
        <v>0</v>
      </c>
      <c r="AS193" s="427" t="n">
        <v>0</v>
      </c>
      <c r="AT193" s="427" t="n">
        <v>0</v>
      </c>
      <c r="AU193" s="1174" t="n"/>
      <c r="AV193" s="1236" t="n"/>
      <c r="AW193" s="1236" t="n"/>
      <c r="AX193" s="1211" t="n"/>
      <c r="AY193" s="1236" t="n"/>
      <c r="AZ193" s="1236" t="n"/>
      <c r="BA193" s="1236" t="n"/>
      <c r="BB193" s="1237" t="n"/>
      <c r="BD193" s="1236" t="n"/>
      <c r="BE193" s="1236" t="n"/>
      <c r="BF193" s="1237" t="n"/>
      <c r="BQ193" s="1236" t="n"/>
      <c r="CS193" s="181" t="n"/>
      <c r="DU193" s="1174" t="n"/>
      <c r="DV193" s="1174" t="n"/>
      <c r="DW193" s="1174" t="n"/>
      <c r="DY193" s="1174" t="n"/>
      <c r="DZ193" s="1174" t="n"/>
      <c r="EA193" s="1174" t="n"/>
      <c r="EC193" s="1174" t="n"/>
      <c r="ED193" s="1174" t="n"/>
      <c r="EE193" s="1174" t="n"/>
      <c r="EF193" s="1174" t="n"/>
      <c r="EJ193" s="1174" t="n"/>
      <c r="EK193" s="21">
        <f>+EK194-EK192-EK191</f>
        <v/>
      </c>
      <c r="EN193" s="1174" t="n"/>
      <c r="EO193" s="21">
        <f>+EO194-EO192-EO191</f>
        <v/>
      </c>
      <c r="ES193" s="21">
        <f>+ES194-ES192-ES191</f>
        <v/>
      </c>
      <c r="EW193" s="21">
        <f>+EW194-EW192-EW191</f>
        <v/>
      </c>
      <c r="FA193" s="21">
        <f>+FA194-FA192-FA191</f>
        <v/>
      </c>
      <c r="FE193" s="21">
        <f>+FE194-FE192-FE191</f>
        <v/>
      </c>
      <c r="FI193" s="21">
        <f>+FI194-FI192-FI191</f>
        <v/>
      </c>
      <c r="FM193" s="21">
        <f>+FM194-FM192-FM191</f>
        <v/>
      </c>
    </row>
    <row r="194" customFormat="1" s="1154">
      <c r="A194" s="1155" t="n"/>
      <c r="B194" s="1154" t="inlineStr">
        <is>
          <t>Investing cash flow</t>
        </is>
      </c>
      <c r="C194" s="1154">
        <f>SUM(C191:C193)</f>
        <v/>
      </c>
      <c r="D194" s="1154">
        <f>SUM(D191:D193)</f>
        <v/>
      </c>
      <c r="E194" s="1154">
        <f>SUM(E191:E193)</f>
        <v/>
      </c>
      <c r="F194" s="1154">
        <f>SUM(F191:F193)</f>
        <v/>
      </c>
      <c r="G194" s="526" t="n">
        <v>-2182</v>
      </c>
      <c r="H194" s="526" t="n">
        <v>-4722</v>
      </c>
      <c r="I194" s="526" t="n">
        <v>-166</v>
      </c>
      <c r="J194" s="526" t="n">
        <v>-3960</v>
      </c>
      <c r="K194" s="526" t="n">
        <v>-1869</v>
      </c>
      <c r="L194" s="526" t="n">
        <v>-5552</v>
      </c>
      <c r="M194" s="526" t="n">
        <v>73</v>
      </c>
      <c r="N194" s="526" t="n">
        <v>-4181</v>
      </c>
      <c r="O194" s="526" t="n">
        <v>-1359</v>
      </c>
      <c r="P194" s="526" t="n">
        <v>-3222</v>
      </c>
      <c r="Q194" s="526" t="n">
        <v>-4028</v>
      </c>
      <c r="R194" s="526" t="n">
        <v>-4439</v>
      </c>
      <c r="S194" s="526" t="n">
        <v>-4268</v>
      </c>
      <c r="T194" s="526" t="n">
        <v>-5749</v>
      </c>
      <c r="U194" s="526" t="n">
        <v>-4460</v>
      </c>
      <c r="V194" s="526" t="n">
        <v>-9309</v>
      </c>
      <c r="W194" s="526" t="n">
        <v>-14313</v>
      </c>
      <c r="X194" s="526" t="n">
        <v>-2044</v>
      </c>
      <c r="Y194" s="526" t="n">
        <v>-1223</v>
      </c>
      <c r="Z194" s="526" t="n">
        <v>-14663</v>
      </c>
      <c r="AA194" s="526" t="n">
        <v>-13061</v>
      </c>
      <c r="AB194" s="526" t="n">
        <v>-20286</v>
      </c>
      <c r="AC194" s="526" t="n">
        <v>-21870</v>
      </c>
      <c r="AD194" s="526" t="n">
        <v>-10765</v>
      </c>
      <c r="AE194" s="526" t="n">
        <v>-14653</v>
      </c>
      <c r="AF194" s="526" t="n">
        <v>-9695</v>
      </c>
      <c r="AG194" s="526" t="n">
        <v>-15636</v>
      </c>
      <c r="AH194" s="526" t="n">
        <v>-8632</v>
      </c>
      <c r="AI194" s="526" t="n">
        <v>-11604</v>
      </c>
      <c r="AJ194" s="526">
        <f>-11758</f>
        <v/>
      </c>
      <c r="AK194" s="526" t="n">
        <v>493</v>
      </c>
      <c r="AL194" s="526" t="n">
        <v>-2760</v>
      </c>
      <c r="AM194" s="526" t="n">
        <v>-2668</v>
      </c>
      <c r="AN194" s="526" t="n">
        <v>-6082</v>
      </c>
      <c r="AO194" s="319">
        <f>SUM(AO191:AO193)</f>
        <v/>
      </c>
      <c r="AP194" s="319">
        <f>SUM(AP191:AP193)</f>
        <v/>
      </c>
      <c r="AQ194" s="319">
        <f>SUM(AQ191:AQ193)</f>
        <v/>
      </c>
      <c r="AR194" s="319">
        <f>SUM(AR191:AR193)</f>
        <v/>
      </c>
      <c r="AS194" s="319">
        <f>SUM(AS191:AS193)</f>
        <v/>
      </c>
      <c r="AT194" s="319">
        <f>SUM(AT191:AT193)</f>
        <v/>
      </c>
      <c r="AU194" s="1156" t="n"/>
      <c r="AV194" s="1156" t="n"/>
      <c r="AW194" s="1238" t="n"/>
      <c r="AX194" s="1239" t="n"/>
      <c r="AY194" s="1238" t="n"/>
      <c r="AZ194" s="1238" t="n"/>
      <c r="BA194" s="1238" t="n"/>
      <c r="BB194" s="1239" t="n"/>
      <c r="BD194" s="1238" t="n"/>
      <c r="BE194" s="1238" t="n"/>
      <c r="BF194" s="1239" t="n"/>
      <c r="BQ194" s="1238" t="n"/>
      <c r="DU194" s="1156" t="n"/>
      <c r="DV194" s="1156" t="n"/>
      <c r="DW194" s="1156" t="n"/>
      <c r="DY194" s="1156" t="n"/>
      <c r="DZ194" s="1156" t="n"/>
      <c r="EA194" s="1156" t="n"/>
      <c r="EC194" s="1156" t="n"/>
      <c r="ED194" s="1156" t="n"/>
      <c r="EE194" s="1156" t="n"/>
      <c r="EF194" s="1156" t="n"/>
      <c r="EH194" s="1240" t="n"/>
      <c r="EI194" s="1240" t="n"/>
      <c r="EJ194" s="1156" t="n"/>
      <c r="EK194" s="526" t="n">
        <v>-9646</v>
      </c>
      <c r="EL194" s="1240" t="n"/>
      <c r="EM194" s="1240" t="n"/>
      <c r="EN194" s="1156" t="n"/>
      <c r="EO194" s="526" t="n">
        <v>3157</v>
      </c>
      <c r="EP194" s="1240" t="n"/>
      <c r="EQ194" s="1240" t="n"/>
      <c r="ER194" s="1240" t="n"/>
      <c r="ES194" s="526" t="n">
        <v>-2012</v>
      </c>
      <c r="EU194" s="1240" t="n"/>
      <c r="EV194" s="1240" t="n"/>
      <c r="EW194" s="526" t="n">
        <v>-666</v>
      </c>
      <c r="EY194" s="1240" t="n"/>
      <c r="FA194" s="526" t="n">
        <v>-4306</v>
      </c>
      <c r="FC194" s="1240" t="n"/>
      <c r="FE194" s="526" t="n">
        <v>-4082</v>
      </c>
      <c r="FG194" s="1240" t="n"/>
      <c r="FI194" s="526" t="n">
        <v>-4267</v>
      </c>
      <c r="FM194" s="526" t="n">
        <v>-7473</v>
      </c>
    </row>
    <row r="195" customFormat="1" s="1154">
      <c r="A195" s="1155" t="n"/>
      <c r="G195" s="526" t="n"/>
      <c r="H195" s="526" t="n"/>
      <c r="I195" s="526" t="n"/>
      <c r="J195" s="526" t="n"/>
      <c r="K195" s="526" t="n"/>
      <c r="L195" s="526" t="n"/>
      <c r="M195" s="526" t="n"/>
      <c r="N195" s="526" t="n"/>
      <c r="O195" s="526" t="n"/>
      <c r="P195" s="526" t="n"/>
      <c r="Q195" s="526" t="n"/>
      <c r="R195" s="526" t="n"/>
      <c r="S195" s="526" t="n"/>
      <c r="T195" s="526" t="n"/>
      <c r="U195" s="526" t="n"/>
      <c r="V195" s="526" t="n"/>
      <c r="W195" s="526" t="n"/>
      <c r="X195" s="526" t="n"/>
      <c r="Y195" s="526" t="n"/>
      <c r="Z195" s="526" t="n"/>
      <c r="AA195" s="526" t="n"/>
      <c r="AB195" s="526" t="n"/>
      <c r="AC195" s="526" t="n"/>
      <c r="AD195" s="526" t="n"/>
      <c r="AE195" s="526" t="n"/>
      <c r="AF195" s="526" t="n"/>
      <c r="AG195" s="526" t="n"/>
      <c r="AH195" s="526" t="n"/>
      <c r="AI195" s="526" t="n"/>
      <c r="AJ195" s="526" t="n"/>
      <c r="AK195" s="526" t="n"/>
      <c r="AL195" s="526" t="n"/>
      <c r="AM195" s="526" t="n"/>
      <c r="AN195" s="526" t="n"/>
      <c r="AO195" s="526" t="n"/>
      <c r="AP195" s="319" t="n"/>
      <c r="AQ195" s="319" t="n"/>
      <c r="AR195" s="319" t="n"/>
      <c r="AS195" s="319" t="n"/>
      <c r="AT195" s="319" t="n"/>
      <c r="AU195" s="1156" t="n"/>
      <c r="AV195" s="1156" t="n"/>
      <c r="AW195" s="1238" t="n"/>
      <c r="AX195" s="1239" t="n"/>
      <c r="AY195" s="1238" t="n"/>
      <c r="AZ195" s="1238" t="n"/>
      <c r="BA195" s="1238" t="n"/>
      <c r="BB195" s="1239" t="n"/>
      <c r="BD195" s="1238" t="n"/>
      <c r="BE195" s="1238" t="n"/>
      <c r="BF195" s="1239" t="n"/>
      <c r="BQ195" s="1238" t="n"/>
      <c r="DU195" s="1156" t="n"/>
      <c r="DV195" s="1156" t="n"/>
      <c r="DW195" s="1156" t="n"/>
      <c r="DY195" s="1156" t="n"/>
      <c r="DZ195" s="1156" t="n"/>
      <c r="EA195" s="1156" t="n"/>
      <c r="EC195" s="1156" t="n"/>
      <c r="ED195" s="1156" t="n"/>
      <c r="EE195" s="1156" t="n"/>
      <c r="EF195" s="1156" t="n"/>
      <c r="EH195" s="1240" t="n"/>
      <c r="EI195" s="1240" t="n"/>
      <c r="EJ195" s="1156" t="n"/>
      <c r="EK195" s="526" t="n"/>
      <c r="EL195" s="1240" t="n"/>
      <c r="EM195" s="1240" t="n"/>
      <c r="EN195" s="1156" t="n"/>
      <c r="EO195" s="526" t="n"/>
      <c r="EP195" s="1240" t="n"/>
      <c r="EQ195" s="1240" t="n"/>
      <c r="ER195" s="1240" t="n"/>
      <c r="ES195" s="526" t="n"/>
      <c r="EU195" s="1240" t="n"/>
      <c r="EV195" s="1240" t="n"/>
      <c r="EW195" s="526" t="n"/>
      <c r="EY195" s="1240" t="n"/>
      <c r="FA195" s="526" t="n"/>
      <c r="FC195" s="1240" t="n"/>
      <c r="FE195" s="526" t="n"/>
      <c r="FG195" s="1240" t="n"/>
      <c r="FI195" s="1244" t="n"/>
      <c r="FM195" s="1244" t="n"/>
    </row>
    <row r="196" customFormat="1" s="1185">
      <c r="A196" s="1170" t="inlineStr">
        <is>
          <t>cf net flow pre equity</t>
        </is>
      </c>
      <c r="B196" s="1154" t="inlineStr">
        <is>
          <t>Net inflow before financing</t>
        </is>
      </c>
      <c r="C196" s="1148">
        <f>C185+C194+C189</f>
        <v/>
      </c>
      <c r="D196" s="1185">
        <f>D185+D194+D189</f>
        <v/>
      </c>
      <c r="E196" s="1185">
        <f>E185+E194+E189</f>
        <v/>
      </c>
      <c r="F196" s="1148">
        <f>F185+F194+F189</f>
        <v/>
      </c>
      <c r="G196" s="1148">
        <f>G185+G194+G189</f>
        <v/>
      </c>
      <c r="H196" s="1148">
        <f>H185+H194+H189</f>
        <v/>
      </c>
      <c r="I196" s="1148">
        <f>I185+I194+I189</f>
        <v/>
      </c>
      <c r="J196" s="1148">
        <f>J185+J194+J189</f>
        <v/>
      </c>
      <c r="K196" s="1148">
        <f>K185+K194+K189</f>
        <v/>
      </c>
      <c r="L196" s="1148">
        <f>L185+L194+L189</f>
        <v/>
      </c>
      <c r="M196" s="1148">
        <f>M185+M194+M189</f>
        <v/>
      </c>
      <c r="N196" s="125">
        <f>N185+N194+N189</f>
        <v/>
      </c>
      <c r="O196" s="125">
        <f>O185+O194+O189</f>
        <v/>
      </c>
      <c r="P196" s="125">
        <f>P185+P194+P189</f>
        <v/>
      </c>
      <c r="Q196" s="125">
        <f>Q185+Q194+Q189</f>
        <v/>
      </c>
      <c r="R196" s="125">
        <f>R185+R194+R189</f>
        <v/>
      </c>
      <c r="S196" s="125">
        <f>S185+S194+S189</f>
        <v/>
      </c>
      <c r="T196" s="125">
        <f>T185+T194+T189</f>
        <v/>
      </c>
      <c r="U196" s="125">
        <f>U185+U194+U189</f>
        <v/>
      </c>
      <c r="V196" s="125">
        <f>V185+V194+V189</f>
        <v/>
      </c>
      <c r="W196" s="125">
        <f>W185+W194+W189</f>
        <v/>
      </c>
      <c r="X196" s="125">
        <f>X185+X194+X189</f>
        <v/>
      </c>
      <c r="Y196" s="125">
        <f>Y185+Y194+Y189</f>
        <v/>
      </c>
      <c r="Z196" s="125">
        <f>Z185+Z194+Z189</f>
        <v/>
      </c>
      <c r="AA196" s="125">
        <f>AA185+AA194+AA189</f>
        <v/>
      </c>
      <c r="AB196" s="125">
        <f>AB185+AB194+AB189</f>
        <v/>
      </c>
      <c r="AC196" s="125">
        <f>AC185+AC194+AC189</f>
        <v/>
      </c>
      <c r="AD196" s="125">
        <f>AD185+AD194+AD189</f>
        <v/>
      </c>
      <c r="AE196" s="125">
        <f>AE185+AE194+AE189</f>
        <v/>
      </c>
      <c r="AF196" s="125">
        <f>AF185+AF194+AF189</f>
        <v/>
      </c>
      <c r="AG196" s="125">
        <f>AG185+AG194+AG189</f>
        <v/>
      </c>
      <c r="AH196" s="125">
        <f>AH185+AH194+AH189</f>
        <v/>
      </c>
      <c r="AI196" s="125">
        <f>AI185+AI194+AI189</f>
        <v/>
      </c>
      <c r="AJ196" s="125">
        <f>AJ185+AJ194+AJ189</f>
        <v/>
      </c>
      <c r="AK196" s="125">
        <f>AK185+AK194+AK189</f>
        <v/>
      </c>
      <c r="AL196" s="125">
        <f>AL185+AL194+AL189</f>
        <v/>
      </c>
      <c r="AM196" s="125">
        <f>AM185+AM194+AM189</f>
        <v/>
      </c>
      <c r="AN196" s="125">
        <f>AN185+AN194+AN189</f>
        <v/>
      </c>
      <c r="AO196" s="125">
        <f>AO185+AO194+AO189</f>
        <v/>
      </c>
      <c r="AP196" s="125">
        <f>AP185+AP194+AP189</f>
        <v/>
      </c>
      <c r="AQ196" s="125">
        <f>AQ185+AQ194+AQ189</f>
        <v/>
      </c>
      <c r="AR196" s="125">
        <f>AR185+AR194+AR189</f>
        <v/>
      </c>
      <c r="AS196" s="125">
        <f>AS185+AS194+AS189</f>
        <v/>
      </c>
      <c r="AT196" s="125">
        <f>AT185+AT194+AT189</f>
        <v/>
      </c>
      <c r="AU196" s="1148" t="n"/>
      <c r="AV196" s="1148" t="n"/>
      <c r="AW196" s="1245" t="n"/>
      <c r="AX196" s="1246" t="n"/>
      <c r="AY196" s="1245" t="n"/>
      <c r="AZ196" s="1245" t="n"/>
      <c r="BA196" s="1245" t="n"/>
      <c r="BB196" s="1246" t="n"/>
      <c r="BD196" s="1245" t="n"/>
      <c r="BE196" s="1245" t="n"/>
      <c r="BF196" s="1246" t="n"/>
      <c r="BQ196" s="1245" t="n"/>
      <c r="DU196" s="1148" t="n"/>
      <c r="DV196" s="1148" t="n"/>
      <c r="DW196" s="1148" t="n"/>
      <c r="DY196" s="1148" t="n"/>
      <c r="DZ196" s="1148" t="n"/>
      <c r="EA196" s="1148" t="n"/>
      <c r="EC196" s="1148" t="n"/>
      <c r="ED196" s="1148" t="n"/>
      <c r="EE196" s="1148" t="n"/>
      <c r="EF196" s="1148" t="n"/>
      <c r="EH196" s="1150" t="n"/>
      <c r="EI196" s="1150" t="n"/>
      <c r="EJ196" s="1148" t="n"/>
      <c r="EK196" s="125">
        <f>EK185+EK194+EK189</f>
        <v/>
      </c>
      <c r="EL196" s="1150" t="n"/>
      <c r="EM196" s="1150" t="n"/>
      <c r="EN196" s="1148" t="n"/>
      <c r="EO196" s="125">
        <f>EO185+EO194+EO189</f>
        <v/>
      </c>
      <c r="EP196" s="1150" t="n"/>
      <c r="EQ196" s="1150" t="n"/>
      <c r="ER196" s="1150" t="n"/>
      <c r="ES196" s="125">
        <f>ES185+ES194+ES189</f>
        <v/>
      </c>
      <c r="EU196" s="1150" t="n"/>
      <c r="EV196" s="1150" t="n"/>
      <c r="EW196" s="125">
        <f>EW185+EW194+EW189</f>
        <v/>
      </c>
      <c r="EY196" s="1150" t="n"/>
      <c r="FA196" s="125">
        <f>FA185+FA194+FA189</f>
        <v/>
      </c>
      <c r="FC196" s="1150" t="n"/>
      <c r="FE196" s="125">
        <f>FE185+FE194+FE189</f>
        <v/>
      </c>
      <c r="FG196" s="1150" t="n"/>
      <c r="FI196" s="125">
        <f>FI185+FI194+FI189</f>
        <v/>
      </c>
      <c r="FM196" s="125">
        <f>FM185+FM194+FM189</f>
        <v/>
      </c>
    </row>
    <row r="197" customFormat="1" s="1185">
      <c r="A197" s="1170" t="n"/>
      <c r="B197" s="1234" t="inlineStr">
        <is>
          <t>Change of borrowing</t>
        </is>
      </c>
      <c r="C197" s="655">
        <f>473.1+1753.6</f>
        <v/>
      </c>
      <c r="D197" s="655">
        <f>-879.3-453.9</f>
        <v/>
      </c>
      <c r="E197" s="655">
        <f>-1138+455</f>
        <v/>
      </c>
      <c r="F197" s="655">
        <f>-1053+4708</f>
        <v/>
      </c>
      <c r="G197" s="655">
        <f>5832-4569+8-1142-75</f>
        <v/>
      </c>
      <c r="H197" s="655">
        <f>7903-6794-1608-611</f>
        <v/>
      </c>
      <c r="I197" s="655">
        <f>175-677-2067</f>
        <v/>
      </c>
      <c r="J197" s="655">
        <f>2605-474-2233</f>
        <v/>
      </c>
      <c r="K197" s="655">
        <f>4616-2516-5741</f>
        <v/>
      </c>
      <c r="L197" s="655">
        <f>3867-2699-2067</f>
        <v/>
      </c>
      <c r="M197" s="655">
        <f>80-789-2901</f>
        <v/>
      </c>
      <c r="N197" s="655">
        <f>2917-2391-1690</f>
        <v/>
      </c>
      <c r="O197" s="655">
        <f>1069-2552-2458</f>
        <v/>
      </c>
      <c r="P197" s="655">
        <f>1569-2068-2138</f>
        <v/>
      </c>
      <c r="Q197" s="655">
        <f>7970-2640-1897</f>
        <v/>
      </c>
      <c r="R197" s="655">
        <f>2451-774-3965</f>
        <v/>
      </c>
      <c r="S197" s="655">
        <f>6765-70-4995</f>
        <v/>
      </c>
      <c r="T197" s="655">
        <f>1746-6247-94</f>
        <v/>
      </c>
      <c r="U197" s="655">
        <f>5486-4807-91</f>
        <v/>
      </c>
      <c r="V197" s="655">
        <f>11058-5786-210</f>
        <v/>
      </c>
      <c r="W197" s="655">
        <f>7217-3710-111</f>
        <v/>
      </c>
      <c r="X197" s="655">
        <f>6665-3810-109</f>
        <v/>
      </c>
      <c r="Y197" s="655">
        <f>6169-4362-117</f>
        <v/>
      </c>
      <c r="Z197" s="655">
        <f>5815-9290-59</f>
        <v/>
      </c>
      <c r="AA197" s="655">
        <f>12187-8874-56</f>
        <v/>
      </c>
      <c r="AB197" s="655">
        <f>25218-9025-37</f>
        <v/>
      </c>
      <c r="AC197" s="655">
        <f>16348-8193-39</f>
        <v/>
      </c>
      <c r="AD197" s="655">
        <f>10006-11309-42</f>
        <v/>
      </c>
      <c r="AE197" s="655">
        <f>8268-10050-44</f>
        <v/>
      </c>
      <c r="AF197" s="655">
        <f>20146-13346-23</f>
        <v/>
      </c>
      <c r="AG197" s="655">
        <f>19277-12152</f>
        <v/>
      </c>
      <c r="AH197" s="655">
        <f>11237-16198</f>
        <v/>
      </c>
      <c r="AI197" s="655">
        <f>16975-18785</f>
        <v/>
      </c>
      <c r="AJ197" s="655">
        <f>22304-30134</f>
        <v/>
      </c>
      <c r="AK197" s="655">
        <f>13906-20838</f>
        <v/>
      </c>
      <c r="AL197" s="655">
        <f>6115-22351</f>
        <v/>
      </c>
      <c r="AM197" s="655">
        <f>4654-16386</f>
        <v/>
      </c>
      <c r="AN197" s="655">
        <f>13112-11812-7029</f>
        <v/>
      </c>
      <c r="AO197" s="656" t="n">
        <v>0</v>
      </c>
      <c r="AP197" s="656" t="n">
        <v>0</v>
      </c>
      <c r="AQ197" s="656" t="n">
        <v>0</v>
      </c>
      <c r="AR197" s="656" t="n">
        <v>0</v>
      </c>
      <c r="AS197" s="656" t="n">
        <v>0</v>
      </c>
      <c r="AT197" s="656" t="n">
        <v>0</v>
      </c>
      <c r="AU197" s="1148" t="n"/>
      <c r="AV197" s="1148" t="n"/>
      <c r="AW197" s="1245" t="n"/>
      <c r="AX197" s="1246" t="n"/>
      <c r="AY197" s="1245" t="n"/>
      <c r="AZ197" s="1245" t="n"/>
      <c r="BA197" s="1245" t="n"/>
      <c r="BB197" s="1246" t="n"/>
      <c r="BD197" s="1245" t="n"/>
      <c r="BE197" s="1245" t="n"/>
      <c r="BF197" s="1246" t="n"/>
      <c r="BQ197" s="1245" t="n"/>
      <c r="DU197" s="1148" t="n"/>
      <c r="DV197" s="1148" t="n"/>
      <c r="DW197" s="1148" t="n"/>
      <c r="DY197" s="1148" t="n"/>
      <c r="DZ197" s="1148" t="n"/>
      <c r="EA197" s="1148" t="n"/>
      <c r="EC197" s="1148" t="n"/>
      <c r="ED197" s="1148" t="n"/>
      <c r="EE197" s="1148" t="n"/>
      <c r="EF197" s="1148" t="n"/>
      <c r="EH197" s="1150" t="n"/>
      <c r="EI197" s="1150" t="n"/>
      <c r="EJ197" s="1148" t="n"/>
      <c r="EK197" s="655">
        <f>6971-9027</f>
        <v/>
      </c>
      <c r="EL197" s="1150" t="n"/>
      <c r="EM197" s="1150" t="n"/>
      <c r="EN197" s="1148" t="n"/>
      <c r="EO197" s="655">
        <f>17020-14756</f>
        <v/>
      </c>
      <c r="EP197" s="1150" t="n"/>
      <c r="EQ197" s="1150" t="n"/>
      <c r="ER197" s="1150" t="n"/>
      <c r="ES197" s="655">
        <f>13022-9370</f>
        <v/>
      </c>
      <c r="EU197" s="1150" t="n"/>
      <c r="EV197" s="1150" t="n"/>
      <c r="EW197" s="655">
        <f>4173-11381</f>
        <v/>
      </c>
      <c r="EY197" s="1150" t="n"/>
      <c r="FA197" s="655">
        <f>1293-11305</f>
        <v/>
      </c>
      <c r="FC197" s="1150" t="n"/>
      <c r="FE197" s="655">
        <f>4312-6079</f>
        <v/>
      </c>
      <c r="FG197" s="1150" t="n"/>
      <c r="FI197" s="655">
        <f>6572-12547</f>
        <v/>
      </c>
      <c r="FM197" s="655">
        <f>11305-7809</f>
        <v/>
      </c>
    </row>
    <row r="198" customFormat="1" s="1150">
      <c r="A198" s="1170" t="inlineStr">
        <is>
          <t>cf new equity</t>
        </is>
      </c>
      <c r="B198" s="1234" t="inlineStr">
        <is>
          <t>Change in equity</t>
        </is>
      </c>
      <c r="C198" s="237" t="n">
        <v>1054.7</v>
      </c>
      <c r="D198" s="237" t="n">
        <v>0</v>
      </c>
      <c r="E198" s="237" t="n">
        <v>0</v>
      </c>
      <c r="F198" s="237" t="n">
        <v>0</v>
      </c>
      <c r="G198" s="237" t="n">
        <v>0</v>
      </c>
      <c r="H198" s="237" t="n">
        <v>0</v>
      </c>
      <c r="I198" s="237" t="n">
        <v>0</v>
      </c>
      <c r="J198" s="237" t="n">
        <v>0</v>
      </c>
      <c r="K198" s="237" t="n">
        <v>0</v>
      </c>
      <c r="L198" s="237" t="n">
        <v>6260</v>
      </c>
      <c r="M198" s="237" t="n">
        <v>-438</v>
      </c>
      <c r="N198" s="237" t="n">
        <v>-19</v>
      </c>
      <c r="O198" s="237" t="n">
        <v>0</v>
      </c>
      <c r="P198" s="237" t="n">
        <v>-458</v>
      </c>
      <c r="Q198" s="237" t="n">
        <v>-259</v>
      </c>
      <c r="R198" s="237" t="n">
        <v>46</v>
      </c>
      <c r="S198" s="237" t="n">
        <v>56</v>
      </c>
      <c r="T198" s="237" t="n">
        <v>199</v>
      </c>
      <c r="U198" s="237" t="n">
        <v>78</v>
      </c>
      <c r="V198" s="237" t="n">
        <v>52</v>
      </c>
      <c r="W198" s="237" t="n">
        <v>32</v>
      </c>
      <c r="X198" s="237" t="n">
        <v>-133</v>
      </c>
      <c r="Y198" s="237" t="n">
        <v>8</v>
      </c>
      <c r="Z198" s="237" t="n">
        <v>0</v>
      </c>
      <c r="AA198" s="237" t="n">
        <v>0</v>
      </c>
      <c r="AB198" s="237" t="n">
        <v>0</v>
      </c>
      <c r="AC198" s="237" t="n">
        <v>0</v>
      </c>
      <c r="AD198" s="237" t="n">
        <v>0</v>
      </c>
      <c r="AE198" s="237" t="n">
        <v>0</v>
      </c>
      <c r="AF198" s="237" t="n">
        <v>0</v>
      </c>
      <c r="AG198" s="237" t="n">
        <v>0</v>
      </c>
      <c r="AH198" s="237" t="n">
        <v>0</v>
      </c>
      <c r="AI198" s="237" t="n">
        <v>0</v>
      </c>
      <c r="AJ198" s="237">
        <f>11716+19500</f>
        <v/>
      </c>
      <c r="AK198" s="237" t="n">
        <v>0</v>
      </c>
      <c r="AL198" s="237" t="n">
        <v>0</v>
      </c>
      <c r="AM198" s="237" t="n">
        <v>-9750</v>
      </c>
      <c r="AN198" s="237" t="n">
        <v>-9750</v>
      </c>
      <c r="AO198" s="656">
        <f>(-10.8374*643076181)/(1000^2)</f>
        <v/>
      </c>
      <c r="AP198" s="656">
        <f>(-10.8374*643076181)/(1000^2)</f>
        <v/>
      </c>
      <c r="AQ198" s="656" t="n">
        <v>0</v>
      </c>
      <c r="AR198" s="656" t="n">
        <v>0</v>
      </c>
      <c r="AS198" s="656" t="n">
        <v>0</v>
      </c>
      <c r="AT198" s="656" t="n">
        <v>0</v>
      </c>
      <c r="AU198" s="1171" t="n"/>
      <c r="AV198" s="1210" t="n"/>
      <c r="AW198" s="1210" t="n"/>
      <c r="AX198" s="1211" t="n"/>
      <c r="AY198" s="1012" t="n"/>
      <c r="AZ198" s="1210" t="n"/>
      <c r="BA198" s="1210" t="n"/>
      <c r="BB198" s="1211" t="n"/>
      <c r="BD198" s="1210" t="n"/>
      <c r="BE198" s="1210" t="n"/>
      <c r="BF198" s="1211" t="n"/>
      <c r="BQ198" s="1210" t="n"/>
      <c r="DU198" s="1171" t="n"/>
      <c r="DV198" s="1171" t="n"/>
      <c r="DW198" s="1171" t="n"/>
      <c r="DY198" s="1171" t="n"/>
      <c r="DZ198" s="1171" t="n"/>
      <c r="EA198" s="1171" t="n"/>
      <c r="EC198" s="1171" t="n"/>
      <c r="ED198" s="1171" t="n"/>
      <c r="EE198" s="1171" t="n"/>
      <c r="EF198" s="1171" t="n"/>
      <c r="EH198" s="1185" t="n"/>
      <c r="EI198" s="1185" t="n"/>
      <c r="EJ198" s="1171" t="n"/>
      <c r="EK198" s="237" t="n">
        <v>0</v>
      </c>
      <c r="EL198" s="1185" t="n"/>
      <c r="EM198" s="1185" t="n"/>
      <c r="EN198" s="1171" t="n"/>
      <c r="EO198" s="237" t="n">
        <v>0</v>
      </c>
      <c r="EP198" s="1185" t="n"/>
      <c r="EQ198" s="1185" t="n"/>
      <c r="ER198" s="1185" t="n"/>
      <c r="ES198" s="237" t="n">
        <v>0</v>
      </c>
      <c r="EU198" s="1185" t="n"/>
      <c r="EV198" s="1185" t="n"/>
      <c r="EW198" s="237" t="n">
        <v>0</v>
      </c>
      <c r="EY198" s="1185" t="n"/>
      <c r="FA198" s="237" t="n">
        <v>0</v>
      </c>
      <c r="FC198" s="1185" t="n"/>
      <c r="FE198" s="237" t="n">
        <v>0</v>
      </c>
      <c r="FG198" s="1185" t="n"/>
      <c r="FI198" s="237" t="n">
        <v>0</v>
      </c>
      <c r="FM198" s="237" t="n">
        <v>-6987</v>
      </c>
    </row>
    <row r="199" customFormat="1" s="1150">
      <c r="A199" s="1170" t="n"/>
      <c r="B199" s="1234" t="inlineStr">
        <is>
          <t>Other financing activities</t>
        </is>
      </c>
      <c r="C199" s="237">
        <f>27.5-2498.1+6.2</f>
        <v/>
      </c>
      <c r="D199" s="237">
        <f>34.9+16.5+424.3</f>
        <v/>
      </c>
      <c r="E199" s="237" t="n">
        <v>0</v>
      </c>
      <c r="F199" s="237" t="n">
        <v>0</v>
      </c>
      <c r="G199" s="527">
        <f>G200-G198-G197-G188</f>
        <v/>
      </c>
      <c r="H199" s="527">
        <f>H200-H198-H197-H188</f>
        <v/>
      </c>
      <c r="I199" s="527">
        <f>I200-I198-I197-I188</f>
        <v/>
      </c>
      <c r="J199" s="527">
        <f>J200-J198-J197-J188</f>
        <v/>
      </c>
      <c r="K199" s="527">
        <f>K200-K198-K197-K188</f>
        <v/>
      </c>
      <c r="L199" s="527">
        <f>L200-L198-L197-L188</f>
        <v/>
      </c>
      <c r="M199" s="527">
        <f>M200-M198-M197-M188</f>
        <v/>
      </c>
      <c r="N199" s="527">
        <f>N200-N198-N197-N188</f>
        <v/>
      </c>
      <c r="O199" s="527">
        <f>O200-O198-O197-O188</f>
        <v/>
      </c>
      <c r="P199" s="527">
        <f>P200-P198-P197-P188</f>
        <v/>
      </c>
      <c r="Q199" s="657">
        <f>Q200-Q198-Q197-Q188</f>
        <v/>
      </c>
      <c r="R199" s="657">
        <f>R200-R198-R197-R188</f>
        <v/>
      </c>
      <c r="S199" s="657">
        <f>S200-S198-S197-S188</f>
        <v/>
      </c>
      <c r="T199" s="657">
        <f>T200-T198-T197-T188</f>
        <v/>
      </c>
      <c r="U199" s="657">
        <f>U200-U198-U197-U188</f>
        <v/>
      </c>
      <c r="V199" s="657">
        <f>V200-V198-V197-V188</f>
        <v/>
      </c>
      <c r="W199" s="657">
        <f>W200-W198-W197-W188</f>
        <v/>
      </c>
      <c r="X199" s="657">
        <f>X200-X198-X197-X188</f>
        <v/>
      </c>
      <c r="Y199" s="657">
        <f>Y200-Y198-Y197-Y188</f>
        <v/>
      </c>
      <c r="Z199" s="657">
        <f>Z200-Z198-Z197-Z188</f>
        <v/>
      </c>
      <c r="AA199" s="657">
        <f>AA200-AA198-AA197-AA188</f>
        <v/>
      </c>
      <c r="AB199" s="657">
        <f>AB200-AB198-AB197-AB188</f>
        <v/>
      </c>
      <c r="AC199" s="657">
        <f>AC200-AC198-AC197-AC188</f>
        <v/>
      </c>
      <c r="AD199" s="657">
        <f>AD200-AD198-AD197-AD188</f>
        <v/>
      </c>
      <c r="AE199" s="657">
        <f>AE200-AE198-AE197-AE188</f>
        <v/>
      </c>
      <c r="AF199" s="657">
        <f>AF200-AF198-AF197-AF188</f>
        <v/>
      </c>
      <c r="AG199" s="657">
        <f>AG200-AG198-AG197-AG188</f>
        <v/>
      </c>
      <c r="AH199" s="657">
        <f>AH200-AH198-AH197-AH188</f>
        <v/>
      </c>
      <c r="AI199" s="194">
        <f>AI200-AI198-AI197-AI188</f>
        <v/>
      </c>
      <c r="AJ199" s="194">
        <f>AJ200-AJ198-AJ197-AJ188</f>
        <v/>
      </c>
      <c r="AK199" s="194">
        <f>AK200-AK198-AK197-AK188</f>
        <v/>
      </c>
      <c r="AL199" s="194">
        <f>AL200-AL198-AL197-AL188</f>
        <v/>
      </c>
      <c r="AM199" s="194">
        <f>AM200-AM198-AM197-AM188</f>
        <v/>
      </c>
      <c r="AN199" s="194">
        <f>AN200-AN198-AN197-AN188</f>
        <v/>
      </c>
      <c r="AO199" s="266" t="n">
        <v>0</v>
      </c>
      <c r="AP199" s="266" t="n">
        <v>0</v>
      </c>
      <c r="AQ199" s="266" t="n">
        <v>0</v>
      </c>
      <c r="AR199" s="266" t="n">
        <v>0</v>
      </c>
      <c r="AS199" s="266" t="n">
        <v>0</v>
      </c>
      <c r="AT199" s="266" t="n">
        <v>0</v>
      </c>
      <c r="AU199" s="1171" t="n"/>
      <c r="AV199" s="1210" t="n"/>
      <c r="AW199" s="1210" t="n"/>
      <c r="AX199" s="1211" t="n"/>
      <c r="AY199" s="1012" t="n"/>
      <c r="AZ199" s="1210" t="n"/>
      <c r="BA199" s="1210" t="n"/>
      <c r="BB199" s="1211" t="n"/>
      <c r="BD199" s="1210" t="n"/>
      <c r="BE199" s="1210" t="n"/>
      <c r="BF199" s="1211" t="n"/>
      <c r="BQ199" s="1210" t="n"/>
      <c r="DU199" s="1171" t="n"/>
      <c r="DV199" s="1171" t="n"/>
      <c r="DW199" s="1171" t="n"/>
      <c r="DY199" s="1171" t="n"/>
      <c r="DZ199" s="1171" t="n"/>
      <c r="EA199" s="1171" t="n"/>
      <c r="EC199" s="1171" t="n"/>
      <c r="ED199" s="1171" t="n"/>
      <c r="EE199" s="1171" t="n"/>
      <c r="EF199" s="1171" t="n"/>
      <c r="EH199" s="1185" t="n"/>
      <c r="EI199" s="1185" t="n"/>
      <c r="EJ199" s="1171" t="n"/>
      <c r="EK199" s="194">
        <f>EK200-EK198-EK197-EK188</f>
        <v/>
      </c>
      <c r="EL199" s="1185" t="n"/>
      <c r="EM199" s="1185" t="n"/>
      <c r="EN199" s="1171" t="n"/>
      <c r="EO199" s="194">
        <f>EO200-EO198-EO197-EO188</f>
        <v/>
      </c>
      <c r="EP199" s="1185" t="n"/>
      <c r="EQ199" s="1185" t="n"/>
      <c r="ER199" s="1185" t="n"/>
      <c r="ES199" s="194">
        <f>ES200-ES198-ES197-ES188</f>
        <v/>
      </c>
      <c r="EU199" s="1185" t="n"/>
      <c r="EV199" s="1185" t="n"/>
      <c r="EW199" s="194">
        <f>EW200-EW198-EW197-EW188</f>
        <v/>
      </c>
      <c r="EY199" s="1185" t="n"/>
      <c r="FA199" s="194">
        <f>FA200-FA198-FA197-FA188</f>
        <v/>
      </c>
      <c r="FC199" s="1185" t="n"/>
      <c r="FE199" s="194">
        <f>FE200-FE198-FE197-FE188</f>
        <v/>
      </c>
      <c r="FG199" s="1185" t="n"/>
      <c r="FI199" s="194">
        <f>FI200-FI198-FI197-FI188</f>
        <v/>
      </c>
      <c r="FM199" s="194">
        <f>FM200-FM198-FM197-FM188</f>
        <v/>
      </c>
    </row>
    <row r="200" customFormat="1" s="1154">
      <c r="A200" s="1155" t="n"/>
      <c r="B200" s="1154" t="inlineStr">
        <is>
          <t>Financing cash flow</t>
        </is>
      </c>
      <c r="C200" s="319">
        <f>+C197+C198+C199+C188</f>
        <v/>
      </c>
      <c r="D200" s="319">
        <f>+D197+D198+D199+D188</f>
        <v/>
      </c>
      <c r="E200" s="319">
        <f>+E197+E198+E199+E188</f>
        <v/>
      </c>
      <c r="F200" s="319">
        <f>+F197+F198+F199+F188</f>
        <v/>
      </c>
      <c r="G200" s="526">
        <f>-18-1203-19</f>
        <v/>
      </c>
      <c r="H200" s="526">
        <f>-650-1203-17</f>
        <v/>
      </c>
      <c r="I200" s="526">
        <f>-1848-1203-30</f>
        <v/>
      </c>
      <c r="J200" s="526">
        <f>304-1203-38</f>
        <v/>
      </c>
      <c r="K200" s="526">
        <f>-2871-1217-46</f>
        <v/>
      </c>
      <c r="L200" s="526">
        <f>7146-1455-15</f>
        <v/>
      </c>
      <c r="M200" s="526">
        <f>-3318-1817-11</f>
        <v/>
      </c>
      <c r="N200" s="526">
        <f>-434-694-31</f>
        <v/>
      </c>
      <c r="O200" s="526">
        <f>-3745-339-87</f>
        <v/>
      </c>
      <c r="P200" s="526">
        <f>-2591-1585-73</f>
        <v/>
      </c>
      <c r="Q200" s="526" t="n">
        <v>2219</v>
      </c>
      <c r="R200" s="526" t="n">
        <v>-2982</v>
      </c>
      <c r="S200" s="526" t="n">
        <v>1436</v>
      </c>
      <c r="T200" s="526" t="n">
        <v>-6603</v>
      </c>
      <c r="U200" s="526" t="n">
        <v>-1208</v>
      </c>
      <c r="V200" s="526" t="n">
        <v>2194</v>
      </c>
      <c r="W200" s="526" t="n">
        <v>2009</v>
      </c>
      <c r="X200" s="526" t="n">
        <v>689</v>
      </c>
      <c r="Y200" s="526" t="n">
        <v>2140</v>
      </c>
      <c r="Z200" s="526" t="n">
        <v>-4914</v>
      </c>
      <c r="AA200" s="526" t="n">
        <v>758</v>
      </c>
      <c r="AB200" s="526" t="n">
        <v>16052</v>
      </c>
      <c r="AC200" s="526" t="n">
        <v>8761</v>
      </c>
      <c r="AD200" s="526" t="n">
        <v>-1464</v>
      </c>
      <c r="AE200" s="526" t="n">
        <v>-4155</v>
      </c>
      <c r="AF200" s="526" t="n">
        <v>6224</v>
      </c>
      <c r="AG200" s="526" t="n">
        <v>8291</v>
      </c>
      <c r="AH200" s="526" t="n">
        <v>-5122</v>
      </c>
      <c r="AI200" s="526" t="n">
        <v>-2469</v>
      </c>
      <c r="AJ200" s="526" t="n">
        <v>23309</v>
      </c>
      <c r="AK200" s="526" t="n">
        <v>-6932</v>
      </c>
      <c r="AL200" s="526" t="n">
        <v>-16236</v>
      </c>
      <c r="AM200" s="526" t="n">
        <v>-23178</v>
      </c>
      <c r="AN200" s="526" t="n">
        <v>-19834</v>
      </c>
      <c r="AO200" s="319">
        <f>+AO197+AO198+AO199+AO188</f>
        <v/>
      </c>
      <c r="AP200" s="319">
        <f>+AP197+AP198+AP199+AP188</f>
        <v/>
      </c>
      <c r="AQ200" s="319">
        <f>+AQ197+AQ198+AQ199+AQ188</f>
        <v/>
      </c>
      <c r="AR200" s="319">
        <f>+AR197+AR198+AR199+AR188</f>
        <v/>
      </c>
      <c r="AS200" s="319">
        <f>+AS197+AS198+AS199+AS188</f>
        <v/>
      </c>
      <c r="AT200" s="319">
        <f>+AT197+AT198+AT199+AT188</f>
        <v/>
      </c>
      <c r="AU200" s="1156" t="n"/>
      <c r="AV200" s="1238" t="n"/>
      <c r="AW200" s="1238" t="n"/>
      <c r="AX200" s="1239" t="n"/>
      <c r="AY200" s="1027" t="n"/>
      <c r="AZ200" s="1238" t="n"/>
      <c r="BA200" s="1238" t="n"/>
      <c r="BB200" s="1239" t="n"/>
      <c r="BD200" s="1238" t="n"/>
      <c r="BE200" s="1238" t="n"/>
      <c r="BF200" s="1239" t="n"/>
      <c r="BQ200" s="1238" t="n"/>
      <c r="DU200" s="1156" t="n"/>
      <c r="DV200" s="1156" t="n"/>
      <c r="DW200" s="1156" t="n"/>
      <c r="DY200" s="1156" t="n"/>
      <c r="DZ200" s="1156" t="n"/>
      <c r="EA200" s="1156" t="n"/>
      <c r="EC200" s="1156" t="n"/>
      <c r="ED200" s="1156" t="n"/>
      <c r="EE200" s="1156" t="n"/>
      <c r="EF200" s="1156" t="n"/>
      <c r="EJ200" s="1156" t="n"/>
      <c r="EK200" s="526" t="n">
        <v>-2844</v>
      </c>
      <c r="EN200" s="1156" t="n"/>
      <c r="EO200" s="526" t="n">
        <v>2264</v>
      </c>
      <c r="ES200" s="526" t="n">
        <v>3652</v>
      </c>
      <c r="EW200" s="526" t="n">
        <v>-7208</v>
      </c>
      <c r="FA200" s="526" t="n">
        <v>-11536</v>
      </c>
      <c r="FE200" s="526" t="n">
        <v>-4779</v>
      </c>
      <c r="FI200" s="526" t="n">
        <v>-9130</v>
      </c>
      <c r="FM200" s="526" t="n">
        <v>-7383</v>
      </c>
    </row>
    <row r="201" customFormat="1" s="1154">
      <c r="A201" s="1155" t="n"/>
      <c r="B201" s="1154" t="inlineStr">
        <is>
          <t>FCF</t>
        </is>
      </c>
      <c r="C201" s="319">
        <f>C196-C188</f>
        <v/>
      </c>
      <c r="D201" s="319">
        <f>D196-D188</f>
        <v/>
      </c>
      <c r="E201" s="319">
        <f>E196-E188</f>
        <v/>
      </c>
      <c r="F201" s="319">
        <f>F196-F188</f>
        <v/>
      </c>
      <c r="G201" s="319">
        <f>G196-G188</f>
        <v/>
      </c>
      <c r="H201" s="319">
        <f>H196-H188</f>
        <v/>
      </c>
      <c r="I201" s="319">
        <f>I196-I188</f>
        <v/>
      </c>
      <c r="J201" s="319">
        <f>J196-J188</f>
        <v/>
      </c>
      <c r="K201" s="319">
        <f>K196-K188</f>
        <v/>
      </c>
      <c r="L201" s="319">
        <f>L196-L188</f>
        <v/>
      </c>
      <c r="M201" s="319">
        <f>M196-M188</f>
        <v/>
      </c>
      <c r="N201" s="319">
        <f>N196-N188</f>
        <v/>
      </c>
      <c r="O201" s="319">
        <f>O196-O188</f>
        <v/>
      </c>
      <c r="P201" s="319">
        <f>P196-P188</f>
        <v/>
      </c>
      <c r="Q201" s="319">
        <f>Q196-Q188</f>
        <v/>
      </c>
      <c r="R201" s="319">
        <f>R196-R188</f>
        <v/>
      </c>
      <c r="S201" s="319">
        <f>S196-S188</f>
        <v/>
      </c>
      <c r="T201" s="319">
        <f>T196-T188</f>
        <v/>
      </c>
      <c r="U201" s="319">
        <f>U196-U188</f>
        <v/>
      </c>
      <c r="V201" s="319">
        <f>V196-V188</f>
        <v/>
      </c>
      <c r="W201" s="319">
        <f>W196-W188</f>
        <v/>
      </c>
      <c r="X201" s="319">
        <f>X196-X188</f>
        <v/>
      </c>
      <c r="Y201" s="319">
        <f>Y196-Y188</f>
        <v/>
      </c>
      <c r="Z201" s="319">
        <f>Z196-Z188</f>
        <v/>
      </c>
      <c r="AA201" s="319">
        <f>AA196-AA188</f>
        <v/>
      </c>
      <c r="AB201" s="319">
        <f>AB196-AB188</f>
        <v/>
      </c>
      <c r="AC201" s="319">
        <f>AC196-AC188</f>
        <v/>
      </c>
      <c r="AD201" s="319">
        <f>AD196-AD188</f>
        <v/>
      </c>
      <c r="AE201" s="319">
        <f>AE196-AE188</f>
        <v/>
      </c>
      <c r="AF201" s="319">
        <f>AF196-AF188</f>
        <v/>
      </c>
      <c r="AG201" s="319">
        <f>AG196-AG188</f>
        <v/>
      </c>
      <c r="AH201" s="319">
        <f>AH196-AH188</f>
        <v/>
      </c>
      <c r="AI201" s="319">
        <f>AI196-AI188</f>
        <v/>
      </c>
      <c r="AJ201" s="319">
        <f>AJ196-AJ188</f>
        <v/>
      </c>
      <c r="AK201" s="319">
        <f>AK196-AK188</f>
        <v/>
      </c>
      <c r="AL201" s="319">
        <f>AL196-AL188</f>
        <v/>
      </c>
      <c r="AM201" s="319">
        <f>AM196-AM188</f>
        <v/>
      </c>
      <c r="AN201" s="319">
        <f>AN196-AN188</f>
        <v/>
      </c>
      <c r="AO201" s="319">
        <f>AO196-AO188</f>
        <v/>
      </c>
      <c r="AP201" s="319">
        <f>AP196-AP188</f>
        <v/>
      </c>
      <c r="AQ201" s="319">
        <f>AQ196-AQ188</f>
        <v/>
      </c>
      <c r="AR201" s="319">
        <f>AR196-AR188</f>
        <v/>
      </c>
      <c r="AS201" s="319">
        <f>AS196-AS188</f>
        <v/>
      </c>
      <c r="AT201" s="319">
        <f>AT196-AT188</f>
        <v/>
      </c>
      <c r="AU201" s="1156" t="n"/>
      <c r="AV201" s="1156" t="n"/>
      <c r="AW201" s="1238" t="n"/>
      <c r="AX201" s="1239" t="n"/>
      <c r="AY201" s="1238" t="n"/>
      <c r="AZ201" s="1238" t="n"/>
      <c r="BA201" s="1238" t="n"/>
      <c r="BB201" s="1239" t="n"/>
      <c r="BD201" s="1238" t="n"/>
      <c r="BE201" s="1238" t="n"/>
      <c r="BF201" s="1239" t="n"/>
      <c r="BQ201" s="1238" t="n"/>
      <c r="DU201" s="1156" t="n"/>
      <c r="DV201" s="1156" t="n"/>
      <c r="DW201" s="1156" t="n"/>
      <c r="DY201" s="1156" t="n"/>
      <c r="DZ201" s="1156" t="n"/>
      <c r="EA201" s="1156" t="n"/>
      <c r="EC201" s="1156" t="n"/>
      <c r="ED201" s="1156" t="n"/>
      <c r="EE201" s="1156" t="n"/>
      <c r="EF201" s="1156" t="n"/>
      <c r="EJ201" s="1156" t="n"/>
      <c r="EK201" s="319">
        <f>EK196-EK188</f>
        <v/>
      </c>
      <c r="EN201" s="1156" t="n"/>
      <c r="EO201" s="319">
        <f>EO196-EO188</f>
        <v/>
      </c>
      <c r="ES201" s="319">
        <f>ES196-ES188</f>
        <v/>
      </c>
      <c r="EW201" s="319">
        <f>EW196-EW188</f>
        <v/>
      </c>
      <c r="FA201" s="319">
        <f>FA196-FA188</f>
        <v/>
      </c>
      <c r="FE201" s="319">
        <f>FE196-FE188</f>
        <v/>
      </c>
      <c r="FI201" s="319">
        <f>FI196-FI188</f>
        <v/>
      </c>
      <c r="FM201" s="319">
        <f>FM196-FM188</f>
        <v/>
      </c>
    </row>
    <row r="202" customFormat="1" s="1185">
      <c r="A202" s="1170" t="inlineStr">
        <is>
          <t>cf net cash flow</t>
        </is>
      </c>
      <c r="B202" s="1185" t="inlineStr">
        <is>
          <t>Net cash flow</t>
        </is>
      </c>
      <c r="C202" s="125">
        <f>C201+C200</f>
        <v/>
      </c>
      <c r="D202" s="125">
        <f>D201+D200</f>
        <v/>
      </c>
      <c r="E202" s="125">
        <f>E201+E200</f>
        <v/>
      </c>
      <c r="F202" s="125">
        <f>F201+F200</f>
        <v/>
      </c>
      <c r="G202" s="125">
        <f>G201+G200</f>
        <v/>
      </c>
      <c r="H202" s="125">
        <f>H201+H200</f>
        <v/>
      </c>
      <c r="I202" s="125">
        <f>I201+I200</f>
        <v/>
      </c>
      <c r="J202" s="125">
        <f>J201+J200</f>
        <v/>
      </c>
      <c r="K202" s="125">
        <f>K201+K200</f>
        <v/>
      </c>
      <c r="L202" s="125">
        <f>L201+L200</f>
        <v/>
      </c>
      <c r="M202" s="125">
        <f>M201+M200</f>
        <v/>
      </c>
      <c r="N202" s="125">
        <f>N201+N200</f>
        <v/>
      </c>
      <c r="O202" s="125">
        <f>O201+O200</f>
        <v/>
      </c>
      <c r="P202" s="125">
        <f>P201+P200</f>
        <v/>
      </c>
      <c r="Q202" s="125">
        <f>Q201+Q200</f>
        <v/>
      </c>
      <c r="R202" s="125">
        <f>R201+R200</f>
        <v/>
      </c>
      <c r="S202" s="125">
        <f>S201+S200</f>
        <v/>
      </c>
      <c r="T202" s="125">
        <f>T201+T200</f>
        <v/>
      </c>
      <c r="U202" s="125">
        <f>U201+U200</f>
        <v/>
      </c>
      <c r="V202" s="125">
        <f>V201+V200</f>
        <v/>
      </c>
      <c r="W202" s="125">
        <f>W201+W200</f>
        <v/>
      </c>
      <c r="X202" s="125">
        <f>X201+X200</f>
        <v/>
      </c>
      <c r="Y202" s="125">
        <f>Y201+Y200</f>
        <v/>
      </c>
      <c r="Z202" s="125">
        <f>Z201+Z200</f>
        <v/>
      </c>
      <c r="AA202" s="125">
        <f>AA201+AA200</f>
        <v/>
      </c>
      <c r="AB202" s="125">
        <f>AB201+AB200</f>
        <v/>
      </c>
      <c r="AC202" s="125">
        <f>AC201+AC200</f>
        <v/>
      </c>
      <c r="AD202" s="125">
        <f>AD201+AD200</f>
        <v/>
      </c>
      <c r="AE202" s="125">
        <f>AE201+AE200</f>
        <v/>
      </c>
      <c r="AF202" s="125">
        <f>AF201+AF200</f>
        <v/>
      </c>
      <c r="AG202" s="125">
        <f>AG201+AG200</f>
        <v/>
      </c>
      <c r="AH202" s="125">
        <f>AH201+AH200</f>
        <v/>
      </c>
      <c r="AI202" s="125">
        <f>AI201+AI200</f>
        <v/>
      </c>
      <c r="AJ202" s="125">
        <f>AJ201+AJ200</f>
        <v/>
      </c>
      <c r="AK202" s="125">
        <f>AK201+AK200</f>
        <v/>
      </c>
      <c r="AL202" s="125">
        <f>AL201+AL200</f>
        <v/>
      </c>
      <c r="AM202" s="125">
        <f>AM201+AM200</f>
        <v/>
      </c>
      <c r="AN202" s="125">
        <f>AN201+AN200</f>
        <v/>
      </c>
      <c r="AO202" s="125">
        <f>AO201+AO200</f>
        <v/>
      </c>
      <c r="AP202" s="125">
        <f>AP201+AP200</f>
        <v/>
      </c>
      <c r="AQ202" s="125">
        <f>AQ201+AQ200</f>
        <v/>
      </c>
      <c r="AR202" s="125">
        <f>AR201+AR200</f>
        <v/>
      </c>
      <c r="AS202" s="125">
        <f>AS201+AS200</f>
        <v/>
      </c>
      <c r="AT202" s="125">
        <f>AT201+AT200</f>
        <v/>
      </c>
      <c r="AU202" s="1148" t="n"/>
      <c r="AV202" s="1245" t="n"/>
      <c r="AW202" s="1245" t="n"/>
      <c r="AX202" s="1246" t="n"/>
      <c r="AY202" s="1012" t="n"/>
      <c r="AZ202" s="1245" t="n"/>
      <c r="BA202" s="1245" t="n"/>
      <c r="BB202" s="1246" t="n"/>
      <c r="BD202" s="1245" t="n"/>
      <c r="BE202" s="1245" t="n"/>
      <c r="BF202" s="1246" t="n"/>
      <c r="BQ202" s="1245" t="n"/>
      <c r="DU202" s="1148" t="n"/>
      <c r="DV202" s="1148" t="n"/>
      <c r="DW202" s="1148" t="n"/>
      <c r="DY202" s="1148" t="n"/>
      <c r="DZ202" s="1148" t="n"/>
      <c r="EA202" s="1148" t="n"/>
      <c r="EC202" s="1148" t="n"/>
      <c r="ED202" s="1148" t="n"/>
      <c r="EE202" s="1148" t="n"/>
      <c r="EF202" s="1148" t="n"/>
      <c r="EH202" s="1150" t="n"/>
      <c r="EI202" s="1150" t="n"/>
      <c r="EJ202" s="1148" t="n"/>
      <c r="EK202" s="125">
        <f>EK201+EK200</f>
        <v/>
      </c>
      <c r="EL202" s="1150" t="n"/>
      <c r="EM202" s="1150" t="n"/>
      <c r="EN202" s="1148" t="n"/>
      <c r="EO202" s="125">
        <f>EO201+EO200</f>
        <v/>
      </c>
      <c r="EP202" s="1150" t="n"/>
      <c r="EQ202" s="1150" t="n"/>
      <c r="ER202" s="1150" t="n"/>
      <c r="ES202" s="125">
        <f>ES201+ES200</f>
        <v/>
      </c>
      <c r="EU202" s="1150" t="n"/>
      <c r="EV202" s="1150" t="n"/>
      <c r="EW202" s="125">
        <f>EW201+EW200</f>
        <v/>
      </c>
      <c r="EY202" s="1150" t="n"/>
      <c r="FA202" s="125">
        <f>FA201+FA200</f>
        <v/>
      </c>
      <c r="FC202" s="1150" t="n"/>
      <c r="FE202" s="125">
        <f>FE201+FE200</f>
        <v/>
      </c>
      <c r="FG202" s="1150" t="n"/>
      <c r="FI202" s="125">
        <f>FI201+FI200</f>
        <v/>
      </c>
      <c r="FM202" s="125">
        <f>FM201+FM200</f>
        <v/>
      </c>
    </row>
    <row r="203" customFormat="1" s="1185">
      <c r="A203" s="1170" t="n"/>
      <c r="B203" s="1234" t="inlineStr">
        <is>
          <t>Effect of exchange rate difference</t>
        </is>
      </c>
      <c r="F203" s="655" t="n"/>
      <c r="G203" s="655" t="n">
        <v>-12</v>
      </c>
      <c r="H203" s="655" t="n">
        <v>-150</v>
      </c>
      <c r="I203" s="655" t="n">
        <v>8</v>
      </c>
      <c r="J203" s="655" t="n">
        <v>47</v>
      </c>
      <c r="K203" s="655" t="n">
        <v>-26</v>
      </c>
      <c r="L203" s="655" t="n">
        <v>-10</v>
      </c>
      <c r="M203" s="655" t="n">
        <v>-32</v>
      </c>
      <c r="N203" s="655" t="n">
        <v>18</v>
      </c>
      <c r="O203" s="655" t="n">
        <v>-7</v>
      </c>
      <c r="P203" s="655" t="n">
        <v>-61</v>
      </c>
      <c r="Q203" s="655" t="n">
        <v>-8</v>
      </c>
      <c r="R203" s="655" t="n">
        <v>121</v>
      </c>
      <c r="S203" s="655" t="n">
        <v>196</v>
      </c>
      <c r="T203" s="655" t="n">
        <v>155</v>
      </c>
      <c r="U203" s="655" t="n">
        <v>-119</v>
      </c>
      <c r="V203" s="655" t="n">
        <v>98</v>
      </c>
      <c r="W203" s="655" t="n">
        <v>142</v>
      </c>
      <c r="X203" s="655" t="n">
        <v>-189</v>
      </c>
      <c r="Y203" s="655" t="n">
        <v>97</v>
      </c>
      <c r="Z203" s="655" t="n">
        <v>156</v>
      </c>
      <c r="AA203" s="655" t="n">
        <v>80</v>
      </c>
      <c r="AB203" s="655" t="n">
        <v>-20</v>
      </c>
      <c r="AC203" s="655" t="n">
        <v>-6</v>
      </c>
      <c r="AD203" s="655" t="n">
        <v>-204</v>
      </c>
      <c r="AE203" s="655" t="n">
        <v>-191</v>
      </c>
      <c r="AF203" s="655" t="n">
        <v>-66</v>
      </c>
      <c r="AG203" s="655" t="n">
        <v>158</v>
      </c>
      <c r="AH203" s="655" t="n">
        <v>-32</v>
      </c>
      <c r="AI203" s="655" t="n">
        <v>-41</v>
      </c>
      <c r="AJ203" s="655" t="n">
        <v>25</v>
      </c>
      <c r="AK203" s="655" t="n">
        <v>11</v>
      </c>
      <c r="AL203" s="655" t="n">
        <v>-73</v>
      </c>
      <c r="AM203" s="655" t="n">
        <v>-8</v>
      </c>
      <c r="AN203" s="655" t="n">
        <v>-75</v>
      </c>
      <c r="AO203" s="656" t="n">
        <v>0</v>
      </c>
      <c r="AP203" s="656" t="n">
        <v>0</v>
      </c>
      <c r="AQ203" s="656" t="n">
        <v>0</v>
      </c>
      <c r="AR203" s="656" t="n">
        <v>0</v>
      </c>
      <c r="AS203" s="656" t="n">
        <v>0</v>
      </c>
      <c r="AT203" s="656" t="n">
        <v>0</v>
      </c>
      <c r="AU203" s="1148" t="n"/>
      <c r="AV203" s="1245" t="n"/>
      <c r="AW203" s="1245" t="n"/>
      <c r="AX203" s="1246" t="n"/>
      <c r="AY203" s="1012" t="n"/>
      <c r="AZ203" s="1245" t="n"/>
      <c r="BA203" s="1245" t="n"/>
      <c r="BB203" s="1246" t="n"/>
      <c r="BD203" s="1245" t="n"/>
      <c r="BE203" s="1245" t="n"/>
      <c r="BF203" s="1246" t="n"/>
      <c r="BQ203" s="1245" t="n"/>
      <c r="DU203" s="1148" t="n"/>
      <c r="DV203" s="1148" t="n"/>
      <c r="DW203" s="1148" t="n"/>
      <c r="DY203" s="1148" t="n"/>
      <c r="DZ203" s="1148" t="n"/>
      <c r="EA203" s="1148" t="n"/>
      <c r="EC203" s="1148" t="n"/>
      <c r="ED203" s="1148" t="n"/>
      <c r="EE203" s="1148" t="n"/>
      <c r="EF203" s="1148" t="n"/>
      <c r="EH203" s="1150" t="n"/>
      <c r="EI203" s="1150" t="n"/>
      <c r="EJ203" s="1148" t="n"/>
      <c r="EK203" s="655" t="n">
        <v>-9</v>
      </c>
      <c r="EL203" s="1150" t="n"/>
      <c r="EM203" s="1150" t="n"/>
      <c r="EN203" s="1148" t="n"/>
      <c r="EO203" s="655" t="n">
        <v>-61</v>
      </c>
      <c r="EP203" s="1150" t="n"/>
      <c r="EQ203" s="1150" t="n"/>
      <c r="ER203" s="1150" t="n"/>
      <c r="ES203" s="655" t="n">
        <v>-1</v>
      </c>
      <c r="EU203" s="1150" t="n"/>
      <c r="EV203" s="1150" t="n"/>
      <c r="EW203" s="655" t="n">
        <v>-35</v>
      </c>
      <c r="EY203" s="1150" t="n"/>
      <c r="FA203" s="655" t="n">
        <v>-2</v>
      </c>
      <c r="FC203" s="1150" t="n"/>
      <c r="FE203" s="655" t="n">
        <v>-25</v>
      </c>
      <c r="FG203" s="1150" t="n"/>
      <c r="FI203" s="655" t="n">
        <v>121</v>
      </c>
      <c r="FM203" s="655" t="n">
        <v>53</v>
      </c>
    </row>
    <row r="204" customFormat="1" s="1185">
      <c r="A204" s="1170" t="n"/>
      <c r="B204" s="1154" t="inlineStr">
        <is>
          <t>Change of cash</t>
        </is>
      </c>
      <c r="C204" s="657">
        <f>+C202+C203</f>
        <v/>
      </c>
      <c r="D204" s="657">
        <f>+D202+D203</f>
        <v/>
      </c>
      <c r="E204" s="657">
        <f>+E202+E203</f>
        <v/>
      </c>
      <c r="F204" s="657">
        <f>+F202+F203</f>
        <v/>
      </c>
      <c r="G204" s="657">
        <f>+G202+G203</f>
        <v/>
      </c>
      <c r="H204" s="657">
        <f>+H202+H203</f>
        <v/>
      </c>
      <c r="I204" s="657">
        <f>+I202+I203</f>
        <v/>
      </c>
      <c r="J204" s="657">
        <f>+J202+J203</f>
        <v/>
      </c>
      <c r="K204" s="657">
        <f>+K202+K203</f>
        <v/>
      </c>
      <c r="L204" s="657">
        <f>+L202+L203</f>
        <v/>
      </c>
      <c r="M204" s="657">
        <f>+M202+M203</f>
        <v/>
      </c>
      <c r="N204" s="657">
        <f>+N202+N203</f>
        <v/>
      </c>
      <c r="O204" s="657">
        <f>+O202+O203</f>
        <v/>
      </c>
      <c r="P204" s="657">
        <f>+P202+P203</f>
        <v/>
      </c>
      <c r="Q204" s="657">
        <f>+Q202+Q203</f>
        <v/>
      </c>
      <c r="R204" s="657">
        <f>+R202+R203</f>
        <v/>
      </c>
      <c r="S204" s="657">
        <f>+S202+S203</f>
        <v/>
      </c>
      <c r="T204" s="657">
        <f>+T202+T203</f>
        <v/>
      </c>
      <c r="U204" s="657">
        <f>+U202+U203</f>
        <v/>
      </c>
      <c r="V204" s="657">
        <f>+V202+V203</f>
        <v/>
      </c>
      <c r="W204" s="657">
        <f>+W202+W203</f>
        <v/>
      </c>
      <c r="X204" s="657">
        <f>+X202+X203</f>
        <v/>
      </c>
      <c r="Y204" s="657">
        <f>+Y202+Y203</f>
        <v/>
      </c>
      <c r="Z204" s="657">
        <f>+Z202+Z203</f>
        <v/>
      </c>
      <c r="AA204" s="657">
        <f>+AA202+AA203</f>
        <v/>
      </c>
      <c r="AB204" s="657">
        <f>+AB202+AB203</f>
        <v/>
      </c>
      <c r="AC204" s="657">
        <f>+AC202+AC203</f>
        <v/>
      </c>
      <c r="AD204" s="657">
        <f>+AD202+AD203</f>
        <v/>
      </c>
      <c r="AE204" s="657">
        <f>+AE202+AE203</f>
        <v/>
      </c>
      <c r="AF204" s="657">
        <f>+AF202+AF203</f>
        <v/>
      </c>
      <c r="AG204" s="657">
        <f>+AG202+AG203</f>
        <v/>
      </c>
      <c r="AH204" s="657">
        <f>+AH202+AH203</f>
        <v/>
      </c>
      <c r="AI204" s="657">
        <f>+AI202+AI203</f>
        <v/>
      </c>
      <c r="AJ204" s="657">
        <f>+AJ202+AJ203</f>
        <v/>
      </c>
      <c r="AK204" s="657">
        <f>+AK202+AK203</f>
        <v/>
      </c>
      <c r="AL204" s="657">
        <f>+AL202+AL203</f>
        <v/>
      </c>
      <c r="AM204" s="657">
        <f>+AM202+AM203</f>
        <v/>
      </c>
      <c r="AN204" s="657">
        <f>+AN202+AN203</f>
        <v/>
      </c>
      <c r="AO204" s="657">
        <f>+AO202+AO203</f>
        <v/>
      </c>
      <c r="AP204" s="657">
        <f>+AP202+AP203</f>
        <v/>
      </c>
      <c r="AQ204" s="657">
        <f>+AQ202+AQ203</f>
        <v/>
      </c>
      <c r="AR204" s="657">
        <f>+AR202+AR203</f>
        <v/>
      </c>
      <c r="AS204" s="657">
        <f>+AS202+AS203</f>
        <v/>
      </c>
      <c r="AT204" s="657">
        <f>+AT202+AT203</f>
        <v/>
      </c>
      <c r="AU204" s="1148" t="n"/>
      <c r="AV204" s="1245" t="n"/>
      <c r="AW204" s="1245" t="n"/>
      <c r="AX204" s="1246" t="n"/>
      <c r="AY204" s="1012" t="n"/>
      <c r="AZ204" s="1245" t="n"/>
      <c r="BA204" s="1245" t="n"/>
      <c r="BB204" s="1246" t="n"/>
      <c r="BD204" s="1245" t="n"/>
      <c r="BE204" s="1245" t="n"/>
      <c r="BF204" s="1246" t="n"/>
      <c r="BQ204" s="1245" t="n"/>
      <c r="DU204" s="1148" t="n"/>
      <c r="DV204" s="1148" t="n"/>
      <c r="DW204" s="1148" t="n"/>
      <c r="DY204" s="1148" t="n"/>
      <c r="DZ204" s="1148" t="n"/>
      <c r="EA204" s="1148" t="n"/>
      <c r="EC204" s="1148" t="n"/>
      <c r="ED204" s="1148" t="n"/>
      <c r="EE204" s="1148" t="n"/>
      <c r="EF204" s="1148" t="n"/>
      <c r="EH204" s="1150" t="n"/>
      <c r="EI204" s="1150" t="n"/>
      <c r="EJ204" s="1148" t="n"/>
      <c r="EK204" s="657">
        <f>+EK202+EK203</f>
        <v/>
      </c>
      <c r="EL204" s="1150" t="n"/>
      <c r="EM204" s="1150" t="n"/>
      <c r="EN204" s="1148" t="n"/>
      <c r="EO204" s="657">
        <f>+EO202+EO203</f>
        <v/>
      </c>
      <c r="EP204" s="1150" t="n"/>
      <c r="EQ204" s="1150" t="n"/>
      <c r="ER204" s="1150" t="n"/>
      <c r="ES204" s="657">
        <f>+ES202+ES203</f>
        <v/>
      </c>
      <c r="EU204" s="1150" t="n"/>
      <c r="EV204" s="1150" t="n"/>
      <c r="EW204" s="657">
        <f>+EW202+EW203</f>
        <v/>
      </c>
      <c r="EY204" s="1150" t="n"/>
      <c r="FA204" s="657">
        <f>+FA202+FA203</f>
        <v/>
      </c>
      <c r="FC204" s="1150" t="n"/>
      <c r="FE204" s="657">
        <f>+FE202+FE203</f>
        <v/>
      </c>
      <c r="FG204" s="1150" t="n"/>
      <c r="FI204" s="657">
        <f>+FI202+FI203</f>
        <v/>
      </c>
      <c r="FM204" s="657">
        <f>+FM202+FM203</f>
        <v/>
      </c>
    </row>
    <row r="205" customFormat="1" s="1176">
      <c r="A205" s="1170" t="n"/>
      <c r="AU205" s="1174" t="n"/>
      <c r="AV205" s="1236" t="n"/>
      <c r="AW205" s="1236" t="n"/>
      <c r="AX205" s="1211" t="n"/>
      <c r="AY205" s="1236" t="n"/>
      <c r="AZ205" s="1236" t="n"/>
      <c r="BA205" s="1236" t="n"/>
      <c r="BB205" s="1237" t="n"/>
      <c r="BD205" s="1236" t="n"/>
      <c r="BE205" s="1236" t="n"/>
      <c r="BF205" s="1237" t="n"/>
      <c r="BQ205" s="1236" t="n"/>
      <c r="DU205" s="1174" t="n"/>
      <c r="DV205" s="1174" t="n"/>
      <c r="DW205" s="1174" t="n"/>
      <c r="DY205" s="1174" t="n"/>
      <c r="DZ205" s="1174" t="n"/>
      <c r="EA205" s="1174" t="n"/>
      <c r="EC205" s="1174" t="n"/>
      <c r="ED205" s="1174" t="n"/>
      <c r="EE205" s="1174" t="n"/>
      <c r="EF205" s="1174" t="n"/>
      <c r="EH205" s="1185" t="n"/>
      <c r="EI205" s="1185" t="n"/>
      <c r="EJ205" s="1174" t="n"/>
      <c r="EK205" s="21" t="n"/>
      <c r="EL205" s="1185" t="n"/>
      <c r="EM205" s="1185" t="n"/>
      <c r="EN205" s="1174" t="n"/>
      <c r="EO205" s="21" t="n"/>
      <c r="EP205" s="1185" t="n"/>
      <c r="EQ205" s="1185" t="n"/>
      <c r="ER205" s="1185" t="n"/>
      <c r="ES205" s="21" t="n"/>
      <c r="EU205" s="1185" t="n"/>
      <c r="EV205" s="1185" t="n"/>
      <c r="EW205" s="21" t="n"/>
      <c r="EY205" s="1185" t="n"/>
      <c r="FA205" s="21" t="n"/>
      <c r="FC205" s="1185" t="n"/>
      <c r="FE205" s="21" t="n"/>
      <c r="FG205" s="1185" t="n"/>
      <c r="FI205" s="1247" t="n"/>
      <c r="FM205" s="1247" t="n"/>
    </row>
    <row r="206" customFormat="1" s="1150">
      <c r="A206" s="1231" t="n"/>
      <c r="B206" s="1232" t="inlineStr">
        <is>
          <t>Balance Sheet</t>
        </is>
      </c>
      <c r="C206" s="773" t="n"/>
      <c r="D206" s="773" t="n"/>
      <c r="E206" s="773" t="n"/>
      <c r="F206" s="773" t="n"/>
      <c r="G206" s="773" t="n"/>
      <c r="H206" s="773" t="n"/>
      <c r="I206" s="773" t="n"/>
      <c r="J206" s="773" t="n"/>
      <c r="K206" s="773" t="n"/>
      <c r="L206" s="773" t="n"/>
      <c r="M206" s="773" t="n"/>
      <c r="N206" s="773" t="n"/>
      <c r="O206" s="773" t="n"/>
      <c r="P206" s="773" t="n"/>
      <c r="Q206" s="773" t="n"/>
      <c r="R206" s="773" t="n"/>
      <c r="S206" s="773" t="n"/>
      <c r="T206" s="773" t="n"/>
      <c r="U206" s="773" t="n"/>
      <c r="V206" s="773" t="n"/>
      <c r="W206" s="773" t="n"/>
      <c r="X206" s="773" t="n"/>
      <c r="Y206" s="773" t="n"/>
      <c r="Z206" s="773" t="n"/>
      <c r="AA206" s="773" t="n"/>
      <c r="AB206" s="773" t="n"/>
      <c r="AC206" s="773" t="n"/>
      <c r="AD206" s="773" t="n"/>
      <c r="AE206" s="773" t="n"/>
      <c r="AF206" s="773" t="n"/>
      <c r="AG206" s="773" t="n"/>
      <c r="AH206" s="773" t="n"/>
      <c r="AI206" s="773" t="n"/>
      <c r="AJ206" s="773" t="n"/>
      <c r="AK206" s="773" t="n"/>
      <c r="AL206" s="773" t="n"/>
      <c r="AM206" s="773" t="n"/>
      <c r="AN206" s="773" t="n"/>
      <c r="AO206" s="773" t="n"/>
      <c r="AP206" s="773" t="n"/>
      <c r="AQ206" s="773" t="n"/>
      <c r="AR206" s="773" t="n"/>
      <c r="AS206" s="773" t="n"/>
      <c r="AT206" s="773" t="n"/>
      <c r="AU206" s="962" t="n"/>
      <c r="AV206" s="1210" t="n"/>
      <c r="AW206" s="1210" t="n"/>
      <c r="AX206" s="1211" t="n"/>
      <c r="AY206" s="1210" t="n"/>
      <c r="AZ206" s="1210" t="n"/>
      <c r="BA206" s="1210" t="inlineStr">
        <is>
          <t> </t>
        </is>
      </c>
      <c r="BB206" s="1211" t="n"/>
      <c r="BD206" s="1210" t="n"/>
      <c r="BE206" s="1210" t="inlineStr">
        <is>
          <t> </t>
        </is>
      </c>
      <c r="BF206" s="1211" t="n"/>
      <c r="BQ206" s="1210" t="n"/>
      <c r="CW206" s="234" t="n"/>
      <c r="EH206" s="961" t="n"/>
      <c r="EI206" s="961" t="n"/>
      <c r="EL206" s="961" t="n"/>
      <c r="EM206" s="961" t="n"/>
      <c r="EN206" s="1213" t="n"/>
      <c r="EP206" s="961" t="n"/>
      <c r="EQ206" s="961" t="n"/>
      <c r="ER206" s="961" t="n"/>
      <c r="EU206" s="961" t="n"/>
      <c r="EY206" s="961" t="n"/>
      <c r="FC206" s="961" t="n"/>
      <c r="FG206" s="961" t="n"/>
      <c r="FI206" s="1193" t="n"/>
      <c r="FM206" s="1193" t="n"/>
    </row>
    <row r="207" customFormat="1" s="657">
      <c r="A207" s="686" t="inlineStr">
        <is>
          <t>bs st debt</t>
        </is>
      </c>
      <c r="B207" s="657" t="inlineStr">
        <is>
          <t>ST debt</t>
        </is>
      </c>
      <c r="C207" s="657">
        <f>788.4+136.9+479.7</f>
        <v/>
      </c>
      <c r="D207" s="657">
        <f>664.1+157.8+581.5</f>
        <v/>
      </c>
      <c r="E207" s="657">
        <f>445+1708+483</f>
        <v/>
      </c>
      <c r="F207" s="657">
        <f>540+136+829</f>
        <v/>
      </c>
      <c r="G207" s="655">
        <f>754+216+1310</f>
        <v/>
      </c>
      <c r="H207" s="655">
        <f>218+247+1342</f>
        <v/>
      </c>
      <c r="I207" s="655">
        <f>769+10+1461</f>
        <v/>
      </c>
      <c r="J207" s="655">
        <f>1974+43+1633</f>
        <v/>
      </c>
      <c r="K207" s="655">
        <f>932+125+70+1134</f>
        <v/>
      </c>
      <c r="L207" s="655">
        <f>1899+138+827</f>
        <v/>
      </c>
      <c r="M207" s="655">
        <f>92+735+916</f>
        <v/>
      </c>
      <c r="N207" s="655" t="n">
        <v>2340</v>
      </c>
      <c r="O207" s="655" t="n">
        <v>2025</v>
      </c>
      <c r="P207" s="655" t="n">
        <v>1783</v>
      </c>
      <c r="Q207" s="655" t="n">
        <v>2010</v>
      </c>
      <c r="R207" s="655" t="n">
        <v>4281</v>
      </c>
      <c r="S207" s="655" t="n">
        <v>4879</v>
      </c>
      <c r="T207" s="655" t="n">
        <v>4969</v>
      </c>
      <c r="U207" s="655" t="n">
        <v>3563</v>
      </c>
      <c r="V207" s="655" t="n">
        <v>6151</v>
      </c>
      <c r="W207" s="655" t="n">
        <v>3878</v>
      </c>
      <c r="X207" s="655" t="n">
        <v>4255</v>
      </c>
      <c r="Y207" s="655" t="n">
        <v>7828</v>
      </c>
      <c r="Z207" s="655" t="n">
        <v>8704</v>
      </c>
      <c r="AA207" s="655" t="n">
        <v>8562</v>
      </c>
      <c r="AB207" s="655" t="n">
        <v>8157</v>
      </c>
      <c r="AC207" s="655" t="n">
        <v>10218</v>
      </c>
      <c r="AD207" s="655" t="n">
        <v>9781</v>
      </c>
      <c r="AE207" s="655" t="n">
        <v>13238</v>
      </c>
      <c r="AF207" s="655" t="n">
        <v>11263</v>
      </c>
      <c r="AG207" s="655" t="n">
        <v>8888</v>
      </c>
      <c r="AH207" s="655" t="n">
        <v>13694</v>
      </c>
      <c r="AI207" s="655" t="n">
        <v>20752</v>
      </c>
      <c r="AJ207" s="655" t="n">
        <v>24249</v>
      </c>
      <c r="AK207" s="655" t="n">
        <v>22350</v>
      </c>
      <c r="AL207" s="655" t="n">
        <v>14643</v>
      </c>
      <c r="AM207" s="655" t="n">
        <v>10523</v>
      </c>
      <c r="AN207" s="655" t="n">
        <v>11626</v>
      </c>
      <c r="AO207" s="727">
        <f>AN207</f>
        <v/>
      </c>
      <c r="AP207" s="727">
        <f>AO207</f>
        <v/>
      </c>
      <c r="AQ207" s="727">
        <f>AP207</f>
        <v/>
      </c>
      <c r="AR207" s="727">
        <f>AQ207</f>
        <v/>
      </c>
      <c r="AS207" s="727">
        <f>AR207</f>
        <v/>
      </c>
      <c r="AT207" s="727">
        <f>AS207</f>
        <v/>
      </c>
      <c r="AU207" s="727" t="n"/>
      <c r="AV207" s="731" t="n"/>
      <c r="AW207" s="731" t="n"/>
      <c r="AX207" s="703" t="n"/>
      <c r="AY207" s="731" t="n"/>
      <c r="AZ207" s="731" t="n"/>
      <c r="BA207" s="731" t="n"/>
      <c r="BB207" s="703" t="n"/>
      <c r="BD207" s="731" t="n"/>
      <c r="BE207" s="731" t="n"/>
      <c r="BF207" s="703" t="n"/>
      <c r="BQ207" s="731" t="n"/>
      <c r="CU207" s="727" t="n">
        <v>4255</v>
      </c>
      <c r="CV207" s="732" t="n">
        <v>4255</v>
      </c>
      <c r="CW207" s="657" t="n">
        <v>7610</v>
      </c>
      <c r="DU207" s="727" t="n"/>
      <c r="DV207" s="727" t="n"/>
      <c r="DW207" s="727" t="n"/>
      <c r="DY207" s="727" t="n"/>
      <c r="DZ207" s="727" t="n"/>
      <c r="EA207" s="727" t="n"/>
      <c r="EC207" s="727" t="n"/>
      <c r="ED207" s="727" t="n"/>
      <c r="EE207" s="727" t="n"/>
      <c r="EF207" s="727" t="n"/>
      <c r="EJ207" s="727" t="n"/>
      <c r="EK207" s="733" t="n">
        <v>18789</v>
      </c>
      <c r="EN207" s="727" t="n"/>
      <c r="EO207" s="655" t="n">
        <v>23909</v>
      </c>
      <c r="ES207" s="655" t="n">
        <v>24802</v>
      </c>
      <c r="EV207" s="655" t="n"/>
      <c r="EW207" s="655" t="n">
        <v>19289</v>
      </c>
      <c r="FA207" s="655" t="n">
        <v>9833</v>
      </c>
      <c r="FE207" s="655" t="n">
        <v>11890</v>
      </c>
      <c r="FI207" s="655" t="n">
        <v>11544</v>
      </c>
      <c r="FM207" s="655" t="n">
        <v>17535</v>
      </c>
    </row>
    <row r="208" customFormat="1" s="657">
      <c r="A208" s="686" t="inlineStr">
        <is>
          <t>bs lt debt</t>
        </is>
      </c>
      <c r="B208" s="657" t="inlineStr">
        <is>
          <t>LT debt</t>
        </is>
      </c>
      <c r="C208" s="657">
        <f>5367.4+5957.1</f>
        <v/>
      </c>
      <c r="D208" s="657">
        <f>4488.1+5503.2</f>
        <v/>
      </c>
      <c r="E208" s="657">
        <f>4387+4145</f>
        <v/>
      </c>
      <c r="F208" s="657">
        <f>4480+7575</f>
        <v/>
      </c>
      <c r="G208" s="655">
        <f>3486+11062</f>
        <v/>
      </c>
      <c r="H208" s="655">
        <f>4802+13558</f>
        <v/>
      </c>
      <c r="I208" s="655">
        <f>3963+14989</f>
        <v/>
      </c>
      <c r="J208" s="655">
        <f>4511+13918</f>
        <v/>
      </c>
      <c r="K208" s="655">
        <f>5245+14411</f>
        <v/>
      </c>
      <c r="L208" s="655">
        <f>5260+18057</f>
        <v/>
      </c>
      <c r="M208" s="655">
        <f>3940+17531</f>
        <v/>
      </c>
      <c r="N208" s="655" t="n">
        <v>24858</v>
      </c>
      <c r="O208" s="655" t="n">
        <v>22758</v>
      </c>
      <c r="P208" s="655" t="n">
        <v>19055</v>
      </c>
      <c r="Q208" s="655" t="n">
        <v>22014</v>
      </c>
      <c r="R208" s="655" t="n">
        <v>18529</v>
      </c>
      <c r="S208" s="655" t="n">
        <v>21418</v>
      </c>
      <c r="T208" s="655" t="n">
        <v>17662</v>
      </c>
      <c r="U208" s="655" t="n">
        <v>18892</v>
      </c>
      <c r="V208" s="655" t="n">
        <v>25438</v>
      </c>
      <c r="W208" s="655" t="n">
        <v>32490</v>
      </c>
      <c r="X208" s="655" t="n">
        <v>36025</v>
      </c>
      <c r="Y208" s="655" t="n">
        <v>34814</v>
      </c>
      <c r="Z208" s="655" t="n">
        <v>30925</v>
      </c>
      <c r="AA208" s="655" t="n">
        <v>34773</v>
      </c>
      <c r="AB208" s="655" t="n">
        <v>51389</v>
      </c>
      <c r="AC208" s="655" t="n">
        <v>56834</v>
      </c>
      <c r="AD208" s="655" t="n">
        <v>55315</v>
      </c>
      <c r="AE208" s="655" t="n">
        <v>49867</v>
      </c>
      <c r="AF208" s="655" t="n">
        <v>58906</v>
      </c>
      <c r="AG208" s="655" t="n">
        <v>69506</v>
      </c>
      <c r="AH208" s="655" t="n">
        <v>60183</v>
      </c>
      <c r="AI208" s="655" t="n">
        <v>76508</v>
      </c>
      <c r="AJ208" s="655" t="n">
        <v>68880</v>
      </c>
      <c r="AK208" s="655" t="n">
        <v>67504</v>
      </c>
      <c r="AL208" s="655" t="n">
        <v>62463</v>
      </c>
      <c r="AM208" s="655" t="n">
        <v>57771</v>
      </c>
      <c r="AN208" s="655" t="n">
        <v>56849</v>
      </c>
      <c r="AO208" s="727">
        <f>AN208+AO197</f>
        <v/>
      </c>
      <c r="AP208" s="727">
        <f>AO208+AP197</f>
        <v/>
      </c>
      <c r="AQ208" s="727">
        <f>AP208+AQ197</f>
        <v/>
      </c>
      <c r="AR208" s="727">
        <f>AQ208+AR197</f>
        <v/>
      </c>
      <c r="AS208" s="727">
        <f>AR208+AS197</f>
        <v/>
      </c>
      <c r="AT208" s="727">
        <f>AS208+AT197</f>
        <v/>
      </c>
      <c r="AU208" s="727" t="n"/>
      <c r="AV208" s="731" t="n"/>
      <c r="AW208" s="731" t="n"/>
      <c r="AX208" s="703" t="n"/>
      <c r="AY208" s="731" t="n"/>
      <c r="AZ208" s="731" t="n"/>
      <c r="BA208" s="731" t="n"/>
      <c r="BB208" s="703" t="n"/>
      <c r="BD208" s="731" t="n"/>
      <c r="BE208" s="731" t="n"/>
      <c r="BF208" s="703" t="n"/>
      <c r="BQ208" s="731" t="n"/>
      <c r="CU208" s="727" t="n">
        <v>36025</v>
      </c>
      <c r="CV208" s="732" t="n">
        <v>36025</v>
      </c>
      <c r="CW208" s="657" t="n">
        <v>34362</v>
      </c>
      <c r="DU208" s="727" t="n"/>
      <c r="DV208" s="727" t="n"/>
      <c r="DW208" s="727" t="n"/>
      <c r="DY208" s="727" t="n"/>
      <c r="DZ208" s="727" t="n"/>
      <c r="EA208" s="727" t="n"/>
      <c r="EC208" s="727" t="n"/>
      <c r="ED208" s="727" t="n"/>
      <c r="EE208" s="727" t="n"/>
      <c r="EF208" s="727" t="n"/>
      <c r="EJ208" s="727" t="n"/>
      <c r="EK208" s="733" t="n">
        <v>71952</v>
      </c>
      <c r="EN208" s="727" t="n"/>
      <c r="EO208" s="655" t="n">
        <v>76479</v>
      </c>
      <c r="ES208" s="655" t="n">
        <v>73894</v>
      </c>
      <c r="EV208" s="655" t="n"/>
      <c r="EW208" s="655" t="n">
        <v>63928</v>
      </c>
      <c r="FA208" s="655" t="n">
        <v>58831</v>
      </c>
      <c r="FE208" s="655" t="n">
        <v>54920</v>
      </c>
      <c r="FI208" s="655" t="n">
        <v>53710</v>
      </c>
      <c r="FM208" s="655" t="n">
        <v>45960</v>
      </c>
    </row>
    <row r="209" customFormat="1" s="527">
      <c r="A209" s="686" t="n"/>
      <c r="B209" s="527" t="inlineStr">
        <is>
          <t>Gross Debt</t>
        </is>
      </c>
      <c r="C209" s="527">
        <f>C207+C208</f>
        <v/>
      </c>
      <c r="D209" s="527">
        <f>D207+D208</f>
        <v/>
      </c>
      <c r="E209" s="527">
        <f>E207+E208</f>
        <v/>
      </c>
      <c r="F209" s="527">
        <f>F207+F208</f>
        <v/>
      </c>
      <c r="G209" s="527">
        <f>G207+G208</f>
        <v/>
      </c>
      <c r="H209" s="527">
        <f>H207+H208</f>
        <v/>
      </c>
      <c r="I209" s="527">
        <f>I207+I208</f>
        <v/>
      </c>
      <c r="J209" s="527">
        <f>J207+J208</f>
        <v/>
      </c>
      <c r="K209" s="527">
        <f>K207+K208</f>
        <v/>
      </c>
      <c r="L209" s="527">
        <f>L207+L208</f>
        <v/>
      </c>
      <c r="M209" s="527">
        <f>M207+M208</f>
        <v/>
      </c>
      <c r="N209" s="527">
        <f>N207+N208</f>
        <v/>
      </c>
      <c r="O209" s="527">
        <f>O207+O208</f>
        <v/>
      </c>
      <c r="P209" s="527">
        <f>P207+P208</f>
        <v/>
      </c>
      <c r="Q209" s="527">
        <f>Q207+Q208</f>
        <v/>
      </c>
      <c r="R209" s="527">
        <f>R207+R208</f>
        <v/>
      </c>
      <c r="S209" s="527">
        <f>S207+S208</f>
        <v/>
      </c>
      <c r="T209" s="527">
        <f>T207+T208</f>
        <v/>
      </c>
      <c r="U209" s="527">
        <f>U207+U208</f>
        <v/>
      </c>
      <c r="V209" s="527">
        <f>V207+V208</f>
        <v/>
      </c>
      <c r="W209" s="527">
        <f>W207+W208</f>
        <v/>
      </c>
      <c r="X209" s="527">
        <f>X207+X208</f>
        <v/>
      </c>
      <c r="Y209" s="527">
        <f>Y207+Y208</f>
        <v/>
      </c>
      <c r="Z209" s="527">
        <f>Z207+Z208</f>
        <v/>
      </c>
      <c r="AA209" s="527">
        <f>AA207+AA208</f>
        <v/>
      </c>
      <c r="AB209" s="527">
        <f>AB207+AB208</f>
        <v/>
      </c>
      <c r="AC209" s="527">
        <f>AC207+AC208</f>
        <v/>
      </c>
      <c r="AD209" s="527">
        <f>AD207+AD208</f>
        <v/>
      </c>
      <c r="AE209" s="527">
        <f>AE207+AE208</f>
        <v/>
      </c>
      <c r="AF209" s="527">
        <f>AF207+AF208</f>
        <v/>
      </c>
      <c r="AG209" s="527">
        <f>AG207+AG208</f>
        <v/>
      </c>
      <c r="AH209" s="527">
        <f>AH207+AH208</f>
        <v/>
      </c>
      <c r="AI209" s="527">
        <f>AI207+AI208</f>
        <v/>
      </c>
      <c r="AJ209" s="527">
        <f>AJ207+AJ208</f>
        <v/>
      </c>
      <c r="AK209" s="527">
        <f>AK207+AK208</f>
        <v/>
      </c>
      <c r="AL209" s="527">
        <f>AL207+AL208</f>
        <v/>
      </c>
      <c r="AM209" s="527">
        <f>AM207+AM208</f>
        <v/>
      </c>
      <c r="AN209" s="527">
        <f>AN207+AN208</f>
        <v/>
      </c>
      <c r="AO209" s="527">
        <f>AO207+AO208</f>
        <v/>
      </c>
      <c r="AP209" s="527">
        <f>AP207+AP208</f>
        <v/>
      </c>
      <c r="AQ209" s="527">
        <f>AQ207+AQ208</f>
        <v/>
      </c>
      <c r="AR209" s="527">
        <f>AR207+AR208</f>
        <v/>
      </c>
      <c r="AS209" s="527">
        <f>AS207+AS208</f>
        <v/>
      </c>
      <c r="AT209" s="527">
        <f>AT207+AT208</f>
        <v/>
      </c>
      <c r="AU209" s="319" t="n"/>
      <c r="AV209" s="734" t="n"/>
      <c r="AW209" s="734" t="n"/>
      <c r="AX209" s="689" t="n"/>
      <c r="AY209" s="734" t="n"/>
      <c r="AZ209" s="734" t="n"/>
      <c r="BA209" s="734" t="n"/>
      <c r="BB209" s="689" t="n"/>
      <c r="BD209" s="734" t="n"/>
      <c r="BE209" s="734" t="n"/>
      <c r="BF209" s="689" t="n"/>
      <c r="BQ209" s="734" t="n"/>
      <c r="CU209" s="319" t="n"/>
      <c r="CV209" s="735" t="n"/>
      <c r="DU209" s="319" t="n"/>
      <c r="DV209" s="319" t="n"/>
      <c r="DW209" s="319" t="n"/>
      <c r="DY209" s="319" t="n"/>
      <c r="DZ209" s="319" t="n"/>
      <c r="EA209" s="319" t="n"/>
      <c r="EC209" s="319" t="n"/>
      <c r="ED209" s="319" t="n"/>
      <c r="EE209" s="319" t="n"/>
      <c r="EF209" s="319" t="n"/>
      <c r="EJ209" s="319" t="n"/>
      <c r="EK209" s="736" t="n"/>
      <c r="EN209" s="319" t="n"/>
      <c r="EO209" s="526" t="n"/>
      <c r="ES209" s="526" t="n"/>
      <c r="EV209" s="526" t="n"/>
      <c r="EW209" s="526" t="n"/>
      <c r="FA209" s="526" t="n"/>
      <c r="FE209" s="526" t="n"/>
      <c r="FI209" s="526" t="n"/>
      <c r="FM209" s="526" t="n"/>
    </row>
    <row r="210" customFormat="1" s="602">
      <c r="A210" s="686" t="inlineStr">
        <is>
          <t>bs cash</t>
        </is>
      </c>
      <c r="B210" s="527" t="inlineStr">
        <is>
          <t>Liquid Funds</t>
        </is>
      </c>
      <c r="C210" s="270">
        <f>2205.2+4301.9</f>
        <v/>
      </c>
      <c r="D210" s="270">
        <f>4901.7+1826.3</f>
        <v/>
      </c>
      <c r="E210" s="270">
        <f>5381+2868</f>
        <v/>
      </c>
      <c r="F210" s="270">
        <f>4703+1079+3324</f>
        <v/>
      </c>
      <c r="G210" s="270" t="n">
        <v>11200</v>
      </c>
      <c r="H210" s="270" t="n">
        <v>13755</v>
      </c>
      <c r="I210" s="270" t="n">
        <v>14383</v>
      </c>
      <c r="J210" s="270" t="n">
        <v>14975</v>
      </c>
      <c r="K210" s="270" t="n">
        <v>13926</v>
      </c>
      <c r="L210" s="270" t="n">
        <v>20178</v>
      </c>
      <c r="M210" s="270" t="n">
        <v>14327</v>
      </c>
      <c r="N210" s="270" t="n">
        <v>12326</v>
      </c>
      <c r="O210" s="270" t="n">
        <v>11595</v>
      </c>
      <c r="P210" s="270" t="n">
        <v>11040</v>
      </c>
      <c r="Q210" s="270" t="n">
        <v>9764</v>
      </c>
      <c r="R210" s="270" t="n">
        <v>13180</v>
      </c>
      <c r="S210" s="270" t="n">
        <v>15200</v>
      </c>
      <c r="T210" s="270" t="n">
        <v>11474</v>
      </c>
      <c r="U210" s="270" t="n">
        <v>13459</v>
      </c>
      <c r="V210" s="270" t="n">
        <v>15624</v>
      </c>
      <c r="W210" s="270" t="n">
        <v>21649</v>
      </c>
      <c r="X210" s="270" t="n">
        <v>15088</v>
      </c>
      <c r="Y210" s="270" t="n">
        <v>16522</v>
      </c>
      <c r="Z210" s="270" t="n">
        <v>24198</v>
      </c>
      <c r="AA210" s="270" t="n">
        <v>19597</v>
      </c>
      <c r="AB210" s="270" t="n">
        <v>24182</v>
      </c>
      <c r="AC210" s="270" t="n">
        <v>27736</v>
      </c>
      <c r="AD210" s="270" t="n">
        <v>21098</v>
      </c>
      <c r="AE210" s="270" t="n">
        <v>20647</v>
      </c>
      <c r="AF210" s="270" t="n">
        <v>20290</v>
      </c>
      <c r="AG210" s="270" t="n">
        <v>19094</v>
      </c>
      <c r="AH210" s="270" t="n">
        <v>15315</v>
      </c>
      <c r="AI210" s="270" t="n">
        <v>14864</v>
      </c>
      <c r="AJ210" s="270" t="n">
        <v>19341</v>
      </c>
      <c r="AK210" s="270" t="n">
        <v>19284</v>
      </c>
      <c r="AL210" s="270" t="n">
        <v>18277</v>
      </c>
      <c r="AM210" s="270" t="n">
        <v>15530</v>
      </c>
      <c r="AN210" s="270" t="n">
        <v>10534</v>
      </c>
      <c r="AO210" s="615">
        <f>+AO211+AO212</f>
        <v/>
      </c>
      <c r="AP210" s="615">
        <f>+AP211+AP212</f>
        <v/>
      </c>
      <c r="AQ210" s="615">
        <f>+AQ211+AQ212</f>
        <v/>
      </c>
      <c r="AR210" s="615">
        <f>+AR211+AR212</f>
        <v/>
      </c>
      <c r="AS210" s="615">
        <f>+AS211+AS212</f>
        <v/>
      </c>
      <c r="AT210" s="615">
        <f>+AT211+AT212</f>
        <v/>
      </c>
      <c r="AU210" s="687" t="n"/>
      <c r="AV210" s="688" t="n"/>
      <c r="AW210" s="688" t="n"/>
      <c r="AX210" s="689" t="n"/>
      <c r="AY210" s="688" t="n"/>
      <c r="AZ210" s="688" t="n"/>
      <c r="BA210" s="688" t="n"/>
      <c r="BB210" s="690" t="n"/>
      <c r="BD210" s="688" t="n"/>
      <c r="BE210" s="688" t="n"/>
      <c r="BF210" s="690" t="n"/>
      <c r="BQ210" s="688" t="n"/>
      <c r="CU210" s="615" t="n">
        <v>15088</v>
      </c>
      <c r="CV210" s="691" t="n">
        <v>15088</v>
      </c>
      <c r="CW210" s="602" t="n">
        <v>11341</v>
      </c>
      <c r="DU210" s="615" t="n"/>
      <c r="DV210" s="615" t="n"/>
      <c r="DW210" s="615" t="n"/>
      <c r="DY210" s="615" t="n"/>
      <c r="DZ210" s="615" t="n"/>
      <c r="EA210" s="615" t="n"/>
      <c r="EC210" s="615" t="n"/>
      <c r="ED210" s="615" t="n"/>
      <c r="EE210" s="615" t="n"/>
      <c r="EF210" s="615" t="n"/>
      <c r="EJ210" s="615" t="n"/>
      <c r="EK210" s="270" t="n">
        <v>12528</v>
      </c>
      <c r="EN210" s="615" t="n"/>
      <c r="EO210" s="270" t="n">
        <v>7355</v>
      </c>
      <c r="ES210" s="270" t="n">
        <v>23557</v>
      </c>
      <c r="EV210" s="270" t="n"/>
      <c r="EW210" s="270" t="n">
        <v>17289</v>
      </c>
      <c r="FA210" s="270" t="n">
        <v>24099</v>
      </c>
      <c r="FE210" s="270" t="n">
        <v>18839</v>
      </c>
      <c r="FI210" s="270" t="n">
        <v>8912</v>
      </c>
      <c r="FM210" s="270" t="n">
        <v>16228</v>
      </c>
    </row>
    <row r="211" customFormat="1" s="20">
      <c r="A211" s="680" t="n"/>
      <c r="B211" s="565" t="inlineStr">
        <is>
          <t>Cash</t>
        </is>
      </c>
      <c r="G211" s="217" t="n">
        <v>4126</v>
      </c>
      <c r="H211" s="217" t="n">
        <v>1777</v>
      </c>
      <c r="I211" s="217" t="n">
        <v>1662</v>
      </c>
      <c r="J211" s="217" t="n">
        <v>1725</v>
      </c>
      <c r="K211" s="217" t="n">
        <v>1238</v>
      </c>
      <c r="L211" s="217" t="n">
        <v>6223</v>
      </c>
      <c r="M211" s="217" t="n">
        <v>4381</v>
      </c>
      <c r="N211" s="217" t="n">
        <v>2119</v>
      </c>
      <c r="O211" s="217" t="n">
        <v>1786</v>
      </c>
      <c r="P211" s="217" t="n">
        <v>1187</v>
      </c>
      <c r="Q211" s="217" t="n">
        <v>2601</v>
      </c>
      <c r="R211" s="217" t="n">
        <v>3422</v>
      </c>
      <c r="S211" s="217" t="n">
        <v>5649</v>
      </c>
      <c r="T211" s="217" t="n">
        <v>2657</v>
      </c>
      <c r="U211" s="217" t="n">
        <v>4267</v>
      </c>
      <c r="V211" s="217" t="n">
        <v>5767</v>
      </c>
      <c r="W211" s="217" t="n">
        <v>6773</v>
      </c>
      <c r="X211" s="217" t="n">
        <v>7045</v>
      </c>
      <c r="Y211" s="217" t="n">
        <v>10094</v>
      </c>
      <c r="Z211" s="217" t="n">
        <v>8272</v>
      </c>
      <c r="AA211" s="217" t="n">
        <v>9612</v>
      </c>
      <c r="AB211" s="217" t="n">
        <v>12798</v>
      </c>
      <c r="AC211" s="217" t="n">
        <v>12359</v>
      </c>
      <c r="AD211" s="217" t="n">
        <v>10211</v>
      </c>
      <c r="AE211" s="217" t="n">
        <v>7207</v>
      </c>
      <c r="AF211" s="217" t="n">
        <v>9778</v>
      </c>
      <c r="AG211" s="217" t="n">
        <v>6914</v>
      </c>
      <c r="AH211" s="217" t="n">
        <v>7653</v>
      </c>
      <c r="AI211" s="217" t="n">
        <v>8881</v>
      </c>
      <c r="AJ211" s="217" t="n">
        <v>6166</v>
      </c>
      <c r="AK211" s="217" t="n">
        <v>8573</v>
      </c>
      <c r="AL211" s="217" t="n">
        <v>7340</v>
      </c>
      <c r="AM211" s="217" t="n">
        <v>7894</v>
      </c>
      <c r="AN211" s="217" t="n">
        <v>5444</v>
      </c>
      <c r="AO211" s="21">
        <f>AN211+AO204</f>
        <v/>
      </c>
      <c r="AP211" s="21">
        <f>AO211+AP204</f>
        <v/>
      </c>
      <c r="AQ211" s="21">
        <f>AP211+AQ204</f>
        <v/>
      </c>
      <c r="AR211" s="21">
        <f>AQ211+AR204</f>
        <v/>
      </c>
      <c r="AS211" s="21">
        <f>AR211+AS204</f>
        <v/>
      </c>
      <c r="AT211" s="21">
        <f>AS211+AT204</f>
        <v/>
      </c>
      <c r="AU211" s="502" t="n"/>
      <c r="AV211" s="23" t="n"/>
      <c r="AW211" s="23" t="n"/>
      <c r="AX211" s="683" t="n"/>
      <c r="AY211" s="23" t="n"/>
      <c r="AZ211" s="23" t="n"/>
      <c r="BA211" s="23" t="n"/>
      <c r="BB211" s="24" t="n"/>
      <c r="BD211" s="23" t="n"/>
      <c r="BE211" s="23" t="n"/>
      <c r="BF211" s="24" t="n"/>
      <c r="BQ211" s="23" t="n"/>
      <c r="CU211" s="21" t="n"/>
      <c r="CV211" s="685" t="n"/>
      <c r="DU211" s="21" t="n"/>
      <c r="DV211" s="21" t="n"/>
      <c r="DW211" s="21" t="n"/>
      <c r="DY211" s="21" t="n"/>
      <c r="DZ211" s="21" t="n"/>
      <c r="EA211" s="21" t="n"/>
      <c r="EC211" s="21" t="n"/>
      <c r="ED211" s="21" t="n"/>
      <c r="EE211" s="21" t="n"/>
      <c r="EF211" s="21" t="n"/>
      <c r="EJ211" s="21" t="n"/>
      <c r="EK211" s="217" t="n">
        <v>5022</v>
      </c>
      <c r="EN211" s="21" t="n"/>
      <c r="EO211" s="217" t="n">
        <v>6124</v>
      </c>
      <c r="ES211" s="217" t="n">
        <v>9230</v>
      </c>
      <c r="EV211" s="217" t="n"/>
      <c r="EW211" s="217" t="n">
        <v>6300</v>
      </c>
      <c r="FA211" s="217" t="n">
        <v>10517</v>
      </c>
      <c r="FE211" s="217" t="n">
        <v>9621</v>
      </c>
      <c r="FI211" s="217" t="n">
        <v>3321</v>
      </c>
      <c r="FM211" s="217" t="n">
        <v>6860</v>
      </c>
    </row>
    <row r="212" customFormat="1" s="20">
      <c r="A212" s="680" t="n"/>
      <c r="B212" s="565" t="inlineStr">
        <is>
          <t>Other liquid funds</t>
        </is>
      </c>
      <c r="G212" s="665">
        <f>G210-G211</f>
        <v/>
      </c>
      <c r="H212" s="665">
        <f>H210-H211</f>
        <v/>
      </c>
      <c r="I212" s="665">
        <f>I210-I211</f>
        <v/>
      </c>
      <c r="J212" s="665">
        <f>J210-J211</f>
        <v/>
      </c>
      <c r="K212" s="665">
        <f>K210-K211</f>
        <v/>
      </c>
      <c r="L212" s="665">
        <f>L210-L211</f>
        <v/>
      </c>
      <c r="M212" s="665">
        <f>M210-M211</f>
        <v/>
      </c>
      <c r="N212" s="665">
        <f>N210-N211</f>
        <v/>
      </c>
      <c r="O212" s="665">
        <f>O210-O211</f>
        <v/>
      </c>
      <c r="P212" s="20">
        <f>P210-P211</f>
        <v/>
      </c>
      <c r="Q212" s="20">
        <f>Q210-Q211</f>
        <v/>
      </c>
      <c r="R212" s="20">
        <f>R210-R211</f>
        <v/>
      </c>
      <c r="S212" s="20">
        <f>S210-S211</f>
        <v/>
      </c>
      <c r="T212" s="20">
        <f>T210-T211</f>
        <v/>
      </c>
      <c r="U212" s="20">
        <f>U210-U211</f>
        <v/>
      </c>
      <c r="V212" s="665">
        <f>V210-V211</f>
        <v/>
      </c>
      <c r="W212" s="20">
        <f>W210-W211</f>
        <v/>
      </c>
      <c r="X212" s="20">
        <f>X210-X211</f>
        <v/>
      </c>
      <c r="Y212" s="20">
        <f>Y210-Y211</f>
        <v/>
      </c>
      <c r="Z212" s="20">
        <f>Z210-Z211</f>
        <v/>
      </c>
      <c r="AA212" s="20">
        <f>AA210-AA211</f>
        <v/>
      </c>
      <c r="AB212" s="20">
        <f>AB210-AB211</f>
        <v/>
      </c>
      <c r="AC212" s="20">
        <f>AC210-AC211</f>
        <v/>
      </c>
      <c r="AD212" s="20">
        <f>AD210-AD211</f>
        <v/>
      </c>
      <c r="AE212" s="20">
        <f>AE210-AE211</f>
        <v/>
      </c>
      <c r="AF212" s="20">
        <f>AF210-AF211</f>
        <v/>
      </c>
      <c r="AG212" s="20">
        <f>AG210-AG211</f>
        <v/>
      </c>
      <c r="AH212" s="20">
        <f>AH210-AH211</f>
        <v/>
      </c>
      <c r="AI212" s="20">
        <f>AI210-AI211</f>
        <v/>
      </c>
      <c r="AJ212" s="20">
        <f>AJ210-AJ211</f>
        <v/>
      </c>
      <c r="AK212" s="20">
        <f>AK210-AK211</f>
        <v/>
      </c>
      <c r="AL212" s="20">
        <f>AL210-AL211</f>
        <v/>
      </c>
      <c r="AM212" s="20">
        <f>AM210-AM211</f>
        <v/>
      </c>
      <c r="AN212" s="20">
        <f>AN210-AN211</f>
        <v/>
      </c>
      <c r="AO212" s="21">
        <f>AN212</f>
        <v/>
      </c>
      <c r="AP212" s="21">
        <f>AO212</f>
        <v/>
      </c>
      <c r="AQ212" s="21">
        <f>AP212</f>
        <v/>
      </c>
      <c r="AR212" s="21">
        <f>AQ212</f>
        <v/>
      </c>
      <c r="AS212" s="21">
        <f>AR212</f>
        <v/>
      </c>
      <c r="AT212" s="21">
        <f>AS212</f>
        <v/>
      </c>
      <c r="AU212" s="502" t="n"/>
      <c r="AV212" s="23" t="n"/>
      <c r="AW212" s="23" t="n"/>
      <c r="AX212" s="683" t="n"/>
      <c r="AY212" s="23" t="n"/>
      <c r="AZ212" s="23" t="n"/>
      <c r="BA212" s="23" t="n"/>
      <c r="BB212" s="24" t="n"/>
      <c r="BD212" s="23" t="n"/>
      <c r="BE212" s="23" t="n"/>
      <c r="BF212" s="24" t="n"/>
      <c r="BQ212" s="23" t="n"/>
      <c r="CU212" s="21" t="n"/>
      <c r="CV212" s="685" t="n"/>
      <c r="DU212" s="21" t="n"/>
      <c r="DV212" s="21" t="n"/>
      <c r="DW212" s="21" t="n"/>
      <c r="DY212" s="21" t="n"/>
      <c r="DZ212" s="21" t="n"/>
      <c r="EA212" s="21" t="n"/>
      <c r="EC212" s="21" t="n"/>
      <c r="ED212" s="21" t="n"/>
      <c r="EE212" s="21" t="n"/>
      <c r="EF212" s="21" t="n"/>
      <c r="EJ212" s="21" t="n"/>
      <c r="EK212" s="20">
        <f>EK210-EK211</f>
        <v/>
      </c>
      <c r="EN212" s="21" t="n"/>
      <c r="EO212" s="20">
        <f>EO210-EO211</f>
        <v/>
      </c>
      <c r="ES212" s="20">
        <f>ES210-ES211</f>
        <v/>
      </c>
      <c r="EV212" s="217" t="n"/>
      <c r="EW212" s="20">
        <f>EW210-EW211</f>
        <v/>
      </c>
      <c r="FA212" s="20">
        <f>FA210-FA211</f>
        <v/>
      </c>
      <c r="FE212" s="20">
        <f>FE210-FE211</f>
        <v/>
      </c>
      <c r="FI212" s="20">
        <f>FI210-FI211</f>
        <v/>
      </c>
      <c r="FM212" s="20">
        <f>FM210-FM211</f>
        <v/>
      </c>
    </row>
    <row r="213" customFormat="1" s="224">
      <c r="A213" s="680" t="inlineStr">
        <is>
          <t>bs net debt</t>
        </is>
      </c>
      <c r="B213" s="224" t="inlineStr">
        <is>
          <t>Net debt</t>
        </is>
      </c>
      <c r="C213" s="224">
        <f>C207+C208-C210</f>
        <v/>
      </c>
      <c r="D213" s="224">
        <f>D207+D208-D210</f>
        <v/>
      </c>
      <c r="E213" s="224">
        <f>E207+E208-E210</f>
        <v/>
      </c>
      <c r="F213" s="224">
        <f>F207+F208-F210</f>
        <v/>
      </c>
      <c r="G213" s="224">
        <f>G207+G208-G210</f>
        <v/>
      </c>
      <c r="H213" s="224">
        <f>H207+H208-H210</f>
        <v/>
      </c>
      <c r="I213" s="224">
        <f>I207+I208-I210</f>
        <v/>
      </c>
      <c r="J213" s="224">
        <f>J207+J208-J210</f>
        <v/>
      </c>
      <c r="K213" s="224">
        <f>K207+K208-K210</f>
        <v/>
      </c>
      <c r="L213" s="125">
        <f>L207+L208-L210</f>
        <v/>
      </c>
      <c r="M213" s="125">
        <f>M207+M208-M210</f>
        <v/>
      </c>
      <c r="N213" s="125">
        <f>N207+N208-N210</f>
        <v/>
      </c>
      <c r="O213" s="125">
        <f>O207+O208-O210</f>
        <v/>
      </c>
      <c r="P213" s="125">
        <f>P207+P208-P210</f>
        <v/>
      </c>
      <c r="Q213" s="125">
        <f>Q207+Q208-Q210</f>
        <v/>
      </c>
      <c r="R213" s="125">
        <f>R207+R208-R210</f>
        <v/>
      </c>
      <c r="S213" s="125">
        <f>S207+S208-S210</f>
        <v/>
      </c>
      <c r="T213" s="125">
        <f>T207+T208-T210</f>
        <v/>
      </c>
      <c r="U213" s="125">
        <f>U207+U208-U210</f>
        <v/>
      </c>
      <c r="V213" s="125">
        <f>V207+V208-V210</f>
        <v/>
      </c>
      <c r="W213" s="125">
        <f>W207+W208-W210</f>
        <v/>
      </c>
      <c r="X213" s="125">
        <f>X207+X208-X210</f>
        <v/>
      </c>
      <c r="Y213" s="125">
        <f>Y207+Y208-Y210</f>
        <v/>
      </c>
      <c r="Z213" s="125">
        <f>Z207+Z208-Z210</f>
        <v/>
      </c>
      <c r="AA213" s="125">
        <f>AA207+AA208-AA210</f>
        <v/>
      </c>
      <c r="AB213" s="125">
        <f>AB207+AB208-AB210</f>
        <v/>
      </c>
      <c r="AC213" s="125">
        <f>AC207+AC208-AC210</f>
        <v/>
      </c>
      <c r="AD213" s="125">
        <f>AD207+AD208-AD210</f>
        <v/>
      </c>
      <c r="AE213" s="125">
        <f>AE207+AE208-AE210</f>
        <v/>
      </c>
      <c r="AF213" s="125">
        <f>AF207+AF208-AF210</f>
        <v/>
      </c>
      <c r="AG213" s="125">
        <f>AG207+AG208-AG210</f>
        <v/>
      </c>
      <c r="AH213" s="125">
        <f>AH207+AH208-AH210</f>
        <v/>
      </c>
      <c r="AI213" s="125">
        <f>AI207+AI208-AI210</f>
        <v/>
      </c>
      <c r="AJ213" s="125">
        <f>AJ207+AJ208-AJ210</f>
        <v/>
      </c>
      <c r="AK213" s="125">
        <f>AK207+AK208-AK210</f>
        <v/>
      </c>
      <c r="AL213" s="125">
        <f>AL207+AL208-AL210</f>
        <v/>
      </c>
      <c r="AM213" s="125">
        <f>AM207+AM208-AM210</f>
        <v/>
      </c>
      <c r="AN213" s="125">
        <f>AN207+AN208-AN210</f>
        <v/>
      </c>
      <c r="AO213" s="125">
        <f>AO207+AO208-AO210</f>
        <v/>
      </c>
      <c r="AP213" s="125">
        <f>AP207+AP208-AP210</f>
        <v/>
      </c>
      <c r="AQ213" s="125">
        <f>AQ207+AQ208-AQ210</f>
        <v/>
      </c>
      <c r="AR213" s="125">
        <f>AR207+AR208-AR210</f>
        <v/>
      </c>
      <c r="AS213" s="125">
        <f>AS207+AS208-AS210</f>
        <v/>
      </c>
      <c r="AT213" s="125">
        <f>AT207+AT208-AT210</f>
        <v/>
      </c>
      <c r="AV213" s="267" t="n"/>
      <c r="AW213" s="111" t="n"/>
      <c r="AX213" s="681" t="n"/>
      <c r="AY213" s="111" t="n"/>
      <c r="AZ213" s="111" t="n"/>
      <c r="BA213" s="111" t="n"/>
      <c r="BB213" s="681" t="n"/>
      <c r="BD213" s="111" t="n"/>
      <c r="BE213" s="111" t="n"/>
      <c r="BF213" s="681" t="n"/>
      <c r="BQ213" s="111" t="n"/>
      <c r="CU213" s="125">
        <f>CU207+CU208-CU210</f>
        <v/>
      </c>
      <c r="CV213" s="682">
        <f>CV207+CV208-CV210</f>
        <v/>
      </c>
      <c r="CW213" s="125">
        <f>CW207+CW208-CW210</f>
        <v/>
      </c>
      <c r="DU213" s="125" t="n"/>
      <c r="DV213" s="125" t="n"/>
      <c r="DW213" s="125" t="n"/>
      <c r="DY213" s="125" t="n"/>
      <c r="DZ213" s="125" t="n"/>
      <c r="EA213" s="125" t="n"/>
      <c r="EC213" s="125" t="n"/>
      <c r="ED213" s="125" t="n"/>
      <c r="EE213" s="125" t="n"/>
      <c r="EF213" s="125" t="n"/>
      <c r="EH213" s="20" t="n"/>
      <c r="EI213" s="20" t="n"/>
      <c r="EJ213" s="125" t="n"/>
      <c r="EK213" s="125">
        <f>EK207+EK208-EK210</f>
        <v/>
      </c>
      <c r="EL213" s="20" t="n"/>
      <c r="EM213" s="20" t="n"/>
      <c r="EN213" s="125" t="n"/>
      <c r="EO213" s="125">
        <f>EO207+EO208-EO210</f>
        <v/>
      </c>
      <c r="EP213" s="20" t="n"/>
      <c r="EQ213" s="20" t="n"/>
      <c r="ER213" s="20" t="n"/>
      <c r="ES213" s="125">
        <f>ES207+ES208-ES210</f>
        <v/>
      </c>
      <c r="EU213" s="20" t="n"/>
      <c r="EV213" s="125" t="n"/>
      <c r="EW213" s="125">
        <f>EW207+EW208-EW210</f>
        <v/>
      </c>
      <c r="EY213" s="20" t="n"/>
      <c r="FA213" s="125">
        <f>FA207+FA208-FA210</f>
        <v/>
      </c>
      <c r="FC213" s="20" t="n"/>
      <c r="FE213" s="125">
        <f>FE207+FE208-FE210</f>
        <v/>
      </c>
      <c r="FG213" s="20" t="n"/>
      <c r="FI213" s="125">
        <f>FI207+FI208-FI210</f>
        <v/>
      </c>
      <c r="FM213" s="125">
        <f>FM207+FM208-FM210</f>
        <v/>
      </c>
    </row>
    <row r="214" customFormat="1" s="194">
      <c r="A214" s="680" t="inlineStr">
        <is>
          <t>bs lease</t>
        </is>
      </c>
      <c r="B214" s="194" t="inlineStr">
        <is>
          <t>Notional off-balance sheet debt</t>
        </is>
      </c>
      <c r="C214" s="120">
        <f>C128*7</f>
        <v/>
      </c>
      <c r="D214" s="120">
        <f>D128*7</f>
        <v/>
      </c>
      <c r="E214" s="120">
        <f>E128*7</f>
        <v/>
      </c>
      <c r="F214" s="120">
        <f>F128*7</f>
        <v/>
      </c>
      <c r="G214" s="120">
        <f>G128*7</f>
        <v/>
      </c>
      <c r="H214" s="120">
        <f>H128*7</f>
        <v/>
      </c>
      <c r="I214" s="120">
        <f>I128*7</f>
        <v/>
      </c>
      <c r="J214" s="120">
        <f>J128*7</f>
        <v/>
      </c>
      <c r="K214" s="120">
        <f>K128*7</f>
        <v/>
      </c>
      <c r="L214" s="120">
        <f>L128*7</f>
        <v/>
      </c>
      <c r="M214" s="120">
        <f>M128*7</f>
        <v/>
      </c>
      <c r="N214" s="120">
        <f>N128*7</f>
        <v/>
      </c>
      <c r="O214" s="120">
        <f>O128*7</f>
        <v/>
      </c>
      <c r="P214" s="120">
        <f>P128*7</f>
        <v/>
      </c>
      <c r="Q214" s="120">
        <f>Q128*7</f>
        <v/>
      </c>
      <c r="R214" s="120">
        <f>R128*7</f>
        <v/>
      </c>
      <c r="S214" s="120">
        <f>S128*7</f>
        <v/>
      </c>
      <c r="T214" s="120">
        <f>T128*7</f>
        <v/>
      </c>
      <c r="U214" s="120">
        <f>U128*7</f>
        <v/>
      </c>
      <c r="V214" s="120">
        <f>V128*7</f>
        <v/>
      </c>
      <c r="W214" s="237">
        <f>W128*7</f>
        <v/>
      </c>
      <c r="X214" s="237">
        <f>X128*7</f>
        <v/>
      </c>
      <c r="Y214" s="237">
        <f>Y128*7</f>
        <v/>
      </c>
      <c r="Z214" s="237">
        <f>Z128*7</f>
        <v/>
      </c>
      <c r="AA214" s="237">
        <f>AA128*7</f>
        <v/>
      </c>
      <c r="AB214" s="237">
        <f>AB128*7</f>
        <v/>
      </c>
      <c r="AC214" s="237">
        <f>AC128*7</f>
        <v/>
      </c>
      <c r="AD214" s="120">
        <f>AD128*7</f>
        <v/>
      </c>
      <c r="AE214" s="120">
        <f>AE128*7</f>
        <v/>
      </c>
      <c r="AF214" s="120">
        <f>AF128*7</f>
        <v/>
      </c>
      <c r="AG214" s="120">
        <f>AG128*7</f>
        <v/>
      </c>
      <c r="AH214" s="120">
        <f>AH128*7</f>
        <v/>
      </c>
      <c r="AI214" s="120" t="n"/>
      <c r="AJ214" s="120" t="n"/>
      <c r="AK214" s="120" t="n"/>
      <c r="AL214" s="120" t="n"/>
      <c r="AM214" s="120" t="n"/>
      <c r="AN214" s="120" t="n"/>
      <c r="AO214" s="120" t="n"/>
      <c r="AP214" s="120" t="n"/>
      <c r="AQ214" s="120" t="n"/>
      <c r="AR214" s="120" t="n"/>
      <c r="AS214" s="120" t="n"/>
      <c r="AT214" s="120" t="n"/>
      <c r="AU214" s="120" t="n"/>
      <c r="AV214" s="120" t="n"/>
      <c r="AW214" s="43" t="n"/>
      <c r="AX214" s="683" t="n"/>
      <c r="AY214" s="625" t="n"/>
      <c r="AZ214" s="43" t="n"/>
      <c r="BA214" s="43" t="n"/>
      <c r="BB214" s="683" t="n"/>
      <c r="BD214" s="43" t="n"/>
      <c r="BE214" s="43" t="n"/>
      <c r="BF214" s="683" t="n"/>
      <c r="BQ214" s="43" t="n"/>
      <c r="CU214" s="120">
        <f>CU128*7</f>
        <v/>
      </c>
      <c r="CV214" s="684">
        <f>CU214</f>
        <v/>
      </c>
      <c r="CW214" s="194">
        <f>CY128*7</f>
        <v/>
      </c>
      <c r="DU214" s="120" t="n"/>
      <c r="DV214" s="120" t="n"/>
      <c r="DW214" s="120" t="n"/>
      <c r="DY214" s="120" t="n"/>
      <c r="DZ214" s="120" t="n"/>
      <c r="EA214" s="120" t="n"/>
      <c r="EC214" s="120" t="n"/>
      <c r="ED214" s="120" t="n"/>
      <c r="EE214" s="120" t="n"/>
      <c r="EF214" s="120" t="n"/>
      <c r="EH214" s="224" t="n"/>
      <c r="EI214" s="224" t="n"/>
      <c r="EJ214" s="120" t="n"/>
      <c r="EK214" s="120">
        <f>EK128*7</f>
        <v/>
      </c>
      <c r="EL214" s="224" t="n"/>
      <c r="EM214" s="224" t="n"/>
      <c r="EN214" s="120" t="n"/>
      <c r="EO214" s="120">
        <f>EO128*7</f>
        <v/>
      </c>
      <c r="EP214" s="224" t="n"/>
      <c r="EQ214" s="224" t="n"/>
      <c r="ER214" s="224" t="n"/>
      <c r="ES214" s="120" t="n"/>
      <c r="EU214" s="224" t="n"/>
      <c r="EV214" s="120" t="n"/>
      <c r="EW214" s="120" t="n"/>
      <c r="EY214" s="224" t="n"/>
      <c r="FA214" s="120" t="n"/>
      <c r="FC214" s="224" t="n"/>
      <c r="FE214" s="120" t="n"/>
      <c r="FG214" s="224" t="n"/>
      <c r="FI214" s="1193" t="n"/>
      <c r="FM214" s="1193" t="n"/>
    </row>
    <row r="215" customFormat="1" s="266">
      <c r="A215" s="692" t="inlineStr">
        <is>
          <t>bs equity</t>
        </is>
      </c>
      <c r="B215" s="527" t="inlineStr">
        <is>
          <t>Total Equity</t>
        </is>
      </c>
      <c r="C215" s="270">
        <f>4266.3+6.7</f>
        <v/>
      </c>
      <c r="D215" s="270">
        <f>6058.8+8.8</f>
        <v/>
      </c>
      <c r="E215" s="270">
        <f>8176+9</f>
        <v/>
      </c>
      <c r="F215" s="270">
        <f>9792+32</f>
        <v/>
      </c>
      <c r="G215" s="270">
        <f>11525+40</f>
        <v/>
      </c>
      <c r="H215" s="270">
        <f>13320+45</f>
        <v/>
      </c>
      <c r="I215" s="270">
        <f>14410+33</f>
        <v/>
      </c>
      <c r="J215" s="270">
        <f>15454+88</f>
        <v/>
      </c>
      <c r="K215" s="270">
        <f>17064+99</f>
        <v/>
      </c>
      <c r="L215" s="270">
        <f>25325+78</f>
        <v/>
      </c>
      <c r="M215" s="270">
        <f>25606+104</f>
        <v/>
      </c>
      <c r="N215" s="270" t="n">
        <v>25903</v>
      </c>
      <c r="O215" s="270" t="n">
        <v>27301</v>
      </c>
      <c r="P215" s="270" t="n">
        <v>32931</v>
      </c>
      <c r="Q215" s="270" t="n">
        <v>31401</v>
      </c>
      <c r="R215" s="270" t="n">
        <v>32186</v>
      </c>
      <c r="S215" s="270" t="n">
        <v>31156</v>
      </c>
      <c r="T215" s="270" t="n">
        <v>32989</v>
      </c>
      <c r="U215" s="270" t="n">
        <v>35251</v>
      </c>
      <c r="V215" s="270" t="n">
        <v>45538</v>
      </c>
      <c r="W215" s="270" t="n">
        <v>49249</v>
      </c>
      <c r="X215" s="270" t="n">
        <v>36829</v>
      </c>
      <c r="Y215" s="270" t="n">
        <v>42385</v>
      </c>
      <c r="Z215" s="270" t="n">
        <v>54429</v>
      </c>
      <c r="AA215" s="270" t="n">
        <v>54768</v>
      </c>
      <c r="AB215" s="270" t="n">
        <v>56138</v>
      </c>
      <c r="AC215" s="270" t="n">
        <v>63013</v>
      </c>
      <c r="AD215" s="270" t="n">
        <v>51853</v>
      </c>
      <c r="AE215" s="270" t="n">
        <v>48067</v>
      </c>
      <c r="AF215" s="270" t="n">
        <v>55526</v>
      </c>
      <c r="AG215" s="270" t="n">
        <v>61272</v>
      </c>
      <c r="AH215" s="270" t="n">
        <v>63939</v>
      </c>
      <c r="AI215" s="270" t="n">
        <v>62776</v>
      </c>
      <c r="AJ215" s="270" t="n">
        <v>73261</v>
      </c>
      <c r="AK215" s="270" t="n">
        <v>72249</v>
      </c>
      <c r="AL215" s="270" t="n">
        <v>63809</v>
      </c>
      <c r="AM215" s="270" t="n">
        <v>60033</v>
      </c>
      <c r="AN215" s="270" t="n">
        <v>52507</v>
      </c>
      <c r="AO215" s="527">
        <f>+AO217+AO216</f>
        <v/>
      </c>
      <c r="AP215" s="527">
        <f>+AP217+AP216</f>
        <v/>
      </c>
      <c r="AQ215" s="527">
        <f>+AQ217+AQ216</f>
        <v/>
      </c>
      <c r="AR215" s="527">
        <f>+AR217+AR216</f>
        <v/>
      </c>
      <c r="AS215" s="527">
        <f>+AS217+AS216</f>
        <v/>
      </c>
      <c r="AT215" s="527">
        <f>+AT217+AT216</f>
        <v/>
      </c>
      <c r="AU215" s="694" t="n"/>
      <c r="AV215" s="694" t="n"/>
      <c r="AW215" s="694" t="n"/>
      <c r="AX215" s="695" t="n"/>
      <c r="AY215" s="696" t="n"/>
      <c r="AZ215" s="696" t="n"/>
      <c r="BA215" s="696" t="n"/>
      <c r="BB215" s="696" t="n"/>
      <c r="BD215" s="696" t="n"/>
      <c r="BE215" s="696" t="n"/>
      <c r="BF215" s="696" t="n"/>
      <c r="BQ215" s="696" t="n"/>
      <c r="CU215" s="697" t="n">
        <v>38325</v>
      </c>
      <c r="CV215" s="698" t="n">
        <v>36709</v>
      </c>
      <c r="CW215" s="266" t="n">
        <v>37755</v>
      </c>
      <c r="EH215" s="194" t="n"/>
      <c r="EI215" s="194" t="n"/>
      <c r="EK215" s="270" t="n">
        <v>62569</v>
      </c>
      <c r="EL215" s="194" t="n"/>
      <c r="EM215" s="194" t="n"/>
      <c r="EO215" s="270" t="n">
        <v>49375</v>
      </c>
      <c r="EP215" s="194" t="n"/>
      <c r="EQ215" s="194" t="n"/>
      <c r="ER215" s="194" t="n"/>
      <c r="ES215" s="270" t="n">
        <v>69887</v>
      </c>
      <c r="EU215" s="194" t="n"/>
      <c r="EV215" s="270" t="n"/>
      <c r="EW215" s="270" t="n">
        <v>68442</v>
      </c>
      <c r="EY215" s="194" t="n"/>
      <c r="FA215" s="270" t="n">
        <v>64496</v>
      </c>
      <c r="FC215" s="194" t="n"/>
      <c r="FE215" s="270" t="n">
        <v>61413</v>
      </c>
      <c r="FG215" s="194" t="n"/>
      <c r="FI215" s="270" t="n">
        <v>51661</v>
      </c>
      <c r="FM215" s="270" t="n">
        <v>58026</v>
      </c>
    </row>
    <row r="216" customFormat="1" s="194">
      <c r="A216" s="680" t="n"/>
      <c r="B216" s="699" t="inlineStr">
        <is>
          <t>Non-Controlling Interest</t>
        </is>
      </c>
      <c r="C216" s="655" t="n">
        <v>6.7</v>
      </c>
      <c r="D216" s="655" t="n">
        <v>8.800000000000001</v>
      </c>
      <c r="E216" s="655" t="n">
        <v>9</v>
      </c>
      <c r="F216" s="655" t="n">
        <v>32</v>
      </c>
      <c r="G216" s="655" t="n">
        <v>40</v>
      </c>
      <c r="H216" s="655" t="n">
        <v>45</v>
      </c>
      <c r="I216" s="655" t="n">
        <v>33</v>
      </c>
      <c r="J216" s="655" t="n">
        <v>88</v>
      </c>
      <c r="K216" s="655" t="n">
        <v>99</v>
      </c>
      <c r="L216" s="655" t="n">
        <v>78</v>
      </c>
      <c r="M216" s="655" t="n">
        <v>104</v>
      </c>
      <c r="N216" s="655" t="n">
        <v>108</v>
      </c>
      <c r="O216" s="655" t="n">
        <v>86</v>
      </c>
      <c r="P216" s="655" t="n">
        <v>99</v>
      </c>
      <c r="Q216" s="655" t="n">
        <v>93</v>
      </c>
      <c r="R216" s="655" t="n">
        <v>71</v>
      </c>
      <c r="S216" s="655" t="n">
        <v>104</v>
      </c>
      <c r="T216" s="655" t="n">
        <v>134</v>
      </c>
      <c r="U216" s="655" t="n">
        <v>283</v>
      </c>
      <c r="V216" s="655" t="n">
        <v>152</v>
      </c>
      <c r="W216" s="655" t="n">
        <v>178</v>
      </c>
      <c r="X216" s="655" t="n">
        <v>120</v>
      </c>
      <c r="Y216" s="655" t="n">
        <v>147</v>
      </c>
      <c r="Z216" s="655" t="n">
        <v>155</v>
      </c>
      <c r="AA216" s="655" t="n">
        <v>135</v>
      </c>
      <c r="AB216" s="655" t="n">
        <v>117</v>
      </c>
      <c r="AC216" s="655" t="n">
        <v>125</v>
      </c>
      <c r="AD216" s="655" t="n">
        <v>131</v>
      </c>
      <c r="AE216" s="655" t="n">
        <v>140</v>
      </c>
      <c r="AF216" s="655" t="n">
        <v>161</v>
      </c>
      <c r="AG216" s="655" t="n">
        <v>171</v>
      </c>
      <c r="AH216" s="655" t="n">
        <v>3</v>
      </c>
      <c r="AI216" s="655" t="n">
        <v>3</v>
      </c>
      <c r="AJ216" s="655" t="n">
        <v>4</v>
      </c>
      <c r="AK216" s="655" t="n">
        <v>5</v>
      </c>
      <c r="AL216" s="655" t="n">
        <v>6</v>
      </c>
      <c r="AM216" s="655" t="n">
        <v>7</v>
      </c>
      <c r="AN216" s="655" t="n">
        <v>7</v>
      </c>
      <c r="AO216" s="120">
        <f>AN216+AO158</f>
        <v/>
      </c>
      <c r="AP216" s="120">
        <f>AO216+AP158</f>
        <v/>
      </c>
      <c r="AQ216" s="120">
        <f>AP216+AQ158</f>
        <v/>
      </c>
      <c r="AR216" s="120">
        <f>AQ216+AR158</f>
        <v/>
      </c>
      <c r="AS216" s="120">
        <f>AR216+AS158</f>
        <v/>
      </c>
      <c r="AT216" s="120">
        <f>AS216+AT158</f>
        <v/>
      </c>
      <c r="AU216" s="120" t="n"/>
      <c r="AV216" s="120" t="n"/>
      <c r="AW216" s="43" t="n"/>
      <c r="AX216" s="683" t="n"/>
      <c r="AY216" s="625" t="n"/>
      <c r="AZ216" s="43" t="n"/>
      <c r="BA216" s="43" t="n"/>
      <c r="BB216" s="683" t="n"/>
      <c r="BD216" s="43" t="n"/>
      <c r="BE216" s="43" t="n"/>
      <c r="BF216" s="683" t="n"/>
      <c r="BQ216" s="43" t="n"/>
      <c r="CU216" s="120" t="n"/>
      <c r="CV216" s="684" t="n"/>
      <c r="DU216" s="120" t="n"/>
      <c r="DV216" s="120" t="n"/>
      <c r="DW216" s="120" t="n"/>
      <c r="DY216" s="120" t="n"/>
      <c r="DZ216" s="120" t="n"/>
      <c r="EA216" s="120" t="n"/>
      <c r="EC216" s="120" t="n"/>
      <c r="ED216" s="120" t="n"/>
      <c r="EE216" s="120" t="n"/>
      <c r="EF216" s="120" t="n"/>
      <c r="EH216" s="224" t="n"/>
      <c r="EI216" s="224" t="n"/>
      <c r="EJ216" s="120" t="n"/>
      <c r="EK216" s="120" t="n"/>
      <c r="EL216" s="224" t="n"/>
      <c r="EM216" s="224" t="n"/>
      <c r="EN216" s="120" t="n"/>
      <c r="EO216" s="120" t="n"/>
      <c r="EP216" s="224" t="n"/>
      <c r="EQ216" s="224" t="n"/>
      <c r="ER216" s="224" t="n"/>
      <c r="ES216" s="120" t="n"/>
      <c r="EU216" s="224" t="n"/>
      <c r="EV216" s="120" t="n"/>
      <c r="EW216" s="120" t="n"/>
      <c r="EY216" s="224" t="n"/>
      <c r="FA216" s="120" t="n"/>
      <c r="FC216" s="224" t="n"/>
      <c r="FE216" s="120" t="n"/>
      <c r="FG216" s="224" t="n"/>
      <c r="FI216" s="1193" t="n"/>
      <c r="FM216" s="1193" t="n"/>
    </row>
    <row r="217" customFormat="1" s="194">
      <c r="A217" s="680" t="n"/>
      <c r="B217" s="699" t="inlineStr">
        <is>
          <t>Shareholder Equity</t>
        </is>
      </c>
      <c r="C217" s="120">
        <f>C215-C216</f>
        <v/>
      </c>
      <c r="D217" s="120">
        <f>D215-D216</f>
        <v/>
      </c>
      <c r="E217" s="120">
        <f>E215-E216</f>
        <v/>
      </c>
      <c r="F217" s="120">
        <f>F215-F216</f>
        <v/>
      </c>
      <c r="G217" s="120">
        <f>G215-G216</f>
        <v/>
      </c>
      <c r="H217" s="120">
        <f>H215-H216</f>
        <v/>
      </c>
      <c r="I217" s="120">
        <f>I215-I216</f>
        <v/>
      </c>
      <c r="J217" s="120">
        <f>J215-J216</f>
        <v/>
      </c>
      <c r="K217" s="120">
        <f>K215-K216</f>
        <v/>
      </c>
      <c r="L217" s="120">
        <f>L215-L216</f>
        <v/>
      </c>
      <c r="M217" s="120">
        <f>M215-M216</f>
        <v/>
      </c>
      <c r="N217" s="120">
        <f>N215-N216</f>
        <v/>
      </c>
      <c r="O217" s="120">
        <f>O215-O216</f>
        <v/>
      </c>
      <c r="P217" s="120">
        <f>P215-P216</f>
        <v/>
      </c>
      <c r="Q217" s="120">
        <f>Q215-Q216</f>
        <v/>
      </c>
      <c r="R217" s="120">
        <f>R215-R216</f>
        <v/>
      </c>
      <c r="S217" s="120">
        <f>S215-S216</f>
        <v/>
      </c>
      <c r="T217" s="120">
        <f>T215-T216</f>
        <v/>
      </c>
      <c r="U217" s="120">
        <f>U215-U216</f>
        <v/>
      </c>
      <c r="V217" s="120">
        <f>V215-V216</f>
        <v/>
      </c>
      <c r="W217" s="120">
        <f>W215-W216</f>
        <v/>
      </c>
      <c r="X217" s="120">
        <f>X215-X216</f>
        <v/>
      </c>
      <c r="Y217" s="120">
        <f>Y215-Y216</f>
        <v/>
      </c>
      <c r="Z217" s="120">
        <f>Z215-Z216</f>
        <v/>
      </c>
      <c r="AA217" s="120">
        <f>AA215-AA216</f>
        <v/>
      </c>
      <c r="AB217" s="120">
        <f>AB215-AB216</f>
        <v/>
      </c>
      <c r="AC217" s="120">
        <f>AC215-AC216</f>
        <v/>
      </c>
      <c r="AD217" s="120">
        <f>AD215-AD216</f>
        <v/>
      </c>
      <c r="AE217" s="120">
        <f>AE215-AE216</f>
        <v/>
      </c>
      <c r="AF217" s="120">
        <f>AF215-AF216</f>
        <v/>
      </c>
      <c r="AG217" s="120">
        <f>AG215-AG216</f>
        <v/>
      </c>
      <c r="AH217" s="120">
        <f>AH215-AH216</f>
        <v/>
      </c>
      <c r="AI217" s="120">
        <f>AI215-AI216</f>
        <v/>
      </c>
      <c r="AJ217" s="120">
        <f>AJ215-AJ216</f>
        <v/>
      </c>
      <c r="AK217" s="120">
        <f>AK215-AK216</f>
        <v/>
      </c>
      <c r="AL217" s="120">
        <f>AL215-AL216</f>
        <v/>
      </c>
      <c r="AM217" s="120">
        <f>AM215-AM216</f>
        <v/>
      </c>
      <c r="AN217" s="120">
        <f>AN215-AN216</f>
        <v/>
      </c>
      <c r="AO217" s="120">
        <f>AN217+AO198+AO159+AO188</f>
        <v/>
      </c>
      <c r="AP217" s="120">
        <f>AO217+AP198+AP159+AP188</f>
        <v/>
      </c>
      <c r="AQ217" s="120">
        <f>AP217+AQ198+AQ159+AQ188</f>
        <v/>
      </c>
      <c r="AR217" s="120">
        <f>AQ217+AR198+AR159+AR188</f>
        <v/>
      </c>
      <c r="AS217" s="120">
        <f>AR217+AS198+AS159+AS188</f>
        <v/>
      </c>
      <c r="AT217" s="120">
        <f>AS217+AT198+AT159+AT188</f>
        <v/>
      </c>
      <c r="AU217" s="120" t="n"/>
      <c r="AV217" s="120" t="n"/>
      <c r="AW217" s="43" t="n"/>
      <c r="AX217" s="683" t="n"/>
      <c r="AY217" s="625" t="n"/>
      <c r="AZ217" s="43" t="n"/>
      <c r="BA217" s="43" t="n"/>
      <c r="BB217" s="683" t="n"/>
      <c r="BD217" s="43" t="n"/>
      <c r="BE217" s="43" t="n"/>
      <c r="BF217" s="683" t="n"/>
      <c r="BQ217" s="43" t="n"/>
      <c r="CU217" s="120" t="n"/>
      <c r="CV217" s="684" t="n"/>
      <c r="DU217" s="120" t="n"/>
      <c r="DV217" s="120" t="n"/>
      <c r="DW217" s="120" t="n"/>
      <c r="DY217" s="120" t="n"/>
      <c r="DZ217" s="120" t="n"/>
      <c r="EA217" s="120" t="n"/>
      <c r="EC217" s="120" t="n"/>
      <c r="ED217" s="120" t="n"/>
      <c r="EE217" s="120" t="n"/>
      <c r="EF217" s="120" t="n"/>
      <c r="EH217" s="224" t="n"/>
      <c r="EI217" s="224" t="n"/>
      <c r="EJ217" s="120" t="n"/>
      <c r="EK217" s="120" t="n"/>
      <c r="EL217" s="224" t="n"/>
      <c r="EM217" s="224" t="n"/>
      <c r="EN217" s="120" t="n"/>
      <c r="EO217" s="120" t="n"/>
      <c r="EP217" s="224" t="n"/>
      <c r="EQ217" s="224" t="n"/>
      <c r="ER217" s="224" t="n"/>
      <c r="ES217" s="120" t="n"/>
      <c r="EU217" s="224" t="n"/>
      <c r="EV217" s="120" t="n"/>
      <c r="EW217" s="120" t="n"/>
      <c r="EY217" s="224" t="n"/>
      <c r="FA217" s="120" t="n"/>
      <c r="FC217" s="224" t="n"/>
      <c r="FE217" s="120" t="n"/>
      <c r="FG217" s="224" t="n"/>
      <c r="FI217" s="1193" t="n"/>
      <c r="FM217" s="1193" t="n"/>
    </row>
    <row r="218">
      <c r="B218" s="1248" t="inlineStr">
        <is>
          <t>Preference share</t>
        </is>
      </c>
      <c r="C218" s="237" t="n">
        <v>0</v>
      </c>
      <c r="D218" s="237" t="n">
        <v>0</v>
      </c>
      <c r="E218" s="237" t="n">
        <v>0</v>
      </c>
      <c r="F218" s="237" t="n">
        <v>0</v>
      </c>
      <c r="G218" s="237" t="n">
        <v>0</v>
      </c>
      <c r="H218" s="237" t="n">
        <v>0</v>
      </c>
      <c r="I218" s="237" t="n">
        <v>0</v>
      </c>
      <c r="J218" s="237" t="n">
        <v>0</v>
      </c>
      <c r="K218" s="237" t="n">
        <v>0</v>
      </c>
      <c r="L218" s="237" t="n">
        <v>0</v>
      </c>
      <c r="M218" s="237" t="n">
        <v>0</v>
      </c>
      <c r="N218" s="237" t="n">
        <v>0</v>
      </c>
      <c r="O218" s="237" t="n">
        <v>0</v>
      </c>
      <c r="P218" s="237" t="n">
        <v>0</v>
      </c>
      <c r="Q218" s="237" t="n">
        <v>0</v>
      </c>
      <c r="R218" s="237" t="n">
        <v>0</v>
      </c>
      <c r="S218" s="237" t="n">
        <v>0</v>
      </c>
      <c r="T218" s="237" t="n">
        <v>0</v>
      </c>
      <c r="U218" s="237" t="n">
        <v>0</v>
      </c>
      <c r="V218" s="237" t="n">
        <v>0</v>
      </c>
      <c r="W218" s="237" t="n">
        <v>0</v>
      </c>
      <c r="X218" s="237" t="n">
        <v>0</v>
      </c>
      <c r="Y218" s="237" t="n">
        <v>0</v>
      </c>
      <c r="Z218" s="237" t="n">
        <v>0</v>
      </c>
      <c r="AA218" s="237" t="n">
        <v>0</v>
      </c>
      <c r="AB218" s="237" t="n">
        <v>0</v>
      </c>
      <c r="AC218" s="237" t="n">
        <v>0</v>
      </c>
      <c r="AD218" s="237" t="n">
        <v>0</v>
      </c>
      <c r="AE218" s="237" t="n">
        <v>0</v>
      </c>
      <c r="AF218" s="237" t="n">
        <v>0</v>
      </c>
      <c r="AG218" s="237" t="n">
        <v>0</v>
      </c>
      <c r="AH218" s="237" t="n">
        <v>0</v>
      </c>
      <c r="AI218" s="237" t="n">
        <v>0</v>
      </c>
      <c r="AJ218" s="237" t="n">
        <v>19728</v>
      </c>
      <c r="AK218" s="237" t="n">
        <v>20324</v>
      </c>
      <c r="AL218" s="237" t="n">
        <v>20938</v>
      </c>
      <c r="AM218" s="237" t="n">
        <v>9750</v>
      </c>
      <c r="AN218" s="237" t="n">
        <v>0</v>
      </c>
      <c r="AO218" s="194">
        <f>AN218</f>
        <v/>
      </c>
      <c r="AP218" s="194">
        <f>AO218</f>
        <v/>
      </c>
      <c r="AQ218" s="194">
        <f>AP218</f>
        <v/>
      </c>
      <c r="AR218" s="194">
        <f>AQ218</f>
        <v/>
      </c>
      <c r="AS218" s="194">
        <f>AR218</f>
        <v/>
      </c>
      <c r="AT218" s="194">
        <f>AS218</f>
        <v/>
      </c>
      <c r="AU218" s="962" t="n"/>
      <c r="DE218" s="160" t="n"/>
      <c r="DI218" s="160" t="n"/>
      <c r="DM218" s="160" t="n"/>
      <c r="DQ218" s="160" t="n"/>
      <c r="EH218" s="1176" t="n"/>
      <c r="EI218" s="1176" t="n"/>
      <c r="EL218" s="1176" t="n"/>
      <c r="EM218" s="1176" t="n"/>
      <c r="EO218" s="161" t="n"/>
      <c r="EP218" s="1176" t="n"/>
      <c r="EQ218" s="1176" t="n"/>
      <c r="ER218" s="1176" t="n"/>
      <c r="ES218" s="161" t="n"/>
      <c r="EU218" s="1176" t="n"/>
      <c r="EV218" s="1176" t="n"/>
      <c r="EW218" s="161" t="n"/>
      <c r="EY218" s="1176" t="n"/>
      <c r="FA218" s="161" t="n"/>
      <c r="FC218" s="1176" t="n"/>
      <c r="FE218" s="161" t="n"/>
      <c r="FG218" s="1176" t="n"/>
      <c r="FI218" s="1249" t="n"/>
      <c r="FM218" s="1249" t="n"/>
      <c r="FN218" s="161" t="n"/>
    </row>
    <row r="219">
      <c r="B219" s="1248" t="inlineStr">
        <is>
          <t>Common shareholder equity</t>
        </is>
      </c>
      <c r="C219" s="194">
        <f>C217-C218</f>
        <v/>
      </c>
      <c r="D219" s="194">
        <f>D217-D218</f>
        <v/>
      </c>
      <c r="E219" s="194">
        <f>E217-E218</f>
        <v/>
      </c>
      <c r="F219" s="194">
        <f>F217-F218</f>
        <v/>
      </c>
      <c r="G219" s="194">
        <f>G217-G218</f>
        <v/>
      </c>
      <c r="H219" s="194">
        <f>H217-H218</f>
        <v/>
      </c>
      <c r="I219" s="194">
        <f>I217-I218</f>
        <v/>
      </c>
      <c r="J219" s="194">
        <f>J217-J218</f>
        <v/>
      </c>
      <c r="K219" s="194">
        <f>K217-K218</f>
        <v/>
      </c>
      <c r="L219" s="194">
        <f>L217-L218</f>
        <v/>
      </c>
      <c r="M219" s="194">
        <f>M217-M218</f>
        <v/>
      </c>
      <c r="N219" s="194">
        <f>N217-N218</f>
        <v/>
      </c>
      <c r="O219" s="194">
        <f>O217-O218</f>
        <v/>
      </c>
      <c r="P219" s="194">
        <f>P217-P218</f>
        <v/>
      </c>
      <c r="Q219" s="194">
        <f>Q217-Q218</f>
        <v/>
      </c>
      <c r="R219" s="194">
        <f>R217-R218</f>
        <v/>
      </c>
      <c r="S219" s="194">
        <f>S217-S218</f>
        <v/>
      </c>
      <c r="T219" s="194">
        <f>T217-T218</f>
        <v/>
      </c>
      <c r="U219" s="194">
        <f>U217-U218</f>
        <v/>
      </c>
      <c r="V219" s="194">
        <f>V217-V218</f>
        <v/>
      </c>
      <c r="W219" s="194">
        <f>W217-W218</f>
        <v/>
      </c>
      <c r="X219" s="194">
        <f>X217-X218</f>
        <v/>
      </c>
      <c r="Y219" s="194">
        <f>Y217-Y218</f>
        <v/>
      </c>
      <c r="Z219" s="194">
        <f>Z217-Z218</f>
        <v/>
      </c>
      <c r="AA219" s="194">
        <f>AA217-AA218</f>
        <v/>
      </c>
      <c r="AB219" s="194">
        <f>AB217-AB218</f>
        <v/>
      </c>
      <c r="AC219" s="194">
        <f>AC217-AC218</f>
        <v/>
      </c>
      <c r="AD219" s="194">
        <f>AD217-AD218</f>
        <v/>
      </c>
      <c r="AE219" s="194">
        <f>AE217-AE218</f>
        <v/>
      </c>
      <c r="AF219" s="194">
        <f>AF217-AF218</f>
        <v/>
      </c>
      <c r="AG219" s="194">
        <f>AG217-AG218</f>
        <v/>
      </c>
      <c r="AH219" s="194">
        <f>AH217-AH218</f>
        <v/>
      </c>
      <c r="AI219" s="194">
        <f>AI217-AI218</f>
        <v/>
      </c>
      <c r="AJ219" s="194">
        <f>AJ217-AJ218</f>
        <v/>
      </c>
      <c r="AK219" s="194">
        <f>AK217-AK218</f>
        <v/>
      </c>
      <c r="AL219" s="194">
        <f>AL217-AL218</f>
        <v/>
      </c>
      <c r="AM219" s="194">
        <f>AM217-AM218</f>
        <v/>
      </c>
      <c r="AN219" s="194">
        <f>AN217-AN218</f>
        <v/>
      </c>
      <c r="AO219" s="194">
        <f>AO217-AO218</f>
        <v/>
      </c>
      <c r="AP219" s="194">
        <f>AP217-AP218</f>
        <v/>
      </c>
      <c r="AQ219" s="194">
        <f>AQ217-AQ218</f>
        <v/>
      </c>
      <c r="AR219" s="194">
        <f>AR217-AR218</f>
        <v/>
      </c>
      <c r="AS219" s="194">
        <f>AS217-AS218</f>
        <v/>
      </c>
      <c r="AT219" s="194">
        <f>AT217-AT218</f>
        <v/>
      </c>
      <c r="AU219" s="962" t="n"/>
      <c r="DE219" s="160" t="n"/>
      <c r="DI219" s="160" t="n"/>
      <c r="DM219" s="160" t="n"/>
      <c r="DQ219" s="160" t="n"/>
      <c r="EH219" s="1176" t="n"/>
      <c r="EI219" s="1176" t="n"/>
      <c r="EL219" s="1176" t="n"/>
      <c r="EM219" s="1176" t="n"/>
      <c r="EO219" s="161" t="n"/>
      <c r="EP219" s="1176" t="n"/>
      <c r="EQ219" s="1176" t="n"/>
      <c r="ER219" s="1176" t="n"/>
      <c r="ES219" s="161" t="n"/>
      <c r="EU219" s="1176" t="n"/>
      <c r="EV219" s="1176" t="n"/>
      <c r="EW219" s="161" t="n"/>
      <c r="EY219" s="1176" t="n"/>
      <c r="FA219" s="161" t="n"/>
      <c r="FC219" s="1176" t="n"/>
      <c r="FE219" s="161" t="n"/>
      <c r="FG219" s="1176" t="n"/>
      <c r="FI219" s="1249" t="n"/>
      <c r="FM219" s="1249" t="n"/>
      <c r="FN219" s="161" t="n"/>
    </row>
    <row r="220">
      <c r="B220" s="961" t="inlineStr">
        <is>
          <t>BVPS</t>
        </is>
      </c>
      <c r="C220" s="161">
        <f>C215/C170</f>
        <v/>
      </c>
      <c r="D220" s="161">
        <f>D215/D170</f>
        <v/>
      </c>
      <c r="E220" s="161">
        <f>E215/E170</f>
        <v/>
      </c>
      <c r="F220" s="161">
        <f>F215/F170</f>
        <v/>
      </c>
      <c r="G220" s="161">
        <f>G215/G170</f>
        <v/>
      </c>
      <c r="H220" s="161">
        <f>H215/H170</f>
        <v/>
      </c>
      <c r="I220" s="161">
        <f>I215/I170</f>
        <v/>
      </c>
      <c r="J220" s="161">
        <f>J215/J170</f>
        <v/>
      </c>
      <c r="K220" s="161">
        <f>K215/K170</f>
        <v/>
      </c>
      <c r="L220" s="161">
        <f>L215/L170</f>
        <v/>
      </c>
      <c r="M220" s="161">
        <f>M215/M170</f>
        <v/>
      </c>
      <c r="N220" s="161">
        <f>N215/N170</f>
        <v/>
      </c>
      <c r="O220" s="161">
        <f>O215/O170</f>
        <v/>
      </c>
      <c r="P220" s="161">
        <f>P215/P170</f>
        <v/>
      </c>
      <c r="Q220" s="161">
        <f>Q215/Q170</f>
        <v/>
      </c>
      <c r="R220" s="161">
        <f>R215/R170</f>
        <v/>
      </c>
      <c r="S220" s="161">
        <f>S215/S170</f>
        <v/>
      </c>
      <c r="T220" s="161">
        <f>T215/T170</f>
        <v/>
      </c>
      <c r="U220" s="161">
        <f>U215/U170</f>
        <v/>
      </c>
      <c r="V220" s="161">
        <f>V215/V170</f>
        <v/>
      </c>
      <c r="W220" s="161">
        <f>W215/W170</f>
        <v/>
      </c>
      <c r="X220" s="161">
        <f>X215/X170</f>
        <v/>
      </c>
      <c r="Y220" s="161">
        <f>Y215/Y170</f>
        <v/>
      </c>
      <c r="Z220" s="161">
        <f>Z215/Z170</f>
        <v/>
      </c>
      <c r="AA220" s="161">
        <f>AA215/AA170</f>
        <v/>
      </c>
      <c r="AB220" s="161">
        <f>AB215/AB170</f>
        <v/>
      </c>
      <c r="AC220" s="161">
        <f>AC215/AC170</f>
        <v/>
      </c>
      <c r="AD220" s="161">
        <f>AD215/AD170</f>
        <v/>
      </c>
      <c r="AE220" s="161">
        <f>AE215/AE170</f>
        <v/>
      </c>
      <c r="AF220" s="161">
        <f>AF215/AF170</f>
        <v/>
      </c>
      <c r="AG220" s="161">
        <f>AG215/AG170</f>
        <v/>
      </c>
      <c r="AH220" s="161">
        <f>AH215/AH170</f>
        <v/>
      </c>
      <c r="AI220" s="161">
        <f>AI215/AI170</f>
        <v/>
      </c>
      <c r="AJ220" s="161">
        <f>(AJ215-AJ218)/AJ170</f>
        <v/>
      </c>
      <c r="AK220" s="161">
        <f>(AK215-AK218)/AK170</f>
        <v/>
      </c>
      <c r="AL220" s="161">
        <f>(AL215-AL218)/AL170</f>
        <v/>
      </c>
      <c r="AM220" s="161">
        <f>(AM215-AM218)/AM170</f>
        <v/>
      </c>
      <c r="AN220" s="161">
        <f>(AN215-AN218)/AN170</f>
        <v/>
      </c>
      <c r="AO220" s="161">
        <f>(AO215-AO218)/AO170</f>
        <v/>
      </c>
      <c r="AP220" s="161">
        <f>(AP215-AP218)/AP170</f>
        <v/>
      </c>
      <c r="AQ220" s="161">
        <f>(AQ215-AQ218)/AQ170</f>
        <v/>
      </c>
      <c r="AR220" s="161">
        <f>(AR215-AR218)/AR170</f>
        <v/>
      </c>
      <c r="AS220" s="161">
        <f>(AS215-AS218)/AS170</f>
        <v/>
      </c>
      <c r="AT220" s="161">
        <f>(AT215-AT218)/AT170</f>
        <v/>
      </c>
      <c r="AU220" s="962" t="n"/>
      <c r="DE220" s="160" t="n"/>
      <c r="DI220" s="160" t="n"/>
      <c r="DM220" s="160" t="n"/>
      <c r="DQ220" s="160" t="n"/>
      <c r="EH220" s="1176" t="n"/>
      <c r="EI220" s="1176" t="n"/>
      <c r="EK220" s="161">
        <f>EK215/EK170</f>
        <v/>
      </c>
      <c r="EL220" s="1176" t="n"/>
      <c r="EM220" s="1176" t="n"/>
      <c r="EO220" s="161">
        <f>EO215/EO170</f>
        <v/>
      </c>
      <c r="EP220" s="1176" t="n"/>
      <c r="EQ220" s="1176" t="n"/>
      <c r="ER220" s="1176" t="n"/>
      <c r="ES220" s="161">
        <f>ES215/ES170</f>
        <v/>
      </c>
      <c r="EU220" s="1176" t="n"/>
      <c r="EV220" s="1176" t="n"/>
      <c r="EW220" s="161">
        <f>EW215/EW170</f>
        <v/>
      </c>
      <c r="EY220" s="1176" t="n"/>
      <c r="FA220" s="161">
        <f>FA215/FA170</f>
        <v/>
      </c>
      <c r="FC220" s="1176" t="n"/>
      <c r="FE220" s="161">
        <f>FE215/FE170</f>
        <v/>
      </c>
      <c r="FG220" s="1176" t="n"/>
      <c r="FI220" s="161">
        <f>FI215/FI170</f>
        <v/>
      </c>
      <c r="FM220" s="161">
        <f>FM215/FM170</f>
        <v/>
      </c>
      <c r="FN220" s="161" t="n"/>
    </row>
    <row r="221">
      <c r="B221" s="961" t="inlineStr">
        <is>
          <t>BVPS (ex treasury stocks)</t>
        </is>
      </c>
      <c r="C221" s="161">
        <f>(C215-C218)/C173</f>
        <v/>
      </c>
      <c r="D221" s="161">
        <f>(D215-D218)/D173</f>
        <v/>
      </c>
      <c r="E221" s="161">
        <f>(E215-E218)/E173</f>
        <v/>
      </c>
      <c r="F221" s="161">
        <f>(F215-F218)/F173</f>
        <v/>
      </c>
      <c r="G221" s="161">
        <f>(G215-G218)/G173</f>
        <v/>
      </c>
      <c r="H221" s="161">
        <f>(H215-H218)/H173</f>
        <v/>
      </c>
      <c r="I221" s="161">
        <f>(I215-I218)/I173</f>
        <v/>
      </c>
      <c r="J221" s="161">
        <f>(J215-J218)/J173</f>
        <v/>
      </c>
      <c r="K221" s="161">
        <f>(K215-K218)/K173</f>
        <v/>
      </c>
      <c r="L221" s="161">
        <f>(L215-L218)/L173</f>
        <v/>
      </c>
      <c r="M221" s="161">
        <f>(M215-M218)/M173</f>
        <v/>
      </c>
      <c r="N221" s="161">
        <f>(N215-N218)/N173</f>
        <v/>
      </c>
      <c r="O221" s="161">
        <f>(O215-O218)/O173</f>
        <v/>
      </c>
      <c r="P221" s="161">
        <f>(P215-P218)/P173</f>
        <v/>
      </c>
      <c r="Q221" s="161">
        <f>(Q215-Q218)/Q173</f>
        <v/>
      </c>
      <c r="R221" s="161">
        <f>(R215-R218)/R173</f>
        <v/>
      </c>
      <c r="S221" s="161">
        <f>(S215-S218)/S173</f>
        <v/>
      </c>
      <c r="T221" s="161">
        <f>(T215-T218)/T173</f>
        <v/>
      </c>
      <c r="U221" s="161">
        <f>(U215-U218)/U173</f>
        <v/>
      </c>
      <c r="V221" s="161">
        <f>(V215-V218)/V173</f>
        <v/>
      </c>
      <c r="W221" s="161">
        <f>(W215-W218)/W173</f>
        <v/>
      </c>
      <c r="X221" s="161">
        <f>(X215-X218)/X173</f>
        <v/>
      </c>
      <c r="Y221" s="161">
        <f>(Y215-Y218)/Y173</f>
        <v/>
      </c>
      <c r="Z221" s="161">
        <f>(Z215-Z218)/Z173</f>
        <v/>
      </c>
      <c r="AA221" s="161">
        <f>(AA215-AA218)/AA173</f>
        <v/>
      </c>
      <c r="AB221" s="161">
        <f>(AB215-AB218)/AB173</f>
        <v/>
      </c>
      <c r="AC221" s="161">
        <f>(AC215-AC218)/AC173</f>
        <v/>
      </c>
      <c r="AD221" s="161">
        <f>(AD215-AD218)/AD173</f>
        <v/>
      </c>
      <c r="AE221" s="161">
        <f>(AE215-AE218)/AE173</f>
        <v/>
      </c>
      <c r="AF221" s="161">
        <f>(AF215-AF218)/AF173</f>
        <v/>
      </c>
      <c r="AG221" s="161">
        <f>(AG215-AG218)/AG173</f>
        <v/>
      </c>
      <c r="AH221" s="161">
        <f>(AH215-AH218)/AH173</f>
        <v/>
      </c>
      <c r="AI221" s="161">
        <f>(AI215-AI218)/AI173</f>
        <v/>
      </c>
      <c r="AJ221" s="161">
        <f>(AJ215-AJ218)/AJ173</f>
        <v/>
      </c>
      <c r="AK221" s="161">
        <f>(AK215-AK218)/AK173</f>
        <v/>
      </c>
      <c r="AL221" s="161">
        <f>(AL215-AL218)/AL173</f>
        <v/>
      </c>
      <c r="AM221" s="161">
        <f>(AM215-AM218)/AM173</f>
        <v/>
      </c>
      <c r="AN221" s="161">
        <f>(AN215-AN218)/AN173</f>
        <v/>
      </c>
      <c r="AO221" s="161">
        <f>(AO215-AO218)/AO173</f>
        <v/>
      </c>
      <c r="AP221" s="161">
        <f>(AP215-AP218)/AP173</f>
        <v/>
      </c>
      <c r="AQ221" s="161">
        <f>(AQ215-AQ218)/AQ173</f>
        <v/>
      </c>
      <c r="AR221" s="161">
        <f>(AR215-AR218)/AR173</f>
        <v/>
      </c>
      <c r="AS221" s="161">
        <f>(AS215-AS218)/AS173</f>
        <v/>
      </c>
      <c r="AT221" s="161">
        <f>(AT215-AT218)/AT173</f>
        <v/>
      </c>
      <c r="AU221" s="962" t="n"/>
      <c r="DE221" s="160" t="n"/>
      <c r="DI221" s="160" t="n"/>
      <c r="DM221" s="160" t="n"/>
      <c r="DQ221" s="160" t="n"/>
      <c r="EH221" s="1176" t="n"/>
      <c r="EI221" s="1176" t="n"/>
      <c r="EK221" s="161" t="n"/>
      <c r="EL221" s="1176" t="n"/>
      <c r="EM221" s="1176" t="n"/>
      <c r="EO221" s="161" t="n"/>
      <c r="EP221" s="1176" t="n"/>
      <c r="EQ221" s="1176" t="n"/>
      <c r="ER221" s="1176" t="n"/>
      <c r="ES221" s="161" t="n"/>
      <c r="EU221" s="1176" t="n"/>
      <c r="EV221" s="1176" t="n"/>
      <c r="EW221" s="161" t="n"/>
      <c r="EY221" s="1176" t="n"/>
      <c r="FA221" s="161" t="n"/>
      <c r="FC221" s="1176" t="n"/>
      <c r="FE221" s="161" t="n"/>
      <c r="FG221" s="1176" t="n"/>
      <c r="FI221" s="1249" t="n"/>
      <c r="FM221" s="1249" t="n"/>
      <c r="FN221" s="161" t="n"/>
    </row>
    <row r="222">
      <c r="C222" s="161" t="n"/>
      <c r="D222" s="161" t="n"/>
      <c r="E222" s="161" t="n"/>
      <c r="F222" s="161" t="n"/>
      <c r="G222" s="161" t="n"/>
      <c r="H222" s="161" t="n"/>
      <c r="I222" s="161" t="n"/>
      <c r="J222" s="161" t="n"/>
      <c r="K222" s="161" t="n"/>
      <c r="L222" s="161" t="n"/>
      <c r="M222" s="161" t="n"/>
      <c r="N222" s="161" t="n"/>
      <c r="O222" s="161" t="n"/>
      <c r="P222" s="161" t="n"/>
      <c r="Q222" s="161" t="n"/>
      <c r="R222" s="161" t="n"/>
      <c r="S222" s="161" t="n"/>
      <c r="T222" s="161" t="n"/>
      <c r="U222" s="161" t="n"/>
      <c r="V222" s="161" t="n"/>
      <c r="W222" s="161" t="n"/>
      <c r="X222" s="161" t="n"/>
      <c r="Y222" s="161" t="n"/>
      <c r="Z222" s="161" t="n"/>
      <c r="AA222" s="161" t="n"/>
      <c r="AB222" s="161" t="n"/>
      <c r="AC222" s="161" t="n"/>
      <c r="AD222" s="161" t="n"/>
      <c r="AE222" s="161" t="n"/>
      <c r="AF222" s="161" t="n"/>
      <c r="AG222" s="161" t="n"/>
      <c r="AH222" s="161" t="n"/>
      <c r="AI222" s="161" t="n"/>
      <c r="AJ222" s="161" t="n"/>
      <c r="AK222" s="161" t="n"/>
      <c r="AL222" s="161" t="n"/>
      <c r="AM222" s="161" t="n"/>
      <c r="AN222" s="161" t="n"/>
      <c r="AO222" s="161" t="n"/>
      <c r="AP222" s="161" t="n"/>
      <c r="AQ222" s="161" t="n"/>
      <c r="AR222" s="161" t="n"/>
      <c r="AS222" s="161" t="n"/>
      <c r="AT222" s="161" t="n"/>
      <c r="AU222" s="962" t="n"/>
      <c r="DE222" s="160" t="n"/>
      <c r="DI222" s="160" t="n"/>
      <c r="DM222" s="160" t="n"/>
      <c r="DQ222" s="160" t="n"/>
      <c r="EH222" s="1176" t="n"/>
      <c r="EI222" s="1176" t="n"/>
      <c r="EK222" s="161" t="n"/>
      <c r="EL222" s="1176" t="n"/>
      <c r="EM222" s="1176" t="n"/>
      <c r="EO222" s="161" t="n"/>
      <c r="EP222" s="1176" t="n"/>
      <c r="EQ222" s="1176" t="n"/>
      <c r="ER222" s="1176" t="n"/>
      <c r="ES222" s="161" t="n"/>
      <c r="EU222" s="1176" t="n"/>
      <c r="EV222" s="1176" t="n"/>
      <c r="EW222" s="161" t="n"/>
      <c r="EY222" s="1176" t="n"/>
      <c r="FA222" s="161" t="n"/>
      <c r="FC222" s="1176" t="n"/>
      <c r="FE222" s="161" t="n"/>
      <c r="FG222" s="1176" t="n"/>
      <c r="FI222" s="1249" t="n"/>
      <c r="FM222" s="1249" t="n"/>
      <c r="FN222" s="161" t="n"/>
    </row>
    <row r="223" customFormat="1" s="527">
      <c r="A223" s="701" t="n"/>
      <c r="B223" s="527" t="inlineStr">
        <is>
          <t>Non-Current liabilities</t>
        </is>
      </c>
      <c r="C223" s="526">
        <f>5367.4+5957.1</f>
        <v/>
      </c>
      <c r="D223" s="526">
        <f>4488.1+5503.2</f>
        <v/>
      </c>
      <c r="E223" s="526">
        <f>4387+4145</f>
        <v/>
      </c>
      <c r="F223" s="526">
        <f>4480+7575+756</f>
        <v/>
      </c>
      <c r="G223" s="526">
        <f>3486+11062+745</f>
        <v/>
      </c>
      <c r="H223" s="526">
        <f>4802+13558+2374</f>
        <v/>
      </c>
      <c r="I223" s="526">
        <f>3963+14989+1951-1723</f>
        <v/>
      </c>
      <c r="J223" s="526">
        <f>4511+13918+3006-2264</f>
        <v/>
      </c>
      <c r="K223" s="526">
        <f>5245+14411+3954-981</f>
        <v/>
      </c>
      <c r="L223" s="526">
        <f>5260+18057+5359+674</f>
        <v/>
      </c>
      <c r="M223" s="526">
        <f>3940+17531+5802+2296</f>
        <v/>
      </c>
      <c r="N223" s="526" t="n">
        <v>31217</v>
      </c>
      <c r="O223" s="526" t="n">
        <v>29472</v>
      </c>
      <c r="P223" s="526" t="n">
        <v>26201</v>
      </c>
      <c r="Q223" s="526" t="n">
        <v>29850</v>
      </c>
      <c r="R223" s="526" t="n">
        <v>26489</v>
      </c>
      <c r="S223" s="526" t="n">
        <v>29361</v>
      </c>
      <c r="T223" s="526" t="n">
        <v>25044</v>
      </c>
      <c r="U223" s="526" t="n">
        <v>25424</v>
      </c>
      <c r="V223" s="526" t="n">
        <v>32470</v>
      </c>
      <c r="W223" s="526" t="n">
        <v>40601</v>
      </c>
      <c r="X223" s="526" t="n">
        <v>45462</v>
      </c>
      <c r="Y223" s="526" t="n">
        <v>41128</v>
      </c>
      <c r="Z223" s="526" t="n">
        <v>38440</v>
      </c>
      <c r="AA223" s="526" t="n">
        <v>45114</v>
      </c>
      <c r="AB223" s="526" t="n">
        <v>62750</v>
      </c>
      <c r="AC223" s="526" t="n">
        <v>67785</v>
      </c>
      <c r="AD223" s="526" t="n">
        <v>75445</v>
      </c>
      <c r="AE223" s="526" t="n">
        <v>74983</v>
      </c>
      <c r="AF223" s="526" t="n">
        <v>77803</v>
      </c>
      <c r="AG223" s="526" t="n">
        <v>85828</v>
      </c>
      <c r="AH223" s="526" t="n">
        <v>78010</v>
      </c>
      <c r="AI223" s="526" t="n">
        <v>94878</v>
      </c>
      <c r="AJ223" s="526" t="n">
        <v>84589</v>
      </c>
      <c r="AK223" s="526" t="n">
        <v>81243</v>
      </c>
      <c r="AL223" s="526" t="n">
        <v>73703</v>
      </c>
      <c r="AM223" s="526" t="n">
        <v>68589</v>
      </c>
      <c r="AN223" s="526" t="n">
        <v>68498</v>
      </c>
      <c r="AO223" s="319">
        <f>SUM(AO224:AO225)</f>
        <v/>
      </c>
      <c r="AP223" s="319">
        <f>SUM(AP224:AP225)</f>
        <v/>
      </c>
      <c r="AQ223" s="319">
        <f>SUM(AQ224:AQ225)</f>
        <v/>
      </c>
      <c r="AR223" s="319">
        <f>SUM(AR224:AR225)</f>
        <v/>
      </c>
      <c r="AS223" s="319">
        <f>SUM(AS224:AS225)</f>
        <v/>
      </c>
      <c r="AT223" s="319">
        <f>SUM(AT224:AT225)</f>
        <v/>
      </c>
      <c r="AU223" s="753" t="n"/>
      <c r="AV223" s="758" t="n"/>
      <c r="AW223" s="734" t="n"/>
      <c r="AX223" s="689" t="n"/>
      <c r="AY223" s="758" t="n"/>
      <c r="AZ223" s="734" t="n"/>
      <c r="BA223" s="734" t="n"/>
      <c r="BB223" s="689" t="n"/>
      <c r="BD223" s="734" t="n"/>
      <c r="BE223" s="734" t="n"/>
      <c r="BF223" s="689" t="n"/>
      <c r="BQ223" s="734" t="n"/>
      <c r="CU223" s="319" t="n"/>
      <c r="DU223" s="319" t="n"/>
      <c r="DV223" s="319" t="n"/>
      <c r="DW223" s="319" t="n"/>
      <c r="DY223" s="319" t="n"/>
      <c r="DZ223" s="319" t="n"/>
      <c r="EA223" s="319" t="n"/>
      <c r="EC223" s="319" t="n"/>
      <c r="ED223" s="319" t="n"/>
      <c r="EE223" s="319" t="n"/>
      <c r="EF223" s="319" t="n"/>
      <c r="EJ223" s="319" t="n"/>
      <c r="EK223" s="526" t="n"/>
      <c r="EN223" s="319" t="n"/>
      <c r="EO223" s="526" t="n"/>
      <c r="ES223" s="526" t="n"/>
      <c r="EV223" s="526" t="n"/>
      <c r="EW223" s="526" t="n"/>
      <c r="FA223" s="526" t="n"/>
      <c r="FE223" s="526" t="n"/>
      <c r="FI223" s="1244" t="n"/>
      <c r="FM223" s="1244" t="n"/>
    </row>
    <row r="224" customFormat="1" s="527">
      <c r="A224" s="701" t="n"/>
      <c r="B224" s="757" t="inlineStr">
        <is>
          <t>LT Debt</t>
        </is>
      </c>
      <c r="C224" s="750">
        <f>C208</f>
        <v/>
      </c>
      <c r="D224" s="750">
        <f>D208</f>
        <v/>
      </c>
      <c r="E224" s="750">
        <f>E208</f>
        <v/>
      </c>
      <c r="F224" s="750">
        <f>F208</f>
        <v/>
      </c>
      <c r="G224" s="750">
        <f>G208</f>
        <v/>
      </c>
      <c r="H224" s="750">
        <f>H208</f>
        <v/>
      </c>
      <c r="I224" s="750">
        <f>I208</f>
        <v/>
      </c>
      <c r="J224" s="750">
        <f>J208</f>
        <v/>
      </c>
      <c r="K224" s="750">
        <f>K208</f>
        <v/>
      </c>
      <c r="L224" s="750">
        <f>L208</f>
        <v/>
      </c>
      <c r="M224" s="750">
        <f>M208</f>
        <v/>
      </c>
      <c r="N224" s="750">
        <f>N208</f>
        <v/>
      </c>
      <c r="O224" s="750">
        <f>O208</f>
        <v/>
      </c>
      <c r="P224" s="750">
        <f>P208</f>
        <v/>
      </c>
      <c r="Q224" s="750">
        <f>Q208</f>
        <v/>
      </c>
      <c r="R224" s="750">
        <f>R208</f>
        <v/>
      </c>
      <c r="S224" s="750">
        <f>S208</f>
        <v/>
      </c>
      <c r="T224" s="750">
        <f>T208</f>
        <v/>
      </c>
      <c r="U224" s="750">
        <f>U208</f>
        <v/>
      </c>
      <c r="V224" s="750">
        <f>V208</f>
        <v/>
      </c>
      <c r="W224" s="750">
        <f>W208</f>
        <v/>
      </c>
      <c r="X224" s="750">
        <f>X208</f>
        <v/>
      </c>
      <c r="Y224" s="750">
        <f>Y208</f>
        <v/>
      </c>
      <c r="Z224" s="750">
        <f>Z208</f>
        <v/>
      </c>
      <c r="AA224" s="750">
        <f>AA208</f>
        <v/>
      </c>
      <c r="AB224" s="750">
        <f>AB208</f>
        <v/>
      </c>
      <c r="AC224" s="750">
        <f>AC208</f>
        <v/>
      </c>
      <c r="AD224" s="750">
        <f>AD208</f>
        <v/>
      </c>
      <c r="AE224" s="750">
        <f>AE208</f>
        <v/>
      </c>
      <c r="AF224" s="750">
        <f>AF208</f>
        <v/>
      </c>
      <c r="AG224" s="750">
        <f>AG208</f>
        <v/>
      </c>
      <c r="AH224" s="750">
        <f>AH208</f>
        <v/>
      </c>
      <c r="AI224" s="750">
        <f>AI208</f>
        <v/>
      </c>
      <c r="AJ224" s="750">
        <f>AJ208</f>
        <v/>
      </c>
      <c r="AK224" s="750">
        <f>AK208</f>
        <v/>
      </c>
      <c r="AL224" s="750">
        <f>AL208</f>
        <v/>
      </c>
      <c r="AM224" s="750">
        <f>AM208</f>
        <v/>
      </c>
      <c r="AN224" s="750">
        <f>AN208</f>
        <v/>
      </c>
      <c r="AO224" s="750">
        <f>AO208</f>
        <v/>
      </c>
      <c r="AP224" s="750">
        <f>AP208</f>
        <v/>
      </c>
      <c r="AQ224" s="750">
        <f>AQ208</f>
        <v/>
      </c>
      <c r="AR224" s="750">
        <f>AR208</f>
        <v/>
      </c>
      <c r="AS224" s="750">
        <f>AS208</f>
        <v/>
      </c>
      <c r="AT224" s="750">
        <f>AT208</f>
        <v/>
      </c>
      <c r="AU224" s="753" t="n"/>
      <c r="AV224" s="758" t="n"/>
      <c r="AW224" s="734" t="n"/>
      <c r="AX224" s="689" t="n"/>
      <c r="AY224" s="758" t="n"/>
      <c r="AZ224" s="734" t="n"/>
      <c r="BA224" s="734" t="n"/>
      <c r="BB224" s="689" t="n"/>
      <c r="BD224" s="734" t="n"/>
      <c r="BE224" s="734" t="n"/>
      <c r="BF224" s="689" t="n"/>
      <c r="BQ224" s="734" t="n"/>
      <c r="CU224" s="319" t="n"/>
      <c r="DU224" s="319" t="n"/>
      <c r="DV224" s="319" t="n"/>
      <c r="DW224" s="319" t="n"/>
      <c r="DY224" s="319" t="n"/>
      <c r="DZ224" s="319" t="n"/>
      <c r="EA224" s="319" t="n"/>
      <c r="EC224" s="319" t="n"/>
      <c r="ED224" s="319" t="n"/>
      <c r="EE224" s="319" t="n"/>
      <c r="EF224" s="319" t="n"/>
      <c r="EJ224" s="319" t="n"/>
      <c r="EK224" s="526" t="n"/>
      <c r="EN224" s="319" t="n"/>
      <c r="EO224" s="526" t="n"/>
      <c r="ES224" s="526" t="n"/>
      <c r="EV224" s="526" t="n"/>
      <c r="EW224" s="526" t="n"/>
      <c r="FA224" s="526" t="n"/>
      <c r="FE224" s="526" t="n"/>
      <c r="FI224" s="1244" t="n"/>
      <c r="FM224" s="1244" t="n"/>
    </row>
    <row r="225" customFormat="1" s="657">
      <c r="A225" s="702" t="n"/>
      <c r="B225" s="757" t="inlineStr">
        <is>
          <t>Other non-Current liabilities</t>
        </is>
      </c>
      <c r="C225" s="657">
        <f>+C223-C224</f>
        <v/>
      </c>
      <c r="D225" s="657">
        <f>+D223-D224</f>
        <v/>
      </c>
      <c r="E225" s="657">
        <f>+E223-E224</f>
        <v/>
      </c>
      <c r="F225" s="657">
        <f>+F223-F224</f>
        <v/>
      </c>
      <c r="G225" s="657">
        <f>+G223-G224</f>
        <v/>
      </c>
      <c r="H225" s="657">
        <f>+H223-H224</f>
        <v/>
      </c>
      <c r="I225" s="657">
        <f>+I223-I224</f>
        <v/>
      </c>
      <c r="J225" s="657">
        <f>+J223-J224</f>
        <v/>
      </c>
      <c r="K225" s="657">
        <f>+K223-K224</f>
        <v/>
      </c>
      <c r="L225" s="657">
        <f>+L223-L224</f>
        <v/>
      </c>
      <c r="M225" s="657">
        <f>+M223-M224</f>
        <v/>
      </c>
      <c r="N225" s="657">
        <f>+N223-N224</f>
        <v/>
      </c>
      <c r="O225" s="657">
        <f>+O223-O224</f>
        <v/>
      </c>
      <c r="P225" s="657">
        <f>+P223-P224</f>
        <v/>
      </c>
      <c r="Q225" s="657">
        <f>+Q223-Q224</f>
        <v/>
      </c>
      <c r="R225" s="657">
        <f>+R223-R224</f>
        <v/>
      </c>
      <c r="S225" s="657">
        <f>+S223-S224</f>
        <v/>
      </c>
      <c r="T225" s="657">
        <f>+T223-T224</f>
        <v/>
      </c>
      <c r="U225" s="657">
        <f>+U223-U224</f>
        <v/>
      </c>
      <c r="V225" s="657">
        <f>+V223-V224</f>
        <v/>
      </c>
      <c r="W225" s="657">
        <f>+W223-W224</f>
        <v/>
      </c>
      <c r="X225" s="657">
        <f>+X223-X224</f>
        <v/>
      </c>
      <c r="Y225" s="657">
        <f>+Y223-Y224</f>
        <v/>
      </c>
      <c r="Z225" s="657">
        <f>+Z223-Z224</f>
        <v/>
      </c>
      <c r="AA225" s="657">
        <f>+AA223-AA224</f>
        <v/>
      </c>
      <c r="AB225" s="657">
        <f>+AB223-AB224</f>
        <v/>
      </c>
      <c r="AC225" s="657">
        <f>+AC223-AC224</f>
        <v/>
      </c>
      <c r="AD225" s="657">
        <f>+AD223-AD224</f>
        <v/>
      </c>
      <c r="AE225" s="657">
        <f>+AE223-AE224</f>
        <v/>
      </c>
      <c r="AF225" s="657">
        <f>+AF223-AF224</f>
        <v/>
      </c>
      <c r="AG225" s="657">
        <f>+AG223-AG224</f>
        <v/>
      </c>
      <c r="AH225" s="657">
        <f>+AH223-AH224</f>
        <v/>
      </c>
      <c r="AI225" s="657">
        <f>+AI223-AI224</f>
        <v/>
      </c>
      <c r="AJ225" s="657">
        <f>+AJ223-AJ224</f>
        <v/>
      </c>
      <c r="AK225" s="657">
        <f>+AK223-AK224</f>
        <v/>
      </c>
      <c r="AL225" s="657">
        <f>+AL223-AL224</f>
        <v/>
      </c>
      <c r="AM225" s="657">
        <f>+AM223-AM224</f>
        <v/>
      </c>
      <c r="AN225" s="657">
        <f>+AN223-AN224</f>
        <v/>
      </c>
      <c r="AO225" s="727">
        <f>AN225</f>
        <v/>
      </c>
      <c r="AP225" s="727">
        <f>AO225</f>
        <v/>
      </c>
      <c r="AQ225" s="727">
        <f>AP225</f>
        <v/>
      </c>
      <c r="AR225" s="727">
        <f>AQ225</f>
        <v/>
      </c>
      <c r="AS225" s="727">
        <f>AR225</f>
        <v/>
      </c>
      <c r="AT225" s="727">
        <f>AS225</f>
        <v/>
      </c>
      <c r="AU225" s="765" t="n"/>
      <c r="AV225" s="766" t="n"/>
      <c r="AW225" s="731" t="n"/>
      <c r="AX225" s="703" t="n"/>
      <c r="AY225" s="766" t="n"/>
      <c r="AZ225" s="731" t="n"/>
      <c r="BA225" s="731" t="n"/>
      <c r="BB225" s="703" t="n"/>
      <c r="BD225" s="731" t="n"/>
      <c r="BE225" s="731" t="n"/>
      <c r="BF225" s="703" t="n"/>
      <c r="BQ225" s="731" t="n"/>
      <c r="CU225" s="727" t="n"/>
      <c r="DU225" s="727" t="n"/>
      <c r="DV225" s="727" t="n"/>
      <c r="DW225" s="727" t="n"/>
      <c r="DY225" s="727" t="n"/>
      <c r="DZ225" s="727" t="n"/>
      <c r="EA225" s="727" t="n"/>
      <c r="EC225" s="727" t="n"/>
      <c r="ED225" s="727" t="n"/>
      <c r="EE225" s="727" t="n"/>
      <c r="EF225" s="727" t="n"/>
      <c r="EJ225" s="727" t="n"/>
      <c r="EK225" s="655" t="n"/>
      <c r="EN225" s="727" t="n"/>
      <c r="EO225" s="655" t="n"/>
      <c r="ES225" s="655" t="n"/>
      <c r="EV225" s="655" t="n"/>
      <c r="EW225" s="655" t="n"/>
      <c r="FA225" s="655" t="n"/>
      <c r="FE225" s="655" t="n"/>
      <c r="FI225" s="1250" t="n"/>
      <c r="FM225" s="1250" t="n"/>
    </row>
    <row r="226" customFormat="1" s="527">
      <c r="A226" s="686" t="inlineStr">
        <is>
          <t>bs current liabilities</t>
        </is>
      </c>
      <c r="B226" s="527" t="inlineStr">
        <is>
          <t>Current liabilities</t>
        </is>
      </c>
      <c r="C226" s="526" t="n">
        <v>6364.9</v>
      </c>
      <c r="D226" s="526" t="n">
        <v>7126.8</v>
      </c>
      <c r="E226" s="526" t="n">
        <v>9355</v>
      </c>
      <c r="F226" s="526" t="n">
        <v>8927</v>
      </c>
      <c r="G226" s="526">
        <f>10373</f>
        <v/>
      </c>
      <c r="H226" s="526" t="n">
        <v>9201</v>
      </c>
      <c r="I226" s="526" t="n">
        <v>9815</v>
      </c>
      <c r="J226" s="526" t="n">
        <v>12317</v>
      </c>
      <c r="K226" s="526" t="n">
        <v>11470</v>
      </c>
      <c r="L226" s="526" t="n">
        <v>12186</v>
      </c>
      <c r="M226" s="526" t="n">
        <v>9383</v>
      </c>
      <c r="N226" s="526" t="n">
        <v>10829</v>
      </c>
      <c r="O226" s="526" t="n">
        <v>11391</v>
      </c>
      <c r="P226" s="526" t="n">
        <v>10276</v>
      </c>
      <c r="Q226" s="526" t="n">
        <v>9157</v>
      </c>
      <c r="R226" s="526" t="n">
        <v>12953</v>
      </c>
      <c r="S226" s="526" t="n">
        <v>14520</v>
      </c>
      <c r="T226" s="526" t="n">
        <v>17251</v>
      </c>
      <c r="U226" s="526" t="n">
        <v>17579</v>
      </c>
      <c r="V226" s="526" t="n">
        <v>24723</v>
      </c>
      <c r="W226" s="526" t="n">
        <v>27683</v>
      </c>
      <c r="X226" s="526" t="n">
        <v>32755</v>
      </c>
      <c r="Y226" s="526" t="n">
        <v>29811</v>
      </c>
      <c r="Z226" s="526" t="n">
        <v>35184</v>
      </c>
      <c r="AA226" s="526" t="n">
        <v>37007</v>
      </c>
      <c r="AB226" s="526" t="n">
        <v>35895</v>
      </c>
      <c r="AC226" s="526" t="n">
        <v>40777</v>
      </c>
      <c r="AD226" s="526" t="n">
        <v>44676</v>
      </c>
      <c r="AE226" s="526" t="n">
        <v>49777</v>
      </c>
      <c r="AF226" s="526" t="n">
        <v>44092</v>
      </c>
      <c r="AG226" s="526" t="n">
        <v>41278</v>
      </c>
      <c r="AH226" s="526" t="n">
        <v>48345</v>
      </c>
      <c r="AI226" s="526" t="n">
        <v>56862</v>
      </c>
      <c r="AJ226" s="526" t="n">
        <v>46724</v>
      </c>
      <c r="AK226" s="526" t="n">
        <v>43135</v>
      </c>
      <c r="AL226" s="526" t="n">
        <v>43402</v>
      </c>
      <c r="AM226" s="526" t="n">
        <v>45493</v>
      </c>
      <c r="AN226" s="526" t="n">
        <v>50239</v>
      </c>
      <c r="AO226" s="319">
        <f>+AO227+AO228+AO230</f>
        <v/>
      </c>
      <c r="AP226" s="319">
        <f>+AP227+AP228+AP230</f>
        <v/>
      </c>
      <c r="AQ226" s="319">
        <f>+AQ227+AQ228+AQ230</f>
        <v/>
      </c>
      <c r="AR226" s="319">
        <f>+AR227+AR228+AR230</f>
        <v/>
      </c>
      <c r="AS226" s="319">
        <f>+AS227+AS228+AS230</f>
        <v/>
      </c>
      <c r="AT226" s="319">
        <f>+AT227+AT228+AT230</f>
        <v/>
      </c>
      <c r="AU226" s="753" t="n"/>
      <c r="AV226" s="758" t="n"/>
      <c r="AW226" s="734" t="n"/>
      <c r="AX226" s="689" t="n"/>
      <c r="AY226" s="758" t="n"/>
      <c r="AZ226" s="734" t="n"/>
      <c r="BA226" s="734" t="n"/>
      <c r="BB226" s="689" t="n"/>
      <c r="BD226" s="734" t="n"/>
      <c r="BE226" s="734" t="n"/>
      <c r="BF226" s="689" t="n"/>
      <c r="BQ226" s="734" t="n"/>
      <c r="CU226" s="755" t="n">
        <v>35011</v>
      </c>
      <c r="CV226" s="756" t="n">
        <v>32755</v>
      </c>
      <c r="CW226" s="527" t="n">
        <v>29746</v>
      </c>
      <c r="DU226" s="319" t="n"/>
      <c r="DV226" s="319" t="n"/>
      <c r="DW226" s="319" t="n"/>
      <c r="DY226" s="319" t="n"/>
      <c r="DZ226" s="319" t="n"/>
      <c r="EA226" s="319" t="n"/>
      <c r="EC226" s="319" t="n"/>
      <c r="ED226" s="319" t="n"/>
      <c r="EE226" s="319" t="n"/>
      <c r="EF226" s="319" t="n"/>
      <c r="EJ226" s="319" t="n"/>
      <c r="EK226" s="526" t="n">
        <v>54125</v>
      </c>
      <c r="EN226" s="319" t="n"/>
      <c r="EO226" s="526" t="n">
        <v>51477</v>
      </c>
      <c r="ES226" s="526" t="n">
        <v>46274</v>
      </c>
      <c r="EV226" s="526" t="n"/>
      <c r="EW226" s="526" t="n">
        <v>42379</v>
      </c>
      <c r="FA226" s="526" t="n">
        <v>46457</v>
      </c>
      <c r="FE226" s="526" t="n">
        <v>47814</v>
      </c>
      <c r="FI226" s="526" t="n">
        <v>52850</v>
      </c>
      <c r="FM226" s="526" t="n">
        <v>65313</v>
      </c>
    </row>
    <row r="227" customFormat="1" s="527">
      <c r="A227" s="701" t="n"/>
      <c r="B227" s="757" t="inlineStr">
        <is>
          <t>ST Debt</t>
        </is>
      </c>
      <c r="C227" s="657">
        <f>C207</f>
        <v/>
      </c>
      <c r="D227" s="657">
        <f>D207</f>
        <v/>
      </c>
      <c r="E227" s="657">
        <f>E207</f>
        <v/>
      </c>
      <c r="F227" s="657">
        <f>F207</f>
        <v/>
      </c>
      <c r="G227" s="657">
        <f>G207</f>
        <v/>
      </c>
      <c r="H227" s="657">
        <f>H207</f>
        <v/>
      </c>
      <c r="I227" s="657">
        <f>I207</f>
        <v/>
      </c>
      <c r="J227" s="657">
        <f>J207</f>
        <v/>
      </c>
      <c r="K227" s="657">
        <f>K207</f>
        <v/>
      </c>
      <c r="L227" s="657">
        <f>L207</f>
        <v/>
      </c>
      <c r="M227" s="657">
        <f>M207</f>
        <v/>
      </c>
      <c r="N227" s="657">
        <f>N207</f>
        <v/>
      </c>
      <c r="O227" s="657">
        <f>O207</f>
        <v/>
      </c>
      <c r="P227" s="657">
        <f>P207</f>
        <v/>
      </c>
      <c r="Q227" s="657">
        <f>Q207</f>
        <v/>
      </c>
      <c r="R227" s="657">
        <f>R207</f>
        <v/>
      </c>
      <c r="S227" s="657">
        <f>S207</f>
        <v/>
      </c>
      <c r="T227" s="657">
        <f>T207</f>
        <v/>
      </c>
      <c r="U227" s="657">
        <f>U207</f>
        <v/>
      </c>
      <c r="V227" s="657">
        <f>V207</f>
        <v/>
      </c>
      <c r="W227" s="657">
        <f>W207</f>
        <v/>
      </c>
      <c r="X227" s="657">
        <f>X207</f>
        <v/>
      </c>
      <c r="Y227" s="657">
        <f>Y207</f>
        <v/>
      </c>
      <c r="Z227" s="657">
        <f>Z207</f>
        <v/>
      </c>
      <c r="AA227" s="657">
        <f>AA207</f>
        <v/>
      </c>
      <c r="AB227" s="657">
        <f>AB207</f>
        <v/>
      </c>
      <c r="AC227" s="657">
        <f>AC207</f>
        <v/>
      </c>
      <c r="AD227" s="657">
        <f>AD207</f>
        <v/>
      </c>
      <c r="AE227" s="657">
        <f>AE207</f>
        <v/>
      </c>
      <c r="AF227" s="657">
        <f>AF207</f>
        <v/>
      </c>
      <c r="AG227" s="657">
        <f>AG207</f>
        <v/>
      </c>
      <c r="AH227" s="657">
        <f>AH207</f>
        <v/>
      </c>
      <c r="AI227" s="657">
        <f>AI207</f>
        <v/>
      </c>
      <c r="AJ227" s="657">
        <f>AJ207</f>
        <v/>
      </c>
      <c r="AK227" s="657">
        <f>AK207</f>
        <v/>
      </c>
      <c r="AL227" s="657">
        <f>AL207</f>
        <v/>
      </c>
      <c r="AM227" s="657">
        <f>AM207</f>
        <v/>
      </c>
      <c r="AN227" s="657">
        <f>AN207</f>
        <v/>
      </c>
      <c r="AO227" s="657">
        <f>AO207</f>
        <v/>
      </c>
      <c r="AP227" s="657">
        <f>AP207</f>
        <v/>
      </c>
      <c r="AQ227" s="657">
        <f>AQ207</f>
        <v/>
      </c>
      <c r="AR227" s="657">
        <f>AR207</f>
        <v/>
      </c>
      <c r="AS227" s="657">
        <f>AS207</f>
        <v/>
      </c>
      <c r="AT227" s="657">
        <f>AT207</f>
        <v/>
      </c>
      <c r="AU227" s="753" t="n"/>
      <c r="AV227" s="758" t="n"/>
      <c r="AW227" s="734" t="n"/>
      <c r="AX227" s="689" t="n"/>
      <c r="AY227" s="758" t="n"/>
      <c r="AZ227" s="734" t="n"/>
      <c r="BA227" s="734" t="n"/>
      <c r="BB227" s="689" t="n"/>
      <c r="BD227" s="734" t="n"/>
      <c r="BE227" s="734" t="n"/>
      <c r="BF227" s="689" t="n"/>
      <c r="BQ227" s="734" t="n"/>
      <c r="CU227" s="319" t="n"/>
      <c r="DU227" s="319" t="n"/>
      <c r="DV227" s="319" t="n"/>
      <c r="DW227" s="319" t="n"/>
      <c r="DY227" s="319" t="n"/>
      <c r="DZ227" s="319" t="n"/>
      <c r="EA227" s="319" t="n"/>
      <c r="EC227" s="319" t="n"/>
      <c r="ED227" s="319" t="n"/>
      <c r="EE227" s="319" t="n"/>
      <c r="EF227" s="319" t="n"/>
      <c r="EJ227" s="319" t="n"/>
      <c r="EK227" s="526" t="n"/>
      <c r="EN227" s="319" t="n"/>
      <c r="EO227" s="526" t="n"/>
      <c r="ES227" s="526" t="n"/>
      <c r="EV227" s="526" t="n"/>
      <c r="EW227" s="526" t="n"/>
      <c r="FA227" s="526" t="n"/>
      <c r="FE227" s="526" t="n"/>
      <c r="FI227" s="1244" t="n"/>
      <c r="FM227" s="1244" t="n"/>
    </row>
    <row r="228" customFormat="1" s="527">
      <c r="A228" s="701" t="n"/>
      <c r="B228" s="757" t="inlineStr">
        <is>
          <t>Trade payable &amp; Contract Liabilities</t>
        </is>
      </c>
      <c r="C228" s="655">
        <f>2471.4+7.4+1272.4</f>
        <v/>
      </c>
      <c r="D228" s="655">
        <f>2724.6+8.9+1690.6</f>
        <v/>
      </c>
      <c r="E228" s="655">
        <f>3122+26+2041</f>
        <v/>
      </c>
      <c r="F228" s="655">
        <f>3365+2+2468</f>
        <v/>
      </c>
      <c r="G228" s="655">
        <f>3687+4+1+2601</f>
        <v/>
      </c>
      <c r="H228" s="655">
        <f>3262+84+1+2119</f>
        <v/>
      </c>
      <c r="I228" s="655">
        <f>3416+94+2+2219</f>
        <v/>
      </c>
      <c r="J228" s="655">
        <f>4279+102+0+2276</f>
        <v/>
      </c>
      <c r="K228" s="655">
        <f>4674+150+1+2179</f>
        <v/>
      </c>
      <c r="L228" s="655">
        <f>4276+156+3+2354</f>
        <v/>
      </c>
      <c r="M228" s="655">
        <f>4240+127+10+1905</f>
        <v/>
      </c>
      <c r="N228" s="655">
        <f>5796+1783</f>
        <v/>
      </c>
      <c r="O228" s="655">
        <f>6052+1741</f>
        <v/>
      </c>
      <c r="P228" s="655">
        <f>5619+2254</f>
        <v/>
      </c>
      <c r="Q228" s="655">
        <f>4556+1965</f>
        <v/>
      </c>
      <c r="R228" s="655">
        <f>5280+2518</f>
        <v/>
      </c>
      <c r="S228" s="655">
        <f>5543+2839</f>
        <v/>
      </c>
      <c r="T228" s="655">
        <f>7163+3622</f>
        <v/>
      </c>
      <c r="U228" s="655">
        <f>7625+3864</f>
        <v/>
      </c>
      <c r="V228" s="655">
        <f>10999+4671</f>
        <v/>
      </c>
      <c r="W228" s="655">
        <f>12538+8792</f>
        <v/>
      </c>
      <c r="X228" s="655">
        <f>17722+8649</f>
        <v/>
      </c>
      <c r="Y228" s="655">
        <f>12965+8075</f>
        <v/>
      </c>
      <c r="Z228" s="655">
        <f>15773+9166</f>
        <v/>
      </c>
      <c r="AA228" s="655">
        <f>17464+9613</f>
        <v/>
      </c>
      <c r="AB228" s="655">
        <f>17470+9581</f>
        <v/>
      </c>
      <c r="AC228" s="655">
        <f>18206+11237</f>
        <v/>
      </c>
      <c r="AD228" s="655">
        <f>22458+12238</f>
        <v/>
      </c>
      <c r="AE228" s="655">
        <f>23025+13012</f>
        <v/>
      </c>
      <c r="AF228" s="655">
        <f>19104+12926</f>
        <v/>
      </c>
      <c r="AG228" s="655">
        <f>17057+13961</f>
        <v/>
      </c>
      <c r="AH228" s="655">
        <f>17646+15792</f>
        <v/>
      </c>
      <c r="AI228" s="655">
        <f>18218+15941</f>
        <v/>
      </c>
      <c r="AJ228" s="655">
        <f>12376+8122</f>
        <v/>
      </c>
      <c r="AK228" s="655">
        <f>10095+7925</f>
        <v/>
      </c>
      <c r="AL228" s="655">
        <f>11199+13537</f>
        <v/>
      </c>
      <c r="AM228" s="655">
        <f>17238+15223</f>
        <v/>
      </c>
      <c r="AN228" s="655">
        <f>18477+18365</f>
        <v/>
      </c>
      <c r="AO228" s="727">
        <f>AO118*AO229/365</f>
        <v/>
      </c>
      <c r="AP228" s="727">
        <f>AP118*AP229/365</f>
        <v/>
      </c>
      <c r="AQ228" s="727">
        <f>AQ118*AQ229/365</f>
        <v/>
      </c>
      <c r="AR228" s="727">
        <f>AR118*AR229/365</f>
        <v/>
      </c>
      <c r="AS228" s="727">
        <f>AS118*AS229/365</f>
        <v/>
      </c>
      <c r="AT228" s="727">
        <f>AT118*AT229/365</f>
        <v/>
      </c>
      <c r="AU228" s="753" t="n"/>
      <c r="AV228" s="758" t="n"/>
      <c r="AW228" s="734" t="n"/>
      <c r="AX228" s="689" t="n"/>
      <c r="AY228" s="758" t="n"/>
      <c r="AZ228" s="734" t="n"/>
      <c r="BA228" s="734" t="n"/>
      <c r="BB228" s="689" t="n"/>
      <c r="BD228" s="734" t="n"/>
      <c r="BE228" s="734" t="n"/>
      <c r="BF228" s="689" t="n"/>
      <c r="BQ228" s="734" t="n"/>
      <c r="CU228" s="319" t="n"/>
      <c r="DU228" s="319" t="n"/>
      <c r="DV228" s="319" t="n"/>
      <c r="DW228" s="319" t="n"/>
      <c r="DY228" s="319" t="n"/>
      <c r="DZ228" s="319" t="n"/>
      <c r="EA228" s="319" t="n"/>
      <c r="EC228" s="319" t="n"/>
      <c r="ED228" s="319" t="n"/>
      <c r="EE228" s="319" t="n"/>
      <c r="EF228" s="319" t="n"/>
      <c r="EJ228" s="319" t="n"/>
      <c r="EK228" s="526" t="n"/>
      <c r="EN228" s="319" t="n"/>
      <c r="EO228" s="526" t="n"/>
      <c r="ES228" s="526" t="n"/>
      <c r="EV228" s="526" t="n"/>
      <c r="EW228" s="526" t="n"/>
      <c r="FA228" s="526" t="n"/>
      <c r="FE228" s="526" t="n"/>
      <c r="FI228" s="1244" t="n"/>
      <c r="FM228" s="1244" t="n"/>
    </row>
    <row r="229" customFormat="1" s="527">
      <c r="A229" s="701" t="n"/>
      <c r="B229" s="759" t="inlineStr">
        <is>
          <t>Trade payable days</t>
        </is>
      </c>
      <c r="C229" s="657">
        <f>(C228*365)/C118</f>
        <v/>
      </c>
      <c r="D229" s="657">
        <f>(D228*365)/D118</f>
        <v/>
      </c>
      <c r="E229" s="657">
        <f>(E228*365)/E118</f>
        <v/>
      </c>
      <c r="F229" s="657">
        <f>(F228*365)/F118</f>
        <v/>
      </c>
      <c r="G229" s="657">
        <f>(G228*365)/G118</f>
        <v/>
      </c>
      <c r="H229" s="657">
        <f>(H228*365)/H118</f>
        <v/>
      </c>
      <c r="I229" s="657">
        <f>(I228*365)/I118</f>
        <v/>
      </c>
      <c r="J229" s="657">
        <f>(J228*365)/J118</f>
        <v/>
      </c>
      <c r="K229" s="657">
        <f>(K228*365)/K118</f>
        <v/>
      </c>
      <c r="L229" s="657">
        <f>(L228*365)/L118</f>
        <v/>
      </c>
      <c r="M229" s="657">
        <f>(M228*365)/M118</f>
        <v/>
      </c>
      <c r="N229" s="657">
        <f>(N228*365)/N118</f>
        <v/>
      </c>
      <c r="O229" s="657">
        <f>(O228*365)/O118</f>
        <v/>
      </c>
      <c r="P229" s="657">
        <f>(P228*365)/P118</f>
        <v/>
      </c>
      <c r="Q229" s="657">
        <f>(Q228*365)/Q118</f>
        <v/>
      </c>
      <c r="R229" s="657">
        <f>(R228*365)/R118</f>
        <v/>
      </c>
      <c r="S229" s="657">
        <f>(S228*365)/S118</f>
        <v/>
      </c>
      <c r="T229" s="657">
        <f>(T228*365)/T118</f>
        <v/>
      </c>
      <c r="U229" s="657">
        <f>(U228*365)/U118</f>
        <v/>
      </c>
      <c r="V229" s="657">
        <f>(V228*365)/V118</f>
        <v/>
      </c>
      <c r="W229" s="657">
        <f>(W228*365)/W118</f>
        <v/>
      </c>
      <c r="X229" s="657">
        <f>(X228*365)/X118</f>
        <v/>
      </c>
      <c r="Y229" s="657">
        <f>(Y228*365)/Y118</f>
        <v/>
      </c>
      <c r="Z229" s="657">
        <f>(Z228*365)/Z118</f>
        <v/>
      </c>
      <c r="AA229" s="657">
        <f>(AA228*365)/AA118</f>
        <v/>
      </c>
      <c r="AB229" s="657">
        <f>(AB228*365)/AB118</f>
        <v/>
      </c>
      <c r="AC229" s="657">
        <f>(AC228*365)/AC118</f>
        <v/>
      </c>
      <c r="AD229" s="657">
        <f>(AD228*365)/AD118</f>
        <v/>
      </c>
      <c r="AE229" s="657">
        <f>(AE228*365)/AE118</f>
        <v/>
      </c>
      <c r="AF229" s="657">
        <f>(AF228*365)/AF118</f>
        <v/>
      </c>
      <c r="AG229" s="657">
        <f>(AG228*365)/AG118</f>
        <v/>
      </c>
      <c r="AH229" s="657">
        <f>(AH228*365)/AH118</f>
        <v/>
      </c>
      <c r="AI229" s="657">
        <f>(AI228*365)/AI118</f>
        <v/>
      </c>
      <c r="AJ229" s="657">
        <f>(AJ228*365)/AJ118</f>
        <v/>
      </c>
      <c r="AK229" s="657">
        <f>(AK228*365)/AK118</f>
        <v/>
      </c>
      <c r="AL229" s="657">
        <f>(AL228*365)/AL118</f>
        <v/>
      </c>
      <c r="AM229" s="657">
        <f>(AM228*365)/AM118</f>
        <v/>
      </c>
      <c r="AN229" s="657">
        <f>(AN228*365)/AN118</f>
        <v/>
      </c>
      <c r="AO229" s="656" t="n">
        <v>110</v>
      </c>
      <c r="AP229" s="656" t="n">
        <v>110</v>
      </c>
      <c r="AQ229" s="656" t="n">
        <v>100</v>
      </c>
      <c r="AR229" s="656" t="n">
        <v>100</v>
      </c>
      <c r="AS229" s="656" t="n">
        <v>100</v>
      </c>
      <c r="AT229" s="656" t="n">
        <v>100</v>
      </c>
      <c r="AU229" s="753" t="n"/>
      <c r="AV229" s="758" t="n"/>
      <c r="AW229" s="734" t="n"/>
      <c r="AX229" s="689" t="n"/>
      <c r="AY229" s="758" t="n"/>
      <c r="AZ229" s="734" t="n"/>
      <c r="BA229" s="734" t="n"/>
      <c r="BB229" s="689" t="n"/>
      <c r="BD229" s="734" t="n"/>
      <c r="BE229" s="734" t="n"/>
      <c r="BF229" s="689" t="n"/>
      <c r="BQ229" s="734" t="n"/>
      <c r="CU229" s="319" t="n"/>
      <c r="DU229" s="319" t="n"/>
      <c r="DV229" s="319" t="n"/>
      <c r="DW229" s="319" t="n"/>
      <c r="DY229" s="319" t="n"/>
      <c r="DZ229" s="319" t="n"/>
      <c r="EA229" s="319" t="n"/>
      <c r="EC229" s="319" t="n"/>
      <c r="ED229" s="319" t="n"/>
      <c r="EE229" s="319" t="n"/>
      <c r="EF229" s="319" t="n"/>
      <c r="EJ229" s="319" t="n"/>
      <c r="EK229" s="526" t="n"/>
      <c r="EN229" s="319" t="n"/>
      <c r="EO229" s="526" t="n"/>
      <c r="ES229" s="526" t="n"/>
      <c r="EV229" s="526" t="n"/>
      <c r="EW229" s="526" t="n"/>
      <c r="FA229" s="526" t="n"/>
      <c r="FE229" s="526" t="n"/>
      <c r="FI229" s="1244" t="n"/>
      <c r="FM229" s="1244" t="n"/>
    </row>
    <row r="230" customFormat="1" s="527">
      <c r="A230" s="701" t="n"/>
      <c r="B230" s="757" t="inlineStr">
        <is>
          <t>Other current liabilities</t>
        </is>
      </c>
      <c r="C230" s="657">
        <f>C226-C227-C228</f>
        <v/>
      </c>
      <c r="D230" s="657">
        <f>D226-D227-D228</f>
        <v/>
      </c>
      <c r="E230" s="657">
        <f>E226-E227-E228</f>
        <v/>
      </c>
      <c r="F230" s="657">
        <f>F226-F227-F228</f>
        <v/>
      </c>
      <c r="G230" s="657">
        <f>G226-G227-G228</f>
        <v/>
      </c>
      <c r="H230" s="657">
        <f>H226-H227-H228</f>
        <v/>
      </c>
      <c r="I230" s="657">
        <f>I226-I227-I228</f>
        <v/>
      </c>
      <c r="J230" s="657">
        <f>J226-J227-J228</f>
        <v/>
      </c>
      <c r="K230" s="657">
        <f>K226-K227-K228</f>
        <v/>
      </c>
      <c r="L230" s="657">
        <f>L226-L227-L228</f>
        <v/>
      </c>
      <c r="M230" s="657">
        <f>M226-M227-M228</f>
        <v/>
      </c>
      <c r="N230" s="657">
        <f>N226-N227-N228</f>
        <v/>
      </c>
      <c r="O230" s="657">
        <f>O226-O227-O228</f>
        <v/>
      </c>
      <c r="P230" s="657">
        <f>P226-P227-P228</f>
        <v/>
      </c>
      <c r="Q230" s="657">
        <f>Q226-Q227-Q228</f>
        <v/>
      </c>
      <c r="R230" s="657">
        <f>R226-R227-R228</f>
        <v/>
      </c>
      <c r="S230" s="657">
        <f>S226-S227-S228</f>
        <v/>
      </c>
      <c r="T230" s="657">
        <f>T226-T227-T228</f>
        <v/>
      </c>
      <c r="U230" s="657">
        <f>U226-U227-U228</f>
        <v/>
      </c>
      <c r="V230" s="657">
        <f>V226-V227-V228</f>
        <v/>
      </c>
      <c r="W230" s="657">
        <f>W226-W227-W228</f>
        <v/>
      </c>
      <c r="X230" s="657">
        <f>X226-X227-X228</f>
        <v/>
      </c>
      <c r="Y230" s="657">
        <f>Y226-Y227-Y228</f>
        <v/>
      </c>
      <c r="Z230" s="657">
        <f>Z226-Z227-Z228</f>
        <v/>
      </c>
      <c r="AA230" s="657">
        <f>AA226-AA227-AA228</f>
        <v/>
      </c>
      <c r="AB230" s="657">
        <f>AB226-AB227-AB228</f>
        <v/>
      </c>
      <c r="AC230" s="657">
        <f>AC226-AC227-AC228</f>
        <v/>
      </c>
      <c r="AD230" s="657">
        <f>AD226-AD227-AD228</f>
        <v/>
      </c>
      <c r="AE230" s="657">
        <f>AE226-AE227-AE228</f>
        <v/>
      </c>
      <c r="AF230" s="657">
        <f>AF226-AF227-AF228</f>
        <v/>
      </c>
      <c r="AG230" s="657">
        <f>AG226-AG227-AG228</f>
        <v/>
      </c>
      <c r="AH230" s="657">
        <f>AH226-AH227-AH228</f>
        <v/>
      </c>
      <c r="AI230" s="657">
        <f>AI226-AI227-AI228</f>
        <v/>
      </c>
      <c r="AJ230" s="657">
        <f>AJ226-AJ227-AJ228</f>
        <v/>
      </c>
      <c r="AK230" s="657">
        <f>AK226-AK227-AK228</f>
        <v/>
      </c>
      <c r="AL230" s="657">
        <f>AL226-AL227-AL228</f>
        <v/>
      </c>
      <c r="AM230" s="657">
        <f>AM226-AM227-AM228</f>
        <v/>
      </c>
      <c r="AN230" s="657">
        <f>AN226-AN227-AN228</f>
        <v/>
      </c>
      <c r="AO230" s="727">
        <f>AN230</f>
        <v/>
      </c>
      <c r="AP230" s="727">
        <f>AO230</f>
        <v/>
      </c>
      <c r="AQ230" s="727">
        <f>AP230</f>
        <v/>
      </c>
      <c r="AR230" s="727">
        <f>AQ230</f>
        <v/>
      </c>
      <c r="AS230" s="727">
        <f>AR230</f>
        <v/>
      </c>
      <c r="AT230" s="727">
        <f>AS230</f>
        <v/>
      </c>
      <c r="AU230" s="753" t="n"/>
      <c r="AV230" s="758" t="n"/>
      <c r="AW230" s="734" t="n"/>
      <c r="AX230" s="689" t="n"/>
      <c r="AY230" s="758" t="n"/>
      <c r="AZ230" s="734" t="n"/>
      <c r="BA230" s="734" t="n"/>
      <c r="BB230" s="689" t="n"/>
      <c r="BD230" s="734" t="n"/>
      <c r="BE230" s="734" t="n"/>
      <c r="BF230" s="689" t="n"/>
      <c r="BQ230" s="734" t="n"/>
      <c r="CU230" s="319" t="n"/>
      <c r="DU230" s="319" t="n"/>
      <c r="DV230" s="319" t="n"/>
      <c r="DW230" s="319" t="n"/>
      <c r="DY230" s="319" t="n"/>
      <c r="DZ230" s="319" t="n"/>
      <c r="EA230" s="319" t="n"/>
      <c r="EC230" s="319" t="n"/>
      <c r="ED230" s="319" t="n"/>
      <c r="EE230" s="319" t="n"/>
      <c r="EF230" s="319" t="n"/>
      <c r="EJ230" s="319" t="n"/>
      <c r="EK230" s="526" t="n"/>
      <c r="EN230" s="319" t="n"/>
      <c r="EO230" s="526" t="n"/>
      <c r="ES230" s="526" t="n"/>
      <c r="EV230" s="526" t="n"/>
      <c r="EW230" s="526" t="n"/>
      <c r="FA230" s="526" t="n"/>
      <c r="FE230" s="526" t="n"/>
      <c r="FI230" s="1244" t="n"/>
      <c r="FM230" s="1244" t="n"/>
    </row>
    <row r="231">
      <c r="B231" s="1248" t="n"/>
      <c r="F231" s="194" t="n"/>
      <c r="G231" s="194" t="n"/>
      <c r="H231" s="194" t="n"/>
      <c r="I231" s="194" t="n"/>
      <c r="J231" s="194" t="n"/>
      <c r="K231" s="194" t="n"/>
      <c r="L231" s="194" t="n"/>
      <c r="M231" s="194" t="n"/>
      <c r="N231" s="194" t="n"/>
      <c r="O231" s="194" t="n"/>
      <c r="P231" s="194" t="n"/>
      <c r="Q231" s="194" t="n"/>
      <c r="R231" s="194" t="n"/>
      <c r="S231" s="194" t="n"/>
      <c r="T231" s="194" t="n"/>
      <c r="U231" s="194" t="n"/>
      <c r="V231" s="194" t="n"/>
      <c r="W231" s="194" t="n"/>
      <c r="X231" s="194" t="n"/>
      <c r="Y231" s="194" t="n"/>
      <c r="Z231" s="194" t="n"/>
      <c r="AA231" s="194" t="n"/>
      <c r="AB231" s="194" t="n"/>
      <c r="AC231" s="194" t="n"/>
      <c r="AD231" s="194" t="n"/>
      <c r="AE231" s="194" t="n"/>
      <c r="AF231" s="194" t="n"/>
      <c r="AG231" s="194" t="n"/>
      <c r="AH231" s="194" t="n"/>
      <c r="AI231" s="194" t="n"/>
      <c r="AJ231" s="194" t="n"/>
      <c r="AK231" s="194" t="n"/>
      <c r="AL231" s="194" t="n"/>
      <c r="AM231" s="194" t="n"/>
      <c r="AN231" s="194" t="n"/>
      <c r="AO231" s="194" t="n"/>
      <c r="AP231" s="194" t="n"/>
      <c r="AQ231" s="194" t="n"/>
      <c r="AR231" s="194" t="n"/>
      <c r="AS231" s="194" t="n"/>
      <c r="AT231" s="194" t="n"/>
      <c r="AU231" s="962" t="n"/>
      <c r="DE231" s="160" t="n"/>
      <c r="DI231" s="160" t="n"/>
      <c r="DM231" s="160" t="n"/>
      <c r="DQ231" s="160" t="n"/>
      <c r="EH231" s="1176" t="n"/>
      <c r="EI231" s="1176" t="n"/>
      <c r="EL231" s="1176" t="n"/>
      <c r="EM231" s="1176" t="n"/>
      <c r="EO231" s="161" t="n"/>
      <c r="EP231" s="1176" t="n"/>
      <c r="EQ231" s="1176" t="n"/>
      <c r="ER231" s="1176" t="n"/>
      <c r="ES231" s="161" t="n"/>
      <c r="EU231" s="1176" t="n"/>
      <c r="EV231" s="1176" t="n"/>
      <c r="EW231" s="161" t="n"/>
      <c r="EY231" s="1176" t="n"/>
      <c r="FA231" s="161" t="n"/>
      <c r="FC231" s="1176" t="n"/>
      <c r="FE231" s="161" t="n"/>
      <c r="FG231" s="1176" t="n"/>
      <c r="FI231" s="1249" t="n"/>
      <c r="FM231" s="1249" t="n"/>
      <c r="FN231" s="161" t="n"/>
    </row>
    <row r="232" customFormat="1" s="1154">
      <c r="A232" s="1155" t="n"/>
      <c r="B232" s="1154" t="inlineStr">
        <is>
          <t>Non-Current Asset</t>
        </is>
      </c>
      <c r="C232" s="526">
        <f>8447.3+155.5+373.1+218.4+2480.3</f>
        <v/>
      </c>
      <c r="D232" s="526">
        <f>9250.5+208.9+338.2+233.5+1531.2</f>
        <v/>
      </c>
      <c r="E232" s="526">
        <f>11418+255+233+196-213</f>
        <v/>
      </c>
      <c r="F232" s="526">
        <f>14786+619+430+134</f>
        <v/>
      </c>
      <c r="G232" s="526">
        <f>17658+503+512+80</f>
        <v/>
      </c>
      <c r="H232" s="526">
        <f>20796+1458</f>
        <v/>
      </c>
      <c r="I232" s="526">
        <f>22637+1578</f>
        <v/>
      </c>
      <c r="J232" s="526">
        <f>24434+1894</f>
        <v/>
      </c>
      <c r="K232" s="526">
        <f>29528+2082</f>
        <v/>
      </c>
      <c r="L232" s="526">
        <f>39126+2139</f>
        <v/>
      </c>
      <c r="M232" s="526">
        <f>42827+2590</f>
        <v/>
      </c>
      <c r="N232" s="526" t="n">
        <v>51427</v>
      </c>
      <c r="O232" s="526" t="n">
        <v>52089</v>
      </c>
      <c r="P232" s="526" t="n">
        <v>52715</v>
      </c>
      <c r="Q232" s="526" t="n">
        <v>55279</v>
      </c>
      <c r="R232" s="526" t="n">
        <v>53724</v>
      </c>
      <c r="S232" s="526" t="n">
        <v>54686</v>
      </c>
      <c r="T232" s="526" t="n">
        <v>57939</v>
      </c>
      <c r="U232" s="526" t="n">
        <v>57600</v>
      </c>
      <c r="V232" s="526" t="n">
        <v>77583</v>
      </c>
      <c r="W232" s="526" t="n">
        <v>85185</v>
      </c>
      <c r="X232" s="526" t="n">
        <v>88351</v>
      </c>
      <c r="Y232" s="526" t="n">
        <v>87694</v>
      </c>
      <c r="Z232" s="526" t="n">
        <v>91401</v>
      </c>
      <c r="AA232" s="526" t="n">
        <v>105532</v>
      </c>
      <c r="AB232" s="526" t="n">
        <v>118574</v>
      </c>
      <c r="AC232" s="526" t="n">
        <v>132390</v>
      </c>
      <c r="AD232" s="526" t="n">
        <v>138507</v>
      </c>
      <c r="AE232" s="526" t="n">
        <v>139602</v>
      </c>
      <c r="AF232" s="526" t="n">
        <v>146029</v>
      </c>
      <c r="AG232" s="526" t="n">
        <v>155543</v>
      </c>
      <c r="AH232" s="526" t="n">
        <v>160676</v>
      </c>
      <c r="AI232" s="526" t="n">
        <v>187232</v>
      </c>
      <c r="AJ232" s="526" t="n">
        <v>177007</v>
      </c>
      <c r="AK232" s="526" t="n">
        <v>167730</v>
      </c>
      <c r="AL232" s="526" t="n">
        <v>154578</v>
      </c>
      <c r="AM232" s="526" t="n">
        <v>151366</v>
      </c>
      <c r="AN232" s="526" t="n">
        <v>151998</v>
      </c>
      <c r="AO232" s="751">
        <f>+AO235+AO236+AO237+AO240</f>
        <v/>
      </c>
      <c r="AP232" s="751">
        <f>+AP235+AP236+AP237+AP240</f>
        <v/>
      </c>
      <c r="AQ232" s="751">
        <f>+AQ235+AQ236+AQ237+AQ240</f>
        <v/>
      </c>
      <c r="AR232" s="751">
        <f>+AR235+AR236+AR237+AR240</f>
        <v/>
      </c>
      <c r="AS232" s="751">
        <f>+AS235+AS236+AS237+AS240</f>
        <v/>
      </c>
      <c r="AT232" s="751">
        <f>+AT235+AT236+AT237+AT240</f>
        <v/>
      </c>
      <c r="AU232" s="1251" t="n"/>
      <c r="AV232" s="1238" t="n"/>
      <c r="AW232" s="1238" t="n"/>
      <c r="AX232" s="1239" t="n"/>
      <c r="AY232" s="1238" t="n"/>
      <c r="AZ232" s="1238" t="n"/>
      <c r="BA232" s="1238" t="n"/>
      <c r="BB232" s="1239" t="n"/>
      <c r="BD232" s="1238" t="n"/>
      <c r="BE232" s="1238" t="n"/>
      <c r="BF232" s="1239" t="n"/>
      <c r="BQ232" s="1238" t="n"/>
      <c r="DU232" s="1156" t="n"/>
      <c r="DV232" s="1156" t="n"/>
      <c r="DW232" s="1156" t="n"/>
      <c r="DY232" s="1156" t="n"/>
      <c r="DZ232" s="1156" t="n"/>
      <c r="EA232" s="1156" t="n"/>
      <c r="EC232" s="1156" t="n"/>
      <c r="ED232" s="1156" t="n"/>
      <c r="EE232" s="1156" t="n"/>
      <c r="EF232" s="1156" t="n"/>
      <c r="EJ232" s="1156" t="n"/>
      <c r="EK232" s="526" t="n"/>
      <c r="EN232" s="1156" t="n"/>
      <c r="EO232" s="526" t="n"/>
      <c r="ES232" s="526" t="n"/>
      <c r="EV232" s="526" t="n"/>
      <c r="EW232" s="526" t="n"/>
      <c r="FA232" s="526" t="n"/>
      <c r="FE232" s="526" t="n"/>
      <c r="FI232" s="1184" t="n"/>
      <c r="FM232" s="1184" t="n"/>
      <c r="FN232" s="526" t="n"/>
    </row>
    <row r="233" customFormat="1" s="1234">
      <c r="A233" s="1155" t="inlineStr">
        <is>
          <t>tfa gross bk value</t>
        </is>
      </c>
      <c r="B233" s="1179" t="inlineStr">
        <is>
          <t>TFA (gross)</t>
        </is>
      </c>
      <c r="C233" s="655" t="n">
        <v>10649.5</v>
      </c>
      <c r="D233" s="655" t="n">
        <v>12317.1</v>
      </c>
      <c r="E233" s="655" t="n">
        <v>15268.9</v>
      </c>
      <c r="F233" s="655" t="n">
        <v>19932</v>
      </c>
      <c r="G233" s="655" t="n">
        <v>24147</v>
      </c>
      <c r="H233" s="655" t="n">
        <v>28974</v>
      </c>
      <c r="I233" s="655" t="n">
        <v>30604</v>
      </c>
      <c r="J233" s="655" t="n">
        <v>33984</v>
      </c>
      <c r="K233" s="655" t="n">
        <v>39552</v>
      </c>
      <c r="L233" s="655" t="n">
        <v>50290</v>
      </c>
      <c r="M233" s="655" t="n">
        <v>56305</v>
      </c>
      <c r="N233" s="655" t="n">
        <v>63500</v>
      </c>
      <c r="O233" s="655" t="n">
        <v>65893</v>
      </c>
      <c r="P233" s="655" t="n">
        <v>68120</v>
      </c>
      <c r="Q233" s="655">
        <f>Q234+Q235</f>
        <v/>
      </c>
      <c r="R233" s="655">
        <f>R234+R235</f>
        <v/>
      </c>
      <c r="S233" s="655" t="n">
        <v>78036</v>
      </c>
      <c r="T233" s="655" t="n">
        <v>80111</v>
      </c>
      <c r="U233" s="655" t="n">
        <v>83778</v>
      </c>
      <c r="V233" s="655" t="n">
        <v>98420</v>
      </c>
      <c r="W233" s="655" t="n">
        <v>107454</v>
      </c>
      <c r="X233" s="655" t="n">
        <v>113280</v>
      </c>
      <c r="Y233" s="655" t="n">
        <v>114716</v>
      </c>
      <c r="Z233" s="655" t="n">
        <v>120848</v>
      </c>
      <c r="AA233" s="655" t="n">
        <v>130668</v>
      </c>
      <c r="AB233" s="655" t="n">
        <v>142371</v>
      </c>
      <c r="AC233" s="655" t="n">
        <v>154239</v>
      </c>
      <c r="AD233" s="655" t="n">
        <v>156954</v>
      </c>
      <c r="AE233" s="655" t="n">
        <v>157357</v>
      </c>
      <c r="AF233" s="655" t="n">
        <v>165461</v>
      </c>
      <c r="AG233" s="655" t="n">
        <v>174612</v>
      </c>
      <c r="AH233" s="655" t="n">
        <v>187399</v>
      </c>
      <c r="AI233" s="655" t="n">
        <v>222344</v>
      </c>
      <c r="AJ233" s="655" t="n">
        <v>227948</v>
      </c>
      <c r="AK233" s="655" t="n">
        <v>228713</v>
      </c>
      <c r="AL233" s="655" t="n">
        <v>225865</v>
      </c>
      <c r="AM233" s="655" t="n">
        <v>232568</v>
      </c>
      <c r="AN233" s="655" t="n">
        <v>241461</v>
      </c>
      <c r="AO233" s="727">
        <f>AN233-AO191-(AO192-AO152)</f>
        <v/>
      </c>
      <c r="AP233" s="727">
        <f>AO233-AP191-(AP192-AP152)</f>
        <v/>
      </c>
      <c r="AQ233" s="727">
        <f>AP233-AQ191-(AQ192-AQ152)</f>
        <v/>
      </c>
      <c r="AR233" s="727">
        <f>AQ233-AR191-(AR192-AR152)</f>
        <v/>
      </c>
      <c r="AS233" s="727">
        <f>AR233-AS191-(AS192-AS152)</f>
        <v/>
      </c>
      <c r="AT233" s="727">
        <f>AS233-AT191-(AT192-AT152)</f>
        <v/>
      </c>
      <c r="AU233" s="748" t="n"/>
      <c r="AV233" s="1252" t="n"/>
      <c r="AW233" s="1253" t="n"/>
      <c r="AX233" s="1254" t="n"/>
      <c r="AY233" s="1253" t="n"/>
      <c r="AZ233" s="1253" t="n"/>
      <c r="BA233" s="1253" t="n"/>
      <c r="BB233" s="1254" t="n"/>
      <c r="BD233" s="1253" t="n"/>
      <c r="BE233" s="1253" t="n"/>
      <c r="BF233" s="1254" t="n"/>
      <c r="BQ233" s="1253" t="n"/>
      <c r="DU233" s="1255" t="n"/>
      <c r="DV233" s="1255" t="n"/>
      <c r="DW233" s="1255" t="n"/>
      <c r="DY233" s="1255" t="n"/>
      <c r="DZ233" s="1255" t="n"/>
      <c r="EA233" s="1255" t="n"/>
      <c r="EC233" s="1255" t="n"/>
      <c r="ED233" s="1255" t="n"/>
      <c r="EE233" s="1255" t="n"/>
      <c r="EF233" s="1255" t="n"/>
      <c r="EJ233" s="1255" t="n"/>
      <c r="EK233" s="727" t="n"/>
      <c r="EN233" s="1255" t="n"/>
      <c r="EO233" s="727" t="n"/>
      <c r="ES233" s="727" t="n"/>
      <c r="EV233" s="727" t="n"/>
      <c r="EW233" s="727" t="n"/>
      <c r="FA233" s="727" t="n"/>
      <c r="FE233" s="727" t="n"/>
      <c r="FI233" s="1256" t="n"/>
      <c r="FM233" s="1256" t="n"/>
      <c r="FN233" s="727" t="n"/>
    </row>
    <row r="234" customFormat="1" s="1234">
      <c r="A234" s="1155" t="inlineStr">
        <is>
          <t>cumul depn</t>
        </is>
      </c>
      <c r="B234" s="1179" t="inlineStr">
        <is>
          <t>cumulative depn</t>
        </is>
      </c>
      <c r="C234" s="655" t="n">
        <v>2202.2</v>
      </c>
      <c r="D234" s="655" t="n">
        <v>3066.6</v>
      </c>
      <c r="E234" s="655" t="n">
        <v>3850.7</v>
      </c>
      <c r="F234" s="655" t="n">
        <v>5146</v>
      </c>
      <c r="G234" s="655" t="n">
        <v>6489</v>
      </c>
      <c r="H234" s="655" t="n">
        <v>8178</v>
      </c>
      <c r="I234" s="655" t="n">
        <v>7967</v>
      </c>
      <c r="J234" s="655" t="n">
        <v>9550</v>
      </c>
      <c r="K234" s="655" t="n">
        <v>10024</v>
      </c>
      <c r="L234" s="655" t="n">
        <v>11164</v>
      </c>
      <c r="M234" s="655" t="n">
        <v>13478</v>
      </c>
      <c r="N234" s="655" t="n">
        <v>15708</v>
      </c>
      <c r="O234" s="655" t="n">
        <v>17762</v>
      </c>
      <c r="P234" s="655" t="n">
        <v>19572</v>
      </c>
      <c r="Q234" s="655" t="n">
        <v>22820</v>
      </c>
      <c r="R234" s="655" t="n">
        <v>23106</v>
      </c>
      <c r="S234" s="655" t="n">
        <v>26679</v>
      </c>
      <c r="T234" s="655" t="n">
        <v>29852</v>
      </c>
      <c r="U234" s="655" t="n">
        <v>33622</v>
      </c>
      <c r="V234" s="655">
        <f>V233-V235</f>
        <v/>
      </c>
      <c r="W234" s="655">
        <f>W233-W235</f>
        <v/>
      </c>
      <c r="X234" s="655">
        <f>X233-X235</f>
        <v/>
      </c>
      <c r="Y234" s="655">
        <f>Y233-Y235</f>
        <v/>
      </c>
      <c r="Z234" s="655">
        <f>Z233-Z235</f>
        <v/>
      </c>
      <c r="AA234" s="655">
        <f>AA233-AA235</f>
        <v/>
      </c>
      <c r="AB234" s="655">
        <f>AB233-AB235</f>
        <v/>
      </c>
      <c r="AC234" s="655">
        <f>AC233-AC235</f>
        <v/>
      </c>
      <c r="AD234" s="655">
        <f>AD233-AD235</f>
        <v/>
      </c>
      <c r="AE234" s="655">
        <f>AE233-AE235</f>
        <v/>
      </c>
      <c r="AF234" s="655" t="n">
        <v>59005</v>
      </c>
      <c r="AG234" s="655" t="n">
        <v>63430</v>
      </c>
      <c r="AH234" s="655" t="n">
        <v>70275</v>
      </c>
      <c r="AI234" s="655" t="n">
        <v>82230</v>
      </c>
      <c r="AJ234" s="655" t="n">
        <v>96023</v>
      </c>
      <c r="AK234" s="655" t="n">
        <v>104723</v>
      </c>
      <c r="AL234" s="655" t="n">
        <v>107010</v>
      </c>
      <c r="AM234" s="655" t="n">
        <v>116480</v>
      </c>
      <c r="AN234" s="655" t="n">
        <v>125004</v>
      </c>
      <c r="AO234" s="727">
        <f>AN234+AO129</f>
        <v/>
      </c>
      <c r="AP234" s="727">
        <f>AO234+AP129</f>
        <v/>
      </c>
      <c r="AQ234" s="727">
        <f>AP234+AQ129</f>
        <v/>
      </c>
      <c r="AR234" s="727">
        <f>AQ234+AR129</f>
        <v/>
      </c>
      <c r="AS234" s="727">
        <f>AR234+AS129</f>
        <v/>
      </c>
      <c r="AT234" s="727">
        <f>AS234+AT129</f>
        <v/>
      </c>
      <c r="AU234" s="1255" t="n"/>
      <c r="AV234" s="1253" t="n"/>
      <c r="AW234" s="1253" t="n"/>
      <c r="AX234" s="1254" t="n"/>
      <c r="AY234" s="1253" t="n"/>
      <c r="AZ234" s="1253" t="n"/>
      <c r="BA234" s="1253" t="n"/>
      <c r="BB234" s="1254" t="n"/>
      <c r="BD234" s="1253" t="n"/>
      <c r="BE234" s="1253" t="n"/>
      <c r="BF234" s="1254" t="n"/>
      <c r="BQ234" s="1253" t="n"/>
      <c r="DU234" s="1255" t="n"/>
      <c r="DV234" s="1255" t="n"/>
      <c r="DW234" s="1255" t="n"/>
      <c r="DY234" s="1255" t="n"/>
      <c r="DZ234" s="1255" t="n"/>
      <c r="EA234" s="1255" t="n"/>
      <c r="EC234" s="1255" t="n"/>
      <c r="ED234" s="1255" t="n"/>
      <c r="EE234" s="1255" t="n"/>
      <c r="EF234" s="1255" t="n"/>
      <c r="EJ234" s="1255" t="n"/>
      <c r="EK234" s="727">
        <f>AE234+EK129</f>
        <v/>
      </c>
      <c r="EN234" s="1255" t="n"/>
      <c r="EO234" s="727">
        <f>AI234+EO129</f>
        <v/>
      </c>
      <c r="ES234" s="727">
        <f>AJ234+ES129</f>
        <v/>
      </c>
      <c r="EV234" s="727" t="n"/>
      <c r="EW234" s="727">
        <f>AK234+EW129</f>
        <v/>
      </c>
      <c r="FA234" s="727">
        <f>AL234+FA129</f>
        <v/>
      </c>
      <c r="FE234" s="727">
        <f>AM234+FE129</f>
        <v/>
      </c>
      <c r="FI234" s="727">
        <f>AN234+FI129</f>
        <v/>
      </c>
      <c r="FM234" s="727">
        <f>AR234+FM129</f>
        <v/>
      </c>
      <c r="FN234" s="727" t="n"/>
    </row>
    <row r="235" customFormat="1" s="1234">
      <c r="A235" s="1155" t="n"/>
      <c r="B235" s="1179" t="inlineStr">
        <is>
          <t>TFA (net)</t>
        </is>
      </c>
      <c r="C235" s="1234">
        <f>C233-C234</f>
        <v/>
      </c>
      <c r="D235" s="1234">
        <f>D233-D234</f>
        <v/>
      </c>
      <c r="E235" s="1234">
        <f>E233-E234</f>
        <v/>
      </c>
      <c r="F235" s="1234">
        <f>F233-F234</f>
        <v/>
      </c>
      <c r="G235" s="655">
        <f>G233-G234</f>
        <v/>
      </c>
      <c r="H235" s="655">
        <f>H233-H234</f>
        <v/>
      </c>
      <c r="I235" s="655">
        <f>I233-I234</f>
        <v/>
      </c>
      <c r="J235" s="655">
        <f>J233-J234</f>
        <v/>
      </c>
      <c r="K235" s="655">
        <f>K233-K234</f>
        <v/>
      </c>
      <c r="L235" s="655">
        <f>L233-L234</f>
        <v/>
      </c>
      <c r="M235" s="655">
        <f>M233-M234</f>
        <v/>
      </c>
      <c r="N235" s="655">
        <f>N233-N234</f>
        <v/>
      </c>
      <c r="O235" s="655">
        <f>O233-O234</f>
        <v/>
      </c>
      <c r="P235" s="655">
        <f>P233-P234</f>
        <v/>
      </c>
      <c r="Q235" s="655" t="n">
        <v>51660</v>
      </c>
      <c r="R235" s="655" t="n">
        <v>50038</v>
      </c>
      <c r="S235" s="655">
        <f>S233-S234</f>
        <v/>
      </c>
      <c r="T235" s="655" t="n">
        <v>50259</v>
      </c>
      <c r="U235" s="655" t="n">
        <v>50156</v>
      </c>
      <c r="V235" s="655" t="n">
        <v>57602</v>
      </c>
      <c r="W235" s="655" t="n">
        <v>62388</v>
      </c>
      <c r="X235" s="655" t="n">
        <v>66039</v>
      </c>
      <c r="Y235" s="655" t="n">
        <v>65495</v>
      </c>
      <c r="Z235" s="655" t="n">
        <v>66112</v>
      </c>
      <c r="AA235" s="655" t="n">
        <v>73498</v>
      </c>
      <c r="AB235" s="655" t="n">
        <v>84278</v>
      </c>
      <c r="AC235" s="655" t="n">
        <v>94935</v>
      </c>
      <c r="AD235" s="655" t="n">
        <v>98471</v>
      </c>
      <c r="AE235" s="655" t="n">
        <v>100552</v>
      </c>
      <c r="AF235" s="655" t="n">
        <v>106456</v>
      </c>
      <c r="AG235" s="655" t="n">
        <v>111182</v>
      </c>
      <c r="AH235" s="655" t="n">
        <v>117124</v>
      </c>
      <c r="AI235" s="655" t="n">
        <v>140114</v>
      </c>
      <c r="AJ235" s="655" t="n">
        <v>131925</v>
      </c>
      <c r="AK235" s="655" t="n">
        <v>123990</v>
      </c>
      <c r="AL235" s="655" t="n">
        <v>118855</v>
      </c>
      <c r="AM235" s="655" t="n">
        <v>116088</v>
      </c>
      <c r="AN235" s="655" t="n">
        <v>116457</v>
      </c>
      <c r="AO235" s="727">
        <f>AO233-AO234</f>
        <v/>
      </c>
      <c r="AP235" s="727">
        <f>AP233-AP234</f>
        <v/>
      </c>
      <c r="AQ235" s="727">
        <f>AQ233-AQ234</f>
        <v/>
      </c>
      <c r="AR235" s="727">
        <f>AR233-AR234</f>
        <v/>
      </c>
      <c r="AS235" s="727">
        <f>AS233-AS234</f>
        <v/>
      </c>
      <c r="AT235" s="727">
        <f>AT233-AT234</f>
        <v/>
      </c>
      <c r="AU235" s="1255" t="n"/>
      <c r="AV235" s="1253" t="n"/>
      <c r="AW235" s="1253" t="n"/>
      <c r="AX235" s="1254" t="n"/>
      <c r="AY235" s="1253" t="n"/>
      <c r="AZ235" s="1253" t="n"/>
      <c r="BA235" s="1253" t="n"/>
      <c r="BB235" s="1254" t="n"/>
      <c r="BD235" s="1253" t="n"/>
      <c r="BE235" s="1253" t="n"/>
      <c r="BF235" s="1254" t="n"/>
      <c r="BQ235" s="1253" t="n"/>
      <c r="DU235" s="1255" t="n"/>
      <c r="DV235" s="1255" t="n"/>
      <c r="DW235" s="1255" t="n"/>
      <c r="DY235" s="1255" t="n"/>
      <c r="DZ235" s="1255" t="n"/>
      <c r="EA235" s="1255" t="n"/>
      <c r="EC235" s="1255" t="n"/>
      <c r="ED235" s="1255" t="n"/>
      <c r="EE235" s="1255" t="n"/>
      <c r="EF235" s="1255" t="n"/>
      <c r="EJ235" s="1255" t="n"/>
      <c r="EK235" s="655" t="n">
        <v>136689</v>
      </c>
      <c r="EN235" s="1255" t="n"/>
      <c r="EO235" s="655" t="n">
        <v>132936</v>
      </c>
      <c r="ES235" s="655" t="n">
        <v>128252</v>
      </c>
      <c r="EV235" s="655" t="n"/>
      <c r="EW235" s="655" t="n">
        <v>120024</v>
      </c>
      <c r="FA235" s="655" t="n">
        <v>116413</v>
      </c>
      <c r="FE235" s="655" t="n">
        <v>113377</v>
      </c>
      <c r="FI235" s="1257" t="n">
        <v>116085</v>
      </c>
      <c r="FM235" s="1257" t="n">
        <v>115861</v>
      </c>
      <c r="FN235" s="655" t="n"/>
    </row>
    <row r="236" customFormat="1" s="1234">
      <c r="A236" s="1155" t="n"/>
      <c r="B236" s="1179" t="inlineStr">
        <is>
          <t>Goodwill</t>
        </is>
      </c>
      <c r="C236" s="655" t="n">
        <v>0</v>
      </c>
      <c r="D236" s="655" t="n">
        <v>0</v>
      </c>
      <c r="E236" s="655" t="n">
        <v>0</v>
      </c>
      <c r="F236" s="655" t="n">
        <v>0</v>
      </c>
      <c r="G236" s="655" t="n">
        <v>0</v>
      </c>
      <c r="H236" s="655" t="n">
        <v>0</v>
      </c>
      <c r="I236" s="655" t="n">
        <v>0</v>
      </c>
      <c r="J236" s="655" t="n">
        <v>0</v>
      </c>
      <c r="K236" s="655" t="n">
        <v>0</v>
      </c>
      <c r="L236" s="655" t="n">
        <v>0</v>
      </c>
      <c r="M236" s="655" t="n">
        <v>0</v>
      </c>
      <c r="N236" s="655" t="n">
        <v>0</v>
      </c>
      <c r="O236" s="655" t="n">
        <v>410</v>
      </c>
      <c r="P236" s="655" t="n">
        <v>411</v>
      </c>
      <c r="Q236" s="655" t="n">
        <v>454</v>
      </c>
      <c r="R236" s="655" t="n">
        <v>489</v>
      </c>
      <c r="S236" s="655" t="n">
        <v>405</v>
      </c>
      <c r="T236" s="655" t="n">
        <v>348</v>
      </c>
      <c r="U236" s="655" t="n">
        <v>260</v>
      </c>
      <c r="V236" s="655" t="n">
        <v>7749</v>
      </c>
      <c r="W236" s="655" t="n">
        <v>7782</v>
      </c>
      <c r="X236" s="655" t="n">
        <v>7782</v>
      </c>
      <c r="Y236" s="655" t="n">
        <v>7850</v>
      </c>
      <c r="Z236" s="655" t="n">
        <v>8004</v>
      </c>
      <c r="AA236" s="655" t="n">
        <v>8601</v>
      </c>
      <c r="AB236" s="655" t="n">
        <v>9425</v>
      </c>
      <c r="AC236" s="655" t="n">
        <v>9802</v>
      </c>
      <c r="AD236" s="655" t="n">
        <v>10318</v>
      </c>
      <c r="AE236" s="655" t="n">
        <v>10606</v>
      </c>
      <c r="AF236" s="655" t="n">
        <v>10934</v>
      </c>
      <c r="AG236" s="655" t="n">
        <v>11221</v>
      </c>
      <c r="AH236" s="655" t="n">
        <v>11174</v>
      </c>
      <c r="AI236" s="655" t="n">
        <v>15151</v>
      </c>
      <c r="AJ236" s="655" t="n">
        <v>15061</v>
      </c>
      <c r="AK236" s="655" t="n">
        <v>15035</v>
      </c>
      <c r="AL236" s="655" t="n">
        <v>14800</v>
      </c>
      <c r="AM236" s="655" t="n">
        <v>14539</v>
      </c>
      <c r="AN236" s="655" t="n">
        <v>14420</v>
      </c>
      <c r="AO236" s="656">
        <f>AN236</f>
        <v/>
      </c>
      <c r="AP236" s="656">
        <f>AO236</f>
        <v/>
      </c>
      <c r="AQ236" s="656">
        <f>AP236</f>
        <v/>
      </c>
      <c r="AR236" s="656">
        <f>AQ236</f>
        <v/>
      </c>
      <c r="AS236" s="656">
        <f>AR236</f>
        <v/>
      </c>
      <c r="AT236" s="656">
        <f>AS236</f>
        <v/>
      </c>
      <c r="AU236" s="1258" t="n"/>
      <c r="AV236" s="1253" t="n"/>
      <c r="AW236" s="1253" t="n"/>
      <c r="AX236" s="1254" t="n"/>
      <c r="AY236" s="1253" t="n"/>
      <c r="AZ236" s="1253" t="n"/>
      <c r="BA236" s="1253" t="n"/>
      <c r="BB236" s="1254" t="n"/>
      <c r="BD236" s="1253" t="n"/>
      <c r="BE236" s="1253" t="n"/>
      <c r="BF236" s="1254" t="n"/>
      <c r="BQ236" s="1253" t="n"/>
      <c r="DU236" s="1255" t="n"/>
      <c r="DV236" s="1255" t="n"/>
      <c r="DW236" s="1255" t="n"/>
      <c r="DY236" s="1255" t="n"/>
      <c r="DZ236" s="1255" t="n"/>
      <c r="EA236" s="1255" t="n"/>
      <c r="EC236" s="1255" t="n"/>
      <c r="ED236" s="1255" t="n"/>
      <c r="EE236" s="1255" t="n"/>
      <c r="EF236" s="1255" t="n"/>
      <c r="EJ236" s="1255" t="n"/>
      <c r="EK236" s="655" t="n">
        <v>11153</v>
      </c>
      <c r="EN236" s="1255" t="n"/>
      <c r="EO236" s="655" t="n">
        <v>15069</v>
      </c>
      <c r="ES236" s="655" t="n">
        <v>15062</v>
      </c>
      <c r="EV236" s="655" t="n"/>
      <c r="EW236" s="655" t="n">
        <v>14966</v>
      </c>
      <c r="FA236" s="655" t="n">
        <v>14671</v>
      </c>
      <c r="FE236" s="655" t="n">
        <v>14449</v>
      </c>
      <c r="FI236" s="1257" t="n">
        <v>14375</v>
      </c>
      <c r="FM236" s="1257" t="n">
        <v>14268</v>
      </c>
      <c r="FN236" s="655" t="n"/>
    </row>
    <row r="237" customFormat="1" s="1234">
      <c r="A237" s="1155" t="n"/>
      <c r="B237" s="1179" t="inlineStr">
        <is>
          <t>Investments</t>
        </is>
      </c>
      <c r="C237" s="657">
        <f>SUM(C238:C239)</f>
        <v/>
      </c>
      <c r="D237" s="657">
        <f>SUM(D238:D239)</f>
        <v/>
      </c>
      <c r="E237" s="657">
        <f>SUM(E238:E239)</f>
        <v/>
      </c>
      <c r="F237" s="657">
        <f>SUM(F238:F239)</f>
        <v/>
      </c>
      <c r="G237" s="657">
        <f>SUM(G238:G239)</f>
        <v/>
      </c>
      <c r="H237" s="657">
        <f>SUM(H238:H239)</f>
        <v/>
      </c>
      <c r="I237" s="657">
        <f>SUM(I238:I239)</f>
        <v/>
      </c>
      <c r="J237" s="657">
        <f>SUM(J238:J239)</f>
        <v/>
      </c>
      <c r="K237" s="657">
        <f>SUM(K238:K239)</f>
        <v/>
      </c>
      <c r="L237" s="657">
        <f>SUM(L238:L239)</f>
        <v/>
      </c>
      <c r="M237" s="657">
        <f>SUM(M238:M239)</f>
        <v/>
      </c>
      <c r="N237" s="657">
        <f>SUM(N238:N239)</f>
        <v/>
      </c>
      <c r="O237" s="657">
        <f>SUM(O238:O239)</f>
        <v/>
      </c>
      <c r="P237" s="657">
        <f>SUM(P238:P239)</f>
        <v/>
      </c>
      <c r="Q237" s="657">
        <f>SUM(Q238:Q239)</f>
        <v/>
      </c>
      <c r="R237" s="657">
        <f>SUM(R238:R239)</f>
        <v/>
      </c>
      <c r="S237" s="657">
        <f>SUM(S238:S239)</f>
        <v/>
      </c>
      <c r="T237" s="657">
        <f>SUM(T238:T239)</f>
        <v/>
      </c>
      <c r="U237" s="657">
        <f>SUM(U238:U239)</f>
        <v/>
      </c>
      <c r="V237" s="657">
        <f>SUM(V238:V239)</f>
        <v/>
      </c>
      <c r="W237" s="657">
        <f>SUM(W238:W239)</f>
        <v/>
      </c>
      <c r="X237" s="657">
        <f>SUM(X238:X239)</f>
        <v/>
      </c>
      <c r="Y237" s="657">
        <f>SUM(Y238:Y239)</f>
        <v/>
      </c>
      <c r="Z237" s="657">
        <f>SUM(Z238:Z239)</f>
        <v/>
      </c>
      <c r="AA237" s="657">
        <f>SUM(AA238:AA239)</f>
        <v/>
      </c>
      <c r="AB237" s="657">
        <f>SUM(AB238:AB239)</f>
        <v/>
      </c>
      <c r="AC237" s="657">
        <f>SUM(AC238:AC239)</f>
        <v/>
      </c>
      <c r="AD237" s="657">
        <f>SUM(AD238:AD239)</f>
        <v/>
      </c>
      <c r="AE237" s="657">
        <f>SUM(AE238:AE239)</f>
        <v/>
      </c>
      <c r="AF237" s="657">
        <f>SUM(AF238:AF239)</f>
        <v/>
      </c>
      <c r="AG237" s="657">
        <f>SUM(AG238:AG239)</f>
        <v/>
      </c>
      <c r="AH237" s="657">
        <f>SUM(AH238:AH239)</f>
        <v/>
      </c>
      <c r="AI237" s="657">
        <f>SUM(AI238:AI239)</f>
        <v/>
      </c>
      <c r="AJ237" s="657">
        <f>SUM(AJ238:AJ239)</f>
        <v/>
      </c>
      <c r="AK237" s="657">
        <f>SUM(AK238:AK239)</f>
        <v/>
      </c>
      <c r="AL237" s="657">
        <f>SUM(AL238:AL239)</f>
        <v/>
      </c>
      <c r="AM237" s="657">
        <f>SUM(AM238:AM239)</f>
        <v/>
      </c>
      <c r="AN237" s="657">
        <f>SUM(AN238:AN239)</f>
        <v/>
      </c>
      <c r="AO237" s="657">
        <f>SUM(AO238:AO239)</f>
        <v/>
      </c>
      <c r="AP237" s="657">
        <f>SUM(AP238:AP239)</f>
        <v/>
      </c>
      <c r="AQ237" s="657">
        <f>SUM(AQ238:AQ239)</f>
        <v/>
      </c>
      <c r="AR237" s="657">
        <f>SUM(AR238:AR239)</f>
        <v/>
      </c>
      <c r="AS237" s="657">
        <f>SUM(AS238:AS239)</f>
        <v/>
      </c>
      <c r="AT237" s="657">
        <f>SUM(AT238:AT239)</f>
        <v/>
      </c>
      <c r="AU237" s="1258" t="n"/>
      <c r="AV237" s="1253" t="n"/>
      <c r="AW237" s="1253" t="n"/>
      <c r="AX237" s="1254" t="n"/>
      <c r="AY237" s="1253" t="n"/>
      <c r="AZ237" s="1253" t="n"/>
      <c r="BA237" s="1253" t="n"/>
      <c r="BB237" s="1254" t="n"/>
      <c r="BD237" s="1253" t="n"/>
      <c r="BE237" s="1253" t="n"/>
      <c r="BF237" s="1254" t="n"/>
      <c r="BQ237" s="1253" t="n"/>
      <c r="DU237" s="1255" t="n"/>
      <c r="DV237" s="1255" t="n"/>
      <c r="DW237" s="1255" t="n"/>
      <c r="DY237" s="1255" t="n"/>
      <c r="DZ237" s="1255" t="n"/>
      <c r="EA237" s="1255" t="n"/>
      <c r="EC237" s="1255" t="n"/>
      <c r="ED237" s="1255" t="n"/>
      <c r="EE237" s="1255" t="n"/>
      <c r="EF237" s="1255" t="n"/>
      <c r="EJ237" s="1255" t="n"/>
      <c r="EK237" s="655">
        <f>26343+4874</f>
        <v/>
      </c>
      <c r="EN237" s="1255" t="n"/>
      <c r="EO237" s="655">
        <f>25746+3355</f>
        <v/>
      </c>
      <c r="ES237" s="655">
        <f>25302+3287</f>
        <v/>
      </c>
      <c r="EV237" s="655" t="n"/>
      <c r="EW237" s="655">
        <f>20906+3491</f>
        <v/>
      </c>
      <c r="FA237" s="655">
        <f>14634+3317</f>
        <v/>
      </c>
      <c r="FE237" s="655">
        <f>15359+3784</f>
        <v/>
      </c>
      <c r="FI237" s="655">
        <f>16497+3558</f>
        <v/>
      </c>
      <c r="FM237" s="655">
        <f>18869+3679</f>
        <v/>
      </c>
      <c r="FN237" s="655" t="n"/>
    </row>
    <row r="238" customFormat="1" s="1234">
      <c r="A238" s="1155" t="n"/>
      <c r="B238" s="1183" t="inlineStr">
        <is>
          <t>Investment in Associates</t>
        </is>
      </c>
      <c r="C238" s="655" t="n">
        <v>155.5</v>
      </c>
      <c r="D238" s="655" t="n">
        <v>208.9</v>
      </c>
      <c r="E238" s="655" t="n">
        <v>255</v>
      </c>
      <c r="F238" s="655" t="n">
        <v>430</v>
      </c>
      <c r="G238" s="655" t="n">
        <v>512</v>
      </c>
      <c r="H238" s="655" t="n">
        <v>646</v>
      </c>
      <c r="I238" s="655" t="n">
        <v>680</v>
      </c>
      <c r="J238" s="655" t="n">
        <v>792</v>
      </c>
      <c r="K238" s="655" t="n">
        <v>823</v>
      </c>
      <c r="L238" s="655" t="n">
        <v>919</v>
      </c>
      <c r="M238" s="655" t="n">
        <v>1145</v>
      </c>
      <c r="N238" s="655">
        <f>1325</f>
        <v/>
      </c>
      <c r="O238" s="655">
        <f>1367</f>
        <v/>
      </c>
      <c r="P238" s="655">
        <f>1532</f>
        <v/>
      </c>
      <c r="Q238" s="655">
        <f>1590</f>
        <v/>
      </c>
      <c r="R238" s="655">
        <f>1739</f>
        <v/>
      </c>
      <c r="S238" s="655">
        <f>1661</f>
        <v/>
      </c>
      <c r="T238" s="655">
        <f>1743</f>
        <v/>
      </c>
      <c r="U238" s="655">
        <f>1731</f>
        <v/>
      </c>
      <c r="V238" s="655">
        <f>8826</f>
        <v/>
      </c>
      <c r="W238" s="655">
        <f>9896</f>
        <v/>
      </c>
      <c r="X238" s="655">
        <f>9581</f>
        <v/>
      </c>
      <c r="Y238" s="655">
        <f>9042</f>
        <v/>
      </c>
      <c r="Z238" s="655">
        <f>12926</f>
        <v/>
      </c>
      <c r="AA238" s="655">
        <f>17902</f>
        <v/>
      </c>
      <c r="AB238" s="655">
        <f>18522</f>
        <v/>
      </c>
      <c r="AC238" s="655">
        <f>20314</f>
        <v/>
      </c>
      <c r="AD238" s="655">
        <f>22918</f>
        <v/>
      </c>
      <c r="AE238" s="655">
        <f>22878</f>
        <v/>
      </c>
      <c r="AF238" s="655">
        <f>23298</f>
        <v/>
      </c>
      <c r="AG238" s="655">
        <f>28144</f>
        <v/>
      </c>
      <c r="AH238" s="655">
        <f>27570</f>
        <v/>
      </c>
      <c r="AI238" s="655" t="n">
        <v>27055</v>
      </c>
      <c r="AJ238" s="655">
        <f>26489</f>
        <v/>
      </c>
      <c r="AK238" s="655" t="n">
        <v>24532</v>
      </c>
      <c r="AL238" s="655">
        <f>16492</f>
        <v/>
      </c>
      <c r="AM238" s="655">
        <f>16046</f>
        <v/>
      </c>
      <c r="AN238" s="655">
        <f>16371</f>
        <v/>
      </c>
      <c r="AO238" s="657">
        <f>AN238+AO145</f>
        <v/>
      </c>
      <c r="AP238" s="657">
        <f>AO238+AP145</f>
        <v/>
      </c>
      <c r="AQ238" s="657">
        <f>AP238+AQ145</f>
        <v/>
      </c>
      <c r="AR238" s="657">
        <f>AQ238+AR145</f>
        <v/>
      </c>
      <c r="AS238" s="657">
        <f>AR238+AS145</f>
        <v/>
      </c>
      <c r="AT238" s="657">
        <f>AS238+AT145</f>
        <v/>
      </c>
      <c r="AU238" s="1258" t="n"/>
      <c r="AV238" s="1253" t="n"/>
      <c r="AW238" s="1253" t="n"/>
      <c r="AX238" s="1254" t="n"/>
      <c r="AY238" s="1253" t="n"/>
      <c r="AZ238" s="1253" t="n"/>
      <c r="BA238" s="1253" t="n"/>
      <c r="BB238" s="1254" t="n"/>
      <c r="BD238" s="1253" t="n"/>
      <c r="BE238" s="1253" t="n"/>
      <c r="BF238" s="1254" t="n"/>
      <c r="BQ238" s="1253" t="n"/>
      <c r="DU238" s="1255" t="n"/>
      <c r="DV238" s="1255" t="n"/>
      <c r="DW238" s="1255" t="n"/>
      <c r="DY238" s="1255" t="n"/>
      <c r="DZ238" s="1255" t="n"/>
      <c r="EA238" s="1255" t="n"/>
      <c r="EC238" s="1255" t="n"/>
      <c r="ED238" s="1255" t="n"/>
      <c r="EE238" s="1255" t="n"/>
      <c r="EF238" s="1255" t="n"/>
      <c r="EJ238" s="1255" t="n"/>
      <c r="EK238" s="655" t="n"/>
      <c r="EN238" s="1255" t="n"/>
      <c r="EO238" s="655" t="n"/>
      <c r="ES238" s="655" t="n"/>
      <c r="EV238" s="655" t="n"/>
      <c r="EW238" s="655" t="n"/>
      <c r="FA238" s="655" t="n"/>
      <c r="FE238" s="655" t="n"/>
      <c r="FI238" s="1257" t="n"/>
      <c r="FM238" s="1257" t="n"/>
      <c r="FN238" s="655" t="n"/>
    </row>
    <row r="239" customFormat="1" s="1234">
      <c r="A239" s="1155" t="n"/>
      <c r="B239" s="1183" t="inlineStr">
        <is>
          <t>Other Investment</t>
        </is>
      </c>
      <c r="C239" s="655" t="n">
        <v>273.1</v>
      </c>
      <c r="D239" s="655" t="n">
        <v>338.2</v>
      </c>
      <c r="E239" s="655" t="n">
        <v>233</v>
      </c>
      <c r="F239" s="655" t="n">
        <v>619</v>
      </c>
      <c r="G239" s="655" t="n">
        <v>503</v>
      </c>
      <c r="H239" s="655" t="n">
        <v>673</v>
      </c>
      <c r="I239" s="655" t="n">
        <v>779</v>
      </c>
      <c r="J239" s="655" t="n">
        <v>997</v>
      </c>
      <c r="K239" s="655" t="n">
        <v>1137</v>
      </c>
      <c r="L239" s="655" t="n">
        <v>1220</v>
      </c>
      <c r="M239" s="655" t="n">
        <v>1445</v>
      </c>
      <c r="N239" s="655">
        <f>2310</f>
        <v/>
      </c>
      <c r="O239" s="655">
        <f>2181</f>
        <v/>
      </c>
      <c r="P239" s="655">
        <f>2224</f>
        <v/>
      </c>
      <c r="Q239" s="655">
        <f>1575</f>
        <v/>
      </c>
      <c r="R239" s="655">
        <f>1458</f>
        <v/>
      </c>
      <c r="S239" s="655">
        <f>1263</f>
        <v/>
      </c>
      <c r="T239" s="655">
        <f>5589</f>
        <v/>
      </c>
      <c r="U239" s="655">
        <f>5453</f>
        <v/>
      </c>
      <c r="V239" s="655">
        <f>3406</f>
        <v/>
      </c>
      <c r="W239" s="655">
        <f>5119</f>
        <v/>
      </c>
      <c r="X239" s="655">
        <f>4949</f>
        <v/>
      </c>
      <c r="Y239" s="655">
        <f>5307</f>
        <v/>
      </c>
      <c r="Z239" s="655">
        <f>4359</f>
        <v/>
      </c>
      <c r="AA239" s="655">
        <f>5491</f>
        <v/>
      </c>
      <c r="AB239" s="655">
        <f>6254</f>
        <v/>
      </c>
      <c r="AC239" s="655">
        <f>7135</f>
        <v/>
      </c>
      <c r="AD239" s="655">
        <f>6372</f>
        <v/>
      </c>
      <c r="AE239" s="655">
        <f>5069</f>
        <v/>
      </c>
      <c r="AF239" s="655">
        <f>4604</f>
        <v/>
      </c>
      <c r="AG239" s="655" t="n">
        <v>4068</v>
      </c>
      <c r="AH239" s="655" t="n">
        <v>4015</v>
      </c>
      <c r="AI239" s="655" t="n">
        <v>3823</v>
      </c>
      <c r="AJ239" s="655" t="n">
        <v>2905</v>
      </c>
      <c r="AK239" s="655" t="n">
        <v>3327</v>
      </c>
      <c r="AL239" s="655" t="n">
        <v>3297</v>
      </c>
      <c r="AM239" s="655" t="n">
        <v>3608</v>
      </c>
      <c r="AN239" s="655" t="n">
        <v>3598</v>
      </c>
      <c r="AO239" s="657">
        <f>AN239</f>
        <v/>
      </c>
      <c r="AP239" s="657">
        <f>AO239</f>
        <v/>
      </c>
      <c r="AQ239" s="657">
        <f>AP239</f>
        <v/>
      </c>
      <c r="AR239" s="657">
        <f>AQ239</f>
        <v/>
      </c>
      <c r="AS239" s="657">
        <f>AR239</f>
        <v/>
      </c>
      <c r="AT239" s="657">
        <f>AS239</f>
        <v/>
      </c>
      <c r="AU239" s="1258" t="n"/>
      <c r="AV239" s="1253" t="n"/>
      <c r="AW239" s="1253" t="n"/>
      <c r="AX239" s="1254" t="n"/>
      <c r="AY239" s="1253" t="n"/>
      <c r="AZ239" s="1253" t="n"/>
      <c r="BA239" s="1253" t="n"/>
      <c r="BB239" s="1254" t="n"/>
      <c r="BD239" s="1253" t="n"/>
      <c r="BE239" s="1253" t="n"/>
      <c r="BF239" s="1254" t="n"/>
      <c r="BQ239" s="1253" t="n"/>
      <c r="DU239" s="1255" t="n"/>
      <c r="DV239" s="1255" t="n"/>
      <c r="DW239" s="1255" t="n"/>
      <c r="DY239" s="1255" t="n"/>
      <c r="DZ239" s="1255" t="n"/>
      <c r="EA239" s="1255" t="n"/>
      <c r="EC239" s="1255" t="n"/>
      <c r="ED239" s="1255" t="n"/>
      <c r="EE239" s="1255" t="n"/>
      <c r="EF239" s="1255" t="n"/>
      <c r="EJ239" s="1255" t="n"/>
      <c r="EK239" s="655" t="n"/>
      <c r="EN239" s="1255" t="n"/>
      <c r="EO239" s="655" t="n"/>
      <c r="ES239" s="655" t="n"/>
      <c r="EV239" s="655" t="n"/>
      <c r="EW239" s="655" t="n"/>
      <c r="FA239" s="655" t="n"/>
      <c r="FE239" s="655" t="n"/>
      <c r="FI239" s="1257" t="n"/>
      <c r="FM239" s="1257" t="n"/>
      <c r="FN239" s="655" t="n"/>
    </row>
    <row r="240" customFormat="1" s="1234">
      <c r="A240" s="1155" t="n"/>
      <c r="B240" s="1179" t="inlineStr">
        <is>
          <t>Other non-current assets</t>
        </is>
      </c>
      <c r="C240" s="657">
        <f>C232-C237-C236-C235</f>
        <v/>
      </c>
      <c r="D240" s="657">
        <f>D232-D237-D236-D235</f>
        <v/>
      </c>
      <c r="E240" s="657">
        <f>E232-E237-E236-E235</f>
        <v/>
      </c>
      <c r="F240" s="657">
        <f>F232-F237-F236-F235</f>
        <v/>
      </c>
      <c r="G240" s="657">
        <f>G232-G237-G236-G235</f>
        <v/>
      </c>
      <c r="H240" s="657">
        <f>H232-H237-H236-H235</f>
        <v/>
      </c>
      <c r="I240" s="657">
        <f>I232-I237-I236-I235</f>
        <v/>
      </c>
      <c r="J240" s="657">
        <f>J232-J237-J236-J235</f>
        <v/>
      </c>
      <c r="K240" s="657">
        <f>K232-K237-K236-K235</f>
        <v/>
      </c>
      <c r="L240" s="657">
        <f>L232-L237-L236-L235</f>
        <v/>
      </c>
      <c r="M240" s="657">
        <f>M232-M237-M236-M235</f>
        <v/>
      </c>
      <c r="N240" s="657">
        <f>N232-N237-N236-N235</f>
        <v/>
      </c>
      <c r="O240" s="657">
        <f>O232-O237-O236-O235</f>
        <v/>
      </c>
      <c r="P240" s="657">
        <f>P232-P237-P236-P235</f>
        <v/>
      </c>
      <c r="Q240" s="657">
        <f>Q232-Q237-Q236-Q235</f>
        <v/>
      </c>
      <c r="R240" s="657">
        <f>R232-R237-R236-R235</f>
        <v/>
      </c>
      <c r="S240" s="657">
        <f>S232-S237-S236-S235</f>
        <v/>
      </c>
      <c r="T240" s="657">
        <f>T232-T237-T236-T235</f>
        <v/>
      </c>
      <c r="U240" s="657">
        <f>U232-U237-U236-U235</f>
        <v/>
      </c>
      <c r="V240" s="657">
        <f>V232-V237-V236-V235</f>
        <v/>
      </c>
      <c r="W240" s="657">
        <f>W232-W237-W236-W235</f>
        <v/>
      </c>
      <c r="X240" s="657">
        <f>X232-X237-X236-X235</f>
        <v/>
      </c>
      <c r="Y240" s="657">
        <f>Y232-Y237-Y236-Y235</f>
        <v/>
      </c>
      <c r="Z240" s="657">
        <f>Z232-Z237-Z236-Z235</f>
        <v/>
      </c>
      <c r="AA240" s="657">
        <f>AA232-AA237-AA236-AA235</f>
        <v/>
      </c>
      <c r="AB240" s="657">
        <f>AB232-AB237-AB236-AB235</f>
        <v/>
      </c>
      <c r="AC240" s="657">
        <f>AC232-AC237-AC236-AC235</f>
        <v/>
      </c>
      <c r="AD240" s="657">
        <f>AD232-AD237-AD236-AD235</f>
        <v/>
      </c>
      <c r="AE240" s="657">
        <f>AE232-AE237-AE236-AE235</f>
        <v/>
      </c>
      <c r="AF240" s="657">
        <f>AF232-AF237-AF236-AF235</f>
        <v/>
      </c>
      <c r="AG240" s="657">
        <f>AG232-AG237-AG236-AG235</f>
        <v/>
      </c>
      <c r="AH240" s="657">
        <f>AH232-AH237-AH236-AH235</f>
        <v/>
      </c>
      <c r="AI240" s="657">
        <f>AI232-AI237-AI236-AI235</f>
        <v/>
      </c>
      <c r="AJ240" s="657">
        <f>AJ232-AJ237-AJ236-AJ235</f>
        <v/>
      </c>
      <c r="AK240" s="657">
        <f>AK232-AK237-AK236-AK235</f>
        <v/>
      </c>
      <c r="AL240" s="657">
        <f>AL232-AL237-AL236-AL235</f>
        <v/>
      </c>
      <c r="AM240" s="657">
        <f>AM232-AM237-AM236-AM235</f>
        <v/>
      </c>
      <c r="AN240" s="657">
        <f>AN232-AN237-AN236-AN235</f>
        <v/>
      </c>
      <c r="AO240" s="750">
        <f>AN240</f>
        <v/>
      </c>
      <c r="AP240" s="750">
        <f>AO240</f>
        <v/>
      </c>
      <c r="AQ240" s="750">
        <f>AP240</f>
        <v/>
      </c>
      <c r="AR240" s="750">
        <f>AQ240</f>
        <v/>
      </c>
      <c r="AS240" s="750">
        <f>AR240</f>
        <v/>
      </c>
      <c r="AT240" s="750">
        <f>AS240</f>
        <v/>
      </c>
      <c r="AU240" s="1258" t="n"/>
      <c r="AV240" s="1253" t="n"/>
      <c r="AW240" s="1253" t="n"/>
      <c r="AX240" s="1254" t="n"/>
      <c r="AY240" s="1253" t="n"/>
      <c r="AZ240" s="1253" t="n"/>
      <c r="BA240" s="1253" t="n"/>
      <c r="BB240" s="1254" t="n"/>
      <c r="BD240" s="1253" t="n"/>
      <c r="BE240" s="1253" t="n"/>
      <c r="BF240" s="1254" t="n"/>
      <c r="BQ240" s="1253" t="n"/>
      <c r="DU240" s="1255" t="n"/>
      <c r="DV240" s="1255" t="n"/>
      <c r="DW240" s="1255" t="n"/>
      <c r="DY240" s="1255" t="n"/>
      <c r="DZ240" s="1255" t="n"/>
      <c r="EA240" s="1255" t="n"/>
      <c r="EC240" s="1255" t="n"/>
      <c r="ED240" s="1255" t="n"/>
      <c r="EE240" s="1255" t="n"/>
      <c r="EF240" s="1255" t="n"/>
      <c r="EJ240" s="1255" t="n"/>
      <c r="EK240" s="655" t="n"/>
      <c r="EN240" s="1255" t="n"/>
      <c r="EO240" s="655" t="n"/>
      <c r="ES240" s="655" t="n"/>
      <c r="EV240" s="655" t="n"/>
      <c r="EW240" s="655" t="n"/>
      <c r="FA240" s="655" t="n"/>
      <c r="FE240" s="655" t="n"/>
      <c r="FI240" s="1257" t="n"/>
      <c r="FM240" s="1257" t="n"/>
      <c r="FN240" s="655" t="n"/>
    </row>
    <row r="241" customFormat="1" s="527">
      <c r="A241" s="686" t="inlineStr">
        <is>
          <t>bs current assets</t>
        </is>
      </c>
      <c r="B241" s="527" t="inlineStr">
        <is>
          <t>Current assets</t>
        </is>
      </c>
      <c r="C241" s="526" t="n">
        <v>10287.8</v>
      </c>
      <c r="D241" s="526" t="n">
        <v>11623.4</v>
      </c>
      <c r="E241" s="526" t="n">
        <v>14183</v>
      </c>
      <c r="F241" s="526" t="n">
        <v>15593</v>
      </c>
      <c r="G241" s="526" t="n">
        <v>18478</v>
      </c>
      <c r="H241" s="526" t="n">
        <v>21046</v>
      </c>
      <c r="I241" s="526">
        <f>6682+12541</f>
        <v/>
      </c>
      <c r="J241" s="526">
        <f>7500+13202</f>
        <v/>
      </c>
      <c r="K241" s="526">
        <f>6965+12687</f>
        <v/>
      </c>
      <c r="L241" s="526">
        <f>11719+13955</f>
        <v/>
      </c>
      <c r="M241" s="526" t="n">
        <v>19245</v>
      </c>
      <c r="N241" s="526" t="n">
        <v>16522</v>
      </c>
      <c r="O241" s="526" t="n">
        <v>16075</v>
      </c>
      <c r="P241" s="526" t="n">
        <v>16693</v>
      </c>
      <c r="Q241" s="526" t="n">
        <v>15129</v>
      </c>
      <c r="R241" s="526" t="n">
        <v>17904</v>
      </c>
      <c r="S241" s="526" t="n">
        <v>20351</v>
      </c>
      <c r="T241" s="526" t="n">
        <v>17345</v>
      </c>
      <c r="U241" s="526" t="n">
        <v>20654</v>
      </c>
      <c r="V241" s="526" t="n">
        <v>25148</v>
      </c>
      <c r="W241" s="526" t="n">
        <v>32348</v>
      </c>
      <c r="X241" s="526" t="n">
        <v>26695</v>
      </c>
      <c r="Y241" s="526" t="n">
        <v>25630</v>
      </c>
      <c r="Z241" s="526" t="n">
        <v>36652</v>
      </c>
      <c r="AA241" s="526" t="n">
        <v>31357</v>
      </c>
      <c r="AB241" s="526" t="n">
        <v>36209</v>
      </c>
      <c r="AC241" s="526" t="n">
        <v>39185</v>
      </c>
      <c r="AD241" s="526" t="n">
        <v>33467</v>
      </c>
      <c r="AE241" s="526" t="n">
        <v>33225</v>
      </c>
      <c r="AF241" s="526" t="n">
        <v>31392</v>
      </c>
      <c r="AG241" s="526" t="n">
        <v>32835</v>
      </c>
      <c r="AH241" s="526" t="n">
        <v>29618</v>
      </c>
      <c r="AI241" s="526" t="n">
        <v>27284</v>
      </c>
      <c r="AJ241" s="526" t="n">
        <v>27567</v>
      </c>
      <c r="AK241" s="526" t="n">
        <v>28897</v>
      </c>
      <c r="AL241" s="526" t="n">
        <v>26336</v>
      </c>
      <c r="AM241" s="526" t="n">
        <v>22749</v>
      </c>
      <c r="AN241" s="526" t="n">
        <v>19246</v>
      </c>
      <c r="AO241" s="319">
        <f>+AO242+AO243+AO245+AO247</f>
        <v/>
      </c>
      <c r="AP241" s="319">
        <f>+AP242+AP243+AP245+AP247</f>
        <v/>
      </c>
      <c r="AQ241" s="319">
        <f>+AQ242+AQ243+AQ245+AQ247</f>
        <v/>
      </c>
      <c r="AR241" s="319">
        <f>+AR242+AR243+AR245+AR247</f>
        <v/>
      </c>
      <c r="AS241" s="319">
        <f>+AS242+AS243+AS245+AS247</f>
        <v/>
      </c>
      <c r="AT241" s="319">
        <f>+AT242+AT243+AT245+AT247</f>
        <v/>
      </c>
      <c r="AU241" s="753" t="n"/>
      <c r="AV241" s="767" t="n"/>
      <c r="AW241" s="767" t="n"/>
      <c r="AX241" s="689" t="n"/>
      <c r="AY241" s="734" t="n"/>
      <c r="AZ241" s="734" t="n"/>
      <c r="BA241" s="734" t="n"/>
      <c r="BB241" s="689" t="n"/>
      <c r="BD241" s="734" t="n"/>
      <c r="BE241" s="734" t="n"/>
      <c r="BF241" s="689" t="n"/>
      <c r="BQ241" s="734" t="n"/>
      <c r="CU241" s="755" t="n">
        <v>28058</v>
      </c>
      <c r="CV241" s="756" t="n">
        <v>26695</v>
      </c>
      <c r="CW241" s="527" t="n">
        <v>20783</v>
      </c>
      <c r="DU241" s="319" t="n"/>
      <c r="DV241" s="319" t="n"/>
      <c r="DW241" s="319" t="n"/>
      <c r="DY241" s="319" t="n"/>
      <c r="DZ241" s="319" t="n"/>
      <c r="EA241" s="319" t="n"/>
      <c r="EC241" s="319" t="n"/>
      <c r="ED241" s="319" t="n"/>
      <c r="EE241" s="319" t="n"/>
      <c r="EF241" s="319" t="n"/>
      <c r="EH241" s="700" t="n"/>
      <c r="EI241" s="700" t="n"/>
      <c r="EJ241" s="319" t="n"/>
      <c r="EK241" s="526" t="n">
        <v>26631</v>
      </c>
      <c r="EL241" s="700" t="n"/>
      <c r="EM241" s="700" t="n"/>
      <c r="EN241" s="319" t="n"/>
      <c r="EO241" s="526" t="n">
        <v>16194</v>
      </c>
      <c r="EP241" s="700" t="n"/>
      <c r="EQ241" s="700" t="n"/>
      <c r="ER241" s="700" t="n"/>
      <c r="ES241" s="526" t="n">
        <v>33012</v>
      </c>
      <c r="EU241" s="700" t="n"/>
      <c r="EV241" s="526" t="n"/>
      <c r="EW241" s="526" t="n">
        <v>26821</v>
      </c>
      <c r="EY241" s="700" t="n"/>
      <c r="FA241" s="526" t="n">
        <v>31042</v>
      </c>
      <c r="FC241" s="700" t="n"/>
      <c r="FE241" s="526" t="n">
        <v>27580</v>
      </c>
      <c r="FG241" s="700" t="n"/>
      <c r="FI241" s="526" t="n">
        <v>18420</v>
      </c>
      <c r="FM241" s="526" t="n">
        <v>28549</v>
      </c>
    </row>
    <row r="242" customFormat="1" s="657">
      <c r="A242" s="686" t="n"/>
      <c r="B242" s="757" t="inlineStr">
        <is>
          <t>Liquid Funds</t>
        </is>
      </c>
      <c r="C242" s="657">
        <f>+C210</f>
        <v/>
      </c>
      <c r="D242" s="657">
        <f>+D210</f>
        <v/>
      </c>
      <c r="E242" s="657">
        <f>+E210</f>
        <v/>
      </c>
      <c r="F242" s="657">
        <f>+F210</f>
        <v/>
      </c>
      <c r="G242" s="657">
        <f>+G210</f>
        <v/>
      </c>
      <c r="H242" s="657">
        <f>+H210</f>
        <v/>
      </c>
      <c r="I242" s="657">
        <f>+I210</f>
        <v/>
      </c>
      <c r="J242" s="657">
        <f>+J210</f>
        <v/>
      </c>
      <c r="K242" s="657">
        <f>+K210</f>
        <v/>
      </c>
      <c r="L242" s="657">
        <f>+L210</f>
        <v/>
      </c>
      <c r="M242" s="657">
        <f>+M210</f>
        <v/>
      </c>
      <c r="N242" s="657">
        <f>+N210</f>
        <v/>
      </c>
      <c r="O242" s="657">
        <f>+O210</f>
        <v/>
      </c>
      <c r="P242" s="657">
        <f>+P210</f>
        <v/>
      </c>
      <c r="Q242" s="657">
        <f>+Q210</f>
        <v/>
      </c>
      <c r="R242" s="657">
        <f>+R210</f>
        <v/>
      </c>
      <c r="S242" s="657">
        <f>+S210</f>
        <v/>
      </c>
      <c r="T242" s="657">
        <f>+T210</f>
        <v/>
      </c>
      <c r="U242" s="657">
        <f>+U210</f>
        <v/>
      </c>
      <c r="V242" s="657">
        <f>+V210</f>
        <v/>
      </c>
      <c r="W242" s="657">
        <f>+W210</f>
        <v/>
      </c>
      <c r="X242" s="657">
        <f>+X210</f>
        <v/>
      </c>
      <c r="Y242" s="657">
        <f>+Y210</f>
        <v/>
      </c>
      <c r="Z242" s="657">
        <f>+Z210</f>
        <v/>
      </c>
      <c r="AA242" s="657">
        <f>+AA210</f>
        <v/>
      </c>
      <c r="AB242" s="657">
        <f>+AB210</f>
        <v/>
      </c>
      <c r="AC242" s="657">
        <f>+AC210</f>
        <v/>
      </c>
      <c r="AD242" s="657">
        <f>+AD210</f>
        <v/>
      </c>
      <c r="AE242" s="657">
        <f>+AE210</f>
        <v/>
      </c>
      <c r="AF242" s="657">
        <f>+AF210</f>
        <v/>
      </c>
      <c r="AG242" s="657">
        <f>+AG210</f>
        <v/>
      </c>
      <c r="AH242" s="657">
        <f>+AH210</f>
        <v/>
      </c>
      <c r="AI242" s="657">
        <f>+AI210</f>
        <v/>
      </c>
      <c r="AJ242" s="657">
        <f>+AJ210</f>
        <v/>
      </c>
      <c r="AK242" s="657">
        <f>+AK210</f>
        <v/>
      </c>
      <c r="AL242" s="657">
        <f>+AL210</f>
        <v/>
      </c>
      <c r="AM242" s="657">
        <f>+AM210</f>
        <v/>
      </c>
      <c r="AN242" s="657">
        <f>+AN210</f>
        <v/>
      </c>
      <c r="AO242" s="657">
        <f>+AO210</f>
        <v/>
      </c>
      <c r="AP242" s="657">
        <f>+AP210</f>
        <v/>
      </c>
      <c r="AQ242" s="657">
        <f>+AQ210</f>
        <v/>
      </c>
      <c r="AR242" s="657">
        <f>+AR210</f>
        <v/>
      </c>
      <c r="AS242" s="657">
        <f>+AS210</f>
        <v/>
      </c>
      <c r="AT242" s="657">
        <f>+AT210</f>
        <v/>
      </c>
      <c r="AU242" s="765" t="n"/>
      <c r="AV242" s="768" t="n"/>
      <c r="AW242" s="768" t="n"/>
      <c r="AX242" s="703" t="n"/>
      <c r="AY242" s="731" t="n"/>
      <c r="AZ242" s="731" t="n"/>
      <c r="BA242" s="731" t="n"/>
      <c r="BB242" s="703" t="n"/>
      <c r="BD242" s="731" t="n"/>
      <c r="BE242" s="731" t="n"/>
      <c r="BF242" s="703" t="n"/>
      <c r="BQ242" s="731" t="n"/>
      <c r="CU242" s="769" t="n"/>
      <c r="CV242" s="770" t="n"/>
      <c r="DU242" s="727" t="n"/>
      <c r="DV242" s="727" t="n"/>
      <c r="DW242" s="727" t="n"/>
      <c r="DY242" s="727" t="n"/>
      <c r="DZ242" s="727" t="n"/>
      <c r="EA242" s="727" t="n"/>
      <c r="EC242" s="727" t="n"/>
      <c r="ED242" s="727" t="n"/>
      <c r="EE242" s="727" t="n"/>
      <c r="EF242" s="727" t="n"/>
      <c r="EH242" s="656" t="n"/>
      <c r="EI242" s="656" t="n"/>
      <c r="EJ242" s="727" t="n"/>
      <c r="EK242" s="655" t="n"/>
      <c r="EL242" s="656" t="n"/>
      <c r="EM242" s="656" t="n"/>
      <c r="EN242" s="727" t="n"/>
      <c r="EO242" s="655" t="n"/>
      <c r="EP242" s="656" t="n"/>
      <c r="EQ242" s="656" t="n"/>
      <c r="ER242" s="656" t="n"/>
      <c r="ES242" s="655" t="n"/>
      <c r="EU242" s="656" t="n"/>
      <c r="EV242" s="655" t="n"/>
      <c r="EW242" s="655" t="n"/>
      <c r="EY242" s="656" t="n"/>
      <c r="FA242" s="655" t="n"/>
      <c r="FC242" s="656" t="n"/>
      <c r="FE242" s="655" t="n"/>
      <c r="FG242" s="656" t="n"/>
      <c r="FI242" s="1250" t="n"/>
      <c r="FM242" s="1250" t="n"/>
    </row>
    <row r="243" customFormat="1" s="657">
      <c r="A243" s="686" t="n"/>
      <c r="B243" s="757" t="inlineStr">
        <is>
          <t>Inventory</t>
        </is>
      </c>
      <c r="C243" s="655" t="n">
        <v>371.4</v>
      </c>
      <c r="D243" s="655" t="n">
        <v>380.5</v>
      </c>
      <c r="E243" s="655" t="n">
        <v>420</v>
      </c>
      <c r="F243" s="655" t="n">
        <v>619</v>
      </c>
      <c r="G243" s="655" t="n">
        <v>603</v>
      </c>
      <c r="H243" s="655" t="n">
        <v>808</v>
      </c>
      <c r="I243" s="655" t="n">
        <v>864</v>
      </c>
      <c r="J243" s="655" t="n">
        <v>834</v>
      </c>
      <c r="K243" s="655" t="n">
        <v>765</v>
      </c>
      <c r="L243" s="655" t="n">
        <v>858</v>
      </c>
      <c r="M243" s="655" t="n">
        <v>1074</v>
      </c>
      <c r="N243" s="655" t="n">
        <v>694</v>
      </c>
      <c r="O243" s="655" t="n">
        <v>648</v>
      </c>
      <c r="P243" s="655" t="n">
        <v>647</v>
      </c>
      <c r="Q243" s="655" t="n">
        <v>587</v>
      </c>
      <c r="R243" s="655" t="n">
        <v>430</v>
      </c>
      <c r="S243" s="655" t="n">
        <v>398</v>
      </c>
      <c r="T243" s="655" t="n">
        <v>524</v>
      </c>
      <c r="U243" s="655" t="n">
        <v>657</v>
      </c>
      <c r="V243" s="655" t="n">
        <v>789</v>
      </c>
      <c r="W243" s="655" t="n">
        <v>882</v>
      </c>
      <c r="X243" s="655" t="n">
        <v>960</v>
      </c>
      <c r="Y243" s="655" t="n">
        <v>947</v>
      </c>
      <c r="Z243" s="655" t="n">
        <v>1021</v>
      </c>
      <c r="AA243" s="655" t="n">
        <v>1155</v>
      </c>
      <c r="AB243" s="655" t="n">
        <v>1194</v>
      </c>
      <c r="AC243" s="655" t="n">
        <v>1511</v>
      </c>
      <c r="AD243" s="655" t="n">
        <v>1589</v>
      </c>
      <c r="AE243" s="655" t="n">
        <v>1366</v>
      </c>
      <c r="AF243" s="655" t="n">
        <v>1514</v>
      </c>
      <c r="AG243" s="655" t="n">
        <v>1515</v>
      </c>
      <c r="AH243" s="655" t="n">
        <v>1828</v>
      </c>
      <c r="AI243" s="655" t="n">
        <v>1812</v>
      </c>
      <c r="AJ243" s="655" t="n">
        <v>1719</v>
      </c>
      <c r="AK243" s="655" t="n">
        <v>1269</v>
      </c>
      <c r="AL243" s="655" t="n">
        <v>1137</v>
      </c>
      <c r="AM243" s="655" t="n">
        <v>967</v>
      </c>
      <c r="AN243" s="655" t="n">
        <v>1386</v>
      </c>
      <c r="AO243" s="657">
        <f>AO$118*AO244/365</f>
        <v/>
      </c>
      <c r="AP243" s="657">
        <f>AP$118*AP244/365</f>
        <v/>
      </c>
      <c r="AQ243" s="657">
        <f>AQ$118*AQ244/365</f>
        <v/>
      </c>
      <c r="AR243" s="657">
        <f>AR$118*AR244/365</f>
        <v/>
      </c>
      <c r="AS243" s="657">
        <f>AS$118*AS244/365</f>
        <v/>
      </c>
      <c r="AT243" s="657">
        <f>AT$118*AT244/365</f>
        <v/>
      </c>
      <c r="AU243" s="765" t="n"/>
      <c r="AV243" s="768" t="n"/>
      <c r="AW243" s="768" t="n"/>
      <c r="AX243" s="703" t="n"/>
      <c r="AY243" s="731" t="n"/>
      <c r="AZ243" s="731" t="n"/>
      <c r="BA243" s="731" t="n"/>
      <c r="BB243" s="703" t="n"/>
      <c r="BD243" s="731" t="n"/>
      <c r="BE243" s="731" t="n"/>
      <c r="BF243" s="703" t="n"/>
      <c r="BQ243" s="731" t="n"/>
      <c r="CU243" s="769" t="n"/>
      <c r="CV243" s="770" t="n"/>
      <c r="DU243" s="727" t="n"/>
      <c r="DV243" s="727" t="n"/>
      <c r="DW243" s="727" t="n"/>
      <c r="DY243" s="727" t="n"/>
      <c r="DZ243" s="727" t="n"/>
      <c r="EA243" s="727" t="n"/>
      <c r="EC243" s="727" t="n"/>
      <c r="ED243" s="727" t="n"/>
      <c r="EE243" s="727" t="n"/>
      <c r="EF243" s="727" t="n"/>
      <c r="EH243" s="656" t="n"/>
      <c r="EI243" s="656" t="n"/>
      <c r="EJ243" s="727" t="n"/>
      <c r="EK243" s="655" t="n"/>
      <c r="EL243" s="656" t="n"/>
      <c r="EM243" s="656" t="n"/>
      <c r="EN243" s="727" t="n"/>
      <c r="EO243" s="655" t="n"/>
      <c r="EP243" s="656" t="n"/>
      <c r="EQ243" s="656" t="n"/>
      <c r="ER243" s="656" t="n"/>
      <c r="ES243" s="655" t="n"/>
      <c r="EU243" s="656" t="n"/>
      <c r="EV243" s="655" t="n"/>
      <c r="EW243" s="655" t="n"/>
      <c r="EY243" s="656" t="n"/>
      <c r="FA243" s="655" t="n"/>
      <c r="FC243" s="656" t="n"/>
      <c r="FE243" s="655" t="n"/>
      <c r="FG243" s="656" t="n"/>
      <c r="FI243" s="1250" t="n"/>
      <c r="FM243" s="1250" t="n"/>
    </row>
    <row r="244" customFormat="1" s="657">
      <c r="A244" s="686" t="n"/>
      <c r="B244" s="759" t="inlineStr">
        <is>
          <t>Inventory days</t>
        </is>
      </c>
      <c r="C244" s="657">
        <f>(C243*365)/C118</f>
        <v/>
      </c>
      <c r="D244" s="657">
        <f>(D243*365)/D118</f>
        <v/>
      </c>
      <c r="E244" s="657">
        <f>(E243*365)/E118</f>
        <v/>
      </c>
      <c r="F244" s="657">
        <f>(F243*365)/F118</f>
        <v/>
      </c>
      <c r="G244" s="657">
        <f>(G243*365)/G118</f>
        <v/>
      </c>
      <c r="H244" s="657">
        <f>(H243*365)/H118</f>
        <v/>
      </c>
      <c r="I244" s="657">
        <f>(I243*365)/I118</f>
        <v/>
      </c>
      <c r="J244" s="657">
        <f>(J243*365)/J118</f>
        <v/>
      </c>
      <c r="K244" s="657">
        <f>(K243*365)/K118</f>
        <v/>
      </c>
      <c r="L244" s="657">
        <f>(L243*365)/L118</f>
        <v/>
      </c>
      <c r="M244" s="657">
        <f>(M243*365)/M118</f>
        <v/>
      </c>
      <c r="N244" s="657">
        <f>(N243*365)/N118</f>
        <v/>
      </c>
      <c r="O244" s="657">
        <f>(O243*365)/O118</f>
        <v/>
      </c>
      <c r="P244" s="657">
        <f>(P243*365)/P118</f>
        <v/>
      </c>
      <c r="Q244" s="657">
        <f>(Q243*365)/Q118</f>
        <v/>
      </c>
      <c r="R244" s="657">
        <f>(R243*365)/R118</f>
        <v/>
      </c>
      <c r="S244" s="657">
        <f>(S243*365)/S118</f>
        <v/>
      </c>
      <c r="T244" s="657">
        <f>(T243*365)/T118</f>
        <v/>
      </c>
      <c r="U244" s="657">
        <f>(U243*365)/U118</f>
        <v/>
      </c>
      <c r="V244" s="657">
        <f>(V243*365)/V118</f>
        <v/>
      </c>
      <c r="W244" s="657">
        <f>(W243*365)/W118</f>
        <v/>
      </c>
      <c r="X244" s="657">
        <f>(X243*365)/X118</f>
        <v/>
      </c>
      <c r="Y244" s="657">
        <f>(Y243*365)/Y118</f>
        <v/>
      </c>
      <c r="Z244" s="657">
        <f>(Z243*365)/Z118</f>
        <v/>
      </c>
      <c r="AA244" s="657">
        <f>(AA243*365)/AA118</f>
        <v/>
      </c>
      <c r="AB244" s="657">
        <f>(AB243*365)/AB118</f>
        <v/>
      </c>
      <c r="AC244" s="657">
        <f>(AC243*365)/AC118</f>
        <v/>
      </c>
      <c r="AD244" s="657">
        <f>(AD243*365)/AD118</f>
        <v/>
      </c>
      <c r="AE244" s="657">
        <f>(AE243*365)/AE118</f>
        <v/>
      </c>
      <c r="AF244" s="657">
        <f>(AF243*365)/AF118</f>
        <v/>
      </c>
      <c r="AG244" s="657">
        <f>(AG243*365)/AG118</f>
        <v/>
      </c>
      <c r="AH244" s="657">
        <f>(AH243*365)/AH118</f>
        <v/>
      </c>
      <c r="AI244" s="657">
        <f>(AI243*365)/AI118</f>
        <v/>
      </c>
      <c r="AJ244" s="657">
        <f>(AJ243*365)/AJ118</f>
        <v/>
      </c>
      <c r="AK244" s="657">
        <f>(AK243*365)/AK118</f>
        <v/>
      </c>
      <c r="AL244" s="657">
        <f>(AL243*365)/AL118</f>
        <v/>
      </c>
      <c r="AM244" s="657">
        <f>(AM243*365)/AM118</f>
        <v/>
      </c>
      <c r="AN244" s="657">
        <f>(AN243*365)/AN118</f>
        <v/>
      </c>
      <c r="AO244" s="656">
        <f>AN244</f>
        <v/>
      </c>
      <c r="AP244" s="656">
        <f>AO244</f>
        <v/>
      </c>
      <c r="AQ244" s="656">
        <f>AP244</f>
        <v/>
      </c>
      <c r="AR244" s="656">
        <f>AQ244</f>
        <v/>
      </c>
      <c r="AS244" s="656">
        <f>AR244</f>
        <v/>
      </c>
      <c r="AT244" s="656">
        <f>AS244</f>
        <v/>
      </c>
      <c r="AU244" s="765" t="n"/>
      <c r="AV244" s="768" t="n"/>
      <c r="AW244" s="768" t="n"/>
      <c r="AX244" s="703" t="n"/>
      <c r="AY244" s="731" t="n"/>
      <c r="AZ244" s="731" t="n"/>
      <c r="BA244" s="731" t="n"/>
      <c r="BB244" s="703" t="n"/>
      <c r="BD244" s="731" t="n"/>
      <c r="BE244" s="731" t="n"/>
      <c r="BF244" s="703" t="n"/>
      <c r="BQ244" s="731" t="n"/>
      <c r="CU244" s="769" t="n"/>
      <c r="CV244" s="770" t="n"/>
      <c r="DU244" s="727" t="n"/>
      <c r="DV244" s="727" t="n"/>
      <c r="DW244" s="727" t="n"/>
      <c r="DY244" s="727" t="n"/>
      <c r="DZ244" s="727" t="n"/>
      <c r="EA244" s="727" t="n"/>
      <c r="EC244" s="727" t="n"/>
      <c r="ED244" s="727" t="n"/>
      <c r="EE244" s="727" t="n"/>
      <c r="EF244" s="727" t="n"/>
      <c r="EH244" s="656" t="n"/>
      <c r="EI244" s="656" t="n"/>
      <c r="EJ244" s="727" t="n"/>
      <c r="EK244" s="655" t="n"/>
      <c r="EL244" s="656" t="n"/>
      <c r="EM244" s="656" t="n"/>
      <c r="EN244" s="727" t="n"/>
      <c r="EO244" s="655" t="n"/>
      <c r="EP244" s="656" t="n"/>
      <c r="EQ244" s="656" t="n"/>
      <c r="ER244" s="656" t="n"/>
      <c r="ES244" s="655" t="n"/>
      <c r="EU244" s="656" t="n"/>
      <c r="EV244" s="655" t="n"/>
      <c r="EW244" s="655" t="n"/>
      <c r="EY244" s="656" t="n"/>
      <c r="FA244" s="655" t="n"/>
      <c r="FC244" s="656" t="n"/>
      <c r="FE244" s="655" t="n"/>
      <c r="FG244" s="656" t="n"/>
      <c r="FI244" s="1250" t="n"/>
      <c r="FM244" s="1250" t="n"/>
    </row>
    <row r="245" customFormat="1" s="657">
      <c r="A245" s="686" t="n"/>
      <c r="B245" s="757" t="inlineStr">
        <is>
          <t>Trade Receivable</t>
        </is>
      </c>
      <c r="C245" s="655">
        <f>2406.8+20</f>
        <v/>
      </c>
      <c r="D245" s="655">
        <f>2704.9+25.4</f>
        <v/>
      </c>
      <c r="E245" s="655">
        <f>3189+34</f>
        <v/>
      </c>
      <c r="F245" s="655">
        <f>3682+15+51</f>
        <v/>
      </c>
      <c r="G245" s="655">
        <f>4197+14+10</f>
        <v/>
      </c>
      <c r="H245" s="655">
        <f>3616+8</f>
        <v/>
      </c>
      <c r="I245" s="655">
        <f>3871+95</f>
        <v/>
      </c>
      <c r="J245" s="655">
        <f>4728+122</f>
        <v/>
      </c>
      <c r="K245" s="655">
        <f>4731+35</f>
        <v/>
      </c>
      <c r="L245" s="655">
        <f>4448+52</f>
        <v/>
      </c>
      <c r="M245" s="655">
        <f>3748+4</f>
        <v/>
      </c>
      <c r="N245" s="655" t="n">
        <v>3502</v>
      </c>
      <c r="O245" s="655" t="n">
        <v>3832</v>
      </c>
      <c r="P245" s="655" t="n">
        <v>5006</v>
      </c>
      <c r="Q245" s="655" t="n">
        <v>4778</v>
      </c>
      <c r="R245" s="655" t="n">
        <v>4294</v>
      </c>
      <c r="S245" s="655" t="n">
        <v>4753</v>
      </c>
      <c r="T245" s="655" t="n">
        <v>5347</v>
      </c>
      <c r="U245" s="655" t="n">
        <v>6538</v>
      </c>
      <c r="V245" s="655" t="n">
        <v>8735</v>
      </c>
      <c r="W245" s="655" t="n">
        <v>9817</v>
      </c>
      <c r="X245" s="655" t="n">
        <v>10647</v>
      </c>
      <c r="Y245" s="655" t="n">
        <v>8161</v>
      </c>
      <c r="Z245" s="655" t="n">
        <v>11065</v>
      </c>
      <c r="AA245" s="655" t="n">
        <v>9859</v>
      </c>
      <c r="AB245" s="655" t="n">
        <v>9922</v>
      </c>
      <c r="AC245" s="655" t="n">
        <v>9827</v>
      </c>
      <c r="AD245" s="655" t="n">
        <v>10591</v>
      </c>
      <c r="AE245" s="655" t="n">
        <v>9715</v>
      </c>
      <c r="AF245" s="655" t="n">
        <v>9557</v>
      </c>
      <c r="AG245" s="655" t="n">
        <v>11361</v>
      </c>
      <c r="AH245" s="655" t="n">
        <v>12475</v>
      </c>
      <c r="AI245" s="655" t="n">
        <v>10608</v>
      </c>
      <c r="AJ245" s="655" t="n">
        <v>6469</v>
      </c>
      <c r="AK245" s="655" t="n">
        <v>8296</v>
      </c>
      <c r="AL245" s="655" t="n">
        <v>6921</v>
      </c>
      <c r="AM245" s="655" t="n">
        <v>6252</v>
      </c>
      <c r="AN245" s="655" t="n">
        <v>7326</v>
      </c>
      <c r="AO245" s="657">
        <f>AO$118*AO246/365</f>
        <v/>
      </c>
      <c r="AP245" s="657">
        <f>AP$118*AP246/365</f>
        <v/>
      </c>
      <c r="AQ245" s="657">
        <f>AQ$118*AQ246/365</f>
        <v/>
      </c>
      <c r="AR245" s="657">
        <f>AR$118*AR246/365</f>
        <v/>
      </c>
      <c r="AS245" s="657">
        <f>AS$118*AS246/365</f>
        <v/>
      </c>
      <c r="AT245" s="657">
        <f>AT$118*AT246/365</f>
        <v/>
      </c>
      <c r="AU245" s="765" t="n"/>
      <c r="AV245" s="768" t="n"/>
      <c r="AW245" s="768" t="n"/>
      <c r="AX245" s="703" t="n"/>
      <c r="AY245" s="731" t="n"/>
      <c r="AZ245" s="731" t="n"/>
      <c r="BA245" s="731" t="n"/>
      <c r="BB245" s="703" t="n"/>
      <c r="BD245" s="731" t="n"/>
      <c r="BE245" s="731" t="n"/>
      <c r="BF245" s="703" t="n"/>
      <c r="BQ245" s="731" t="n"/>
      <c r="CU245" s="769" t="n"/>
      <c r="CV245" s="770" t="n"/>
      <c r="DU245" s="727" t="n"/>
      <c r="DV245" s="727" t="n"/>
      <c r="DW245" s="727" t="n"/>
      <c r="DY245" s="727" t="n"/>
      <c r="DZ245" s="727" t="n"/>
      <c r="EA245" s="727" t="n"/>
      <c r="EC245" s="727" t="n"/>
      <c r="ED245" s="727" t="n"/>
      <c r="EE245" s="727" t="n"/>
      <c r="EF245" s="727" t="n"/>
      <c r="EH245" s="656" t="n"/>
      <c r="EI245" s="656" t="n"/>
      <c r="EJ245" s="727" t="n"/>
      <c r="EK245" s="655" t="n"/>
      <c r="EL245" s="656" t="n"/>
      <c r="EM245" s="656" t="n"/>
      <c r="EN245" s="727" t="n"/>
      <c r="EO245" s="655" t="n"/>
      <c r="EP245" s="656" t="n"/>
      <c r="EQ245" s="656" t="n"/>
      <c r="ER245" s="656" t="n"/>
      <c r="ES245" s="655" t="n"/>
      <c r="EU245" s="656" t="n"/>
      <c r="EV245" s="655" t="n"/>
      <c r="EW245" s="655" t="n"/>
      <c r="EY245" s="656" t="n"/>
      <c r="FA245" s="655" t="n"/>
      <c r="FC245" s="656" t="n"/>
      <c r="FE245" s="655" t="n"/>
      <c r="FG245" s="656" t="n"/>
      <c r="FI245" s="1250" t="n"/>
      <c r="FM245" s="1250" t="n"/>
    </row>
    <row r="246" customFormat="1" s="657">
      <c r="A246" s="686" t="n"/>
      <c r="B246" s="759" t="inlineStr">
        <is>
          <t>Trade Receivable days</t>
        </is>
      </c>
      <c r="C246" s="657">
        <f>(C245*365)/C118</f>
        <v/>
      </c>
      <c r="D246" s="657">
        <f>(D245*365)/D118</f>
        <v/>
      </c>
      <c r="E246" s="657">
        <f>(E245*365)/E118</f>
        <v/>
      </c>
      <c r="F246" s="657">
        <f>(F245*365)/F118</f>
        <v/>
      </c>
      <c r="G246" s="657">
        <f>(G245*365)/G118</f>
        <v/>
      </c>
      <c r="H246" s="657">
        <f>(H245*365)/H118</f>
        <v/>
      </c>
      <c r="I246" s="657">
        <f>(I245*365)/I118</f>
        <v/>
      </c>
      <c r="J246" s="657">
        <f>(J245*365)/J118</f>
        <v/>
      </c>
      <c r="K246" s="657">
        <f>(K245*365)/K118</f>
        <v/>
      </c>
      <c r="L246" s="657">
        <f>(L245*365)/L118</f>
        <v/>
      </c>
      <c r="M246" s="657">
        <f>(M245*365)/M118</f>
        <v/>
      </c>
      <c r="N246" s="657">
        <f>(N245*365)/N118</f>
        <v/>
      </c>
      <c r="O246" s="657">
        <f>(O245*365)/O118</f>
        <v/>
      </c>
      <c r="P246" s="657">
        <f>(P245*365)/P118</f>
        <v/>
      </c>
      <c r="Q246" s="657">
        <f>(Q245*365)/Q118</f>
        <v/>
      </c>
      <c r="R246" s="657">
        <f>(R245*365)/R118</f>
        <v/>
      </c>
      <c r="S246" s="657">
        <f>(S245*365)/S118</f>
        <v/>
      </c>
      <c r="T246" s="657">
        <f>(T245*365)/T118</f>
        <v/>
      </c>
      <c r="U246" s="657">
        <f>(U245*365)/U118</f>
        <v/>
      </c>
      <c r="V246" s="657">
        <f>(V245*365)/V118</f>
        <v/>
      </c>
      <c r="W246" s="657">
        <f>(W245*365)/W118</f>
        <v/>
      </c>
      <c r="X246" s="657">
        <f>(X245*365)/X118</f>
        <v/>
      </c>
      <c r="Y246" s="657">
        <f>(Y245*365)/Y118</f>
        <v/>
      </c>
      <c r="Z246" s="657">
        <f>(Z245*365)/Z118</f>
        <v/>
      </c>
      <c r="AA246" s="657">
        <f>(AA245*365)/AA118</f>
        <v/>
      </c>
      <c r="AB246" s="657">
        <f>(AB245*365)/AB118</f>
        <v/>
      </c>
      <c r="AC246" s="657">
        <f>(AC245*365)/AC118</f>
        <v/>
      </c>
      <c r="AD246" s="657">
        <f>(AD245*365)/AD118</f>
        <v/>
      </c>
      <c r="AE246" s="657">
        <f>(AE245*365)/AE118</f>
        <v/>
      </c>
      <c r="AF246" s="657">
        <f>(AF245*365)/AF118</f>
        <v/>
      </c>
      <c r="AG246" s="657">
        <f>(AG245*365)/AG118</f>
        <v/>
      </c>
      <c r="AH246" s="657">
        <f>(AH245*365)/AH118</f>
        <v/>
      </c>
      <c r="AI246" s="657">
        <f>(AI245*365)/AI118</f>
        <v/>
      </c>
      <c r="AJ246" s="657">
        <f>(AJ245*365)/AJ118</f>
        <v/>
      </c>
      <c r="AK246" s="657">
        <f>(AK245*365)/AK118</f>
        <v/>
      </c>
      <c r="AL246" s="657">
        <f>(AL245*365)/AL118</f>
        <v/>
      </c>
      <c r="AM246" s="657">
        <f>(AM245*365)/AM118</f>
        <v/>
      </c>
      <c r="AN246" s="657">
        <f>(AN245*365)/AN118</f>
        <v/>
      </c>
      <c r="AO246" s="656">
        <f>AN246</f>
        <v/>
      </c>
      <c r="AP246" s="656">
        <f>AO246</f>
        <v/>
      </c>
      <c r="AQ246" s="656">
        <f>AP246</f>
        <v/>
      </c>
      <c r="AR246" s="656">
        <f>AQ246</f>
        <v/>
      </c>
      <c r="AS246" s="656">
        <f>AR246</f>
        <v/>
      </c>
      <c r="AT246" s="656">
        <f>AS246</f>
        <v/>
      </c>
      <c r="AU246" s="765" t="n"/>
      <c r="AV246" s="768" t="n"/>
      <c r="AW246" s="768" t="n"/>
      <c r="AX246" s="703" t="n"/>
      <c r="AY246" s="731" t="n"/>
      <c r="AZ246" s="731" t="n"/>
      <c r="BA246" s="731" t="n"/>
      <c r="BB246" s="703" t="n"/>
      <c r="BD246" s="731" t="n"/>
      <c r="BE246" s="731" t="n"/>
      <c r="BF246" s="703" t="n"/>
      <c r="BQ246" s="731" t="n"/>
      <c r="CU246" s="769" t="n"/>
      <c r="CV246" s="770" t="n"/>
      <c r="DU246" s="727" t="n"/>
      <c r="DV246" s="727" t="n"/>
      <c r="DW246" s="727" t="n"/>
      <c r="DY246" s="727" t="n"/>
      <c r="DZ246" s="727" t="n"/>
      <c r="EA246" s="727" t="n"/>
      <c r="EC246" s="727" t="n"/>
      <c r="ED246" s="727" t="n"/>
      <c r="EE246" s="727" t="n"/>
      <c r="EF246" s="727" t="n"/>
      <c r="EH246" s="656" t="n"/>
      <c r="EI246" s="656" t="n"/>
      <c r="EJ246" s="727" t="n"/>
      <c r="EK246" s="655" t="n"/>
      <c r="EL246" s="656" t="n"/>
      <c r="EM246" s="656" t="n"/>
      <c r="EN246" s="727" t="n"/>
      <c r="EO246" s="655" t="n"/>
      <c r="EP246" s="656" t="n"/>
      <c r="EQ246" s="656" t="n"/>
      <c r="ER246" s="656" t="n"/>
      <c r="ES246" s="655" t="n"/>
      <c r="EU246" s="656" t="n"/>
      <c r="EV246" s="655" t="n"/>
      <c r="EW246" s="655" t="n"/>
      <c r="EY246" s="656" t="n"/>
      <c r="FA246" s="655" t="n"/>
      <c r="FC246" s="656" t="n"/>
      <c r="FE246" s="655" t="n"/>
      <c r="FG246" s="656" t="n"/>
      <c r="FI246" s="1250" t="n"/>
      <c r="FM246" s="1250" t="n"/>
    </row>
    <row r="247" customFormat="1" s="657">
      <c r="A247" s="686" t="n"/>
      <c r="B247" s="757" t="inlineStr">
        <is>
          <t>Others</t>
        </is>
      </c>
      <c r="C247" s="657">
        <f>+C241-C242-C243-C245</f>
        <v/>
      </c>
      <c r="D247" s="657">
        <f>+D241-D242-D243-D245</f>
        <v/>
      </c>
      <c r="E247" s="657">
        <f>+E241-E242-E243-E245</f>
        <v/>
      </c>
      <c r="F247" s="657">
        <f>+F241-F242-F243-F245</f>
        <v/>
      </c>
      <c r="G247" s="657">
        <f>+G241-G242-G243-G245</f>
        <v/>
      </c>
      <c r="H247" s="657">
        <f>+H241-H242-H243-H245</f>
        <v/>
      </c>
      <c r="I247" s="657">
        <f>+I241-I242-I243-I245</f>
        <v/>
      </c>
      <c r="J247" s="657">
        <f>+J241-J242-J243-J245</f>
        <v/>
      </c>
      <c r="K247" s="657">
        <f>+K241-K242-K243-K245</f>
        <v/>
      </c>
      <c r="L247" s="657">
        <f>+L241-L242-L243-L245</f>
        <v/>
      </c>
      <c r="M247" s="657">
        <f>+M241-M242-M243-M245</f>
        <v/>
      </c>
      <c r="N247" s="657">
        <f>+N241-N242-N243-N245</f>
        <v/>
      </c>
      <c r="O247" s="657">
        <f>+O241-O242-O243-O245</f>
        <v/>
      </c>
      <c r="P247" s="657">
        <f>+P241-P242-P243-P245</f>
        <v/>
      </c>
      <c r="Q247" s="657">
        <f>+Q241-Q242-Q243-Q245</f>
        <v/>
      </c>
      <c r="R247" s="657">
        <f>+R241-R242-R243-R245</f>
        <v/>
      </c>
      <c r="S247" s="657">
        <f>+S241-S242-S243-S245</f>
        <v/>
      </c>
      <c r="T247" s="657">
        <f>+T241-T242-T243-T245</f>
        <v/>
      </c>
      <c r="U247" s="657">
        <f>+U241-U242-U243-U245</f>
        <v/>
      </c>
      <c r="V247" s="657">
        <f>+V241-V242-V243-V245</f>
        <v/>
      </c>
      <c r="W247" s="657">
        <f>+W241-W242-W243-W245</f>
        <v/>
      </c>
      <c r="X247" s="657">
        <f>+X241-X242-X243-X245</f>
        <v/>
      </c>
      <c r="Y247" s="657">
        <f>+Y241-Y242-Y243-Y245</f>
        <v/>
      </c>
      <c r="Z247" s="657">
        <f>+Z241-Z242-Z243-Z245</f>
        <v/>
      </c>
      <c r="AA247" s="657">
        <f>+AA241-AA242-AA243-AA245</f>
        <v/>
      </c>
      <c r="AB247" s="657">
        <f>+AB241-AB242-AB243-AB245</f>
        <v/>
      </c>
      <c r="AC247" s="657">
        <f>+AC241-AC242-AC243-AC245</f>
        <v/>
      </c>
      <c r="AD247" s="657">
        <f>+AD241-AD242-AD243-AD245</f>
        <v/>
      </c>
      <c r="AE247" s="657">
        <f>+AE241-AE242-AE243-AE245</f>
        <v/>
      </c>
      <c r="AF247" s="657">
        <f>+AF241-AF242-AF243-AF245</f>
        <v/>
      </c>
      <c r="AG247" s="657">
        <f>+AG241-AG242-AG243-AG245</f>
        <v/>
      </c>
      <c r="AH247" s="657">
        <f>+AH241-AH242-AH243-AH245</f>
        <v/>
      </c>
      <c r="AI247" s="657">
        <f>+AI241-AI242-AI243-AI245</f>
        <v/>
      </c>
      <c r="AJ247" s="657">
        <f>+AJ241-AJ242-AJ243-AJ245</f>
        <v/>
      </c>
      <c r="AK247" s="657">
        <f>+AK241-AK242-AK243-AK245</f>
        <v/>
      </c>
      <c r="AL247" s="657">
        <f>+AL241-AL242-AL243-AL245</f>
        <v/>
      </c>
      <c r="AM247" s="657">
        <f>+AM241-AM242-AM243-AM245</f>
        <v/>
      </c>
      <c r="AN247" s="657">
        <f>+AN241-AN242-AN243-AN245</f>
        <v/>
      </c>
      <c r="AO247" s="727">
        <f>AN247</f>
        <v/>
      </c>
      <c r="AP247" s="727">
        <f>AO247</f>
        <v/>
      </c>
      <c r="AQ247" s="727">
        <f>AP247</f>
        <v/>
      </c>
      <c r="AR247" s="727">
        <f>AQ247</f>
        <v/>
      </c>
      <c r="AS247" s="727">
        <f>AR247</f>
        <v/>
      </c>
      <c r="AT247" s="727">
        <f>AS247</f>
        <v/>
      </c>
      <c r="AU247" s="765" t="n"/>
      <c r="AV247" s="768" t="n"/>
      <c r="AW247" s="768" t="n"/>
      <c r="AX247" s="703" t="n"/>
      <c r="AY247" s="731" t="n"/>
      <c r="AZ247" s="731" t="n"/>
      <c r="BA247" s="731" t="n"/>
      <c r="BB247" s="703" t="n"/>
      <c r="BD247" s="731" t="n"/>
      <c r="BE247" s="731" t="n"/>
      <c r="BF247" s="703" t="n"/>
      <c r="BQ247" s="731" t="n"/>
      <c r="CU247" s="769" t="n"/>
      <c r="CV247" s="770" t="n"/>
      <c r="DU247" s="727" t="n"/>
      <c r="DV247" s="727" t="n"/>
      <c r="DW247" s="727" t="n"/>
      <c r="DY247" s="727" t="n"/>
      <c r="DZ247" s="727" t="n"/>
      <c r="EA247" s="727" t="n"/>
      <c r="EC247" s="727" t="n"/>
      <c r="ED247" s="727" t="n"/>
      <c r="EE247" s="727" t="n"/>
      <c r="EF247" s="727" t="n"/>
      <c r="EH247" s="656" t="n"/>
      <c r="EI247" s="656" t="n"/>
      <c r="EJ247" s="727" t="n"/>
      <c r="EK247" s="655" t="n"/>
      <c r="EL247" s="656" t="n"/>
      <c r="EM247" s="656" t="n"/>
      <c r="EN247" s="727" t="n"/>
      <c r="EO247" s="655" t="n"/>
      <c r="EP247" s="656" t="n"/>
      <c r="EQ247" s="656" t="n"/>
      <c r="ER247" s="656" t="n"/>
      <c r="ES247" s="655" t="n"/>
      <c r="EU247" s="656" t="n"/>
      <c r="EV247" s="655" t="n"/>
      <c r="EW247" s="655" t="n"/>
      <c r="EY247" s="656" t="n"/>
      <c r="FA247" s="655" t="n"/>
      <c r="FC247" s="656" t="n"/>
      <c r="FE247" s="655" t="n"/>
      <c r="FG247" s="656" t="n"/>
      <c r="FI247" s="1250" t="n"/>
      <c r="FM247" s="1250" t="n"/>
    </row>
    <row r="248" customFormat="1" s="1154">
      <c r="A248" s="1155" t="n"/>
      <c r="B248" s="1154" t="inlineStr">
        <is>
          <t>Total Assets</t>
        </is>
      </c>
      <c r="C248" s="527">
        <f>+C232+C241</f>
        <v/>
      </c>
      <c r="D248" s="527">
        <f>+D232+D241</f>
        <v/>
      </c>
      <c r="E248" s="527">
        <f>+E232+E241</f>
        <v/>
      </c>
      <c r="F248" s="527">
        <f>+F232+F241</f>
        <v/>
      </c>
      <c r="G248" s="527">
        <f>+G232+G241</f>
        <v/>
      </c>
      <c r="H248" s="527">
        <f>+H232+H241</f>
        <v/>
      </c>
      <c r="I248" s="527">
        <f>+I232+I241</f>
        <v/>
      </c>
      <c r="J248" s="527">
        <f>+J232+J241</f>
        <v/>
      </c>
      <c r="K248" s="527">
        <f>+K232+K241</f>
        <v/>
      </c>
      <c r="L248" s="527">
        <f>+L232+L241</f>
        <v/>
      </c>
      <c r="M248" s="527">
        <f>+M232+M241</f>
        <v/>
      </c>
      <c r="N248" s="527">
        <f>+N232+N241</f>
        <v/>
      </c>
      <c r="O248" s="527">
        <f>+O232+O241</f>
        <v/>
      </c>
      <c r="P248" s="527">
        <f>+P232+P241</f>
        <v/>
      </c>
      <c r="Q248" s="527">
        <f>+Q232+Q241</f>
        <v/>
      </c>
      <c r="R248" s="527">
        <f>+R232+R241</f>
        <v/>
      </c>
      <c r="S248" s="527">
        <f>+S232+S241</f>
        <v/>
      </c>
      <c r="T248" s="527">
        <f>+T232+T241</f>
        <v/>
      </c>
      <c r="U248" s="527">
        <f>+U232+U241</f>
        <v/>
      </c>
      <c r="V248" s="527">
        <f>+V232+V241</f>
        <v/>
      </c>
      <c r="W248" s="527">
        <f>+W232+W241</f>
        <v/>
      </c>
      <c r="X248" s="527">
        <f>+X232+X241</f>
        <v/>
      </c>
      <c r="Y248" s="527">
        <f>+Y232+Y241</f>
        <v/>
      </c>
      <c r="Z248" s="527">
        <f>+Z232+Z241</f>
        <v/>
      </c>
      <c r="AA248" s="527">
        <f>+AA232+AA241</f>
        <v/>
      </c>
      <c r="AB248" s="527">
        <f>+AB232+AB241</f>
        <v/>
      </c>
      <c r="AC248" s="527">
        <f>+AC232+AC241</f>
        <v/>
      </c>
      <c r="AD248" s="527">
        <f>+AD232+AD241</f>
        <v/>
      </c>
      <c r="AE248" s="527">
        <f>+AE232+AE241</f>
        <v/>
      </c>
      <c r="AF248" s="527">
        <f>+AF232+AF241</f>
        <v/>
      </c>
      <c r="AG248" s="527">
        <f>+AG232+AG241</f>
        <v/>
      </c>
      <c r="AH248" s="527">
        <f>+AH232+AH241</f>
        <v/>
      </c>
      <c r="AI248" s="527">
        <f>+AI232+AI241</f>
        <v/>
      </c>
      <c r="AJ248" s="527">
        <f>+AJ232+AJ241</f>
        <v/>
      </c>
      <c r="AK248" s="527">
        <f>+AK232+AK241</f>
        <v/>
      </c>
      <c r="AL248" s="527">
        <f>+AL232+AL241</f>
        <v/>
      </c>
      <c r="AM248" s="527">
        <f>+AM232+AM241</f>
        <v/>
      </c>
      <c r="AN248" s="527">
        <f>+AN232+AN241</f>
        <v/>
      </c>
      <c r="AO248" s="527">
        <f>+AO232+AO241</f>
        <v/>
      </c>
      <c r="AP248" s="527">
        <f>+AP232+AP241</f>
        <v/>
      </c>
      <c r="AQ248" s="527">
        <f>+AQ232+AQ241</f>
        <v/>
      </c>
      <c r="AR248" s="527">
        <f>+AR232+AR241</f>
        <v/>
      </c>
      <c r="AS248" s="527">
        <f>+AS232+AS241</f>
        <v/>
      </c>
      <c r="AT248" s="527">
        <f>+AT232+AT241</f>
        <v/>
      </c>
      <c r="AU248" s="1251" t="n"/>
      <c r="AV248" s="1238" t="n"/>
      <c r="AW248" s="1238" t="n"/>
      <c r="AX248" s="1239" t="n"/>
      <c r="AY248" s="1238" t="n"/>
      <c r="AZ248" s="1238" t="n"/>
      <c r="BA248" s="1238" t="n"/>
      <c r="BB248" s="1239" t="n"/>
      <c r="BD248" s="1238" t="n"/>
      <c r="BE248" s="1238" t="n"/>
      <c r="BF248" s="1239" t="n"/>
      <c r="BQ248" s="1238" t="n"/>
      <c r="DU248" s="1156" t="n"/>
      <c r="DV248" s="1156" t="n"/>
      <c r="DW248" s="1156" t="n"/>
      <c r="DY248" s="1156" t="n"/>
      <c r="DZ248" s="1156" t="n"/>
      <c r="EA248" s="1156" t="n"/>
      <c r="EC248" s="1156" t="n"/>
      <c r="ED248" s="1156" t="n"/>
      <c r="EE248" s="1156" t="n"/>
      <c r="EF248" s="1156" t="n"/>
      <c r="EJ248" s="1156" t="n"/>
      <c r="EK248" s="526" t="n"/>
      <c r="EN248" s="1156" t="n"/>
      <c r="EO248" s="526" t="n"/>
      <c r="ES248" s="526" t="n"/>
      <c r="EV248" s="526" t="n"/>
      <c r="EW248" s="526" t="n"/>
      <c r="FA248" s="526" t="n"/>
      <c r="FE248" s="526" t="n"/>
      <c r="FI248" s="1184" t="n"/>
      <c r="FM248" s="1184" t="n"/>
      <c r="FN248" s="526" t="n"/>
    </row>
    <row r="249" customFormat="1" s="1172">
      <c r="A249" s="1259" t="n"/>
      <c r="B249" s="961" t="n"/>
      <c r="C249" s="1171" t="n"/>
      <c r="D249" s="1171" t="n"/>
      <c r="E249" s="1171" t="n"/>
      <c r="F249" s="1171" t="n"/>
      <c r="G249" s="1171" t="n"/>
      <c r="H249" s="1171" t="n"/>
      <c r="I249" s="1171" t="n"/>
      <c r="J249" s="1171" t="n"/>
      <c r="K249" s="1171" t="n"/>
      <c r="L249" s="1171" t="n"/>
      <c r="M249" s="1171" t="n"/>
      <c r="N249" s="1171" t="n"/>
      <c r="O249" s="1171" t="n"/>
      <c r="P249" s="1171" t="n"/>
      <c r="Q249" s="1171" t="n"/>
      <c r="R249" s="1171" t="n"/>
      <c r="S249" s="1171" t="n"/>
      <c r="T249" s="1171" t="n"/>
      <c r="U249" s="1171" t="n"/>
      <c r="V249" s="1171" t="n"/>
      <c r="W249" s="1171" t="n"/>
      <c r="X249" s="1171" t="n"/>
      <c r="Y249" s="1171" t="n"/>
      <c r="Z249" s="1171" t="n"/>
      <c r="AA249" s="1171" t="n"/>
      <c r="AB249" s="1171" t="n"/>
      <c r="AC249" s="1171" t="n"/>
      <c r="AD249" s="120" t="n"/>
      <c r="AE249" s="120" t="n"/>
      <c r="AF249" s="120" t="n"/>
      <c r="AG249" s="120" t="n"/>
      <c r="AH249" s="120" t="n"/>
      <c r="AI249" s="120" t="n"/>
      <c r="AJ249" s="120" t="n"/>
      <c r="AK249" s="120" t="n"/>
      <c r="AL249" s="120" t="n"/>
      <c r="AM249" s="120" t="n"/>
      <c r="AN249" s="120" t="n"/>
      <c r="AO249" s="120" t="n"/>
      <c r="AP249" s="120" t="n"/>
      <c r="AQ249" s="120" t="n"/>
      <c r="AR249" s="120" t="n"/>
      <c r="AS249" s="120" t="n"/>
      <c r="AT249" s="120" t="n"/>
      <c r="AU249" s="1171" t="n"/>
      <c r="AV249" s="1260" t="n"/>
      <c r="BQ249" s="1261" t="n"/>
      <c r="CO249" s="485" t="n"/>
      <c r="CX249" s="1262" t="n"/>
      <c r="EK249" s="120" t="n"/>
      <c r="EO249" s="120" t="n"/>
      <c r="ES249" s="120" t="n"/>
      <c r="EV249" s="120" t="n"/>
      <c r="EW249" s="120" t="n"/>
      <c r="FA249" s="120" t="n"/>
      <c r="FE249" s="120" t="n"/>
      <c r="FI249" s="1249" t="n"/>
      <c r="FM249" s="1249" t="n"/>
      <c r="FN249" s="120" t="n"/>
    </row>
    <row r="250" customFormat="1" s="656">
      <c r="A250" s="700" t="inlineStr">
        <is>
          <t>bs wk cap</t>
        </is>
      </c>
      <c r="B250" s="1154" t="inlineStr">
        <is>
          <t>Net Working capital</t>
        </is>
      </c>
      <c r="C250" s="657">
        <f>C243+C245-C228</f>
        <v/>
      </c>
      <c r="D250" s="657">
        <f>D243+D245-D228</f>
        <v/>
      </c>
      <c r="E250" s="657">
        <f>E243+E245-E228</f>
        <v/>
      </c>
      <c r="F250" s="657">
        <f>F243+F245-F228</f>
        <v/>
      </c>
      <c r="G250" s="657">
        <f>G243+G245-G228</f>
        <v/>
      </c>
      <c r="H250" s="657">
        <f>H243+H245-H228</f>
        <v/>
      </c>
      <c r="I250" s="657">
        <f>I243+I245-I228</f>
        <v/>
      </c>
      <c r="J250" s="657">
        <f>J243+J245-J228</f>
        <v/>
      </c>
      <c r="K250" s="657">
        <f>K243+K245-K228</f>
        <v/>
      </c>
      <c r="L250" s="657">
        <f>L243+L245-L228</f>
        <v/>
      </c>
      <c r="M250" s="657">
        <f>M243+M245-M228</f>
        <v/>
      </c>
      <c r="N250" s="657">
        <f>N243+N245-N228</f>
        <v/>
      </c>
      <c r="O250" s="657">
        <f>O243+O245-O228</f>
        <v/>
      </c>
      <c r="P250" s="657">
        <f>P243+P245-P228</f>
        <v/>
      </c>
      <c r="Q250" s="657">
        <f>Q243+Q245-Q228</f>
        <v/>
      </c>
      <c r="R250" s="657">
        <f>R243+R245-R228</f>
        <v/>
      </c>
      <c r="S250" s="657">
        <f>S243+S245-S228</f>
        <v/>
      </c>
      <c r="T250" s="657">
        <f>T243+T245-T228</f>
        <v/>
      </c>
      <c r="U250" s="657">
        <f>U243+U245-U228</f>
        <v/>
      </c>
      <c r="V250" s="657">
        <f>V243+V245-V228</f>
        <v/>
      </c>
      <c r="W250" s="657">
        <f>W243+W245-W228</f>
        <v/>
      </c>
      <c r="X250" s="657">
        <f>X243+X245-X228</f>
        <v/>
      </c>
      <c r="Y250" s="657">
        <f>Y243+Y245-Y228</f>
        <v/>
      </c>
      <c r="Z250" s="657">
        <f>Z243+Z245-Z228</f>
        <v/>
      </c>
      <c r="AA250" s="657">
        <f>AA243+AA245-AA228</f>
        <v/>
      </c>
      <c r="AB250" s="657">
        <f>AB243+AB245-AB228</f>
        <v/>
      </c>
      <c r="AC250" s="657">
        <f>AC243+AC245-AC228</f>
        <v/>
      </c>
      <c r="AD250" s="657">
        <f>AD243+AD245-AD228</f>
        <v/>
      </c>
      <c r="AE250" s="657">
        <f>AE243+AE245-AE228</f>
        <v/>
      </c>
      <c r="AF250" s="657">
        <f>AF243+AF245-AF228</f>
        <v/>
      </c>
      <c r="AG250" s="657">
        <f>AG243+AG245-AG228</f>
        <v/>
      </c>
      <c r="AH250" s="657">
        <f>AH243+AH245-AH228</f>
        <v/>
      </c>
      <c r="AI250" s="657">
        <f>AI243+AI245-AI228</f>
        <v/>
      </c>
      <c r="AJ250" s="657">
        <f>AJ243+AJ245-AJ228</f>
        <v/>
      </c>
      <c r="AK250" s="657">
        <f>AK243+AK245-AK228</f>
        <v/>
      </c>
      <c r="AL250" s="657">
        <f>AL243+AL245-AL228</f>
        <v/>
      </c>
      <c r="AM250" s="657">
        <f>AM243+AM245-AM228</f>
        <v/>
      </c>
      <c r="AN250" s="657">
        <f>AN243+AN245-AN228</f>
        <v/>
      </c>
      <c r="AO250" s="657">
        <f>AO243+AO245-AO228</f>
        <v/>
      </c>
      <c r="AP250" s="657">
        <f>AP243+AP245-AP228</f>
        <v/>
      </c>
      <c r="AQ250" s="657">
        <f>AQ243+AQ245-AQ228</f>
        <v/>
      </c>
      <c r="AR250" s="657">
        <f>AR243+AR245-AR228</f>
        <v/>
      </c>
      <c r="AS250" s="657">
        <f>AS243+AS245-AS228</f>
        <v/>
      </c>
      <c r="AT250" s="657">
        <f>AT243+AT245-AT228</f>
        <v/>
      </c>
      <c r="AV250" s="763" t="n"/>
      <c r="AW250" s="761" t="n"/>
      <c r="AX250" s="761" t="n"/>
      <c r="AY250" s="761" t="n"/>
      <c r="AZ250" s="761" t="n"/>
      <c r="BA250" s="761" t="n"/>
      <c r="BB250" s="761" t="n"/>
      <c r="BD250" s="761" t="n"/>
      <c r="BE250" s="761" t="n"/>
      <c r="BF250" s="761" t="n"/>
      <c r="BQ250" s="761" t="n"/>
      <c r="CU250" s="656">
        <f>(CU241-CU210)-(CU226-CU207)</f>
        <v/>
      </c>
      <c r="CV250" s="656">
        <f>(CV241-CV210)-(CV226-CV207)</f>
        <v/>
      </c>
      <c r="CW250" s="656">
        <f>(CW241-CW210)-(CW226-CW207)</f>
        <v/>
      </c>
      <c r="EH250" s="657" t="n"/>
      <c r="EI250" s="657" t="n"/>
      <c r="EK250" s="656">
        <f>AF250*0.5</f>
        <v/>
      </c>
      <c r="EL250" s="657" t="n"/>
      <c r="EM250" s="657" t="n"/>
      <c r="EO250" s="656">
        <f>AJ250*0.5</f>
        <v/>
      </c>
      <c r="EP250" s="657" t="n"/>
      <c r="EQ250" s="657" t="n"/>
      <c r="ER250" s="657" t="n"/>
      <c r="EU250" s="657" t="n"/>
      <c r="EY250" s="657" t="n"/>
      <c r="FC250" s="657" t="n"/>
      <c r="FG250" s="657" t="n"/>
      <c r="FI250" s="1263" t="n"/>
      <c r="FM250" s="1263" t="n"/>
    </row>
    <row r="251" customFormat="1" s="656">
      <c r="A251" s="762" t="n"/>
      <c r="B251" s="1179" t="inlineStr">
        <is>
          <t>Net Working capital days</t>
        </is>
      </c>
      <c r="C251" s="657">
        <f>(-C250*365)/C118</f>
        <v/>
      </c>
      <c r="D251" s="657">
        <f>(-D250*365)/D118</f>
        <v/>
      </c>
      <c r="E251" s="657">
        <f>(-E250*365)/E118</f>
        <v/>
      </c>
      <c r="F251" s="657">
        <f>(-F250*365)/F118</f>
        <v/>
      </c>
      <c r="G251" s="657">
        <f>(-G250*365)/G118</f>
        <v/>
      </c>
      <c r="H251" s="657">
        <f>(-H250*365)/H118</f>
        <v/>
      </c>
      <c r="I251" s="657">
        <f>(-I250*365)/I118</f>
        <v/>
      </c>
      <c r="J251" s="657">
        <f>(-J250*365)/J118</f>
        <v/>
      </c>
      <c r="K251" s="657">
        <f>(-K250*365)/K118</f>
        <v/>
      </c>
      <c r="L251" s="657">
        <f>(-L250*365)/L118</f>
        <v/>
      </c>
      <c r="M251" s="657">
        <f>(-M250*365)/M118</f>
        <v/>
      </c>
      <c r="N251" s="657">
        <f>(-N250*365)/N118</f>
        <v/>
      </c>
      <c r="O251" s="657">
        <f>(-O250*365)/O118</f>
        <v/>
      </c>
      <c r="P251" s="657">
        <f>(-P250*365)/P118</f>
        <v/>
      </c>
      <c r="Q251" s="657">
        <f>(-Q250*365)/Q118</f>
        <v/>
      </c>
      <c r="R251" s="657">
        <f>(-R250*365)/R118</f>
        <v/>
      </c>
      <c r="S251" s="657">
        <f>(-S250*365)/S118</f>
        <v/>
      </c>
      <c r="T251" s="657">
        <f>(-T250*365)/T118</f>
        <v/>
      </c>
      <c r="U251" s="657">
        <f>(-U250*365)/U118</f>
        <v/>
      </c>
      <c r="V251" s="657">
        <f>(-V250*365)/V118</f>
        <v/>
      </c>
      <c r="W251" s="657">
        <f>(-W250*365)/W118</f>
        <v/>
      </c>
      <c r="X251" s="657">
        <f>(-X250*365)/X118</f>
        <v/>
      </c>
      <c r="Y251" s="657">
        <f>(-Y250*365)/Y118</f>
        <v/>
      </c>
      <c r="Z251" s="657">
        <f>(-Z250*365)/Z118</f>
        <v/>
      </c>
      <c r="AA251" s="657">
        <f>(-AA250*365)/AA118</f>
        <v/>
      </c>
      <c r="AB251" s="657">
        <f>(-AB250*365)/AB118</f>
        <v/>
      </c>
      <c r="AC251" s="657">
        <f>(-AC250*365)/AC118</f>
        <v/>
      </c>
      <c r="AD251" s="657">
        <f>(-AD250*365)/AD118</f>
        <v/>
      </c>
      <c r="AE251" s="657">
        <f>(-AE250*365)/AE118</f>
        <v/>
      </c>
      <c r="AF251" s="657">
        <f>(-AF250*365)/AF118</f>
        <v/>
      </c>
      <c r="AG251" s="657">
        <f>(-AG250*365)/AG118</f>
        <v/>
      </c>
      <c r="AH251" s="657">
        <f>(-AH250*365)/AH118</f>
        <v/>
      </c>
      <c r="AI251" s="657">
        <f>(-AI250*365)/AI118</f>
        <v/>
      </c>
      <c r="AJ251" s="657">
        <f>(-AJ250*365)/AJ118</f>
        <v/>
      </c>
      <c r="AK251" s="657">
        <f>(-AK250*365)/AK118</f>
        <v/>
      </c>
      <c r="AL251" s="657">
        <f>(-AL250*365)/AL118</f>
        <v/>
      </c>
      <c r="AM251" s="657">
        <f>(-AM250*365)/AM118</f>
        <v/>
      </c>
      <c r="AN251" s="657">
        <f>(-AN250*365)/AN118</f>
        <v/>
      </c>
      <c r="AO251" s="657">
        <f>(-AO250*365)/AO118</f>
        <v/>
      </c>
      <c r="AP251" s="657">
        <f>(-AP250*365)/AP118</f>
        <v/>
      </c>
      <c r="AQ251" s="657">
        <f>(-AQ250*365)/AQ118</f>
        <v/>
      </c>
      <c r="AR251" s="657">
        <f>(-AR250*365)/AR118</f>
        <v/>
      </c>
      <c r="AS251" s="657">
        <f>(-AS250*365)/AS118</f>
        <v/>
      </c>
      <c r="AT251" s="657">
        <f>(-AT250*365)/AT118</f>
        <v/>
      </c>
      <c r="AV251" s="763" t="n"/>
      <c r="AW251" s="761" t="n"/>
      <c r="AX251" s="761" t="n"/>
      <c r="AY251" s="761" t="n"/>
      <c r="AZ251" s="761" t="n"/>
      <c r="BA251" s="761" t="n"/>
      <c r="BB251" s="761" t="n"/>
      <c r="BD251" s="761" t="n"/>
      <c r="BE251" s="761" t="n"/>
      <c r="BF251" s="761" t="n"/>
      <c r="BQ251" s="761" t="n"/>
      <c r="CV251" s="764" t="n"/>
      <c r="EH251" s="657" t="n"/>
      <c r="EI251" s="527" t="n"/>
      <c r="EJ251" s="527" t="n"/>
      <c r="EK251" s="527" t="n"/>
      <c r="EL251" s="527" t="n"/>
      <c r="EM251" s="527" t="n"/>
      <c r="EN251" s="527" t="n"/>
      <c r="EO251" s="527" t="n"/>
      <c r="EP251" s="657" t="n"/>
      <c r="EQ251" s="657" t="n"/>
      <c r="ER251" s="657" t="n"/>
      <c r="EU251" s="657" t="n"/>
      <c r="EY251" s="657" t="n"/>
      <c r="FC251" s="657" t="n"/>
      <c r="FG251" s="657" t="n"/>
      <c r="FI251" s="1263" t="n"/>
      <c r="FM251" s="1263" t="n"/>
    </row>
    <row r="252" customFormat="1" s="1234">
      <c r="A252" s="1264" t="n"/>
      <c r="C252" s="1255" t="n"/>
      <c r="D252" s="1255" t="n"/>
      <c r="E252" s="1255" t="n"/>
      <c r="F252" s="1255" t="n"/>
      <c r="G252" s="1255" t="n"/>
      <c r="H252" s="1255" t="n"/>
      <c r="I252" s="1255" t="n"/>
      <c r="J252" s="1255" t="n"/>
      <c r="K252" s="1255" t="n"/>
      <c r="L252" s="1255" t="n"/>
      <c r="M252" s="1255" t="n"/>
      <c r="N252" s="1255" t="n"/>
      <c r="O252" s="1255" t="n"/>
      <c r="P252" s="1255" t="n"/>
      <c r="Q252" s="1255" t="n"/>
      <c r="R252" s="1255" t="n"/>
      <c r="S252" s="1255" t="n"/>
      <c r="T252" s="1255" t="n"/>
      <c r="U252" s="1255" t="n"/>
      <c r="V252" s="1255" t="n"/>
      <c r="W252" s="1255" t="n"/>
      <c r="X252" s="1255" t="n"/>
      <c r="Y252" s="1255" t="n"/>
      <c r="Z252" s="1255" t="n"/>
      <c r="AA252" s="1255" t="n"/>
      <c r="AB252" s="1255" t="n"/>
      <c r="AC252" s="1255" t="n"/>
      <c r="AD252" s="1255" t="n"/>
      <c r="AE252" s="1255" t="n"/>
      <c r="AF252" s="1255" t="n"/>
      <c r="AG252" s="1255" t="n"/>
      <c r="AH252" s="1255" t="n"/>
      <c r="AI252" s="1255" t="n"/>
      <c r="AJ252" s="1255" t="n"/>
      <c r="AK252" s="1255" t="n"/>
      <c r="AL252" s="1255" t="n"/>
      <c r="AM252" s="1255" t="n"/>
      <c r="AN252" s="1255" t="n"/>
      <c r="AO252" s="1255" t="n"/>
      <c r="AP252" s="1255" t="n"/>
      <c r="AQ252" s="1255" t="n"/>
      <c r="AR252" s="1255" t="n"/>
      <c r="AS252" s="1255" t="n"/>
      <c r="AT252" s="1255" t="n"/>
      <c r="AU252" s="1255" t="n"/>
      <c r="AV252" s="1253" t="n"/>
      <c r="AW252" s="1253" t="n"/>
      <c r="AX252" s="1254" t="n"/>
      <c r="AY252" s="1253" t="n"/>
      <c r="AZ252" s="1253" t="n"/>
      <c r="BA252" s="1253" t="n"/>
      <c r="BB252" s="1254" t="n"/>
      <c r="BD252" s="1253" t="n"/>
      <c r="BE252" s="1253" t="n"/>
      <c r="BF252" s="1254" t="n"/>
      <c r="BQ252" s="1253" t="n"/>
      <c r="EH252" s="1048" t="n"/>
      <c r="EI252" s="1048" t="n"/>
      <c r="EK252" s="1255" t="n"/>
      <c r="EL252" s="1048" t="n"/>
      <c r="EM252" s="1048" t="n"/>
      <c r="EO252" s="1255" t="n"/>
      <c r="EP252" s="1048" t="n"/>
      <c r="EQ252" s="1048" t="n"/>
      <c r="ER252" s="1048" t="n"/>
      <c r="ES252" s="1255" t="n"/>
      <c r="EU252" s="1048" t="n"/>
      <c r="EV252" s="1048" t="n"/>
      <c r="EW252" s="1255" t="n"/>
      <c r="EY252" s="1048" t="n"/>
      <c r="FA252" s="1255" t="n"/>
      <c r="FC252" s="1048" t="n"/>
      <c r="FE252" s="1255" t="n"/>
      <c r="FG252" s="1048" t="n"/>
      <c r="FI252" s="1256" t="n"/>
      <c r="FM252" s="1256" t="n"/>
      <c r="FN252" s="1255" t="n"/>
    </row>
    <row r="253" ht="12" customHeight="1" s="239">
      <c r="A253" s="1265" t="n"/>
      <c r="B253" s="1024" t="inlineStr">
        <is>
          <t>Net debt / EBITDA (x)</t>
        </is>
      </c>
      <c r="C253" s="1266">
        <f>(C213+C214)/(C133+C129)</f>
        <v/>
      </c>
      <c r="D253" s="1266">
        <f>(D213+D214)/(D133+D129)</f>
        <v/>
      </c>
      <c r="E253" s="1266">
        <f>(E213+E214)/(E133+E129)</f>
        <v/>
      </c>
      <c r="F253" s="1266">
        <f>(F213+F214)/(F133+F129)</f>
        <v/>
      </c>
      <c r="G253" s="1266">
        <f>(G213+G214)/(G133+G129)</f>
        <v/>
      </c>
      <c r="H253" s="1266">
        <f>(H213+H214)/(H133+H129)</f>
        <v/>
      </c>
      <c r="I253" s="1266">
        <f>(I213+I214)/(I133+I129)</f>
        <v/>
      </c>
      <c r="J253" s="1266">
        <f>(J213+J214)/(J133+J129)</f>
        <v/>
      </c>
      <c r="K253" s="1266">
        <f>(K213+K214)/(K133+K129)</f>
        <v/>
      </c>
      <c r="L253" s="1266">
        <f>(L213+L214)/(L133+L129)</f>
        <v/>
      </c>
      <c r="M253" s="1266">
        <f>(M213+M214)/(M133+M129)</f>
        <v/>
      </c>
      <c r="N253" s="1266">
        <f>(N213+N214)/(N133+N129)</f>
        <v/>
      </c>
      <c r="O253" s="1266">
        <f>(O213+O214)/(O133+O129)</f>
        <v/>
      </c>
      <c r="P253" s="1266">
        <f>(P213+P214)/(P133+P129)</f>
        <v/>
      </c>
      <c r="Q253" s="1266">
        <f>(Q213+Q214)/(Q133+Q129)</f>
        <v/>
      </c>
      <c r="R253" s="1266">
        <f>(R213+R214)/(R133+R129)</f>
        <v/>
      </c>
      <c r="S253" s="1266">
        <f>(S213+S214)/(S133+S129)</f>
        <v/>
      </c>
      <c r="T253" s="1266">
        <f>(T213+T214)/(T133+T129)</f>
        <v/>
      </c>
      <c r="U253" s="1266">
        <f>(U213+U214)/(U133+U129)</f>
        <v/>
      </c>
      <c r="V253" s="1266">
        <f>(V213+V214)/(V133+V129)</f>
        <v/>
      </c>
      <c r="W253" s="1266">
        <f>(W213+W214)/(W133+W129)</f>
        <v/>
      </c>
      <c r="X253" s="1266">
        <f>(X213+X214)/(X133+X129)</f>
        <v/>
      </c>
      <c r="Y253" s="1266">
        <f>(Y213+Y214)/(Y133+Y129)</f>
        <v/>
      </c>
      <c r="Z253" s="1266">
        <f>(Z213+Z214)/(Z133+Z129)</f>
        <v/>
      </c>
      <c r="AA253" s="1266">
        <f>(AA213+AA214)/(AA133+AA129)</f>
        <v/>
      </c>
      <c r="AB253" s="1266">
        <f>(AB213+AB214)/(AB133+AB129)</f>
        <v/>
      </c>
      <c r="AC253" s="1266">
        <f>(AC213+AC214)/(AC133+AC129)</f>
        <v/>
      </c>
      <c r="AD253" s="1266">
        <f>(AD213+AD214)/(AD133+AD129)</f>
        <v/>
      </c>
      <c r="AE253" s="1266">
        <f>(AE213+AE214)/(AE133+AE129)</f>
        <v/>
      </c>
      <c r="AF253" s="1266">
        <f>(AF213+AF214)/(AF133+AF129)</f>
        <v/>
      </c>
      <c r="AG253" s="1266">
        <f>(AG213+AG214)/(AG133+AG129)</f>
        <v/>
      </c>
      <c r="AH253" s="1266">
        <f>(AH213+AH214)/(AH133+AH129)</f>
        <v/>
      </c>
      <c r="AI253" s="1266">
        <f>(AI213+AI214)/(AI133+AI129)</f>
        <v/>
      </c>
      <c r="AJ253" s="1266">
        <f>(AJ213+AJ214)/(AJ133+AJ129)</f>
        <v/>
      </c>
      <c r="AK253" s="1266">
        <f>(AK213+AK214)/(AK133+AK129)</f>
        <v/>
      </c>
      <c r="AL253" s="1266">
        <f>(AL213+AL214)/(AL133+AL129)</f>
        <v/>
      </c>
      <c r="AM253" s="1266">
        <f>(AM213+AM214)/(AM133+AM129)</f>
        <v/>
      </c>
      <c r="AN253" s="1266">
        <f>(AN213+AN214)/(AN133+AN129)</f>
        <v/>
      </c>
      <c r="AO253" s="1266">
        <f>(AO213+AO214)/(AO133+AO129)</f>
        <v/>
      </c>
      <c r="AP253" s="1266">
        <f>(AP213+AP214)/(AP133+AP129)</f>
        <v/>
      </c>
      <c r="AQ253" s="1266">
        <f>(AQ213+AQ214)/(AQ133+AQ129)</f>
        <v/>
      </c>
      <c r="AR253" s="1266">
        <f>(AR213+AR214)/(AR133+AR129)</f>
        <v/>
      </c>
      <c r="AS253" s="1266">
        <f>(AS213+AS214)/(AS133+AS129)</f>
        <v/>
      </c>
      <c r="AT253" s="1266">
        <f>(AT213+AT214)/(AT133+AT129)</f>
        <v/>
      </c>
      <c r="AV253" s="961" t="n"/>
      <c r="AW253" s="961" t="n"/>
      <c r="AX253" s="961" t="n"/>
      <c r="AY253" s="961" t="n"/>
      <c r="AZ253" s="961" t="n"/>
      <c r="BA253" s="961" t="n"/>
      <c r="BB253" s="961" t="n"/>
      <c r="BD253" s="961" t="n"/>
      <c r="BE253" s="961" t="n"/>
      <c r="BF253" s="961" t="n"/>
      <c r="CO253" s="160" t="n"/>
      <c r="EH253" s="1172" t="n"/>
      <c r="EI253" s="1172" t="n"/>
      <c r="EK253" s="194" t="n"/>
      <c r="EL253" s="1172" t="n"/>
      <c r="EM253" s="1172" t="n"/>
      <c r="EO253" s="194" t="n"/>
      <c r="EP253" s="1172" t="n"/>
      <c r="EQ253" s="1172" t="n"/>
      <c r="ER253" s="1172" t="n"/>
      <c r="ES253" s="194" t="n"/>
      <c r="EU253" s="1172" t="n"/>
      <c r="EV253" s="194" t="n"/>
      <c r="EW253" s="194" t="n"/>
      <c r="EY253" s="1172" t="n"/>
      <c r="FA253" s="194" t="n"/>
      <c r="FC253" s="1172" t="n"/>
      <c r="FE253" s="194" t="n"/>
      <c r="FG253" s="1172" t="n"/>
      <c r="FI253" s="1193" t="n"/>
      <c r="FM253" s="1193" t="n"/>
      <c r="FN253" s="194" t="n"/>
    </row>
    <row r="254" customFormat="1" s="1267">
      <c r="A254" s="1268" t="inlineStr">
        <is>
          <t>bs gearing</t>
        </is>
      </c>
      <c r="B254" s="1269" t="inlineStr">
        <is>
          <t>Net debt / total capital</t>
        </is>
      </c>
      <c r="C254" s="1269">
        <f>(C213+C214)/SUM(C213:C215)</f>
        <v/>
      </c>
      <c r="D254" s="1269">
        <f>(D213+D214)/SUM(D213:D215)</f>
        <v/>
      </c>
      <c r="E254" s="1269">
        <f>(E213+E214)/SUM(E213:E215)</f>
        <v/>
      </c>
      <c r="F254" s="1269">
        <f>(F213+F214)/SUM(F213:F215)</f>
        <v/>
      </c>
      <c r="G254" s="1269">
        <f>(G213+G214)/SUM(G213:G215)</f>
        <v/>
      </c>
      <c r="H254" s="1269">
        <f>(H213+H214)/SUM(H213:H215)</f>
        <v/>
      </c>
      <c r="I254" s="1269">
        <f>(I213+I214)/SUM(I213:I215)</f>
        <v/>
      </c>
      <c r="J254" s="1269">
        <f>(J213+J214)/SUM(J213:J215)</f>
        <v/>
      </c>
      <c r="K254" s="1269">
        <f>(K213+K214)/SUM(K213:K215)</f>
        <v/>
      </c>
      <c r="L254" s="1270">
        <f>(L213+L214)/SUM(L213:L215)</f>
        <v/>
      </c>
      <c r="M254" s="1270">
        <f>(M213+M214)/SUM(M213:M215)</f>
        <v/>
      </c>
      <c r="N254" s="1270">
        <f>(N213+N214)/SUM(N213:N215)</f>
        <v/>
      </c>
      <c r="O254" s="1270">
        <f>(O213+O214)/SUM(O213:O215)</f>
        <v/>
      </c>
      <c r="P254" s="1270">
        <f>(P213+P214)/SUM(P213:P215)</f>
        <v/>
      </c>
      <c r="Q254" s="1270">
        <f>(Q213+Q214)/SUM(Q213:Q215)</f>
        <v/>
      </c>
      <c r="R254" s="1270">
        <f>(R213+R214)/SUM(R213:R215)</f>
        <v/>
      </c>
      <c r="S254" s="1270">
        <f>(S213+S214)/SUM(S213:S215)</f>
        <v/>
      </c>
      <c r="T254" s="1270">
        <f>(T213+T214)/SUM(T213:T215)</f>
        <v/>
      </c>
      <c r="U254" s="1270">
        <f>(U213+U214)/SUM(U213:U215)</f>
        <v/>
      </c>
      <c r="V254" s="1270">
        <f>(V213+V214)/SUM(V213:V215)</f>
        <v/>
      </c>
      <c r="W254" s="1270">
        <f>(W213+W214)/SUM(W213:W215)</f>
        <v/>
      </c>
      <c r="X254" s="1270">
        <f>(X213+X214)/SUM(X213:X215)</f>
        <v/>
      </c>
      <c r="Y254" s="1270">
        <f>(Y213+Y214)/SUM(Y213:Y215)</f>
        <v/>
      </c>
      <c r="Z254" s="1270">
        <f>(Z213+Z214)/SUM(Z213:Z215)</f>
        <v/>
      </c>
      <c r="AA254" s="1270">
        <f>(AA213+AA214)/SUM(AA213:AA215)</f>
        <v/>
      </c>
      <c r="AB254" s="1270">
        <f>(AB213+AB214)/SUM(AB213:AB215)</f>
        <v/>
      </c>
      <c r="AC254" s="1270">
        <f>(AC213+AC214)/SUM(AC213:AC215)</f>
        <v/>
      </c>
      <c r="AD254" s="1270">
        <f>(AD213+AD214)/SUM(AD213:AD215)</f>
        <v/>
      </c>
      <c r="AE254" s="1270">
        <f>(AE213+AE214)/SUM(AE213:AE215)</f>
        <v/>
      </c>
      <c r="AF254" s="1270">
        <f>(AF213+AF214)/SUM(AF213:AF215)</f>
        <v/>
      </c>
      <c r="AG254" s="1270">
        <f>(AG213+AG214)/SUM(AG213:AG215)</f>
        <v/>
      </c>
      <c r="AH254" s="1270">
        <f>(AH213+AH214)/SUM(AH213:AH215)</f>
        <v/>
      </c>
      <c r="AI254" s="1270">
        <f>(AI213+AI214)/SUM(AI213:AI215)</f>
        <v/>
      </c>
      <c r="AJ254" s="1270">
        <f>(AJ213+AJ214)/SUM(AJ213:AJ215)</f>
        <v/>
      </c>
      <c r="AK254" s="1270">
        <f>(AK213+AK214)/SUM(AK213:AK215)</f>
        <v/>
      </c>
      <c r="AL254" s="1271">
        <f>(AL213+AL214)/SUM(AL213:AL215)</f>
        <v/>
      </c>
      <c r="AM254" s="1271">
        <f>(AM213+AM214)/SUM(AM213:AM215)</f>
        <v/>
      </c>
      <c r="AN254" s="1271">
        <f>(AN213+AN214)/SUM(AN213:AN215)</f>
        <v/>
      </c>
      <c r="AO254" s="1270">
        <f>(AO213+AO214)/SUM(AO213:AO215)</f>
        <v/>
      </c>
      <c r="AP254" s="1270">
        <f>(AP213+AP214)/SUM(AP213:AP215)</f>
        <v/>
      </c>
      <c r="AQ254" s="1270">
        <f>(AQ213+AQ214)/SUM(AQ213:AQ215)</f>
        <v/>
      </c>
      <c r="AR254" s="1270">
        <f>(AR213+AR214)/SUM(AR213:AR215)</f>
        <v/>
      </c>
      <c r="AS254" s="1270">
        <f>(AS213+AS214)/SUM(AS213:AS215)</f>
        <v/>
      </c>
      <c r="AT254" s="1270">
        <f>(AT213+AT214)/SUM(AT213:AT215)</f>
        <v/>
      </c>
      <c r="AU254" s="1272" t="n"/>
      <c r="AV254" s="675" t="n"/>
      <c r="AW254" s="1273" t="n"/>
      <c r="AX254" s="1274" t="n"/>
      <c r="AY254" s="1273" t="n"/>
      <c r="AZ254" s="1273" t="n"/>
      <c r="BA254" s="1273" t="n"/>
      <c r="BB254" s="1274" t="n"/>
      <c r="BD254" s="1273" t="n"/>
      <c r="BE254" s="1273" t="n"/>
      <c r="BF254" s="1274" t="n"/>
      <c r="BP254" s="1267" t="n"/>
      <c r="BQ254" s="1273" t="n"/>
      <c r="CE254" s="1267" t="n"/>
      <c r="CV254" s="1267" t="n"/>
      <c r="EH254" s="1143" t="n"/>
      <c r="EI254" s="1143" t="n"/>
      <c r="EK254" s="1272">
        <f>(EK213+EK214)/SUM(EK213:EK215)</f>
        <v/>
      </c>
      <c r="EL254" s="678" t="n"/>
      <c r="EM254" s="1143" t="n"/>
      <c r="EO254" s="1272">
        <f>(EO213+EO214)/SUM(EO213:EO215)</f>
        <v/>
      </c>
      <c r="EP254" s="1143" t="n"/>
      <c r="EQ254" s="1143" t="n"/>
      <c r="ER254" s="1143" t="n"/>
      <c r="ES254" s="1272">
        <f>(ES213+ES214)/SUM(ES213:ES215)</f>
        <v/>
      </c>
      <c r="EU254" s="1143" t="n"/>
      <c r="EV254" s="1272" t="n"/>
      <c r="EW254" s="1272">
        <f>(EW213+EW214)/SUM(EW213:EW215)</f>
        <v/>
      </c>
      <c r="EY254" s="1143" t="n"/>
      <c r="FA254" s="1272">
        <f>(FA213+FA214)/SUM(FA213:FA215)</f>
        <v/>
      </c>
      <c r="FC254" s="1143" t="n"/>
      <c r="FE254" s="1272">
        <f>(FE213+FE214)/SUM(FE213:FE215)</f>
        <v/>
      </c>
      <c r="FG254" s="1143" t="n"/>
      <c r="FI254" s="1272">
        <f>(FI213+FI214)/SUM(FI213:FI215)</f>
        <v/>
      </c>
      <c r="FM254" s="1272">
        <f>(FM213+FM214)/SUM(FM213:FM215)</f>
        <v/>
      </c>
      <c r="FN254" s="1272" t="n"/>
    </row>
    <row r="255" ht="12" customHeight="1" s="239">
      <c r="A255" s="1077" t="n"/>
      <c r="B255" s="1048" t="n"/>
      <c r="C255" s="963" t="n"/>
      <c r="D255" s="317" t="n"/>
      <c r="E255" s="317" t="n"/>
      <c r="F255" s="317" t="n"/>
      <c r="G255" s="317" t="n"/>
      <c r="H255" s="317" t="n"/>
      <c r="I255" s="317" t="n"/>
      <c r="J255" s="317" t="n"/>
      <c r="K255" s="317" t="n"/>
      <c r="L255" s="317" t="n"/>
      <c r="M255" s="317" t="n"/>
      <c r="N255" s="317" t="n"/>
      <c r="O255" s="317" t="n"/>
      <c r="P255" s="317" t="n"/>
      <c r="Q255" s="317" t="n"/>
      <c r="R255" s="317" t="n"/>
      <c r="S255" s="317" t="n"/>
      <c r="T255" s="317" t="n"/>
      <c r="U255" s="317" t="n"/>
      <c r="V255" s="317" t="n"/>
      <c r="W255" s="317" t="n"/>
      <c r="X255" s="317" t="n"/>
      <c r="Y255" s="317" t="n"/>
      <c r="Z255" s="317" t="n"/>
      <c r="AA255" s="317" t="n"/>
      <c r="AB255" s="317" t="n"/>
      <c r="AC255" s="317" t="n"/>
      <c r="AD255" s="317" t="n"/>
      <c r="AE255" s="317" t="n"/>
      <c r="AF255" s="317" t="n"/>
      <c r="AG255" s="317" t="n"/>
      <c r="AH255" s="317" t="n"/>
      <c r="AI255" s="514" t="n"/>
      <c r="AJ255" s="514" t="n"/>
      <c r="AK255" s="514" t="n"/>
      <c r="AL255" s="514" t="n"/>
      <c r="AM255" s="514" t="n"/>
      <c r="AN255" s="514" t="n"/>
      <c r="AO255" s="514" t="n"/>
      <c r="AP255" s="411" t="n"/>
      <c r="AQ255" s="411" t="n"/>
      <c r="AR255" s="411" t="n"/>
      <c r="AS255" s="411" t="n"/>
      <c r="AT255" s="411" t="n"/>
      <c r="AU255" s="962" t="n"/>
      <c r="EH255" s="1267" t="n"/>
      <c r="EI255" s="1267" t="n"/>
      <c r="EL255" s="1267" t="n"/>
      <c r="EM255" s="1267" t="n"/>
      <c r="EO255" s="317" t="n"/>
      <c r="EP255" s="1267" t="n"/>
      <c r="EQ255" s="1267" t="n"/>
      <c r="ER255" s="1267" t="n"/>
      <c r="ES255" s="317" t="n"/>
      <c r="EU255" s="1267" t="n"/>
      <c r="EV255" s="1267" t="n"/>
      <c r="EW255" s="317" t="n"/>
      <c r="EY255" s="1267" t="n"/>
      <c r="FA255" s="317" t="n"/>
      <c r="FC255" s="1267" t="n"/>
      <c r="FE255" s="317" t="n"/>
      <c r="FG255" s="1267" t="n"/>
      <c r="FI255" s="1275" t="n"/>
      <c r="FM255" s="1275" t="n"/>
      <c r="FN255" s="317" t="n"/>
    </row>
    <row r="256">
      <c r="R256" s="161" t="n"/>
      <c r="S256" s="962" t="n"/>
      <c r="T256" s="962" t="n"/>
      <c r="U256" s="962" t="n"/>
      <c r="V256" s="161" t="n"/>
      <c r="W256" s="161" t="n"/>
      <c r="X256" s="161" t="n"/>
      <c r="Y256" s="161" t="n"/>
      <c r="Z256" s="161" t="n"/>
      <c r="AA256" s="161" t="n"/>
      <c r="AB256" s="161" t="n"/>
      <c r="AC256" s="161" t="n"/>
      <c r="AD256" s="161" t="n"/>
      <c r="AE256" s="161" t="n"/>
      <c r="AF256" s="161" t="n"/>
      <c r="AG256" s="161" t="n"/>
      <c r="AH256" s="161" t="n"/>
      <c r="AI256" s="161" t="n"/>
      <c r="AJ256" s="161" t="n"/>
      <c r="AK256" s="161" t="n"/>
      <c r="AL256" s="161" t="n"/>
      <c r="AM256" s="161" t="n"/>
      <c r="AN256" s="161" t="n"/>
      <c r="AO256" s="161" t="n"/>
      <c r="AP256" s="161" t="n"/>
      <c r="AQ256" s="161" t="n"/>
      <c r="AR256" s="161" t="n"/>
      <c r="AS256" s="161" t="n"/>
      <c r="AT256" s="161" t="n"/>
      <c r="AU256" s="962" t="n"/>
      <c r="DE256" s="160" t="n"/>
      <c r="DI256" s="160" t="n"/>
      <c r="DM256" s="160" t="n"/>
      <c r="DQ256" s="160" t="n"/>
      <c r="EH256" s="1176" t="n"/>
      <c r="EI256" s="1176" t="n"/>
      <c r="EL256" s="1176" t="n"/>
      <c r="EM256" s="1176" t="n"/>
      <c r="EO256" s="161" t="n"/>
      <c r="EP256" s="1176" t="n"/>
      <c r="EQ256" s="1176" t="n"/>
      <c r="ER256" s="1176" t="n"/>
      <c r="ES256" s="161" t="n"/>
      <c r="EU256" s="1176" t="n"/>
      <c r="EV256" s="1176" t="n"/>
      <c r="EW256" s="161" t="n"/>
      <c r="EY256" s="1176" t="n"/>
      <c r="FA256" s="161" t="n"/>
      <c r="FC256" s="1176" t="n"/>
      <c r="FE256" s="161" t="n"/>
      <c r="FG256" s="1176" t="n"/>
      <c r="FI256" s="1249" t="n"/>
      <c r="FM256" s="1249" t="n"/>
      <c r="FN256" s="161" t="n"/>
    </row>
    <row r="257">
      <c r="A257" s="1077" t="n"/>
      <c r="B257" s="967" t="inlineStr">
        <is>
          <t>Fleet</t>
        </is>
      </c>
      <c r="C257" s="967" t="n"/>
      <c r="D257" s="967" t="n"/>
      <c r="E257" s="967" t="n"/>
      <c r="F257" s="967" t="n"/>
      <c r="G257" s="967" t="n"/>
      <c r="H257" s="967" t="n"/>
      <c r="I257" s="967" t="n"/>
      <c r="J257" s="967" t="n"/>
      <c r="K257" s="967" t="n"/>
      <c r="L257" s="967" t="n"/>
      <c r="M257" s="967" t="n"/>
      <c r="N257" s="967" t="n"/>
      <c r="O257" s="967" t="n"/>
      <c r="P257" s="967" t="n"/>
      <c r="Q257" s="967" t="n"/>
      <c r="R257" s="967" t="n"/>
      <c r="S257" s="967" t="n"/>
      <c r="T257" s="967" t="n"/>
      <c r="U257" s="967" t="n"/>
      <c r="V257" s="967" t="n"/>
      <c r="W257" s="967" t="n"/>
      <c r="X257" s="967" t="n"/>
      <c r="Y257" s="967" t="n"/>
      <c r="Z257" s="967" t="n"/>
      <c r="AA257" s="967" t="n"/>
      <c r="AB257" s="967" t="n"/>
      <c r="AC257" s="967" t="n"/>
      <c r="AD257" s="967" t="n"/>
      <c r="AE257" s="967" t="n"/>
      <c r="AF257" s="967" t="n"/>
      <c r="AG257" s="967" t="n"/>
      <c r="AH257" s="967" t="n"/>
      <c r="AI257" s="967" t="n"/>
      <c r="AJ257" s="967" t="n"/>
      <c r="AK257" s="967" t="n"/>
      <c r="AL257" s="967" t="n"/>
      <c r="AM257" s="967" t="n"/>
      <c r="AN257" s="967" t="n"/>
      <c r="AO257" s="967" t="n"/>
      <c r="AP257" s="967" t="n"/>
      <c r="AQ257" s="967" t="n"/>
      <c r="AR257" s="967" t="n"/>
      <c r="AS257" s="967" t="n"/>
      <c r="AT257" s="967" t="n"/>
      <c r="AU257" s="962" t="n"/>
      <c r="FN257" s="965" t="n"/>
    </row>
    <row r="258">
      <c r="A258" s="1077" t="n"/>
      <c r="B258" s="1121" t="inlineStr">
        <is>
          <t>Year to December</t>
        </is>
      </c>
      <c r="C258" s="1123" t="inlineStr">
        <is>
          <t>1987A</t>
        </is>
      </c>
      <c r="D258" s="1122" t="inlineStr">
        <is>
          <t>1988A</t>
        </is>
      </c>
      <c r="E258" s="1122" t="inlineStr">
        <is>
          <t>1989A</t>
        </is>
      </c>
      <c r="F258" s="1122" t="inlineStr">
        <is>
          <t>1990A</t>
        </is>
      </c>
      <c r="G258" s="1122" t="inlineStr">
        <is>
          <t>1991A</t>
        </is>
      </c>
      <c r="H258" s="1122" t="inlineStr">
        <is>
          <t>1992A</t>
        </is>
      </c>
      <c r="I258" s="1122" t="inlineStr">
        <is>
          <t>1993A</t>
        </is>
      </c>
      <c r="J258" s="1122" t="inlineStr">
        <is>
          <t>1994A</t>
        </is>
      </c>
      <c r="K258" s="1122" t="inlineStr">
        <is>
          <t>1995A</t>
        </is>
      </c>
      <c r="L258" s="1124" t="inlineStr">
        <is>
          <t>1996A</t>
        </is>
      </c>
      <c r="M258" s="1276" t="inlineStr">
        <is>
          <t>1997A</t>
        </is>
      </c>
      <c r="N258" s="1276" t="inlineStr">
        <is>
          <t>1998A</t>
        </is>
      </c>
      <c r="O258" s="1124" t="inlineStr">
        <is>
          <t>1999A</t>
        </is>
      </c>
      <c r="P258" s="1124" t="inlineStr">
        <is>
          <t>2000A</t>
        </is>
      </c>
      <c r="Q258" s="1124" t="inlineStr">
        <is>
          <t>2001A</t>
        </is>
      </c>
      <c r="R258" s="1124" t="inlineStr">
        <is>
          <t>2002A</t>
        </is>
      </c>
      <c r="S258" s="1124">
        <f>S178</f>
        <v/>
      </c>
      <c r="T258" s="1124">
        <f>T178</f>
        <v/>
      </c>
      <c r="U258" s="1124">
        <f>U178</f>
        <v/>
      </c>
      <c r="V258" s="1124">
        <f>V178</f>
        <v/>
      </c>
      <c r="W258" s="1124">
        <f>W178</f>
        <v/>
      </c>
      <c r="X258" s="1124">
        <f>X178</f>
        <v/>
      </c>
      <c r="Y258" s="1124">
        <f>Y178</f>
        <v/>
      </c>
      <c r="Z258" s="1124">
        <f>Z178</f>
        <v/>
      </c>
      <c r="AA258" s="1124">
        <f>AA178</f>
        <v/>
      </c>
      <c r="AB258" s="1124">
        <f>AB178</f>
        <v/>
      </c>
      <c r="AC258" s="1124">
        <f>AC178</f>
        <v/>
      </c>
      <c r="AD258" s="1124" t="inlineStr">
        <is>
          <t>2014E</t>
        </is>
      </c>
      <c r="AE258" s="1124" t="inlineStr">
        <is>
          <t>2015E</t>
        </is>
      </c>
      <c r="AF258" s="1124" t="inlineStr">
        <is>
          <t>2016E</t>
        </is>
      </c>
      <c r="AG258" s="1124">
        <f>AG178</f>
        <v/>
      </c>
      <c r="AH258" s="1124">
        <f>AH178</f>
        <v/>
      </c>
      <c r="AI258" s="1124">
        <f>AI178</f>
        <v/>
      </c>
      <c r="AJ258" s="1124">
        <f>AJ178</f>
        <v/>
      </c>
      <c r="AK258" s="1124">
        <f>AK178</f>
        <v/>
      </c>
      <c r="AL258" s="1125">
        <f>AL178</f>
        <v/>
      </c>
      <c r="AM258" s="1125">
        <f>AM178</f>
        <v/>
      </c>
      <c r="AN258" s="1125">
        <f>AN178</f>
        <v/>
      </c>
      <c r="AO258" s="1124">
        <f>AO178</f>
        <v/>
      </c>
      <c r="AP258" s="1124">
        <f>AP178</f>
        <v/>
      </c>
      <c r="AQ258" s="1124">
        <f>AQ178</f>
        <v/>
      </c>
      <c r="AR258" s="1124">
        <f>AR178</f>
        <v/>
      </c>
      <c r="AS258" s="1124">
        <f>AS178</f>
        <v/>
      </c>
      <c r="AT258" s="1124">
        <f>AT178</f>
        <v/>
      </c>
      <c r="AU258" s="1126" t="n"/>
      <c r="FN258" s="965" t="n"/>
    </row>
    <row r="259">
      <c r="B259" s="961" t="inlineStr">
        <is>
          <t>Current fleet:</t>
        </is>
      </c>
      <c r="S259" s="962" t="n"/>
      <c r="T259" s="962" t="n"/>
      <c r="U259" s="962" t="n"/>
      <c r="V259" s="962" t="n"/>
      <c r="W259" s="962" t="n"/>
      <c r="X259" s="962" t="n"/>
      <c r="Y259" s="962" t="n"/>
      <c r="Z259" s="962" t="n"/>
      <c r="AA259" s="962" t="n"/>
      <c r="AB259" s="962" t="n"/>
      <c r="AC259" s="962" t="n"/>
      <c r="AD259" s="962" t="n"/>
      <c r="AE259" s="962" t="n"/>
      <c r="AF259" s="962" t="n"/>
      <c r="AG259" s="962" t="n"/>
      <c r="AH259" s="962" t="n"/>
      <c r="AI259" s="962" t="n"/>
      <c r="AJ259" s="962" t="n"/>
      <c r="AK259" s="962" t="n"/>
      <c r="AL259" s="962" t="n"/>
      <c r="AM259" s="962" t="n"/>
      <c r="AN259" s="962" t="n"/>
      <c r="AO259" s="962" t="n"/>
      <c r="AP259" s="962" t="n"/>
      <c r="AQ259" s="962" t="n"/>
      <c r="AR259" s="962" t="n"/>
      <c r="AS259" s="962" t="n"/>
      <c r="AT259" s="962" t="n"/>
      <c r="AU259" s="962" t="n"/>
      <c r="ES259" s="320" t="n"/>
      <c r="EW259" s="320" t="n"/>
      <c r="FA259" s="320" t="n"/>
      <c r="FE259" s="320" t="n"/>
      <c r="FN259" s="965" t="n"/>
    </row>
    <row r="260">
      <c r="B260" s="961" t="inlineStr">
        <is>
          <t>A320</t>
        </is>
      </c>
      <c r="C260" s="237" t="n"/>
      <c r="D260" s="237" t="n"/>
      <c r="E260" s="237" t="n"/>
      <c r="F260" s="237" t="n"/>
      <c r="G260" s="237" t="n"/>
      <c r="H260" s="237" t="n"/>
      <c r="I260" s="237" t="n"/>
      <c r="J260" s="237" t="n"/>
      <c r="K260" s="237" t="n"/>
      <c r="L260" s="237" t="n"/>
      <c r="M260" s="237" t="n"/>
      <c r="N260" s="842">
        <f>SUMIFS(Fleet!C:C,Fleet!$B:$B,$B260)</f>
        <v/>
      </c>
      <c r="O260" s="842">
        <f>SUMIFS(Fleet!D:D,Fleet!$B:$B,$B260)</f>
        <v/>
      </c>
      <c r="P260" s="842">
        <f>SUMIFS(Fleet!E:E,Fleet!$B:$B,$B260)</f>
        <v/>
      </c>
      <c r="Q260" s="842">
        <f>SUMIFS(Fleet!F:F,Fleet!$B:$B,$B260)</f>
        <v/>
      </c>
      <c r="R260" s="842">
        <f>SUMIFS(Fleet!G:G,Fleet!$B:$B,$B260)</f>
        <v/>
      </c>
      <c r="S260" s="842">
        <f>SUMIFS(Fleet!H:H,Fleet!$B:$B,$B260)</f>
        <v/>
      </c>
      <c r="T260" s="842">
        <f>SUMIFS(Fleet!I:I,Fleet!$B:$B,$B260)</f>
        <v/>
      </c>
      <c r="U260" s="842">
        <f>SUMIFS(Fleet!J:J,Fleet!$B:$B,$B260)</f>
        <v/>
      </c>
      <c r="V260" s="842">
        <f>SUMIFS(Fleet!K:K,Fleet!$B:$B,$B260)</f>
        <v/>
      </c>
      <c r="W260" s="842">
        <f>SUMIFS(Fleet!L:L,Fleet!$B:$B,$B260)</f>
        <v/>
      </c>
      <c r="X260" s="842">
        <f>SUMIFS(Fleet!M:M,Fleet!$B:$B,$B260)</f>
        <v/>
      </c>
      <c r="Y260" s="842">
        <f>SUMIFS(Fleet!N:N,Fleet!$B:$B,$B260)</f>
        <v/>
      </c>
      <c r="Z260" s="842">
        <f>SUMIFS(Fleet!O:O,Fleet!$B:$B,$B260)</f>
        <v/>
      </c>
      <c r="AA260" s="842">
        <f>SUMIFS(Fleet!P:P,Fleet!$B:$B,$B260)</f>
        <v/>
      </c>
      <c r="AB260" s="842">
        <f>SUMIFS(Fleet!Q:Q,Fleet!$B:$B,$B260)</f>
        <v/>
      </c>
      <c r="AC260" s="842">
        <f>SUMIFS(Fleet!R:R,Fleet!$B:$B,$B260)</f>
        <v/>
      </c>
      <c r="AD260" s="842">
        <f>SUMIFS(Fleet!S:S,Fleet!$B:$B,$B260)</f>
        <v/>
      </c>
      <c r="AE260" s="842">
        <f>SUMIFS(Fleet!T:T,Fleet!$B:$B,$B260)</f>
        <v/>
      </c>
      <c r="AF260" s="842">
        <f>SUMIFS(Fleet!U:U,Fleet!$B:$B,$B260)</f>
        <v/>
      </c>
      <c r="AG260" s="842">
        <f>SUMIFS(Fleet!V:V,Fleet!$B:$B,$B260)</f>
        <v/>
      </c>
      <c r="AH260" s="842">
        <f>SUMIFS(Fleet!W:W,Fleet!$B:$B,$B260)</f>
        <v/>
      </c>
      <c r="AI260" s="842">
        <f>SUMIFS(Fleet!X:X,Fleet!$B:$B,$B260)</f>
        <v/>
      </c>
      <c r="AJ260" s="842">
        <f>SUMIFS(Fleet!Y:Y,Fleet!$B:$B,$B260)</f>
        <v/>
      </c>
      <c r="AK260" s="842">
        <f>SUMIFS(Fleet!Z:Z,Fleet!$B:$B,$B260)</f>
        <v/>
      </c>
      <c r="AL260" s="842">
        <f>SUMIFS(Fleet!AA:AA,Fleet!$B:$B,$B260)</f>
        <v/>
      </c>
      <c r="AM260" s="842">
        <f>SUMIFS(Fleet!AB:AB,Fleet!$B:$B,$B260)</f>
        <v/>
      </c>
      <c r="AN260" s="842">
        <f>SUMIFS(Fleet!AC:AC,Fleet!$B:$B,$B260)</f>
        <v/>
      </c>
      <c r="AO260" s="842" t="n"/>
      <c r="AP260" s="266" t="n"/>
      <c r="AQ260" s="266" t="n"/>
      <c r="AR260" s="266" t="n"/>
      <c r="AS260" s="266" t="n"/>
      <c r="AT260" s="266" t="n"/>
      <c r="AU260" s="962" t="n"/>
      <c r="ES260" s="320" t="n"/>
      <c r="EW260" s="320" t="n"/>
      <c r="FA260" s="320" t="n"/>
      <c r="FE260" s="320" t="n"/>
      <c r="FN260" s="965" t="n"/>
    </row>
    <row r="261">
      <c r="B261" s="961" t="inlineStr">
        <is>
          <t>A320-200</t>
        </is>
      </c>
      <c r="C261" s="237" t="n"/>
      <c r="D261" s="237" t="n"/>
      <c r="E261" s="237" t="n"/>
      <c r="F261" s="237" t="n"/>
      <c r="G261" s="237" t="n"/>
      <c r="H261" s="237" t="n"/>
      <c r="I261" s="237" t="n"/>
      <c r="J261" s="237" t="n"/>
      <c r="K261" s="237" t="n"/>
      <c r="L261" s="237" t="n"/>
      <c r="M261" s="237" t="n"/>
      <c r="N261" s="842">
        <f>SUMIFS(Fleet!C:C,Fleet!$B:$B,$B261)</f>
        <v/>
      </c>
      <c r="O261" s="842">
        <f>SUMIFS(Fleet!D:D,Fleet!$B:$B,$B261)</f>
        <v/>
      </c>
      <c r="P261" s="842">
        <f>SUMIFS(Fleet!E:E,Fleet!$B:$B,$B261)</f>
        <v/>
      </c>
      <c r="Q261" s="842">
        <f>SUMIFS(Fleet!F:F,Fleet!$B:$B,$B261)</f>
        <v/>
      </c>
      <c r="R261" s="842">
        <f>SUMIFS(Fleet!G:G,Fleet!$B:$B,$B261)</f>
        <v/>
      </c>
      <c r="S261" s="842">
        <f>SUMIFS(Fleet!H:H,Fleet!$B:$B,$B261)</f>
        <v/>
      </c>
      <c r="T261" s="842">
        <f>SUMIFS(Fleet!I:I,Fleet!$B:$B,$B261)</f>
        <v/>
      </c>
      <c r="U261" s="842">
        <f>SUMIFS(Fleet!J:J,Fleet!$B:$B,$B261)</f>
        <v/>
      </c>
      <c r="V261" s="842">
        <f>SUMIFS(Fleet!K:K,Fleet!$B:$B,$B261)</f>
        <v/>
      </c>
      <c r="W261" s="842">
        <f>SUMIFS(Fleet!L:L,Fleet!$B:$B,$B261)</f>
        <v/>
      </c>
      <c r="X261" s="842">
        <f>SUMIFS(Fleet!M:M,Fleet!$B:$B,$B261)</f>
        <v/>
      </c>
      <c r="Y261" s="842">
        <f>SUMIFS(Fleet!N:N,Fleet!$B:$B,$B261)</f>
        <v/>
      </c>
      <c r="Z261" s="842">
        <f>SUMIFS(Fleet!O:O,Fleet!$B:$B,$B261)</f>
        <v/>
      </c>
      <c r="AA261" s="842">
        <f>SUMIFS(Fleet!P:P,Fleet!$B:$B,$B261)</f>
        <v/>
      </c>
      <c r="AB261" s="842">
        <f>SUMIFS(Fleet!Q:Q,Fleet!$B:$B,$B261)</f>
        <v/>
      </c>
      <c r="AC261" s="842">
        <f>SUMIFS(Fleet!R:R,Fleet!$B:$B,$B261)</f>
        <v/>
      </c>
      <c r="AD261" s="842">
        <f>SUMIFS(Fleet!S:S,Fleet!$B:$B,$B261)</f>
        <v/>
      </c>
      <c r="AE261" s="842">
        <f>SUMIFS(Fleet!T:T,Fleet!$B:$B,$B261)</f>
        <v/>
      </c>
      <c r="AF261" s="842">
        <f>SUMIFS(Fleet!U:U,Fleet!$B:$B,$B261)</f>
        <v/>
      </c>
      <c r="AG261" s="842">
        <f>SUMIFS(Fleet!V:V,Fleet!$B:$B,$B261)</f>
        <v/>
      </c>
      <c r="AH261" s="842">
        <f>SUMIFS(Fleet!W:W,Fleet!$B:$B,$B261)</f>
        <v/>
      </c>
      <c r="AI261" s="842">
        <f>SUMIFS(Fleet!X:X,Fleet!$B:$B,$B261)</f>
        <v/>
      </c>
      <c r="AJ261" s="842">
        <f>SUMIFS(Fleet!Y:Y,Fleet!$B:$B,$B261)</f>
        <v/>
      </c>
      <c r="AK261" s="842">
        <f>SUMIFS(Fleet!Z:Z,Fleet!$B:$B,$B261)</f>
        <v/>
      </c>
      <c r="AL261" s="842">
        <f>SUMIFS(Fleet!AA:AA,Fleet!$B:$B,$B261)</f>
        <v/>
      </c>
      <c r="AM261" s="842">
        <f>SUMIFS(Fleet!AB:AB,Fleet!$B:$B,$B261)</f>
        <v/>
      </c>
      <c r="AN261" s="842">
        <f>SUMIFS(Fleet!AC:AC,Fleet!$B:$B,$B261)</f>
        <v/>
      </c>
      <c r="AO261" s="842" t="n"/>
      <c r="AP261" s="266" t="n"/>
      <c r="AQ261" s="266" t="n"/>
      <c r="AR261" s="266" t="n"/>
      <c r="AS261" s="266" t="n"/>
      <c r="AT261" s="266" t="n"/>
      <c r="AU261" s="962" t="n"/>
      <c r="ES261" s="320" t="n"/>
      <c r="EW261" s="320" t="n"/>
      <c r="FA261" s="320" t="n"/>
      <c r="FE261" s="320" t="n"/>
      <c r="FN261" s="965" t="n"/>
    </row>
    <row r="262">
      <c r="B262" s="961" t="inlineStr">
        <is>
          <t>A320-200neo</t>
        </is>
      </c>
      <c r="C262" s="237" t="n"/>
      <c r="D262" s="237" t="n"/>
      <c r="E262" s="237" t="n"/>
      <c r="F262" s="237" t="n"/>
      <c r="G262" s="237" t="n"/>
      <c r="H262" s="237" t="n"/>
      <c r="I262" s="237" t="n"/>
      <c r="J262" s="237" t="n"/>
      <c r="K262" s="237" t="n"/>
      <c r="L262" s="237" t="n"/>
      <c r="M262" s="237" t="n"/>
      <c r="N262" s="842">
        <f>SUMIFS(Fleet!C:C,Fleet!$B:$B,$B262)</f>
        <v/>
      </c>
      <c r="O262" s="842">
        <f>SUMIFS(Fleet!D:D,Fleet!$B:$B,$B262)</f>
        <v/>
      </c>
      <c r="P262" s="842">
        <f>SUMIFS(Fleet!E:E,Fleet!$B:$B,$B262)</f>
        <v/>
      </c>
      <c r="Q262" s="842">
        <f>SUMIFS(Fleet!F:F,Fleet!$B:$B,$B262)</f>
        <v/>
      </c>
      <c r="R262" s="842">
        <f>SUMIFS(Fleet!G:G,Fleet!$B:$B,$B262)</f>
        <v/>
      </c>
      <c r="S262" s="842">
        <f>SUMIFS(Fleet!H:H,Fleet!$B:$B,$B262)</f>
        <v/>
      </c>
      <c r="T262" s="842">
        <f>SUMIFS(Fleet!I:I,Fleet!$B:$B,$B262)</f>
        <v/>
      </c>
      <c r="U262" s="842">
        <f>SUMIFS(Fleet!J:J,Fleet!$B:$B,$B262)</f>
        <v/>
      </c>
      <c r="V262" s="842">
        <f>SUMIFS(Fleet!K:K,Fleet!$B:$B,$B262)</f>
        <v/>
      </c>
      <c r="W262" s="842">
        <f>SUMIFS(Fleet!L:L,Fleet!$B:$B,$B262)</f>
        <v/>
      </c>
      <c r="X262" s="842">
        <f>SUMIFS(Fleet!M:M,Fleet!$B:$B,$B262)</f>
        <v/>
      </c>
      <c r="Y262" s="842">
        <f>SUMIFS(Fleet!N:N,Fleet!$B:$B,$B262)</f>
        <v/>
      </c>
      <c r="Z262" s="842">
        <f>SUMIFS(Fleet!O:O,Fleet!$B:$B,$B262)</f>
        <v/>
      </c>
      <c r="AA262" s="842">
        <f>SUMIFS(Fleet!P:P,Fleet!$B:$B,$B262)</f>
        <v/>
      </c>
      <c r="AB262" s="842">
        <f>SUMIFS(Fleet!Q:Q,Fleet!$B:$B,$B262)</f>
        <v/>
      </c>
      <c r="AC262" s="842">
        <f>SUMIFS(Fleet!R:R,Fleet!$B:$B,$B262)</f>
        <v/>
      </c>
      <c r="AD262" s="842">
        <f>SUMIFS(Fleet!S:S,Fleet!$B:$B,$B262)</f>
        <v/>
      </c>
      <c r="AE262" s="842">
        <f>SUMIFS(Fleet!T:T,Fleet!$B:$B,$B262)</f>
        <v/>
      </c>
      <c r="AF262" s="842">
        <f>SUMIFS(Fleet!U:U,Fleet!$B:$B,$B262)</f>
        <v/>
      </c>
      <c r="AG262" s="842">
        <f>SUMIFS(Fleet!V:V,Fleet!$B:$B,$B262)</f>
        <v/>
      </c>
      <c r="AH262" s="842">
        <f>SUMIFS(Fleet!W:W,Fleet!$B:$B,$B262)</f>
        <v/>
      </c>
      <c r="AI262" s="842">
        <f>SUMIFS(Fleet!X:X,Fleet!$B:$B,$B262)</f>
        <v/>
      </c>
      <c r="AJ262" s="842">
        <f>SUMIFS(Fleet!Y:Y,Fleet!$B:$B,$B262)</f>
        <v/>
      </c>
      <c r="AK262" s="842">
        <f>SUMIFS(Fleet!Z:Z,Fleet!$B:$B,$B262)</f>
        <v/>
      </c>
      <c r="AL262" s="842">
        <f>SUMIFS(Fleet!AA:AA,Fleet!$B:$B,$B262)</f>
        <v/>
      </c>
      <c r="AM262" s="842">
        <f>SUMIFS(Fleet!AB:AB,Fleet!$B:$B,$B262)</f>
        <v/>
      </c>
      <c r="AN262" s="842">
        <f>SUMIFS(Fleet!AC:AC,Fleet!$B:$B,$B262)</f>
        <v/>
      </c>
      <c r="AO262" s="842" t="n"/>
      <c r="AP262" s="266" t="n"/>
      <c r="AQ262" s="266" t="n"/>
      <c r="AR262" s="266" t="n"/>
      <c r="AS262" s="266" t="n"/>
      <c r="AT262" s="266" t="n"/>
      <c r="AU262" s="962" t="n"/>
      <c r="ES262" s="320" t="n"/>
      <c r="EW262" s="320" t="n"/>
      <c r="FA262" s="320" t="n"/>
      <c r="FE262" s="320" t="n"/>
      <c r="FN262" s="965" t="n"/>
    </row>
    <row r="263">
      <c r="B263" s="961" t="inlineStr">
        <is>
          <t>A321</t>
        </is>
      </c>
      <c r="C263" s="237" t="n"/>
      <c r="D263" s="237" t="n"/>
      <c r="E263" s="237" t="n"/>
      <c r="F263" s="237" t="n"/>
      <c r="G263" s="237" t="n"/>
      <c r="H263" s="237" t="n"/>
      <c r="I263" s="237" t="n"/>
      <c r="J263" s="237" t="n"/>
      <c r="K263" s="237" t="n"/>
      <c r="L263" s="237" t="n"/>
      <c r="M263" s="237" t="n"/>
      <c r="N263" s="842">
        <f>SUMIFS(Fleet!C:C,Fleet!$B:$B,$B263)</f>
        <v/>
      </c>
      <c r="O263" s="842">
        <f>SUMIFS(Fleet!D:D,Fleet!$B:$B,$B263)</f>
        <v/>
      </c>
      <c r="P263" s="842">
        <f>SUMIFS(Fleet!E:E,Fleet!$B:$B,$B263)</f>
        <v/>
      </c>
      <c r="Q263" s="842">
        <f>SUMIFS(Fleet!F:F,Fleet!$B:$B,$B263)</f>
        <v/>
      </c>
      <c r="R263" s="842">
        <f>SUMIFS(Fleet!G:G,Fleet!$B:$B,$B263)</f>
        <v/>
      </c>
      <c r="S263" s="842">
        <f>SUMIFS(Fleet!H:H,Fleet!$B:$B,$B263)</f>
        <v/>
      </c>
      <c r="T263" s="842">
        <f>SUMIFS(Fleet!I:I,Fleet!$B:$B,$B263)</f>
        <v/>
      </c>
      <c r="U263" s="842">
        <f>SUMIFS(Fleet!J:J,Fleet!$B:$B,$B263)</f>
        <v/>
      </c>
      <c r="V263" s="842">
        <f>SUMIFS(Fleet!K:K,Fleet!$B:$B,$B263)</f>
        <v/>
      </c>
      <c r="W263" s="842">
        <f>SUMIFS(Fleet!L:L,Fleet!$B:$B,$B263)</f>
        <v/>
      </c>
      <c r="X263" s="842">
        <f>SUMIFS(Fleet!M:M,Fleet!$B:$B,$B263)</f>
        <v/>
      </c>
      <c r="Y263" s="842">
        <f>SUMIFS(Fleet!N:N,Fleet!$B:$B,$B263)</f>
        <v/>
      </c>
      <c r="Z263" s="842">
        <f>SUMIFS(Fleet!O:O,Fleet!$B:$B,$B263)</f>
        <v/>
      </c>
      <c r="AA263" s="842">
        <f>SUMIFS(Fleet!P:P,Fleet!$B:$B,$B263)</f>
        <v/>
      </c>
      <c r="AB263" s="842">
        <f>SUMIFS(Fleet!Q:Q,Fleet!$B:$B,$B263)</f>
        <v/>
      </c>
      <c r="AC263" s="842">
        <f>SUMIFS(Fleet!R:R,Fleet!$B:$B,$B263)</f>
        <v/>
      </c>
      <c r="AD263" s="842">
        <f>SUMIFS(Fleet!S:S,Fleet!$B:$B,$B263)</f>
        <v/>
      </c>
      <c r="AE263" s="842">
        <f>SUMIFS(Fleet!T:T,Fleet!$B:$B,$B263)</f>
        <v/>
      </c>
      <c r="AF263" s="842">
        <f>SUMIFS(Fleet!U:U,Fleet!$B:$B,$B263)</f>
        <v/>
      </c>
      <c r="AG263" s="842">
        <f>SUMIFS(Fleet!V:V,Fleet!$B:$B,$B263)</f>
        <v/>
      </c>
      <c r="AH263" s="842">
        <f>SUMIFS(Fleet!W:W,Fleet!$B:$B,$B263)</f>
        <v/>
      </c>
      <c r="AI263" s="842">
        <f>SUMIFS(Fleet!X:X,Fleet!$B:$B,$B263)</f>
        <v/>
      </c>
      <c r="AJ263" s="842">
        <f>SUMIFS(Fleet!Y:Y,Fleet!$B:$B,$B263)</f>
        <v/>
      </c>
      <c r="AK263" s="842">
        <f>SUMIFS(Fleet!Z:Z,Fleet!$B:$B,$B263)</f>
        <v/>
      </c>
      <c r="AL263" s="842">
        <f>SUMIFS(Fleet!AA:AA,Fleet!$B:$B,$B263)</f>
        <v/>
      </c>
      <c r="AM263" s="842">
        <f>SUMIFS(Fleet!AB:AB,Fleet!$B:$B,$B263)</f>
        <v/>
      </c>
      <c r="AN263" s="842">
        <f>SUMIFS(Fleet!AC:AC,Fleet!$B:$B,$B263)</f>
        <v/>
      </c>
      <c r="AO263" s="842" t="n"/>
      <c r="AP263" s="266" t="n"/>
      <c r="AQ263" s="266" t="n"/>
      <c r="AR263" s="266" t="n"/>
      <c r="AS263" s="266" t="n"/>
      <c r="AT263" s="266" t="n"/>
      <c r="AU263" s="962" t="n"/>
      <c r="ES263" s="320" t="n"/>
      <c r="EW263" s="320" t="n"/>
      <c r="FA263" s="320" t="n"/>
      <c r="FE263" s="320" t="n"/>
      <c r="FN263" s="965" t="n"/>
    </row>
    <row r="264">
      <c r="B264" s="961" t="inlineStr">
        <is>
          <t>A321-200</t>
        </is>
      </c>
      <c r="C264" s="237" t="n"/>
      <c r="D264" s="237" t="n"/>
      <c r="E264" s="237" t="n"/>
      <c r="F264" s="237" t="n"/>
      <c r="G264" s="237" t="n"/>
      <c r="H264" s="237" t="n"/>
      <c r="I264" s="237" t="n"/>
      <c r="J264" s="237" t="n"/>
      <c r="K264" s="237" t="n"/>
      <c r="L264" s="237" t="n"/>
      <c r="M264" s="237" t="n"/>
      <c r="N264" s="842">
        <f>SUMIFS(Fleet!C:C,Fleet!$B:$B,$B264)</f>
        <v/>
      </c>
      <c r="O264" s="842">
        <f>SUMIFS(Fleet!D:D,Fleet!$B:$B,$B264)</f>
        <v/>
      </c>
      <c r="P264" s="842">
        <f>SUMIFS(Fleet!E:E,Fleet!$B:$B,$B264)</f>
        <v/>
      </c>
      <c r="Q264" s="842">
        <f>SUMIFS(Fleet!F:F,Fleet!$B:$B,$B264)</f>
        <v/>
      </c>
      <c r="R264" s="842">
        <f>SUMIFS(Fleet!G:G,Fleet!$B:$B,$B264)</f>
        <v/>
      </c>
      <c r="S264" s="842">
        <f>SUMIFS(Fleet!H:H,Fleet!$B:$B,$B264)</f>
        <v/>
      </c>
      <c r="T264" s="842">
        <f>SUMIFS(Fleet!I:I,Fleet!$B:$B,$B264)</f>
        <v/>
      </c>
      <c r="U264" s="842">
        <f>SUMIFS(Fleet!J:J,Fleet!$B:$B,$B264)</f>
        <v/>
      </c>
      <c r="V264" s="842">
        <f>SUMIFS(Fleet!K:K,Fleet!$B:$B,$B264)</f>
        <v/>
      </c>
      <c r="W264" s="842">
        <f>SUMIFS(Fleet!L:L,Fleet!$B:$B,$B264)</f>
        <v/>
      </c>
      <c r="X264" s="842">
        <f>SUMIFS(Fleet!M:M,Fleet!$B:$B,$B264)</f>
        <v/>
      </c>
      <c r="Y264" s="842">
        <f>SUMIFS(Fleet!N:N,Fleet!$B:$B,$B264)</f>
        <v/>
      </c>
      <c r="Z264" s="842">
        <f>SUMIFS(Fleet!O:O,Fleet!$B:$B,$B264)</f>
        <v/>
      </c>
      <c r="AA264" s="842">
        <f>SUMIFS(Fleet!P:P,Fleet!$B:$B,$B264)</f>
        <v/>
      </c>
      <c r="AB264" s="842">
        <f>SUMIFS(Fleet!Q:Q,Fleet!$B:$B,$B264)</f>
        <v/>
      </c>
      <c r="AC264" s="842">
        <f>SUMIFS(Fleet!R:R,Fleet!$B:$B,$B264)</f>
        <v/>
      </c>
      <c r="AD264" s="842">
        <f>SUMIFS(Fleet!S:S,Fleet!$B:$B,$B264)</f>
        <v/>
      </c>
      <c r="AE264" s="842">
        <f>SUMIFS(Fleet!T:T,Fleet!$B:$B,$B264)</f>
        <v/>
      </c>
      <c r="AF264" s="842">
        <f>SUMIFS(Fleet!U:U,Fleet!$B:$B,$B264)</f>
        <v/>
      </c>
      <c r="AG264" s="842">
        <f>SUMIFS(Fleet!V:V,Fleet!$B:$B,$B264)</f>
        <v/>
      </c>
      <c r="AH264" s="842">
        <f>SUMIFS(Fleet!W:W,Fleet!$B:$B,$B264)</f>
        <v/>
      </c>
      <c r="AI264" s="842">
        <f>SUMIFS(Fleet!X:X,Fleet!$B:$B,$B264)</f>
        <v/>
      </c>
      <c r="AJ264" s="842">
        <f>SUMIFS(Fleet!Y:Y,Fleet!$B:$B,$B264)</f>
        <v/>
      </c>
      <c r="AK264" s="842">
        <f>SUMIFS(Fleet!Z:Z,Fleet!$B:$B,$B264)</f>
        <v/>
      </c>
      <c r="AL264" s="842">
        <f>SUMIFS(Fleet!AA:AA,Fleet!$B:$B,$B264)</f>
        <v/>
      </c>
      <c r="AM264" s="842">
        <f>SUMIFS(Fleet!AB:AB,Fleet!$B:$B,$B264)</f>
        <v/>
      </c>
      <c r="AN264" s="842">
        <f>SUMIFS(Fleet!AC:AC,Fleet!$B:$B,$B264)</f>
        <v/>
      </c>
      <c r="AO264" s="842" t="n"/>
      <c r="AP264" s="266" t="n"/>
      <c r="AQ264" s="266" t="n"/>
      <c r="AR264" s="266" t="n"/>
      <c r="AS264" s="266" t="n"/>
      <c r="AT264" s="266" t="n"/>
      <c r="AU264" s="962" t="n"/>
      <c r="ES264" s="320" t="n"/>
      <c r="EW264" s="320" t="n"/>
      <c r="FA264" s="320" t="n"/>
      <c r="FE264" s="320" t="n"/>
      <c r="FN264" s="965" t="n"/>
    </row>
    <row r="265">
      <c r="B265" s="961" t="inlineStr">
        <is>
          <t>A321-200neo</t>
        </is>
      </c>
      <c r="C265" s="237" t="n"/>
      <c r="D265" s="237" t="n"/>
      <c r="E265" s="237" t="n"/>
      <c r="F265" s="237" t="n"/>
      <c r="G265" s="237" t="n"/>
      <c r="H265" s="237" t="n"/>
      <c r="I265" s="237" t="n"/>
      <c r="J265" s="237" t="n"/>
      <c r="K265" s="237" t="n"/>
      <c r="L265" s="237" t="n"/>
      <c r="M265" s="237" t="n"/>
      <c r="N265" s="842">
        <f>SUMIFS(Fleet!C:C,Fleet!$B:$B,$B265)</f>
        <v/>
      </c>
      <c r="O265" s="842">
        <f>SUMIFS(Fleet!D:D,Fleet!$B:$B,$B265)</f>
        <v/>
      </c>
      <c r="P265" s="842">
        <f>SUMIFS(Fleet!E:E,Fleet!$B:$B,$B265)</f>
        <v/>
      </c>
      <c r="Q265" s="842">
        <f>SUMIFS(Fleet!F:F,Fleet!$B:$B,$B265)</f>
        <v/>
      </c>
      <c r="R265" s="842">
        <f>SUMIFS(Fleet!G:G,Fleet!$B:$B,$B265)</f>
        <v/>
      </c>
      <c r="S265" s="842">
        <f>SUMIFS(Fleet!H:H,Fleet!$B:$B,$B265)</f>
        <v/>
      </c>
      <c r="T265" s="842">
        <f>SUMIFS(Fleet!I:I,Fleet!$B:$B,$B265)</f>
        <v/>
      </c>
      <c r="U265" s="842">
        <f>SUMIFS(Fleet!J:J,Fleet!$B:$B,$B265)</f>
        <v/>
      </c>
      <c r="V265" s="842">
        <f>SUMIFS(Fleet!K:K,Fleet!$B:$B,$B265)</f>
        <v/>
      </c>
      <c r="W265" s="842">
        <f>SUMIFS(Fleet!L:L,Fleet!$B:$B,$B265)</f>
        <v/>
      </c>
      <c r="X265" s="842">
        <f>SUMIFS(Fleet!M:M,Fleet!$B:$B,$B265)</f>
        <v/>
      </c>
      <c r="Y265" s="842">
        <f>SUMIFS(Fleet!N:N,Fleet!$B:$B,$B265)</f>
        <v/>
      </c>
      <c r="Z265" s="842">
        <f>SUMIFS(Fleet!O:O,Fleet!$B:$B,$B265)</f>
        <v/>
      </c>
      <c r="AA265" s="842">
        <f>SUMIFS(Fleet!P:P,Fleet!$B:$B,$B265)</f>
        <v/>
      </c>
      <c r="AB265" s="842">
        <f>SUMIFS(Fleet!Q:Q,Fleet!$B:$B,$B265)</f>
        <v/>
      </c>
      <c r="AC265" s="842">
        <f>SUMIFS(Fleet!R:R,Fleet!$B:$B,$B265)</f>
        <v/>
      </c>
      <c r="AD265" s="842">
        <f>SUMIFS(Fleet!S:S,Fleet!$B:$B,$B265)</f>
        <v/>
      </c>
      <c r="AE265" s="842">
        <f>SUMIFS(Fleet!T:T,Fleet!$B:$B,$B265)</f>
        <v/>
      </c>
      <c r="AF265" s="842">
        <f>SUMIFS(Fleet!U:U,Fleet!$B:$B,$B265)</f>
        <v/>
      </c>
      <c r="AG265" s="842">
        <f>SUMIFS(Fleet!V:V,Fleet!$B:$B,$B265)</f>
        <v/>
      </c>
      <c r="AH265" s="842">
        <f>SUMIFS(Fleet!W:W,Fleet!$B:$B,$B265)</f>
        <v/>
      </c>
      <c r="AI265" s="842">
        <f>SUMIFS(Fleet!X:X,Fleet!$B:$B,$B265)</f>
        <v/>
      </c>
      <c r="AJ265" s="842">
        <f>SUMIFS(Fleet!Y:Y,Fleet!$B:$B,$B265)</f>
        <v/>
      </c>
      <c r="AK265" s="842">
        <f>SUMIFS(Fleet!Z:Z,Fleet!$B:$B,$B265)</f>
        <v/>
      </c>
      <c r="AL265" s="842">
        <f>SUMIFS(Fleet!AA:AA,Fleet!$B:$B,$B265)</f>
        <v/>
      </c>
      <c r="AM265" s="842">
        <f>SUMIFS(Fleet!AB:AB,Fleet!$B:$B,$B265)</f>
        <v/>
      </c>
      <c r="AN265" s="842">
        <f>SUMIFS(Fleet!AC:AC,Fleet!$B:$B,$B265)</f>
        <v/>
      </c>
      <c r="AO265" s="842" t="n"/>
      <c r="AP265" s="266" t="n"/>
      <c r="AQ265" s="266" t="n"/>
      <c r="AR265" s="266" t="n"/>
      <c r="AS265" s="266" t="n"/>
      <c r="AT265" s="266" t="n"/>
      <c r="AU265" s="962" t="n"/>
      <c r="ES265" s="320" t="n"/>
      <c r="EW265" s="320" t="n"/>
      <c r="FA265" s="320" t="n"/>
      <c r="FE265" s="320" t="n"/>
      <c r="FN265" s="965" t="n"/>
    </row>
    <row r="266">
      <c r="B266" s="961" t="inlineStr">
        <is>
          <t>A330</t>
        </is>
      </c>
      <c r="C266" s="237" t="n"/>
      <c r="D266" s="237" t="n"/>
      <c r="E266" s="237" t="n"/>
      <c r="F266" s="237" t="n"/>
      <c r="G266" s="237" t="n"/>
      <c r="H266" s="237" t="n"/>
      <c r="I266" s="237" t="n"/>
      <c r="J266" s="237" t="n"/>
      <c r="K266" s="237" t="n"/>
      <c r="L266" s="237" t="n"/>
      <c r="M266" s="237" t="n"/>
      <c r="N266" s="842">
        <f>SUMIFS(Fleet!C:C,Fleet!$B:$B,$B266)</f>
        <v/>
      </c>
      <c r="O266" s="842">
        <f>SUMIFS(Fleet!D:D,Fleet!$B:$B,$B266)</f>
        <v/>
      </c>
      <c r="P266" s="842">
        <f>SUMIFS(Fleet!E:E,Fleet!$B:$B,$B266)</f>
        <v/>
      </c>
      <c r="Q266" s="842">
        <f>SUMIFS(Fleet!F:F,Fleet!$B:$B,$B266)</f>
        <v/>
      </c>
      <c r="R266" s="842">
        <f>SUMIFS(Fleet!G:G,Fleet!$B:$B,$B266)</f>
        <v/>
      </c>
      <c r="S266" s="842">
        <f>SUMIFS(Fleet!H:H,Fleet!$B:$B,$B266)</f>
        <v/>
      </c>
      <c r="T266" s="842">
        <f>SUMIFS(Fleet!I:I,Fleet!$B:$B,$B266)</f>
        <v/>
      </c>
      <c r="U266" s="842">
        <f>SUMIFS(Fleet!J:J,Fleet!$B:$B,$B266)</f>
        <v/>
      </c>
      <c r="V266" s="842">
        <f>SUMIFS(Fleet!K:K,Fleet!$B:$B,$B266)</f>
        <v/>
      </c>
      <c r="W266" s="842">
        <f>SUMIFS(Fleet!L:L,Fleet!$B:$B,$B266)</f>
        <v/>
      </c>
      <c r="X266" s="842">
        <f>SUMIFS(Fleet!M:M,Fleet!$B:$B,$B266)</f>
        <v/>
      </c>
      <c r="Y266" s="842">
        <f>SUMIFS(Fleet!N:N,Fleet!$B:$B,$B266)</f>
        <v/>
      </c>
      <c r="Z266" s="842">
        <f>SUMIFS(Fleet!O:O,Fleet!$B:$B,$B266)</f>
        <v/>
      </c>
      <c r="AA266" s="842">
        <f>SUMIFS(Fleet!P:P,Fleet!$B:$B,$B266)</f>
        <v/>
      </c>
      <c r="AB266" s="842">
        <f>SUMIFS(Fleet!Q:Q,Fleet!$B:$B,$B266)</f>
        <v/>
      </c>
      <c r="AC266" s="842">
        <f>SUMIFS(Fleet!R:R,Fleet!$B:$B,$B266)</f>
        <v/>
      </c>
      <c r="AD266" s="842">
        <f>SUMIFS(Fleet!S:S,Fleet!$B:$B,$B266)</f>
        <v/>
      </c>
      <c r="AE266" s="842">
        <f>SUMIFS(Fleet!T:T,Fleet!$B:$B,$B266)</f>
        <v/>
      </c>
      <c r="AF266" s="842">
        <f>SUMIFS(Fleet!U:U,Fleet!$B:$B,$B266)</f>
        <v/>
      </c>
      <c r="AG266" s="842">
        <f>SUMIFS(Fleet!V:V,Fleet!$B:$B,$B266)</f>
        <v/>
      </c>
      <c r="AH266" s="842">
        <f>SUMIFS(Fleet!W:W,Fleet!$B:$B,$B266)</f>
        <v/>
      </c>
      <c r="AI266" s="842">
        <f>SUMIFS(Fleet!X:X,Fleet!$B:$B,$B266)</f>
        <v/>
      </c>
      <c r="AJ266" s="842">
        <f>SUMIFS(Fleet!Y:Y,Fleet!$B:$B,$B266)</f>
        <v/>
      </c>
      <c r="AK266" s="842">
        <f>SUMIFS(Fleet!Z:Z,Fleet!$B:$B,$B266)</f>
        <v/>
      </c>
      <c r="AL266" s="842">
        <f>SUMIFS(Fleet!AA:AA,Fleet!$B:$B,$B266)</f>
        <v/>
      </c>
      <c r="AM266" s="842">
        <f>SUMIFS(Fleet!AB:AB,Fleet!$B:$B,$B266)</f>
        <v/>
      </c>
      <c r="AN266" s="842">
        <f>SUMIFS(Fleet!AC:AC,Fleet!$B:$B,$B266)</f>
        <v/>
      </c>
      <c r="AO266" s="842" t="n"/>
      <c r="AP266" s="266" t="n"/>
      <c r="AQ266" s="266" t="n"/>
      <c r="AR266" s="266" t="n"/>
      <c r="AS266" s="266" t="n"/>
      <c r="AT266" s="266" t="n"/>
      <c r="AU266" s="962" t="n"/>
      <c r="ES266" s="320" t="n"/>
      <c r="EW266" s="320" t="n"/>
      <c r="FA266" s="320" t="n"/>
      <c r="FE266" s="320" t="n"/>
      <c r="FN266" s="965" t="n"/>
    </row>
    <row r="267">
      <c r="B267" s="961" t="inlineStr">
        <is>
          <t>A330-300</t>
        </is>
      </c>
      <c r="C267" s="237" t="n"/>
      <c r="D267" s="237" t="n"/>
      <c r="E267" s="237" t="n"/>
      <c r="F267" s="237" t="n"/>
      <c r="G267" s="237" t="n"/>
      <c r="H267" s="237" t="n"/>
      <c r="I267" s="237" t="n"/>
      <c r="J267" s="237" t="n"/>
      <c r="K267" s="237" t="n"/>
      <c r="L267" s="237" t="n"/>
      <c r="M267" s="237" t="n"/>
      <c r="N267" s="842">
        <f>SUMIFS(Fleet!C:C,Fleet!$B:$B,$B267)</f>
        <v/>
      </c>
      <c r="O267" s="842">
        <f>SUMIFS(Fleet!D:D,Fleet!$B:$B,$B267)</f>
        <v/>
      </c>
      <c r="P267" s="842">
        <f>SUMIFS(Fleet!E:E,Fleet!$B:$B,$B267)</f>
        <v/>
      </c>
      <c r="Q267" s="842">
        <f>SUMIFS(Fleet!F:F,Fleet!$B:$B,$B267)</f>
        <v/>
      </c>
      <c r="R267" s="842">
        <f>SUMIFS(Fleet!G:G,Fleet!$B:$B,$B267)</f>
        <v/>
      </c>
      <c r="S267" s="842">
        <f>SUMIFS(Fleet!H:H,Fleet!$B:$B,$B267)</f>
        <v/>
      </c>
      <c r="T267" s="842">
        <f>SUMIFS(Fleet!I:I,Fleet!$B:$B,$B267)</f>
        <v/>
      </c>
      <c r="U267" s="842">
        <f>SUMIFS(Fleet!J:J,Fleet!$B:$B,$B267)</f>
        <v/>
      </c>
      <c r="V267" s="842">
        <f>SUMIFS(Fleet!K:K,Fleet!$B:$B,$B267)</f>
        <v/>
      </c>
      <c r="W267" s="842">
        <f>SUMIFS(Fleet!L:L,Fleet!$B:$B,$B267)</f>
        <v/>
      </c>
      <c r="X267" s="842">
        <f>SUMIFS(Fleet!M:M,Fleet!$B:$B,$B267)</f>
        <v/>
      </c>
      <c r="Y267" s="842">
        <f>SUMIFS(Fleet!N:N,Fleet!$B:$B,$B267)</f>
        <v/>
      </c>
      <c r="Z267" s="842">
        <f>SUMIFS(Fleet!O:O,Fleet!$B:$B,$B267)</f>
        <v/>
      </c>
      <c r="AA267" s="842">
        <f>SUMIFS(Fleet!P:P,Fleet!$B:$B,$B267)</f>
        <v/>
      </c>
      <c r="AB267" s="842">
        <f>SUMIFS(Fleet!Q:Q,Fleet!$B:$B,$B267)</f>
        <v/>
      </c>
      <c r="AC267" s="842">
        <f>SUMIFS(Fleet!R:R,Fleet!$B:$B,$B267)</f>
        <v/>
      </c>
      <c r="AD267" s="842">
        <f>SUMIFS(Fleet!S:S,Fleet!$B:$B,$B267)</f>
        <v/>
      </c>
      <c r="AE267" s="842">
        <f>SUMIFS(Fleet!T:T,Fleet!$B:$B,$B267)</f>
        <v/>
      </c>
      <c r="AF267" s="842">
        <f>SUMIFS(Fleet!U:U,Fleet!$B:$B,$B267)</f>
        <v/>
      </c>
      <c r="AG267" s="842">
        <f>SUMIFS(Fleet!V:V,Fleet!$B:$B,$B267)</f>
        <v/>
      </c>
      <c r="AH267" s="842">
        <f>SUMIFS(Fleet!W:W,Fleet!$B:$B,$B267)</f>
        <v/>
      </c>
      <c r="AI267" s="842">
        <f>SUMIFS(Fleet!X:X,Fleet!$B:$B,$B267)</f>
        <v/>
      </c>
      <c r="AJ267" s="842">
        <f>SUMIFS(Fleet!Y:Y,Fleet!$B:$B,$B267)</f>
        <v/>
      </c>
      <c r="AK267" s="842">
        <f>SUMIFS(Fleet!Z:Z,Fleet!$B:$B,$B267)</f>
        <v/>
      </c>
      <c r="AL267" s="842">
        <f>SUMIFS(Fleet!AA:AA,Fleet!$B:$B,$B267)</f>
        <v/>
      </c>
      <c r="AM267" s="842">
        <f>SUMIFS(Fleet!AB:AB,Fleet!$B:$B,$B267)</f>
        <v/>
      </c>
      <c r="AN267" s="842">
        <f>SUMIFS(Fleet!AC:AC,Fleet!$B:$B,$B267)</f>
        <v/>
      </c>
      <c r="AO267" s="842" t="n"/>
      <c r="AP267" s="266" t="n"/>
      <c r="AQ267" s="266" t="n"/>
      <c r="AR267" s="266" t="n"/>
      <c r="AS267" s="266" t="n"/>
      <c r="AT267" s="266" t="n"/>
      <c r="AU267" s="962" t="n"/>
      <c r="ES267" s="320" t="n"/>
      <c r="EW267" s="320" t="n"/>
      <c r="FA267" s="320" t="n"/>
      <c r="FE267" s="320" t="n"/>
      <c r="FN267" s="965" t="n"/>
    </row>
    <row r="268">
      <c r="B268" s="961" t="inlineStr">
        <is>
          <t>A330-900</t>
        </is>
      </c>
      <c r="C268" s="237" t="n"/>
      <c r="D268" s="237" t="n"/>
      <c r="E268" s="237" t="n"/>
      <c r="F268" s="237" t="n"/>
      <c r="G268" s="237" t="n"/>
      <c r="H268" s="237" t="n"/>
      <c r="I268" s="237" t="n"/>
      <c r="J268" s="237" t="n"/>
      <c r="K268" s="237" t="n"/>
      <c r="L268" s="237" t="n"/>
      <c r="M268" s="237" t="n"/>
      <c r="N268" s="842">
        <f>SUMIFS(Fleet!C:C,Fleet!$B:$B,$B268)</f>
        <v/>
      </c>
      <c r="O268" s="842">
        <f>SUMIFS(Fleet!D:D,Fleet!$B:$B,$B268)</f>
        <v/>
      </c>
      <c r="P268" s="842">
        <f>SUMIFS(Fleet!E:E,Fleet!$B:$B,$B268)</f>
        <v/>
      </c>
      <c r="Q268" s="842">
        <f>SUMIFS(Fleet!F:F,Fleet!$B:$B,$B268)</f>
        <v/>
      </c>
      <c r="R268" s="842">
        <f>SUMIFS(Fleet!G:G,Fleet!$B:$B,$B268)</f>
        <v/>
      </c>
      <c r="S268" s="842">
        <f>SUMIFS(Fleet!H:H,Fleet!$B:$B,$B268)</f>
        <v/>
      </c>
      <c r="T268" s="842">
        <f>SUMIFS(Fleet!I:I,Fleet!$B:$B,$B268)</f>
        <v/>
      </c>
      <c r="U268" s="842">
        <f>SUMIFS(Fleet!J:J,Fleet!$B:$B,$B268)</f>
        <v/>
      </c>
      <c r="V268" s="842">
        <f>SUMIFS(Fleet!K:K,Fleet!$B:$B,$B268)</f>
        <v/>
      </c>
      <c r="W268" s="842">
        <f>SUMIFS(Fleet!L:L,Fleet!$B:$B,$B268)</f>
        <v/>
      </c>
      <c r="X268" s="842">
        <f>SUMIFS(Fleet!M:M,Fleet!$B:$B,$B268)</f>
        <v/>
      </c>
      <c r="Y268" s="842">
        <f>SUMIFS(Fleet!N:N,Fleet!$B:$B,$B268)</f>
        <v/>
      </c>
      <c r="Z268" s="842">
        <f>SUMIFS(Fleet!O:O,Fleet!$B:$B,$B268)</f>
        <v/>
      </c>
      <c r="AA268" s="842">
        <f>SUMIFS(Fleet!P:P,Fleet!$B:$B,$B268)</f>
        <v/>
      </c>
      <c r="AB268" s="842">
        <f>SUMIFS(Fleet!Q:Q,Fleet!$B:$B,$B268)</f>
        <v/>
      </c>
      <c r="AC268" s="842">
        <f>SUMIFS(Fleet!R:R,Fleet!$B:$B,$B268)</f>
        <v/>
      </c>
      <c r="AD268" s="842">
        <f>SUMIFS(Fleet!S:S,Fleet!$B:$B,$B268)</f>
        <v/>
      </c>
      <c r="AE268" s="842">
        <f>SUMIFS(Fleet!T:T,Fleet!$B:$B,$B268)</f>
        <v/>
      </c>
      <c r="AF268" s="842">
        <f>SUMIFS(Fleet!U:U,Fleet!$B:$B,$B268)</f>
        <v/>
      </c>
      <c r="AG268" s="842">
        <f>SUMIFS(Fleet!V:V,Fleet!$B:$B,$B268)</f>
        <v/>
      </c>
      <c r="AH268" s="842">
        <f>SUMIFS(Fleet!W:W,Fleet!$B:$B,$B268)</f>
        <v/>
      </c>
      <c r="AI268" s="842">
        <f>SUMIFS(Fleet!X:X,Fleet!$B:$B,$B268)</f>
        <v/>
      </c>
      <c r="AJ268" s="842">
        <f>SUMIFS(Fleet!Y:Y,Fleet!$B:$B,$B268)</f>
        <v/>
      </c>
      <c r="AK268" s="842">
        <f>SUMIFS(Fleet!Z:Z,Fleet!$B:$B,$B268)</f>
        <v/>
      </c>
      <c r="AL268" s="842">
        <f>SUMIFS(Fleet!AA:AA,Fleet!$B:$B,$B268)</f>
        <v/>
      </c>
      <c r="AM268" s="842">
        <f>SUMIFS(Fleet!AB:AB,Fleet!$B:$B,$B268)</f>
        <v/>
      </c>
      <c r="AN268" s="842">
        <f>SUMIFS(Fleet!AC:AC,Fleet!$B:$B,$B268)</f>
        <v/>
      </c>
      <c r="AO268" s="842" t="n"/>
      <c r="AP268" s="266" t="n"/>
      <c r="AQ268" s="266" t="n"/>
      <c r="AR268" s="266" t="n"/>
      <c r="AS268" s="266" t="n"/>
      <c r="AT268" s="266" t="n"/>
      <c r="AU268" s="962" t="n"/>
      <c r="ES268" s="320" t="n"/>
      <c r="EW268" s="320" t="n"/>
      <c r="FA268" s="320" t="n"/>
      <c r="FE268" s="320" t="n"/>
      <c r="FN268" s="965" t="n"/>
    </row>
    <row r="269">
      <c r="B269" s="961" t="inlineStr">
        <is>
          <t>A340-300</t>
        </is>
      </c>
      <c r="C269" s="237" t="n"/>
      <c r="D269" s="237" t="n"/>
      <c r="E269" s="237" t="n"/>
      <c r="F269" s="237" t="n"/>
      <c r="G269" s="237" t="n"/>
      <c r="H269" s="237" t="n"/>
      <c r="I269" s="237" t="n"/>
      <c r="J269" s="237" t="n"/>
      <c r="K269" s="237" t="n"/>
      <c r="L269" s="237" t="n"/>
      <c r="M269" s="237" t="n"/>
      <c r="N269" s="842">
        <f>SUMIFS(Fleet!C:C,Fleet!$B:$B,$B269)</f>
        <v/>
      </c>
      <c r="O269" s="842">
        <f>SUMIFS(Fleet!D:D,Fleet!$B:$B,$B269)</f>
        <v/>
      </c>
      <c r="P269" s="842">
        <f>SUMIFS(Fleet!E:E,Fleet!$B:$B,$B269)</f>
        <v/>
      </c>
      <c r="Q269" s="842">
        <f>SUMIFS(Fleet!F:F,Fleet!$B:$B,$B269)</f>
        <v/>
      </c>
      <c r="R269" s="842">
        <f>SUMIFS(Fleet!G:G,Fleet!$B:$B,$B269)</f>
        <v/>
      </c>
      <c r="S269" s="842">
        <f>SUMIFS(Fleet!H:H,Fleet!$B:$B,$B269)</f>
        <v/>
      </c>
      <c r="T269" s="842">
        <f>SUMIFS(Fleet!I:I,Fleet!$B:$B,$B269)</f>
        <v/>
      </c>
      <c r="U269" s="842">
        <f>SUMIFS(Fleet!J:J,Fleet!$B:$B,$B269)</f>
        <v/>
      </c>
      <c r="V269" s="842">
        <f>SUMIFS(Fleet!K:K,Fleet!$B:$B,$B269)</f>
        <v/>
      </c>
      <c r="W269" s="842">
        <f>SUMIFS(Fleet!L:L,Fleet!$B:$B,$B269)</f>
        <v/>
      </c>
      <c r="X269" s="842">
        <f>SUMIFS(Fleet!M:M,Fleet!$B:$B,$B269)</f>
        <v/>
      </c>
      <c r="Y269" s="842">
        <f>SUMIFS(Fleet!N:N,Fleet!$B:$B,$B269)</f>
        <v/>
      </c>
      <c r="Z269" s="842">
        <f>SUMIFS(Fleet!O:O,Fleet!$B:$B,$B269)</f>
        <v/>
      </c>
      <c r="AA269" s="842">
        <f>SUMIFS(Fleet!P:P,Fleet!$B:$B,$B269)</f>
        <v/>
      </c>
      <c r="AB269" s="842">
        <f>SUMIFS(Fleet!Q:Q,Fleet!$B:$B,$B269)</f>
        <v/>
      </c>
      <c r="AC269" s="842">
        <f>SUMIFS(Fleet!R:R,Fleet!$B:$B,$B269)</f>
        <v/>
      </c>
      <c r="AD269" s="842">
        <f>SUMIFS(Fleet!S:S,Fleet!$B:$B,$B269)</f>
        <v/>
      </c>
      <c r="AE269" s="842">
        <f>SUMIFS(Fleet!T:T,Fleet!$B:$B,$B269)</f>
        <v/>
      </c>
      <c r="AF269" s="842">
        <f>SUMIFS(Fleet!U:U,Fleet!$B:$B,$B269)</f>
        <v/>
      </c>
      <c r="AG269" s="842">
        <f>SUMIFS(Fleet!V:V,Fleet!$B:$B,$B269)</f>
        <v/>
      </c>
      <c r="AH269" s="842">
        <f>SUMIFS(Fleet!W:W,Fleet!$B:$B,$B269)</f>
        <v/>
      </c>
      <c r="AI269" s="842">
        <f>SUMIFS(Fleet!X:X,Fleet!$B:$B,$B269)</f>
        <v/>
      </c>
      <c r="AJ269" s="842">
        <f>SUMIFS(Fleet!Y:Y,Fleet!$B:$B,$B269)</f>
        <v/>
      </c>
      <c r="AK269" s="842">
        <f>SUMIFS(Fleet!Z:Z,Fleet!$B:$B,$B269)</f>
        <v/>
      </c>
      <c r="AL269" s="842">
        <f>SUMIFS(Fleet!AA:AA,Fleet!$B:$B,$B269)</f>
        <v/>
      </c>
      <c r="AM269" s="842">
        <f>SUMIFS(Fleet!AB:AB,Fleet!$B:$B,$B269)</f>
        <v/>
      </c>
      <c r="AN269" s="842">
        <f>SUMIFS(Fleet!AC:AC,Fleet!$B:$B,$B269)</f>
        <v/>
      </c>
      <c r="AO269" s="842" t="n"/>
      <c r="AP269" s="266" t="n"/>
      <c r="AQ269" s="266" t="n"/>
      <c r="AR269" s="266" t="n"/>
      <c r="AS269" s="266" t="n"/>
      <c r="AT269" s="266" t="n"/>
      <c r="AU269" s="962" t="n"/>
      <c r="ES269" s="320" t="n"/>
      <c r="EW269" s="320" t="n"/>
      <c r="FA269" s="320" t="n"/>
      <c r="FE269" s="320" t="n"/>
      <c r="FN269" s="965" t="n"/>
    </row>
    <row r="270">
      <c r="B270" s="961" t="inlineStr">
        <is>
          <t>A340-600</t>
        </is>
      </c>
      <c r="C270" s="237" t="n"/>
      <c r="D270" s="237" t="n"/>
      <c r="E270" s="237" t="n"/>
      <c r="F270" s="237" t="n"/>
      <c r="G270" s="237" t="n"/>
      <c r="H270" s="237" t="n"/>
      <c r="I270" s="237" t="n"/>
      <c r="J270" s="237" t="n"/>
      <c r="K270" s="237" t="n"/>
      <c r="L270" s="237" t="n"/>
      <c r="M270" s="237" t="n"/>
      <c r="N270" s="842">
        <f>SUMIFS(Fleet!C:C,Fleet!$B:$B,$B270)</f>
        <v/>
      </c>
      <c r="O270" s="842">
        <f>SUMIFS(Fleet!D:D,Fleet!$B:$B,$B270)</f>
        <v/>
      </c>
      <c r="P270" s="842">
        <f>SUMIFS(Fleet!E:E,Fleet!$B:$B,$B270)</f>
        <v/>
      </c>
      <c r="Q270" s="842">
        <f>SUMIFS(Fleet!F:F,Fleet!$B:$B,$B270)</f>
        <v/>
      </c>
      <c r="R270" s="842">
        <f>SUMIFS(Fleet!G:G,Fleet!$B:$B,$B270)</f>
        <v/>
      </c>
      <c r="S270" s="842">
        <f>SUMIFS(Fleet!H:H,Fleet!$B:$B,$B270)</f>
        <v/>
      </c>
      <c r="T270" s="842">
        <f>SUMIFS(Fleet!I:I,Fleet!$B:$B,$B270)</f>
        <v/>
      </c>
      <c r="U270" s="842">
        <f>SUMIFS(Fleet!J:J,Fleet!$B:$B,$B270)</f>
        <v/>
      </c>
      <c r="V270" s="842">
        <f>SUMIFS(Fleet!K:K,Fleet!$B:$B,$B270)</f>
        <v/>
      </c>
      <c r="W270" s="842">
        <f>SUMIFS(Fleet!L:L,Fleet!$B:$B,$B270)</f>
        <v/>
      </c>
      <c r="X270" s="842">
        <f>SUMIFS(Fleet!M:M,Fleet!$B:$B,$B270)</f>
        <v/>
      </c>
      <c r="Y270" s="842">
        <f>SUMIFS(Fleet!N:N,Fleet!$B:$B,$B270)</f>
        <v/>
      </c>
      <c r="Z270" s="842">
        <f>SUMIFS(Fleet!O:O,Fleet!$B:$B,$B270)</f>
        <v/>
      </c>
      <c r="AA270" s="842">
        <f>SUMIFS(Fleet!P:P,Fleet!$B:$B,$B270)</f>
        <v/>
      </c>
      <c r="AB270" s="842">
        <f>SUMIFS(Fleet!Q:Q,Fleet!$B:$B,$B270)</f>
        <v/>
      </c>
      <c r="AC270" s="842">
        <f>SUMIFS(Fleet!R:R,Fleet!$B:$B,$B270)</f>
        <v/>
      </c>
      <c r="AD270" s="842">
        <f>SUMIFS(Fleet!S:S,Fleet!$B:$B,$B270)</f>
        <v/>
      </c>
      <c r="AE270" s="842">
        <f>SUMIFS(Fleet!T:T,Fleet!$B:$B,$B270)</f>
        <v/>
      </c>
      <c r="AF270" s="842">
        <f>SUMIFS(Fleet!U:U,Fleet!$B:$B,$B270)</f>
        <v/>
      </c>
      <c r="AG270" s="842">
        <f>SUMIFS(Fleet!V:V,Fleet!$B:$B,$B270)</f>
        <v/>
      </c>
      <c r="AH270" s="842">
        <f>SUMIFS(Fleet!W:W,Fleet!$B:$B,$B270)</f>
        <v/>
      </c>
      <c r="AI270" s="842">
        <f>SUMIFS(Fleet!X:X,Fleet!$B:$B,$B270)</f>
        <v/>
      </c>
      <c r="AJ270" s="842">
        <f>SUMIFS(Fleet!Y:Y,Fleet!$B:$B,$B270)</f>
        <v/>
      </c>
      <c r="AK270" s="842">
        <f>SUMIFS(Fleet!Z:Z,Fleet!$B:$B,$B270)</f>
        <v/>
      </c>
      <c r="AL270" s="842">
        <f>SUMIFS(Fleet!AA:AA,Fleet!$B:$B,$B270)</f>
        <v/>
      </c>
      <c r="AM270" s="842">
        <f>SUMIFS(Fleet!AB:AB,Fleet!$B:$B,$B270)</f>
        <v/>
      </c>
      <c r="AN270" s="842">
        <f>SUMIFS(Fleet!AC:AC,Fleet!$B:$B,$B270)</f>
        <v/>
      </c>
      <c r="AO270" s="842" t="n"/>
      <c r="AP270" s="266" t="n"/>
      <c r="AQ270" s="266" t="n"/>
      <c r="AR270" s="266" t="n"/>
      <c r="AS270" s="266" t="n"/>
      <c r="AT270" s="266" t="n"/>
      <c r="AU270" s="962" t="n"/>
      <c r="ES270" s="320" t="n"/>
      <c r="EW270" s="320" t="n"/>
      <c r="FA270" s="320" t="n"/>
      <c r="FE270" s="320" t="n"/>
      <c r="FN270" s="965" t="n"/>
    </row>
    <row r="271">
      <c r="B271" s="961" t="inlineStr">
        <is>
          <t>A350-900</t>
        </is>
      </c>
      <c r="C271" s="237" t="n"/>
      <c r="D271" s="237" t="n"/>
      <c r="E271" s="237" t="n"/>
      <c r="F271" s="237" t="n"/>
      <c r="G271" s="237" t="n"/>
      <c r="H271" s="237" t="n"/>
      <c r="I271" s="237" t="n"/>
      <c r="J271" s="237" t="n"/>
      <c r="K271" s="237" t="n"/>
      <c r="L271" s="237" t="n"/>
      <c r="M271" s="237" t="n"/>
      <c r="N271" s="842">
        <f>SUMIFS(Fleet!C:C,Fleet!$B:$B,$B271)</f>
        <v/>
      </c>
      <c r="O271" s="842">
        <f>SUMIFS(Fleet!D:D,Fleet!$B:$B,$B271)</f>
        <v/>
      </c>
      <c r="P271" s="842">
        <f>SUMIFS(Fleet!E:E,Fleet!$B:$B,$B271)</f>
        <v/>
      </c>
      <c r="Q271" s="842">
        <f>SUMIFS(Fleet!F:F,Fleet!$B:$B,$B271)</f>
        <v/>
      </c>
      <c r="R271" s="842">
        <f>SUMIFS(Fleet!G:G,Fleet!$B:$B,$B271)</f>
        <v/>
      </c>
      <c r="S271" s="842">
        <f>SUMIFS(Fleet!H:H,Fleet!$B:$B,$B271)</f>
        <v/>
      </c>
      <c r="T271" s="842">
        <f>SUMIFS(Fleet!I:I,Fleet!$B:$B,$B271)</f>
        <v/>
      </c>
      <c r="U271" s="842">
        <f>SUMIFS(Fleet!J:J,Fleet!$B:$B,$B271)</f>
        <v/>
      </c>
      <c r="V271" s="842">
        <f>SUMIFS(Fleet!K:K,Fleet!$B:$B,$B271)</f>
        <v/>
      </c>
      <c r="W271" s="842">
        <f>SUMIFS(Fleet!L:L,Fleet!$B:$B,$B271)</f>
        <v/>
      </c>
      <c r="X271" s="842">
        <f>SUMIFS(Fleet!M:M,Fleet!$B:$B,$B271)</f>
        <v/>
      </c>
      <c r="Y271" s="842">
        <f>SUMIFS(Fleet!N:N,Fleet!$B:$B,$B271)</f>
        <v/>
      </c>
      <c r="Z271" s="842">
        <f>SUMIFS(Fleet!O:O,Fleet!$B:$B,$B271)</f>
        <v/>
      </c>
      <c r="AA271" s="842">
        <f>SUMIFS(Fleet!P:P,Fleet!$B:$B,$B271)</f>
        <v/>
      </c>
      <c r="AB271" s="842">
        <f>SUMIFS(Fleet!Q:Q,Fleet!$B:$B,$B271)</f>
        <v/>
      </c>
      <c r="AC271" s="842">
        <f>SUMIFS(Fleet!R:R,Fleet!$B:$B,$B271)</f>
        <v/>
      </c>
      <c r="AD271" s="842">
        <f>SUMIFS(Fleet!S:S,Fleet!$B:$B,$B271)</f>
        <v/>
      </c>
      <c r="AE271" s="842">
        <f>SUMIFS(Fleet!T:T,Fleet!$B:$B,$B271)</f>
        <v/>
      </c>
      <c r="AF271" s="842">
        <f>SUMIFS(Fleet!U:U,Fleet!$B:$B,$B271)</f>
        <v/>
      </c>
      <c r="AG271" s="842">
        <f>SUMIFS(Fleet!V:V,Fleet!$B:$B,$B271)</f>
        <v/>
      </c>
      <c r="AH271" s="842">
        <f>SUMIFS(Fleet!W:W,Fleet!$B:$B,$B271)</f>
        <v/>
      </c>
      <c r="AI271" s="842">
        <f>SUMIFS(Fleet!X:X,Fleet!$B:$B,$B271)</f>
        <v/>
      </c>
      <c r="AJ271" s="842">
        <f>SUMIFS(Fleet!Y:Y,Fleet!$B:$B,$B271)</f>
        <v/>
      </c>
      <c r="AK271" s="842">
        <f>SUMIFS(Fleet!Z:Z,Fleet!$B:$B,$B271)</f>
        <v/>
      </c>
      <c r="AL271" s="842">
        <f>SUMIFS(Fleet!AA:AA,Fleet!$B:$B,$B271)</f>
        <v/>
      </c>
      <c r="AM271" s="842">
        <f>SUMIFS(Fleet!AB:AB,Fleet!$B:$B,$B271)</f>
        <v/>
      </c>
      <c r="AN271" s="842">
        <f>SUMIFS(Fleet!AC:AC,Fleet!$B:$B,$B271)</f>
        <v/>
      </c>
      <c r="AO271" s="842" t="n"/>
      <c r="AP271" s="266" t="n"/>
      <c r="AQ271" s="266" t="n"/>
      <c r="AR271" s="266" t="n"/>
      <c r="AS271" s="266" t="n"/>
      <c r="AT271" s="266" t="n"/>
      <c r="AU271" s="962" t="n"/>
      <c r="ES271" s="320" t="n"/>
      <c r="EW271" s="320" t="n"/>
      <c r="FA271" s="320" t="n"/>
      <c r="FE271" s="320" t="n"/>
      <c r="FN271" s="965" t="n"/>
    </row>
    <row r="272">
      <c r="B272" s="961" t="inlineStr">
        <is>
          <t>A350-1000</t>
        </is>
      </c>
      <c r="C272" s="237" t="n"/>
      <c r="D272" s="237" t="n"/>
      <c r="E272" s="237" t="n"/>
      <c r="F272" s="237" t="n"/>
      <c r="G272" s="237" t="n"/>
      <c r="H272" s="237" t="n"/>
      <c r="I272" s="237" t="n"/>
      <c r="J272" s="237" t="n"/>
      <c r="K272" s="237" t="n"/>
      <c r="L272" s="237" t="n"/>
      <c r="M272" s="237" t="n"/>
      <c r="N272" s="842">
        <f>SUMIFS(Fleet!C:C,Fleet!$B:$B,$B272)</f>
        <v/>
      </c>
      <c r="O272" s="842">
        <f>SUMIFS(Fleet!D:D,Fleet!$B:$B,$B272)</f>
        <v/>
      </c>
      <c r="P272" s="842">
        <f>SUMIFS(Fleet!E:E,Fleet!$B:$B,$B272)</f>
        <v/>
      </c>
      <c r="Q272" s="842">
        <f>SUMIFS(Fleet!F:F,Fleet!$B:$B,$B272)</f>
        <v/>
      </c>
      <c r="R272" s="842">
        <f>SUMIFS(Fleet!G:G,Fleet!$B:$B,$B272)</f>
        <v/>
      </c>
      <c r="S272" s="842">
        <f>SUMIFS(Fleet!H:H,Fleet!$B:$B,$B272)</f>
        <v/>
      </c>
      <c r="T272" s="842">
        <f>SUMIFS(Fleet!I:I,Fleet!$B:$B,$B272)</f>
        <v/>
      </c>
      <c r="U272" s="842">
        <f>SUMIFS(Fleet!J:J,Fleet!$B:$B,$B272)</f>
        <v/>
      </c>
      <c r="V272" s="842">
        <f>SUMIFS(Fleet!K:K,Fleet!$B:$B,$B272)</f>
        <v/>
      </c>
      <c r="W272" s="842">
        <f>SUMIFS(Fleet!L:L,Fleet!$B:$B,$B272)</f>
        <v/>
      </c>
      <c r="X272" s="842">
        <f>SUMIFS(Fleet!M:M,Fleet!$B:$B,$B272)</f>
        <v/>
      </c>
      <c r="Y272" s="842">
        <f>SUMIFS(Fleet!N:N,Fleet!$B:$B,$B272)</f>
        <v/>
      </c>
      <c r="Z272" s="842">
        <f>SUMIFS(Fleet!O:O,Fleet!$B:$B,$B272)</f>
        <v/>
      </c>
      <c r="AA272" s="842">
        <f>SUMIFS(Fleet!P:P,Fleet!$B:$B,$B272)</f>
        <v/>
      </c>
      <c r="AB272" s="842">
        <f>SUMIFS(Fleet!Q:Q,Fleet!$B:$B,$B272)</f>
        <v/>
      </c>
      <c r="AC272" s="842">
        <f>SUMIFS(Fleet!R:R,Fleet!$B:$B,$B272)</f>
        <v/>
      </c>
      <c r="AD272" s="842">
        <f>SUMIFS(Fleet!S:S,Fleet!$B:$B,$B272)</f>
        <v/>
      </c>
      <c r="AE272" s="842">
        <f>SUMIFS(Fleet!T:T,Fleet!$B:$B,$B272)</f>
        <v/>
      </c>
      <c r="AF272" s="842">
        <f>SUMIFS(Fleet!U:U,Fleet!$B:$B,$B272)</f>
        <v/>
      </c>
      <c r="AG272" s="842">
        <f>SUMIFS(Fleet!V:V,Fleet!$B:$B,$B272)</f>
        <v/>
      </c>
      <c r="AH272" s="842">
        <f>SUMIFS(Fleet!W:W,Fleet!$B:$B,$B272)</f>
        <v/>
      </c>
      <c r="AI272" s="842">
        <f>SUMIFS(Fleet!X:X,Fleet!$B:$B,$B272)</f>
        <v/>
      </c>
      <c r="AJ272" s="842">
        <f>SUMIFS(Fleet!Y:Y,Fleet!$B:$B,$B272)</f>
        <v/>
      </c>
      <c r="AK272" s="842">
        <f>SUMIFS(Fleet!Z:Z,Fleet!$B:$B,$B272)</f>
        <v/>
      </c>
      <c r="AL272" s="842">
        <f>SUMIFS(Fleet!AA:AA,Fleet!$B:$B,$B272)</f>
        <v/>
      </c>
      <c r="AM272" s="842">
        <f>SUMIFS(Fleet!AB:AB,Fleet!$B:$B,$B272)</f>
        <v/>
      </c>
      <c r="AN272" s="842">
        <f>SUMIFS(Fleet!AC:AC,Fleet!$B:$B,$B272)</f>
        <v/>
      </c>
      <c r="AO272" s="842" t="n"/>
      <c r="AP272" s="266" t="n"/>
      <c r="AQ272" s="266" t="n"/>
      <c r="AR272" s="266" t="n"/>
      <c r="AS272" s="266" t="n"/>
      <c r="AT272" s="266" t="n"/>
      <c r="AU272" s="962" t="n"/>
      <c r="ES272" s="320" t="n"/>
      <c r="EW272" s="320" t="n"/>
      <c r="FA272" s="320" t="n"/>
      <c r="FE272" s="320" t="n"/>
      <c r="FN272" s="965" t="n"/>
    </row>
    <row r="273">
      <c r="B273" s="961" t="inlineStr">
        <is>
          <t>A350-F</t>
        </is>
      </c>
      <c r="C273" s="237" t="n"/>
      <c r="D273" s="237" t="n"/>
      <c r="E273" s="237" t="n"/>
      <c r="F273" s="237" t="n"/>
      <c r="G273" s="237" t="n"/>
      <c r="H273" s="237" t="n"/>
      <c r="I273" s="237" t="n"/>
      <c r="J273" s="237" t="n"/>
      <c r="K273" s="237" t="n"/>
      <c r="L273" s="237" t="n"/>
      <c r="M273" s="237" t="n"/>
      <c r="N273" s="842">
        <f>SUMIFS(Fleet!C:C,Fleet!$B:$B,$B273)</f>
        <v/>
      </c>
      <c r="O273" s="842">
        <f>SUMIFS(Fleet!D:D,Fleet!$B:$B,$B273)</f>
        <v/>
      </c>
      <c r="P273" s="842">
        <f>SUMIFS(Fleet!E:E,Fleet!$B:$B,$B273)</f>
        <v/>
      </c>
      <c r="Q273" s="842">
        <f>SUMIFS(Fleet!F:F,Fleet!$B:$B,$B273)</f>
        <v/>
      </c>
      <c r="R273" s="842">
        <f>SUMIFS(Fleet!G:G,Fleet!$B:$B,$B273)</f>
        <v/>
      </c>
      <c r="S273" s="842">
        <f>SUMIFS(Fleet!H:H,Fleet!$B:$B,$B273)</f>
        <v/>
      </c>
      <c r="T273" s="842">
        <f>SUMIFS(Fleet!I:I,Fleet!$B:$B,$B273)</f>
        <v/>
      </c>
      <c r="U273" s="842">
        <f>SUMIFS(Fleet!J:J,Fleet!$B:$B,$B273)</f>
        <v/>
      </c>
      <c r="V273" s="842">
        <f>SUMIFS(Fleet!K:K,Fleet!$B:$B,$B273)</f>
        <v/>
      </c>
      <c r="W273" s="842">
        <f>SUMIFS(Fleet!L:L,Fleet!$B:$B,$B273)</f>
        <v/>
      </c>
      <c r="X273" s="842">
        <f>SUMIFS(Fleet!M:M,Fleet!$B:$B,$B273)</f>
        <v/>
      </c>
      <c r="Y273" s="842">
        <f>SUMIFS(Fleet!N:N,Fleet!$B:$B,$B273)</f>
        <v/>
      </c>
      <c r="Z273" s="842">
        <f>SUMIFS(Fleet!O:O,Fleet!$B:$B,$B273)</f>
        <v/>
      </c>
      <c r="AA273" s="842">
        <f>SUMIFS(Fleet!P:P,Fleet!$B:$B,$B273)</f>
        <v/>
      </c>
      <c r="AB273" s="842">
        <f>SUMIFS(Fleet!Q:Q,Fleet!$B:$B,$B273)</f>
        <v/>
      </c>
      <c r="AC273" s="842">
        <f>SUMIFS(Fleet!R:R,Fleet!$B:$B,$B273)</f>
        <v/>
      </c>
      <c r="AD273" s="842">
        <f>SUMIFS(Fleet!S:S,Fleet!$B:$B,$B273)</f>
        <v/>
      </c>
      <c r="AE273" s="842">
        <f>SUMIFS(Fleet!T:T,Fleet!$B:$B,$B273)</f>
        <v/>
      </c>
      <c r="AF273" s="842">
        <f>SUMIFS(Fleet!U:U,Fleet!$B:$B,$B273)</f>
        <v/>
      </c>
      <c r="AG273" s="842">
        <f>SUMIFS(Fleet!V:V,Fleet!$B:$B,$B273)</f>
        <v/>
      </c>
      <c r="AH273" s="842">
        <f>SUMIFS(Fleet!W:W,Fleet!$B:$B,$B273)</f>
        <v/>
      </c>
      <c r="AI273" s="842">
        <f>SUMIFS(Fleet!X:X,Fleet!$B:$B,$B273)</f>
        <v/>
      </c>
      <c r="AJ273" s="842">
        <f>SUMIFS(Fleet!Y:Y,Fleet!$B:$B,$B273)</f>
        <v/>
      </c>
      <c r="AK273" s="842">
        <f>SUMIFS(Fleet!Z:Z,Fleet!$B:$B,$B273)</f>
        <v/>
      </c>
      <c r="AL273" s="842">
        <f>SUMIFS(Fleet!AA:AA,Fleet!$B:$B,$B273)</f>
        <v/>
      </c>
      <c r="AM273" s="842">
        <f>SUMIFS(Fleet!AB:AB,Fleet!$B:$B,$B273)</f>
        <v/>
      </c>
      <c r="AN273" s="842">
        <f>SUMIFS(Fleet!AC:AC,Fleet!$B:$B,$B273)</f>
        <v/>
      </c>
      <c r="AO273" s="842" t="n"/>
      <c r="AP273" s="266" t="n"/>
      <c r="AQ273" s="266" t="n"/>
      <c r="AR273" s="266" t="n"/>
      <c r="AS273" s="266" t="n"/>
      <c r="AT273" s="266" t="n"/>
      <c r="AU273" s="962" t="n"/>
      <c r="ES273" s="320" t="n"/>
      <c r="EW273" s="320" t="n"/>
      <c r="FA273" s="320" t="n"/>
      <c r="FE273" s="320" t="n"/>
      <c r="FN273" s="965" t="n"/>
    </row>
    <row r="274">
      <c r="B274" s="961" t="inlineStr">
        <is>
          <t>747-400</t>
        </is>
      </c>
      <c r="C274" s="237" t="n"/>
      <c r="D274" s="237" t="n"/>
      <c r="E274" s="237" t="n"/>
      <c r="F274" s="237" t="n"/>
      <c r="G274" s="237" t="n"/>
      <c r="H274" s="237" t="n"/>
      <c r="I274" s="237" t="n"/>
      <c r="J274" s="237" t="n"/>
      <c r="K274" s="237" t="n"/>
      <c r="L274" s="237" t="n"/>
      <c r="M274" s="237" t="n"/>
      <c r="N274" s="842">
        <f>SUMIFS(Fleet!C:C,Fleet!$B:$B,$B274)</f>
        <v/>
      </c>
      <c r="O274" s="842">
        <f>SUMIFS(Fleet!D:D,Fleet!$B:$B,$B274)</f>
        <v/>
      </c>
      <c r="P274" s="842">
        <f>SUMIFS(Fleet!E:E,Fleet!$B:$B,$B274)</f>
        <v/>
      </c>
      <c r="Q274" s="842">
        <f>SUMIFS(Fleet!F:F,Fleet!$B:$B,$B274)</f>
        <v/>
      </c>
      <c r="R274" s="842">
        <f>SUMIFS(Fleet!G:G,Fleet!$B:$B,$B274)</f>
        <v/>
      </c>
      <c r="S274" s="842">
        <f>SUMIFS(Fleet!H:H,Fleet!$B:$B,$B274)</f>
        <v/>
      </c>
      <c r="T274" s="842">
        <f>SUMIFS(Fleet!I:I,Fleet!$B:$B,$B274)</f>
        <v/>
      </c>
      <c r="U274" s="842">
        <f>SUMIFS(Fleet!J:J,Fleet!$B:$B,$B274)</f>
        <v/>
      </c>
      <c r="V274" s="842">
        <f>SUMIFS(Fleet!K:K,Fleet!$B:$B,$B274)</f>
        <v/>
      </c>
      <c r="W274" s="842">
        <f>SUMIFS(Fleet!L:L,Fleet!$B:$B,$B274)</f>
        <v/>
      </c>
      <c r="X274" s="842">
        <f>SUMIFS(Fleet!M:M,Fleet!$B:$B,$B274)</f>
        <v/>
      </c>
      <c r="Y274" s="842">
        <f>SUMIFS(Fleet!N:N,Fleet!$B:$B,$B274)</f>
        <v/>
      </c>
      <c r="Z274" s="842">
        <f>SUMIFS(Fleet!O:O,Fleet!$B:$B,$B274)</f>
        <v/>
      </c>
      <c r="AA274" s="842">
        <f>SUMIFS(Fleet!P:P,Fleet!$B:$B,$B274)</f>
        <v/>
      </c>
      <c r="AB274" s="842">
        <f>SUMIFS(Fleet!Q:Q,Fleet!$B:$B,$B274)</f>
        <v/>
      </c>
      <c r="AC274" s="842">
        <f>SUMIFS(Fleet!R:R,Fleet!$B:$B,$B274)</f>
        <v/>
      </c>
      <c r="AD274" s="842">
        <f>SUMIFS(Fleet!S:S,Fleet!$B:$B,$B274)</f>
        <v/>
      </c>
      <c r="AE274" s="842">
        <f>SUMIFS(Fleet!T:T,Fleet!$B:$B,$B274)</f>
        <v/>
      </c>
      <c r="AF274" s="842">
        <f>SUMIFS(Fleet!U:U,Fleet!$B:$B,$B274)</f>
        <v/>
      </c>
      <c r="AG274" s="842">
        <f>SUMIFS(Fleet!V:V,Fleet!$B:$B,$B274)</f>
        <v/>
      </c>
      <c r="AH274" s="842">
        <f>SUMIFS(Fleet!W:W,Fleet!$B:$B,$B274)</f>
        <v/>
      </c>
      <c r="AI274" s="842">
        <f>SUMIFS(Fleet!X:X,Fleet!$B:$B,$B274)</f>
        <v/>
      </c>
      <c r="AJ274" s="842">
        <f>SUMIFS(Fleet!Y:Y,Fleet!$B:$B,$B274)</f>
        <v/>
      </c>
      <c r="AK274" s="842">
        <f>SUMIFS(Fleet!Z:Z,Fleet!$B:$B,$B274)</f>
        <v/>
      </c>
      <c r="AL274" s="842">
        <f>SUMIFS(Fleet!AA:AA,Fleet!$B:$B,$B274)</f>
        <v/>
      </c>
      <c r="AM274" s="842">
        <f>SUMIFS(Fleet!AB:AB,Fleet!$B:$B,$B274)</f>
        <v/>
      </c>
      <c r="AN274" s="842">
        <f>SUMIFS(Fleet!AC:AC,Fleet!$B:$B,$B274)</f>
        <v/>
      </c>
      <c r="AO274" s="842" t="n"/>
      <c r="AP274" s="266" t="n"/>
      <c r="AQ274" s="266" t="n"/>
      <c r="AR274" s="266" t="n"/>
      <c r="AS274" s="266" t="n"/>
      <c r="AT274" s="266" t="n"/>
      <c r="AU274" s="962" t="n"/>
      <c r="ES274" s="320" t="n"/>
      <c r="EW274" s="320" t="n"/>
      <c r="FA274" s="320" t="n"/>
      <c r="FE274" s="320" t="n"/>
      <c r="FN274" s="965" t="n"/>
    </row>
    <row r="275">
      <c r="B275" s="961" t="inlineStr">
        <is>
          <t>747-200</t>
        </is>
      </c>
      <c r="C275" s="237" t="n"/>
      <c r="D275" s="237" t="n"/>
      <c r="E275" s="237" t="n"/>
      <c r="F275" s="237" t="n"/>
      <c r="G275" s="237" t="n"/>
      <c r="H275" s="237" t="n"/>
      <c r="I275" s="237" t="n"/>
      <c r="J275" s="237" t="n"/>
      <c r="K275" s="237" t="n"/>
      <c r="L275" s="237" t="n"/>
      <c r="M275" s="237" t="n"/>
      <c r="N275" s="842">
        <f>SUMIFS(Fleet!C:C,Fleet!$B:$B,$B275)</f>
        <v/>
      </c>
      <c r="O275" s="842">
        <f>SUMIFS(Fleet!D:D,Fleet!$B:$B,$B275)</f>
        <v/>
      </c>
      <c r="P275" s="842">
        <f>SUMIFS(Fleet!E:E,Fleet!$B:$B,$B275)</f>
        <v/>
      </c>
      <c r="Q275" s="842">
        <f>SUMIFS(Fleet!F:F,Fleet!$B:$B,$B275)</f>
        <v/>
      </c>
      <c r="R275" s="842">
        <f>SUMIFS(Fleet!G:G,Fleet!$B:$B,$B275)</f>
        <v/>
      </c>
      <c r="S275" s="842">
        <f>SUMIFS(Fleet!H:H,Fleet!$B:$B,$B275)</f>
        <v/>
      </c>
      <c r="T275" s="842">
        <f>SUMIFS(Fleet!I:I,Fleet!$B:$B,$B275)</f>
        <v/>
      </c>
      <c r="U275" s="842">
        <f>SUMIFS(Fleet!J:J,Fleet!$B:$B,$B275)</f>
        <v/>
      </c>
      <c r="V275" s="842">
        <f>SUMIFS(Fleet!K:K,Fleet!$B:$B,$B275)</f>
        <v/>
      </c>
      <c r="W275" s="842">
        <f>SUMIFS(Fleet!L:L,Fleet!$B:$B,$B275)</f>
        <v/>
      </c>
      <c r="X275" s="842">
        <f>SUMIFS(Fleet!M:M,Fleet!$B:$B,$B275)</f>
        <v/>
      </c>
      <c r="Y275" s="842">
        <f>SUMIFS(Fleet!N:N,Fleet!$B:$B,$B275)</f>
        <v/>
      </c>
      <c r="Z275" s="842">
        <f>SUMIFS(Fleet!O:O,Fleet!$B:$B,$B275)</f>
        <v/>
      </c>
      <c r="AA275" s="842">
        <f>SUMIFS(Fleet!P:P,Fleet!$B:$B,$B275)</f>
        <v/>
      </c>
      <c r="AB275" s="842">
        <f>SUMIFS(Fleet!Q:Q,Fleet!$B:$B,$B275)</f>
        <v/>
      </c>
      <c r="AC275" s="842">
        <f>SUMIFS(Fleet!R:R,Fleet!$B:$B,$B275)</f>
        <v/>
      </c>
      <c r="AD275" s="842">
        <f>SUMIFS(Fleet!S:S,Fleet!$B:$B,$B275)</f>
        <v/>
      </c>
      <c r="AE275" s="842">
        <f>SUMIFS(Fleet!T:T,Fleet!$B:$B,$B275)</f>
        <v/>
      </c>
      <c r="AF275" s="842">
        <f>SUMIFS(Fleet!U:U,Fleet!$B:$B,$B275)</f>
        <v/>
      </c>
      <c r="AG275" s="842">
        <f>SUMIFS(Fleet!V:V,Fleet!$B:$B,$B275)</f>
        <v/>
      </c>
      <c r="AH275" s="842">
        <f>SUMIFS(Fleet!W:W,Fleet!$B:$B,$B275)</f>
        <v/>
      </c>
      <c r="AI275" s="842">
        <f>SUMIFS(Fleet!X:X,Fleet!$B:$B,$B275)</f>
        <v/>
      </c>
      <c r="AJ275" s="842">
        <f>SUMIFS(Fleet!Y:Y,Fleet!$B:$B,$B275)</f>
        <v/>
      </c>
      <c r="AK275" s="842">
        <f>SUMIFS(Fleet!Z:Z,Fleet!$B:$B,$B275)</f>
        <v/>
      </c>
      <c r="AL275" s="842">
        <f>SUMIFS(Fleet!AA:AA,Fleet!$B:$B,$B275)</f>
        <v/>
      </c>
      <c r="AM275" s="842">
        <f>SUMIFS(Fleet!AB:AB,Fleet!$B:$B,$B275)</f>
        <v/>
      </c>
      <c r="AN275" s="842">
        <f>SUMIFS(Fleet!AC:AC,Fleet!$B:$B,$B275)</f>
        <v/>
      </c>
      <c r="AO275" s="842" t="n"/>
      <c r="AP275" s="266" t="n"/>
      <c r="AQ275" s="266" t="n"/>
      <c r="AR275" s="266" t="n"/>
      <c r="AS275" s="266" t="n"/>
      <c r="AT275" s="266" t="n"/>
      <c r="AU275" s="962" t="n"/>
      <c r="ES275" s="320" t="n"/>
      <c r="EW275" s="320" t="n"/>
      <c r="FA275" s="320" t="n"/>
      <c r="FE275" s="320" t="n"/>
      <c r="FN275" s="965" t="n"/>
    </row>
    <row r="276">
      <c r="B276" s="961" t="inlineStr">
        <is>
          <t>747-200F</t>
        </is>
      </c>
      <c r="C276" s="237" t="n"/>
      <c r="D276" s="237" t="n"/>
      <c r="E276" s="237" t="n"/>
      <c r="F276" s="237" t="n"/>
      <c r="G276" s="237" t="n"/>
      <c r="H276" s="237" t="n"/>
      <c r="I276" s="237" t="n"/>
      <c r="J276" s="237" t="n"/>
      <c r="K276" s="237" t="n"/>
      <c r="L276" s="237" t="n"/>
      <c r="M276" s="237" t="n"/>
      <c r="N276" s="842">
        <f>SUMIFS(Fleet!C:C,Fleet!$B:$B,$B276)</f>
        <v/>
      </c>
      <c r="O276" s="842">
        <f>SUMIFS(Fleet!D:D,Fleet!$B:$B,$B276)</f>
        <v/>
      </c>
      <c r="P276" s="842">
        <f>SUMIFS(Fleet!E:E,Fleet!$B:$B,$B276)</f>
        <v/>
      </c>
      <c r="Q276" s="842">
        <f>SUMIFS(Fleet!F:F,Fleet!$B:$B,$B276)</f>
        <v/>
      </c>
      <c r="R276" s="842">
        <f>SUMIFS(Fleet!G:G,Fleet!$B:$B,$B276)</f>
        <v/>
      </c>
      <c r="S276" s="842">
        <f>SUMIFS(Fleet!H:H,Fleet!$B:$B,$B276)</f>
        <v/>
      </c>
      <c r="T276" s="842">
        <f>SUMIFS(Fleet!I:I,Fleet!$B:$B,$B276)</f>
        <v/>
      </c>
      <c r="U276" s="842">
        <f>SUMIFS(Fleet!J:J,Fleet!$B:$B,$B276)</f>
        <v/>
      </c>
      <c r="V276" s="842">
        <f>SUMIFS(Fleet!K:K,Fleet!$B:$B,$B276)</f>
        <v/>
      </c>
      <c r="W276" s="842">
        <f>SUMIFS(Fleet!L:L,Fleet!$B:$B,$B276)</f>
        <v/>
      </c>
      <c r="X276" s="842">
        <f>SUMIFS(Fleet!M:M,Fleet!$B:$B,$B276)</f>
        <v/>
      </c>
      <c r="Y276" s="842">
        <f>SUMIFS(Fleet!N:N,Fleet!$B:$B,$B276)</f>
        <v/>
      </c>
      <c r="Z276" s="842">
        <f>SUMIFS(Fleet!O:O,Fleet!$B:$B,$B276)</f>
        <v/>
      </c>
      <c r="AA276" s="842">
        <f>SUMIFS(Fleet!P:P,Fleet!$B:$B,$B276)</f>
        <v/>
      </c>
      <c r="AB276" s="842">
        <f>SUMIFS(Fleet!Q:Q,Fleet!$B:$B,$B276)</f>
        <v/>
      </c>
      <c r="AC276" s="842">
        <f>SUMIFS(Fleet!R:R,Fleet!$B:$B,$B276)</f>
        <v/>
      </c>
      <c r="AD276" s="842">
        <f>SUMIFS(Fleet!S:S,Fleet!$B:$B,$B276)</f>
        <v/>
      </c>
      <c r="AE276" s="842">
        <f>SUMIFS(Fleet!T:T,Fleet!$B:$B,$B276)</f>
        <v/>
      </c>
      <c r="AF276" s="842">
        <f>SUMIFS(Fleet!U:U,Fleet!$B:$B,$B276)</f>
        <v/>
      </c>
      <c r="AG276" s="842">
        <f>SUMIFS(Fleet!V:V,Fleet!$B:$B,$B276)</f>
        <v/>
      </c>
      <c r="AH276" s="842">
        <f>SUMIFS(Fleet!W:W,Fleet!$B:$B,$B276)</f>
        <v/>
      </c>
      <c r="AI276" s="842">
        <f>SUMIFS(Fleet!X:X,Fleet!$B:$B,$B276)</f>
        <v/>
      </c>
      <c r="AJ276" s="842">
        <f>SUMIFS(Fleet!Y:Y,Fleet!$B:$B,$B276)</f>
        <v/>
      </c>
      <c r="AK276" s="842">
        <f>SUMIFS(Fleet!Z:Z,Fleet!$B:$B,$B276)</f>
        <v/>
      </c>
      <c r="AL276" s="842">
        <f>SUMIFS(Fleet!AA:AA,Fleet!$B:$B,$B276)</f>
        <v/>
      </c>
      <c r="AM276" s="842">
        <f>SUMIFS(Fleet!AB:AB,Fleet!$B:$B,$B276)</f>
        <v/>
      </c>
      <c r="AN276" s="842">
        <f>SUMIFS(Fleet!AC:AC,Fleet!$B:$B,$B276)</f>
        <v/>
      </c>
      <c r="AO276" s="842" t="n"/>
      <c r="AP276" s="266" t="n"/>
      <c r="AQ276" s="266" t="n"/>
      <c r="AR276" s="266" t="n"/>
      <c r="AS276" s="266" t="n"/>
      <c r="AT276" s="266" t="n"/>
      <c r="AU276" s="962" t="n"/>
      <c r="ES276" s="320" t="n"/>
      <c r="EW276" s="320" t="n"/>
      <c r="FA276" s="320" t="n"/>
      <c r="FE276" s="320" t="n"/>
      <c r="FN276" s="965" t="n"/>
    </row>
    <row r="277">
      <c r="B277" s="961" t="inlineStr">
        <is>
          <t>747-300</t>
        </is>
      </c>
      <c r="C277" s="237" t="n"/>
      <c r="D277" s="237" t="n"/>
      <c r="E277" s="237" t="n"/>
      <c r="F277" s="237" t="n"/>
      <c r="G277" s="237" t="n"/>
      <c r="H277" s="237" t="n"/>
      <c r="I277" s="237" t="n"/>
      <c r="J277" s="237" t="n"/>
      <c r="K277" s="237" t="n"/>
      <c r="L277" s="237" t="n"/>
      <c r="M277" s="237" t="n"/>
      <c r="N277" s="842">
        <f>SUMIFS(Fleet!C:C,Fleet!$B:$B,$B277)</f>
        <v/>
      </c>
      <c r="O277" s="842">
        <f>SUMIFS(Fleet!D:D,Fleet!$B:$B,$B277)</f>
        <v/>
      </c>
      <c r="P277" s="842">
        <f>SUMIFS(Fleet!E:E,Fleet!$B:$B,$B277)</f>
        <v/>
      </c>
      <c r="Q277" s="842">
        <f>SUMIFS(Fleet!F:F,Fleet!$B:$B,$B277)</f>
        <v/>
      </c>
      <c r="R277" s="842">
        <f>SUMIFS(Fleet!G:G,Fleet!$B:$B,$B277)</f>
        <v/>
      </c>
      <c r="S277" s="842">
        <f>SUMIFS(Fleet!H:H,Fleet!$B:$B,$B277)</f>
        <v/>
      </c>
      <c r="T277" s="842">
        <f>SUMIFS(Fleet!I:I,Fleet!$B:$B,$B277)</f>
        <v/>
      </c>
      <c r="U277" s="842">
        <f>SUMIFS(Fleet!J:J,Fleet!$B:$B,$B277)</f>
        <v/>
      </c>
      <c r="V277" s="842">
        <f>SUMIFS(Fleet!K:K,Fleet!$B:$B,$B277)</f>
        <v/>
      </c>
      <c r="W277" s="842">
        <f>SUMIFS(Fleet!L:L,Fleet!$B:$B,$B277)</f>
        <v/>
      </c>
      <c r="X277" s="842">
        <f>SUMIFS(Fleet!M:M,Fleet!$B:$B,$B277)</f>
        <v/>
      </c>
      <c r="Y277" s="842">
        <f>SUMIFS(Fleet!N:N,Fleet!$B:$B,$B277)</f>
        <v/>
      </c>
      <c r="Z277" s="842">
        <f>SUMIFS(Fleet!O:O,Fleet!$B:$B,$B277)</f>
        <v/>
      </c>
      <c r="AA277" s="842">
        <f>SUMIFS(Fleet!P:P,Fleet!$B:$B,$B277)</f>
        <v/>
      </c>
      <c r="AB277" s="842">
        <f>SUMIFS(Fleet!Q:Q,Fleet!$B:$B,$B277)</f>
        <v/>
      </c>
      <c r="AC277" s="842">
        <f>SUMIFS(Fleet!R:R,Fleet!$B:$B,$B277)</f>
        <v/>
      </c>
      <c r="AD277" s="842">
        <f>SUMIFS(Fleet!S:S,Fleet!$B:$B,$B277)</f>
        <v/>
      </c>
      <c r="AE277" s="842">
        <f>SUMIFS(Fleet!T:T,Fleet!$B:$B,$B277)</f>
        <v/>
      </c>
      <c r="AF277" s="842">
        <f>SUMIFS(Fleet!U:U,Fleet!$B:$B,$B277)</f>
        <v/>
      </c>
      <c r="AG277" s="842">
        <f>SUMIFS(Fleet!V:V,Fleet!$B:$B,$B277)</f>
        <v/>
      </c>
      <c r="AH277" s="842">
        <f>SUMIFS(Fleet!W:W,Fleet!$B:$B,$B277)</f>
        <v/>
      </c>
      <c r="AI277" s="842">
        <f>SUMIFS(Fleet!X:X,Fleet!$B:$B,$B277)</f>
        <v/>
      </c>
      <c r="AJ277" s="842">
        <f>SUMIFS(Fleet!Y:Y,Fleet!$B:$B,$B277)</f>
        <v/>
      </c>
      <c r="AK277" s="842">
        <f>SUMIFS(Fleet!Z:Z,Fleet!$B:$B,$B277)</f>
        <v/>
      </c>
      <c r="AL277" s="842">
        <f>SUMIFS(Fleet!AA:AA,Fleet!$B:$B,$B277)</f>
        <v/>
      </c>
      <c r="AM277" s="842">
        <f>SUMIFS(Fleet!AB:AB,Fleet!$B:$B,$B277)</f>
        <v/>
      </c>
      <c r="AN277" s="842">
        <f>SUMIFS(Fleet!AC:AC,Fleet!$B:$B,$B277)</f>
        <v/>
      </c>
      <c r="AO277" s="842" t="n"/>
      <c r="AP277" s="266" t="n"/>
      <c r="AQ277" s="266" t="n"/>
      <c r="AR277" s="266" t="n"/>
      <c r="AS277" s="266" t="n"/>
      <c r="AT277" s="266" t="n"/>
      <c r="AU277" s="962" t="n"/>
      <c r="ES277" s="320" t="n"/>
      <c r="EW277" s="320" t="n"/>
      <c r="FA277" s="320" t="n"/>
      <c r="FE277" s="320" t="n"/>
      <c r="FN277" s="965" t="n"/>
    </row>
    <row r="278">
      <c r="B278" s="961" t="inlineStr">
        <is>
          <t>747-300F/SF</t>
        </is>
      </c>
      <c r="C278" s="237" t="n"/>
      <c r="D278" s="237" t="n"/>
      <c r="E278" s="237" t="n"/>
      <c r="F278" s="237" t="n"/>
      <c r="G278" s="237" t="n"/>
      <c r="H278" s="237" t="n"/>
      <c r="I278" s="237" t="n"/>
      <c r="J278" s="237" t="n"/>
      <c r="K278" s="237" t="n"/>
      <c r="L278" s="237" t="n"/>
      <c r="M278" s="237" t="n"/>
      <c r="N278" s="842">
        <f>SUMIFS(Fleet!C:C,Fleet!$B:$B,$B278)</f>
        <v/>
      </c>
      <c r="O278" s="842">
        <f>SUMIFS(Fleet!D:D,Fleet!$B:$B,$B278)</f>
        <v/>
      </c>
      <c r="P278" s="842">
        <f>SUMIFS(Fleet!E:E,Fleet!$B:$B,$B278)</f>
        <v/>
      </c>
      <c r="Q278" s="842">
        <f>SUMIFS(Fleet!F:F,Fleet!$B:$B,$B278)</f>
        <v/>
      </c>
      <c r="R278" s="842">
        <f>SUMIFS(Fleet!G:G,Fleet!$B:$B,$B278)</f>
        <v/>
      </c>
      <c r="S278" s="842">
        <f>SUMIFS(Fleet!H:H,Fleet!$B:$B,$B278)</f>
        <v/>
      </c>
      <c r="T278" s="842">
        <f>SUMIFS(Fleet!I:I,Fleet!$B:$B,$B278)</f>
        <v/>
      </c>
      <c r="U278" s="842">
        <f>SUMIFS(Fleet!J:J,Fleet!$B:$B,$B278)</f>
        <v/>
      </c>
      <c r="V278" s="842">
        <f>SUMIFS(Fleet!K:K,Fleet!$B:$B,$B278)</f>
        <v/>
      </c>
      <c r="W278" s="842">
        <f>SUMIFS(Fleet!L:L,Fleet!$B:$B,$B278)</f>
        <v/>
      </c>
      <c r="X278" s="842">
        <f>SUMIFS(Fleet!M:M,Fleet!$B:$B,$B278)</f>
        <v/>
      </c>
      <c r="Y278" s="842">
        <f>SUMIFS(Fleet!N:N,Fleet!$B:$B,$B278)</f>
        <v/>
      </c>
      <c r="Z278" s="842">
        <f>SUMIFS(Fleet!O:O,Fleet!$B:$B,$B278)</f>
        <v/>
      </c>
      <c r="AA278" s="842">
        <f>SUMIFS(Fleet!P:P,Fleet!$B:$B,$B278)</f>
        <v/>
      </c>
      <c r="AB278" s="842">
        <f>SUMIFS(Fleet!Q:Q,Fleet!$B:$B,$B278)</f>
        <v/>
      </c>
      <c r="AC278" s="842">
        <f>SUMIFS(Fleet!R:R,Fleet!$B:$B,$B278)</f>
        <v/>
      </c>
      <c r="AD278" s="842">
        <f>SUMIFS(Fleet!S:S,Fleet!$B:$B,$B278)</f>
        <v/>
      </c>
      <c r="AE278" s="842">
        <f>SUMIFS(Fleet!T:T,Fleet!$B:$B,$B278)</f>
        <v/>
      </c>
      <c r="AF278" s="842">
        <f>SUMIFS(Fleet!U:U,Fleet!$B:$B,$B278)</f>
        <v/>
      </c>
      <c r="AG278" s="842">
        <f>SUMIFS(Fleet!V:V,Fleet!$B:$B,$B278)</f>
        <v/>
      </c>
      <c r="AH278" s="842">
        <f>SUMIFS(Fleet!W:W,Fleet!$B:$B,$B278)</f>
        <v/>
      </c>
      <c r="AI278" s="842">
        <f>SUMIFS(Fleet!X:X,Fleet!$B:$B,$B278)</f>
        <v/>
      </c>
      <c r="AJ278" s="842">
        <f>SUMIFS(Fleet!Y:Y,Fleet!$B:$B,$B278)</f>
        <v/>
      </c>
      <c r="AK278" s="842">
        <f>SUMIFS(Fleet!Z:Z,Fleet!$B:$B,$B278)</f>
        <v/>
      </c>
      <c r="AL278" s="842">
        <f>SUMIFS(Fleet!AA:AA,Fleet!$B:$B,$B278)</f>
        <v/>
      </c>
      <c r="AM278" s="842">
        <f>SUMIFS(Fleet!AB:AB,Fleet!$B:$B,$B278)</f>
        <v/>
      </c>
      <c r="AN278" s="842">
        <f>SUMIFS(Fleet!AC:AC,Fleet!$B:$B,$B278)</f>
        <v/>
      </c>
      <c r="AO278" s="842" t="n"/>
      <c r="AP278" s="266" t="n"/>
      <c r="AQ278" s="266" t="n"/>
      <c r="AR278" s="266" t="n"/>
      <c r="AS278" s="266" t="n"/>
      <c r="AT278" s="266" t="n"/>
      <c r="AU278" s="962" t="n"/>
      <c r="ES278" s="320" t="n"/>
      <c r="EW278" s="320" t="n"/>
      <c r="FA278" s="320" t="n"/>
      <c r="FE278" s="320" t="n"/>
      <c r="FN278" s="965" t="n"/>
    </row>
    <row r="279">
      <c r="B279" s="961" t="inlineStr">
        <is>
          <t>747-300SF</t>
        </is>
      </c>
      <c r="C279" s="237" t="n"/>
      <c r="D279" s="237" t="n"/>
      <c r="E279" s="237" t="n"/>
      <c r="F279" s="237" t="n"/>
      <c r="G279" s="237" t="n"/>
      <c r="H279" s="237" t="n"/>
      <c r="I279" s="237" t="n"/>
      <c r="J279" s="237" t="n"/>
      <c r="K279" s="237" t="n"/>
      <c r="L279" s="237" t="n"/>
      <c r="M279" s="237" t="n"/>
      <c r="N279" s="842">
        <f>SUMIFS(Fleet!C:C,Fleet!$B:$B,$B279)</f>
        <v/>
      </c>
      <c r="O279" s="842">
        <f>SUMIFS(Fleet!D:D,Fleet!$B:$B,$B279)</f>
        <v/>
      </c>
      <c r="P279" s="842">
        <f>SUMIFS(Fleet!E:E,Fleet!$B:$B,$B279)</f>
        <v/>
      </c>
      <c r="Q279" s="842">
        <f>SUMIFS(Fleet!F:F,Fleet!$B:$B,$B279)</f>
        <v/>
      </c>
      <c r="R279" s="842">
        <f>SUMIFS(Fleet!G:G,Fleet!$B:$B,$B279)</f>
        <v/>
      </c>
      <c r="S279" s="842">
        <f>SUMIFS(Fleet!H:H,Fleet!$B:$B,$B279)</f>
        <v/>
      </c>
      <c r="T279" s="842">
        <f>SUMIFS(Fleet!I:I,Fleet!$B:$B,$B279)</f>
        <v/>
      </c>
      <c r="U279" s="842">
        <f>SUMIFS(Fleet!J:J,Fleet!$B:$B,$B279)</f>
        <v/>
      </c>
      <c r="V279" s="842">
        <f>SUMIFS(Fleet!K:K,Fleet!$B:$B,$B279)</f>
        <v/>
      </c>
      <c r="W279" s="842">
        <f>SUMIFS(Fleet!L:L,Fleet!$B:$B,$B279)</f>
        <v/>
      </c>
      <c r="X279" s="842">
        <f>SUMIFS(Fleet!M:M,Fleet!$B:$B,$B279)</f>
        <v/>
      </c>
      <c r="Y279" s="842">
        <f>SUMIFS(Fleet!N:N,Fleet!$B:$B,$B279)</f>
        <v/>
      </c>
      <c r="Z279" s="842">
        <f>SUMIFS(Fleet!O:O,Fleet!$B:$B,$B279)</f>
        <v/>
      </c>
      <c r="AA279" s="842">
        <f>SUMIFS(Fleet!P:P,Fleet!$B:$B,$B279)</f>
        <v/>
      </c>
      <c r="AB279" s="842">
        <f>SUMIFS(Fleet!Q:Q,Fleet!$B:$B,$B279)</f>
        <v/>
      </c>
      <c r="AC279" s="842">
        <f>SUMIFS(Fleet!R:R,Fleet!$B:$B,$B279)</f>
        <v/>
      </c>
      <c r="AD279" s="842">
        <f>SUMIFS(Fleet!S:S,Fleet!$B:$B,$B279)</f>
        <v/>
      </c>
      <c r="AE279" s="842">
        <f>SUMIFS(Fleet!T:T,Fleet!$B:$B,$B279)</f>
        <v/>
      </c>
      <c r="AF279" s="842">
        <f>SUMIFS(Fleet!U:U,Fleet!$B:$B,$B279)</f>
        <v/>
      </c>
      <c r="AG279" s="842">
        <f>SUMIFS(Fleet!V:V,Fleet!$B:$B,$B279)</f>
        <v/>
      </c>
      <c r="AH279" s="842">
        <f>SUMIFS(Fleet!W:W,Fleet!$B:$B,$B279)</f>
        <v/>
      </c>
      <c r="AI279" s="842">
        <f>SUMIFS(Fleet!X:X,Fleet!$B:$B,$B279)</f>
        <v/>
      </c>
      <c r="AJ279" s="842">
        <f>SUMIFS(Fleet!Y:Y,Fleet!$B:$B,$B279)</f>
        <v/>
      </c>
      <c r="AK279" s="842">
        <f>SUMIFS(Fleet!Z:Z,Fleet!$B:$B,$B279)</f>
        <v/>
      </c>
      <c r="AL279" s="842">
        <f>SUMIFS(Fleet!AA:AA,Fleet!$B:$B,$B279)</f>
        <v/>
      </c>
      <c r="AM279" s="842">
        <f>SUMIFS(Fleet!AB:AB,Fleet!$B:$B,$B279)</f>
        <v/>
      </c>
      <c r="AN279" s="842">
        <f>SUMIFS(Fleet!AC:AC,Fleet!$B:$B,$B279)</f>
        <v/>
      </c>
      <c r="AO279" s="842" t="n"/>
      <c r="AP279" s="266" t="n"/>
      <c r="AQ279" s="266" t="n"/>
      <c r="AR279" s="266" t="n"/>
      <c r="AS279" s="266" t="n"/>
      <c r="AT279" s="266" t="n"/>
      <c r="AU279" s="962" t="n"/>
      <c r="ES279" s="320" t="n"/>
      <c r="EW279" s="320" t="n"/>
      <c r="FA279" s="320" t="n"/>
      <c r="FE279" s="320" t="n"/>
      <c r="FN279" s="965" t="n"/>
    </row>
    <row r="280">
      <c r="B280" s="961" t="inlineStr">
        <is>
          <t>747-400F</t>
        </is>
      </c>
      <c r="C280" s="237" t="n"/>
      <c r="D280" s="237" t="n"/>
      <c r="E280" s="237" t="n"/>
      <c r="F280" s="237" t="n"/>
      <c r="G280" s="237" t="n"/>
      <c r="H280" s="237" t="n"/>
      <c r="I280" s="237" t="n"/>
      <c r="J280" s="237" t="n"/>
      <c r="K280" s="237" t="n"/>
      <c r="L280" s="237" t="n"/>
      <c r="M280" s="237" t="n"/>
      <c r="N280" s="842">
        <f>SUMIFS(Fleet!C:C,Fleet!$B:$B,$B280)</f>
        <v/>
      </c>
      <c r="O280" s="842">
        <f>SUMIFS(Fleet!D:D,Fleet!$B:$B,$B280)</f>
        <v/>
      </c>
      <c r="P280" s="842">
        <f>SUMIFS(Fleet!E:E,Fleet!$B:$B,$B280)</f>
        <v/>
      </c>
      <c r="Q280" s="842">
        <f>SUMIFS(Fleet!F:F,Fleet!$B:$B,$B280)</f>
        <v/>
      </c>
      <c r="R280" s="842">
        <f>SUMIFS(Fleet!G:G,Fleet!$B:$B,$B280)</f>
        <v/>
      </c>
      <c r="S280" s="842">
        <f>SUMIFS(Fleet!H:H,Fleet!$B:$B,$B280)</f>
        <v/>
      </c>
      <c r="T280" s="842">
        <f>SUMIFS(Fleet!I:I,Fleet!$B:$B,$B280)</f>
        <v/>
      </c>
      <c r="U280" s="842">
        <f>SUMIFS(Fleet!J:J,Fleet!$B:$B,$B280)</f>
        <v/>
      </c>
      <c r="V280" s="842">
        <f>SUMIFS(Fleet!K:K,Fleet!$B:$B,$B280)</f>
        <v/>
      </c>
      <c r="W280" s="842">
        <f>SUMIFS(Fleet!L:L,Fleet!$B:$B,$B280)</f>
        <v/>
      </c>
      <c r="X280" s="842">
        <f>SUMIFS(Fleet!M:M,Fleet!$B:$B,$B280)</f>
        <v/>
      </c>
      <c r="Y280" s="842">
        <f>SUMIFS(Fleet!N:N,Fleet!$B:$B,$B280)</f>
        <v/>
      </c>
      <c r="Z280" s="842">
        <f>SUMIFS(Fleet!O:O,Fleet!$B:$B,$B280)</f>
        <v/>
      </c>
      <c r="AA280" s="842">
        <f>SUMIFS(Fleet!P:P,Fleet!$B:$B,$B280)</f>
        <v/>
      </c>
      <c r="AB280" s="842">
        <f>SUMIFS(Fleet!Q:Q,Fleet!$B:$B,$B280)</f>
        <v/>
      </c>
      <c r="AC280" s="842">
        <f>SUMIFS(Fleet!R:R,Fleet!$B:$B,$B280)</f>
        <v/>
      </c>
      <c r="AD280" s="842">
        <f>SUMIFS(Fleet!S:S,Fleet!$B:$B,$B280)</f>
        <v/>
      </c>
      <c r="AE280" s="842">
        <f>SUMIFS(Fleet!T:T,Fleet!$B:$B,$B280)</f>
        <v/>
      </c>
      <c r="AF280" s="842">
        <f>SUMIFS(Fleet!U:U,Fleet!$B:$B,$B280)</f>
        <v/>
      </c>
      <c r="AG280" s="842">
        <f>SUMIFS(Fleet!V:V,Fleet!$B:$B,$B280)</f>
        <v/>
      </c>
      <c r="AH280" s="842">
        <f>SUMIFS(Fleet!W:W,Fleet!$B:$B,$B280)</f>
        <v/>
      </c>
      <c r="AI280" s="842">
        <f>SUMIFS(Fleet!X:X,Fleet!$B:$B,$B280)</f>
        <v/>
      </c>
      <c r="AJ280" s="842">
        <f>SUMIFS(Fleet!Y:Y,Fleet!$B:$B,$B280)</f>
        <v/>
      </c>
      <c r="AK280" s="842">
        <f>SUMIFS(Fleet!Z:Z,Fleet!$B:$B,$B280)</f>
        <v/>
      </c>
      <c r="AL280" s="842">
        <f>SUMIFS(Fleet!AA:AA,Fleet!$B:$B,$B280)</f>
        <v/>
      </c>
      <c r="AM280" s="842">
        <f>SUMIFS(Fleet!AB:AB,Fleet!$B:$B,$B280)</f>
        <v/>
      </c>
      <c r="AN280" s="842">
        <f>SUMIFS(Fleet!AC:AC,Fleet!$B:$B,$B280)</f>
        <v/>
      </c>
      <c r="AO280" s="842" t="n"/>
      <c r="AP280" s="266" t="n"/>
      <c r="AQ280" s="266" t="n"/>
      <c r="AR280" s="266" t="n"/>
      <c r="AS280" s="266" t="n"/>
      <c r="AT280" s="266" t="n"/>
      <c r="AU280" s="962" t="n"/>
      <c r="ES280" s="320" t="n"/>
      <c r="EW280" s="320" t="n"/>
      <c r="FA280" s="320" t="n"/>
      <c r="FE280" s="320" t="n"/>
      <c r="FN280" s="965" t="n"/>
    </row>
    <row r="281">
      <c r="B281" s="961" t="inlineStr">
        <is>
          <t>747-400BCF</t>
        </is>
      </c>
      <c r="C281" s="237" t="n"/>
      <c r="D281" s="237" t="n"/>
      <c r="E281" s="237" t="n"/>
      <c r="F281" s="237" t="n"/>
      <c r="G281" s="237" t="n"/>
      <c r="H281" s="237" t="n"/>
      <c r="I281" s="237" t="n"/>
      <c r="J281" s="237" t="n"/>
      <c r="K281" s="237" t="n"/>
      <c r="L281" s="237" t="n"/>
      <c r="M281" s="237" t="n"/>
      <c r="N281" s="842">
        <f>SUMIFS(Fleet!C:C,Fleet!$B:$B,$B281)</f>
        <v/>
      </c>
      <c r="O281" s="842">
        <f>SUMIFS(Fleet!D:D,Fleet!$B:$B,$B281)</f>
        <v/>
      </c>
      <c r="P281" s="842">
        <f>SUMIFS(Fleet!E:E,Fleet!$B:$B,$B281)</f>
        <v/>
      </c>
      <c r="Q281" s="842">
        <f>SUMIFS(Fleet!F:F,Fleet!$B:$B,$B281)</f>
        <v/>
      </c>
      <c r="R281" s="842">
        <f>SUMIFS(Fleet!G:G,Fleet!$B:$B,$B281)</f>
        <v/>
      </c>
      <c r="S281" s="842">
        <f>SUMIFS(Fleet!H:H,Fleet!$B:$B,$B281)</f>
        <v/>
      </c>
      <c r="T281" s="842">
        <f>SUMIFS(Fleet!I:I,Fleet!$B:$B,$B281)</f>
        <v/>
      </c>
      <c r="U281" s="842">
        <f>SUMIFS(Fleet!J:J,Fleet!$B:$B,$B281)</f>
        <v/>
      </c>
      <c r="V281" s="842">
        <f>SUMIFS(Fleet!K:K,Fleet!$B:$B,$B281)</f>
        <v/>
      </c>
      <c r="W281" s="842">
        <f>SUMIFS(Fleet!L:L,Fleet!$B:$B,$B281)</f>
        <v/>
      </c>
      <c r="X281" s="842">
        <f>SUMIFS(Fleet!M:M,Fleet!$B:$B,$B281)</f>
        <v/>
      </c>
      <c r="Y281" s="842">
        <f>SUMIFS(Fleet!N:N,Fleet!$B:$B,$B281)</f>
        <v/>
      </c>
      <c r="Z281" s="842">
        <f>SUMIFS(Fleet!O:O,Fleet!$B:$B,$B281)</f>
        <v/>
      </c>
      <c r="AA281" s="842">
        <f>SUMIFS(Fleet!P:P,Fleet!$B:$B,$B281)</f>
        <v/>
      </c>
      <c r="AB281" s="842">
        <f>SUMIFS(Fleet!Q:Q,Fleet!$B:$B,$B281)</f>
        <v/>
      </c>
      <c r="AC281" s="842">
        <f>SUMIFS(Fleet!R:R,Fleet!$B:$B,$B281)</f>
        <v/>
      </c>
      <c r="AD281" s="842">
        <f>SUMIFS(Fleet!S:S,Fleet!$B:$B,$B281)</f>
        <v/>
      </c>
      <c r="AE281" s="842">
        <f>SUMIFS(Fleet!T:T,Fleet!$B:$B,$B281)</f>
        <v/>
      </c>
      <c r="AF281" s="842">
        <f>SUMIFS(Fleet!U:U,Fleet!$B:$B,$B281)</f>
        <v/>
      </c>
      <c r="AG281" s="842">
        <f>SUMIFS(Fleet!V:V,Fleet!$B:$B,$B281)</f>
        <v/>
      </c>
      <c r="AH281" s="842">
        <f>SUMIFS(Fleet!W:W,Fleet!$B:$B,$B281)</f>
        <v/>
      </c>
      <c r="AI281" s="842">
        <f>SUMIFS(Fleet!X:X,Fleet!$B:$B,$B281)</f>
        <v/>
      </c>
      <c r="AJ281" s="842">
        <f>SUMIFS(Fleet!Y:Y,Fleet!$B:$B,$B281)</f>
        <v/>
      </c>
      <c r="AK281" s="842">
        <f>SUMIFS(Fleet!Z:Z,Fleet!$B:$B,$B281)</f>
        <v/>
      </c>
      <c r="AL281" s="842">
        <f>SUMIFS(Fleet!AA:AA,Fleet!$B:$B,$B281)</f>
        <v/>
      </c>
      <c r="AM281" s="842">
        <f>SUMIFS(Fleet!AB:AB,Fleet!$B:$B,$B281)</f>
        <v/>
      </c>
      <c r="AN281" s="842">
        <f>SUMIFS(Fleet!AC:AC,Fleet!$B:$B,$B281)</f>
        <v/>
      </c>
      <c r="AO281" s="842" t="n"/>
      <c r="AP281" s="266" t="n"/>
      <c r="AQ281" s="266" t="n"/>
      <c r="AR281" s="266" t="n"/>
      <c r="AS281" s="266" t="n"/>
      <c r="AT281" s="266" t="n"/>
      <c r="AU281" s="962" t="n"/>
      <c r="ES281" s="320" t="n"/>
      <c r="EW281" s="320" t="n"/>
      <c r="FA281" s="320" t="n"/>
      <c r="FE281" s="320" t="n"/>
      <c r="FN281" s="965" t="n"/>
    </row>
    <row r="282">
      <c r="B282" s="961" t="inlineStr">
        <is>
          <t>747-400ERF</t>
        </is>
      </c>
      <c r="C282" s="237" t="n"/>
      <c r="D282" s="237" t="n"/>
      <c r="E282" s="237" t="n"/>
      <c r="F282" s="237" t="n"/>
      <c r="G282" s="237" t="n"/>
      <c r="H282" s="237" t="n"/>
      <c r="I282" s="237" t="n"/>
      <c r="J282" s="237" t="n"/>
      <c r="K282" s="237" t="n"/>
      <c r="L282" s="237" t="n"/>
      <c r="M282" s="237" t="n"/>
      <c r="N282" s="842">
        <f>SUMIFS(Fleet!C:C,Fleet!$B:$B,$B282)</f>
        <v/>
      </c>
      <c r="O282" s="842">
        <f>SUMIFS(Fleet!D:D,Fleet!$B:$B,$B282)</f>
        <v/>
      </c>
      <c r="P282" s="842">
        <f>SUMIFS(Fleet!E:E,Fleet!$B:$B,$B282)</f>
        <v/>
      </c>
      <c r="Q282" s="842">
        <f>SUMIFS(Fleet!F:F,Fleet!$B:$B,$B282)</f>
        <v/>
      </c>
      <c r="R282" s="842">
        <f>SUMIFS(Fleet!G:G,Fleet!$B:$B,$B282)</f>
        <v/>
      </c>
      <c r="S282" s="842">
        <f>SUMIFS(Fleet!H:H,Fleet!$B:$B,$B282)</f>
        <v/>
      </c>
      <c r="T282" s="842">
        <f>SUMIFS(Fleet!I:I,Fleet!$B:$B,$B282)</f>
        <v/>
      </c>
      <c r="U282" s="842">
        <f>SUMIFS(Fleet!J:J,Fleet!$B:$B,$B282)</f>
        <v/>
      </c>
      <c r="V282" s="842">
        <f>SUMIFS(Fleet!K:K,Fleet!$B:$B,$B282)</f>
        <v/>
      </c>
      <c r="W282" s="842">
        <f>SUMIFS(Fleet!L:L,Fleet!$B:$B,$B282)</f>
        <v/>
      </c>
      <c r="X282" s="842">
        <f>SUMIFS(Fleet!M:M,Fleet!$B:$B,$B282)</f>
        <v/>
      </c>
      <c r="Y282" s="842">
        <f>SUMIFS(Fleet!N:N,Fleet!$B:$B,$B282)</f>
        <v/>
      </c>
      <c r="Z282" s="842">
        <f>SUMIFS(Fleet!O:O,Fleet!$B:$B,$B282)</f>
        <v/>
      </c>
      <c r="AA282" s="842">
        <f>SUMIFS(Fleet!P:P,Fleet!$B:$B,$B282)</f>
        <v/>
      </c>
      <c r="AB282" s="842">
        <f>SUMIFS(Fleet!Q:Q,Fleet!$B:$B,$B282)</f>
        <v/>
      </c>
      <c r="AC282" s="842">
        <f>SUMIFS(Fleet!R:R,Fleet!$B:$B,$B282)</f>
        <v/>
      </c>
      <c r="AD282" s="842">
        <f>SUMIFS(Fleet!S:S,Fleet!$B:$B,$B282)</f>
        <v/>
      </c>
      <c r="AE282" s="842">
        <f>SUMIFS(Fleet!T:T,Fleet!$B:$B,$B282)</f>
        <v/>
      </c>
      <c r="AF282" s="842">
        <f>SUMIFS(Fleet!U:U,Fleet!$B:$B,$B282)</f>
        <v/>
      </c>
      <c r="AG282" s="842">
        <f>SUMIFS(Fleet!V:V,Fleet!$B:$B,$B282)</f>
        <v/>
      </c>
      <c r="AH282" s="842">
        <f>SUMIFS(Fleet!W:W,Fleet!$B:$B,$B282)</f>
        <v/>
      </c>
      <c r="AI282" s="842">
        <f>SUMIFS(Fleet!X:X,Fleet!$B:$B,$B282)</f>
        <v/>
      </c>
      <c r="AJ282" s="842">
        <f>SUMIFS(Fleet!Y:Y,Fleet!$B:$B,$B282)</f>
        <v/>
      </c>
      <c r="AK282" s="842">
        <f>SUMIFS(Fleet!Z:Z,Fleet!$B:$B,$B282)</f>
        <v/>
      </c>
      <c r="AL282" s="842">
        <f>SUMIFS(Fleet!AA:AA,Fleet!$B:$B,$B282)</f>
        <v/>
      </c>
      <c r="AM282" s="842">
        <f>SUMIFS(Fleet!AB:AB,Fleet!$B:$B,$B282)</f>
        <v/>
      </c>
      <c r="AN282" s="842">
        <f>SUMIFS(Fleet!AC:AC,Fleet!$B:$B,$B282)</f>
        <v/>
      </c>
      <c r="AO282" s="842" t="n"/>
      <c r="AP282" s="266" t="n"/>
      <c r="AQ282" s="266" t="n"/>
      <c r="AR282" s="266" t="n"/>
      <c r="AS282" s="266" t="n"/>
      <c r="AT282" s="266" t="n"/>
      <c r="AU282" s="962" t="n"/>
      <c r="ES282" s="320" t="n"/>
      <c r="EW282" s="320" t="n"/>
      <c r="FA282" s="320" t="n"/>
      <c r="FE282" s="320" t="n"/>
      <c r="FN282" s="965" t="n"/>
    </row>
    <row r="283">
      <c r="B283" s="961" t="inlineStr">
        <is>
          <t>747-8F</t>
        </is>
      </c>
      <c r="C283" s="237" t="n"/>
      <c r="D283" s="237" t="n"/>
      <c r="E283" s="237" t="n"/>
      <c r="F283" s="237" t="n"/>
      <c r="G283" s="237" t="n"/>
      <c r="H283" s="237" t="n"/>
      <c r="I283" s="237" t="n"/>
      <c r="J283" s="237" t="n"/>
      <c r="K283" s="237" t="n"/>
      <c r="L283" s="237" t="n"/>
      <c r="M283" s="237" t="n"/>
      <c r="N283" s="842">
        <f>SUMIFS(Fleet!C:C,Fleet!$B:$B,$B283)</f>
        <v/>
      </c>
      <c r="O283" s="842">
        <f>SUMIFS(Fleet!D:D,Fleet!$B:$B,$B283)</f>
        <v/>
      </c>
      <c r="P283" s="842">
        <f>SUMIFS(Fleet!E:E,Fleet!$B:$B,$B283)</f>
        <v/>
      </c>
      <c r="Q283" s="842">
        <f>SUMIFS(Fleet!F:F,Fleet!$B:$B,$B283)</f>
        <v/>
      </c>
      <c r="R283" s="842">
        <f>SUMIFS(Fleet!G:G,Fleet!$B:$B,$B283)</f>
        <v/>
      </c>
      <c r="S283" s="842">
        <f>SUMIFS(Fleet!H:H,Fleet!$B:$B,$B283)</f>
        <v/>
      </c>
      <c r="T283" s="842">
        <f>SUMIFS(Fleet!I:I,Fleet!$B:$B,$B283)</f>
        <v/>
      </c>
      <c r="U283" s="842">
        <f>SUMIFS(Fleet!J:J,Fleet!$B:$B,$B283)</f>
        <v/>
      </c>
      <c r="V283" s="842">
        <f>SUMIFS(Fleet!K:K,Fleet!$B:$B,$B283)</f>
        <v/>
      </c>
      <c r="W283" s="842">
        <f>SUMIFS(Fleet!L:L,Fleet!$B:$B,$B283)</f>
        <v/>
      </c>
      <c r="X283" s="842">
        <f>SUMIFS(Fleet!M:M,Fleet!$B:$B,$B283)</f>
        <v/>
      </c>
      <c r="Y283" s="842">
        <f>SUMIFS(Fleet!N:N,Fleet!$B:$B,$B283)</f>
        <v/>
      </c>
      <c r="Z283" s="842">
        <f>SUMIFS(Fleet!O:O,Fleet!$B:$B,$B283)</f>
        <v/>
      </c>
      <c r="AA283" s="842">
        <f>SUMIFS(Fleet!P:P,Fleet!$B:$B,$B283)</f>
        <v/>
      </c>
      <c r="AB283" s="842">
        <f>SUMIFS(Fleet!Q:Q,Fleet!$B:$B,$B283)</f>
        <v/>
      </c>
      <c r="AC283" s="842">
        <f>SUMIFS(Fleet!R:R,Fleet!$B:$B,$B283)</f>
        <v/>
      </c>
      <c r="AD283" s="842">
        <f>SUMIFS(Fleet!S:S,Fleet!$B:$B,$B283)</f>
        <v/>
      </c>
      <c r="AE283" s="842">
        <f>SUMIFS(Fleet!T:T,Fleet!$B:$B,$B283)</f>
        <v/>
      </c>
      <c r="AF283" s="842">
        <f>SUMIFS(Fleet!U:U,Fleet!$B:$B,$B283)</f>
        <v/>
      </c>
      <c r="AG283" s="842">
        <f>SUMIFS(Fleet!V:V,Fleet!$B:$B,$B283)</f>
        <v/>
      </c>
      <c r="AH283" s="842">
        <f>SUMIFS(Fleet!W:W,Fleet!$B:$B,$B283)</f>
        <v/>
      </c>
      <c r="AI283" s="842">
        <f>SUMIFS(Fleet!X:X,Fleet!$B:$B,$B283)</f>
        <v/>
      </c>
      <c r="AJ283" s="842">
        <f>SUMIFS(Fleet!Y:Y,Fleet!$B:$B,$B283)</f>
        <v/>
      </c>
      <c r="AK283" s="842">
        <f>SUMIFS(Fleet!Z:Z,Fleet!$B:$B,$B283)</f>
        <v/>
      </c>
      <c r="AL283" s="842">
        <f>SUMIFS(Fleet!AA:AA,Fleet!$B:$B,$B283)</f>
        <v/>
      </c>
      <c r="AM283" s="842">
        <f>SUMIFS(Fleet!AB:AB,Fleet!$B:$B,$B283)</f>
        <v/>
      </c>
      <c r="AN283" s="842">
        <f>SUMIFS(Fleet!AC:AC,Fleet!$B:$B,$B283)</f>
        <v/>
      </c>
      <c r="AO283" s="842" t="n"/>
      <c r="AP283" s="266" t="n"/>
      <c r="AQ283" s="266" t="n"/>
      <c r="AR283" s="266" t="n"/>
      <c r="AS283" s="266" t="n"/>
      <c r="AT283" s="266" t="n"/>
      <c r="AU283" s="962" t="n"/>
      <c r="ES283" s="320" t="n"/>
      <c r="EW283" s="320" t="n"/>
      <c r="FA283" s="320" t="n"/>
      <c r="FE283" s="320" t="n"/>
      <c r="FN283" s="965" t="n"/>
    </row>
    <row r="284">
      <c r="B284" s="961" t="inlineStr">
        <is>
          <t>777-200</t>
        </is>
      </c>
      <c r="C284" s="237" t="n"/>
      <c r="D284" s="237" t="n"/>
      <c r="E284" s="237" t="n"/>
      <c r="F284" s="237" t="n"/>
      <c r="G284" s="237" t="n"/>
      <c r="H284" s="237" t="n"/>
      <c r="I284" s="237" t="n"/>
      <c r="J284" s="237" t="n"/>
      <c r="K284" s="237" t="n"/>
      <c r="L284" s="237" t="n"/>
      <c r="M284" s="237" t="n"/>
      <c r="N284" s="842">
        <f>SUMIFS(Fleet!C:C,Fleet!$B:$B,$B284)</f>
        <v/>
      </c>
      <c r="O284" s="842">
        <f>SUMIFS(Fleet!D:D,Fleet!$B:$B,$B284)</f>
        <v/>
      </c>
      <c r="P284" s="842">
        <f>SUMIFS(Fleet!E:E,Fleet!$B:$B,$B284)</f>
        <v/>
      </c>
      <c r="Q284" s="842">
        <f>SUMIFS(Fleet!F:F,Fleet!$B:$B,$B284)</f>
        <v/>
      </c>
      <c r="R284" s="842">
        <f>SUMIFS(Fleet!G:G,Fleet!$B:$B,$B284)</f>
        <v/>
      </c>
      <c r="S284" s="842">
        <f>SUMIFS(Fleet!H:H,Fleet!$B:$B,$B284)</f>
        <v/>
      </c>
      <c r="T284" s="842">
        <f>SUMIFS(Fleet!I:I,Fleet!$B:$B,$B284)</f>
        <v/>
      </c>
      <c r="U284" s="842">
        <f>SUMIFS(Fleet!J:J,Fleet!$B:$B,$B284)</f>
        <v/>
      </c>
      <c r="V284" s="842">
        <f>SUMIFS(Fleet!K:K,Fleet!$B:$B,$B284)</f>
        <v/>
      </c>
      <c r="W284" s="842">
        <f>SUMIFS(Fleet!L:L,Fleet!$B:$B,$B284)</f>
        <v/>
      </c>
      <c r="X284" s="842">
        <f>SUMIFS(Fleet!M:M,Fleet!$B:$B,$B284)</f>
        <v/>
      </c>
      <c r="Y284" s="842">
        <f>SUMIFS(Fleet!N:N,Fleet!$B:$B,$B284)</f>
        <v/>
      </c>
      <c r="Z284" s="842">
        <f>SUMIFS(Fleet!O:O,Fleet!$B:$B,$B284)</f>
        <v/>
      </c>
      <c r="AA284" s="842">
        <f>SUMIFS(Fleet!P:P,Fleet!$B:$B,$B284)</f>
        <v/>
      </c>
      <c r="AB284" s="842">
        <f>SUMIFS(Fleet!Q:Q,Fleet!$B:$B,$B284)</f>
        <v/>
      </c>
      <c r="AC284" s="842">
        <f>SUMIFS(Fleet!R:R,Fleet!$B:$B,$B284)</f>
        <v/>
      </c>
      <c r="AD284" s="842">
        <f>SUMIFS(Fleet!S:S,Fleet!$B:$B,$B284)</f>
        <v/>
      </c>
      <c r="AE284" s="842">
        <f>SUMIFS(Fleet!T:T,Fleet!$B:$B,$B284)</f>
        <v/>
      </c>
      <c r="AF284" s="842">
        <f>SUMIFS(Fleet!U:U,Fleet!$B:$B,$B284)</f>
        <v/>
      </c>
      <c r="AG284" s="842">
        <f>SUMIFS(Fleet!V:V,Fleet!$B:$B,$B284)</f>
        <v/>
      </c>
      <c r="AH284" s="842">
        <f>SUMIFS(Fleet!W:W,Fleet!$B:$B,$B284)</f>
        <v/>
      </c>
      <c r="AI284" s="842">
        <f>SUMIFS(Fleet!X:X,Fleet!$B:$B,$B284)</f>
        <v/>
      </c>
      <c r="AJ284" s="842">
        <f>SUMIFS(Fleet!Y:Y,Fleet!$B:$B,$B284)</f>
        <v/>
      </c>
      <c r="AK284" s="842">
        <f>SUMIFS(Fleet!Z:Z,Fleet!$B:$B,$B284)</f>
        <v/>
      </c>
      <c r="AL284" s="842">
        <f>SUMIFS(Fleet!AA:AA,Fleet!$B:$B,$B284)</f>
        <v/>
      </c>
      <c r="AM284" s="842">
        <f>SUMIFS(Fleet!AB:AB,Fleet!$B:$B,$B284)</f>
        <v/>
      </c>
      <c r="AN284" s="842">
        <f>SUMIFS(Fleet!AC:AC,Fleet!$B:$B,$B284)</f>
        <v/>
      </c>
      <c r="AO284" s="842" t="n"/>
      <c r="AP284" s="266" t="n"/>
      <c r="AQ284" s="266" t="n"/>
      <c r="AR284" s="266" t="n"/>
      <c r="AS284" s="266" t="n"/>
      <c r="AT284" s="266" t="n"/>
      <c r="AU284" s="962" t="n"/>
      <c r="ES284" s="320" t="n"/>
      <c r="EW284" s="320" t="n"/>
      <c r="FA284" s="320" t="n"/>
      <c r="FE284" s="320" t="n"/>
      <c r="FN284" s="965" t="n"/>
    </row>
    <row r="285">
      <c r="B285" s="961" t="inlineStr">
        <is>
          <t>777-200F</t>
        </is>
      </c>
      <c r="C285" s="237" t="n"/>
      <c r="D285" s="237" t="n"/>
      <c r="E285" s="237" t="n"/>
      <c r="F285" s="237" t="n"/>
      <c r="G285" s="237" t="n"/>
      <c r="H285" s="237" t="n"/>
      <c r="I285" s="237" t="n"/>
      <c r="J285" s="237" t="n"/>
      <c r="K285" s="237" t="n"/>
      <c r="L285" s="237" t="n"/>
      <c r="M285" s="237" t="n"/>
      <c r="N285" s="842">
        <f>SUMIFS(Fleet!C:C,Fleet!$B:$B,$B285)</f>
        <v/>
      </c>
      <c r="O285" s="842">
        <f>SUMIFS(Fleet!D:D,Fleet!$B:$B,$B285)</f>
        <v/>
      </c>
      <c r="P285" s="842">
        <f>SUMIFS(Fleet!E:E,Fleet!$B:$B,$B285)</f>
        <v/>
      </c>
      <c r="Q285" s="842">
        <f>SUMIFS(Fleet!F:F,Fleet!$B:$B,$B285)</f>
        <v/>
      </c>
      <c r="R285" s="842">
        <f>SUMIFS(Fleet!G:G,Fleet!$B:$B,$B285)</f>
        <v/>
      </c>
      <c r="S285" s="842">
        <f>SUMIFS(Fleet!H:H,Fleet!$B:$B,$B285)</f>
        <v/>
      </c>
      <c r="T285" s="842">
        <f>SUMIFS(Fleet!I:I,Fleet!$B:$B,$B285)</f>
        <v/>
      </c>
      <c r="U285" s="842">
        <f>SUMIFS(Fleet!J:J,Fleet!$B:$B,$B285)</f>
        <v/>
      </c>
      <c r="V285" s="842">
        <f>SUMIFS(Fleet!K:K,Fleet!$B:$B,$B285)</f>
        <v/>
      </c>
      <c r="W285" s="842">
        <f>SUMIFS(Fleet!L:L,Fleet!$B:$B,$B285)</f>
        <v/>
      </c>
      <c r="X285" s="842">
        <f>SUMIFS(Fleet!M:M,Fleet!$B:$B,$B285)</f>
        <v/>
      </c>
      <c r="Y285" s="842">
        <f>SUMIFS(Fleet!N:N,Fleet!$B:$B,$B285)</f>
        <v/>
      </c>
      <c r="Z285" s="842">
        <f>SUMIFS(Fleet!O:O,Fleet!$B:$B,$B285)</f>
        <v/>
      </c>
      <c r="AA285" s="842">
        <f>SUMIFS(Fleet!P:P,Fleet!$B:$B,$B285)</f>
        <v/>
      </c>
      <c r="AB285" s="842">
        <f>SUMIFS(Fleet!Q:Q,Fleet!$B:$B,$B285)</f>
        <v/>
      </c>
      <c r="AC285" s="842">
        <f>SUMIFS(Fleet!R:R,Fleet!$B:$B,$B285)</f>
        <v/>
      </c>
      <c r="AD285" s="842">
        <f>SUMIFS(Fleet!S:S,Fleet!$B:$B,$B285)</f>
        <v/>
      </c>
      <c r="AE285" s="842">
        <f>SUMIFS(Fleet!T:T,Fleet!$B:$B,$B285)</f>
        <v/>
      </c>
      <c r="AF285" s="842">
        <f>SUMIFS(Fleet!U:U,Fleet!$B:$B,$B285)</f>
        <v/>
      </c>
      <c r="AG285" s="842">
        <f>SUMIFS(Fleet!V:V,Fleet!$B:$B,$B285)</f>
        <v/>
      </c>
      <c r="AH285" s="842">
        <f>SUMIFS(Fleet!W:W,Fleet!$B:$B,$B285)</f>
        <v/>
      </c>
      <c r="AI285" s="842">
        <f>SUMIFS(Fleet!X:X,Fleet!$B:$B,$B285)</f>
        <v/>
      </c>
      <c r="AJ285" s="842">
        <f>SUMIFS(Fleet!Y:Y,Fleet!$B:$B,$B285)</f>
        <v/>
      </c>
      <c r="AK285" s="842">
        <f>SUMIFS(Fleet!Z:Z,Fleet!$B:$B,$B285)</f>
        <v/>
      </c>
      <c r="AL285" s="842">
        <f>SUMIFS(Fleet!AA:AA,Fleet!$B:$B,$B285)</f>
        <v/>
      </c>
      <c r="AM285" s="842">
        <f>SUMIFS(Fleet!AB:AB,Fleet!$B:$B,$B285)</f>
        <v/>
      </c>
      <c r="AN285" s="842">
        <f>SUMIFS(Fleet!AC:AC,Fleet!$B:$B,$B285)</f>
        <v/>
      </c>
      <c r="AO285" s="842" t="n"/>
      <c r="AP285" s="266" t="n"/>
      <c r="AQ285" s="266" t="n"/>
      <c r="AR285" s="266" t="n"/>
      <c r="AS285" s="266" t="n"/>
      <c r="AT285" s="266" t="n"/>
      <c r="AU285" s="962" t="n"/>
      <c r="ES285" s="320" t="n"/>
      <c r="EW285" s="320" t="n"/>
      <c r="FA285" s="320" t="n"/>
      <c r="FE285" s="320" t="n"/>
      <c r="FN285" s="965" t="n"/>
    </row>
    <row r="286">
      <c r="B286" s="961" t="inlineStr">
        <is>
          <t>777-300</t>
        </is>
      </c>
      <c r="C286" s="237" t="n"/>
      <c r="D286" s="237" t="n"/>
      <c r="E286" s="237" t="n"/>
      <c r="F286" s="237" t="n"/>
      <c r="G286" s="237" t="n"/>
      <c r="H286" s="237" t="n"/>
      <c r="I286" s="237" t="n"/>
      <c r="J286" s="237" t="n"/>
      <c r="K286" s="237" t="n"/>
      <c r="L286" s="237" t="n"/>
      <c r="M286" s="237" t="n"/>
      <c r="N286" s="842">
        <f>SUMIFS(Fleet!C:C,Fleet!$B:$B,$B286)</f>
        <v/>
      </c>
      <c r="O286" s="842">
        <f>SUMIFS(Fleet!D:D,Fleet!$B:$B,$B286)</f>
        <v/>
      </c>
      <c r="P286" s="842">
        <f>SUMIFS(Fleet!E:E,Fleet!$B:$B,$B286)</f>
        <v/>
      </c>
      <c r="Q286" s="842">
        <f>SUMIFS(Fleet!F:F,Fleet!$B:$B,$B286)</f>
        <v/>
      </c>
      <c r="R286" s="842">
        <f>SUMIFS(Fleet!G:G,Fleet!$B:$B,$B286)</f>
        <v/>
      </c>
      <c r="S286" s="842">
        <f>SUMIFS(Fleet!H:H,Fleet!$B:$B,$B286)</f>
        <v/>
      </c>
      <c r="T286" s="842">
        <f>SUMIFS(Fleet!I:I,Fleet!$B:$B,$B286)</f>
        <v/>
      </c>
      <c r="U286" s="842">
        <f>SUMIFS(Fleet!J:J,Fleet!$B:$B,$B286)</f>
        <v/>
      </c>
      <c r="V286" s="842">
        <f>SUMIFS(Fleet!K:K,Fleet!$B:$B,$B286)</f>
        <v/>
      </c>
      <c r="W286" s="842">
        <f>SUMIFS(Fleet!L:L,Fleet!$B:$B,$B286)</f>
        <v/>
      </c>
      <c r="X286" s="842">
        <f>SUMIFS(Fleet!M:M,Fleet!$B:$B,$B286)</f>
        <v/>
      </c>
      <c r="Y286" s="842">
        <f>SUMIFS(Fleet!N:N,Fleet!$B:$B,$B286)</f>
        <v/>
      </c>
      <c r="Z286" s="842">
        <f>SUMIFS(Fleet!O:O,Fleet!$B:$B,$B286)</f>
        <v/>
      </c>
      <c r="AA286" s="842">
        <f>SUMIFS(Fleet!P:P,Fleet!$B:$B,$B286)</f>
        <v/>
      </c>
      <c r="AB286" s="842">
        <f>SUMIFS(Fleet!Q:Q,Fleet!$B:$B,$B286)</f>
        <v/>
      </c>
      <c r="AC286" s="842">
        <f>SUMIFS(Fleet!R:R,Fleet!$B:$B,$B286)</f>
        <v/>
      </c>
      <c r="AD286" s="842">
        <f>SUMIFS(Fleet!S:S,Fleet!$B:$B,$B286)</f>
        <v/>
      </c>
      <c r="AE286" s="842">
        <f>SUMIFS(Fleet!T:T,Fleet!$B:$B,$B286)</f>
        <v/>
      </c>
      <c r="AF286" s="842">
        <f>SUMIFS(Fleet!U:U,Fleet!$B:$B,$B286)</f>
        <v/>
      </c>
      <c r="AG286" s="842">
        <f>SUMIFS(Fleet!V:V,Fleet!$B:$B,$B286)</f>
        <v/>
      </c>
      <c r="AH286" s="842">
        <f>SUMIFS(Fleet!W:W,Fleet!$B:$B,$B286)</f>
        <v/>
      </c>
      <c r="AI286" s="842">
        <f>SUMIFS(Fleet!X:X,Fleet!$B:$B,$B286)</f>
        <v/>
      </c>
      <c r="AJ286" s="842">
        <f>SUMIFS(Fleet!Y:Y,Fleet!$B:$B,$B286)</f>
        <v/>
      </c>
      <c r="AK286" s="842">
        <f>SUMIFS(Fleet!Z:Z,Fleet!$B:$B,$B286)</f>
        <v/>
      </c>
      <c r="AL286" s="842">
        <f>SUMIFS(Fleet!AA:AA,Fleet!$B:$B,$B286)</f>
        <v/>
      </c>
      <c r="AM286" s="842">
        <f>SUMIFS(Fleet!AB:AB,Fleet!$B:$B,$B286)</f>
        <v/>
      </c>
      <c r="AN286" s="842">
        <f>SUMIFS(Fleet!AC:AC,Fleet!$B:$B,$B286)</f>
        <v/>
      </c>
      <c r="AO286" s="842" t="n"/>
      <c r="AP286" s="266" t="n"/>
      <c r="AQ286" s="266" t="n"/>
      <c r="AR286" s="266" t="n"/>
      <c r="AS286" s="266" t="n"/>
      <c r="AT286" s="266" t="n"/>
      <c r="AU286" s="962" t="n"/>
      <c r="ES286" s="320" t="n"/>
      <c r="EW286" s="320" t="n"/>
      <c r="FA286" s="320" t="n"/>
      <c r="FE286" s="320" t="n"/>
      <c r="FN286" s="965" t="n"/>
    </row>
    <row r="287">
      <c r="B287" s="961" t="inlineStr">
        <is>
          <t>777-300ER</t>
        </is>
      </c>
      <c r="C287" s="237" t="n"/>
      <c r="D287" s="237" t="n"/>
      <c r="E287" s="237" t="n"/>
      <c r="F287" s="237" t="n"/>
      <c r="G287" s="237" t="n"/>
      <c r="H287" s="237" t="n"/>
      <c r="I287" s="237" t="n"/>
      <c r="J287" s="237" t="n"/>
      <c r="K287" s="237" t="n"/>
      <c r="L287" s="237" t="n"/>
      <c r="M287" s="237" t="n"/>
      <c r="N287" s="842">
        <f>SUMIFS(Fleet!C:C,Fleet!$B:$B,$B287)</f>
        <v/>
      </c>
      <c r="O287" s="842">
        <f>SUMIFS(Fleet!D:D,Fleet!$B:$B,$B287)</f>
        <v/>
      </c>
      <c r="P287" s="842">
        <f>SUMIFS(Fleet!E:E,Fleet!$B:$B,$B287)</f>
        <v/>
      </c>
      <c r="Q287" s="842">
        <f>SUMIFS(Fleet!F:F,Fleet!$B:$B,$B287)</f>
        <v/>
      </c>
      <c r="R287" s="842">
        <f>SUMIFS(Fleet!G:G,Fleet!$B:$B,$B287)</f>
        <v/>
      </c>
      <c r="S287" s="842">
        <f>SUMIFS(Fleet!H:H,Fleet!$B:$B,$B287)</f>
        <v/>
      </c>
      <c r="T287" s="842">
        <f>SUMIFS(Fleet!I:I,Fleet!$B:$B,$B287)</f>
        <v/>
      </c>
      <c r="U287" s="842">
        <f>SUMIFS(Fleet!J:J,Fleet!$B:$B,$B287)</f>
        <v/>
      </c>
      <c r="V287" s="842">
        <f>SUMIFS(Fleet!K:K,Fleet!$B:$B,$B287)</f>
        <v/>
      </c>
      <c r="W287" s="842">
        <f>SUMIFS(Fleet!L:L,Fleet!$B:$B,$B287)</f>
        <v/>
      </c>
      <c r="X287" s="842">
        <f>SUMIFS(Fleet!M:M,Fleet!$B:$B,$B287)</f>
        <v/>
      </c>
      <c r="Y287" s="842">
        <f>SUMIFS(Fleet!N:N,Fleet!$B:$B,$B287)</f>
        <v/>
      </c>
      <c r="Z287" s="842">
        <f>SUMIFS(Fleet!O:O,Fleet!$B:$B,$B287)</f>
        <v/>
      </c>
      <c r="AA287" s="842">
        <f>SUMIFS(Fleet!P:P,Fleet!$B:$B,$B287)</f>
        <v/>
      </c>
      <c r="AB287" s="842">
        <f>SUMIFS(Fleet!Q:Q,Fleet!$B:$B,$B287)</f>
        <v/>
      </c>
      <c r="AC287" s="842">
        <f>SUMIFS(Fleet!R:R,Fleet!$B:$B,$B287)</f>
        <v/>
      </c>
      <c r="AD287" s="842">
        <f>SUMIFS(Fleet!S:S,Fleet!$B:$B,$B287)</f>
        <v/>
      </c>
      <c r="AE287" s="842">
        <f>SUMIFS(Fleet!T:T,Fleet!$B:$B,$B287)</f>
        <v/>
      </c>
      <c r="AF287" s="842">
        <f>SUMIFS(Fleet!U:U,Fleet!$B:$B,$B287)</f>
        <v/>
      </c>
      <c r="AG287" s="842">
        <f>SUMIFS(Fleet!V:V,Fleet!$B:$B,$B287)</f>
        <v/>
      </c>
      <c r="AH287" s="842">
        <f>SUMIFS(Fleet!W:W,Fleet!$B:$B,$B287)</f>
        <v/>
      </c>
      <c r="AI287" s="842">
        <f>SUMIFS(Fleet!X:X,Fleet!$B:$B,$B287)</f>
        <v/>
      </c>
      <c r="AJ287" s="842">
        <f>SUMIFS(Fleet!Y:Y,Fleet!$B:$B,$B287)</f>
        <v/>
      </c>
      <c r="AK287" s="842">
        <f>SUMIFS(Fleet!Z:Z,Fleet!$B:$B,$B287)</f>
        <v/>
      </c>
      <c r="AL287" s="842">
        <f>SUMIFS(Fleet!AA:AA,Fleet!$B:$B,$B287)</f>
        <v/>
      </c>
      <c r="AM287" s="842">
        <f>SUMIFS(Fleet!AB:AB,Fleet!$B:$B,$B287)</f>
        <v/>
      </c>
      <c r="AN287" s="842">
        <f>SUMIFS(Fleet!AC:AC,Fleet!$B:$B,$B287)</f>
        <v/>
      </c>
      <c r="AO287" s="842" t="n"/>
      <c r="AP287" s="266" t="n"/>
      <c r="AQ287" s="266" t="n"/>
      <c r="AR287" s="266" t="n"/>
      <c r="AS287" s="266" t="n"/>
      <c r="AT287" s="266" t="n"/>
      <c r="AU287" s="962" t="n"/>
      <c r="ES287" s="320" t="n"/>
      <c r="EW287" s="320" t="n"/>
      <c r="FA287" s="320" t="n"/>
      <c r="FE287" s="320" t="n"/>
      <c r="FN287" s="965" t="n"/>
    </row>
    <row r="288">
      <c r="B288" s="961" t="inlineStr">
        <is>
          <t>777-9</t>
        </is>
      </c>
      <c r="C288" s="237" t="n"/>
      <c r="D288" s="237" t="n"/>
      <c r="E288" s="237" t="n"/>
      <c r="F288" s="237" t="n"/>
      <c r="G288" s="237" t="n"/>
      <c r="H288" s="237" t="n"/>
      <c r="I288" s="237" t="n"/>
      <c r="J288" s="237" t="n"/>
      <c r="K288" s="237" t="n"/>
      <c r="L288" s="237" t="n"/>
      <c r="M288" s="237" t="n"/>
      <c r="N288" s="842">
        <f>SUMIFS(Fleet!C:C,Fleet!$B:$B,$B288)</f>
        <v/>
      </c>
      <c r="O288" s="842">
        <f>SUMIFS(Fleet!D:D,Fleet!$B:$B,$B288)</f>
        <v/>
      </c>
      <c r="P288" s="842">
        <f>SUMIFS(Fleet!E:E,Fleet!$B:$B,$B288)</f>
        <v/>
      </c>
      <c r="Q288" s="842">
        <f>SUMIFS(Fleet!F:F,Fleet!$B:$B,$B288)</f>
        <v/>
      </c>
      <c r="R288" s="842">
        <f>SUMIFS(Fleet!G:G,Fleet!$B:$B,$B288)</f>
        <v/>
      </c>
      <c r="S288" s="842">
        <f>SUMIFS(Fleet!H:H,Fleet!$B:$B,$B288)</f>
        <v/>
      </c>
      <c r="T288" s="842">
        <f>SUMIFS(Fleet!I:I,Fleet!$B:$B,$B288)</f>
        <v/>
      </c>
      <c r="U288" s="842">
        <f>SUMIFS(Fleet!J:J,Fleet!$B:$B,$B288)</f>
        <v/>
      </c>
      <c r="V288" s="842">
        <f>SUMIFS(Fleet!K:K,Fleet!$B:$B,$B288)</f>
        <v/>
      </c>
      <c r="W288" s="842">
        <f>SUMIFS(Fleet!L:L,Fleet!$B:$B,$B288)</f>
        <v/>
      </c>
      <c r="X288" s="842">
        <f>SUMIFS(Fleet!M:M,Fleet!$B:$B,$B288)</f>
        <v/>
      </c>
      <c r="Y288" s="842">
        <f>SUMIFS(Fleet!N:N,Fleet!$B:$B,$B288)</f>
        <v/>
      </c>
      <c r="Z288" s="842">
        <f>SUMIFS(Fleet!O:O,Fleet!$B:$B,$B288)</f>
        <v/>
      </c>
      <c r="AA288" s="842">
        <f>SUMIFS(Fleet!P:P,Fleet!$B:$B,$B288)</f>
        <v/>
      </c>
      <c r="AB288" s="842">
        <f>SUMIFS(Fleet!Q:Q,Fleet!$B:$B,$B288)</f>
        <v/>
      </c>
      <c r="AC288" s="842">
        <f>SUMIFS(Fleet!R:R,Fleet!$B:$B,$B288)</f>
        <v/>
      </c>
      <c r="AD288" s="842">
        <f>SUMIFS(Fleet!S:S,Fleet!$B:$B,$B288)</f>
        <v/>
      </c>
      <c r="AE288" s="842">
        <f>SUMIFS(Fleet!T:T,Fleet!$B:$B,$B288)</f>
        <v/>
      </c>
      <c r="AF288" s="842">
        <f>SUMIFS(Fleet!U:U,Fleet!$B:$B,$B288)</f>
        <v/>
      </c>
      <c r="AG288" s="842">
        <f>SUMIFS(Fleet!V:V,Fleet!$B:$B,$B288)</f>
        <v/>
      </c>
      <c r="AH288" s="842">
        <f>SUMIFS(Fleet!W:W,Fleet!$B:$B,$B288)</f>
        <v/>
      </c>
      <c r="AI288" s="842">
        <f>SUMIFS(Fleet!X:X,Fleet!$B:$B,$B288)</f>
        <v/>
      </c>
      <c r="AJ288" s="842">
        <f>SUMIFS(Fleet!Y:Y,Fleet!$B:$B,$B288)</f>
        <v/>
      </c>
      <c r="AK288" s="842">
        <f>SUMIFS(Fleet!Z:Z,Fleet!$B:$B,$B288)</f>
        <v/>
      </c>
      <c r="AL288" s="842">
        <f>SUMIFS(Fleet!AA:AA,Fleet!$B:$B,$B288)</f>
        <v/>
      </c>
      <c r="AM288" s="842">
        <f>SUMIFS(Fleet!AB:AB,Fleet!$B:$B,$B288)</f>
        <v/>
      </c>
      <c r="AN288" s="842">
        <f>SUMIFS(Fleet!AC:AC,Fleet!$B:$B,$B288)</f>
        <v/>
      </c>
      <c r="AO288" s="842" t="n"/>
      <c r="AP288" s="266" t="n"/>
      <c r="AQ288" s="266" t="n"/>
      <c r="AR288" s="266" t="n"/>
      <c r="AS288" s="266" t="n"/>
      <c r="AT288" s="266" t="n"/>
      <c r="AU288" s="962" t="n"/>
      <c r="ES288" s="320" t="n"/>
      <c r="EW288" s="320" t="n"/>
      <c r="FA288" s="320" t="n"/>
      <c r="FE288" s="320" t="n"/>
      <c r="FN288" s="965" t="n"/>
    </row>
    <row r="289">
      <c r="B289" s="961" t="inlineStr">
        <is>
          <t>A300F/B727F</t>
        </is>
      </c>
      <c r="C289" s="237" t="n"/>
      <c r="D289" s="237" t="n"/>
      <c r="E289" s="237" t="n"/>
      <c r="F289" s="237" t="n"/>
      <c r="G289" s="237" t="n"/>
      <c r="H289" s="237" t="n"/>
      <c r="I289" s="237" t="n"/>
      <c r="J289" s="237" t="n"/>
      <c r="K289" s="237" t="n"/>
      <c r="L289" s="237" t="n"/>
      <c r="M289" s="237" t="n"/>
      <c r="N289" s="842">
        <f>SUMIFS(Fleet!C:C,Fleet!$B:$B,$B289)</f>
        <v/>
      </c>
      <c r="O289" s="842">
        <f>SUMIFS(Fleet!D:D,Fleet!$B:$B,$B289)</f>
        <v/>
      </c>
      <c r="P289" s="842">
        <f>SUMIFS(Fleet!E:E,Fleet!$B:$B,$B289)</f>
        <v/>
      </c>
      <c r="Q289" s="842">
        <f>SUMIFS(Fleet!F:F,Fleet!$B:$B,$B289)</f>
        <v/>
      </c>
      <c r="R289" s="842">
        <f>SUMIFS(Fleet!G:G,Fleet!$B:$B,$B289)</f>
        <v/>
      </c>
      <c r="S289" s="842">
        <f>SUMIFS(Fleet!H:H,Fleet!$B:$B,$B289)</f>
        <v/>
      </c>
      <c r="T289" s="842">
        <f>SUMIFS(Fleet!I:I,Fleet!$B:$B,$B289)</f>
        <v/>
      </c>
      <c r="U289" s="842">
        <f>SUMIFS(Fleet!J:J,Fleet!$B:$B,$B289)</f>
        <v/>
      </c>
      <c r="V289" s="842">
        <f>SUMIFS(Fleet!K:K,Fleet!$B:$B,$B289)</f>
        <v/>
      </c>
      <c r="W289" s="842">
        <f>SUMIFS(Fleet!L:L,Fleet!$B:$B,$B289)</f>
        <v/>
      </c>
      <c r="X289" s="842">
        <f>SUMIFS(Fleet!M:M,Fleet!$B:$B,$B289)</f>
        <v/>
      </c>
      <c r="Y289" s="842">
        <f>SUMIFS(Fleet!N:N,Fleet!$B:$B,$B289)</f>
        <v/>
      </c>
      <c r="Z289" s="842">
        <f>SUMIFS(Fleet!O:O,Fleet!$B:$B,$B289)</f>
        <v/>
      </c>
      <c r="AA289" s="842">
        <f>SUMIFS(Fleet!P:P,Fleet!$B:$B,$B289)</f>
        <v/>
      </c>
      <c r="AB289" s="842">
        <f>SUMIFS(Fleet!Q:Q,Fleet!$B:$B,$B289)</f>
        <v/>
      </c>
      <c r="AC289" s="842">
        <f>SUMIFS(Fleet!R:R,Fleet!$B:$B,$B289)</f>
        <v/>
      </c>
      <c r="AD289" s="842">
        <f>SUMIFS(Fleet!S:S,Fleet!$B:$B,$B289)</f>
        <v/>
      </c>
      <c r="AE289" s="842">
        <f>SUMIFS(Fleet!T:T,Fleet!$B:$B,$B289)</f>
        <v/>
      </c>
      <c r="AF289" s="842">
        <f>SUMIFS(Fleet!U:U,Fleet!$B:$B,$B289)</f>
        <v/>
      </c>
      <c r="AG289" s="842">
        <f>SUMIFS(Fleet!V:V,Fleet!$B:$B,$B289)</f>
        <v/>
      </c>
      <c r="AH289" s="842">
        <f>SUMIFS(Fleet!W:W,Fleet!$B:$B,$B289)</f>
        <v/>
      </c>
      <c r="AI289" s="842">
        <f>SUMIFS(Fleet!X:X,Fleet!$B:$B,$B289)</f>
        <v/>
      </c>
      <c r="AJ289" s="842">
        <f>SUMIFS(Fleet!Y:Y,Fleet!$B:$B,$B289)</f>
        <v/>
      </c>
      <c r="AK289" s="842">
        <f>SUMIFS(Fleet!Z:Z,Fleet!$B:$B,$B289)</f>
        <v/>
      </c>
      <c r="AL289" s="842">
        <f>SUMIFS(Fleet!AA:AA,Fleet!$B:$B,$B289)</f>
        <v/>
      </c>
      <c r="AM289" s="842">
        <f>SUMIFS(Fleet!AB:AB,Fleet!$B:$B,$B289)</f>
        <v/>
      </c>
      <c r="AN289" s="842">
        <f>SUMIFS(Fleet!AC:AC,Fleet!$B:$B,$B289)</f>
        <v/>
      </c>
      <c r="AO289" s="842" t="n"/>
      <c r="AP289" s="266" t="n"/>
      <c r="AQ289" s="266" t="n"/>
      <c r="AR289" s="266" t="n"/>
      <c r="AS289" s="266" t="n"/>
      <c r="AT289" s="266" t="n"/>
      <c r="AU289" s="962" t="n"/>
      <c r="ES289" s="320" t="n"/>
      <c r="EW289" s="320" t="n"/>
      <c r="FA289" s="320" t="n"/>
      <c r="FE289" s="320" t="n"/>
      <c r="FN289" s="965" t="n"/>
    </row>
    <row r="290">
      <c r="B290" s="961" t="inlineStr">
        <is>
          <t>A300-600F</t>
        </is>
      </c>
      <c r="C290" s="237" t="n"/>
      <c r="D290" s="237" t="n"/>
      <c r="E290" s="237" t="n"/>
      <c r="F290" s="237" t="n"/>
      <c r="G290" s="237" t="n"/>
      <c r="H290" s="237" t="n"/>
      <c r="I290" s="237" t="n"/>
      <c r="J290" s="237" t="n"/>
      <c r="K290" s="237" t="n"/>
      <c r="L290" s="237" t="n"/>
      <c r="M290" s="237" t="n"/>
      <c r="N290" s="842">
        <f>SUMIFS(Fleet!C:C,Fleet!$B:$B,$B290)</f>
        <v/>
      </c>
      <c r="O290" s="842">
        <f>SUMIFS(Fleet!D:D,Fleet!$B:$B,$B290)</f>
        <v/>
      </c>
      <c r="P290" s="842">
        <f>SUMIFS(Fleet!E:E,Fleet!$B:$B,$B290)</f>
        <v/>
      </c>
      <c r="Q290" s="842">
        <f>SUMIFS(Fleet!F:F,Fleet!$B:$B,$B290)</f>
        <v/>
      </c>
      <c r="R290" s="842">
        <f>SUMIFS(Fleet!G:G,Fleet!$B:$B,$B290)</f>
        <v/>
      </c>
      <c r="S290" s="842">
        <f>SUMIFS(Fleet!H:H,Fleet!$B:$B,$B290)</f>
        <v/>
      </c>
      <c r="T290" s="842">
        <f>SUMIFS(Fleet!I:I,Fleet!$B:$B,$B290)</f>
        <v/>
      </c>
      <c r="U290" s="842">
        <f>SUMIFS(Fleet!J:J,Fleet!$B:$B,$B290)</f>
        <v/>
      </c>
      <c r="V290" s="842">
        <f>SUMIFS(Fleet!K:K,Fleet!$B:$B,$B290)</f>
        <v/>
      </c>
      <c r="W290" s="842">
        <f>SUMIFS(Fleet!L:L,Fleet!$B:$B,$B290)</f>
        <v/>
      </c>
      <c r="X290" s="842">
        <f>SUMIFS(Fleet!M:M,Fleet!$B:$B,$B290)</f>
        <v/>
      </c>
      <c r="Y290" s="842">
        <f>SUMIFS(Fleet!N:N,Fleet!$B:$B,$B290)</f>
        <v/>
      </c>
      <c r="Z290" s="842">
        <f>SUMIFS(Fleet!O:O,Fleet!$B:$B,$B290)</f>
        <v/>
      </c>
      <c r="AA290" s="842">
        <f>SUMIFS(Fleet!P:P,Fleet!$B:$B,$B290)</f>
        <v/>
      </c>
      <c r="AB290" s="842">
        <f>SUMIFS(Fleet!Q:Q,Fleet!$B:$B,$B290)</f>
        <v/>
      </c>
      <c r="AC290" s="842">
        <f>SUMIFS(Fleet!R:R,Fleet!$B:$B,$B290)</f>
        <v/>
      </c>
      <c r="AD290" s="842">
        <f>SUMIFS(Fleet!S:S,Fleet!$B:$B,$B290)</f>
        <v/>
      </c>
      <c r="AE290" s="842">
        <f>SUMIFS(Fleet!T:T,Fleet!$B:$B,$B290)</f>
        <v/>
      </c>
      <c r="AF290" s="842">
        <f>SUMIFS(Fleet!U:U,Fleet!$B:$B,$B290)</f>
        <v/>
      </c>
      <c r="AG290" s="842">
        <f>SUMIFS(Fleet!V:V,Fleet!$B:$B,$B290)</f>
        <v/>
      </c>
      <c r="AH290" s="842">
        <f>SUMIFS(Fleet!W:W,Fleet!$B:$B,$B290)</f>
        <v/>
      </c>
      <c r="AI290" s="842">
        <f>SUMIFS(Fleet!X:X,Fleet!$B:$B,$B290)</f>
        <v/>
      </c>
      <c r="AJ290" s="842">
        <f>SUMIFS(Fleet!Y:Y,Fleet!$B:$B,$B290)</f>
        <v/>
      </c>
      <c r="AK290" s="842">
        <f>SUMIFS(Fleet!Z:Z,Fleet!$B:$B,$B290)</f>
        <v/>
      </c>
      <c r="AL290" s="842">
        <f>SUMIFS(Fleet!AA:AA,Fleet!$B:$B,$B290)</f>
        <v/>
      </c>
      <c r="AM290" s="842">
        <f>SUMIFS(Fleet!AB:AB,Fleet!$B:$B,$B290)</f>
        <v/>
      </c>
      <c r="AN290" s="842">
        <f>SUMIFS(Fleet!AC:AC,Fleet!$B:$B,$B290)</f>
        <v/>
      </c>
      <c r="AO290" s="842" t="n"/>
      <c r="AP290" s="266" t="n"/>
      <c r="AQ290" s="266" t="n"/>
      <c r="AR290" s="266" t="n"/>
      <c r="AS290" s="266" t="n"/>
      <c r="AT290" s="266" t="n"/>
      <c r="AU290" s="962" t="n"/>
      <c r="ES290" s="320" t="n"/>
      <c r="EW290" s="320" t="n"/>
      <c r="FA290" s="320" t="n"/>
      <c r="FE290" s="320" t="n"/>
      <c r="FN290" s="965" t="n"/>
    </row>
    <row r="291">
      <c r="B291" s="961" t="inlineStr">
        <is>
          <t>A330-243F</t>
        </is>
      </c>
      <c r="C291" s="237" t="n"/>
      <c r="D291" s="237" t="n"/>
      <c r="E291" s="237" t="n"/>
      <c r="F291" s="237" t="n"/>
      <c r="G291" s="237" t="n"/>
      <c r="H291" s="237" t="n"/>
      <c r="I291" s="237" t="n"/>
      <c r="J291" s="237" t="n"/>
      <c r="K291" s="237" t="n"/>
      <c r="L291" s="237" t="n"/>
      <c r="M291" s="237" t="n"/>
      <c r="N291" s="842">
        <f>SUMIFS(Fleet!C:C,Fleet!$B:$B,$B291)</f>
        <v/>
      </c>
      <c r="O291" s="842">
        <f>SUMIFS(Fleet!D:D,Fleet!$B:$B,$B291)</f>
        <v/>
      </c>
      <c r="P291" s="842">
        <f>SUMIFS(Fleet!E:E,Fleet!$B:$B,$B291)</f>
        <v/>
      </c>
      <c r="Q291" s="842">
        <f>SUMIFS(Fleet!F:F,Fleet!$B:$B,$B291)</f>
        <v/>
      </c>
      <c r="R291" s="842">
        <f>SUMIFS(Fleet!G:G,Fleet!$B:$B,$B291)</f>
        <v/>
      </c>
      <c r="S291" s="842">
        <f>SUMIFS(Fleet!H:H,Fleet!$B:$B,$B291)</f>
        <v/>
      </c>
      <c r="T291" s="842">
        <f>SUMIFS(Fleet!I:I,Fleet!$B:$B,$B291)</f>
        <v/>
      </c>
      <c r="U291" s="842">
        <f>SUMIFS(Fleet!J:J,Fleet!$B:$B,$B291)</f>
        <v/>
      </c>
      <c r="V291" s="842">
        <f>SUMIFS(Fleet!K:K,Fleet!$B:$B,$B291)</f>
        <v/>
      </c>
      <c r="W291" s="842">
        <f>SUMIFS(Fleet!L:L,Fleet!$B:$B,$B291)</f>
        <v/>
      </c>
      <c r="X291" s="842">
        <f>SUMIFS(Fleet!M:M,Fleet!$B:$B,$B291)</f>
        <v/>
      </c>
      <c r="Y291" s="842">
        <f>SUMIFS(Fleet!N:N,Fleet!$B:$B,$B291)</f>
        <v/>
      </c>
      <c r="Z291" s="842">
        <f>SUMIFS(Fleet!O:O,Fleet!$B:$B,$B291)</f>
        <v/>
      </c>
      <c r="AA291" s="842">
        <f>SUMIFS(Fleet!P:P,Fleet!$B:$B,$B291)</f>
        <v/>
      </c>
      <c r="AB291" s="842">
        <f>SUMIFS(Fleet!Q:Q,Fleet!$B:$B,$B291)</f>
        <v/>
      </c>
      <c r="AC291" s="842">
        <f>SUMIFS(Fleet!R:R,Fleet!$B:$B,$B291)</f>
        <v/>
      </c>
      <c r="AD291" s="842">
        <f>SUMIFS(Fleet!S:S,Fleet!$B:$B,$B291)</f>
        <v/>
      </c>
      <c r="AE291" s="842">
        <f>SUMIFS(Fleet!T:T,Fleet!$B:$B,$B291)</f>
        <v/>
      </c>
      <c r="AF291" s="842">
        <f>SUMIFS(Fleet!U:U,Fleet!$B:$B,$B291)</f>
        <v/>
      </c>
      <c r="AG291" s="842">
        <f>SUMIFS(Fleet!V:V,Fleet!$B:$B,$B291)</f>
        <v/>
      </c>
      <c r="AH291" s="842">
        <f>SUMIFS(Fleet!W:W,Fleet!$B:$B,$B291)</f>
        <v/>
      </c>
      <c r="AI291" s="842">
        <f>SUMIFS(Fleet!X:X,Fleet!$B:$B,$B291)</f>
        <v/>
      </c>
      <c r="AJ291" s="842">
        <f>SUMIFS(Fleet!Y:Y,Fleet!$B:$B,$B291)</f>
        <v/>
      </c>
      <c r="AK291" s="842">
        <f>SUMIFS(Fleet!Z:Z,Fleet!$B:$B,$B291)</f>
        <v/>
      </c>
      <c r="AL291" s="842">
        <f>SUMIFS(Fleet!AA:AA,Fleet!$B:$B,$B291)</f>
        <v/>
      </c>
      <c r="AM291" s="842">
        <f>SUMIFS(Fleet!AB:AB,Fleet!$B:$B,$B291)</f>
        <v/>
      </c>
      <c r="AN291" s="842">
        <f>SUMIFS(Fleet!AC:AC,Fleet!$B:$B,$B291)</f>
        <v/>
      </c>
      <c r="AO291" s="842" t="n"/>
      <c r="AP291" s="266" t="n"/>
      <c r="AQ291" s="266" t="n"/>
      <c r="AR291" s="266" t="n"/>
      <c r="AS291" s="266" t="n"/>
      <c r="AT291" s="266" t="n"/>
      <c r="AU291" s="962" t="n"/>
      <c r="ES291" s="320" t="n"/>
      <c r="EW291" s="320" t="n"/>
      <c r="FA291" s="320" t="n"/>
      <c r="FE291" s="320" t="n"/>
      <c r="FN291" s="965" t="n"/>
    </row>
    <row r="292">
      <c r="B292" s="961" t="inlineStr">
        <is>
          <t>A330-300P2F</t>
        </is>
      </c>
      <c r="C292" s="237" t="n"/>
      <c r="D292" s="237" t="n"/>
      <c r="E292" s="237" t="n"/>
      <c r="F292" s="237" t="n"/>
      <c r="G292" s="237" t="n"/>
      <c r="H292" s="237" t="n"/>
      <c r="I292" s="237" t="n"/>
      <c r="J292" s="237" t="n"/>
      <c r="K292" s="237" t="n"/>
      <c r="L292" s="237" t="n"/>
      <c r="M292" s="237" t="n"/>
      <c r="N292" s="842">
        <f>SUMIFS(Fleet!C:C,Fleet!$B:$B,$B292)</f>
        <v/>
      </c>
      <c r="O292" s="842">
        <f>SUMIFS(Fleet!D:D,Fleet!$B:$B,$B292)</f>
        <v/>
      </c>
      <c r="P292" s="842">
        <f>SUMIFS(Fleet!E:E,Fleet!$B:$B,$B292)</f>
        <v/>
      </c>
      <c r="Q292" s="842">
        <f>SUMIFS(Fleet!F:F,Fleet!$B:$B,$B292)</f>
        <v/>
      </c>
      <c r="R292" s="842">
        <f>SUMIFS(Fleet!G:G,Fleet!$B:$B,$B292)</f>
        <v/>
      </c>
      <c r="S292" s="842">
        <f>SUMIFS(Fleet!H:H,Fleet!$B:$B,$B292)</f>
        <v/>
      </c>
      <c r="T292" s="842">
        <f>SUMIFS(Fleet!I:I,Fleet!$B:$B,$B292)</f>
        <v/>
      </c>
      <c r="U292" s="842">
        <f>SUMIFS(Fleet!J:J,Fleet!$B:$B,$B292)</f>
        <v/>
      </c>
      <c r="V292" s="842">
        <f>SUMIFS(Fleet!K:K,Fleet!$B:$B,$B292)</f>
        <v/>
      </c>
      <c r="W292" s="842">
        <f>SUMIFS(Fleet!L:L,Fleet!$B:$B,$B292)</f>
        <v/>
      </c>
      <c r="X292" s="842">
        <f>SUMIFS(Fleet!M:M,Fleet!$B:$B,$B292)</f>
        <v/>
      </c>
      <c r="Y292" s="842">
        <f>SUMIFS(Fleet!N:N,Fleet!$B:$B,$B292)</f>
        <v/>
      </c>
      <c r="Z292" s="842">
        <f>SUMIFS(Fleet!O:O,Fleet!$B:$B,$B292)</f>
        <v/>
      </c>
      <c r="AA292" s="842">
        <f>SUMIFS(Fleet!P:P,Fleet!$B:$B,$B292)</f>
        <v/>
      </c>
      <c r="AB292" s="842">
        <f>SUMIFS(Fleet!Q:Q,Fleet!$B:$B,$B292)</f>
        <v/>
      </c>
      <c r="AC292" s="842">
        <f>SUMIFS(Fleet!R:R,Fleet!$B:$B,$B292)</f>
        <v/>
      </c>
      <c r="AD292" s="842">
        <f>SUMIFS(Fleet!S:S,Fleet!$B:$B,$B292)</f>
        <v/>
      </c>
      <c r="AE292" s="842">
        <f>SUMIFS(Fleet!T:T,Fleet!$B:$B,$B292)</f>
        <v/>
      </c>
      <c r="AF292" s="842">
        <f>SUMIFS(Fleet!U:U,Fleet!$B:$B,$B292)</f>
        <v/>
      </c>
      <c r="AG292" s="842">
        <f>SUMIFS(Fleet!V:V,Fleet!$B:$B,$B292)</f>
        <v/>
      </c>
      <c r="AH292" s="842">
        <f>SUMIFS(Fleet!W:W,Fleet!$B:$B,$B292)</f>
        <v/>
      </c>
      <c r="AI292" s="842">
        <f>SUMIFS(Fleet!X:X,Fleet!$B:$B,$B292)</f>
        <v/>
      </c>
      <c r="AJ292" s="842">
        <f>SUMIFS(Fleet!Y:Y,Fleet!$B:$B,$B292)</f>
        <v/>
      </c>
      <c r="AK292" s="842">
        <f>SUMIFS(Fleet!Z:Z,Fleet!$B:$B,$B292)</f>
        <v/>
      </c>
      <c r="AL292" s="842">
        <f>SUMIFS(Fleet!AA:AA,Fleet!$B:$B,$B292)</f>
        <v/>
      </c>
      <c r="AM292" s="842">
        <f>SUMIFS(Fleet!AB:AB,Fleet!$B:$B,$B292)</f>
        <v/>
      </c>
      <c r="AN292" s="842">
        <f>SUMIFS(Fleet!AC:AC,Fleet!$B:$B,$B292)</f>
        <v/>
      </c>
      <c r="AO292" s="842" t="n"/>
      <c r="AP292" s="266" t="n"/>
      <c r="AQ292" s="266" t="n"/>
      <c r="AR292" s="266" t="n"/>
      <c r="AS292" s="266" t="n"/>
      <c r="AT292" s="266" t="n"/>
      <c r="AU292" s="962" t="n"/>
      <c r="ES292" s="320" t="n"/>
      <c r="EW292" s="320" t="n"/>
      <c r="FA292" s="320" t="n"/>
      <c r="FE292" s="320" t="n"/>
      <c r="FN292" s="965" t="n"/>
    </row>
    <row r="293" customFormat="1" s="1266">
      <c r="A293" s="1157" t="n"/>
      <c r="B293" s="1266" t="inlineStr">
        <is>
          <t>Total</t>
        </is>
      </c>
      <c r="C293" s="526" t="n"/>
      <c r="D293" s="526" t="n"/>
      <c r="E293" s="526" t="n"/>
      <c r="F293" s="526" t="n"/>
      <c r="G293" s="526" t="n"/>
      <c r="H293" s="526" t="n"/>
      <c r="I293" s="526" t="n"/>
      <c r="J293" s="526" t="n"/>
      <c r="K293" s="526" t="n"/>
      <c r="L293" s="526" t="n"/>
      <c r="M293" s="526" t="n"/>
      <c r="N293" s="527">
        <f>SUM(N260:N292)</f>
        <v/>
      </c>
      <c r="O293" s="527">
        <f>SUM(O260:O292)</f>
        <v/>
      </c>
      <c r="P293" s="527">
        <f>SUM(P260:P292)</f>
        <v/>
      </c>
      <c r="Q293" s="527">
        <f>SUM(Q260:Q292)</f>
        <v/>
      </c>
      <c r="R293" s="527">
        <f>SUM(R260:R292)</f>
        <v/>
      </c>
      <c r="S293" s="527">
        <f>SUM(S260:S292)</f>
        <v/>
      </c>
      <c r="T293" s="527">
        <f>SUM(T260:T292)</f>
        <v/>
      </c>
      <c r="U293" s="527">
        <f>SUM(U260:U292)</f>
        <v/>
      </c>
      <c r="V293" s="527">
        <f>SUM(V260:V292)</f>
        <v/>
      </c>
      <c r="W293" s="527">
        <f>SUM(W260:W292)</f>
        <v/>
      </c>
      <c r="X293" s="527">
        <f>SUM(X260:X292)</f>
        <v/>
      </c>
      <c r="Y293" s="527">
        <f>SUM(Y260:Y292)</f>
        <v/>
      </c>
      <c r="Z293" s="527">
        <f>SUM(Z260:Z292)</f>
        <v/>
      </c>
      <c r="AA293" s="527">
        <f>SUM(AA260:AA292)</f>
        <v/>
      </c>
      <c r="AB293" s="527">
        <f>SUM(AB260:AB292)</f>
        <v/>
      </c>
      <c r="AC293" s="527">
        <f>SUM(AC260:AC292)</f>
        <v/>
      </c>
      <c r="AD293" s="527">
        <f>SUM(AD260:AD292)</f>
        <v/>
      </c>
      <c r="AE293" s="527">
        <f>SUM(AE260:AE292)</f>
        <v/>
      </c>
      <c r="AF293" s="527">
        <f>SUM(AF260:AF292)</f>
        <v/>
      </c>
      <c r="AG293" s="527">
        <f>SUM(AG260:AG292)</f>
        <v/>
      </c>
      <c r="AH293" s="527">
        <f>SUM(AH260:AH292)</f>
        <v/>
      </c>
      <c r="AI293" s="527">
        <f>SUM(AI260:AI292)</f>
        <v/>
      </c>
      <c r="AJ293" s="527">
        <f>SUM(AJ260:AJ292)</f>
        <v/>
      </c>
      <c r="AK293" s="527">
        <f>SUM(AK260:AK292)</f>
        <v/>
      </c>
      <c r="AL293" s="527">
        <f>SUM(AL260:AL292)</f>
        <v/>
      </c>
      <c r="AM293" s="527">
        <f>SUM(AM260:AM292)</f>
        <v/>
      </c>
      <c r="AN293" s="527">
        <f>SUM(AN260:AN292)</f>
        <v/>
      </c>
      <c r="AO293" s="527" t="n"/>
      <c r="AP293" s="527" t="n"/>
      <c r="AQ293" s="527" t="n"/>
      <c r="AR293" s="527" t="n"/>
      <c r="AS293" s="527" t="n"/>
      <c r="AT293" s="527" t="n"/>
      <c r="AU293" s="1277" t="n"/>
      <c r="AV293" s="1278" t="n"/>
      <c r="AW293" s="1278" t="n"/>
      <c r="AX293" s="1279" t="n"/>
      <c r="AY293" s="1278" t="n"/>
      <c r="AZ293" s="1278" t="n"/>
      <c r="BA293" s="1278" t="n"/>
      <c r="BB293" s="1279" t="n"/>
      <c r="BD293" s="1278" t="n"/>
      <c r="BE293" s="1278" t="n"/>
      <c r="BF293" s="1279" t="n"/>
      <c r="BQ293" s="1278" t="n"/>
      <c r="ES293" s="320" t="n"/>
      <c r="ET293" s="1280" t="n"/>
      <c r="EW293" s="320" t="n"/>
      <c r="EX293" s="1280" t="n"/>
      <c r="FA293" s="320" t="n"/>
      <c r="FB293" s="1280" t="n"/>
      <c r="FE293" s="320" t="n"/>
      <c r="FF293" s="1280" t="n"/>
      <c r="FI293" s="1281" t="n"/>
      <c r="FJ293" s="1280" t="n"/>
      <c r="FM293" s="1281" t="n"/>
      <c r="FN293" s="1280" t="n"/>
    </row>
    <row r="294">
      <c r="C294" s="237" t="n"/>
      <c r="D294" s="237" t="n"/>
      <c r="E294" s="237" t="n"/>
      <c r="F294" s="237" t="n"/>
      <c r="G294" s="237" t="n"/>
      <c r="H294" s="237" t="n"/>
      <c r="I294" s="237" t="n"/>
      <c r="J294" s="237" t="n"/>
      <c r="K294" s="237" t="n"/>
      <c r="L294" s="237" t="n"/>
      <c r="M294" s="237" t="n"/>
      <c r="N294" s="237" t="n"/>
      <c r="O294" s="237" t="n"/>
      <c r="P294" s="237" t="n"/>
      <c r="Q294" s="237" t="n"/>
      <c r="R294" s="237" t="n"/>
      <c r="S294" s="237" t="n"/>
      <c r="T294" s="237" t="n"/>
      <c r="U294" s="237" t="n"/>
      <c r="V294" s="237" t="n"/>
      <c r="W294" s="237" t="n"/>
      <c r="X294" s="237" t="n"/>
      <c r="Y294" s="237" t="n"/>
      <c r="Z294" s="237" t="n"/>
      <c r="AA294" s="237" t="n"/>
      <c r="AB294" s="237" t="n"/>
      <c r="AC294" s="237" t="n"/>
      <c r="AD294" s="237" t="n"/>
      <c r="AE294" s="237" t="n"/>
      <c r="AF294" s="237" t="n"/>
      <c r="AG294" s="237" t="n"/>
      <c r="AH294" s="237" t="n"/>
      <c r="AI294" s="237" t="n"/>
      <c r="AJ294" s="237" t="n"/>
      <c r="AK294" s="237" t="n"/>
      <c r="AL294" s="237" t="n"/>
      <c r="AM294" s="237" t="n"/>
      <c r="AN294" s="237" t="n"/>
      <c r="AO294" s="237" t="n"/>
      <c r="AP294" s="237" t="n"/>
      <c r="AQ294" s="237" t="n"/>
      <c r="AR294" s="237" t="n"/>
      <c r="AS294" s="237" t="n"/>
      <c r="AT294" s="237" t="n"/>
      <c r="AU294" s="962" t="n"/>
      <c r="ES294" s="320" t="n"/>
      <c r="EW294" s="320" t="n"/>
      <c r="FA294" s="320" t="n"/>
      <c r="FE294" s="320" t="n"/>
      <c r="FN294" s="965" t="n"/>
    </row>
    <row r="295">
      <c r="B295" s="961" t="inlineStr">
        <is>
          <t>Value of new equivalents (US$m)</t>
        </is>
      </c>
      <c r="C295" s="237" t="n"/>
      <c r="D295" s="237" t="n"/>
      <c r="E295" s="237" t="n"/>
      <c r="F295" s="237" t="n"/>
      <c r="G295" s="237" t="n"/>
      <c r="H295" s="237" t="n"/>
      <c r="I295" s="237" t="n"/>
      <c r="J295" s="237" t="n"/>
      <c r="K295" s="237" t="n"/>
      <c r="L295" s="237" t="n"/>
      <c r="M295" s="237" t="n"/>
      <c r="N295" s="237" t="n"/>
      <c r="O295" s="237" t="n"/>
      <c r="P295" s="237" t="n"/>
      <c r="Q295" s="237" t="n"/>
      <c r="R295" s="237" t="n"/>
      <c r="S295" s="237" t="n"/>
      <c r="T295" s="237" t="n"/>
      <c r="U295" s="237" t="n"/>
      <c r="V295" s="237" t="n"/>
      <c r="W295" s="237" t="n"/>
      <c r="X295" s="237" t="n"/>
      <c r="Y295" s="237" t="n"/>
      <c r="Z295" s="237" t="n"/>
      <c r="AA295" s="237" t="n"/>
      <c r="AB295" s="237" t="n"/>
      <c r="AC295" s="237" t="n"/>
      <c r="AD295" s="237" t="n"/>
      <c r="AE295" s="237" t="n"/>
      <c r="AF295" s="237" t="n"/>
      <c r="AG295" s="237" t="n"/>
      <c r="AH295" s="237" t="n"/>
      <c r="AI295" s="237" t="n"/>
      <c r="AJ295" s="237" t="n"/>
      <c r="AK295" s="237" t="n"/>
      <c r="AL295" s="237" t="n"/>
      <c r="AM295" s="237" t="n"/>
      <c r="AN295" s="237" t="n"/>
      <c r="AO295" s="237" t="n"/>
      <c r="AP295" s="962" t="n"/>
      <c r="AQ295" s="962" t="n"/>
      <c r="AR295" s="962" t="n"/>
      <c r="AS295" s="962" t="n"/>
      <c r="AT295" s="962" t="n"/>
      <c r="AU295" s="962" t="n"/>
      <c r="ES295" s="320" t="n"/>
      <c r="EW295" s="320" t="n"/>
      <c r="FA295" s="320" t="n"/>
      <c r="FE295" s="320" t="n"/>
      <c r="FN295" s="965" t="n"/>
    </row>
    <row r="296">
      <c r="B296" s="961" t="inlineStr">
        <is>
          <t>A320</t>
        </is>
      </c>
      <c r="C296" s="237" t="n"/>
      <c r="D296" s="237" t="n"/>
      <c r="E296" s="237" t="n"/>
      <c r="F296" s="237" t="n"/>
      <c r="G296" s="237" t="n"/>
      <c r="H296" s="237" t="n"/>
      <c r="I296" s="237" t="n"/>
      <c r="J296" s="237" t="n"/>
      <c r="K296" s="237" t="n"/>
      <c r="L296" s="237" t="n"/>
      <c r="M296" s="237" t="n"/>
      <c r="N296" s="194">
        <f>O296/1.02</f>
        <v/>
      </c>
      <c r="O296" s="194">
        <f>P296/1.02</f>
        <v/>
      </c>
      <c r="P296" s="194">
        <f>Q296/1.02</f>
        <v/>
      </c>
      <c r="Q296" s="194">
        <f>R296/1.02</f>
        <v/>
      </c>
      <c r="R296" s="194">
        <f>S296/1.02</f>
        <v/>
      </c>
      <c r="S296" s="194">
        <f>T296/1.02</f>
        <v/>
      </c>
      <c r="T296" s="194">
        <f>U296/1.02</f>
        <v/>
      </c>
      <c r="U296" s="194">
        <f>V296/1.02</f>
        <v/>
      </c>
      <c r="V296" s="194">
        <f>W296/1.02</f>
        <v/>
      </c>
      <c r="W296" s="194">
        <f>X296/1.02</f>
        <v/>
      </c>
      <c r="X296" s="194">
        <f>Y296/1.02</f>
        <v/>
      </c>
      <c r="Y296" s="194">
        <f>Z296/1.02</f>
        <v/>
      </c>
      <c r="Z296" s="194">
        <f>AA296/1.02</f>
        <v/>
      </c>
      <c r="AA296" s="194">
        <f>AB296/1.02</f>
        <v/>
      </c>
      <c r="AB296" s="194">
        <f>AC296/1.02</f>
        <v/>
      </c>
      <c r="AC296" s="194">
        <f>AD296/1.02</f>
        <v/>
      </c>
      <c r="AD296" s="194">
        <f>AE296/1.02</f>
        <v/>
      </c>
      <c r="AE296" s="194">
        <f>AF296/1.02</f>
        <v/>
      </c>
      <c r="AF296" s="194">
        <f>AG296/1.02</f>
        <v/>
      </c>
      <c r="AG296" s="194">
        <f>AH296/1.02</f>
        <v/>
      </c>
      <c r="AH296" s="194">
        <f>AI296/1.02</f>
        <v/>
      </c>
      <c r="AI296" s="194">
        <f>AJ296/1.02</f>
        <v/>
      </c>
      <c r="AJ296" s="194">
        <f>AK296/1.02</f>
        <v/>
      </c>
      <c r="AK296" s="1143" t="n">
        <v>47.25</v>
      </c>
      <c r="AL296" s="1143" t="n">
        <v>49.66</v>
      </c>
      <c r="AM296" s="1143" t="n">
        <v>49.66</v>
      </c>
      <c r="AN296" s="1143" t="n">
        <v>49.66</v>
      </c>
      <c r="AO296" s="1143" t="n">
        <v>57.22</v>
      </c>
      <c r="AP296" s="1143" t="n">
        <v>57.22</v>
      </c>
      <c r="AQ296" s="962">
        <f>AP296*1.02</f>
        <v/>
      </c>
      <c r="AR296" s="962">
        <f>AQ296*1.02</f>
        <v/>
      </c>
      <c r="AS296" s="962">
        <f>AR296*1.02</f>
        <v/>
      </c>
      <c r="AT296" s="962">
        <f>AS296*1.02</f>
        <v/>
      </c>
      <c r="AU296" s="962" t="n"/>
      <c r="ES296" s="320" t="n"/>
      <c r="EW296" s="320" t="n"/>
      <c r="FA296" s="320" t="n"/>
      <c r="FE296" s="320" t="n"/>
      <c r="FN296" s="965" t="n"/>
    </row>
    <row r="297">
      <c r="B297" s="961" t="inlineStr">
        <is>
          <t>A320-200</t>
        </is>
      </c>
      <c r="C297" s="237" t="n"/>
      <c r="D297" s="237" t="n"/>
      <c r="E297" s="237" t="n"/>
      <c r="F297" s="237" t="n"/>
      <c r="G297" s="237" t="n"/>
      <c r="H297" s="237" t="n"/>
      <c r="I297" s="237" t="n"/>
      <c r="J297" s="237" t="n"/>
      <c r="K297" s="237" t="n"/>
      <c r="L297" s="237" t="n"/>
      <c r="M297" s="237" t="n"/>
      <c r="N297" s="194">
        <f>O297/1.02</f>
        <v/>
      </c>
      <c r="O297" s="194">
        <f>P297/1.02</f>
        <v/>
      </c>
      <c r="P297" s="194">
        <f>Q297/1.02</f>
        <v/>
      </c>
      <c r="Q297" s="194">
        <f>R297/1.02</f>
        <v/>
      </c>
      <c r="R297" s="194">
        <f>S297/1.02</f>
        <v/>
      </c>
      <c r="S297" s="194">
        <f>T297/1.02</f>
        <v/>
      </c>
      <c r="T297" s="194">
        <f>U297/1.02</f>
        <v/>
      </c>
      <c r="U297" s="194">
        <f>V297/1.02</f>
        <v/>
      </c>
      <c r="V297" s="194">
        <f>W297/1.02</f>
        <v/>
      </c>
      <c r="W297" s="194">
        <f>X297/1.02</f>
        <v/>
      </c>
      <c r="X297" s="194">
        <f>Y297/1.02</f>
        <v/>
      </c>
      <c r="Y297" s="194">
        <f>Z297/1.02</f>
        <v/>
      </c>
      <c r="Z297" s="194">
        <f>AA297/1.02</f>
        <v/>
      </c>
      <c r="AA297" s="194">
        <f>AB297/1.02</f>
        <v/>
      </c>
      <c r="AB297" s="194">
        <f>AC297/1.02</f>
        <v/>
      </c>
      <c r="AC297" s="194">
        <f>AD297/1.02</f>
        <v/>
      </c>
      <c r="AD297" s="194">
        <f>AE297/1.02</f>
        <v/>
      </c>
      <c r="AE297" s="194">
        <f>AF297/1.02</f>
        <v/>
      </c>
      <c r="AF297" s="194">
        <f>AG297/1.02</f>
        <v/>
      </c>
      <c r="AG297" s="194">
        <f>AH297/1.02</f>
        <v/>
      </c>
      <c r="AH297" s="194">
        <f>AI297/1.02</f>
        <v/>
      </c>
      <c r="AI297" s="194">
        <f>AJ297/1.02</f>
        <v/>
      </c>
      <c r="AJ297" s="194">
        <f>AK297/1.02</f>
        <v/>
      </c>
      <c r="AK297" s="1143" t="n">
        <v>47.25</v>
      </c>
      <c r="AL297" s="1143" t="n">
        <v>49.66</v>
      </c>
      <c r="AM297" s="1143" t="n">
        <v>49.66</v>
      </c>
      <c r="AN297" s="1143" t="n">
        <v>49.66</v>
      </c>
      <c r="AO297" s="1143" t="n">
        <v>57.22</v>
      </c>
      <c r="AP297" s="1143" t="n">
        <v>57.22</v>
      </c>
      <c r="AQ297" s="962">
        <f>AP297*1.02</f>
        <v/>
      </c>
      <c r="AR297" s="962">
        <f>AQ297*1.02</f>
        <v/>
      </c>
      <c r="AS297" s="962">
        <f>AR297*1.02</f>
        <v/>
      </c>
      <c r="AT297" s="962">
        <f>AS297*1.02</f>
        <v/>
      </c>
      <c r="AU297" s="962" t="n"/>
      <c r="ES297" s="320" t="n"/>
      <c r="EW297" s="320" t="n"/>
      <c r="FA297" s="320" t="n"/>
      <c r="FE297" s="320" t="n"/>
      <c r="FN297" s="965" t="n"/>
    </row>
    <row r="298">
      <c r="B298" s="961" t="inlineStr">
        <is>
          <t>A320-200neo</t>
        </is>
      </c>
      <c r="C298" s="237" t="n"/>
      <c r="D298" s="237" t="n"/>
      <c r="E298" s="237" t="n"/>
      <c r="F298" s="237" t="n"/>
      <c r="G298" s="237" t="n"/>
      <c r="H298" s="237" t="n"/>
      <c r="I298" s="237" t="n"/>
      <c r="J298" s="237" t="n"/>
      <c r="K298" s="237" t="n"/>
      <c r="L298" s="237" t="n"/>
      <c r="M298" s="237" t="n"/>
      <c r="N298" s="194">
        <f>O298/1.02</f>
        <v/>
      </c>
      <c r="O298" s="194">
        <f>P298/1.02</f>
        <v/>
      </c>
      <c r="P298" s="194">
        <f>Q298/1.02</f>
        <v/>
      </c>
      <c r="Q298" s="194">
        <f>R298/1.02</f>
        <v/>
      </c>
      <c r="R298" s="194">
        <f>S298/1.02</f>
        <v/>
      </c>
      <c r="S298" s="194">
        <f>T298/1.02</f>
        <v/>
      </c>
      <c r="T298" s="194">
        <f>U298/1.02</f>
        <v/>
      </c>
      <c r="U298" s="194">
        <f>V298/1.02</f>
        <v/>
      </c>
      <c r="V298" s="194">
        <f>W298/1.02</f>
        <v/>
      </c>
      <c r="W298" s="194">
        <f>X298/1.02</f>
        <v/>
      </c>
      <c r="X298" s="194">
        <f>Y298/1.02</f>
        <v/>
      </c>
      <c r="Y298" s="194">
        <f>Z298/1.02</f>
        <v/>
      </c>
      <c r="Z298" s="194">
        <f>AA298/1.02</f>
        <v/>
      </c>
      <c r="AA298" s="194">
        <f>AB298/1.02</f>
        <v/>
      </c>
      <c r="AB298" s="194">
        <f>AC298/1.02</f>
        <v/>
      </c>
      <c r="AC298" s="194">
        <f>AD298/1.02</f>
        <v/>
      </c>
      <c r="AD298" s="194">
        <f>AE298/1.02</f>
        <v/>
      </c>
      <c r="AE298" s="194">
        <f>AF298/1.02</f>
        <v/>
      </c>
      <c r="AF298" s="194">
        <f>AG298/1.02</f>
        <v/>
      </c>
      <c r="AG298" s="194">
        <f>AH298/1.02</f>
        <v/>
      </c>
      <c r="AH298" s="194">
        <f>AI298/1.02</f>
        <v/>
      </c>
      <c r="AI298" s="194">
        <f>AJ298/1.02</f>
        <v/>
      </c>
      <c r="AJ298" s="194">
        <f>AK298/1.02</f>
        <v/>
      </c>
      <c r="AK298" s="1143" t="n">
        <v>47.25</v>
      </c>
      <c r="AL298" s="1143" t="n">
        <v>49.66</v>
      </c>
      <c r="AM298" s="1143" t="n">
        <v>49.66</v>
      </c>
      <c r="AN298" s="1143" t="n">
        <v>49.66</v>
      </c>
      <c r="AO298" s="1143" t="n">
        <v>57.22</v>
      </c>
      <c r="AP298" s="1143" t="n">
        <v>57.22</v>
      </c>
      <c r="AQ298" s="962">
        <f>AP298*1.02</f>
        <v/>
      </c>
      <c r="AR298" s="962">
        <f>AQ298*1.02</f>
        <v/>
      </c>
      <c r="AS298" s="962">
        <f>AR298*1.02</f>
        <v/>
      </c>
      <c r="AT298" s="962">
        <f>AS298*1.02</f>
        <v/>
      </c>
      <c r="AU298" s="962" t="n"/>
      <c r="ES298" s="320" t="n"/>
      <c r="EW298" s="320" t="n"/>
      <c r="FA298" s="320" t="n"/>
      <c r="FE298" s="320" t="n"/>
      <c r="FN298" s="965" t="n"/>
    </row>
    <row r="299">
      <c r="B299" s="961" t="inlineStr">
        <is>
          <t>A321</t>
        </is>
      </c>
      <c r="C299" s="237" t="n"/>
      <c r="D299" s="237" t="n"/>
      <c r="E299" s="237" t="n"/>
      <c r="F299" s="237" t="n"/>
      <c r="G299" s="237" t="n"/>
      <c r="H299" s="237" t="n"/>
      <c r="I299" s="237" t="n"/>
      <c r="J299" s="237" t="n"/>
      <c r="K299" s="237" t="n"/>
      <c r="L299" s="237" t="n"/>
      <c r="M299" s="237" t="n"/>
      <c r="N299" s="194">
        <f>O299/1.02</f>
        <v/>
      </c>
      <c r="O299" s="194">
        <f>P299/1.02</f>
        <v/>
      </c>
      <c r="P299" s="194">
        <f>Q299/1.02</f>
        <v/>
      </c>
      <c r="Q299" s="194">
        <f>R299/1.02</f>
        <v/>
      </c>
      <c r="R299" s="194">
        <f>S299/1.02</f>
        <v/>
      </c>
      <c r="S299" s="194">
        <f>T299/1.02</f>
        <v/>
      </c>
      <c r="T299" s="194">
        <f>U299/1.02</f>
        <v/>
      </c>
      <c r="U299" s="194">
        <f>V299/1.02</f>
        <v/>
      </c>
      <c r="V299" s="194">
        <f>W299/1.02</f>
        <v/>
      </c>
      <c r="W299" s="194">
        <f>X299/1.02</f>
        <v/>
      </c>
      <c r="X299" s="194">
        <f>Y299/1.02</f>
        <v/>
      </c>
      <c r="Y299" s="194">
        <f>Z299/1.02</f>
        <v/>
      </c>
      <c r="Z299" s="194">
        <f>AA299/1.02</f>
        <v/>
      </c>
      <c r="AA299" s="194">
        <f>AB299/1.02</f>
        <v/>
      </c>
      <c r="AB299" s="194">
        <f>AC299/1.02</f>
        <v/>
      </c>
      <c r="AC299" s="194">
        <f>AD299/1.02</f>
        <v/>
      </c>
      <c r="AD299" s="194">
        <f>AE299/1.02</f>
        <v/>
      </c>
      <c r="AE299" s="194">
        <f>AF299/1.02</f>
        <v/>
      </c>
      <c r="AF299" s="1143" t="n">
        <v>41.92</v>
      </c>
      <c r="AG299" s="1143" t="n">
        <v>44.35</v>
      </c>
      <c r="AH299" s="1143" t="n">
        <v>46.77</v>
      </c>
      <c r="AI299" s="1143" t="n">
        <v>49.2</v>
      </c>
      <c r="AJ299" s="1143" t="n">
        <v>51.62</v>
      </c>
      <c r="AK299" s="1143" t="n">
        <v>54.05</v>
      </c>
      <c r="AL299" s="1143" t="n">
        <v>56.476</v>
      </c>
      <c r="AM299" s="1143" t="n">
        <v>56.476</v>
      </c>
      <c r="AN299" s="1143" t="n">
        <v>56.476</v>
      </c>
      <c r="AO299" s="1143" t="n">
        <v>64.739469044736</v>
      </c>
      <c r="AP299" s="1143" t="n">
        <v>64.739469044736</v>
      </c>
      <c r="AQ299" s="962">
        <f>AP299*1.02</f>
        <v/>
      </c>
      <c r="AR299" s="962">
        <f>AQ299*1.02</f>
        <v/>
      </c>
      <c r="AS299" s="962">
        <f>AR299*1.02</f>
        <v/>
      </c>
      <c r="AT299" s="962">
        <f>AS299*1.02</f>
        <v/>
      </c>
      <c r="AU299" s="962" t="n"/>
      <c r="ES299" s="320" t="n"/>
      <c r="EW299" s="320" t="n"/>
      <c r="FA299" s="320" t="n"/>
      <c r="FE299" s="320" t="n"/>
      <c r="FN299" s="965" t="n"/>
    </row>
    <row r="300">
      <c r="B300" s="961" t="inlineStr">
        <is>
          <t>A321-200</t>
        </is>
      </c>
      <c r="C300" s="237" t="n"/>
      <c r="D300" s="237" t="n"/>
      <c r="E300" s="237" t="n"/>
      <c r="F300" s="237" t="n"/>
      <c r="G300" s="237" t="n"/>
      <c r="H300" s="237" t="n"/>
      <c r="I300" s="237" t="n"/>
      <c r="J300" s="237" t="n"/>
      <c r="K300" s="237" t="n"/>
      <c r="L300" s="237" t="n"/>
      <c r="M300" s="237" t="n"/>
      <c r="N300" s="194">
        <f>O300/1.02</f>
        <v/>
      </c>
      <c r="O300" s="194">
        <f>P300/1.02</f>
        <v/>
      </c>
      <c r="P300" s="194">
        <f>Q300/1.02</f>
        <v/>
      </c>
      <c r="Q300" s="194">
        <f>R300/1.02</f>
        <v/>
      </c>
      <c r="R300" s="194">
        <f>S300/1.02</f>
        <v/>
      </c>
      <c r="S300" s="194">
        <f>T300/1.02</f>
        <v/>
      </c>
      <c r="T300" s="194">
        <f>U300/1.02</f>
        <v/>
      </c>
      <c r="U300" s="194">
        <f>V300/1.02</f>
        <v/>
      </c>
      <c r="V300" s="194">
        <f>W300/1.02</f>
        <v/>
      </c>
      <c r="W300" s="194">
        <f>X300/1.02</f>
        <v/>
      </c>
      <c r="X300" s="194">
        <f>Y300/1.02</f>
        <v/>
      </c>
      <c r="Y300" s="194">
        <f>Z300/1.02</f>
        <v/>
      </c>
      <c r="Z300" s="194">
        <f>AA300/1.02</f>
        <v/>
      </c>
      <c r="AA300" s="194">
        <f>AB300/1.02</f>
        <v/>
      </c>
      <c r="AB300" s="194">
        <f>AC300/1.02</f>
        <v/>
      </c>
      <c r="AC300" s="194">
        <f>AD300/1.02</f>
        <v/>
      </c>
      <c r="AD300" s="194">
        <f>AE300/1.02</f>
        <v/>
      </c>
      <c r="AE300" s="194">
        <f>AF300/1.02</f>
        <v/>
      </c>
      <c r="AF300" s="1143" t="n">
        <v>41.92</v>
      </c>
      <c r="AG300" s="1143" t="n">
        <v>44.35</v>
      </c>
      <c r="AH300" s="1143" t="n">
        <v>46.77</v>
      </c>
      <c r="AI300" s="1143" t="n">
        <v>49.2</v>
      </c>
      <c r="AJ300" s="1143" t="n">
        <v>51.62</v>
      </c>
      <c r="AK300" s="1143" t="n">
        <v>54.05</v>
      </c>
      <c r="AL300" s="1143" t="n">
        <v>56.476</v>
      </c>
      <c r="AM300" s="1143" t="n">
        <v>56.476</v>
      </c>
      <c r="AN300" s="1143" t="n">
        <v>56.476</v>
      </c>
      <c r="AO300" s="1143" t="n">
        <v>64.739469044736</v>
      </c>
      <c r="AP300" s="1143" t="n">
        <v>64.739469044736</v>
      </c>
      <c r="AQ300" s="962">
        <f>AP300*1.02</f>
        <v/>
      </c>
      <c r="AR300" s="962">
        <f>AQ300*1.02</f>
        <v/>
      </c>
      <c r="AS300" s="962">
        <f>AR300*1.02</f>
        <v/>
      </c>
      <c r="AT300" s="962">
        <f>AS300*1.02</f>
        <v/>
      </c>
      <c r="AU300" s="962" t="n"/>
      <c r="ES300" s="320" t="n"/>
      <c r="EW300" s="320" t="n"/>
      <c r="FA300" s="320" t="n"/>
      <c r="FE300" s="320" t="n"/>
      <c r="FN300" s="965" t="n"/>
    </row>
    <row r="301">
      <c r="B301" s="961" t="inlineStr">
        <is>
          <t>A321-200neo</t>
        </is>
      </c>
      <c r="C301" s="237" t="n"/>
      <c r="D301" s="237" t="n"/>
      <c r="E301" s="237" t="n"/>
      <c r="F301" s="237" t="n"/>
      <c r="G301" s="237" t="n"/>
      <c r="H301" s="237" t="n"/>
      <c r="I301" s="237" t="n"/>
      <c r="J301" s="237" t="n"/>
      <c r="K301" s="237" t="n"/>
      <c r="L301" s="237" t="n"/>
      <c r="M301" s="237" t="n"/>
      <c r="N301" s="194">
        <f>O301/1.02</f>
        <v/>
      </c>
      <c r="O301" s="194">
        <f>P301/1.02</f>
        <v/>
      </c>
      <c r="P301" s="194">
        <f>Q301/1.02</f>
        <v/>
      </c>
      <c r="Q301" s="194">
        <f>R301/1.02</f>
        <v/>
      </c>
      <c r="R301" s="194">
        <f>S301/1.02</f>
        <v/>
      </c>
      <c r="S301" s="194">
        <f>T301/1.02</f>
        <v/>
      </c>
      <c r="T301" s="194">
        <f>U301/1.02</f>
        <v/>
      </c>
      <c r="U301" s="194">
        <f>V301/1.02</f>
        <v/>
      </c>
      <c r="V301" s="194">
        <f>W301/1.02</f>
        <v/>
      </c>
      <c r="W301" s="194">
        <f>X301/1.02</f>
        <v/>
      </c>
      <c r="X301" s="194">
        <f>Y301/1.02</f>
        <v/>
      </c>
      <c r="Y301" s="194">
        <f>Z301/1.02</f>
        <v/>
      </c>
      <c r="Z301" s="194">
        <f>AA301/1.02</f>
        <v/>
      </c>
      <c r="AA301" s="194">
        <f>AB301/1.02</f>
        <v/>
      </c>
      <c r="AB301" s="194">
        <f>AC301/1.02</f>
        <v/>
      </c>
      <c r="AC301" s="194">
        <f>AD301/1.02</f>
        <v/>
      </c>
      <c r="AD301" s="194">
        <f>AE301/1.02</f>
        <v/>
      </c>
      <c r="AE301" s="194">
        <f>AF301/1.02</f>
        <v/>
      </c>
      <c r="AF301" s="1143" t="n">
        <v>41.92</v>
      </c>
      <c r="AG301" s="1143" t="n">
        <v>44.35</v>
      </c>
      <c r="AH301" s="1143" t="n">
        <v>46.77</v>
      </c>
      <c r="AI301" s="1143" t="n">
        <v>49.2</v>
      </c>
      <c r="AJ301" s="1143" t="n">
        <v>51.62</v>
      </c>
      <c r="AK301" s="1143" t="n">
        <v>54.05</v>
      </c>
      <c r="AL301" s="1143" t="n">
        <v>56.476</v>
      </c>
      <c r="AM301" s="1143" t="n">
        <v>56.476</v>
      </c>
      <c r="AN301" s="1143" t="n">
        <v>56.476</v>
      </c>
      <c r="AO301" s="1143" t="n">
        <v>64.739469044736</v>
      </c>
      <c r="AP301" s="1143" t="n">
        <v>64.739469044736</v>
      </c>
      <c r="AQ301" s="962">
        <f>AP301*1.02</f>
        <v/>
      </c>
      <c r="AR301" s="962">
        <f>AQ301*1.02</f>
        <v/>
      </c>
      <c r="AS301" s="962">
        <f>AR301*1.02</f>
        <v/>
      </c>
      <c r="AT301" s="962">
        <f>AS301*1.02</f>
        <v/>
      </c>
      <c r="AU301" s="962" t="n"/>
      <c r="ES301" s="320" t="n"/>
      <c r="EW301" s="320" t="n"/>
      <c r="FA301" s="320" t="n"/>
      <c r="FE301" s="320" t="n"/>
      <c r="FN301" s="965" t="n"/>
    </row>
    <row r="302">
      <c r="B302" s="961" t="inlineStr">
        <is>
          <t>A330</t>
        </is>
      </c>
      <c r="C302" s="237" t="n"/>
      <c r="D302" s="237" t="n"/>
      <c r="E302" s="237" t="n"/>
      <c r="F302" s="237" t="n"/>
      <c r="G302" s="237" t="n"/>
      <c r="H302" s="237" t="n"/>
      <c r="I302" s="237" t="n"/>
      <c r="J302" s="237" t="n"/>
      <c r="K302" s="237" t="n"/>
      <c r="L302" s="237" t="n"/>
      <c r="M302" s="237" t="n"/>
      <c r="N302" s="194">
        <f>O302/1.02</f>
        <v/>
      </c>
      <c r="O302" s="194">
        <f>P302/1.02</f>
        <v/>
      </c>
      <c r="P302" s="194">
        <f>Q302/1.02</f>
        <v/>
      </c>
      <c r="Q302" s="194">
        <f>R302/1.02</f>
        <v/>
      </c>
      <c r="R302" s="194">
        <f>S302/1.02</f>
        <v/>
      </c>
      <c r="S302" s="194">
        <f>T302/1.02</f>
        <v/>
      </c>
      <c r="T302" s="194">
        <f>U302/1.02</f>
        <v/>
      </c>
      <c r="U302" s="194">
        <f>V302/1.02</f>
        <v/>
      </c>
      <c r="V302" s="194">
        <f>W302/1.02</f>
        <v/>
      </c>
      <c r="W302" s="194">
        <f>X302/1.02</f>
        <v/>
      </c>
      <c r="X302" s="194">
        <f>Y302/1.02</f>
        <v/>
      </c>
      <c r="Y302" s="194">
        <f>Z302/1.02</f>
        <v/>
      </c>
      <c r="Z302" s="194">
        <f>AA302/1.02</f>
        <v/>
      </c>
      <c r="AA302" s="194">
        <f>AB302/1.02</f>
        <v/>
      </c>
      <c r="AB302" s="194">
        <f>AC302/1.02</f>
        <v/>
      </c>
      <c r="AC302" s="194">
        <f>AD302/1.02</f>
        <v/>
      </c>
      <c r="AD302" s="194">
        <f>AE302/1.02</f>
        <v/>
      </c>
      <c r="AE302" s="194">
        <f>AF302/1.02</f>
        <v/>
      </c>
      <c r="AF302" s="194">
        <f>AG302/1.02</f>
        <v/>
      </c>
      <c r="AG302" s="1143" t="n">
        <v>82.703</v>
      </c>
      <c r="AH302" s="1143" t="n">
        <v>85.78</v>
      </c>
      <c r="AI302" s="1143" t="n">
        <v>88.858</v>
      </c>
      <c r="AJ302" s="1143" t="n">
        <v>91.935</v>
      </c>
      <c r="AK302" s="1143" t="n">
        <v>95.012</v>
      </c>
      <c r="AL302" s="1143" t="n">
        <v>98.09</v>
      </c>
      <c r="AM302" s="1143" t="n">
        <v>98.09</v>
      </c>
      <c r="AN302" s="1143" t="n">
        <v>98.09</v>
      </c>
      <c r="AO302" s="1143" t="n">
        <v>117.113448375</v>
      </c>
      <c r="AP302" s="1143" t="n">
        <v>117.113448375</v>
      </c>
      <c r="AQ302" s="962">
        <f>AP302*1.02</f>
        <v/>
      </c>
      <c r="AR302" s="962">
        <f>AQ302*1.02</f>
        <v/>
      </c>
      <c r="AS302" s="962">
        <f>AR302*1.02</f>
        <v/>
      </c>
      <c r="AT302" s="962">
        <f>AS302*1.02</f>
        <v/>
      </c>
      <c r="AU302" s="962" t="n"/>
      <c r="ES302" s="320" t="n"/>
      <c r="EW302" s="320" t="n"/>
      <c r="FA302" s="320" t="n"/>
      <c r="FE302" s="320" t="n"/>
      <c r="FN302" s="965" t="n"/>
    </row>
    <row r="303">
      <c r="B303" s="961" t="inlineStr">
        <is>
          <t>A330-300</t>
        </is>
      </c>
      <c r="C303" s="237" t="n"/>
      <c r="D303" s="237" t="n"/>
      <c r="E303" s="237" t="n"/>
      <c r="F303" s="237" t="n"/>
      <c r="G303" s="237" t="n"/>
      <c r="H303" s="237" t="n"/>
      <c r="I303" s="237" t="n"/>
      <c r="J303" s="237" t="n"/>
      <c r="K303" s="237" t="n"/>
      <c r="L303" s="237" t="n"/>
      <c r="M303" s="237" t="n"/>
      <c r="N303" s="194">
        <f>O303/1.02</f>
        <v/>
      </c>
      <c r="O303" s="194">
        <f>P303/1.02</f>
        <v/>
      </c>
      <c r="P303" s="194">
        <f>Q303/1.02</f>
        <v/>
      </c>
      <c r="Q303" s="194">
        <f>R303/1.02</f>
        <v/>
      </c>
      <c r="R303" s="194">
        <f>S303/1.02</f>
        <v/>
      </c>
      <c r="S303" s="194">
        <f>T303/1.02</f>
        <v/>
      </c>
      <c r="T303" s="194">
        <f>U303/1.02</f>
        <v/>
      </c>
      <c r="U303" s="194">
        <f>V303/1.02</f>
        <v/>
      </c>
      <c r="V303" s="194">
        <f>W303/1.02</f>
        <v/>
      </c>
      <c r="W303" s="194">
        <f>X303/1.02</f>
        <v/>
      </c>
      <c r="X303" s="194">
        <f>Y303/1.02</f>
        <v/>
      </c>
      <c r="Y303" s="194">
        <f>Z303/1.02</f>
        <v/>
      </c>
      <c r="Z303" s="194">
        <f>AA303/1.02</f>
        <v/>
      </c>
      <c r="AA303" s="194">
        <f>AB303/1.02</f>
        <v/>
      </c>
      <c r="AB303" s="194">
        <f>AC303/1.02</f>
        <v/>
      </c>
      <c r="AC303" s="194">
        <f>AD303/1.02</f>
        <v/>
      </c>
      <c r="AD303" s="194">
        <f>AE303/1.02</f>
        <v/>
      </c>
      <c r="AE303" s="194">
        <f>AF303/1.02</f>
        <v/>
      </c>
      <c r="AF303" s="194">
        <f>AG303/1.02</f>
        <v/>
      </c>
      <c r="AG303" s="1143" t="n">
        <v>82.703</v>
      </c>
      <c r="AH303" s="1143" t="n">
        <v>85.78</v>
      </c>
      <c r="AI303" s="1143" t="n">
        <v>88.858</v>
      </c>
      <c r="AJ303" s="1143" t="n">
        <v>91.935</v>
      </c>
      <c r="AK303" s="1143" t="n">
        <v>95.012</v>
      </c>
      <c r="AL303" s="1143" t="n">
        <v>98.09</v>
      </c>
      <c r="AM303" s="1143" t="n">
        <v>98.09</v>
      </c>
      <c r="AN303" s="1143" t="n">
        <v>98.09</v>
      </c>
      <c r="AO303" s="1143" t="n">
        <v>117.113448375</v>
      </c>
      <c r="AP303" s="1143" t="n">
        <v>117.113448375</v>
      </c>
      <c r="AQ303" s="962">
        <f>AP303*1.02</f>
        <v/>
      </c>
      <c r="AR303" s="962">
        <f>AQ303*1.02</f>
        <v/>
      </c>
      <c r="AS303" s="962">
        <f>AR303*1.02</f>
        <v/>
      </c>
      <c r="AT303" s="962">
        <f>AS303*1.02</f>
        <v/>
      </c>
      <c r="AU303" s="962" t="n"/>
      <c r="ES303" s="320" t="n"/>
      <c r="EW303" s="320" t="n"/>
      <c r="FA303" s="320" t="n"/>
      <c r="FE303" s="320" t="n"/>
      <c r="FN303" s="965" t="n"/>
    </row>
    <row r="304">
      <c r="B304" s="961" t="inlineStr">
        <is>
          <t>A330-900</t>
        </is>
      </c>
      <c r="C304" s="237" t="n"/>
      <c r="D304" s="237" t="n"/>
      <c r="E304" s="237" t="n"/>
      <c r="F304" s="237" t="n"/>
      <c r="G304" s="237" t="n"/>
      <c r="H304" s="237" t="n"/>
      <c r="I304" s="237" t="n"/>
      <c r="J304" s="237" t="n"/>
      <c r="K304" s="237" t="n"/>
      <c r="L304" s="237" t="n"/>
      <c r="M304" s="237" t="n"/>
      <c r="N304" s="194">
        <f>O304/1.02</f>
        <v/>
      </c>
      <c r="O304" s="194">
        <f>P304/1.02</f>
        <v/>
      </c>
      <c r="P304" s="194">
        <f>Q304/1.02</f>
        <v/>
      </c>
      <c r="Q304" s="194">
        <f>R304/1.02</f>
        <v/>
      </c>
      <c r="R304" s="194">
        <f>S304/1.02</f>
        <v/>
      </c>
      <c r="S304" s="194">
        <f>T304/1.02</f>
        <v/>
      </c>
      <c r="T304" s="194">
        <f>U304/1.02</f>
        <v/>
      </c>
      <c r="U304" s="194">
        <f>V304/1.02</f>
        <v/>
      </c>
      <c r="V304" s="194">
        <f>W304/1.02</f>
        <v/>
      </c>
      <c r="W304" s="194">
        <f>X304/1.02</f>
        <v/>
      </c>
      <c r="X304" s="194">
        <f>Y304/1.02</f>
        <v/>
      </c>
      <c r="Y304" s="194">
        <f>Z304/1.02</f>
        <v/>
      </c>
      <c r="Z304" s="194">
        <f>AA304/1.02</f>
        <v/>
      </c>
      <c r="AA304" s="194">
        <f>AB304/1.02</f>
        <v/>
      </c>
      <c r="AB304" s="194">
        <f>AC304/1.02</f>
        <v/>
      </c>
      <c r="AC304" s="194">
        <f>AD304/1.02</f>
        <v/>
      </c>
      <c r="AD304" s="194">
        <f>AE304/1.02</f>
        <v/>
      </c>
      <c r="AE304" s="194">
        <f>AF304/1.02</f>
        <v/>
      </c>
      <c r="AF304" s="194">
        <f>AG304/1.02</f>
        <v/>
      </c>
      <c r="AG304" s="1143" t="n">
        <v>82.703</v>
      </c>
      <c r="AH304" s="1143" t="n">
        <v>85.78</v>
      </c>
      <c r="AI304" s="1143" t="n">
        <v>88.858</v>
      </c>
      <c r="AJ304" s="1143" t="n">
        <v>91.935</v>
      </c>
      <c r="AK304" s="1143" t="n">
        <v>95.012</v>
      </c>
      <c r="AL304" s="1143" t="n">
        <v>98.09</v>
      </c>
      <c r="AM304" s="1143" t="n">
        <v>98.09</v>
      </c>
      <c r="AN304" s="1143" t="n">
        <v>98.09</v>
      </c>
      <c r="AO304" s="1143" t="n">
        <v>117.113448375</v>
      </c>
      <c r="AP304" s="1143" t="n">
        <v>117.113448375</v>
      </c>
      <c r="AQ304" s="962">
        <f>AP304*1.02</f>
        <v/>
      </c>
      <c r="AR304" s="962">
        <f>AQ304*1.02</f>
        <v/>
      </c>
      <c r="AS304" s="962">
        <f>AR304*1.02</f>
        <v/>
      </c>
      <c r="AT304" s="962">
        <f>AS304*1.02</f>
        <v/>
      </c>
      <c r="AU304" s="962" t="n"/>
      <c r="ES304" s="320" t="n"/>
      <c r="EW304" s="320" t="n"/>
      <c r="FA304" s="320" t="n"/>
      <c r="FE304" s="320" t="n"/>
      <c r="FN304" s="965" t="n"/>
    </row>
    <row r="305">
      <c r="B305" s="961" t="inlineStr">
        <is>
          <t>A340-300</t>
        </is>
      </c>
      <c r="C305" s="237" t="n"/>
      <c r="D305" s="237" t="n"/>
      <c r="E305" s="237" t="n"/>
      <c r="F305" s="237" t="n"/>
      <c r="G305" s="237" t="n"/>
      <c r="H305" s="237" t="n"/>
      <c r="I305" s="237" t="n"/>
      <c r="J305" s="237" t="n"/>
      <c r="K305" s="237" t="n"/>
      <c r="L305" s="237" t="n"/>
      <c r="M305" s="237" t="n"/>
      <c r="N305" s="194">
        <f>O305/1.02</f>
        <v/>
      </c>
      <c r="O305" s="194">
        <f>P305/1.02</f>
        <v/>
      </c>
      <c r="P305" s="194">
        <f>Q305/1.02</f>
        <v/>
      </c>
      <c r="Q305" s="194">
        <f>R305/1.02</f>
        <v/>
      </c>
      <c r="R305" s="194">
        <f>S305/1.02</f>
        <v/>
      </c>
      <c r="S305" s="194">
        <f>T305/1.02</f>
        <v/>
      </c>
      <c r="T305" s="194">
        <f>U305/1.02</f>
        <v/>
      </c>
      <c r="U305" s="194">
        <f>V305/1.02</f>
        <v/>
      </c>
      <c r="V305" s="194">
        <f>W305/1.02</f>
        <v/>
      </c>
      <c r="W305" s="194">
        <f>X305/1.02</f>
        <v/>
      </c>
      <c r="X305" s="194">
        <f>Y305/1.02</f>
        <v/>
      </c>
      <c r="Y305" s="194">
        <f>Z305/1.02</f>
        <v/>
      </c>
      <c r="Z305" s="266" t="n">
        <v>136</v>
      </c>
      <c r="AA305" s="194">
        <f>Z305*1.02</f>
        <v/>
      </c>
      <c r="AB305" s="194">
        <f>AA305*1.02</f>
        <v/>
      </c>
      <c r="AC305" s="194">
        <f>AB305*1.02</f>
        <v/>
      </c>
      <c r="AD305" s="194">
        <f>AC305*1.02</f>
        <v/>
      </c>
      <c r="AE305" s="194">
        <f>AD305*1.02</f>
        <v/>
      </c>
      <c r="AF305" s="194">
        <f>AE305*1.02</f>
        <v/>
      </c>
      <c r="AG305" s="194">
        <f>AF305*1.02</f>
        <v/>
      </c>
      <c r="AH305" s="194">
        <f>AG305*1.02</f>
        <v/>
      </c>
      <c r="AI305" s="194">
        <f>AH305*1.02</f>
        <v/>
      </c>
      <c r="AJ305" s="194">
        <f>AI305*1.02</f>
        <v/>
      </c>
      <c r="AK305" s="194">
        <f>AJ305*1.02</f>
        <v/>
      </c>
      <c r="AL305" s="194">
        <f>AK305*1.02</f>
        <v/>
      </c>
      <c r="AM305" s="194">
        <f>AL305*1.02</f>
        <v/>
      </c>
      <c r="AN305" s="194">
        <f>AM305*1.02</f>
        <v/>
      </c>
      <c r="AO305" s="194">
        <f>AN305*1.02</f>
        <v/>
      </c>
      <c r="AP305" s="194">
        <f>AO305*1.02</f>
        <v/>
      </c>
      <c r="AQ305" s="962">
        <f>AP305*1.02</f>
        <v/>
      </c>
      <c r="AR305" s="962">
        <f>AQ305*1.02</f>
        <v/>
      </c>
      <c r="AS305" s="962">
        <f>AR305*1.02</f>
        <v/>
      </c>
      <c r="AT305" s="962">
        <f>AS305*1.02</f>
        <v/>
      </c>
      <c r="AU305" s="962" t="n"/>
      <c r="ES305" s="320" t="n"/>
      <c r="EW305" s="320" t="n"/>
      <c r="FA305" s="320" t="n"/>
      <c r="FE305" s="320" t="n"/>
      <c r="FN305" s="965" t="n"/>
    </row>
    <row r="306">
      <c r="B306" s="961" t="inlineStr">
        <is>
          <t>A340-600</t>
        </is>
      </c>
      <c r="C306" s="237" t="n"/>
      <c r="D306" s="237" t="n"/>
      <c r="E306" s="237" t="n"/>
      <c r="F306" s="237" t="n"/>
      <c r="G306" s="237" t="n"/>
      <c r="H306" s="237" t="n"/>
      <c r="I306" s="237" t="n"/>
      <c r="J306" s="237" t="n"/>
      <c r="K306" s="237" t="n"/>
      <c r="L306" s="237" t="n"/>
      <c r="M306" s="237" t="n"/>
      <c r="N306" s="194">
        <f>O306/1.02</f>
        <v/>
      </c>
      <c r="O306" s="194">
        <f>P306/1.02</f>
        <v/>
      </c>
      <c r="P306" s="194">
        <f>Q306/1.02</f>
        <v/>
      </c>
      <c r="Q306" s="194">
        <f>R306/1.02</f>
        <v/>
      </c>
      <c r="R306" s="194">
        <f>S306/1.02</f>
        <v/>
      </c>
      <c r="S306" s="194">
        <f>T306/1.02</f>
        <v/>
      </c>
      <c r="T306" s="194">
        <f>U306/1.02</f>
        <v/>
      </c>
      <c r="U306" s="194">
        <f>V306/1.02</f>
        <v/>
      </c>
      <c r="V306" s="194">
        <f>W306/1.02</f>
        <v/>
      </c>
      <c r="W306" s="194">
        <f>X306/1.02</f>
        <v/>
      </c>
      <c r="X306" s="194">
        <f>Y306/1.02</f>
        <v/>
      </c>
      <c r="Y306" s="194">
        <f>Z306/1.02</f>
        <v/>
      </c>
      <c r="Z306" s="266" t="n">
        <v>136</v>
      </c>
      <c r="AA306" s="194">
        <f>Z306*1.02</f>
        <v/>
      </c>
      <c r="AB306" s="194">
        <f>AA306*1.02</f>
        <v/>
      </c>
      <c r="AC306" s="194">
        <f>AB306*1.02</f>
        <v/>
      </c>
      <c r="AD306" s="194">
        <f>AC306*1.02</f>
        <v/>
      </c>
      <c r="AE306" s="194">
        <f>AD306*1.02</f>
        <v/>
      </c>
      <c r="AF306" s="194">
        <f>AE306*1.02</f>
        <v/>
      </c>
      <c r="AG306" s="194">
        <f>AF306*1.02</f>
        <v/>
      </c>
      <c r="AH306" s="194">
        <f>AG306*1.02</f>
        <v/>
      </c>
      <c r="AI306" s="194">
        <f>AH306*1.02</f>
        <v/>
      </c>
      <c r="AJ306" s="194">
        <f>AI306*1.02</f>
        <v/>
      </c>
      <c r="AK306" s="194">
        <f>AJ306*1.02</f>
        <v/>
      </c>
      <c r="AL306" s="194">
        <f>AK306*1.02</f>
        <v/>
      </c>
      <c r="AM306" s="194">
        <f>AL306*1.02</f>
        <v/>
      </c>
      <c r="AN306" s="194">
        <f>AM306*1.02</f>
        <v/>
      </c>
      <c r="AO306" s="194">
        <f>AN306*1.02</f>
        <v/>
      </c>
      <c r="AP306" s="194">
        <f>AO306*1.02</f>
        <v/>
      </c>
      <c r="AQ306" s="962">
        <f>AP306*1.02</f>
        <v/>
      </c>
      <c r="AR306" s="962">
        <f>AQ306*1.02</f>
        <v/>
      </c>
      <c r="AS306" s="962">
        <f>AR306*1.02</f>
        <v/>
      </c>
      <c r="AT306" s="962">
        <f>AS306*1.02</f>
        <v/>
      </c>
      <c r="AU306" s="962" t="n"/>
      <c r="ES306" s="320" t="n"/>
      <c r="EW306" s="320" t="n"/>
      <c r="FA306" s="320" t="n"/>
      <c r="FE306" s="320" t="n"/>
      <c r="FN306" s="965" t="n"/>
    </row>
    <row r="307">
      <c r="B307" s="961" t="inlineStr">
        <is>
          <t>A350-900</t>
        </is>
      </c>
      <c r="C307" s="237" t="n"/>
      <c r="D307" s="237" t="n"/>
      <c r="E307" s="237" t="n"/>
      <c r="F307" s="237" t="n"/>
      <c r="G307" s="237" t="n"/>
      <c r="H307" s="237" t="n"/>
      <c r="I307" s="237" t="n"/>
      <c r="J307" s="237" t="n"/>
      <c r="K307" s="237" t="n"/>
      <c r="L307" s="237" t="n"/>
      <c r="M307" s="237" t="n"/>
      <c r="N307" s="194">
        <f>O307/1.02</f>
        <v/>
      </c>
      <c r="O307" s="194">
        <f>P307/1.02</f>
        <v/>
      </c>
      <c r="P307" s="194">
        <f>Q307/1.02</f>
        <v/>
      </c>
      <c r="Q307" s="194">
        <f>R307/1.02</f>
        <v/>
      </c>
      <c r="R307" s="194">
        <f>S307/1.02</f>
        <v/>
      </c>
      <c r="S307" s="194">
        <f>T307/1.02</f>
        <v/>
      </c>
      <c r="T307" s="194">
        <f>U307/1.02</f>
        <v/>
      </c>
      <c r="U307" s="194">
        <f>V307/1.02</f>
        <v/>
      </c>
      <c r="V307" s="194">
        <f>W307/1.02</f>
        <v/>
      </c>
      <c r="W307" s="194">
        <f>X307/1.02</f>
        <v/>
      </c>
      <c r="X307" s="194">
        <f>Y307/1.02</f>
        <v/>
      </c>
      <c r="Y307" s="194">
        <f>Z307/1.02</f>
        <v/>
      </c>
      <c r="Z307" s="194">
        <f>AA307/1.02</f>
        <v/>
      </c>
      <c r="AA307" s="194">
        <f>AB307/1.02</f>
        <v/>
      </c>
      <c r="AB307" s="194">
        <f>AC307/1.02</f>
        <v/>
      </c>
      <c r="AC307" s="194">
        <f>AD307/1.02</f>
        <v/>
      </c>
      <c r="AD307" s="1143" t="n">
        <v>74.557</v>
      </c>
      <c r="AE307" s="1143" t="n">
        <v>82.17100000000001</v>
      </c>
      <c r="AF307" s="1143" t="n">
        <v>89.786</v>
      </c>
      <c r="AG307" s="1143" t="n">
        <v>97.40000000000001</v>
      </c>
      <c r="AH307" s="1143" t="n">
        <v>105.014</v>
      </c>
      <c r="AI307" s="1143" t="n">
        <v>112.629</v>
      </c>
      <c r="AJ307" s="1143" t="n">
        <v>120.243</v>
      </c>
      <c r="AK307" s="1143" t="n">
        <v>127.857</v>
      </c>
      <c r="AL307" s="1143" t="n">
        <v>135.472</v>
      </c>
      <c r="AM307" s="1143" t="n">
        <v>135.472</v>
      </c>
      <c r="AN307" s="1143" t="n">
        <v>135.472</v>
      </c>
      <c r="AO307" s="1143" t="n">
        <v>168.01750138325</v>
      </c>
      <c r="AP307" s="1143" t="n">
        <v>168.01750138325</v>
      </c>
      <c r="AQ307" s="962">
        <f>AP307*1.02</f>
        <v/>
      </c>
      <c r="AR307" s="962">
        <f>AQ307*1.02</f>
        <v/>
      </c>
      <c r="AS307" s="962">
        <f>AR307*1.02</f>
        <v/>
      </c>
      <c r="AT307" s="962">
        <f>AS307*1.02</f>
        <v/>
      </c>
      <c r="AU307" s="962" t="n"/>
      <c r="ES307" s="320" t="n"/>
      <c r="EW307" s="320" t="n"/>
      <c r="FA307" s="320" t="n"/>
      <c r="FE307" s="320" t="n"/>
      <c r="FN307" s="965" t="n"/>
    </row>
    <row r="308">
      <c r="B308" s="961" t="inlineStr">
        <is>
          <t>A350-1000</t>
        </is>
      </c>
      <c r="C308" s="237" t="n"/>
      <c r="D308" s="237" t="n"/>
      <c r="E308" s="237" t="n"/>
      <c r="F308" s="237" t="n"/>
      <c r="G308" s="237" t="n"/>
      <c r="H308" s="237" t="n"/>
      <c r="I308" s="237" t="n"/>
      <c r="J308" s="237" t="n"/>
      <c r="K308" s="237" t="n"/>
      <c r="L308" s="237" t="n"/>
      <c r="M308" s="237" t="n"/>
      <c r="N308" s="194">
        <f>O308/1.02</f>
        <v/>
      </c>
      <c r="O308" s="194">
        <f>P308/1.02</f>
        <v/>
      </c>
      <c r="P308" s="194">
        <f>Q308/1.02</f>
        <v/>
      </c>
      <c r="Q308" s="194">
        <f>R308/1.02</f>
        <v/>
      </c>
      <c r="R308" s="194">
        <f>S308/1.02</f>
        <v/>
      </c>
      <c r="S308" s="194">
        <f>T308/1.02</f>
        <v/>
      </c>
      <c r="T308" s="194">
        <f>U308/1.02</f>
        <v/>
      </c>
      <c r="U308" s="194">
        <f>V308/1.02</f>
        <v/>
      </c>
      <c r="V308" s="194">
        <f>W308/1.02</f>
        <v/>
      </c>
      <c r="W308" s="194">
        <f>X308/1.02</f>
        <v/>
      </c>
      <c r="X308" s="194">
        <f>Y308/1.02</f>
        <v/>
      </c>
      <c r="Y308" s="194">
        <f>Z308/1.02</f>
        <v/>
      </c>
      <c r="Z308" s="194">
        <f>AA308/1.02</f>
        <v/>
      </c>
      <c r="AA308" s="194">
        <f>AB308/1.02</f>
        <v/>
      </c>
      <c r="AB308" s="194">
        <f>AC308/1.02</f>
        <v/>
      </c>
      <c r="AC308" s="194">
        <f>AD308/1.02</f>
        <v/>
      </c>
      <c r="AD308" s="1143" t="n">
        <v>74.557</v>
      </c>
      <c r="AE308" s="1143" t="n">
        <v>82.17100000000001</v>
      </c>
      <c r="AF308" s="1143" t="n">
        <v>89.786</v>
      </c>
      <c r="AG308" s="1143" t="n">
        <v>97.40000000000001</v>
      </c>
      <c r="AH308" s="1143" t="n">
        <v>105.014</v>
      </c>
      <c r="AI308" s="1143" t="n">
        <v>112.629</v>
      </c>
      <c r="AJ308" s="1143" t="n">
        <v>120.243</v>
      </c>
      <c r="AK308" s="1143" t="n">
        <v>127.857</v>
      </c>
      <c r="AL308" s="1143" t="n">
        <v>135.472</v>
      </c>
      <c r="AM308" s="1143" t="n">
        <v>135.472</v>
      </c>
      <c r="AN308" s="1143" t="n">
        <v>135.472</v>
      </c>
      <c r="AO308" s="1143" t="n">
        <v>168.01750138325</v>
      </c>
      <c r="AP308" s="1143" t="n">
        <v>168.01750138325</v>
      </c>
      <c r="AQ308" s="962">
        <f>AP308*1.02</f>
        <v/>
      </c>
      <c r="AR308" s="962">
        <f>AQ308*1.02</f>
        <v/>
      </c>
      <c r="AS308" s="962">
        <f>AR308*1.02</f>
        <v/>
      </c>
      <c r="AT308" s="962">
        <f>AS308*1.02</f>
        <v/>
      </c>
      <c r="AU308" s="962" t="n"/>
      <c r="ES308" s="320" t="n"/>
      <c r="EW308" s="320" t="n"/>
      <c r="FA308" s="320" t="n"/>
      <c r="FE308" s="320" t="n"/>
      <c r="FN308" s="965" t="n"/>
    </row>
    <row r="309">
      <c r="B309" s="961" t="inlineStr">
        <is>
          <t>A350-F</t>
        </is>
      </c>
      <c r="C309" s="237" t="n"/>
      <c r="D309" s="237" t="n"/>
      <c r="E309" s="237" t="n"/>
      <c r="F309" s="237" t="n"/>
      <c r="G309" s="237" t="n"/>
      <c r="H309" s="237" t="n"/>
      <c r="I309" s="237" t="n"/>
      <c r="J309" s="237" t="n"/>
      <c r="K309" s="237" t="n"/>
      <c r="L309" s="237" t="n"/>
      <c r="M309" s="237" t="n"/>
      <c r="N309" s="194" t="n"/>
      <c r="O309" s="194" t="n"/>
      <c r="P309" s="194" t="n"/>
      <c r="Q309" s="194" t="n"/>
      <c r="R309" s="194" t="n"/>
      <c r="S309" s="194" t="n"/>
      <c r="T309" s="194" t="n"/>
      <c r="U309" s="194" t="n"/>
      <c r="V309" s="194" t="n"/>
      <c r="W309" s="194" t="n"/>
      <c r="X309" s="194" t="n"/>
      <c r="Y309" s="194" t="n"/>
      <c r="Z309" s="194" t="n"/>
      <c r="AA309" s="194" t="n"/>
      <c r="AB309" s="194" t="n"/>
      <c r="AC309" s="194" t="n"/>
      <c r="AD309" s="1143" t="n"/>
      <c r="AE309" s="1143" t="n"/>
      <c r="AF309" s="1143" t="n"/>
      <c r="AG309" s="1143" t="n"/>
      <c r="AH309" s="1143" t="n"/>
      <c r="AI309" s="1143" t="n"/>
      <c r="AJ309" s="1143" t="n"/>
      <c r="AK309" s="1143" t="n"/>
      <c r="AL309" s="1143" t="n"/>
      <c r="AM309" s="1143">
        <f>2710/6/2</f>
        <v/>
      </c>
      <c r="AN309" s="1143">
        <f>2710/6/2</f>
        <v/>
      </c>
      <c r="AO309" s="1143">
        <f>AN309*1.02</f>
        <v/>
      </c>
      <c r="AP309" s="1143">
        <f>AO309*1.02</f>
        <v/>
      </c>
      <c r="AQ309" s="1143">
        <f>AP309*1.02</f>
        <v/>
      </c>
      <c r="AR309" s="1143">
        <f>AQ309*1.02</f>
        <v/>
      </c>
      <c r="AS309" s="1143">
        <f>AR309*1.02</f>
        <v/>
      </c>
      <c r="AT309" s="1143">
        <f>AS309*1.02</f>
        <v/>
      </c>
      <c r="AU309" s="962" t="n"/>
      <c r="ES309" s="320" t="n"/>
      <c r="EW309" s="320" t="n"/>
      <c r="FA309" s="320" t="n"/>
      <c r="FE309" s="320" t="n"/>
      <c r="FN309" s="965" t="n"/>
    </row>
    <row r="310">
      <c r="B310" s="961" t="inlineStr">
        <is>
          <t>747-400</t>
        </is>
      </c>
      <c r="C310" s="237" t="n"/>
      <c r="D310" s="237" t="n"/>
      <c r="E310" s="237" t="n"/>
      <c r="F310" s="237" t="n"/>
      <c r="G310" s="237" t="n"/>
      <c r="H310" s="237" t="n"/>
      <c r="I310" s="237" t="n"/>
      <c r="J310" s="237" t="n"/>
      <c r="K310" s="237" t="n"/>
      <c r="L310" s="237" t="n"/>
      <c r="M310" s="237" t="n"/>
      <c r="N310" s="194">
        <f>O310/1.02</f>
        <v/>
      </c>
      <c r="O310" s="194">
        <f>P310/1.02</f>
        <v/>
      </c>
      <c r="P310" s="194">
        <f>Q310/1.02</f>
        <v/>
      </c>
      <c r="Q310" s="194">
        <f>R310/1.02</f>
        <v/>
      </c>
      <c r="R310" s="194">
        <f>S310/1.02</f>
        <v/>
      </c>
      <c r="S310" s="194">
        <f>T310/1.02</f>
        <v/>
      </c>
      <c r="T310" s="194">
        <f>U310/1.02</f>
        <v/>
      </c>
      <c r="U310" s="194">
        <f>V310/1.02</f>
        <v/>
      </c>
      <c r="V310" s="194">
        <f>W310/1.02</f>
        <v/>
      </c>
      <c r="W310" s="194">
        <f>X310/1.02</f>
        <v/>
      </c>
      <c r="X310" s="1143">
        <f>250.25*0.6</f>
        <v/>
      </c>
      <c r="Y310" s="194">
        <f>X310*1.02</f>
        <v/>
      </c>
      <c r="Z310" s="194">
        <f>Y310*1.02</f>
        <v/>
      </c>
      <c r="AA310" s="194">
        <f>Z310*1.02</f>
        <v/>
      </c>
      <c r="AB310" s="194">
        <f>AA310*1.02</f>
        <v/>
      </c>
      <c r="AC310" s="194">
        <f>AB310*1.02</f>
        <v/>
      </c>
      <c r="AD310" s="194">
        <f>AC310*1.02</f>
        <v/>
      </c>
      <c r="AE310" s="194">
        <f>AD310*1.02</f>
        <v/>
      </c>
      <c r="AF310" s="194">
        <f>AE310*1.02</f>
        <v/>
      </c>
      <c r="AG310" s="194">
        <f>AF310*1.02</f>
        <v/>
      </c>
      <c r="AH310" s="194">
        <f>AG310*1.02</f>
        <v/>
      </c>
      <c r="AI310" s="194">
        <f>AH310*1.02</f>
        <v/>
      </c>
      <c r="AJ310" s="194">
        <f>AI310*1.02</f>
        <v/>
      </c>
      <c r="AK310" s="194">
        <f>AJ310*1.02</f>
        <v/>
      </c>
      <c r="AL310" s="194">
        <f>AK310*1.02</f>
        <v/>
      </c>
      <c r="AM310" s="194">
        <f>AL310*1.02</f>
        <v/>
      </c>
      <c r="AN310" s="194">
        <f>AM310*1.02</f>
        <v/>
      </c>
      <c r="AO310" s="194">
        <f>AN310*1.02</f>
        <v/>
      </c>
      <c r="AP310" s="194">
        <f>AO310*1.02</f>
        <v/>
      </c>
      <c r="AQ310" s="962">
        <f>AP310*1.02</f>
        <v/>
      </c>
      <c r="AR310" s="962">
        <f>AQ310*1.02</f>
        <v/>
      </c>
      <c r="AS310" s="962">
        <f>AR310*1.02</f>
        <v/>
      </c>
      <c r="AT310" s="962">
        <f>AS310*1.02</f>
        <v/>
      </c>
      <c r="AU310" s="962" t="n"/>
      <c r="ES310" s="320" t="n"/>
      <c r="EW310" s="320" t="n"/>
      <c r="FA310" s="320" t="n"/>
      <c r="FE310" s="320" t="n"/>
      <c r="FN310" s="965" t="n"/>
    </row>
    <row r="311">
      <c r="B311" s="961" t="inlineStr">
        <is>
          <t>747-200</t>
        </is>
      </c>
      <c r="C311" s="237" t="n"/>
      <c r="D311" s="237" t="n"/>
      <c r="E311" s="237" t="n"/>
      <c r="F311" s="237" t="n"/>
      <c r="G311" s="237" t="n"/>
      <c r="H311" s="237" t="n"/>
      <c r="I311" s="237" t="n"/>
      <c r="J311" s="237" t="n"/>
      <c r="K311" s="237" t="n"/>
      <c r="L311" s="237" t="n"/>
      <c r="M311" s="237" t="n"/>
      <c r="N311" s="194">
        <f>O311/1.02</f>
        <v/>
      </c>
      <c r="O311" s="194">
        <f>P311/1.02</f>
        <v/>
      </c>
      <c r="P311" s="194">
        <f>Q311/1.02</f>
        <v/>
      </c>
      <c r="Q311" s="194">
        <f>R311/1.02</f>
        <v/>
      </c>
      <c r="R311" s="194">
        <f>S311/1.02</f>
        <v/>
      </c>
      <c r="S311" s="194">
        <f>T311/1.02</f>
        <v/>
      </c>
      <c r="T311" s="194">
        <f>U311/1.02</f>
        <v/>
      </c>
      <c r="U311" s="194">
        <f>V311/1.02</f>
        <v/>
      </c>
      <c r="V311" s="194">
        <f>W311/1.02</f>
        <v/>
      </c>
      <c r="W311" s="194">
        <f>X311/1.02</f>
        <v/>
      </c>
      <c r="X311" s="1143">
        <f>250.25*0.6</f>
        <v/>
      </c>
      <c r="Y311" s="194">
        <f>X311*1.02</f>
        <v/>
      </c>
      <c r="Z311" s="194">
        <f>Y311*1.02</f>
        <v/>
      </c>
      <c r="AA311" s="194">
        <f>Z311*1.02</f>
        <v/>
      </c>
      <c r="AB311" s="194">
        <f>AA311*1.02</f>
        <v/>
      </c>
      <c r="AC311" s="194">
        <f>AB311*1.02</f>
        <v/>
      </c>
      <c r="AD311" s="194">
        <f>AC311*1.02</f>
        <v/>
      </c>
      <c r="AE311" s="194">
        <f>AD311*1.02</f>
        <v/>
      </c>
      <c r="AF311" s="194">
        <f>AE311*1.02</f>
        <v/>
      </c>
      <c r="AG311" s="194">
        <f>AF311*1.02</f>
        <v/>
      </c>
      <c r="AH311" s="194">
        <f>AG311*1.02</f>
        <v/>
      </c>
      <c r="AI311" s="194">
        <f>AH311*1.02</f>
        <v/>
      </c>
      <c r="AJ311" s="194">
        <f>AI311*1.02</f>
        <v/>
      </c>
      <c r="AK311" s="194">
        <f>AJ311*1.02</f>
        <v/>
      </c>
      <c r="AL311" s="194">
        <f>AK311*1.02</f>
        <v/>
      </c>
      <c r="AM311" s="194">
        <f>AL311*1.02</f>
        <v/>
      </c>
      <c r="AN311" s="194">
        <f>AM311*1.02</f>
        <v/>
      </c>
      <c r="AO311" s="194">
        <f>AN311*1.02</f>
        <v/>
      </c>
      <c r="AP311" s="194">
        <f>AO311*1.02</f>
        <v/>
      </c>
      <c r="AQ311" s="962">
        <f>AP311*1.02</f>
        <v/>
      </c>
      <c r="AR311" s="962">
        <f>AQ311*1.02</f>
        <v/>
      </c>
      <c r="AS311" s="962">
        <f>AR311*1.02</f>
        <v/>
      </c>
      <c r="AT311" s="962">
        <f>AS311*1.02</f>
        <v/>
      </c>
      <c r="AU311" s="962" t="n"/>
      <c r="ES311" s="320" t="n"/>
      <c r="EW311" s="320" t="n"/>
      <c r="FA311" s="320" t="n"/>
      <c r="FE311" s="320" t="n"/>
      <c r="FN311" s="965" t="n"/>
    </row>
    <row r="312">
      <c r="B312" s="961" t="inlineStr">
        <is>
          <t>747-200F</t>
        </is>
      </c>
      <c r="C312" s="237" t="n"/>
      <c r="D312" s="237" t="n"/>
      <c r="E312" s="237" t="n"/>
      <c r="F312" s="237" t="n"/>
      <c r="G312" s="237" t="n"/>
      <c r="H312" s="237" t="n"/>
      <c r="I312" s="237" t="n"/>
      <c r="J312" s="237" t="n"/>
      <c r="K312" s="237" t="n"/>
      <c r="L312" s="237" t="n"/>
      <c r="M312" s="237" t="n"/>
      <c r="N312" s="194">
        <f>O312/1.02</f>
        <v/>
      </c>
      <c r="O312" s="194">
        <f>P312/1.02</f>
        <v/>
      </c>
      <c r="P312" s="194">
        <f>Q312/1.02</f>
        <v/>
      </c>
      <c r="Q312" s="194">
        <f>R312/1.02</f>
        <v/>
      </c>
      <c r="R312" s="194">
        <f>S312/1.02</f>
        <v/>
      </c>
      <c r="S312" s="194">
        <f>T312/1.02</f>
        <v/>
      </c>
      <c r="T312" s="194">
        <f>U312/1.02</f>
        <v/>
      </c>
      <c r="U312" s="194">
        <f>V312/1.02</f>
        <v/>
      </c>
      <c r="V312" s="194">
        <f>W312/1.02</f>
        <v/>
      </c>
      <c r="W312" s="194">
        <f>X312/1.02</f>
        <v/>
      </c>
      <c r="X312" s="1143">
        <f>253*0.6</f>
        <v/>
      </c>
      <c r="Y312" s="194">
        <f>X312*1.02</f>
        <v/>
      </c>
      <c r="Z312" s="194">
        <f>Y312*1.02</f>
        <v/>
      </c>
      <c r="AA312" s="194">
        <f>Z312*1.02</f>
        <v/>
      </c>
      <c r="AB312" s="194">
        <f>AA312*1.02</f>
        <v/>
      </c>
      <c r="AC312" s="194">
        <f>AB312*1.02</f>
        <v/>
      </c>
      <c r="AD312" s="194">
        <f>AC312*1.02</f>
        <v/>
      </c>
      <c r="AE312" s="194">
        <f>AD312*1.02</f>
        <v/>
      </c>
      <c r="AF312" s="194">
        <f>AE312*1.02</f>
        <v/>
      </c>
      <c r="AG312" s="194">
        <f>AF312*1.02</f>
        <v/>
      </c>
      <c r="AH312" s="194">
        <f>AG312*1.02</f>
        <v/>
      </c>
      <c r="AI312" s="194">
        <f>AH312*1.02</f>
        <v/>
      </c>
      <c r="AJ312" s="194">
        <f>AI312*1.02</f>
        <v/>
      </c>
      <c r="AK312" s="194">
        <f>AJ312*1.02</f>
        <v/>
      </c>
      <c r="AL312" s="194">
        <f>AK312*1.02</f>
        <v/>
      </c>
      <c r="AM312" s="194">
        <f>AL312*1.02</f>
        <v/>
      </c>
      <c r="AN312" s="194">
        <f>AM312*1.02</f>
        <v/>
      </c>
      <c r="AO312" s="194">
        <f>AN312*1.02</f>
        <v/>
      </c>
      <c r="AP312" s="194">
        <f>AO312*1.02</f>
        <v/>
      </c>
      <c r="AQ312" s="962">
        <f>AP312*1.02</f>
        <v/>
      </c>
      <c r="AR312" s="962">
        <f>AQ312*1.02</f>
        <v/>
      </c>
      <c r="AS312" s="962">
        <f>AR312*1.02</f>
        <v/>
      </c>
      <c r="AT312" s="962">
        <f>AS312*1.02</f>
        <v/>
      </c>
      <c r="AU312" s="962" t="n"/>
      <c r="ES312" s="320" t="n"/>
      <c r="EW312" s="320" t="n"/>
      <c r="FA312" s="320" t="n"/>
      <c r="FE312" s="320" t="n"/>
      <c r="FN312" s="965" t="n"/>
    </row>
    <row r="313">
      <c r="B313" s="961" t="inlineStr">
        <is>
          <t>747-300</t>
        </is>
      </c>
      <c r="C313" s="237" t="n"/>
      <c r="D313" s="237" t="n"/>
      <c r="E313" s="237" t="n"/>
      <c r="F313" s="237" t="n"/>
      <c r="G313" s="237" t="n"/>
      <c r="H313" s="237" t="n"/>
      <c r="I313" s="237" t="n"/>
      <c r="J313" s="237" t="n"/>
      <c r="K313" s="237" t="n"/>
      <c r="L313" s="237" t="n"/>
      <c r="M313" s="237" t="n"/>
      <c r="N313" s="194">
        <f>O313/1.02</f>
        <v/>
      </c>
      <c r="O313" s="194">
        <f>P313/1.02</f>
        <v/>
      </c>
      <c r="P313" s="194">
        <f>Q313/1.02</f>
        <v/>
      </c>
      <c r="Q313" s="194">
        <f>R313/1.02</f>
        <v/>
      </c>
      <c r="R313" s="194">
        <f>S313/1.02</f>
        <v/>
      </c>
      <c r="S313" s="194">
        <f>T313/1.02</f>
        <v/>
      </c>
      <c r="T313" s="194">
        <f>U313/1.02</f>
        <v/>
      </c>
      <c r="U313" s="194">
        <f>V313/1.02</f>
        <v/>
      </c>
      <c r="V313" s="194">
        <f>W313/1.02</f>
        <v/>
      </c>
      <c r="W313" s="194">
        <f>X313/1.02</f>
        <v/>
      </c>
      <c r="X313" s="1143">
        <f>250.25*0.6</f>
        <v/>
      </c>
      <c r="Y313" s="194">
        <f>X313*1.02</f>
        <v/>
      </c>
      <c r="Z313" s="194">
        <f>Y313*1.02</f>
        <v/>
      </c>
      <c r="AA313" s="194">
        <f>Z313*1.02</f>
        <v/>
      </c>
      <c r="AB313" s="194">
        <f>AA313*1.02</f>
        <v/>
      </c>
      <c r="AC313" s="194">
        <f>AB313*1.02</f>
        <v/>
      </c>
      <c r="AD313" s="194">
        <f>AC313*1.02</f>
        <v/>
      </c>
      <c r="AE313" s="194">
        <f>AD313*1.02</f>
        <v/>
      </c>
      <c r="AF313" s="194">
        <f>AE313*1.02</f>
        <v/>
      </c>
      <c r="AG313" s="194">
        <f>AF313*1.02</f>
        <v/>
      </c>
      <c r="AH313" s="194">
        <f>AG313*1.02</f>
        <v/>
      </c>
      <c r="AI313" s="194">
        <f>AH313*1.02</f>
        <v/>
      </c>
      <c r="AJ313" s="194">
        <f>AI313*1.02</f>
        <v/>
      </c>
      <c r="AK313" s="194">
        <f>AJ313*1.02</f>
        <v/>
      </c>
      <c r="AL313" s="194">
        <f>AK313*1.02</f>
        <v/>
      </c>
      <c r="AM313" s="194">
        <f>AL313*1.02</f>
        <v/>
      </c>
      <c r="AN313" s="194">
        <f>AM313*1.02</f>
        <v/>
      </c>
      <c r="AO313" s="194">
        <f>AN313*1.02</f>
        <v/>
      </c>
      <c r="AP313" s="194">
        <f>AO313*1.02</f>
        <v/>
      </c>
      <c r="AQ313" s="962">
        <f>AP313*1.02</f>
        <v/>
      </c>
      <c r="AR313" s="962">
        <f>AQ313*1.02</f>
        <v/>
      </c>
      <c r="AS313" s="962">
        <f>AR313*1.02</f>
        <v/>
      </c>
      <c r="AT313" s="962">
        <f>AS313*1.02</f>
        <v/>
      </c>
      <c r="AU313" s="962" t="n"/>
      <c r="ES313" s="320" t="n"/>
      <c r="EW313" s="320" t="n"/>
      <c r="FA313" s="320" t="n"/>
      <c r="FE313" s="320" t="n"/>
      <c r="FN313" s="965" t="n"/>
    </row>
    <row r="314">
      <c r="B314" s="961" t="inlineStr">
        <is>
          <t>747-300F/SF</t>
        </is>
      </c>
      <c r="C314" s="237" t="n"/>
      <c r="D314" s="237" t="n"/>
      <c r="E314" s="237" t="n"/>
      <c r="F314" s="237" t="n"/>
      <c r="G314" s="237" t="n"/>
      <c r="H314" s="237" t="n"/>
      <c r="I314" s="237" t="n"/>
      <c r="J314" s="237" t="n"/>
      <c r="K314" s="237" t="n"/>
      <c r="L314" s="237" t="n"/>
      <c r="M314" s="237" t="n"/>
      <c r="N314" s="194">
        <f>O314/1.02</f>
        <v/>
      </c>
      <c r="O314" s="194">
        <f>P314/1.02</f>
        <v/>
      </c>
      <c r="P314" s="194">
        <f>Q314/1.02</f>
        <v/>
      </c>
      <c r="Q314" s="194">
        <f>R314/1.02</f>
        <v/>
      </c>
      <c r="R314" s="194">
        <f>S314/1.02</f>
        <v/>
      </c>
      <c r="S314" s="194">
        <f>T314/1.02</f>
        <v/>
      </c>
      <c r="T314" s="194">
        <f>U314/1.02</f>
        <v/>
      </c>
      <c r="U314" s="194">
        <f>V314/1.02</f>
        <v/>
      </c>
      <c r="V314" s="194">
        <f>W314/1.02</f>
        <v/>
      </c>
      <c r="W314" s="194">
        <f>X314/1.02</f>
        <v/>
      </c>
      <c r="X314" s="1143">
        <f>250.25*0.6</f>
        <v/>
      </c>
      <c r="Y314" s="194">
        <f>X314*1.02</f>
        <v/>
      </c>
      <c r="Z314" s="194">
        <f>Y314*1.02</f>
        <v/>
      </c>
      <c r="AA314" s="194">
        <f>Z314*1.02</f>
        <v/>
      </c>
      <c r="AB314" s="194">
        <f>AA314*1.02</f>
        <v/>
      </c>
      <c r="AC314" s="194">
        <f>AB314*1.02</f>
        <v/>
      </c>
      <c r="AD314" s="194">
        <f>AC314*1.02</f>
        <v/>
      </c>
      <c r="AE314" s="194">
        <f>AD314*1.02</f>
        <v/>
      </c>
      <c r="AF314" s="194">
        <f>AE314*1.02</f>
        <v/>
      </c>
      <c r="AG314" s="194">
        <f>AF314*1.02</f>
        <v/>
      </c>
      <c r="AH314" s="194">
        <f>AG314*1.02</f>
        <v/>
      </c>
      <c r="AI314" s="194">
        <f>AH314*1.02</f>
        <v/>
      </c>
      <c r="AJ314" s="194">
        <f>AI314*1.02</f>
        <v/>
      </c>
      <c r="AK314" s="194">
        <f>AJ314*1.02</f>
        <v/>
      </c>
      <c r="AL314" s="194">
        <f>AK314*1.02</f>
        <v/>
      </c>
      <c r="AM314" s="194">
        <f>AL314*1.02</f>
        <v/>
      </c>
      <c r="AN314" s="194">
        <f>AM314*1.02</f>
        <v/>
      </c>
      <c r="AO314" s="194">
        <f>AN314*1.02</f>
        <v/>
      </c>
      <c r="AP314" s="194">
        <f>AO314*1.02</f>
        <v/>
      </c>
      <c r="AQ314" s="962">
        <f>AP314*1.02</f>
        <v/>
      </c>
      <c r="AR314" s="962">
        <f>AQ314*1.02</f>
        <v/>
      </c>
      <c r="AS314" s="962">
        <f>AR314*1.02</f>
        <v/>
      </c>
      <c r="AT314" s="962">
        <f>AS314*1.02</f>
        <v/>
      </c>
      <c r="AU314" s="962" t="n"/>
      <c r="ES314" s="320" t="n"/>
      <c r="EW314" s="320" t="n"/>
      <c r="FA314" s="320" t="n"/>
      <c r="FE314" s="320" t="n"/>
      <c r="FN314" s="965" t="n"/>
    </row>
    <row r="315">
      <c r="B315" s="961" t="inlineStr">
        <is>
          <t>747-300SF</t>
        </is>
      </c>
      <c r="C315" s="237" t="n"/>
      <c r="D315" s="237" t="n"/>
      <c r="E315" s="237" t="n"/>
      <c r="F315" s="237" t="n"/>
      <c r="G315" s="237" t="n"/>
      <c r="H315" s="237" t="n"/>
      <c r="I315" s="237" t="n"/>
      <c r="J315" s="237" t="n"/>
      <c r="K315" s="237" t="n"/>
      <c r="L315" s="237" t="n"/>
      <c r="M315" s="237" t="n"/>
      <c r="N315" s="194">
        <f>O315/1.02</f>
        <v/>
      </c>
      <c r="O315" s="194">
        <f>P315/1.02</f>
        <v/>
      </c>
      <c r="P315" s="194">
        <f>Q315/1.02</f>
        <v/>
      </c>
      <c r="Q315" s="194">
        <f>R315/1.02</f>
        <v/>
      </c>
      <c r="R315" s="194">
        <f>S315/1.02</f>
        <v/>
      </c>
      <c r="S315" s="194">
        <f>T315/1.02</f>
        <v/>
      </c>
      <c r="T315" s="194">
        <f>U315/1.02</f>
        <v/>
      </c>
      <c r="U315" s="194">
        <f>V315/1.02</f>
        <v/>
      </c>
      <c r="V315" s="194">
        <f>W315/1.02</f>
        <v/>
      </c>
      <c r="W315" s="194">
        <f>X315/1.02</f>
        <v/>
      </c>
      <c r="X315" s="1143">
        <f>250.25*0.6</f>
        <v/>
      </c>
      <c r="Y315" s="194">
        <f>X315*1.02</f>
        <v/>
      </c>
      <c r="Z315" s="194">
        <f>Y315*1.02</f>
        <v/>
      </c>
      <c r="AA315" s="194">
        <f>Z315*1.02</f>
        <v/>
      </c>
      <c r="AB315" s="194">
        <f>AA315*1.02</f>
        <v/>
      </c>
      <c r="AC315" s="194">
        <f>AB315*1.02</f>
        <v/>
      </c>
      <c r="AD315" s="194">
        <f>AC315*1.02</f>
        <v/>
      </c>
      <c r="AE315" s="194">
        <f>AD315*1.02</f>
        <v/>
      </c>
      <c r="AF315" s="194">
        <f>AE315*1.02</f>
        <v/>
      </c>
      <c r="AG315" s="194">
        <f>AF315*1.02</f>
        <v/>
      </c>
      <c r="AH315" s="194">
        <f>AG315*1.02</f>
        <v/>
      </c>
      <c r="AI315" s="194">
        <f>AH315*1.02</f>
        <v/>
      </c>
      <c r="AJ315" s="194">
        <f>AI315*1.02</f>
        <v/>
      </c>
      <c r="AK315" s="194">
        <f>AJ315*1.02</f>
        <v/>
      </c>
      <c r="AL315" s="194">
        <f>AK315*1.02</f>
        <v/>
      </c>
      <c r="AM315" s="194">
        <f>AL315*1.02</f>
        <v/>
      </c>
      <c r="AN315" s="194">
        <f>AM315*1.02</f>
        <v/>
      </c>
      <c r="AO315" s="194">
        <f>AN315*1.02</f>
        <v/>
      </c>
      <c r="AP315" s="194">
        <f>AO315*1.02</f>
        <v/>
      </c>
      <c r="AQ315" s="962">
        <f>AP315*1.02</f>
        <v/>
      </c>
      <c r="AR315" s="962">
        <f>AQ315*1.02</f>
        <v/>
      </c>
      <c r="AS315" s="962">
        <f>AR315*1.02</f>
        <v/>
      </c>
      <c r="AT315" s="962">
        <f>AS315*1.02</f>
        <v/>
      </c>
      <c r="AU315" s="962" t="n"/>
      <c r="ES315" s="320" t="n"/>
      <c r="EW315" s="320" t="n"/>
      <c r="FA315" s="320" t="n"/>
      <c r="FE315" s="320" t="n"/>
      <c r="FN315" s="965" t="n"/>
    </row>
    <row r="316">
      <c r="B316" s="961" t="inlineStr">
        <is>
          <t>747-400F</t>
        </is>
      </c>
      <c r="C316" s="237" t="n"/>
      <c r="D316" s="237" t="n"/>
      <c r="E316" s="237" t="n"/>
      <c r="F316" s="237" t="n"/>
      <c r="G316" s="237" t="n"/>
      <c r="H316" s="237" t="n"/>
      <c r="I316" s="237" t="n"/>
      <c r="J316" s="237" t="n"/>
      <c r="K316" s="237" t="n"/>
      <c r="L316" s="237" t="n"/>
      <c r="M316" s="237" t="n"/>
      <c r="N316" s="194">
        <f>O316/1.02</f>
        <v/>
      </c>
      <c r="O316" s="194">
        <f>P316/1.02</f>
        <v/>
      </c>
      <c r="P316" s="194">
        <f>Q316/1.02</f>
        <v/>
      </c>
      <c r="Q316" s="194">
        <f>R316/1.02</f>
        <v/>
      </c>
      <c r="R316" s="194">
        <f>S316/1.02</f>
        <v/>
      </c>
      <c r="S316" s="194">
        <f>T316/1.02</f>
        <v/>
      </c>
      <c r="T316" s="194">
        <f>U316/1.02</f>
        <v/>
      </c>
      <c r="U316" s="194">
        <f>V316/1.02</f>
        <v/>
      </c>
      <c r="V316" s="194">
        <f>W316/1.02</f>
        <v/>
      </c>
      <c r="W316" s="194">
        <f>X316/1.02</f>
        <v/>
      </c>
      <c r="X316" s="1143">
        <f>253*0.6</f>
        <v/>
      </c>
      <c r="Y316" s="194">
        <f>X316*1.02</f>
        <v/>
      </c>
      <c r="Z316" s="194">
        <f>Y316*1.02</f>
        <v/>
      </c>
      <c r="AA316" s="194">
        <f>Z316*1.02</f>
        <v/>
      </c>
      <c r="AB316" s="194">
        <f>AA316*1.02</f>
        <v/>
      </c>
      <c r="AC316" s="194">
        <f>AB316*1.02</f>
        <v/>
      </c>
      <c r="AD316" s="194">
        <f>AC316*1.02</f>
        <v/>
      </c>
      <c r="AE316" s="194">
        <f>AD316*1.02</f>
        <v/>
      </c>
      <c r="AF316" s="194">
        <f>AE316*1.02</f>
        <v/>
      </c>
      <c r="AG316" s="194">
        <f>AF316*1.02</f>
        <v/>
      </c>
      <c r="AH316" s="194">
        <f>AG316*1.02</f>
        <v/>
      </c>
      <c r="AI316" s="194">
        <f>AH316*1.02</f>
        <v/>
      </c>
      <c r="AJ316" s="194">
        <f>AI316*1.02</f>
        <v/>
      </c>
      <c r="AK316" s="194">
        <f>AJ316*1.02</f>
        <v/>
      </c>
      <c r="AL316" s="194">
        <f>AK316*1.02</f>
        <v/>
      </c>
      <c r="AM316" s="194">
        <f>AL316*1.02</f>
        <v/>
      </c>
      <c r="AN316" s="194">
        <f>AM316*1.02</f>
        <v/>
      </c>
      <c r="AO316" s="194">
        <f>AN316*1.02</f>
        <v/>
      </c>
      <c r="AP316" s="194">
        <f>AO316*1.02</f>
        <v/>
      </c>
      <c r="AQ316" s="962">
        <f>AP316*1.02</f>
        <v/>
      </c>
      <c r="AR316" s="962">
        <f>AQ316*1.02</f>
        <v/>
      </c>
      <c r="AS316" s="962">
        <f>AR316*1.02</f>
        <v/>
      </c>
      <c r="AT316" s="962">
        <f>AS316*1.02</f>
        <v/>
      </c>
      <c r="AU316" s="962" t="n"/>
      <c r="ES316" s="320" t="n"/>
      <c r="EW316" s="320" t="n"/>
      <c r="FA316" s="320" t="n"/>
      <c r="FE316" s="320" t="n"/>
      <c r="FN316" s="965" t="n"/>
    </row>
    <row r="317">
      <c r="B317" s="961" t="inlineStr">
        <is>
          <t>747-400BCF</t>
        </is>
      </c>
      <c r="C317" s="237" t="n"/>
      <c r="D317" s="237" t="n"/>
      <c r="E317" s="237" t="n"/>
      <c r="F317" s="237" t="n"/>
      <c r="G317" s="237" t="n"/>
      <c r="H317" s="237" t="n"/>
      <c r="I317" s="237" t="n"/>
      <c r="J317" s="237" t="n"/>
      <c r="K317" s="237" t="n"/>
      <c r="L317" s="237" t="n"/>
      <c r="M317" s="237" t="n"/>
      <c r="N317" s="194">
        <f>O317/1.02</f>
        <v/>
      </c>
      <c r="O317" s="194">
        <f>P317/1.02</f>
        <v/>
      </c>
      <c r="P317" s="194">
        <f>Q317/1.02</f>
        <v/>
      </c>
      <c r="Q317" s="194">
        <f>R317/1.02</f>
        <v/>
      </c>
      <c r="R317" s="194">
        <f>S317/1.02</f>
        <v/>
      </c>
      <c r="S317" s="194">
        <f>T317/1.02</f>
        <v/>
      </c>
      <c r="T317" s="194">
        <f>U317/1.02</f>
        <v/>
      </c>
      <c r="U317" s="194">
        <f>V317/1.02</f>
        <v/>
      </c>
      <c r="V317" s="194">
        <f>W317/1.02</f>
        <v/>
      </c>
      <c r="W317" s="194">
        <f>X317/1.02</f>
        <v/>
      </c>
      <c r="X317" s="1143">
        <f>250.25*0.6</f>
        <v/>
      </c>
      <c r="Y317" s="194">
        <f>X317*1.02</f>
        <v/>
      </c>
      <c r="Z317" s="194">
        <f>Y317*1.02</f>
        <v/>
      </c>
      <c r="AA317" s="194">
        <f>Z317*1.02</f>
        <v/>
      </c>
      <c r="AB317" s="194">
        <f>AA317*1.02</f>
        <v/>
      </c>
      <c r="AC317" s="194">
        <f>AB317*1.02</f>
        <v/>
      </c>
      <c r="AD317" s="194">
        <f>AC317*1.02</f>
        <v/>
      </c>
      <c r="AE317" s="194">
        <f>AD317*1.02</f>
        <v/>
      </c>
      <c r="AF317" s="194">
        <f>AE317*1.02</f>
        <v/>
      </c>
      <c r="AG317" s="194">
        <f>AF317*1.02</f>
        <v/>
      </c>
      <c r="AH317" s="194">
        <f>AG317*1.02</f>
        <v/>
      </c>
      <c r="AI317" s="194">
        <f>AH317*1.02</f>
        <v/>
      </c>
      <c r="AJ317" s="194">
        <f>AI317*1.02</f>
        <v/>
      </c>
      <c r="AK317" s="194">
        <f>AJ317*1.02</f>
        <v/>
      </c>
      <c r="AL317" s="194">
        <f>AK317*1.02</f>
        <v/>
      </c>
      <c r="AM317" s="194">
        <f>AL317*1.02</f>
        <v/>
      </c>
      <c r="AN317" s="194">
        <f>AM317*1.02</f>
        <v/>
      </c>
      <c r="AO317" s="194">
        <f>AN317*1.02</f>
        <v/>
      </c>
      <c r="AP317" s="194">
        <f>AO317*1.02</f>
        <v/>
      </c>
      <c r="AQ317" s="962">
        <f>AP317*1.02</f>
        <v/>
      </c>
      <c r="AR317" s="962">
        <f>AQ317*1.02</f>
        <v/>
      </c>
      <c r="AS317" s="962">
        <f>AR317*1.02</f>
        <v/>
      </c>
      <c r="AT317" s="962">
        <f>AS317*1.02</f>
        <v/>
      </c>
      <c r="AU317" s="962" t="n"/>
      <c r="ES317" s="320" t="n"/>
      <c r="EW317" s="320" t="n"/>
      <c r="FA317" s="320" t="n"/>
      <c r="FE317" s="320" t="n"/>
      <c r="FN317" s="965" t="n"/>
    </row>
    <row r="318">
      <c r="B318" s="961" t="inlineStr">
        <is>
          <t>747-400ERF</t>
        </is>
      </c>
      <c r="C318" s="237" t="n"/>
      <c r="D318" s="237" t="n"/>
      <c r="E318" s="237" t="n"/>
      <c r="F318" s="237" t="n"/>
      <c r="G318" s="237" t="n"/>
      <c r="H318" s="237" t="n"/>
      <c r="I318" s="237" t="n"/>
      <c r="J318" s="237" t="n"/>
      <c r="K318" s="237" t="n"/>
      <c r="L318" s="237" t="n"/>
      <c r="M318" s="237" t="n"/>
      <c r="N318" s="194">
        <f>O318/1.02</f>
        <v/>
      </c>
      <c r="O318" s="194">
        <f>P318/1.02</f>
        <v/>
      </c>
      <c r="P318" s="194">
        <f>Q318/1.02</f>
        <v/>
      </c>
      <c r="Q318" s="194">
        <f>R318/1.02</f>
        <v/>
      </c>
      <c r="R318" s="194">
        <f>S318/1.02</f>
        <v/>
      </c>
      <c r="S318" s="194">
        <f>T318/1.02</f>
        <v/>
      </c>
      <c r="T318" s="194">
        <f>U318/1.02</f>
        <v/>
      </c>
      <c r="U318" s="194">
        <f>V318/1.02</f>
        <v/>
      </c>
      <c r="V318" s="194">
        <f>W318/1.02</f>
        <v/>
      </c>
      <c r="W318" s="194">
        <f>X318/1.02</f>
        <v/>
      </c>
      <c r="X318" s="1143">
        <f>250.25*0.6</f>
        <v/>
      </c>
      <c r="Y318" s="194">
        <f>X318*1.02</f>
        <v/>
      </c>
      <c r="Z318" s="194">
        <f>Y318*1.02</f>
        <v/>
      </c>
      <c r="AA318" s="194">
        <f>Z318*1.02</f>
        <v/>
      </c>
      <c r="AB318" s="194">
        <f>AA318*1.02</f>
        <v/>
      </c>
      <c r="AC318" s="194">
        <f>AB318*1.02</f>
        <v/>
      </c>
      <c r="AD318" s="194">
        <f>AC318*1.02</f>
        <v/>
      </c>
      <c r="AE318" s="194">
        <f>AD318*1.02</f>
        <v/>
      </c>
      <c r="AF318" s="194">
        <f>AE318*1.02</f>
        <v/>
      </c>
      <c r="AG318" s="194">
        <f>AF318*1.02</f>
        <v/>
      </c>
      <c r="AH318" s="194">
        <f>AG318*1.02</f>
        <v/>
      </c>
      <c r="AI318" s="194">
        <f>AH318*1.02</f>
        <v/>
      </c>
      <c r="AJ318" s="194">
        <f>AI318*1.02</f>
        <v/>
      </c>
      <c r="AK318" s="194">
        <f>AJ318*1.02</f>
        <v/>
      </c>
      <c r="AL318" s="194">
        <f>AK318*1.02</f>
        <v/>
      </c>
      <c r="AM318" s="194">
        <f>AL318*1.02</f>
        <v/>
      </c>
      <c r="AN318" s="194">
        <f>AM318*1.02</f>
        <v/>
      </c>
      <c r="AO318" s="194">
        <f>AN318*1.02</f>
        <v/>
      </c>
      <c r="AP318" s="194">
        <f>AO318*1.02</f>
        <v/>
      </c>
      <c r="AQ318" s="962">
        <f>AP318*1.02</f>
        <v/>
      </c>
      <c r="AR318" s="962">
        <f>AQ318*1.02</f>
        <v/>
      </c>
      <c r="AS318" s="962">
        <f>AR318*1.02</f>
        <v/>
      </c>
      <c r="AT318" s="962">
        <f>AS318*1.02</f>
        <v/>
      </c>
      <c r="AU318" s="962" t="n"/>
      <c r="ES318" s="320" t="n"/>
      <c r="EW318" s="320" t="n"/>
      <c r="FA318" s="320" t="n"/>
      <c r="FE318" s="320" t="n"/>
      <c r="FN318" s="965" t="n"/>
    </row>
    <row r="319">
      <c r="B319" s="961" t="inlineStr">
        <is>
          <t>747-8F</t>
        </is>
      </c>
      <c r="C319" s="237" t="n"/>
      <c r="D319" s="237" t="n"/>
      <c r="E319" s="237" t="n"/>
      <c r="F319" s="237" t="n"/>
      <c r="G319" s="237" t="n"/>
      <c r="H319" s="237" t="n"/>
      <c r="I319" s="237" t="n"/>
      <c r="J319" s="237" t="n"/>
      <c r="K319" s="237" t="n"/>
      <c r="L319" s="237" t="n"/>
      <c r="M319" s="237" t="n"/>
      <c r="N319" s="194">
        <f>O319/1.02</f>
        <v/>
      </c>
      <c r="O319" s="194">
        <f>P319/1.02</f>
        <v/>
      </c>
      <c r="P319" s="194">
        <f>Q319/1.02</f>
        <v/>
      </c>
      <c r="Q319" s="194">
        <f>R319/1.02</f>
        <v/>
      </c>
      <c r="R319" s="194">
        <f>S319/1.02</f>
        <v/>
      </c>
      <c r="S319" s="194">
        <f>T319/1.02</f>
        <v/>
      </c>
      <c r="T319" s="194">
        <f>U319/1.02</f>
        <v/>
      </c>
      <c r="U319" s="194">
        <f>V319/1.02</f>
        <v/>
      </c>
      <c r="V319" s="194">
        <f>W319/1.02</f>
        <v/>
      </c>
      <c r="W319" s="194">
        <f>X319/1.02</f>
        <v/>
      </c>
      <c r="X319" s="1143">
        <f>250.25*0.6</f>
        <v/>
      </c>
      <c r="Y319" s="194">
        <f>X319*1.02</f>
        <v/>
      </c>
      <c r="Z319" s="194">
        <f>Y319*1.02</f>
        <v/>
      </c>
      <c r="AA319" s="194">
        <f>Z319*1.02</f>
        <v/>
      </c>
      <c r="AB319" s="194">
        <f>AA319*1.02</f>
        <v/>
      </c>
      <c r="AC319" s="194">
        <f>AB319*1.02</f>
        <v/>
      </c>
      <c r="AD319" s="194">
        <f>AC319*1.02</f>
        <v/>
      </c>
      <c r="AE319" s="194">
        <f>AD319*1.02</f>
        <v/>
      </c>
      <c r="AF319" s="194">
        <f>AE319*1.02</f>
        <v/>
      </c>
      <c r="AG319" s="194">
        <f>AF319*1.02</f>
        <v/>
      </c>
      <c r="AH319" s="194">
        <f>AG319*1.02</f>
        <v/>
      </c>
      <c r="AI319" s="194">
        <f>AH319*1.02</f>
        <v/>
      </c>
      <c r="AJ319" s="194">
        <f>AI319*1.02</f>
        <v/>
      </c>
      <c r="AK319" s="194">
        <f>AJ319*1.02</f>
        <v/>
      </c>
      <c r="AL319" s="194">
        <f>AK319*1.02</f>
        <v/>
      </c>
      <c r="AM319" s="194">
        <f>AL319*1.02</f>
        <v/>
      </c>
      <c r="AN319" s="194">
        <f>AM319*1.02</f>
        <v/>
      </c>
      <c r="AO319" s="194">
        <f>AN319*1.02</f>
        <v/>
      </c>
      <c r="AP319" s="194">
        <f>AO319*1.02</f>
        <v/>
      </c>
      <c r="AQ319" s="962">
        <f>AP319*1.02</f>
        <v/>
      </c>
      <c r="AR319" s="962">
        <f>AQ319*1.02</f>
        <v/>
      </c>
      <c r="AS319" s="962">
        <f>AR319*1.02</f>
        <v/>
      </c>
      <c r="AT319" s="962">
        <f>AS319*1.02</f>
        <v/>
      </c>
      <c r="AU319" s="962" t="n"/>
      <c r="ES319" s="320" t="n"/>
      <c r="EW319" s="320" t="n"/>
      <c r="FA319" s="320" t="n"/>
      <c r="FE319" s="320" t="n"/>
      <c r="FN319" s="965" t="n"/>
    </row>
    <row r="320">
      <c r="B320" s="961" t="inlineStr">
        <is>
          <t>777-200</t>
        </is>
      </c>
      <c r="C320" s="237" t="n"/>
      <c r="D320" s="237" t="n"/>
      <c r="E320" s="237" t="n"/>
      <c r="F320" s="237" t="n"/>
      <c r="G320" s="237" t="n"/>
      <c r="H320" s="237" t="n"/>
      <c r="I320" s="237" t="n"/>
      <c r="J320" s="237" t="n"/>
      <c r="K320" s="237" t="n"/>
      <c r="L320" s="237" t="n"/>
      <c r="M320" s="237" t="n"/>
      <c r="N320" s="194">
        <f>O320/1.02</f>
        <v/>
      </c>
      <c r="O320" s="194">
        <f>P320/1.02</f>
        <v/>
      </c>
      <c r="P320" s="194">
        <f>Q320/1.02</f>
        <v/>
      </c>
      <c r="Q320" s="194">
        <f>R320/1.02</f>
        <v/>
      </c>
      <c r="R320" s="194">
        <f>S320/1.02</f>
        <v/>
      </c>
      <c r="S320" s="194">
        <f>T320/1.02</f>
        <v/>
      </c>
      <c r="T320" s="194">
        <f>U320/1.02</f>
        <v/>
      </c>
      <c r="U320" s="194">
        <f>V320/1.02</f>
        <v/>
      </c>
      <c r="V320" s="194">
        <f>W320/1.02</f>
        <v/>
      </c>
      <c r="W320" s="194">
        <f>X320/1.02</f>
        <v/>
      </c>
      <c r="X320" s="962">
        <f>Y320/1.02</f>
        <v/>
      </c>
      <c r="Y320" s="962">
        <f>Z320/1.02</f>
        <v/>
      </c>
      <c r="Z320" s="962">
        <f>AA320/1.02</f>
        <v/>
      </c>
      <c r="AA320" s="962">
        <f>AB320/1.02</f>
        <v/>
      </c>
      <c r="AB320" s="962">
        <f>AC320/1.02</f>
        <v/>
      </c>
      <c r="AC320" s="962">
        <f>AD320/1.02</f>
        <v/>
      </c>
      <c r="AD320" s="962">
        <f>AE320/1.02</f>
        <v/>
      </c>
      <c r="AE320" s="962">
        <f>AF320/1.02</f>
        <v/>
      </c>
      <c r="AF320" s="962">
        <f>AG320/1.02</f>
        <v/>
      </c>
      <c r="AG320" s="962">
        <f>AH320/1.02</f>
        <v/>
      </c>
      <c r="AH320" s="962">
        <f>AI320/1.02</f>
        <v/>
      </c>
      <c r="AI320" s="962">
        <f>AJ320/1.02</f>
        <v/>
      </c>
      <c r="AJ320" s="962">
        <f>AK320/1.02</f>
        <v/>
      </c>
      <c r="AK320" s="962">
        <f>AL320/1.02</f>
        <v/>
      </c>
      <c r="AL320" s="962">
        <f>AM320/1.02</f>
        <v/>
      </c>
      <c r="AM320" s="962">
        <f>AN320/1.02</f>
        <v/>
      </c>
      <c r="AN320" s="962">
        <f>AO320/1.02</f>
        <v/>
      </c>
      <c r="AO320" s="1143" t="n">
        <v>209.572366376</v>
      </c>
      <c r="AP320" s="1143" t="n">
        <v>209.572366376</v>
      </c>
      <c r="AQ320" s="962">
        <f>AP320*1.02</f>
        <v/>
      </c>
      <c r="AR320" s="962">
        <f>AQ320*1.02</f>
        <v/>
      </c>
      <c r="AS320" s="962">
        <f>AR320*1.02</f>
        <v/>
      </c>
      <c r="AT320" s="962">
        <f>AS320*1.02</f>
        <v/>
      </c>
      <c r="AU320" s="962" t="n"/>
      <c r="ES320" s="320" t="n"/>
      <c r="EW320" s="320" t="n"/>
      <c r="FA320" s="320" t="n"/>
      <c r="FE320" s="320" t="n"/>
      <c r="FN320" s="965" t="n"/>
    </row>
    <row r="321">
      <c r="B321" s="961" t="inlineStr">
        <is>
          <t>777-200F</t>
        </is>
      </c>
      <c r="C321" s="237" t="n"/>
      <c r="D321" s="237" t="n"/>
      <c r="E321" s="237" t="n"/>
      <c r="F321" s="237" t="n"/>
      <c r="G321" s="237" t="n"/>
      <c r="H321" s="237" t="n"/>
      <c r="I321" s="237" t="n"/>
      <c r="J321" s="237" t="n"/>
      <c r="K321" s="237" t="n"/>
      <c r="L321" s="237" t="n"/>
      <c r="M321" s="237" t="n"/>
      <c r="N321" s="194">
        <f>O321/1.02</f>
        <v/>
      </c>
      <c r="O321" s="194">
        <f>P321/1.02</f>
        <v/>
      </c>
      <c r="P321" s="194">
        <f>Q321/1.02</f>
        <v/>
      </c>
      <c r="Q321" s="194">
        <f>R321/1.02</f>
        <v/>
      </c>
      <c r="R321" s="194">
        <f>S321/1.02</f>
        <v/>
      </c>
      <c r="S321" s="194">
        <f>T321/1.02</f>
        <v/>
      </c>
      <c r="T321" s="194">
        <f>U321/1.02</f>
        <v/>
      </c>
      <c r="U321" s="194">
        <f>V321/1.02</f>
        <v/>
      </c>
      <c r="V321" s="194">
        <f>W321/1.02</f>
        <v/>
      </c>
      <c r="W321" s="194">
        <f>X321/1.02</f>
        <v/>
      </c>
      <c r="X321" s="962">
        <f>Y321/1.02</f>
        <v/>
      </c>
      <c r="Y321" s="962">
        <f>Z321/1.02</f>
        <v/>
      </c>
      <c r="Z321" s="962">
        <f>AA321/1.02</f>
        <v/>
      </c>
      <c r="AA321" s="962">
        <f>AB321/1.02</f>
        <v/>
      </c>
      <c r="AB321" s="962">
        <f>AC321/1.02</f>
        <v/>
      </c>
      <c r="AC321" s="962">
        <f>AD321/1.02</f>
        <v/>
      </c>
      <c r="AD321" s="962">
        <f>AE321/1.02</f>
        <v/>
      </c>
      <c r="AE321" s="962">
        <f>AF321/1.02</f>
        <v/>
      </c>
      <c r="AF321" s="962">
        <f>AG321/1.02</f>
        <v/>
      </c>
      <c r="AG321" s="962">
        <f>AH321/1.02</f>
        <v/>
      </c>
      <c r="AH321" s="962">
        <f>AI321/1.02</f>
        <v/>
      </c>
      <c r="AI321" s="962">
        <f>AJ321/1.02</f>
        <v/>
      </c>
      <c r="AJ321" s="962">
        <f>AK321/1.02</f>
        <v/>
      </c>
      <c r="AK321" s="962">
        <f>AL321/1.02</f>
        <v/>
      </c>
      <c r="AL321" s="962">
        <f>AM321/1.02</f>
        <v/>
      </c>
      <c r="AM321" s="962">
        <f>AN321/1.02</f>
        <v/>
      </c>
      <c r="AN321" s="962">
        <f>AO321/1.02</f>
        <v/>
      </c>
      <c r="AO321" s="1143" t="n">
        <v>209.572366376</v>
      </c>
      <c r="AP321" s="1143" t="n">
        <v>209.572366376</v>
      </c>
      <c r="AQ321" s="962">
        <f>AP321*1.02</f>
        <v/>
      </c>
      <c r="AR321" s="962">
        <f>AQ321*1.02</f>
        <v/>
      </c>
      <c r="AS321" s="962">
        <f>AR321*1.02</f>
        <v/>
      </c>
      <c r="AT321" s="962">
        <f>AS321*1.02</f>
        <v/>
      </c>
      <c r="AU321" s="962" t="n"/>
      <c r="ES321" s="320" t="n"/>
      <c r="EW321" s="320" t="n"/>
      <c r="FA321" s="320" t="n"/>
      <c r="FE321" s="320" t="n"/>
      <c r="FN321" s="965" t="n"/>
    </row>
    <row r="322">
      <c r="B322" s="961" t="inlineStr">
        <is>
          <t>777-300</t>
        </is>
      </c>
      <c r="C322" s="237" t="n"/>
      <c r="D322" s="237" t="n"/>
      <c r="E322" s="237" t="n"/>
      <c r="F322" s="237" t="n"/>
      <c r="G322" s="237" t="n"/>
      <c r="H322" s="237" t="n"/>
      <c r="I322" s="237" t="n"/>
      <c r="J322" s="237" t="n"/>
      <c r="K322" s="237" t="n"/>
      <c r="L322" s="237" t="n"/>
      <c r="M322" s="237" t="n"/>
      <c r="N322" s="194">
        <f>O322/1.02</f>
        <v/>
      </c>
      <c r="O322" s="194">
        <f>P322/1.02</f>
        <v/>
      </c>
      <c r="P322" s="194">
        <f>Q322/1.02</f>
        <v/>
      </c>
      <c r="Q322" s="194">
        <f>R322/1.02</f>
        <v/>
      </c>
      <c r="R322" s="194">
        <f>S322/1.02</f>
        <v/>
      </c>
      <c r="S322" s="194">
        <f>T322/1.02</f>
        <v/>
      </c>
      <c r="T322" s="194">
        <f>U322/1.02</f>
        <v/>
      </c>
      <c r="U322" s="194">
        <f>V322/1.02</f>
        <v/>
      </c>
      <c r="V322" s="194">
        <f>W322/1.02</f>
        <v/>
      </c>
      <c r="W322" s="194">
        <f>X322/1.02</f>
        <v/>
      </c>
      <c r="X322" s="962">
        <f>Y322/1.02</f>
        <v/>
      </c>
      <c r="Y322" s="962">
        <f>Z322/1.02</f>
        <v/>
      </c>
      <c r="Z322" s="962">
        <f>AA322/1.02</f>
        <v/>
      </c>
      <c r="AA322" s="962">
        <f>AB322/1.02</f>
        <v/>
      </c>
      <c r="AB322" s="962">
        <f>AC322/1.02</f>
        <v/>
      </c>
      <c r="AC322" s="962">
        <f>AD322/1.02</f>
        <v/>
      </c>
      <c r="AD322" s="962">
        <f>AE322/1.02</f>
        <v/>
      </c>
      <c r="AE322" s="962">
        <f>AF322/1.02</f>
        <v/>
      </c>
      <c r="AF322" s="962">
        <f>AG322/1.02</f>
        <v/>
      </c>
      <c r="AG322" s="962">
        <f>AH322/1.02</f>
        <v/>
      </c>
      <c r="AH322" s="962">
        <f>AI322/1.02</f>
        <v/>
      </c>
      <c r="AI322" s="962">
        <f>AJ322/1.02</f>
        <v/>
      </c>
      <c r="AJ322" s="962">
        <f>AK322/1.02</f>
        <v/>
      </c>
      <c r="AK322" s="962">
        <f>AL322/1.02</f>
        <v/>
      </c>
      <c r="AL322" s="962">
        <f>AM322/1.02</f>
        <v/>
      </c>
      <c r="AM322" s="962">
        <f>AN322/1.02</f>
        <v/>
      </c>
      <c r="AN322" s="962">
        <f>AO322/1.02</f>
        <v/>
      </c>
      <c r="AO322" s="1143" t="n">
        <v>209.572366376</v>
      </c>
      <c r="AP322" s="1143" t="n">
        <v>209.572366376</v>
      </c>
      <c r="AQ322" s="962">
        <f>AP322*1.02</f>
        <v/>
      </c>
      <c r="AR322" s="962">
        <f>AQ322*1.02</f>
        <v/>
      </c>
      <c r="AS322" s="962">
        <f>AR322*1.02</f>
        <v/>
      </c>
      <c r="AT322" s="962">
        <f>AS322*1.02</f>
        <v/>
      </c>
      <c r="AU322" s="962" t="n"/>
      <c r="ES322" s="320" t="n"/>
      <c r="EW322" s="320" t="n"/>
      <c r="FA322" s="320" t="n"/>
      <c r="FE322" s="320" t="n"/>
      <c r="FN322" s="965" t="n"/>
    </row>
    <row r="323">
      <c r="B323" s="961" t="inlineStr">
        <is>
          <t>777-300ER</t>
        </is>
      </c>
      <c r="C323" s="237" t="n"/>
      <c r="D323" s="237" t="n"/>
      <c r="E323" s="237" t="n"/>
      <c r="F323" s="237" t="n"/>
      <c r="G323" s="237" t="n"/>
      <c r="H323" s="237" t="n"/>
      <c r="I323" s="237" t="n"/>
      <c r="J323" s="237" t="n"/>
      <c r="K323" s="237" t="n"/>
      <c r="L323" s="237" t="n"/>
      <c r="M323" s="237" t="n"/>
      <c r="N323" s="194">
        <f>O323/1.02</f>
        <v/>
      </c>
      <c r="O323" s="194">
        <f>P323/1.02</f>
        <v/>
      </c>
      <c r="P323" s="194">
        <f>Q323/1.02</f>
        <v/>
      </c>
      <c r="Q323" s="194">
        <f>R323/1.02</f>
        <v/>
      </c>
      <c r="R323" s="194">
        <f>S323/1.02</f>
        <v/>
      </c>
      <c r="S323" s="194">
        <f>T323/1.02</f>
        <v/>
      </c>
      <c r="T323" s="194">
        <f>U323/1.02</f>
        <v/>
      </c>
      <c r="U323" s="194">
        <f>V323/1.02</f>
        <v/>
      </c>
      <c r="V323" s="194">
        <f>W323/1.02</f>
        <v/>
      </c>
      <c r="W323" s="194">
        <f>X323/1.02</f>
        <v/>
      </c>
      <c r="X323" s="962">
        <f>Y323/1.02</f>
        <v/>
      </c>
      <c r="Y323" s="962">
        <f>Z323/1.02</f>
        <v/>
      </c>
      <c r="Z323" s="962">
        <f>AA323/1.02</f>
        <v/>
      </c>
      <c r="AA323" s="962">
        <f>AB323/1.02</f>
        <v/>
      </c>
      <c r="AB323" s="962">
        <f>AC323/1.02</f>
        <v/>
      </c>
      <c r="AC323" s="962">
        <f>AD323/1.02</f>
        <v/>
      </c>
      <c r="AD323" s="962">
        <f>AE323/1.02</f>
        <v/>
      </c>
      <c r="AE323" s="962">
        <f>AF323/1.02</f>
        <v/>
      </c>
      <c r="AF323" s="962">
        <f>AG323/1.02</f>
        <v/>
      </c>
      <c r="AG323" s="962">
        <f>AH323/1.02</f>
        <v/>
      </c>
      <c r="AH323" s="962">
        <f>AI323/1.02</f>
        <v/>
      </c>
      <c r="AI323" s="962">
        <f>AJ323/1.02</f>
        <v/>
      </c>
      <c r="AJ323" s="962">
        <f>AK323/1.02</f>
        <v/>
      </c>
      <c r="AK323" s="962">
        <f>AL323/1.02</f>
        <v/>
      </c>
      <c r="AL323" s="962">
        <f>AM323/1.02</f>
        <v/>
      </c>
      <c r="AM323" s="962">
        <f>AN323/1.02</f>
        <v/>
      </c>
      <c r="AN323" s="962">
        <f>AO323/1.02</f>
        <v/>
      </c>
      <c r="AO323" s="1143" t="n">
        <v>209.572366376</v>
      </c>
      <c r="AP323" s="1143" t="n">
        <v>209.572366376</v>
      </c>
      <c r="AQ323" s="962">
        <f>AP323*1.02</f>
        <v/>
      </c>
      <c r="AR323" s="962">
        <f>AQ323*1.02</f>
        <v/>
      </c>
      <c r="AS323" s="962">
        <f>AR323*1.02</f>
        <v/>
      </c>
      <c r="AT323" s="962">
        <f>AS323*1.02</f>
        <v/>
      </c>
      <c r="AU323" s="962" t="n"/>
      <c r="ES323" s="320" t="n"/>
      <c r="EW323" s="320" t="n"/>
      <c r="FA323" s="320" t="n"/>
      <c r="FE323" s="320" t="n"/>
      <c r="FN323" s="965" t="n"/>
    </row>
    <row r="324">
      <c r="B324" s="961" t="inlineStr">
        <is>
          <t>777-9</t>
        </is>
      </c>
      <c r="C324" s="237" t="n"/>
      <c r="D324" s="237" t="n"/>
      <c r="E324" s="237" t="n"/>
      <c r="F324" s="237" t="n"/>
      <c r="G324" s="237" t="n"/>
      <c r="H324" s="237" t="n"/>
      <c r="I324" s="237" t="n"/>
      <c r="J324" s="237" t="n"/>
      <c r="K324" s="237" t="n"/>
      <c r="L324" s="237" t="n"/>
      <c r="M324" s="237" t="n"/>
      <c r="N324" s="194">
        <f>O324/1.02</f>
        <v/>
      </c>
      <c r="O324" s="194">
        <f>P324/1.02</f>
        <v/>
      </c>
      <c r="P324" s="194">
        <f>Q324/1.02</f>
        <v/>
      </c>
      <c r="Q324" s="194">
        <f>R324/1.02</f>
        <v/>
      </c>
      <c r="R324" s="194">
        <f>S324/1.02</f>
        <v/>
      </c>
      <c r="S324" s="194">
        <f>T324/1.02</f>
        <v/>
      </c>
      <c r="T324" s="194">
        <f>U324/1.02</f>
        <v/>
      </c>
      <c r="U324" s="194">
        <f>V324/1.02</f>
        <v/>
      </c>
      <c r="V324" s="194">
        <f>W324/1.02</f>
        <v/>
      </c>
      <c r="W324" s="194">
        <f>X324/1.02</f>
        <v/>
      </c>
      <c r="X324" s="962">
        <f>Y324/1.02</f>
        <v/>
      </c>
      <c r="Y324" s="962">
        <f>Z324/1.02</f>
        <v/>
      </c>
      <c r="Z324" s="962">
        <f>AA324/1.02</f>
        <v/>
      </c>
      <c r="AA324" s="962">
        <f>AB324/1.02</f>
        <v/>
      </c>
      <c r="AB324" s="962">
        <f>AC324/1.02</f>
        <v/>
      </c>
      <c r="AC324" s="962">
        <f>AD324/1.02</f>
        <v/>
      </c>
      <c r="AD324" s="962">
        <f>AE324/1.02</f>
        <v/>
      </c>
      <c r="AE324" s="962">
        <f>AF324/1.02</f>
        <v/>
      </c>
      <c r="AF324" s="962">
        <f>AG324/1.02</f>
        <v/>
      </c>
      <c r="AG324" s="962">
        <f>AH324/1.02</f>
        <v/>
      </c>
      <c r="AH324" s="962">
        <f>AI324/1.02</f>
        <v/>
      </c>
      <c r="AI324" s="962">
        <f>AJ324/1.02</f>
        <v/>
      </c>
      <c r="AJ324" s="962">
        <f>AK324/1.02</f>
        <v/>
      </c>
      <c r="AK324" s="962">
        <f>AL324/1.02</f>
        <v/>
      </c>
      <c r="AL324" s="962">
        <f>AM324/1.02</f>
        <v/>
      </c>
      <c r="AM324" s="962">
        <f>AN324/1.02</f>
        <v/>
      </c>
      <c r="AN324" s="962">
        <f>AO324/1.02</f>
        <v/>
      </c>
      <c r="AO324" s="1143" t="n">
        <v>209.572366376</v>
      </c>
      <c r="AP324" s="1143" t="n">
        <v>209.572366376</v>
      </c>
      <c r="AQ324" s="962">
        <f>AP324*1.02</f>
        <v/>
      </c>
      <c r="AR324" s="962">
        <f>AQ324*1.02</f>
        <v/>
      </c>
      <c r="AS324" s="962">
        <f>AR324*1.02</f>
        <v/>
      </c>
      <c r="AT324" s="962">
        <f>AS324*1.02</f>
        <v/>
      </c>
      <c r="AU324" s="962" t="n"/>
      <c r="ES324" s="320" t="n"/>
      <c r="EW324" s="320" t="n"/>
      <c r="FA324" s="320" t="n"/>
      <c r="FE324" s="320" t="n"/>
      <c r="FN324" s="965" t="n"/>
    </row>
    <row r="325">
      <c r="B325" s="961" t="inlineStr">
        <is>
          <t>A300F/B727F</t>
        </is>
      </c>
      <c r="C325" s="237" t="n"/>
      <c r="D325" s="237" t="n"/>
      <c r="E325" s="237" t="n"/>
      <c r="F325" s="237" t="n"/>
      <c r="G325" s="237" t="n"/>
      <c r="H325" s="237" t="n"/>
      <c r="I325" s="237" t="n"/>
      <c r="J325" s="237" t="n"/>
      <c r="K325" s="237" t="n"/>
      <c r="L325" s="237" t="n"/>
      <c r="M325" s="237" t="n"/>
      <c r="N325" s="194">
        <f>O325/1.02</f>
        <v/>
      </c>
      <c r="O325" s="194">
        <f>P325/1.02</f>
        <v/>
      </c>
      <c r="P325" s="194">
        <f>Q325/1.02</f>
        <v/>
      </c>
      <c r="Q325" s="194">
        <f>R325/1.02</f>
        <v/>
      </c>
      <c r="R325" s="194">
        <f>S325/1.02</f>
        <v/>
      </c>
      <c r="S325" s="194">
        <f>T325/1.02</f>
        <v/>
      </c>
      <c r="T325" s="194">
        <f>U325/1.02</f>
        <v/>
      </c>
      <c r="U325" s="194">
        <f>V325/1.02</f>
        <v/>
      </c>
      <c r="V325" s="194">
        <f>W325/1.02</f>
        <v/>
      </c>
      <c r="W325" s="194">
        <f>X325/1.02</f>
        <v/>
      </c>
      <c r="X325" s="1143">
        <f>201*0.6</f>
        <v/>
      </c>
      <c r="Y325" s="194">
        <f>X325*1.02</f>
        <v/>
      </c>
      <c r="Z325" s="194">
        <f>Y325*1.02</f>
        <v/>
      </c>
      <c r="AA325" s="194">
        <f>Z325*1.02</f>
        <v/>
      </c>
      <c r="AB325" s="194">
        <f>AA325*1.02</f>
        <v/>
      </c>
      <c r="AC325" s="194">
        <f>AB325*1.02</f>
        <v/>
      </c>
      <c r="AD325" s="194">
        <f>AC325*1.02</f>
        <v/>
      </c>
      <c r="AE325" s="194">
        <f>AD325*1.02</f>
        <v/>
      </c>
      <c r="AF325" s="194">
        <f>AE325*1.02</f>
        <v/>
      </c>
      <c r="AG325" s="194">
        <f>AF325*1.02</f>
        <v/>
      </c>
      <c r="AH325" s="194">
        <f>AG325*1.02</f>
        <v/>
      </c>
      <c r="AI325" s="194">
        <f>AH325*1.02</f>
        <v/>
      </c>
      <c r="AJ325" s="194">
        <f>AI325*1.02</f>
        <v/>
      </c>
      <c r="AK325" s="194">
        <f>AJ325*1.02</f>
        <v/>
      </c>
      <c r="AL325" s="194">
        <f>AK325*1.02</f>
        <v/>
      </c>
      <c r="AM325" s="194">
        <f>AL325*1.02</f>
        <v/>
      </c>
      <c r="AN325" s="194">
        <f>AM325*1.02</f>
        <v/>
      </c>
      <c r="AO325" s="194">
        <f>AN325*1.02</f>
        <v/>
      </c>
      <c r="AP325" s="194">
        <f>AO325*1.02</f>
        <v/>
      </c>
      <c r="AQ325" s="962">
        <f>AP325*1.02</f>
        <v/>
      </c>
      <c r="AR325" s="962">
        <f>AQ325*1.02</f>
        <v/>
      </c>
      <c r="AS325" s="962">
        <f>AR325*1.02</f>
        <v/>
      </c>
      <c r="AT325" s="962">
        <f>AS325*1.02</f>
        <v/>
      </c>
      <c r="AU325" s="962" t="n"/>
      <c r="ES325" s="320" t="n"/>
      <c r="EW325" s="320" t="n"/>
      <c r="FA325" s="320" t="n"/>
      <c r="FE325" s="320" t="n"/>
      <c r="FN325" s="965" t="n"/>
    </row>
    <row r="326">
      <c r="B326" s="961" t="inlineStr">
        <is>
          <t>A300-600F</t>
        </is>
      </c>
      <c r="C326" s="237" t="n"/>
      <c r="D326" s="237" t="n"/>
      <c r="E326" s="237" t="n"/>
      <c r="F326" s="237" t="n"/>
      <c r="G326" s="237" t="n"/>
      <c r="H326" s="237" t="n"/>
      <c r="I326" s="237" t="n"/>
      <c r="J326" s="237" t="n"/>
      <c r="K326" s="237" t="n"/>
      <c r="L326" s="237" t="n"/>
      <c r="M326" s="237" t="n"/>
      <c r="N326" s="194">
        <f>O326/1.02</f>
        <v/>
      </c>
      <c r="O326" s="194">
        <f>P326/1.02</f>
        <v/>
      </c>
      <c r="P326" s="194">
        <f>Q326/1.02</f>
        <v/>
      </c>
      <c r="Q326" s="194">
        <f>R326/1.02</f>
        <v/>
      </c>
      <c r="R326" s="194">
        <f>S326/1.02</f>
        <v/>
      </c>
      <c r="S326" s="194">
        <f>T326/1.02</f>
        <v/>
      </c>
      <c r="T326" s="194">
        <f>U326/1.02</f>
        <v/>
      </c>
      <c r="U326" s="194">
        <f>V326/1.02</f>
        <v/>
      </c>
      <c r="V326" s="194">
        <f>W326/1.02</f>
        <v/>
      </c>
      <c r="W326" s="194">
        <f>X326/1.02</f>
        <v/>
      </c>
      <c r="X326" s="1143">
        <f>201*0.6</f>
        <v/>
      </c>
      <c r="Y326" s="194">
        <f>X326*1.02</f>
        <v/>
      </c>
      <c r="Z326" s="194">
        <f>Y326*1.02</f>
        <v/>
      </c>
      <c r="AA326" s="194">
        <f>Z326*1.02</f>
        <v/>
      </c>
      <c r="AB326" s="194">
        <f>AA326*1.02</f>
        <v/>
      </c>
      <c r="AC326" s="194">
        <f>AB326*1.02</f>
        <v/>
      </c>
      <c r="AD326" s="194">
        <f>AC326*1.02</f>
        <v/>
      </c>
      <c r="AE326" s="194">
        <f>AD326*1.02</f>
        <v/>
      </c>
      <c r="AF326" s="194">
        <f>AE326*1.02</f>
        <v/>
      </c>
      <c r="AG326" s="194">
        <f>AF326*1.02</f>
        <v/>
      </c>
      <c r="AH326" s="194">
        <f>AG326*1.02</f>
        <v/>
      </c>
      <c r="AI326" s="194">
        <f>AH326*1.02</f>
        <v/>
      </c>
      <c r="AJ326" s="194">
        <f>AI326*1.02</f>
        <v/>
      </c>
      <c r="AK326" s="194">
        <f>AJ326*1.02</f>
        <v/>
      </c>
      <c r="AL326" s="194">
        <f>AK326*1.02</f>
        <v/>
      </c>
      <c r="AM326" s="194">
        <f>AL326*1.02</f>
        <v/>
      </c>
      <c r="AN326" s="194">
        <f>AM326*1.02</f>
        <v/>
      </c>
      <c r="AO326" s="194">
        <f>AN326*1.02</f>
        <v/>
      </c>
      <c r="AP326" s="194">
        <f>AO326*1.02</f>
        <v/>
      </c>
      <c r="AQ326" s="962">
        <f>AP326*1.02</f>
        <v/>
      </c>
      <c r="AR326" s="962">
        <f>AQ326*1.02</f>
        <v/>
      </c>
      <c r="AS326" s="962">
        <f>AR326*1.02</f>
        <v/>
      </c>
      <c r="AT326" s="962">
        <f>AS326*1.02</f>
        <v/>
      </c>
      <c r="AU326" s="962" t="n"/>
      <c r="ES326" s="320" t="n"/>
      <c r="EW326" s="320" t="n"/>
      <c r="FA326" s="320" t="n"/>
      <c r="FE326" s="320" t="n"/>
      <c r="FN326" s="965" t="n"/>
    </row>
    <row r="327">
      <c r="B327" s="961" t="inlineStr">
        <is>
          <t>A330-243F</t>
        </is>
      </c>
      <c r="C327" s="237" t="n"/>
      <c r="D327" s="237" t="n"/>
      <c r="E327" s="237" t="n"/>
      <c r="F327" s="237" t="n"/>
      <c r="G327" s="237" t="n"/>
      <c r="H327" s="237" t="n"/>
      <c r="I327" s="237" t="n"/>
      <c r="J327" s="237" t="n"/>
      <c r="K327" s="237" t="n"/>
      <c r="L327" s="237" t="n"/>
      <c r="M327" s="237" t="n"/>
      <c r="N327" s="194">
        <f>O327/1.02</f>
        <v/>
      </c>
      <c r="O327" s="194">
        <f>P327/1.02</f>
        <v/>
      </c>
      <c r="P327" s="194">
        <f>Q327/1.02</f>
        <v/>
      </c>
      <c r="Q327" s="194">
        <f>R327/1.02</f>
        <v/>
      </c>
      <c r="R327" s="194">
        <f>S327/1.02</f>
        <v/>
      </c>
      <c r="S327" s="194">
        <f>T327/1.02</f>
        <v/>
      </c>
      <c r="T327" s="194">
        <f>U327/1.02</f>
        <v/>
      </c>
      <c r="U327" s="194">
        <f>V327/1.02</f>
        <v/>
      </c>
      <c r="V327" s="194">
        <f>W327/1.02</f>
        <v/>
      </c>
      <c r="W327" s="194">
        <f>X327/1.02</f>
        <v/>
      </c>
      <c r="X327" s="1143">
        <f>201*0.6</f>
        <v/>
      </c>
      <c r="Y327" s="194">
        <f>X327*1.02</f>
        <v/>
      </c>
      <c r="Z327" s="194">
        <f>Y327*1.02</f>
        <v/>
      </c>
      <c r="AA327" s="194">
        <f>Z327*1.02</f>
        <v/>
      </c>
      <c r="AB327" s="194">
        <f>AA327*1.02</f>
        <v/>
      </c>
      <c r="AC327" s="194">
        <f>AB327*1.02</f>
        <v/>
      </c>
      <c r="AD327" s="194">
        <f>AC327*1.02</f>
        <v/>
      </c>
      <c r="AE327" s="194">
        <f>AD327*1.02</f>
        <v/>
      </c>
      <c r="AF327" s="194">
        <f>AE327*1.02</f>
        <v/>
      </c>
      <c r="AG327" s="194">
        <f>AF327*1.02</f>
        <v/>
      </c>
      <c r="AH327" s="194">
        <f>AG327*1.02</f>
        <v/>
      </c>
      <c r="AI327" s="194">
        <f>AH327*1.02</f>
        <v/>
      </c>
      <c r="AJ327" s="194">
        <f>AI327*1.02</f>
        <v/>
      </c>
      <c r="AK327" s="194">
        <f>AJ327*1.02</f>
        <v/>
      </c>
      <c r="AL327" s="194">
        <f>AK327*1.02</f>
        <v/>
      </c>
      <c r="AM327" s="194">
        <f>AL327*1.02</f>
        <v/>
      </c>
      <c r="AN327" s="194">
        <f>AM327*1.02</f>
        <v/>
      </c>
      <c r="AO327" s="194">
        <f>AN327*1.02</f>
        <v/>
      </c>
      <c r="AP327" s="194">
        <f>AO327*1.02</f>
        <v/>
      </c>
      <c r="AQ327" s="962">
        <f>AP327*1.02</f>
        <v/>
      </c>
      <c r="AR327" s="962">
        <f>AQ327*1.02</f>
        <v/>
      </c>
      <c r="AS327" s="962">
        <f>AR327*1.02</f>
        <v/>
      </c>
      <c r="AT327" s="962">
        <f>AS327*1.02</f>
        <v/>
      </c>
      <c r="AU327" s="962" t="n"/>
      <c r="ES327" s="320" t="n"/>
      <c r="EW327" s="320" t="n"/>
      <c r="FA327" s="320" t="n"/>
      <c r="FE327" s="320" t="n"/>
      <c r="FN327" s="965" t="n"/>
    </row>
    <row r="328">
      <c r="B328" s="961" t="inlineStr">
        <is>
          <t>A330-300P2F</t>
        </is>
      </c>
      <c r="C328" s="237" t="n"/>
      <c r="D328" s="237" t="n"/>
      <c r="E328" s="237" t="n"/>
      <c r="F328" s="237" t="n"/>
      <c r="G328" s="237" t="n"/>
      <c r="H328" s="237" t="n"/>
      <c r="I328" s="237" t="n"/>
      <c r="J328" s="237" t="n"/>
      <c r="K328" s="237" t="n"/>
      <c r="L328" s="237" t="n"/>
      <c r="M328" s="237" t="n"/>
      <c r="N328" s="194">
        <f>O328/1.02</f>
        <v/>
      </c>
      <c r="O328" s="194">
        <f>P328/1.02</f>
        <v/>
      </c>
      <c r="P328" s="194">
        <f>Q328/1.02</f>
        <v/>
      </c>
      <c r="Q328" s="194">
        <f>R328/1.02</f>
        <v/>
      </c>
      <c r="R328" s="194">
        <f>S328/1.02</f>
        <v/>
      </c>
      <c r="S328" s="194">
        <f>T328/1.02</f>
        <v/>
      </c>
      <c r="T328" s="194">
        <f>U328/1.02</f>
        <v/>
      </c>
      <c r="U328" s="194">
        <f>V328/1.02</f>
        <v/>
      </c>
      <c r="V328" s="194">
        <f>W328/1.02</f>
        <v/>
      </c>
      <c r="W328" s="194">
        <f>X328/1.02</f>
        <v/>
      </c>
      <c r="X328" s="1143">
        <f>201*0.6</f>
        <v/>
      </c>
      <c r="Y328" s="194">
        <f>X328*1.02</f>
        <v/>
      </c>
      <c r="Z328" s="194">
        <f>Y328*1.02</f>
        <v/>
      </c>
      <c r="AA328" s="194">
        <f>Z328*1.02</f>
        <v/>
      </c>
      <c r="AB328" s="194">
        <f>AA328*1.02</f>
        <v/>
      </c>
      <c r="AC328" s="194">
        <f>AB328*1.02</f>
        <v/>
      </c>
      <c r="AD328" s="194">
        <f>AC328*1.02</f>
        <v/>
      </c>
      <c r="AE328" s="194">
        <f>AD328*1.02</f>
        <v/>
      </c>
      <c r="AF328" s="194">
        <f>AE328*1.02</f>
        <v/>
      </c>
      <c r="AG328" s="194">
        <f>AF328*1.02</f>
        <v/>
      </c>
      <c r="AH328" s="194">
        <f>AG328*1.02</f>
        <v/>
      </c>
      <c r="AI328" s="194">
        <f>AH328*1.02</f>
        <v/>
      </c>
      <c r="AJ328" s="194">
        <f>AI328*1.02</f>
        <v/>
      </c>
      <c r="AK328" s="194">
        <f>AJ328*1.02</f>
        <v/>
      </c>
      <c r="AL328" s="194">
        <f>AK328*1.02</f>
        <v/>
      </c>
      <c r="AM328" s="194">
        <f>AL328*1.02</f>
        <v/>
      </c>
      <c r="AN328" s="194">
        <f>AM328*1.02</f>
        <v/>
      </c>
      <c r="AO328" s="194">
        <f>AN328*1.02</f>
        <v/>
      </c>
      <c r="AP328" s="194">
        <f>AO328*1.02</f>
        <v/>
      </c>
      <c r="AQ328" s="962">
        <f>AP328*1.02</f>
        <v/>
      </c>
      <c r="AR328" s="962">
        <f>AQ328*1.02</f>
        <v/>
      </c>
      <c r="AS328" s="962">
        <f>AR328*1.02</f>
        <v/>
      </c>
      <c r="AT328" s="962">
        <f>AS328*1.02</f>
        <v/>
      </c>
      <c r="AU328" s="962" t="n"/>
      <c r="ES328" s="320" t="n"/>
      <c r="EW328" s="320" t="n"/>
      <c r="FA328" s="320" t="n"/>
      <c r="FE328" s="320" t="n"/>
      <c r="FN328" s="965" t="n"/>
    </row>
    <row r="329" customFormat="1" s="1266">
      <c r="A329" s="1157" t="n"/>
      <c r="B329" s="1266" t="inlineStr">
        <is>
          <t>Total</t>
        </is>
      </c>
      <c r="C329" s="526" t="n"/>
      <c r="D329" s="526" t="n"/>
      <c r="E329" s="526" t="n"/>
      <c r="F329" s="526" t="n"/>
      <c r="G329" s="526" t="n"/>
      <c r="H329" s="526" t="n"/>
      <c r="I329" s="526" t="n"/>
      <c r="J329" s="526" t="n"/>
      <c r="K329" s="526" t="n"/>
      <c r="L329" s="526" t="n"/>
      <c r="M329" s="526" t="n"/>
      <c r="N329" s="527">
        <f>SUMPRODUCT(N296:N328,N260:N292)</f>
        <v/>
      </c>
      <c r="O329" s="527">
        <f>SUMPRODUCT(O296:O328,O260:O292)</f>
        <v/>
      </c>
      <c r="P329" s="527">
        <f>SUMPRODUCT(P296:P328,P260:P292)</f>
        <v/>
      </c>
      <c r="Q329" s="527">
        <f>SUMPRODUCT(Q296:Q328,Q260:Q292)</f>
        <v/>
      </c>
      <c r="R329" s="527">
        <f>SUMPRODUCT(R296:R328,R260:R292)</f>
        <v/>
      </c>
      <c r="S329" s="527">
        <f>SUMPRODUCT(S296:S328,S260:S292)</f>
        <v/>
      </c>
      <c r="T329" s="527">
        <f>SUMPRODUCT(T296:T328,T260:T292)</f>
        <v/>
      </c>
      <c r="U329" s="527">
        <f>SUMPRODUCT(U296:U328,U260:U292)</f>
        <v/>
      </c>
      <c r="V329" s="527">
        <f>SUMPRODUCT(V296:V328,V260:V292)</f>
        <v/>
      </c>
      <c r="W329" s="527">
        <f>SUMPRODUCT(W296:W328,W260:W292)</f>
        <v/>
      </c>
      <c r="X329" s="527">
        <f>SUMPRODUCT(X296:X328,X260:X292)</f>
        <v/>
      </c>
      <c r="Y329" s="527">
        <f>SUMPRODUCT(Y296:Y328,Y260:Y292)</f>
        <v/>
      </c>
      <c r="Z329" s="527">
        <f>SUMPRODUCT(Z296:Z328,Z260:Z292)</f>
        <v/>
      </c>
      <c r="AA329" s="527">
        <f>SUMPRODUCT(AA296:AA328,AA260:AA292)</f>
        <v/>
      </c>
      <c r="AB329" s="527">
        <f>SUMPRODUCT(AB296:AB328,AB260:AB292)</f>
        <v/>
      </c>
      <c r="AC329" s="527">
        <f>SUMPRODUCT(AC296:AC328,AC260:AC292)</f>
        <v/>
      </c>
      <c r="AD329" s="527">
        <f>SUMPRODUCT(AD296:AD328,AD260:AD292)</f>
        <v/>
      </c>
      <c r="AE329" s="527">
        <f>SUMPRODUCT(AE296:AE328,AE260:AE292)</f>
        <v/>
      </c>
      <c r="AF329" s="527">
        <f>SUMPRODUCT(AF296:AF328,AF260:AF292)</f>
        <v/>
      </c>
      <c r="AG329" s="527">
        <f>SUMPRODUCT(AG296:AG328,AG260:AG292)</f>
        <v/>
      </c>
      <c r="AH329" s="527">
        <f>SUMPRODUCT(AH296:AH328,AH260:AH292)</f>
        <v/>
      </c>
      <c r="AI329" s="527">
        <f>SUMPRODUCT(AI296:AI328,AI260:AI292)</f>
        <v/>
      </c>
      <c r="AJ329" s="527">
        <f>SUMPRODUCT(AJ296:AJ328,AJ260:AJ292)</f>
        <v/>
      </c>
      <c r="AK329" s="527">
        <f>SUMPRODUCT(AK296:AK328,AK260:AK292)</f>
        <v/>
      </c>
      <c r="AL329" s="527">
        <f>SUMPRODUCT(AL296:AL328,AL260:AL292)</f>
        <v/>
      </c>
      <c r="AM329" s="527">
        <f>SUMPRODUCT(AM296:AM328,AM260:AM292)</f>
        <v/>
      </c>
      <c r="AN329" s="527">
        <f>SUMPRODUCT(AN296:AN328,AN260:AN292)</f>
        <v/>
      </c>
      <c r="AO329" s="527" t="n"/>
      <c r="AP329" s="527" t="n"/>
      <c r="AQ329" s="527" t="n"/>
      <c r="AR329" s="527" t="n"/>
      <c r="AS329" s="527" t="n"/>
      <c r="AT329" s="527" t="n"/>
      <c r="AU329" s="1277" t="n"/>
      <c r="AV329" s="1278" t="n"/>
      <c r="AW329" s="1278" t="n"/>
      <c r="AX329" s="1279" t="n"/>
      <c r="AY329" s="1278" t="n"/>
      <c r="AZ329" s="1278" t="n"/>
      <c r="BA329" s="1278" t="n"/>
      <c r="BB329" s="1279" t="n"/>
      <c r="BD329" s="1278" t="n"/>
      <c r="BE329" s="1278" t="n"/>
      <c r="BF329" s="1279" t="n"/>
      <c r="BQ329" s="1278" t="n"/>
      <c r="ES329" s="320" t="n"/>
      <c r="ET329" s="1280" t="n"/>
      <c r="EW329" s="320" t="n"/>
      <c r="EX329" s="1280" t="n"/>
      <c r="FA329" s="320" t="n"/>
      <c r="FB329" s="1280" t="n"/>
      <c r="FE329" s="320" t="n"/>
      <c r="FF329" s="1280" t="n"/>
      <c r="FI329" s="1281" t="n"/>
      <c r="FJ329" s="1280" t="n"/>
      <c r="FM329" s="1281" t="n"/>
      <c r="FN329" s="1280" t="n"/>
    </row>
    <row r="330">
      <c r="B330" s="961" t="inlineStr">
        <is>
          <t>US$/ATK</t>
        </is>
      </c>
      <c r="C330" s="237" t="n"/>
      <c r="D330" s="237" t="n"/>
      <c r="E330" s="237" t="n"/>
      <c r="F330" s="237" t="n"/>
      <c r="G330" s="237" t="n"/>
      <c r="H330" s="237" t="n"/>
      <c r="I330" s="237" t="n"/>
      <c r="J330" s="237" t="n"/>
      <c r="K330" s="237" t="n"/>
      <c r="L330" s="237" t="n"/>
      <c r="M330" s="237" t="n"/>
      <c r="N330" s="160">
        <f>N329/N4</f>
        <v/>
      </c>
      <c r="O330" s="160">
        <f>O329/O4</f>
        <v/>
      </c>
      <c r="P330" s="160">
        <f>P329/P4</f>
        <v/>
      </c>
      <c r="Q330" s="160">
        <f>Q329/Q4</f>
        <v/>
      </c>
      <c r="R330" s="160">
        <f>R329/R4</f>
        <v/>
      </c>
      <c r="S330" s="160">
        <f>S329/S4</f>
        <v/>
      </c>
      <c r="T330" s="160">
        <f>T329/T4</f>
        <v/>
      </c>
      <c r="U330" s="160">
        <f>U329/U4</f>
        <v/>
      </c>
      <c r="V330" s="160">
        <f>V329/V4</f>
        <v/>
      </c>
      <c r="W330" s="160">
        <f>W329/W4</f>
        <v/>
      </c>
      <c r="X330" s="160">
        <f>X329/X4</f>
        <v/>
      </c>
      <c r="Y330" s="160">
        <f>Y329/Y4</f>
        <v/>
      </c>
      <c r="Z330" s="160">
        <f>Z329/Z4</f>
        <v/>
      </c>
      <c r="AA330" s="160">
        <f>AA329/AA4</f>
        <v/>
      </c>
      <c r="AB330" s="160">
        <f>AB329/AB4</f>
        <v/>
      </c>
      <c r="AC330" s="160">
        <f>AC329/AC4</f>
        <v/>
      </c>
      <c r="AD330" s="160">
        <f>AD329/AD4</f>
        <v/>
      </c>
      <c r="AE330" s="160">
        <f>AE329/AE4</f>
        <v/>
      </c>
      <c r="AF330" s="160">
        <f>AF329/AF4</f>
        <v/>
      </c>
      <c r="AG330" s="160">
        <f>AG329/AG4</f>
        <v/>
      </c>
      <c r="AH330" s="160">
        <f>AH329/AH4</f>
        <v/>
      </c>
      <c r="AI330" s="160">
        <f>AI329/AI4</f>
        <v/>
      </c>
      <c r="AJ330" s="160">
        <f>AJ329/AJ4</f>
        <v/>
      </c>
      <c r="AK330" s="160">
        <f>AK329/AK4</f>
        <v/>
      </c>
      <c r="AL330" s="160">
        <f>AL329/AL4</f>
        <v/>
      </c>
      <c r="AM330" s="160">
        <f>AM329/AM4</f>
        <v/>
      </c>
      <c r="AN330" s="160">
        <f>AN329/AN4</f>
        <v/>
      </c>
      <c r="AO330" s="160" t="n"/>
      <c r="AP330" s="160" t="n"/>
      <c r="AQ330" s="160" t="n"/>
      <c r="AR330" s="160" t="n"/>
      <c r="AS330" s="160" t="n"/>
      <c r="AT330" s="160" t="n"/>
      <c r="AU330" s="962" t="n"/>
      <c r="ES330" s="320" t="n"/>
      <c r="EW330" s="320" t="n"/>
      <c r="FA330" s="320" t="n"/>
      <c r="FE330" s="320" t="n"/>
      <c r="FN330" s="965" t="n"/>
    </row>
    <row r="331">
      <c r="B331" s="1133" t="inlineStr">
        <is>
          <t>Current cost aircraft depreciation (US$m)</t>
        </is>
      </c>
      <c r="C331" s="1282" t="n">
        <v>97.6753788391372</v>
      </c>
      <c r="D331" s="1282" t="n">
        <v>116.9422987551783</v>
      </c>
      <c r="E331" s="1282" t="n">
        <v>142.9049926026003</v>
      </c>
      <c r="F331" s="1282" t="n">
        <v>167.9826889459703</v>
      </c>
      <c r="G331" s="1282" t="n">
        <v>190.5817464622891</v>
      </c>
      <c r="H331" s="1282" t="n">
        <v>214.086992834686</v>
      </c>
      <c r="I331" s="1282" t="n">
        <v>236.9569082570366</v>
      </c>
      <c r="J331" s="1282" t="n">
        <v>253.6886463940307</v>
      </c>
      <c r="K331" s="1282" t="n">
        <v>274.4915149403714</v>
      </c>
      <c r="L331" s="1282" t="n">
        <v>312.861529288299</v>
      </c>
      <c r="M331" s="1282" t="n">
        <v>318.8856104756953</v>
      </c>
      <c r="N331" s="1283">
        <f>N329*0.045</f>
        <v/>
      </c>
      <c r="O331" s="1283">
        <f>O329*0.045</f>
        <v/>
      </c>
      <c r="P331" s="1283">
        <f>P329*0.045</f>
        <v/>
      </c>
      <c r="Q331" s="1283">
        <f>Q329*0.045</f>
        <v/>
      </c>
      <c r="R331" s="1283">
        <f>R329*0.045</f>
        <v/>
      </c>
      <c r="S331" s="1283">
        <f>S329*0.045</f>
        <v/>
      </c>
      <c r="T331" s="1283">
        <f>T329*0.045</f>
        <v/>
      </c>
      <c r="U331" s="1283">
        <f>U329*0.045</f>
        <v/>
      </c>
      <c r="V331" s="1283">
        <f>V329*0.045</f>
        <v/>
      </c>
      <c r="W331" s="1283">
        <f>W329*0.045</f>
        <v/>
      </c>
      <c r="X331" s="1283">
        <f>X329*0.045</f>
        <v/>
      </c>
      <c r="Y331" s="1283">
        <f>Y329*0.045</f>
        <v/>
      </c>
      <c r="Z331" s="1283">
        <f>Z329*0.045</f>
        <v/>
      </c>
      <c r="AA331" s="1283">
        <f>AA329*0.045</f>
        <v/>
      </c>
      <c r="AB331" s="1283">
        <f>AB329*0.045</f>
        <v/>
      </c>
      <c r="AC331" s="1283">
        <f>AC329*0.045</f>
        <v/>
      </c>
      <c r="AD331" s="1283">
        <f>AD329*0.045</f>
        <v/>
      </c>
      <c r="AE331" s="1283">
        <f>AE329*0.045</f>
        <v/>
      </c>
      <c r="AF331" s="1283">
        <f>AF329*0.045</f>
        <v/>
      </c>
      <c r="AG331" s="1283">
        <f>AG329*0.045</f>
        <v/>
      </c>
      <c r="AH331" s="1283">
        <f>AH329*0.045</f>
        <v/>
      </c>
      <c r="AI331" s="1283">
        <f>AI329*0.045</f>
        <v/>
      </c>
      <c r="AJ331" s="1283">
        <f>AJ329*0.045</f>
        <v/>
      </c>
      <c r="AK331" s="1283">
        <f>AK329*0.045</f>
        <v/>
      </c>
      <c r="AL331" s="1283">
        <f>AL329*0.045</f>
        <v/>
      </c>
      <c r="AM331" s="1283">
        <f>AM329*0.045</f>
        <v/>
      </c>
      <c r="AN331" s="1283">
        <f>AN329*0.045</f>
        <v/>
      </c>
      <c r="AO331" s="1283" t="n"/>
      <c r="AP331" s="1283" t="n"/>
      <c r="AQ331" s="1283" t="n"/>
      <c r="AR331" s="1283" t="n"/>
      <c r="AS331" s="1283" t="n"/>
      <c r="AT331" s="1283" t="n"/>
      <c r="AU331" s="962" t="n"/>
      <c r="ES331" s="320" t="n"/>
      <c r="EW331" s="320" t="n"/>
      <c r="FA331" s="320" t="n"/>
      <c r="FE331" s="320" t="n"/>
      <c r="FN331" s="965" t="n"/>
    </row>
    <row r="332">
      <c r="B332" s="961" t="inlineStr">
        <is>
          <t>Non-aircraft depreciation (US$m)</t>
        </is>
      </c>
      <c r="C332" s="1143" t="n">
        <v>11.03611118240382</v>
      </c>
      <c r="D332" s="1143" t="n">
        <v>11.01942493977756</v>
      </c>
      <c r="E332" s="1143" t="n">
        <v>11.02422766312011</v>
      </c>
      <c r="F332" s="1143" t="n">
        <v>11.04546622142307</v>
      </c>
      <c r="G332" s="1143" t="n">
        <v>11.06685747245605</v>
      </c>
      <c r="H332" s="1143" t="n">
        <v>11.11032721681997</v>
      </c>
      <c r="I332" s="1143" t="n">
        <v>11.11672329451725</v>
      </c>
      <c r="J332" s="1143" t="n">
        <v>11.12862153905875</v>
      </c>
      <c r="K332" s="1143" t="n">
        <v>11.11701592864428</v>
      </c>
      <c r="L332" s="1143" t="n">
        <v>11.1196196820546</v>
      </c>
      <c r="M332" s="1143" t="n">
        <v>11.10885571404846</v>
      </c>
      <c r="N332" s="1143" t="n">
        <v>11.10338643671809</v>
      </c>
      <c r="O332" s="1143" t="n">
        <v>11.08688496198431</v>
      </c>
      <c r="P332" s="1143" t="n">
        <v>11.03838262159999</v>
      </c>
      <c r="Q332" s="1143" t="n">
        <v>11.02753026627203</v>
      </c>
      <c r="R332" s="1143" t="n">
        <v>11.02716966291426</v>
      </c>
      <c r="S332" s="1143" t="n">
        <v>11.04298542650798</v>
      </c>
      <c r="T332" s="1143" t="n">
        <v>11.04159015593559</v>
      </c>
      <c r="U332" s="1143" t="n">
        <v>11.05676897703687</v>
      </c>
      <c r="V332" s="1143" t="n">
        <v>11.07111130182794</v>
      </c>
      <c r="W332" s="1143" t="n">
        <v>11.02398797679608</v>
      </c>
      <c r="X332" s="1143" t="n">
        <v>11.04219827750662</v>
      </c>
      <c r="Y332" s="1143" t="n">
        <v>11.09449488528776</v>
      </c>
      <c r="Z332" s="1143" t="n">
        <v>11.06993889897653</v>
      </c>
      <c r="AA332" s="1143" t="n">
        <v>11.04761730607467</v>
      </c>
      <c r="AB332" s="1143" t="n">
        <v>11.08720984792784</v>
      </c>
      <c r="AC332" s="1143" t="n">
        <v>11.08804784155229</v>
      </c>
      <c r="AD332" s="1143" t="n">
        <v>11.09120899327614</v>
      </c>
      <c r="AE332" s="1143" t="n">
        <v>11.09416335267215</v>
      </c>
      <c r="AF332" s="1143" t="n">
        <v>11.07946880351959</v>
      </c>
      <c r="AG332" s="1143" t="n">
        <v>11.03576142004484</v>
      </c>
      <c r="AH332" s="1143" t="n">
        <v>10.97059670030164</v>
      </c>
      <c r="AI332" s="1143" t="n">
        <v>10.97242916814126</v>
      </c>
      <c r="AJ332" s="1143" t="n">
        <v>11.08631181966227</v>
      </c>
      <c r="AK332" s="1143">
        <f>86/AK66</f>
        <v/>
      </c>
      <c r="AL332" s="1143">
        <f>86/AL66</f>
        <v/>
      </c>
      <c r="AM332" s="1143">
        <f>86/AM66</f>
        <v/>
      </c>
      <c r="AN332" s="1143">
        <f>86/AN66</f>
        <v/>
      </c>
      <c r="AO332" s="1143" t="n"/>
      <c r="AP332" s="1143" t="n"/>
      <c r="AQ332" s="1143" t="n"/>
      <c r="AR332" s="1143" t="n"/>
      <c r="AS332" s="1143" t="n"/>
      <c r="AT332" s="1143" t="n"/>
      <c r="AU332" s="962" t="n"/>
      <c r="ES332" s="320" t="n"/>
      <c r="EW332" s="320" t="n"/>
      <c r="FA332" s="320" t="n"/>
      <c r="FE332" s="320" t="n"/>
      <c r="FN332" s="965" t="n"/>
    </row>
    <row r="333">
      <c r="B333" s="1133" t="inlineStr">
        <is>
          <t>Maintenance capex (US$m)</t>
        </is>
      </c>
      <c r="C333" s="1133">
        <f>SUM(C331:C332)</f>
        <v/>
      </c>
      <c r="D333" s="1133">
        <f>SUM(D331:D332)</f>
        <v/>
      </c>
      <c r="E333" s="1133">
        <f>SUM(E331:E332)</f>
        <v/>
      </c>
      <c r="F333" s="1133">
        <f>SUM(F331:F332)</f>
        <v/>
      </c>
      <c r="G333" s="1133">
        <f>SUM(G331:G332)</f>
        <v/>
      </c>
      <c r="H333" s="1133">
        <f>SUM(H331:H332)</f>
        <v/>
      </c>
      <c r="I333" s="1133">
        <f>SUM(I331:I332)</f>
        <v/>
      </c>
      <c r="J333" s="1133">
        <f>SUM(J331:J332)</f>
        <v/>
      </c>
      <c r="K333" s="1133">
        <f>SUM(K331:K332)</f>
        <v/>
      </c>
      <c r="L333" s="1135">
        <f>SUM(L331:L332)</f>
        <v/>
      </c>
      <c r="M333" s="1135">
        <f>SUM(M331:M332)</f>
        <v/>
      </c>
      <c r="N333" s="1135">
        <f>SUM(N331:N332)</f>
        <v/>
      </c>
      <c r="O333" s="1135">
        <f>SUM(O331:O332)</f>
        <v/>
      </c>
      <c r="P333" s="1135">
        <f>SUM(P331:P332)</f>
        <v/>
      </c>
      <c r="Q333" s="1135">
        <f>SUM(Q331:Q332)</f>
        <v/>
      </c>
      <c r="R333" s="1135">
        <f>SUM(R331:R332)</f>
        <v/>
      </c>
      <c r="S333" s="1135">
        <f>SUM(S331:S332)</f>
        <v/>
      </c>
      <c r="T333" s="1135">
        <f>SUM(T331:T332)</f>
        <v/>
      </c>
      <c r="U333" s="1135">
        <f>SUM(U331:U332)</f>
        <v/>
      </c>
      <c r="V333" s="1135">
        <f>SUM(V331:V332)</f>
        <v/>
      </c>
      <c r="W333" s="1135">
        <f>SUM(W331:W332)</f>
        <v/>
      </c>
      <c r="X333" s="1135">
        <f>SUM(X331:X332)</f>
        <v/>
      </c>
      <c r="Y333" s="1135">
        <f>SUM(Y331:Y332)</f>
        <v/>
      </c>
      <c r="Z333" s="1135">
        <f>SUM(Z331:Z332)</f>
        <v/>
      </c>
      <c r="AA333" s="1135">
        <f>SUM(AA331:AA332)</f>
        <v/>
      </c>
      <c r="AB333" s="1135">
        <f>SUM(AB331:AB332)</f>
        <v/>
      </c>
      <c r="AC333" s="1135">
        <f>SUM(AC331:AC332)</f>
        <v/>
      </c>
      <c r="AD333" s="1135">
        <f>SUM(AD331:AD332)</f>
        <v/>
      </c>
      <c r="AE333" s="1135">
        <f>SUM(AE331:AE332)</f>
        <v/>
      </c>
      <c r="AF333" s="1135">
        <f>SUM(AF331:AF332)</f>
        <v/>
      </c>
      <c r="AG333" s="1135">
        <f>SUM(AG331:AG332)</f>
        <v/>
      </c>
      <c r="AH333" s="1135">
        <f>SUM(AH331:AH332)</f>
        <v/>
      </c>
      <c r="AI333" s="1135">
        <f>SUM(AI331:AI332)</f>
        <v/>
      </c>
      <c r="AJ333" s="1135">
        <f>SUM(AJ331:AJ332)</f>
        <v/>
      </c>
      <c r="AK333" s="1135">
        <f>SUM(AK331:AK332)</f>
        <v/>
      </c>
      <c r="AL333" s="1135">
        <f>SUM(AL331:AL332)</f>
        <v/>
      </c>
      <c r="AM333" s="1135">
        <f>SUM(AM331:AM332)</f>
        <v/>
      </c>
      <c r="AN333" s="1135">
        <f>SUM(AN331:AN332)</f>
        <v/>
      </c>
      <c r="AO333" s="1135" t="n"/>
      <c r="AP333" s="1135" t="n"/>
      <c r="AQ333" s="1135" t="n"/>
      <c r="AR333" s="1135" t="n"/>
      <c r="AS333" s="1135" t="n"/>
      <c r="AT333" s="1135" t="n"/>
      <c r="AU333" s="962" t="n"/>
      <c r="ES333" s="320" t="n"/>
      <c r="EW333" s="320" t="n"/>
      <c r="FA333" s="320" t="n"/>
      <c r="FE333" s="320" t="n"/>
      <c r="FN333" s="965" t="n"/>
    </row>
    <row r="334">
      <c r="B334" s="1133" t="inlineStr">
        <is>
          <t>Maintenance capex (HK$m)</t>
        </is>
      </c>
      <c r="C334" s="194">
        <f>-C333*C66</f>
        <v/>
      </c>
      <c r="D334" s="194">
        <f>-D333*D66</f>
        <v/>
      </c>
      <c r="E334" s="194">
        <f>-E333*E66</f>
        <v/>
      </c>
      <c r="F334" s="194">
        <f>-F333*F66</f>
        <v/>
      </c>
      <c r="G334" s="194">
        <f>-G333*G66</f>
        <v/>
      </c>
      <c r="H334" s="194">
        <f>-H333*H66</f>
        <v/>
      </c>
      <c r="I334" s="194">
        <f>-I333*I66</f>
        <v/>
      </c>
      <c r="J334" s="194">
        <f>-J333*J66</f>
        <v/>
      </c>
      <c r="K334" s="194">
        <f>-K333*K66</f>
        <v/>
      </c>
      <c r="L334" s="194">
        <f>-L333*L66</f>
        <v/>
      </c>
      <c r="M334" s="194">
        <f>-M333*M66</f>
        <v/>
      </c>
      <c r="N334" s="194">
        <f>-N333*N66</f>
        <v/>
      </c>
      <c r="O334" s="194">
        <f>-O333*O66</f>
        <v/>
      </c>
      <c r="P334" s="194">
        <f>-P333*P66</f>
        <v/>
      </c>
      <c r="Q334" s="194">
        <f>-Q333*Q66</f>
        <v/>
      </c>
      <c r="R334" s="194">
        <f>-R333*R66</f>
        <v/>
      </c>
      <c r="S334" s="194">
        <f>-S333*S66</f>
        <v/>
      </c>
      <c r="T334" s="194">
        <f>-T333*T66</f>
        <v/>
      </c>
      <c r="U334" s="194">
        <f>-U333*U66</f>
        <v/>
      </c>
      <c r="V334" s="194">
        <f>-V333*V66</f>
        <v/>
      </c>
      <c r="W334" s="194">
        <f>-W333*W66</f>
        <v/>
      </c>
      <c r="X334" s="194">
        <f>-X333*X66</f>
        <v/>
      </c>
      <c r="Y334" s="194">
        <f>-Y333*Y66</f>
        <v/>
      </c>
      <c r="Z334" s="194">
        <f>-Z333*Z66</f>
        <v/>
      </c>
      <c r="AA334" s="194">
        <f>-AA333*AA66</f>
        <v/>
      </c>
      <c r="AB334" s="194">
        <f>-AB333*AB66</f>
        <v/>
      </c>
      <c r="AC334" s="194">
        <f>-AC333*AC66</f>
        <v/>
      </c>
      <c r="AD334" s="194">
        <f>-AD333*AD66</f>
        <v/>
      </c>
      <c r="AE334" s="194">
        <f>-AE333*AE66</f>
        <v/>
      </c>
      <c r="AF334" s="194">
        <f>-AF333*AF66</f>
        <v/>
      </c>
      <c r="AG334" s="194">
        <f>-AG333*AG66</f>
        <v/>
      </c>
      <c r="AH334" s="194">
        <f>-AH333*AH66</f>
        <v/>
      </c>
      <c r="AI334" s="194">
        <f>-AI333*AI66</f>
        <v/>
      </c>
      <c r="AJ334" s="194">
        <f>-AJ333*AJ66</f>
        <v/>
      </c>
      <c r="AK334" s="194">
        <f>-AK333*AK66</f>
        <v/>
      </c>
      <c r="AL334" s="194">
        <f>-AL333*AL66</f>
        <v/>
      </c>
      <c r="AM334" s="194">
        <f>-AM333*AM66</f>
        <v/>
      </c>
      <c r="AN334" s="194">
        <f>-AN333*AN66</f>
        <v/>
      </c>
      <c r="AO334" s="194" t="n"/>
      <c r="AP334" s="194" t="n"/>
      <c r="AQ334" s="194" t="n"/>
      <c r="AR334" s="194" t="n"/>
      <c r="AS334" s="194" t="n"/>
      <c r="AT334" s="194" t="n"/>
      <c r="AU334" s="962" t="n"/>
      <c r="ES334" s="320" t="n"/>
      <c r="EW334" s="320" t="n"/>
      <c r="FA334" s="320" t="n"/>
      <c r="FE334" s="320" t="n"/>
      <c r="FN334" s="965" t="n"/>
    </row>
    <row r="335">
      <c r="C335" s="237" t="n"/>
      <c r="D335" s="237" t="n"/>
      <c r="E335" s="237" t="n"/>
      <c r="F335" s="237" t="n"/>
      <c r="G335" s="237" t="n"/>
      <c r="H335" s="237" t="n"/>
      <c r="I335" s="237" t="n"/>
      <c r="J335" s="237" t="n"/>
      <c r="K335" s="237" t="n"/>
      <c r="L335" s="237" t="n"/>
      <c r="M335" s="237" t="n"/>
      <c r="N335" s="160" t="n"/>
      <c r="O335" s="160" t="n"/>
      <c r="P335" s="160" t="n"/>
      <c r="Q335" s="160" t="n"/>
      <c r="R335" s="160" t="n"/>
      <c r="S335" s="160" t="n"/>
      <c r="T335" s="160" t="n"/>
      <c r="U335" s="160" t="n"/>
      <c r="V335" s="160" t="n"/>
      <c r="W335" s="160" t="n"/>
      <c r="X335" s="160" t="n"/>
      <c r="Y335" s="160" t="n"/>
      <c r="Z335" s="160" t="n"/>
      <c r="AA335" s="160" t="n"/>
      <c r="AB335" s="160" t="n"/>
      <c r="AC335" s="160" t="n"/>
      <c r="AD335" s="160" t="n"/>
      <c r="AE335" s="160" t="n"/>
      <c r="AF335" s="160" t="n"/>
      <c r="AG335" s="160" t="n"/>
      <c r="AH335" s="160" t="n"/>
      <c r="AI335" s="160" t="n"/>
      <c r="AJ335" s="160" t="n"/>
      <c r="AK335" s="160" t="n"/>
      <c r="AL335" s="160" t="n"/>
      <c r="AM335" s="160" t="n"/>
      <c r="AN335" s="160" t="n"/>
      <c r="AO335" s="160" t="n"/>
      <c r="AP335" s="160" t="n"/>
      <c r="AQ335" s="160" t="n"/>
      <c r="AR335" s="160" t="n"/>
      <c r="AS335" s="160" t="n"/>
      <c r="AT335" s="160" t="n"/>
      <c r="AU335" s="962" t="n"/>
      <c r="ES335" s="320" t="n"/>
      <c r="EW335" s="320" t="n"/>
      <c r="FA335" s="320" t="n"/>
      <c r="FE335" s="320" t="n"/>
      <c r="FN335" s="965" t="n"/>
    </row>
    <row r="336"/>
    <row r="337" customFormat="1" s="1133">
      <c r="A337" s="1105" t="n"/>
      <c r="B337" s="968" t="n"/>
      <c r="C337" s="968" t="n"/>
      <c r="D337" s="968" t="n"/>
      <c r="E337" s="968" t="n"/>
      <c r="F337" s="968" t="n"/>
      <c r="G337" s="968" t="n"/>
      <c r="H337" s="968" t="n"/>
      <c r="I337" s="968" t="n"/>
      <c r="J337" s="968" t="n"/>
      <c r="K337" s="968" t="n"/>
      <c r="L337" s="968" t="n"/>
      <c r="M337" s="968" t="n"/>
      <c r="N337" s="968" t="n"/>
      <c r="O337" s="968" t="n"/>
      <c r="P337" s="968" t="n"/>
      <c r="Q337" s="968" t="n"/>
      <c r="R337" s="968" t="n"/>
      <c r="S337" s="968" t="n"/>
      <c r="T337" s="968" t="n"/>
      <c r="U337" s="968" t="n"/>
      <c r="V337" s="968" t="n"/>
      <c r="W337" s="968" t="n"/>
      <c r="X337" s="968" t="n"/>
      <c r="Y337" s="968" t="n"/>
      <c r="Z337" s="968" t="n"/>
      <c r="AA337" s="968" t="n"/>
      <c r="AB337" s="968" t="n"/>
      <c r="AC337" s="968" t="n"/>
      <c r="AD337" s="968" t="n"/>
      <c r="AE337" s="968" t="n"/>
      <c r="AF337" s="968" t="n"/>
      <c r="AG337" s="968" t="n"/>
      <c r="AH337" s="968" t="n"/>
      <c r="AI337" s="968" t="n"/>
      <c r="AJ337" s="968" t="n"/>
      <c r="AK337" s="968" t="n"/>
      <c r="AL337" s="968" t="n"/>
      <c r="AM337" s="968" t="n"/>
      <c r="AN337" s="968" t="n"/>
      <c r="AO337" s="968" t="n"/>
      <c r="AP337" s="968" t="n"/>
      <c r="AQ337" s="968" t="n"/>
      <c r="AR337" s="968" t="n"/>
      <c r="AS337" s="968" t="n"/>
      <c r="AT337" s="968" t="n"/>
      <c r="EH337" s="961" t="n"/>
      <c r="EI337" s="961" t="n"/>
      <c r="EL337" s="961" t="n"/>
      <c r="EM337" s="961" t="n"/>
      <c r="EP337" s="961" t="n"/>
      <c r="EQ337" s="961" t="n"/>
      <c r="ER337" s="961" t="n"/>
      <c r="ET337" s="1048" t="n"/>
      <c r="EX337" s="1048" t="n"/>
      <c r="FB337" s="1048" t="n"/>
      <c r="FF337" s="1048" t="n"/>
      <c r="FI337" s="1187" t="n"/>
      <c r="FJ337" s="1048" t="n"/>
      <c r="FM337" s="1187" t="n"/>
      <c r="FN337" s="1048" t="n"/>
    </row>
    <row r="338">
      <c r="A338" s="1105" t="n"/>
      <c r="S338" s="994" t="n"/>
      <c r="T338" s="994" t="n"/>
      <c r="U338" s="994" t="n"/>
      <c r="V338" s="994" t="n"/>
      <c r="W338" s="994" t="n"/>
      <c r="X338" s="844" t="n"/>
      <c r="Y338" s="844" t="n"/>
      <c r="Z338" s="844" t="n"/>
      <c r="AA338" s="844" t="n"/>
      <c r="AB338" s="844" t="n"/>
      <c r="AC338" s="845" t="n"/>
      <c r="AD338" s="845" t="n"/>
      <c r="AE338" s="845" t="n"/>
      <c r="AF338" s="845" t="n"/>
      <c r="AG338" s="845" t="n"/>
      <c r="AH338" s="845" t="n"/>
      <c r="AI338" s="845" t="n"/>
      <c r="AJ338" s="845" t="n"/>
      <c r="AK338" s="845" t="n"/>
      <c r="AL338" s="845" t="n"/>
      <c r="AM338" s="845" t="n"/>
      <c r="AN338" s="845" t="n"/>
      <c r="AO338" s="845" t="n"/>
      <c r="AP338" s="845" t="n"/>
      <c r="AQ338" s="845" t="n"/>
      <c r="AR338" s="845" t="n"/>
      <c r="AS338" s="845" t="n"/>
      <c r="AT338" s="845" t="n"/>
      <c r="AV338" s="961" t="n"/>
      <c r="AW338" s="961" t="n"/>
      <c r="AX338" s="961" t="n"/>
      <c r="AY338" s="961" t="n"/>
      <c r="AZ338" s="961" t="n"/>
      <c r="BA338" s="961" t="n"/>
      <c r="BB338" s="961" t="n"/>
      <c r="BD338" s="961" t="n"/>
      <c r="BE338" s="961" t="n"/>
      <c r="BF338" s="961" t="n"/>
      <c r="BQ338" s="961" t="n"/>
      <c r="EO338" s="994" t="n"/>
      <c r="EP338" s="994" t="n"/>
      <c r="ET338" s="1048" t="n"/>
      <c r="EX338" s="1048" t="n"/>
      <c r="FB338" s="1048" t="n"/>
      <c r="FF338" s="1048" t="n"/>
      <c r="FJ338" s="1048" t="n"/>
      <c r="FN338" s="1048" t="n"/>
    </row>
    <row r="339">
      <c r="A339" s="1105" t="n"/>
      <c r="L339" s="961" t="n"/>
      <c r="M339" s="961" t="n"/>
      <c r="N339" s="961" t="n"/>
      <c r="O339" s="961" t="n"/>
      <c r="P339" s="961" t="n"/>
      <c r="Q339" s="961" t="n"/>
      <c r="R339" s="961" t="n"/>
      <c r="AU339" s="118" t="n"/>
      <c r="AV339" s="118" t="n"/>
      <c r="AW339" s="118" t="n"/>
      <c r="ET339" s="1048" t="n"/>
      <c r="EX339" s="1048" t="n"/>
      <c r="FB339" s="1048" t="n"/>
      <c r="FF339" s="1048" t="n"/>
      <c r="FJ339" s="1048" t="n"/>
      <c r="FN339" s="1048" t="n"/>
    </row>
    <row r="340">
      <c r="A340" s="1105" t="n"/>
      <c r="B340" s="1284" t="n"/>
      <c r="D340" s="847" t="n"/>
      <c r="E340" s="847" t="n"/>
      <c r="F340" s="847" t="n"/>
      <c r="G340" s="847" t="n"/>
      <c r="H340" s="847" t="n"/>
      <c r="I340" s="847" t="n"/>
      <c r="J340" s="847" t="n"/>
      <c r="K340" s="847" t="n"/>
      <c r="L340" s="848" t="n"/>
      <c r="M340" s="848" t="n"/>
      <c r="N340" s="848" t="n"/>
      <c r="O340" s="848" t="n"/>
      <c r="P340" s="848" t="n"/>
      <c r="Q340" s="848" t="n"/>
      <c r="R340" s="848" t="n"/>
      <c r="S340" s="847" t="n"/>
      <c r="T340" s="847" t="n"/>
      <c r="U340" s="847" t="n"/>
      <c r="V340" s="847" t="n"/>
      <c r="W340" s="847" t="n"/>
      <c r="X340" s="847" t="n"/>
      <c r="Y340" s="847" t="n"/>
      <c r="Z340" s="847" t="n"/>
      <c r="AA340" s="847" t="n"/>
      <c r="AB340" s="847" t="n"/>
      <c r="AC340" s="847" t="n"/>
      <c r="AD340" s="847" t="n"/>
      <c r="AE340" s="847" t="n"/>
      <c r="AF340" s="847" t="n"/>
      <c r="AG340" s="847" t="n"/>
      <c r="AH340" s="847" t="n"/>
      <c r="AI340" s="847" t="n"/>
      <c r="AJ340" s="847" t="n"/>
      <c r="AK340" s="847" t="n"/>
      <c r="AL340" s="847" t="n"/>
      <c r="AM340" s="847" t="n"/>
      <c r="AN340" s="847" t="n"/>
      <c r="AO340" s="847" t="n"/>
      <c r="AP340" s="847" t="n"/>
      <c r="AQ340" s="847" t="n"/>
      <c r="AR340" s="847" t="n"/>
      <c r="AS340" s="847" t="n"/>
      <c r="AT340" s="847" t="n"/>
      <c r="DU340" s="847" t="n"/>
      <c r="DV340" s="847" t="n"/>
      <c r="DW340" s="847" t="n"/>
      <c r="DY340" s="847" t="n"/>
      <c r="DZ340" s="847" t="n"/>
      <c r="EA340" s="847" t="n"/>
      <c r="EC340" s="847" t="n"/>
      <c r="ED340" s="847" t="n"/>
      <c r="EE340" s="847" t="n"/>
      <c r="EF340" s="847" t="n"/>
      <c r="EJ340" s="847" t="n"/>
      <c r="EN340" s="847" t="n"/>
      <c r="ET340" s="1048" t="n"/>
      <c r="EX340" s="1048" t="n"/>
      <c r="FB340" s="1048" t="n"/>
      <c r="FF340" s="1048" t="n"/>
      <c r="FJ340" s="1048" t="n"/>
      <c r="FN340" s="1048" t="n"/>
    </row>
    <row r="341">
      <c r="A341" s="1105" t="n"/>
      <c r="L341" s="961" t="n"/>
      <c r="M341" s="961" t="n"/>
      <c r="N341" s="961" t="n"/>
      <c r="O341" s="961" t="n"/>
      <c r="P341" s="961" t="n"/>
      <c r="Q341" s="961" t="n"/>
      <c r="R341" s="961" t="n"/>
      <c r="ET341" s="1048" t="n"/>
      <c r="EX341" s="1048" t="n"/>
      <c r="FB341" s="1048" t="n"/>
      <c r="FF341" s="1048" t="n"/>
      <c r="FJ341" s="1048" t="n"/>
      <c r="FN341" s="1048" t="n"/>
    </row>
    <row r="342">
      <c r="A342" s="1105" t="n"/>
      <c r="B342" s="1284" t="n"/>
      <c r="D342" s="847" t="n"/>
      <c r="E342" s="847" t="n"/>
      <c r="F342" s="847" t="n"/>
      <c r="G342" s="847" t="n"/>
      <c r="H342" s="847" t="n"/>
      <c r="I342" s="847" t="n"/>
      <c r="J342" s="847" t="n"/>
      <c r="K342" s="847" t="n"/>
      <c r="L342" s="848" t="n"/>
      <c r="M342" s="848" t="n"/>
      <c r="N342" s="848" t="n"/>
      <c r="O342" s="848" t="n"/>
      <c r="P342" s="848" t="n"/>
      <c r="Q342" s="848" t="n"/>
      <c r="R342" s="848" t="n"/>
      <c r="S342" s="847" t="n"/>
      <c r="T342" s="847" t="n"/>
      <c r="U342" s="847" t="n"/>
      <c r="V342" s="847" t="n"/>
      <c r="W342" s="847" t="n"/>
      <c r="X342" s="847" t="n"/>
      <c r="Y342" s="847" t="n"/>
      <c r="Z342" s="847" t="n"/>
      <c r="AA342" s="847" t="n"/>
      <c r="AB342" s="847" t="n"/>
      <c r="AC342" s="847" t="n"/>
      <c r="AD342" s="847" t="n"/>
      <c r="AE342" s="847" t="n"/>
      <c r="AF342" s="847" t="n"/>
      <c r="AG342" s="847" t="n"/>
      <c r="AH342" s="847" t="n"/>
      <c r="AI342" s="847" t="n"/>
      <c r="AJ342" s="847" t="n"/>
      <c r="AK342" s="847" t="n"/>
      <c r="AL342" s="847" t="n"/>
      <c r="AM342" s="847" t="n"/>
      <c r="AN342" s="847" t="n"/>
      <c r="AO342" s="847" t="n"/>
      <c r="AP342" s="847" t="n"/>
      <c r="AQ342" s="847" t="n"/>
      <c r="AR342" s="847" t="n"/>
      <c r="AS342" s="847" t="n"/>
      <c r="AT342" s="847" t="n"/>
      <c r="DU342" s="847" t="n"/>
      <c r="DV342" s="847" t="n"/>
      <c r="DW342" s="847" t="n"/>
      <c r="DY342" s="847" t="n"/>
      <c r="DZ342" s="847" t="n"/>
      <c r="EA342" s="847" t="n"/>
      <c r="EC342" s="847" t="n"/>
      <c r="ED342" s="847" t="n"/>
      <c r="EE342" s="847" t="n"/>
      <c r="EF342" s="847" t="n"/>
      <c r="EJ342" s="847" t="n"/>
      <c r="EN342" s="847" t="n"/>
      <c r="ET342" s="1048" t="n"/>
      <c r="EX342" s="1048" t="n"/>
      <c r="FB342" s="1048" t="n"/>
      <c r="FF342" s="1048" t="n"/>
      <c r="FJ342" s="1048" t="n"/>
      <c r="FN342" s="1048" t="n"/>
    </row>
    <row r="343">
      <c r="A343" s="1105" t="n"/>
      <c r="L343" s="961" t="n"/>
      <c r="M343" s="961" t="n"/>
      <c r="N343" s="961" t="n"/>
      <c r="O343" s="961" t="n"/>
      <c r="P343" s="961" t="n"/>
      <c r="Q343" s="961" t="n"/>
      <c r="R343" s="961" t="n"/>
      <c r="ET343" s="1048" t="n"/>
      <c r="EX343" s="1048" t="n"/>
      <c r="FB343" s="1048" t="n"/>
      <c r="FF343" s="1048" t="n"/>
      <c r="FJ343" s="1048" t="n"/>
      <c r="FN343" s="1048" t="n"/>
    </row>
    <row r="344">
      <c r="A344" s="1105" t="n"/>
      <c r="B344" s="1284" t="n"/>
      <c r="I344" s="847" t="n"/>
      <c r="J344" s="847" t="n"/>
      <c r="K344" s="847" t="n"/>
      <c r="L344" s="848" t="n"/>
      <c r="M344" s="848" t="n"/>
      <c r="N344" s="848" t="n"/>
      <c r="O344" s="848" t="n"/>
      <c r="P344" s="848" t="n"/>
      <c r="Q344" s="848" t="n"/>
      <c r="R344" s="848" t="n"/>
      <c r="S344" s="847" t="n"/>
      <c r="T344" s="847" t="n"/>
      <c r="U344" s="847" t="n"/>
      <c r="V344" s="847" t="n"/>
      <c r="W344" s="847" t="n"/>
      <c r="X344" s="847" t="n"/>
      <c r="Y344" s="847" t="n"/>
      <c r="Z344" s="847" t="n"/>
      <c r="AA344" s="847" t="n"/>
      <c r="AB344" s="847" t="n"/>
      <c r="AC344" s="847" t="n"/>
      <c r="AD344" s="847" t="n"/>
      <c r="AE344" s="847" t="n"/>
      <c r="AF344" s="847" t="n"/>
      <c r="AG344" s="847" t="n"/>
      <c r="AH344" s="847" t="n"/>
      <c r="AI344" s="847" t="n"/>
      <c r="AJ344" s="847" t="n"/>
      <c r="AK344" s="847" t="n"/>
      <c r="AL344" s="847" t="n"/>
      <c r="AM344" s="847" t="n"/>
      <c r="AN344" s="847" t="n"/>
      <c r="AO344" s="847" t="n"/>
      <c r="AP344" s="847" t="n"/>
      <c r="AQ344" s="847" t="n"/>
      <c r="AR344" s="847" t="n"/>
      <c r="AS344" s="847" t="n"/>
      <c r="AT344" s="847" t="n"/>
      <c r="DU344" s="847" t="n"/>
      <c r="DV344" s="847" t="n"/>
      <c r="DW344" s="847" t="n"/>
      <c r="DY344" s="847" t="n"/>
      <c r="DZ344" s="847" t="n"/>
      <c r="EA344" s="847" t="n"/>
      <c r="EC344" s="847" t="n"/>
      <c r="ED344" s="847" t="n"/>
      <c r="EE344" s="847" t="n"/>
      <c r="EF344" s="847" t="n"/>
      <c r="EJ344" s="847" t="n"/>
      <c r="EN344" s="847" t="n"/>
      <c r="ET344" s="1048" t="n"/>
      <c r="EX344" s="1048" t="n"/>
      <c r="FB344" s="1048" t="n"/>
      <c r="FF344" s="1048" t="n"/>
      <c r="FJ344" s="1048" t="n"/>
      <c r="FN344" s="1048" t="n"/>
    </row>
    <row r="345">
      <c r="ET345" s="1048" t="n"/>
      <c r="EX345" s="1048" t="n"/>
      <c r="FB345" s="1048" t="n"/>
      <c r="FF345" s="1048" t="n"/>
      <c r="FJ345" s="1048" t="n"/>
      <c r="FN345" s="1048" t="n"/>
    </row>
    <row r="346" customFormat="1" s="1285">
      <c r="AG346" s="1286" t="n"/>
      <c r="AH346" s="1286" t="n"/>
      <c r="AI346" s="1286" t="n"/>
      <c r="AJ346" s="1286" t="n"/>
      <c r="AK346" s="1286" t="n"/>
      <c r="AL346" s="1286" t="n"/>
      <c r="AM346" s="1286" t="n"/>
      <c r="AN346" s="1286" t="n"/>
      <c r="AO346" s="1286" t="n"/>
      <c r="AP346" s="1286" t="n"/>
      <c r="AQ346" s="1286" t="n"/>
      <c r="AR346" s="1286" t="n"/>
      <c r="AS346" s="1286" t="n"/>
      <c r="AT346" s="1286" t="n"/>
      <c r="AV346" s="1287" t="n"/>
      <c r="AW346" s="1287" t="n"/>
      <c r="AX346" s="1287" t="n"/>
      <c r="AY346" s="1287" t="n"/>
      <c r="AZ346" s="1287" t="n"/>
      <c r="BA346" s="1287" t="n"/>
      <c r="BB346" s="1287" t="n"/>
      <c r="BD346" s="1287" t="n"/>
      <c r="BE346" s="1287" t="n"/>
      <c r="BF346" s="1287" t="n"/>
      <c r="BQ346" s="1287" t="n"/>
      <c r="ES346" s="1288" t="n"/>
      <c r="ET346" s="1288" t="n"/>
      <c r="EW346" s="1288" t="n"/>
      <c r="EX346" s="1288" t="n"/>
      <c r="FA346" s="1288" t="n"/>
      <c r="FB346" s="1288" t="n"/>
      <c r="FE346" s="1288" t="n"/>
      <c r="FF346" s="1288" t="n"/>
      <c r="FI346" s="966" t="n"/>
      <c r="FJ346" s="1288" t="n"/>
      <c r="FM346" s="966" t="n"/>
    </row>
    <row r="347">
      <c r="F347" s="1289" t="n"/>
      <c r="G347" s="1289" t="n"/>
      <c r="H347" s="1289" t="n"/>
      <c r="I347" s="1289" t="n"/>
      <c r="J347" s="1289" t="n"/>
      <c r="K347" s="1289" t="n"/>
      <c r="L347" s="1289" t="n"/>
      <c r="M347" s="1289" t="n"/>
      <c r="N347" s="1289" t="n"/>
      <c r="O347" s="1289" t="n"/>
      <c r="P347" s="1289" t="n"/>
      <c r="Q347" s="1289" t="n"/>
      <c r="R347" s="1289" t="n"/>
      <c r="S347" s="1289" t="n"/>
      <c r="T347" s="1289" t="n"/>
      <c r="U347" s="1289" t="n"/>
      <c r="V347" s="1289" t="n"/>
      <c r="W347" s="1289" t="n"/>
      <c r="X347" s="1289" t="n"/>
      <c r="Y347" s="1289" t="n"/>
      <c r="Z347" s="1289" t="n"/>
      <c r="AA347" s="1289" t="n"/>
      <c r="AB347" s="1289" t="n"/>
      <c r="AC347" s="1289" t="n"/>
      <c r="AD347" s="1289" t="n"/>
      <c r="AE347" s="1289" t="n"/>
      <c r="AF347" s="1289" t="n"/>
      <c r="AG347" s="1289" t="n"/>
      <c r="AH347" s="1289" t="n"/>
      <c r="AI347" s="1289" t="n"/>
      <c r="AJ347" s="1289" t="n"/>
      <c r="AK347" s="1289" t="n"/>
      <c r="AL347" s="1289" t="n"/>
      <c r="AM347" s="1289" t="n"/>
      <c r="AN347" s="1289" t="n"/>
      <c r="AO347" s="1289" t="n"/>
      <c r="AP347" s="1289" t="n"/>
      <c r="AQ347" s="1289" t="n"/>
      <c r="AR347" s="1289" t="n"/>
      <c r="AS347" s="1289" t="n"/>
      <c r="AT347" s="1289" t="n"/>
    </row>
    <row r="348">
      <c r="F348" s="226" t="n"/>
      <c r="G348" s="226" t="n"/>
      <c r="H348" s="226" t="n"/>
      <c r="I348" s="226" t="n"/>
      <c r="J348" s="226" t="n"/>
      <c r="K348" s="226" t="n"/>
      <c r="L348" s="226" t="n"/>
      <c r="M348" s="226" t="n"/>
      <c r="N348" s="226" t="n"/>
      <c r="O348" s="226" t="n"/>
      <c r="P348" s="226" t="n"/>
      <c r="Q348" s="226" t="n"/>
      <c r="R348" s="226" t="n"/>
      <c r="S348" s="226" t="n"/>
      <c r="T348" s="226" t="n"/>
      <c r="U348" s="226" t="n"/>
      <c r="V348" s="226" t="n"/>
      <c r="W348" s="226" t="n"/>
      <c r="X348" s="226" t="n"/>
      <c r="Y348" s="226" t="n"/>
      <c r="Z348" s="226" t="n"/>
      <c r="AA348" s="226" t="n"/>
      <c r="AB348" s="226" t="n"/>
      <c r="AC348" s="226" t="n"/>
      <c r="AD348" s="226" t="n"/>
      <c r="AE348" s="226" t="n"/>
      <c r="AF348" s="226" t="n"/>
      <c r="AG348" s="226" t="n"/>
      <c r="AH348" s="226" t="n"/>
      <c r="AI348" s="226" t="n"/>
      <c r="AJ348" s="226" t="n"/>
      <c r="AK348" s="226" t="n"/>
      <c r="AL348" s="226" t="n"/>
      <c r="AM348" s="226" t="n"/>
      <c r="AN348" s="226" t="n"/>
      <c r="AO348" s="226" t="n"/>
      <c r="AP348" s="226" t="n"/>
      <c r="AQ348" s="226" t="n"/>
      <c r="AR348" s="226" t="n"/>
      <c r="AS348" s="226" t="n"/>
      <c r="AT348" s="226" t="n"/>
      <c r="DU348" s="226" t="n"/>
      <c r="DV348" s="226" t="n"/>
      <c r="DW348" s="226" t="n"/>
      <c r="DY348" s="226" t="n"/>
      <c r="DZ348" s="226" t="n"/>
      <c r="EA348" s="226" t="n"/>
      <c r="EC348" s="226" t="n"/>
      <c r="ED348" s="226" t="n"/>
      <c r="EE348" s="226" t="n"/>
      <c r="EF348" s="226" t="n"/>
      <c r="EJ348" s="226" t="n"/>
      <c r="EN348" s="226" t="n"/>
    </row>
    <row r="349">
      <c r="X349" s="226" t="n"/>
    </row>
    <row r="350"/>
    <row r="351">
      <c r="B351" s="1266" t="n"/>
      <c r="AC351" s="206" t="n"/>
      <c r="AD351" s="206" t="n"/>
    </row>
    <row r="352">
      <c r="B352" s="1048" t="n"/>
      <c r="AC352" s="1159" t="n"/>
      <c r="AD352" s="1159" t="n"/>
    </row>
    <row r="353">
      <c r="AC353" s="1159" t="n"/>
      <c r="AD353" s="1159" t="n"/>
    </row>
    <row r="354">
      <c r="B354" s="1290" t="n"/>
      <c r="AC354" s="1159" t="n"/>
      <c r="AD354" s="1159" t="n"/>
    </row>
    <row r="355">
      <c r="B355" s="1048" t="n"/>
      <c r="AC355" s="1159" t="n"/>
      <c r="AD355" s="1159" t="n"/>
    </row>
    <row r="356">
      <c r="AC356" s="1159" t="n"/>
      <c r="AD356" s="1159" t="n"/>
    </row>
    <row r="357">
      <c r="AC357" s="1159" t="n"/>
      <c r="AD357" s="1159" t="n"/>
    </row>
    <row r="358">
      <c r="Z358" s="226" t="n"/>
      <c r="AC358" s="1159" t="n"/>
      <c r="AD358" s="1159" t="n"/>
    </row>
    <row r="359"/>
    <row r="360"/>
    <row r="361"/>
    <row r="362"/>
    <row r="363"/>
    <row r="364"/>
    <row r="365"/>
    <row r="366"/>
    <row r="367"/>
    <row r="368">
      <c r="T368" s="994" t="n"/>
      <c r="U368" s="994" t="n"/>
    </row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>
      <c r="AD429" s="1064" t="n"/>
      <c r="AE429" s="1064" t="n"/>
      <c r="AF429" s="1064" t="n"/>
      <c r="AG429" s="1064" t="n"/>
      <c r="AH429" s="1064" t="n"/>
      <c r="AI429" s="1064" t="n"/>
      <c r="AJ429" s="1064" t="n"/>
      <c r="AK429" s="1064" t="n"/>
      <c r="AL429" s="1064" t="n"/>
      <c r="AM429" s="1064" t="n"/>
      <c r="AN429" s="1064" t="n"/>
      <c r="AO429" s="1064" t="n"/>
      <c r="AP429" s="1064" t="n"/>
      <c r="AQ429" s="1064" t="n"/>
      <c r="AR429" s="1064" t="n"/>
      <c r="AS429" s="1064" t="n"/>
      <c r="AT429" s="1064" t="n"/>
      <c r="AU429" s="1064" t="n"/>
    </row>
    <row r="430">
      <c r="AD430" s="1064" t="n"/>
      <c r="AE430" s="1064" t="n"/>
      <c r="AF430" s="1064" t="n"/>
      <c r="AG430" s="1064" t="n"/>
      <c r="AH430" s="1064" t="n"/>
      <c r="AI430" s="1064" t="n"/>
      <c r="AJ430" s="1064" t="n"/>
      <c r="AK430" s="1064" t="n"/>
      <c r="AL430" s="1064" t="n"/>
      <c r="AM430" s="1064" t="n"/>
      <c r="AN430" s="1064" t="n"/>
      <c r="AO430" s="1064" t="n"/>
      <c r="AP430" s="1064" t="n"/>
      <c r="AQ430" s="1064" t="n"/>
      <c r="AR430" s="1064" t="n"/>
      <c r="AS430" s="1064" t="n"/>
      <c r="AT430" s="1064" t="n"/>
      <c r="AU430" s="1064" t="n"/>
    </row>
    <row r="431">
      <c r="AD431" s="1064" t="n"/>
      <c r="AE431" s="1064" t="n"/>
      <c r="AF431" s="1064" t="n"/>
      <c r="AG431" s="1064" t="n"/>
      <c r="AH431" s="1064" t="n"/>
      <c r="AI431" s="1064" t="n"/>
      <c r="AJ431" s="1064" t="n"/>
      <c r="AK431" s="1064" t="n"/>
      <c r="AL431" s="1064" t="n"/>
      <c r="AM431" s="1064" t="n"/>
      <c r="AN431" s="1064" t="n"/>
      <c r="AO431" s="1064" t="n"/>
      <c r="AP431" s="1064" t="n"/>
      <c r="AQ431" s="1064" t="n"/>
      <c r="AR431" s="1064" t="n"/>
      <c r="AS431" s="1064" t="n"/>
      <c r="AT431" s="1064" t="n"/>
      <c r="AU431" s="1064" t="n"/>
    </row>
    <row r="432">
      <c r="AD432" s="1148" t="n"/>
      <c r="AE432" s="1148" t="n"/>
      <c r="AF432" s="1148" t="n"/>
      <c r="AG432" s="1148" t="n"/>
      <c r="AH432" s="1148" t="n"/>
      <c r="AI432" s="1148" t="n"/>
      <c r="AJ432" s="1148" t="n"/>
      <c r="AK432" s="1148" t="n"/>
      <c r="AL432" s="1148" t="n"/>
      <c r="AM432" s="1148" t="n"/>
      <c r="AN432" s="1148" t="n"/>
      <c r="AO432" s="1148" t="n"/>
      <c r="AP432" s="1148" t="n"/>
      <c r="AQ432" s="1148" t="n"/>
      <c r="AR432" s="1148" t="n"/>
      <c r="AS432" s="1148" t="n"/>
      <c r="AT432" s="1148" t="n"/>
      <c r="AU432" s="1148" t="n"/>
    </row>
    <row r="433">
      <c r="AD433" s="1171" t="n"/>
      <c r="AE433" s="1171" t="n"/>
      <c r="AF433" s="1171" t="n"/>
      <c r="AG433" s="1171" t="n"/>
      <c r="AH433" s="1171" t="n"/>
      <c r="AI433" s="1171" t="n"/>
      <c r="AJ433" s="1171" t="n"/>
      <c r="AK433" s="1171" t="n"/>
      <c r="AL433" s="1171" t="n"/>
      <c r="AM433" s="1171" t="n"/>
      <c r="AN433" s="1171" t="n"/>
      <c r="AO433" s="1171" t="n"/>
      <c r="AP433" s="1171" t="n"/>
      <c r="AQ433" s="1171" t="n"/>
      <c r="AR433" s="1171" t="n"/>
      <c r="AS433" s="1171" t="n"/>
      <c r="AT433" s="1171" t="n"/>
      <c r="AU433" s="1171" t="n"/>
    </row>
    <row r="434">
      <c r="AD434" s="1171" t="n"/>
      <c r="AE434" s="1171" t="n"/>
      <c r="AF434" s="1171" t="n"/>
      <c r="AG434" s="1171" t="n"/>
      <c r="AH434" s="1171" t="n"/>
      <c r="AI434" s="1171" t="n"/>
      <c r="AJ434" s="1171" t="n"/>
      <c r="AK434" s="1171" t="n"/>
      <c r="AL434" s="1171" t="n"/>
      <c r="AM434" s="1171" t="n"/>
      <c r="AN434" s="1171" t="n"/>
      <c r="AO434" s="1171" t="n"/>
      <c r="AP434" s="1171" t="n"/>
      <c r="AQ434" s="1171" t="n"/>
      <c r="AR434" s="1171" t="n"/>
      <c r="AS434" s="1171" t="n"/>
      <c r="AT434" s="1171" t="n"/>
      <c r="AU434" s="1171" t="n"/>
    </row>
    <row r="435">
      <c r="AD435" s="1174" t="n"/>
      <c r="AE435" s="1174" t="n"/>
      <c r="AF435" s="1174" t="n"/>
      <c r="AG435" s="1174" t="n"/>
      <c r="AH435" s="1174" t="n"/>
      <c r="AI435" s="1174" t="n"/>
      <c r="AJ435" s="1174" t="n"/>
      <c r="AK435" s="1174" t="n"/>
      <c r="AL435" s="1174" t="n"/>
      <c r="AM435" s="1174" t="n"/>
      <c r="AN435" s="1174" t="n"/>
      <c r="AO435" s="1174" t="n"/>
      <c r="AP435" s="1174" t="n"/>
      <c r="AQ435" s="1174" t="n"/>
      <c r="AR435" s="1174" t="n"/>
      <c r="AS435" s="1174" t="n"/>
      <c r="AT435" s="1174" t="n"/>
      <c r="AU435" s="1174" t="n"/>
    </row>
    <row r="436">
      <c r="AD436" s="1174" t="n"/>
      <c r="AE436" s="1174" t="n"/>
      <c r="AF436" s="1174" t="n"/>
      <c r="AG436" s="1174" t="n"/>
      <c r="AH436" s="1174" t="n"/>
      <c r="AI436" s="1174" t="n"/>
      <c r="AJ436" s="1174" t="n"/>
      <c r="AK436" s="1174" t="n"/>
      <c r="AL436" s="1174" t="n"/>
      <c r="AM436" s="1174" t="n"/>
      <c r="AN436" s="1174" t="n"/>
      <c r="AO436" s="1174" t="n"/>
      <c r="AP436" s="1174" t="n"/>
      <c r="AQ436" s="1174" t="n"/>
      <c r="AR436" s="1174" t="n"/>
      <c r="AS436" s="1174" t="n"/>
      <c r="AT436" s="1174" t="n"/>
      <c r="AU436" s="1174" t="n"/>
    </row>
    <row r="437">
      <c r="AD437" s="1150" t="n"/>
      <c r="AE437" s="1150" t="n"/>
      <c r="AF437" s="1150" t="n"/>
      <c r="AG437" s="1150" t="n"/>
      <c r="AH437" s="1150" t="n"/>
      <c r="AI437" s="1150" t="n"/>
      <c r="AJ437" s="1150" t="n"/>
      <c r="AK437" s="1150" t="n"/>
      <c r="AL437" s="1150" t="n"/>
      <c r="AM437" s="1150" t="n"/>
      <c r="AN437" s="1150" t="n"/>
      <c r="AO437" s="1150" t="n"/>
      <c r="AP437" s="1150" t="n"/>
      <c r="AQ437" s="1150" t="n"/>
      <c r="AR437" s="1150" t="n"/>
      <c r="AS437" s="1150" t="n"/>
      <c r="AT437" s="1150" t="n"/>
      <c r="AU437" s="1150" t="n"/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>
      <c r="AC457" s="1064" t="n"/>
      <c r="AD457" s="1064" t="n"/>
      <c r="AE457" s="1064" t="n"/>
      <c r="AF457" s="1064" t="n"/>
      <c r="AG457" s="1064" t="n"/>
      <c r="AH457" s="1064" t="n"/>
      <c r="AI457" s="1064" t="n"/>
      <c r="AJ457" s="1064" t="n"/>
      <c r="AK457" s="1064" t="n"/>
      <c r="AL457" s="1064" t="n"/>
      <c r="AM457" s="1064" t="n"/>
      <c r="AN457" s="1064" t="n"/>
      <c r="AO457" s="1064" t="n"/>
      <c r="AP457" s="1064" t="n"/>
      <c r="AQ457" s="1064" t="n"/>
      <c r="AR457" s="1064" t="n"/>
      <c r="AS457" s="1064" t="n"/>
      <c r="AT457" s="1064" t="n"/>
    </row>
    <row r="458">
      <c r="AC458" s="1064" t="n"/>
      <c r="AD458" s="1064" t="n"/>
      <c r="AE458" s="1064" t="n"/>
      <c r="AF458" s="1064" t="n"/>
      <c r="AG458" s="1064" t="n"/>
      <c r="AH458" s="1064" t="n"/>
      <c r="AI458" s="1064" t="n"/>
      <c r="AJ458" s="1064" t="n"/>
      <c r="AK458" s="1064" t="n"/>
      <c r="AL458" s="1064" t="n"/>
      <c r="AM458" s="1064" t="n"/>
      <c r="AN458" s="1064" t="n"/>
      <c r="AO458" s="1064" t="n"/>
      <c r="AP458" s="1064" t="n"/>
      <c r="AQ458" s="1064" t="n"/>
      <c r="AR458" s="1064" t="n"/>
      <c r="AS458" s="1064" t="n"/>
      <c r="AT458" s="1064" t="n"/>
    </row>
    <row r="459">
      <c r="AC459" s="1064" t="n"/>
      <c r="AD459" s="1064" t="n"/>
      <c r="AE459" s="1064" t="n"/>
      <c r="AF459" s="1064" t="n"/>
      <c r="AG459" s="1064" t="n"/>
      <c r="AH459" s="1064" t="n"/>
      <c r="AI459" s="1064" t="n"/>
      <c r="AJ459" s="1064" t="n"/>
      <c r="AK459" s="1064" t="n"/>
      <c r="AL459" s="1064" t="n"/>
      <c r="AM459" s="1064" t="n"/>
      <c r="AN459" s="1064" t="n"/>
      <c r="AO459" s="1064" t="n"/>
      <c r="AP459" s="1064" t="n"/>
      <c r="AQ459" s="1064" t="n"/>
      <c r="AR459" s="1064" t="n"/>
      <c r="AS459" s="1064" t="n"/>
      <c r="AT459" s="1064" t="n"/>
    </row>
    <row r="460">
      <c r="AC460" s="1148" t="n"/>
      <c r="AD460" s="1148" t="n"/>
      <c r="AE460" s="1148" t="n"/>
      <c r="AF460" s="1148" t="n"/>
      <c r="AG460" s="1148" t="n"/>
      <c r="AH460" s="1148" t="n"/>
      <c r="AI460" s="1148" t="n"/>
      <c r="AJ460" s="1148" t="n"/>
      <c r="AK460" s="1148" t="n"/>
      <c r="AL460" s="1148" t="n"/>
      <c r="AM460" s="1148" t="n"/>
      <c r="AN460" s="1148" t="n"/>
      <c r="AO460" s="1148" t="n"/>
      <c r="AP460" s="1148" t="n"/>
      <c r="AQ460" s="1148" t="n"/>
      <c r="AR460" s="1148" t="n"/>
      <c r="AS460" s="1148" t="n"/>
      <c r="AT460" s="1148" t="n"/>
    </row>
    <row r="461">
      <c r="AC461" s="1171" t="n"/>
      <c r="AD461" s="1291" t="n"/>
      <c r="AE461" s="1171" t="n"/>
      <c r="AF461" s="1171" t="n"/>
      <c r="AG461" s="1171" t="n"/>
      <c r="AH461" s="1171" t="n"/>
      <c r="AI461" s="1171" t="n"/>
      <c r="AJ461" s="1171" t="n"/>
      <c r="AK461" s="1171" t="n"/>
      <c r="AL461" s="1171" t="n"/>
      <c r="AM461" s="1171" t="n"/>
      <c r="AN461" s="1171" t="n"/>
      <c r="AO461" s="1171" t="n"/>
      <c r="AP461" s="1171" t="n"/>
      <c r="AQ461" s="1171" t="n"/>
      <c r="AR461" s="1171" t="n"/>
      <c r="AS461" s="1171" t="n"/>
      <c r="AT461" s="1171" t="n"/>
    </row>
    <row r="462">
      <c r="AC462" s="1171" t="n"/>
      <c r="AD462" s="1291" t="n"/>
      <c r="AE462" s="1171" t="n"/>
      <c r="AF462" s="1171" t="n"/>
      <c r="AG462" s="1171" t="n"/>
      <c r="AH462" s="1171" t="n"/>
      <c r="AI462" s="1171" t="n"/>
      <c r="AJ462" s="1171" t="n"/>
      <c r="AK462" s="1171" t="n"/>
      <c r="AL462" s="1171" t="n"/>
      <c r="AM462" s="1171" t="n"/>
      <c r="AN462" s="1171" t="n"/>
      <c r="AO462" s="1171" t="n"/>
      <c r="AP462" s="1171" t="n"/>
      <c r="AQ462" s="1171" t="n"/>
      <c r="AR462" s="1171" t="n"/>
      <c r="AS462" s="1171" t="n"/>
      <c r="AT462" s="1171" t="n"/>
    </row>
    <row r="463">
      <c r="AC463" s="1174" t="n"/>
      <c r="AD463" s="1292" t="n"/>
      <c r="AE463" s="1174" t="n"/>
      <c r="AF463" s="1174" t="n"/>
      <c r="AG463" s="1174" t="n"/>
      <c r="AH463" s="1174" t="n"/>
      <c r="AI463" s="1174" t="n"/>
      <c r="AJ463" s="1174" t="n"/>
      <c r="AK463" s="1174" t="n"/>
      <c r="AL463" s="1174" t="n"/>
      <c r="AM463" s="1174" t="n"/>
      <c r="AN463" s="1174" t="n"/>
      <c r="AO463" s="1174" t="n"/>
      <c r="AP463" s="1174" t="n"/>
      <c r="AQ463" s="1174" t="n"/>
      <c r="AR463" s="1174" t="n"/>
      <c r="AS463" s="1174" t="n"/>
      <c r="AT463" s="1174" t="n"/>
    </row>
    <row r="464">
      <c r="AC464" s="1174" t="n"/>
      <c r="AD464" s="1292" t="n"/>
      <c r="AE464" s="1174" t="n"/>
      <c r="AF464" s="1174" t="n"/>
      <c r="AG464" s="1174" t="n"/>
      <c r="AH464" s="1174" t="n"/>
      <c r="AI464" s="1174" t="n"/>
      <c r="AJ464" s="1174" t="n"/>
      <c r="AK464" s="1174" t="n"/>
      <c r="AL464" s="1174" t="n"/>
      <c r="AM464" s="1174" t="n"/>
      <c r="AN464" s="1174" t="n"/>
      <c r="AO464" s="1174" t="n"/>
      <c r="AP464" s="1174" t="n"/>
      <c r="AQ464" s="1174" t="n"/>
      <c r="AR464" s="1174" t="n"/>
      <c r="AS464" s="1174" t="n"/>
      <c r="AT464" s="1174" t="n"/>
    </row>
    <row r="465">
      <c r="AC465" s="1150" t="n"/>
      <c r="AD465" s="1150" t="n"/>
      <c r="AE465" s="1150" t="n"/>
      <c r="AF465" s="1150" t="n"/>
      <c r="AG465" s="1150" t="n"/>
      <c r="AH465" s="1150" t="n"/>
      <c r="AI465" s="1150" t="n"/>
      <c r="AJ465" s="1150" t="n"/>
      <c r="AK465" s="1150" t="n"/>
      <c r="AL465" s="1150" t="n"/>
      <c r="AM465" s="1150" t="n"/>
      <c r="AN465" s="1150" t="n"/>
      <c r="AO465" s="1150" t="n"/>
      <c r="AP465" s="1150" t="n"/>
      <c r="AQ465" s="1150" t="n"/>
      <c r="AR465" s="1150" t="n"/>
      <c r="AS465" s="1150" t="n"/>
      <c r="AT465" s="1150" t="n"/>
    </row>
  </sheetData>
  <printOptions horizontalCentered="1"/>
  <pageMargins left="0.25" right="0.25" top="0.75" bottom="0.75" header="0.3" footer="0.3"/>
  <pageSetup orientation="portrait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5">
    <tabColor rgb="FFFF0000"/>
    <outlinePr summaryBelow="1" summaryRight="1"/>
    <pageSetUpPr/>
  </sheetPr>
  <dimension ref="A1:AJ134"/>
  <sheetViews>
    <sheetView zoomScale="115" zoomScaleNormal="115" workbookViewId="0">
      <pane xSplit="2" ySplit="9" topLeftCell="N10" activePane="bottomRight" state="frozen"/>
      <selection activeCell="W41" sqref="W41"/>
      <selection pane="topRight" activeCell="W41" sqref="W41"/>
      <selection pane="bottomLeft" activeCell="W41" sqref="W41"/>
      <selection pane="bottomRight" activeCell="AF82" sqref="AF82"/>
    </sheetView>
  </sheetViews>
  <sheetFormatPr baseColWidth="8" defaultColWidth="9.140625" defaultRowHeight="14.25" outlineLevelRow="1"/>
  <cols>
    <col width="9.140625" customWidth="1" style="1293" min="1" max="1"/>
    <col width="30.7109375" customWidth="1" style="1294" min="2" max="2"/>
    <col width="10.7109375" customWidth="1" style="1295" min="3" max="30"/>
    <col width="3.7109375" customWidth="1" style="1295" min="31" max="31"/>
    <col width="10.7109375" customWidth="1" style="1295" min="32" max="35"/>
    <col width="3.7109375" customWidth="1" style="1295" min="36" max="36"/>
    <col width="9.140625" customWidth="1" style="1294" min="37" max="16384"/>
  </cols>
  <sheetData>
    <row r="1">
      <c r="B1" s="1296" t="inlineStr">
        <is>
          <t>Fleet Profile</t>
        </is>
      </c>
    </row>
    <row r="2">
      <c r="B2" s="1294" t="inlineStr">
        <is>
          <t>Source: Company data</t>
        </is>
      </c>
    </row>
    <row r="3"/>
    <row r="4">
      <c r="B4" s="1294" t="inlineStr">
        <is>
          <t>Total Hardcoded</t>
        </is>
      </c>
      <c r="C4" s="423">
        <f>72+13</f>
        <v/>
      </c>
      <c r="D4" s="423">
        <f>62+15+12</f>
        <v/>
      </c>
      <c r="E4" s="423">
        <f>14+64+11</f>
        <v/>
      </c>
      <c r="F4" s="423">
        <f>75+9+19</f>
        <v/>
      </c>
      <c r="G4" s="423">
        <f>79+2+24</f>
        <v/>
      </c>
      <c r="H4" s="423">
        <f>85+4+26</f>
        <v/>
      </c>
      <c r="I4" s="423">
        <f>89+5+30</f>
        <v/>
      </c>
      <c r="J4" s="423">
        <f>96+6+34</f>
        <v/>
      </c>
      <c r="K4" s="423">
        <f>102+37+8</f>
        <v/>
      </c>
      <c r="L4" s="423" t="n">
        <v>159</v>
      </c>
      <c r="M4" s="423" t="n">
        <v>162</v>
      </c>
      <c r="N4" s="423" t="n">
        <v>163</v>
      </c>
      <c r="O4" s="423" t="n">
        <v>167</v>
      </c>
      <c r="P4" s="423" t="n">
        <v>175</v>
      </c>
      <c r="Q4" s="423" t="n">
        <v>187</v>
      </c>
      <c r="R4" s="423" t="n">
        <v>192</v>
      </c>
      <c r="S4" s="423" t="n">
        <v>200</v>
      </c>
      <c r="T4" s="423" t="n">
        <v>201</v>
      </c>
      <c r="U4" s="423" t="n">
        <v>202</v>
      </c>
      <c r="V4" s="423" t="n">
        <v>208</v>
      </c>
      <c r="W4" s="423" t="n">
        <v>212</v>
      </c>
      <c r="X4" s="423" t="n">
        <v>236</v>
      </c>
      <c r="Y4" s="423" t="n">
        <v>239</v>
      </c>
      <c r="Z4" s="423" t="n">
        <v>234</v>
      </c>
      <c r="AA4" s="423" t="n">
        <v>222</v>
      </c>
      <c r="AB4" s="423" t="n">
        <v>230</v>
      </c>
      <c r="AC4" s="423" t="n">
        <v>236</v>
      </c>
      <c r="AD4" s="423" t="n"/>
      <c r="AE4" s="422" t="n"/>
      <c r="AF4" s="423" t="n">
        <v>8</v>
      </c>
      <c r="AG4" s="423" t="n">
        <v>21</v>
      </c>
      <c r="AH4" s="423" t="n">
        <v>76</v>
      </c>
      <c r="AI4" s="423" t="n">
        <v>105</v>
      </c>
      <c r="AJ4" s="422" t="n"/>
    </row>
    <row r="5">
      <c r="B5" s="1296" t="inlineStr">
        <is>
          <t>Total Check</t>
        </is>
      </c>
      <c r="C5" s="424">
        <f>C4-C120</f>
        <v/>
      </c>
      <c r="D5" s="424">
        <f>D4-D120</f>
        <v/>
      </c>
      <c r="E5" s="424">
        <f>E4-E120</f>
        <v/>
      </c>
      <c r="F5" s="424">
        <f>F4-F120</f>
        <v/>
      </c>
      <c r="G5" s="424">
        <f>G4-G120</f>
        <v/>
      </c>
      <c r="H5" s="424">
        <f>H4-H120</f>
        <v/>
      </c>
      <c r="I5" s="424">
        <f>I4-I120</f>
        <v/>
      </c>
      <c r="J5" s="424">
        <f>J4-J120</f>
        <v/>
      </c>
      <c r="K5" s="424">
        <f>K4-K120</f>
        <v/>
      </c>
      <c r="L5" s="424">
        <f>L4-L120</f>
        <v/>
      </c>
      <c r="M5" s="424">
        <f>M4-M120</f>
        <v/>
      </c>
      <c r="N5" s="424">
        <f>N4-N120</f>
        <v/>
      </c>
      <c r="O5" s="424">
        <f>O4-O120</f>
        <v/>
      </c>
      <c r="P5" s="424">
        <f>P4-P120</f>
        <v/>
      </c>
      <c r="Q5" s="424">
        <f>Q4-Q120</f>
        <v/>
      </c>
      <c r="R5" s="424">
        <f>R4-R120</f>
        <v/>
      </c>
      <c r="S5" s="424">
        <f>S4-S120</f>
        <v/>
      </c>
      <c r="T5" s="424">
        <f>T4-T120</f>
        <v/>
      </c>
      <c r="U5" s="424">
        <f>U4-U120</f>
        <v/>
      </c>
      <c r="V5" s="424">
        <f>V4-V120</f>
        <v/>
      </c>
      <c r="W5" s="424">
        <f>W4-W120</f>
        <v/>
      </c>
      <c r="X5" s="424">
        <f>X4-X120</f>
        <v/>
      </c>
      <c r="Y5" s="424">
        <f>Y4-Y120</f>
        <v/>
      </c>
      <c r="Z5" s="424">
        <f>Z4-Z120</f>
        <v/>
      </c>
      <c r="AA5" s="424">
        <f>AA4-AA120</f>
        <v/>
      </c>
      <c r="AB5" s="424">
        <f>AB4-AB120</f>
        <v/>
      </c>
      <c r="AC5" s="424">
        <f>AC4-AC120</f>
        <v/>
      </c>
      <c r="AD5" s="424" t="n"/>
      <c r="AE5" s="422" t="n"/>
      <c r="AF5" s="424">
        <f>AF4-AF120</f>
        <v/>
      </c>
      <c r="AG5" s="424">
        <f>AG4-AG120</f>
        <v/>
      </c>
      <c r="AH5" s="424">
        <f>AH4-AH120</f>
        <v/>
      </c>
      <c r="AI5" s="424">
        <f>AI4-AI120</f>
        <v/>
      </c>
      <c r="AJ5" s="422" t="n"/>
    </row>
    <row r="6"/>
    <row r="7" ht="15" customHeight="1" s="239" thickBot="1">
      <c r="B7" s="1297" t="inlineStr">
        <is>
          <t>As of</t>
        </is>
      </c>
      <c r="C7" s="1298">
        <f>EOMONTH(D7,-12)</f>
        <v/>
      </c>
      <c r="D7" s="1298">
        <f>EOMONTH(E7,-12)</f>
        <v/>
      </c>
      <c r="E7" s="1298">
        <f>EOMONTH(F7,-12)</f>
        <v/>
      </c>
      <c r="F7" s="1298">
        <f>EOMONTH(G7,-12)</f>
        <v/>
      </c>
      <c r="G7" s="1298">
        <f>EOMONTH(H7,-12)</f>
        <v/>
      </c>
      <c r="H7" s="1298">
        <f>EOMONTH(I7,-12)</f>
        <v/>
      </c>
      <c r="I7" s="1298">
        <f>EOMONTH(J7,-12)</f>
        <v/>
      </c>
      <c r="J7" s="1298">
        <f>EOMONTH(K7,-12)</f>
        <v/>
      </c>
      <c r="K7" s="1298">
        <f>EOMONTH(L7,-12)</f>
        <v/>
      </c>
      <c r="L7" s="1298">
        <f>EOMONTH(M7,-12)</f>
        <v/>
      </c>
      <c r="M7" s="1298">
        <f>EOMONTH(N7,-12)</f>
        <v/>
      </c>
      <c r="N7" s="1298">
        <f>EOMONTH(O7,-12)</f>
        <v/>
      </c>
      <c r="O7" s="1298">
        <f>EOMONTH(P7,-12)</f>
        <v/>
      </c>
      <c r="P7" s="1298">
        <f>EOMONTH(Q7,-12)</f>
        <v/>
      </c>
      <c r="Q7" s="1298">
        <f>EOMONTH(R7,-12)</f>
        <v/>
      </c>
      <c r="R7" s="1298">
        <f>EOMONTH(S7,-12)</f>
        <v/>
      </c>
      <c r="S7" s="1298">
        <f>EOMONTH(T7,-12)</f>
        <v/>
      </c>
      <c r="T7" s="1298">
        <f>EOMONTH(U7,-12)</f>
        <v/>
      </c>
      <c r="U7" s="1298">
        <f>EOMONTH(V7,-12)</f>
        <v/>
      </c>
      <c r="V7" s="1298">
        <f>EOMONTH(W7,-12)</f>
        <v/>
      </c>
      <c r="W7" s="1298">
        <f>EOMONTH(X7,-12)</f>
        <v/>
      </c>
      <c r="X7" s="1298">
        <f>EOMONTH(Y7,-12)</f>
        <v/>
      </c>
      <c r="Y7" s="1298">
        <f>EOMONTH(Z7,-12)</f>
        <v/>
      </c>
      <c r="Z7" s="1298" t="n">
        <v>44561</v>
      </c>
      <c r="AA7" s="1298" t="n">
        <v>44926</v>
      </c>
      <c r="AB7" s="1298">
        <f>EOMONTH(AA7,12)</f>
        <v/>
      </c>
      <c r="AC7" s="1298">
        <f>EOMONTH(AB7,12)</f>
        <v/>
      </c>
      <c r="AD7" s="1298">
        <f>EOMONTH(AC7,12)</f>
        <v/>
      </c>
      <c r="AF7" s="1299" t="inlineStr">
        <is>
          <t>Orderbook as of 30 June 2026</t>
        </is>
      </c>
      <c r="AG7" s="1300" t="n"/>
      <c r="AH7" s="1300" t="n"/>
      <c r="AI7" s="1300" t="n"/>
    </row>
    <row r="8" ht="27" customHeight="1" s="239" thickBot="1">
      <c r="B8" s="1301" t="inlineStr">
        <is>
          <t>Year</t>
        </is>
      </c>
      <c r="C8" s="421">
        <f>YEAR(C7)</f>
        <v/>
      </c>
      <c r="D8" s="421">
        <f>YEAR(D7)</f>
        <v/>
      </c>
      <c r="E8" s="421">
        <f>YEAR(E7)</f>
        <v/>
      </c>
      <c r="F8" s="421">
        <f>YEAR(F7)</f>
        <v/>
      </c>
      <c r="G8" s="421">
        <f>YEAR(G7)</f>
        <v/>
      </c>
      <c r="H8" s="421">
        <f>YEAR(H7)</f>
        <v/>
      </c>
      <c r="I8" s="421">
        <f>YEAR(I7)</f>
        <v/>
      </c>
      <c r="J8" s="421">
        <f>YEAR(J7)</f>
        <v/>
      </c>
      <c r="K8" s="421">
        <f>YEAR(K7)</f>
        <v/>
      </c>
      <c r="L8" s="421">
        <f>YEAR(L7)</f>
        <v/>
      </c>
      <c r="M8" s="421">
        <f>YEAR(M7)</f>
        <v/>
      </c>
      <c r="N8" s="421">
        <f>YEAR(N7)</f>
        <v/>
      </c>
      <c r="O8" s="421">
        <f>YEAR(O7)</f>
        <v/>
      </c>
      <c r="P8" s="421">
        <f>YEAR(P7)</f>
        <v/>
      </c>
      <c r="Q8" s="421">
        <f>YEAR(Q7)</f>
        <v/>
      </c>
      <c r="R8" s="421">
        <f>YEAR(R7)</f>
        <v/>
      </c>
      <c r="S8" s="421">
        <f>YEAR(S7)</f>
        <v/>
      </c>
      <c r="T8" s="421">
        <f>YEAR(T7)</f>
        <v/>
      </c>
      <c r="U8" s="421">
        <f>YEAR(U7)</f>
        <v/>
      </c>
      <c r="V8" s="421">
        <f>YEAR(V7)</f>
        <v/>
      </c>
      <c r="W8" s="421">
        <f>YEAR(W7)</f>
        <v/>
      </c>
      <c r="X8" s="421">
        <f>YEAR(X7)</f>
        <v/>
      </c>
      <c r="Y8" s="421">
        <f>YEAR(Y7)</f>
        <v/>
      </c>
      <c r="Z8" s="421">
        <f>YEAR(Z7)</f>
        <v/>
      </c>
      <c r="AA8" s="421">
        <f>YEAR(AA7)</f>
        <v/>
      </c>
      <c r="AB8" s="421">
        <f>YEAR(AB7)</f>
        <v/>
      </c>
      <c r="AC8" s="421">
        <f>YEAR(AC7)</f>
        <v/>
      </c>
      <c r="AD8" s="421">
        <f>YEAR(AD7)</f>
        <v/>
      </c>
      <c r="AF8" s="421" t="inlineStr">
        <is>
          <t>2026E</t>
        </is>
      </c>
      <c r="AG8" s="421" t="inlineStr">
        <is>
          <t>2027E</t>
        </is>
      </c>
      <c r="AH8" s="426" t="inlineStr">
        <is>
          <t>2028 and beyond</t>
        </is>
      </c>
      <c r="AI8" s="421" t="inlineStr">
        <is>
          <t>Orders</t>
        </is>
      </c>
    </row>
    <row r="9">
      <c r="B9" s="1302" t="inlineStr">
        <is>
          <t>Cathay Pacific</t>
        </is>
      </c>
      <c r="C9" s="1303" t="n"/>
      <c r="D9" s="1303" t="n"/>
      <c r="E9" s="1303" t="n"/>
      <c r="F9" s="1303" t="n"/>
      <c r="G9" s="1303" t="n"/>
      <c r="H9" s="1303" t="n"/>
      <c r="I9" s="1303" t="n"/>
      <c r="J9" s="1303" t="n"/>
      <c r="K9" s="1303" t="n"/>
      <c r="L9" s="1303" t="n"/>
      <c r="M9" s="1303" t="n"/>
      <c r="N9" s="1303" t="n"/>
      <c r="O9" s="1303" t="n"/>
      <c r="P9" s="1303" t="n"/>
      <c r="Q9" s="1303" t="n"/>
      <c r="R9" s="1303" t="n"/>
      <c r="S9" s="1303" t="n"/>
      <c r="T9" s="1303" t="n"/>
      <c r="U9" s="1303" t="n"/>
      <c r="V9" s="1303" t="n"/>
      <c r="W9" s="1303" t="n"/>
      <c r="X9" s="1303" t="n"/>
      <c r="Y9" s="1303" t="n"/>
      <c r="Z9" s="1303" t="n"/>
      <c r="AA9" s="1303" t="n"/>
      <c r="AB9" s="1303" t="n"/>
      <c r="AC9" s="1303" t="n"/>
      <c r="AD9" s="1303" t="n"/>
      <c r="AF9" s="1303" t="n"/>
      <c r="AG9" s="1303" t="n"/>
      <c r="AH9" s="1303" t="n"/>
      <c r="AI9" s="1303" t="n"/>
    </row>
    <row r="10">
      <c r="A10" s="1293" t="inlineStr">
        <is>
          <t>N</t>
        </is>
      </c>
      <c r="B10" s="1294" t="inlineStr">
        <is>
          <t>A320-200</t>
        </is>
      </c>
      <c r="C10" s="422">
        <f>SUM(C11:C12)</f>
        <v/>
      </c>
      <c r="D10" s="422">
        <f>SUM(D11:D12)</f>
        <v/>
      </c>
      <c r="E10" s="422">
        <f>SUM(E11:E12)</f>
        <v/>
      </c>
      <c r="F10" s="422">
        <f>SUM(F11:F12)</f>
        <v/>
      </c>
      <c r="G10" s="422">
        <f>SUM(G11:G12)</f>
        <v/>
      </c>
      <c r="H10" s="422">
        <f>SUM(H11:H12)</f>
        <v/>
      </c>
      <c r="I10" s="422">
        <f>SUM(I11:I12)</f>
        <v/>
      </c>
      <c r="J10" s="422">
        <f>SUM(J11:J12)</f>
        <v/>
      </c>
      <c r="K10" s="422">
        <f>SUM(K11:K12)</f>
        <v/>
      </c>
      <c r="L10" s="422">
        <f>SUM(L11:L12)</f>
        <v/>
      </c>
      <c r="M10" s="422">
        <f>SUM(M11:M12)</f>
        <v/>
      </c>
      <c r="N10" s="422">
        <f>SUM(N11:N12)</f>
        <v/>
      </c>
      <c r="O10" s="422">
        <f>SUM(O11:O12)</f>
        <v/>
      </c>
      <c r="P10" s="422">
        <f>SUM(P11:P12)</f>
        <v/>
      </c>
      <c r="Q10" s="422">
        <f>SUM(Q11:Q12)</f>
        <v/>
      </c>
      <c r="R10" s="422">
        <f>SUM(R11:R12)</f>
        <v/>
      </c>
      <c r="S10" s="422">
        <f>SUM(S11:S12)</f>
        <v/>
      </c>
      <c r="T10" s="422">
        <f>SUM(T11:T12)</f>
        <v/>
      </c>
      <c r="U10" s="422">
        <f>SUM(U11:U12)</f>
        <v/>
      </c>
      <c r="V10" s="422">
        <f>SUM(V11:V12)</f>
        <v/>
      </c>
      <c r="W10" s="422">
        <f>SUM(W11:W12)</f>
        <v/>
      </c>
      <c r="X10" s="422">
        <f>SUM(X11:X12)</f>
        <v/>
      </c>
      <c r="Y10" s="422">
        <f>SUM(Y11:Y12)</f>
        <v/>
      </c>
      <c r="Z10" s="422">
        <f>SUM(Z11:Z12)</f>
        <v/>
      </c>
      <c r="AA10" s="422">
        <f>SUM(AA11:AA12)</f>
        <v/>
      </c>
      <c r="AB10" s="422">
        <f>SUM(AB11:AB12)</f>
        <v/>
      </c>
      <c r="AC10" s="422">
        <f>SUM(AC11:AC12)</f>
        <v/>
      </c>
      <c r="AD10" s="422" t="n"/>
      <c r="AE10" s="422" t="n"/>
      <c r="AF10" s="423" t="n">
        <v>0</v>
      </c>
      <c r="AG10" s="423" t="n">
        <v>0</v>
      </c>
      <c r="AH10" s="423" t="n">
        <v>0</v>
      </c>
      <c r="AI10" s="422">
        <f>SUM(AF10:AH10)</f>
        <v/>
      </c>
      <c r="AJ10" s="422" t="n"/>
    </row>
    <row r="11" outlineLevel="1" s="239">
      <c r="B11" s="1304" t="inlineStr">
        <is>
          <t>Owned</t>
        </is>
      </c>
      <c r="C11" s="423">
        <f>0</f>
        <v/>
      </c>
      <c r="D11" s="423">
        <f>0</f>
        <v/>
      </c>
      <c r="E11" s="423">
        <f>0</f>
        <v/>
      </c>
      <c r="F11" s="423">
        <f>0</f>
        <v/>
      </c>
      <c r="G11" s="423">
        <f>0</f>
        <v/>
      </c>
      <c r="H11" s="423" t="n">
        <v>0</v>
      </c>
      <c r="I11" s="423" t="n">
        <v>2</v>
      </c>
      <c r="J11" s="423" t="n">
        <v>3</v>
      </c>
      <c r="K11" s="423" t="n">
        <v>3</v>
      </c>
      <c r="L11" s="423" t="n">
        <v>3</v>
      </c>
      <c r="M11" s="423" t="n">
        <v>4</v>
      </c>
      <c r="N11" s="423" t="n">
        <v>4</v>
      </c>
      <c r="O11" s="423" t="n">
        <v>5</v>
      </c>
      <c r="P11" s="423" t="n">
        <v>5</v>
      </c>
      <c r="Q11" s="423" t="n">
        <v>5</v>
      </c>
      <c r="R11" s="423" t="n">
        <v>5</v>
      </c>
      <c r="S11" s="423" t="n">
        <v>5</v>
      </c>
      <c r="T11" s="423" t="n">
        <v>5</v>
      </c>
      <c r="U11" s="423" t="n">
        <v>5</v>
      </c>
      <c r="V11" s="423" t="n">
        <v>5</v>
      </c>
      <c r="W11" s="423" t="n">
        <v>5</v>
      </c>
      <c r="X11" s="423" t="n">
        <v>5</v>
      </c>
      <c r="Y11" s="423" t="n">
        <v>5</v>
      </c>
      <c r="Z11" s="423" t="n">
        <v>5</v>
      </c>
      <c r="AA11" s="423" t="n">
        <v>4</v>
      </c>
      <c r="AB11" s="423" t="n">
        <v>4</v>
      </c>
      <c r="AC11" s="423" t="n">
        <v>5</v>
      </c>
      <c r="AD11" s="423" t="n"/>
      <c r="AE11" s="422" t="n"/>
      <c r="AF11" s="423" t="n"/>
      <c r="AG11" s="423" t="n"/>
      <c r="AH11" s="423" t="n"/>
      <c r="AI11" s="423" t="n"/>
      <c r="AJ11" s="422" t="n"/>
    </row>
    <row r="12" outlineLevel="1" s="239">
      <c r="B12" s="1304" t="inlineStr">
        <is>
          <t>Leased</t>
        </is>
      </c>
      <c r="C12" s="423">
        <f>7</f>
        <v/>
      </c>
      <c r="D12" s="423">
        <f>5</f>
        <v/>
      </c>
      <c r="E12" s="423">
        <f>6</f>
        <v/>
      </c>
      <c r="F12" s="423">
        <f>7</f>
        <v/>
      </c>
      <c r="G12" s="423">
        <f>8</f>
        <v/>
      </c>
      <c r="H12" s="423" t="n">
        <v>8</v>
      </c>
      <c r="I12" s="423" t="n">
        <v>8</v>
      </c>
      <c r="J12" s="423" t="n">
        <v>8</v>
      </c>
      <c r="K12" s="423" t="n">
        <v>7</v>
      </c>
      <c r="L12" s="423" t="n">
        <v>7</v>
      </c>
      <c r="M12" s="423" t="n">
        <v>6</v>
      </c>
      <c r="N12" s="423" t="n">
        <v>5</v>
      </c>
      <c r="O12" s="423" t="n">
        <v>6</v>
      </c>
      <c r="P12" s="423" t="n">
        <v>6</v>
      </c>
      <c r="Q12" s="423" t="n">
        <v>10</v>
      </c>
      <c r="R12" s="423" t="n">
        <v>10</v>
      </c>
      <c r="S12" s="423" t="n">
        <v>10</v>
      </c>
      <c r="T12" s="423" t="n">
        <v>10</v>
      </c>
      <c r="U12" s="423" t="n">
        <v>10</v>
      </c>
      <c r="V12" s="423" t="n">
        <v>10</v>
      </c>
      <c r="W12" s="423" t="n">
        <v>10</v>
      </c>
      <c r="X12" s="423" t="n">
        <v>10</v>
      </c>
      <c r="Y12" s="423" t="n">
        <v>6</v>
      </c>
      <c r="Z12" s="423" t="n">
        <v>2</v>
      </c>
      <c r="AA12" s="423" t="n">
        <v>0</v>
      </c>
      <c r="AB12" s="423" t="n">
        <v>0</v>
      </c>
      <c r="AC12" s="423" t="n">
        <v>0</v>
      </c>
      <c r="AD12" s="423" t="n"/>
      <c r="AE12" s="422" t="n"/>
      <c r="AF12" s="423" t="n"/>
      <c r="AG12" s="423" t="n"/>
      <c r="AH12" s="423" t="n"/>
      <c r="AI12" s="423" t="n"/>
      <c r="AJ12" s="422" t="n"/>
    </row>
    <row r="13">
      <c r="A13" s="1293" t="inlineStr">
        <is>
          <t>N</t>
        </is>
      </c>
      <c r="B13" s="1294" t="inlineStr">
        <is>
          <t>A321-200</t>
        </is>
      </c>
      <c r="C13" s="422">
        <f>SUM(C14:C15)</f>
        <v/>
      </c>
      <c r="D13" s="422">
        <f>SUM(D14:D15)</f>
        <v/>
      </c>
      <c r="E13" s="422">
        <f>SUM(E14:E15)</f>
        <v/>
      </c>
      <c r="F13" s="422">
        <f>SUM(F14:F15)</f>
        <v/>
      </c>
      <c r="G13" s="422">
        <f>SUM(G14:G15)</f>
        <v/>
      </c>
      <c r="H13" s="422">
        <f>SUM(H14:H15)</f>
        <v/>
      </c>
      <c r="I13" s="422">
        <f>SUM(I14:I15)</f>
        <v/>
      </c>
      <c r="J13" s="422">
        <f>SUM(J14:J15)</f>
        <v/>
      </c>
      <c r="K13" s="422">
        <f>SUM(K14:K15)</f>
        <v/>
      </c>
      <c r="L13" s="422">
        <f>SUM(L14:L15)</f>
        <v/>
      </c>
      <c r="M13" s="422">
        <f>SUM(M14:M15)</f>
        <v/>
      </c>
      <c r="N13" s="422">
        <f>SUM(N14:N15)</f>
        <v/>
      </c>
      <c r="O13" s="422">
        <f>SUM(O14:O15)</f>
        <v/>
      </c>
      <c r="P13" s="422">
        <f>SUM(P14:P15)</f>
        <v/>
      </c>
      <c r="Q13" s="422">
        <f>SUM(Q14:Q15)</f>
        <v/>
      </c>
      <c r="R13" s="422">
        <f>SUM(R14:R15)</f>
        <v/>
      </c>
      <c r="S13" s="422">
        <f>SUM(S14:S15)</f>
        <v/>
      </c>
      <c r="T13" s="422">
        <f>SUM(T14:T15)</f>
        <v/>
      </c>
      <c r="U13" s="422">
        <f>SUM(U14:U15)</f>
        <v/>
      </c>
      <c r="V13" s="422">
        <f>SUM(V14:V15)</f>
        <v/>
      </c>
      <c r="W13" s="422">
        <f>SUM(W14:W15)</f>
        <v/>
      </c>
      <c r="X13" s="422">
        <f>SUM(X14:X15)</f>
        <v/>
      </c>
      <c r="Y13" s="422">
        <f>SUM(Y14:Y15)</f>
        <v/>
      </c>
      <c r="Z13" s="422">
        <f>SUM(Z14:Z15)</f>
        <v/>
      </c>
      <c r="AA13" s="422">
        <f>SUM(AA14:AA15)</f>
        <v/>
      </c>
      <c r="AB13" s="422">
        <f>SUM(AB14:AB15)</f>
        <v/>
      </c>
      <c r="AC13" s="422">
        <f>SUM(AC14:AC15)</f>
        <v/>
      </c>
      <c r="AD13" s="422" t="n"/>
      <c r="AE13" s="422" t="n"/>
      <c r="AF13" s="423" t="n">
        <v>0</v>
      </c>
      <c r="AG13" s="423" t="n">
        <v>0</v>
      </c>
      <c r="AH13" s="423" t="n">
        <v>0</v>
      </c>
      <c r="AI13" s="422">
        <f>SUM(AF13:AH13)</f>
        <v/>
      </c>
      <c r="AJ13" s="422" t="n"/>
    </row>
    <row r="14" outlineLevel="1" s="239">
      <c r="B14" s="1304" t="inlineStr">
        <is>
          <t>Owned</t>
        </is>
      </c>
      <c r="C14" s="423" t="n">
        <v>0</v>
      </c>
      <c r="D14" s="423">
        <f>0</f>
        <v/>
      </c>
      <c r="E14" s="423">
        <f>0</f>
        <v/>
      </c>
      <c r="F14" s="423">
        <f>0</f>
        <v/>
      </c>
      <c r="G14" s="423">
        <f>0</f>
        <v/>
      </c>
      <c r="H14" s="423" t="n">
        <v>2</v>
      </c>
      <c r="I14" s="423" t="n">
        <v>2</v>
      </c>
      <c r="J14" s="423" t="n">
        <v>2</v>
      </c>
      <c r="K14" s="423" t="n">
        <v>2</v>
      </c>
      <c r="L14" s="423" t="n">
        <v>2</v>
      </c>
      <c r="M14" s="423" t="n">
        <v>2</v>
      </c>
      <c r="N14" s="423" t="n">
        <v>2</v>
      </c>
      <c r="O14" s="423" t="n">
        <v>2</v>
      </c>
      <c r="P14" s="423" t="n">
        <v>2</v>
      </c>
      <c r="Q14" s="423" t="n">
        <v>2</v>
      </c>
      <c r="R14" s="423" t="n">
        <v>2</v>
      </c>
      <c r="S14" s="423" t="n">
        <v>2</v>
      </c>
      <c r="T14" s="423" t="n">
        <v>2</v>
      </c>
      <c r="U14" s="423" t="n">
        <v>2</v>
      </c>
      <c r="V14" s="423" t="n">
        <v>2</v>
      </c>
      <c r="W14" s="423" t="n">
        <v>2</v>
      </c>
      <c r="X14" s="423" t="n">
        <v>2</v>
      </c>
      <c r="Y14" s="423" t="n">
        <v>2</v>
      </c>
      <c r="Z14" s="423" t="n">
        <v>2</v>
      </c>
      <c r="AA14" s="423" t="n">
        <v>2</v>
      </c>
      <c r="AB14" s="423" t="n">
        <v>2</v>
      </c>
      <c r="AC14" s="423" t="n">
        <v>0</v>
      </c>
      <c r="AD14" s="423" t="n"/>
      <c r="AE14" s="422" t="n"/>
      <c r="AF14" s="423" t="n"/>
      <c r="AG14" s="423" t="n"/>
      <c r="AH14" s="423" t="n"/>
      <c r="AI14" s="423" t="n"/>
      <c r="AJ14" s="422" t="n"/>
    </row>
    <row r="15" outlineLevel="1" s="239">
      <c r="B15" s="1304" t="inlineStr">
        <is>
          <t>Leased</t>
        </is>
      </c>
      <c r="C15" s="423" t="n">
        <v>0</v>
      </c>
      <c r="D15" s="423">
        <f>2</f>
        <v/>
      </c>
      <c r="E15" s="423">
        <f>3</f>
        <v/>
      </c>
      <c r="F15" s="423">
        <f>3</f>
        <v/>
      </c>
      <c r="G15" s="423">
        <f>4</f>
        <v/>
      </c>
      <c r="H15" s="423" t="n">
        <v>4</v>
      </c>
      <c r="I15" s="423" t="n">
        <v>4</v>
      </c>
      <c r="J15" s="423" t="n">
        <v>4</v>
      </c>
      <c r="K15" s="423" t="n">
        <v>4</v>
      </c>
      <c r="L15" s="423" t="n">
        <v>4</v>
      </c>
      <c r="M15" s="423" t="n">
        <v>4</v>
      </c>
      <c r="N15" s="423" t="n">
        <v>4</v>
      </c>
      <c r="O15" s="423" t="n">
        <v>4</v>
      </c>
      <c r="P15" s="423" t="n">
        <v>4</v>
      </c>
      <c r="Q15" s="423" t="n">
        <v>4</v>
      </c>
      <c r="R15" s="423" t="n">
        <v>4</v>
      </c>
      <c r="S15" s="423" t="n">
        <v>6</v>
      </c>
      <c r="T15" s="423" t="n">
        <v>6</v>
      </c>
      <c r="U15" s="423" t="n">
        <v>6</v>
      </c>
      <c r="V15" s="423" t="n">
        <v>6</v>
      </c>
      <c r="W15" s="423" t="n">
        <v>6</v>
      </c>
      <c r="X15" s="423" t="n">
        <v>6</v>
      </c>
      <c r="Y15" s="423" t="n">
        <v>5</v>
      </c>
      <c r="Z15" s="423" t="n">
        <v>3</v>
      </c>
      <c r="AA15" s="423" t="n">
        <v>1</v>
      </c>
      <c r="AB15" s="423" t="n">
        <v>0</v>
      </c>
      <c r="AC15" s="423" t="n">
        <v>0</v>
      </c>
      <c r="AD15" s="423" t="n"/>
      <c r="AE15" s="422" t="n"/>
      <c r="AF15" s="423" t="n"/>
      <c r="AG15" s="423" t="n"/>
      <c r="AH15" s="423" t="n"/>
      <c r="AI15" s="423" t="n"/>
      <c r="AJ15" s="422" t="n"/>
    </row>
    <row r="16">
      <c r="A16" s="1293" t="inlineStr">
        <is>
          <t>N</t>
        </is>
      </c>
      <c r="B16" s="1294" t="inlineStr">
        <is>
          <t>A321-200neo</t>
        </is>
      </c>
      <c r="C16" s="422">
        <f>SUM(C17:C18)</f>
        <v/>
      </c>
      <c r="D16" s="422">
        <f>SUM(D17:D18)</f>
        <v/>
      </c>
      <c r="E16" s="422">
        <f>SUM(E17:E18)</f>
        <v/>
      </c>
      <c r="F16" s="422">
        <f>SUM(F17:F18)</f>
        <v/>
      </c>
      <c r="G16" s="422">
        <f>SUM(G17:G18)</f>
        <v/>
      </c>
      <c r="H16" s="422">
        <f>SUM(H17:H18)</f>
        <v/>
      </c>
      <c r="I16" s="422">
        <f>SUM(I17:I18)</f>
        <v/>
      </c>
      <c r="J16" s="422">
        <f>SUM(J17:J18)</f>
        <v/>
      </c>
      <c r="K16" s="422">
        <f>SUM(K17:K18)</f>
        <v/>
      </c>
      <c r="L16" s="422">
        <f>SUM(L17:L18)</f>
        <v/>
      </c>
      <c r="M16" s="422">
        <f>SUM(M17:M18)</f>
        <v/>
      </c>
      <c r="N16" s="422">
        <f>SUM(N17:N18)</f>
        <v/>
      </c>
      <c r="O16" s="422">
        <f>SUM(O17:O18)</f>
        <v/>
      </c>
      <c r="P16" s="422">
        <f>SUM(P17:P18)</f>
        <v/>
      </c>
      <c r="Q16" s="422">
        <f>SUM(Q17:Q18)</f>
        <v/>
      </c>
      <c r="R16" s="422">
        <f>SUM(R17:R18)</f>
        <v/>
      </c>
      <c r="S16" s="422">
        <f>SUM(S17:S18)</f>
        <v/>
      </c>
      <c r="T16" s="422">
        <f>SUM(T17:T18)</f>
        <v/>
      </c>
      <c r="U16" s="422">
        <f>SUM(U17:U18)</f>
        <v/>
      </c>
      <c r="V16" s="422">
        <f>SUM(V17:V18)</f>
        <v/>
      </c>
      <c r="W16" s="422">
        <f>SUM(W17:W18)</f>
        <v/>
      </c>
      <c r="X16" s="422">
        <f>SUM(X17:X18)</f>
        <v/>
      </c>
      <c r="Y16" s="422">
        <f>SUM(Y17:Y18)</f>
        <v/>
      </c>
      <c r="Z16" s="422">
        <f>SUM(Z17:Z18)</f>
        <v/>
      </c>
      <c r="AA16" s="422">
        <f>SUM(AA17:AA18)</f>
        <v/>
      </c>
      <c r="AB16" s="422">
        <f>SUM(AB17:AB18)</f>
        <v/>
      </c>
      <c r="AC16" s="422">
        <f>SUM(AC17:AC18)</f>
        <v/>
      </c>
      <c r="AD16" s="422" t="n"/>
      <c r="AE16" s="422" t="n"/>
      <c r="AF16" s="423" t="n">
        <v>3</v>
      </c>
      <c r="AG16" s="423" t="n">
        <v>2</v>
      </c>
      <c r="AH16" s="423" t="n">
        <v>3</v>
      </c>
      <c r="AI16" s="422">
        <f>SUM(AF16:AH16)</f>
        <v/>
      </c>
      <c r="AJ16" s="422" t="n"/>
    </row>
    <row r="17" outlineLevel="1" s="239">
      <c r="B17" s="1304" t="inlineStr">
        <is>
          <t>Owned</t>
        </is>
      </c>
      <c r="C17" s="423" t="n">
        <v>0</v>
      </c>
      <c r="D17" s="423" t="n">
        <v>0</v>
      </c>
      <c r="E17" s="423" t="n">
        <v>0</v>
      </c>
      <c r="F17" s="423" t="n">
        <v>0</v>
      </c>
      <c r="G17" s="423" t="n">
        <v>0</v>
      </c>
      <c r="H17" s="423" t="n">
        <v>0</v>
      </c>
      <c r="I17" s="423" t="n">
        <v>0</v>
      </c>
      <c r="J17" s="423" t="n">
        <v>0</v>
      </c>
      <c r="K17" s="423" t="n">
        <v>0</v>
      </c>
      <c r="L17" s="423" t="n">
        <v>0</v>
      </c>
      <c r="M17" s="423" t="n">
        <v>0</v>
      </c>
      <c r="N17" s="423" t="n">
        <v>0</v>
      </c>
      <c r="O17" s="423" t="n">
        <v>0</v>
      </c>
      <c r="P17" s="423" t="n">
        <v>0</v>
      </c>
      <c r="Q17" s="423" t="n">
        <v>0</v>
      </c>
      <c r="R17" s="423" t="n">
        <v>0</v>
      </c>
      <c r="S17" s="423" t="n">
        <v>0</v>
      </c>
      <c r="T17" s="423" t="n">
        <v>0</v>
      </c>
      <c r="U17" s="423" t="n">
        <v>0</v>
      </c>
      <c r="V17" s="423" t="n">
        <v>0</v>
      </c>
      <c r="W17" s="423" t="n">
        <v>0</v>
      </c>
      <c r="X17" s="423" t="n">
        <v>0</v>
      </c>
      <c r="Y17" s="423" t="n">
        <v>0</v>
      </c>
      <c r="Z17" s="423" t="n">
        <v>0</v>
      </c>
      <c r="AA17" s="423" t="n">
        <v>0</v>
      </c>
      <c r="AB17" s="423" t="n">
        <v>0</v>
      </c>
      <c r="AC17" s="423" t="n">
        <v>0</v>
      </c>
      <c r="AD17" s="423" t="n"/>
      <c r="AE17" s="422" t="n"/>
      <c r="AF17" s="423" t="n"/>
      <c r="AG17" s="423" t="n"/>
      <c r="AH17" s="423" t="n"/>
      <c r="AI17" s="423" t="n"/>
      <c r="AJ17" s="422" t="n"/>
    </row>
    <row r="18" outlineLevel="1" s="239">
      <c r="B18" s="1304" t="inlineStr">
        <is>
          <t>Leased</t>
        </is>
      </c>
      <c r="C18" s="423" t="n">
        <v>0</v>
      </c>
      <c r="D18" s="423" t="n">
        <v>0</v>
      </c>
      <c r="E18" s="423" t="n">
        <v>0</v>
      </c>
      <c r="F18" s="423" t="n">
        <v>0</v>
      </c>
      <c r="G18" s="423" t="n">
        <v>0</v>
      </c>
      <c r="H18" s="423" t="n">
        <v>0</v>
      </c>
      <c r="I18" s="423" t="n">
        <v>0</v>
      </c>
      <c r="J18" s="423" t="n">
        <v>0</v>
      </c>
      <c r="K18" s="423" t="n">
        <v>0</v>
      </c>
      <c r="L18" s="423" t="n">
        <v>0</v>
      </c>
      <c r="M18" s="423" t="n">
        <v>0</v>
      </c>
      <c r="N18" s="423" t="n">
        <v>0</v>
      </c>
      <c r="O18" s="423" t="n">
        <v>0</v>
      </c>
      <c r="P18" s="423" t="n">
        <v>0</v>
      </c>
      <c r="Q18" s="423" t="n">
        <v>0</v>
      </c>
      <c r="R18" s="423" t="n">
        <v>0</v>
      </c>
      <c r="S18" s="423" t="n">
        <v>0</v>
      </c>
      <c r="T18" s="423" t="n">
        <v>0</v>
      </c>
      <c r="U18" s="423" t="n">
        <v>0</v>
      </c>
      <c r="V18" s="423" t="n">
        <v>0</v>
      </c>
      <c r="W18" s="423" t="n">
        <v>0</v>
      </c>
      <c r="X18" s="423" t="n">
        <v>0</v>
      </c>
      <c r="Y18" s="423" t="n">
        <v>2</v>
      </c>
      <c r="Z18" s="423" t="n">
        <v>5</v>
      </c>
      <c r="AA18" s="423" t="n">
        <v>7</v>
      </c>
      <c r="AB18" s="423" t="n">
        <v>8</v>
      </c>
      <c r="AC18" s="423">
        <f>5+6</f>
        <v/>
      </c>
      <c r="AD18" s="423" t="n"/>
      <c r="AE18" s="422" t="n"/>
      <c r="AF18" s="423" t="n"/>
      <c r="AG18" s="423" t="n"/>
      <c r="AH18" s="423" t="n"/>
      <c r="AI18" s="423" t="n"/>
      <c r="AJ18" s="422" t="n"/>
    </row>
    <row r="19">
      <c r="A19" s="1293" t="inlineStr">
        <is>
          <t>W</t>
        </is>
      </c>
      <c r="B19" s="1294" t="inlineStr">
        <is>
          <t>A330-300</t>
        </is>
      </c>
      <c r="C19" s="422">
        <f>SUM(C20:C21)</f>
        <v/>
      </c>
      <c r="D19" s="422">
        <f>SUM(D20:D21)</f>
        <v/>
      </c>
      <c r="E19" s="422">
        <f>SUM(E20:E21)</f>
        <v/>
      </c>
      <c r="F19" s="422">
        <f>SUM(F20:F21)</f>
        <v/>
      </c>
      <c r="G19" s="422">
        <f>SUM(G20:G21)</f>
        <v/>
      </c>
      <c r="H19" s="422">
        <f>SUM(H20:H21)</f>
        <v/>
      </c>
      <c r="I19" s="422">
        <f>SUM(I20:I21)</f>
        <v/>
      </c>
      <c r="J19" s="422">
        <f>SUM(J20:J21)</f>
        <v/>
      </c>
      <c r="K19" s="422">
        <f>SUM(K20:K21)</f>
        <v/>
      </c>
      <c r="L19" s="422">
        <f>SUM(L20:L21)</f>
        <v/>
      </c>
      <c r="M19" s="422">
        <f>SUM(M20:M21)</f>
        <v/>
      </c>
      <c r="N19" s="422">
        <f>SUM(N20:N21)</f>
        <v/>
      </c>
      <c r="O19" s="422">
        <f>SUM(O20:O21)</f>
        <v/>
      </c>
      <c r="P19" s="422">
        <f>SUM(P20:P21)</f>
        <v/>
      </c>
      <c r="Q19" s="422">
        <f>SUM(Q20:Q21)</f>
        <v/>
      </c>
      <c r="R19" s="422">
        <f>SUM(R20:R21)</f>
        <v/>
      </c>
      <c r="S19" s="422">
        <f>SUM(S20:S21)</f>
        <v/>
      </c>
      <c r="T19" s="422">
        <f>SUM(T20:T21)</f>
        <v/>
      </c>
      <c r="U19" s="422">
        <f>SUM(U20:U21)</f>
        <v/>
      </c>
      <c r="V19" s="422">
        <f>SUM(V20:V21)</f>
        <v/>
      </c>
      <c r="W19" s="422">
        <f>SUM(W20:W21)</f>
        <v/>
      </c>
      <c r="X19" s="422">
        <f>SUM(X20:X21)</f>
        <v/>
      </c>
      <c r="Y19" s="422">
        <f>SUM(Y20:Y21)</f>
        <v/>
      </c>
      <c r="Z19" s="422">
        <f>SUM(Z20:Z21)</f>
        <v/>
      </c>
      <c r="AA19" s="422">
        <f>SUM(AA20:AA21)</f>
        <v/>
      </c>
      <c r="AB19" s="422">
        <f>SUM(AB20:AB21)</f>
        <v/>
      </c>
      <c r="AC19" s="422">
        <f>SUM(AC20:AC21)</f>
        <v/>
      </c>
      <c r="AD19" s="422" t="n"/>
      <c r="AE19" s="422" t="n"/>
      <c r="AF19" s="423" t="n">
        <v>0</v>
      </c>
      <c r="AG19" s="423" t="n">
        <v>0</v>
      </c>
      <c r="AH19" s="423" t="n">
        <v>0</v>
      </c>
      <c r="AI19" s="422">
        <f>SUM(AF19:AH19)</f>
        <v/>
      </c>
      <c r="AJ19" s="422" t="n"/>
    </row>
    <row r="20" outlineLevel="1" s="239">
      <c r="B20" s="1304" t="inlineStr">
        <is>
          <t>Owned</t>
        </is>
      </c>
      <c r="C20" s="423">
        <f>0</f>
        <v/>
      </c>
      <c r="D20" s="423">
        <f>0</f>
        <v/>
      </c>
      <c r="E20" s="423">
        <f>0</f>
        <v/>
      </c>
      <c r="F20" s="423">
        <f>0+2</f>
        <v/>
      </c>
      <c r="G20" s="423">
        <f>1</f>
        <v/>
      </c>
      <c r="H20" s="423" t="n">
        <v>2</v>
      </c>
      <c r="I20" s="423">
        <f>2</f>
        <v/>
      </c>
      <c r="J20" s="423">
        <f>1+2</f>
        <v/>
      </c>
      <c r="K20" s="423">
        <f>6+2</f>
        <v/>
      </c>
      <c r="L20" s="423">
        <f>8+3</f>
        <v/>
      </c>
      <c r="M20" s="423">
        <f>9+4</f>
        <v/>
      </c>
      <c r="N20" s="423">
        <f>9+4</f>
        <v/>
      </c>
      <c r="O20" s="423">
        <f>11+4</f>
        <v/>
      </c>
      <c r="P20" s="423">
        <f>8+4</f>
        <v/>
      </c>
      <c r="Q20" s="423">
        <f>13+4</f>
        <v/>
      </c>
      <c r="R20" s="423">
        <f>14+5</f>
        <v/>
      </c>
      <c r="S20" s="423">
        <f>19+10</f>
        <v/>
      </c>
      <c r="T20" s="423">
        <f>23+10</f>
        <v/>
      </c>
      <c r="U20" s="423">
        <f>23+10</f>
        <v/>
      </c>
      <c r="V20" s="423">
        <f>20+10</f>
        <v/>
      </c>
      <c r="W20" s="423">
        <f>20+18</f>
        <v/>
      </c>
      <c r="X20" s="423">
        <f>17+21</f>
        <v/>
      </c>
      <c r="Y20" s="423" t="n">
        <v>37</v>
      </c>
      <c r="Z20" s="423" t="n">
        <v>37</v>
      </c>
      <c r="AA20" s="423" t="n">
        <v>31</v>
      </c>
      <c r="AB20" s="423" t="n">
        <v>37</v>
      </c>
      <c r="AC20" s="423" t="n">
        <v>39</v>
      </c>
      <c r="AD20" s="423" t="n"/>
      <c r="AE20" s="422" t="n"/>
      <c r="AF20" s="423" t="n"/>
      <c r="AG20" s="423" t="n"/>
      <c r="AH20" s="423" t="n"/>
      <c r="AI20" s="423" t="n"/>
      <c r="AJ20" s="422" t="n"/>
    </row>
    <row r="21" outlineLevel="1" s="239">
      <c r="B21" s="1304" t="inlineStr">
        <is>
          <t>Leased</t>
        </is>
      </c>
      <c r="C21" s="423">
        <f>6+12</f>
        <v/>
      </c>
      <c r="D21" s="423">
        <f>5+12</f>
        <v/>
      </c>
      <c r="E21" s="423">
        <f>5+12</f>
        <v/>
      </c>
      <c r="F21" s="423">
        <f>7+18</f>
        <v/>
      </c>
      <c r="G21" s="423">
        <f>8+20</f>
        <v/>
      </c>
      <c r="H21" s="423">
        <f>7+23</f>
        <v/>
      </c>
      <c r="I21" s="423">
        <f>8+23</f>
        <v/>
      </c>
      <c r="J21" s="423">
        <f>25+11</f>
        <v/>
      </c>
      <c r="K21" s="423">
        <f>18+3+14</f>
        <v/>
      </c>
      <c r="L21" s="423">
        <f>21+13</f>
        <v/>
      </c>
      <c r="M21" s="423">
        <f>23+12</f>
        <v/>
      </c>
      <c r="N21" s="423">
        <f>23+10</f>
        <v/>
      </c>
      <c r="O21" s="423">
        <f>21+10</f>
        <v/>
      </c>
      <c r="P21" s="423">
        <f>25+11</f>
        <v/>
      </c>
      <c r="Q21" s="423">
        <f>16+8+13</f>
        <v/>
      </c>
      <c r="R21" s="423">
        <f>21+15</f>
        <v/>
      </c>
      <c r="S21" s="423">
        <f>21+8</f>
        <v/>
      </c>
      <c r="T21" s="423">
        <f>19+9</f>
        <v/>
      </c>
      <c r="U21" s="423">
        <f>18+10</f>
        <v/>
      </c>
      <c r="V21" s="423">
        <f>17+14</f>
        <v/>
      </c>
      <c r="W21" s="423">
        <f>13+7</f>
        <v/>
      </c>
      <c r="X21" s="423">
        <f>12+4</f>
        <v/>
      </c>
      <c r="Y21" s="423" t="n">
        <v>14</v>
      </c>
      <c r="Z21" s="423" t="n">
        <v>14</v>
      </c>
      <c r="AA21" s="423" t="n">
        <v>12</v>
      </c>
      <c r="AB21" s="423" t="n">
        <v>6</v>
      </c>
      <c r="AC21" s="423" t="n">
        <v>4</v>
      </c>
      <c r="AD21" s="423" t="n"/>
      <c r="AE21" s="422" t="n"/>
      <c r="AF21" s="423" t="n"/>
      <c r="AG21" s="423" t="n"/>
      <c r="AH21" s="423" t="n"/>
      <c r="AI21" s="423" t="n"/>
      <c r="AJ21" s="422" t="n"/>
    </row>
    <row r="22" outlineLevel="1" s="239">
      <c r="A22" s="1293" t="inlineStr">
        <is>
          <t>W</t>
        </is>
      </c>
      <c r="B22" s="1294" t="inlineStr">
        <is>
          <t>A330-900</t>
        </is>
      </c>
      <c r="C22" s="422">
        <f>SUM(C23:C24)</f>
        <v/>
      </c>
      <c r="D22" s="422">
        <f>SUM(D23:D24)</f>
        <v/>
      </c>
      <c r="E22" s="422">
        <f>SUM(E23:E24)</f>
        <v/>
      </c>
      <c r="F22" s="422">
        <f>SUM(F23:F24)</f>
        <v/>
      </c>
      <c r="G22" s="422">
        <f>SUM(G23:G24)</f>
        <v/>
      </c>
      <c r="H22" s="422">
        <f>SUM(H23:H24)</f>
        <v/>
      </c>
      <c r="I22" s="422">
        <f>SUM(I23:I24)</f>
        <v/>
      </c>
      <c r="J22" s="422">
        <f>SUM(J23:J24)</f>
        <v/>
      </c>
      <c r="K22" s="422">
        <f>SUM(K23:K24)</f>
        <v/>
      </c>
      <c r="L22" s="422">
        <f>SUM(L23:L24)</f>
        <v/>
      </c>
      <c r="M22" s="422">
        <f>SUM(M23:M24)</f>
        <v/>
      </c>
      <c r="N22" s="422">
        <f>SUM(N23:N24)</f>
        <v/>
      </c>
      <c r="O22" s="422">
        <f>SUM(O23:O24)</f>
        <v/>
      </c>
      <c r="P22" s="422">
        <f>SUM(P23:P24)</f>
        <v/>
      </c>
      <c r="Q22" s="422">
        <f>SUM(Q23:Q24)</f>
        <v/>
      </c>
      <c r="R22" s="422">
        <f>SUM(R23:R24)</f>
        <v/>
      </c>
      <c r="S22" s="422">
        <f>SUM(S23:S24)</f>
        <v/>
      </c>
      <c r="T22" s="422">
        <f>SUM(T23:T24)</f>
        <v/>
      </c>
      <c r="U22" s="422">
        <f>SUM(U23:U24)</f>
        <v/>
      </c>
      <c r="V22" s="422">
        <f>SUM(V23:V24)</f>
        <v/>
      </c>
      <c r="W22" s="422">
        <f>SUM(W23:W24)</f>
        <v/>
      </c>
      <c r="X22" s="422">
        <f>SUM(X23:X24)</f>
        <v/>
      </c>
      <c r="Y22" s="422">
        <f>SUM(Y23:Y24)</f>
        <v/>
      </c>
      <c r="Z22" s="422">
        <f>SUM(Z23:Z24)</f>
        <v/>
      </c>
      <c r="AA22" s="422">
        <f>SUM(AA23:AA24)</f>
        <v/>
      </c>
      <c r="AB22" s="422">
        <f>SUM(AB23:AB24)</f>
        <v/>
      </c>
      <c r="AC22" s="422">
        <f>SUM(AC23:AC24)</f>
        <v/>
      </c>
      <c r="AD22" s="422" t="n"/>
      <c r="AE22" s="422" t="n"/>
      <c r="AF22" s="423" t="n">
        <v>0</v>
      </c>
      <c r="AG22" s="423" t="n">
        <v>0</v>
      </c>
      <c r="AH22" s="423" t="n">
        <v>30</v>
      </c>
      <c r="AI22" s="422">
        <f>SUM(AF22:AH22)</f>
        <v/>
      </c>
      <c r="AJ22" s="422" t="n"/>
    </row>
    <row r="23" outlineLevel="1" s="239">
      <c r="B23" s="1304" t="inlineStr">
        <is>
          <t>Owned</t>
        </is>
      </c>
      <c r="C23" s="423" t="n">
        <v>0</v>
      </c>
      <c r="D23" s="423" t="n">
        <v>0</v>
      </c>
      <c r="E23" s="423" t="n">
        <v>0</v>
      </c>
      <c r="F23" s="423" t="n">
        <v>0</v>
      </c>
      <c r="G23" s="423" t="n">
        <v>0</v>
      </c>
      <c r="H23" s="423" t="n">
        <v>0</v>
      </c>
      <c r="I23" s="423" t="n">
        <v>0</v>
      </c>
      <c r="J23" s="423" t="n">
        <v>0</v>
      </c>
      <c r="K23" s="423" t="n">
        <v>0</v>
      </c>
      <c r="L23" s="423" t="n">
        <v>0</v>
      </c>
      <c r="M23" s="423" t="n">
        <v>0</v>
      </c>
      <c r="N23" s="423" t="n">
        <v>0</v>
      </c>
      <c r="O23" s="423" t="n">
        <v>0</v>
      </c>
      <c r="P23" s="423" t="n">
        <v>0</v>
      </c>
      <c r="Q23" s="423" t="n">
        <v>0</v>
      </c>
      <c r="R23" s="423" t="n">
        <v>0</v>
      </c>
      <c r="S23" s="423" t="n">
        <v>0</v>
      </c>
      <c r="T23" s="423" t="n">
        <v>0</v>
      </c>
      <c r="U23" s="423" t="n">
        <v>0</v>
      </c>
      <c r="V23" s="423" t="n">
        <v>0</v>
      </c>
      <c r="W23" s="423" t="n">
        <v>0</v>
      </c>
      <c r="X23" s="423" t="n">
        <v>0</v>
      </c>
      <c r="Y23" s="423" t="n">
        <v>0</v>
      </c>
      <c r="Z23" s="423" t="n">
        <v>0</v>
      </c>
      <c r="AA23" s="423" t="n">
        <v>0</v>
      </c>
      <c r="AB23" s="423" t="n">
        <v>0</v>
      </c>
      <c r="AC23" s="423" t="n">
        <v>0</v>
      </c>
      <c r="AD23" s="423" t="n"/>
      <c r="AE23" s="422" t="n"/>
      <c r="AF23" s="423" t="n"/>
      <c r="AG23" s="423" t="n"/>
      <c r="AH23" s="423" t="n"/>
      <c r="AI23" s="423" t="n"/>
      <c r="AJ23" s="422" t="n"/>
    </row>
    <row r="24" outlineLevel="1" s="239">
      <c r="B24" s="1304" t="inlineStr">
        <is>
          <t>Leased</t>
        </is>
      </c>
      <c r="C24" s="423" t="n">
        <v>0</v>
      </c>
      <c r="D24" s="423" t="n">
        <v>0</v>
      </c>
      <c r="E24" s="423" t="n">
        <v>0</v>
      </c>
      <c r="F24" s="423" t="n">
        <v>0</v>
      </c>
      <c r="G24" s="423" t="n">
        <v>0</v>
      </c>
      <c r="H24" s="423" t="n">
        <v>0</v>
      </c>
      <c r="I24" s="423" t="n">
        <v>0</v>
      </c>
      <c r="J24" s="423" t="n">
        <v>0</v>
      </c>
      <c r="K24" s="423" t="n">
        <v>0</v>
      </c>
      <c r="L24" s="423" t="n">
        <v>0</v>
      </c>
      <c r="M24" s="423" t="n">
        <v>0</v>
      </c>
      <c r="N24" s="423" t="n">
        <v>0</v>
      </c>
      <c r="O24" s="423" t="n">
        <v>0</v>
      </c>
      <c r="P24" s="423" t="n">
        <v>0</v>
      </c>
      <c r="Q24" s="423" t="n">
        <v>0</v>
      </c>
      <c r="R24" s="423" t="n">
        <v>0</v>
      </c>
      <c r="S24" s="423" t="n">
        <v>0</v>
      </c>
      <c r="T24" s="423" t="n">
        <v>0</v>
      </c>
      <c r="U24" s="423" t="n">
        <v>0</v>
      </c>
      <c r="V24" s="423" t="n">
        <v>0</v>
      </c>
      <c r="W24" s="423" t="n">
        <v>0</v>
      </c>
      <c r="X24" s="423" t="n">
        <v>0</v>
      </c>
      <c r="Y24" s="423" t="n">
        <v>0</v>
      </c>
      <c r="Z24" s="423" t="n">
        <v>0</v>
      </c>
      <c r="AA24" s="423" t="n">
        <v>0</v>
      </c>
      <c r="AB24" s="423" t="n">
        <v>0</v>
      </c>
      <c r="AC24" s="423" t="n">
        <v>0</v>
      </c>
      <c r="AD24" s="423" t="n"/>
      <c r="AE24" s="422" t="n"/>
      <c r="AF24" s="423" t="n"/>
      <c r="AG24" s="423" t="n"/>
      <c r="AH24" s="423" t="n"/>
      <c r="AI24" s="423" t="n"/>
      <c r="AJ24" s="422" t="n"/>
    </row>
    <row r="25">
      <c r="A25" s="1293" t="inlineStr">
        <is>
          <t>W</t>
        </is>
      </c>
      <c r="B25" s="1294" t="inlineStr">
        <is>
          <t>A340-300</t>
        </is>
      </c>
      <c r="C25" s="422">
        <f>SUM(C26:C27)</f>
        <v/>
      </c>
      <c r="D25" s="422">
        <f>SUM(D26:D27)</f>
        <v/>
      </c>
      <c r="E25" s="422">
        <f>SUM(E26:E27)</f>
        <v/>
      </c>
      <c r="F25" s="422">
        <f>SUM(F26:F27)</f>
        <v/>
      </c>
      <c r="G25" s="422">
        <f>SUM(G26:G27)</f>
        <v/>
      </c>
      <c r="H25" s="422">
        <f>SUM(H26:H27)</f>
        <v/>
      </c>
      <c r="I25" s="422">
        <f>SUM(I26:I27)</f>
        <v/>
      </c>
      <c r="J25" s="422">
        <f>SUM(J26:J27)</f>
        <v/>
      </c>
      <c r="K25" s="422">
        <f>SUM(K26:K27)</f>
        <v/>
      </c>
      <c r="L25" s="422">
        <f>SUM(L26:L27)</f>
        <v/>
      </c>
      <c r="M25" s="422">
        <f>SUM(M26:M27)</f>
        <v/>
      </c>
      <c r="N25" s="422">
        <f>SUM(N26:N27)</f>
        <v/>
      </c>
      <c r="O25" s="422">
        <f>SUM(O26:O27)</f>
        <v/>
      </c>
      <c r="P25" s="422">
        <f>SUM(P26:P27)</f>
        <v/>
      </c>
      <c r="Q25" s="422">
        <f>SUM(Q26:Q27)</f>
        <v/>
      </c>
      <c r="R25" s="422">
        <f>SUM(R26:R27)</f>
        <v/>
      </c>
      <c r="S25" s="422">
        <f>SUM(S26:S27)</f>
        <v/>
      </c>
      <c r="T25" s="422">
        <f>SUM(T26:T27)</f>
        <v/>
      </c>
      <c r="U25" s="422">
        <f>SUM(U26:U27)</f>
        <v/>
      </c>
      <c r="V25" s="422">
        <f>SUM(V26:V27)</f>
        <v/>
      </c>
      <c r="W25" s="422">
        <f>SUM(W26:W27)</f>
        <v/>
      </c>
      <c r="X25" s="422">
        <f>SUM(X26:X27)</f>
        <v/>
      </c>
      <c r="Y25" s="422">
        <f>SUM(Y26:Y27)</f>
        <v/>
      </c>
      <c r="Z25" s="422">
        <f>SUM(Z26:Z27)</f>
        <v/>
      </c>
      <c r="AA25" s="422">
        <f>SUM(AA26:AA27)</f>
        <v/>
      </c>
      <c r="AB25" s="422">
        <f>SUM(AB26:AB27)</f>
        <v/>
      </c>
      <c r="AC25" s="422">
        <f>SUM(AC26:AC27)</f>
        <v/>
      </c>
      <c r="AD25" s="422" t="n"/>
      <c r="AE25" s="422" t="n"/>
      <c r="AF25" s="423" t="n">
        <v>0</v>
      </c>
      <c r="AG25" s="423" t="n">
        <v>0</v>
      </c>
      <c r="AH25" s="423" t="n">
        <v>0</v>
      </c>
      <c r="AI25" s="422">
        <f>SUM(AF25:AH25)</f>
        <v/>
      </c>
      <c r="AJ25" s="422" t="n"/>
    </row>
    <row r="26" outlineLevel="1" s="239">
      <c r="B26" s="1304" t="inlineStr">
        <is>
          <t>Owned</t>
        </is>
      </c>
      <c r="C26" s="423" t="n">
        <v>0</v>
      </c>
      <c r="D26" s="423" t="n">
        <v>0</v>
      </c>
      <c r="E26" s="423" t="n">
        <v>0</v>
      </c>
      <c r="F26" s="423" t="n">
        <v>0</v>
      </c>
      <c r="G26" s="423" t="n">
        <v>0</v>
      </c>
      <c r="H26" s="423" t="n">
        <v>0</v>
      </c>
      <c r="I26" s="423" t="n">
        <v>0</v>
      </c>
      <c r="J26" s="423" t="n">
        <v>0</v>
      </c>
      <c r="K26" s="423" t="n">
        <v>1</v>
      </c>
      <c r="L26" s="423" t="n">
        <v>1</v>
      </c>
      <c r="M26" s="423" t="n">
        <v>5</v>
      </c>
      <c r="N26" s="423" t="n">
        <v>6</v>
      </c>
      <c r="O26" s="423" t="n">
        <v>6</v>
      </c>
      <c r="P26" s="423" t="n">
        <v>6</v>
      </c>
      <c r="Q26" s="423" t="n">
        <v>6</v>
      </c>
      <c r="R26" s="423" t="n">
        <v>6</v>
      </c>
      <c r="S26" s="423" t="n">
        <v>8</v>
      </c>
      <c r="T26" s="423" t="n">
        <v>5</v>
      </c>
      <c r="U26" s="423" t="n">
        <v>4</v>
      </c>
      <c r="V26" s="423" t="n">
        <v>0</v>
      </c>
      <c r="W26" s="423" t="n">
        <v>0</v>
      </c>
      <c r="X26" s="423" t="n">
        <v>0</v>
      </c>
      <c r="Y26" s="423" t="n">
        <v>0</v>
      </c>
      <c r="Z26" s="423" t="n">
        <v>0</v>
      </c>
      <c r="AA26" s="423" t="n">
        <v>0</v>
      </c>
      <c r="AB26" s="423" t="n">
        <v>0</v>
      </c>
      <c r="AC26" s="423" t="n">
        <v>0</v>
      </c>
      <c r="AD26" s="423" t="n"/>
      <c r="AE26" s="422" t="n"/>
      <c r="AF26" s="423" t="n"/>
      <c r="AG26" s="423" t="n"/>
      <c r="AH26" s="423" t="n"/>
      <c r="AI26" s="423" t="n"/>
      <c r="AJ26" s="422" t="n"/>
    </row>
    <row r="27" outlineLevel="1" s="239">
      <c r="B27" s="1304" t="inlineStr">
        <is>
          <t>Leased</t>
        </is>
      </c>
      <c r="C27" s="423" t="n">
        <v>11</v>
      </c>
      <c r="D27" s="423" t="n">
        <v>14</v>
      </c>
      <c r="E27" s="423" t="n">
        <v>14</v>
      </c>
      <c r="F27" s="423" t="n">
        <v>15</v>
      </c>
      <c r="G27" s="423" t="n">
        <v>15</v>
      </c>
      <c r="H27" s="423" t="n">
        <v>15</v>
      </c>
      <c r="I27" s="423" t="n">
        <v>15</v>
      </c>
      <c r="J27" s="423" t="n">
        <v>15</v>
      </c>
      <c r="K27" s="423" t="n">
        <v>14</v>
      </c>
      <c r="L27" s="423" t="n">
        <v>14</v>
      </c>
      <c r="M27" s="423" t="n">
        <v>10</v>
      </c>
      <c r="N27" s="423" t="n">
        <v>9</v>
      </c>
      <c r="O27" s="423" t="n">
        <v>9</v>
      </c>
      <c r="P27" s="423" t="n">
        <v>7</v>
      </c>
      <c r="Q27" s="423" t="n">
        <v>5</v>
      </c>
      <c r="R27" s="423" t="n">
        <v>5</v>
      </c>
      <c r="S27" s="423" t="n">
        <v>3</v>
      </c>
      <c r="T27" s="423" t="n">
        <v>2</v>
      </c>
      <c r="U27" s="423" t="n">
        <v>0</v>
      </c>
      <c r="V27" s="423" t="n">
        <v>0</v>
      </c>
      <c r="W27" s="423" t="n">
        <v>0</v>
      </c>
      <c r="X27" s="423" t="n">
        <v>0</v>
      </c>
      <c r="Y27" s="423" t="n">
        <v>0</v>
      </c>
      <c r="Z27" s="423" t="n">
        <v>0</v>
      </c>
      <c r="AA27" s="423" t="n">
        <v>0</v>
      </c>
      <c r="AB27" s="423" t="n">
        <v>0</v>
      </c>
      <c r="AC27" s="423" t="n">
        <v>0</v>
      </c>
      <c r="AD27" s="423" t="n"/>
      <c r="AE27" s="422" t="n"/>
      <c r="AF27" s="423" t="n"/>
      <c r="AG27" s="423" t="n"/>
      <c r="AH27" s="423" t="n"/>
      <c r="AI27" s="423" t="n"/>
      <c r="AJ27" s="422" t="n"/>
    </row>
    <row r="28">
      <c r="A28" s="1293" t="inlineStr">
        <is>
          <t>W</t>
        </is>
      </c>
      <c r="B28" s="1294" t="inlineStr">
        <is>
          <t>A340-600</t>
        </is>
      </c>
      <c r="C28" s="422">
        <f>SUM(C29:C30)</f>
        <v/>
      </c>
      <c r="D28" s="422">
        <f>SUM(D29:D30)</f>
        <v/>
      </c>
      <c r="E28" s="422">
        <f>SUM(E29:E30)</f>
        <v/>
      </c>
      <c r="F28" s="422">
        <f>SUM(F29:F30)</f>
        <v/>
      </c>
      <c r="G28" s="422">
        <f>SUM(G29:G30)</f>
        <v/>
      </c>
      <c r="H28" s="422">
        <f>SUM(H29:H30)</f>
        <v/>
      </c>
      <c r="I28" s="422">
        <f>SUM(I29:I30)</f>
        <v/>
      </c>
      <c r="J28" s="422">
        <f>SUM(J29:J30)</f>
        <v/>
      </c>
      <c r="K28" s="422">
        <f>SUM(K29:K30)</f>
        <v/>
      </c>
      <c r="L28" s="422">
        <f>SUM(L29:L30)</f>
        <v/>
      </c>
      <c r="M28" s="422">
        <f>SUM(M29:M30)</f>
        <v/>
      </c>
      <c r="N28" s="422">
        <f>SUM(N29:N30)</f>
        <v/>
      </c>
      <c r="O28" s="422">
        <f>SUM(O29:O30)</f>
        <v/>
      </c>
      <c r="P28" s="422">
        <f>SUM(P29:P30)</f>
        <v/>
      </c>
      <c r="Q28" s="422">
        <f>SUM(Q29:Q30)</f>
        <v/>
      </c>
      <c r="R28" s="422">
        <f>SUM(R29:R30)</f>
        <v/>
      </c>
      <c r="S28" s="422">
        <f>SUM(S29:S30)</f>
        <v/>
      </c>
      <c r="T28" s="422">
        <f>SUM(T29:T30)</f>
        <v/>
      </c>
      <c r="U28" s="422">
        <f>SUM(U29:U30)</f>
        <v/>
      </c>
      <c r="V28" s="422">
        <f>SUM(V29:V30)</f>
        <v/>
      </c>
      <c r="W28" s="422">
        <f>SUM(W29:W30)</f>
        <v/>
      </c>
      <c r="X28" s="422">
        <f>SUM(X29:X30)</f>
        <v/>
      </c>
      <c r="Y28" s="422">
        <f>SUM(Y29:Y30)</f>
        <v/>
      </c>
      <c r="Z28" s="422">
        <f>SUM(Z29:Z30)</f>
        <v/>
      </c>
      <c r="AA28" s="422">
        <f>SUM(AA29:AA30)</f>
        <v/>
      </c>
      <c r="AB28" s="422">
        <f>SUM(AB29:AB30)</f>
        <v/>
      </c>
      <c r="AC28" s="422">
        <f>SUM(AC29:AC30)</f>
        <v/>
      </c>
      <c r="AD28" s="422" t="n"/>
      <c r="AE28" s="422" t="n"/>
      <c r="AF28" s="423" t="n">
        <v>0</v>
      </c>
      <c r="AG28" s="423" t="n">
        <v>0</v>
      </c>
      <c r="AH28" s="423" t="n">
        <v>0</v>
      </c>
      <c r="AI28" s="422">
        <f>SUM(AF28:AH28)</f>
        <v/>
      </c>
      <c r="AJ28" s="422" t="n"/>
    </row>
    <row r="29" outlineLevel="1" s="239">
      <c r="B29" s="1304" t="inlineStr">
        <is>
          <t>Owned</t>
        </is>
      </c>
      <c r="C29" s="423" t="n">
        <v>0</v>
      </c>
      <c r="D29" s="423" t="n">
        <v>0</v>
      </c>
      <c r="E29" s="423" t="n">
        <v>0</v>
      </c>
      <c r="F29" s="423" t="n">
        <v>0</v>
      </c>
      <c r="G29" s="423" t="n">
        <v>0</v>
      </c>
      <c r="H29" s="423" t="n">
        <v>0</v>
      </c>
      <c r="I29" s="423" t="n">
        <v>0</v>
      </c>
      <c r="J29" s="423" t="n">
        <v>0</v>
      </c>
      <c r="K29" s="423" t="n">
        <v>0</v>
      </c>
      <c r="L29" s="423" t="n">
        <v>0</v>
      </c>
      <c r="M29" s="423" t="n">
        <v>0</v>
      </c>
      <c r="N29" s="423" t="n">
        <v>0</v>
      </c>
      <c r="O29" s="423" t="n">
        <v>0</v>
      </c>
      <c r="P29" s="423" t="n">
        <v>0</v>
      </c>
      <c r="Q29" s="423" t="n">
        <v>0</v>
      </c>
      <c r="R29" s="423" t="n">
        <v>0</v>
      </c>
      <c r="S29" s="423" t="n">
        <v>0</v>
      </c>
      <c r="T29" s="423" t="n">
        <v>0</v>
      </c>
      <c r="U29" s="423" t="n">
        <v>0</v>
      </c>
      <c r="V29" s="423" t="n">
        <v>0</v>
      </c>
      <c r="W29" s="423" t="n">
        <v>0</v>
      </c>
      <c r="X29" s="423" t="n">
        <v>0</v>
      </c>
      <c r="Y29" s="423" t="n">
        <v>0</v>
      </c>
      <c r="Z29" s="423" t="n">
        <v>0</v>
      </c>
      <c r="AA29" s="423" t="n">
        <v>0</v>
      </c>
      <c r="AB29" s="423" t="n">
        <v>0</v>
      </c>
      <c r="AC29" s="423" t="n">
        <v>0</v>
      </c>
      <c r="AD29" s="423" t="n"/>
      <c r="AE29" s="422" t="n"/>
      <c r="AF29" s="423" t="n"/>
      <c r="AG29" s="423" t="n"/>
      <c r="AH29" s="423" t="n"/>
      <c r="AI29" s="423" t="n"/>
      <c r="AJ29" s="422" t="n"/>
    </row>
    <row r="30" outlineLevel="1" s="239">
      <c r="B30" s="1304" t="inlineStr">
        <is>
          <t>Leased</t>
        </is>
      </c>
      <c r="C30" s="423" t="n">
        <v>0</v>
      </c>
      <c r="D30" s="423" t="n">
        <v>0</v>
      </c>
      <c r="E30" s="423" t="n">
        <v>0</v>
      </c>
      <c r="F30" s="423" t="n">
        <v>0</v>
      </c>
      <c r="G30" s="423" t="n">
        <v>2</v>
      </c>
      <c r="H30" s="423" t="n">
        <v>3</v>
      </c>
      <c r="I30" s="423" t="n">
        <v>3</v>
      </c>
      <c r="J30" s="423" t="n">
        <v>3</v>
      </c>
      <c r="K30" s="423" t="n">
        <v>3</v>
      </c>
      <c r="L30" s="423" t="n">
        <v>3</v>
      </c>
      <c r="M30" s="423" t="n">
        <v>0</v>
      </c>
      <c r="N30" s="423" t="n">
        <v>0</v>
      </c>
      <c r="O30" s="423" t="n">
        <v>0</v>
      </c>
      <c r="P30" s="423" t="n">
        <v>0</v>
      </c>
      <c r="Q30" s="423" t="n">
        <v>0</v>
      </c>
      <c r="R30" s="423" t="n">
        <v>0</v>
      </c>
      <c r="S30" s="423" t="n">
        <v>0</v>
      </c>
      <c r="T30" s="423" t="n">
        <v>0</v>
      </c>
      <c r="U30" s="423" t="n">
        <v>0</v>
      </c>
      <c r="V30" s="423" t="n">
        <v>0</v>
      </c>
      <c r="W30" s="423" t="n">
        <v>0</v>
      </c>
      <c r="X30" s="423" t="n">
        <v>0</v>
      </c>
      <c r="Y30" s="423" t="n">
        <v>0</v>
      </c>
      <c r="Z30" s="423" t="n">
        <v>0</v>
      </c>
      <c r="AA30" s="423" t="n">
        <v>0</v>
      </c>
      <c r="AB30" s="423" t="n">
        <v>0</v>
      </c>
      <c r="AC30" s="423" t="n">
        <v>0</v>
      </c>
      <c r="AD30" s="423" t="n"/>
      <c r="AE30" s="422" t="n"/>
      <c r="AF30" s="423" t="n"/>
      <c r="AG30" s="423" t="n"/>
      <c r="AH30" s="423" t="n"/>
      <c r="AI30" s="423" t="n"/>
      <c r="AJ30" s="422" t="n"/>
    </row>
    <row r="31">
      <c r="A31" s="1293" t="inlineStr">
        <is>
          <t>W</t>
        </is>
      </c>
      <c r="B31" s="1294" t="inlineStr">
        <is>
          <t>A350-900</t>
        </is>
      </c>
      <c r="C31" s="422">
        <f>SUM(C32:C33)</f>
        <v/>
      </c>
      <c r="D31" s="422">
        <f>SUM(D32:D33)</f>
        <v/>
      </c>
      <c r="E31" s="422">
        <f>SUM(E32:E33)</f>
        <v/>
      </c>
      <c r="F31" s="422">
        <f>SUM(F32:F33)</f>
        <v/>
      </c>
      <c r="G31" s="422">
        <f>SUM(G32:G33)</f>
        <v/>
      </c>
      <c r="H31" s="422">
        <f>SUM(H32:H33)</f>
        <v/>
      </c>
      <c r="I31" s="422">
        <f>SUM(I32:I33)</f>
        <v/>
      </c>
      <c r="J31" s="422">
        <f>SUM(J32:J33)</f>
        <v/>
      </c>
      <c r="K31" s="422">
        <f>SUM(K32:K33)</f>
        <v/>
      </c>
      <c r="L31" s="422">
        <f>SUM(L32:L33)</f>
        <v/>
      </c>
      <c r="M31" s="422">
        <f>SUM(M32:M33)</f>
        <v/>
      </c>
      <c r="N31" s="422">
        <f>SUM(N32:N33)</f>
        <v/>
      </c>
      <c r="O31" s="422">
        <f>SUM(O32:O33)</f>
        <v/>
      </c>
      <c r="P31" s="422">
        <f>SUM(P32:P33)</f>
        <v/>
      </c>
      <c r="Q31" s="422">
        <f>SUM(Q32:Q33)</f>
        <v/>
      </c>
      <c r="R31" s="422">
        <f>SUM(R32:R33)</f>
        <v/>
      </c>
      <c r="S31" s="422">
        <f>SUM(S32:S33)</f>
        <v/>
      </c>
      <c r="T31" s="422">
        <f>SUM(T32:T33)</f>
        <v/>
      </c>
      <c r="U31" s="422">
        <f>SUM(U32:U33)</f>
        <v/>
      </c>
      <c r="V31" s="422">
        <f>SUM(V32:V33)</f>
        <v/>
      </c>
      <c r="W31" s="422">
        <f>SUM(W32:W33)</f>
        <v/>
      </c>
      <c r="X31" s="422">
        <f>SUM(X32:X33)</f>
        <v/>
      </c>
      <c r="Y31" s="422">
        <f>SUM(Y32:Y33)</f>
        <v/>
      </c>
      <c r="Z31" s="422">
        <f>SUM(Z32:Z33)</f>
        <v/>
      </c>
      <c r="AA31" s="422">
        <f>SUM(AA32:AA33)</f>
        <v/>
      </c>
      <c r="AB31" s="422">
        <f>SUM(AB32:AB33)</f>
        <v/>
      </c>
      <c r="AC31" s="422">
        <f>SUM(AC32:AC33)</f>
        <v/>
      </c>
      <c r="AD31" s="422" t="n"/>
      <c r="AE31" s="422" t="n"/>
      <c r="AF31" s="423" t="n">
        <v>0</v>
      </c>
      <c r="AG31" s="423" t="n">
        <v>0</v>
      </c>
      <c r="AH31" s="423" t="n">
        <v>0</v>
      </c>
      <c r="AI31" s="422">
        <f>SUM(AF31:AH31)</f>
        <v/>
      </c>
      <c r="AJ31" s="422" t="n"/>
    </row>
    <row r="32" outlineLevel="1" s="239">
      <c r="B32" s="1304" t="inlineStr">
        <is>
          <t>Owned</t>
        </is>
      </c>
      <c r="C32" s="423" t="n">
        <v>0</v>
      </c>
      <c r="D32" s="423" t="n">
        <v>0</v>
      </c>
      <c r="E32" s="423" t="n">
        <v>0</v>
      </c>
      <c r="F32" s="423" t="n">
        <v>0</v>
      </c>
      <c r="G32" s="423" t="n">
        <v>0</v>
      </c>
      <c r="H32" s="423" t="n">
        <v>0</v>
      </c>
      <c r="I32" s="423" t="n">
        <v>0</v>
      </c>
      <c r="J32" s="423" t="n">
        <v>0</v>
      </c>
      <c r="K32" s="423" t="n">
        <v>0</v>
      </c>
      <c r="L32" s="423" t="n">
        <v>0</v>
      </c>
      <c r="M32" s="423" t="n">
        <v>0</v>
      </c>
      <c r="N32" s="423" t="n">
        <v>0</v>
      </c>
      <c r="O32" s="423" t="n">
        <v>0</v>
      </c>
      <c r="P32" s="423" t="n">
        <v>0</v>
      </c>
      <c r="Q32" s="423" t="n">
        <v>0</v>
      </c>
      <c r="R32" s="423" t="n">
        <v>0</v>
      </c>
      <c r="S32" s="423" t="n">
        <v>0</v>
      </c>
      <c r="T32" s="423" t="n">
        <v>0</v>
      </c>
      <c r="U32" s="423" t="n">
        <v>5</v>
      </c>
      <c r="V32" s="423" t="n">
        <v>16</v>
      </c>
      <c r="W32" s="423" t="n">
        <v>16</v>
      </c>
      <c r="X32" s="423" t="n">
        <v>18</v>
      </c>
      <c r="Y32" s="423" t="n">
        <v>19</v>
      </c>
      <c r="Z32" s="423" t="n">
        <v>19</v>
      </c>
      <c r="AA32" s="423" t="n">
        <v>19</v>
      </c>
      <c r="AB32" s="423" t="n">
        <v>20</v>
      </c>
      <c r="AC32" s="423" t="n">
        <v>20</v>
      </c>
      <c r="AD32" s="423" t="n"/>
      <c r="AE32" s="422" t="n"/>
      <c r="AF32" s="423" t="n"/>
      <c r="AG32" s="423" t="n"/>
      <c r="AH32" s="423" t="n"/>
      <c r="AI32" s="423" t="n"/>
      <c r="AJ32" s="422" t="n"/>
    </row>
    <row r="33" outlineLevel="1" s="239">
      <c r="B33" s="1304" t="inlineStr">
        <is>
          <t>Leased</t>
        </is>
      </c>
      <c r="C33" s="423" t="n">
        <v>0</v>
      </c>
      <c r="D33" s="423" t="n">
        <v>0</v>
      </c>
      <c r="E33" s="423" t="n">
        <v>0</v>
      </c>
      <c r="F33" s="423" t="n">
        <v>0</v>
      </c>
      <c r="G33" s="423" t="n">
        <v>0</v>
      </c>
      <c r="H33" s="423" t="n">
        <v>0</v>
      </c>
      <c r="I33" s="423" t="n">
        <v>0</v>
      </c>
      <c r="J33" s="423" t="n">
        <v>0</v>
      </c>
      <c r="K33" s="423" t="n">
        <v>0</v>
      </c>
      <c r="L33" s="423" t="n">
        <v>0</v>
      </c>
      <c r="M33" s="423" t="n">
        <v>0</v>
      </c>
      <c r="N33" s="423" t="n">
        <v>0</v>
      </c>
      <c r="O33" s="423" t="n">
        <v>0</v>
      </c>
      <c r="P33" s="423" t="n">
        <v>0</v>
      </c>
      <c r="Q33" s="423" t="n">
        <v>0</v>
      </c>
      <c r="R33" s="423" t="n">
        <v>0</v>
      </c>
      <c r="S33" s="423" t="n">
        <v>0</v>
      </c>
      <c r="T33" s="423" t="n">
        <v>0</v>
      </c>
      <c r="U33" s="423" t="n">
        <v>5</v>
      </c>
      <c r="V33" s="423" t="n">
        <v>6</v>
      </c>
      <c r="W33" s="423" t="n">
        <v>6</v>
      </c>
      <c r="X33" s="423" t="n">
        <v>6</v>
      </c>
      <c r="Y33" s="423" t="n">
        <v>8</v>
      </c>
      <c r="Z33" s="423" t="n">
        <v>9</v>
      </c>
      <c r="AA33" s="423" t="n">
        <v>9</v>
      </c>
      <c r="AB33" s="423" t="n">
        <v>10</v>
      </c>
      <c r="AC33" s="423" t="n">
        <v>10</v>
      </c>
      <c r="AD33" s="423" t="n"/>
      <c r="AE33" s="422" t="n"/>
      <c r="AF33" s="423" t="n"/>
      <c r="AG33" s="423" t="n"/>
      <c r="AH33" s="423" t="n"/>
      <c r="AI33" s="423" t="n"/>
      <c r="AJ33" s="422" t="n"/>
    </row>
    <row r="34">
      <c r="A34" s="1293" t="inlineStr">
        <is>
          <t>W</t>
        </is>
      </c>
      <c r="B34" s="1294" t="inlineStr">
        <is>
          <t>A350-1000</t>
        </is>
      </c>
      <c r="C34" s="422">
        <f>SUM(C35:C36)</f>
        <v/>
      </c>
      <c r="D34" s="422">
        <f>SUM(D35:D36)</f>
        <v/>
      </c>
      <c r="E34" s="422">
        <f>SUM(E35:E36)</f>
        <v/>
      </c>
      <c r="F34" s="422">
        <f>SUM(F35:F36)</f>
        <v/>
      </c>
      <c r="G34" s="422">
        <f>SUM(G35:G36)</f>
        <v/>
      </c>
      <c r="H34" s="422">
        <f>SUM(H35:H36)</f>
        <v/>
      </c>
      <c r="I34" s="422">
        <f>SUM(I35:I36)</f>
        <v/>
      </c>
      <c r="J34" s="422">
        <f>SUM(J35:J36)</f>
        <v/>
      </c>
      <c r="K34" s="422">
        <f>SUM(K35:K36)</f>
        <v/>
      </c>
      <c r="L34" s="422">
        <f>SUM(L35:L36)</f>
        <v/>
      </c>
      <c r="M34" s="422">
        <f>SUM(M35:M36)</f>
        <v/>
      </c>
      <c r="N34" s="422">
        <f>SUM(N35:N36)</f>
        <v/>
      </c>
      <c r="O34" s="422">
        <f>SUM(O35:O36)</f>
        <v/>
      </c>
      <c r="P34" s="422">
        <f>SUM(P35:P36)</f>
        <v/>
      </c>
      <c r="Q34" s="422">
        <f>SUM(Q35:Q36)</f>
        <v/>
      </c>
      <c r="R34" s="422">
        <f>SUM(R35:R36)</f>
        <v/>
      </c>
      <c r="S34" s="422">
        <f>SUM(S35:S36)</f>
        <v/>
      </c>
      <c r="T34" s="422">
        <f>SUM(T35:T36)</f>
        <v/>
      </c>
      <c r="U34" s="422">
        <f>SUM(U35:U36)</f>
        <v/>
      </c>
      <c r="V34" s="422">
        <f>SUM(V35:V36)</f>
        <v/>
      </c>
      <c r="W34" s="422">
        <f>SUM(W35:W36)</f>
        <v/>
      </c>
      <c r="X34" s="422">
        <f>SUM(X35:X36)</f>
        <v/>
      </c>
      <c r="Y34" s="422">
        <f>SUM(Y35:Y36)</f>
        <v/>
      </c>
      <c r="Z34" s="422">
        <f>SUM(Z35:Z36)</f>
        <v/>
      </c>
      <c r="AA34" s="422">
        <f>SUM(AA35:AA36)</f>
        <v/>
      </c>
      <c r="AB34" s="422">
        <f>SUM(AB35:AB36)</f>
        <v/>
      </c>
      <c r="AC34" s="422">
        <f>SUM(AC35:AC36)</f>
        <v/>
      </c>
      <c r="AD34" s="422" t="n"/>
      <c r="AE34" s="422" t="n"/>
      <c r="AF34" s="423" t="n">
        <v>0</v>
      </c>
      <c r="AG34" s="423" t="n">
        <v>0</v>
      </c>
      <c r="AH34" s="423" t="n">
        <v>0</v>
      </c>
      <c r="AI34" s="422">
        <f>SUM(AF34:AH34)</f>
        <v/>
      </c>
      <c r="AJ34" s="422" t="n"/>
    </row>
    <row r="35" outlineLevel="1" s="239">
      <c r="B35" s="1304" t="inlineStr">
        <is>
          <t>Owned</t>
        </is>
      </c>
      <c r="C35" s="423" t="n">
        <v>0</v>
      </c>
      <c r="D35" s="423" t="n">
        <v>0</v>
      </c>
      <c r="E35" s="423" t="n">
        <v>0</v>
      </c>
      <c r="F35" s="423" t="n">
        <v>0</v>
      </c>
      <c r="G35" s="423" t="n">
        <v>0</v>
      </c>
      <c r="H35" s="423" t="n">
        <v>0</v>
      </c>
      <c r="I35" s="423" t="n">
        <v>0</v>
      </c>
      <c r="J35" s="423" t="n">
        <v>0</v>
      </c>
      <c r="K35" s="423" t="n">
        <v>0</v>
      </c>
      <c r="L35" s="423" t="n">
        <v>0</v>
      </c>
      <c r="M35" s="423" t="n">
        <v>0</v>
      </c>
      <c r="N35" s="423" t="n">
        <v>0</v>
      </c>
      <c r="O35" s="423" t="n">
        <v>0</v>
      </c>
      <c r="P35" s="423" t="n">
        <v>0</v>
      </c>
      <c r="Q35" s="423" t="n">
        <v>0</v>
      </c>
      <c r="R35" s="423" t="n">
        <v>0</v>
      </c>
      <c r="S35" s="423" t="n">
        <v>0</v>
      </c>
      <c r="T35" s="423" t="n">
        <v>0</v>
      </c>
      <c r="U35" s="423" t="n">
        <v>0</v>
      </c>
      <c r="V35" s="423" t="n">
        <v>0</v>
      </c>
      <c r="W35" s="423" t="n">
        <v>6</v>
      </c>
      <c r="X35" s="423" t="n">
        <v>9</v>
      </c>
      <c r="Y35" s="423" t="n">
        <v>10</v>
      </c>
      <c r="Z35" s="423" t="n">
        <v>10</v>
      </c>
      <c r="AA35" s="423" t="n">
        <v>11</v>
      </c>
      <c r="AB35" s="423" t="n">
        <v>11</v>
      </c>
      <c r="AC35" s="423" t="n">
        <v>11</v>
      </c>
      <c r="AD35" s="423" t="n"/>
      <c r="AE35" s="422" t="n"/>
      <c r="AF35" s="423" t="n"/>
      <c r="AG35" s="423" t="n"/>
      <c r="AH35" s="423" t="n"/>
      <c r="AI35" s="423" t="n"/>
      <c r="AJ35" s="422" t="n"/>
    </row>
    <row r="36" outlineLevel="1" s="239">
      <c r="B36" s="1304" t="inlineStr">
        <is>
          <t>Leased</t>
        </is>
      </c>
      <c r="C36" s="423" t="n">
        <v>0</v>
      </c>
      <c r="D36" s="423" t="n">
        <v>0</v>
      </c>
      <c r="E36" s="423" t="n">
        <v>0</v>
      </c>
      <c r="F36" s="423" t="n">
        <v>0</v>
      </c>
      <c r="G36" s="423" t="n">
        <v>0</v>
      </c>
      <c r="H36" s="423" t="n">
        <v>0</v>
      </c>
      <c r="I36" s="423" t="n">
        <v>0</v>
      </c>
      <c r="J36" s="423" t="n">
        <v>0</v>
      </c>
      <c r="K36" s="423" t="n">
        <v>0</v>
      </c>
      <c r="L36" s="423" t="n">
        <v>0</v>
      </c>
      <c r="M36" s="423" t="n">
        <v>0</v>
      </c>
      <c r="N36" s="423" t="n">
        <v>0</v>
      </c>
      <c r="O36" s="423" t="n">
        <v>0</v>
      </c>
      <c r="P36" s="423" t="n">
        <v>0</v>
      </c>
      <c r="Q36" s="423" t="n">
        <v>0</v>
      </c>
      <c r="R36" s="423" t="n">
        <v>0</v>
      </c>
      <c r="S36" s="423" t="n">
        <v>0</v>
      </c>
      <c r="T36" s="423" t="n">
        <v>0</v>
      </c>
      <c r="U36" s="423" t="n">
        <v>0</v>
      </c>
      <c r="V36" s="423" t="n">
        <v>0</v>
      </c>
      <c r="W36" s="423" t="n">
        <v>2</v>
      </c>
      <c r="X36" s="423" t="n">
        <v>3</v>
      </c>
      <c r="Y36" s="423" t="n">
        <v>3</v>
      </c>
      <c r="Z36" s="423" t="n">
        <v>5</v>
      </c>
      <c r="AA36" s="423" t="n">
        <v>7</v>
      </c>
      <c r="AB36" s="423" t="n">
        <v>7</v>
      </c>
      <c r="AC36" s="423" t="n">
        <v>7</v>
      </c>
      <c r="AD36" s="423" t="n"/>
      <c r="AE36" s="422" t="n"/>
      <c r="AF36" s="423" t="n"/>
      <c r="AG36" s="423" t="n"/>
      <c r="AH36" s="423" t="n"/>
      <c r="AI36" s="423" t="n"/>
      <c r="AJ36" s="422" t="n"/>
    </row>
    <row r="37">
      <c r="A37" s="1293" t="inlineStr">
        <is>
          <t>W</t>
        </is>
      </c>
      <c r="B37" s="1294" t="inlineStr">
        <is>
          <t>A350-F</t>
        </is>
      </c>
      <c r="C37" s="422">
        <f>SUM(C38:C39)</f>
        <v/>
      </c>
      <c r="D37" s="422">
        <f>SUM(D38:D39)</f>
        <v/>
      </c>
      <c r="E37" s="422">
        <f>SUM(E38:E39)</f>
        <v/>
      </c>
      <c r="F37" s="422">
        <f>SUM(F38:F39)</f>
        <v/>
      </c>
      <c r="G37" s="422">
        <f>SUM(G38:G39)</f>
        <v/>
      </c>
      <c r="H37" s="422">
        <f>SUM(H38:H39)</f>
        <v/>
      </c>
      <c r="I37" s="422">
        <f>SUM(I38:I39)</f>
        <v/>
      </c>
      <c r="J37" s="422">
        <f>SUM(J38:J39)</f>
        <v/>
      </c>
      <c r="K37" s="422">
        <f>SUM(K38:K39)</f>
        <v/>
      </c>
      <c r="L37" s="422">
        <f>SUM(L38:L39)</f>
        <v/>
      </c>
      <c r="M37" s="422">
        <f>SUM(M38:M39)</f>
        <v/>
      </c>
      <c r="N37" s="422">
        <f>SUM(N38:N39)</f>
        <v/>
      </c>
      <c r="O37" s="422">
        <f>SUM(O38:O39)</f>
        <v/>
      </c>
      <c r="P37" s="422">
        <f>SUM(P38:P39)</f>
        <v/>
      </c>
      <c r="Q37" s="422">
        <f>SUM(Q38:Q39)</f>
        <v/>
      </c>
      <c r="R37" s="422">
        <f>SUM(R38:R39)</f>
        <v/>
      </c>
      <c r="S37" s="422">
        <f>SUM(S38:S39)</f>
        <v/>
      </c>
      <c r="T37" s="422">
        <f>SUM(T38:T39)</f>
        <v/>
      </c>
      <c r="U37" s="422">
        <f>SUM(U38:U39)</f>
        <v/>
      </c>
      <c r="V37" s="422">
        <f>SUM(V38:V39)</f>
        <v/>
      </c>
      <c r="W37" s="422">
        <f>SUM(W38:W39)</f>
        <v/>
      </c>
      <c r="X37" s="422">
        <f>SUM(X38:X39)</f>
        <v/>
      </c>
      <c r="Y37" s="422">
        <f>SUM(Y38:Y39)</f>
        <v/>
      </c>
      <c r="Z37" s="422">
        <f>SUM(Z38:Z39)</f>
        <v/>
      </c>
      <c r="AA37" s="422">
        <f>SUM(AA38:AA39)</f>
        <v/>
      </c>
      <c r="AB37" s="422">
        <f>SUM(AB38:AB39)</f>
        <v/>
      </c>
      <c r="AC37" s="422">
        <f>SUM(AC38:AC39)</f>
        <v/>
      </c>
      <c r="AD37" s="422" t="n"/>
      <c r="AE37" s="422" t="n"/>
      <c r="AF37" s="423" t="n">
        <v>0</v>
      </c>
      <c r="AG37" s="423" t="n">
        <v>0</v>
      </c>
      <c r="AH37" s="423" t="n">
        <v>8</v>
      </c>
      <c r="AI37" s="422">
        <f>SUM(AF37:AH37)</f>
        <v/>
      </c>
      <c r="AJ37" s="422" t="n"/>
    </row>
    <row r="38" outlineLevel="1" s="239">
      <c r="B38" s="1304" t="inlineStr">
        <is>
          <t>Owned</t>
        </is>
      </c>
      <c r="C38" s="423" t="n">
        <v>0</v>
      </c>
      <c r="D38" s="423" t="n">
        <v>0</v>
      </c>
      <c r="E38" s="423" t="n">
        <v>0</v>
      </c>
      <c r="F38" s="423" t="n">
        <v>0</v>
      </c>
      <c r="G38" s="423" t="n">
        <v>0</v>
      </c>
      <c r="H38" s="423" t="n">
        <v>0</v>
      </c>
      <c r="I38" s="423" t="n">
        <v>0</v>
      </c>
      <c r="J38" s="423" t="n">
        <v>0</v>
      </c>
      <c r="K38" s="423" t="n">
        <v>0</v>
      </c>
      <c r="L38" s="423" t="n">
        <v>0</v>
      </c>
      <c r="M38" s="423" t="n">
        <v>0</v>
      </c>
      <c r="N38" s="423" t="n">
        <v>0</v>
      </c>
      <c r="O38" s="423" t="n">
        <v>0</v>
      </c>
      <c r="P38" s="423" t="n">
        <v>0</v>
      </c>
      <c r="Q38" s="423" t="n">
        <v>0</v>
      </c>
      <c r="R38" s="423" t="n">
        <v>0</v>
      </c>
      <c r="S38" s="423" t="n">
        <v>0</v>
      </c>
      <c r="T38" s="423" t="n">
        <v>0</v>
      </c>
      <c r="U38" s="423" t="n">
        <v>0</v>
      </c>
      <c r="V38" s="423" t="n">
        <v>0</v>
      </c>
      <c r="W38" s="423" t="n">
        <v>0</v>
      </c>
      <c r="X38" s="423" t="n">
        <v>0</v>
      </c>
      <c r="Y38" s="423" t="n">
        <v>0</v>
      </c>
      <c r="Z38" s="423" t="n">
        <v>0</v>
      </c>
      <c r="AA38" s="423" t="n">
        <v>0</v>
      </c>
      <c r="AB38" s="423" t="n">
        <v>0</v>
      </c>
      <c r="AC38" s="423" t="n">
        <v>0</v>
      </c>
      <c r="AD38" s="423" t="n"/>
      <c r="AE38" s="422" t="n"/>
      <c r="AF38" s="423" t="n"/>
      <c r="AG38" s="423" t="n"/>
      <c r="AH38" s="423" t="n"/>
      <c r="AI38" s="423" t="n"/>
      <c r="AJ38" s="422" t="n"/>
    </row>
    <row r="39" outlineLevel="1" s="239">
      <c r="B39" s="1304" t="inlineStr">
        <is>
          <t>Leased</t>
        </is>
      </c>
      <c r="C39" s="423" t="n">
        <v>0</v>
      </c>
      <c r="D39" s="423" t="n">
        <v>0</v>
      </c>
      <c r="E39" s="423" t="n">
        <v>0</v>
      </c>
      <c r="F39" s="423" t="n">
        <v>0</v>
      </c>
      <c r="G39" s="423" t="n">
        <v>0</v>
      </c>
      <c r="H39" s="423" t="n">
        <v>0</v>
      </c>
      <c r="I39" s="423" t="n">
        <v>0</v>
      </c>
      <c r="J39" s="423" t="n">
        <v>0</v>
      </c>
      <c r="K39" s="423" t="n">
        <v>0</v>
      </c>
      <c r="L39" s="423" t="n">
        <v>0</v>
      </c>
      <c r="M39" s="423" t="n">
        <v>0</v>
      </c>
      <c r="N39" s="423" t="n">
        <v>0</v>
      </c>
      <c r="O39" s="423" t="n">
        <v>0</v>
      </c>
      <c r="P39" s="423" t="n">
        <v>0</v>
      </c>
      <c r="Q39" s="423" t="n">
        <v>0</v>
      </c>
      <c r="R39" s="423" t="n">
        <v>0</v>
      </c>
      <c r="S39" s="423" t="n">
        <v>0</v>
      </c>
      <c r="T39" s="423" t="n">
        <v>0</v>
      </c>
      <c r="U39" s="423" t="n">
        <v>0</v>
      </c>
      <c r="V39" s="423" t="n">
        <v>0</v>
      </c>
      <c r="W39" s="423" t="n">
        <v>0</v>
      </c>
      <c r="X39" s="423" t="n">
        <v>0</v>
      </c>
      <c r="Y39" s="423" t="n">
        <v>0</v>
      </c>
      <c r="Z39" s="423" t="n">
        <v>0</v>
      </c>
      <c r="AA39" s="423" t="n">
        <v>0</v>
      </c>
      <c r="AB39" s="423" t="n">
        <v>0</v>
      </c>
      <c r="AC39" s="423" t="n">
        <v>0</v>
      </c>
      <c r="AD39" s="423" t="n"/>
      <c r="AE39" s="422" t="n"/>
      <c r="AF39" s="423" t="n"/>
      <c r="AG39" s="423" t="n"/>
      <c r="AH39" s="423" t="n"/>
      <c r="AI39" s="423" t="n"/>
      <c r="AJ39" s="422" t="n"/>
    </row>
    <row r="40">
      <c r="A40" s="1293" t="inlineStr">
        <is>
          <t>W</t>
        </is>
      </c>
      <c r="B40" s="1294" t="inlineStr">
        <is>
          <t>747-200</t>
        </is>
      </c>
      <c r="C40" s="422">
        <f>SUM(C41:C42)</f>
        <v/>
      </c>
      <c r="D40" s="422">
        <f>SUM(D41:D42)</f>
        <v/>
      </c>
      <c r="E40" s="422">
        <f>SUM(E41:E42)</f>
        <v/>
      </c>
      <c r="F40" s="422">
        <f>SUM(F41:F42)</f>
        <v/>
      </c>
      <c r="G40" s="422">
        <f>SUM(G41:G42)</f>
        <v/>
      </c>
      <c r="H40" s="422">
        <f>SUM(H41:H42)</f>
        <v/>
      </c>
      <c r="I40" s="422">
        <f>SUM(I41:I42)</f>
        <v/>
      </c>
      <c r="J40" s="422">
        <f>SUM(J41:J42)</f>
        <v/>
      </c>
      <c r="K40" s="422">
        <f>SUM(K41:K42)</f>
        <v/>
      </c>
      <c r="L40" s="422">
        <f>SUM(L41:L42)</f>
        <v/>
      </c>
      <c r="M40" s="422">
        <f>SUM(M41:M42)</f>
        <v/>
      </c>
      <c r="N40" s="422">
        <f>SUM(N41:N42)</f>
        <v/>
      </c>
      <c r="O40" s="422">
        <f>SUM(O41:O42)</f>
        <v/>
      </c>
      <c r="P40" s="422">
        <f>SUM(P41:P42)</f>
        <v/>
      </c>
      <c r="Q40" s="422">
        <f>SUM(Q41:Q42)</f>
        <v/>
      </c>
      <c r="R40" s="422">
        <f>SUM(R41:R42)</f>
        <v/>
      </c>
      <c r="S40" s="422">
        <f>SUM(S41:S42)</f>
        <v/>
      </c>
      <c r="T40" s="422">
        <f>SUM(T41:T42)</f>
        <v/>
      </c>
      <c r="U40" s="422">
        <f>SUM(U41:U42)</f>
        <v/>
      </c>
      <c r="V40" s="422">
        <f>SUM(V41:V42)</f>
        <v/>
      </c>
      <c r="W40" s="422">
        <f>SUM(W41:W42)</f>
        <v/>
      </c>
      <c r="X40" s="422">
        <f>SUM(X41:X42)</f>
        <v/>
      </c>
      <c r="Y40" s="422">
        <f>SUM(Y41:Y42)</f>
        <v/>
      </c>
      <c r="Z40" s="422">
        <f>SUM(Z41:Z42)</f>
        <v/>
      </c>
      <c r="AA40" s="422">
        <f>SUM(AA41:AA42)</f>
        <v/>
      </c>
      <c r="AB40" s="422">
        <f>SUM(AB41:AB42)</f>
        <v/>
      </c>
      <c r="AC40" s="422">
        <f>SUM(AC41:AC42)</f>
        <v/>
      </c>
      <c r="AD40" s="422" t="n"/>
      <c r="AE40" s="422" t="n"/>
      <c r="AF40" s="423" t="n">
        <v>0</v>
      </c>
      <c r="AG40" s="423" t="n">
        <v>0</v>
      </c>
      <c r="AH40" s="423" t="n">
        <v>0</v>
      </c>
      <c r="AI40" s="422">
        <f>SUM(AF40:AH40)</f>
        <v/>
      </c>
      <c r="AJ40" s="422" t="n"/>
    </row>
    <row r="41" outlineLevel="1" s="239">
      <c r="B41" s="1304" t="inlineStr">
        <is>
          <t>Owned</t>
        </is>
      </c>
      <c r="C41" s="423" t="n">
        <v>7</v>
      </c>
      <c r="D41" s="423" t="n">
        <v>6</v>
      </c>
      <c r="E41" s="423" t="n">
        <v>2</v>
      </c>
      <c r="F41" s="423" t="n">
        <v>0</v>
      </c>
      <c r="G41" s="423" t="n">
        <v>0</v>
      </c>
      <c r="H41" s="423" t="n">
        <v>0</v>
      </c>
      <c r="I41" s="423" t="n">
        <v>0</v>
      </c>
      <c r="J41" s="423" t="n">
        <v>0</v>
      </c>
      <c r="K41" s="423" t="n">
        <v>0</v>
      </c>
      <c r="L41" s="423" t="n">
        <v>0</v>
      </c>
      <c r="M41" s="423" t="n">
        <v>0</v>
      </c>
      <c r="N41" s="423" t="n">
        <v>0</v>
      </c>
      <c r="O41" s="423" t="n">
        <v>0</v>
      </c>
      <c r="P41" s="423" t="n">
        <v>0</v>
      </c>
      <c r="Q41" s="423" t="n">
        <v>0</v>
      </c>
      <c r="R41" s="423" t="n">
        <v>0</v>
      </c>
      <c r="S41" s="423" t="n">
        <v>0</v>
      </c>
      <c r="T41" s="423" t="n">
        <v>0</v>
      </c>
      <c r="U41" s="423" t="n">
        <v>0</v>
      </c>
      <c r="V41" s="423" t="n">
        <v>0</v>
      </c>
      <c r="W41" s="423" t="n">
        <v>0</v>
      </c>
      <c r="X41" s="423" t="n">
        <v>0</v>
      </c>
      <c r="Y41" s="423" t="n">
        <v>0</v>
      </c>
      <c r="Z41" s="423" t="n">
        <v>0</v>
      </c>
      <c r="AA41" s="423" t="n">
        <v>0</v>
      </c>
      <c r="AB41" s="423" t="n">
        <v>0</v>
      </c>
      <c r="AC41" s="423" t="n">
        <v>0</v>
      </c>
      <c r="AD41" s="423" t="n"/>
      <c r="AE41" s="422" t="n"/>
      <c r="AF41" s="423" t="n"/>
      <c r="AG41" s="423" t="n"/>
      <c r="AH41" s="423" t="n"/>
      <c r="AI41" s="423" t="n"/>
      <c r="AJ41" s="422" t="n"/>
    </row>
    <row r="42" outlineLevel="1" s="239">
      <c r="B42" s="1304" t="inlineStr">
        <is>
          <t>Leased</t>
        </is>
      </c>
      <c r="C42" s="423" t="n">
        <v>0</v>
      </c>
      <c r="D42" s="423" t="n">
        <v>0</v>
      </c>
      <c r="E42" s="423" t="n">
        <v>0</v>
      </c>
      <c r="F42" s="423" t="n">
        <v>0</v>
      </c>
      <c r="G42" s="423" t="n">
        <v>0</v>
      </c>
      <c r="H42" s="423" t="n">
        <v>0</v>
      </c>
      <c r="I42" s="423" t="n">
        <v>0</v>
      </c>
      <c r="J42" s="423" t="n">
        <v>0</v>
      </c>
      <c r="K42" s="423" t="n">
        <v>0</v>
      </c>
      <c r="L42" s="423" t="n">
        <v>0</v>
      </c>
      <c r="M42" s="423" t="n">
        <v>0</v>
      </c>
      <c r="N42" s="423" t="n">
        <v>0</v>
      </c>
      <c r="O42" s="423" t="n">
        <v>0</v>
      </c>
      <c r="P42" s="423" t="n">
        <v>0</v>
      </c>
      <c r="Q42" s="423" t="n">
        <v>0</v>
      </c>
      <c r="R42" s="423" t="n">
        <v>0</v>
      </c>
      <c r="S42" s="423" t="n">
        <v>0</v>
      </c>
      <c r="T42" s="423" t="n">
        <v>0</v>
      </c>
      <c r="U42" s="423" t="n">
        <v>0</v>
      </c>
      <c r="V42" s="423" t="n">
        <v>0</v>
      </c>
      <c r="W42" s="423" t="n">
        <v>0</v>
      </c>
      <c r="X42" s="423" t="n">
        <v>0</v>
      </c>
      <c r="Y42" s="423" t="n">
        <v>0</v>
      </c>
      <c r="Z42" s="423" t="n">
        <v>0</v>
      </c>
      <c r="AA42" s="423" t="n">
        <v>0</v>
      </c>
      <c r="AB42" s="423" t="n">
        <v>0</v>
      </c>
      <c r="AC42" s="423" t="n">
        <v>0</v>
      </c>
      <c r="AD42" s="423" t="n"/>
      <c r="AE42" s="422" t="n"/>
      <c r="AF42" s="423" t="n"/>
      <c r="AG42" s="423" t="n"/>
      <c r="AH42" s="423" t="n"/>
      <c r="AI42" s="423" t="n"/>
      <c r="AJ42" s="422" t="n"/>
    </row>
    <row r="43">
      <c r="A43" s="1293" t="inlineStr">
        <is>
          <t>W</t>
        </is>
      </c>
      <c r="B43" s="1294" t="inlineStr">
        <is>
          <t>747-300</t>
        </is>
      </c>
      <c r="C43" s="422">
        <f>SUM(C44:C45)</f>
        <v/>
      </c>
      <c r="D43" s="422">
        <f>SUM(D44:D45)</f>
        <v/>
      </c>
      <c r="E43" s="422">
        <f>SUM(E44:E45)</f>
        <v/>
      </c>
      <c r="F43" s="422">
        <f>SUM(F44:F45)</f>
        <v/>
      </c>
      <c r="G43" s="422">
        <f>SUM(G44:G45)</f>
        <v/>
      </c>
      <c r="H43" s="422">
        <f>SUM(H44:H45)</f>
        <v/>
      </c>
      <c r="I43" s="422">
        <f>SUM(I44:I45)</f>
        <v/>
      </c>
      <c r="J43" s="422">
        <f>SUM(J44:J45)</f>
        <v/>
      </c>
      <c r="K43" s="422">
        <f>SUM(K44:K45)</f>
        <v/>
      </c>
      <c r="L43" s="422">
        <f>SUM(L44:L45)</f>
        <v/>
      </c>
      <c r="M43" s="422">
        <f>SUM(M44:M45)</f>
        <v/>
      </c>
      <c r="N43" s="422">
        <f>SUM(N44:N45)</f>
        <v/>
      </c>
      <c r="O43" s="422">
        <f>SUM(O44:O45)</f>
        <v/>
      </c>
      <c r="P43" s="422">
        <f>SUM(P44:P45)</f>
        <v/>
      </c>
      <c r="Q43" s="422">
        <f>SUM(Q44:Q45)</f>
        <v/>
      </c>
      <c r="R43" s="422">
        <f>SUM(R44:R45)</f>
        <v/>
      </c>
      <c r="S43" s="422">
        <f>SUM(S44:S45)</f>
        <v/>
      </c>
      <c r="T43" s="422">
        <f>SUM(T44:T45)</f>
        <v/>
      </c>
      <c r="U43" s="422">
        <f>SUM(U44:U45)</f>
        <v/>
      </c>
      <c r="V43" s="422">
        <f>SUM(V44:V45)</f>
        <v/>
      </c>
      <c r="W43" s="422">
        <f>SUM(W44:W45)</f>
        <v/>
      </c>
      <c r="X43" s="422">
        <f>SUM(X44:X45)</f>
        <v/>
      </c>
      <c r="Y43" s="422">
        <f>SUM(Y44:Y45)</f>
        <v/>
      </c>
      <c r="Z43" s="422">
        <f>SUM(Z44:Z45)</f>
        <v/>
      </c>
      <c r="AA43" s="422">
        <f>SUM(AA44:AA45)</f>
        <v/>
      </c>
      <c r="AB43" s="422">
        <f>SUM(AB44:AB45)</f>
        <v/>
      </c>
      <c r="AC43" s="422">
        <f>SUM(AC44:AC45)</f>
        <v/>
      </c>
      <c r="AD43" s="422" t="n"/>
      <c r="AE43" s="422" t="n"/>
      <c r="AF43" s="423" t="n">
        <v>0</v>
      </c>
      <c r="AG43" s="423" t="n">
        <v>0</v>
      </c>
      <c r="AH43" s="423" t="n">
        <v>0</v>
      </c>
      <c r="AI43" s="422">
        <f>SUM(AF43:AH43)</f>
        <v/>
      </c>
      <c r="AJ43" s="422" t="n"/>
    </row>
    <row r="44" outlineLevel="1" s="239">
      <c r="B44" s="1304" t="inlineStr">
        <is>
          <t>Owned</t>
        </is>
      </c>
      <c r="C44" s="423" t="n">
        <v>1</v>
      </c>
      <c r="D44" s="423" t="n">
        <v>1</v>
      </c>
      <c r="E44" s="423" t="n">
        <v>2</v>
      </c>
      <c r="F44" s="423" t="n">
        <v>6</v>
      </c>
      <c r="G44" s="423" t="n">
        <v>0</v>
      </c>
      <c r="H44" s="423" t="n">
        <v>0</v>
      </c>
      <c r="I44" s="423" t="n">
        <v>0</v>
      </c>
      <c r="J44" s="423" t="n">
        <v>0</v>
      </c>
      <c r="K44" s="423" t="n">
        <v>0</v>
      </c>
      <c r="L44" s="423" t="n">
        <v>0</v>
      </c>
      <c r="M44" s="423" t="n">
        <v>0</v>
      </c>
      <c r="N44" s="423" t="n">
        <v>0</v>
      </c>
      <c r="O44" s="423" t="n">
        <v>0</v>
      </c>
      <c r="P44" s="423" t="n">
        <v>0</v>
      </c>
      <c r="Q44" s="423" t="n">
        <v>0</v>
      </c>
      <c r="R44" s="423" t="n">
        <v>0</v>
      </c>
      <c r="S44" s="423" t="n">
        <v>0</v>
      </c>
      <c r="T44" s="423" t="n">
        <v>0</v>
      </c>
      <c r="U44" s="423" t="n">
        <v>0</v>
      </c>
      <c r="V44" s="423" t="n">
        <v>0</v>
      </c>
      <c r="W44" s="423" t="n">
        <v>0</v>
      </c>
      <c r="X44" s="423" t="n">
        <v>0</v>
      </c>
      <c r="Y44" s="423" t="n">
        <v>0</v>
      </c>
      <c r="Z44" s="423" t="n">
        <v>0</v>
      </c>
      <c r="AA44" s="423" t="n">
        <v>0</v>
      </c>
      <c r="AB44" s="423" t="n">
        <v>0</v>
      </c>
      <c r="AC44" s="423" t="n">
        <v>0</v>
      </c>
      <c r="AD44" s="423" t="n"/>
      <c r="AE44" s="422" t="n"/>
      <c r="AF44" s="423" t="n"/>
      <c r="AG44" s="423" t="n"/>
      <c r="AH44" s="423" t="n"/>
      <c r="AI44" s="423" t="n"/>
      <c r="AJ44" s="422" t="n"/>
    </row>
    <row r="45" outlineLevel="1" s="239">
      <c r="B45" s="1304" t="inlineStr">
        <is>
          <t>Leased</t>
        </is>
      </c>
      <c r="C45" s="423" t="n">
        <v>5</v>
      </c>
      <c r="D45" s="423" t="n">
        <v>5</v>
      </c>
      <c r="E45" s="423" t="n">
        <v>4</v>
      </c>
      <c r="F45" s="423" t="n">
        <v>0</v>
      </c>
      <c r="G45" s="423" t="n">
        <v>0</v>
      </c>
      <c r="H45" s="423" t="n">
        <v>0</v>
      </c>
      <c r="I45" s="423" t="n">
        <v>0</v>
      </c>
      <c r="J45" s="423" t="n">
        <v>0</v>
      </c>
      <c r="K45" s="423" t="n">
        <v>0</v>
      </c>
      <c r="L45" s="423" t="n">
        <v>0</v>
      </c>
      <c r="M45" s="423" t="n">
        <v>0</v>
      </c>
      <c r="N45" s="423" t="n">
        <v>0</v>
      </c>
      <c r="O45" s="423" t="n">
        <v>0</v>
      </c>
      <c r="P45" s="423" t="n">
        <v>0</v>
      </c>
      <c r="Q45" s="423" t="n">
        <v>0</v>
      </c>
      <c r="R45" s="423" t="n">
        <v>0</v>
      </c>
      <c r="S45" s="423" t="n">
        <v>0</v>
      </c>
      <c r="T45" s="423" t="n">
        <v>0</v>
      </c>
      <c r="U45" s="423" t="n">
        <v>0</v>
      </c>
      <c r="V45" s="423" t="n">
        <v>0</v>
      </c>
      <c r="W45" s="423" t="n">
        <v>0</v>
      </c>
      <c r="X45" s="423" t="n">
        <v>0</v>
      </c>
      <c r="Y45" s="423" t="n">
        <v>0</v>
      </c>
      <c r="Z45" s="423" t="n">
        <v>0</v>
      </c>
      <c r="AA45" s="423" t="n">
        <v>0</v>
      </c>
      <c r="AB45" s="423" t="n">
        <v>0</v>
      </c>
      <c r="AC45" s="423" t="n">
        <v>0</v>
      </c>
      <c r="AD45" s="423" t="n"/>
      <c r="AE45" s="422" t="n"/>
      <c r="AF45" s="423" t="n"/>
      <c r="AG45" s="423" t="n"/>
      <c r="AH45" s="423" t="n"/>
      <c r="AI45" s="423" t="n"/>
      <c r="AJ45" s="422" t="n"/>
    </row>
    <row r="46">
      <c r="A46" s="1293" t="inlineStr">
        <is>
          <t>W</t>
        </is>
      </c>
      <c r="B46" s="1294" t="inlineStr">
        <is>
          <t>747-400</t>
        </is>
      </c>
      <c r="C46" s="422">
        <f>SUM(C47:C48)</f>
        <v/>
      </c>
      <c r="D46" s="422">
        <f>SUM(D47:D48)</f>
        <v/>
      </c>
      <c r="E46" s="422">
        <f>SUM(E47:E48)</f>
        <v/>
      </c>
      <c r="F46" s="422">
        <f>SUM(F47:F48)</f>
        <v/>
      </c>
      <c r="G46" s="422">
        <f>SUM(G47:G48)</f>
        <v/>
      </c>
      <c r="H46" s="422">
        <f>SUM(H47:H48)</f>
        <v/>
      </c>
      <c r="I46" s="422">
        <f>SUM(I47:I48)</f>
        <v/>
      </c>
      <c r="J46" s="422">
        <f>SUM(J47:J48)</f>
        <v/>
      </c>
      <c r="K46" s="422">
        <f>SUM(K47:K48)</f>
        <v/>
      </c>
      <c r="L46" s="422">
        <f>SUM(L47:L48)</f>
        <v/>
      </c>
      <c r="M46" s="422">
        <f>SUM(M47:M48)</f>
        <v/>
      </c>
      <c r="N46" s="422">
        <f>SUM(N47:N48)</f>
        <v/>
      </c>
      <c r="O46" s="422">
        <f>SUM(O47:O48)</f>
        <v/>
      </c>
      <c r="P46" s="422">
        <f>SUM(P47:P48)</f>
        <v/>
      </c>
      <c r="Q46" s="422">
        <f>SUM(Q47:Q48)</f>
        <v/>
      </c>
      <c r="R46" s="422">
        <f>SUM(R47:R48)</f>
        <v/>
      </c>
      <c r="S46" s="422">
        <f>SUM(S47:S48)</f>
        <v/>
      </c>
      <c r="T46" s="422">
        <f>SUM(T47:T48)</f>
        <v/>
      </c>
      <c r="U46" s="422">
        <f>SUM(U47:U48)</f>
        <v/>
      </c>
      <c r="V46" s="422">
        <f>SUM(V47:V48)</f>
        <v/>
      </c>
      <c r="W46" s="422">
        <f>SUM(W47:W48)</f>
        <v/>
      </c>
      <c r="X46" s="422">
        <f>SUM(X47:X48)</f>
        <v/>
      </c>
      <c r="Y46" s="422">
        <f>SUM(Y47:Y48)</f>
        <v/>
      </c>
      <c r="Z46" s="422">
        <f>SUM(Z47:Z48)</f>
        <v/>
      </c>
      <c r="AA46" s="422">
        <f>SUM(AA47:AA48)</f>
        <v/>
      </c>
      <c r="AB46" s="422">
        <f>SUM(AB47:AB48)</f>
        <v/>
      </c>
      <c r="AC46" s="422">
        <f>SUM(AC47:AC48)</f>
        <v/>
      </c>
      <c r="AD46" s="422" t="n"/>
      <c r="AE46" s="422" t="n"/>
      <c r="AF46" s="423" t="n">
        <v>0</v>
      </c>
      <c r="AG46" s="423" t="n">
        <v>0</v>
      </c>
      <c r="AH46" s="423" t="n">
        <v>0</v>
      </c>
      <c r="AI46" s="422">
        <f>SUM(AF46:AH46)</f>
        <v/>
      </c>
      <c r="AJ46" s="422" t="n"/>
    </row>
    <row r="47" outlineLevel="1" s="239">
      <c r="B47" s="1304" t="inlineStr">
        <is>
          <t>Owned</t>
        </is>
      </c>
      <c r="C47" s="423" t="n">
        <v>1</v>
      </c>
      <c r="D47" s="423">
        <f>2</f>
        <v/>
      </c>
      <c r="E47" s="423" t="n">
        <v>2</v>
      </c>
      <c r="F47" s="423">
        <f>2</f>
        <v/>
      </c>
      <c r="G47" s="423">
        <f>8</f>
        <v/>
      </c>
      <c r="H47" s="423" t="n">
        <v>11</v>
      </c>
      <c r="I47" s="423" t="n">
        <v>14</v>
      </c>
      <c r="J47" s="423" t="n">
        <v>19</v>
      </c>
      <c r="K47" s="423" t="n">
        <v>18</v>
      </c>
      <c r="L47" s="423" t="n">
        <v>18</v>
      </c>
      <c r="M47" s="423" t="n">
        <v>17</v>
      </c>
      <c r="N47" s="423" t="n">
        <v>17</v>
      </c>
      <c r="O47" s="423" t="n">
        <v>17</v>
      </c>
      <c r="P47" s="423" t="n">
        <v>16</v>
      </c>
      <c r="Q47" s="423" t="n">
        <v>17</v>
      </c>
      <c r="R47" s="423" t="n">
        <v>12</v>
      </c>
      <c r="S47" s="423" t="n">
        <v>6</v>
      </c>
      <c r="T47" s="423" t="n">
        <v>3</v>
      </c>
      <c r="U47" s="423" t="n">
        <v>0</v>
      </c>
      <c r="V47" s="423" t="n">
        <v>0</v>
      </c>
      <c r="W47" s="423" t="n">
        <v>0</v>
      </c>
      <c r="X47" s="423" t="n">
        <v>0</v>
      </c>
      <c r="Y47" s="423" t="n">
        <v>0</v>
      </c>
      <c r="Z47" s="423" t="n">
        <v>0</v>
      </c>
      <c r="AA47" s="423" t="n">
        <v>0</v>
      </c>
      <c r="AB47" s="423" t="n">
        <v>0</v>
      </c>
      <c r="AC47" s="423" t="n">
        <v>0</v>
      </c>
      <c r="AD47" s="423" t="n"/>
      <c r="AE47" s="422" t="n"/>
      <c r="AF47" s="423" t="n"/>
      <c r="AG47" s="423" t="n"/>
      <c r="AH47" s="423" t="n"/>
      <c r="AI47" s="423" t="n"/>
      <c r="AJ47" s="422" t="n"/>
    </row>
    <row r="48" outlineLevel="1" s="239">
      <c r="B48" s="1304" t="inlineStr">
        <is>
          <t>Leased</t>
        </is>
      </c>
      <c r="C48" s="423" t="n">
        <v>18</v>
      </c>
      <c r="D48" s="423">
        <f>17</f>
        <v/>
      </c>
      <c r="E48" s="423" t="n">
        <v>17</v>
      </c>
      <c r="F48" s="423">
        <f>17</f>
        <v/>
      </c>
      <c r="G48" s="423">
        <f>11</f>
        <v/>
      </c>
      <c r="H48" s="423" t="n">
        <v>8</v>
      </c>
      <c r="I48" s="423" t="n">
        <v>7</v>
      </c>
      <c r="J48" s="423" t="n">
        <v>3</v>
      </c>
      <c r="K48" s="423" t="n">
        <v>4</v>
      </c>
      <c r="L48" s="423" t="n">
        <v>6</v>
      </c>
      <c r="M48" s="423" t="n">
        <v>6</v>
      </c>
      <c r="N48" s="423" t="n">
        <v>6</v>
      </c>
      <c r="O48" s="423" t="n">
        <v>5</v>
      </c>
      <c r="P48" s="423" t="n">
        <v>5</v>
      </c>
      <c r="Q48" s="423" t="n">
        <v>1</v>
      </c>
      <c r="R48" s="423" t="n">
        <v>1</v>
      </c>
      <c r="S48" s="423" t="n">
        <v>1</v>
      </c>
      <c r="T48" s="423" t="n">
        <v>0</v>
      </c>
      <c r="U48" s="423" t="n">
        <v>0</v>
      </c>
      <c r="V48" s="423" t="n">
        <v>0</v>
      </c>
      <c r="W48" s="423" t="n">
        <v>0</v>
      </c>
      <c r="X48" s="423" t="n">
        <v>0</v>
      </c>
      <c r="Y48" s="423" t="n">
        <v>0</v>
      </c>
      <c r="Z48" s="423" t="n">
        <v>0</v>
      </c>
      <c r="AA48" s="423" t="n">
        <v>0</v>
      </c>
      <c r="AB48" s="423" t="n">
        <v>0</v>
      </c>
      <c r="AC48" s="423" t="n">
        <v>0</v>
      </c>
      <c r="AD48" s="423" t="n"/>
      <c r="AE48" s="422" t="n"/>
      <c r="AF48" s="423" t="n"/>
      <c r="AG48" s="423" t="n"/>
      <c r="AH48" s="423" t="n"/>
      <c r="AI48" s="423" t="n"/>
      <c r="AJ48" s="422" t="n"/>
    </row>
    <row r="49">
      <c r="A49" s="1293" t="inlineStr">
        <is>
          <t>F</t>
        </is>
      </c>
      <c r="B49" s="1294" t="inlineStr">
        <is>
          <t>747-200F</t>
        </is>
      </c>
      <c r="C49" s="422">
        <f>SUM(C50:C51)</f>
        <v/>
      </c>
      <c r="D49" s="422">
        <f>SUM(D50:D51)</f>
        <v/>
      </c>
      <c r="E49" s="422">
        <f>SUM(E50:E51)</f>
        <v/>
      </c>
      <c r="F49" s="422">
        <f>SUM(F50:F51)</f>
        <v/>
      </c>
      <c r="G49" s="422">
        <f>SUM(G50:G51)</f>
        <v/>
      </c>
      <c r="H49" s="422">
        <f>SUM(H50:H51)</f>
        <v/>
      </c>
      <c r="I49" s="422">
        <f>SUM(I50:I51)</f>
        <v/>
      </c>
      <c r="J49" s="422">
        <f>SUM(J50:J51)</f>
        <v/>
      </c>
      <c r="K49" s="422">
        <f>SUM(K50:K51)</f>
        <v/>
      </c>
      <c r="L49" s="422">
        <f>SUM(L50:L51)</f>
        <v/>
      </c>
      <c r="M49" s="422">
        <f>SUM(M50:M51)</f>
        <v/>
      </c>
      <c r="N49" s="422">
        <f>SUM(N50:N51)</f>
        <v/>
      </c>
      <c r="O49" s="422">
        <f>SUM(O50:O51)</f>
        <v/>
      </c>
      <c r="P49" s="422">
        <f>SUM(P50:P51)</f>
        <v/>
      </c>
      <c r="Q49" s="422">
        <f>SUM(Q50:Q51)</f>
        <v/>
      </c>
      <c r="R49" s="422">
        <f>SUM(R50:R51)</f>
        <v/>
      </c>
      <c r="S49" s="422">
        <f>SUM(S50:S51)</f>
        <v/>
      </c>
      <c r="T49" s="422">
        <f>SUM(T50:T51)</f>
        <v/>
      </c>
      <c r="U49" s="422">
        <f>SUM(U50:U51)</f>
        <v/>
      </c>
      <c r="V49" s="422">
        <f>SUM(V50:V51)</f>
        <v/>
      </c>
      <c r="W49" s="422">
        <f>SUM(W50:W51)</f>
        <v/>
      </c>
      <c r="X49" s="422">
        <f>SUM(X50:X51)</f>
        <v/>
      </c>
      <c r="Y49" s="422">
        <f>SUM(Y50:Y51)</f>
        <v/>
      </c>
      <c r="Z49" s="422">
        <f>SUM(Z50:Z51)</f>
        <v/>
      </c>
      <c r="AA49" s="422">
        <f>SUM(AA50:AA51)</f>
        <v/>
      </c>
      <c r="AB49" s="422">
        <f>SUM(AB50:AB51)</f>
        <v/>
      </c>
      <c r="AC49" s="422">
        <f>SUM(AC50:AC51)</f>
        <v/>
      </c>
      <c r="AD49" s="422" t="n"/>
      <c r="AE49" s="422" t="n"/>
      <c r="AF49" s="423" t="n">
        <v>0</v>
      </c>
      <c r="AG49" s="423" t="n">
        <v>0</v>
      </c>
      <c r="AH49" s="423" t="n">
        <v>0</v>
      </c>
      <c r="AI49" s="422">
        <f>SUM(AF49:AH49)</f>
        <v/>
      </c>
      <c r="AJ49" s="422" t="n"/>
    </row>
    <row r="50" outlineLevel="1" s="239">
      <c r="B50" s="1304" t="inlineStr">
        <is>
          <t>Owned</t>
        </is>
      </c>
      <c r="C50" s="423" t="n">
        <v>3</v>
      </c>
      <c r="D50" s="423">
        <f>3</f>
        <v/>
      </c>
      <c r="E50" s="423" t="n">
        <v>3</v>
      </c>
      <c r="F50" s="423" t="n">
        <v>3</v>
      </c>
      <c r="G50" s="423">
        <f>4</f>
        <v/>
      </c>
      <c r="H50" s="423" t="n">
        <v>4</v>
      </c>
      <c r="I50" s="423">
        <f>1+4</f>
        <v/>
      </c>
      <c r="J50" s="423">
        <f>4+1</f>
        <v/>
      </c>
      <c r="K50" s="423" t="n">
        <v>5</v>
      </c>
      <c r="L50" s="423">
        <f>7+1</f>
        <v/>
      </c>
      <c r="M50" s="423">
        <f>5+1</f>
        <v/>
      </c>
      <c r="N50" s="423" t="n">
        <v>0</v>
      </c>
      <c r="O50" s="423" t="n">
        <v>0</v>
      </c>
      <c r="P50" s="423" t="n">
        <v>0</v>
      </c>
      <c r="Q50" s="423" t="n">
        <v>0</v>
      </c>
      <c r="R50" s="423" t="n">
        <v>0</v>
      </c>
      <c r="S50" s="423" t="n">
        <v>0</v>
      </c>
      <c r="T50" s="423" t="n">
        <v>0</v>
      </c>
      <c r="U50" s="423" t="n">
        <v>0</v>
      </c>
      <c r="V50" s="423" t="n">
        <v>0</v>
      </c>
      <c r="W50" s="423" t="n">
        <v>0</v>
      </c>
      <c r="X50" s="423" t="n">
        <v>0</v>
      </c>
      <c r="Y50" s="423" t="n">
        <v>0</v>
      </c>
      <c r="Z50" s="423" t="n">
        <v>0</v>
      </c>
      <c r="AA50" s="423" t="n">
        <v>0</v>
      </c>
      <c r="AB50" s="423" t="n">
        <v>0</v>
      </c>
      <c r="AC50" s="423" t="n">
        <v>0</v>
      </c>
      <c r="AD50" s="423" t="n"/>
      <c r="AE50" s="422" t="n"/>
      <c r="AF50" s="423" t="n"/>
      <c r="AG50" s="423" t="n"/>
      <c r="AH50" s="423" t="n"/>
      <c r="AI50" s="423" t="n"/>
      <c r="AJ50" s="422" t="n"/>
    </row>
    <row r="51" outlineLevel="1" s="239">
      <c r="B51" s="1304" t="inlineStr">
        <is>
          <t>Leased</t>
        </is>
      </c>
      <c r="C51" s="423" t="n">
        <v>4</v>
      </c>
      <c r="D51" s="423">
        <f>1+3</f>
        <v/>
      </c>
      <c r="E51" s="423">
        <f>1+3</f>
        <v/>
      </c>
      <c r="F51" s="423">
        <f>1+3</f>
        <v/>
      </c>
      <c r="G51" s="423">
        <f>2+1</f>
        <v/>
      </c>
      <c r="H51" s="423">
        <f>2+1</f>
        <v/>
      </c>
      <c r="I51" s="423" t="n">
        <v>3</v>
      </c>
      <c r="J51" s="423" t="n">
        <v>3</v>
      </c>
      <c r="K51" s="423" t="n">
        <v>3</v>
      </c>
      <c r="L51" s="423" t="n">
        <v>0</v>
      </c>
      <c r="M51" s="423" t="n">
        <v>0</v>
      </c>
      <c r="N51" s="423" t="n">
        <v>0</v>
      </c>
      <c r="O51" s="423" t="n">
        <v>0</v>
      </c>
      <c r="P51" s="423" t="n">
        <v>0</v>
      </c>
      <c r="Q51" s="423" t="n">
        <v>0</v>
      </c>
      <c r="R51" s="423" t="n">
        <v>0</v>
      </c>
      <c r="S51" s="423" t="n">
        <v>0</v>
      </c>
      <c r="T51" s="423" t="n">
        <v>0</v>
      </c>
      <c r="U51" s="423" t="n">
        <v>0</v>
      </c>
      <c r="V51" s="423" t="n">
        <v>0</v>
      </c>
      <c r="W51" s="423" t="n">
        <v>0</v>
      </c>
      <c r="X51" s="423" t="n">
        <v>0</v>
      </c>
      <c r="Y51" s="423" t="n">
        <v>0</v>
      </c>
      <c r="Z51" s="423" t="n">
        <v>0</v>
      </c>
      <c r="AA51" s="423" t="n">
        <v>0</v>
      </c>
      <c r="AB51" s="423" t="n">
        <v>0</v>
      </c>
      <c r="AC51" s="423" t="n">
        <v>0</v>
      </c>
      <c r="AD51" s="423" t="n"/>
      <c r="AE51" s="422" t="n"/>
      <c r="AF51" s="423" t="n"/>
      <c r="AG51" s="423" t="n"/>
      <c r="AH51" s="423" t="n"/>
      <c r="AI51" s="423" t="n"/>
      <c r="AJ51" s="422" t="n"/>
    </row>
    <row r="52">
      <c r="A52" s="1293" t="inlineStr">
        <is>
          <t>F</t>
        </is>
      </c>
      <c r="B52" s="1294" t="inlineStr">
        <is>
          <t>747-300F/SF</t>
        </is>
      </c>
      <c r="C52" s="422">
        <f>SUM(C53:C54)</f>
        <v/>
      </c>
      <c r="D52" s="422">
        <f>SUM(D53:D54)</f>
        <v/>
      </c>
      <c r="E52" s="422">
        <f>SUM(E53:E54)</f>
        <v/>
      </c>
      <c r="F52" s="422">
        <f>SUM(F53:F54)</f>
        <v/>
      </c>
      <c r="G52" s="422">
        <f>SUM(G53:G54)</f>
        <v/>
      </c>
      <c r="H52" s="422">
        <f>SUM(H53:H54)</f>
        <v/>
      </c>
      <c r="I52" s="422">
        <f>SUM(I53:I54)</f>
        <v/>
      </c>
      <c r="J52" s="422">
        <f>SUM(J53:J54)</f>
        <v/>
      </c>
      <c r="K52" s="422">
        <f>SUM(K53:K54)</f>
        <v/>
      </c>
      <c r="L52" s="422">
        <f>SUM(L53:L54)</f>
        <v/>
      </c>
      <c r="M52" s="422">
        <f>SUM(M53:M54)</f>
        <v/>
      </c>
      <c r="N52" s="422">
        <f>SUM(N53:N54)</f>
        <v/>
      </c>
      <c r="O52" s="422">
        <f>SUM(O53:O54)</f>
        <v/>
      </c>
      <c r="P52" s="422">
        <f>SUM(P53:P54)</f>
        <v/>
      </c>
      <c r="Q52" s="422">
        <f>SUM(Q53:Q54)</f>
        <v/>
      </c>
      <c r="R52" s="422">
        <f>SUM(R53:R54)</f>
        <v/>
      </c>
      <c r="S52" s="422">
        <f>SUM(S53:S54)</f>
        <v/>
      </c>
      <c r="T52" s="422">
        <f>SUM(T53:T54)</f>
        <v/>
      </c>
      <c r="U52" s="422">
        <f>SUM(U53:U54)</f>
        <v/>
      </c>
      <c r="V52" s="422">
        <f>SUM(V53:V54)</f>
        <v/>
      </c>
      <c r="W52" s="422">
        <f>SUM(W53:W54)</f>
        <v/>
      </c>
      <c r="X52" s="422">
        <f>SUM(X53:X54)</f>
        <v/>
      </c>
      <c r="Y52" s="422">
        <f>SUM(Y53:Y54)</f>
        <v/>
      </c>
      <c r="Z52" s="422">
        <f>SUM(Z53:Z54)</f>
        <v/>
      </c>
      <c r="AA52" s="422">
        <f>SUM(AA53:AA54)</f>
        <v/>
      </c>
      <c r="AB52" s="422">
        <f>SUM(AB53:AB54)</f>
        <v/>
      </c>
      <c r="AC52" s="422">
        <f>SUM(AC53:AC54)</f>
        <v/>
      </c>
      <c r="AD52" s="422" t="n"/>
      <c r="AE52" s="422" t="n"/>
      <c r="AF52" s="423" t="n">
        <v>0</v>
      </c>
      <c r="AG52" s="423" t="n">
        <v>0</v>
      </c>
      <c r="AH52" s="423" t="n">
        <v>0</v>
      </c>
      <c r="AI52" s="422">
        <f>SUM(AF52:AH52)</f>
        <v/>
      </c>
      <c r="AJ52" s="422" t="n"/>
    </row>
    <row r="53" outlineLevel="1" s="239">
      <c r="B53" s="1304" t="inlineStr">
        <is>
          <t>Owned</t>
        </is>
      </c>
      <c r="C53" s="423" t="n">
        <v>0</v>
      </c>
      <c r="D53" s="423" t="n">
        <v>0</v>
      </c>
      <c r="E53" s="423" t="n">
        <v>0</v>
      </c>
      <c r="F53" s="423">
        <f>0</f>
        <v/>
      </c>
      <c r="G53" s="423">
        <f>3</f>
        <v/>
      </c>
      <c r="H53" s="423" t="n">
        <v>3</v>
      </c>
      <c r="I53" s="423">
        <f>3</f>
        <v/>
      </c>
      <c r="J53" s="423" t="n">
        <v>3</v>
      </c>
      <c r="K53" s="423" t="n">
        <v>3</v>
      </c>
      <c r="L53" s="423" t="n">
        <v>3</v>
      </c>
      <c r="M53" s="423" t="n">
        <v>0</v>
      </c>
      <c r="N53" s="423" t="n">
        <v>0</v>
      </c>
      <c r="O53" s="423" t="n">
        <v>0</v>
      </c>
      <c r="P53" s="423" t="n">
        <v>0</v>
      </c>
      <c r="Q53" s="423" t="n">
        <v>0</v>
      </c>
      <c r="R53" s="423" t="n">
        <v>0</v>
      </c>
      <c r="S53" s="423" t="n">
        <v>0</v>
      </c>
      <c r="T53" s="423" t="n">
        <v>0</v>
      </c>
      <c r="U53" s="423" t="n">
        <v>0</v>
      </c>
      <c r="V53" s="423" t="n">
        <v>0</v>
      </c>
      <c r="W53" s="423" t="n">
        <v>0</v>
      </c>
      <c r="X53" s="423" t="n">
        <v>0</v>
      </c>
      <c r="Y53" s="423" t="n">
        <v>0</v>
      </c>
      <c r="Z53" s="423" t="n">
        <v>0</v>
      </c>
      <c r="AA53" s="423" t="n">
        <v>0</v>
      </c>
      <c r="AB53" s="423" t="n">
        <v>0</v>
      </c>
      <c r="AC53" s="423" t="n">
        <v>0</v>
      </c>
      <c r="AD53" s="423" t="n"/>
      <c r="AE53" s="422" t="n"/>
      <c r="AF53" s="423" t="n"/>
      <c r="AG53" s="423" t="n"/>
      <c r="AH53" s="423" t="n"/>
      <c r="AI53" s="423" t="n"/>
      <c r="AJ53" s="422" t="n"/>
    </row>
    <row r="54" outlineLevel="1" s="239">
      <c r="B54" s="1304" t="inlineStr">
        <is>
          <t>Leased</t>
        </is>
      </c>
      <c r="C54" s="423" t="n">
        <v>0</v>
      </c>
      <c r="D54" s="423" t="n">
        <v>0</v>
      </c>
      <c r="E54" s="423" t="n">
        <v>0</v>
      </c>
      <c r="F54" s="423">
        <f>2</f>
        <v/>
      </c>
      <c r="G54" s="423">
        <f>0</f>
        <v/>
      </c>
      <c r="H54" s="423" t="n">
        <v>0</v>
      </c>
      <c r="I54" s="423" t="n">
        <v>0</v>
      </c>
      <c r="J54" s="423" t="n">
        <v>0</v>
      </c>
      <c r="K54" s="423" t="n">
        <v>0</v>
      </c>
      <c r="L54" s="423" t="n">
        <v>0</v>
      </c>
      <c r="M54" s="423" t="n">
        <v>0</v>
      </c>
      <c r="N54" s="423" t="n">
        <v>0</v>
      </c>
      <c r="O54" s="423" t="n">
        <v>0</v>
      </c>
      <c r="P54" s="423" t="n">
        <v>0</v>
      </c>
      <c r="Q54" s="423" t="n">
        <v>0</v>
      </c>
      <c r="R54" s="423" t="n">
        <v>0</v>
      </c>
      <c r="S54" s="423" t="n">
        <v>0</v>
      </c>
      <c r="T54" s="423" t="n">
        <v>0</v>
      </c>
      <c r="U54" s="423" t="n">
        <v>0</v>
      </c>
      <c r="V54" s="423" t="n">
        <v>0</v>
      </c>
      <c r="W54" s="423" t="n">
        <v>0</v>
      </c>
      <c r="X54" s="423" t="n">
        <v>0</v>
      </c>
      <c r="Y54" s="423" t="n">
        <v>0</v>
      </c>
      <c r="Z54" s="423" t="n">
        <v>0</v>
      </c>
      <c r="AA54" s="423" t="n">
        <v>0</v>
      </c>
      <c r="AB54" s="423" t="n">
        <v>0</v>
      </c>
      <c r="AC54" s="423" t="n">
        <v>0</v>
      </c>
      <c r="AD54" s="423" t="n"/>
      <c r="AE54" s="422" t="n"/>
      <c r="AF54" s="423" t="n"/>
      <c r="AG54" s="423" t="n"/>
      <c r="AH54" s="423" t="n"/>
      <c r="AI54" s="423" t="n"/>
      <c r="AJ54" s="422" t="n"/>
    </row>
    <row r="55">
      <c r="A55" s="1293" t="inlineStr">
        <is>
          <t>F</t>
        </is>
      </c>
      <c r="B55" s="1294" t="inlineStr">
        <is>
          <t>747-400F</t>
        </is>
      </c>
      <c r="C55" s="422">
        <f>SUM(C56:C57)</f>
        <v/>
      </c>
      <c r="D55" s="422">
        <f>SUM(D56:D57)</f>
        <v/>
      </c>
      <c r="E55" s="422">
        <f>SUM(E56:E57)</f>
        <v/>
      </c>
      <c r="F55" s="422">
        <f>SUM(F56:F57)</f>
        <v/>
      </c>
      <c r="G55" s="422">
        <f>SUM(G56:G57)</f>
        <v/>
      </c>
      <c r="H55" s="422">
        <f>SUM(H56:H57)</f>
        <v/>
      </c>
      <c r="I55" s="422">
        <f>SUM(I56:I57)</f>
        <v/>
      </c>
      <c r="J55" s="422">
        <f>SUM(J56:J57)</f>
        <v/>
      </c>
      <c r="K55" s="422">
        <f>SUM(K56:K57)</f>
        <v/>
      </c>
      <c r="L55" s="422">
        <f>SUM(L56:L57)</f>
        <v/>
      </c>
      <c r="M55" s="422">
        <f>SUM(M56:M57)</f>
        <v/>
      </c>
      <c r="N55" s="422">
        <f>SUM(N56:N57)</f>
        <v/>
      </c>
      <c r="O55" s="422">
        <f>SUM(O56:O57)</f>
        <v/>
      </c>
      <c r="P55" s="422">
        <f>SUM(P56:P57)</f>
        <v/>
      </c>
      <c r="Q55" s="422">
        <f>SUM(Q56:Q57)</f>
        <v/>
      </c>
      <c r="R55" s="422">
        <f>SUM(R56:R57)</f>
        <v/>
      </c>
      <c r="S55" s="422">
        <f>SUM(S56:S57)</f>
        <v/>
      </c>
      <c r="T55" s="422">
        <f>SUM(T56:T57)</f>
        <v/>
      </c>
      <c r="U55" s="422">
        <f>SUM(U56:U57)</f>
        <v/>
      </c>
      <c r="V55" s="422">
        <f>SUM(V56:V57)</f>
        <v/>
      </c>
      <c r="W55" s="422">
        <f>SUM(W56:W57)</f>
        <v/>
      </c>
      <c r="X55" s="422">
        <f>SUM(X56:X57)</f>
        <v/>
      </c>
      <c r="Y55" s="422">
        <f>SUM(Y56:Y57)</f>
        <v/>
      </c>
      <c r="Z55" s="422">
        <f>SUM(Z56:Z57)</f>
        <v/>
      </c>
      <c r="AA55" s="422">
        <f>SUM(AA56:AA57)</f>
        <v/>
      </c>
      <c r="AB55" s="422">
        <f>SUM(AB56:AB57)</f>
        <v/>
      </c>
      <c r="AC55" s="422">
        <f>SUM(AC56:AC57)</f>
        <v/>
      </c>
      <c r="AD55" s="422" t="n"/>
      <c r="AE55" s="422" t="n"/>
      <c r="AF55" s="423" t="n">
        <v>0</v>
      </c>
      <c r="AG55" s="423" t="n">
        <v>0</v>
      </c>
      <c r="AH55" s="423" t="n">
        <v>0</v>
      </c>
      <c r="AI55" s="422">
        <f>SUM(AF55:AH55)</f>
        <v/>
      </c>
      <c r="AJ55" s="422" t="n"/>
    </row>
    <row r="56" outlineLevel="1" s="239">
      <c r="B56" s="1304" t="inlineStr">
        <is>
          <t>Owned</t>
        </is>
      </c>
      <c r="C56" s="423" t="n">
        <v>1</v>
      </c>
      <c r="D56" s="423">
        <f>1</f>
        <v/>
      </c>
      <c r="E56" s="423" t="n">
        <v>1</v>
      </c>
      <c r="F56" s="423">
        <f>1</f>
        <v/>
      </c>
      <c r="G56" s="423">
        <f>1</f>
        <v/>
      </c>
      <c r="H56" s="423" t="n">
        <v>1</v>
      </c>
      <c r="I56" s="423" t="n">
        <v>1</v>
      </c>
      <c r="J56" s="423" t="n">
        <v>2</v>
      </c>
      <c r="K56" s="423" t="n">
        <v>2</v>
      </c>
      <c r="L56" s="423" t="n">
        <v>2</v>
      </c>
      <c r="M56" s="423" t="n">
        <v>2</v>
      </c>
      <c r="N56" s="423" t="n">
        <v>2</v>
      </c>
      <c r="O56" s="423" t="n">
        <v>3</v>
      </c>
      <c r="P56" s="423" t="n">
        <v>3</v>
      </c>
      <c r="Q56" s="423" t="n">
        <v>3</v>
      </c>
      <c r="R56" s="423" t="n">
        <v>3</v>
      </c>
      <c r="S56" s="423" t="n">
        <v>5</v>
      </c>
      <c r="T56" s="423" t="n">
        <v>4</v>
      </c>
      <c r="U56" s="423" t="n">
        <v>0</v>
      </c>
      <c r="V56" s="423" t="n">
        <v>0</v>
      </c>
      <c r="W56" s="423" t="n">
        <v>0</v>
      </c>
      <c r="X56" s="423" t="n">
        <v>0</v>
      </c>
      <c r="Y56" s="423" t="n">
        <v>0</v>
      </c>
      <c r="Z56" s="423" t="n">
        <v>0</v>
      </c>
      <c r="AA56" s="423" t="n">
        <v>0</v>
      </c>
      <c r="AB56" s="423" t="n">
        <v>0</v>
      </c>
      <c r="AC56" s="423" t="n">
        <v>0</v>
      </c>
      <c r="AD56" s="423" t="n"/>
      <c r="AE56" s="422" t="n"/>
      <c r="AF56" s="423" t="n"/>
      <c r="AG56" s="423" t="n"/>
      <c r="AH56" s="423" t="n"/>
      <c r="AI56" s="423" t="n"/>
      <c r="AJ56" s="422" t="n"/>
    </row>
    <row r="57" outlineLevel="1" s="239">
      <c r="B57" s="1304" t="inlineStr">
        <is>
          <t>Leased</t>
        </is>
      </c>
      <c r="C57" s="423" t="n">
        <v>1</v>
      </c>
      <c r="D57" s="423">
        <f>1</f>
        <v/>
      </c>
      <c r="E57" s="423" t="n">
        <v>2</v>
      </c>
      <c r="F57" s="423">
        <f>4</f>
        <v/>
      </c>
      <c r="G57" s="423">
        <f>4</f>
        <v/>
      </c>
      <c r="H57" s="423" t="n">
        <v>4</v>
      </c>
      <c r="I57" s="423" t="n">
        <v>4</v>
      </c>
      <c r="J57" s="423" t="n">
        <v>4</v>
      </c>
      <c r="K57" s="423" t="n">
        <v>4</v>
      </c>
      <c r="L57" s="423" t="n">
        <v>4</v>
      </c>
      <c r="M57" s="423" t="n">
        <v>4</v>
      </c>
      <c r="N57" s="423" t="n">
        <v>4</v>
      </c>
      <c r="O57" s="423" t="n">
        <v>3</v>
      </c>
      <c r="P57" s="423" t="n">
        <v>3</v>
      </c>
      <c r="Q57" s="423" t="n">
        <v>3</v>
      </c>
      <c r="R57" s="423" t="n">
        <v>3</v>
      </c>
      <c r="S57" s="423" t="n">
        <v>0</v>
      </c>
      <c r="T57" s="423" t="n">
        <v>0</v>
      </c>
      <c r="U57" s="423" t="n">
        <v>0</v>
      </c>
      <c r="V57" s="423" t="n">
        <v>0</v>
      </c>
      <c r="W57" s="423" t="n">
        <v>0</v>
      </c>
      <c r="X57" s="423" t="n">
        <v>0</v>
      </c>
      <c r="Y57" s="423" t="n">
        <v>0</v>
      </c>
      <c r="Z57" s="423" t="n">
        <v>0</v>
      </c>
      <c r="AA57" s="423" t="n">
        <v>0</v>
      </c>
      <c r="AB57" s="423" t="n">
        <v>0</v>
      </c>
      <c r="AC57" s="423" t="n">
        <v>0</v>
      </c>
      <c r="AD57" s="423" t="n"/>
      <c r="AE57" s="422" t="n"/>
      <c r="AF57" s="423" t="n"/>
      <c r="AG57" s="423" t="n"/>
      <c r="AH57" s="423" t="n"/>
      <c r="AI57" s="423" t="n"/>
      <c r="AJ57" s="422" t="n"/>
    </row>
    <row r="58">
      <c r="A58" s="1293" t="inlineStr">
        <is>
          <t>F</t>
        </is>
      </c>
      <c r="B58" s="1294" t="inlineStr">
        <is>
          <t>747-400BCF</t>
        </is>
      </c>
      <c r="C58" s="422">
        <f>SUM(C59:C60)</f>
        <v/>
      </c>
      <c r="D58" s="422">
        <f>SUM(D59:D60)</f>
        <v/>
      </c>
      <c r="E58" s="422">
        <f>SUM(E59:E60)</f>
        <v/>
      </c>
      <c r="F58" s="422">
        <f>SUM(F59:F60)</f>
        <v/>
      </c>
      <c r="G58" s="422">
        <f>SUM(G59:G60)</f>
        <v/>
      </c>
      <c r="H58" s="422">
        <f>SUM(H59:H60)</f>
        <v/>
      </c>
      <c r="I58" s="422">
        <f>SUM(I59:I60)</f>
        <v/>
      </c>
      <c r="J58" s="422">
        <f>SUM(J59:J60)</f>
        <v/>
      </c>
      <c r="K58" s="422">
        <f>SUM(K59:K60)</f>
        <v/>
      </c>
      <c r="L58" s="422">
        <f>SUM(L59:L60)</f>
        <v/>
      </c>
      <c r="M58" s="422">
        <f>SUM(M59:M60)</f>
        <v/>
      </c>
      <c r="N58" s="422">
        <f>SUM(N59:N60)</f>
        <v/>
      </c>
      <c r="O58" s="422">
        <f>SUM(O59:O60)</f>
        <v/>
      </c>
      <c r="P58" s="422">
        <f>SUM(P59:P60)</f>
        <v/>
      </c>
      <c r="Q58" s="422">
        <f>SUM(Q59:Q60)</f>
        <v/>
      </c>
      <c r="R58" s="422">
        <f>SUM(R59:R60)</f>
        <v/>
      </c>
      <c r="S58" s="422">
        <f>SUM(S59:S60)</f>
        <v/>
      </c>
      <c r="T58" s="422">
        <f>SUM(T59:T60)</f>
        <v/>
      </c>
      <c r="U58" s="422">
        <f>SUM(U59:U60)</f>
        <v/>
      </c>
      <c r="V58" s="422">
        <f>SUM(V59:V60)</f>
        <v/>
      </c>
      <c r="W58" s="422">
        <f>SUM(W59:W60)</f>
        <v/>
      </c>
      <c r="X58" s="422">
        <f>SUM(X59:X60)</f>
        <v/>
      </c>
      <c r="Y58" s="422">
        <f>SUM(Y59:Y60)</f>
        <v/>
      </c>
      <c r="Z58" s="422">
        <f>SUM(Z59:Z60)</f>
        <v/>
      </c>
      <c r="AA58" s="422">
        <f>SUM(AA59:AA60)</f>
        <v/>
      </c>
      <c r="AB58" s="422">
        <f>SUM(AB59:AB60)</f>
        <v/>
      </c>
      <c r="AC58" s="422">
        <f>SUM(AC59:AC60)</f>
        <v/>
      </c>
      <c r="AD58" s="422" t="n"/>
      <c r="AE58" s="422" t="n"/>
      <c r="AF58" s="423" t="n">
        <v>0</v>
      </c>
      <c r="AG58" s="423" t="n">
        <v>0</v>
      </c>
      <c r="AH58" s="423" t="n">
        <v>0</v>
      </c>
      <c r="AI58" s="422">
        <f>SUM(AF58:AH58)</f>
        <v/>
      </c>
      <c r="AJ58" s="422" t="n"/>
    </row>
    <row r="59" outlineLevel="1" s="239">
      <c r="B59" s="1304" t="inlineStr">
        <is>
          <t>Owned</t>
        </is>
      </c>
      <c r="C59" s="423" t="n">
        <v>0</v>
      </c>
      <c r="D59" s="423" t="n">
        <v>0</v>
      </c>
      <c r="E59" s="423" t="n">
        <v>0</v>
      </c>
      <c r="F59" s="423" t="n">
        <v>0</v>
      </c>
      <c r="G59" s="423" t="n">
        <v>0</v>
      </c>
      <c r="H59" s="423" t="n">
        <v>0</v>
      </c>
      <c r="I59" s="423" t="n">
        <v>0</v>
      </c>
      <c r="J59" s="423" t="n">
        <v>1</v>
      </c>
      <c r="K59" s="423" t="n">
        <v>6</v>
      </c>
      <c r="L59" s="423">
        <f>5+3</f>
        <v/>
      </c>
      <c r="M59" s="423">
        <f>7+2</f>
        <v/>
      </c>
      <c r="N59" s="423" t="n">
        <v>7</v>
      </c>
      <c r="O59" s="423" t="n">
        <v>6</v>
      </c>
      <c r="P59" s="423" t="n">
        <v>4</v>
      </c>
      <c r="Q59" s="423" t="n">
        <v>2</v>
      </c>
      <c r="R59" s="423" t="n">
        <v>0</v>
      </c>
      <c r="S59" s="423" t="n">
        <v>0</v>
      </c>
      <c r="T59" s="423" t="n">
        <v>0</v>
      </c>
      <c r="U59" s="423" t="n">
        <v>0</v>
      </c>
      <c r="V59" s="423" t="n">
        <v>0</v>
      </c>
      <c r="W59" s="423" t="n">
        <v>1</v>
      </c>
      <c r="X59" s="423" t="n">
        <v>1</v>
      </c>
      <c r="Y59" s="423" t="n">
        <v>0</v>
      </c>
      <c r="Z59" s="423" t="n">
        <v>0</v>
      </c>
      <c r="AA59" s="423" t="n">
        <v>0</v>
      </c>
      <c r="AB59" s="423" t="n">
        <v>0</v>
      </c>
      <c r="AC59" s="423" t="n">
        <v>0</v>
      </c>
      <c r="AD59" s="423" t="n"/>
      <c r="AE59" s="422" t="n"/>
      <c r="AF59" s="423" t="n"/>
      <c r="AG59" s="423" t="n"/>
      <c r="AH59" s="423" t="n"/>
      <c r="AI59" s="423" t="n"/>
      <c r="AJ59" s="422" t="n"/>
    </row>
    <row r="60" outlineLevel="1" s="239">
      <c r="B60" s="1304" t="inlineStr">
        <is>
          <t>Leased</t>
        </is>
      </c>
      <c r="C60" s="423" t="n">
        <v>0</v>
      </c>
      <c r="D60" s="423" t="n">
        <v>0</v>
      </c>
      <c r="E60" s="423" t="n">
        <v>0</v>
      </c>
      <c r="F60" s="423" t="n">
        <v>0</v>
      </c>
      <c r="G60" s="423" t="n">
        <v>0</v>
      </c>
      <c r="H60" s="423" t="n">
        <v>0</v>
      </c>
      <c r="I60" s="423" t="n">
        <v>0</v>
      </c>
      <c r="J60" s="423" t="n">
        <v>0</v>
      </c>
      <c r="K60" s="423" t="n">
        <v>0</v>
      </c>
      <c r="L60" s="423" t="n">
        <v>1</v>
      </c>
      <c r="M60" s="423" t="n">
        <v>3</v>
      </c>
      <c r="N60" s="423" t="n">
        <v>6</v>
      </c>
      <c r="O60" s="423" t="n">
        <v>6</v>
      </c>
      <c r="P60" s="423">
        <f>4+3</f>
        <v/>
      </c>
      <c r="Q60" s="423">
        <f>4+3</f>
        <v/>
      </c>
      <c r="R60" s="423">
        <f>1+3</f>
        <v/>
      </c>
      <c r="S60" s="423">
        <f>1+3</f>
        <v/>
      </c>
      <c r="T60" s="423">
        <f>1+3</f>
        <v/>
      </c>
      <c r="U60" s="423">
        <f>1+3</f>
        <v/>
      </c>
      <c r="V60" s="423" t="n">
        <v>2</v>
      </c>
      <c r="W60" s="423" t="n">
        <v>0</v>
      </c>
      <c r="X60" s="423" t="n">
        <v>0</v>
      </c>
      <c r="Y60" s="423" t="n">
        <v>0</v>
      </c>
      <c r="Z60" s="423" t="n">
        <v>0</v>
      </c>
      <c r="AA60" s="423" t="n">
        <v>0</v>
      </c>
      <c r="AB60" s="423" t="n">
        <v>0</v>
      </c>
      <c r="AC60" s="423" t="n">
        <v>0</v>
      </c>
      <c r="AD60" s="423" t="n"/>
      <c r="AE60" s="422" t="n"/>
      <c r="AF60" s="423" t="n"/>
      <c r="AG60" s="423" t="n"/>
      <c r="AH60" s="423" t="n"/>
      <c r="AI60" s="423" t="n"/>
      <c r="AJ60" s="422" t="n"/>
    </row>
    <row r="61">
      <c r="A61" s="1293" t="inlineStr">
        <is>
          <t>F</t>
        </is>
      </c>
      <c r="B61" s="1294" t="inlineStr">
        <is>
          <t>747-400ERF</t>
        </is>
      </c>
      <c r="C61" s="422">
        <f>SUM(C62:C63)</f>
        <v/>
      </c>
      <c r="D61" s="422">
        <f>SUM(D62:D63)</f>
        <v/>
      </c>
      <c r="E61" s="422">
        <f>SUM(E62:E63)</f>
        <v/>
      </c>
      <c r="F61" s="422">
        <f>SUM(F62:F63)</f>
        <v/>
      </c>
      <c r="G61" s="422">
        <f>SUM(G62:G63)</f>
        <v/>
      </c>
      <c r="H61" s="422">
        <f>SUM(H62:H63)</f>
        <v/>
      </c>
      <c r="I61" s="422">
        <f>SUM(I62:I63)</f>
        <v/>
      </c>
      <c r="J61" s="422">
        <f>SUM(J62:J63)</f>
        <v/>
      </c>
      <c r="K61" s="422">
        <f>SUM(K62:K63)</f>
        <v/>
      </c>
      <c r="L61" s="422">
        <f>SUM(L62:L63)</f>
        <v/>
      </c>
      <c r="M61" s="422">
        <f>SUM(M62:M63)</f>
        <v/>
      </c>
      <c r="N61" s="422">
        <f>SUM(N62:N63)</f>
        <v/>
      </c>
      <c r="O61" s="422">
        <f>SUM(O62:O63)</f>
        <v/>
      </c>
      <c r="P61" s="422">
        <f>SUM(P62:P63)</f>
        <v/>
      </c>
      <c r="Q61" s="422">
        <f>SUM(Q62:Q63)</f>
        <v/>
      </c>
      <c r="R61" s="422">
        <f>SUM(R62:R63)</f>
        <v/>
      </c>
      <c r="S61" s="422">
        <f>SUM(S62:S63)</f>
        <v/>
      </c>
      <c r="T61" s="422">
        <f>SUM(T62:T63)</f>
        <v/>
      </c>
      <c r="U61" s="422">
        <f>SUM(U62:U63)</f>
        <v/>
      </c>
      <c r="V61" s="422">
        <f>SUM(V62:V63)</f>
        <v/>
      </c>
      <c r="W61" s="422">
        <f>SUM(W62:W63)</f>
        <v/>
      </c>
      <c r="X61" s="422">
        <f>SUM(X62:X63)</f>
        <v/>
      </c>
      <c r="Y61" s="422">
        <f>SUM(Y62:Y63)</f>
        <v/>
      </c>
      <c r="Z61" s="422">
        <f>SUM(Z62:Z63)</f>
        <v/>
      </c>
      <c r="AA61" s="422">
        <f>SUM(AA62:AA63)</f>
        <v/>
      </c>
      <c r="AB61" s="422">
        <f>SUM(AB62:AB63)</f>
        <v/>
      </c>
      <c r="AC61" s="422">
        <f>SUM(AC62:AC63)</f>
        <v/>
      </c>
      <c r="AD61" s="422" t="n"/>
      <c r="AE61" s="422" t="n"/>
      <c r="AF61" s="423" t="n">
        <v>0</v>
      </c>
      <c r="AG61" s="423" t="n">
        <v>0</v>
      </c>
      <c r="AH61" s="423" t="n">
        <v>0</v>
      </c>
      <c r="AI61" s="422">
        <f>SUM(AF61:AH61)</f>
        <v/>
      </c>
      <c r="AJ61" s="422" t="n"/>
    </row>
    <row r="62" outlineLevel="1" s="239">
      <c r="B62" s="1304" t="inlineStr">
        <is>
          <t>Owned</t>
        </is>
      </c>
      <c r="C62" s="423" t="n">
        <v>0</v>
      </c>
      <c r="D62" s="423" t="n">
        <v>0</v>
      </c>
      <c r="E62" s="423" t="n">
        <v>0</v>
      </c>
      <c r="F62" s="423" t="n">
        <v>0</v>
      </c>
      <c r="G62" s="423" t="n">
        <v>0</v>
      </c>
      <c r="H62" s="423" t="n">
        <v>0</v>
      </c>
      <c r="I62" s="423" t="n">
        <v>0</v>
      </c>
      <c r="J62" s="423" t="n">
        <v>0</v>
      </c>
      <c r="K62" s="423" t="n">
        <v>0</v>
      </c>
      <c r="L62" s="423" t="n">
        <v>0</v>
      </c>
      <c r="M62" s="423" t="n">
        <v>0</v>
      </c>
      <c r="N62" s="423" t="n">
        <v>0</v>
      </c>
      <c r="O62" s="423" t="n">
        <v>0</v>
      </c>
      <c r="P62" s="423" t="n">
        <v>0</v>
      </c>
      <c r="Q62" s="423" t="n">
        <v>0</v>
      </c>
      <c r="R62" s="423" t="n">
        <v>0</v>
      </c>
      <c r="S62" s="423" t="n">
        <v>0</v>
      </c>
      <c r="T62" s="423" t="n">
        <v>0</v>
      </c>
      <c r="U62" s="423" t="n">
        <v>0</v>
      </c>
      <c r="V62" s="423" t="n">
        <v>0</v>
      </c>
      <c r="W62" s="423" t="n">
        <v>0</v>
      </c>
      <c r="X62" s="423" t="n">
        <v>0</v>
      </c>
      <c r="Y62" s="423" t="n">
        <v>2</v>
      </c>
      <c r="Z62" s="423" t="n">
        <v>6</v>
      </c>
      <c r="AA62" s="423" t="n">
        <v>6</v>
      </c>
      <c r="AB62" s="423" t="n">
        <v>6</v>
      </c>
      <c r="AC62" s="423" t="n">
        <v>6</v>
      </c>
      <c r="AD62" s="423" t="n"/>
      <c r="AE62" s="422" t="n"/>
      <c r="AF62" s="423" t="n"/>
      <c r="AG62" s="423" t="n"/>
      <c r="AH62" s="423" t="n"/>
      <c r="AI62" s="423" t="n"/>
      <c r="AJ62" s="422" t="n"/>
    </row>
    <row r="63" outlineLevel="1" s="239">
      <c r="B63" s="1304" t="inlineStr">
        <is>
          <t>Leased</t>
        </is>
      </c>
      <c r="C63" s="423" t="n">
        <v>0</v>
      </c>
      <c r="D63" s="423" t="n">
        <v>0</v>
      </c>
      <c r="E63" s="423" t="n">
        <v>0</v>
      </c>
      <c r="F63" s="423" t="n">
        <v>0</v>
      </c>
      <c r="G63" s="423" t="n">
        <v>0</v>
      </c>
      <c r="H63" s="423" t="n">
        <v>0</v>
      </c>
      <c r="I63" s="423" t="n">
        <v>0</v>
      </c>
      <c r="J63" s="423" t="n">
        <v>0</v>
      </c>
      <c r="K63" s="423" t="n">
        <v>0</v>
      </c>
      <c r="L63" s="423" t="n">
        <v>0</v>
      </c>
      <c r="M63" s="423" t="n">
        <v>2</v>
      </c>
      <c r="N63" s="423" t="n">
        <v>6</v>
      </c>
      <c r="O63" s="423" t="n">
        <v>6</v>
      </c>
      <c r="P63" s="423" t="n">
        <v>6</v>
      </c>
      <c r="Q63" s="423" t="n">
        <v>6</v>
      </c>
      <c r="R63" s="423" t="n">
        <v>6</v>
      </c>
      <c r="S63" s="423" t="n">
        <v>6</v>
      </c>
      <c r="T63" s="423" t="n">
        <v>6</v>
      </c>
      <c r="U63" s="423" t="n">
        <v>6</v>
      </c>
      <c r="V63" s="423" t="n">
        <v>6</v>
      </c>
      <c r="W63" s="423" t="n">
        <v>6</v>
      </c>
      <c r="X63" s="423" t="n">
        <v>6</v>
      </c>
      <c r="Y63" s="423" t="n">
        <v>4</v>
      </c>
      <c r="Z63" s="423" t="n">
        <v>0</v>
      </c>
      <c r="AA63" s="423" t="n">
        <v>0</v>
      </c>
      <c r="AB63" s="423" t="n">
        <v>0</v>
      </c>
      <c r="AC63" s="423" t="n">
        <v>0</v>
      </c>
      <c r="AD63" s="423" t="n"/>
      <c r="AE63" s="422" t="n"/>
      <c r="AF63" s="423" t="n"/>
      <c r="AG63" s="423" t="n"/>
      <c r="AH63" s="423" t="n"/>
      <c r="AI63" s="423" t="n"/>
      <c r="AJ63" s="422" t="n"/>
    </row>
    <row r="64">
      <c r="A64" s="1293" t="inlineStr">
        <is>
          <t>F</t>
        </is>
      </c>
      <c r="B64" s="1294" t="inlineStr">
        <is>
          <t>747-8F</t>
        </is>
      </c>
      <c r="C64" s="422">
        <f>SUM(C65:C66)</f>
        <v/>
      </c>
      <c r="D64" s="422">
        <f>SUM(D65:D66)</f>
        <v/>
      </c>
      <c r="E64" s="422">
        <f>SUM(E65:E66)</f>
        <v/>
      </c>
      <c r="F64" s="422">
        <f>SUM(F65:F66)</f>
        <v/>
      </c>
      <c r="G64" s="422">
        <f>SUM(G65:G66)</f>
        <v/>
      </c>
      <c r="H64" s="422">
        <f>SUM(H65:H66)</f>
        <v/>
      </c>
      <c r="I64" s="422">
        <f>SUM(I65:I66)</f>
        <v/>
      </c>
      <c r="J64" s="422">
        <f>SUM(J65:J66)</f>
        <v/>
      </c>
      <c r="K64" s="422">
        <f>SUM(K65:K66)</f>
        <v/>
      </c>
      <c r="L64" s="422">
        <f>SUM(L65:L66)</f>
        <v/>
      </c>
      <c r="M64" s="422">
        <f>SUM(M65:M66)</f>
        <v/>
      </c>
      <c r="N64" s="422">
        <f>SUM(N65:N66)</f>
        <v/>
      </c>
      <c r="O64" s="422">
        <f>SUM(O65:O66)</f>
        <v/>
      </c>
      <c r="P64" s="422">
        <f>SUM(P65:P66)</f>
        <v/>
      </c>
      <c r="Q64" s="422">
        <f>SUM(Q65:Q66)</f>
        <v/>
      </c>
      <c r="R64" s="422">
        <f>SUM(R65:R66)</f>
        <v/>
      </c>
      <c r="S64" s="422">
        <f>SUM(S65:S66)</f>
        <v/>
      </c>
      <c r="T64" s="422">
        <f>SUM(T65:T66)</f>
        <v/>
      </c>
      <c r="U64" s="422">
        <f>SUM(U65:U66)</f>
        <v/>
      </c>
      <c r="V64" s="422">
        <f>SUM(V65:V66)</f>
        <v/>
      </c>
      <c r="W64" s="422">
        <f>SUM(W65:W66)</f>
        <v/>
      </c>
      <c r="X64" s="422">
        <f>SUM(X65:X66)</f>
        <v/>
      </c>
      <c r="Y64" s="422">
        <f>SUM(Y65:Y66)</f>
        <v/>
      </c>
      <c r="Z64" s="422">
        <f>SUM(Z65:Z66)</f>
        <v/>
      </c>
      <c r="AA64" s="422">
        <f>SUM(AA65:AA66)</f>
        <v/>
      </c>
      <c r="AB64" s="422">
        <f>SUM(AB65:AB66)</f>
        <v/>
      </c>
      <c r="AC64" s="422">
        <f>SUM(AC65:AC66)</f>
        <v/>
      </c>
      <c r="AD64" s="422" t="n"/>
      <c r="AE64" s="422" t="n"/>
      <c r="AF64" s="423" t="n">
        <v>0</v>
      </c>
      <c r="AG64" s="423" t="n">
        <v>0</v>
      </c>
      <c r="AH64" s="423" t="n">
        <v>0</v>
      </c>
      <c r="AI64" s="422">
        <f>SUM(AF64:AH64)</f>
        <v/>
      </c>
      <c r="AJ64" s="422" t="n"/>
    </row>
    <row r="65" outlineLevel="1" s="239">
      <c r="B65" s="1304" t="inlineStr">
        <is>
          <t>Owned</t>
        </is>
      </c>
      <c r="C65" s="423" t="n">
        <v>0</v>
      </c>
      <c r="D65" s="423" t="n">
        <v>0</v>
      </c>
      <c r="E65" s="423" t="n">
        <v>0</v>
      </c>
      <c r="F65" s="423" t="n">
        <v>0</v>
      </c>
      <c r="G65" s="423" t="n">
        <v>0</v>
      </c>
      <c r="H65" s="423" t="n">
        <v>0</v>
      </c>
      <c r="I65" s="423" t="n">
        <v>0</v>
      </c>
      <c r="J65" s="423" t="n">
        <v>0</v>
      </c>
      <c r="K65" s="423" t="n">
        <v>0</v>
      </c>
      <c r="L65" s="423" t="n">
        <v>0</v>
      </c>
      <c r="M65" s="423" t="n">
        <v>0</v>
      </c>
      <c r="N65" s="423" t="n">
        <v>0</v>
      </c>
      <c r="O65" s="423" t="n">
        <v>0</v>
      </c>
      <c r="P65" s="423" t="n">
        <v>2</v>
      </c>
      <c r="Q65" s="423" t="n">
        <v>0</v>
      </c>
      <c r="R65" s="423" t="n">
        <v>2</v>
      </c>
      <c r="S65" s="423" t="n">
        <v>2</v>
      </c>
      <c r="T65" s="423" t="n">
        <v>2</v>
      </c>
      <c r="U65" s="423" t="n">
        <v>3</v>
      </c>
      <c r="V65" s="423" t="n">
        <v>3</v>
      </c>
      <c r="W65" s="423" t="n">
        <v>3</v>
      </c>
      <c r="X65" s="423" t="n">
        <v>3</v>
      </c>
      <c r="Y65" s="423" t="n">
        <v>3</v>
      </c>
      <c r="Z65" s="423" t="n">
        <v>3</v>
      </c>
      <c r="AA65" s="423" t="n">
        <v>3</v>
      </c>
      <c r="AB65" s="423" t="n">
        <v>10</v>
      </c>
      <c r="AC65" s="423" t="n">
        <v>11</v>
      </c>
      <c r="AD65" s="423" t="n"/>
      <c r="AE65" s="422" t="n"/>
      <c r="AF65" s="423" t="n"/>
      <c r="AG65" s="423" t="n"/>
      <c r="AH65" s="423" t="n"/>
      <c r="AI65" s="423" t="n"/>
      <c r="AJ65" s="422" t="n"/>
    </row>
    <row r="66" outlineLevel="1" s="239">
      <c r="B66" s="1304" t="inlineStr">
        <is>
          <t>Leased</t>
        </is>
      </c>
      <c r="C66" s="423" t="n">
        <v>0</v>
      </c>
      <c r="D66" s="423" t="n">
        <v>0</v>
      </c>
      <c r="E66" s="423" t="n">
        <v>0</v>
      </c>
      <c r="F66" s="423" t="n">
        <v>0</v>
      </c>
      <c r="G66" s="423" t="n">
        <v>0</v>
      </c>
      <c r="H66" s="423" t="n">
        <v>0</v>
      </c>
      <c r="I66" s="423" t="n">
        <v>0</v>
      </c>
      <c r="J66" s="423" t="n">
        <v>0</v>
      </c>
      <c r="K66" s="423" t="n">
        <v>0</v>
      </c>
      <c r="L66" s="423" t="n">
        <v>0</v>
      </c>
      <c r="M66" s="423" t="n">
        <v>0</v>
      </c>
      <c r="N66" s="423" t="n">
        <v>0</v>
      </c>
      <c r="O66" s="423" t="n">
        <v>0</v>
      </c>
      <c r="P66" s="423" t="n">
        <v>2</v>
      </c>
      <c r="Q66" s="423" t="n">
        <v>8</v>
      </c>
      <c r="R66" s="423" t="n">
        <v>11</v>
      </c>
      <c r="S66" s="423" t="n">
        <v>11</v>
      </c>
      <c r="T66" s="423" t="n">
        <v>11</v>
      </c>
      <c r="U66" s="423" t="n">
        <v>11</v>
      </c>
      <c r="V66" s="423" t="n">
        <v>11</v>
      </c>
      <c r="W66" s="423" t="n">
        <v>11</v>
      </c>
      <c r="X66" s="423" t="n">
        <v>11</v>
      </c>
      <c r="Y66" s="423" t="n">
        <v>11</v>
      </c>
      <c r="Z66" s="423" t="n">
        <v>11</v>
      </c>
      <c r="AA66" s="423" t="n">
        <v>11</v>
      </c>
      <c r="AB66" s="423" t="n">
        <v>4</v>
      </c>
      <c r="AC66" s="423" t="n">
        <v>3</v>
      </c>
      <c r="AD66" s="423" t="n"/>
      <c r="AE66" s="422" t="n"/>
      <c r="AF66" s="423" t="n"/>
      <c r="AG66" s="423" t="n"/>
      <c r="AH66" s="423" t="n"/>
      <c r="AI66" s="423" t="n"/>
      <c r="AJ66" s="422" t="n"/>
    </row>
    <row r="67">
      <c r="A67" s="1293" t="inlineStr">
        <is>
          <t>W</t>
        </is>
      </c>
      <c r="B67" s="1294" t="inlineStr">
        <is>
          <t>777-200</t>
        </is>
      </c>
      <c r="C67" s="422">
        <f>SUM(C68:C69)</f>
        <v/>
      </c>
      <c r="D67" s="422">
        <f>SUM(D68:D69)</f>
        <v/>
      </c>
      <c r="E67" s="422">
        <f>SUM(E68:E69)</f>
        <v/>
      </c>
      <c r="F67" s="422">
        <f>SUM(F68:F69)</f>
        <v/>
      </c>
      <c r="G67" s="422">
        <f>SUM(G68:G69)</f>
        <v/>
      </c>
      <c r="H67" s="422">
        <f>SUM(H68:H69)</f>
        <v/>
      </c>
      <c r="I67" s="422">
        <f>SUM(I68:I69)</f>
        <v/>
      </c>
      <c r="J67" s="422">
        <f>SUM(J68:J69)</f>
        <v/>
      </c>
      <c r="K67" s="422">
        <f>SUM(K68:K69)</f>
        <v/>
      </c>
      <c r="L67" s="422">
        <f>SUM(L68:L69)</f>
        <v/>
      </c>
      <c r="M67" s="422">
        <f>SUM(M68:M69)</f>
        <v/>
      </c>
      <c r="N67" s="422">
        <f>SUM(N68:N69)</f>
        <v/>
      </c>
      <c r="O67" s="422">
        <f>SUM(O68:O69)</f>
        <v/>
      </c>
      <c r="P67" s="422">
        <f>SUM(P68:P69)</f>
        <v/>
      </c>
      <c r="Q67" s="422">
        <f>SUM(Q68:Q69)</f>
        <v/>
      </c>
      <c r="R67" s="422">
        <f>SUM(R68:R69)</f>
        <v/>
      </c>
      <c r="S67" s="422">
        <f>SUM(S68:S69)</f>
        <v/>
      </c>
      <c r="T67" s="422">
        <f>SUM(T68:T69)</f>
        <v/>
      </c>
      <c r="U67" s="422">
        <f>SUM(U68:U69)</f>
        <v/>
      </c>
      <c r="V67" s="422">
        <f>SUM(V68:V69)</f>
        <v/>
      </c>
      <c r="W67" s="422">
        <f>SUM(W68:W69)</f>
        <v/>
      </c>
      <c r="X67" s="422">
        <f>SUM(X68:X69)</f>
        <v/>
      </c>
      <c r="Y67" s="422">
        <f>SUM(Y68:Y69)</f>
        <v/>
      </c>
      <c r="Z67" s="422">
        <f>SUM(Z68:Z69)</f>
        <v/>
      </c>
      <c r="AA67" s="422">
        <f>SUM(AA68:AA69)</f>
        <v/>
      </c>
      <c r="AB67" s="422">
        <f>SUM(AB68:AB69)</f>
        <v/>
      </c>
      <c r="AC67" s="422">
        <f>SUM(AC68:AC69)</f>
        <v/>
      </c>
      <c r="AD67" s="422" t="n"/>
      <c r="AE67" s="422" t="n"/>
      <c r="AF67" s="423" t="n">
        <v>0</v>
      </c>
      <c r="AG67" s="423" t="n">
        <v>0</v>
      </c>
      <c r="AH67" s="423" t="n">
        <v>0</v>
      </c>
      <c r="AI67" s="422">
        <f>SUM(AF67:AH67)</f>
        <v/>
      </c>
      <c r="AJ67" s="422" t="n"/>
    </row>
    <row r="68" outlineLevel="1" s="239">
      <c r="B68" s="1304" t="inlineStr">
        <is>
          <t>Owned</t>
        </is>
      </c>
      <c r="C68" s="423" t="n">
        <v>1</v>
      </c>
      <c r="D68" s="423">
        <f>1</f>
        <v/>
      </c>
      <c r="E68" s="423" t="n">
        <v>1</v>
      </c>
      <c r="F68" s="423" t="n">
        <v>1</v>
      </c>
      <c r="G68" s="423">
        <f>1</f>
        <v/>
      </c>
      <c r="H68" s="423" t="n">
        <v>1</v>
      </c>
      <c r="I68" s="423" t="n">
        <v>1</v>
      </c>
      <c r="J68" s="423" t="n">
        <v>1</v>
      </c>
      <c r="K68" s="423" t="n">
        <v>1</v>
      </c>
      <c r="L68" s="423" t="n">
        <v>1</v>
      </c>
      <c r="M68" s="423" t="n">
        <v>1</v>
      </c>
      <c r="N68" s="423" t="n">
        <v>2</v>
      </c>
      <c r="O68" s="423" t="n">
        <v>4</v>
      </c>
      <c r="P68" s="423" t="n">
        <v>5</v>
      </c>
      <c r="Q68" s="423" t="n">
        <v>5</v>
      </c>
      <c r="R68" s="423" t="n">
        <v>5</v>
      </c>
      <c r="S68" s="423" t="n">
        <v>5</v>
      </c>
      <c r="T68" s="423" t="n">
        <v>5</v>
      </c>
      <c r="U68" s="423" t="n">
        <v>5</v>
      </c>
      <c r="V68" s="423" t="n">
        <v>5</v>
      </c>
      <c r="W68" s="423" t="n">
        <v>4</v>
      </c>
      <c r="X68" s="423" t="n">
        <v>1</v>
      </c>
      <c r="Y68" s="423" t="n">
        <v>0</v>
      </c>
      <c r="Z68" s="423" t="n">
        <v>0</v>
      </c>
      <c r="AA68" s="423" t="n">
        <v>0</v>
      </c>
      <c r="AB68" s="423" t="n">
        <v>0</v>
      </c>
      <c r="AC68" s="423" t="n">
        <v>0</v>
      </c>
      <c r="AD68" s="423" t="n"/>
      <c r="AE68" s="422" t="n"/>
      <c r="AF68" s="423" t="n"/>
      <c r="AG68" s="423" t="n"/>
      <c r="AH68" s="423" t="n"/>
      <c r="AI68" s="423" t="n"/>
      <c r="AJ68" s="422" t="n"/>
    </row>
    <row r="69" outlineLevel="1" s="239">
      <c r="B69" s="1304" t="inlineStr">
        <is>
          <t>Leased</t>
        </is>
      </c>
      <c r="C69" s="423" t="n">
        <v>3</v>
      </c>
      <c r="D69" s="423">
        <f>3</f>
        <v/>
      </c>
      <c r="E69" s="423" t="n">
        <v>4</v>
      </c>
      <c r="F69" s="423" t="n">
        <v>4</v>
      </c>
      <c r="G69" s="423">
        <f>4</f>
        <v/>
      </c>
      <c r="H69" s="423" t="n">
        <v>4</v>
      </c>
      <c r="I69" s="423" t="n">
        <v>4</v>
      </c>
      <c r="J69" s="423" t="n">
        <v>4</v>
      </c>
      <c r="K69" s="423" t="n">
        <v>4</v>
      </c>
      <c r="L69" s="423" t="n">
        <v>4</v>
      </c>
      <c r="M69" s="423" t="n">
        <v>4</v>
      </c>
      <c r="N69" s="423" t="n">
        <v>3</v>
      </c>
      <c r="O69" s="423" t="n">
        <v>1</v>
      </c>
      <c r="P69" s="423" t="n">
        <v>0</v>
      </c>
      <c r="Q69" s="423" t="n">
        <v>0</v>
      </c>
      <c r="R69" s="423" t="n">
        <v>0</v>
      </c>
      <c r="S69" s="423" t="n">
        <v>0</v>
      </c>
      <c r="T69" s="423" t="n">
        <v>0</v>
      </c>
      <c r="U69" s="423" t="n">
        <v>0</v>
      </c>
      <c r="V69" s="423" t="n">
        <v>0</v>
      </c>
      <c r="W69" s="423" t="n">
        <v>0</v>
      </c>
      <c r="X69" s="423" t="n">
        <v>0</v>
      </c>
      <c r="Y69" s="423" t="n">
        <v>0</v>
      </c>
      <c r="Z69" s="423" t="n">
        <v>0</v>
      </c>
      <c r="AA69" s="423" t="n">
        <v>0</v>
      </c>
      <c r="AB69" s="423" t="n">
        <v>0</v>
      </c>
      <c r="AC69" s="423" t="n">
        <v>0</v>
      </c>
      <c r="AD69" s="423" t="n"/>
      <c r="AE69" s="422" t="n"/>
      <c r="AF69" s="423" t="n"/>
      <c r="AG69" s="423" t="n"/>
      <c r="AH69" s="423" t="n"/>
      <c r="AI69" s="423" t="n"/>
      <c r="AJ69" s="422" t="n"/>
    </row>
    <row r="70">
      <c r="A70" s="1293" t="inlineStr">
        <is>
          <t>F</t>
        </is>
      </c>
      <c r="B70" s="1294" t="inlineStr">
        <is>
          <t>777-200F</t>
        </is>
      </c>
      <c r="C70" s="422">
        <f>SUM(C71:C72)</f>
        <v/>
      </c>
      <c r="D70" s="422">
        <f>SUM(D71:D72)</f>
        <v/>
      </c>
      <c r="E70" s="422">
        <f>SUM(E71:E72)</f>
        <v/>
      </c>
      <c r="F70" s="422">
        <f>SUM(F71:F72)</f>
        <v/>
      </c>
      <c r="G70" s="422">
        <f>SUM(G71:G72)</f>
        <v/>
      </c>
      <c r="H70" s="422">
        <f>SUM(H71:H72)</f>
        <v/>
      </c>
      <c r="I70" s="422">
        <f>SUM(I71:I72)</f>
        <v/>
      </c>
      <c r="J70" s="422">
        <f>SUM(J71:J72)</f>
        <v/>
      </c>
      <c r="K70" s="422">
        <f>SUM(K71:K72)</f>
        <v/>
      </c>
      <c r="L70" s="422">
        <f>SUM(L71:L72)</f>
        <v/>
      </c>
      <c r="M70" s="422">
        <f>SUM(M71:M72)</f>
        <v/>
      </c>
      <c r="N70" s="422">
        <f>SUM(N71:N72)</f>
        <v/>
      </c>
      <c r="O70" s="422">
        <f>SUM(O71:O72)</f>
        <v/>
      </c>
      <c r="P70" s="422">
        <f>SUM(P71:P72)</f>
        <v/>
      </c>
      <c r="Q70" s="422">
        <f>SUM(Q71:Q72)</f>
        <v/>
      </c>
      <c r="R70" s="422">
        <f>SUM(R71:R72)</f>
        <v/>
      </c>
      <c r="S70" s="422">
        <f>SUM(S71:S72)</f>
        <v/>
      </c>
      <c r="T70" s="422">
        <f>SUM(T71:T72)</f>
        <v/>
      </c>
      <c r="U70" s="422">
        <f>SUM(U71:U72)</f>
        <v/>
      </c>
      <c r="V70" s="422">
        <f>SUM(V71:V72)</f>
        <v/>
      </c>
      <c r="W70" s="422">
        <f>SUM(W71:W72)</f>
        <v/>
      </c>
      <c r="X70" s="422">
        <f>SUM(X71:X72)</f>
        <v/>
      </c>
      <c r="Y70" s="422">
        <f>SUM(Y71:Y72)</f>
        <v/>
      </c>
      <c r="Z70" s="422">
        <f>SUM(Z71:Z72)</f>
        <v/>
      </c>
      <c r="AA70" s="422">
        <f>SUM(AA71:AA72)</f>
        <v/>
      </c>
      <c r="AB70" s="422">
        <f>SUM(AB71:AB72)</f>
        <v/>
      </c>
      <c r="AC70" s="422">
        <f>SUM(AC71:AC72)</f>
        <v/>
      </c>
      <c r="AD70" s="422" t="n"/>
      <c r="AE70" s="422" t="n"/>
      <c r="AF70" s="423" t="n">
        <v>0</v>
      </c>
      <c r="AG70" s="423" t="n">
        <v>0</v>
      </c>
      <c r="AH70" s="423" t="n">
        <v>0</v>
      </c>
      <c r="AI70" s="422">
        <f>SUM(AF70:AH70)</f>
        <v/>
      </c>
      <c r="AJ70" s="422" t="n"/>
    </row>
    <row r="71" outlineLevel="1" s="239">
      <c r="B71" s="1304" t="inlineStr">
        <is>
          <t>Owned</t>
        </is>
      </c>
      <c r="C71" s="423" t="n">
        <v>0</v>
      </c>
      <c r="D71" s="423" t="n">
        <v>0</v>
      </c>
      <c r="E71" s="423" t="n">
        <v>0</v>
      </c>
      <c r="F71" s="423" t="n">
        <v>0</v>
      </c>
      <c r="G71" s="423" t="n">
        <v>0</v>
      </c>
      <c r="H71" s="423" t="n">
        <v>0</v>
      </c>
      <c r="I71" s="423" t="n">
        <v>0</v>
      </c>
      <c r="J71" s="423" t="n">
        <v>0</v>
      </c>
      <c r="K71" s="423" t="n">
        <v>0</v>
      </c>
      <c r="L71" s="423" t="n">
        <v>0</v>
      </c>
      <c r="M71" s="423" t="n">
        <v>0</v>
      </c>
      <c r="N71" s="423" t="n">
        <v>0</v>
      </c>
      <c r="O71" s="423" t="n">
        <v>0</v>
      </c>
      <c r="P71" s="423" t="n">
        <v>0</v>
      </c>
      <c r="Q71" s="423" t="n">
        <v>0</v>
      </c>
      <c r="R71" s="423" t="n">
        <v>0</v>
      </c>
      <c r="S71" s="423" t="n">
        <v>0</v>
      </c>
      <c r="T71" s="423" t="n">
        <v>0</v>
      </c>
      <c r="U71" s="423" t="n">
        <v>0</v>
      </c>
      <c r="V71" s="423" t="n">
        <v>0</v>
      </c>
      <c r="W71" s="423" t="n">
        <v>0</v>
      </c>
      <c r="X71" s="423" t="n">
        <v>0</v>
      </c>
      <c r="Y71" s="423" t="n">
        <v>0</v>
      </c>
      <c r="Z71" s="423" t="n">
        <v>0</v>
      </c>
      <c r="AA71" s="423" t="n">
        <v>0</v>
      </c>
      <c r="AB71" s="423" t="n">
        <v>0</v>
      </c>
      <c r="AC71" s="423" t="n">
        <v>0</v>
      </c>
      <c r="AD71" s="423" t="n"/>
      <c r="AE71" s="422" t="n"/>
      <c r="AF71" s="423" t="n"/>
      <c r="AG71" s="423" t="n"/>
      <c r="AH71" s="423" t="n"/>
      <c r="AI71" s="423" t="n"/>
      <c r="AJ71" s="422" t="n"/>
    </row>
    <row r="72" outlineLevel="1" s="239">
      <c r="B72" s="1304" t="inlineStr">
        <is>
          <t>Leased</t>
        </is>
      </c>
      <c r="C72" s="423" t="n">
        <v>0</v>
      </c>
      <c r="D72" s="423" t="n">
        <v>0</v>
      </c>
      <c r="E72" s="423" t="n">
        <v>0</v>
      </c>
      <c r="F72" s="423" t="n">
        <v>0</v>
      </c>
      <c r="G72" s="423" t="n">
        <v>0</v>
      </c>
      <c r="H72" s="423" t="n">
        <v>0</v>
      </c>
      <c r="I72" s="423" t="n">
        <v>0</v>
      </c>
      <c r="J72" s="423" t="n">
        <v>0</v>
      </c>
      <c r="K72" s="423" t="n">
        <v>0</v>
      </c>
      <c r="L72" s="423" t="n">
        <v>0</v>
      </c>
      <c r="M72" s="423" t="n">
        <v>0</v>
      </c>
      <c r="N72" s="423" t="n">
        <v>0</v>
      </c>
      <c r="O72" s="423" t="n">
        <v>0</v>
      </c>
      <c r="P72" s="423" t="n">
        <v>0</v>
      </c>
      <c r="Q72" s="423" t="n">
        <v>0</v>
      </c>
      <c r="R72" s="423" t="n">
        <v>0</v>
      </c>
      <c r="S72" s="423" t="n">
        <v>0</v>
      </c>
      <c r="T72" s="423" t="n">
        <v>0</v>
      </c>
      <c r="U72" s="423" t="n">
        <v>0</v>
      </c>
      <c r="V72" s="423" t="n">
        <v>0</v>
      </c>
      <c r="W72" s="423" t="n">
        <v>0</v>
      </c>
      <c r="X72" s="423" t="n">
        <v>0</v>
      </c>
      <c r="Y72" s="423" t="n">
        <v>0</v>
      </c>
      <c r="Z72" s="423" t="n">
        <v>0</v>
      </c>
      <c r="AA72" s="423" t="n">
        <v>0</v>
      </c>
      <c r="AB72" s="423" t="n">
        <v>0</v>
      </c>
      <c r="AC72" s="423" t="n">
        <v>0</v>
      </c>
      <c r="AD72" s="423" t="n"/>
      <c r="AE72" s="422" t="n"/>
      <c r="AF72" s="423" t="n"/>
      <c r="AG72" s="423" t="n"/>
      <c r="AH72" s="423" t="n"/>
      <c r="AI72" s="423" t="n"/>
      <c r="AJ72" s="422" t="n"/>
    </row>
    <row r="73">
      <c r="A73" s="1293" t="inlineStr">
        <is>
          <t>W</t>
        </is>
      </c>
      <c r="B73" s="1294" t="inlineStr">
        <is>
          <t>777-300</t>
        </is>
      </c>
      <c r="C73" s="422">
        <f>SUM(C74:C75)</f>
        <v/>
      </c>
      <c r="D73" s="422">
        <f>SUM(D74:D75)</f>
        <v/>
      </c>
      <c r="E73" s="422">
        <f>SUM(E74:E75)</f>
        <v/>
      </c>
      <c r="F73" s="422">
        <f>SUM(F74:F75)</f>
        <v/>
      </c>
      <c r="G73" s="422">
        <f>SUM(G74:G75)</f>
        <v/>
      </c>
      <c r="H73" s="422">
        <f>SUM(H74:H75)</f>
        <v/>
      </c>
      <c r="I73" s="422">
        <f>SUM(I74:I75)</f>
        <v/>
      </c>
      <c r="J73" s="422">
        <f>SUM(J74:J75)</f>
        <v/>
      </c>
      <c r="K73" s="422">
        <f>SUM(K74:K75)</f>
        <v/>
      </c>
      <c r="L73" s="422">
        <f>SUM(L74:L75)</f>
        <v/>
      </c>
      <c r="M73" s="422">
        <f>SUM(M74:M75)</f>
        <v/>
      </c>
      <c r="N73" s="422">
        <f>SUM(N74:N75)</f>
        <v/>
      </c>
      <c r="O73" s="422">
        <f>SUM(O74:O75)</f>
        <v/>
      </c>
      <c r="P73" s="422">
        <f>SUM(P74:P75)</f>
        <v/>
      </c>
      <c r="Q73" s="422">
        <f>SUM(Q74:Q75)</f>
        <v/>
      </c>
      <c r="R73" s="422">
        <f>SUM(R74:R75)</f>
        <v/>
      </c>
      <c r="S73" s="422">
        <f>SUM(S74:S75)</f>
        <v/>
      </c>
      <c r="T73" s="422">
        <f>SUM(T74:T75)</f>
        <v/>
      </c>
      <c r="U73" s="422">
        <f>SUM(U74:U75)</f>
        <v/>
      </c>
      <c r="V73" s="422">
        <f>SUM(V74:V75)</f>
        <v/>
      </c>
      <c r="W73" s="422">
        <f>SUM(W74:W75)</f>
        <v/>
      </c>
      <c r="X73" s="422">
        <f>SUM(X74:X75)</f>
        <v/>
      </c>
      <c r="Y73" s="422">
        <f>SUM(Y74:Y75)</f>
        <v/>
      </c>
      <c r="Z73" s="422">
        <f>SUM(Z74:Z75)</f>
        <v/>
      </c>
      <c r="AA73" s="422">
        <f>SUM(AA74:AA75)</f>
        <v/>
      </c>
      <c r="AB73" s="422">
        <f>SUM(AB74:AB75)</f>
        <v/>
      </c>
      <c r="AC73" s="422">
        <f>SUM(AC74:AC75)</f>
        <v/>
      </c>
      <c r="AD73" s="422" t="n"/>
      <c r="AE73" s="422" t="n"/>
      <c r="AF73" s="423" t="n">
        <v>0</v>
      </c>
      <c r="AG73" s="423" t="n">
        <v>0</v>
      </c>
      <c r="AH73" s="423" t="n">
        <v>0</v>
      </c>
      <c r="AI73" s="422">
        <f>SUM(AF73:AH73)</f>
        <v/>
      </c>
      <c r="AJ73" s="422" t="n"/>
    </row>
    <row r="74" outlineLevel="1" s="239">
      <c r="B74" s="1304" t="inlineStr">
        <is>
          <t>Owned</t>
        </is>
      </c>
      <c r="C74" s="423" t="n">
        <v>1</v>
      </c>
      <c r="D74" s="423">
        <f>0</f>
        <v/>
      </c>
      <c r="E74" s="423" t="n">
        <v>0</v>
      </c>
      <c r="F74" s="423" t="n">
        <v>0</v>
      </c>
      <c r="G74" s="423">
        <f>0</f>
        <v/>
      </c>
      <c r="H74" s="423" t="n">
        <v>0</v>
      </c>
      <c r="I74" s="423" t="n">
        <v>1</v>
      </c>
      <c r="J74" s="423" t="n">
        <v>1</v>
      </c>
      <c r="K74" s="423" t="n">
        <v>2</v>
      </c>
      <c r="L74" s="423" t="n">
        <v>2</v>
      </c>
      <c r="M74" s="423" t="n">
        <v>2</v>
      </c>
      <c r="N74" s="423" t="n">
        <v>3</v>
      </c>
      <c r="O74" s="423" t="n">
        <v>3</v>
      </c>
      <c r="P74" s="423" t="n">
        <v>3</v>
      </c>
      <c r="Q74" s="423" t="n">
        <v>5</v>
      </c>
      <c r="R74" s="423" t="n">
        <v>7</v>
      </c>
      <c r="S74" s="423" t="n">
        <v>8</v>
      </c>
      <c r="T74" s="423" t="n">
        <v>11</v>
      </c>
      <c r="U74" s="423" t="n">
        <v>12</v>
      </c>
      <c r="V74" s="423" t="n">
        <v>12</v>
      </c>
      <c r="W74" s="423" t="n">
        <v>14</v>
      </c>
      <c r="X74" s="423" t="n">
        <v>17</v>
      </c>
      <c r="Y74" s="423" t="n">
        <v>17</v>
      </c>
      <c r="Z74" s="423" t="n">
        <v>17</v>
      </c>
      <c r="AA74" s="423" t="n">
        <v>17</v>
      </c>
      <c r="AB74" s="423" t="n">
        <v>17</v>
      </c>
      <c r="AC74" s="423" t="n">
        <v>17</v>
      </c>
      <c r="AD74" s="423" t="n"/>
      <c r="AE74" s="422" t="n"/>
      <c r="AF74" s="423" t="n"/>
      <c r="AG74" s="423" t="n"/>
      <c r="AH74" s="423" t="n"/>
      <c r="AI74" s="423" t="n"/>
      <c r="AJ74" s="422" t="n"/>
    </row>
    <row r="75" outlineLevel="1" s="239">
      <c r="B75" s="1304" t="inlineStr">
        <is>
          <t>Leased</t>
        </is>
      </c>
      <c r="C75" s="423" t="n">
        <v>3</v>
      </c>
      <c r="D75" s="423">
        <f>7</f>
        <v/>
      </c>
      <c r="E75" s="423" t="n">
        <v>7</v>
      </c>
      <c r="F75" s="423" t="n">
        <v>7</v>
      </c>
      <c r="G75" s="423">
        <f>7</f>
        <v/>
      </c>
      <c r="H75" s="423" t="n">
        <v>9</v>
      </c>
      <c r="I75" s="423" t="n">
        <v>9</v>
      </c>
      <c r="J75" s="423" t="n">
        <v>10</v>
      </c>
      <c r="K75" s="423" t="n">
        <v>10</v>
      </c>
      <c r="L75" s="423" t="n">
        <v>10</v>
      </c>
      <c r="M75" s="423" t="n">
        <v>10</v>
      </c>
      <c r="N75" s="423" t="n">
        <v>9</v>
      </c>
      <c r="O75" s="423" t="n">
        <v>9</v>
      </c>
      <c r="P75" s="423" t="n">
        <v>9</v>
      </c>
      <c r="Q75" s="423" t="n">
        <v>7</v>
      </c>
      <c r="R75" s="423" t="n">
        <v>5</v>
      </c>
      <c r="S75" s="423" t="n">
        <v>4</v>
      </c>
      <c r="T75" s="423" t="n">
        <v>1</v>
      </c>
      <c r="U75" s="423" t="n">
        <v>0</v>
      </c>
      <c r="V75" s="423" t="n">
        <v>0</v>
      </c>
      <c r="W75" s="423" t="n">
        <v>0</v>
      </c>
      <c r="X75" s="423" t="n">
        <v>0</v>
      </c>
      <c r="Y75" s="423" t="n">
        <v>0</v>
      </c>
      <c r="Z75" s="423" t="n">
        <v>0</v>
      </c>
      <c r="AA75" s="423" t="n">
        <v>0</v>
      </c>
      <c r="AB75" s="423" t="n">
        <v>0</v>
      </c>
      <c r="AC75" s="423" t="n">
        <v>0</v>
      </c>
      <c r="AD75" s="423" t="n"/>
      <c r="AE75" s="422" t="n"/>
      <c r="AF75" s="423" t="n"/>
      <c r="AG75" s="423" t="n"/>
      <c r="AH75" s="423" t="n"/>
      <c r="AI75" s="423" t="n"/>
      <c r="AJ75" s="422" t="n"/>
    </row>
    <row r="76">
      <c r="A76" s="1293" t="inlineStr">
        <is>
          <t>W</t>
        </is>
      </c>
      <c r="B76" s="1294" t="inlineStr">
        <is>
          <t>777-300ER</t>
        </is>
      </c>
      <c r="C76" s="422">
        <f>SUM(C77:C78)</f>
        <v/>
      </c>
      <c r="D76" s="422">
        <f>SUM(D77:D78)</f>
        <v/>
      </c>
      <c r="E76" s="422">
        <f>SUM(E77:E78)</f>
        <v/>
      </c>
      <c r="F76" s="422">
        <f>SUM(F77:F78)</f>
        <v/>
      </c>
      <c r="G76" s="422">
        <f>SUM(G77:G78)</f>
        <v/>
      </c>
      <c r="H76" s="422">
        <f>SUM(H77:H78)</f>
        <v/>
      </c>
      <c r="I76" s="422">
        <f>SUM(I77:I78)</f>
        <v/>
      </c>
      <c r="J76" s="422">
        <f>SUM(J77:J78)</f>
        <v/>
      </c>
      <c r="K76" s="422">
        <f>SUM(K77:K78)</f>
        <v/>
      </c>
      <c r="L76" s="422">
        <f>SUM(L77:L78)</f>
        <v/>
      </c>
      <c r="M76" s="422">
        <f>SUM(M77:M78)</f>
        <v/>
      </c>
      <c r="N76" s="422">
        <f>SUM(N77:N78)</f>
        <v/>
      </c>
      <c r="O76" s="422">
        <f>SUM(O77:O78)</f>
        <v/>
      </c>
      <c r="P76" s="422">
        <f>SUM(P77:P78)</f>
        <v/>
      </c>
      <c r="Q76" s="422">
        <f>SUM(Q77:Q78)</f>
        <v/>
      </c>
      <c r="R76" s="422">
        <f>SUM(R77:R78)</f>
        <v/>
      </c>
      <c r="S76" s="422">
        <f>SUM(S77:S78)</f>
        <v/>
      </c>
      <c r="T76" s="422">
        <f>SUM(T77:T78)</f>
        <v/>
      </c>
      <c r="U76" s="422">
        <f>SUM(U77:U78)</f>
        <v/>
      </c>
      <c r="V76" s="422">
        <f>SUM(V77:V78)</f>
        <v/>
      </c>
      <c r="W76" s="422">
        <f>SUM(W77:W78)</f>
        <v/>
      </c>
      <c r="X76" s="422">
        <f>SUM(X77:X78)</f>
        <v/>
      </c>
      <c r="Y76" s="422">
        <f>SUM(Y77:Y78)</f>
        <v/>
      </c>
      <c r="Z76" s="422">
        <f>SUM(Z77:Z78)</f>
        <v/>
      </c>
      <c r="AA76" s="422">
        <f>SUM(AA77:AA78)</f>
        <v/>
      </c>
      <c r="AB76" s="422">
        <f>SUM(AB77:AB78)</f>
        <v/>
      </c>
      <c r="AC76" s="422">
        <f>SUM(AC77:AC78)</f>
        <v/>
      </c>
      <c r="AD76" s="422" t="n"/>
      <c r="AE76" s="422" t="n"/>
      <c r="AF76" s="423" t="n">
        <v>0</v>
      </c>
      <c r="AG76" s="423" t="n">
        <v>0</v>
      </c>
      <c r="AH76" s="423" t="n">
        <v>0</v>
      </c>
      <c r="AI76" s="422">
        <f>SUM(AF76:AH76)</f>
        <v/>
      </c>
      <c r="AJ76" s="422" t="n"/>
    </row>
    <row r="77" outlineLevel="1" s="239">
      <c r="B77" s="1304" t="inlineStr">
        <is>
          <t>Owned</t>
        </is>
      </c>
      <c r="C77" s="423" t="n">
        <v>0</v>
      </c>
      <c r="D77" s="423" t="n">
        <v>0</v>
      </c>
      <c r="E77" s="423" t="n">
        <v>0</v>
      </c>
      <c r="F77" s="423" t="n">
        <v>0</v>
      </c>
      <c r="G77" s="423" t="n">
        <v>0</v>
      </c>
      <c r="H77" s="423" t="n">
        <v>0</v>
      </c>
      <c r="I77" s="423" t="n">
        <v>0</v>
      </c>
      <c r="J77" s="423" t="n">
        <v>0</v>
      </c>
      <c r="K77" s="423" t="n">
        <v>0</v>
      </c>
      <c r="L77" s="423" t="n">
        <v>1</v>
      </c>
      <c r="M77" s="423" t="n">
        <v>1</v>
      </c>
      <c r="N77" s="423" t="n">
        <v>2</v>
      </c>
      <c r="O77" s="423" t="n">
        <v>2</v>
      </c>
      <c r="P77" s="423" t="n">
        <v>5</v>
      </c>
      <c r="Q77" s="423" t="n">
        <v>4</v>
      </c>
      <c r="R77" s="423" t="n">
        <v>8</v>
      </c>
      <c r="S77" s="423" t="n">
        <v>13</v>
      </c>
      <c r="T77" s="423" t="n">
        <v>19</v>
      </c>
      <c r="U77" s="423" t="n">
        <v>19</v>
      </c>
      <c r="V77" s="423" t="n">
        <v>19</v>
      </c>
      <c r="W77" s="423" t="n">
        <v>20</v>
      </c>
      <c r="X77" s="423" t="n">
        <v>22</v>
      </c>
      <c r="Y77" s="423" t="n">
        <v>23</v>
      </c>
      <c r="Z77" s="423" t="n">
        <v>25</v>
      </c>
      <c r="AA77" s="423" t="n">
        <v>28</v>
      </c>
      <c r="AB77" s="423" t="n">
        <v>30</v>
      </c>
      <c r="AC77" s="423" t="n">
        <v>24</v>
      </c>
      <c r="AD77" s="423" t="n"/>
      <c r="AE77" s="422" t="n"/>
      <c r="AF77" s="423" t="n"/>
      <c r="AG77" s="423" t="n"/>
      <c r="AH77" s="423" t="n"/>
      <c r="AI77" s="423" t="n"/>
      <c r="AJ77" s="422" t="n"/>
    </row>
    <row r="78" outlineLevel="1" s="239">
      <c r="B78" s="1304" t="inlineStr">
        <is>
          <t>Leased</t>
        </is>
      </c>
      <c r="C78" s="423" t="n">
        <v>0</v>
      </c>
      <c r="D78" s="423" t="n">
        <v>0</v>
      </c>
      <c r="E78" s="423" t="n">
        <v>0</v>
      </c>
      <c r="F78" s="423" t="n">
        <v>0</v>
      </c>
      <c r="G78" s="423" t="n">
        <v>0</v>
      </c>
      <c r="H78" s="423" t="n">
        <v>0</v>
      </c>
      <c r="I78" s="423" t="n">
        <v>0</v>
      </c>
      <c r="J78" s="423" t="n">
        <v>0</v>
      </c>
      <c r="K78" s="423" t="n">
        <v>0</v>
      </c>
      <c r="L78" s="423" t="n">
        <v>4</v>
      </c>
      <c r="M78" s="423" t="n">
        <v>8</v>
      </c>
      <c r="N78" s="423" t="n">
        <v>12</v>
      </c>
      <c r="O78" s="423" t="n">
        <v>16</v>
      </c>
      <c r="P78" s="423" t="n">
        <v>19</v>
      </c>
      <c r="Q78" s="423" t="n">
        <v>25</v>
      </c>
      <c r="R78" s="423">
        <f>11+19</f>
        <v/>
      </c>
      <c r="S78" s="423">
        <f>34</f>
        <v/>
      </c>
      <c r="T78" s="423" t="n">
        <v>34</v>
      </c>
      <c r="U78" s="423" t="n">
        <v>34</v>
      </c>
      <c r="V78" s="423" t="n">
        <v>34</v>
      </c>
      <c r="W78" s="423" t="n">
        <v>32</v>
      </c>
      <c r="X78" s="423" t="n">
        <v>29</v>
      </c>
      <c r="Y78" s="423" t="n">
        <v>28</v>
      </c>
      <c r="Z78" s="423" t="n">
        <v>20</v>
      </c>
      <c r="AA78" s="423" t="n">
        <v>13</v>
      </c>
      <c r="AB78" s="423" t="n">
        <v>9</v>
      </c>
      <c r="AC78" s="423" t="n">
        <v>12</v>
      </c>
      <c r="AD78" s="423" t="n"/>
      <c r="AE78" s="422" t="n"/>
      <c r="AF78" s="423" t="n"/>
      <c r="AG78" s="423" t="n"/>
      <c r="AH78" s="423" t="n"/>
      <c r="AI78" s="423" t="n"/>
      <c r="AJ78" s="422" t="n"/>
    </row>
    <row r="79">
      <c r="A79" s="1293" t="inlineStr">
        <is>
          <t>W</t>
        </is>
      </c>
      <c r="B79" s="1294" t="inlineStr">
        <is>
          <t>777-9</t>
        </is>
      </c>
      <c r="C79" s="422">
        <f>SUM(C80:C81)</f>
        <v/>
      </c>
      <c r="D79" s="422">
        <f>SUM(D80:D81)</f>
        <v/>
      </c>
      <c r="E79" s="422">
        <f>SUM(E80:E81)</f>
        <v/>
      </c>
      <c r="F79" s="422">
        <f>SUM(F80:F81)</f>
        <v/>
      </c>
      <c r="G79" s="422">
        <f>SUM(G80:G81)</f>
        <v/>
      </c>
      <c r="H79" s="422">
        <f>SUM(H80:H81)</f>
        <v/>
      </c>
      <c r="I79" s="422">
        <f>SUM(I80:I81)</f>
        <v/>
      </c>
      <c r="J79" s="422">
        <f>SUM(J80:J81)</f>
        <v/>
      </c>
      <c r="K79" s="422">
        <f>SUM(K80:K81)</f>
        <v/>
      </c>
      <c r="L79" s="422">
        <f>SUM(L80:L81)</f>
        <v/>
      </c>
      <c r="M79" s="422">
        <f>SUM(M80:M81)</f>
        <v/>
      </c>
      <c r="N79" s="422">
        <f>SUM(N80:N81)</f>
        <v/>
      </c>
      <c r="O79" s="422">
        <f>SUM(O80:O81)</f>
        <v/>
      </c>
      <c r="P79" s="422">
        <f>SUM(P80:P81)</f>
        <v/>
      </c>
      <c r="Q79" s="422">
        <f>SUM(Q80:Q81)</f>
        <v/>
      </c>
      <c r="R79" s="422">
        <f>SUM(R80:R81)</f>
        <v/>
      </c>
      <c r="S79" s="422">
        <f>SUM(S80:S81)</f>
        <v/>
      </c>
      <c r="T79" s="422">
        <f>SUM(T80:T81)</f>
        <v/>
      </c>
      <c r="U79" s="422">
        <f>SUM(U80:U81)</f>
        <v/>
      </c>
      <c r="V79" s="422">
        <f>SUM(V80:V81)</f>
        <v/>
      </c>
      <c r="W79" s="422">
        <f>SUM(W80:W81)</f>
        <v/>
      </c>
      <c r="X79" s="422">
        <f>SUM(X80:X81)</f>
        <v/>
      </c>
      <c r="Y79" s="422">
        <f>SUM(Y80:Y81)</f>
        <v/>
      </c>
      <c r="Z79" s="422">
        <f>SUM(Z80:Z81)</f>
        <v/>
      </c>
      <c r="AA79" s="422">
        <f>SUM(AA80:AA81)</f>
        <v/>
      </c>
      <c r="AB79" s="422">
        <f>SUM(AB80:AB81)</f>
        <v/>
      </c>
      <c r="AC79" s="422">
        <f>SUM(AC80:AC81)</f>
        <v/>
      </c>
      <c r="AD79" s="422" t="n"/>
      <c r="AE79" s="422" t="n"/>
      <c r="AF79" s="423" t="n">
        <v>0</v>
      </c>
      <c r="AG79" s="423" t="n">
        <v>6</v>
      </c>
      <c r="AH79" s="423" t="n">
        <v>29</v>
      </c>
      <c r="AI79" s="422">
        <f>SUM(AF79:AH79)</f>
        <v/>
      </c>
      <c r="AJ79" s="422" t="n"/>
    </row>
    <row r="80" outlineLevel="1" s="239">
      <c r="B80" s="1304" t="inlineStr">
        <is>
          <t>Owned</t>
        </is>
      </c>
      <c r="C80" s="423" t="n">
        <v>0</v>
      </c>
      <c r="D80" s="423" t="n">
        <v>0</v>
      </c>
      <c r="E80" s="423" t="n">
        <v>0</v>
      </c>
      <c r="F80" s="423" t="n">
        <v>0</v>
      </c>
      <c r="G80" s="423" t="n">
        <v>0</v>
      </c>
      <c r="H80" s="423" t="n">
        <v>0</v>
      </c>
      <c r="I80" s="423" t="n">
        <v>0</v>
      </c>
      <c r="J80" s="423" t="n">
        <v>0</v>
      </c>
      <c r="K80" s="423" t="n">
        <v>0</v>
      </c>
      <c r="L80" s="423" t="n">
        <v>0</v>
      </c>
      <c r="M80" s="423" t="n">
        <v>0</v>
      </c>
      <c r="N80" s="423" t="n">
        <v>0</v>
      </c>
      <c r="O80" s="423" t="n">
        <v>0</v>
      </c>
      <c r="P80" s="423" t="n">
        <v>0</v>
      </c>
      <c r="Q80" s="423" t="n">
        <v>0</v>
      </c>
      <c r="R80" s="423" t="n">
        <v>0</v>
      </c>
      <c r="S80" s="423" t="n">
        <v>0</v>
      </c>
      <c r="T80" s="423" t="n">
        <v>0</v>
      </c>
      <c r="U80" s="423" t="n">
        <v>0</v>
      </c>
      <c r="V80" s="423" t="n">
        <v>0</v>
      </c>
      <c r="W80" s="423" t="n">
        <v>0</v>
      </c>
      <c r="X80" s="423" t="n">
        <v>0</v>
      </c>
      <c r="Y80" s="423" t="n">
        <v>0</v>
      </c>
      <c r="Z80" s="423" t="n">
        <v>0</v>
      </c>
      <c r="AA80" s="423" t="n">
        <v>0</v>
      </c>
      <c r="AB80" s="423" t="n">
        <v>0</v>
      </c>
      <c r="AC80" s="423" t="n">
        <v>0</v>
      </c>
      <c r="AD80" s="423" t="n"/>
      <c r="AE80" s="422" t="n"/>
      <c r="AF80" s="423" t="n"/>
      <c r="AG80" s="423" t="n"/>
      <c r="AH80" s="423" t="n"/>
      <c r="AI80" s="423" t="n"/>
      <c r="AJ80" s="422" t="n"/>
    </row>
    <row r="81" outlineLevel="1" s="239">
      <c r="B81" s="1304" t="inlineStr">
        <is>
          <t>Leased</t>
        </is>
      </c>
      <c r="C81" s="423" t="n">
        <v>0</v>
      </c>
      <c r="D81" s="423" t="n">
        <v>0</v>
      </c>
      <c r="E81" s="423" t="n">
        <v>0</v>
      </c>
      <c r="F81" s="423" t="n">
        <v>0</v>
      </c>
      <c r="G81" s="423" t="n">
        <v>0</v>
      </c>
      <c r="H81" s="423" t="n">
        <v>0</v>
      </c>
      <c r="I81" s="423" t="n">
        <v>0</v>
      </c>
      <c r="J81" s="423" t="n">
        <v>0</v>
      </c>
      <c r="K81" s="423" t="n">
        <v>0</v>
      </c>
      <c r="L81" s="423" t="n">
        <v>0</v>
      </c>
      <c r="M81" s="423" t="n">
        <v>0</v>
      </c>
      <c r="N81" s="423" t="n">
        <v>0</v>
      </c>
      <c r="O81" s="423" t="n">
        <v>0</v>
      </c>
      <c r="P81" s="423" t="n">
        <v>0</v>
      </c>
      <c r="Q81" s="423" t="n">
        <v>0</v>
      </c>
      <c r="R81" s="423" t="n">
        <v>0</v>
      </c>
      <c r="S81" s="423" t="n">
        <v>0</v>
      </c>
      <c r="T81" s="423" t="n">
        <v>0</v>
      </c>
      <c r="U81" s="423" t="n">
        <v>0</v>
      </c>
      <c r="V81" s="423" t="n">
        <v>0</v>
      </c>
      <c r="W81" s="423" t="n">
        <v>0</v>
      </c>
      <c r="X81" s="423" t="n">
        <v>0</v>
      </c>
      <c r="Y81" s="423" t="n">
        <v>0</v>
      </c>
      <c r="Z81" s="423" t="n">
        <v>0</v>
      </c>
      <c r="AA81" s="423" t="n">
        <v>0</v>
      </c>
      <c r="AB81" s="423" t="n">
        <v>0</v>
      </c>
      <c r="AC81" s="423" t="n">
        <v>0</v>
      </c>
      <c r="AD81" s="423" t="n"/>
      <c r="AE81" s="422" t="n"/>
      <c r="AF81" s="423" t="n"/>
      <c r="AG81" s="423" t="n"/>
      <c r="AH81" s="423" t="n"/>
      <c r="AI81" s="423" t="n"/>
      <c r="AJ81" s="422" t="n"/>
    </row>
    <row r="82" ht="12.75" customFormat="1" customHeight="1" s="1296">
      <c r="A82" s="1293" t="n"/>
      <c r="B82" s="1296" t="inlineStr">
        <is>
          <t>Sub-total</t>
        </is>
      </c>
      <c r="C82" s="424">
        <f>SUM(C83:C84)</f>
        <v/>
      </c>
      <c r="D82" s="424">
        <f>SUM(D83:D84)</f>
        <v/>
      </c>
      <c r="E82" s="424">
        <f>SUM(E83:E84)</f>
        <v/>
      </c>
      <c r="F82" s="424">
        <f>SUM(F83:F84)</f>
        <v/>
      </c>
      <c r="G82" s="424">
        <f>SUM(G83:G84)</f>
        <v/>
      </c>
      <c r="H82" s="424">
        <f>SUM(H83:H84)</f>
        <v/>
      </c>
      <c r="I82" s="424">
        <f>SUM(I83:I84)</f>
        <v/>
      </c>
      <c r="J82" s="424">
        <f>SUM(J83:J84)</f>
        <v/>
      </c>
      <c r="K82" s="424">
        <f>SUM(K83:K84)</f>
        <v/>
      </c>
      <c r="L82" s="424">
        <f>SUM(L83:L84)</f>
        <v/>
      </c>
      <c r="M82" s="424">
        <f>SUM(M83:M84)</f>
        <v/>
      </c>
      <c r="N82" s="424">
        <f>SUM(N83:N84)</f>
        <v/>
      </c>
      <c r="O82" s="424">
        <f>SUM(O83:O84)</f>
        <v/>
      </c>
      <c r="P82" s="424">
        <f>SUM(P83:P84)</f>
        <v/>
      </c>
      <c r="Q82" s="424">
        <f>SUM(Q83:Q84)</f>
        <v/>
      </c>
      <c r="R82" s="424">
        <f>SUM(R83:R84)</f>
        <v/>
      </c>
      <c r="S82" s="424">
        <f>SUM(S83:S84)</f>
        <v/>
      </c>
      <c r="T82" s="424">
        <f>SUM(T83:T84)</f>
        <v/>
      </c>
      <c r="U82" s="424">
        <f>SUM(U83:U84)</f>
        <v/>
      </c>
      <c r="V82" s="424">
        <f>SUM(V83:V84)</f>
        <v/>
      </c>
      <c r="W82" s="424">
        <f>SUM(W83:W84)</f>
        <v/>
      </c>
      <c r="X82" s="424">
        <f>SUM(X83:X84)</f>
        <v/>
      </c>
      <c r="Y82" s="424">
        <f>SUM(Y83:Y84)</f>
        <v/>
      </c>
      <c r="Z82" s="424">
        <f>SUM(Z83:Z84)</f>
        <v/>
      </c>
      <c r="AA82" s="424">
        <f>SUM(AA83:AA84)</f>
        <v/>
      </c>
      <c r="AB82" s="424">
        <f>SUM(AB83:AB84)</f>
        <v/>
      </c>
      <c r="AC82" s="424">
        <f>SUM(AC83:AC84)</f>
        <v/>
      </c>
      <c r="AD82" s="424" t="n"/>
      <c r="AE82" s="424" t="n"/>
      <c r="AF82" s="424">
        <f>AF10+AF13+AF16+AF19+AF31+AF34+AF61+AF64+AF73+AF76+AF79+AF58+AF67+AF70+AF25+AF46+AF55+AF49+AF28+AF52+AF43+AF40+AF37+AF22</f>
        <v/>
      </c>
      <c r="AG82" s="424">
        <f>AG10+AG13+AG16+AG19+AG31+AG34+AG61+AG64+AG73+AG76+AG79+AG58+AG67+AG70+AG25+AG46+AG55+AG49+AG28+AG52+AG43+AG40+AG37+AG22</f>
        <v/>
      </c>
      <c r="AH82" s="424">
        <f>AH10+AH13+AH16+AH19+AH31+AH34+AH61+AH64+AH73+AH76+AH79+AH58+AH67+AH70+AH25+AH46+AH55+AH49+AH28+AH52+AH43+AH40+AH37+AH22</f>
        <v/>
      </c>
      <c r="AI82" s="424">
        <f>AI10+AI13+AI16+AI19+AI31+AI34+AI61+AI64+AI73+AI76+AI79+AI58+AI67+AI70+AI25+AI46+AI55+AI49+AI28+AI52+AI43+AI40+AI37+AI22</f>
        <v/>
      </c>
      <c r="AJ82" s="424" t="n"/>
    </row>
    <row r="83" outlineLevel="1" s="239">
      <c r="B83" s="1304" t="inlineStr">
        <is>
          <t>Owned</t>
        </is>
      </c>
      <c r="C83" s="422">
        <f>C11+C14+C17+C20+C23+C32+C35+C62+C65+C74+C77+C80+C59+C68+C71+C26+C47+C56+C50+C29+C53+C44+C41+C38</f>
        <v/>
      </c>
      <c r="D83" s="422">
        <f>D11+D14+D17+D20+D23+D32+D35+D62+D65+D74+D77+D80+D59+D68+D71+D26+D47+D56+D50+D29+D53+D44+D41+D38</f>
        <v/>
      </c>
      <c r="E83" s="422">
        <f>E11+E14+E17+E20+E23+E32+E35+E62+E65+E74+E77+E80+E59+E68+E71+E26+E47+E56+E50+E29+E53+E44+E41+E38</f>
        <v/>
      </c>
      <c r="F83" s="422">
        <f>F11+F14+F17+F20+F23+F32+F35+F62+F65+F74+F77+F80+F59+F68+F71+F26+F47+F56+F50+F29+F53+F44+F41+F38</f>
        <v/>
      </c>
      <c r="G83" s="422">
        <f>G11+G14+G17+G20+G23+G32+G35+G62+G65+G74+G77+G80+G59+G68+G71+G26+G47+G56+G50+G29+G53+G44+G41+G38</f>
        <v/>
      </c>
      <c r="H83" s="422">
        <f>H11+H14+H17+H20+H23+H32+H35+H62+H65+H74+H77+H80+H59+H68+H71+H26+H47+H56+H50+H29+H53+H44+H41+H38</f>
        <v/>
      </c>
      <c r="I83" s="422">
        <f>I11+I14+I17+I20+I23+I32+I35+I62+I65+I74+I77+I80+I59+I68+I71+I26+I47+I56+I50+I29+I53+I44+I41+I38</f>
        <v/>
      </c>
      <c r="J83" s="422">
        <f>J11+J14+J17+J20+J23+J32+J35+J62+J65+J74+J77+J80+J59+J68+J71+J26+J47+J56+J50+J29+J53+J44+J41+J38</f>
        <v/>
      </c>
      <c r="K83" s="422">
        <f>K11+K14+K17+K20+K23+K32+K35+K62+K65+K74+K77+K80+K59+K68+K71+K26+K47+K56+K50+K29+K53+K44+K41+K38</f>
        <v/>
      </c>
      <c r="L83" s="422">
        <f>L11+L14+L17+L20+L23+L32+L35+L62+L65+L74+L77+L80+L59+L68+L71+L26+L47+L56+L50+L29+L53+L44+L41+L38</f>
        <v/>
      </c>
      <c r="M83" s="422">
        <f>M11+M14+M17+M20+M23+M32+M35+M62+M65+M74+M77+M80+M59+M68+M71+M26+M47+M56+M50+M29+M53+M44+M41+M38</f>
        <v/>
      </c>
      <c r="N83" s="422">
        <f>N11+N14+N17+N20+N23+N32+N35+N62+N65+N74+N77+N80+N59+N68+N71+N26+N47+N56+N50+N29+N53+N44+N41+N38</f>
        <v/>
      </c>
      <c r="O83" s="422">
        <f>O11+O14+O17+O20+O23+O32+O35+O62+O65+O74+O77+O80+O59+O68+O71+O26+O47+O56+O50+O29+O53+O44+O41+O38</f>
        <v/>
      </c>
      <c r="P83" s="422">
        <f>P11+P14+P17+P20+P23+P32+P35+P62+P65+P74+P77+P80+P59+P68+P71+P26+P47+P56+P50+P29+P53+P44+P41+P38</f>
        <v/>
      </c>
      <c r="Q83" s="422">
        <f>Q11+Q14+Q17+Q20+Q23+Q32+Q35+Q62+Q65+Q74+Q77+Q80+Q59+Q68+Q71+Q26+Q47+Q56+Q50+Q29+Q53+Q44+Q41+Q38</f>
        <v/>
      </c>
      <c r="R83" s="422">
        <f>R11+R14+R17+R20+R23+R32+R35+R62+R65+R74+R77+R80+R59+R68+R71+R26+R47+R56+R50+R29+R53+R44+R41+R38</f>
        <v/>
      </c>
      <c r="S83" s="422">
        <f>S11+S14+S17+S20+S23+S32+S35+S62+S65+S74+S77+S80+S59+S68+S71+S26+S47+S56+S50+S29+S53+S44+S41+S38</f>
        <v/>
      </c>
      <c r="T83" s="422">
        <f>T11+T14+T17+T20+T23+T32+T35+T62+T65+T74+T77+T80+T59+T68+T71+T26+T47+T56+T50+T29+T53+T44+T41+T38</f>
        <v/>
      </c>
      <c r="U83" s="422">
        <f>U11+U14+U17+U20+U23+U32+U35+U62+U65+U74+U77+U80+U59+U68+U71+U26+U47+U56+U50+U29+U53+U44+U41+U38</f>
        <v/>
      </c>
      <c r="V83" s="422">
        <f>V11+V14+V17+V20+V23+V32+V35+V62+V65+V74+V77+V80+V59+V68+V71+V26+V47+V56+V50+V29+V53+V44+V41+V38</f>
        <v/>
      </c>
      <c r="W83" s="422">
        <f>W11+W14+W17+W20+W23+W32+W35+W62+W65+W74+W77+W80+W59+W68+W71+W26+W47+W56+W50+W29+W53+W44+W41+W38</f>
        <v/>
      </c>
      <c r="X83" s="422">
        <f>X11+X14+X17+X20+X23+X32+X35+X62+X65+X74+X77+X80+X59+X68+X71+X26+X47+X56+X50+X29+X53+X44+X41+X38</f>
        <v/>
      </c>
      <c r="Y83" s="422">
        <f>Y11+Y14+Y17+Y20+Y23+Y32+Y35+Y62+Y65+Y74+Y77+Y80+Y59+Y68+Y71+Y26+Y47+Y56+Y50+Y29+Y53+Y44+Y41+Y38</f>
        <v/>
      </c>
      <c r="Z83" s="422">
        <f>Z11+Z14+Z17+Z20+Z23+Z32+Z35+Z62+Z65+Z74+Z77+Z80+Z59+Z68+Z71+Z26+Z47+Z56+Z50+Z29+Z53+Z44+Z41+Z38</f>
        <v/>
      </c>
      <c r="AA83" s="422">
        <f>AA11+AA14+AA17+AA20+AA23+AA32+AA35+AA62+AA65+AA74+AA77+AA80+AA59+AA68+AA71+AA26+AA47+AA56+AA50+AA29+AA53+AA44+AA41+AA38</f>
        <v/>
      </c>
      <c r="AB83" s="422">
        <f>AB11+AB14+AB17+AB20+AB23+AB32+AB35+AB62+AB65+AB74+AB77+AB80+AB59+AB68+AB71+AB26+AB47+AB56+AB50+AB29+AB53+AB44+AB41+AB38</f>
        <v/>
      </c>
      <c r="AC83" s="422">
        <f>AC11+AC14+AC17+AC20+AC23+AC32+AC35+AC62+AC65+AC74+AC77+AC80+AC59+AC68+AC71+AC26+AC47+AC56+AC50+AC29+AC53+AC44+AC41+AC38</f>
        <v/>
      </c>
      <c r="AD83" s="422" t="n"/>
      <c r="AE83" s="422" t="n"/>
      <c r="AF83" s="422" t="n"/>
      <c r="AG83" s="422" t="n"/>
      <c r="AH83" s="422" t="n"/>
      <c r="AI83" s="422" t="n"/>
      <c r="AJ83" s="422" t="n"/>
    </row>
    <row r="84" outlineLevel="1" s="239">
      <c r="B84" s="1304" t="inlineStr">
        <is>
          <t>Leased</t>
        </is>
      </c>
      <c r="C84" s="422">
        <f>C12+C15+C18+C21+C33+C36+C63+C66+C75+C78+C81+C60+C69+C72+C27+C48+C57+C51+C30+C54+C45+C42+C39+C24</f>
        <v/>
      </c>
      <c r="D84" s="422">
        <f>D12+D15+D18+D21+D33+D36+D63+D66+D75+D78+D81+D60+D69+D72+D27+D48+D57+D51+D30+D54+D45+D42+D39+D24</f>
        <v/>
      </c>
      <c r="E84" s="422">
        <f>E12+E15+E18+E21+E33+E36+E63+E66+E75+E78+E81+E60+E69+E72+E27+E48+E57+E51+E30+E54+E45+E42+E39+E24</f>
        <v/>
      </c>
      <c r="F84" s="422">
        <f>F12+F15+F18+F21+F33+F36+F63+F66+F75+F78+F81+F60+F69+F72+F27+F48+F57+F51+F30+F54+F45+F42+F39+F24</f>
        <v/>
      </c>
      <c r="G84" s="422">
        <f>G12+G15+G18+G21+G33+G36+G63+G66+G75+G78+G81+G60+G69+G72+G27+G48+G57+G51+G30+G54+G45+G42+G39+G24</f>
        <v/>
      </c>
      <c r="H84" s="422">
        <f>H12+H15+H18+H21+H33+H36+H63+H66+H75+H78+H81+H60+H69+H72+H27+H48+H57+H51+H30+H54+H45+H42+H39+H24</f>
        <v/>
      </c>
      <c r="I84" s="422">
        <f>I12+I15+I18+I21+I33+I36+I63+I66+I75+I78+I81+I60+I69+I72+I27+I48+I57+I51+I30+I54+I45+I42+I39+I24</f>
        <v/>
      </c>
      <c r="J84" s="422">
        <f>J12+J15+J18+J21+J33+J36+J63+J66+J75+J78+J81+J60+J69+J72+J27+J48+J57+J51+J30+J54+J45+J42+J39+J24</f>
        <v/>
      </c>
      <c r="K84" s="422">
        <f>K12+K15+K18+K21+K33+K36+K63+K66+K75+K78+K81+K60+K69+K72+K27+K48+K57+K51+K30+K54+K45+K42+K39+K24</f>
        <v/>
      </c>
      <c r="L84" s="422">
        <f>L12+L15+L18+L21+L33+L36+L63+L66+L75+L78+L81+L60+L69+L72+L27+L48+L57+L51+L30+L54+L45+L42+L39+L24</f>
        <v/>
      </c>
      <c r="M84" s="422">
        <f>M12+M15+M18+M21+M33+M36+M63+M66+M75+M78+M81+M60+M69+M72+M27+M48+M57+M51+M30+M54+M45+M42+M39+M24</f>
        <v/>
      </c>
      <c r="N84" s="422">
        <f>N12+N15+N18+N21+N33+N36+N63+N66+N75+N78+N81+N60+N69+N72+N27+N48+N57+N51+N30+N54+N45+N42+N39+N24</f>
        <v/>
      </c>
      <c r="O84" s="422">
        <f>O12+O15+O18+O21+O33+O36+O63+O66+O75+O78+O81+O60+O69+O72+O27+O48+O57+O51+O30+O54+O45+O42+O39+O24</f>
        <v/>
      </c>
      <c r="P84" s="422">
        <f>P12+P15+P18+P21+P33+P36+P63+P66+P75+P78+P81+P60+P69+P72+P27+P48+P57+P51+P30+P54+P45+P42+P39+P24</f>
        <v/>
      </c>
      <c r="Q84" s="422">
        <f>Q12+Q15+Q18+Q21+Q33+Q36+Q63+Q66+Q75+Q78+Q81+Q60+Q69+Q72+Q27+Q48+Q57+Q51+Q30+Q54+Q45+Q42+Q39+Q24</f>
        <v/>
      </c>
      <c r="R84" s="422">
        <f>R12+R15+R18+R21+R33+R36+R63+R66+R75+R78+R81+R60+R69+R72+R27+R48+R57+R51+R30+R54+R45+R42+R39+R24</f>
        <v/>
      </c>
      <c r="S84" s="422">
        <f>S12+S15+S18+S21+S33+S36+S63+S66+S75+S78+S81+S60+S69+S72+S27+S48+S57+S51+S30+S54+S45+S42+S39+S24</f>
        <v/>
      </c>
      <c r="T84" s="422">
        <f>T12+T15+T18+T21+T33+T36+T63+T66+T75+T78+T81+T60+T69+T72+T27+T48+T57+T51+T30+T54+T45+T42+T39+T24</f>
        <v/>
      </c>
      <c r="U84" s="422">
        <f>U12+U15+U18+U21+U33+U36+U63+U66+U75+U78+U81+U60+U69+U72+U27+U48+U57+U51+U30+U54+U45+U42+U39+U24</f>
        <v/>
      </c>
      <c r="V84" s="422">
        <f>V12+V15+V18+V21+V33+V36+V63+V66+V75+V78+V81+V60+V69+V72+V27+V48+V57+V51+V30+V54+V45+V42+V39+V24</f>
        <v/>
      </c>
      <c r="W84" s="422">
        <f>W12+W15+W18+W21+W33+W36+W63+W66+W75+W78+W81+W60+W69+W72+W27+W48+W57+W51+W30+W54+W45+W42+W39+W24</f>
        <v/>
      </c>
      <c r="X84" s="422">
        <f>X12+X15+X18+X21+X33+X36+X63+X66+X75+X78+X81+X60+X69+X72+X27+X48+X57+X51+X30+X54+X45+X42+X39+X24</f>
        <v/>
      </c>
      <c r="Y84" s="422">
        <f>Y12+Y15+Y18+Y21+Y33+Y36+Y63+Y66+Y75+Y78+Y81+Y60+Y69+Y72+Y27+Y48+Y57+Y51+Y30+Y54+Y45+Y42+Y39+Y24</f>
        <v/>
      </c>
      <c r="Z84" s="422">
        <f>Z12+Z15+Z18+Z21+Z33+Z36+Z63+Z66+Z75+Z78+Z81+Z60+Z69+Z72+Z27+Z48+Z57+Z51+Z30+Z54+Z45+Z42+Z39+Z24</f>
        <v/>
      </c>
      <c r="AA84" s="422">
        <f>AA12+AA15+AA18+AA21+AA33+AA36+AA63+AA66+AA75+AA78+AA81+AA60+AA69+AA72+AA27+AA48+AA57+AA51+AA30+AA54+AA45+AA42+AA39+AA24</f>
        <v/>
      </c>
      <c r="AB84" s="422">
        <f>AB12+AB15+AB18+AB21+AB33+AB36+AB63+AB66+AB75+AB78+AB81+AB60+AB69+AB72+AB27+AB48+AB57+AB51+AB30+AB54+AB45+AB42+AB39+AB24</f>
        <v/>
      </c>
      <c r="AC84" s="422">
        <f>AC12+AC15+AC18+AC21+AC33+AC36+AC63+AC66+AC75+AC78+AC81+AC60+AC69+AC72+AC27+AC48+AC57+AC51+AC30+AC54+AC45+AC42+AC39+AC24</f>
        <v/>
      </c>
      <c r="AD84" s="422" t="n"/>
      <c r="AE84" s="422" t="n"/>
      <c r="AF84" s="422" t="n"/>
      <c r="AG84" s="422" t="n"/>
      <c r="AH84" s="422" t="n"/>
      <c r="AI84" s="422" t="n"/>
      <c r="AJ84" s="422" t="n"/>
    </row>
    <row r="85" ht="12.75" customFormat="1" customHeight="1" s="1296">
      <c r="A85" s="1293" t="n"/>
      <c r="B85" s="1302" t="inlineStr">
        <is>
          <t>HK Express</t>
        </is>
      </c>
      <c r="C85" s="425" t="n"/>
      <c r="D85" s="425" t="n"/>
      <c r="E85" s="425" t="n"/>
      <c r="F85" s="425" t="n"/>
      <c r="G85" s="425" t="n"/>
      <c r="H85" s="425" t="n"/>
      <c r="I85" s="425" t="n"/>
      <c r="J85" s="425" t="n"/>
      <c r="K85" s="425" t="n"/>
      <c r="L85" s="425" t="n"/>
      <c r="M85" s="425" t="n"/>
      <c r="N85" s="425" t="n"/>
      <c r="O85" s="425" t="n"/>
      <c r="P85" s="425" t="n"/>
      <c r="Q85" s="425" t="n"/>
      <c r="R85" s="425" t="n"/>
      <c r="S85" s="425" t="n"/>
      <c r="T85" s="425" t="n"/>
      <c r="U85" s="425" t="n"/>
      <c r="V85" s="425" t="n"/>
      <c r="W85" s="425" t="n"/>
      <c r="X85" s="425" t="n"/>
      <c r="Y85" s="425" t="n"/>
      <c r="Z85" s="425" t="n"/>
      <c r="AA85" s="425" t="n"/>
      <c r="AB85" s="425" t="n"/>
      <c r="AC85" s="425" t="n"/>
      <c r="AD85" s="425" t="n"/>
      <c r="AE85" s="424" t="n"/>
      <c r="AF85" s="425" t="n"/>
      <c r="AG85" s="425" t="n"/>
      <c r="AH85" s="425" t="n"/>
      <c r="AI85" s="425" t="n"/>
      <c r="AJ85" s="424" t="n"/>
    </row>
    <row r="86">
      <c r="A86" s="1293" t="inlineStr">
        <is>
          <t>N</t>
        </is>
      </c>
      <c r="B86" s="1294" t="inlineStr">
        <is>
          <t>A320-200</t>
        </is>
      </c>
      <c r="C86" s="422">
        <f>SUM(C87:C88)</f>
        <v/>
      </c>
      <c r="D86" s="422">
        <f>SUM(D87:D88)</f>
        <v/>
      </c>
      <c r="E86" s="422">
        <f>SUM(E87:E88)</f>
        <v/>
      </c>
      <c r="F86" s="422">
        <f>SUM(F87:F88)</f>
        <v/>
      </c>
      <c r="G86" s="422">
        <f>SUM(G87:G88)</f>
        <v/>
      </c>
      <c r="H86" s="422">
        <f>SUM(H87:H88)</f>
        <v/>
      </c>
      <c r="I86" s="422">
        <f>SUM(I87:I88)</f>
        <v/>
      </c>
      <c r="J86" s="422">
        <f>SUM(J87:J88)</f>
        <v/>
      </c>
      <c r="K86" s="422">
        <f>SUM(K87:K88)</f>
        <v/>
      </c>
      <c r="L86" s="422">
        <f>SUM(L87:L88)</f>
        <v/>
      </c>
      <c r="M86" s="422">
        <f>SUM(M87:M88)</f>
        <v/>
      </c>
      <c r="N86" s="422">
        <f>SUM(N87:N88)</f>
        <v/>
      </c>
      <c r="O86" s="422">
        <f>SUM(O87:O88)</f>
        <v/>
      </c>
      <c r="P86" s="422">
        <f>SUM(P87:P88)</f>
        <v/>
      </c>
      <c r="Q86" s="422">
        <f>SUM(Q87:Q88)</f>
        <v/>
      </c>
      <c r="R86" s="422">
        <f>SUM(R87:R88)</f>
        <v/>
      </c>
      <c r="S86" s="422">
        <f>SUM(S87:S88)</f>
        <v/>
      </c>
      <c r="T86" s="422">
        <f>SUM(T87:T88)</f>
        <v/>
      </c>
      <c r="U86" s="422">
        <f>SUM(U87:U88)</f>
        <v/>
      </c>
      <c r="V86" s="422">
        <f>SUM(V87:V88)</f>
        <v/>
      </c>
      <c r="W86" s="422">
        <f>SUM(W87:W88)</f>
        <v/>
      </c>
      <c r="X86" s="422">
        <f>SUM(X87:X88)</f>
        <v/>
      </c>
      <c r="Y86" s="422">
        <f>SUM(Y87:Y88)</f>
        <v/>
      </c>
      <c r="Z86" s="422">
        <f>SUM(Z87:Z88)</f>
        <v/>
      </c>
      <c r="AA86" s="422">
        <f>SUM(AA87:AA88)</f>
        <v/>
      </c>
      <c r="AB86" s="422">
        <f>SUM(AB87:AB88)</f>
        <v/>
      </c>
      <c r="AC86" s="422">
        <f>SUM(AC87:AC88)</f>
        <v/>
      </c>
      <c r="AD86" s="422" t="n"/>
      <c r="AE86" s="422" t="n"/>
      <c r="AF86" s="423" t="n">
        <v>0</v>
      </c>
      <c r="AG86" s="423" t="n">
        <v>0</v>
      </c>
      <c r="AH86" s="423" t="n">
        <v>0</v>
      </c>
      <c r="AI86" s="422">
        <f>SUM(AF86:AH86)</f>
        <v/>
      </c>
      <c r="AJ86" s="422" t="n"/>
    </row>
    <row r="87" outlineLevel="1" s="239">
      <c r="B87" s="1304" t="inlineStr">
        <is>
          <t>Owned</t>
        </is>
      </c>
      <c r="C87" s="423" t="n">
        <v>0</v>
      </c>
      <c r="D87" s="423" t="n">
        <v>0</v>
      </c>
      <c r="E87" s="423" t="n">
        <v>0</v>
      </c>
      <c r="F87" s="423" t="n">
        <v>0</v>
      </c>
      <c r="G87" s="423" t="n">
        <v>0</v>
      </c>
      <c r="H87" s="423" t="n">
        <v>0</v>
      </c>
      <c r="I87" s="423" t="n">
        <v>0</v>
      </c>
      <c r="J87" s="423" t="n">
        <v>0</v>
      </c>
      <c r="K87" s="423" t="n">
        <v>0</v>
      </c>
      <c r="L87" s="423" t="n">
        <v>0</v>
      </c>
      <c r="M87" s="423" t="n">
        <v>0</v>
      </c>
      <c r="N87" s="423" t="n">
        <v>0</v>
      </c>
      <c r="O87" s="423" t="n">
        <v>0</v>
      </c>
      <c r="P87" s="423" t="n">
        <v>0</v>
      </c>
      <c r="Q87" s="423" t="n">
        <v>0</v>
      </c>
      <c r="R87" s="423" t="n">
        <v>0</v>
      </c>
      <c r="S87" s="423" t="n">
        <v>0</v>
      </c>
      <c r="T87" s="423" t="n">
        <v>0</v>
      </c>
      <c r="U87" s="423" t="n">
        <v>0</v>
      </c>
      <c r="V87" s="423" t="n">
        <v>0</v>
      </c>
      <c r="W87" s="423" t="n">
        <v>0</v>
      </c>
      <c r="X87" s="423" t="n">
        <v>0</v>
      </c>
      <c r="Y87" s="423" t="n">
        <v>0</v>
      </c>
      <c r="Z87" s="423" t="n">
        <v>0</v>
      </c>
      <c r="AA87" s="423" t="n">
        <v>0</v>
      </c>
      <c r="AB87" s="423" t="n">
        <v>0</v>
      </c>
      <c r="AC87" s="423" t="n">
        <v>3</v>
      </c>
      <c r="AD87" s="423" t="n"/>
      <c r="AE87" s="422" t="n"/>
      <c r="AF87" s="423" t="n"/>
      <c r="AG87" s="423" t="n"/>
      <c r="AH87" s="423" t="n"/>
      <c r="AI87" s="423" t="n"/>
      <c r="AJ87" s="422" t="n"/>
    </row>
    <row r="88" outlineLevel="1" s="239">
      <c r="B88" s="1304" t="inlineStr">
        <is>
          <t>Leased</t>
        </is>
      </c>
      <c r="C88" s="423" t="n">
        <v>0</v>
      </c>
      <c r="D88" s="423" t="n">
        <v>0</v>
      </c>
      <c r="E88" s="423" t="n">
        <v>0</v>
      </c>
      <c r="F88" s="423" t="n">
        <v>0</v>
      </c>
      <c r="G88" s="423" t="n">
        <v>0</v>
      </c>
      <c r="H88" s="423" t="n">
        <v>0</v>
      </c>
      <c r="I88" s="423" t="n">
        <v>0</v>
      </c>
      <c r="J88" s="423" t="n">
        <v>0</v>
      </c>
      <c r="K88" s="423" t="n">
        <v>0</v>
      </c>
      <c r="L88" s="423" t="n">
        <v>0</v>
      </c>
      <c r="M88" s="423" t="n">
        <v>0</v>
      </c>
      <c r="N88" s="423" t="n">
        <v>0</v>
      </c>
      <c r="O88" s="423" t="n">
        <v>0</v>
      </c>
      <c r="P88" s="423" t="n">
        <v>0</v>
      </c>
      <c r="Q88" s="423" t="n">
        <v>0</v>
      </c>
      <c r="R88" s="423" t="n">
        <v>0</v>
      </c>
      <c r="S88" s="423" t="n">
        <v>0</v>
      </c>
      <c r="T88" s="423" t="n">
        <v>0</v>
      </c>
      <c r="U88" s="423" t="n">
        <v>0</v>
      </c>
      <c r="V88" s="423" t="n">
        <v>0</v>
      </c>
      <c r="W88" s="423" t="n">
        <v>0</v>
      </c>
      <c r="X88" s="423" t="n">
        <v>8</v>
      </c>
      <c r="Y88" s="423" t="n">
        <v>8</v>
      </c>
      <c r="Z88" s="423" t="n">
        <v>6</v>
      </c>
      <c r="AA88" s="423" t="n">
        <v>5</v>
      </c>
      <c r="AB88" s="423" t="n">
        <v>8</v>
      </c>
      <c r="AC88" s="423" t="n">
        <v>3</v>
      </c>
      <c r="AD88" s="423" t="n"/>
      <c r="AE88" s="422" t="n"/>
      <c r="AF88" s="423" t="n"/>
      <c r="AG88" s="423" t="n"/>
      <c r="AH88" s="423" t="n"/>
      <c r="AI88" s="423" t="n"/>
      <c r="AJ88" s="422" t="n"/>
    </row>
    <row r="89">
      <c r="A89" s="1293" t="inlineStr">
        <is>
          <t>N</t>
        </is>
      </c>
      <c r="B89" s="1294" t="inlineStr">
        <is>
          <t>A320-200neo</t>
        </is>
      </c>
      <c r="C89" s="422">
        <f>SUM(C90:C91)</f>
        <v/>
      </c>
      <c r="D89" s="422">
        <f>SUM(D90:D91)</f>
        <v/>
      </c>
      <c r="E89" s="422">
        <f>SUM(E90:E91)</f>
        <v/>
      </c>
      <c r="F89" s="422">
        <f>SUM(F90:F91)</f>
        <v/>
      </c>
      <c r="G89" s="422">
        <f>SUM(G90:G91)</f>
        <v/>
      </c>
      <c r="H89" s="422">
        <f>SUM(H90:H91)</f>
        <v/>
      </c>
      <c r="I89" s="422">
        <f>SUM(I90:I91)</f>
        <v/>
      </c>
      <c r="J89" s="422">
        <f>SUM(J90:J91)</f>
        <v/>
      </c>
      <c r="K89" s="422">
        <f>SUM(K90:K91)</f>
        <v/>
      </c>
      <c r="L89" s="422">
        <f>SUM(L90:L91)</f>
        <v/>
      </c>
      <c r="M89" s="422">
        <f>SUM(M90:M91)</f>
        <v/>
      </c>
      <c r="N89" s="422">
        <f>SUM(N90:N91)</f>
        <v/>
      </c>
      <c r="O89" s="422">
        <f>SUM(O90:O91)</f>
        <v/>
      </c>
      <c r="P89" s="422">
        <f>SUM(P90:P91)</f>
        <v/>
      </c>
      <c r="Q89" s="422">
        <f>SUM(Q90:Q91)</f>
        <v/>
      </c>
      <c r="R89" s="422">
        <f>SUM(R90:R91)</f>
        <v/>
      </c>
      <c r="S89" s="422">
        <f>SUM(S90:S91)</f>
        <v/>
      </c>
      <c r="T89" s="422">
        <f>SUM(T90:T91)</f>
        <v/>
      </c>
      <c r="U89" s="422">
        <f>SUM(U90:U91)</f>
        <v/>
      </c>
      <c r="V89" s="422">
        <f>SUM(V90:V91)</f>
        <v/>
      </c>
      <c r="W89" s="422">
        <f>SUM(W90:W91)</f>
        <v/>
      </c>
      <c r="X89" s="422">
        <f>SUM(X90:X91)</f>
        <v/>
      </c>
      <c r="Y89" s="422">
        <f>SUM(Y90:Y91)</f>
        <v/>
      </c>
      <c r="Z89" s="422">
        <f>SUM(Z90:Z91)</f>
        <v/>
      </c>
      <c r="AA89" s="422">
        <f>SUM(AA90:AA91)</f>
        <v/>
      </c>
      <c r="AB89" s="422">
        <f>SUM(AB90:AB91)</f>
        <v/>
      </c>
      <c r="AC89" s="422">
        <f>SUM(AC90:AC91)</f>
        <v/>
      </c>
      <c r="AD89" s="422" t="n"/>
      <c r="AE89" s="422" t="n"/>
      <c r="AF89" s="423" t="n">
        <v>2</v>
      </c>
      <c r="AG89" s="423" t="n">
        <v>2</v>
      </c>
      <c r="AH89" s="423" t="n">
        <v>4</v>
      </c>
      <c r="AI89" s="422">
        <f>SUM(AF89:AH89)</f>
        <v/>
      </c>
      <c r="AJ89" s="422" t="n"/>
    </row>
    <row r="90" outlineLevel="1" s="239">
      <c r="B90" s="1304" t="inlineStr">
        <is>
          <t>Owned</t>
        </is>
      </c>
      <c r="C90" s="423" t="n">
        <v>0</v>
      </c>
      <c r="D90" s="423" t="n">
        <v>0</v>
      </c>
      <c r="E90" s="423" t="n">
        <v>0</v>
      </c>
      <c r="F90" s="423" t="n">
        <v>0</v>
      </c>
      <c r="G90" s="423" t="n">
        <v>0</v>
      </c>
      <c r="H90" s="423" t="n">
        <v>0</v>
      </c>
      <c r="I90" s="423" t="n">
        <v>0</v>
      </c>
      <c r="J90" s="423" t="n">
        <v>0</v>
      </c>
      <c r="K90" s="423" t="n">
        <v>0</v>
      </c>
      <c r="L90" s="423" t="n">
        <v>0</v>
      </c>
      <c r="M90" s="423" t="n">
        <v>0</v>
      </c>
      <c r="N90" s="423" t="n">
        <v>0</v>
      </c>
      <c r="O90" s="423" t="n">
        <v>0</v>
      </c>
      <c r="P90" s="423" t="n">
        <v>0</v>
      </c>
      <c r="Q90" s="423" t="n">
        <v>0</v>
      </c>
      <c r="R90" s="423" t="n">
        <v>0</v>
      </c>
      <c r="S90" s="423" t="n">
        <v>0</v>
      </c>
      <c r="T90" s="423" t="n">
        <v>0</v>
      </c>
      <c r="U90" s="423" t="n">
        <v>0</v>
      </c>
      <c r="V90" s="423" t="n">
        <v>0</v>
      </c>
      <c r="W90" s="423" t="n">
        <v>0</v>
      </c>
      <c r="X90" s="423" t="n">
        <v>0</v>
      </c>
      <c r="Y90" s="423" t="n">
        <v>0</v>
      </c>
      <c r="Z90" s="423" t="n">
        <v>0</v>
      </c>
      <c r="AA90" s="423" t="n">
        <v>0</v>
      </c>
      <c r="AB90" s="423" t="n">
        <v>0</v>
      </c>
      <c r="AC90" s="423" t="n">
        <v>0</v>
      </c>
      <c r="AD90" s="423" t="n"/>
      <c r="AE90" s="422" t="n"/>
      <c r="AF90" s="423" t="n"/>
      <c r="AG90" s="423" t="n"/>
      <c r="AH90" s="423" t="n"/>
      <c r="AI90" s="423" t="n"/>
      <c r="AJ90" s="422" t="n"/>
    </row>
    <row r="91" outlineLevel="1" s="239">
      <c r="B91" s="1304" t="inlineStr">
        <is>
          <t>Leased</t>
        </is>
      </c>
      <c r="C91" s="423" t="n">
        <v>0</v>
      </c>
      <c r="D91" s="423" t="n">
        <v>0</v>
      </c>
      <c r="E91" s="423" t="n">
        <v>0</v>
      </c>
      <c r="F91" s="423" t="n">
        <v>0</v>
      </c>
      <c r="G91" s="423" t="n">
        <v>0</v>
      </c>
      <c r="H91" s="423" t="n">
        <v>0</v>
      </c>
      <c r="I91" s="423" t="n">
        <v>0</v>
      </c>
      <c r="J91" s="423" t="n">
        <v>0</v>
      </c>
      <c r="K91" s="423" t="n">
        <v>0</v>
      </c>
      <c r="L91" s="423" t="n">
        <v>0</v>
      </c>
      <c r="M91" s="423" t="n">
        <v>0</v>
      </c>
      <c r="N91" s="423" t="n">
        <v>0</v>
      </c>
      <c r="O91" s="423" t="n">
        <v>0</v>
      </c>
      <c r="P91" s="423" t="n">
        <v>0</v>
      </c>
      <c r="Q91" s="423" t="n">
        <v>0</v>
      </c>
      <c r="R91" s="423" t="n">
        <v>0</v>
      </c>
      <c r="S91" s="423" t="n">
        <v>0</v>
      </c>
      <c r="T91" s="423" t="n">
        <v>0</v>
      </c>
      <c r="U91" s="423" t="n">
        <v>0</v>
      </c>
      <c r="V91" s="423" t="n">
        <v>0</v>
      </c>
      <c r="W91" s="423" t="n">
        <v>0</v>
      </c>
      <c r="X91" s="423" t="n">
        <v>5</v>
      </c>
      <c r="Y91" s="423" t="n">
        <v>9</v>
      </c>
      <c r="Z91" s="423" t="n">
        <v>10</v>
      </c>
      <c r="AA91" s="423" t="n">
        <v>10</v>
      </c>
      <c r="AB91" s="423" t="n">
        <v>10</v>
      </c>
      <c r="AC91" s="423" t="n">
        <v>10</v>
      </c>
      <c r="AD91" s="423" t="n"/>
      <c r="AE91" s="422" t="n"/>
      <c r="AF91" s="423" t="n"/>
      <c r="AG91" s="423" t="n"/>
      <c r="AH91" s="423" t="n"/>
      <c r="AI91" s="423" t="n"/>
      <c r="AJ91" s="422" t="n"/>
    </row>
    <row r="92">
      <c r="A92" s="1293" t="inlineStr">
        <is>
          <t>N</t>
        </is>
      </c>
      <c r="B92" s="1294" t="inlineStr">
        <is>
          <t>A321-200</t>
        </is>
      </c>
      <c r="C92" s="422">
        <f>SUM(C93:C94)</f>
        <v/>
      </c>
      <c r="D92" s="422">
        <f>SUM(D93:D94)</f>
        <v/>
      </c>
      <c r="E92" s="422">
        <f>SUM(E93:E94)</f>
        <v/>
      </c>
      <c r="F92" s="422">
        <f>SUM(F93:F94)</f>
        <v/>
      </c>
      <c r="G92" s="422">
        <f>SUM(G93:G94)</f>
        <v/>
      </c>
      <c r="H92" s="422">
        <f>SUM(H93:H94)</f>
        <v/>
      </c>
      <c r="I92" s="422">
        <f>SUM(I93:I94)</f>
        <v/>
      </c>
      <c r="J92" s="422">
        <f>SUM(J93:J94)</f>
        <v/>
      </c>
      <c r="K92" s="422">
        <f>SUM(K93:K94)</f>
        <v/>
      </c>
      <c r="L92" s="422">
        <f>SUM(L93:L94)</f>
        <v/>
      </c>
      <c r="M92" s="422">
        <f>SUM(M93:M94)</f>
        <v/>
      </c>
      <c r="N92" s="422">
        <f>SUM(N93:N94)</f>
        <v/>
      </c>
      <c r="O92" s="422">
        <f>SUM(O93:O94)</f>
        <v/>
      </c>
      <c r="P92" s="422">
        <f>SUM(P93:P94)</f>
        <v/>
      </c>
      <c r="Q92" s="422">
        <f>SUM(Q93:Q94)</f>
        <v/>
      </c>
      <c r="R92" s="422">
        <f>SUM(R93:R94)</f>
        <v/>
      </c>
      <c r="S92" s="422">
        <f>SUM(S93:S94)</f>
        <v/>
      </c>
      <c r="T92" s="422">
        <f>SUM(T93:T94)</f>
        <v/>
      </c>
      <c r="U92" s="422">
        <f>SUM(U93:U94)</f>
        <v/>
      </c>
      <c r="V92" s="422">
        <f>SUM(V93:V94)</f>
        <v/>
      </c>
      <c r="W92" s="422">
        <f>SUM(W93:W94)</f>
        <v/>
      </c>
      <c r="X92" s="422">
        <f>SUM(X93:X94)</f>
        <v/>
      </c>
      <c r="Y92" s="422">
        <f>SUM(Y93:Y94)</f>
        <v/>
      </c>
      <c r="Z92" s="422">
        <f>SUM(Z93:Z94)</f>
        <v/>
      </c>
      <c r="AA92" s="422">
        <f>SUM(AA93:AA94)</f>
        <v/>
      </c>
      <c r="AB92" s="422">
        <f>SUM(AB93:AB94)</f>
        <v/>
      </c>
      <c r="AC92" s="422">
        <f>SUM(AC93:AC94)</f>
        <v/>
      </c>
      <c r="AD92" s="422" t="n"/>
      <c r="AE92" s="422" t="n"/>
      <c r="AF92" s="423" t="n">
        <v>0</v>
      </c>
      <c r="AG92" s="423" t="n">
        <v>0</v>
      </c>
      <c r="AH92" s="423" t="n">
        <v>0</v>
      </c>
      <c r="AI92" s="422">
        <f>SUM(AF92:AH92)</f>
        <v/>
      </c>
      <c r="AJ92" s="422" t="n"/>
    </row>
    <row r="93" outlineLevel="1" s="239">
      <c r="B93" s="1304" t="inlineStr">
        <is>
          <t>Owned</t>
        </is>
      </c>
      <c r="C93" s="423" t="n">
        <v>0</v>
      </c>
      <c r="D93" s="423" t="n">
        <v>0</v>
      </c>
      <c r="E93" s="423" t="n">
        <v>0</v>
      </c>
      <c r="F93" s="423" t="n">
        <v>0</v>
      </c>
      <c r="G93" s="423" t="n">
        <v>0</v>
      </c>
      <c r="H93" s="423" t="n">
        <v>0</v>
      </c>
      <c r="I93" s="423" t="n">
        <v>0</v>
      </c>
      <c r="J93" s="423" t="n">
        <v>0</v>
      </c>
      <c r="K93" s="423" t="n">
        <v>0</v>
      </c>
      <c r="L93" s="423" t="n">
        <v>0</v>
      </c>
      <c r="M93" s="423" t="n">
        <v>0</v>
      </c>
      <c r="N93" s="423" t="n">
        <v>0</v>
      </c>
      <c r="O93" s="423" t="n">
        <v>0</v>
      </c>
      <c r="P93" s="423" t="n">
        <v>0</v>
      </c>
      <c r="Q93" s="423" t="n">
        <v>0</v>
      </c>
      <c r="R93" s="423" t="n">
        <v>0</v>
      </c>
      <c r="S93" s="423" t="n">
        <v>0</v>
      </c>
      <c r="T93" s="423" t="n">
        <v>0</v>
      </c>
      <c r="U93" s="423" t="n">
        <v>0</v>
      </c>
      <c r="V93" s="423" t="n">
        <v>0</v>
      </c>
      <c r="W93" s="423" t="n">
        <v>0</v>
      </c>
      <c r="X93" s="423" t="n">
        <v>0</v>
      </c>
      <c r="Y93" s="423" t="n">
        <v>0</v>
      </c>
      <c r="Z93" s="423" t="n">
        <v>0</v>
      </c>
      <c r="AA93" s="423" t="n">
        <v>0</v>
      </c>
      <c r="AB93" s="423" t="n">
        <v>0</v>
      </c>
      <c r="AC93" s="423" t="n">
        <v>2</v>
      </c>
      <c r="AD93" s="423" t="n"/>
      <c r="AE93" s="422" t="n"/>
      <c r="AF93" s="423" t="n"/>
      <c r="AG93" s="423" t="n"/>
      <c r="AH93" s="423" t="n"/>
      <c r="AI93" s="423" t="n"/>
      <c r="AJ93" s="422" t="n"/>
    </row>
    <row r="94" outlineLevel="1" s="239">
      <c r="B94" s="1304" t="inlineStr">
        <is>
          <t>Leased</t>
        </is>
      </c>
      <c r="C94" s="423" t="n">
        <v>0</v>
      </c>
      <c r="D94" s="423" t="n">
        <v>0</v>
      </c>
      <c r="E94" s="423" t="n">
        <v>0</v>
      </c>
      <c r="F94" s="423" t="n">
        <v>0</v>
      </c>
      <c r="G94" s="423" t="n">
        <v>0</v>
      </c>
      <c r="H94" s="423" t="n">
        <v>0</v>
      </c>
      <c r="I94" s="423" t="n">
        <v>0</v>
      </c>
      <c r="J94" s="423" t="n">
        <v>0</v>
      </c>
      <c r="K94" s="423" t="n">
        <v>0</v>
      </c>
      <c r="L94" s="423" t="n">
        <v>0</v>
      </c>
      <c r="M94" s="423" t="n">
        <v>0</v>
      </c>
      <c r="N94" s="423" t="n">
        <v>0</v>
      </c>
      <c r="O94" s="423" t="n">
        <v>0</v>
      </c>
      <c r="P94" s="423" t="n">
        <v>0</v>
      </c>
      <c r="Q94" s="423" t="n">
        <v>0</v>
      </c>
      <c r="R94" s="423" t="n">
        <v>0</v>
      </c>
      <c r="S94" s="423" t="n">
        <v>0</v>
      </c>
      <c r="T94" s="423" t="n">
        <v>0</v>
      </c>
      <c r="U94" s="423" t="n">
        <v>0</v>
      </c>
      <c r="V94" s="423" t="n">
        <v>0</v>
      </c>
      <c r="W94" s="423" t="n">
        <v>0</v>
      </c>
      <c r="X94" s="423" t="n">
        <v>11</v>
      </c>
      <c r="Y94" s="423" t="n">
        <v>11</v>
      </c>
      <c r="Z94" s="423" t="n">
        <v>11</v>
      </c>
      <c r="AA94" s="423" t="n">
        <v>11</v>
      </c>
      <c r="AB94" s="423" t="n">
        <v>11</v>
      </c>
      <c r="AC94" s="423" t="n">
        <v>11</v>
      </c>
      <c r="AD94" s="423" t="n"/>
      <c r="AE94" s="422" t="n"/>
      <c r="AF94" s="423" t="n"/>
      <c r="AG94" s="423" t="n"/>
      <c r="AH94" s="423" t="n"/>
      <c r="AI94" s="423" t="n"/>
      <c r="AJ94" s="422" t="n"/>
    </row>
    <row r="95">
      <c r="A95" s="1293" t="inlineStr">
        <is>
          <t>N</t>
        </is>
      </c>
      <c r="B95" s="1294" t="inlineStr">
        <is>
          <t>A321-200neo</t>
        </is>
      </c>
      <c r="C95" s="422">
        <f>SUM(C96:C97)</f>
        <v/>
      </c>
      <c r="D95" s="422">
        <f>SUM(D96:D97)</f>
        <v/>
      </c>
      <c r="E95" s="422">
        <f>SUM(E96:E97)</f>
        <v/>
      </c>
      <c r="F95" s="422">
        <f>SUM(F96:F97)</f>
        <v/>
      </c>
      <c r="G95" s="422">
        <f>SUM(G96:G97)</f>
        <v/>
      </c>
      <c r="H95" s="422">
        <f>SUM(H96:H97)</f>
        <v/>
      </c>
      <c r="I95" s="422">
        <f>SUM(I96:I97)</f>
        <v/>
      </c>
      <c r="J95" s="422">
        <f>SUM(J96:J97)</f>
        <v/>
      </c>
      <c r="K95" s="422">
        <f>SUM(K96:K97)</f>
        <v/>
      </c>
      <c r="L95" s="422">
        <f>SUM(L96:L97)</f>
        <v/>
      </c>
      <c r="M95" s="422">
        <f>SUM(M96:M97)</f>
        <v/>
      </c>
      <c r="N95" s="422">
        <f>SUM(N96:N97)</f>
        <v/>
      </c>
      <c r="O95" s="422">
        <f>SUM(O96:O97)</f>
        <v/>
      </c>
      <c r="P95" s="422">
        <f>SUM(P96:P97)</f>
        <v/>
      </c>
      <c r="Q95" s="422">
        <f>SUM(Q96:Q97)</f>
        <v/>
      </c>
      <c r="R95" s="422">
        <f>SUM(R96:R97)</f>
        <v/>
      </c>
      <c r="S95" s="422">
        <f>SUM(S96:S97)</f>
        <v/>
      </c>
      <c r="T95" s="422">
        <f>SUM(T96:T97)</f>
        <v/>
      </c>
      <c r="U95" s="422">
        <f>SUM(U96:U97)</f>
        <v/>
      </c>
      <c r="V95" s="422">
        <f>SUM(V96:V97)</f>
        <v/>
      </c>
      <c r="W95" s="422">
        <f>SUM(W96:W97)</f>
        <v/>
      </c>
      <c r="X95" s="422">
        <f>SUM(X96:X97)</f>
        <v/>
      </c>
      <c r="Y95" s="422">
        <f>SUM(Y96:Y97)</f>
        <v/>
      </c>
      <c r="Z95" s="422">
        <f>SUM(Z96:Z97)</f>
        <v/>
      </c>
      <c r="AA95" s="422">
        <f>SUM(AA96:AA97)</f>
        <v/>
      </c>
      <c r="AB95" s="422">
        <f>SUM(AB96:AB97)</f>
        <v/>
      </c>
      <c r="AC95" s="422">
        <f>SUM(AC96:AC97)</f>
        <v/>
      </c>
      <c r="AD95" s="422" t="n"/>
      <c r="AE95" s="422" t="n"/>
      <c r="AF95" s="423" t="n">
        <v>3</v>
      </c>
      <c r="AG95" s="423" t="n">
        <v>11</v>
      </c>
      <c r="AH95" s="423" t="n">
        <v>2</v>
      </c>
      <c r="AI95" s="422">
        <f>SUM(AF95:AH95)</f>
        <v/>
      </c>
      <c r="AJ95" s="422" t="n"/>
    </row>
    <row r="96" outlineLevel="1" s="239">
      <c r="B96" s="1304" t="inlineStr">
        <is>
          <t>Owned</t>
        </is>
      </c>
      <c r="C96" s="423" t="n">
        <v>0</v>
      </c>
      <c r="D96" s="423" t="n">
        <v>0</v>
      </c>
      <c r="E96" s="423" t="n">
        <v>0</v>
      </c>
      <c r="F96" s="423" t="n">
        <v>0</v>
      </c>
      <c r="G96" s="423" t="n">
        <v>0</v>
      </c>
      <c r="H96" s="423" t="n">
        <v>0</v>
      </c>
      <c r="I96" s="423" t="n">
        <v>0</v>
      </c>
      <c r="J96" s="423" t="n">
        <v>0</v>
      </c>
      <c r="K96" s="423" t="n">
        <v>0</v>
      </c>
      <c r="L96" s="423" t="n">
        <v>0</v>
      </c>
      <c r="M96" s="423" t="n">
        <v>0</v>
      </c>
      <c r="N96" s="423" t="n">
        <v>0</v>
      </c>
      <c r="O96" s="423" t="n">
        <v>0</v>
      </c>
      <c r="P96" s="423" t="n">
        <v>0</v>
      </c>
      <c r="Q96" s="423" t="n">
        <v>0</v>
      </c>
      <c r="R96" s="423" t="n">
        <v>0</v>
      </c>
      <c r="S96" s="423" t="n">
        <v>0</v>
      </c>
      <c r="T96" s="423" t="n">
        <v>0</v>
      </c>
      <c r="U96" s="423" t="n">
        <v>0</v>
      </c>
      <c r="V96" s="423" t="n">
        <v>0</v>
      </c>
      <c r="W96" s="423" t="n">
        <v>0</v>
      </c>
      <c r="X96" s="423" t="n">
        <v>0</v>
      </c>
      <c r="Y96" s="423" t="n">
        <v>0</v>
      </c>
      <c r="Z96" s="423" t="n">
        <v>0</v>
      </c>
      <c r="AA96" s="423" t="n">
        <v>0</v>
      </c>
      <c r="AB96" s="423" t="n">
        <v>0</v>
      </c>
      <c r="AC96" s="423" t="n">
        <v>5</v>
      </c>
      <c r="AD96" s="423" t="n"/>
      <c r="AE96" s="422" t="n"/>
      <c r="AF96" s="423" t="n"/>
      <c r="AG96" s="423" t="n"/>
      <c r="AH96" s="423" t="n"/>
      <c r="AI96" s="423" t="n"/>
      <c r="AJ96" s="422" t="n"/>
    </row>
    <row r="97" outlineLevel="1" s="239">
      <c r="B97" s="1304" t="inlineStr">
        <is>
          <t>Leased</t>
        </is>
      </c>
      <c r="C97" s="423" t="n">
        <v>0</v>
      </c>
      <c r="D97" s="423" t="n">
        <v>0</v>
      </c>
      <c r="E97" s="423" t="n">
        <v>0</v>
      </c>
      <c r="F97" s="423" t="n">
        <v>0</v>
      </c>
      <c r="G97" s="423" t="n">
        <v>0</v>
      </c>
      <c r="H97" s="423" t="n">
        <v>0</v>
      </c>
      <c r="I97" s="423" t="n">
        <v>0</v>
      </c>
      <c r="J97" s="423" t="n">
        <v>0</v>
      </c>
      <c r="K97" s="423" t="n">
        <v>0</v>
      </c>
      <c r="L97" s="423" t="n">
        <v>0</v>
      </c>
      <c r="M97" s="423" t="n">
        <v>0</v>
      </c>
      <c r="N97" s="423" t="n">
        <v>0</v>
      </c>
      <c r="O97" s="423" t="n">
        <v>0</v>
      </c>
      <c r="P97" s="423" t="n">
        <v>0</v>
      </c>
      <c r="Q97" s="423" t="n">
        <v>0</v>
      </c>
      <c r="R97" s="423" t="n">
        <v>0</v>
      </c>
      <c r="S97" s="423" t="n">
        <v>0</v>
      </c>
      <c r="T97" s="423" t="n">
        <v>0</v>
      </c>
      <c r="U97" s="423" t="n">
        <v>0</v>
      </c>
      <c r="V97" s="423" t="n">
        <v>0</v>
      </c>
      <c r="W97" s="423" t="n">
        <v>0</v>
      </c>
      <c r="X97" s="423" t="n">
        <v>0</v>
      </c>
      <c r="Y97" s="423" t="n">
        <v>0</v>
      </c>
      <c r="Z97" s="423" t="n">
        <v>0</v>
      </c>
      <c r="AA97" s="423" t="n">
        <v>0</v>
      </c>
      <c r="AB97" s="423" t="n">
        <v>4</v>
      </c>
      <c r="AC97" s="423" t="n">
        <v>7</v>
      </c>
      <c r="AD97" s="423" t="n"/>
      <c r="AE97" s="422" t="n"/>
      <c r="AF97" s="423" t="n"/>
      <c r="AG97" s="423" t="n"/>
      <c r="AH97" s="423" t="n"/>
      <c r="AI97" s="423" t="n"/>
      <c r="AJ97" s="422" t="n"/>
    </row>
    <row r="98" ht="12.75" customFormat="1" customHeight="1" s="1296">
      <c r="A98" s="1293" t="n"/>
      <c r="B98" s="1296" t="inlineStr">
        <is>
          <t>Sub-total</t>
        </is>
      </c>
      <c r="C98" s="424">
        <f>SUM(C99:C100)</f>
        <v/>
      </c>
      <c r="D98" s="424">
        <f>SUM(D99:D100)</f>
        <v/>
      </c>
      <c r="E98" s="424">
        <f>SUM(E99:E100)</f>
        <v/>
      </c>
      <c r="F98" s="424">
        <f>SUM(F99:F100)</f>
        <v/>
      </c>
      <c r="G98" s="424">
        <f>SUM(G99:G100)</f>
        <v/>
      </c>
      <c r="H98" s="424">
        <f>SUM(H99:H100)</f>
        <v/>
      </c>
      <c r="I98" s="424">
        <f>SUM(I99:I100)</f>
        <v/>
      </c>
      <c r="J98" s="424">
        <f>SUM(J99:J100)</f>
        <v/>
      </c>
      <c r="K98" s="424">
        <f>SUM(K99:K100)</f>
        <v/>
      </c>
      <c r="L98" s="424">
        <f>SUM(L99:L100)</f>
        <v/>
      </c>
      <c r="M98" s="424">
        <f>SUM(M99:M100)</f>
        <v/>
      </c>
      <c r="N98" s="424">
        <f>SUM(N99:N100)</f>
        <v/>
      </c>
      <c r="O98" s="424">
        <f>SUM(O99:O100)</f>
        <v/>
      </c>
      <c r="P98" s="424">
        <f>SUM(P99:P100)</f>
        <v/>
      </c>
      <c r="Q98" s="424">
        <f>SUM(Q99:Q100)</f>
        <v/>
      </c>
      <c r="R98" s="424">
        <f>SUM(R99:R100)</f>
        <v/>
      </c>
      <c r="S98" s="424">
        <f>SUM(S99:S100)</f>
        <v/>
      </c>
      <c r="T98" s="424">
        <f>SUM(T99:T100)</f>
        <v/>
      </c>
      <c r="U98" s="424">
        <f>SUM(U99:U100)</f>
        <v/>
      </c>
      <c r="V98" s="424">
        <f>SUM(V99:V100)</f>
        <v/>
      </c>
      <c r="W98" s="424">
        <f>SUM(W99:W100)</f>
        <v/>
      </c>
      <c r="X98" s="424">
        <f>SUM(X99:X100)</f>
        <v/>
      </c>
      <c r="Y98" s="424">
        <f>SUM(Y99:Y100)</f>
        <v/>
      </c>
      <c r="Z98" s="424">
        <f>SUM(Z99:Z100)</f>
        <v/>
      </c>
      <c r="AA98" s="424">
        <f>SUM(AA99:AA100)</f>
        <v/>
      </c>
      <c r="AB98" s="424">
        <f>SUM(AB99:AB100)</f>
        <v/>
      </c>
      <c r="AC98" s="424">
        <f>SUM(AC99:AC100)</f>
        <v/>
      </c>
      <c r="AD98" s="424" t="n"/>
      <c r="AE98" s="424" t="n"/>
      <c r="AF98" s="424">
        <f>AF86+AF89+AF92+AF95</f>
        <v/>
      </c>
      <c r="AG98" s="424">
        <f>AG86+AG89+AG92+AG95</f>
        <v/>
      </c>
      <c r="AH98" s="424">
        <f>AH86+AH89+AH92+AH95</f>
        <v/>
      </c>
      <c r="AI98" s="424">
        <f>SUM(AF98:AH98)</f>
        <v/>
      </c>
      <c r="AJ98" s="424" t="n"/>
    </row>
    <row r="99" outlineLevel="1" s="239">
      <c r="B99" s="1304" t="inlineStr">
        <is>
          <t>Owned</t>
        </is>
      </c>
      <c r="C99" s="422">
        <f>C87+C90+C93+C96</f>
        <v/>
      </c>
      <c r="D99" s="422">
        <f>D87+D90+D93+D96</f>
        <v/>
      </c>
      <c r="E99" s="422">
        <f>E87+E90+E93+E96</f>
        <v/>
      </c>
      <c r="F99" s="422">
        <f>F87+F90+F93+F96</f>
        <v/>
      </c>
      <c r="G99" s="422">
        <f>G87+G90+G93+G96</f>
        <v/>
      </c>
      <c r="H99" s="422">
        <f>H87+H90+H93+H96</f>
        <v/>
      </c>
      <c r="I99" s="422">
        <f>I87+I90+I93+I96</f>
        <v/>
      </c>
      <c r="J99" s="422">
        <f>J87+J90+J93+J96</f>
        <v/>
      </c>
      <c r="K99" s="422">
        <f>K87+K90+K93+K96</f>
        <v/>
      </c>
      <c r="L99" s="422">
        <f>L87+L90+L93+L96</f>
        <v/>
      </c>
      <c r="M99" s="422">
        <f>M87+M90+M93+M96</f>
        <v/>
      </c>
      <c r="N99" s="422">
        <f>N87+N90+N93+N96</f>
        <v/>
      </c>
      <c r="O99" s="422">
        <f>O87+O90+O93+O96</f>
        <v/>
      </c>
      <c r="P99" s="422">
        <f>P87+P90+P93+P96</f>
        <v/>
      </c>
      <c r="Q99" s="422">
        <f>Q87+Q90+Q93+Q96</f>
        <v/>
      </c>
      <c r="R99" s="422">
        <f>R87+R90+R93+R96</f>
        <v/>
      </c>
      <c r="S99" s="422">
        <f>S87+S90+S93+S96</f>
        <v/>
      </c>
      <c r="T99" s="422">
        <f>T87+T90+T93+T96</f>
        <v/>
      </c>
      <c r="U99" s="422">
        <f>U87+U90+U93+U96</f>
        <v/>
      </c>
      <c r="V99" s="422">
        <f>V87+V90+V93+V96</f>
        <v/>
      </c>
      <c r="W99" s="422">
        <f>W87+W90+W93+W96</f>
        <v/>
      </c>
      <c r="X99" s="422">
        <f>X87+X90+X93+X96</f>
        <v/>
      </c>
      <c r="Y99" s="422">
        <f>Y87+Y90+Y93+Y96</f>
        <v/>
      </c>
      <c r="Z99" s="422">
        <f>Z87+Z90+Z93+Z96</f>
        <v/>
      </c>
      <c r="AA99" s="422">
        <f>AA87+AA90+AA93+AA96</f>
        <v/>
      </c>
      <c r="AB99" s="422">
        <f>AB87+AB90+AB93+AB96</f>
        <v/>
      </c>
      <c r="AC99" s="422">
        <f>AC87+AC90+AC93+AC96</f>
        <v/>
      </c>
      <c r="AD99" s="422" t="n"/>
      <c r="AE99" s="422" t="n"/>
      <c r="AF99" s="422" t="n"/>
      <c r="AG99" s="422" t="n"/>
      <c r="AH99" s="422" t="n"/>
      <c r="AI99" s="422" t="n"/>
      <c r="AJ99" s="422" t="n"/>
    </row>
    <row r="100" outlineLevel="1" s="239">
      <c r="B100" s="1304" t="inlineStr">
        <is>
          <t>Leased</t>
        </is>
      </c>
      <c r="C100" s="422">
        <f>C88+C91+C94+C97</f>
        <v/>
      </c>
      <c r="D100" s="422">
        <f>D88+D91+D94+D97</f>
        <v/>
      </c>
      <c r="E100" s="422">
        <f>E88+E91+E94+E97</f>
        <v/>
      </c>
      <c r="F100" s="422">
        <f>F88+F91+F94+F97</f>
        <v/>
      </c>
      <c r="G100" s="422">
        <f>G88+G91+G94+G97</f>
        <v/>
      </c>
      <c r="H100" s="422">
        <f>H88+H91+H94+H97</f>
        <v/>
      </c>
      <c r="I100" s="422">
        <f>I88+I91+I94+I97</f>
        <v/>
      </c>
      <c r="J100" s="422">
        <f>J88+J91+J94+J97</f>
        <v/>
      </c>
      <c r="K100" s="422">
        <f>K88+K91+K94+K97</f>
        <v/>
      </c>
      <c r="L100" s="422">
        <f>L88+L91+L94+L97</f>
        <v/>
      </c>
      <c r="M100" s="422">
        <f>M88+M91+M94+M97</f>
        <v/>
      </c>
      <c r="N100" s="422">
        <f>N88+N91+N94+N97</f>
        <v/>
      </c>
      <c r="O100" s="422">
        <f>O88+O91+O94+O97</f>
        <v/>
      </c>
      <c r="P100" s="422">
        <f>P88+P91+P94+P97</f>
        <v/>
      </c>
      <c r="Q100" s="422">
        <f>Q88+Q91+Q94+Q97</f>
        <v/>
      </c>
      <c r="R100" s="422">
        <f>R88+R91+R94+R97</f>
        <v/>
      </c>
      <c r="S100" s="422">
        <f>S88+S91+S94+S97</f>
        <v/>
      </c>
      <c r="T100" s="422">
        <f>T88+T91+T94+T97</f>
        <v/>
      </c>
      <c r="U100" s="422">
        <f>U88+U91+U94+U97</f>
        <v/>
      </c>
      <c r="V100" s="422">
        <f>V88+V91+V94+V97</f>
        <v/>
      </c>
      <c r="W100" s="422">
        <f>W88+W91+W94+W97</f>
        <v/>
      </c>
      <c r="X100" s="422">
        <f>X88+X91+X94+X97</f>
        <v/>
      </c>
      <c r="Y100" s="422">
        <f>Y88+Y91+Y94+Y97</f>
        <v/>
      </c>
      <c r="Z100" s="422">
        <f>Z88+Z91+Z94+Z97</f>
        <v/>
      </c>
      <c r="AA100" s="422">
        <f>AA88+AA91+AA94+AA97</f>
        <v/>
      </c>
      <c r="AB100" s="422">
        <f>AB88+AB91+AB94+AB97</f>
        <v/>
      </c>
      <c r="AC100" s="422">
        <f>AC88+AC91+AC94+AC97</f>
        <v/>
      </c>
      <c r="AD100" s="422" t="n"/>
      <c r="AE100" s="422" t="n"/>
      <c r="AF100" s="422" t="n"/>
      <c r="AG100" s="422" t="n"/>
      <c r="AH100" s="422" t="n"/>
      <c r="AI100" s="422" t="n"/>
      <c r="AJ100" s="422" t="n"/>
    </row>
    <row r="101">
      <c r="B101" s="1302" t="inlineStr">
        <is>
          <t>Air Hong Kong</t>
        </is>
      </c>
      <c r="C101" s="425" t="n"/>
      <c r="D101" s="425" t="n"/>
      <c r="E101" s="425" t="n"/>
      <c r="F101" s="425" t="n"/>
      <c r="G101" s="425" t="n"/>
      <c r="H101" s="425" t="n"/>
      <c r="I101" s="425" t="n"/>
      <c r="J101" s="425" t="n"/>
      <c r="K101" s="425" t="n"/>
      <c r="L101" s="425" t="n"/>
      <c r="M101" s="425" t="n"/>
      <c r="N101" s="425" t="n"/>
      <c r="O101" s="425" t="n"/>
      <c r="P101" s="425" t="n"/>
      <c r="Q101" s="425" t="n"/>
      <c r="R101" s="425" t="n"/>
      <c r="S101" s="425" t="n"/>
      <c r="T101" s="425" t="n"/>
      <c r="U101" s="425" t="n"/>
      <c r="V101" s="425" t="n"/>
      <c r="W101" s="425" t="n"/>
      <c r="X101" s="425" t="n"/>
      <c r="Y101" s="425" t="n"/>
      <c r="Z101" s="425" t="n"/>
      <c r="AA101" s="425" t="n"/>
      <c r="AB101" s="425" t="n"/>
      <c r="AC101" s="425" t="n"/>
      <c r="AD101" s="425" t="n"/>
      <c r="AE101" s="422" t="n"/>
      <c r="AF101" s="425" t="n"/>
      <c r="AG101" s="425" t="n"/>
      <c r="AH101" s="425" t="n"/>
      <c r="AI101" s="425" t="n"/>
      <c r="AJ101" s="422" t="n"/>
    </row>
    <row r="102" customFormat="1" s="1296">
      <c r="A102" s="1293" t="inlineStr">
        <is>
          <t>F</t>
        </is>
      </c>
      <c r="B102" s="1294" t="inlineStr">
        <is>
          <t>A300-600F</t>
        </is>
      </c>
      <c r="C102" s="422">
        <f>SUM(C103:C104)</f>
        <v/>
      </c>
      <c r="D102" s="422">
        <f>SUM(D103:D104)</f>
        <v/>
      </c>
      <c r="E102" s="422">
        <f>SUM(E103:E104)</f>
        <v/>
      </c>
      <c r="F102" s="422">
        <f>SUM(F103:F104)</f>
        <v/>
      </c>
      <c r="G102" s="422">
        <f>SUM(G103:G104)</f>
        <v/>
      </c>
      <c r="H102" s="422">
        <f>SUM(H103:H104)</f>
        <v/>
      </c>
      <c r="I102" s="422">
        <f>SUM(I103:I104)</f>
        <v/>
      </c>
      <c r="J102" s="422">
        <f>SUM(J103:J104)</f>
        <v/>
      </c>
      <c r="K102" s="422">
        <f>SUM(K103:K104)</f>
        <v/>
      </c>
      <c r="L102" s="422">
        <f>SUM(L103:L104)</f>
        <v/>
      </c>
      <c r="M102" s="422">
        <f>SUM(M103:M104)</f>
        <v/>
      </c>
      <c r="N102" s="422">
        <f>SUM(N103:N104)</f>
        <v/>
      </c>
      <c r="O102" s="422">
        <f>SUM(O103:O104)</f>
        <v/>
      </c>
      <c r="P102" s="422">
        <f>SUM(P103:P104)</f>
        <v/>
      </c>
      <c r="Q102" s="422">
        <f>SUM(Q103:Q104)</f>
        <v/>
      </c>
      <c r="R102" s="422">
        <f>SUM(R103:R104)</f>
        <v/>
      </c>
      <c r="S102" s="422">
        <f>SUM(S103:S104)</f>
        <v/>
      </c>
      <c r="T102" s="422">
        <f>SUM(T103:T104)</f>
        <v/>
      </c>
      <c r="U102" s="422">
        <f>SUM(U103:U104)</f>
        <v/>
      </c>
      <c r="V102" s="422">
        <f>SUM(V103:V104)</f>
        <v/>
      </c>
      <c r="W102" s="422">
        <f>SUM(W103:W104)</f>
        <v/>
      </c>
      <c r="X102" s="422">
        <f>SUM(X103:X104)</f>
        <v/>
      </c>
      <c r="Y102" s="422">
        <f>SUM(Y103:Y104)</f>
        <v/>
      </c>
      <c r="Z102" s="422">
        <f>SUM(Z103:Z104)</f>
        <v/>
      </c>
      <c r="AA102" s="422">
        <f>SUM(AA103:AA104)</f>
        <v/>
      </c>
      <c r="AB102" s="422">
        <f>SUM(AB103:AB104)</f>
        <v/>
      </c>
      <c r="AC102" s="422">
        <f>SUM(AC103:AC104)</f>
        <v/>
      </c>
      <c r="AD102" s="422" t="n"/>
      <c r="AE102" s="424" t="n"/>
      <c r="AF102" s="423" t="n">
        <v>0</v>
      </c>
      <c r="AG102" s="423" t="n">
        <v>0</v>
      </c>
      <c r="AH102" s="423" t="n">
        <v>0</v>
      </c>
      <c r="AI102" s="422">
        <f>SUM(AF102:AH102)</f>
        <v/>
      </c>
      <c r="AJ102" s="424" t="n"/>
    </row>
    <row r="103" outlineLevel="1" s="239">
      <c r="B103" s="1304" t="inlineStr">
        <is>
          <t>Owned</t>
        </is>
      </c>
      <c r="C103" s="423" t="n">
        <v>0</v>
      </c>
      <c r="D103" s="423" t="n">
        <v>0</v>
      </c>
      <c r="E103" s="423" t="n">
        <v>0</v>
      </c>
      <c r="F103" s="423" t="n">
        <v>0</v>
      </c>
      <c r="G103" s="423" t="n">
        <v>0</v>
      </c>
      <c r="H103" s="423" t="n">
        <v>0</v>
      </c>
      <c r="I103" s="423" t="n">
        <v>2</v>
      </c>
      <c r="J103" s="423" t="n">
        <v>2</v>
      </c>
      <c r="K103" s="423" t="n">
        <v>2</v>
      </c>
      <c r="L103" s="423" t="n">
        <v>2</v>
      </c>
      <c r="M103" s="423" t="n">
        <v>2</v>
      </c>
      <c r="N103" s="423" t="n">
        <v>2</v>
      </c>
      <c r="O103" s="423" t="n">
        <v>2</v>
      </c>
      <c r="P103" s="423" t="n">
        <v>2</v>
      </c>
      <c r="Q103" s="423" t="n">
        <v>2</v>
      </c>
      <c r="R103" s="423" t="n">
        <v>2</v>
      </c>
      <c r="S103" s="423" t="n">
        <v>2</v>
      </c>
      <c r="T103" s="423" t="n">
        <v>2</v>
      </c>
      <c r="U103" s="423" t="n">
        <v>4</v>
      </c>
      <c r="V103" s="423" t="n">
        <v>2</v>
      </c>
      <c r="W103" s="423" t="n">
        <v>0</v>
      </c>
      <c r="X103" s="423" t="n">
        <v>0</v>
      </c>
      <c r="Y103" s="423" t="n">
        <v>0</v>
      </c>
      <c r="Z103" s="423" t="n">
        <v>0</v>
      </c>
      <c r="AA103" s="423" t="n">
        <v>0</v>
      </c>
      <c r="AB103" s="423" t="n">
        <v>0</v>
      </c>
      <c r="AC103" s="423" t="n">
        <v>0</v>
      </c>
      <c r="AD103" s="423" t="n"/>
      <c r="AE103" s="422" t="n"/>
      <c r="AF103" s="423" t="n"/>
      <c r="AG103" s="423" t="n"/>
      <c r="AH103" s="423" t="n"/>
      <c r="AI103" s="423" t="n"/>
      <c r="AJ103" s="422" t="n"/>
    </row>
    <row r="104" outlineLevel="1" s="239">
      <c r="B104" s="1304" t="inlineStr">
        <is>
          <t>Leased</t>
        </is>
      </c>
      <c r="C104" s="423" t="n">
        <v>0</v>
      </c>
      <c r="D104" s="423" t="n">
        <v>0</v>
      </c>
      <c r="E104" s="423" t="n">
        <v>0</v>
      </c>
      <c r="F104" s="423" t="n">
        <v>0</v>
      </c>
      <c r="G104" s="423" t="n">
        <v>0</v>
      </c>
      <c r="H104" s="423" t="n">
        <v>0</v>
      </c>
      <c r="I104" s="423" t="n">
        <v>3</v>
      </c>
      <c r="J104" s="423" t="n">
        <v>4</v>
      </c>
      <c r="K104" s="423" t="n">
        <v>6</v>
      </c>
      <c r="L104" s="423" t="n">
        <v>6</v>
      </c>
      <c r="M104" s="423" t="n">
        <v>6</v>
      </c>
      <c r="N104" s="423" t="n">
        <v>6</v>
      </c>
      <c r="O104" s="423" t="n">
        <v>6</v>
      </c>
      <c r="P104" s="423" t="n">
        <v>6</v>
      </c>
      <c r="Q104" s="423" t="n">
        <v>6</v>
      </c>
      <c r="R104" s="423" t="n">
        <v>6</v>
      </c>
      <c r="S104" s="423" t="n">
        <v>7</v>
      </c>
      <c r="T104" s="423" t="n">
        <v>8</v>
      </c>
      <c r="U104" s="423" t="n">
        <v>6</v>
      </c>
      <c r="V104" s="423" t="n">
        <v>8</v>
      </c>
      <c r="W104" s="423" t="n">
        <v>10</v>
      </c>
      <c r="X104" s="423" t="n">
        <v>9</v>
      </c>
      <c r="Y104" s="423" t="n">
        <v>9</v>
      </c>
      <c r="Z104" s="423" t="n">
        <v>9</v>
      </c>
      <c r="AA104" s="423" t="n">
        <v>9</v>
      </c>
      <c r="AB104" s="423" t="n">
        <v>7</v>
      </c>
      <c r="AC104" s="423" t="n">
        <v>3</v>
      </c>
      <c r="AD104" s="423" t="n"/>
      <c r="AE104" s="422" t="n"/>
      <c r="AF104" s="423" t="n"/>
      <c r="AG104" s="423" t="n"/>
      <c r="AH104" s="423" t="n"/>
      <c r="AI104" s="423" t="n"/>
      <c r="AJ104" s="422" t="n"/>
    </row>
    <row r="105">
      <c r="A105" s="1293" t="inlineStr">
        <is>
          <t>F</t>
        </is>
      </c>
      <c r="B105" s="1294" t="inlineStr">
        <is>
          <t>A330-243F</t>
        </is>
      </c>
      <c r="C105" s="422">
        <f>SUM(C106:C107)</f>
        <v/>
      </c>
      <c r="D105" s="422">
        <f>SUM(D106:D107)</f>
        <v/>
      </c>
      <c r="E105" s="422">
        <f>SUM(E106:E107)</f>
        <v/>
      </c>
      <c r="F105" s="422">
        <f>SUM(F106:F107)</f>
        <v/>
      </c>
      <c r="G105" s="422">
        <f>SUM(G106:G107)</f>
        <v/>
      </c>
      <c r="H105" s="422">
        <f>SUM(H106:H107)</f>
        <v/>
      </c>
      <c r="I105" s="422">
        <f>SUM(I106:I107)</f>
        <v/>
      </c>
      <c r="J105" s="422">
        <f>SUM(J106:J107)</f>
        <v/>
      </c>
      <c r="K105" s="422">
        <f>SUM(K106:K107)</f>
        <v/>
      </c>
      <c r="L105" s="422">
        <f>SUM(L106:L107)</f>
        <v/>
      </c>
      <c r="M105" s="422">
        <f>SUM(M106:M107)</f>
        <v/>
      </c>
      <c r="N105" s="422">
        <f>SUM(N106:N107)</f>
        <v/>
      </c>
      <c r="O105" s="422">
        <f>SUM(O106:O107)</f>
        <v/>
      </c>
      <c r="P105" s="422">
        <f>SUM(P106:P107)</f>
        <v/>
      </c>
      <c r="Q105" s="422">
        <f>SUM(Q106:Q107)</f>
        <v/>
      </c>
      <c r="R105" s="422">
        <f>SUM(R106:R107)</f>
        <v/>
      </c>
      <c r="S105" s="422">
        <f>SUM(S106:S107)</f>
        <v/>
      </c>
      <c r="T105" s="422">
        <f>SUM(T106:T107)</f>
        <v/>
      </c>
      <c r="U105" s="422">
        <f>SUM(U106:U107)</f>
        <v/>
      </c>
      <c r="V105" s="422">
        <f>SUM(V106:V107)</f>
        <v/>
      </c>
      <c r="W105" s="422">
        <f>SUM(W106:W107)</f>
        <v/>
      </c>
      <c r="X105" s="422">
        <f>SUM(X106:X107)</f>
        <v/>
      </c>
      <c r="Y105" s="422">
        <f>SUM(Y106:Y107)</f>
        <v/>
      </c>
      <c r="Z105" s="422">
        <f>SUM(Z106:Z107)</f>
        <v/>
      </c>
      <c r="AA105" s="422">
        <f>SUM(AA106:AA107)</f>
        <v/>
      </c>
      <c r="AB105" s="422">
        <f>SUM(AB106:AB107)</f>
        <v/>
      </c>
      <c r="AC105" s="422">
        <f>SUM(AC106:AC107)</f>
        <v/>
      </c>
      <c r="AD105" s="422" t="n"/>
      <c r="AE105" s="422" t="n"/>
      <c r="AF105" s="423" t="n">
        <v>0</v>
      </c>
      <c r="AG105" s="423" t="n">
        <v>0</v>
      </c>
      <c r="AH105" s="423" t="n">
        <v>0</v>
      </c>
      <c r="AI105" s="422">
        <f>SUM(AF105:AH105)</f>
        <v/>
      </c>
      <c r="AJ105" s="422" t="n"/>
    </row>
    <row r="106" outlineLevel="1" s="239">
      <c r="B106" s="1304" t="inlineStr">
        <is>
          <t>Owned</t>
        </is>
      </c>
      <c r="C106" s="423" t="n">
        <v>0</v>
      </c>
      <c r="D106" s="423" t="n">
        <v>0</v>
      </c>
      <c r="E106" s="423" t="n">
        <v>0</v>
      </c>
      <c r="F106" s="423" t="n">
        <v>0</v>
      </c>
      <c r="G106" s="423" t="n">
        <v>0</v>
      </c>
      <c r="H106" s="423" t="n">
        <v>0</v>
      </c>
      <c r="I106" s="423" t="n">
        <v>0</v>
      </c>
      <c r="J106" s="423" t="n">
        <v>0</v>
      </c>
      <c r="K106" s="423" t="n">
        <v>0</v>
      </c>
      <c r="L106" s="423" t="n">
        <v>0</v>
      </c>
      <c r="M106" s="423" t="n">
        <v>0</v>
      </c>
      <c r="N106" s="423" t="n">
        <v>0</v>
      </c>
      <c r="O106" s="423" t="n">
        <v>0</v>
      </c>
      <c r="P106" s="423" t="n">
        <v>0</v>
      </c>
      <c r="Q106" s="423" t="n">
        <v>0</v>
      </c>
      <c r="R106" s="423" t="n">
        <v>0</v>
      </c>
      <c r="S106" s="423" t="n">
        <v>0</v>
      </c>
      <c r="T106" s="423" t="n">
        <v>0</v>
      </c>
      <c r="U106" s="423" t="n">
        <v>0</v>
      </c>
      <c r="V106" s="423" t="n">
        <v>0</v>
      </c>
      <c r="W106" s="423" t="n">
        <v>0</v>
      </c>
      <c r="X106" s="423" t="n">
        <v>0</v>
      </c>
      <c r="Y106" s="423" t="n">
        <v>0</v>
      </c>
      <c r="Z106" s="423" t="n">
        <v>0</v>
      </c>
      <c r="AA106" s="423" t="n">
        <v>0</v>
      </c>
      <c r="AB106" s="423" t="n">
        <v>0</v>
      </c>
      <c r="AC106" s="423" t="n">
        <v>0</v>
      </c>
      <c r="AD106" s="423" t="n"/>
      <c r="AE106" s="422" t="n"/>
      <c r="AF106" s="423" t="n"/>
      <c r="AG106" s="423" t="n"/>
      <c r="AH106" s="423" t="n"/>
      <c r="AI106" s="423" t="n"/>
      <c r="AJ106" s="422" t="n"/>
    </row>
    <row r="107" outlineLevel="1" s="239">
      <c r="B107" s="1304" t="inlineStr">
        <is>
          <t>Leased</t>
        </is>
      </c>
      <c r="C107" s="423" t="n">
        <v>0</v>
      </c>
      <c r="D107" s="423" t="n">
        <v>0</v>
      </c>
      <c r="E107" s="423" t="n">
        <v>0</v>
      </c>
      <c r="F107" s="423" t="n">
        <v>0</v>
      </c>
      <c r="G107" s="423" t="n">
        <v>0</v>
      </c>
      <c r="H107" s="423" t="n">
        <v>0</v>
      </c>
      <c r="I107" s="423" t="n">
        <v>0</v>
      </c>
      <c r="J107" s="423" t="n">
        <v>0</v>
      </c>
      <c r="K107" s="423" t="n">
        <v>0</v>
      </c>
      <c r="L107" s="423" t="n">
        <v>0</v>
      </c>
      <c r="M107" s="423" t="n">
        <v>0</v>
      </c>
      <c r="N107" s="423" t="n">
        <v>0</v>
      </c>
      <c r="O107" s="423" t="n">
        <v>0</v>
      </c>
      <c r="P107" s="423" t="n">
        <v>0</v>
      </c>
      <c r="Q107" s="423" t="n">
        <v>0</v>
      </c>
      <c r="R107" s="423" t="n">
        <v>0</v>
      </c>
      <c r="S107" s="423" t="n">
        <v>0</v>
      </c>
      <c r="T107" s="423" t="n">
        <v>0</v>
      </c>
      <c r="U107" s="423" t="n">
        <v>0</v>
      </c>
      <c r="V107" s="423" t="n">
        <v>0</v>
      </c>
      <c r="W107" s="423" t="n">
        <v>0</v>
      </c>
      <c r="X107" s="423" t="n">
        <v>0</v>
      </c>
      <c r="Y107" s="423" t="n">
        <v>1</v>
      </c>
      <c r="Z107" s="423" t="n">
        <v>2</v>
      </c>
      <c r="AA107" s="423" t="n">
        <v>2</v>
      </c>
      <c r="AB107" s="423" t="n">
        <v>2</v>
      </c>
      <c r="AC107" s="423" t="n">
        <v>2</v>
      </c>
      <c r="AD107" s="423" t="n"/>
      <c r="AE107" s="422" t="n"/>
      <c r="AF107" s="423" t="n"/>
      <c r="AG107" s="423" t="n"/>
      <c r="AH107" s="423" t="n"/>
      <c r="AI107" s="423" t="n"/>
      <c r="AJ107" s="422" t="n"/>
    </row>
    <row r="108">
      <c r="A108" s="1293" t="inlineStr">
        <is>
          <t>F</t>
        </is>
      </c>
      <c r="B108" s="1294" t="inlineStr">
        <is>
          <t>A330-300P2F</t>
        </is>
      </c>
      <c r="C108" s="422">
        <f>SUM(C109:C110)</f>
        <v/>
      </c>
      <c r="D108" s="422">
        <f>SUM(D109:D110)</f>
        <v/>
      </c>
      <c r="E108" s="422">
        <f>SUM(E109:E110)</f>
        <v/>
      </c>
      <c r="F108" s="422">
        <f>SUM(F109:F110)</f>
        <v/>
      </c>
      <c r="G108" s="422">
        <f>SUM(G109:G110)</f>
        <v/>
      </c>
      <c r="H108" s="422">
        <f>SUM(H109:H110)</f>
        <v/>
      </c>
      <c r="I108" s="422">
        <f>SUM(I109:I110)</f>
        <v/>
      </c>
      <c r="J108" s="422">
        <f>SUM(J109:J110)</f>
        <v/>
      </c>
      <c r="K108" s="422">
        <f>SUM(K109:K110)</f>
        <v/>
      </c>
      <c r="L108" s="422">
        <f>SUM(L109:L110)</f>
        <v/>
      </c>
      <c r="M108" s="422">
        <f>SUM(M109:M110)</f>
        <v/>
      </c>
      <c r="N108" s="422">
        <f>SUM(N109:N110)</f>
        <v/>
      </c>
      <c r="O108" s="422">
        <f>SUM(O109:O110)</f>
        <v/>
      </c>
      <c r="P108" s="422">
        <f>SUM(P109:P110)</f>
        <v/>
      </c>
      <c r="Q108" s="422">
        <f>SUM(Q109:Q110)</f>
        <v/>
      </c>
      <c r="R108" s="422">
        <f>SUM(R109:R110)</f>
        <v/>
      </c>
      <c r="S108" s="422">
        <f>SUM(S109:S110)</f>
        <v/>
      </c>
      <c r="T108" s="422">
        <f>SUM(T109:T110)</f>
        <v/>
      </c>
      <c r="U108" s="422">
        <f>SUM(U109:U110)</f>
        <v/>
      </c>
      <c r="V108" s="422">
        <f>SUM(V109:V110)</f>
        <v/>
      </c>
      <c r="W108" s="422">
        <f>SUM(W109:W110)</f>
        <v/>
      </c>
      <c r="X108" s="422">
        <f>SUM(X109:X110)</f>
        <v/>
      </c>
      <c r="Y108" s="422">
        <f>SUM(Y109:Y110)</f>
        <v/>
      </c>
      <c r="Z108" s="422">
        <f>SUM(Z109:Z110)</f>
        <v/>
      </c>
      <c r="AA108" s="422">
        <f>SUM(AA109:AA110)</f>
        <v/>
      </c>
      <c r="AB108" s="422">
        <f>SUM(AB109:AB110)</f>
        <v/>
      </c>
      <c r="AC108" s="422">
        <f>SUM(AC109:AC110)</f>
        <v/>
      </c>
      <c r="AD108" s="422" t="n"/>
      <c r="AE108" s="422" t="n"/>
      <c r="AF108" s="423" t="n">
        <v>0</v>
      </c>
      <c r="AG108" s="423" t="n">
        <v>0</v>
      </c>
      <c r="AH108" s="423" t="n">
        <v>0</v>
      </c>
      <c r="AI108" s="422">
        <f>SUM(AF108:AH108)</f>
        <v/>
      </c>
      <c r="AJ108" s="422" t="n"/>
    </row>
    <row r="109" outlineLevel="1" s="239">
      <c r="B109" s="1304" t="inlineStr">
        <is>
          <t>Owned</t>
        </is>
      </c>
      <c r="C109" s="423" t="n">
        <v>0</v>
      </c>
      <c r="D109" s="423" t="n">
        <v>0</v>
      </c>
      <c r="E109" s="423" t="n">
        <v>0</v>
      </c>
      <c r="F109" s="423" t="n">
        <v>0</v>
      </c>
      <c r="G109" s="423" t="n">
        <v>0</v>
      </c>
      <c r="H109" s="423" t="n">
        <v>0</v>
      </c>
      <c r="I109" s="423" t="n">
        <v>0</v>
      </c>
      <c r="J109" s="423" t="n">
        <v>0</v>
      </c>
      <c r="K109" s="423" t="n">
        <v>0</v>
      </c>
      <c r="L109" s="423" t="n">
        <v>0</v>
      </c>
      <c r="M109" s="423" t="n">
        <v>0</v>
      </c>
      <c r="N109" s="423" t="n">
        <v>0</v>
      </c>
      <c r="O109" s="423" t="n">
        <v>0</v>
      </c>
      <c r="P109" s="423" t="n">
        <v>0</v>
      </c>
      <c r="Q109" s="423" t="n">
        <v>0</v>
      </c>
      <c r="R109" s="423" t="n">
        <v>0</v>
      </c>
      <c r="S109" s="423" t="n">
        <v>0</v>
      </c>
      <c r="T109" s="423" t="n">
        <v>0</v>
      </c>
      <c r="U109" s="423" t="n">
        <v>0</v>
      </c>
      <c r="V109" s="423" t="n">
        <v>0</v>
      </c>
      <c r="W109" s="423" t="n">
        <v>0</v>
      </c>
      <c r="X109" s="423" t="n">
        <v>0</v>
      </c>
      <c r="Y109" s="423" t="n">
        <v>0</v>
      </c>
      <c r="Z109" s="423" t="n">
        <v>0</v>
      </c>
      <c r="AA109" s="423" t="n">
        <v>0</v>
      </c>
      <c r="AB109" s="423" t="n">
        <v>0</v>
      </c>
      <c r="AC109" s="423" t="n">
        <v>0</v>
      </c>
      <c r="AD109" s="423" t="n"/>
      <c r="AE109" s="422" t="n"/>
      <c r="AF109" s="423" t="n"/>
      <c r="AG109" s="423" t="n"/>
      <c r="AH109" s="423" t="n"/>
      <c r="AI109" s="423" t="n"/>
      <c r="AJ109" s="422" t="n"/>
    </row>
    <row r="110" outlineLevel="1" s="239">
      <c r="B110" s="1304" t="inlineStr">
        <is>
          <t>Leased</t>
        </is>
      </c>
      <c r="C110" s="423" t="n">
        <v>0</v>
      </c>
      <c r="D110" s="423" t="n">
        <v>0</v>
      </c>
      <c r="E110" s="423" t="n">
        <v>0</v>
      </c>
      <c r="F110" s="423" t="n">
        <v>0</v>
      </c>
      <c r="G110" s="423" t="n">
        <v>0</v>
      </c>
      <c r="H110" s="423" t="n">
        <v>0</v>
      </c>
      <c r="I110" s="423" t="n">
        <v>0</v>
      </c>
      <c r="J110" s="423" t="n">
        <v>0</v>
      </c>
      <c r="K110" s="423" t="n">
        <v>0</v>
      </c>
      <c r="L110" s="423" t="n">
        <v>0</v>
      </c>
      <c r="M110" s="423" t="n">
        <v>0</v>
      </c>
      <c r="N110" s="423" t="n">
        <v>0</v>
      </c>
      <c r="O110" s="423" t="n">
        <v>0</v>
      </c>
      <c r="P110" s="423" t="n">
        <v>0</v>
      </c>
      <c r="Q110" s="423" t="n">
        <v>0</v>
      </c>
      <c r="R110" s="423" t="n">
        <v>0</v>
      </c>
      <c r="S110" s="423" t="n">
        <v>0</v>
      </c>
      <c r="T110" s="423" t="n">
        <v>0</v>
      </c>
      <c r="U110" s="423" t="n">
        <v>0</v>
      </c>
      <c r="V110" s="423" t="n">
        <v>0</v>
      </c>
      <c r="W110" s="423" t="n">
        <v>0</v>
      </c>
      <c r="X110" s="423" t="n">
        <v>0</v>
      </c>
      <c r="Y110" s="423" t="n">
        <v>2</v>
      </c>
      <c r="Z110" s="423" t="n">
        <v>3</v>
      </c>
      <c r="AA110" s="423" t="n">
        <v>4</v>
      </c>
      <c r="AB110" s="423" t="n">
        <v>7</v>
      </c>
      <c r="AC110" s="423" t="n">
        <v>10</v>
      </c>
      <c r="AD110" s="423" t="n"/>
      <c r="AE110" s="422" t="n"/>
      <c r="AF110" s="423" t="n"/>
      <c r="AG110" s="423" t="n"/>
      <c r="AH110" s="423" t="n"/>
      <c r="AI110" s="423" t="n"/>
      <c r="AJ110" s="422" t="n"/>
    </row>
    <row r="111">
      <c r="A111" s="1293" t="inlineStr">
        <is>
          <t>F</t>
        </is>
      </c>
      <c r="B111" s="1294" t="inlineStr">
        <is>
          <t>A300-600F</t>
        </is>
      </c>
      <c r="C111" s="422">
        <f>SUM(C112:C113)</f>
        <v/>
      </c>
      <c r="D111" s="422">
        <f>SUM(D112:D113)</f>
        <v/>
      </c>
      <c r="E111" s="422">
        <f>SUM(E112:E113)</f>
        <v/>
      </c>
      <c r="F111" s="422">
        <f>SUM(F112:F113)</f>
        <v/>
      </c>
      <c r="G111" s="422">
        <f>SUM(G112:G113)</f>
        <v/>
      </c>
      <c r="H111" s="422">
        <f>SUM(H112:H113)</f>
        <v/>
      </c>
      <c r="I111" s="422">
        <f>SUM(I112:I113)</f>
        <v/>
      </c>
      <c r="J111" s="422">
        <f>SUM(J112:J113)</f>
        <v/>
      </c>
      <c r="K111" s="422">
        <f>SUM(K112:K113)</f>
        <v/>
      </c>
      <c r="L111" s="422">
        <f>SUM(L112:L113)</f>
        <v/>
      </c>
      <c r="M111" s="422">
        <f>SUM(M112:M113)</f>
        <v/>
      </c>
      <c r="N111" s="422">
        <f>SUM(N112:N113)</f>
        <v/>
      </c>
      <c r="O111" s="422">
        <f>SUM(O112:O113)</f>
        <v/>
      </c>
      <c r="P111" s="422">
        <f>SUM(P112:P113)</f>
        <v/>
      </c>
      <c r="Q111" s="422">
        <f>SUM(Q112:Q113)</f>
        <v/>
      </c>
      <c r="R111" s="422">
        <f>SUM(R112:R113)</f>
        <v/>
      </c>
      <c r="S111" s="422">
        <f>SUM(S112:S113)</f>
        <v/>
      </c>
      <c r="T111" s="422">
        <f>SUM(T112:T113)</f>
        <v/>
      </c>
      <c r="U111" s="422">
        <f>SUM(U112:U113)</f>
        <v/>
      </c>
      <c r="V111" s="422">
        <f>SUM(V112:V113)</f>
        <v/>
      </c>
      <c r="W111" s="422">
        <f>SUM(W112:W113)</f>
        <v/>
      </c>
      <c r="X111" s="422">
        <f>SUM(X112:X113)</f>
        <v/>
      </c>
      <c r="Y111" s="422">
        <f>SUM(Y112:Y113)</f>
        <v/>
      </c>
      <c r="Z111" s="422">
        <f>SUM(Z112:Z113)</f>
        <v/>
      </c>
      <c r="AA111" s="422">
        <f>SUM(AA112:AA113)</f>
        <v/>
      </c>
      <c r="AB111" s="422">
        <f>SUM(AB112:AB113)</f>
        <v/>
      </c>
      <c r="AC111" s="422">
        <f>SUM(AC112:AC113)</f>
        <v/>
      </c>
      <c r="AD111" s="422" t="n"/>
      <c r="AE111" s="422" t="n"/>
      <c r="AF111" s="423" t="n">
        <v>0</v>
      </c>
      <c r="AG111" s="423" t="n">
        <v>0</v>
      </c>
      <c r="AH111" s="423" t="n">
        <v>0</v>
      </c>
      <c r="AI111" s="422">
        <f>SUM(AF111:AH111)</f>
        <v/>
      </c>
      <c r="AJ111" s="422" t="n"/>
    </row>
    <row r="112" outlineLevel="1" s="239">
      <c r="B112" s="1304" t="inlineStr">
        <is>
          <t>Owned</t>
        </is>
      </c>
      <c r="C112" s="423" t="n">
        <v>0</v>
      </c>
      <c r="D112" s="423" t="n">
        <v>0</v>
      </c>
      <c r="E112" s="423" t="n">
        <v>0</v>
      </c>
      <c r="F112" s="423" t="n">
        <v>0</v>
      </c>
      <c r="G112" s="423" t="n">
        <v>0</v>
      </c>
      <c r="H112" s="423" t="n">
        <v>0</v>
      </c>
      <c r="I112" s="423" t="n">
        <v>0</v>
      </c>
      <c r="J112" s="423" t="n">
        <v>0</v>
      </c>
      <c r="K112" s="423" t="n">
        <v>0</v>
      </c>
      <c r="L112" s="423" t="n">
        <v>0</v>
      </c>
      <c r="M112" s="423" t="n">
        <v>0</v>
      </c>
      <c r="N112" s="423" t="n">
        <v>0</v>
      </c>
      <c r="O112" s="423" t="n">
        <v>0</v>
      </c>
      <c r="P112" s="423" t="n">
        <v>0</v>
      </c>
      <c r="Q112" s="423" t="n">
        <v>0</v>
      </c>
      <c r="R112" s="423" t="n">
        <v>0</v>
      </c>
      <c r="S112" s="423" t="n">
        <v>0</v>
      </c>
      <c r="T112" s="423" t="n">
        <v>0</v>
      </c>
      <c r="U112" s="423" t="n">
        <v>0</v>
      </c>
      <c r="V112" s="423" t="n">
        <v>0</v>
      </c>
      <c r="W112" s="423" t="n">
        <v>0</v>
      </c>
      <c r="X112" s="423" t="n">
        <v>0</v>
      </c>
      <c r="Y112" s="423" t="n">
        <v>0</v>
      </c>
      <c r="Z112" s="423" t="n">
        <v>0</v>
      </c>
      <c r="AA112" s="423" t="n">
        <v>0</v>
      </c>
      <c r="AB112" s="423" t="n">
        <v>0</v>
      </c>
      <c r="AC112" s="423" t="n">
        <v>0</v>
      </c>
      <c r="AD112" s="423" t="n"/>
      <c r="AE112" s="422" t="n"/>
      <c r="AF112" s="423" t="n"/>
      <c r="AG112" s="423" t="n"/>
      <c r="AH112" s="423" t="n"/>
      <c r="AI112" s="423" t="n"/>
      <c r="AJ112" s="422" t="n"/>
    </row>
    <row r="113" outlineLevel="1" s="239">
      <c r="B113" s="1304" t="inlineStr">
        <is>
          <t>Leased</t>
        </is>
      </c>
      <c r="C113" s="423" t="n">
        <v>0</v>
      </c>
      <c r="D113" s="423" t="n">
        <v>0</v>
      </c>
      <c r="E113" s="423" t="n">
        <v>0</v>
      </c>
      <c r="F113" s="423" t="n">
        <v>0</v>
      </c>
      <c r="G113" s="423" t="n">
        <v>0</v>
      </c>
      <c r="H113" s="423" t="n">
        <v>0</v>
      </c>
      <c r="I113" s="423" t="n">
        <v>0</v>
      </c>
      <c r="J113" s="423" t="n">
        <v>0</v>
      </c>
      <c r="K113" s="423" t="n">
        <v>0</v>
      </c>
      <c r="L113" s="423" t="n">
        <v>0</v>
      </c>
      <c r="M113" s="423" t="n">
        <v>0</v>
      </c>
      <c r="N113" s="423" t="n">
        <v>0</v>
      </c>
      <c r="O113" s="423" t="n">
        <v>0</v>
      </c>
      <c r="P113" s="423" t="n">
        <v>0</v>
      </c>
      <c r="Q113" s="423" t="n">
        <v>0</v>
      </c>
      <c r="R113" s="423" t="n">
        <v>0</v>
      </c>
      <c r="S113" s="423" t="n">
        <v>0</v>
      </c>
      <c r="T113" s="423" t="n">
        <v>0</v>
      </c>
      <c r="U113" s="423" t="n">
        <v>0</v>
      </c>
      <c r="V113" s="423" t="n">
        <v>0</v>
      </c>
      <c r="W113" s="423" t="n">
        <v>0</v>
      </c>
      <c r="X113" s="423" t="n">
        <v>0</v>
      </c>
      <c r="Y113" s="423" t="n">
        <v>0</v>
      </c>
      <c r="Z113" s="423" t="n">
        <v>0</v>
      </c>
      <c r="AA113" s="423" t="n">
        <v>0</v>
      </c>
      <c r="AB113" s="423" t="n">
        <v>0</v>
      </c>
      <c r="AC113" s="423" t="n">
        <v>0</v>
      </c>
      <c r="AD113" s="423" t="n"/>
      <c r="AE113" s="422" t="n"/>
      <c r="AF113" s="423" t="n"/>
      <c r="AG113" s="423" t="n"/>
      <c r="AH113" s="423" t="n"/>
      <c r="AI113" s="423" t="n"/>
      <c r="AJ113" s="422" t="n"/>
    </row>
    <row r="114">
      <c r="A114" s="1293" t="inlineStr">
        <is>
          <t>F</t>
        </is>
      </c>
      <c r="B114" s="1294" t="inlineStr">
        <is>
          <t>A300F/B727F</t>
        </is>
      </c>
      <c r="C114" s="422">
        <f>SUM(C115:C116)</f>
        <v/>
      </c>
      <c r="D114" s="422">
        <f>SUM(D115:D116)</f>
        <v/>
      </c>
      <c r="E114" s="422">
        <f>SUM(E115:E116)</f>
        <v/>
      </c>
      <c r="F114" s="422">
        <f>SUM(F115:F116)</f>
        <v/>
      </c>
      <c r="G114" s="422">
        <f>SUM(G115:G116)</f>
        <v/>
      </c>
      <c r="H114" s="422">
        <f>SUM(H115:H116)</f>
        <v/>
      </c>
      <c r="I114" s="422">
        <f>SUM(I115:I116)</f>
        <v/>
      </c>
      <c r="J114" s="422">
        <f>SUM(J115:J116)</f>
        <v/>
      </c>
      <c r="K114" s="422">
        <f>SUM(K115:K116)</f>
        <v/>
      </c>
      <c r="L114" s="422">
        <f>SUM(L115:L116)</f>
        <v/>
      </c>
      <c r="M114" s="422">
        <f>SUM(M115:M116)</f>
        <v/>
      </c>
      <c r="N114" s="422">
        <f>SUM(N115:N116)</f>
        <v/>
      </c>
      <c r="O114" s="422">
        <f>SUM(O115:O116)</f>
        <v/>
      </c>
      <c r="P114" s="422">
        <f>SUM(P115:P116)</f>
        <v/>
      </c>
      <c r="Q114" s="422">
        <f>SUM(Q115:Q116)</f>
        <v/>
      </c>
      <c r="R114" s="422">
        <f>SUM(R115:R116)</f>
        <v/>
      </c>
      <c r="S114" s="422">
        <f>SUM(S115:S116)</f>
        <v/>
      </c>
      <c r="T114" s="422">
        <f>SUM(T115:T116)</f>
        <v/>
      </c>
      <c r="U114" s="422">
        <f>SUM(U115:U116)</f>
        <v/>
      </c>
      <c r="V114" s="422">
        <f>SUM(V115:V116)</f>
        <v/>
      </c>
      <c r="W114" s="422">
        <f>SUM(W115:W116)</f>
        <v/>
      </c>
      <c r="X114" s="422">
        <f>SUM(X115:X116)</f>
        <v/>
      </c>
      <c r="Y114" s="422">
        <f>SUM(Y115:Y116)</f>
        <v/>
      </c>
      <c r="Z114" s="422">
        <f>SUM(Z115:Z116)</f>
        <v/>
      </c>
      <c r="AA114" s="422">
        <f>SUM(AA115:AA116)</f>
        <v/>
      </c>
      <c r="AB114" s="422">
        <f>SUM(AB115:AB116)</f>
        <v/>
      </c>
      <c r="AC114" s="422">
        <f>SUM(AC115:AC116)</f>
        <v/>
      </c>
      <c r="AD114" s="422" t="n"/>
      <c r="AE114" s="422" t="n"/>
      <c r="AF114" s="423" t="n">
        <v>0</v>
      </c>
      <c r="AG114" s="423" t="n">
        <v>0</v>
      </c>
      <c r="AH114" s="423" t="n">
        <v>0</v>
      </c>
      <c r="AI114" s="422">
        <f>SUM(AF114:AH114)</f>
        <v/>
      </c>
      <c r="AJ114" s="422" t="n"/>
    </row>
    <row r="115" outlineLevel="1" s="239">
      <c r="B115" s="1304" t="inlineStr">
        <is>
          <t>Owned</t>
        </is>
      </c>
      <c r="C115" s="423" t="n">
        <v>0</v>
      </c>
      <c r="D115" s="423" t="n">
        <v>0</v>
      </c>
      <c r="E115" s="423" t="n">
        <v>0</v>
      </c>
      <c r="F115" s="423" t="n">
        <v>0</v>
      </c>
      <c r="G115" s="423" t="n">
        <v>0</v>
      </c>
      <c r="H115" s="423" t="n">
        <v>0</v>
      </c>
      <c r="I115" s="423" t="n">
        <v>0</v>
      </c>
      <c r="J115" s="423" t="n">
        <v>0</v>
      </c>
      <c r="K115" s="423" t="n">
        <v>0</v>
      </c>
      <c r="L115" s="423" t="n">
        <v>0</v>
      </c>
      <c r="M115" s="423" t="n">
        <v>0</v>
      </c>
      <c r="N115" s="423" t="n">
        <v>0</v>
      </c>
      <c r="O115" s="423" t="n">
        <v>0</v>
      </c>
      <c r="P115" s="423" t="n">
        <v>0</v>
      </c>
      <c r="Q115" s="423" t="n">
        <v>0</v>
      </c>
      <c r="R115" s="423" t="n">
        <v>0</v>
      </c>
      <c r="S115" s="423" t="n">
        <v>0</v>
      </c>
      <c r="T115" s="423" t="n">
        <v>0</v>
      </c>
      <c r="U115" s="423" t="n">
        <v>0</v>
      </c>
      <c r="V115" s="423" t="n">
        <v>0</v>
      </c>
      <c r="W115" s="423" t="n">
        <v>0</v>
      </c>
      <c r="X115" s="423" t="n">
        <v>0</v>
      </c>
      <c r="Y115" s="423" t="n">
        <v>0</v>
      </c>
      <c r="Z115" s="423" t="n">
        <v>0</v>
      </c>
      <c r="AA115" s="423" t="n">
        <v>0</v>
      </c>
      <c r="AB115" s="423" t="n">
        <v>0</v>
      </c>
      <c r="AC115" s="423" t="n">
        <v>0</v>
      </c>
      <c r="AD115" s="423" t="n"/>
      <c r="AE115" s="422" t="n"/>
      <c r="AF115" s="423" t="n"/>
      <c r="AG115" s="423" t="n"/>
      <c r="AH115" s="423" t="n"/>
      <c r="AI115" s="423" t="n"/>
      <c r="AJ115" s="422" t="n"/>
    </row>
    <row r="116" outlineLevel="1" s="239">
      <c r="B116" s="1304" t="inlineStr">
        <is>
          <t>Leased</t>
        </is>
      </c>
      <c r="C116" s="423" t="n">
        <v>0</v>
      </c>
      <c r="D116" s="423" t="n">
        <v>0</v>
      </c>
      <c r="E116" s="423" t="n">
        <v>0</v>
      </c>
      <c r="F116" s="423" t="n">
        <v>0</v>
      </c>
      <c r="G116" s="423" t="n">
        <v>1</v>
      </c>
      <c r="H116" s="423" t="n">
        <v>3</v>
      </c>
      <c r="I116" s="423" t="n">
        <v>0</v>
      </c>
      <c r="J116" s="423" t="n">
        <v>0</v>
      </c>
      <c r="K116" s="423" t="n">
        <v>0</v>
      </c>
      <c r="L116" s="423" t="n">
        <v>0</v>
      </c>
      <c r="M116" s="423" t="n">
        <v>0</v>
      </c>
      <c r="N116" s="423" t="n">
        <v>0</v>
      </c>
      <c r="O116" s="423" t="n">
        <v>0</v>
      </c>
      <c r="P116" s="423" t="n">
        <v>0</v>
      </c>
      <c r="Q116" s="423" t="n">
        <v>0</v>
      </c>
      <c r="R116" s="423" t="n">
        <v>0</v>
      </c>
      <c r="S116" s="423" t="n">
        <v>0</v>
      </c>
      <c r="T116" s="423" t="n">
        <v>0</v>
      </c>
      <c r="U116" s="423" t="n">
        <v>0</v>
      </c>
      <c r="V116" s="423" t="n">
        <v>0</v>
      </c>
      <c r="W116" s="423" t="n">
        <v>0</v>
      </c>
      <c r="X116" s="423" t="n">
        <v>0</v>
      </c>
      <c r="Y116" s="423" t="n">
        <v>0</v>
      </c>
      <c r="Z116" s="423" t="n">
        <v>0</v>
      </c>
      <c r="AA116" s="423" t="n">
        <v>0</v>
      </c>
      <c r="AB116" s="423" t="n">
        <v>0</v>
      </c>
      <c r="AC116" s="423" t="n">
        <v>0</v>
      </c>
      <c r="AD116" s="423" t="n"/>
      <c r="AE116" s="422" t="n"/>
      <c r="AF116" s="423" t="n"/>
      <c r="AG116" s="423" t="n"/>
      <c r="AH116" s="423" t="n"/>
      <c r="AI116" s="423" t="n"/>
      <c r="AJ116" s="422" t="n"/>
    </row>
    <row r="117" ht="12.75" customFormat="1" customHeight="1" s="1296">
      <c r="A117" s="1293" t="n"/>
      <c r="B117" s="1296" t="inlineStr">
        <is>
          <t>Sub-total</t>
        </is>
      </c>
      <c r="C117" s="424">
        <f>SUM(C118:C119)</f>
        <v/>
      </c>
      <c r="D117" s="424">
        <f>SUM(D118:D119)</f>
        <v/>
      </c>
      <c r="E117" s="424">
        <f>SUM(E118:E119)</f>
        <v/>
      </c>
      <c r="F117" s="424">
        <f>SUM(F118:F119)</f>
        <v/>
      </c>
      <c r="G117" s="424">
        <f>SUM(G118:G119)</f>
        <v/>
      </c>
      <c r="H117" s="424">
        <f>SUM(H118:H119)</f>
        <v/>
      </c>
      <c r="I117" s="424">
        <f>SUM(I118:I119)</f>
        <v/>
      </c>
      <c r="J117" s="424">
        <f>SUM(J118:J119)</f>
        <v/>
      </c>
      <c r="K117" s="424">
        <f>SUM(K118:K119)</f>
        <v/>
      </c>
      <c r="L117" s="424">
        <f>SUM(L118:L119)</f>
        <v/>
      </c>
      <c r="M117" s="424">
        <f>SUM(M118:M119)</f>
        <v/>
      </c>
      <c r="N117" s="424">
        <f>SUM(N118:N119)</f>
        <v/>
      </c>
      <c r="O117" s="424">
        <f>SUM(O118:O119)</f>
        <v/>
      </c>
      <c r="P117" s="424">
        <f>SUM(P118:P119)</f>
        <v/>
      </c>
      <c r="Q117" s="424">
        <f>SUM(Q118:Q119)</f>
        <v/>
      </c>
      <c r="R117" s="424">
        <f>SUM(R118:R119)</f>
        <v/>
      </c>
      <c r="S117" s="424">
        <f>SUM(S118:S119)</f>
        <v/>
      </c>
      <c r="T117" s="424">
        <f>SUM(T118:T119)</f>
        <v/>
      </c>
      <c r="U117" s="424">
        <f>SUM(U118:U119)</f>
        <v/>
      </c>
      <c r="V117" s="424">
        <f>SUM(V118:V119)</f>
        <v/>
      </c>
      <c r="W117" s="424">
        <f>SUM(W118:W119)</f>
        <v/>
      </c>
      <c r="X117" s="424">
        <f>SUM(X118:X119)</f>
        <v/>
      </c>
      <c r="Y117" s="424">
        <f>SUM(Y118:Y119)</f>
        <v/>
      </c>
      <c r="Z117" s="424">
        <f>SUM(Z118:Z119)</f>
        <v/>
      </c>
      <c r="AA117" s="424">
        <f>SUM(AA118:AA119)</f>
        <v/>
      </c>
      <c r="AB117" s="424">
        <f>SUM(AB118:AB119)</f>
        <v/>
      </c>
      <c r="AC117" s="424">
        <f>SUM(AC118:AC119)</f>
        <v/>
      </c>
      <c r="AD117" s="424" t="n"/>
      <c r="AE117" s="424" t="n"/>
      <c r="AF117" s="424">
        <f>AF102+AF105+AF108+AF111+AF114</f>
        <v/>
      </c>
      <c r="AG117" s="424">
        <f>AG102+AG105+AG108+AG111+AG114</f>
        <v/>
      </c>
      <c r="AH117" s="424">
        <f>AH102+AH105+AH108+AH111+AH114</f>
        <v/>
      </c>
      <c r="AI117" s="424">
        <f>SUM(AF117:AH117)</f>
        <v/>
      </c>
      <c r="AJ117" s="424" t="n"/>
    </row>
    <row r="118" outlineLevel="1" s="239">
      <c r="B118" s="1304" t="inlineStr">
        <is>
          <t>Owned</t>
        </is>
      </c>
      <c r="C118" s="422">
        <f>C103+C106+C109+C112+C115</f>
        <v/>
      </c>
      <c r="D118" s="422">
        <f>D103+D106+D109+D112+D115</f>
        <v/>
      </c>
      <c r="E118" s="422">
        <f>E103+E106+E109+E112+E115</f>
        <v/>
      </c>
      <c r="F118" s="422">
        <f>F103+F106+F109+F112+F115</f>
        <v/>
      </c>
      <c r="G118" s="422">
        <f>G103+G106+G109+G112+G115</f>
        <v/>
      </c>
      <c r="H118" s="422">
        <f>H103+H106+H109+H112+H115</f>
        <v/>
      </c>
      <c r="I118" s="422">
        <f>I103+I106+I109+I112+I115</f>
        <v/>
      </c>
      <c r="J118" s="422">
        <f>J103+J106+J109+J112+J115</f>
        <v/>
      </c>
      <c r="K118" s="422">
        <f>K103+K106+K109+K112+K115</f>
        <v/>
      </c>
      <c r="L118" s="422">
        <f>L103+L106+L109+L112+L115</f>
        <v/>
      </c>
      <c r="M118" s="422">
        <f>M103+M106+M109+M112+M115</f>
        <v/>
      </c>
      <c r="N118" s="422">
        <f>N103+N106+N109+N112+N115</f>
        <v/>
      </c>
      <c r="O118" s="422">
        <f>O103+O106+O109+O112+O115</f>
        <v/>
      </c>
      <c r="P118" s="422">
        <f>P103+P106+P109+P112+P115</f>
        <v/>
      </c>
      <c r="Q118" s="422">
        <f>Q103+Q106+Q109+Q112+Q115</f>
        <v/>
      </c>
      <c r="R118" s="422">
        <f>R103+R106+R109+R112+R115</f>
        <v/>
      </c>
      <c r="S118" s="422">
        <f>S103+S106+S109+S112+S115</f>
        <v/>
      </c>
      <c r="T118" s="422">
        <f>T103+T106+T109+T112+T115</f>
        <v/>
      </c>
      <c r="U118" s="422">
        <f>U103+U106+U109+U112+U115</f>
        <v/>
      </c>
      <c r="V118" s="422">
        <f>V103+V106+V109+V112+V115</f>
        <v/>
      </c>
      <c r="W118" s="422">
        <f>W103+W106+W109+W112+W115</f>
        <v/>
      </c>
      <c r="X118" s="422">
        <f>X103+X106+X109+X112+X115</f>
        <v/>
      </c>
      <c r="Y118" s="422">
        <f>Y103+Y106+Y109+Y112+Y115</f>
        <v/>
      </c>
      <c r="Z118" s="422">
        <f>Z103+Z106+Z109+Z112+Z115</f>
        <v/>
      </c>
      <c r="AA118" s="422">
        <f>AA103+AA106+AA109+AA112+AA115</f>
        <v/>
      </c>
      <c r="AB118" s="422">
        <f>AB103+AB106+AB109+AB112+AB115</f>
        <v/>
      </c>
      <c r="AC118" s="422">
        <f>AC103+AC106+AC109+AC112+AC115</f>
        <v/>
      </c>
      <c r="AD118" s="422" t="n"/>
      <c r="AE118" s="422" t="n"/>
      <c r="AF118" s="422" t="n"/>
      <c r="AG118" s="422" t="n"/>
      <c r="AH118" s="422" t="n"/>
      <c r="AI118" s="422" t="n"/>
      <c r="AJ118" s="422" t="n"/>
    </row>
    <row r="119" outlineLevel="1" s="239">
      <c r="B119" s="1304" t="inlineStr">
        <is>
          <t>Leased</t>
        </is>
      </c>
      <c r="C119" s="422">
        <f>C104+C107+C110+C113+C116</f>
        <v/>
      </c>
      <c r="D119" s="422">
        <f>D104+D107+D110+D113+D116</f>
        <v/>
      </c>
      <c r="E119" s="422">
        <f>E104+E107+E110+E113+E116</f>
        <v/>
      </c>
      <c r="F119" s="422">
        <f>F104+F107+F110+F113+F116</f>
        <v/>
      </c>
      <c r="G119" s="422">
        <f>G104+G107+G110+G113+G116</f>
        <v/>
      </c>
      <c r="H119" s="422">
        <f>H104+H107+H110+H113+H116</f>
        <v/>
      </c>
      <c r="I119" s="422">
        <f>I104+I107+I110+I113+I116</f>
        <v/>
      </c>
      <c r="J119" s="422">
        <f>J104+J107+J110+J113+J116</f>
        <v/>
      </c>
      <c r="K119" s="422">
        <f>K104+K107+K110+K113+K116</f>
        <v/>
      </c>
      <c r="L119" s="422">
        <f>L104+L107+L110+L113+L116</f>
        <v/>
      </c>
      <c r="M119" s="422">
        <f>M104+M107+M110+M113+M116</f>
        <v/>
      </c>
      <c r="N119" s="422">
        <f>N104+N107+N110+N113+N116</f>
        <v/>
      </c>
      <c r="O119" s="422">
        <f>O104+O107+O110+O113+O116</f>
        <v/>
      </c>
      <c r="P119" s="422">
        <f>P104+P107+P110+P113+P116</f>
        <v/>
      </c>
      <c r="Q119" s="422">
        <f>Q104+Q107+Q110+Q113+Q116</f>
        <v/>
      </c>
      <c r="R119" s="422">
        <f>R104+R107+R110+R113+R116</f>
        <v/>
      </c>
      <c r="S119" s="422">
        <f>S104+S107+S110+S113+S116</f>
        <v/>
      </c>
      <c r="T119" s="422">
        <f>T104+T107+T110+T113+T116</f>
        <v/>
      </c>
      <c r="U119" s="422">
        <f>U104+U107+U110+U113+U116</f>
        <v/>
      </c>
      <c r="V119" s="422">
        <f>V104+V107+V110+V113+V116</f>
        <v/>
      </c>
      <c r="W119" s="422">
        <f>W104+W107+W110+W113+W116</f>
        <v/>
      </c>
      <c r="X119" s="422">
        <f>X104+X107+X110+X113+X116</f>
        <v/>
      </c>
      <c r="Y119" s="422">
        <f>Y104+Y107+Y110+Y113+Y116</f>
        <v/>
      </c>
      <c r="Z119" s="422">
        <f>Z104+Z107+Z110+Z113+Z116</f>
        <v/>
      </c>
      <c r="AA119" s="422">
        <f>AA104+AA107+AA110+AA113+AA116</f>
        <v/>
      </c>
      <c r="AB119" s="422">
        <f>AB104+AB107+AB110+AB113+AB116</f>
        <v/>
      </c>
      <c r="AC119" s="422">
        <f>AC104+AC107+AC110+AC113+AC116</f>
        <v/>
      </c>
      <c r="AD119" s="422" t="n"/>
      <c r="AE119" s="422" t="n"/>
      <c r="AF119" s="422" t="n"/>
      <c r="AG119" s="422" t="n"/>
      <c r="AH119" s="422" t="n"/>
      <c r="AI119" s="422" t="n"/>
      <c r="AJ119" s="422" t="n"/>
    </row>
    <row r="120" ht="12.75" customFormat="1" customHeight="1" s="1296">
      <c r="A120" s="1293" t="n"/>
      <c r="B120" s="1296" t="inlineStr">
        <is>
          <t>Total</t>
        </is>
      </c>
      <c r="C120" s="424">
        <f>SUM(C121:C122)</f>
        <v/>
      </c>
      <c r="D120" s="424">
        <f>SUM(D121:D122)</f>
        <v/>
      </c>
      <c r="E120" s="424">
        <f>SUM(E121:E122)</f>
        <v/>
      </c>
      <c r="F120" s="424">
        <f>SUM(F121:F122)</f>
        <v/>
      </c>
      <c r="G120" s="424">
        <f>SUM(G121:G122)</f>
        <v/>
      </c>
      <c r="H120" s="424">
        <f>SUM(H121:H122)</f>
        <v/>
      </c>
      <c r="I120" s="424">
        <f>SUM(I121:I122)</f>
        <v/>
      </c>
      <c r="J120" s="424">
        <f>SUM(J121:J122)</f>
        <v/>
      </c>
      <c r="K120" s="424">
        <f>SUM(K121:K122)</f>
        <v/>
      </c>
      <c r="L120" s="424">
        <f>SUM(L121:L122)</f>
        <v/>
      </c>
      <c r="M120" s="424">
        <f>SUM(M121:M122)</f>
        <v/>
      </c>
      <c r="N120" s="424">
        <f>SUM(N121:N122)</f>
        <v/>
      </c>
      <c r="O120" s="424">
        <f>SUM(O121:O122)</f>
        <v/>
      </c>
      <c r="P120" s="424">
        <f>SUM(P121:P122)</f>
        <v/>
      </c>
      <c r="Q120" s="424">
        <f>SUM(Q121:Q122)</f>
        <v/>
      </c>
      <c r="R120" s="424">
        <f>SUM(R121:R122)</f>
        <v/>
      </c>
      <c r="S120" s="424">
        <f>SUM(S121:S122)</f>
        <v/>
      </c>
      <c r="T120" s="424">
        <f>SUM(T121:T122)</f>
        <v/>
      </c>
      <c r="U120" s="424">
        <f>SUM(U121:U122)</f>
        <v/>
      </c>
      <c r="V120" s="424">
        <f>SUM(V121:V122)</f>
        <v/>
      </c>
      <c r="W120" s="424">
        <f>SUM(W121:W122)</f>
        <v/>
      </c>
      <c r="X120" s="424">
        <f>SUM(X121:X122)</f>
        <v/>
      </c>
      <c r="Y120" s="424">
        <f>SUM(Y121:Y122)</f>
        <v/>
      </c>
      <c r="Z120" s="424">
        <f>SUM(Z121:Z122)</f>
        <v/>
      </c>
      <c r="AA120" s="424">
        <f>SUM(AA121:AA122)</f>
        <v/>
      </c>
      <c r="AB120" s="424">
        <f>SUM(AB121:AB122)</f>
        <v/>
      </c>
      <c r="AC120" s="424">
        <f>SUM(AC121:AC122)</f>
        <v/>
      </c>
      <c r="AD120" s="424" t="n"/>
      <c r="AE120" s="424" t="n"/>
      <c r="AF120" s="424">
        <f>AF82+AF98+AF117</f>
        <v/>
      </c>
      <c r="AG120" s="424">
        <f>AG82+AG98+AG117</f>
        <v/>
      </c>
      <c r="AH120" s="424">
        <f>AH82+AH98+AH117</f>
        <v/>
      </c>
      <c r="AI120" s="424">
        <f>SUM(AF120:AH120)</f>
        <v/>
      </c>
      <c r="AJ120" s="424" t="n"/>
    </row>
    <row r="121" outlineLevel="1" s="239">
      <c r="B121" s="1304" t="inlineStr">
        <is>
          <t>Owned</t>
        </is>
      </c>
      <c r="C121" s="422">
        <f>C83+C99+C118</f>
        <v/>
      </c>
      <c r="D121" s="422">
        <f>D83+D99+D118</f>
        <v/>
      </c>
      <c r="E121" s="422">
        <f>E83+E99+E118</f>
        <v/>
      </c>
      <c r="F121" s="422">
        <f>F83+F99+F118</f>
        <v/>
      </c>
      <c r="G121" s="422">
        <f>G83+G99+G118</f>
        <v/>
      </c>
      <c r="H121" s="422">
        <f>H83+H99+H118</f>
        <v/>
      </c>
      <c r="I121" s="422">
        <f>I83+I99+I118</f>
        <v/>
      </c>
      <c r="J121" s="422">
        <f>J83+J99+J118</f>
        <v/>
      </c>
      <c r="K121" s="422">
        <f>K83+K99+K118</f>
        <v/>
      </c>
      <c r="L121" s="422">
        <f>L83+L99+L118</f>
        <v/>
      </c>
      <c r="M121" s="422">
        <f>M83+M99+M118</f>
        <v/>
      </c>
      <c r="N121" s="422">
        <f>N83+N99+N118</f>
        <v/>
      </c>
      <c r="O121" s="422">
        <f>O83+O99+O118</f>
        <v/>
      </c>
      <c r="P121" s="422">
        <f>P83+P99+P118</f>
        <v/>
      </c>
      <c r="Q121" s="422">
        <f>Q83+Q99+Q118</f>
        <v/>
      </c>
      <c r="R121" s="422">
        <f>R83+R99+R118</f>
        <v/>
      </c>
      <c r="S121" s="422">
        <f>S83+S99+S118</f>
        <v/>
      </c>
      <c r="T121" s="422">
        <f>T83+T99+T118</f>
        <v/>
      </c>
      <c r="U121" s="422">
        <f>U83+U99+U118</f>
        <v/>
      </c>
      <c r="V121" s="422">
        <f>V83+V99+V118</f>
        <v/>
      </c>
      <c r="W121" s="422">
        <f>W83+W99+W118</f>
        <v/>
      </c>
      <c r="X121" s="422">
        <f>X83+X99+X118</f>
        <v/>
      </c>
      <c r="Y121" s="422">
        <f>Y83+Y99+Y118</f>
        <v/>
      </c>
      <c r="Z121" s="422">
        <f>Z83+Z99+Z118</f>
        <v/>
      </c>
      <c r="AA121" s="422">
        <f>AA83+AA99+AA118</f>
        <v/>
      </c>
      <c r="AB121" s="422">
        <f>AB83+AB99+AB118</f>
        <v/>
      </c>
      <c r="AC121" s="422">
        <f>AC83+AC99+AC118</f>
        <v/>
      </c>
      <c r="AD121" s="422" t="n"/>
      <c r="AE121" s="422" t="n"/>
      <c r="AF121" s="422" t="n"/>
      <c r="AG121" s="422" t="n"/>
      <c r="AH121" s="422" t="n"/>
      <c r="AI121" s="422" t="n"/>
      <c r="AJ121" s="422" t="n"/>
    </row>
    <row r="122" outlineLevel="1" s="239">
      <c r="B122" s="1304" t="inlineStr">
        <is>
          <t>Leased</t>
        </is>
      </c>
      <c r="C122" s="422">
        <f>C84+C100+C119</f>
        <v/>
      </c>
      <c r="D122" s="422">
        <f>D84+D100+D119</f>
        <v/>
      </c>
      <c r="E122" s="422">
        <f>E84+E100+E119</f>
        <v/>
      </c>
      <c r="F122" s="422">
        <f>F84+F100+F119</f>
        <v/>
      </c>
      <c r="G122" s="422">
        <f>G84+G100+G119</f>
        <v/>
      </c>
      <c r="H122" s="422">
        <f>H84+H100+H119</f>
        <v/>
      </c>
      <c r="I122" s="422">
        <f>I84+I100+I119</f>
        <v/>
      </c>
      <c r="J122" s="422">
        <f>J84+J100+J119</f>
        <v/>
      </c>
      <c r="K122" s="422">
        <f>K84+K100+K119</f>
        <v/>
      </c>
      <c r="L122" s="422">
        <f>L84+L100+L119</f>
        <v/>
      </c>
      <c r="M122" s="422">
        <f>M84+M100+M119</f>
        <v/>
      </c>
      <c r="N122" s="422">
        <f>N84+N100+N119</f>
        <v/>
      </c>
      <c r="O122" s="422">
        <f>O84+O100+O119</f>
        <v/>
      </c>
      <c r="P122" s="422">
        <f>P84+P100+P119</f>
        <v/>
      </c>
      <c r="Q122" s="422">
        <f>Q84+Q100+Q119</f>
        <v/>
      </c>
      <c r="R122" s="422">
        <f>R84+R100+R119</f>
        <v/>
      </c>
      <c r="S122" s="422">
        <f>S84+S100+S119</f>
        <v/>
      </c>
      <c r="T122" s="422">
        <f>T84+T100+T119</f>
        <v/>
      </c>
      <c r="U122" s="422">
        <f>U84+U100+U119</f>
        <v/>
      </c>
      <c r="V122" s="422">
        <f>V84+V100+V119</f>
        <v/>
      </c>
      <c r="W122" s="422">
        <f>W84+W100+W119</f>
        <v/>
      </c>
      <c r="X122" s="422">
        <f>X84+X100+X119</f>
        <v/>
      </c>
      <c r="Y122" s="422">
        <f>Y84+Y100+Y119</f>
        <v/>
      </c>
      <c r="Z122" s="422">
        <f>Z84+Z100+Z119</f>
        <v/>
      </c>
      <c r="AA122" s="422">
        <f>AA84+AA100+AA119</f>
        <v/>
      </c>
      <c r="AB122" s="422">
        <f>AB84+AB100+AB119</f>
        <v/>
      </c>
      <c r="AC122" s="422">
        <f>AC84+AC100+AC119</f>
        <v/>
      </c>
      <c r="AD122" s="422" t="n"/>
      <c r="AE122" s="422" t="n"/>
      <c r="AF122" s="422" t="n"/>
      <c r="AG122" s="422" t="n"/>
      <c r="AH122" s="422" t="n"/>
      <c r="AI122" s="422" t="n"/>
      <c r="AJ122" s="422" t="n"/>
    </row>
    <row r="123">
      <c r="B123" s="1294" t="inlineStr">
        <is>
          <t>Change YoY (%)</t>
        </is>
      </c>
      <c r="C123" s="420" t="n"/>
      <c r="D123" s="420">
        <f>D120/C120-1</f>
        <v/>
      </c>
      <c r="E123" s="420">
        <f>E120/D120-1</f>
        <v/>
      </c>
      <c r="F123" s="420">
        <f>F120/E120-1</f>
        <v/>
      </c>
      <c r="G123" s="420">
        <f>G120/F120-1</f>
        <v/>
      </c>
      <c r="H123" s="420">
        <f>H120/G120-1</f>
        <v/>
      </c>
      <c r="I123" s="420">
        <f>I120/H120-1</f>
        <v/>
      </c>
      <c r="J123" s="420">
        <f>J120/I120-1</f>
        <v/>
      </c>
      <c r="K123" s="420">
        <f>K120/J120-1</f>
        <v/>
      </c>
      <c r="L123" s="420">
        <f>L120/K120-1</f>
        <v/>
      </c>
      <c r="M123" s="420">
        <f>M120/L120-1</f>
        <v/>
      </c>
      <c r="N123" s="420">
        <f>N120/M120-1</f>
        <v/>
      </c>
      <c r="O123" s="420">
        <f>O120/N120-1</f>
        <v/>
      </c>
      <c r="P123" s="420">
        <f>P120/O120-1</f>
        <v/>
      </c>
      <c r="Q123" s="420">
        <f>Q120/P120-1</f>
        <v/>
      </c>
      <c r="R123" s="420">
        <f>R120/Q120-1</f>
        <v/>
      </c>
      <c r="S123" s="420">
        <f>S120/R120-1</f>
        <v/>
      </c>
      <c r="T123" s="420">
        <f>T120/S120-1</f>
        <v/>
      </c>
      <c r="U123" s="420">
        <f>U120/T120-1</f>
        <v/>
      </c>
      <c r="V123" s="420">
        <f>V120/U120-1</f>
        <v/>
      </c>
      <c r="W123" s="420">
        <f>W120/V120-1</f>
        <v/>
      </c>
      <c r="X123" s="420">
        <f>X120/W120-1</f>
        <v/>
      </c>
      <c r="Y123" s="420">
        <f>Y120/X120-1</f>
        <v/>
      </c>
      <c r="Z123" s="420">
        <f>Z120/Y120-1</f>
        <v/>
      </c>
      <c r="AA123" s="420">
        <f>AA120/Z120-1</f>
        <v/>
      </c>
      <c r="AB123" s="420">
        <f>AB120/AA120-1</f>
        <v/>
      </c>
      <c r="AC123" s="420">
        <f>AC120/AB120-1</f>
        <v/>
      </c>
      <c r="AD123" s="420" t="n"/>
      <c r="AF123" s="420" t="n"/>
      <c r="AG123" s="420" t="n"/>
      <c r="AH123" s="420" t="n"/>
      <c r="AI123" s="420" t="n"/>
    </row>
    <row r="124">
      <c r="C124" s="420" t="n"/>
      <c r="D124" s="420" t="n"/>
      <c r="E124" s="420" t="n"/>
      <c r="F124" s="420" t="n"/>
      <c r="G124" s="420" t="n"/>
      <c r="H124" s="420" t="n"/>
      <c r="I124" s="420" t="n"/>
      <c r="J124" s="420" t="n"/>
      <c r="K124" s="420" t="n"/>
      <c r="L124" s="420" t="n"/>
      <c r="M124" s="420" t="n"/>
      <c r="N124" s="420" t="n"/>
      <c r="O124" s="420" t="n"/>
      <c r="P124" s="420" t="n"/>
      <c r="Q124" s="420" t="n"/>
      <c r="R124" s="420" t="n"/>
      <c r="S124" s="420" t="n"/>
      <c r="T124" s="420" t="n"/>
      <c r="U124" s="420" t="n"/>
      <c r="V124" s="420" t="n"/>
      <c r="W124" s="420" t="n"/>
      <c r="X124" s="420" t="n"/>
      <c r="Y124" s="420" t="n"/>
      <c r="Z124" s="420" t="n"/>
      <c r="AA124" s="420" t="n"/>
      <c r="AB124" s="420" t="n"/>
      <c r="AC124" s="420" t="n"/>
      <c r="AD124" s="420" t="n"/>
    </row>
    <row r="125">
      <c r="A125" s="1293" t="inlineStr">
        <is>
          <t>W</t>
        </is>
      </c>
      <c r="B125" s="1294" t="inlineStr">
        <is>
          <t>Wide-body</t>
        </is>
      </c>
      <c r="C125" s="422">
        <f>SUMIF($A$9:$A$122,$A125,C$9:C$122)</f>
        <v/>
      </c>
      <c r="D125" s="422">
        <f>SUMIF($A$9:$A$122,$A125,D$9:D$122)</f>
        <v/>
      </c>
      <c r="E125" s="422">
        <f>SUMIF($A$9:$A$122,$A125,E$9:E$122)</f>
        <v/>
      </c>
      <c r="F125" s="422">
        <f>SUMIF($A$9:$A$122,$A125,F$9:F$122)</f>
        <v/>
      </c>
      <c r="G125" s="422">
        <f>SUMIF($A$9:$A$122,$A125,G$9:G$122)</f>
        <v/>
      </c>
      <c r="H125" s="422">
        <f>SUMIF($A$9:$A$122,$A125,H$9:H$122)</f>
        <v/>
      </c>
      <c r="I125" s="422">
        <f>SUMIF($A$9:$A$122,$A125,I$9:I$122)</f>
        <v/>
      </c>
      <c r="J125" s="422">
        <f>SUMIF($A$9:$A$122,$A125,J$9:J$122)</f>
        <v/>
      </c>
      <c r="K125" s="422">
        <f>SUMIF($A$9:$A$122,$A125,K$9:K$122)</f>
        <v/>
      </c>
      <c r="L125" s="422">
        <f>SUMIF($A$9:$A$122,$A125,L$9:L$122)</f>
        <v/>
      </c>
      <c r="M125" s="422">
        <f>SUMIF($A$9:$A$122,$A125,M$9:M$122)</f>
        <v/>
      </c>
      <c r="N125" s="422">
        <f>SUMIF($A$9:$A$122,$A125,N$9:N$122)</f>
        <v/>
      </c>
      <c r="O125" s="422">
        <f>SUMIF($A$9:$A$122,$A125,O$9:O$122)</f>
        <v/>
      </c>
      <c r="P125" s="422">
        <f>SUMIF($A$9:$A$122,$A125,P$9:P$122)</f>
        <v/>
      </c>
      <c r="Q125" s="422">
        <f>SUMIF($A$9:$A$122,$A125,Q$9:Q$122)</f>
        <v/>
      </c>
      <c r="R125" s="422">
        <f>SUMIF($A$9:$A$122,$A125,R$9:R$122)</f>
        <v/>
      </c>
      <c r="S125" s="422">
        <f>SUMIF($A$9:$A$122,$A125,S$9:S$122)</f>
        <v/>
      </c>
      <c r="T125" s="422">
        <f>SUMIF($A$9:$A$122,$A125,T$9:T$122)</f>
        <v/>
      </c>
      <c r="U125" s="422">
        <f>SUMIF($A$9:$A$122,$A125,U$9:U$122)</f>
        <v/>
      </c>
      <c r="V125" s="422">
        <f>SUMIF($A$9:$A$122,$A125,V$9:V$122)</f>
        <v/>
      </c>
      <c r="W125" s="422">
        <f>SUMIF($A$9:$A$122,$A125,W$9:W$122)</f>
        <v/>
      </c>
      <c r="X125" s="422">
        <f>SUMIF($A$9:$A$122,$A125,X$9:X$122)</f>
        <v/>
      </c>
      <c r="Y125" s="422">
        <f>SUMIF($A$9:$A$122,$A125,Y$9:Y$122)</f>
        <v/>
      </c>
      <c r="Z125" s="422">
        <f>SUMIF($A$9:$A$122,$A125,Z$9:Z$122)</f>
        <v/>
      </c>
      <c r="AA125" s="422">
        <f>SUMIF($A$9:$A$122,$A125,AA$9:AA$122)</f>
        <v/>
      </c>
      <c r="AB125" s="422">
        <f>SUMIF($A$9:$A$122,$A125,AB$9:AB$122)</f>
        <v/>
      </c>
      <c r="AC125" s="422">
        <f>SUMIF($A$9:$A$122,$A125,AC$9:AC$122)</f>
        <v/>
      </c>
      <c r="AD125" s="422" t="n"/>
    </row>
    <row r="126">
      <c r="A126" s="1293" t="inlineStr">
        <is>
          <t>N</t>
        </is>
      </c>
      <c r="B126" s="1294" t="inlineStr">
        <is>
          <t>Narrow-body</t>
        </is>
      </c>
      <c r="C126" s="422">
        <f>SUMIF($A$9:$A$122,$A126,C$9:C$122)</f>
        <v/>
      </c>
      <c r="D126" s="422">
        <f>SUMIF($A$9:$A$122,$A126,D$9:D$122)</f>
        <v/>
      </c>
      <c r="E126" s="422">
        <f>SUMIF($A$9:$A$122,$A126,E$9:E$122)</f>
        <v/>
      </c>
      <c r="F126" s="422">
        <f>SUMIF($A$9:$A$122,$A126,F$9:F$122)</f>
        <v/>
      </c>
      <c r="G126" s="422">
        <f>SUMIF($A$9:$A$122,$A126,G$9:G$122)</f>
        <v/>
      </c>
      <c r="H126" s="422">
        <f>SUMIF($A$9:$A$122,$A126,H$9:H$122)</f>
        <v/>
      </c>
      <c r="I126" s="422">
        <f>SUMIF($A$9:$A$122,$A126,I$9:I$122)</f>
        <v/>
      </c>
      <c r="J126" s="422">
        <f>SUMIF($A$9:$A$122,$A126,J$9:J$122)</f>
        <v/>
      </c>
      <c r="K126" s="422">
        <f>SUMIF($A$9:$A$122,$A126,K$9:K$122)</f>
        <v/>
      </c>
      <c r="L126" s="422">
        <f>SUMIF($A$9:$A$122,$A126,L$9:L$122)</f>
        <v/>
      </c>
      <c r="M126" s="422">
        <f>SUMIF($A$9:$A$122,$A126,M$9:M$122)</f>
        <v/>
      </c>
      <c r="N126" s="422">
        <f>SUMIF($A$9:$A$122,$A126,N$9:N$122)</f>
        <v/>
      </c>
      <c r="O126" s="422">
        <f>SUMIF($A$9:$A$122,$A126,O$9:O$122)</f>
        <v/>
      </c>
      <c r="P126" s="422">
        <f>SUMIF($A$9:$A$122,$A126,P$9:P$122)</f>
        <v/>
      </c>
      <c r="Q126" s="422">
        <f>SUMIF($A$9:$A$122,$A126,Q$9:Q$122)</f>
        <v/>
      </c>
      <c r="R126" s="422">
        <f>SUMIF($A$9:$A$122,$A126,R$9:R$122)</f>
        <v/>
      </c>
      <c r="S126" s="422">
        <f>SUMIF($A$9:$A$122,$A126,S$9:S$122)</f>
        <v/>
      </c>
      <c r="T126" s="422">
        <f>SUMIF($A$9:$A$122,$A126,T$9:T$122)</f>
        <v/>
      </c>
      <c r="U126" s="422">
        <f>SUMIF($A$9:$A$122,$A126,U$9:U$122)</f>
        <v/>
      </c>
      <c r="V126" s="422">
        <f>SUMIF($A$9:$A$122,$A126,V$9:V$122)</f>
        <v/>
      </c>
      <c r="W126" s="422">
        <f>SUMIF($A$9:$A$122,$A126,W$9:W$122)</f>
        <v/>
      </c>
      <c r="X126" s="422">
        <f>SUMIF($A$9:$A$122,$A126,X$9:X$122)</f>
        <v/>
      </c>
      <c r="Y126" s="422">
        <f>SUMIF($A$9:$A$122,$A126,Y$9:Y$122)</f>
        <v/>
      </c>
      <c r="Z126" s="422">
        <f>SUMIF($A$9:$A$122,$A126,Z$9:Z$122)</f>
        <v/>
      </c>
      <c r="AA126" s="422">
        <f>SUMIF($A$9:$A$122,$A126,AA$9:AA$122)</f>
        <v/>
      </c>
      <c r="AB126" s="422">
        <f>SUMIF($A$9:$A$122,$A126,AB$9:AB$122)</f>
        <v/>
      </c>
      <c r="AC126" s="422">
        <f>SUMIF($A$9:$A$122,$A126,AC$9:AC$122)</f>
        <v/>
      </c>
      <c r="AD126" s="422" t="n"/>
    </row>
    <row r="127">
      <c r="A127" s="1293" t="inlineStr">
        <is>
          <t>R</t>
        </is>
      </c>
      <c r="B127" s="1294" t="inlineStr">
        <is>
          <t>Regional</t>
        </is>
      </c>
      <c r="C127" s="422">
        <f>SUMIF($A$9:$A$122,$A127,C$9:C$122)</f>
        <v/>
      </c>
      <c r="D127" s="422">
        <f>SUMIF($A$9:$A$122,$A127,D$9:D$122)</f>
        <v/>
      </c>
      <c r="E127" s="422">
        <f>SUMIF($A$9:$A$122,$A127,E$9:E$122)</f>
        <v/>
      </c>
      <c r="F127" s="422">
        <f>SUMIF($A$9:$A$122,$A127,F$9:F$122)</f>
        <v/>
      </c>
      <c r="G127" s="422">
        <f>SUMIF($A$9:$A$122,$A127,G$9:G$122)</f>
        <v/>
      </c>
      <c r="H127" s="422">
        <f>SUMIF($A$9:$A$122,$A127,H$9:H$122)</f>
        <v/>
      </c>
      <c r="I127" s="422">
        <f>SUMIF($A$9:$A$122,$A127,I$9:I$122)</f>
        <v/>
      </c>
      <c r="J127" s="422">
        <f>SUMIF($A$9:$A$122,$A127,J$9:J$122)</f>
        <v/>
      </c>
      <c r="K127" s="422">
        <f>SUMIF($A$9:$A$122,$A127,K$9:K$122)</f>
        <v/>
      </c>
      <c r="L127" s="422">
        <f>SUMIF($A$9:$A$122,$A127,L$9:L$122)</f>
        <v/>
      </c>
      <c r="M127" s="422">
        <f>SUMIF($A$9:$A$122,$A127,M$9:M$122)</f>
        <v/>
      </c>
      <c r="N127" s="422">
        <f>SUMIF($A$9:$A$122,$A127,N$9:N$122)</f>
        <v/>
      </c>
      <c r="O127" s="422">
        <f>SUMIF($A$9:$A$122,$A127,O$9:O$122)</f>
        <v/>
      </c>
      <c r="P127" s="422">
        <f>SUMIF($A$9:$A$122,$A127,P$9:P$122)</f>
        <v/>
      </c>
      <c r="Q127" s="422">
        <f>SUMIF($A$9:$A$122,$A127,Q$9:Q$122)</f>
        <v/>
      </c>
      <c r="R127" s="422">
        <f>SUMIF($A$9:$A$122,$A127,R$9:R$122)</f>
        <v/>
      </c>
      <c r="S127" s="422">
        <f>SUMIF($A$9:$A$122,$A127,S$9:S$122)</f>
        <v/>
      </c>
      <c r="T127" s="422">
        <f>SUMIF($A$9:$A$122,$A127,T$9:T$122)</f>
        <v/>
      </c>
      <c r="U127" s="422">
        <f>SUMIF($A$9:$A$122,$A127,U$9:U$122)</f>
        <v/>
      </c>
      <c r="V127" s="422">
        <f>SUMIF($A$9:$A$122,$A127,V$9:V$122)</f>
        <v/>
      </c>
      <c r="W127" s="422">
        <f>SUMIF($A$9:$A$122,$A127,W$9:W$122)</f>
        <v/>
      </c>
      <c r="X127" s="422">
        <f>SUMIF($A$9:$A$122,$A127,X$9:X$122)</f>
        <v/>
      </c>
      <c r="Y127" s="422">
        <f>SUMIF($A$9:$A$122,$A127,Y$9:Y$122)</f>
        <v/>
      </c>
      <c r="Z127" s="422">
        <f>SUMIF($A$9:$A$122,$A127,Z$9:Z$122)</f>
        <v/>
      </c>
      <c r="AA127" s="422">
        <f>SUMIF($A$9:$A$122,$A127,AA$9:AA$122)</f>
        <v/>
      </c>
      <c r="AB127" s="422">
        <f>SUMIF($A$9:$A$122,$A127,AB$9:AB$122)</f>
        <v/>
      </c>
      <c r="AC127" s="422">
        <f>SUMIF($A$9:$A$122,$A127,AC$9:AC$122)</f>
        <v/>
      </c>
      <c r="AD127" s="422" t="n"/>
    </row>
    <row r="128">
      <c r="A128" s="1293" t="inlineStr">
        <is>
          <t>F</t>
        </is>
      </c>
      <c r="B128" s="1294" t="inlineStr">
        <is>
          <t>Freighter</t>
        </is>
      </c>
      <c r="C128" s="422">
        <f>SUMIF($A$9:$A$122,$A128,C$9:C$122)</f>
        <v/>
      </c>
      <c r="D128" s="422">
        <f>SUMIF($A$9:$A$122,$A128,D$9:D$122)</f>
        <v/>
      </c>
      <c r="E128" s="422">
        <f>SUMIF($A$9:$A$122,$A128,E$9:E$122)</f>
        <v/>
      </c>
      <c r="F128" s="422">
        <f>SUMIF($A$9:$A$122,$A128,F$9:F$122)</f>
        <v/>
      </c>
      <c r="G128" s="422">
        <f>SUMIF($A$9:$A$122,$A128,G$9:G$122)</f>
        <v/>
      </c>
      <c r="H128" s="422">
        <f>SUMIF($A$9:$A$122,$A128,H$9:H$122)</f>
        <v/>
      </c>
      <c r="I128" s="422">
        <f>SUMIF($A$9:$A$122,$A128,I$9:I$122)</f>
        <v/>
      </c>
      <c r="J128" s="422">
        <f>SUMIF($A$9:$A$122,$A128,J$9:J$122)</f>
        <v/>
      </c>
      <c r="K128" s="422">
        <f>SUMIF($A$9:$A$122,$A128,K$9:K$122)</f>
        <v/>
      </c>
      <c r="L128" s="422">
        <f>SUMIF($A$9:$A$122,$A128,L$9:L$122)</f>
        <v/>
      </c>
      <c r="M128" s="422">
        <f>SUMIF($A$9:$A$122,$A128,M$9:M$122)</f>
        <v/>
      </c>
      <c r="N128" s="422">
        <f>SUMIF($A$9:$A$122,$A128,N$9:N$122)</f>
        <v/>
      </c>
      <c r="O128" s="422">
        <f>SUMIF($A$9:$A$122,$A128,O$9:O$122)</f>
        <v/>
      </c>
      <c r="P128" s="422">
        <f>SUMIF($A$9:$A$122,$A128,P$9:P$122)</f>
        <v/>
      </c>
      <c r="Q128" s="422">
        <f>SUMIF($A$9:$A$122,$A128,Q$9:Q$122)</f>
        <v/>
      </c>
      <c r="R128" s="422">
        <f>SUMIF($A$9:$A$122,$A128,R$9:R$122)</f>
        <v/>
      </c>
      <c r="S128" s="422">
        <f>SUMIF($A$9:$A$122,$A128,S$9:S$122)</f>
        <v/>
      </c>
      <c r="T128" s="422">
        <f>SUMIF($A$9:$A$122,$A128,T$9:T$122)</f>
        <v/>
      </c>
      <c r="U128" s="422">
        <f>SUMIF($A$9:$A$122,$A128,U$9:U$122)</f>
        <v/>
      </c>
      <c r="V128" s="422">
        <f>SUMIF($A$9:$A$122,$A128,V$9:V$122)</f>
        <v/>
      </c>
      <c r="W128" s="422">
        <f>SUMIF($A$9:$A$122,$A128,W$9:W$122)</f>
        <v/>
      </c>
      <c r="X128" s="422">
        <f>SUMIF($A$9:$A$122,$A128,X$9:X$122)</f>
        <v/>
      </c>
      <c r="Y128" s="422">
        <f>SUMIF($A$9:$A$122,$A128,Y$9:Y$122)</f>
        <v/>
      </c>
      <c r="Z128" s="422">
        <f>SUMIF($A$9:$A$122,$A128,Z$9:Z$122)</f>
        <v/>
      </c>
      <c r="AA128" s="422">
        <f>SUMIF($A$9:$A$122,$A128,AA$9:AA$122)</f>
        <v/>
      </c>
      <c r="AB128" s="422">
        <f>SUMIF($A$9:$A$122,$A128,AB$9:AB$122)</f>
        <v/>
      </c>
      <c r="AC128" s="422">
        <f>SUMIF($A$9:$A$122,$A128,AC$9:AC$122)</f>
        <v/>
      </c>
      <c r="AD128" s="422" t="n"/>
    </row>
    <row r="129">
      <c r="C129" s="424">
        <f>SUM(C125:C128)</f>
        <v/>
      </c>
      <c r="D129" s="424">
        <f>SUM(D125:D128)</f>
        <v/>
      </c>
      <c r="E129" s="424">
        <f>SUM(E125:E128)</f>
        <v/>
      </c>
      <c r="F129" s="424">
        <f>SUM(F125:F128)</f>
        <v/>
      </c>
      <c r="G129" s="424">
        <f>SUM(G125:G128)</f>
        <v/>
      </c>
      <c r="H129" s="424">
        <f>SUM(H125:H128)</f>
        <v/>
      </c>
      <c r="I129" s="424">
        <f>SUM(I125:I128)</f>
        <v/>
      </c>
      <c r="J129" s="424">
        <f>SUM(J125:J128)</f>
        <v/>
      </c>
      <c r="K129" s="424">
        <f>SUM(K125:K128)</f>
        <v/>
      </c>
      <c r="L129" s="424">
        <f>SUM(L125:L128)</f>
        <v/>
      </c>
      <c r="M129" s="424">
        <f>SUM(M125:M128)</f>
        <v/>
      </c>
      <c r="N129" s="424">
        <f>SUM(N125:N128)</f>
        <v/>
      </c>
      <c r="O129" s="424">
        <f>SUM(O125:O128)</f>
        <v/>
      </c>
      <c r="P129" s="424">
        <f>SUM(P125:P128)</f>
        <v/>
      </c>
      <c r="Q129" s="424">
        <f>SUM(Q125:Q128)</f>
        <v/>
      </c>
      <c r="R129" s="424">
        <f>SUM(R125:R128)</f>
        <v/>
      </c>
      <c r="S129" s="424">
        <f>SUM(S125:S128)</f>
        <v/>
      </c>
      <c r="T129" s="424">
        <f>SUM(T125:T128)</f>
        <v/>
      </c>
      <c r="U129" s="424">
        <f>SUM(U125:U128)</f>
        <v/>
      </c>
      <c r="V129" s="424">
        <f>SUM(V125:V128)</f>
        <v/>
      </c>
      <c r="W129" s="424">
        <f>SUM(W125:W128)</f>
        <v/>
      </c>
      <c r="X129" s="424">
        <f>SUM(X125:X128)</f>
        <v/>
      </c>
      <c r="Y129" s="424">
        <f>SUM(Y125:Y128)</f>
        <v/>
      </c>
      <c r="Z129" s="424">
        <f>SUM(Z125:Z128)</f>
        <v/>
      </c>
      <c r="AA129" s="424">
        <f>SUM(AA125:AA128)</f>
        <v/>
      </c>
      <c r="AB129" s="424">
        <f>SUM(AB125:AB128)</f>
        <v/>
      </c>
      <c r="AC129" s="424">
        <f>SUM(AC125:AC128)</f>
        <v/>
      </c>
      <c r="AD129" s="424" t="n"/>
    </row>
    <row r="130"/>
    <row r="131"/>
    <row r="132"/>
    <row r="133"/>
    <row r="134">
      <c r="C134" s="420" t="n"/>
      <c r="D134" s="420" t="n"/>
      <c r="E134" s="420" t="n"/>
      <c r="F134" s="420" t="n"/>
      <c r="G134" s="420" t="n"/>
      <c r="H134" s="420" t="n"/>
      <c r="I134" s="420" t="n"/>
      <c r="J134" s="420" t="n"/>
      <c r="K134" s="420" t="n"/>
      <c r="L134" s="420" t="n"/>
      <c r="M134" s="420" t="n"/>
      <c r="N134" s="420" t="n"/>
      <c r="O134" s="420" t="n"/>
      <c r="P134" s="420" t="n"/>
      <c r="Q134" s="420" t="n"/>
      <c r="R134" s="420" t="n"/>
      <c r="S134" s="420" t="n"/>
      <c r="T134" s="420" t="n"/>
      <c r="U134" s="420" t="n"/>
      <c r="V134" s="420" t="n"/>
      <c r="W134" s="420" t="n"/>
      <c r="X134" s="420" t="n"/>
      <c r="Y134" s="420" t="n"/>
      <c r="Z134" s="420" t="n"/>
      <c r="AA134" s="420" t="n"/>
      <c r="AB134" s="420" t="n"/>
      <c r="AC134" s="420" t="n"/>
      <c r="AD134" s="420" t="n"/>
    </row>
  </sheetData>
  <mergeCells count="1">
    <mergeCell ref="AF7:AI7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3">
    <tabColor rgb="FFFFFF00"/>
    <outlinePr summaryBelow="1" summaryRight="1"/>
    <pageSetUpPr/>
  </sheetPr>
  <dimension ref="A1:LW237"/>
  <sheetViews>
    <sheetView showGridLines="0" zoomScaleNormal="100" workbookViewId="0">
      <pane xSplit="1" ySplit="8" topLeftCell="LK153" activePane="bottomRight" state="frozen"/>
      <selection activeCell="LO179" sqref="LO179"/>
      <selection pane="topRight" activeCell="LO179" sqref="LO179"/>
      <selection pane="bottomLeft" activeCell="LO179" sqref="LO179"/>
      <selection pane="bottomRight" activeCell="LS180" sqref="LS180"/>
    </sheetView>
  </sheetViews>
  <sheetFormatPr baseColWidth="8" defaultColWidth="9.140625" defaultRowHeight="14.25" outlineLevelRow="1"/>
  <cols>
    <col width="34.7109375" bestFit="1" customWidth="1" style="562" min="1" max="1"/>
    <col width="11.5703125" bestFit="1" customWidth="1" style="562" min="2" max="331"/>
    <col width="9.140625" customWidth="1" style="562" min="332" max="16384"/>
  </cols>
  <sheetData>
    <row r="1" ht="12.75" customFormat="1" customHeight="1" s="1305">
      <c r="A1" s="1306" t="inlineStr">
        <is>
          <t>Monthly operational data of Cathay Pacific</t>
        </is>
      </c>
      <c r="B1" s="1307" t="n"/>
      <c r="C1" s="1307" t="n"/>
      <c r="D1" s="1307" t="n"/>
      <c r="E1" s="1307" t="n"/>
      <c r="F1" s="1307" t="n"/>
      <c r="G1" s="1307" t="n"/>
      <c r="H1" s="1307" t="n"/>
      <c r="I1" s="1307" t="n"/>
      <c r="J1" s="1307" t="n"/>
      <c r="K1" s="1307" t="n"/>
      <c r="L1" s="1307" t="n"/>
      <c r="M1" s="1307" t="n"/>
      <c r="N1" s="1307" t="n"/>
      <c r="O1" s="1307" t="n"/>
      <c r="P1" s="1307" t="n"/>
      <c r="Q1" s="1307" t="n"/>
      <c r="R1" s="1307" t="n"/>
      <c r="S1" s="1307" t="n"/>
      <c r="T1" s="1307" t="n"/>
      <c r="U1" s="1307" t="n"/>
      <c r="V1" s="1307" t="n"/>
      <c r="W1" s="1307" t="n"/>
      <c r="X1" s="1307" t="n"/>
      <c r="Y1" s="1307" t="n"/>
      <c r="Z1" s="1307" t="n"/>
      <c r="AA1" s="1307" t="n"/>
      <c r="AB1" s="1307" t="n"/>
      <c r="AC1" s="1307" t="n"/>
      <c r="AD1" s="1307" t="n"/>
      <c r="AE1" s="1307" t="n"/>
      <c r="AF1" s="1307" t="n"/>
      <c r="AG1" s="1307" t="n"/>
      <c r="AH1" s="1307" t="n"/>
      <c r="AI1" s="1307" t="n"/>
      <c r="AJ1" s="1307" t="n"/>
      <c r="AK1" s="1307" t="n"/>
      <c r="AL1" s="1307" t="n"/>
      <c r="AM1" s="1307" t="n"/>
      <c r="AN1" s="1307" t="n"/>
      <c r="AO1" s="1307" t="n"/>
      <c r="AP1" s="1307" t="n"/>
      <c r="AQ1" s="1307" t="n"/>
      <c r="AR1" s="1307" t="n"/>
      <c r="AS1" s="1307" t="n"/>
      <c r="AT1" s="1307" t="n"/>
      <c r="AU1" s="1307" t="n"/>
      <c r="AV1" s="1307" t="n"/>
      <c r="AW1" s="1307" t="n"/>
      <c r="AX1" s="1307" t="n"/>
      <c r="AY1" s="1307" t="n"/>
      <c r="AZ1" s="1307" t="n"/>
      <c r="BA1" s="1307" t="n"/>
      <c r="BB1" s="1307" t="n"/>
      <c r="BC1" s="1307" t="n"/>
      <c r="BD1" s="1307" t="n"/>
      <c r="BE1" s="1307" t="n"/>
      <c r="BF1" s="1307" t="n"/>
      <c r="BG1" s="1307" t="n"/>
      <c r="BH1" s="1307" t="n"/>
      <c r="BI1" s="1307" t="n"/>
      <c r="BJ1" s="1307" t="n"/>
      <c r="BK1" s="1307" t="n"/>
      <c r="BL1" s="1307" t="n"/>
      <c r="BM1" s="1307" t="n"/>
      <c r="BN1" s="1307" t="n"/>
      <c r="BO1" s="1307" t="n"/>
      <c r="BP1" s="1307" t="n"/>
      <c r="BQ1" s="1307" t="n"/>
      <c r="BR1" s="1307" t="n"/>
      <c r="BS1" s="1307" t="n"/>
      <c r="BT1" s="1307" t="n"/>
      <c r="BU1" s="1307" t="n"/>
      <c r="BV1" s="1307" t="n"/>
      <c r="BW1" s="1307" t="n"/>
      <c r="BX1" s="1307" t="n"/>
      <c r="BY1" s="1307" t="n"/>
      <c r="BZ1" s="1307" t="n"/>
      <c r="CA1" s="1307" t="n"/>
      <c r="CB1" s="1307" t="n"/>
      <c r="CC1" s="1307" t="n"/>
      <c r="CD1" s="1307" t="n"/>
      <c r="CE1" s="1307" t="n"/>
      <c r="CF1" s="1307" t="n"/>
      <c r="CG1" s="1307" t="n"/>
      <c r="CH1" s="1307" t="n"/>
      <c r="CI1" s="1307" t="n"/>
      <c r="CJ1" s="1307" t="n"/>
      <c r="CK1" s="1307" t="n"/>
      <c r="CL1" s="1307" t="n"/>
      <c r="CM1" s="1307" t="n"/>
      <c r="CN1" s="1307" t="n"/>
      <c r="CO1" s="1307" t="n"/>
      <c r="CP1" s="1307" t="n"/>
      <c r="CQ1" s="1307" t="n"/>
      <c r="CR1" s="1307" t="n"/>
      <c r="CS1" s="1307" t="n"/>
      <c r="CT1" s="1307" t="n"/>
      <c r="CU1" s="1307" t="n"/>
      <c r="CV1" s="1307" t="n"/>
      <c r="CW1" s="1307" t="n"/>
      <c r="CX1" s="1307" t="n"/>
      <c r="CY1" s="1307" t="n"/>
      <c r="CZ1" s="1307" t="n"/>
      <c r="DA1" s="1307" t="n"/>
      <c r="DB1" s="1307" t="n"/>
      <c r="DC1" s="1307" t="n"/>
      <c r="DD1" s="1307" t="n"/>
      <c r="DE1" s="1307" t="n"/>
      <c r="DF1" s="1307" t="n"/>
      <c r="DG1" s="1307" t="n"/>
      <c r="DH1" s="1307" t="n"/>
      <c r="DI1" s="1307" t="n"/>
      <c r="DJ1" s="1307" t="n"/>
      <c r="DK1" s="1307" t="n"/>
      <c r="DL1" s="1307" t="n"/>
      <c r="DM1" s="1307" t="n"/>
      <c r="DN1" s="1307" t="n"/>
      <c r="DO1" s="1307" t="n"/>
      <c r="DP1" s="1307" t="n"/>
      <c r="DQ1" s="1307" t="n"/>
      <c r="DR1" s="1307" t="n"/>
      <c r="DS1" s="1307" t="n"/>
      <c r="DT1" s="1307" t="n"/>
      <c r="DU1" s="1307" t="n"/>
      <c r="DV1" s="1307" t="n"/>
      <c r="DW1" s="1307" t="n"/>
      <c r="DX1" s="1307" t="n"/>
      <c r="DY1" s="1307" t="n"/>
      <c r="DZ1" s="1307" t="n"/>
      <c r="EA1" s="1307" t="n"/>
      <c r="EB1" s="1307" t="n"/>
      <c r="EC1" s="1307" t="n"/>
      <c r="ED1" s="1307" t="n"/>
      <c r="EE1" s="1307" t="n"/>
      <c r="EF1" s="1307" t="n"/>
      <c r="EG1" s="1307" t="n"/>
      <c r="EH1" s="1307" t="n"/>
      <c r="EI1" s="1307" t="n"/>
      <c r="EJ1" s="1307" t="n"/>
      <c r="EK1" s="1307" t="n"/>
      <c r="EL1" s="1307" t="n"/>
      <c r="EM1" s="1307" t="n"/>
      <c r="EN1" s="1307" t="n"/>
      <c r="EO1" s="1307" t="n"/>
      <c r="EP1" s="1307" t="n"/>
      <c r="EQ1" s="1307" t="n"/>
      <c r="ER1" s="1307" t="n"/>
      <c r="ES1" s="1307" t="n"/>
      <c r="ET1" s="1307" t="n"/>
      <c r="EU1" s="1307" t="n"/>
      <c r="EV1" s="1307" t="n"/>
      <c r="EW1" s="1307" t="n"/>
      <c r="EX1" s="1307" t="n"/>
      <c r="EY1" s="1307" t="n"/>
      <c r="EZ1" s="1307" t="n"/>
      <c r="FA1" s="1307" t="n"/>
      <c r="FB1" s="1307" t="n"/>
      <c r="FC1" s="1307" t="n"/>
      <c r="FD1" s="1307" t="n"/>
      <c r="FE1" s="1307" t="n"/>
      <c r="FF1" s="1307" t="n"/>
      <c r="FG1" s="1307" t="n"/>
      <c r="FH1" s="1307" t="n"/>
      <c r="FI1" s="1307" t="n"/>
      <c r="FJ1" s="1307" t="n"/>
      <c r="FK1" s="1307" t="n"/>
      <c r="FL1" s="1307" t="n"/>
      <c r="FM1" s="1307" t="n"/>
      <c r="FN1" s="1307" t="n"/>
      <c r="FO1" s="1307" t="n"/>
      <c r="FP1" s="1307" t="n"/>
      <c r="FQ1" s="1307" t="n"/>
      <c r="FR1" s="1307" t="n"/>
      <c r="FS1" s="1307" t="n"/>
      <c r="FT1" s="1307" t="n"/>
      <c r="FU1" s="1307" t="n"/>
      <c r="FV1" s="1307" t="n"/>
      <c r="FW1" s="1307" t="n"/>
      <c r="FX1" s="1307" t="n"/>
      <c r="FY1" s="1307" t="n"/>
      <c r="FZ1" s="1307" t="n"/>
      <c r="GA1" s="1307" t="n"/>
      <c r="GB1" s="1307" t="n"/>
      <c r="GC1" s="1307" t="n"/>
      <c r="GD1" s="1307" t="n"/>
      <c r="GE1" s="1307" t="n"/>
      <c r="GF1" s="1307" t="n"/>
      <c r="GG1" s="1307" t="n"/>
      <c r="GH1" s="1307" t="n"/>
      <c r="GI1" s="1307" t="n"/>
      <c r="GJ1" s="1307" t="n"/>
      <c r="GK1" s="1307" t="n"/>
    </row>
    <row r="2" ht="12.75" customFormat="1" customHeight="1" s="1305">
      <c r="A2" s="1305" t="inlineStr">
        <is>
          <t>Source: Company Data</t>
        </is>
      </c>
      <c r="B2" s="1307" t="n"/>
      <c r="C2" s="1307" t="n"/>
      <c r="D2" s="1307" t="n"/>
      <c r="E2" s="1307" t="n"/>
      <c r="F2" s="1307" t="n"/>
      <c r="G2" s="1307" t="n"/>
      <c r="H2" s="1307" t="n"/>
      <c r="I2" s="1307" t="n"/>
      <c r="J2" s="1307" t="n"/>
      <c r="K2" s="1307" t="n"/>
      <c r="L2" s="1307" t="n"/>
      <c r="M2" s="1307" t="n"/>
      <c r="N2" s="1307" t="n"/>
      <c r="O2" s="1307" t="n"/>
      <c r="P2" s="1307" t="n"/>
      <c r="Q2" s="1307" t="n"/>
      <c r="R2" s="1307" t="n"/>
      <c r="S2" s="1307" t="n"/>
      <c r="T2" s="1307" t="n"/>
      <c r="U2" s="1307" t="n"/>
      <c r="V2" s="1307" t="n"/>
      <c r="W2" s="1307" t="n"/>
      <c r="X2" s="1307" t="n"/>
      <c r="Y2" s="1307" t="n"/>
      <c r="Z2" s="1307" t="n"/>
      <c r="AA2" s="1307" t="n"/>
      <c r="AB2" s="1307" t="n"/>
      <c r="AC2" s="1307" t="n"/>
      <c r="AD2" s="1307" t="n"/>
      <c r="AE2" s="1307" t="n"/>
      <c r="AF2" s="1307" t="n"/>
      <c r="AG2" s="1307" t="n"/>
      <c r="AH2" s="1307" t="n"/>
      <c r="AI2" s="1307" t="n"/>
      <c r="AJ2" s="1307" t="n"/>
      <c r="AK2" s="1307" t="n"/>
      <c r="AL2" s="1307" t="n"/>
      <c r="AM2" s="1307" t="n"/>
      <c r="AN2" s="1307" t="n"/>
      <c r="AO2" s="1307" t="n"/>
      <c r="AP2" s="1307" t="n"/>
      <c r="AQ2" s="1307" t="n"/>
      <c r="AR2" s="1307" t="n"/>
      <c r="AS2" s="1307" t="n"/>
      <c r="AT2" s="1307" t="n"/>
      <c r="AU2" s="1307" t="n"/>
      <c r="AV2" s="1307" t="n"/>
      <c r="AW2" s="1307" t="n"/>
      <c r="AX2" s="1307" t="n"/>
      <c r="AY2" s="1307" t="n"/>
      <c r="AZ2" s="1307" t="n"/>
      <c r="BA2" s="1307" t="n"/>
      <c r="BB2" s="1307" t="n"/>
      <c r="BC2" s="1307" t="n"/>
      <c r="BD2" s="1307" t="n"/>
      <c r="BE2" s="1307" t="n"/>
      <c r="BF2" s="1307" t="n"/>
      <c r="BG2" s="1307" t="n"/>
      <c r="BH2" s="1307" t="n"/>
      <c r="BI2" s="1307" t="n"/>
      <c r="BJ2" s="1307" t="n"/>
      <c r="BK2" s="1307" t="n"/>
      <c r="BL2" s="1307" t="n"/>
      <c r="BM2" s="1307" t="n"/>
      <c r="BN2" s="1307" t="n"/>
      <c r="BO2" s="1307" t="n"/>
      <c r="BP2" s="1307" t="n"/>
      <c r="BQ2" s="1307" t="n"/>
      <c r="BR2" s="1307" t="n"/>
      <c r="BS2" s="1307" t="n"/>
      <c r="BT2" s="1307" t="n"/>
      <c r="BU2" s="1307" t="n"/>
      <c r="BV2" s="1307" t="n"/>
      <c r="BW2" s="1307" t="n"/>
      <c r="BX2" s="1307" t="n"/>
      <c r="BY2" s="1307" t="n"/>
      <c r="BZ2" s="1307" t="n"/>
      <c r="CA2" s="1307" t="n"/>
      <c r="CB2" s="1307" t="n"/>
      <c r="CC2" s="1307" t="n"/>
      <c r="CD2" s="1307" t="n"/>
      <c r="CE2" s="1307" t="n"/>
      <c r="CF2" s="1307" t="n"/>
      <c r="CG2" s="1307" t="n"/>
      <c r="CH2" s="1307" t="n"/>
      <c r="CI2" s="1307" t="n"/>
      <c r="CJ2" s="1307" t="n"/>
      <c r="CK2" s="1307" t="n"/>
      <c r="CL2" s="1307" t="n"/>
      <c r="CM2" s="1307" t="n"/>
      <c r="CN2" s="1307" t="n"/>
      <c r="CO2" s="1307" t="n"/>
      <c r="CP2" s="1307" t="n"/>
      <c r="CQ2" s="1307" t="n"/>
      <c r="CR2" s="1307" t="n"/>
      <c r="CS2" s="1307" t="n"/>
      <c r="CT2" s="1307" t="n"/>
      <c r="CU2" s="1307" t="n"/>
      <c r="CV2" s="1307" t="n"/>
      <c r="CW2" s="1307" t="n"/>
      <c r="CX2" s="1307" t="n"/>
      <c r="CY2" s="1307" t="n"/>
      <c r="CZ2" s="1307" t="n"/>
      <c r="DA2" s="1307" t="n"/>
      <c r="DB2" s="1307" t="n"/>
      <c r="DC2" s="1307" t="n"/>
      <c r="DD2" s="1307" t="n"/>
      <c r="DE2" s="1307" t="n"/>
      <c r="DF2" s="1307" t="n"/>
      <c r="DG2" s="1307" t="n"/>
      <c r="DH2" s="1307" t="n"/>
      <c r="DI2" s="1307" t="n"/>
      <c r="DJ2" s="1307" t="n"/>
      <c r="DK2" s="1307" t="n"/>
      <c r="DL2" s="1307" t="n"/>
      <c r="DM2" s="1307" t="n"/>
      <c r="DN2" s="1307" t="n"/>
      <c r="DO2" s="1307" t="n"/>
      <c r="DP2" s="1307" t="n"/>
      <c r="DQ2" s="1307" t="n"/>
      <c r="DR2" s="1307" t="n"/>
      <c r="DS2" s="1307" t="n"/>
      <c r="DT2" s="1307" t="n"/>
      <c r="DU2" s="1307" t="n"/>
      <c r="DV2" s="1307" t="n"/>
      <c r="DW2" s="1307" t="n"/>
      <c r="DX2" s="1307" t="n"/>
      <c r="DY2" s="1307" t="n"/>
      <c r="DZ2" s="1307" t="n"/>
      <c r="EA2" s="1307" t="n"/>
      <c r="EB2" s="1307" t="n"/>
      <c r="EC2" s="1307" t="n"/>
      <c r="ED2" s="1307" t="n"/>
      <c r="EE2" s="1307" t="n"/>
      <c r="EF2" s="1307" t="n"/>
      <c r="EG2" s="1307" t="n"/>
      <c r="EH2" s="1307" t="n"/>
      <c r="EI2" s="1307" t="n"/>
      <c r="EJ2" s="1307" t="n"/>
      <c r="EK2" s="1307" t="n"/>
      <c r="EL2" s="1307" t="n"/>
      <c r="EM2" s="1307" t="n"/>
      <c r="EN2" s="1307" t="n"/>
      <c r="EO2" s="1307" t="n"/>
      <c r="EP2" s="1307" t="n"/>
      <c r="EQ2" s="1307" t="n"/>
      <c r="ER2" s="1307" t="n"/>
      <c r="ES2" s="1307" t="n"/>
      <c r="ET2" s="1307" t="n"/>
      <c r="EU2" s="1307" t="n"/>
      <c r="EV2" s="1307" t="n"/>
      <c r="EW2" s="1307" t="n"/>
      <c r="EX2" s="1307" t="n"/>
      <c r="EY2" s="1307" t="n"/>
      <c r="EZ2" s="1307" t="n"/>
      <c r="FA2" s="1307" t="n"/>
      <c r="FB2" s="1307" t="n"/>
      <c r="FC2" s="1307" t="n"/>
      <c r="FD2" s="1307" t="n"/>
      <c r="FE2" s="1307" t="n"/>
      <c r="FF2" s="1307" t="n"/>
      <c r="FG2" s="1307" t="n"/>
      <c r="FH2" s="1307" t="n"/>
      <c r="FI2" s="1307" t="n"/>
      <c r="FJ2" s="1307" t="n"/>
      <c r="FK2" s="1307" t="n"/>
      <c r="FL2" s="1307" t="n"/>
      <c r="FM2" s="1307" t="n"/>
      <c r="FN2" s="644" t="n"/>
      <c r="FO2" s="644" t="n"/>
      <c r="FP2" s="644" t="n"/>
      <c r="FQ2" s="644" t="n"/>
      <c r="FR2" s="644" t="n"/>
      <c r="FS2" s="644" t="n"/>
      <c r="FT2" s="644" t="n"/>
      <c r="FU2" s="644" t="n"/>
      <c r="FV2" s="644" t="n"/>
      <c r="FW2" s="644" t="n"/>
      <c r="FX2" s="644" t="n"/>
      <c r="FY2" s="644" t="n"/>
      <c r="FZ2" s="1307" t="n"/>
      <c r="GA2" s="644" t="n"/>
      <c r="GB2" s="1307" t="n"/>
      <c r="GC2" s="1307" t="n"/>
      <c r="GD2" s="1307" t="n"/>
      <c r="GE2" s="644" t="n"/>
      <c r="GF2" s="644" t="n"/>
      <c r="GG2" s="644" t="n"/>
      <c r="GH2" s="644" t="n"/>
      <c r="GI2" s="644" t="n"/>
      <c r="GJ2" s="644" t="n"/>
      <c r="GK2" s="644" t="n"/>
    </row>
    <row r="3" ht="12.75" customFormat="1" customHeight="1" s="1305">
      <c r="B3" s="1307" t="n"/>
      <c r="C3" s="1307" t="n"/>
      <c r="D3" s="1307" t="n"/>
      <c r="E3" s="1307" t="n"/>
      <c r="F3" s="1307" t="n"/>
      <c r="G3" s="1307" t="n"/>
      <c r="H3" s="1307" t="n"/>
      <c r="I3" s="1307" t="n"/>
      <c r="J3" s="1307" t="n"/>
      <c r="K3" s="1307" t="n"/>
      <c r="L3" s="1307" t="n"/>
      <c r="M3" s="1307" t="n"/>
      <c r="N3" s="1307" t="n"/>
      <c r="O3" s="1307" t="n"/>
      <c r="P3" s="1307" t="n"/>
      <c r="Q3" s="1307" t="n"/>
      <c r="R3" s="1307" t="n"/>
      <c r="S3" s="1307" t="n"/>
      <c r="T3" s="1307" t="n"/>
      <c r="U3" s="1307" t="n"/>
      <c r="V3" s="1307" t="n"/>
      <c r="W3" s="1307" t="n"/>
      <c r="X3" s="1307" t="n"/>
      <c r="Y3" s="1307" t="n"/>
      <c r="Z3" s="1307" t="n"/>
      <c r="AA3" s="1307" t="n"/>
      <c r="AB3" s="1307" t="n"/>
      <c r="AC3" s="1307" t="n"/>
      <c r="AD3" s="1307" t="n"/>
      <c r="AE3" s="1307" t="n"/>
      <c r="AF3" s="1307" t="n"/>
      <c r="AG3" s="1307" t="n"/>
      <c r="AH3" s="1307" t="n"/>
      <c r="AI3" s="1307" t="n"/>
      <c r="AJ3" s="1307" t="n"/>
      <c r="AK3" s="1307" t="n"/>
      <c r="AL3" s="1307" t="n"/>
      <c r="AM3" s="1307" t="n"/>
      <c r="AN3" s="1307" t="n"/>
      <c r="AO3" s="1307" t="n"/>
      <c r="AP3" s="1307" t="n"/>
      <c r="AQ3" s="1307" t="n"/>
      <c r="AR3" s="1307" t="n"/>
      <c r="AS3" s="1307" t="n"/>
      <c r="AT3" s="1307" t="n"/>
      <c r="AU3" s="1307" t="n"/>
      <c r="AV3" s="1307" t="n"/>
      <c r="AW3" s="1307" t="n"/>
      <c r="AX3" s="1307" t="n"/>
      <c r="AY3" s="1307" t="n"/>
      <c r="AZ3" s="1307" t="n"/>
      <c r="BA3" s="1307" t="n"/>
      <c r="BB3" s="1307" t="n"/>
      <c r="BC3" s="1307" t="n"/>
      <c r="BD3" s="1307" t="n"/>
      <c r="BE3" s="1307" t="n"/>
      <c r="BF3" s="1307" t="n"/>
      <c r="BG3" s="1307" t="n"/>
      <c r="BH3" s="1307" t="n"/>
      <c r="BI3" s="1307" t="n"/>
      <c r="BJ3" s="1307" t="n"/>
      <c r="BK3" s="1307" t="n"/>
      <c r="BL3" s="1307" t="n"/>
      <c r="BM3" s="1307" t="n"/>
      <c r="BN3" s="1307" t="n"/>
      <c r="BO3" s="1307" t="n"/>
      <c r="BP3" s="1307" t="n"/>
      <c r="BQ3" s="1307" t="n"/>
      <c r="BR3" s="1307" t="n"/>
      <c r="BS3" s="1307" t="n"/>
      <c r="BT3" s="1307" t="n"/>
      <c r="BU3" s="1307" t="n"/>
      <c r="BV3" s="1307" t="n"/>
      <c r="BW3" s="1307" t="n"/>
      <c r="BX3" s="1307" t="n"/>
      <c r="BY3" s="1307" t="n"/>
      <c r="BZ3" s="1307" t="n"/>
      <c r="CA3" s="1307" t="n"/>
      <c r="CB3" s="1307" t="n"/>
      <c r="CC3" s="1307" t="n"/>
      <c r="CD3" s="1307" t="n"/>
      <c r="CE3" s="1307" t="n"/>
      <c r="CF3" s="1307" t="n"/>
      <c r="CG3" s="1307" t="n"/>
      <c r="CH3" s="1307" t="n"/>
      <c r="CI3" s="1307" t="n"/>
      <c r="CJ3" s="1307" t="n"/>
      <c r="CK3" s="1307" t="n"/>
      <c r="CL3" s="1307" t="n"/>
      <c r="CM3" s="1307" t="n"/>
      <c r="CN3" s="1307" t="n"/>
      <c r="CO3" s="1307" t="n"/>
      <c r="CP3" s="1307" t="n"/>
      <c r="CQ3" s="1307" t="n"/>
      <c r="CR3" s="1307" t="n"/>
      <c r="CS3" s="1307" t="n"/>
      <c r="CT3" s="1307" t="n"/>
      <c r="CU3" s="1307" t="n"/>
      <c r="CV3" s="1307" t="n"/>
      <c r="CW3" s="1307" t="n"/>
      <c r="CX3" s="1307" t="n"/>
      <c r="CY3" s="1307" t="n"/>
      <c r="CZ3" s="1307" t="n"/>
      <c r="DA3" s="1307" t="n"/>
      <c r="DB3" s="1307" t="n"/>
      <c r="DC3" s="1307" t="n"/>
      <c r="DD3" s="1307" t="n"/>
      <c r="DE3" s="1307" t="n"/>
      <c r="DF3" s="1307" t="n"/>
      <c r="DG3" s="1307" t="n"/>
      <c r="DH3" s="1307" t="n"/>
      <c r="DI3" s="1307" t="n"/>
      <c r="DJ3" s="1307" t="n"/>
      <c r="DK3" s="1307" t="n"/>
      <c r="DL3" s="1307" t="n"/>
      <c r="DM3" s="1307" t="n"/>
      <c r="DN3" s="1307" t="n"/>
      <c r="DO3" s="1307" t="n"/>
      <c r="DP3" s="1307" t="n"/>
      <c r="DQ3" s="1307" t="n"/>
      <c r="DR3" s="1307" t="n"/>
      <c r="DS3" s="1307" t="n"/>
      <c r="DT3" s="1307" t="n"/>
      <c r="DU3" s="1307" t="n"/>
      <c r="DV3" s="1307" t="n"/>
      <c r="DW3" s="1307" t="n"/>
      <c r="DX3" s="1307" t="n"/>
      <c r="DY3" s="1307" t="n"/>
      <c r="DZ3" s="1307" t="n"/>
      <c r="EA3" s="1307" t="n"/>
      <c r="EB3" s="1307" t="n"/>
      <c r="EC3" s="1307" t="n"/>
      <c r="ED3" s="1307" t="n"/>
      <c r="EE3" s="1307" t="n"/>
      <c r="EF3" s="1307" t="n"/>
      <c r="EG3" s="1307" t="n"/>
      <c r="EH3" s="1307" t="n"/>
      <c r="EI3" s="1307" t="n"/>
      <c r="EJ3" s="1307" t="n"/>
      <c r="EK3" s="1307" t="n"/>
      <c r="EL3" s="1307" t="n"/>
      <c r="EM3" s="1307" t="n"/>
      <c r="EN3" s="1307" t="n"/>
      <c r="EO3" s="1307" t="n"/>
      <c r="EP3" s="1307" t="n"/>
      <c r="EQ3" s="1307" t="n"/>
      <c r="ER3" s="1307" t="n"/>
      <c r="ES3" s="1307" t="n"/>
      <c r="ET3" s="1307" t="n"/>
      <c r="EU3" s="1307" t="n"/>
      <c r="EV3" s="1307" t="n"/>
      <c r="EW3" s="1307" t="n"/>
      <c r="EX3" s="1307" t="n"/>
      <c r="EY3" s="1307" t="n"/>
      <c r="EZ3" s="1307" t="n"/>
      <c r="FA3" s="1307" t="n"/>
      <c r="FB3" s="1307" t="n"/>
      <c r="FC3" s="1307" t="n"/>
      <c r="FD3" s="1307" t="n"/>
      <c r="FE3" s="1307" t="n"/>
      <c r="FF3" s="1307" t="n"/>
      <c r="FG3" s="1307" t="n"/>
      <c r="FH3" s="1307" t="n"/>
      <c r="FI3" s="1307" t="n"/>
      <c r="FJ3" s="1307" t="n"/>
      <c r="FK3" s="1307" t="n"/>
      <c r="FL3" s="1307" t="n"/>
      <c r="FM3" s="1307" t="n"/>
      <c r="FN3" s="644" t="n"/>
      <c r="FO3" s="644" t="n"/>
      <c r="FP3" s="644" t="n"/>
      <c r="FQ3" s="644" t="n"/>
      <c r="FR3" s="644" t="n"/>
      <c r="FS3" s="644" t="n"/>
      <c r="FT3" s="644" t="n"/>
      <c r="FU3" s="644" t="n"/>
      <c r="FV3" s="644" t="n"/>
      <c r="FW3" s="644" t="n"/>
      <c r="FX3" s="644" t="n"/>
      <c r="FY3" s="644" t="n"/>
      <c r="FZ3" s="1307" t="n"/>
      <c r="GA3" s="644" t="n"/>
      <c r="GB3" s="1307" t="n"/>
      <c r="GC3" s="1307" t="n"/>
      <c r="GD3" s="1307" t="n"/>
      <c r="GE3" s="1307" t="n"/>
      <c r="GF3" s="1307" t="n"/>
      <c r="GG3" s="1307" t="n"/>
      <c r="GH3" s="1307" t="n"/>
      <c r="GI3" s="1307" t="n"/>
      <c r="GJ3" s="1307" t="n"/>
      <c r="GK3" s="1307" t="n"/>
    </row>
    <row r="4" ht="12.75" customFormat="1" customHeight="1" s="1305">
      <c r="B4" s="1307" t="n"/>
      <c r="C4" s="1307" t="n"/>
      <c r="D4" s="1307" t="n"/>
      <c r="E4" s="1307" t="n"/>
      <c r="F4" s="1307" t="n"/>
      <c r="G4" s="1307" t="n"/>
      <c r="H4" s="1307" t="n"/>
      <c r="I4" s="1307" t="n"/>
      <c r="J4" s="1307" t="n"/>
      <c r="K4" s="1307" t="n"/>
      <c r="L4" s="1307" t="n"/>
      <c r="M4" s="1307" t="n"/>
      <c r="N4" s="1307" t="n"/>
      <c r="O4" s="1307" t="n"/>
      <c r="P4" s="1307" t="n"/>
      <c r="Q4" s="1307" t="n"/>
      <c r="R4" s="1307" t="n"/>
      <c r="S4" s="1307" t="n"/>
      <c r="T4" s="1307" t="n"/>
      <c r="U4" s="1307" t="n"/>
      <c r="V4" s="1307" t="n"/>
      <c r="W4" s="1307" t="n"/>
      <c r="X4" s="1307" t="n"/>
      <c r="Y4" s="1307" t="n"/>
      <c r="Z4" s="1307" t="n"/>
      <c r="AA4" s="1307" t="n"/>
      <c r="AB4" s="1307" t="n"/>
      <c r="AC4" s="1307" t="n"/>
      <c r="AD4" s="1307" t="n"/>
      <c r="AE4" s="1307" t="n"/>
      <c r="AF4" s="1307" t="n"/>
      <c r="AG4" s="1307" t="n"/>
      <c r="AH4" s="1307" t="n"/>
      <c r="AI4" s="1307" t="n"/>
      <c r="AJ4" s="1307" t="n"/>
      <c r="AK4" s="1307" t="n"/>
      <c r="AL4" s="1307" t="n"/>
      <c r="AM4" s="1307" t="n"/>
      <c r="AN4" s="1307" t="n"/>
      <c r="AO4" s="1307" t="n"/>
      <c r="AP4" s="1307" t="n"/>
      <c r="AQ4" s="1307" t="n"/>
      <c r="AR4" s="1307" t="n"/>
      <c r="AS4" s="1307" t="n"/>
      <c r="AT4" s="1307" t="n"/>
      <c r="AU4" s="1307" t="n"/>
      <c r="AV4" s="1307" t="n"/>
      <c r="AW4" s="1307" t="n"/>
      <c r="AX4" s="1307" t="n"/>
      <c r="AY4" s="1307" t="n"/>
      <c r="AZ4" s="1307" t="n"/>
      <c r="BA4" s="1307" t="n"/>
      <c r="BB4" s="1307" t="n"/>
      <c r="BC4" s="1307" t="n"/>
      <c r="BD4" s="1307" t="n"/>
      <c r="BE4" s="1307" t="n"/>
      <c r="BF4" s="1307" t="n"/>
      <c r="BG4" s="1307" t="n"/>
      <c r="BH4" s="1307" t="n"/>
      <c r="BI4" s="1307" t="n"/>
      <c r="BJ4" s="1307" t="n"/>
      <c r="BK4" s="1307" t="n"/>
      <c r="BL4" s="1307" t="n"/>
      <c r="BM4" s="1307" t="n"/>
      <c r="BN4" s="1307" t="n"/>
      <c r="BO4" s="1307" t="n"/>
      <c r="BP4" s="1307" t="n"/>
      <c r="BQ4" s="1307" t="n"/>
      <c r="BR4" s="1307" t="n"/>
      <c r="BS4" s="1307" t="n"/>
      <c r="BT4" s="1307" t="n"/>
      <c r="BU4" s="1307" t="n"/>
      <c r="BV4" s="1307" t="n"/>
      <c r="BW4" s="1307" t="n"/>
      <c r="BX4" s="1307" t="n"/>
      <c r="BY4" s="1307" t="n"/>
      <c r="BZ4" s="1307" t="n"/>
      <c r="CA4" s="1307" t="n"/>
      <c r="CB4" s="1307" t="n"/>
      <c r="CC4" s="1307" t="n"/>
      <c r="CD4" s="1307" t="n"/>
      <c r="CE4" s="1307" t="n"/>
      <c r="CF4" s="1307" t="n"/>
      <c r="CG4" s="1307" t="n"/>
      <c r="CH4" s="1307" t="n"/>
      <c r="CI4" s="1307" t="n"/>
      <c r="CJ4" s="1307" t="n"/>
      <c r="CK4" s="1307" t="n"/>
      <c r="CL4" s="1307" t="n"/>
      <c r="CM4" s="1307" t="n"/>
      <c r="CN4" s="1307" t="n"/>
      <c r="CO4" s="1307" t="n"/>
      <c r="CP4" s="1307" t="n"/>
      <c r="CQ4" s="1307" t="n"/>
      <c r="CR4" s="1307" t="n"/>
      <c r="CS4" s="1307" t="n"/>
      <c r="CT4" s="1307" t="n"/>
      <c r="CU4" s="1307" t="n"/>
      <c r="CV4" s="1307" t="n"/>
      <c r="CW4" s="1307" t="n"/>
      <c r="CX4" s="1307" t="n"/>
      <c r="CY4" s="1307" t="n"/>
      <c r="CZ4" s="1307" t="n"/>
      <c r="DA4" s="1307" t="n"/>
      <c r="DB4" s="1307" t="n"/>
      <c r="DC4" s="1307" t="n"/>
      <c r="DD4" s="1307" t="n"/>
      <c r="DE4" s="1307" t="n"/>
      <c r="DF4" s="1307" t="n"/>
      <c r="DG4" s="1307" t="n"/>
      <c r="DH4" s="1307" t="n"/>
      <c r="DI4" s="1307" t="n"/>
      <c r="DJ4" s="1307" t="n"/>
      <c r="DK4" s="1307" t="n"/>
      <c r="DL4" s="1307" t="n"/>
      <c r="DM4" s="1307" t="n"/>
      <c r="DN4" s="1307" t="n"/>
      <c r="DO4" s="1307" t="n"/>
      <c r="DP4" s="1307" t="n"/>
      <c r="DQ4" s="1307" t="n"/>
      <c r="DR4" s="1307" t="n"/>
      <c r="DS4" s="1307" t="n"/>
      <c r="DT4" s="1307" t="n"/>
      <c r="DU4" s="1307" t="n"/>
      <c r="DV4" s="1307" t="n"/>
      <c r="DW4" s="1307" t="n"/>
      <c r="DX4" s="1307" t="n"/>
      <c r="DY4" s="1307" t="n"/>
      <c r="DZ4" s="1307" t="n"/>
      <c r="EA4" s="1307" t="n"/>
      <c r="EB4" s="1307" t="n"/>
      <c r="EC4" s="1307" t="n"/>
      <c r="ED4" s="1307" t="n"/>
      <c r="EE4" s="1307" t="n"/>
      <c r="EF4" s="1307" t="n"/>
      <c r="EG4" s="1307" t="n"/>
      <c r="EH4" s="1307" t="n"/>
      <c r="EI4" s="1307" t="n"/>
      <c r="EJ4" s="1307" t="n"/>
      <c r="EK4" s="1307" t="n"/>
      <c r="EL4" s="1307" t="n"/>
      <c r="EM4" s="1307" t="n"/>
      <c r="EN4" s="1307" t="n"/>
      <c r="EO4" s="1307" t="n"/>
      <c r="EP4" s="1307" t="n"/>
      <c r="EQ4" s="1307" t="n"/>
      <c r="ER4" s="1307" t="n"/>
      <c r="ES4" s="1307" t="n"/>
      <c r="ET4" s="1307" t="n"/>
      <c r="EU4" s="1307" t="n"/>
      <c r="EV4" s="1307" t="n"/>
      <c r="EW4" s="1307" t="n"/>
      <c r="EX4" s="1307" t="n"/>
      <c r="EY4" s="1307" t="n"/>
      <c r="EZ4" s="1307" t="n"/>
      <c r="FA4" s="1307" t="n"/>
      <c r="FB4" s="1307" t="n"/>
      <c r="FC4" s="1307" t="n"/>
      <c r="FD4" s="1307" t="n"/>
      <c r="FE4" s="1307" t="n"/>
      <c r="FF4" s="1307" t="n"/>
      <c r="FG4" s="1307" t="n"/>
      <c r="FH4" s="1307" t="n"/>
      <c r="FI4" s="1307" t="n"/>
      <c r="FJ4" s="1307" t="n"/>
      <c r="FK4" s="1307" t="n"/>
      <c r="FL4" s="1307" t="n"/>
      <c r="FM4" s="1307" t="n"/>
      <c r="FN4" s="1307" t="n"/>
      <c r="FO4" s="1307" t="n"/>
      <c r="FP4" s="1307" t="n"/>
      <c r="FQ4" s="1307" t="n"/>
      <c r="FR4" s="1307" t="n"/>
      <c r="FS4" s="1307" t="n"/>
      <c r="FT4" s="1307" t="n"/>
      <c r="FU4" s="1307" t="n"/>
      <c r="FV4" s="1307" t="n"/>
      <c r="FW4" s="1307" t="n"/>
      <c r="FX4" s="1307" t="n"/>
      <c r="FY4" s="1307" t="n"/>
      <c r="FZ4" s="1307" t="n"/>
      <c r="GA4" s="1307" t="n"/>
      <c r="GB4" s="1307" t="n"/>
      <c r="GC4" s="1307" t="n"/>
      <c r="GD4" s="1307" t="n"/>
      <c r="GE4" s="1307" t="n"/>
      <c r="GF4" s="1307" t="n"/>
      <c r="GG4" s="1307" t="n"/>
      <c r="GH4" s="1307" t="n"/>
      <c r="GI4" s="1307" t="n"/>
      <c r="GJ4" s="1307" t="n"/>
      <c r="GK4" s="1307" t="n"/>
    </row>
    <row r="5" ht="12.75" customFormat="1" customHeight="1" s="1305">
      <c r="B5" s="1307" t="n"/>
      <c r="C5" s="1307" t="n"/>
      <c r="D5" s="1307" t="n"/>
      <c r="E5" s="1307" t="n"/>
      <c r="F5" s="1307" t="n"/>
      <c r="G5" s="1307" t="n"/>
      <c r="H5" s="1307" t="n"/>
      <c r="I5" s="1307" t="n"/>
      <c r="J5" s="1307" t="n"/>
      <c r="K5" s="1307" t="n"/>
      <c r="L5" s="1307" t="n"/>
      <c r="M5" s="1307" t="n"/>
      <c r="N5" s="1307" t="n"/>
      <c r="O5" s="1307" t="n"/>
      <c r="P5" s="1307" t="n"/>
      <c r="Q5" s="1307" t="n"/>
      <c r="R5" s="1307" t="n"/>
      <c r="S5" s="1307" t="n"/>
      <c r="T5" s="1307" t="n"/>
      <c r="U5" s="1307" t="n"/>
      <c r="V5" s="1307" t="n"/>
      <c r="W5" s="1307" t="n"/>
      <c r="X5" s="1307" t="n"/>
      <c r="Y5" s="1307" t="n"/>
      <c r="Z5" s="1307" t="n"/>
      <c r="AA5" s="1307" t="n"/>
      <c r="AB5" s="1307" t="n"/>
      <c r="AC5" s="1307" t="n"/>
      <c r="AD5" s="1307" t="n"/>
      <c r="AE5" s="1307" t="n"/>
      <c r="AF5" s="1307" t="n"/>
      <c r="AG5" s="1307" t="n"/>
      <c r="AH5" s="1307" t="n"/>
      <c r="AI5" s="1307" t="n"/>
      <c r="AJ5" s="1307" t="n"/>
      <c r="AK5" s="1307" t="n"/>
      <c r="AL5" s="1307" t="n"/>
      <c r="AM5" s="1307" t="n"/>
      <c r="AN5" s="1307" t="n"/>
      <c r="AO5" s="1307" t="n"/>
      <c r="AP5" s="1307" t="n"/>
      <c r="AQ5" s="1307" t="n"/>
      <c r="AR5" s="1307" t="n"/>
      <c r="AS5" s="1307" t="n"/>
      <c r="AT5" s="1307" t="n"/>
      <c r="AU5" s="1307" t="n"/>
      <c r="AV5" s="1307" t="n"/>
      <c r="AW5" s="1307" t="n"/>
      <c r="AX5" s="1307" t="n"/>
      <c r="AY5" s="1307" t="n"/>
      <c r="AZ5" s="1307" t="n"/>
      <c r="BA5" s="1307" t="n"/>
      <c r="BB5" s="1307" t="n"/>
      <c r="BC5" s="1307" t="n"/>
      <c r="BD5" s="1307" t="n"/>
      <c r="BE5" s="1307" t="n"/>
      <c r="BF5" s="1307" t="n"/>
      <c r="BG5" s="1307" t="n"/>
      <c r="BH5" s="1307" t="n"/>
      <c r="BI5" s="1307" t="n"/>
      <c r="BJ5" s="1307" t="n"/>
      <c r="BK5" s="1307" t="n"/>
      <c r="BL5" s="1307" t="n"/>
      <c r="BM5" s="1307" t="n"/>
      <c r="BN5" s="1307" t="n"/>
      <c r="BO5" s="1307" t="n"/>
      <c r="BP5" s="1307" t="n"/>
      <c r="BQ5" s="1307" t="n"/>
      <c r="BR5" s="1307" t="n"/>
      <c r="BS5" s="1307" t="n"/>
      <c r="BT5" s="1307" t="n"/>
      <c r="BU5" s="1307" t="n"/>
      <c r="BV5" s="645" t="n"/>
      <c r="BW5" s="645" t="n"/>
      <c r="BX5" s="645" t="n"/>
      <c r="BY5" s="645" t="n"/>
      <c r="BZ5" s="645" t="n"/>
      <c r="CA5" s="645" t="n"/>
      <c r="CB5" s="645" t="n"/>
      <c r="CC5" s="645" t="n"/>
      <c r="CD5" s="645" t="n"/>
      <c r="CE5" s="645" t="n"/>
      <c r="CF5" s="645" t="n"/>
      <c r="CG5" s="645" t="n"/>
      <c r="CH5" s="645" t="n"/>
      <c r="CI5" s="645" t="n"/>
      <c r="CJ5" s="645" t="n"/>
      <c r="CK5" s="645" t="n"/>
      <c r="CL5" s="645" t="n"/>
      <c r="CM5" s="645" t="n"/>
      <c r="CN5" s="645" t="n"/>
      <c r="CO5" s="645" t="n"/>
      <c r="CP5" s="645" t="n"/>
      <c r="CQ5" s="645" t="n"/>
      <c r="CR5" s="645" t="n"/>
      <c r="CS5" s="645" t="n"/>
      <c r="CT5" s="645" t="n"/>
      <c r="CU5" s="645" t="n"/>
      <c r="CV5" s="645" t="n"/>
      <c r="CW5" s="645" t="n"/>
      <c r="CX5" s="645" t="n"/>
      <c r="CY5" s="645" t="n"/>
      <c r="CZ5" s="645" t="n"/>
      <c r="DA5" s="645" t="n"/>
      <c r="DB5" s="645" t="n"/>
      <c r="DC5" s="645" t="n"/>
      <c r="DD5" s="645" t="n"/>
      <c r="DE5" s="645" t="n"/>
      <c r="DF5" s="645" t="n"/>
      <c r="DG5" s="645" t="n"/>
      <c r="DH5" s="645" t="n"/>
      <c r="DI5" s="645" t="n"/>
      <c r="DJ5" s="645" t="n"/>
      <c r="DK5" s="645" t="n"/>
      <c r="DL5" s="645" t="n"/>
      <c r="DM5" s="645" t="n"/>
      <c r="DN5" s="645" t="n"/>
      <c r="DO5" s="645" t="n"/>
      <c r="DP5" s="645" t="n"/>
      <c r="DQ5" s="645" t="n"/>
      <c r="DR5" s="645" t="n"/>
      <c r="DS5" s="645" t="n"/>
      <c r="DT5" s="645" t="n"/>
      <c r="DU5" s="645" t="n"/>
      <c r="DV5" s="645" t="n"/>
      <c r="DW5" s="645" t="n"/>
      <c r="DX5" s="645" t="n"/>
      <c r="DY5" s="645" t="n"/>
      <c r="DZ5" s="645" t="n"/>
      <c r="EA5" s="645" t="n"/>
      <c r="EB5" s="645" t="n"/>
      <c r="EC5" s="645" t="n"/>
      <c r="ED5" s="645" t="n"/>
      <c r="EE5" s="645" t="n"/>
      <c r="EF5" s="645" t="n"/>
      <c r="EG5" s="645" t="n"/>
      <c r="EH5" s="645" t="n"/>
      <c r="EI5" s="645" t="n"/>
      <c r="EJ5" s="645" t="n"/>
      <c r="EK5" s="645" t="n"/>
      <c r="EL5" s="645" t="n"/>
      <c r="EM5" s="645" t="n"/>
      <c r="EN5" s="645" t="n"/>
      <c r="EO5" s="645" t="n"/>
      <c r="EP5" s="645" t="n"/>
      <c r="EQ5" s="645" t="n"/>
      <c r="ER5" s="645" t="n"/>
      <c r="ES5" s="645" t="n"/>
      <c r="ET5" s="645" t="n"/>
      <c r="EU5" s="645" t="n"/>
      <c r="EV5" s="645" t="n"/>
      <c r="EW5" s="645" t="n"/>
      <c r="EX5" s="645" t="n"/>
      <c r="EY5" s="645" t="n"/>
      <c r="EZ5" s="645" t="n"/>
      <c r="FA5" s="645" t="n"/>
      <c r="FB5" s="645" t="n"/>
      <c r="FC5" s="645" t="n"/>
      <c r="FD5" s="645" t="n"/>
      <c r="FE5" s="645" t="n"/>
      <c r="FF5" s="645" t="n"/>
      <c r="FG5" s="645" t="n"/>
      <c r="FH5" s="645" t="n"/>
      <c r="FI5" s="645" t="n"/>
      <c r="FJ5" s="645" t="n"/>
      <c r="FK5" s="645" t="n"/>
      <c r="FL5" s="645" t="n"/>
      <c r="FM5" s="645" t="n"/>
      <c r="FN5" s="645" t="n"/>
      <c r="FO5" s="645" t="n"/>
      <c r="FP5" s="645" t="n"/>
      <c r="FQ5" s="645" t="n"/>
      <c r="FR5" s="645" t="n"/>
      <c r="FS5" s="645" t="n"/>
      <c r="FT5" s="645" t="n"/>
      <c r="FU5" s="645" t="n"/>
      <c r="FV5" s="645" t="n"/>
      <c r="FW5" s="645" t="n"/>
      <c r="FX5" s="645" t="n"/>
      <c r="FY5" s="645" t="n"/>
      <c r="FZ5" s="645" t="n"/>
      <c r="GA5" s="645" t="n"/>
      <c r="GB5" s="645" t="n"/>
      <c r="GC5" s="645" t="n"/>
      <c r="GD5" s="645" t="n"/>
      <c r="GE5" s="645" t="n"/>
      <c r="GF5" s="645" t="n"/>
      <c r="GG5" s="645" t="n"/>
      <c r="GH5" s="645" t="n"/>
      <c r="GI5" s="645" t="n"/>
      <c r="GJ5" s="645" t="n"/>
      <c r="GK5" s="645" t="n"/>
    </row>
    <row r="6" ht="12.75" customFormat="1" customHeight="1" s="1305">
      <c r="A6" s="644" t="n"/>
      <c r="B6" s="1307" t="n"/>
      <c r="C6" s="1307" t="n"/>
      <c r="D6" s="1307" t="n"/>
      <c r="E6" s="1307" t="n"/>
      <c r="F6" s="1307" t="n"/>
      <c r="G6" s="1307" t="n"/>
      <c r="H6" s="1307" t="n"/>
      <c r="I6" s="1307" t="n"/>
      <c r="J6" s="1307" t="n"/>
      <c r="K6" s="1307" t="n"/>
      <c r="L6" s="1307" t="n"/>
      <c r="M6" s="1307" t="n"/>
      <c r="N6" s="644" t="n"/>
      <c r="O6" s="1307" t="n"/>
      <c r="P6" s="1307" t="n"/>
      <c r="Q6" s="1307" t="n"/>
      <c r="R6" s="1307" t="n"/>
      <c r="S6" s="1307" t="n"/>
      <c r="T6" s="1307" t="n"/>
      <c r="U6" s="1307" t="n"/>
      <c r="V6" s="1307" t="n"/>
      <c r="W6" s="1307" t="n"/>
      <c r="X6" s="1307" t="n"/>
      <c r="Y6" s="1307" t="n"/>
      <c r="Z6" s="1307" t="n"/>
      <c r="AA6" s="1307" t="n"/>
      <c r="AB6" s="1307" t="n"/>
      <c r="AC6" s="1307" t="n"/>
      <c r="AD6" s="1307" t="n"/>
      <c r="AE6" s="1307" t="n"/>
      <c r="AF6" s="1307" t="n"/>
      <c r="AG6" s="1307" t="n"/>
      <c r="AH6" s="1307" t="n"/>
      <c r="AI6" s="1307" t="n"/>
      <c r="AJ6" s="1307" t="n"/>
      <c r="AK6" s="1307" t="n"/>
      <c r="AL6" s="1307" t="n"/>
      <c r="AM6" s="1307" t="n"/>
      <c r="AN6" s="1307" t="n"/>
      <c r="AO6" s="1307" t="n"/>
      <c r="AP6" s="1307" t="n"/>
      <c r="AQ6" s="1307" t="n"/>
      <c r="AR6" s="1307" t="n"/>
      <c r="AS6" s="1307" t="n"/>
      <c r="AT6" s="1307" t="n"/>
      <c r="AU6" s="1307" t="n"/>
      <c r="AV6" s="1307" t="n"/>
      <c r="AW6" s="1307" t="n"/>
      <c r="AX6" s="1307" t="n"/>
      <c r="AY6" s="1307" t="n"/>
      <c r="AZ6" s="1307" t="n"/>
      <c r="BA6" s="1307" t="n"/>
      <c r="BB6" s="1307" t="n"/>
      <c r="BC6" s="1307" t="n"/>
      <c r="BD6" s="1307" t="n"/>
      <c r="BE6" s="1307" t="n"/>
      <c r="BF6" s="1307" t="n"/>
      <c r="BG6" s="1307" t="n"/>
      <c r="BH6" s="1307" t="n"/>
      <c r="BI6" s="1307" t="n"/>
      <c r="BJ6" s="1307" t="n"/>
      <c r="BK6" s="1307" t="n"/>
      <c r="BL6" s="1307" t="n"/>
      <c r="BM6" s="1307" t="n"/>
      <c r="BN6" s="1307" t="n"/>
      <c r="BO6" s="1307" t="n"/>
      <c r="BP6" s="1307" t="n"/>
      <c r="BQ6" s="1307" t="n"/>
      <c r="BR6" s="1307" t="n"/>
      <c r="BS6" s="1307" t="n"/>
      <c r="BT6" s="1307" t="n"/>
      <c r="BU6" s="1307" t="n"/>
      <c r="BV6" s="645" t="n"/>
      <c r="BW6" s="645" t="n"/>
      <c r="BX6" s="645" t="n"/>
      <c r="BY6" s="645" t="n"/>
      <c r="BZ6" s="645" t="n"/>
      <c r="CA6" s="645" t="n"/>
      <c r="CB6" s="645" t="n"/>
      <c r="CC6" s="645" t="n"/>
      <c r="CD6" s="645" t="n"/>
      <c r="CE6" s="645" t="n"/>
      <c r="CF6" s="645" t="n"/>
      <c r="CG6" s="645" t="n"/>
      <c r="CH6" s="645" t="n"/>
      <c r="CI6" s="645" t="n"/>
      <c r="CJ6" s="645" t="n"/>
      <c r="CK6" s="645" t="n"/>
      <c r="CL6" s="645" t="n"/>
      <c r="CM6" s="645" t="n"/>
      <c r="CN6" s="645" t="n"/>
      <c r="CO6" s="645" t="n"/>
      <c r="CP6" s="645" t="n"/>
      <c r="CQ6" s="645" t="n"/>
      <c r="CR6" s="645" t="n"/>
      <c r="CS6" s="645" t="n"/>
      <c r="CT6" s="645" t="n"/>
      <c r="CU6" s="645" t="n"/>
      <c r="CV6" s="645" t="n"/>
      <c r="CW6" s="645" t="n"/>
      <c r="CX6" s="645" t="n"/>
      <c r="CY6" s="645" t="n"/>
      <c r="CZ6" s="645" t="n"/>
      <c r="DA6" s="645" t="n"/>
      <c r="DB6" s="645" t="n"/>
      <c r="DC6" s="645" t="n"/>
      <c r="DD6" s="645" t="n"/>
      <c r="DE6" s="645" t="n"/>
      <c r="DF6" s="645" t="n"/>
      <c r="DG6" s="645" t="n"/>
      <c r="DH6" s="645" t="n"/>
      <c r="DI6" s="645" t="n"/>
      <c r="DJ6" s="645" t="n"/>
      <c r="DK6" s="645" t="n"/>
      <c r="DL6" s="645" t="n"/>
      <c r="DM6" s="645" t="n"/>
      <c r="DN6" s="645" t="n"/>
      <c r="DO6" s="645" t="n"/>
      <c r="DP6" s="645" t="n"/>
      <c r="DQ6" s="645" t="n"/>
      <c r="DR6" s="645" t="n"/>
      <c r="DS6" s="645" t="n"/>
      <c r="DT6" s="645" t="n"/>
      <c r="DU6" s="645" t="n"/>
      <c r="DV6" s="645" t="n"/>
      <c r="DW6" s="645" t="n"/>
      <c r="DX6" s="645" t="n"/>
      <c r="DY6" s="645" t="n"/>
      <c r="DZ6" s="645" t="n"/>
      <c r="EA6" s="645" t="n"/>
      <c r="EB6" s="645" t="n"/>
      <c r="EC6" s="645" t="n"/>
      <c r="ED6" s="645" t="n"/>
      <c r="EE6" s="645" t="n"/>
      <c r="EF6" s="645" t="n"/>
      <c r="EG6" s="645" t="n"/>
      <c r="EH6" s="645" t="n"/>
      <c r="EI6" s="645" t="n"/>
      <c r="EJ6" s="645" t="n"/>
      <c r="EK6" s="645" t="n"/>
      <c r="EL6" s="645" t="n"/>
      <c r="EM6" s="645" t="n"/>
      <c r="EN6" s="645" t="n"/>
      <c r="EO6" s="645" t="n"/>
      <c r="EP6" s="645" t="n"/>
      <c r="EQ6" s="645" t="n"/>
      <c r="ER6" s="645" t="n"/>
      <c r="ES6" s="645" t="n"/>
      <c r="ET6" s="645" t="n"/>
      <c r="EU6" s="645" t="n"/>
      <c r="EV6" s="645" t="n"/>
      <c r="EW6" s="645" t="n"/>
      <c r="EX6" s="645" t="n"/>
      <c r="EY6" s="645" t="n"/>
      <c r="EZ6" s="645" t="n"/>
      <c r="FA6" s="645" t="n"/>
      <c r="FB6" s="645" t="n"/>
      <c r="FC6" s="645" t="n"/>
      <c r="FD6" s="645" t="n"/>
      <c r="FE6" s="645" t="n"/>
      <c r="FF6" s="645" t="n"/>
      <c r="FG6" s="645" t="n"/>
      <c r="FH6" s="645" t="n"/>
      <c r="FI6" s="645" t="n"/>
      <c r="FJ6" s="645" t="n"/>
      <c r="FK6" s="645" t="n"/>
      <c r="FL6" s="645" t="n"/>
      <c r="FM6" s="645" t="n"/>
      <c r="FN6" s="645" t="n"/>
      <c r="FO6" s="645" t="n"/>
      <c r="FP6" s="645" t="n"/>
      <c r="FQ6" s="645" t="n"/>
      <c r="FR6" s="645" t="n"/>
      <c r="FS6" s="645" t="n"/>
      <c r="FT6" s="645" t="n"/>
      <c r="FU6" s="645" t="n"/>
      <c r="FV6" s="645" t="n"/>
      <c r="FW6" s="645" t="n"/>
      <c r="FX6" s="645" t="n"/>
      <c r="FY6" s="645" t="n"/>
      <c r="FZ6" s="645" t="n"/>
      <c r="GA6" s="645" t="n"/>
      <c r="GB6" s="645" t="n"/>
      <c r="GC6" s="645" t="n"/>
      <c r="GD6" s="645" t="n"/>
      <c r="GE6" s="645" t="n"/>
      <c r="GF6" s="645" t="n"/>
      <c r="GG6" s="645" t="n"/>
      <c r="GH6" s="645" t="n"/>
      <c r="GI6" s="645" t="n"/>
      <c r="GJ6" s="645" t="n"/>
      <c r="GK6" s="645" t="n"/>
    </row>
    <row r="7" ht="13.5" customFormat="1" customHeight="1" s="1305" thickBot="1">
      <c r="A7" s="1308" t="n"/>
      <c r="B7" s="1309" t="n"/>
      <c r="C7" s="1309" t="n"/>
      <c r="D7" s="1309" t="n"/>
      <c r="E7" s="1309" t="n"/>
      <c r="F7" s="1309" t="n"/>
      <c r="G7" s="1309" t="n"/>
      <c r="H7" s="1309" t="n"/>
      <c r="I7" s="1309" t="n"/>
      <c r="J7" s="1309" t="n"/>
      <c r="K7" s="1309" t="n"/>
      <c r="L7" s="1309" t="n"/>
      <c r="M7" s="1309" t="n"/>
      <c r="N7" s="1309" t="n"/>
      <c r="O7" s="1309" t="n"/>
      <c r="P7" s="1309" t="n"/>
      <c r="Q7" s="1309" t="n"/>
      <c r="R7" s="1309" t="n"/>
      <c r="S7" s="1309" t="n"/>
      <c r="T7" s="1309" t="n"/>
      <c r="U7" s="1309" t="n"/>
      <c r="V7" s="1309" t="n"/>
      <c r="W7" s="1309" t="n"/>
      <c r="X7" s="1309" t="n"/>
      <c r="Y7" s="1309" t="n"/>
      <c r="Z7" s="1309" t="n"/>
      <c r="AA7" s="1309" t="n"/>
      <c r="AB7" s="1309" t="n"/>
      <c r="AC7" s="1309" t="n"/>
      <c r="AD7" s="1309" t="n"/>
      <c r="AE7" s="1309" t="n"/>
      <c r="AF7" s="1309" t="n"/>
      <c r="AG7" s="1309" t="n"/>
      <c r="AH7" s="1309" t="n"/>
      <c r="AI7" s="1309" t="n"/>
      <c r="AJ7" s="1309" t="n"/>
      <c r="AK7" s="1309" t="n"/>
      <c r="AL7" s="1309" t="n"/>
      <c r="AM7" s="1309" t="n"/>
      <c r="AN7" s="1309" t="n"/>
      <c r="AO7" s="1309" t="n"/>
      <c r="AP7" s="1309" t="n"/>
      <c r="AQ7" s="1309" t="n"/>
      <c r="AR7" s="1309" t="n"/>
      <c r="AS7" s="1309" t="n"/>
      <c r="AT7" s="1309" t="n"/>
      <c r="AU7" s="1309" t="n"/>
      <c r="AV7" s="1309" t="n"/>
      <c r="AW7" s="1309" t="n"/>
      <c r="AX7" s="1309" t="n"/>
      <c r="AY7" s="1309" t="n"/>
      <c r="AZ7" s="1309" t="n"/>
      <c r="BA7" s="1309" t="n"/>
      <c r="BB7" s="1309" t="n"/>
      <c r="BC7" s="1309" t="n"/>
      <c r="BD7" s="1309" t="n"/>
      <c r="BE7" s="1309" t="n"/>
      <c r="BF7" s="1309" t="n"/>
      <c r="BG7" s="1309" t="n"/>
      <c r="BH7" s="1309" t="n"/>
      <c r="BI7" s="1309" t="n"/>
      <c r="BJ7" s="1309" t="n"/>
      <c r="BK7" s="1309" t="n"/>
      <c r="BL7" s="1309" t="n"/>
      <c r="BM7" s="1309" t="n"/>
      <c r="BN7" s="1309" t="n"/>
      <c r="BO7" s="1309" t="n"/>
      <c r="BP7" s="1309" t="n"/>
      <c r="BQ7" s="1309" t="n"/>
      <c r="BR7" s="1309" t="n"/>
      <c r="BS7" s="1309" t="n"/>
      <c r="BT7" s="1309" t="n"/>
      <c r="BU7" s="1309" t="n"/>
      <c r="BV7" s="647" t="n"/>
      <c r="BW7" s="647" t="n"/>
      <c r="BX7" s="647" t="n"/>
      <c r="BY7" s="647" t="n"/>
      <c r="BZ7" s="647" t="n"/>
      <c r="CA7" s="647" t="n"/>
      <c r="CB7" s="647" t="n"/>
      <c r="CC7" s="647" t="n"/>
      <c r="CD7" s="647" t="n"/>
      <c r="CE7" s="647" t="n"/>
      <c r="CF7" s="647" t="n"/>
      <c r="CG7" s="647" t="n"/>
      <c r="CH7" s="647" t="n"/>
      <c r="CI7" s="647" t="n"/>
      <c r="CJ7" s="647" t="n"/>
      <c r="CK7" s="647" t="n"/>
      <c r="CL7" s="647" t="n"/>
      <c r="CM7" s="647" t="n"/>
      <c r="CN7" s="647" t="n"/>
      <c r="CO7" s="647" t="n"/>
      <c r="CP7" s="647" t="n"/>
      <c r="CQ7" s="647" t="n"/>
      <c r="CR7" s="647" t="n"/>
      <c r="CS7" s="647" t="n"/>
      <c r="CT7" s="647" t="n"/>
      <c r="CU7" s="647" t="n"/>
      <c r="CV7" s="647" t="n"/>
      <c r="CW7" s="647" t="n"/>
      <c r="CX7" s="647" t="n"/>
      <c r="CY7" s="647" t="n"/>
      <c r="CZ7" s="647" t="n"/>
      <c r="DA7" s="647" t="n"/>
      <c r="DB7" s="647" t="n"/>
      <c r="DC7" s="647" t="n"/>
      <c r="DD7" s="647" t="n"/>
      <c r="DE7" s="647" t="n"/>
      <c r="DF7" s="647" t="n"/>
      <c r="DG7" s="647" t="n"/>
      <c r="DH7" s="647" t="n"/>
      <c r="DI7" s="647" t="n"/>
      <c r="DJ7" s="647" t="n"/>
      <c r="DK7" s="647" t="n"/>
      <c r="DL7" s="647" t="n"/>
      <c r="DM7" s="647" t="n"/>
      <c r="DN7" s="647" t="n"/>
      <c r="DO7" s="647" t="n"/>
      <c r="DP7" s="647" t="n"/>
      <c r="DQ7" s="647" t="n"/>
      <c r="DR7" s="647" t="n"/>
      <c r="DS7" s="647" t="n"/>
      <c r="DT7" s="647" t="n"/>
      <c r="DU7" s="647" t="n"/>
      <c r="DV7" s="647" t="n"/>
      <c r="DW7" s="647" t="n"/>
      <c r="DX7" s="647" t="n"/>
      <c r="DY7" s="647" t="n"/>
      <c r="DZ7" s="647" t="n"/>
      <c r="EA7" s="647" t="n"/>
      <c r="EB7" s="647" t="n"/>
      <c r="EC7" s="647" t="n"/>
      <c r="ED7" s="647">
        <f>MONTH(ED8)</f>
        <v/>
      </c>
      <c r="EE7" s="647">
        <f>MONTH(EE8)</f>
        <v/>
      </c>
      <c r="EF7" s="647">
        <f>MONTH(EF8)</f>
        <v/>
      </c>
      <c r="EG7" s="647">
        <f>MONTH(EG8)</f>
        <v/>
      </c>
      <c r="EH7" s="647">
        <f>MONTH(EH8)</f>
        <v/>
      </c>
      <c r="EI7" s="647">
        <f>MONTH(EI8)</f>
        <v/>
      </c>
      <c r="EJ7" s="647">
        <f>MONTH(EJ8)</f>
        <v/>
      </c>
      <c r="EK7" s="647">
        <f>MONTH(EK8)</f>
        <v/>
      </c>
      <c r="EL7" s="647">
        <f>MONTH(EL8)</f>
        <v/>
      </c>
      <c r="EM7" s="647">
        <f>MONTH(EM8)</f>
        <v/>
      </c>
      <c r="EN7" s="647">
        <f>MONTH(EN8)</f>
        <v/>
      </c>
      <c r="EO7" s="647">
        <f>MONTH(EO8)</f>
        <v/>
      </c>
      <c r="EP7" s="647">
        <f>MONTH(EP8)</f>
        <v/>
      </c>
      <c r="EQ7" s="647">
        <f>MONTH(EQ8)</f>
        <v/>
      </c>
      <c r="ER7" s="647">
        <f>MONTH(ER8)</f>
        <v/>
      </c>
      <c r="ES7" s="647">
        <f>MONTH(ES8)</f>
        <v/>
      </c>
      <c r="ET7" s="647">
        <f>MONTH(ET8)</f>
        <v/>
      </c>
      <c r="EU7" s="647">
        <f>MONTH(EU8)</f>
        <v/>
      </c>
      <c r="EV7" s="647">
        <f>MONTH(EV8)</f>
        <v/>
      </c>
      <c r="EW7" s="647">
        <f>MONTH(EW8)</f>
        <v/>
      </c>
      <c r="EX7" s="647">
        <f>MONTH(EX8)</f>
        <v/>
      </c>
      <c r="EY7" s="647">
        <f>MONTH(EY8)</f>
        <v/>
      </c>
      <c r="EZ7" s="647">
        <f>MONTH(EZ8)</f>
        <v/>
      </c>
      <c r="FA7" s="647">
        <f>MONTH(FA8)</f>
        <v/>
      </c>
      <c r="FB7" s="647">
        <f>MONTH(FB8)</f>
        <v/>
      </c>
      <c r="FC7" s="647">
        <f>MONTH(FC8)</f>
        <v/>
      </c>
      <c r="FD7" s="647">
        <f>MONTH(FD8)</f>
        <v/>
      </c>
      <c r="FE7" s="647">
        <f>MONTH(FE8)</f>
        <v/>
      </c>
      <c r="FF7" s="647">
        <f>MONTH(FF8)</f>
        <v/>
      </c>
      <c r="FG7" s="647">
        <f>MONTH(FG8)</f>
        <v/>
      </c>
      <c r="FH7" s="647">
        <f>MONTH(FH8)</f>
        <v/>
      </c>
      <c r="FI7" s="647">
        <f>MONTH(FI8)</f>
        <v/>
      </c>
      <c r="FJ7" s="647">
        <f>MONTH(FJ8)</f>
        <v/>
      </c>
      <c r="FK7" s="647">
        <f>MONTH(FK8)</f>
        <v/>
      </c>
      <c r="FL7" s="647">
        <f>MONTH(FL8)</f>
        <v/>
      </c>
      <c r="FM7" s="647">
        <f>MONTH(FM8)</f>
        <v/>
      </c>
      <c r="FN7" s="647">
        <f>MONTH(FN8)</f>
        <v/>
      </c>
      <c r="FO7" s="647">
        <f>MONTH(FO8)</f>
        <v/>
      </c>
      <c r="FP7" s="647">
        <f>MONTH(FP8)</f>
        <v/>
      </c>
      <c r="FQ7" s="647">
        <f>MONTH(FQ8)</f>
        <v/>
      </c>
      <c r="FR7" s="647">
        <f>MONTH(FR8)</f>
        <v/>
      </c>
      <c r="FS7" s="647">
        <f>MONTH(FS8)</f>
        <v/>
      </c>
      <c r="FT7" s="647">
        <f>MONTH(FT8)</f>
        <v/>
      </c>
      <c r="FU7" s="647">
        <f>MONTH(FU8)</f>
        <v/>
      </c>
      <c r="FV7" s="647">
        <f>MONTH(FV8)</f>
        <v/>
      </c>
      <c r="FW7" s="647">
        <f>MONTH(FW8)</f>
        <v/>
      </c>
      <c r="FX7" s="647">
        <f>MONTH(FX8)</f>
        <v/>
      </c>
      <c r="FY7" s="647">
        <f>MONTH(FY8)</f>
        <v/>
      </c>
      <c r="FZ7" s="647">
        <f>MONTH(FZ8)</f>
        <v/>
      </c>
      <c r="GA7" s="647">
        <f>MONTH(GA8)</f>
        <v/>
      </c>
      <c r="GB7" s="647">
        <f>MONTH(GB8)</f>
        <v/>
      </c>
      <c r="GC7" s="647">
        <f>MONTH(GC8)</f>
        <v/>
      </c>
      <c r="GD7" s="647">
        <f>MONTH(GD8)</f>
        <v/>
      </c>
      <c r="GE7" s="647">
        <f>MONTH(GE8)</f>
        <v/>
      </c>
      <c r="GF7" s="647">
        <f>MONTH(GF8)</f>
        <v/>
      </c>
      <c r="GG7" s="647">
        <f>MONTH(GG8)</f>
        <v/>
      </c>
      <c r="GH7" s="647">
        <f>MONTH(GH8)</f>
        <v/>
      </c>
      <c r="GI7" s="647">
        <f>MONTH(GI8)</f>
        <v/>
      </c>
      <c r="GJ7" s="647">
        <f>MONTH(GJ8)</f>
        <v/>
      </c>
      <c r="GK7" s="647">
        <f>MONTH(GK8)</f>
        <v/>
      </c>
      <c r="GL7" s="647">
        <f>MONTH(GL8)</f>
        <v/>
      </c>
      <c r="GM7" s="647">
        <f>MONTH(GM8)</f>
        <v/>
      </c>
      <c r="GN7" s="647">
        <f>MONTH(GN8)</f>
        <v/>
      </c>
      <c r="GO7" s="647">
        <f>MONTH(GO8)</f>
        <v/>
      </c>
      <c r="GP7" s="647">
        <f>MONTH(GP8)</f>
        <v/>
      </c>
      <c r="GQ7" s="647">
        <f>MONTH(GQ8)</f>
        <v/>
      </c>
      <c r="GR7" s="647">
        <f>MONTH(GR8)</f>
        <v/>
      </c>
      <c r="GS7" s="647">
        <f>MONTH(GS8)</f>
        <v/>
      </c>
      <c r="GT7" s="647">
        <f>MONTH(GT8)</f>
        <v/>
      </c>
      <c r="GU7" s="647">
        <f>MONTH(GU8)</f>
        <v/>
      </c>
      <c r="GV7" s="647">
        <f>MONTH(GV8)</f>
        <v/>
      </c>
      <c r="GW7" s="647">
        <f>MONTH(GW8)</f>
        <v/>
      </c>
      <c r="GX7" s="647">
        <f>MONTH(GX8)</f>
        <v/>
      </c>
      <c r="GY7" s="647">
        <f>MONTH(GY8)</f>
        <v/>
      </c>
      <c r="GZ7" s="647">
        <f>MONTH(GZ8)</f>
        <v/>
      </c>
      <c r="HA7" s="647">
        <f>MONTH(HA8)</f>
        <v/>
      </c>
      <c r="HB7" s="647">
        <f>MONTH(HB8)</f>
        <v/>
      </c>
      <c r="HC7" s="647">
        <f>MONTH(HC8)</f>
        <v/>
      </c>
      <c r="HD7" s="647">
        <f>MONTH(HD8)</f>
        <v/>
      </c>
      <c r="HE7" s="647">
        <f>MONTH(HE8)</f>
        <v/>
      </c>
      <c r="HF7" s="647">
        <f>MONTH(HF8)</f>
        <v/>
      </c>
      <c r="HG7" s="647">
        <f>MONTH(HG8)</f>
        <v/>
      </c>
      <c r="HH7" s="647">
        <f>MONTH(HH8)</f>
        <v/>
      </c>
      <c r="HI7" s="647">
        <f>MONTH(HI8)</f>
        <v/>
      </c>
      <c r="HJ7" s="647">
        <f>MONTH(HJ8)</f>
        <v/>
      </c>
      <c r="HK7" s="647">
        <f>MONTH(HK8)</f>
        <v/>
      </c>
      <c r="HL7" s="647">
        <f>MONTH(HL8)</f>
        <v/>
      </c>
      <c r="HM7" s="647">
        <f>MONTH(HM8)</f>
        <v/>
      </c>
      <c r="HN7" s="647">
        <f>MONTH(HN8)</f>
        <v/>
      </c>
      <c r="HO7" s="647">
        <f>MONTH(HO8)</f>
        <v/>
      </c>
      <c r="HP7" s="647">
        <f>MONTH(HP8)</f>
        <v/>
      </c>
      <c r="HQ7" s="647">
        <f>MONTH(HQ8)</f>
        <v/>
      </c>
      <c r="HR7" s="647">
        <f>MONTH(HR8)</f>
        <v/>
      </c>
      <c r="HS7" s="647">
        <f>MONTH(HS8)</f>
        <v/>
      </c>
      <c r="HT7" s="647">
        <f>MONTH(HT8)</f>
        <v/>
      </c>
      <c r="HU7" s="647">
        <f>MONTH(HU8)</f>
        <v/>
      </c>
      <c r="HV7" s="647">
        <f>MONTH(HV8)</f>
        <v/>
      </c>
      <c r="HW7" s="647">
        <f>MONTH(HW8)</f>
        <v/>
      </c>
      <c r="HX7" s="647">
        <f>MONTH(HX8)</f>
        <v/>
      </c>
      <c r="HY7" s="647">
        <f>MONTH(HY8)</f>
        <v/>
      </c>
      <c r="HZ7" s="647">
        <f>MONTH(HZ8)</f>
        <v/>
      </c>
      <c r="IA7" s="647">
        <f>MONTH(IA8)</f>
        <v/>
      </c>
      <c r="IB7" s="647">
        <f>MONTH(IB8)</f>
        <v/>
      </c>
      <c r="IC7" s="647">
        <f>MONTH(IC8)</f>
        <v/>
      </c>
      <c r="ID7" s="647">
        <f>MONTH(ID8)</f>
        <v/>
      </c>
      <c r="IE7" s="647">
        <f>MONTH(IE8)</f>
        <v/>
      </c>
      <c r="IF7" s="647">
        <f>MONTH(IF8)</f>
        <v/>
      </c>
      <c r="IG7" s="647">
        <f>MONTH(IG8)</f>
        <v/>
      </c>
      <c r="IH7" s="647">
        <f>MONTH(IH8)</f>
        <v/>
      </c>
      <c r="II7" s="647">
        <f>MONTH(II8)</f>
        <v/>
      </c>
      <c r="IJ7" s="647">
        <f>MONTH(IJ8)</f>
        <v/>
      </c>
      <c r="IK7" s="647">
        <f>MONTH(IK8)</f>
        <v/>
      </c>
      <c r="IL7" s="647">
        <f>MONTH(IL8)</f>
        <v/>
      </c>
      <c r="IM7" s="647">
        <f>MONTH(IM8)</f>
        <v/>
      </c>
      <c r="IN7" s="647">
        <f>MONTH(IN8)</f>
        <v/>
      </c>
      <c r="IO7" s="647">
        <f>MONTH(IO8)</f>
        <v/>
      </c>
      <c r="IP7" s="647">
        <f>MONTH(IP8)</f>
        <v/>
      </c>
      <c r="IQ7" s="647">
        <f>MONTH(IQ8)</f>
        <v/>
      </c>
      <c r="IR7" s="647">
        <f>MONTH(IR8)</f>
        <v/>
      </c>
      <c r="IS7" s="647">
        <f>MONTH(IS8)</f>
        <v/>
      </c>
      <c r="IT7" s="1308" t="n"/>
      <c r="IU7" s="1308" t="n"/>
      <c r="IV7" s="1308" t="n"/>
      <c r="IW7" s="1308" t="n"/>
      <c r="IX7" s="1308" t="n"/>
      <c r="IY7" s="1308" t="n"/>
      <c r="IZ7" s="1308" t="n"/>
      <c r="JA7" s="1308" t="n"/>
      <c r="JB7" s="1308" t="n"/>
      <c r="JC7" s="1308" t="n"/>
      <c r="JD7" s="1308" t="n"/>
      <c r="JE7" s="1308" t="n"/>
      <c r="JF7" s="1308" t="n"/>
      <c r="JG7" s="1308" t="n"/>
      <c r="JH7" s="1308" t="n"/>
      <c r="JI7" s="1308" t="n"/>
      <c r="JJ7" s="1308" t="n"/>
      <c r="JK7" s="1308" t="n"/>
      <c r="JL7" s="1308" t="n"/>
      <c r="JM7" s="1308" t="n"/>
      <c r="JN7" s="1308" t="n"/>
      <c r="JO7" s="1308" t="n"/>
      <c r="JP7" s="1308" t="n"/>
      <c r="JQ7" s="1308" t="n"/>
      <c r="JR7" s="1308" t="n"/>
      <c r="JS7" s="1308" t="n"/>
      <c r="JT7" s="1308" t="n"/>
      <c r="JU7" s="1308" t="n"/>
      <c r="JV7" s="1308" t="n"/>
      <c r="JW7" s="1308" t="n"/>
      <c r="JX7" s="1308" t="n"/>
      <c r="JY7" s="1308" t="n"/>
      <c r="JZ7" s="1308" t="n"/>
      <c r="KA7" s="1308" t="n"/>
      <c r="KB7" s="1308" t="n"/>
      <c r="KC7" s="1308" t="n"/>
      <c r="KD7" s="1308" t="n"/>
      <c r="KE7" s="1308" t="n"/>
      <c r="KF7" s="1308" t="n"/>
      <c r="KG7" s="1308" t="n"/>
      <c r="KH7" s="1308" t="n"/>
      <c r="KI7" s="1308" t="n"/>
      <c r="KJ7" s="1308" t="n"/>
      <c r="KK7" s="1308" t="n"/>
      <c r="KL7" s="1308" t="n"/>
      <c r="KM7" s="1308" t="n"/>
      <c r="KN7" s="1308" t="n"/>
      <c r="KO7" s="1308" t="n"/>
      <c r="KP7" s="1308" t="n"/>
      <c r="KQ7" s="1308" t="n"/>
      <c r="KR7" s="1308" t="n"/>
      <c r="KS7" s="1308" t="n"/>
      <c r="KT7" s="1308" t="n"/>
      <c r="KU7" s="1308" t="n"/>
      <c r="KV7" s="1308" t="n"/>
      <c r="KW7" s="1308" t="n"/>
      <c r="KX7" s="1308" t="n"/>
      <c r="KY7" s="1308" t="n"/>
      <c r="KZ7" s="1308" t="n"/>
      <c r="LA7" s="1308" t="n"/>
      <c r="LB7" s="1308" t="n"/>
      <c r="LC7" s="1308" t="n"/>
      <c r="LD7" s="1308" t="n"/>
      <c r="LE7" s="1308" t="n"/>
      <c r="LF7" s="1308" t="n"/>
      <c r="LG7" s="1308" t="n"/>
      <c r="LH7" s="1308" t="n"/>
      <c r="LI7" s="1308" t="n"/>
      <c r="LJ7" s="1308" t="n"/>
      <c r="LK7" s="1308" t="n"/>
      <c r="LL7" s="1308" t="n"/>
      <c r="LM7" s="1308" t="n"/>
      <c r="LN7" s="1308" t="n"/>
      <c r="LO7" s="1308" t="n"/>
      <c r="LP7" s="1308" t="n"/>
      <c r="LQ7" s="1308" t="n"/>
      <c r="LR7" s="1308" t="n"/>
      <c r="LS7" s="1308" t="n"/>
    </row>
    <row r="8" ht="36.75" customFormat="1" customHeight="1" s="1310">
      <c r="A8" s="1311" t="inlineStr">
        <is>
          <t xml:space="preserve">CATHAY PACIFIC </t>
        </is>
      </c>
      <c r="B8" s="1312" t="n">
        <v>36191</v>
      </c>
      <c r="C8" s="1313">
        <f>EOMONTH(B8,1)</f>
        <v/>
      </c>
      <c r="D8" s="1313">
        <f>EOMONTH(C8,1)</f>
        <v/>
      </c>
      <c r="E8" s="1313">
        <f>EOMONTH(D8,1)</f>
        <v/>
      </c>
      <c r="F8" s="1313">
        <f>EOMONTH(E8,1)</f>
        <v/>
      </c>
      <c r="G8" s="1313">
        <f>EOMONTH(F8,1)</f>
        <v/>
      </c>
      <c r="H8" s="1313">
        <f>EOMONTH(G8,1)</f>
        <v/>
      </c>
      <c r="I8" s="1313">
        <f>EOMONTH(H8,1)</f>
        <v/>
      </c>
      <c r="J8" s="1313">
        <f>EOMONTH(I8,1)</f>
        <v/>
      </c>
      <c r="K8" s="1313">
        <f>EOMONTH(J8,1)</f>
        <v/>
      </c>
      <c r="L8" s="1313">
        <f>EOMONTH(K8,1)</f>
        <v/>
      </c>
      <c r="M8" s="1313">
        <f>EOMONTH(L8,1)</f>
        <v/>
      </c>
      <c r="N8" s="1313">
        <f>EOMONTH(M8,1)</f>
        <v/>
      </c>
      <c r="O8" s="1313">
        <f>EOMONTH(N8,1)</f>
        <v/>
      </c>
      <c r="P8" s="1313">
        <f>EOMONTH(O8,1)</f>
        <v/>
      </c>
      <c r="Q8" s="1313">
        <f>EOMONTH(P8,1)</f>
        <v/>
      </c>
      <c r="R8" s="1313">
        <f>EOMONTH(Q8,1)</f>
        <v/>
      </c>
      <c r="S8" s="1313">
        <f>EOMONTH(R8,1)</f>
        <v/>
      </c>
      <c r="T8" s="1313">
        <f>EOMONTH(S8,1)</f>
        <v/>
      </c>
      <c r="U8" s="1313">
        <f>EOMONTH(T8,1)</f>
        <v/>
      </c>
      <c r="V8" s="1313">
        <f>EOMONTH(U8,1)</f>
        <v/>
      </c>
      <c r="W8" s="1313">
        <f>EOMONTH(V8,1)</f>
        <v/>
      </c>
      <c r="X8" s="1313">
        <f>EOMONTH(W8,1)</f>
        <v/>
      </c>
      <c r="Y8" s="1313">
        <f>EOMONTH(X8,1)</f>
        <v/>
      </c>
      <c r="Z8" s="1313">
        <f>EOMONTH(Y8,1)</f>
        <v/>
      </c>
      <c r="AA8" s="1313">
        <f>EOMONTH(Z8,1)</f>
        <v/>
      </c>
      <c r="AB8" s="1313">
        <f>EOMONTH(AA8,1)</f>
        <v/>
      </c>
      <c r="AC8" s="1313">
        <f>EOMONTH(AB8,1)</f>
        <v/>
      </c>
      <c r="AD8" s="1313">
        <f>EOMONTH(AC8,1)</f>
        <v/>
      </c>
      <c r="AE8" s="1313">
        <f>EOMONTH(AD8,1)</f>
        <v/>
      </c>
      <c r="AF8" s="1313">
        <f>EOMONTH(AE8,1)</f>
        <v/>
      </c>
      <c r="AG8" s="1313">
        <f>EOMONTH(AF8,1)</f>
        <v/>
      </c>
      <c r="AH8" s="1313">
        <f>EOMONTH(AG8,1)</f>
        <v/>
      </c>
      <c r="AI8" s="1313">
        <f>EOMONTH(AH8,1)</f>
        <v/>
      </c>
      <c r="AJ8" s="1313">
        <f>EOMONTH(AI8,1)</f>
        <v/>
      </c>
      <c r="AK8" s="1313">
        <f>EOMONTH(AJ8,1)</f>
        <v/>
      </c>
      <c r="AL8" s="1313">
        <f>EOMONTH(AK8,1)</f>
        <v/>
      </c>
      <c r="AM8" s="1313">
        <f>EOMONTH(AL8,1)</f>
        <v/>
      </c>
      <c r="AN8" s="1313">
        <f>EOMONTH(AM8,1)</f>
        <v/>
      </c>
      <c r="AO8" s="1313">
        <f>EOMONTH(AN8,1)</f>
        <v/>
      </c>
      <c r="AP8" s="1313">
        <f>EOMONTH(AO8,1)</f>
        <v/>
      </c>
      <c r="AQ8" s="1313">
        <f>EOMONTH(AP8,1)</f>
        <v/>
      </c>
      <c r="AR8" s="1313">
        <f>EOMONTH(AQ8,1)</f>
        <v/>
      </c>
      <c r="AS8" s="1313">
        <f>EOMONTH(AR8,1)</f>
        <v/>
      </c>
      <c r="AT8" s="1313">
        <f>EOMONTH(AS8,1)</f>
        <v/>
      </c>
      <c r="AU8" s="1313">
        <f>EOMONTH(AT8,1)</f>
        <v/>
      </c>
      <c r="AV8" s="1313">
        <f>EOMONTH(AU8,1)</f>
        <v/>
      </c>
      <c r="AW8" s="1313">
        <f>EOMONTH(AV8,1)</f>
        <v/>
      </c>
      <c r="AX8" s="1313">
        <f>EOMONTH(AW8,1)</f>
        <v/>
      </c>
      <c r="AY8" s="1313">
        <f>EOMONTH(AX8,1)</f>
        <v/>
      </c>
      <c r="AZ8" s="1313">
        <f>EOMONTH(AY8,1)</f>
        <v/>
      </c>
      <c r="BA8" s="1313">
        <f>EOMONTH(AZ8,1)</f>
        <v/>
      </c>
      <c r="BB8" s="1313">
        <f>EOMONTH(BA8,1)</f>
        <v/>
      </c>
      <c r="BC8" s="1313">
        <f>EOMONTH(BB8,1)</f>
        <v/>
      </c>
      <c r="BD8" s="1313">
        <f>EOMONTH(BC8,1)</f>
        <v/>
      </c>
      <c r="BE8" s="1313">
        <f>EOMONTH(BD8,1)</f>
        <v/>
      </c>
      <c r="BF8" s="1313">
        <f>EOMONTH(BE8,1)</f>
        <v/>
      </c>
      <c r="BG8" s="1313">
        <f>EOMONTH(BF8,1)</f>
        <v/>
      </c>
      <c r="BH8" s="1313">
        <f>EOMONTH(BG8,1)</f>
        <v/>
      </c>
      <c r="BI8" s="1313">
        <f>EOMONTH(BH8,1)</f>
        <v/>
      </c>
      <c r="BJ8" s="1313">
        <f>EOMONTH(BI8,1)</f>
        <v/>
      </c>
      <c r="BK8" s="1313">
        <f>EOMONTH(BJ8,1)</f>
        <v/>
      </c>
      <c r="BL8" s="1313">
        <f>EOMONTH(BK8,1)</f>
        <v/>
      </c>
      <c r="BM8" s="1313">
        <f>EOMONTH(BL8,1)</f>
        <v/>
      </c>
      <c r="BN8" s="1313">
        <f>EOMONTH(BM8,1)</f>
        <v/>
      </c>
      <c r="BO8" s="1313">
        <f>EOMONTH(BN8,1)</f>
        <v/>
      </c>
      <c r="BP8" s="1313">
        <f>EOMONTH(BO8,1)</f>
        <v/>
      </c>
      <c r="BQ8" s="1313">
        <f>EOMONTH(BP8,1)</f>
        <v/>
      </c>
      <c r="BR8" s="1313">
        <f>EOMONTH(BQ8,1)</f>
        <v/>
      </c>
      <c r="BS8" s="1313">
        <f>EOMONTH(BR8,1)</f>
        <v/>
      </c>
      <c r="BT8" s="1313">
        <f>EOMONTH(BS8,1)</f>
        <v/>
      </c>
      <c r="BU8" s="1313">
        <f>EOMONTH(BT8,1)</f>
        <v/>
      </c>
      <c r="BV8" s="1313">
        <f>EOMONTH(BU8,1)</f>
        <v/>
      </c>
      <c r="BW8" s="1313">
        <f>EOMONTH(BV8,1)</f>
        <v/>
      </c>
      <c r="BX8" s="1313">
        <f>EOMONTH(BW8,1)</f>
        <v/>
      </c>
      <c r="BY8" s="1313">
        <f>EOMONTH(BX8,1)</f>
        <v/>
      </c>
      <c r="BZ8" s="1313">
        <f>EOMONTH(BY8,1)</f>
        <v/>
      </c>
      <c r="CA8" s="1313">
        <f>EOMONTH(BZ8,1)</f>
        <v/>
      </c>
      <c r="CB8" s="1313">
        <f>EOMONTH(CA8,1)</f>
        <v/>
      </c>
      <c r="CC8" s="1313">
        <f>EOMONTH(CB8,1)</f>
        <v/>
      </c>
      <c r="CD8" s="1313">
        <f>EOMONTH(CC8,1)</f>
        <v/>
      </c>
      <c r="CE8" s="1313">
        <f>EOMONTH(CD8,1)</f>
        <v/>
      </c>
      <c r="CF8" s="1313">
        <f>EOMONTH(CE8,1)</f>
        <v/>
      </c>
      <c r="CG8" s="1313">
        <f>EOMONTH(CF8,1)</f>
        <v/>
      </c>
      <c r="CH8" s="1313">
        <f>EOMONTH(CG8,1)</f>
        <v/>
      </c>
      <c r="CI8" s="1313">
        <f>EOMONTH(CH8,1)</f>
        <v/>
      </c>
      <c r="CJ8" s="1313">
        <f>EOMONTH(CI8,1)</f>
        <v/>
      </c>
      <c r="CK8" s="1313">
        <f>EOMONTH(CJ8,1)</f>
        <v/>
      </c>
      <c r="CL8" s="1313">
        <f>EOMONTH(CK8,1)</f>
        <v/>
      </c>
      <c r="CM8" s="1313">
        <f>EOMONTH(CL8,1)</f>
        <v/>
      </c>
      <c r="CN8" s="1313">
        <f>EOMONTH(CM8,1)</f>
        <v/>
      </c>
      <c r="CO8" s="1313">
        <f>EOMONTH(CN8,1)</f>
        <v/>
      </c>
      <c r="CP8" s="1313">
        <f>EOMONTH(CO8,1)</f>
        <v/>
      </c>
      <c r="CQ8" s="1313">
        <f>EOMONTH(CP8,1)</f>
        <v/>
      </c>
      <c r="CR8" s="1313">
        <f>EOMONTH(CQ8,1)</f>
        <v/>
      </c>
      <c r="CS8" s="1313">
        <f>EOMONTH(CR8,1)</f>
        <v/>
      </c>
      <c r="CT8" s="1313">
        <f>EOMONTH(CS8,1)</f>
        <v/>
      </c>
      <c r="CU8" s="1313">
        <f>EOMONTH(CT8,1)</f>
        <v/>
      </c>
      <c r="CV8" s="1313">
        <f>EOMONTH(CU8,1)</f>
        <v/>
      </c>
      <c r="CW8" s="1313">
        <f>EOMONTH(CV8,1)</f>
        <v/>
      </c>
      <c r="CX8" s="1313">
        <f>EOMONTH(CW8,1)</f>
        <v/>
      </c>
      <c r="CY8" s="1313">
        <f>EOMONTH(CX8,1)</f>
        <v/>
      </c>
      <c r="CZ8" s="1313">
        <f>EOMONTH(CY8,1)</f>
        <v/>
      </c>
      <c r="DA8" s="1313">
        <f>EOMONTH(CZ8,1)</f>
        <v/>
      </c>
      <c r="DB8" s="1313">
        <f>EOMONTH(DA8,1)</f>
        <v/>
      </c>
      <c r="DC8" s="1313">
        <f>EOMONTH(DB8,1)</f>
        <v/>
      </c>
      <c r="DD8" s="1313">
        <f>EOMONTH(DC8,1)</f>
        <v/>
      </c>
      <c r="DE8" s="1313">
        <f>EOMONTH(DD8,1)</f>
        <v/>
      </c>
      <c r="DF8" s="1313">
        <f>EOMONTH(DE8,1)</f>
        <v/>
      </c>
      <c r="DG8" s="1313">
        <f>EOMONTH(DF8,1)</f>
        <v/>
      </c>
      <c r="DH8" s="1313">
        <f>EOMONTH(DG8,1)</f>
        <v/>
      </c>
      <c r="DI8" s="1313">
        <f>EOMONTH(DH8,1)</f>
        <v/>
      </c>
      <c r="DJ8" s="1313">
        <f>EOMONTH(DI8,1)</f>
        <v/>
      </c>
      <c r="DK8" s="1313">
        <f>EOMONTH(DJ8,1)</f>
        <v/>
      </c>
      <c r="DL8" s="1313">
        <f>EOMONTH(DK8,1)</f>
        <v/>
      </c>
      <c r="DM8" s="1313">
        <f>EOMONTH(DL8,1)</f>
        <v/>
      </c>
      <c r="DN8" s="1313">
        <f>EOMONTH(DM8,1)</f>
        <v/>
      </c>
      <c r="DO8" s="1313">
        <f>EOMONTH(DN8,1)</f>
        <v/>
      </c>
      <c r="DP8" s="1313">
        <f>EOMONTH(DO8,1)</f>
        <v/>
      </c>
      <c r="DQ8" s="1313">
        <f>EOMONTH(DP8,1)</f>
        <v/>
      </c>
      <c r="DR8" s="1313">
        <f>EOMONTH(DQ8,1)</f>
        <v/>
      </c>
      <c r="DS8" s="1313">
        <f>EOMONTH(DR8,1)</f>
        <v/>
      </c>
      <c r="DT8" s="1313">
        <f>EOMONTH(DS8,1)</f>
        <v/>
      </c>
      <c r="DU8" s="1313">
        <f>EOMONTH(DT8,1)</f>
        <v/>
      </c>
      <c r="DV8" s="1313">
        <f>EOMONTH(DU8,1)</f>
        <v/>
      </c>
      <c r="DW8" s="1313">
        <f>EOMONTH(DV8,1)</f>
        <v/>
      </c>
      <c r="DX8" s="1313">
        <f>EOMONTH(DW8,1)</f>
        <v/>
      </c>
      <c r="DY8" s="1313">
        <f>EOMONTH(DX8,1)</f>
        <v/>
      </c>
      <c r="DZ8" s="1313">
        <f>EOMONTH(DY8,1)</f>
        <v/>
      </c>
      <c r="EA8" s="1313">
        <f>EOMONTH(DZ8,1)</f>
        <v/>
      </c>
      <c r="EB8" s="1313">
        <f>EOMONTH(EA8,1)</f>
        <v/>
      </c>
      <c r="EC8" s="1313">
        <f>EOMONTH(EB8,1)</f>
        <v/>
      </c>
      <c r="ED8" s="1313">
        <f>EOMONTH(EC8,1)</f>
        <v/>
      </c>
      <c r="EE8" s="1313">
        <f>EOMONTH(ED8,1)</f>
        <v/>
      </c>
      <c r="EF8" s="1313">
        <f>EOMONTH(EE8,1)</f>
        <v/>
      </c>
      <c r="EG8" s="1313">
        <f>EOMONTH(EF8,1)</f>
        <v/>
      </c>
      <c r="EH8" s="1313">
        <f>EOMONTH(EG8,1)</f>
        <v/>
      </c>
      <c r="EI8" s="1313">
        <f>EOMONTH(EH8,1)</f>
        <v/>
      </c>
      <c r="EJ8" s="1313">
        <f>EOMONTH(EI8,1)</f>
        <v/>
      </c>
      <c r="EK8" s="1313">
        <f>EOMONTH(EJ8,1)</f>
        <v/>
      </c>
      <c r="EL8" s="1313">
        <f>EOMONTH(EK8,1)</f>
        <v/>
      </c>
      <c r="EM8" s="1313">
        <f>EOMONTH(EL8,1)</f>
        <v/>
      </c>
      <c r="EN8" s="1313">
        <f>EOMONTH(EM8,1)</f>
        <v/>
      </c>
      <c r="EO8" s="1313">
        <f>EOMONTH(EN8,1)</f>
        <v/>
      </c>
      <c r="EP8" s="1313">
        <f>EOMONTH(EO8,1)</f>
        <v/>
      </c>
      <c r="EQ8" s="1313">
        <f>EOMONTH(EP8,1)</f>
        <v/>
      </c>
      <c r="ER8" s="1313">
        <f>EOMONTH(EQ8,1)</f>
        <v/>
      </c>
      <c r="ES8" s="1313">
        <f>EOMONTH(ER8,1)</f>
        <v/>
      </c>
      <c r="ET8" s="1313">
        <f>EOMONTH(ES8,1)</f>
        <v/>
      </c>
      <c r="EU8" s="1313">
        <f>EOMONTH(ET8,1)</f>
        <v/>
      </c>
      <c r="EV8" s="1313">
        <f>EOMONTH(EU8,1)</f>
        <v/>
      </c>
      <c r="EW8" s="1313">
        <f>EOMONTH(EV8,1)</f>
        <v/>
      </c>
      <c r="EX8" s="1313">
        <f>EOMONTH(EW8,1)</f>
        <v/>
      </c>
      <c r="EY8" s="1313">
        <f>EOMONTH(EX8,1)</f>
        <v/>
      </c>
      <c r="EZ8" s="1313">
        <f>EOMONTH(EY8,1)</f>
        <v/>
      </c>
      <c r="FA8" s="1313">
        <f>EOMONTH(EZ8,1)</f>
        <v/>
      </c>
      <c r="FB8" s="1313">
        <f>EOMONTH(FA8,1)</f>
        <v/>
      </c>
      <c r="FC8" s="1313">
        <f>EOMONTH(FB8,1)</f>
        <v/>
      </c>
      <c r="FD8" s="1313">
        <f>EOMONTH(FC8,1)</f>
        <v/>
      </c>
      <c r="FE8" s="1313">
        <f>EOMONTH(FD8,1)</f>
        <v/>
      </c>
      <c r="FF8" s="1313">
        <f>EOMONTH(FE8,1)</f>
        <v/>
      </c>
      <c r="FG8" s="1313">
        <f>EOMONTH(FF8,1)</f>
        <v/>
      </c>
      <c r="FH8" s="1313">
        <f>EOMONTH(FG8,1)</f>
        <v/>
      </c>
      <c r="FI8" s="1313">
        <f>EOMONTH(FH8,1)</f>
        <v/>
      </c>
      <c r="FJ8" s="1313">
        <f>EOMONTH(FI8,1)</f>
        <v/>
      </c>
      <c r="FK8" s="1313">
        <f>EOMONTH(FJ8,1)</f>
        <v/>
      </c>
      <c r="FL8" s="1313">
        <f>EOMONTH(FK8,1)</f>
        <v/>
      </c>
      <c r="FM8" s="1313">
        <f>EOMONTH(FL8,1)</f>
        <v/>
      </c>
      <c r="FN8" s="1313">
        <f>EOMONTH(FM8,1)</f>
        <v/>
      </c>
      <c r="FO8" s="1313">
        <f>EOMONTH(FN8,1)</f>
        <v/>
      </c>
      <c r="FP8" s="1313">
        <f>EOMONTH(FO8,1)</f>
        <v/>
      </c>
      <c r="FQ8" s="1313">
        <f>EOMONTH(FP8,1)</f>
        <v/>
      </c>
      <c r="FR8" s="1313">
        <f>EOMONTH(FQ8,1)</f>
        <v/>
      </c>
      <c r="FS8" s="1313">
        <f>EOMONTH(FR8,1)</f>
        <v/>
      </c>
      <c r="FT8" s="1313">
        <f>EOMONTH(FS8,1)</f>
        <v/>
      </c>
      <c r="FU8" s="1313">
        <f>EOMONTH(FT8,1)</f>
        <v/>
      </c>
      <c r="FV8" s="1313">
        <f>EOMONTH(FU8,1)</f>
        <v/>
      </c>
      <c r="FW8" s="1313">
        <f>EOMONTH(FV8,1)</f>
        <v/>
      </c>
      <c r="FX8" s="1313">
        <f>EOMONTH(FW8,1)</f>
        <v/>
      </c>
      <c r="FY8" s="1313">
        <f>EOMONTH(FX8,1)</f>
        <v/>
      </c>
      <c r="FZ8" s="1313">
        <f>EOMONTH(FY8,1)</f>
        <v/>
      </c>
      <c r="GA8" s="1313">
        <f>EOMONTH(FZ8,1)</f>
        <v/>
      </c>
      <c r="GB8" s="1313">
        <f>EOMONTH(GA8,1)</f>
        <v/>
      </c>
      <c r="GC8" s="1313">
        <f>EOMONTH(GB8,1)</f>
        <v/>
      </c>
      <c r="GD8" s="1313">
        <f>EOMONTH(GC8,1)</f>
        <v/>
      </c>
      <c r="GE8" s="1313">
        <f>EOMONTH(GD8,1)</f>
        <v/>
      </c>
      <c r="GF8" s="1313">
        <f>EOMONTH(GE8,1)</f>
        <v/>
      </c>
      <c r="GG8" s="1313">
        <f>EOMONTH(GF8,1)</f>
        <v/>
      </c>
      <c r="GH8" s="1313">
        <f>EOMONTH(GG8,1)</f>
        <v/>
      </c>
      <c r="GI8" s="1313">
        <f>EOMONTH(GH8,1)</f>
        <v/>
      </c>
      <c r="GJ8" s="1313">
        <f>EOMONTH(GI8,1)</f>
        <v/>
      </c>
      <c r="GK8" s="1313">
        <f>EOMONTH(GJ8,1)</f>
        <v/>
      </c>
      <c r="GL8" s="1313">
        <f>EOMONTH(GK8,1)</f>
        <v/>
      </c>
      <c r="GM8" s="1313">
        <f>EOMONTH(GL8,1)</f>
        <v/>
      </c>
      <c r="GN8" s="1313">
        <f>EOMONTH(GM8,1)</f>
        <v/>
      </c>
      <c r="GO8" s="1313">
        <f>EOMONTH(GN8,1)</f>
        <v/>
      </c>
      <c r="GP8" s="1313">
        <f>EOMONTH(GO8,1)</f>
        <v/>
      </c>
      <c r="GQ8" s="1313">
        <f>EOMONTH(GP8,1)</f>
        <v/>
      </c>
      <c r="GR8" s="1313">
        <f>EOMONTH(GQ8,1)</f>
        <v/>
      </c>
      <c r="GS8" s="1313">
        <f>EOMONTH(GR8,1)</f>
        <v/>
      </c>
      <c r="GT8" s="1313">
        <f>EOMONTH(GS8,1)</f>
        <v/>
      </c>
      <c r="GU8" s="1313">
        <f>EOMONTH(GT8,1)</f>
        <v/>
      </c>
      <c r="GV8" s="1313">
        <f>EOMONTH(GU8,1)</f>
        <v/>
      </c>
      <c r="GW8" s="1313">
        <f>EOMONTH(GV8,1)</f>
        <v/>
      </c>
      <c r="GX8" s="1313">
        <f>EOMONTH(GW8,1)</f>
        <v/>
      </c>
      <c r="GY8" s="1313">
        <f>EOMONTH(GX8,1)</f>
        <v/>
      </c>
      <c r="GZ8" s="1313">
        <f>EOMONTH(GY8,1)</f>
        <v/>
      </c>
      <c r="HA8" s="1313">
        <f>EOMONTH(GZ8,1)</f>
        <v/>
      </c>
      <c r="HB8" s="1313">
        <f>EOMONTH(HA8,1)</f>
        <v/>
      </c>
      <c r="HC8" s="1313">
        <f>EOMONTH(HB8,1)</f>
        <v/>
      </c>
      <c r="HD8" s="1313">
        <f>EOMONTH(HC8,1)</f>
        <v/>
      </c>
      <c r="HE8" s="1313">
        <f>EOMONTH(HD8,1)</f>
        <v/>
      </c>
      <c r="HF8" s="1313">
        <f>EOMONTH(HE8,1)</f>
        <v/>
      </c>
      <c r="HG8" s="1313">
        <f>EOMONTH(HF8,1)</f>
        <v/>
      </c>
      <c r="HH8" s="1313">
        <f>EOMONTH(HG8,1)</f>
        <v/>
      </c>
      <c r="HI8" s="1313">
        <f>EOMONTH(HH8,1)</f>
        <v/>
      </c>
      <c r="HJ8" s="1313">
        <f>EOMONTH(HI8,1)</f>
        <v/>
      </c>
      <c r="HK8" s="1313">
        <f>EOMONTH(HJ8,1)</f>
        <v/>
      </c>
      <c r="HL8" s="1313">
        <f>EOMONTH(HK8,1)</f>
        <v/>
      </c>
      <c r="HM8" s="1313">
        <f>EOMONTH(HL8,1)</f>
        <v/>
      </c>
      <c r="HN8" s="1313">
        <f>EOMONTH(HM8,1)</f>
        <v/>
      </c>
      <c r="HO8" s="1313">
        <f>EOMONTH(HN8,1)</f>
        <v/>
      </c>
      <c r="HP8" s="1313">
        <f>EOMONTH(HO8,1)</f>
        <v/>
      </c>
      <c r="HQ8" s="1313">
        <f>EOMONTH(HP8,1)</f>
        <v/>
      </c>
      <c r="HR8" s="1313">
        <f>EOMONTH(HQ8,1)</f>
        <v/>
      </c>
      <c r="HS8" s="1313">
        <f>EOMONTH(HR8,1)</f>
        <v/>
      </c>
      <c r="HT8" s="1313">
        <f>EOMONTH(HS8,1)</f>
        <v/>
      </c>
      <c r="HU8" s="1313">
        <f>EOMONTH(HT8,1)</f>
        <v/>
      </c>
      <c r="HV8" s="1313">
        <f>EOMONTH(HU8,1)</f>
        <v/>
      </c>
      <c r="HW8" s="1313">
        <f>EOMONTH(HV8,1)</f>
        <v/>
      </c>
      <c r="HX8" s="1313">
        <f>EOMONTH(HW8,1)</f>
        <v/>
      </c>
      <c r="HY8" s="1313">
        <f>EOMONTH(HX8,1)</f>
        <v/>
      </c>
      <c r="HZ8" s="1313">
        <f>EOMONTH(HY8,1)</f>
        <v/>
      </c>
      <c r="IA8" s="1313">
        <f>EOMONTH(HZ8,1)</f>
        <v/>
      </c>
      <c r="IB8" s="1313">
        <f>EOMONTH(IA8,1)</f>
        <v/>
      </c>
      <c r="IC8" s="1313">
        <f>EOMONTH(IB8,1)</f>
        <v/>
      </c>
      <c r="ID8" s="1313">
        <f>EOMONTH(IC8,1)</f>
        <v/>
      </c>
      <c r="IE8" s="1313">
        <f>EOMONTH(ID8,1)</f>
        <v/>
      </c>
      <c r="IF8" s="1313">
        <f>EOMONTH(IE8,1)</f>
        <v/>
      </c>
      <c r="IG8" s="1313">
        <f>EOMONTH(IF8,1)</f>
        <v/>
      </c>
      <c r="IH8" s="1313">
        <f>EOMONTH(IG8,1)</f>
        <v/>
      </c>
      <c r="II8" s="1313">
        <f>EOMONTH(IH8,1)</f>
        <v/>
      </c>
      <c r="IJ8" s="1313">
        <f>EOMONTH(II8,1)</f>
        <v/>
      </c>
      <c r="IK8" s="1313">
        <f>EOMONTH(IJ8,1)</f>
        <v/>
      </c>
      <c r="IL8" s="1313">
        <f>EOMONTH(IK8,1)</f>
        <v/>
      </c>
      <c r="IM8" s="1313">
        <f>EOMONTH(IL8,1)</f>
        <v/>
      </c>
      <c r="IN8" s="1313">
        <f>EOMONTH(IM8,1)</f>
        <v/>
      </c>
      <c r="IO8" s="1313">
        <f>EOMONTH(IN8,1)</f>
        <v/>
      </c>
      <c r="IP8" s="1313">
        <f>EOMONTH(IO8,1)</f>
        <v/>
      </c>
      <c r="IQ8" s="1313">
        <f>EOMONTH(IP8,1)</f>
        <v/>
      </c>
      <c r="IR8" s="1313">
        <f>EOMONTH(IQ8,1)</f>
        <v/>
      </c>
      <c r="IS8" s="1313">
        <f>EOMONTH(IR8,1)</f>
        <v/>
      </c>
      <c r="IT8" s="1313">
        <f>EOMONTH(IS8,1)</f>
        <v/>
      </c>
      <c r="IU8" s="1313">
        <f>EOMONTH(IT8,1)</f>
        <v/>
      </c>
      <c r="IV8" s="1313">
        <f>EOMONTH(IU8,1)</f>
        <v/>
      </c>
      <c r="IW8" s="1313">
        <f>EOMONTH(IV8,1)</f>
        <v/>
      </c>
      <c r="IX8" s="1313">
        <f>EOMONTH(IW8,1)</f>
        <v/>
      </c>
      <c r="IY8" s="1313">
        <f>EOMONTH(IX8,1)</f>
        <v/>
      </c>
      <c r="IZ8" s="1313">
        <f>EOMONTH(IY8,1)</f>
        <v/>
      </c>
      <c r="JA8" s="1313">
        <f>EOMONTH(IZ8,1)</f>
        <v/>
      </c>
      <c r="JB8" s="1313">
        <f>EOMONTH(JA8,1)</f>
        <v/>
      </c>
      <c r="JC8" s="1313">
        <f>EOMONTH(JB8,1)</f>
        <v/>
      </c>
      <c r="JD8" s="1313">
        <f>EOMONTH(JC8,1)</f>
        <v/>
      </c>
      <c r="JE8" s="1313">
        <f>EOMONTH(JD8,1)</f>
        <v/>
      </c>
      <c r="JF8" s="1313">
        <f>EOMONTH(JE8,1)</f>
        <v/>
      </c>
      <c r="JG8" s="1313">
        <f>EOMONTH(JF8,1)</f>
        <v/>
      </c>
      <c r="JH8" s="1313">
        <f>EOMONTH(JG8,1)</f>
        <v/>
      </c>
      <c r="JI8" s="1313">
        <f>EOMONTH(JH8,1)</f>
        <v/>
      </c>
      <c r="JJ8" s="1313">
        <f>EOMONTH(JI8,1)</f>
        <v/>
      </c>
      <c r="JK8" s="1313">
        <f>EOMONTH(JJ8,1)</f>
        <v/>
      </c>
      <c r="JL8" s="1313">
        <f>EOMONTH(JK8,1)</f>
        <v/>
      </c>
      <c r="JM8" s="1313">
        <f>EOMONTH(JL8,1)</f>
        <v/>
      </c>
      <c r="JN8" s="1313">
        <f>EOMONTH(JM8,1)</f>
        <v/>
      </c>
      <c r="JO8" s="1313">
        <f>EOMONTH(JN8,1)</f>
        <v/>
      </c>
      <c r="JP8" s="1313">
        <f>EOMONTH(JO8,1)</f>
        <v/>
      </c>
      <c r="JQ8" s="1313">
        <f>EOMONTH(JP8,1)</f>
        <v/>
      </c>
      <c r="JR8" s="1313">
        <f>EOMONTH(JQ8,1)</f>
        <v/>
      </c>
      <c r="JS8" s="1313">
        <f>EOMONTH(JR8,1)</f>
        <v/>
      </c>
      <c r="JT8" s="1313">
        <f>EOMONTH(JS8,1)</f>
        <v/>
      </c>
      <c r="JU8" s="1313">
        <f>EOMONTH(JT8,1)</f>
        <v/>
      </c>
      <c r="JV8" s="1313">
        <f>EOMONTH(JU8,1)</f>
        <v/>
      </c>
      <c r="JW8" s="1313">
        <f>EOMONTH(JV8,1)</f>
        <v/>
      </c>
      <c r="JX8" s="1313">
        <f>EOMONTH(JW8,1)</f>
        <v/>
      </c>
      <c r="JY8" s="1313">
        <f>EOMONTH(JX8,1)</f>
        <v/>
      </c>
      <c r="JZ8" s="1313">
        <f>EOMONTH(JY8,1)</f>
        <v/>
      </c>
      <c r="KA8" s="1313">
        <f>EOMONTH(JZ8,1)</f>
        <v/>
      </c>
      <c r="KB8" s="1313">
        <f>EOMONTH(KA8,1)</f>
        <v/>
      </c>
      <c r="KC8" s="1313">
        <f>EOMONTH(KB8,1)</f>
        <v/>
      </c>
      <c r="KD8" s="1313">
        <f>EOMONTH(KC8,1)</f>
        <v/>
      </c>
      <c r="KE8" s="1313">
        <f>EOMONTH(KD8,1)</f>
        <v/>
      </c>
      <c r="KF8" s="1313">
        <f>EOMONTH(KE8,1)</f>
        <v/>
      </c>
      <c r="KG8" s="1313">
        <f>EOMONTH(KF8,1)</f>
        <v/>
      </c>
      <c r="KH8" s="1313">
        <f>EOMONTH(KG8,1)</f>
        <v/>
      </c>
      <c r="KI8" s="1313">
        <f>EOMONTH(KH8,1)</f>
        <v/>
      </c>
      <c r="KJ8" s="1313">
        <f>EOMONTH(KI8,1)</f>
        <v/>
      </c>
      <c r="KK8" s="1313">
        <f>EOMONTH(KJ8,1)</f>
        <v/>
      </c>
      <c r="KL8" s="1313">
        <f>EOMONTH(KK8,1)</f>
        <v/>
      </c>
      <c r="KM8" s="1313">
        <f>EOMONTH(KL8,1)</f>
        <v/>
      </c>
      <c r="KN8" s="1313">
        <f>EOMONTH(KM8,1)</f>
        <v/>
      </c>
      <c r="KO8" s="1313">
        <f>EOMONTH(KN8,1)</f>
        <v/>
      </c>
      <c r="KP8" s="1313">
        <f>EOMONTH(KO8,1)</f>
        <v/>
      </c>
      <c r="KQ8" s="1313">
        <f>EOMONTH(KP8,1)</f>
        <v/>
      </c>
      <c r="KR8" s="1313">
        <f>EOMONTH(KQ8,1)</f>
        <v/>
      </c>
      <c r="KS8" s="1313">
        <f>EOMONTH(KR8,1)</f>
        <v/>
      </c>
      <c r="KT8" s="1313">
        <f>EOMONTH(KS8,1)</f>
        <v/>
      </c>
      <c r="KU8" s="1313">
        <f>EOMONTH(KT8,1)</f>
        <v/>
      </c>
      <c r="KV8" s="1313">
        <f>EOMONTH(KU8,1)</f>
        <v/>
      </c>
      <c r="KW8" s="1313">
        <f>EOMONTH(KV8,1)</f>
        <v/>
      </c>
      <c r="KX8" s="1313">
        <f>EOMONTH(KW8,1)</f>
        <v/>
      </c>
      <c r="KY8" s="1313">
        <f>EOMONTH(KX8,1)</f>
        <v/>
      </c>
      <c r="KZ8" s="1313">
        <f>EOMONTH(KY8,1)</f>
        <v/>
      </c>
      <c r="LA8" s="1313">
        <f>EOMONTH(KZ8,1)</f>
        <v/>
      </c>
      <c r="LB8" s="1313">
        <f>EOMONTH(LA8,1)</f>
        <v/>
      </c>
      <c r="LC8" s="1313">
        <f>EOMONTH(LB8,1)</f>
        <v/>
      </c>
      <c r="LD8" s="1313">
        <f>EOMONTH(LC8,1)</f>
        <v/>
      </c>
      <c r="LE8" s="1313">
        <f>EOMONTH(LD8,1)</f>
        <v/>
      </c>
      <c r="LF8" s="1313">
        <f>EOMONTH(LE8,1)</f>
        <v/>
      </c>
      <c r="LG8" s="1313">
        <f>EOMONTH(LF8,1)</f>
        <v/>
      </c>
      <c r="LH8" s="1313">
        <f>EOMONTH(LG8,1)</f>
        <v/>
      </c>
      <c r="LI8" s="1313">
        <f>EOMONTH(LH8,1)</f>
        <v/>
      </c>
      <c r="LJ8" s="1313">
        <f>EOMONTH(LI8,1)</f>
        <v/>
      </c>
      <c r="LK8" s="1313">
        <f>EOMONTH(LJ8,1)</f>
        <v/>
      </c>
      <c r="LL8" s="1313">
        <f>EOMONTH(LK8,1)</f>
        <v/>
      </c>
      <c r="LM8" s="1313">
        <f>EOMONTH(LL8,1)</f>
        <v/>
      </c>
      <c r="LN8" s="1313">
        <f>EOMONTH(LM8,1)</f>
        <v/>
      </c>
      <c r="LO8" s="1313">
        <f>EOMONTH(LN8,1)</f>
        <v/>
      </c>
      <c r="LP8" s="1313">
        <f>EOMONTH(LO8,1)</f>
        <v/>
      </c>
      <c r="LQ8" s="1313">
        <f>EOMONTH(LP8,1)</f>
        <v/>
      </c>
      <c r="LR8" s="1313">
        <f>EOMONTH(LQ8,1)</f>
        <v/>
      </c>
      <c r="LS8" s="1314">
        <f>EOMONTH(LR8,1)</f>
        <v/>
      </c>
    </row>
    <row r="9" ht="15" customFormat="1" customHeight="1" s="560">
      <c r="A9" s="1315" t="inlineStr">
        <is>
          <t>Capacity</t>
        </is>
      </c>
      <c r="B9" s="1315" t="n"/>
      <c r="C9" s="1315" t="n"/>
      <c r="D9" s="1315" t="n"/>
      <c r="E9" s="1315" t="n"/>
      <c r="F9" s="1315" t="n"/>
      <c r="G9" s="1315" t="n"/>
      <c r="H9" s="1315" t="n"/>
      <c r="I9" s="1315" t="n"/>
      <c r="J9" s="1315" t="n"/>
      <c r="K9" s="1315" t="n"/>
      <c r="L9" s="1315" t="n"/>
      <c r="M9" s="1315" t="n"/>
      <c r="N9" s="1315" t="n"/>
      <c r="O9" s="1315" t="n"/>
      <c r="P9" s="1315" t="n"/>
      <c r="Q9" s="1315" t="n"/>
      <c r="R9" s="1315" t="n"/>
      <c r="S9" s="1315" t="n"/>
      <c r="T9" s="1315" t="n"/>
      <c r="U9" s="1315" t="n"/>
      <c r="V9" s="1315" t="n"/>
      <c r="W9" s="1316" t="n"/>
      <c r="X9" s="1316" t="n"/>
      <c r="Y9" s="1316" t="n"/>
      <c r="Z9" s="1316" t="n"/>
      <c r="AA9" s="1316" t="n"/>
      <c r="AB9" s="1316" t="n"/>
      <c r="AC9" s="1316" t="n"/>
      <c r="AD9" s="1316" t="n"/>
      <c r="AE9" s="1316" t="n"/>
      <c r="AF9" s="1316" t="n"/>
      <c r="AG9" s="1316" t="n"/>
      <c r="AH9" s="1316" t="n"/>
      <c r="AI9" s="1316" t="n"/>
      <c r="AJ9" s="1316" t="n"/>
      <c r="AK9" s="1316" t="n"/>
      <c r="AL9" s="1316" t="n"/>
      <c r="AM9" s="1316" t="n"/>
      <c r="AN9" s="1316" t="n"/>
      <c r="AO9" s="1316" t="n"/>
      <c r="AP9" s="1316" t="n"/>
      <c r="AQ9" s="1316" t="n"/>
      <c r="AR9" s="1316" t="n"/>
      <c r="AS9" s="1316" t="n"/>
      <c r="AT9" s="1316" t="n"/>
      <c r="AU9" s="1316" t="n"/>
      <c r="AV9" s="1316" t="n"/>
      <c r="AW9" s="1316" t="n"/>
      <c r="AX9" s="1316" t="n"/>
      <c r="AY9" s="1316" t="n"/>
      <c r="AZ9" s="1316" t="n"/>
      <c r="BA9" s="1316" t="n"/>
      <c r="BB9" s="1316" t="n"/>
      <c r="BC9" s="1316" t="n"/>
      <c r="BD9" s="1316" t="n"/>
      <c r="BE9" s="1316" t="n"/>
      <c r="BF9" s="1316" t="n"/>
      <c r="BG9" s="1316" t="n"/>
      <c r="BH9" s="1316" t="n"/>
      <c r="BI9" s="1316" t="n"/>
      <c r="BJ9" s="1316" t="n"/>
      <c r="BK9" s="1316" t="n"/>
      <c r="BL9" s="1316" t="n"/>
      <c r="BM9" s="1316" t="n"/>
      <c r="BN9" s="1316" t="n"/>
      <c r="BO9" s="1316" t="n"/>
      <c r="BP9" s="1316" t="n"/>
      <c r="BQ9" s="1316" t="n"/>
      <c r="BR9" s="1316" t="n"/>
      <c r="BS9" s="1316" t="n"/>
      <c r="BT9" s="1316" t="n"/>
      <c r="BU9" s="1316" t="n"/>
      <c r="BV9" s="1316" t="n"/>
      <c r="BW9" s="1316" t="n"/>
      <c r="BX9" s="1316" t="n"/>
      <c r="BY9" s="1316" t="n"/>
      <c r="BZ9" s="1316" t="n"/>
      <c r="CA9" s="1316" t="n"/>
      <c r="CB9" s="1316" t="n"/>
      <c r="CC9" s="1316" t="n"/>
      <c r="CD9" s="1316" t="n"/>
      <c r="CE9" s="1316" t="n"/>
      <c r="CF9" s="1316" t="n"/>
      <c r="CG9" s="1316" t="n"/>
      <c r="CH9" s="1316" t="n"/>
      <c r="CI9" s="1316" t="n"/>
      <c r="CJ9" s="1316" t="n"/>
      <c r="CK9" s="1316" t="n"/>
      <c r="CL9" s="1316" t="n"/>
      <c r="CM9" s="1316" t="n"/>
      <c r="CN9" s="1316" t="n"/>
      <c r="CO9" s="1316" t="n"/>
      <c r="CP9" s="1316" t="n"/>
      <c r="CQ9" s="1316" t="n"/>
      <c r="CR9" s="1316" t="n"/>
      <c r="CS9" s="1316" t="n"/>
      <c r="CT9" s="1316" t="n"/>
      <c r="CU9" s="1316" t="n"/>
      <c r="CV9" s="1316" t="n"/>
      <c r="CW9" s="1316" t="n"/>
      <c r="CX9" s="1316" t="n"/>
      <c r="CY9" s="1316" t="n"/>
      <c r="CZ9" s="1316" t="n"/>
      <c r="DA9" s="1316" t="n"/>
      <c r="DB9" s="1316" t="n"/>
      <c r="DC9" s="1316" t="n"/>
      <c r="DD9" s="1316" t="n"/>
      <c r="DE9" s="1316" t="n"/>
      <c r="DF9" s="1316" t="n"/>
      <c r="DG9" s="1316" t="n"/>
      <c r="DH9" s="1316" t="n"/>
      <c r="DI9" s="1316" t="n"/>
      <c r="DJ9" s="1316" t="n"/>
      <c r="DK9" s="1316" t="n"/>
      <c r="DL9" s="1316" t="n"/>
      <c r="DM9" s="1316" t="n"/>
      <c r="DN9" s="1316" t="n"/>
      <c r="DO9" s="880" t="n"/>
      <c r="DP9" s="1316" t="n"/>
      <c r="DQ9" s="1316" t="n"/>
      <c r="DR9" s="1316" t="n"/>
      <c r="DS9" s="1316" t="n"/>
      <c r="DT9" s="1316" t="n"/>
      <c r="DU9" s="1316" t="n"/>
      <c r="DV9" s="1316" t="n"/>
      <c r="DW9" s="1316" t="n"/>
      <c r="DX9" s="1316" t="n"/>
      <c r="DY9" s="1316" t="n"/>
      <c r="DZ9" s="881" t="n"/>
      <c r="EA9" s="881" t="n"/>
      <c r="EB9" s="881" t="n"/>
      <c r="EC9" s="881" t="n"/>
      <c r="ED9" s="881" t="n"/>
      <c r="EE9" s="881" t="n"/>
      <c r="EF9" s="881" t="n"/>
      <c r="EG9" s="881" t="n"/>
      <c r="EH9" s="881" t="n"/>
      <c r="EI9" s="881" t="n"/>
      <c r="EJ9" s="881" t="n"/>
      <c r="EK9" s="881" t="n"/>
      <c r="EL9" s="881" t="n"/>
      <c r="EM9" s="881" t="n"/>
      <c r="EN9" s="881" t="n"/>
      <c r="EO9" s="881" t="n"/>
      <c r="EP9" s="881" t="n"/>
      <c r="EQ9" s="881" t="n"/>
      <c r="ER9" s="881" t="n"/>
      <c r="ES9" s="881" t="n"/>
      <c r="ET9" s="881" t="n"/>
      <c r="EU9" s="881" t="n"/>
      <c r="EV9" s="881" t="n"/>
      <c r="EW9" s="881" t="n"/>
      <c r="EX9" s="881" t="n"/>
      <c r="EY9" s="881" t="n"/>
      <c r="EZ9" s="881" t="n"/>
      <c r="FA9" s="881" t="n"/>
      <c r="FB9" s="881" t="n"/>
      <c r="FC9" s="881" t="n"/>
      <c r="FD9" s="881" t="n"/>
      <c r="FE9" s="881" t="n"/>
      <c r="FF9" s="881" t="n"/>
      <c r="FG9" s="881" t="n"/>
      <c r="FH9" s="881" t="n"/>
      <c r="FI9" s="881" t="n"/>
      <c r="FJ9" s="881" t="n"/>
      <c r="FK9" s="881" t="n"/>
      <c r="FL9" s="881" t="n"/>
      <c r="FM9" s="881" t="n"/>
      <c r="FN9" s="881" t="n"/>
      <c r="FO9" s="881" t="n"/>
      <c r="FP9" s="881" t="n"/>
      <c r="FQ9" s="881" t="n"/>
      <c r="FR9" s="881" t="n"/>
      <c r="FS9" s="881" t="n"/>
      <c r="FT9" s="881" t="n"/>
      <c r="FU9" s="881" t="n"/>
      <c r="FV9" s="881" t="n"/>
      <c r="FW9" s="881" t="n"/>
      <c r="FX9" s="881" t="n"/>
      <c r="FY9" s="881" t="n"/>
      <c r="FZ9" s="881" t="n"/>
      <c r="GA9" s="881" t="n"/>
      <c r="GB9" s="881" t="n"/>
      <c r="GC9" s="881" t="n"/>
      <c r="GD9" s="881" t="n"/>
      <c r="GE9" s="881" t="n"/>
      <c r="GF9" s="881" t="n"/>
      <c r="GG9" s="881" t="n"/>
      <c r="GH9" s="881" t="n"/>
      <c r="GI9" s="881" t="n"/>
      <c r="GJ9" s="881" t="n"/>
      <c r="GK9" s="881" t="n"/>
      <c r="GL9" s="881" t="n"/>
      <c r="GM9" s="881" t="n"/>
      <c r="GN9" s="881" t="n"/>
      <c r="GO9" s="881" t="n"/>
      <c r="GP9" s="881" t="n"/>
      <c r="GQ9" s="881" t="n"/>
      <c r="GR9" s="881" t="n"/>
      <c r="GS9" s="881" t="n"/>
      <c r="GT9" s="881" t="n"/>
      <c r="GU9" s="881" t="n"/>
      <c r="GV9" s="881" t="n"/>
      <c r="GW9" s="881" t="n"/>
      <c r="GX9" s="881" t="n"/>
      <c r="GY9" s="881" t="n"/>
      <c r="GZ9" s="881" t="n"/>
      <c r="HA9" s="881" t="n"/>
      <c r="HB9" s="881" t="n"/>
      <c r="HC9" s="881" t="n"/>
      <c r="HD9" s="881" t="n"/>
      <c r="HE9" s="881" t="n"/>
      <c r="HF9" s="881" t="n"/>
      <c r="HG9" s="881" t="n"/>
      <c r="HH9" s="881" t="n"/>
      <c r="HI9" s="881" t="n"/>
      <c r="HJ9" s="881" t="n"/>
      <c r="HK9" s="881" t="n"/>
      <c r="HL9" s="881" t="n"/>
      <c r="HM9" s="881" t="n"/>
      <c r="HN9" s="881" t="n"/>
      <c r="HO9" s="881" t="n"/>
      <c r="HP9" s="881" t="n"/>
      <c r="HQ9" s="881" t="n"/>
      <c r="HR9" s="881" t="n"/>
      <c r="HS9" s="881" t="n"/>
      <c r="HT9" s="881" t="n"/>
      <c r="HU9" s="881" t="n"/>
      <c r="HV9" s="881" t="n"/>
      <c r="HW9" s="881" t="n"/>
      <c r="HX9" s="881" t="n"/>
      <c r="HY9" s="881" t="n"/>
      <c r="HZ9" s="881" t="n"/>
      <c r="IA9" s="881" t="n"/>
      <c r="IB9" s="881" t="n"/>
      <c r="IC9" s="881" t="n"/>
      <c r="ID9" s="881" t="n"/>
      <c r="IE9" s="881" t="n"/>
      <c r="IF9" s="881" t="n"/>
      <c r="IG9" s="881" t="n"/>
      <c r="IH9" s="881" t="n"/>
      <c r="II9" s="881" t="n"/>
      <c r="IJ9" s="881" t="n"/>
      <c r="IK9" s="881" t="n"/>
      <c r="IL9" s="881" t="n"/>
      <c r="IM9" s="881" t="n"/>
      <c r="IN9" s="881" t="n"/>
      <c r="IO9" s="881" t="n"/>
      <c r="IP9" s="881" t="n"/>
      <c r="IQ9" s="881" t="n"/>
      <c r="IR9" s="881" t="n"/>
      <c r="IS9" s="881" t="n"/>
      <c r="IT9" s="881" t="n"/>
      <c r="IU9" s="881" t="n"/>
      <c r="IV9" s="881" t="n"/>
      <c r="IW9" s="881" t="n"/>
      <c r="IX9" s="881" t="n"/>
      <c r="IY9" s="881" t="n"/>
      <c r="IZ9" s="881" t="n"/>
      <c r="JA9" s="881" t="n"/>
      <c r="JB9" s="881" t="n"/>
      <c r="JC9" s="881" t="n"/>
      <c r="JD9" s="881" t="n"/>
      <c r="JE9" s="881" t="n"/>
      <c r="JF9" s="881" t="n"/>
      <c r="JG9" s="881" t="n"/>
      <c r="JH9" s="881" t="n"/>
      <c r="JI9" s="881" t="n"/>
      <c r="JJ9" s="881" t="n"/>
      <c r="JK9" s="881" t="n"/>
      <c r="JL9" s="881" t="n"/>
      <c r="JM9" s="881" t="n"/>
      <c r="JN9" s="881" t="n"/>
      <c r="JO9" s="881" t="n"/>
      <c r="JP9" s="881" t="n"/>
      <c r="JQ9" s="881" t="n"/>
      <c r="JR9" s="881" t="n"/>
      <c r="JS9" s="881" t="n"/>
      <c r="JT9" s="881" t="n"/>
      <c r="JU9" s="881" t="n"/>
      <c r="JV9" s="881" t="n"/>
      <c r="JW9" s="881" t="n"/>
      <c r="JX9" s="881" t="n"/>
      <c r="JY9" s="881" t="n"/>
      <c r="JZ9" s="881" t="n"/>
      <c r="KA9" s="881" t="n"/>
      <c r="KB9" s="881" t="n"/>
      <c r="KC9" s="881" t="n"/>
      <c r="KD9" s="881" t="n"/>
      <c r="KE9" s="881" t="n"/>
      <c r="KF9" s="881" t="n"/>
      <c r="KG9" s="881" t="n"/>
      <c r="KH9" s="881" t="n"/>
      <c r="KI9" s="881" t="n"/>
      <c r="KJ9" s="881" t="n"/>
      <c r="KK9" s="881" t="n"/>
      <c r="KL9" s="881" t="n"/>
      <c r="KM9" s="881" t="n"/>
      <c r="KN9" s="881" t="n"/>
      <c r="KO9" s="881" t="n"/>
      <c r="KP9" s="881" t="n"/>
      <c r="KQ9" s="881" t="n"/>
      <c r="KR9" s="881" t="n"/>
      <c r="KS9" s="881" t="n"/>
      <c r="KT9" s="881" t="n"/>
      <c r="KU9" s="881" t="n"/>
      <c r="KV9" s="881" t="n"/>
      <c r="KW9" s="881" t="n"/>
      <c r="KX9" s="881" t="n"/>
      <c r="KY9" s="881" t="n"/>
      <c r="KZ9" s="881" t="n"/>
      <c r="LA9" s="881" t="n"/>
      <c r="LB9" s="881" t="n"/>
      <c r="LC9" s="881" t="n"/>
      <c r="LD9" s="881" t="n"/>
      <c r="LE9" s="881" t="n"/>
      <c r="LF9" s="881" t="n"/>
      <c r="LG9" s="881" t="n"/>
      <c r="LH9" s="881" t="n"/>
      <c r="LI9" s="881" t="n"/>
      <c r="LJ9" s="881" t="n"/>
      <c r="LK9" s="881" t="n"/>
      <c r="LL9" s="881" t="n"/>
      <c r="LM9" s="881" t="n"/>
      <c r="LN9" s="881" t="n"/>
      <c r="LO9" s="881" t="n"/>
      <c r="LP9" s="881" t="n"/>
      <c r="LQ9" s="881" t="n"/>
      <c r="LR9" s="881" t="n"/>
      <c r="LS9" s="881" t="n"/>
    </row>
    <row r="10" ht="15" customFormat="1" customHeight="1" s="561">
      <c r="A10" s="1317" t="inlineStr">
        <is>
          <t>ASK (Million)</t>
        </is>
      </c>
      <c r="B10" s="863">
        <f>B14+B18+B22+B26+B30+B36</f>
        <v/>
      </c>
      <c r="C10" s="883">
        <f>C14+C18+C22+C26+C30+C36</f>
        <v/>
      </c>
      <c r="D10" s="883">
        <f>D14+D18+D22+D26+D30+D36</f>
        <v/>
      </c>
      <c r="E10" s="883">
        <f>E14+E18+E22+E26+E30+E36</f>
        <v/>
      </c>
      <c r="F10" s="883">
        <f>F14+F18+F22+F26+F30+F36</f>
        <v/>
      </c>
      <c r="G10" s="883">
        <f>G14+G18+G22+G26+G30+G36</f>
        <v/>
      </c>
      <c r="H10" s="883">
        <f>H14+H18+H22+H26+H30+H36</f>
        <v/>
      </c>
      <c r="I10" s="883">
        <f>I14+I18+I22+I26+I30+I36</f>
        <v/>
      </c>
      <c r="J10" s="883">
        <f>J14+J18+J22+J26+J30+J36</f>
        <v/>
      </c>
      <c r="K10" s="883">
        <f>K14+K18+K22+K26+K30+K36</f>
        <v/>
      </c>
      <c r="L10" s="883">
        <f>L14+L18+L22+L26+L30+L36</f>
        <v/>
      </c>
      <c r="M10" s="883">
        <f>M14+M18+M22+M26+M30+M36</f>
        <v/>
      </c>
      <c r="N10" s="863">
        <f>N14+N18+N22+N26+N30+N36</f>
        <v/>
      </c>
      <c r="O10" s="883">
        <f>O14+O18+O22+O26+O30+O36</f>
        <v/>
      </c>
      <c r="P10" s="883">
        <f>P14+P18+P22+P26+P30+P36</f>
        <v/>
      </c>
      <c r="Q10" s="883">
        <f>Q14+Q18+Q22+Q26+Q30+Q36</f>
        <v/>
      </c>
      <c r="R10" s="883">
        <f>R14+R18+R22+R26+R30+R36</f>
        <v/>
      </c>
      <c r="S10" s="883">
        <f>S14+S18+S22+S26+S30+S36</f>
        <v/>
      </c>
      <c r="T10" s="883">
        <f>T14+T18+T22+T26+T30+T36</f>
        <v/>
      </c>
      <c r="U10" s="883">
        <f>U14+U18+U22+U26+U30+U36</f>
        <v/>
      </c>
      <c r="V10" s="883">
        <f>V14+V18+V22+V26+V30+V36</f>
        <v/>
      </c>
      <c r="W10" s="883">
        <f>W14+W18+W22+W26+W30+W36</f>
        <v/>
      </c>
      <c r="X10" s="883">
        <f>X14+X18+X22+X26+X30+X36</f>
        <v/>
      </c>
      <c r="Y10" s="883">
        <f>Y14+Y18+Y22+Y26+Y30+Y36</f>
        <v/>
      </c>
      <c r="Z10" s="863">
        <f>Z14+Z18+Z22+Z26+Z30+Z36</f>
        <v/>
      </c>
      <c r="AA10" s="883">
        <f>AA14+AA18+AA22+AA26+AA30+AA36</f>
        <v/>
      </c>
      <c r="AB10" s="883">
        <f>AB14+AB18+AB22+AB26+AB30+AB36</f>
        <v/>
      </c>
      <c r="AC10" s="883">
        <f>AC14+AC18+AC22+AC26+AC30+AC36</f>
        <v/>
      </c>
      <c r="AD10" s="883">
        <f>AD14+AD18+AD22+AD26+AD30+AD36</f>
        <v/>
      </c>
      <c r="AE10" s="883">
        <f>AE14+AE18+AE22+AE26+AE30+AE36</f>
        <v/>
      </c>
      <c r="AF10" s="883">
        <f>AF14+AF18+AF22+AF26+AF30+AF36</f>
        <v/>
      </c>
      <c r="AG10" s="883">
        <f>AG14+AG18+AG22+AG26+AG30+AG36</f>
        <v/>
      </c>
      <c r="AH10" s="883">
        <f>AH14+AH18+AH22+AH26+AH30+AH36</f>
        <v/>
      </c>
      <c r="AI10" s="883">
        <f>AI14+AI18+AI22+AI26+AI30+AI36</f>
        <v/>
      </c>
      <c r="AJ10" s="883">
        <f>AJ14+AJ18+AJ22+AJ26+AJ30+AJ36</f>
        <v/>
      </c>
      <c r="AK10" s="883">
        <f>AK14+AK18+AK22+AK26+AK30+AK36</f>
        <v/>
      </c>
      <c r="AL10" s="863">
        <f>AL14+AL18+AL22+AL26+AL30+AL36</f>
        <v/>
      </c>
      <c r="AM10" s="883">
        <f>AM14+AM18+AM22+AM26+AM30+AM36</f>
        <v/>
      </c>
      <c r="AN10" s="883">
        <f>AN14+AN18+AN22+AN26+AN30+AN36</f>
        <v/>
      </c>
      <c r="AO10" s="883">
        <f>AO14+AO18+AO22+AO26+AO30+AO36</f>
        <v/>
      </c>
      <c r="AP10" s="883">
        <f>AP14+AP18+AP22+AP26+AP30+AP36</f>
        <v/>
      </c>
      <c r="AQ10" s="883">
        <f>AQ14+AQ18+AQ22+AQ26+AQ30+AQ36</f>
        <v/>
      </c>
      <c r="AR10" s="883">
        <f>AR14+AR18+AR22+AR26+AR30+AR36</f>
        <v/>
      </c>
      <c r="AS10" s="883">
        <f>AS14+AS18+AS22+AS26+AS30+AS36</f>
        <v/>
      </c>
      <c r="AT10" s="883">
        <f>AT14+AT18+AT22+AT26+AT30+AT36</f>
        <v/>
      </c>
      <c r="AU10" s="883">
        <f>AU14+AU18+AU22+AU26+AU30+AU36</f>
        <v/>
      </c>
      <c r="AV10" s="883">
        <f>AV14+AV18+AV22+AV26+AV30+AV36</f>
        <v/>
      </c>
      <c r="AW10" s="883">
        <f>AW14+AW18+AW22+AW26+AW30+AW36</f>
        <v/>
      </c>
      <c r="AX10" s="863">
        <f>AX14+AX18+AX22+AX26+AX30+AX36</f>
        <v/>
      </c>
      <c r="AY10" s="863">
        <f>AY14+AY18+AY22+AY26+AY30+AY36</f>
        <v/>
      </c>
      <c r="AZ10" s="863">
        <f>AZ14+AZ18+AZ22+AZ26+AZ30+AZ36</f>
        <v/>
      </c>
      <c r="BA10" s="863">
        <f>BA14+BA18+BA22+BA26+BA30+BA36</f>
        <v/>
      </c>
      <c r="BB10" s="863">
        <f>BB14+BB18+BB22+BB26+BB30+BB36</f>
        <v/>
      </c>
      <c r="BC10" s="863">
        <f>BC14+BC18+BC22+BC26+BC30+BC36</f>
        <v/>
      </c>
      <c r="BD10" s="863">
        <f>BD14+BD18+BD22+BD26+BD30+BD36</f>
        <v/>
      </c>
      <c r="BE10" s="863">
        <f>BE14+BE18+BE22+BE26+BE30+BE36</f>
        <v/>
      </c>
      <c r="BF10" s="863">
        <f>BF14+BF18+BF22+BF26+BF30+BF36</f>
        <v/>
      </c>
      <c r="BG10" s="863">
        <f>BG14+BG18+BG22+BG26+BG30+BG36</f>
        <v/>
      </c>
      <c r="BH10" s="863">
        <f>BH14+BH18+BH22+BH26+BH30+BH36</f>
        <v/>
      </c>
      <c r="BI10" s="863">
        <f>BI14+BI18+BI22+BI26+BI30+BI36</f>
        <v/>
      </c>
      <c r="BJ10" s="863">
        <f>BJ14+BJ18+BJ22+BJ26+BJ30+BJ36</f>
        <v/>
      </c>
      <c r="BK10" s="863">
        <f>BK14+BK18+BK22+BK26+BK30+BK36</f>
        <v/>
      </c>
      <c r="BL10" s="863">
        <f>BL14+BL18+BL22+BL26+BL30+BL36</f>
        <v/>
      </c>
      <c r="BM10" s="863">
        <f>BM14+BM18+BM22+BM26+BM30+BM36</f>
        <v/>
      </c>
      <c r="BN10" s="863">
        <f>BN14+BN18+BN22+BN26+BN30+BN36</f>
        <v/>
      </c>
      <c r="BO10" s="863">
        <f>BO14+BO18+BO22+BO26+BO30+BO36</f>
        <v/>
      </c>
      <c r="BP10" s="863">
        <f>BP14+BP18+BP22+BP26+BP30+BP36</f>
        <v/>
      </c>
      <c r="BQ10" s="863">
        <f>BQ14+BQ18+BQ22+BQ26+BQ30+BQ36</f>
        <v/>
      </c>
      <c r="BR10" s="863">
        <f>BR14+BR18+BR22+BR26+BR30+BR36</f>
        <v/>
      </c>
      <c r="BS10" s="863">
        <f>BS14+BS18+BS22+BS26+BS30+BS36</f>
        <v/>
      </c>
      <c r="BT10" s="863">
        <f>BT14+BT18+BT22+BT26+BT30+BT36</f>
        <v/>
      </c>
      <c r="BU10" s="863">
        <f>BU14+BU18+BU22+BU26+BU30+BU36</f>
        <v/>
      </c>
      <c r="BV10" s="863">
        <f>BV14+BV18+BV22+BV26+BV30+BV36</f>
        <v/>
      </c>
      <c r="BW10" s="863">
        <f>BW14+BW18+BW22+BW26+BW30+BW36</f>
        <v/>
      </c>
      <c r="BX10" s="863">
        <f>BX14+BX18+BX22+BX26+BX30+BX36</f>
        <v/>
      </c>
      <c r="BY10" s="863">
        <f>BY14+BY18+BY22+BY26+BY30+BY36</f>
        <v/>
      </c>
      <c r="BZ10" s="863">
        <f>BZ14+BZ18+BZ22+BZ26+BZ30+BZ36</f>
        <v/>
      </c>
      <c r="CA10" s="863">
        <f>CA14+CA18+CA22+CA26+CA30+CA36</f>
        <v/>
      </c>
      <c r="CB10" s="863">
        <f>CB14+CB18+CB22+CB26+CB30+CB36</f>
        <v/>
      </c>
      <c r="CC10" s="863">
        <f>CC14+CC18+CC22+CC26+CC30+CC36</f>
        <v/>
      </c>
      <c r="CD10" s="863">
        <f>CD14+CD18+CD22+CD26+CD30+CD36</f>
        <v/>
      </c>
      <c r="CE10" s="863">
        <f>CE14+CE18+CE22+CE26+CE30+CE36</f>
        <v/>
      </c>
      <c r="CF10" s="863">
        <f>CF14+CF18+CF22+CF26+CF30+CF36</f>
        <v/>
      </c>
      <c r="CG10" s="863">
        <f>CG14+CG18+CG22+CG26+CG30+CG36</f>
        <v/>
      </c>
      <c r="CH10" s="863">
        <f>CH14+CH18+CH22+CH26+CH30+CH36</f>
        <v/>
      </c>
      <c r="CI10" s="863">
        <f>CI14+CI18+CI22+CI26+CI30+CI36</f>
        <v/>
      </c>
      <c r="CJ10" s="863">
        <f>CJ14+CJ18+CJ22+CJ26+CJ30+CJ36</f>
        <v/>
      </c>
      <c r="CK10" s="863">
        <f>CK14+CK18+CK22+CK26+CK30+CK36</f>
        <v/>
      </c>
      <c r="CL10" s="884">
        <f>CL14+CL18+CL22+CL26+CL30+CL36</f>
        <v/>
      </c>
      <c r="CM10" s="884">
        <f>CM14+CM18+CM22+CM26+CM30+CM36</f>
        <v/>
      </c>
      <c r="CN10" s="863">
        <f>CN14+CN18+CN22+CN26+CN30+CN36</f>
        <v/>
      </c>
      <c r="CO10" s="863">
        <f>CO14+CO18+CO22+CO26+CO30+CO36</f>
        <v/>
      </c>
      <c r="CP10" s="863">
        <f>CP14+CP18+CP22+CP26+CP30+CP36</f>
        <v/>
      </c>
      <c r="CQ10" s="883">
        <f>CQ14+CQ18+CQ22+CQ26+CQ30+CQ36</f>
        <v/>
      </c>
      <c r="CR10" s="883">
        <f>CR14+CR18+CR22+CR26+CR30+CR36</f>
        <v/>
      </c>
      <c r="CS10" s="883">
        <f>CS14+CS18+CS22+CS26+CS30+CS36</f>
        <v/>
      </c>
      <c r="CT10" s="883">
        <f>CT14+CT18+CT22+CT26+CT30+CT36</f>
        <v/>
      </c>
      <c r="CU10" s="883">
        <f>CU14+CU18+CU22+CU26+CU30+CU36</f>
        <v/>
      </c>
      <c r="CV10" s="883">
        <f>CV14+CV18+CV22+CV26+CV30+CV36</f>
        <v/>
      </c>
      <c r="CW10" s="863">
        <f>CW14+CW18+CW22+CW26+CW30+CW36</f>
        <v/>
      </c>
      <c r="CX10" s="863">
        <f>CX14+CX18+CX22+CX26+CX30+CX36</f>
        <v/>
      </c>
      <c r="CY10" s="883">
        <f>CY14+CY18+CY22+CY26+CY30+CY36</f>
        <v/>
      </c>
      <c r="CZ10" s="883">
        <f>CZ14+CZ18+CZ22+CZ26+CZ30+CZ36</f>
        <v/>
      </c>
      <c r="DA10" s="863">
        <f>DA14+DA18+DA22+DA26+DA30+DA36</f>
        <v/>
      </c>
      <c r="DB10" s="863">
        <f>DB14+DB18+DB22+DB26+DB30+DB36</f>
        <v/>
      </c>
      <c r="DC10" s="863">
        <f>DC14+DC18+DC22+DC26+DC30+DC36</f>
        <v/>
      </c>
      <c r="DD10" s="863">
        <f>DD14+DD18+DD22+DD26+DD30+DD36</f>
        <v/>
      </c>
      <c r="DE10" s="863">
        <f>DE14+DE18+DE22+DE26+DE30+DE36</f>
        <v/>
      </c>
      <c r="DF10" s="863">
        <f>DF14+DF18+DF22+DF26+DF30+DF36</f>
        <v/>
      </c>
      <c r="DG10" s="863">
        <f>DG14+DG18+DG22+DG26+DG30+DG36</f>
        <v/>
      </c>
      <c r="DH10" s="863">
        <f>DH14+DH18+DH22+DH26+DH30+DH36</f>
        <v/>
      </c>
      <c r="DI10" s="863">
        <f>DI14+DI18+DI22+DI26+DI30+DI36</f>
        <v/>
      </c>
      <c r="DJ10" s="863">
        <f>DJ14+DJ18+DJ22+DJ26+DJ30+DJ36</f>
        <v/>
      </c>
      <c r="DK10" s="863">
        <f>DK14+DK18+DK22+DK26+DK30+DK36</f>
        <v/>
      </c>
      <c r="DL10" s="863">
        <f>DL14+DL18+DL22+DL26+DL30+DL36</f>
        <v/>
      </c>
      <c r="DM10" s="863">
        <f>DM14+DM18+DM22+DM26+DM30+DM36</f>
        <v/>
      </c>
      <c r="DN10" s="863">
        <f>DN14+DN18+DN22+DN26+DN30+DN36</f>
        <v/>
      </c>
      <c r="DO10" s="863">
        <f>DO14+DO18+DO22+DO26+DO30+DO36</f>
        <v/>
      </c>
      <c r="DP10" s="863">
        <f>DP14+DP18+DP22+DP26+DP30+DP36</f>
        <v/>
      </c>
      <c r="DQ10" s="863">
        <f>DQ14+DQ18+DQ22+DQ26+DQ30+DQ36</f>
        <v/>
      </c>
      <c r="DR10" s="863">
        <f>DR14+DR18+DR22+DR26+DR30+DR36</f>
        <v/>
      </c>
      <c r="DS10" s="863">
        <f>DS14+DS18+DS22+DS26+DS30+DS36</f>
        <v/>
      </c>
      <c r="DT10" s="863">
        <f>DT14+DT18+DT22+DT26+DT30+DT36</f>
        <v/>
      </c>
      <c r="DU10" s="863">
        <f>DU14+DU18+DU22+DU26+DU30+DU36</f>
        <v/>
      </c>
      <c r="DV10" s="863">
        <f>DV14+DV18+DV22+DV26+DV30+DV36</f>
        <v/>
      </c>
      <c r="DW10" s="863">
        <f>DW14+DW18+DW22+DW26+DW30+DW36</f>
        <v/>
      </c>
      <c r="DX10" s="863">
        <f>DX14+DX18+DX22+DX26+DX30+DX36</f>
        <v/>
      </c>
      <c r="DY10" s="863">
        <f>DY14+DY18+DY22+DY26+DY30+DY36</f>
        <v/>
      </c>
      <c r="DZ10" s="863">
        <f>DZ14+DZ18+DZ22+DZ26+DZ30+DZ36</f>
        <v/>
      </c>
      <c r="EA10" s="863">
        <f>EA14+EA18+EA22+EA26+EA30+EA36</f>
        <v/>
      </c>
      <c r="EB10" s="863">
        <f>EB14+EB18+EB22+EB26+EB30+EB36</f>
        <v/>
      </c>
      <c r="EC10" s="863">
        <f>EC14+EC18+EC22+EC26+EC30+EC36</f>
        <v/>
      </c>
      <c r="ED10" s="863">
        <f>ED14+ED18+ED22+ED26+ED30+ED36</f>
        <v/>
      </c>
      <c r="EE10" s="863">
        <f>EE14+EE18+EE22+EE26+EE30+EE36</f>
        <v/>
      </c>
      <c r="EF10" s="863">
        <f>EF14+EF18+EF22+EF26+EF30+EF36</f>
        <v/>
      </c>
      <c r="EG10" s="863">
        <f>EG14+EG18+EG22+EG26+EG30+EG36</f>
        <v/>
      </c>
      <c r="EH10" s="863">
        <f>EH14+EH18+EH22+EH26+EH30+EH36</f>
        <v/>
      </c>
      <c r="EI10" s="863">
        <f>EI14+EI18+EI22+EI26+EI30+EI36</f>
        <v/>
      </c>
      <c r="EJ10" s="863">
        <f>EJ14+EJ18+EJ22+EJ26+EJ30+EJ36</f>
        <v/>
      </c>
      <c r="EK10" s="863">
        <f>EK14+EK18+EK22+EK26+EK30+EK36</f>
        <v/>
      </c>
      <c r="EL10" s="863">
        <f>EL14+EL18+EL22+EL26+EL30+EL36</f>
        <v/>
      </c>
      <c r="EM10" s="863">
        <f>EM14+EM18+EM22+EM26+EM30+EM36</f>
        <v/>
      </c>
      <c r="EN10" s="863">
        <f>EN14+EN18+EN22+EN26+EN30+EN36</f>
        <v/>
      </c>
      <c r="EO10" s="863">
        <f>EO14+EO18+EO22+EO26+EO30+EO36</f>
        <v/>
      </c>
      <c r="EP10" s="863">
        <f>EP14+EP18+EP22+EP26+EP30+EP36</f>
        <v/>
      </c>
      <c r="EQ10" s="863">
        <f>EQ14+EQ18+EQ22+EQ26+EQ30+EQ36</f>
        <v/>
      </c>
      <c r="ER10" s="863">
        <f>ER14+ER18+ER22+ER26+ER30+ER36</f>
        <v/>
      </c>
      <c r="ES10" s="863">
        <f>ES14+ES18+ES22+ES26+ES30+ES36</f>
        <v/>
      </c>
      <c r="ET10" s="863">
        <f>ET14+ET18+ET22+ET26+ET30+ET36</f>
        <v/>
      </c>
      <c r="EU10" s="863">
        <f>EU14+EU18+EU22+EU26+EU30+EU36</f>
        <v/>
      </c>
      <c r="EV10" s="863">
        <f>EV14+EV18+EV22+EV26+EV30+EV36</f>
        <v/>
      </c>
      <c r="EW10" s="863">
        <f>EW14+EW18+EW22+EW26+EW30+EW36</f>
        <v/>
      </c>
      <c r="EX10" s="863">
        <f>EX14+EX18+EX22+EX26+EX30+EX36</f>
        <v/>
      </c>
      <c r="EY10" s="863">
        <f>EY14+EY18+EY22+EY26+EY30+EY36</f>
        <v/>
      </c>
      <c r="EZ10" s="863">
        <f>EZ14+EZ18+EZ22+EZ26+EZ30+EZ36</f>
        <v/>
      </c>
      <c r="FA10" s="863">
        <f>FA14+FA18+FA22+FA26+FA30+FA36</f>
        <v/>
      </c>
      <c r="FB10" s="863">
        <f>FB14+FB18+FB22+FB26+FB30+FB36</f>
        <v/>
      </c>
      <c r="FC10" s="863">
        <f>FC14+FC18+FC22+FC26+FC30+FC36</f>
        <v/>
      </c>
      <c r="FD10" s="863">
        <f>FD14+FD18+FD22+FD26+FD30+FD36</f>
        <v/>
      </c>
      <c r="FE10" s="863">
        <f>FE14+FE18+FE22+FE26+FE30+FE36</f>
        <v/>
      </c>
      <c r="FF10" s="863">
        <f>FF14+FF18+FF22+FF26+FF30+FF36</f>
        <v/>
      </c>
      <c r="FG10" s="863">
        <f>FG14+FG18+FG22+FG26+FG30+FG36</f>
        <v/>
      </c>
      <c r="FH10" s="863">
        <f>FH14+FH18+FH22+FH26+FH30+FH36</f>
        <v/>
      </c>
      <c r="FI10" s="863">
        <f>FI14+FI18+FI22+FI26+FI30+FI36</f>
        <v/>
      </c>
      <c r="FJ10" s="863">
        <f>FJ14+FJ18+FJ22+FJ26+FJ30+FJ36</f>
        <v/>
      </c>
      <c r="FK10" s="863">
        <f>FK14+FK18+FK22+FK26+FK30+FK36</f>
        <v/>
      </c>
      <c r="FL10" s="863">
        <f>FL14+FL18+FL22+FL26+FL30+FL36</f>
        <v/>
      </c>
      <c r="FM10" s="863">
        <f>FM14+FM18+FM22+FM26+FM30+FM36</f>
        <v/>
      </c>
      <c r="FN10" s="863">
        <f>FN14+FN18+FN22+FN26+FN30+FN36</f>
        <v/>
      </c>
      <c r="FO10" s="863">
        <f>FO14+FO18+FO22+FO26+FO30+FO36</f>
        <v/>
      </c>
      <c r="FP10" s="863">
        <f>FP14+FP18+FP22+FP26+FP30+FP36</f>
        <v/>
      </c>
      <c r="FQ10" s="863">
        <f>FQ14+FQ18+FQ22+FQ26+FQ30+FQ36</f>
        <v/>
      </c>
      <c r="FR10" s="863">
        <f>FR14+FR18+FR22+FR26+FR30+FR36</f>
        <v/>
      </c>
      <c r="FS10" s="863">
        <f>FS14+FS18+FS22+FS26+FS30+FS36</f>
        <v/>
      </c>
      <c r="FT10" s="863">
        <f>FT14+FT18+FT22+FT26+FT30+FT36</f>
        <v/>
      </c>
      <c r="FU10" s="863">
        <f>FU14+FU18+FU22+FU26+FU30+FU36</f>
        <v/>
      </c>
      <c r="FV10" s="863">
        <f>FV14+FV18+FV22+FV26+FV30+FV36</f>
        <v/>
      </c>
      <c r="FW10" s="863">
        <f>FW14+FW18+FW22+FW26+FW30+FW36</f>
        <v/>
      </c>
      <c r="FX10" s="863">
        <f>FX14+FX18+FX22+FX26+FX30+FX36</f>
        <v/>
      </c>
      <c r="FY10" s="863">
        <f>FY14+FY18+FY22+FY26+FY30+FY36</f>
        <v/>
      </c>
      <c r="FZ10" s="863">
        <f>FZ14+FZ18+FZ22+FZ26+FZ30+FZ36</f>
        <v/>
      </c>
      <c r="GA10" s="863">
        <f>GA14+GA18+GA22+GA26+GA30+GA36</f>
        <v/>
      </c>
      <c r="GB10" s="863">
        <f>GB14+GB18+GB22+GB26+GB30+GB36</f>
        <v/>
      </c>
      <c r="GC10" s="863">
        <f>GC14+GC18+GC22+GC26+GC30+GC36</f>
        <v/>
      </c>
      <c r="GD10" s="863">
        <f>GD14+GD18+GD22+GD26+GD30+GD36</f>
        <v/>
      </c>
      <c r="GE10" s="863">
        <f>GE14+GE18+GE22+GE26+GE30+GE36</f>
        <v/>
      </c>
      <c r="GF10" s="863">
        <f>GF14+GF18+GF22+GF26+GF30+GF36</f>
        <v/>
      </c>
      <c r="GG10" s="863">
        <f>GG14+GG18+GG22+GG26+GG30+GG36</f>
        <v/>
      </c>
      <c r="GH10" s="863">
        <f>GH14+GH18+GH22+GH26+GH30+GH36</f>
        <v/>
      </c>
      <c r="GI10" s="863" t="n">
        <v>11605.864</v>
      </c>
      <c r="GJ10" s="863" t="n">
        <v>11085.313</v>
      </c>
      <c r="GK10" s="863" t="n">
        <v>11820.975</v>
      </c>
      <c r="GL10" s="863" t="n">
        <v>11876.449</v>
      </c>
      <c r="GM10" s="863" t="n">
        <v>10801.044</v>
      </c>
      <c r="GN10" s="863" t="n">
        <v>11680.68</v>
      </c>
      <c r="GO10" s="863" t="n">
        <v>11522.897</v>
      </c>
      <c r="GP10" s="863" t="n">
        <v>12056.387</v>
      </c>
      <c r="GQ10" s="863" t="n">
        <v>11751.688</v>
      </c>
      <c r="GR10" s="863" t="n">
        <v>12399.24</v>
      </c>
      <c r="GS10" s="863" t="n">
        <v>12558.154</v>
      </c>
      <c r="GT10" s="863" t="n">
        <v>11594.776</v>
      </c>
      <c r="GU10" s="863" t="n">
        <v>12307.735</v>
      </c>
      <c r="GV10" s="863" t="n">
        <v>11599.726</v>
      </c>
      <c r="GW10" s="863" t="n">
        <v>12531.8</v>
      </c>
      <c r="GX10" s="863" t="n">
        <v>12574.463</v>
      </c>
      <c r="GY10" s="863" t="n">
        <v>11728.128</v>
      </c>
      <c r="GZ10" s="863" t="n">
        <v>12291.864</v>
      </c>
      <c r="HA10" s="863" t="n">
        <v>11796.619</v>
      </c>
      <c r="HB10" s="863" t="n">
        <v>12118.716</v>
      </c>
      <c r="HC10" s="863" t="n">
        <v>12136.72</v>
      </c>
      <c r="HD10" s="863" t="n">
        <v>12723.458</v>
      </c>
      <c r="HE10" s="863" t="n">
        <v>12457.876</v>
      </c>
      <c r="HF10" s="863" t="n">
        <v>11900.705</v>
      </c>
      <c r="HG10" s="863" t="n">
        <v>12334.585</v>
      </c>
      <c r="HH10" s="863" t="n">
        <v>11328.962</v>
      </c>
      <c r="HI10" s="863" t="n">
        <v>12693.382</v>
      </c>
      <c r="HJ10" s="863" t="n">
        <v>12741.323</v>
      </c>
      <c r="HK10" s="863" t="n">
        <v>11374</v>
      </c>
      <c r="HL10" s="863" t="n">
        <v>12330.894</v>
      </c>
      <c r="HM10" s="863" t="n">
        <v>12368.278</v>
      </c>
      <c r="HN10" s="863" t="n">
        <v>12302.168</v>
      </c>
      <c r="HO10" s="863" t="n">
        <v>12327.267</v>
      </c>
      <c r="HP10" s="863" t="n">
        <v>13287.379</v>
      </c>
      <c r="HQ10" s="863" t="n">
        <v>13056.61</v>
      </c>
      <c r="HR10" s="863" t="n">
        <v>12183.036</v>
      </c>
      <c r="HS10" s="863" t="n">
        <v>12905.27</v>
      </c>
      <c r="HT10" s="863" t="n">
        <v>12052.163</v>
      </c>
      <c r="HU10" s="863" t="n">
        <v>13209.584</v>
      </c>
      <c r="HV10" s="863" t="n">
        <v>13070.796</v>
      </c>
      <c r="HW10" s="863" t="n">
        <v>11926.392</v>
      </c>
      <c r="HX10" s="863" t="n">
        <v>12832.998</v>
      </c>
      <c r="HY10" s="863" t="n">
        <v>12483.039</v>
      </c>
      <c r="HZ10" s="863" t="n">
        <v>12662.581</v>
      </c>
      <c r="IA10" s="863" t="n">
        <v>12794.574</v>
      </c>
      <c r="IB10" s="863" t="n">
        <v>13665.105</v>
      </c>
      <c r="IC10" s="863" t="n">
        <v>13690.681</v>
      </c>
      <c r="ID10" s="863" t="n">
        <v>12273.949</v>
      </c>
      <c r="IE10" s="863" t="n">
        <v>13390</v>
      </c>
      <c r="IF10" s="863" t="n">
        <v>12593.062</v>
      </c>
      <c r="IG10" s="863" t="n">
        <v>13978.669</v>
      </c>
      <c r="IH10" s="863" t="n">
        <v>14004.187</v>
      </c>
      <c r="II10" s="863" t="n">
        <v>12628.435</v>
      </c>
      <c r="IJ10" s="863" t="n">
        <v>13461.313</v>
      </c>
      <c r="IK10" s="863" t="n">
        <v>13493.711</v>
      </c>
      <c r="IL10" s="863" t="n">
        <v>13495.182</v>
      </c>
      <c r="IM10" s="863" t="n">
        <v>13731.593</v>
      </c>
      <c r="IN10" s="863" t="n">
        <v>14642.473</v>
      </c>
      <c r="IO10" s="863" t="n">
        <v>14392.234</v>
      </c>
      <c r="IP10" s="863" t="n">
        <v>13480.282</v>
      </c>
      <c r="IQ10" s="863" t="n">
        <v>13709.615</v>
      </c>
      <c r="IR10" s="863" t="n">
        <v>12409.574</v>
      </c>
      <c r="IS10" s="863" t="n">
        <v>13795.313</v>
      </c>
      <c r="IT10" s="863" t="n">
        <v>13962.739</v>
      </c>
      <c r="IU10" s="863" t="n">
        <v>8924.428</v>
      </c>
      <c r="IV10" s="863" t="n">
        <v>3605.276</v>
      </c>
      <c r="IW10" s="863">
        <f>IW14+IW18+IW22+IW26+IW30+IW36</f>
        <v/>
      </c>
      <c r="IX10" s="863">
        <f>IX14+IX18+IX22+IX26+IX30+IX36</f>
        <v/>
      </c>
      <c r="IY10" s="863">
        <f>IY14+IY18+IY22+IY26+IY30+IY36</f>
        <v/>
      </c>
      <c r="IZ10" s="863">
        <f>IZ14+IZ18+IZ22+IZ26+IZ30+IZ36</f>
        <v/>
      </c>
      <c r="JA10" s="863">
        <f>JA14+JA18+JA22+JA26+JA30+JA36</f>
        <v/>
      </c>
      <c r="JB10" s="863">
        <f>JB14+JB18+JB22+JB26+JB30+JB36</f>
        <v/>
      </c>
      <c r="JC10" s="863">
        <f>JC14+JC18+JC22+JC26+JC30+JC36</f>
        <v/>
      </c>
      <c r="JD10" s="863">
        <f>JD14+JD18+JD22+JD26+JD30+JD36</f>
        <v/>
      </c>
      <c r="JE10" s="863">
        <f>JE14+JE18+JE22+JE26+JE30+JE36</f>
        <v/>
      </c>
      <c r="JF10" s="863">
        <f>JF14+JF18+JF22+JF26+JF30+JF36</f>
        <v/>
      </c>
      <c r="JG10" s="863">
        <f>JG14+JG18+JG22+JG26+JG30+JG36</f>
        <v/>
      </c>
      <c r="JH10" s="863">
        <f>JH14+JH18+JH22+JH26+JH30+JH36</f>
        <v/>
      </c>
      <c r="JI10" s="863">
        <f>JI14+JI18+JI22+JI26+JI30+JI36</f>
        <v/>
      </c>
      <c r="JJ10" s="863">
        <f>JJ14+JJ18+JJ22+JJ26+JJ30+JJ36</f>
        <v/>
      </c>
      <c r="JK10" s="863">
        <f>JK14+JK18+JK22+JK26+JK30+JK36</f>
        <v/>
      </c>
      <c r="JL10" s="863">
        <f>JL14+JL18+JL22+JL26+JL30+JL36</f>
        <v/>
      </c>
      <c r="JM10" s="863">
        <f>JM14+JM18+JM22+JM26+JM30+JM36</f>
        <v/>
      </c>
      <c r="JN10" s="863">
        <f>JN14+JN18+JN22+JN26+JN30+JN36</f>
        <v/>
      </c>
      <c r="JO10" s="863">
        <f>JO14+JO18+JO22+JO26+JO30+JO36</f>
        <v/>
      </c>
      <c r="JP10" s="863">
        <f>JP14+JP18+JP22+JP26+JP30+JP36</f>
        <v/>
      </c>
      <c r="JQ10" s="863">
        <f>JQ14+JQ18+JQ22+JQ26+JQ30+JQ36</f>
        <v/>
      </c>
      <c r="JR10" s="863">
        <f>JR14+JR18+JR22+JR26+JR30+JR36</f>
        <v/>
      </c>
      <c r="JS10" s="863">
        <f>JS14+JS18+JS22+JS26+JS30+JS36</f>
        <v/>
      </c>
      <c r="JT10" s="863">
        <f>JT14+JT18+JT22+JT26+JT30+JT36</f>
        <v/>
      </c>
      <c r="JU10" s="863">
        <f>JU14+JU18+JU22+JU26+JU30+JU36</f>
        <v/>
      </c>
      <c r="JV10" s="863">
        <f>JV14+JV18+JV22+JV26+JV30+JV36</f>
        <v/>
      </c>
      <c r="JW10" s="863">
        <f>JW14+JW18+JW22+JW26+JW30+JW36</f>
        <v/>
      </c>
      <c r="JX10" s="863">
        <f>JX14+JX18+JX22+JX26+JX30+JX36</f>
        <v/>
      </c>
      <c r="JY10" s="863">
        <f>JY14+JY18+JY22+JY26+JY30+JY36</f>
        <v/>
      </c>
      <c r="JZ10" s="863">
        <f>JZ14+JZ18+JZ22+JZ26+JZ30+JZ36</f>
        <v/>
      </c>
      <c r="KA10" s="863">
        <f>KA14+KA18+KA22+KA26+KA30+KA36</f>
        <v/>
      </c>
      <c r="KB10" s="863">
        <f>KB14+KB18+KB22+KB26+KB30+KB36</f>
        <v/>
      </c>
      <c r="KC10" s="863">
        <f>KC14+KC18+KC22+KC26+KC30+KC36</f>
        <v/>
      </c>
      <c r="KD10" s="863">
        <f>KD14+KD18+KD22+KD26+KD30+KD36</f>
        <v/>
      </c>
      <c r="KE10" s="863">
        <f>KE14+KE18+KE22+KE26+KE30+KE36</f>
        <v/>
      </c>
      <c r="KF10" s="863">
        <f>KF14+KF18+KF22+KF26+KF30+KF36</f>
        <v/>
      </c>
      <c r="KG10" s="863">
        <f>KG14+KG18+KG22+KG26+KG30+KG36</f>
        <v/>
      </c>
      <c r="KH10" s="863">
        <f>KH14+KH18+KH22+KH26+KH30+KH36</f>
        <v/>
      </c>
      <c r="KI10" s="863">
        <f>KI14+KI18+KI22+KI26+KI30+KI36</f>
        <v/>
      </c>
      <c r="KJ10" s="863">
        <f>KJ14+KJ18+KJ22+KJ26+KJ30+KJ36</f>
        <v/>
      </c>
      <c r="KK10" s="863">
        <f>KK14+KK18+KK22+KK26+KK30+KK36</f>
        <v/>
      </c>
      <c r="KL10" s="863">
        <f>KL14+KL18+KL22+KL26+KL30+KL36</f>
        <v/>
      </c>
      <c r="KM10" s="863">
        <f>KM14+KM18+KM22+KM26+KM30+KM36</f>
        <v/>
      </c>
      <c r="KN10" s="863">
        <f>KN14+KN18+KN22+KN26+KN30+KN36</f>
        <v/>
      </c>
      <c r="KO10" s="863">
        <f>KO14+KO18+KO22+KO26+KO30+KO36</f>
        <v/>
      </c>
      <c r="KP10" s="863">
        <f>KP14+KP18+KP22+KP26+KP30+KP36</f>
        <v/>
      </c>
      <c r="KQ10" s="863">
        <f>KQ14+KQ18+KQ22+KQ26+KQ30+KQ36</f>
        <v/>
      </c>
      <c r="KR10" s="863">
        <f>KR14+KR18+KR22+KR26+KR30+KR36</f>
        <v/>
      </c>
      <c r="KS10" s="863">
        <f>KS14+KS18+KS22+KS26+KS30+KS36</f>
        <v/>
      </c>
      <c r="KT10" s="863">
        <f>KT14+KT18+KT22+KT26+KT30+KT36</f>
        <v/>
      </c>
      <c r="KU10" s="863">
        <f>KU14+KU18+KU22+KU26+KU30+KU36</f>
        <v/>
      </c>
      <c r="KV10" s="863">
        <f>KV14+KV18+KV22+KV26+KV30+KV36</f>
        <v/>
      </c>
      <c r="KW10" s="863">
        <f>KW14+KW18+KW22+KW26+KW30+KW36</f>
        <v/>
      </c>
      <c r="KX10" s="863">
        <f>KX14+KX18+KX22+KX26+KX30+KX36</f>
        <v/>
      </c>
      <c r="KY10" s="863">
        <f>KY14+KY18+KY22+KY26+KY30+KY36</f>
        <v/>
      </c>
      <c r="KZ10" s="863">
        <f>KZ14+KZ18+KZ22+KZ26+KZ30+KZ36</f>
        <v/>
      </c>
      <c r="LA10" s="863">
        <f>LA14+LA18+LA22+LA26+LA30+LA36</f>
        <v/>
      </c>
      <c r="LB10" s="863">
        <f>LB193/1000</f>
        <v/>
      </c>
      <c r="LC10" s="863">
        <f>LC193/1000</f>
        <v/>
      </c>
      <c r="LD10" s="863">
        <f>LD193/1000</f>
        <v/>
      </c>
      <c r="LE10" s="863">
        <f>LE193/1000</f>
        <v/>
      </c>
      <c r="LF10" s="863">
        <f>LF193/1000</f>
        <v/>
      </c>
      <c r="LG10" s="863">
        <f>LG193/1000</f>
        <v/>
      </c>
      <c r="LH10" s="863">
        <f>LH193/1000</f>
        <v/>
      </c>
      <c r="LI10" s="863">
        <f>LI193/1000</f>
        <v/>
      </c>
      <c r="LJ10" s="863">
        <f>LJ193/1000</f>
        <v/>
      </c>
      <c r="LK10" s="863">
        <f>LK193/1000</f>
        <v/>
      </c>
      <c r="LL10" s="863">
        <f>LL193/1000</f>
        <v/>
      </c>
      <c r="LM10" s="863">
        <f>LM193/1000</f>
        <v/>
      </c>
      <c r="LN10" s="863">
        <f>LN193/1000</f>
        <v/>
      </c>
      <c r="LO10" s="863">
        <f>LO193/1000</f>
        <v/>
      </c>
      <c r="LP10" s="863">
        <f>LP193/1000</f>
        <v/>
      </c>
      <c r="LQ10" s="863">
        <f>LQ193/1000</f>
        <v/>
      </c>
      <c r="LR10" s="863">
        <f>LR193/1000</f>
        <v/>
      </c>
      <c r="LS10" s="863">
        <f>LS193/1000</f>
        <v/>
      </c>
      <c r="LT10" s="861" t="n"/>
    </row>
    <row r="11">
      <c r="A11" s="885" t="inlineStr">
        <is>
          <t>m cg %</t>
        </is>
      </c>
      <c r="B11" s="1318" t="n"/>
      <c r="C11" s="1318">
        <f>C10/B10-1</f>
        <v/>
      </c>
      <c r="D11" s="1318">
        <f>D10/C10-1</f>
        <v/>
      </c>
      <c r="E11" s="1318">
        <f>E10/D10-1</f>
        <v/>
      </c>
      <c r="F11" s="1318">
        <f>F10/E10-1</f>
        <v/>
      </c>
      <c r="G11" s="1318">
        <f>G10/F10-1</f>
        <v/>
      </c>
      <c r="H11" s="1318">
        <f>H10/G10-1</f>
        <v/>
      </c>
      <c r="I11" s="1318">
        <f>I10/H10-1</f>
        <v/>
      </c>
      <c r="J11" s="1318">
        <f>J10/I10-1</f>
        <v/>
      </c>
      <c r="K11" s="1318">
        <f>K10/J10-1</f>
        <v/>
      </c>
      <c r="L11" s="1318">
        <f>L10/K10-1</f>
        <v/>
      </c>
      <c r="M11" s="1318">
        <f>M10/L10-1</f>
        <v/>
      </c>
      <c r="N11" s="1318">
        <f>N10/M10-1</f>
        <v/>
      </c>
      <c r="O11" s="1318">
        <f>O10/N10-1</f>
        <v/>
      </c>
      <c r="P11" s="1318">
        <f>P10/O10-1</f>
        <v/>
      </c>
      <c r="Q11" s="1318">
        <f>Q10/P10-1</f>
        <v/>
      </c>
      <c r="R11" s="1318">
        <f>R10/Q10-1</f>
        <v/>
      </c>
      <c r="S11" s="1318">
        <f>S10/R10-1</f>
        <v/>
      </c>
      <c r="T11" s="1318">
        <f>T10/S10-1</f>
        <v/>
      </c>
      <c r="U11" s="1318">
        <f>U10/T10-1</f>
        <v/>
      </c>
      <c r="V11" s="1318">
        <f>V10/U10-1</f>
        <v/>
      </c>
      <c r="W11" s="1318">
        <f>W10/V10-1</f>
        <v/>
      </c>
      <c r="X11" s="1318">
        <f>X10/W10-1</f>
        <v/>
      </c>
      <c r="Y11" s="1318">
        <f>Y10/X10-1</f>
        <v/>
      </c>
      <c r="Z11" s="1318">
        <f>Z10/Y10-1</f>
        <v/>
      </c>
      <c r="AA11" s="1318">
        <f>AA10/Z10-1</f>
        <v/>
      </c>
      <c r="AB11" s="1318">
        <f>AB10/AA10-1</f>
        <v/>
      </c>
      <c r="AC11" s="1318">
        <f>AC10/AB10-1</f>
        <v/>
      </c>
      <c r="AD11" s="1318">
        <f>AD10/AC10-1</f>
        <v/>
      </c>
      <c r="AE11" s="1318">
        <f>AE10/AD10-1</f>
        <v/>
      </c>
      <c r="AF11" s="1318">
        <f>AF10/AE10-1</f>
        <v/>
      </c>
      <c r="AG11" s="1318">
        <f>AG10/AF10-1</f>
        <v/>
      </c>
      <c r="AH11" s="1318">
        <f>AH10/AG10-1</f>
        <v/>
      </c>
      <c r="AI11" s="1318">
        <f>AI10/AH10-1</f>
        <v/>
      </c>
      <c r="AJ11" s="1318">
        <f>AJ10/AI10-1</f>
        <v/>
      </c>
      <c r="AK11" s="1318">
        <f>AK10/AJ10-1</f>
        <v/>
      </c>
      <c r="AL11" s="1318">
        <f>AL10/AK10-1</f>
        <v/>
      </c>
      <c r="AM11" s="1318">
        <f>AM10/AL10-1</f>
        <v/>
      </c>
      <c r="AN11" s="1318">
        <f>AN10/AM10-1</f>
        <v/>
      </c>
      <c r="AO11" s="1318">
        <f>AO10/AN10-1</f>
        <v/>
      </c>
      <c r="AP11" s="1318">
        <f>AP10/AO10-1</f>
        <v/>
      </c>
      <c r="AQ11" s="1318">
        <f>AQ10/AP10-1</f>
        <v/>
      </c>
      <c r="AR11" s="1318">
        <f>AR10/AQ10-1</f>
        <v/>
      </c>
      <c r="AS11" s="1318">
        <f>AS10/AR10-1</f>
        <v/>
      </c>
      <c r="AT11" s="1318">
        <f>AT10/AS10-1</f>
        <v/>
      </c>
      <c r="AU11" s="1318">
        <f>AU10/AT10-1</f>
        <v/>
      </c>
      <c r="AV11" s="1318">
        <f>AV10/AU10-1</f>
        <v/>
      </c>
      <c r="AW11" s="1318">
        <f>AW10/AV10-1</f>
        <v/>
      </c>
      <c r="AX11" s="1318">
        <f>AX10/AW10-1</f>
        <v/>
      </c>
      <c r="AY11" s="1318">
        <f>AY10/AX10-1</f>
        <v/>
      </c>
      <c r="AZ11" s="1318">
        <f>AZ10/AY10-1</f>
        <v/>
      </c>
      <c r="BA11" s="1318">
        <f>BA10/AZ10-1</f>
        <v/>
      </c>
      <c r="BB11" s="1318">
        <f>BB10/BA10-1</f>
        <v/>
      </c>
      <c r="BC11" s="1318">
        <f>BC10/BB10-1</f>
        <v/>
      </c>
      <c r="BD11" s="1318">
        <f>BD10/BC10-1</f>
        <v/>
      </c>
      <c r="BE11" s="1318">
        <f>BE10/BD10-1</f>
        <v/>
      </c>
      <c r="BF11" s="1318">
        <f>BF10/BE10-1</f>
        <v/>
      </c>
      <c r="BG11" s="1318">
        <f>BG10/BF10-1</f>
        <v/>
      </c>
      <c r="BH11" s="1318">
        <f>BH10/BG10-1</f>
        <v/>
      </c>
      <c r="BI11" s="1318">
        <f>BI10/BH10-1</f>
        <v/>
      </c>
      <c r="BJ11" s="1318">
        <f>BJ10/BI10-1</f>
        <v/>
      </c>
      <c r="BK11" s="1318">
        <f>BK10/BJ10-1</f>
        <v/>
      </c>
      <c r="BL11" s="1318">
        <f>BL10/BK10-1</f>
        <v/>
      </c>
      <c r="BM11" s="1318">
        <f>BM10/BL10-1</f>
        <v/>
      </c>
      <c r="BN11" s="1318">
        <f>BN10/BM10-1</f>
        <v/>
      </c>
      <c r="BO11" s="1318">
        <f>BO10/BN10-1</f>
        <v/>
      </c>
      <c r="BP11" s="1318">
        <f>BP10/BO10-1</f>
        <v/>
      </c>
      <c r="BQ11" s="1318">
        <f>BQ10/BP10-1</f>
        <v/>
      </c>
      <c r="BR11" s="1318">
        <f>BR10/BQ10-1</f>
        <v/>
      </c>
      <c r="BS11" s="1318">
        <f>BS10/BR10-1</f>
        <v/>
      </c>
      <c r="BT11" s="1318">
        <f>BT10/BS10-1</f>
        <v/>
      </c>
      <c r="BU11" s="1318">
        <f>BU10/BT10-1</f>
        <v/>
      </c>
      <c r="BV11" s="1318">
        <f>BV10/BU10-1</f>
        <v/>
      </c>
      <c r="BW11" s="1318">
        <f>BW10/BV10-1</f>
        <v/>
      </c>
      <c r="BX11" s="1318">
        <f>BX10/BW10-1</f>
        <v/>
      </c>
      <c r="BY11" s="1318">
        <f>BY10/BX10-1</f>
        <v/>
      </c>
      <c r="BZ11" s="1318">
        <f>BZ10/BY10-1</f>
        <v/>
      </c>
      <c r="CA11" s="1318">
        <f>CA10/BZ10-1</f>
        <v/>
      </c>
      <c r="CB11" s="1318">
        <f>CB10/CA10-1</f>
        <v/>
      </c>
      <c r="CC11" s="1318">
        <f>CC10/CB10-1</f>
        <v/>
      </c>
      <c r="CD11" s="1318">
        <f>CD10/CC10-1</f>
        <v/>
      </c>
      <c r="CE11" s="1318">
        <f>CE10/CD10-1</f>
        <v/>
      </c>
      <c r="CF11" s="1318">
        <f>CF10/CE10-1</f>
        <v/>
      </c>
      <c r="CG11" s="1318">
        <f>CG10/CF10-1</f>
        <v/>
      </c>
      <c r="CH11" s="1318">
        <f>CH10/CG10-1</f>
        <v/>
      </c>
      <c r="CI11" s="1318">
        <f>CI10/CH10-1</f>
        <v/>
      </c>
      <c r="CJ11" s="1318">
        <f>CJ10/CI10-1</f>
        <v/>
      </c>
      <c r="CK11" s="1318">
        <f>CK10/CJ10-1</f>
        <v/>
      </c>
      <c r="CL11" s="1318">
        <f>CL10/CK10-1</f>
        <v/>
      </c>
      <c r="CM11" s="1318">
        <f>CM10/CL10-1</f>
        <v/>
      </c>
      <c r="CN11" s="1318">
        <f>CN10/CM10-1</f>
        <v/>
      </c>
      <c r="CO11" s="1318">
        <f>CO10/CN10-1</f>
        <v/>
      </c>
      <c r="CP11" s="1318">
        <f>CP10/CO10-1</f>
        <v/>
      </c>
      <c r="CQ11" s="1318">
        <f>CQ10/CP10-1</f>
        <v/>
      </c>
      <c r="CR11" s="1318">
        <f>CR10/CQ10-1</f>
        <v/>
      </c>
      <c r="CS11" s="1318">
        <f>CS10/CR10-1</f>
        <v/>
      </c>
      <c r="CT11" s="1318">
        <f>CT10/CS10-1</f>
        <v/>
      </c>
      <c r="CU11" s="1318">
        <f>CU10/CT10-1</f>
        <v/>
      </c>
      <c r="CV11" s="1318">
        <f>CV10/CU10-1</f>
        <v/>
      </c>
      <c r="CW11" s="1318">
        <f>CW10/CV10-1</f>
        <v/>
      </c>
      <c r="CX11" s="1318">
        <f>CX10/CW10-1</f>
        <v/>
      </c>
      <c r="CY11" s="1318">
        <f>CY10/CX10-1</f>
        <v/>
      </c>
      <c r="CZ11" s="1318">
        <f>CZ10/CY10-1</f>
        <v/>
      </c>
      <c r="DA11" s="1318">
        <f>DA10/CZ10-1</f>
        <v/>
      </c>
      <c r="DB11" s="1318">
        <f>DB10/DA10-1</f>
        <v/>
      </c>
      <c r="DC11" s="1318">
        <f>DC10/DB10-1</f>
        <v/>
      </c>
      <c r="DD11" s="1318">
        <f>DD10/DC10-1</f>
        <v/>
      </c>
      <c r="DE11" s="1318">
        <f>DE10/DD10-1</f>
        <v/>
      </c>
      <c r="DF11" s="1318">
        <f>DF10/DE10-1</f>
        <v/>
      </c>
      <c r="DG11" s="1318">
        <f>DG10/DF10-1</f>
        <v/>
      </c>
      <c r="DH11" s="1318">
        <f>DH10/DG10-1</f>
        <v/>
      </c>
      <c r="DI11" s="1318">
        <f>DI10/DH10-1</f>
        <v/>
      </c>
      <c r="DJ11" s="1318">
        <f>DJ10/DI10-1</f>
        <v/>
      </c>
      <c r="DK11" s="1318">
        <f>DK10/DJ10-1</f>
        <v/>
      </c>
      <c r="DL11" s="1318">
        <f>DL10/DK10-1</f>
        <v/>
      </c>
      <c r="DM11" s="1318">
        <f>DM10/DL10-1</f>
        <v/>
      </c>
      <c r="DN11" s="1318">
        <f>DN10/DM10-1</f>
        <v/>
      </c>
      <c r="DO11" s="1318">
        <f>DO10/DN10-1</f>
        <v/>
      </c>
      <c r="DP11" s="1318">
        <f>DP10/DO10-1</f>
        <v/>
      </c>
      <c r="DQ11" s="1318">
        <f>DQ10/DP10-1</f>
        <v/>
      </c>
      <c r="DR11" s="1318">
        <f>DR10/DQ10-1</f>
        <v/>
      </c>
      <c r="DS11" s="1318">
        <f>DS10/DR10-1</f>
        <v/>
      </c>
      <c r="DT11" s="1318">
        <f>DT10/DS10-1</f>
        <v/>
      </c>
      <c r="DU11" s="1318">
        <f>DU10/DT10-1</f>
        <v/>
      </c>
      <c r="DV11" s="1318">
        <f>DV10/DU10-1</f>
        <v/>
      </c>
      <c r="DW11" s="1318">
        <f>DW10/DV10-1</f>
        <v/>
      </c>
      <c r="DX11" s="1318">
        <f>DX10/DW10-1</f>
        <v/>
      </c>
      <c r="DY11" s="1318">
        <f>DY10/DX10-1</f>
        <v/>
      </c>
      <c r="DZ11" s="1318">
        <f>DZ10/DY10-1</f>
        <v/>
      </c>
      <c r="EA11" s="1318">
        <f>EA10/DZ10-1</f>
        <v/>
      </c>
      <c r="EB11" s="1318">
        <f>EB10/EA10-1</f>
        <v/>
      </c>
      <c r="EC11" s="1318">
        <f>EC10/EB10-1</f>
        <v/>
      </c>
      <c r="ED11" s="1318">
        <f>ED10/EC10-1</f>
        <v/>
      </c>
      <c r="EE11" s="1318">
        <f>EE10/ED10-1</f>
        <v/>
      </c>
      <c r="EF11" s="1318">
        <f>EF10/EE10-1</f>
        <v/>
      </c>
      <c r="EG11" s="1318">
        <f>EG10/EF10-1</f>
        <v/>
      </c>
      <c r="EH11" s="1318">
        <f>EH10/EG10-1</f>
        <v/>
      </c>
      <c r="EI11" s="1318">
        <f>EI10/EH10-1</f>
        <v/>
      </c>
      <c r="EJ11" s="1318">
        <f>EJ10/EI10-1</f>
        <v/>
      </c>
      <c r="EK11" s="1318">
        <f>EK10/EJ10-1</f>
        <v/>
      </c>
      <c r="EL11" s="1318">
        <f>EL10/EK10-1</f>
        <v/>
      </c>
      <c r="EM11" s="1318">
        <f>EM10/EL10-1</f>
        <v/>
      </c>
      <c r="EN11" s="1318">
        <f>EN10/EM10-1</f>
        <v/>
      </c>
      <c r="EO11" s="1318">
        <f>EO10/EN10-1</f>
        <v/>
      </c>
      <c r="EP11" s="1318">
        <f>EP10/EO10-1</f>
        <v/>
      </c>
      <c r="EQ11" s="1318">
        <f>EQ10/EP10-1</f>
        <v/>
      </c>
      <c r="ER11" s="1318">
        <f>ER10/EQ10-1</f>
        <v/>
      </c>
      <c r="ES11" s="1318">
        <f>ES10/ER10-1</f>
        <v/>
      </c>
      <c r="ET11" s="1318">
        <f>ET10/ES10-1</f>
        <v/>
      </c>
      <c r="EU11" s="1318">
        <f>EU10/ET10-1</f>
        <v/>
      </c>
      <c r="EV11" s="1318">
        <f>EV10/EU10-1</f>
        <v/>
      </c>
      <c r="EW11" s="1318">
        <f>EW10/EV10-1</f>
        <v/>
      </c>
      <c r="EX11" s="1318">
        <f>EX10/EW10-1</f>
        <v/>
      </c>
      <c r="EY11" s="1318">
        <f>EY10/EX10-1</f>
        <v/>
      </c>
      <c r="EZ11" s="1318">
        <f>EZ10/EY10-1</f>
        <v/>
      </c>
      <c r="FA11" s="1318">
        <f>FA10/EZ10-1</f>
        <v/>
      </c>
      <c r="FB11" s="1318">
        <f>FB10/FA10-1</f>
        <v/>
      </c>
      <c r="FC11" s="1318">
        <f>FC10/FB10-1</f>
        <v/>
      </c>
      <c r="FD11" s="1318">
        <f>FD10/FC10-1</f>
        <v/>
      </c>
      <c r="FE11" s="1318">
        <f>FE10/FD10-1</f>
        <v/>
      </c>
      <c r="FF11" s="1318">
        <f>FF10/FE10-1</f>
        <v/>
      </c>
      <c r="FG11" s="1318">
        <f>FG10/FF10-1</f>
        <v/>
      </c>
      <c r="FH11" s="1318">
        <f>FH10/FG10-1</f>
        <v/>
      </c>
      <c r="FI11" s="1318">
        <f>FI10/FH10-1</f>
        <v/>
      </c>
      <c r="FJ11" s="1318">
        <f>FJ10/FI10-1</f>
        <v/>
      </c>
      <c r="FK11" s="1318">
        <f>FK10/FJ10-1</f>
        <v/>
      </c>
      <c r="FL11" s="1318">
        <f>FL10/FK10-1</f>
        <v/>
      </c>
      <c r="FM11" s="1318">
        <f>FM10/FL10-1</f>
        <v/>
      </c>
      <c r="FN11" s="1318">
        <f>FN10/FM10-1</f>
        <v/>
      </c>
      <c r="FO11" s="1318">
        <f>FO10/FN10-1</f>
        <v/>
      </c>
      <c r="FP11" s="1318">
        <f>FP10/FO10-1</f>
        <v/>
      </c>
      <c r="FQ11" s="1318">
        <f>FQ10/FP10-1</f>
        <v/>
      </c>
      <c r="FR11" s="1318">
        <f>FR10/FQ10-1</f>
        <v/>
      </c>
      <c r="FS11" s="1318">
        <f>FS10/FR10-1</f>
        <v/>
      </c>
      <c r="FT11" s="1318">
        <f>FT10/FS10-1</f>
        <v/>
      </c>
      <c r="FU11" s="1318">
        <f>FU10/FT10-1</f>
        <v/>
      </c>
      <c r="FV11" s="1318">
        <f>FV10/FU10-1</f>
        <v/>
      </c>
      <c r="FW11" s="1318">
        <f>FW10/FV10-1</f>
        <v/>
      </c>
      <c r="FX11" s="1318">
        <f>FX10/FW10-1</f>
        <v/>
      </c>
      <c r="FY11" s="1318">
        <f>FY10/FX10-1</f>
        <v/>
      </c>
      <c r="FZ11" s="1318">
        <f>FZ10/FY10-1</f>
        <v/>
      </c>
      <c r="GA11" s="1318">
        <f>GA10/FZ10-1</f>
        <v/>
      </c>
      <c r="GB11" s="1318">
        <f>GB10/GA10-1</f>
        <v/>
      </c>
      <c r="GC11" s="1318">
        <f>GC10/GB10-1</f>
        <v/>
      </c>
      <c r="GD11" s="1318">
        <f>GD10/GC10-1</f>
        <v/>
      </c>
      <c r="GE11" s="1318">
        <f>GE10/GD10-1</f>
        <v/>
      </c>
      <c r="GF11" s="1318">
        <f>GF10/GE10-1</f>
        <v/>
      </c>
      <c r="GG11" s="1318">
        <f>GG10/GF10-1</f>
        <v/>
      </c>
      <c r="GH11" s="1318">
        <f>GH10/GG10-1</f>
        <v/>
      </c>
      <c r="GI11" s="1318">
        <f>GI10/GH10-1</f>
        <v/>
      </c>
      <c r="GJ11" s="1318">
        <f>GJ10/GI10-1</f>
        <v/>
      </c>
      <c r="GK11" s="1318">
        <f>GK10/GJ10-1</f>
        <v/>
      </c>
      <c r="GL11" s="1318">
        <f>GL10/GK10-1</f>
        <v/>
      </c>
      <c r="GM11" s="1318">
        <f>GM10/GL10-1</f>
        <v/>
      </c>
      <c r="GN11" s="1318">
        <f>GN10/GM10-1</f>
        <v/>
      </c>
      <c r="GO11" s="1318">
        <f>GO10/GN10-1</f>
        <v/>
      </c>
      <c r="GP11" s="1318">
        <f>GP10/GO10-1</f>
        <v/>
      </c>
      <c r="GQ11" s="1318">
        <f>GQ10/GP10-1</f>
        <v/>
      </c>
      <c r="GR11" s="1318">
        <f>GR10/GQ10-1</f>
        <v/>
      </c>
      <c r="GS11" s="1318">
        <f>GS10/GR10-1</f>
        <v/>
      </c>
      <c r="GT11" s="1318">
        <f>GT10/GS10-1</f>
        <v/>
      </c>
      <c r="GU11" s="1318">
        <f>GU10/GT10-1</f>
        <v/>
      </c>
      <c r="GV11" s="1318">
        <f>GV10/GU10-1</f>
        <v/>
      </c>
      <c r="GW11" s="1318">
        <f>GW10/GV10-1</f>
        <v/>
      </c>
      <c r="GX11" s="1318">
        <f>GX10/GW10-1</f>
        <v/>
      </c>
      <c r="GY11" s="1318">
        <f>GY10/GX10-1</f>
        <v/>
      </c>
      <c r="GZ11" s="1318">
        <f>GZ10/GY10-1</f>
        <v/>
      </c>
      <c r="HA11" s="1318">
        <f>HA10/GZ10-1</f>
        <v/>
      </c>
      <c r="HB11" s="1318">
        <f>HB10/HA10-1</f>
        <v/>
      </c>
      <c r="HC11" s="1318">
        <f>HC10/HB10-1</f>
        <v/>
      </c>
      <c r="HD11" s="1318">
        <f>HD10/HC10-1</f>
        <v/>
      </c>
      <c r="HE11" s="1318">
        <f>HE10/HD10-1</f>
        <v/>
      </c>
      <c r="HF11" s="1318">
        <f>HF10/HE10-1</f>
        <v/>
      </c>
      <c r="HG11" s="1318">
        <f>HG10/HF10-1</f>
        <v/>
      </c>
      <c r="HH11" s="1318">
        <f>HH10/HG10-1</f>
        <v/>
      </c>
      <c r="HI11" s="1318">
        <f>HI10/HH10-1</f>
        <v/>
      </c>
      <c r="HJ11" s="1318">
        <f>HJ10/HI10-1</f>
        <v/>
      </c>
      <c r="HK11" s="1318">
        <f>HK10/HJ10-1</f>
        <v/>
      </c>
      <c r="HL11" s="1318">
        <f>HL10/HK10-1</f>
        <v/>
      </c>
      <c r="HM11" s="1318">
        <f>HM10/HL10-1</f>
        <v/>
      </c>
      <c r="HN11" s="1318">
        <f>HN10/HM10-1</f>
        <v/>
      </c>
      <c r="HO11" s="1318">
        <f>HO10/HN10-1</f>
        <v/>
      </c>
      <c r="HP11" s="1318">
        <f>HP10/HO10-1</f>
        <v/>
      </c>
      <c r="HQ11" s="1318">
        <f>HQ10/HP10-1</f>
        <v/>
      </c>
      <c r="HR11" s="1318">
        <f>HR10/HQ10-1</f>
        <v/>
      </c>
      <c r="HS11" s="1318">
        <f>HS10/HR10-1</f>
        <v/>
      </c>
      <c r="HT11" s="1318">
        <f>HT10/HS10-1</f>
        <v/>
      </c>
      <c r="HU11" s="1318">
        <f>HU10/HT10-1</f>
        <v/>
      </c>
      <c r="HV11" s="1318">
        <f>HV10/HU10-1</f>
        <v/>
      </c>
      <c r="HW11" s="1318">
        <f>HW10/HV10-1</f>
        <v/>
      </c>
      <c r="HX11" s="1318">
        <f>HX10/HW10-1</f>
        <v/>
      </c>
      <c r="HY11" s="1318">
        <f>HY10/HX10-1</f>
        <v/>
      </c>
      <c r="HZ11" s="1318">
        <f>HZ10/HY10-1</f>
        <v/>
      </c>
      <c r="IA11" s="1318">
        <f>IA10/HZ10-1</f>
        <v/>
      </c>
      <c r="IB11" s="1318">
        <f>IB10/IA10-1</f>
        <v/>
      </c>
      <c r="IC11" s="1318">
        <f>IC10/IB10-1</f>
        <v/>
      </c>
      <c r="ID11" s="1318">
        <f>ID10/IC10-1</f>
        <v/>
      </c>
      <c r="IE11" s="1318">
        <f>IE10/ID10-1</f>
        <v/>
      </c>
      <c r="IF11" s="1318">
        <f>IF10/IE10-1</f>
        <v/>
      </c>
      <c r="IG11" s="1318">
        <f>IG10/IF10-1</f>
        <v/>
      </c>
      <c r="IH11" s="1318">
        <f>IH10/IG10-1</f>
        <v/>
      </c>
      <c r="II11" s="1318">
        <f>II10/IH10-1</f>
        <v/>
      </c>
      <c r="IJ11" s="1318">
        <f>IJ10/II10-1</f>
        <v/>
      </c>
      <c r="IK11" s="1318">
        <f>IK10/IJ10-1</f>
        <v/>
      </c>
      <c r="IL11" s="1318">
        <f>IL10/IK10-1</f>
        <v/>
      </c>
      <c r="IM11" s="1318">
        <f>IM10/IL10-1</f>
        <v/>
      </c>
      <c r="IN11" s="1318">
        <f>IN10/IM10-1</f>
        <v/>
      </c>
      <c r="IO11" s="1318">
        <f>IO10/IN10-1</f>
        <v/>
      </c>
      <c r="IP11" s="1318">
        <f>IP10/IO10-1</f>
        <v/>
      </c>
      <c r="IQ11" s="1318">
        <f>IQ10/IP10-1</f>
        <v/>
      </c>
      <c r="IR11" s="1318">
        <f>IR10/IQ10-1</f>
        <v/>
      </c>
      <c r="IS11" s="1318">
        <f>IS10/IR10-1</f>
        <v/>
      </c>
      <c r="IT11" s="1318">
        <f>IT10/IS10-1</f>
        <v/>
      </c>
      <c r="IU11" s="1318">
        <f>IU10/IT10-1</f>
        <v/>
      </c>
      <c r="IV11" s="1318">
        <f>IV10/IU10-1</f>
        <v/>
      </c>
      <c r="IW11" s="1318">
        <f>IW10/IV10-1</f>
        <v/>
      </c>
      <c r="IX11" s="1318">
        <f>IX10/IW10-1</f>
        <v/>
      </c>
      <c r="IY11" s="1318">
        <f>IY10/IX10-1</f>
        <v/>
      </c>
      <c r="IZ11" s="1318">
        <f>IZ10/IY10-1</f>
        <v/>
      </c>
      <c r="JA11" s="1318">
        <f>JA10/IZ10-1</f>
        <v/>
      </c>
      <c r="JB11" s="1318">
        <f>JB10/JA10-1</f>
        <v/>
      </c>
      <c r="JC11" s="1318">
        <f>JC10/JB10-1</f>
        <v/>
      </c>
      <c r="JD11" s="1318">
        <f>JD10/JC10-1</f>
        <v/>
      </c>
      <c r="JE11" s="1318">
        <f>JE10/JD10-1</f>
        <v/>
      </c>
      <c r="JF11" s="1318">
        <f>JF10/JE10-1</f>
        <v/>
      </c>
      <c r="JG11" s="1318">
        <f>JG10/JF10-1</f>
        <v/>
      </c>
      <c r="JH11" s="1318">
        <f>JH10/JG10-1</f>
        <v/>
      </c>
      <c r="JI11" s="1318">
        <f>JI10/JH10-1</f>
        <v/>
      </c>
      <c r="JJ11" s="1318">
        <f>JJ10/JI10-1</f>
        <v/>
      </c>
      <c r="JK11" s="1318">
        <f>JK10/JJ10-1</f>
        <v/>
      </c>
      <c r="JL11" s="1318">
        <f>JL10/JK10-1</f>
        <v/>
      </c>
      <c r="JM11" s="1318">
        <f>JM10/JL10-1</f>
        <v/>
      </c>
      <c r="JN11" s="1318">
        <f>JN10/JM10-1</f>
        <v/>
      </c>
      <c r="JO11" s="1318">
        <f>JO10/JN10-1</f>
        <v/>
      </c>
      <c r="JP11" s="1318">
        <f>JP10/JO10-1</f>
        <v/>
      </c>
      <c r="JQ11" s="1318">
        <f>JQ10/JP10-1</f>
        <v/>
      </c>
      <c r="JR11" s="1318">
        <f>JR10/JQ10-1</f>
        <v/>
      </c>
      <c r="JS11" s="1318">
        <f>JS10/JR10-1</f>
        <v/>
      </c>
      <c r="JT11" s="1318">
        <f>JT10/JS10-1</f>
        <v/>
      </c>
      <c r="JU11" s="1318">
        <f>JU10/JT10-1</f>
        <v/>
      </c>
      <c r="JV11" s="1318">
        <f>JV10/JU10-1</f>
        <v/>
      </c>
      <c r="JW11" s="1318">
        <f>JW10/JV10-1</f>
        <v/>
      </c>
      <c r="JX11" s="1318">
        <f>JX10/JW10-1</f>
        <v/>
      </c>
      <c r="JY11" s="1318">
        <f>JY10/JX10-1</f>
        <v/>
      </c>
      <c r="JZ11" s="1318">
        <f>JZ10/JY10-1</f>
        <v/>
      </c>
      <c r="KA11" s="1318">
        <f>KA10/JZ10-1</f>
        <v/>
      </c>
      <c r="KB11" s="1318">
        <f>KB10/KA10-1</f>
        <v/>
      </c>
      <c r="KC11" s="1318">
        <f>KC10/KB10-1</f>
        <v/>
      </c>
      <c r="KD11" s="1318">
        <f>KD10/KC10-1</f>
        <v/>
      </c>
      <c r="KE11" s="1318">
        <f>KE10/KD10-1</f>
        <v/>
      </c>
      <c r="KF11" s="1318">
        <f>KF10/KE10-1</f>
        <v/>
      </c>
      <c r="KG11" s="1318">
        <f>KG10/KF10-1</f>
        <v/>
      </c>
      <c r="KH11" s="1318">
        <f>KH10/KG10-1</f>
        <v/>
      </c>
      <c r="KI11" s="1318">
        <f>KI10/KH10-1</f>
        <v/>
      </c>
      <c r="KJ11" s="1318">
        <f>KJ10/KI10-1</f>
        <v/>
      </c>
      <c r="KK11" s="1318">
        <f>KK10/KJ10-1</f>
        <v/>
      </c>
      <c r="KL11" s="1318">
        <f>KL10/KK10-1</f>
        <v/>
      </c>
      <c r="KM11" s="1318">
        <f>KM10/KL10-1</f>
        <v/>
      </c>
      <c r="KN11" s="1318">
        <f>KN10/KM10-1</f>
        <v/>
      </c>
      <c r="KO11" s="1318">
        <f>KO10/KN10-1</f>
        <v/>
      </c>
      <c r="KP11" s="1318">
        <f>KP10/KO10-1</f>
        <v/>
      </c>
      <c r="KQ11" s="1318">
        <f>KQ10/KP10-1</f>
        <v/>
      </c>
      <c r="KR11" s="1318">
        <f>KR10/KQ10-1</f>
        <v/>
      </c>
      <c r="KS11" s="1318">
        <f>KS10/KR10-1</f>
        <v/>
      </c>
      <c r="KT11" s="1318">
        <f>KT10/KS10-1</f>
        <v/>
      </c>
      <c r="KU11" s="1318">
        <f>KU10/KT10-1</f>
        <v/>
      </c>
      <c r="KV11" s="1318">
        <f>KV10/KU10-1</f>
        <v/>
      </c>
      <c r="KW11" s="1318">
        <f>KW10/KV10-1</f>
        <v/>
      </c>
      <c r="KX11" s="1318">
        <f>KX10/KW10-1</f>
        <v/>
      </c>
      <c r="KY11" s="1318">
        <f>KY10/KX10-1</f>
        <v/>
      </c>
      <c r="KZ11" s="1318">
        <f>KZ10/KY10-1</f>
        <v/>
      </c>
      <c r="LA11" s="1318">
        <f>LA10/KZ10-1</f>
        <v/>
      </c>
      <c r="LB11" s="1318">
        <f>LB10/LA10-1</f>
        <v/>
      </c>
      <c r="LC11" s="1318">
        <f>LC10/LB10-1</f>
        <v/>
      </c>
      <c r="LD11" s="1318">
        <f>LD10/LC10-1</f>
        <v/>
      </c>
      <c r="LE11" s="1318">
        <f>LE10/LD10-1</f>
        <v/>
      </c>
      <c r="LF11" s="1318">
        <f>LF10/LE10-1</f>
        <v/>
      </c>
      <c r="LG11" s="1318">
        <f>LG10/LF10-1</f>
        <v/>
      </c>
      <c r="LH11" s="1318">
        <f>LH10/LG10-1</f>
        <v/>
      </c>
      <c r="LI11" s="1318">
        <f>LI10/LH10-1</f>
        <v/>
      </c>
      <c r="LJ11" s="1318">
        <f>LJ10/LI10-1</f>
        <v/>
      </c>
      <c r="LK11" s="1318">
        <f>LK10/LJ10-1</f>
        <v/>
      </c>
      <c r="LL11" s="1318">
        <f>LL10/LK10-1</f>
        <v/>
      </c>
      <c r="LM11" s="1318">
        <f>LM10/LL10-1</f>
        <v/>
      </c>
      <c r="LN11" s="1318">
        <f>LN10/LM10-1</f>
        <v/>
      </c>
      <c r="LO11" s="1318">
        <f>LO10/LN10-1</f>
        <v/>
      </c>
      <c r="LP11" s="1318">
        <f>LP10/LO10-1</f>
        <v/>
      </c>
      <c r="LQ11" s="1318">
        <f>LQ10/LP10-1</f>
        <v/>
      </c>
      <c r="LR11" s="1318">
        <f>LR10/LQ10-1</f>
        <v/>
      </c>
      <c r="LS11" s="1318">
        <f>LS10/LR10-1</f>
        <v/>
      </c>
    </row>
    <row r="12">
      <c r="A12" s="885" t="inlineStr">
        <is>
          <t>YoY cg %</t>
        </is>
      </c>
      <c r="B12" s="1318" t="n"/>
      <c r="C12" s="1318" t="n"/>
      <c r="D12" s="1318" t="n"/>
      <c r="E12" s="1318" t="n"/>
      <c r="F12" s="1318" t="n"/>
      <c r="G12" s="1318" t="n"/>
      <c r="H12" s="1318" t="n"/>
      <c r="I12" s="1318" t="n"/>
      <c r="J12" s="1318" t="n"/>
      <c r="K12" s="1318" t="n"/>
      <c r="L12" s="1318" t="n"/>
      <c r="M12" s="1318" t="n"/>
      <c r="N12" s="1318">
        <f>N10/B10-1</f>
        <v/>
      </c>
      <c r="O12" s="1318">
        <f>O10/C10-1</f>
        <v/>
      </c>
      <c r="P12" s="1318">
        <f>P10/D10-1</f>
        <v/>
      </c>
      <c r="Q12" s="1318">
        <f>Q10/E10-1</f>
        <v/>
      </c>
      <c r="R12" s="1318">
        <f>R10/F10-1</f>
        <v/>
      </c>
      <c r="S12" s="1318">
        <f>S10/G10-1</f>
        <v/>
      </c>
      <c r="T12" s="1318">
        <f>T10/H10-1</f>
        <v/>
      </c>
      <c r="U12" s="1318">
        <f>U10/I10-1</f>
        <v/>
      </c>
      <c r="V12" s="1318">
        <f>V10/J10-1</f>
        <v/>
      </c>
      <c r="W12" s="1318">
        <f>W10/K10-1</f>
        <v/>
      </c>
      <c r="X12" s="1318">
        <f>X10/L10-1</f>
        <v/>
      </c>
      <c r="Y12" s="1318">
        <f>Y10/M10-1</f>
        <v/>
      </c>
      <c r="Z12" s="1318">
        <f>Z10/N10-1</f>
        <v/>
      </c>
      <c r="AA12" s="1318">
        <f>AA10/O10-1</f>
        <v/>
      </c>
      <c r="AB12" s="1318">
        <f>AB10/P10-1</f>
        <v/>
      </c>
      <c r="AC12" s="1318">
        <f>AC10/Q10-1</f>
        <v/>
      </c>
      <c r="AD12" s="1318">
        <f>AD10/R10-1</f>
        <v/>
      </c>
      <c r="AE12" s="1318">
        <f>AE10/S10-1</f>
        <v/>
      </c>
      <c r="AF12" s="1318">
        <f>AF10/T10-1</f>
        <v/>
      </c>
      <c r="AG12" s="1318">
        <f>AG10/U10-1</f>
        <v/>
      </c>
      <c r="AH12" s="1318">
        <f>AH10/V10-1</f>
        <v/>
      </c>
      <c r="AI12" s="1318">
        <f>AI10/W10-1</f>
        <v/>
      </c>
      <c r="AJ12" s="1318">
        <f>AJ10/X10-1</f>
        <v/>
      </c>
      <c r="AK12" s="1318">
        <f>AK10/Y10-1</f>
        <v/>
      </c>
      <c r="AL12" s="1318">
        <f>AL10/Z10-1</f>
        <v/>
      </c>
      <c r="AM12" s="1318">
        <f>AM10/AA10-1</f>
        <v/>
      </c>
      <c r="AN12" s="1318">
        <f>AN10/AB10-1</f>
        <v/>
      </c>
      <c r="AO12" s="1318">
        <f>AO10/AC10-1</f>
        <v/>
      </c>
      <c r="AP12" s="1318">
        <f>AP10/AD10-1</f>
        <v/>
      </c>
      <c r="AQ12" s="1318">
        <f>AQ10/AE10-1</f>
        <v/>
      </c>
      <c r="AR12" s="1318">
        <f>AR10/AF10-1</f>
        <v/>
      </c>
      <c r="AS12" s="1318">
        <f>AS10/AG10-1</f>
        <v/>
      </c>
      <c r="AT12" s="1318">
        <f>AT10/AH10-1</f>
        <v/>
      </c>
      <c r="AU12" s="1318">
        <f>AU10/AI10-1</f>
        <v/>
      </c>
      <c r="AV12" s="1318">
        <f>AV10/AJ10-1</f>
        <v/>
      </c>
      <c r="AW12" s="1318">
        <f>AW10/AK10-1</f>
        <v/>
      </c>
      <c r="AX12" s="1318">
        <f>AX10/AL10-1</f>
        <v/>
      </c>
      <c r="AY12" s="1318">
        <f>AY10/AM10-1</f>
        <v/>
      </c>
      <c r="AZ12" s="1318">
        <f>AZ10/AN10-1</f>
        <v/>
      </c>
      <c r="BA12" s="1318">
        <f>BA10/AO10-1</f>
        <v/>
      </c>
      <c r="BB12" s="1318">
        <f>BB10/AP10-1</f>
        <v/>
      </c>
      <c r="BC12" s="1318">
        <f>BC10/AQ10-1</f>
        <v/>
      </c>
      <c r="BD12" s="1318">
        <f>BD10/AR10-1</f>
        <v/>
      </c>
      <c r="BE12" s="1318">
        <f>BE10/AS10-1</f>
        <v/>
      </c>
      <c r="BF12" s="1318">
        <f>BF10/AT10-1</f>
        <v/>
      </c>
      <c r="BG12" s="1318">
        <f>BG10/AU10-1</f>
        <v/>
      </c>
      <c r="BH12" s="1318">
        <f>BH10/AV10-1</f>
        <v/>
      </c>
      <c r="BI12" s="1318">
        <f>BI10/AW10-1</f>
        <v/>
      </c>
      <c r="BJ12" s="1318">
        <f>BJ10/AX10-1</f>
        <v/>
      </c>
      <c r="BK12" s="1318">
        <f>BK10/AY10-1</f>
        <v/>
      </c>
      <c r="BL12" s="1318">
        <f>BL10/AZ10-1</f>
        <v/>
      </c>
      <c r="BM12" s="1318">
        <f>BM10/BA10-1</f>
        <v/>
      </c>
      <c r="BN12" s="1318">
        <f>BN10/BB10-1</f>
        <v/>
      </c>
      <c r="BO12" s="1318">
        <f>BO10/BC10-1</f>
        <v/>
      </c>
      <c r="BP12" s="1318">
        <f>BP10/BD10-1</f>
        <v/>
      </c>
      <c r="BQ12" s="1318">
        <f>BQ10/BE10-1</f>
        <v/>
      </c>
      <c r="BR12" s="1318">
        <f>BR10/BF10-1</f>
        <v/>
      </c>
      <c r="BS12" s="1318">
        <f>BS10/BG10-1</f>
        <v/>
      </c>
      <c r="BT12" s="1318">
        <f>BT10/BH10-1</f>
        <v/>
      </c>
      <c r="BU12" s="1318">
        <f>BU10/BI10-1</f>
        <v/>
      </c>
      <c r="BV12" s="1318">
        <f>BV10/BJ10-1</f>
        <v/>
      </c>
      <c r="BW12" s="1318">
        <f>BW10/BK10-1</f>
        <v/>
      </c>
      <c r="BX12" s="1318">
        <f>BX10/BL10-1</f>
        <v/>
      </c>
      <c r="BY12" s="1318">
        <f>BY10/BM10-1</f>
        <v/>
      </c>
      <c r="BZ12" s="1318">
        <f>BZ10/BN10-1</f>
        <v/>
      </c>
      <c r="CA12" s="1318">
        <f>CA10/BO10-1</f>
        <v/>
      </c>
      <c r="CB12" s="1318">
        <f>CB10/BP10-1</f>
        <v/>
      </c>
      <c r="CC12" s="1318">
        <f>CC10/BQ10-1</f>
        <v/>
      </c>
      <c r="CD12" s="1318">
        <f>CD10/BR10-1</f>
        <v/>
      </c>
      <c r="CE12" s="1318">
        <f>CE10/BS10-1</f>
        <v/>
      </c>
      <c r="CF12" s="1318">
        <f>CF10/BT10-1</f>
        <v/>
      </c>
      <c r="CG12" s="1318">
        <f>CG10/BU10-1</f>
        <v/>
      </c>
      <c r="CH12" s="1318">
        <f>CH10/BV10-1</f>
        <v/>
      </c>
      <c r="CI12" s="1318">
        <f>CI10/BW10-1</f>
        <v/>
      </c>
      <c r="CJ12" s="1318">
        <f>CJ10/BX10-1</f>
        <v/>
      </c>
      <c r="CK12" s="1318">
        <f>CK10/BY10-1</f>
        <v/>
      </c>
      <c r="CL12" s="1318">
        <f>CL10/BZ10-1</f>
        <v/>
      </c>
      <c r="CM12" s="1318">
        <f>CM10/CA10-1</f>
        <v/>
      </c>
      <c r="CN12" s="1318">
        <f>CN10/CB10-1</f>
        <v/>
      </c>
      <c r="CO12" s="1318">
        <f>CO10/CC10-1</f>
        <v/>
      </c>
      <c r="CP12" s="1318">
        <f>CP10/CD10-1</f>
        <v/>
      </c>
      <c r="CQ12" s="1318">
        <f>CQ10/CE10-1</f>
        <v/>
      </c>
      <c r="CR12" s="1318">
        <f>CR10/CF10-1</f>
        <v/>
      </c>
      <c r="CS12" s="1318">
        <f>CS10/CG10-1</f>
        <v/>
      </c>
      <c r="CT12" s="1318">
        <f>CT10/CH10-1</f>
        <v/>
      </c>
      <c r="CU12" s="1318">
        <f>CU10/CI10-1</f>
        <v/>
      </c>
      <c r="CV12" s="1318">
        <f>CV10/CJ10-1</f>
        <v/>
      </c>
      <c r="CW12" s="1318">
        <f>CW10/CK10-1</f>
        <v/>
      </c>
      <c r="CX12" s="1318">
        <f>CX10/CL10-1</f>
        <v/>
      </c>
      <c r="CY12" s="1318">
        <f>CY10/CM10-1</f>
        <v/>
      </c>
      <c r="CZ12" s="1318">
        <f>CZ10/CN10-1</f>
        <v/>
      </c>
      <c r="DA12" s="1318">
        <f>DA10/CO10-1</f>
        <v/>
      </c>
      <c r="DB12" s="1318">
        <f>DB10/CP10-1</f>
        <v/>
      </c>
      <c r="DC12" s="1318">
        <f>DC10/CQ10-1</f>
        <v/>
      </c>
      <c r="DD12" s="1318">
        <f>DD10/CR10-1</f>
        <v/>
      </c>
      <c r="DE12" s="1318">
        <f>DE10/CS10-1</f>
        <v/>
      </c>
      <c r="DF12" s="1318">
        <f>DF10/CT10-1</f>
        <v/>
      </c>
      <c r="DG12" s="1318">
        <f>DG10/CU10-1</f>
        <v/>
      </c>
      <c r="DH12" s="1318">
        <f>DH10/CV10-1</f>
        <v/>
      </c>
      <c r="DI12" s="1318">
        <f>DI10/CW10-1</f>
        <v/>
      </c>
      <c r="DJ12" s="1318">
        <f>DJ10/CX10-1</f>
        <v/>
      </c>
      <c r="DK12" s="1318">
        <f>DK10/CY10-1</f>
        <v/>
      </c>
      <c r="DL12" s="1318">
        <f>DL10/CZ10-1</f>
        <v/>
      </c>
      <c r="DM12" s="1318">
        <f>DM10/DA10-1</f>
        <v/>
      </c>
      <c r="DN12" s="1318">
        <f>DN10/DB10-1</f>
        <v/>
      </c>
      <c r="DO12" s="1318">
        <f>DO10/DC10-1</f>
        <v/>
      </c>
      <c r="DP12" s="1318">
        <f>DP10/DD10-1</f>
        <v/>
      </c>
      <c r="DQ12" s="1318">
        <f>DQ10/DE10-1</f>
        <v/>
      </c>
      <c r="DR12" s="1318">
        <f>DR10/DF10-1</f>
        <v/>
      </c>
      <c r="DS12" s="1318">
        <f>DS10/DG10-1</f>
        <v/>
      </c>
      <c r="DT12" s="1318">
        <f>DT10/DH10-1</f>
        <v/>
      </c>
      <c r="DU12" s="1318">
        <f>DU10/DI10-1</f>
        <v/>
      </c>
      <c r="DV12" s="1318">
        <f>DV10/DJ10-1</f>
        <v/>
      </c>
      <c r="DW12" s="1318">
        <f>DW10/DK10-1</f>
        <v/>
      </c>
      <c r="DX12" s="1318">
        <f>DX10/DL10-1</f>
        <v/>
      </c>
      <c r="DY12" s="1318">
        <f>DY10/DM10-1</f>
        <v/>
      </c>
      <c r="DZ12" s="1318">
        <f>DZ10/DN10-1</f>
        <v/>
      </c>
      <c r="EA12" s="1318">
        <f>EA10/DO10-1</f>
        <v/>
      </c>
      <c r="EB12" s="1318">
        <f>EB10/DP10-1</f>
        <v/>
      </c>
      <c r="EC12" s="1318">
        <f>EC10/DQ10-1</f>
        <v/>
      </c>
      <c r="ED12" s="1318">
        <f>ED10/DR10-1</f>
        <v/>
      </c>
      <c r="EE12" s="1318">
        <f>EE10/DS10-1</f>
        <v/>
      </c>
      <c r="EF12" s="1318">
        <f>EF10/DT10-1</f>
        <v/>
      </c>
      <c r="EG12" s="1318">
        <f>EG10/DU10-1</f>
        <v/>
      </c>
      <c r="EH12" s="1318">
        <f>EH10/DV10-1</f>
        <v/>
      </c>
      <c r="EI12" s="1318">
        <f>EI10/DW10-1</f>
        <v/>
      </c>
      <c r="EJ12" s="1318">
        <f>EJ10/DX10-1</f>
        <v/>
      </c>
      <c r="EK12" s="1318">
        <f>EK10/DY10-1</f>
        <v/>
      </c>
      <c r="EL12" s="1318">
        <f>EL10/DZ10-1</f>
        <v/>
      </c>
      <c r="EM12" s="1318">
        <f>EM10/EA10-1</f>
        <v/>
      </c>
      <c r="EN12" s="1318">
        <f>EN10/EB10-1</f>
        <v/>
      </c>
      <c r="EO12" s="1318">
        <f>EO10/EC10-1</f>
        <v/>
      </c>
      <c r="EP12" s="1318">
        <f>EP10/ED10-1</f>
        <v/>
      </c>
      <c r="EQ12" s="1318">
        <f>EQ10/EE10-1</f>
        <v/>
      </c>
      <c r="ER12" s="1318">
        <f>ER10/EF10-1</f>
        <v/>
      </c>
      <c r="ES12" s="1318">
        <f>ES10/EG10-1</f>
        <v/>
      </c>
      <c r="ET12" s="1318">
        <f>ET10/EH10-1</f>
        <v/>
      </c>
      <c r="EU12" s="1318">
        <f>EU10/EI10-1</f>
        <v/>
      </c>
      <c r="EV12" s="1318">
        <f>EV10/EJ10-1</f>
        <v/>
      </c>
      <c r="EW12" s="1318">
        <f>EW10/EK10-1</f>
        <v/>
      </c>
      <c r="EX12" s="1318">
        <f>EX10/EL10-1</f>
        <v/>
      </c>
      <c r="EY12" s="1318">
        <f>EY10/EM10-1</f>
        <v/>
      </c>
      <c r="EZ12" s="1318">
        <f>EZ10/EN10-1</f>
        <v/>
      </c>
      <c r="FA12" s="1318">
        <f>FA10/EO10-1</f>
        <v/>
      </c>
      <c r="FB12" s="1318">
        <f>FB10/EP10-1</f>
        <v/>
      </c>
      <c r="FC12" s="1318">
        <f>FC10/EQ10-1</f>
        <v/>
      </c>
      <c r="FD12" s="1318">
        <f>FD10/ER10-1</f>
        <v/>
      </c>
      <c r="FE12" s="1318">
        <f>FE10/ES10-1</f>
        <v/>
      </c>
      <c r="FF12" s="1318">
        <f>FF10/ET10-1</f>
        <v/>
      </c>
      <c r="FG12" s="1318">
        <f>FG10/EU10-1</f>
        <v/>
      </c>
      <c r="FH12" s="1318">
        <f>FH10/EV10-1</f>
        <v/>
      </c>
      <c r="FI12" s="1318">
        <f>FI10/EW10-1</f>
        <v/>
      </c>
      <c r="FJ12" s="1318">
        <f>FJ10/EX10-1</f>
        <v/>
      </c>
      <c r="FK12" s="1318">
        <f>FK10/EY10-1</f>
        <v/>
      </c>
      <c r="FL12" s="1318">
        <f>FL10/EZ10-1</f>
        <v/>
      </c>
      <c r="FM12" s="1318">
        <f>FM10/FA10-1</f>
        <v/>
      </c>
      <c r="FN12" s="1318">
        <f>FN10/FB10-1</f>
        <v/>
      </c>
      <c r="FO12" s="1318">
        <f>FO10/FC10-1</f>
        <v/>
      </c>
      <c r="FP12" s="1318">
        <f>FP10/FD10-1</f>
        <v/>
      </c>
      <c r="FQ12" s="1318">
        <f>FQ10/FE10-1</f>
        <v/>
      </c>
      <c r="FR12" s="1318">
        <f>FR10/FF10-1</f>
        <v/>
      </c>
      <c r="FS12" s="1318">
        <f>FS10/FG10-1</f>
        <v/>
      </c>
      <c r="FT12" s="1318">
        <f>FT10/FH10-1</f>
        <v/>
      </c>
      <c r="FU12" s="1318">
        <f>FU10/FI10-1</f>
        <v/>
      </c>
      <c r="FV12" s="1318">
        <f>FV10/FJ10-1</f>
        <v/>
      </c>
      <c r="FW12" s="1318">
        <f>FW10/FK10-1</f>
        <v/>
      </c>
      <c r="FX12" s="1318">
        <f>FX10/FL10-1</f>
        <v/>
      </c>
      <c r="FY12" s="1318">
        <f>FY10/FM10-1</f>
        <v/>
      </c>
      <c r="FZ12" s="1318">
        <f>FZ10/FN10-1</f>
        <v/>
      </c>
      <c r="GA12" s="1318">
        <f>GA10/FO10-1</f>
        <v/>
      </c>
      <c r="GB12" s="1318">
        <f>GB10/FP10-1</f>
        <v/>
      </c>
      <c r="GC12" s="1318">
        <f>GC10/FQ10-1</f>
        <v/>
      </c>
      <c r="GD12" s="1318">
        <f>GD10/FR10-1</f>
        <v/>
      </c>
      <c r="GE12" s="1318">
        <f>GE10/FS10-1</f>
        <v/>
      </c>
      <c r="GF12" s="1318">
        <f>GF10/FT10-1</f>
        <v/>
      </c>
      <c r="GG12" s="1318">
        <f>GG10/FU10-1</f>
        <v/>
      </c>
      <c r="GH12" s="1318">
        <f>GH10/FV10-1</f>
        <v/>
      </c>
      <c r="GI12" s="1318">
        <f>GI10/FW10-1</f>
        <v/>
      </c>
      <c r="GJ12" s="1318">
        <f>GJ10/FX10-1</f>
        <v/>
      </c>
      <c r="GK12" s="1318">
        <f>GK10/FY10-1</f>
        <v/>
      </c>
      <c r="GL12" s="1318">
        <f>GL10/FZ10-1</f>
        <v/>
      </c>
      <c r="GM12" s="1318">
        <f>GM10/GA10-1</f>
        <v/>
      </c>
      <c r="GN12" s="1318">
        <f>GN10/GB10-1</f>
        <v/>
      </c>
      <c r="GO12" s="1318">
        <f>GO10/GC10-1</f>
        <v/>
      </c>
      <c r="GP12" s="1318">
        <f>GP10/GD10-1</f>
        <v/>
      </c>
      <c r="GQ12" s="1318">
        <f>GQ10/GE10-1</f>
        <v/>
      </c>
      <c r="GR12" s="1318">
        <f>GR10/GF10-1</f>
        <v/>
      </c>
      <c r="GS12" s="1318">
        <f>GS10/GG10-1</f>
        <v/>
      </c>
      <c r="GT12" s="1318">
        <f>GT10/GH10-1</f>
        <v/>
      </c>
      <c r="GU12" s="1318">
        <f>GU10/GI10-1</f>
        <v/>
      </c>
      <c r="GV12" s="1318">
        <f>GV10/GJ10-1</f>
        <v/>
      </c>
      <c r="GW12" s="1318">
        <f>GW10/GK10-1</f>
        <v/>
      </c>
      <c r="GX12" s="1318">
        <f>GX10/GL10-1</f>
        <v/>
      </c>
      <c r="GY12" s="1318">
        <f>GY10/GM10-1</f>
        <v/>
      </c>
      <c r="GZ12" s="1318">
        <f>GZ10/GN10-1</f>
        <v/>
      </c>
      <c r="HA12" s="1318">
        <f>HA10/GO10-1</f>
        <v/>
      </c>
      <c r="HB12" s="1318">
        <f>HB10/GP10-1</f>
        <v/>
      </c>
      <c r="HC12" s="1318">
        <f>HC10/GQ10-1</f>
        <v/>
      </c>
      <c r="HD12" s="1318">
        <f>HD10/GR10-1</f>
        <v/>
      </c>
      <c r="HE12" s="1318">
        <f>HE10/GS10-1</f>
        <v/>
      </c>
      <c r="HF12" s="1318">
        <f>HF10/GT10-1</f>
        <v/>
      </c>
      <c r="HG12" s="1318">
        <f>HG10/GU10-1</f>
        <v/>
      </c>
      <c r="HH12" s="1318">
        <f>HH10/GV10-1</f>
        <v/>
      </c>
      <c r="HI12" s="1318">
        <f>HI10/GW10-1</f>
        <v/>
      </c>
      <c r="HJ12" s="1318">
        <f>HJ10/GX10-1</f>
        <v/>
      </c>
      <c r="HK12" s="1318">
        <f>HK10/GY10-1</f>
        <v/>
      </c>
      <c r="HL12" s="1318">
        <f>HL10/GZ10-1</f>
        <v/>
      </c>
      <c r="HM12" s="1318">
        <f>HM10/HA10-1</f>
        <v/>
      </c>
      <c r="HN12" s="1318">
        <f>HN10/HB10-1</f>
        <v/>
      </c>
      <c r="HO12" s="1318">
        <f>HO10/HC10-1</f>
        <v/>
      </c>
      <c r="HP12" s="1318">
        <f>HP10/HD10-1</f>
        <v/>
      </c>
      <c r="HQ12" s="1318">
        <f>HQ10/HE10-1</f>
        <v/>
      </c>
      <c r="HR12" s="1318">
        <f>HR10/HF10-1</f>
        <v/>
      </c>
      <c r="HS12" s="1318">
        <f>HS10/HG10-1</f>
        <v/>
      </c>
      <c r="HT12" s="1318">
        <f>HT10/HH10-1</f>
        <v/>
      </c>
      <c r="HU12" s="1318">
        <f>HU10/HI10-1</f>
        <v/>
      </c>
      <c r="HV12" s="1318">
        <f>HV10/HJ10-1</f>
        <v/>
      </c>
      <c r="HW12" s="1318">
        <f>HW10/HK10-1</f>
        <v/>
      </c>
      <c r="HX12" s="1318">
        <f>HX10/HL10-1</f>
        <v/>
      </c>
      <c r="HY12" s="1318">
        <f>HY10/HM10-1</f>
        <v/>
      </c>
      <c r="HZ12" s="1318">
        <f>HZ10/HN10-1</f>
        <v/>
      </c>
      <c r="IA12" s="1318">
        <f>IA10/HO10-1</f>
        <v/>
      </c>
      <c r="IB12" s="1318">
        <f>IB10/HP10-1</f>
        <v/>
      </c>
      <c r="IC12" s="1318">
        <f>IC10/HQ10-1</f>
        <v/>
      </c>
      <c r="ID12" s="1318">
        <f>ID10/HR10-1</f>
        <v/>
      </c>
      <c r="IE12" s="1318">
        <f>IE10/HS10-1</f>
        <v/>
      </c>
      <c r="IF12" s="1318">
        <f>IF10/HT10-1</f>
        <v/>
      </c>
      <c r="IG12" s="1318">
        <f>IG10/HU10-1</f>
        <v/>
      </c>
      <c r="IH12" s="1318">
        <f>IH10/HV10-1</f>
        <v/>
      </c>
      <c r="II12" s="1318">
        <f>II10/HW10-1</f>
        <v/>
      </c>
      <c r="IJ12" s="1318">
        <f>IJ10/HX10-1</f>
        <v/>
      </c>
      <c r="IK12" s="1318">
        <f>IK10/HY10-1</f>
        <v/>
      </c>
      <c r="IL12" s="1318">
        <f>IL10/HZ10-1</f>
        <v/>
      </c>
      <c r="IM12" s="1318">
        <f>IM10/IA10-1</f>
        <v/>
      </c>
      <c r="IN12" s="1318">
        <f>IN10/IB10-1</f>
        <v/>
      </c>
      <c r="IO12" s="1318">
        <f>IO10/IC10-1</f>
        <v/>
      </c>
      <c r="IP12" s="1318">
        <f>IP10/ID10-1</f>
        <v/>
      </c>
      <c r="IQ12" s="1318">
        <f>IQ10/IE10-1</f>
        <v/>
      </c>
      <c r="IR12" s="1318">
        <f>IR10/IF10-1</f>
        <v/>
      </c>
      <c r="IS12" s="1318">
        <f>IS10/IG10-1</f>
        <v/>
      </c>
      <c r="IT12" s="1318">
        <f>IT10/IH10-1</f>
        <v/>
      </c>
      <c r="IU12" s="1318">
        <f>IU10/II10-1</f>
        <v/>
      </c>
      <c r="IV12" s="1318">
        <f>IV10/IJ10-1</f>
        <v/>
      </c>
      <c r="IW12" s="1318">
        <f>IW10/IK10-1</f>
        <v/>
      </c>
      <c r="IX12" s="1318">
        <f>IX10/IL10-1</f>
        <v/>
      </c>
      <c r="IY12" s="1318">
        <f>IY10/IM10-1</f>
        <v/>
      </c>
      <c r="IZ12" s="1318">
        <f>IZ10/IN10-1</f>
        <v/>
      </c>
      <c r="JA12" s="1318">
        <f>JA10/IO10-1</f>
        <v/>
      </c>
      <c r="JB12" s="1318">
        <f>JB10/IP10-1</f>
        <v/>
      </c>
      <c r="JC12" s="1318">
        <f>JC10/IQ10-1</f>
        <v/>
      </c>
      <c r="JD12" s="1318">
        <f>JD10/IR10-1</f>
        <v/>
      </c>
      <c r="JE12" s="1318">
        <f>JE10/IS10-1</f>
        <v/>
      </c>
      <c r="JF12" s="1318">
        <f>JF10/IT10-1</f>
        <v/>
      </c>
      <c r="JG12" s="1318">
        <f>JG10/IU10-1</f>
        <v/>
      </c>
      <c r="JH12" s="1318">
        <f>JH10/IV10-1</f>
        <v/>
      </c>
      <c r="JI12" s="1318">
        <f>JI10/IW10-1</f>
        <v/>
      </c>
      <c r="JJ12" s="1318">
        <f>JJ10/IX10-1</f>
        <v/>
      </c>
      <c r="JK12" s="1318">
        <f>JK10/IY10-1</f>
        <v/>
      </c>
      <c r="JL12" s="1318">
        <f>JL10/IZ10-1</f>
        <v/>
      </c>
      <c r="JM12" s="1318">
        <f>JM10/JA10-1</f>
        <v/>
      </c>
      <c r="JN12" s="1318">
        <f>JN10/JB10-1</f>
        <v/>
      </c>
      <c r="JO12" s="1318">
        <f>JO10/JC10-1</f>
        <v/>
      </c>
      <c r="JP12" s="1318">
        <f>JP10/JD10-1</f>
        <v/>
      </c>
      <c r="JQ12" s="1318">
        <f>JQ10/JE10-1</f>
        <v/>
      </c>
      <c r="JR12" s="1318">
        <f>JR10/JF10-1</f>
        <v/>
      </c>
      <c r="JS12" s="1318">
        <f>JS10/JG10-1</f>
        <v/>
      </c>
      <c r="JT12" s="1318">
        <f>JT10/JH10-1</f>
        <v/>
      </c>
      <c r="JU12" s="1318">
        <f>JU10/JI10-1</f>
        <v/>
      </c>
      <c r="JV12" s="1318">
        <f>JV10/JJ10-1</f>
        <v/>
      </c>
      <c r="JW12" s="1318">
        <f>JW10/JK10-1</f>
        <v/>
      </c>
      <c r="JX12" s="1318">
        <f>JX10/JL10-1</f>
        <v/>
      </c>
      <c r="JY12" s="1318">
        <f>JY10/JM10-1</f>
        <v/>
      </c>
      <c r="JZ12" s="1318">
        <f>JZ10/JN10-1</f>
        <v/>
      </c>
      <c r="KA12" s="1318">
        <f>KA10/JO10-1</f>
        <v/>
      </c>
      <c r="KB12" s="1318">
        <f>KB10/JP10-1</f>
        <v/>
      </c>
      <c r="KC12" s="1318">
        <f>KC10/JQ10-1</f>
        <v/>
      </c>
      <c r="KD12" s="1318">
        <f>KD10/JR10-1</f>
        <v/>
      </c>
      <c r="KE12" s="1318">
        <f>KE10/JS10-1</f>
        <v/>
      </c>
      <c r="KF12" s="1318">
        <f>KF10/JT10-1</f>
        <v/>
      </c>
      <c r="KG12" s="1318">
        <f>KG10/JU10-1</f>
        <v/>
      </c>
      <c r="KH12" s="1318">
        <f>KH10/JV10-1</f>
        <v/>
      </c>
      <c r="KI12" s="1318">
        <f>KI10/JW10-1</f>
        <v/>
      </c>
      <c r="KJ12" s="1318">
        <f>KJ10/JX10-1</f>
        <v/>
      </c>
      <c r="KK12" s="1318">
        <f>KK10/JY10-1</f>
        <v/>
      </c>
      <c r="KL12" s="1318">
        <f>KL10/JZ10-1</f>
        <v/>
      </c>
      <c r="KM12" s="1318">
        <f>KM10/KA10-1</f>
        <v/>
      </c>
      <c r="KN12" s="1318">
        <f>KN10/KB10-1</f>
        <v/>
      </c>
      <c r="KO12" s="1318">
        <f>KO10/KC10-1</f>
        <v/>
      </c>
      <c r="KP12" s="1318">
        <f>KP10/KD10-1</f>
        <v/>
      </c>
      <c r="KQ12" s="1318">
        <f>KQ10/KE10-1</f>
        <v/>
      </c>
      <c r="KR12" s="1318">
        <f>KR10/KF10-1</f>
        <v/>
      </c>
      <c r="KS12" s="1318">
        <f>KS10/KG10-1</f>
        <v/>
      </c>
      <c r="KT12" s="1318">
        <f>KT10/KH10-1</f>
        <v/>
      </c>
      <c r="KU12" s="1318">
        <f>KU10/KI10-1</f>
        <v/>
      </c>
      <c r="KV12" s="1318">
        <f>KV10/KJ10-1</f>
        <v/>
      </c>
      <c r="KW12" s="1318">
        <f>KW10/KK10-1</f>
        <v/>
      </c>
      <c r="KX12" s="1318">
        <f>KX10/KL10-1</f>
        <v/>
      </c>
      <c r="KY12" s="1318">
        <f>KY10/KM10-1</f>
        <v/>
      </c>
      <c r="KZ12" s="1318">
        <f>KZ10/KN10-1</f>
        <v/>
      </c>
      <c r="LA12" s="1318">
        <f>LA10/KO10-1</f>
        <v/>
      </c>
      <c r="LB12" s="1318">
        <f>LB10/KP10-1</f>
        <v/>
      </c>
      <c r="LC12" s="1318">
        <f>LC10/KQ10-1</f>
        <v/>
      </c>
      <c r="LD12" s="1318">
        <f>LD10/KR10-1</f>
        <v/>
      </c>
      <c r="LE12" s="1318">
        <f>LE10/KS10-1</f>
        <v/>
      </c>
      <c r="LF12" s="1318">
        <f>LF10/KT10-1</f>
        <v/>
      </c>
      <c r="LG12" s="1318">
        <f>LG10/KU10-1</f>
        <v/>
      </c>
      <c r="LH12" s="1318">
        <f>LH10/KV10-1</f>
        <v/>
      </c>
      <c r="LI12" s="1318">
        <f>LI10/KW10-1</f>
        <v/>
      </c>
      <c r="LJ12" s="1318">
        <f>LJ10/KX10-1</f>
        <v/>
      </c>
      <c r="LK12" s="1318">
        <f>LK10/KY10-1</f>
        <v/>
      </c>
      <c r="LL12" s="1318">
        <f>LL10/KZ10-1</f>
        <v/>
      </c>
      <c r="LM12" s="1318">
        <f>LM10/LA10-1</f>
        <v/>
      </c>
      <c r="LN12" s="1318">
        <f>LN10/LB10-1</f>
        <v/>
      </c>
      <c r="LO12" s="1318">
        <f>LO10/LC10-1</f>
        <v/>
      </c>
      <c r="LP12" s="1318">
        <f>LP10/LD10-1</f>
        <v/>
      </c>
      <c r="LQ12" s="1318">
        <f>LQ10/LE10-1</f>
        <v/>
      </c>
      <c r="LR12" s="1318">
        <f>LR10/LF10-1</f>
        <v/>
      </c>
      <c r="LS12" s="1318">
        <f>LS10/LG10-1</f>
        <v/>
      </c>
    </row>
    <row r="13">
      <c r="A13" s="885" t="inlineStr">
        <is>
          <t>YTD cg %</t>
        </is>
      </c>
      <c r="B13" s="1318" t="n"/>
      <c r="C13" s="1318" t="n"/>
      <c r="D13" s="1318" t="n"/>
      <c r="E13" s="1318" t="n"/>
      <c r="F13" s="1318" t="n"/>
      <c r="G13" s="1318" t="n"/>
      <c r="H13" s="1318" t="n"/>
      <c r="I13" s="1318" t="n"/>
      <c r="J13" s="1318" t="n"/>
      <c r="K13" s="1318" t="n"/>
      <c r="L13" s="1318" t="n"/>
      <c r="M13" s="1318" t="n"/>
      <c r="N13" s="1318">
        <f>SUMIFS(10:10,$8:$8,"&gt;="&amp;DATE(YEAR(N$8),1,1),$8:$8,"&lt;="&amp;EOMONTH(N$8,0))/SUMIFS(10:10,$8:$8,"&gt;="&amp;DATE(YEAR(N$8)-1,1,1),$8:$8,"&lt;="&amp;EOMONTH(N$8,-12))-1</f>
        <v/>
      </c>
      <c r="O13" s="1318">
        <f>SUMIFS(10:10,$8:$8,"&gt;="&amp;DATE(YEAR(O$8),1,1),$8:$8,"&lt;="&amp;EOMONTH(O$8,0))/SUMIFS(10:10,$8:$8,"&gt;="&amp;DATE(YEAR(O$8)-1,1,1),$8:$8,"&lt;="&amp;EOMONTH(O$8,-12))-1</f>
        <v/>
      </c>
      <c r="P13" s="1318">
        <f>SUMIFS(10:10,$8:$8,"&gt;="&amp;DATE(YEAR(P$8),1,1),$8:$8,"&lt;="&amp;EOMONTH(P$8,0))/SUMIFS(10:10,$8:$8,"&gt;="&amp;DATE(YEAR(P$8)-1,1,1),$8:$8,"&lt;="&amp;EOMONTH(P$8,-12))-1</f>
        <v/>
      </c>
      <c r="Q13" s="1318">
        <f>SUMIFS(10:10,$8:$8,"&gt;="&amp;DATE(YEAR(Q$8),1,1),$8:$8,"&lt;="&amp;EOMONTH(Q$8,0))/SUMIFS(10:10,$8:$8,"&gt;="&amp;DATE(YEAR(Q$8)-1,1,1),$8:$8,"&lt;="&amp;EOMONTH(Q$8,-12))-1</f>
        <v/>
      </c>
      <c r="R13" s="1318">
        <f>SUMIFS(10:10,$8:$8,"&gt;="&amp;DATE(YEAR(R$8),1,1),$8:$8,"&lt;="&amp;EOMONTH(R$8,0))/SUMIFS(10:10,$8:$8,"&gt;="&amp;DATE(YEAR(R$8)-1,1,1),$8:$8,"&lt;="&amp;EOMONTH(R$8,-12))-1</f>
        <v/>
      </c>
      <c r="S13" s="1318">
        <f>SUMIFS(10:10,$8:$8,"&gt;="&amp;DATE(YEAR(S$8),1,1),$8:$8,"&lt;="&amp;EOMONTH(S$8,0))/SUMIFS(10:10,$8:$8,"&gt;="&amp;DATE(YEAR(S$8)-1,1,1),$8:$8,"&lt;="&amp;EOMONTH(S$8,-12))-1</f>
        <v/>
      </c>
      <c r="T13" s="1318">
        <f>SUMIFS(10:10,$8:$8,"&gt;="&amp;DATE(YEAR(T$8),1,1),$8:$8,"&lt;="&amp;EOMONTH(T$8,0))/SUMIFS(10:10,$8:$8,"&gt;="&amp;DATE(YEAR(T$8)-1,1,1),$8:$8,"&lt;="&amp;EOMONTH(T$8,-12))-1</f>
        <v/>
      </c>
      <c r="U13" s="1318">
        <f>SUMIFS(10:10,$8:$8,"&gt;="&amp;DATE(YEAR(U$8),1,1),$8:$8,"&lt;="&amp;EOMONTH(U$8,0))/SUMIFS(10:10,$8:$8,"&gt;="&amp;DATE(YEAR(U$8)-1,1,1),$8:$8,"&lt;="&amp;EOMONTH(U$8,-12))-1</f>
        <v/>
      </c>
      <c r="V13" s="1318">
        <f>SUMIFS(10:10,$8:$8,"&gt;="&amp;DATE(YEAR(V$8),1,1),$8:$8,"&lt;="&amp;EOMONTH(V$8,0))/SUMIFS(10:10,$8:$8,"&gt;="&amp;DATE(YEAR(V$8)-1,1,1),$8:$8,"&lt;="&amp;EOMONTH(V$8,-12))-1</f>
        <v/>
      </c>
      <c r="W13" s="1318">
        <f>SUMIFS(10:10,$8:$8,"&gt;="&amp;DATE(YEAR(W$8),1,1),$8:$8,"&lt;="&amp;EOMONTH(W$8,0))/SUMIFS(10:10,$8:$8,"&gt;="&amp;DATE(YEAR(W$8)-1,1,1),$8:$8,"&lt;="&amp;EOMONTH(W$8,-12))-1</f>
        <v/>
      </c>
      <c r="X13" s="1318">
        <f>SUMIFS(10:10,$8:$8,"&gt;="&amp;DATE(YEAR(X$8),1,1),$8:$8,"&lt;="&amp;EOMONTH(X$8,0))/SUMIFS(10:10,$8:$8,"&gt;="&amp;DATE(YEAR(X$8)-1,1,1),$8:$8,"&lt;="&amp;EOMONTH(X$8,-12))-1</f>
        <v/>
      </c>
      <c r="Y13" s="1318">
        <f>SUMIFS(10:10,$8:$8,"&gt;="&amp;DATE(YEAR(Y$8),1,1),$8:$8,"&lt;="&amp;EOMONTH(Y$8,0))/SUMIFS(10:10,$8:$8,"&gt;="&amp;DATE(YEAR(Y$8)-1,1,1),$8:$8,"&lt;="&amp;EOMONTH(Y$8,-12))-1</f>
        <v/>
      </c>
      <c r="Z13" s="1318">
        <f>SUMIFS(10:10,$8:$8,"&gt;="&amp;DATE(YEAR(Z$8),1,1),$8:$8,"&lt;="&amp;EOMONTH(Z$8,0))/SUMIFS(10:10,$8:$8,"&gt;="&amp;DATE(YEAR(Z$8)-1,1,1),$8:$8,"&lt;="&amp;EOMONTH(Z$8,-12))-1</f>
        <v/>
      </c>
      <c r="AA13" s="1318">
        <f>SUMIFS(10:10,$8:$8,"&gt;="&amp;DATE(YEAR(AA$8),1,1),$8:$8,"&lt;="&amp;EOMONTH(AA$8,0))/SUMIFS(10:10,$8:$8,"&gt;="&amp;DATE(YEAR(AA$8)-1,1,1),$8:$8,"&lt;="&amp;EOMONTH(AA$8,-12))-1</f>
        <v/>
      </c>
      <c r="AB13" s="1318">
        <f>SUMIFS(10:10,$8:$8,"&gt;="&amp;DATE(YEAR(AB$8),1,1),$8:$8,"&lt;="&amp;EOMONTH(AB$8,0))/SUMIFS(10:10,$8:$8,"&gt;="&amp;DATE(YEAR(AB$8)-1,1,1),$8:$8,"&lt;="&amp;EOMONTH(AB$8,-12))-1</f>
        <v/>
      </c>
      <c r="AC13" s="1318">
        <f>SUMIFS(10:10,$8:$8,"&gt;="&amp;DATE(YEAR(AC$8),1,1),$8:$8,"&lt;="&amp;EOMONTH(AC$8,0))/SUMIFS(10:10,$8:$8,"&gt;="&amp;DATE(YEAR(AC$8)-1,1,1),$8:$8,"&lt;="&amp;EOMONTH(AC$8,-12))-1</f>
        <v/>
      </c>
      <c r="AD13" s="1318">
        <f>SUMIFS(10:10,$8:$8,"&gt;="&amp;DATE(YEAR(AD$8),1,1),$8:$8,"&lt;="&amp;EOMONTH(AD$8,0))/SUMIFS(10:10,$8:$8,"&gt;="&amp;DATE(YEAR(AD$8)-1,1,1),$8:$8,"&lt;="&amp;EOMONTH(AD$8,-12))-1</f>
        <v/>
      </c>
      <c r="AE13" s="1318">
        <f>SUMIFS(10:10,$8:$8,"&gt;="&amp;DATE(YEAR(AE$8),1,1),$8:$8,"&lt;="&amp;EOMONTH(AE$8,0))/SUMIFS(10:10,$8:$8,"&gt;="&amp;DATE(YEAR(AE$8)-1,1,1),$8:$8,"&lt;="&amp;EOMONTH(AE$8,-12))-1</f>
        <v/>
      </c>
      <c r="AF13" s="1318">
        <f>SUMIFS(10:10,$8:$8,"&gt;="&amp;DATE(YEAR(AF$8),1,1),$8:$8,"&lt;="&amp;EOMONTH(AF$8,0))/SUMIFS(10:10,$8:$8,"&gt;="&amp;DATE(YEAR(AF$8)-1,1,1),$8:$8,"&lt;="&amp;EOMONTH(AF$8,-12))-1</f>
        <v/>
      </c>
      <c r="AG13" s="1318">
        <f>SUMIFS(10:10,$8:$8,"&gt;="&amp;DATE(YEAR(AG$8),1,1),$8:$8,"&lt;="&amp;EOMONTH(AG$8,0))/SUMIFS(10:10,$8:$8,"&gt;="&amp;DATE(YEAR(AG$8)-1,1,1),$8:$8,"&lt;="&amp;EOMONTH(AG$8,-12))-1</f>
        <v/>
      </c>
      <c r="AH13" s="1318">
        <f>SUMIFS(10:10,$8:$8,"&gt;="&amp;DATE(YEAR(AH$8),1,1),$8:$8,"&lt;="&amp;EOMONTH(AH$8,0))/SUMIFS(10:10,$8:$8,"&gt;="&amp;DATE(YEAR(AH$8)-1,1,1),$8:$8,"&lt;="&amp;EOMONTH(AH$8,-12))-1</f>
        <v/>
      </c>
      <c r="AI13" s="1318">
        <f>SUMIFS(10:10,$8:$8,"&gt;="&amp;DATE(YEAR(AI$8),1,1),$8:$8,"&lt;="&amp;EOMONTH(AI$8,0))/SUMIFS(10:10,$8:$8,"&gt;="&amp;DATE(YEAR(AI$8)-1,1,1),$8:$8,"&lt;="&amp;EOMONTH(AI$8,-12))-1</f>
        <v/>
      </c>
      <c r="AJ13" s="1318">
        <f>SUMIFS(10:10,$8:$8,"&gt;="&amp;DATE(YEAR(AJ$8),1,1),$8:$8,"&lt;="&amp;EOMONTH(AJ$8,0))/SUMIFS(10:10,$8:$8,"&gt;="&amp;DATE(YEAR(AJ$8)-1,1,1),$8:$8,"&lt;="&amp;EOMONTH(AJ$8,-12))-1</f>
        <v/>
      </c>
      <c r="AK13" s="1318">
        <f>SUMIFS(10:10,$8:$8,"&gt;="&amp;DATE(YEAR(AK$8),1,1),$8:$8,"&lt;="&amp;EOMONTH(AK$8,0))/SUMIFS(10:10,$8:$8,"&gt;="&amp;DATE(YEAR(AK$8)-1,1,1),$8:$8,"&lt;="&amp;EOMONTH(AK$8,-12))-1</f>
        <v/>
      </c>
      <c r="AL13" s="1318">
        <f>SUMIFS(10:10,$8:$8,"&gt;="&amp;DATE(YEAR(AL$8),1,1),$8:$8,"&lt;="&amp;EOMONTH(AL$8,0))/SUMIFS(10:10,$8:$8,"&gt;="&amp;DATE(YEAR(AL$8)-1,1,1),$8:$8,"&lt;="&amp;EOMONTH(AL$8,-12))-1</f>
        <v/>
      </c>
      <c r="AM13" s="1318">
        <f>SUMIFS(10:10,$8:$8,"&gt;="&amp;DATE(YEAR(AM$8),1,1),$8:$8,"&lt;="&amp;EOMONTH(AM$8,0))/SUMIFS(10:10,$8:$8,"&gt;="&amp;DATE(YEAR(AM$8)-1,1,1),$8:$8,"&lt;="&amp;EOMONTH(AM$8,-12))-1</f>
        <v/>
      </c>
      <c r="AN13" s="1318">
        <f>SUMIFS(10:10,$8:$8,"&gt;="&amp;DATE(YEAR(AN$8),1,1),$8:$8,"&lt;="&amp;EOMONTH(AN$8,0))/SUMIFS(10:10,$8:$8,"&gt;="&amp;DATE(YEAR(AN$8)-1,1,1),$8:$8,"&lt;="&amp;EOMONTH(AN$8,-12))-1</f>
        <v/>
      </c>
      <c r="AO13" s="1318">
        <f>SUMIFS(10:10,$8:$8,"&gt;="&amp;DATE(YEAR(AO$8),1,1),$8:$8,"&lt;="&amp;EOMONTH(AO$8,0))/SUMIFS(10:10,$8:$8,"&gt;="&amp;DATE(YEAR(AO$8)-1,1,1),$8:$8,"&lt;="&amp;EOMONTH(AO$8,-12))-1</f>
        <v/>
      </c>
      <c r="AP13" s="1318">
        <f>SUMIFS(10:10,$8:$8,"&gt;="&amp;DATE(YEAR(AP$8),1,1),$8:$8,"&lt;="&amp;EOMONTH(AP$8,0))/SUMIFS(10:10,$8:$8,"&gt;="&amp;DATE(YEAR(AP$8)-1,1,1),$8:$8,"&lt;="&amp;EOMONTH(AP$8,-12))-1</f>
        <v/>
      </c>
      <c r="AQ13" s="1318">
        <f>SUMIFS(10:10,$8:$8,"&gt;="&amp;DATE(YEAR(AQ$8),1,1),$8:$8,"&lt;="&amp;EOMONTH(AQ$8,0))/SUMIFS(10:10,$8:$8,"&gt;="&amp;DATE(YEAR(AQ$8)-1,1,1),$8:$8,"&lt;="&amp;EOMONTH(AQ$8,-12))-1</f>
        <v/>
      </c>
      <c r="AR13" s="1318">
        <f>SUMIFS(10:10,$8:$8,"&gt;="&amp;DATE(YEAR(AR$8),1,1),$8:$8,"&lt;="&amp;EOMONTH(AR$8,0))/SUMIFS(10:10,$8:$8,"&gt;="&amp;DATE(YEAR(AR$8)-1,1,1),$8:$8,"&lt;="&amp;EOMONTH(AR$8,-12))-1</f>
        <v/>
      </c>
      <c r="AS13" s="1318">
        <f>SUMIFS(10:10,$8:$8,"&gt;="&amp;DATE(YEAR(AS$8),1,1),$8:$8,"&lt;="&amp;EOMONTH(AS$8,0))/SUMIFS(10:10,$8:$8,"&gt;="&amp;DATE(YEAR(AS$8)-1,1,1),$8:$8,"&lt;="&amp;EOMONTH(AS$8,-12))-1</f>
        <v/>
      </c>
      <c r="AT13" s="1318">
        <f>SUMIFS(10:10,$8:$8,"&gt;="&amp;DATE(YEAR(AT$8),1,1),$8:$8,"&lt;="&amp;EOMONTH(AT$8,0))/SUMIFS(10:10,$8:$8,"&gt;="&amp;DATE(YEAR(AT$8)-1,1,1),$8:$8,"&lt;="&amp;EOMONTH(AT$8,-12))-1</f>
        <v/>
      </c>
      <c r="AU13" s="1318">
        <f>SUMIFS(10:10,$8:$8,"&gt;="&amp;DATE(YEAR(AU$8),1,1),$8:$8,"&lt;="&amp;EOMONTH(AU$8,0))/SUMIFS(10:10,$8:$8,"&gt;="&amp;DATE(YEAR(AU$8)-1,1,1),$8:$8,"&lt;="&amp;EOMONTH(AU$8,-12))-1</f>
        <v/>
      </c>
      <c r="AV13" s="1318">
        <f>SUMIFS(10:10,$8:$8,"&gt;="&amp;DATE(YEAR(AV$8),1,1),$8:$8,"&lt;="&amp;EOMONTH(AV$8,0))/SUMIFS(10:10,$8:$8,"&gt;="&amp;DATE(YEAR(AV$8)-1,1,1),$8:$8,"&lt;="&amp;EOMONTH(AV$8,-12))-1</f>
        <v/>
      </c>
      <c r="AW13" s="1318">
        <f>SUMIFS(10:10,$8:$8,"&gt;="&amp;DATE(YEAR(AW$8),1,1),$8:$8,"&lt;="&amp;EOMONTH(AW$8,0))/SUMIFS(10:10,$8:$8,"&gt;="&amp;DATE(YEAR(AW$8)-1,1,1),$8:$8,"&lt;="&amp;EOMONTH(AW$8,-12))-1</f>
        <v/>
      </c>
      <c r="AX13" s="1318">
        <f>SUMIFS(10:10,$8:$8,"&gt;="&amp;DATE(YEAR(AX$8),1,1),$8:$8,"&lt;="&amp;EOMONTH(AX$8,0))/SUMIFS(10:10,$8:$8,"&gt;="&amp;DATE(YEAR(AX$8)-1,1,1),$8:$8,"&lt;="&amp;EOMONTH(AX$8,-12))-1</f>
        <v/>
      </c>
      <c r="AY13" s="1318">
        <f>SUMIFS(10:10,$8:$8,"&gt;="&amp;DATE(YEAR(AY$8),1,1),$8:$8,"&lt;="&amp;EOMONTH(AY$8,0))/SUMIFS(10:10,$8:$8,"&gt;="&amp;DATE(YEAR(AY$8)-1,1,1),$8:$8,"&lt;="&amp;EOMONTH(AY$8,-12))-1</f>
        <v/>
      </c>
      <c r="AZ13" s="1318">
        <f>SUMIFS(10:10,$8:$8,"&gt;="&amp;DATE(YEAR(AZ$8),1,1),$8:$8,"&lt;="&amp;EOMONTH(AZ$8,0))/SUMIFS(10:10,$8:$8,"&gt;="&amp;DATE(YEAR(AZ$8)-1,1,1),$8:$8,"&lt;="&amp;EOMONTH(AZ$8,-12))-1</f>
        <v/>
      </c>
      <c r="BA13" s="1318">
        <f>SUMIFS(10:10,$8:$8,"&gt;="&amp;DATE(YEAR(BA$8),1,1),$8:$8,"&lt;="&amp;EOMONTH(BA$8,0))/SUMIFS(10:10,$8:$8,"&gt;="&amp;DATE(YEAR(BA$8)-1,1,1),$8:$8,"&lt;="&amp;EOMONTH(BA$8,-12))-1</f>
        <v/>
      </c>
      <c r="BB13" s="1318">
        <f>SUMIFS(10:10,$8:$8,"&gt;="&amp;DATE(YEAR(BB$8),1,1),$8:$8,"&lt;="&amp;EOMONTH(BB$8,0))/SUMIFS(10:10,$8:$8,"&gt;="&amp;DATE(YEAR(BB$8)-1,1,1),$8:$8,"&lt;="&amp;EOMONTH(BB$8,-12))-1</f>
        <v/>
      </c>
      <c r="BC13" s="1318">
        <f>SUMIFS(10:10,$8:$8,"&gt;="&amp;DATE(YEAR(BC$8),1,1),$8:$8,"&lt;="&amp;EOMONTH(BC$8,0))/SUMIFS(10:10,$8:$8,"&gt;="&amp;DATE(YEAR(BC$8)-1,1,1),$8:$8,"&lt;="&amp;EOMONTH(BC$8,-12))-1</f>
        <v/>
      </c>
      <c r="BD13" s="1318">
        <f>SUMIFS(10:10,$8:$8,"&gt;="&amp;DATE(YEAR(BD$8),1,1),$8:$8,"&lt;="&amp;EOMONTH(BD$8,0))/SUMIFS(10:10,$8:$8,"&gt;="&amp;DATE(YEAR(BD$8)-1,1,1),$8:$8,"&lt;="&amp;EOMONTH(BD$8,-12))-1</f>
        <v/>
      </c>
      <c r="BE13" s="1318">
        <f>SUMIFS(10:10,$8:$8,"&gt;="&amp;DATE(YEAR(BE$8),1,1),$8:$8,"&lt;="&amp;EOMONTH(BE$8,0))/SUMIFS(10:10,$8:$8,"&gt;="&amp;DATE(YEAR(BE$8)-1,1,1),$8:$8,"&lt;="&amp;EOMONTH(BE$8,-12))-1</f>
        <v/>
      </c>
      <c r="BF13" s="1318">
        <f>SUMIFS(10:10,$8:$8,"&gt;="&amp;DATE(YEAR(BF$8),1,1),$8:$8,"&lt;="&amp;EOMONTH(BF$8,0))/SUMIFS(10:10,$8:$8,"&gt;="&amp;DATE(YEAR(BF$8)-1,1,1),$8:$8,"&lt;="&amp;EOMONTH(BF$8,-12))-1</f>
        <v/>
      </c>
      <c r="BG13" s="1318">
        <f>SUMIFS(10:10,$8:$8,"&gt;="&amp;DATE(YEAR(BG$8),1,1),$8:$8,"&lt;="&amp;EOMONTH(BG$8,0))/SUMIFS(10:10,$8:$8,"&gt;="&amp;DATE(YEAR(BG$8)-1,1,1),$8:$8,"&lt;="&amp;EOMONTH(BG$8,-12))-1</f>
        <v/>
      </c>
      <c r="BH13" s="1318">
        <f>SUMIFS(10:10,$8:$8,"&gt;="&amp;DATE(YEAR(BH$8),1,1),$8:$8,"&lt;="&amp;EOMONTH(BH$8,0))/SUMIFS(10:10,$8:$8,"&gt;="&amp;DATE(YEAR(BH$8)-1,1,1),$8:$8,"&lt;="&amp;EOMONTH(BH$8,-12))-1</f>
        <v/>
      </c>
      <c r="BI13" s="1318">
        <f>SUMIFS(10:10,$8:$8,"&gt;="&amp;DATE(YEAR(BI$8),1,1),$8:$8,"&lt;="&amp;EOMONTH(BI$8,0))/SUMIFS(10:10,$8:$8,"&gt;="&amp;DATE(YEAR(BI$8)-1,1,1),$8:$8,"&lt;="&amp;EOMONTH(BI$8,-12))-1</f>
        <v/>
      </c>
      <c r="BJ13" s="1318">
        <f>SUMIFS(10:10,$8:$8,"&gt;="&amp;DATE(YEAR(BJ$8),1,1),$8:$8,"&lt;="&amp;EOMONTH(BJ$8,0))/SUMIFS(10:10,$8:$8,"&gt;="&amp;DATE(YEAR(BJ$8)-1,1,1),$8:$8,"&lt;="&amp;EOMONTH(BJ$8,-12))-1</f>
        <v/>
      </c>
      <c r="BK13" s="1318">
        <f>SUMIFS(10:10,$8:$8,"&gt;="&amp;DATE(YEAR(BK$8),1,1),$8:$8,"&lt;="&amp;EOMONTH(BK$8,0))/SUMIFS(10:10,$8:$8,"&gt;="&amp;DATE(YEAR(BK$8)-1,1,1),$8:$8,"&lt;="&amp;EOMONTH(BK$8,-12))-1</f>
        <v/>
      </c>
      <c r="BL13" s="1318">
        <f>SUMIFS(10:10,$8:$8,"&gt;="&amp;DATE(YEAR(BL$8),1,1),$8:$8,"&lt;="&amp;EOMONTH(BL$8,0))/SUMIFS(10:10,$8:$8,"&gt;="&amp;DATE(YEAR(BL$8)-1,1,1),$8:$8,"&lt;="&amp;EOMONTH(BL$8,-12))-1</f>
        <v/>
      </c>
      <c r="BM13" s="1318">
        <f>SUMIFS(10:10,$8:$8,"&gt;="&amp;DATE(YEAR(BM$8),1,1),$8:$8,"&lt;="&amp;EOMONTH(BM$8,0))/SUMIFS(10:10,$8:$8,"&gt;="&amp;DATE(YEAR(BM$8)-1,1,1),$8:$8,"&lt;="&amp;EOMONTH(BM$8,-12))-1</f>
        <v/>
      </c>
      <c r="BN13" s="1318">
        <f>SUMIFS(10:10,$8:$8,"&gt;="&amp;DATE(YEAR(BN$8),1,1),$8:$8,"&lt;="&amp;EOMONTH(BN$8,0))/SUMIFS(10:10,$8:$8,"&gt;="&amp;DATE(YEAR(BN$8)-1,1,1),$8:$8,"&lt;="&amp;EOMONTH(BN$8,-12))-1</f>
        <v/>
      </c>
      <c r="BO13" s="1318">
        <f>SUMIFS(10:10,$8:$8,"&gt;="&amp;DATE(YEAR(BO$8),1,1),$8:$8,"&lt;="&amp;EOMONTH(BO$8,0))/SUMIFS(10:10,$8:$8,"&gt;="&amp;DATE(YEAR(BO$8)-1,1,1),$8:$8,"&lt;="&amp;EOMONTH(BO$8,-12))-1</f>
        <v/>
      </c>
      <c r="BP13" s="1318">
        <f>SUMIFS(10:10,$8:$8,"&gt;="&amp;DATE(YEAR(BP$8),1,1),$8:$8,"&lt;="&amp;EOMONTH(BP$8,0))/SUMIFS(10:10,$8:$8,"&gt;="&amp;DATE(YEAR(BP$8)-1,1,1),$8:$8,"&lt;="&amp;EOMONTH(BP$8,-12))-1</f>
        <v/>
      </c>
      <c r="BQ13" s="1318">
        <f>SUMIFS(10:10,$8:$8,"&gt;="&amp;DATE(YEAR(BQ$8),1,1),$8:$8,"&lt;="&amp;EOMONTH(BQ$8,0))/SUMIFS(10:10,$8:$8,"&gt;="&amp;DATE(YEAR(BQ$8)-1,1,1),$8:$8,"&lt;="&amp;EOMONTH(BQ$8,-12))-1</f>
        <v/>
      </c>
      <c r="BR13" s="1318">
        <f>SUMIFS(10:10,$8:$8,"&gt;="&amp;DATE(YEAR(BR$8),1,1),$8:$8,"&lt;="&amp;EOMONTH(BR$8,0))/SUMIFS(10:10,$8:$8,"&gt;="&amp;DATE(YEAR(BR$8)-1,1,1),$8:$8,"&lt;="&amp;EOMONTH(BR$8,-12))-1</f>
        <v/>
      </c>
      <c r="BS13" s="1318">
        <f>SUMIFS(10:10,$8:$8,"&gt;="&amp;DATE(YEAR(BS$8),1,1),$8:$8,"&lt;="&amp;EOMONTH(BS$8,0))/SUMIFS(10:10,$8:$8,"&gt;="&amp;DATE(YEAR(BS$8)-1,1,1),$8:$8,"&lt;="&amp;EOMONTH(BS$8,-12))-1</f>
        <v/>
      </c>
      <c r="BT13" s="1318">
        <f>SUMIFS(10:10,$8:$8,"&gt;="&amp;DATE(YEAR(BT$8),1,1),$8:$8,"&lt;="&amp;EOMONTH(BT$8,0))/SUMIFS(10:10,$8:$8,"&gt;="&amp;DATE(YEAR(BT$8)-1,1,1),$8:$8,"&lt;="&amp;EOMONTH(BT$8,-12))-1</f>
        <v/>
      </c>
      <c r="BU13" s="1318">
        <f>SUMIFS(10:10,$8:$8,"&gt;="&amp;DATE(YEAR(BU$8),1,1),$8:$8,"&lt;="&amp;EOMONTH(BU$8,0))/SUMIFS(10:10,$8:$8,"&gt;="&amp;DATE(YEAR(BU$8)-1,1,1),$8:$8,"&lt;="&amp;EOMONTH(BU$8,-12))-1</f>
        <v/>
      </c>
      <c r="BV13" s="1318">
        <f>SUMIFS(10:10,$8:$8,"&gt;="&amp;DATE(YEAR(BV$8),1,1),$8:$8,"&lt;="&amp;EOMONTH(BV$8,0))/SUMIFS(10:10,$8:$8,"&gt;="&amp;DATE(YEAR(BV$8)-1,1,1),$8:$8,"&lt;="&amp;EOMONTH(BV$8,-12))-1</f>
        <v/>
      </c>
      <c r="BW13" s="1318">
        <f>SUMIFS(10:10,$8:$8,"&gt;="&amp;DATE(YEAR(BW$8),1,1),$8:$8,"&lt;="&amp;EOMONTH(BW$8,0))/SUMIFS(10:10,$8:$8,"&gt;="&amp;DATE(YEAR(BW$8)-1,1,1),$8:$8,"&lt;="&amp;EOMONTH(BW$8,-12))-1</f>
        <v/>
      </c>
      <c r="BX13" s="1318">
        <f>SUMIFS(10:10,$8:$8,"&gt;="&amp;DATE(YEAR(BX$8),1,1),$8:$8,"&lt;="&amp;EOMONTH(BX$8,0))/SUMIFS(10:10,$8:$8,"&gt;="&amp;DATE(YEAR(BX$8)-1,1,1),$8:$8,"&lt;="&amp;EOMONTH(BX$8,-12))-1</f>
        <v/>
      </c>
      <c r="BY13" s="1318">
        <f>SUMIFS(10:10,$8:$8,"&gt;="&amp;DATE(YEAR(BY$8),1,1),$8:$8,"&lt;="&amp;EOMONTH(BY$8,0))/SUMIFS(10:10,$8:$8,"&gt;="&amp;DATE(YEAR(BY$8)-1,1,1),$8:$8,"&lt;="&amp;EOMONTH(BY$8,-12))-1</f>
        <v/>
      </c>
      <c r="BZ13" s="1318">
        <f>SUMIFS(10:10,$8:$8,"&gt;="&amp;DATE(YEAR(BZ$8),1,1),$8:$8,"&lt;="&amp;EOMONTH(BZ$8,0))/SUMIFS(10:10,$8:$8,"&gt;="&amp;DATE(YEAR(BZ$8)-1,1,1),$8:$8,"&lt;="&amp;EOMONTH(BZ$8,-12))-1</f>
        <v/>
      </c>
      <c r="CA13" s="1318">
        <f>SUMIFS(10:10,$8:$8,"&gt;="&amp;DATE(YEAR(CA$8),1,1),$8:$8,"&lt;="&amp;EOMONTH(CA$8,0))/SUMIFS(10:10,$8:$8,"&gt;="&amp;DATE(YEAR(CA$8)-1,1,1),$8:$8,"&lt;="&amp;EOMONTH(CA$8,-12))-1</f>
        <v/>
      </c>
      <c r="CB13" s="1318">
        <f>SUMIFS(10:10,$8:$8,"&gt;="&amp;DATE(YEAR(CB$8),1,1),$8:$8,"&lt;="&amp;EOMONTH(CB$8,0))/SUMIFS(10:10,$8:$8,"&gt;="&amp;DATE(YEAR(CB$8)-1,1,1),$8:$8,"&lt;="&amp;EOMONTH(CB$8,-12))-1</f>
        <v/>
      </c>
      <c r="CC13" s="1318">
        <f>SUMIFS(10:10,$8:$8,"&gt;="&amp;DATE(YEAR(CC$8),1,1),$8:$8,"&lt;="&amp;EOMONTH(CC$8,0))/SUMIFS(10:10,$8:$8,"&gt;="&amp;DATE(YEAR(CC$8)-1,1,1),$8:$8,"&lt;="&amp;EOMONTH(CC$8,-12))-1</f>
        <v/>
      </c>
      <c r="CD13" s="1318">
        <f>SUMIFS(10:10,$8:$8,"&gt;="&amp;DATE(YEAR(CD$8),1,1),$8:$8,"&lt;="&amp;EOMONTH(CD$8,0))/SUMIFS(10:10,$8:$8,"&gt;="&amp;DATE(YEAR(CD$8)-1,1,1),$8:$8,"&lt;="&amp;EOMONTH(CD$8,-12))-1</f>
        <v/>
      </c>
      <c r="CE13" s="1318">
        <f>SUMIFS(10:10,$8:$8,"&gt;="&amp;DATE(YEAR(CE$8),1,1),$8:$8,"&lt;="&amp;EOMONTH(CE$8,0))/SUMIFS(10:10,$8:$8,"&gt;="&amp;DATE(YEAR(CE$8)-1,1,1),$8:$8,"&lt;="&amp;EOMONTH(CE$8,-12))-1</f>
        <v/>
      </c>
      <c r="CF13" s="1318">
        <f>SUMIFS(10:10,$8:$8,"&gt;="&amp;DATE(YEAR(CF$8),1,1),$8:$8,"&lt;="&amp;EOMONTH(CF$8,0))/SUMIFS(10:10,$8:$8,"&gt;="&amp;DATE(YEAR(CF$8)-1,1,1),$8:$8,"&lt;="&amp;EOMONTH(CF$8,-12))-1</f>
        <v/>
      </c>
      <c r="CG13" s="1318">
        <f>SUMIFS(10:10,$8:$8,"&gt;="&amp;DATE(YEAR(CG$8),1,1),$8:$8,"&lt;="&amp;EOMONTH(CG$8,0))/SUMIFS(10:10,$8:$8,"&gt;="&amp;DATE(YEAR(CG$8)-1,1,1),$8:$8,"&lt;="&amp;EOMONTH(CG$8,-12))-1</f>
        <v/>
      </c>
      <c r="CH13" s="1318">
        <f>SUMIFS(10:10,$8:$8,"&gt;="&amp;DATE(YEAR(CH$8),1,1),$8:$8,"&lt;="&amp;EOMONTH(CH$8,0))/SUMIFS(10:10,$8:$8,"&gt;="&amp;DATE(YEAR(CH$8)-1,1,1),$8:$8,"&lt;="&amp;EOMONTH(CH$8,-12))-1</f>
        <v/>
      </c>
      <c r="CI13" s="1318">
        <f>SUMIFS(10:10,$8:$8,"&gt;="&amp;DATE(YEAR(CI$8),1,1),$8:$8,"&lt;="&amp;EOMONTH(CI$8,0))/SUMIFS(10:10,$8:$8,"&gt;="&amp;DATE(YEAR(CI$8)-1,1,1),$8:$8,"&lt;="&amp;EOMONTH(CI$8,-12))-1</f>
        <v/>
      </c>
      <c r="CJ13" s="1318">
        <f>SUMIFS(10:10,$8:$8,"&gt;="&amp;DATE(YEAR(CJ$8),1,1),$8:$8,"&lt;="&amp;EOMONTH(CJ$8,0))/SUMIFS(10:10,$8:$8,"&gt;="&amp;DATE(YEAR(CJ$8)-1,1,1),$8:$8,"&lt;="&amp;EOMONTH(CJ$8,-12))-1</f>
        <v/>
      </c>
      <c r="CK13" s="1318">
        <f>SUMIFS(10:10,$8:$8,"&gt;="&amp;DATE(YEAR(CK$8),1,1),$8:$8,"&lt;="&amp;EOMONTH(CK$8,0))/SUMIFS(10:10,$8:$8,"&gt;="&amp;DATE(YEAR(CK$8)-1,1,1),$8:$8,"&lt;="&amp;EOMONTH(CK$8,-12))-1</f>
        <v/>
      </c>
      <c r="CL13" s="1318">
        <f>SUMIFS(10:10,$8:$8,"&gt;="&amp;DATE(YEAR(CL$8),1,1),$8:$8,"&lt;="&amp;EOMONTH(CL$8,0))/SUMIFS(10:10,$8:$8,"&gt;="&amp;DATE(YEAR(CL$8)-1,1,1),$8:$8,"&lt;="&amp;EOMONTH(CL$8,-12))-1</f>
        <v/>
      </c>
      <c r="CM13" s="1318">
        <f>SUMIFS(10:10,$8:$8,"&gt;="&amp;DATE(YEAR(CM$8),1,1),$8:$8,"&lt;="&amp;EOMONTH(CM$8,0))/SUMIFS(10:10,$8:$8,"&gt;="&amp;DATE(YEAR(CM$8)-1,1,1),$8:$8,"&lt;="&amp;EOMONTH(CM$8,-12))-1</f>
        <v/>
      </c>
      <c r="CN13" s="1318">
        <f>SUMIFS(10:10,$8:$8,"&gt;="&amp;DATE(YEAR(CN$8),1,1),$8:$8,"&lt;="&amp;EOMONTH(CN$8,0))/SUMIFS(10:10,$8:$8,"&gt;="&amp;DATE(YEAR(CN$8)-1,1,1),$8:$8,"&lt;="&amp;EOMONTH(CN$8,-12))-1</f>
        <v/>
      </c>
      <c r="CO13" s="1318">
        <f>SUMIFS(10:10,$8:$8,"&gt;="&amp;DATE(YEAR(CO$8),1,1),$8:$8,"&lt;="&amp;EOMONTH(CO$8,0))/SUMIFS(10:10,$8:$8,"&gt;="&amp;DATE(YEAR(CO$8)-1,1,1),$8:$8,"&lt;="&amp;EOMONTH(CO$8,-12))-1</f>
        <v/>
      </c>
      <c r="CP13" s="1318">
        <f>SUMIFS(10:10,$8:$8,"&gt;="&amp;DATE(YEAR(CP$8),1,1),$8:$8,"&lt;="&amp;EOMONTH(CP$8,0))/SUMIFS(10:10,$8:$8,"&gt;="&amp;DATE(YEAR(CP$8)-1,1,1),$8:$8,"&lt;="&amp;EOMONTH(CP$8,-12))-1</f>
        <v/>
      </c>
      <c r="CQ13" s="1318">
        <f>SUMIFS(10:10,$8:$8,"&gt;="&amp;DATE(YEAR(CQ$8),1,1),$8:$8,"&lt;="&amp;EOMONTH(CQ$8,0))/SUMIFS(10:10,$8:$8,"&gt;="&amp;DATE(YEAR(CQ$8)-1,1,1),$8:$8,"&lt;="&amp;EOMONTH(CQ$8,-12))-1</f>
        <v/>
      </c>
      <c r="CR13" s="1318">
        <f>SUMIFS(10:10,$8:$8,"&gt;="&amp;DATE(YEAR(CR$8),1,1),$8:$8,"&lt;="&amp;EOMONTH(CR$8,0))/SUMIFS(10:10,$8:$8,"&gt;="&amp;DATE(YEAR(CR$8)-1,1,1),$8:$8,"&lt;="&amp;EOMONTH(CR$8,-12))-1</f>
        <v/>
      </c>
      <c r="CS13" s="1318">
        <f>SUMIFS(10:10,$8:$8,"&gt;="&amp;DATE(YEAR(CS$8),1,1),$8:$8,"&lt;="&amp;EOMONTH(CS$8,0))/SUMIFS(10:10,$8:$8,"&gt;="&amp;DATE(YEAR(CS$8)-1,1,1),$8:$8,"&lt;="&amp;EOMONTH(CS$8,-12))-1</f>
        <v/>
      </c>
      <c r="CT13" s="1318">
        <f>SUMIFS(10:10,$8:$8,"&gt;="&amp;DATE(YEAR(CT$8),1,1),$8:$8,"&lt;="&amp;EOMONTH(CT$8,0))/SUMIFS(10:10,$8:$8,"&gt;="&amp;DATE(YEAR(CT$8)-1,1,1),$8:$8,"&lt;="&amp;EOMONTH(CT$8,-12))-1</f>
        <v/>
      </c>
      <c r="CU13" s="1318">
        <f>SUMIFS(10:10,$8:$8,"&gt;="&amp;DATE(YEAR(CU$8),1,1),$8:$8,"&lt;="&amp;EOMONTH(CU$8,0))/SUMIFS(10:10,$8:$8,"&gt;="&amp;DATE(YEAR(CU$8)-1,1,1),$8:$8,"&lt;="&amp;EOMONTH(CU$8,-12))-1</f>
        <v/>
      </c>
      <c r="CV13" s="1318">
        <f>SUMIFS(10:10,$8:$8,"&gt;="&amp;DATE(YEAR(CV$8),1,1),$8:$8,"&lt;="&amp;EOMONTH(CV$8,0))/SUMIFS(10:10,$8:$8,"&gt;="&amp;DATE(YEAR(CV$8)-1,1,1),$8:$8,"&lt;="&amp;EOMONTH(CV$8,-12))-1</f>
        <v/>
      </c>
      <c r="CW13" s="1318">
        <f>SUMIFS(10:10,$8:$8,"&gt;="&amp;DATE(YEAR(CW$8),1,1),$8:$8,"&lt;="&amp;EOMONTH(CW$8,0))/SUMIFS(10:10,$8:$8,"&gt;="&amp;DATE(YEAR(CW$8)-1,1,1),$8:$8,"&lt;="&amp;EOMONTH(CW$8,-12))-1</f>
        <v/>
      </c>
      <c r="CX13" s="1318">
        <f>SUMIFS(10:10,$8:$8,"&gt;="&amp;DATE(YEAR(CX$8),1,1),$8:$8,"&lt;="&amp;EOMONTH(CX$8,0))/SUMIFS(10:10,$8:$8,"&gt;="&amp;DATE(YEAR(CX$8)-1,1,1),$8:$8,"&lt;="&amp;EOMONTH(CX$8,-12))-1</f>
        <v/>
      </c>
      <c r="CY13" s="1318">
        <f>SUMIFS(10:10,$8:$8,"&gt;="&amp;DATE(YEAR(CY$8),1,1),$8:$8,"&lt;="&amp;EOMONTH(CY$8,0))/SUMIFS(10:10,$8:$8,"&gt;="&amp;DATE(YEAR(CY$8)-1,1,1),$8:$8,"&lt;="&amp;EOMONTH(CY$8,-12))-1</f>
        <v/>
      </c>
      <c r="CZ13" s="1318">
        <f>SUMIFS(10:10,$8:$8,"&gt;="&amp;DATE(YEAR(CZ$8),1,1),$8:$8,"&lt;="&amp;EOMONTH(CZ$8,0))/SUMIFS(10:10,$8:$8,"&gt;="&amp;DATE(YEAR(CZ$8)-1,1,1),$8:$8,"&lt;="&amp;EOMONTH(CZ$8,-12))-1</f>
        <v/>
      </c>
      <c r="DA13" s="1318">
        <f>SUMIFS(10:10,$8:$8,"&gt;="&amp;DATE(YEAR(DA$8),1,1),$8:$8,"&lt;="&amp;EOMONTH(DA$8,0))/SUMIFS(10:10,$8:$8,"&gt;="&amp;DATE(YEAR(DA$8)-1,1,1),$8:$8,"&lt;="&amp;EOMONTH(DA$8,-12))-1</f>
        <v/>
      </c>
      <c r="DB13" s="1318">
        <f>SUMIFS(10:10,$8:$8,"&gt;="&amp;DATE(YEAR(DB$8),1,1),$8:$8,"&lt;="&amp;EOMONTH(DB$8,0))/SUMIFS(10:10,$8:$8,"&gt;="&amp;DATE(YEAR(DB$8)-1,1,1),$8:$8,"&lt;="&amp;EOMONTH(DB$8,-12))-1</f>
        <v/>
      </c>
      <c r="DC13" s="1318">
        <f>SUMIFS(10:10,$8:$8,"&gt;="&amp;DATE(YEAR(DC$8),1,1),$8:$8,"&lt;="&amp;EOMONTH(DC$8,0))/SUMIFS(10:10,$8:$8,"&gt;="&amp;DATE(YEAR(DC$8)-1,1,1),$8:$8,"&lt;="&amp;EOMONTH(DC$8,-12))-1</f>
        <v/>
      </c>
      <c r="DD13" s="1318">
        <f>SUMIFS(10:10,$8:$8,"&gt;="&amp;DATE(YEAR(DD$8),1,1),$8:$8,"&lt;="&amp;EOMONTH(DD$8,0))/SUMIFS(10:10,$8:$8,"&gt;="&amp;DATE(YEAR(DD$8)-1,1,1),$8:$8,"&lt;="&amp;EOMONTH(DD$8,-12))-1</f>
        <v/>
      </c>
      <c r="DE13" s="1318">
        <f>SUMIFS(10:10,$8:$8,"&gt;="&amp;DATE(YEAR(DE$8),1,1),$8:$8,"&lt;="&amp;EOMONTH(DE$8,0))/SUMIFS(10:10,$8:$8,"&gt;="&amp;DATE(YEAR(DE$8)-1,1,1),$8:$8,"&lt;="&amp;EOMONTH(DE$8,-12))-1</f>
        <v/>
      </c>
      <c r="DF13" s="1318">
        <f>SUMIFS(10:10,$8:$8,"&gt;="&amp;DATE(YEAR(DF$8),1,1),$8:$8,"&lt;="&amp;EOMONTH(DF$8,0))/SUMIFS(10:10,$8:$8,"&gt;="&amp;DATE(YEAR(DF$8)-1,1,1),$8:$8,"&lt;="&amp;EOMONTH(DF$8,-12))-1</f>
        <v/>
      </c>
      <c r="DG13" s="1318">
        <f>SUMIFS(10:10,$8:$8,"&gt;="&amp;DATE(YEAR(DG$8),1,1),$8:$8,"&lt;="&amp;EOMONTH(DG$8,0))/SUMIFS(10:10,$8:$8,"&gt;="&amp;DATE(YEAR(DG$8)-1,1,1),$8:$8,"&lt;="&amp;EOMONTH(DG$8,-12))-1</f>
        <v/>
      </c>
      <c r="DH13" s="1318">
        <f>SUMIFS(10:10,$8:$8,"&gt;="&amp;DATE(YEAR(DH$8),1,1),$8:$8,"&lt;="&amp;EOMONTH(DH$8,0))/SUMIFS(10:10,$8:$8,"&gt;="&amp;DATE(YEAR(DH$8)-1,1,1),$8:$8,"&lt;="&amp;EOMONTH(DH$8,-12))-1</f>
        <v/>
      </c>
      <c r="DI13" s="1318">
        <f>SUMIFS(10:10,$8:$8,"&gt;="&amp;DATE(YEAR(DI$8),1,1),$8:$8,"&lt;="&amp;EOMONTH(DI$8,0))/SUMIFS(10:10,$8:$8,"&gt;="&amp;DATE(YEAR(DI$8)-1,1,1),$8:$8,"&lt;="&amp;EOMONTH(DI$8,-12))-1</f>
        <v/>
      </c>
      <c r="DJ13" s="1318">
        <f>SUMIFS(10:10,$8:$8,"&gt;="&amp;DATE(YEAR(DJ$8),1,1),$8:$8,"&lt;="&amp;EOMONTH(DJ$8,0))/SUMIFS(10:10,$8:$8,"&gt;="&amp;DATE(YEAR(DJ$8)-1,1,1),$8:$8,"&lt;="&amp;EOMONTH(DJ$8,-12))-1</f>
        <v/>
      </c>
      <c r="DK13" s="1318">
        <f>SUMIFS(10:10,$8:$8,"&gt;="&amp;DATE(YEAR(DK$8),1,1),$8:$8,"&lt;="&amp;EOMONTH(DK$8,0))/SUMIFS(10:10,$8:$8,"&gt;="&amp;DATE(YEAR(DK$8)-1,1,1),$8:$8,"&lt;="&amp;EOMONTH(DK$8,-12))-1</f>
        <v/>
      </c>
      <c r="DL13" s="1318">
        <f>SUMIFS(10:10,$8:$8,"&gt;="&amp;DATE(YEAR(DL$8),1,1),$8:$8,"&lt;="&amp;EOMONTH(DL$8,0))/SUMIFS(10:10,$8:$8,"&gt;="&amp;DATE(YEAR(DL$8)-1,1,1),$8:$8,"&lt;="&amp;EOMONTH(DL$8,-12))-1</f>
        <v/>
      </c>
      <c r="DM13" s="1318">
        <f>SUMIFS(10:10,$8:$8,"&gt;="&amp;DATE(YEAR(DM$8),1,1),$8:$8,"&lt;="&amp;EOMONTH(DM$8,0))/SUMIFS(10:10,$8:$8,"&gt;="&amp;DATE(YEAR(DM$8)-1,1,1),$8:$8,"&lt;="&amp;EOMONTH(DM$8,-12))-1</f>
        <v/>
      </c>
      <c r="DN13" s="1318">
        <f>SUMIFS(10:10,$8:$8,"&gt;="&amp;DATE(YEAR(DN$8),1,1),$8:$8,"&lt;="&amp;EOMONTH(DN$8,0))/SUMIFS(10:10,$8:$8,"&gt;="&amp;DATE(YEAR(DN$8)-1,1,1),$8:$8,"&lt;="&amp;EOMONTH(DN$8,-12))-1</f>
        <v/>
      </c>
      <c r="DO13" s="1318">
        <f>SUMIFS(10:10,$8:$8,"&gt;="&amp;DATE(YEAR(DO$8),1,1),$8:$8,"&lt;="&amp;EOMONTH(DO$8,0))/SUMIFS(10:10,$8:$8,"&gt;="&amp;DATE(YEAR(DO$8)-1,1,1),$8:$8,"&lt;="&amp;EOMONTH(DO$8,-12))-1</f>
        <v/>
      </c>
      <c r="DP13" s="1318">
        <f>SUMIFS(10:10,$8:$8,"&gt;="&amp;DATE(YEAR(DP$8),1,1),$8:$8,"&lt;="&amp;EOMONTH(DP$8,0))/SUMIFS(10:10,$8:$8,"&gt;="&amp;DATE(YEAR(DP$8)-1,1,1),$8:$8,"&lt;="&amp;EOMONTH(DP$8,-12))-1</f>
        <v/>
      </c>
      <c r="DQ13" s="1318">
        <f>SUMIFS(10:10,$8:$8,"&gt;="&amp;DATE(YEAR(DQ$8),1,1),$8:$8,"&lt;="&amp;EOMONTH(DQ$8,0))/SUMIFS(10:10,$8:$8,"&gt;="&amp;DATE(YEAR(DQ$8)-1,1,1),$8:$8,"&lt;="&amp;EOMONTH(DQ$8,-12))-1</f>
        <v/>
      </c>
      <c r="DR13" s="1318">
        <f>SUMIFS(10:10,$8:$8,"&gt;="&amp;DATE(YEAR(DR$8),1,1),$8:$8,"&lt;="&amp;EOMONTH(DR$8,0))/SUMIFS(10:10,$8:$8,"&gt;="&amp;DATE(YEAR(DR$8)-1,1,1),$8:$8,"&lt;="&amp;EOMONTH(DR$8,-12))-1</f>
        <v/>
      </c>
      <c r="DS13" s="1318">
        <f>SUMIFS(10:10,$8:$8,"&gt;="&amp;DATE(YEAR(DS$8),1,1),$8:$8,"&lt;="&amp;EOMONTH(DS$8,0))/SUMIFS(10:10,$8:$8,"&gt;="&amp;DATE(YEAR(DS$8)-1,1,1),$8:$8,"&lt;="&amp;EOMONTH(DS$8,-12))-1</f>
        <v/>
      </c>
      <c r="DT13" s="1318">
        <f>SUMIFS(10:10,$8:$8,"&gt;="&amp;DATE(YEAR(DT$8),1,1),$8:$8,"&lt;="&amp;EOMONTH(DT$8,0))/SUMIFS(10:10,$8:$8,"&gt;="&amp;DATE(YEAR(DT$8)-1,1,1),$8:$8,"&lt;="&amp;EOMONTH(DT$8,-12))-1</f>
        <v/>
      </c>
      <c r="DU13" s="1318">
        <f>SUMIFS(10:10,$8:$8,"&gt;="&amp;DATE(YEAR(DU$8),1,1),$8:$8,"&lt;="&amp;EOMONTH(DU$8,0))/SUMIFS(10:10,$8:$8,"&gt;="&amp;DATE(YEAR(DU$8)-1,1,1),$8:$8,"&lt;="&amp;EOMONTH(DU$8,-12))-1</f>
        <v/>
      </c>
      <c r="DV13" s="1318">
        <f>SUMIFS(10:10,$8:$8,"&gt;="&amp;DATE(YEAR(DV$8),1,1),$8:$8,"&lt;="&amp;EOMONTH(DV$8,0))/SUMIFS(10:10,$8:$8,"&gt;="&amp;DATE(YEAR(DV$8)-1,1,1),$8:$8,"&lt;="&amp;EOMONTH(DV$8,-12))-1</f>
        <v/>
      </c>
      <c r="DW13" s="1318">
        <f>SUMIFS(10:10,$8:$8,"&gt;="&amp;DATE(YEAR(DW$8),1,1),$8:$8,"&lt;="&amp;EOMONTH(DW$8,0))/SUMIFS(10:10,$8:$8,"&gt;="&amp;DATE(YEAR(DW$8)-1,1,1),$8:$8,"&lt;="&amp;EOMONTH(DW$8,-12))-1</f>
        <v/>
      </c>
      <c r="DX13" s="1318">
        <f>SUMIFS(10:10,$8:$8,"&gt;="&amp;DATE(YEAR(DX$8),1,1),$8:$8,"&lt;="&amp;EOMONTH(DX$8,0))/SUMIFS(10:10,$8:$8,"&gt;="&amp;DATE(YEAR(DX$8)-1,1,1),$8:$8,"&lt;="&amp;EOMONTH(DX$8,-12))-1</f>
        <v/>
      </c>
      <c r="DY13" s="1318">
        <f>SUMIFS(10:10,$8:$8,"&gt;="&amp;DATE(YEAR(DY$8),1,1),$8:$8,"&lt;="&amp;EOMONTH(DY$8,0))/SUMIFS(10:10,$8:$8,"&gt;="&amp;DATE(YEAR(DY$8)-1,1,1),$8:$8,"&lt;="&amp;EOMONTH(DY$8,-12))-1</f>
        <v/>
      </c>
      <c r="DZ13" s="1318">
        <f>SUMIFS(10:10,$8:$8,"&gt;="&amp;DATE(YEAR(DZ$8),1,1),$8:$8,"&lt;="&amp;EOMONTH(DZ$8,0))/SUMIFS(10:10,$8:$8,"&gt;="&amp;DATE(YEAR(DZ$8)-1,1,1),$8:$8,"&lt;="&amp;EOMONTH(DZ$8,-12))-1</f>
        <v/>
      </c>
      <c r="EA13" s="1318">
        <f>SUMIFS(10:10,$8:$8,"&gt;="&amp;DATE(YEAR(EA$8),1,1),$8:$8,"&lt;="&amp;EOMONTH(EA$8,0))/SUMIFS(10:10,$8:$8,"&gt;="&amp;DATE(YEAR(EA$8)-1,1,1),$8:$8,"&lt;="&amp;EOMONTH(EA$8,-12))-1</f>
        <v/>
      </c>
      <c r="EB13" s="1318">
        <f>SUMIFS(10:10,$8:$8,"&gt;="&amp;DATE(YEAR(EB$8),1,1),$8:$8,"&lt;="&amp;EOMONTH(EB$8,0))/SUMIFS(10:10,$8:$8,"&gt;="&amp;DATE(YEAR(EB$8)-1,1,1),$8:$8,"&lt;="&amp;EOMONTH(EB$8,-12))-1</f>
        <v/>
      </c>
      <c r="EC13" s="1318">
        <f>SUMIFS(10:10,$8:$8,"&gt;="&amp;DATE(YEAR(EC$8),1,1),$8:$8,"&lt;="&amp;EOMONTH(EC$8,0))/SUMIFS(10:10,$8:$8,"&gt;="&amp;DATE(YEAR(EC$8)-1,1,1),$8:$8,"&lt;="&amp;EOMONTH(EC$8,-12))-1</f>
        <v/>
      </c>
      <c r="ED13" s="1318">
        <f>SUMIFS(10:10,$8:$8,"&gt;="&amp;DATE(YEAR(ED$8),1,1),$8:$8,"&lt;="&amp;EOMONTH(ED$8,0))/SUMIFS(10:10,$8:$8,"&gt;="&amp;DATE(YEAR(ED$8)-1,1,1),$8:$8,"&lt;="&amp;EOMONTH(ED$8,-12))-1</f>
        <v/>
      </c>
      <c r="EE13" s="1318">
        <f>SUMIFS(10:10,$8:$8,"&gt;="&amp;DATE(YEAR(EE$8),1,1),$8:$8,"&lt;="&amp;EOMONTH(EE$8,0))/SUMIFS(10:10,$8:$8,"&gt;="&amp;DATE(YEAR(EE$8)-1,1,1),$8:$8,"&lt;="&amp;EOMONTH(EE$8,-12))-1</f>
        <v/>
      </c>
      <c r="EF13" s="1318">
        <f>SUMIFS(10:10,$8:$8,"&gt;="&amp;DATE(YEAR(EF$8),1,1),$8:$8,"&lt;="&amp;EOMONTH(EF$8,0))/SUMIFS(10:10,$8:$8,"&gt;="&amp;DATE(YEAR(EF$8)-1,1,1),$8:$8,"&lt;="&amp;EOMONTH(EF$8,-12))-1</f>
        <v/>
      </c>
      <c r="EG13" s="1318">
        <f>SUMIFS(10:10,$8:$8,"&gt;="&amp;DATE(YEAR(EG$8),1,1),$8:$8,"&lt;="&amp;EOMONTH(EG$8,0))/SUMIFS(10:10,$8:$8,"&gt;="&amp;DATE(YEAR(EG$8)-1,1,1),$8:$8,"&lt;="&amp;EOMONTH(EG$8,-12))-1</f>
        <v/>
      </c>
      <c r="EH13" s="1318">
        <f>SUMIFS(10:10,$8:$8,"&gt;="&amp;DATE(YEAR(EH$8),1,1),$8:$8,"&lt;="&amp;EOMONTH(EH$8,0))/SUMIFS(10:10,$8:$8,"&gt;="&amp;DATE(YEAR(EH$8)-1,1,1),$8:$8,"&lt;="&amp;EOMONTH(EH$8,-12))-1</f>
        <v/>
      </c>
      <c r="EI13" s="1318">
        <f>SUMIFS(10:10,$8:$8,"&gt;="&amp;DATE(YEAR(EI$8),1,1),$8:$8,"&lt;="&amp;EOMONTH(EI$8,0))/SUMIFS(10:10,$8:$8,"&gt;="&amp;DATE(YEAR(EI$8)-1,1,1),$8:$8,"&lt;="&amp;EOMONTH(EI$8,-12))-1</f>
        <v/>
      </c>
      <c r="EJ13" s="1318">
        <f>SUMIFS(10:10,$8:$8,"&gt;="&amp;DATE(YEAR(EJ$8),1,1),$8:$8,"&lt;="&amp;EOMONTH(EJ$8,0))/SUMIFS(10:10,$8:$8,"&gt;="&amp;DATE(YEAR(EJ$8)-1,1,1),$8:$8,"&lt;="&amp;EOMONTH(EJ$8,-12))-1</f>
        <v/>
      </c>
      <c r="EK13" s="1318">
        <f>SUMIFS(10:10,$8:$8,"&gt;="&amp;DATE(YEAR(EK$8),1,1),$8:$8,"&lt;="&amp;EOMONTH(EK$8,0))/SUMIFS(10:10,$8:$8,"&gt;="&amp;DATE(YEAR(EK$8)-1,1,1),$8:$8,"&lt;="&amp;EOMONTH(EK$8,-12))-1</f>
        <v/>
      </c>
      <c r="EL13" s="1318">
        <f>SUMIFS(10:10,$8:$8,"&gt;="&amp;DATE(YEAR(EL$8),1,1),$8:$8,"&lt;="&amp;EOMONTH(EL$8,0))/SUMIFS(10:10,$8:$8,"&gt;="&amp;DATE(YEAR(EL$8)-1,1,1),$8:$8,"&lt;="&amp;EOMONTH(EL$8,-12))-1</f>
        <v/>
      </c>
      <c r="EM13" s="1318">
        <f>SUMIFS(10:10,$8:$8,"&gt;="&amp;DATE(YEAR(EM$8),1,1),$8:$8,"&lt;="&amp;EOMONTH(EM$8,0))/SUMIFS(10:10,$8:$8,"&gt;="&amp;DATE(YEAR(EM$8)-1,1,1),$8:$8,"&lt;="&amp;EOMONTH(EM$8,-12))-1</f>
        <v/>
      </c>
      <c r="EN13" s="1318">
        <f>SUMIFS(10:10,$8:$8,"&gt;="&amp;DATE(YEAR(EN$8),1,1),$8:$8,"&lt;="&amp;EOMONTH(EN$8,0))/SUMIFS(10:10,$8:$8,"&gt;="&amp;DATE(YEAR(EN$8)-1,1,1),$8:$8,"&lt;="&amp;EOMONTH(EN$8,-12))-1</f>
        <v/>
      </c>
      <c r="EO13" s="1318">
        <f>SUMIFS(10:10,$8:$8,"&gt;="&amp;DATE(YEAR(EO$8),1,1),$8:$8,"&lt;="&amp;EOMONTH(EO$8,0))/SUMIFS(10:10,$8:$8,"&gt;="&amp;DATE(YEAR(EO$8)-1,1,1),$8:$8,"&lt;="&amp;EOMONTH(EO$8,-12))-1</f>
        <v/>
      </c>
      <c r="EP13" s="1318">
        <f>SUMIFS(10:10,$8:$8,"&gt;="&amp;DATE(YEAR(EP$8),1,1),$8:$8,"&lt;="&amp;EOMONTH(EP$8,0))/SUMIFS(10:10,$8:$8,"&gt;="&amp;DATE(YEAR(EP$8)-1,1,1),$8:$8,"&lt;="&amp;EOMONTH(EP$8,-12))-1</f>
        <v/>
      </c>
      <c r="EQ13" s="1318">
        <f>SUMIFS(10:10,$8:$8,"&gt;="&amp;DATE(YEAR(EQ$8),1,1),$8:$8,"&lt;="&amp;EOMONTH(EQ$8,0))/SUMIFS(10:10,$8:$8,"&gt;="&amp;DATE(YEAR(EQ$8)-1,1,1),$8:$8,"&lt;="&amp;EOMONTH(EQ$8,-12))-1</f>
        <v/>
      </c>
      <c r="ER13" s="1318">
        <f>SUMIFS(10:10,$8:$8,"&gt;="&amp;DATE(YEAR(ER$8),1,1),$8:$8,"&lt;="&amp;EOMONTH(ER$8,0))/SUMIFS(10:10,$8:$8,"&gt;="&amp;DATE(YEAR(ER$8)-1,1,1),$8:$8,"&lt;="&amp;EOMONTH(ER$8,-12))-1</f>
        <v/>
      </c>
      <c r="ES13" s="1318">
        <f>SUMIFS(10:10,$8:$8,"&gt;="&amp;DATE(YEAR(ES$8),1,1),$8:$8,"&lt;="&amp;EOMONTH(ES$8,0))/SUMIFS(10:10,$8:$8,"&gt;="&amp;DATE(YEAR(ES$8)-1,1,1),$8:$8,"&lt;="&amp;EOMONTH(ES$8,-12))-1</f>
        <v/>
      </c>
      <c r="ET13" s="1318">
        <f>SUMIFS(10:10,$8:$8,"&gt;="&amp;DATE(YEAR(ET$8),1,1),$8:$8,"&lt;="&amp;EOMONTH(ET$8,0))/SUMIFS(10:10,$8:$8,"&gt;="&amp;DATE(YEAR(ET$8)-1,1,1),$8:$8,"&lt;="&amp;EOMONTH(ET$8,-12))-1</f>
        <v/>
      </c>
      <c r="EU13" s="1318">
        <f>SUMIFS(10:10,$8:$8,"&gt;="&amp;DATE(YEAR(EU$8),1,1),$8:$8,"&lt;="&amp;EOMONTH(EU$8,0))/SUMIFS(10:10,$8:$8,"&gt;="&amp;DATE(YEAR(EU$8)-1,1,1),$8:$8,"&lt;="&amp;EOMONTH(EU$8,-12))-1</f>
        <v/>
      </c>
      <c r="EV13" s="1318">
        <f>SUMIFS(10:10,$8:$8,"&gt;="&amp;DATE(YEAR(EV$8),1,1),$8:$8,"&lt;="&amp;EOMONTH(EV$8,0))/SUMIFS(10:10,$8:$8,"&gt;="&amp;DATE(YEAR(EV$8)-1,1,1),$8:$8,"&lt;="&amp;EOMONTH(EV$8,-12))-1</f>
        <v/>
      </c>
      <c r="EW13" s="1318">
        <f>SUMIFS(10:10,$8:$8,"&gt;="&amp;DATE(YEAR(EW$8),1,1),$8:$8,"&lt;="&amp;EOMONTH(EW$8,0))/SUMIFS(10:10,$8:$8,"&gt;="&amp;DATE(YEAR(EW$8)-1,1,1),$8:$8,"&lt;="&amp;EOMONTH(EW$8,-12))-1</f>
        <v/>
      </c>
      <c r="EX13" s="1318">
        <f>SUMIFS(10:10,$8:$8,"&gt;="&amp;DATE(YEAR(EX$8),1,1),$8:$8,"&lt;="&amp;EOMONTH(EX$8,0))/SUMIFS(10:10,$8:$8,"&gt;="&amp;DATE(YEAR(EX$8)-1,1,1),$8:$8,"&lt;="&amp;EOMONTH(EX$8,-12))-1</f>
        <v/>
      </c>
      <c r="EY13" s="1318">
        <f>SUMIFS(10:10,$8:$8,"&gt;="&amp;DATE(YEAR(EY$8),1,1),$8:$8,"&lt;="&amp;EOMONTH(EY$8,0))/SUMIFS(10:10,$8:$8,"&gt;="&amp;DATE(YEAR(EY$8)-1,1,1),$8:$8,"&lt;="&amp;EOMONTH(EY$8,-12))-1</f>
        <v/>
      </c>
      <c r="EZ13" s="1318">
        <f>SUMIFS(10:10,$8:$8,"&gt;="&amp;DATE(YEAR(EZ$8),1,1),$8:$8,"&lt;="&amp;EOMONTH(EZ$8,0))/SUMIFS(10:10,$8:$8,"&gt;="&amp;DATE(YEAR(EZ$8)-1,1,1),$8:$8,"&lt;="&amp;EOMONTH(EZ$8,-12))-1</f>
        <v/>
      </c>
      <c r="FA13" s="1318">
        <f>SUMIFS(10:10,$8:$8,"&gt;="&amp;DATE(YEAR(FA$8),1,1),$8:$8,"&lt;="&amp;EOMONTH(FA$8,0))/SUMIFS(10:10,$8:$8,"&gt;="&amp;DATE(YEAR(FA$8)-1,1,1),$8:$8,"&lt;="&amp;EOMONTH(FA$8,-12))-1</f>
        <v/>
      </c>
      <c r="FB13" s="1318">
        <f>SUMIFS(10:10,$8:$8,"&gt;="&amp;DATE(YEAR(FB$8),1,1),$8:$8,"&lt;="&amp;EOMONTH(FB$8,0))/SUMIFS(10:10,$8:$8,"&gt;="&amp;DATE(YEAR(FB$8)-1,1,1),$8:$8,"&lt;="&amp;EOMONTH(FB$8,-12))-1</f>
        <v/>
      </c>
      <c r="FC13" s="1318">
        <f>SUMIFS(10:10,$8:$8,"&gt;="&amp;DATE(YEAR(FC$8),1,1),$8:$8,"&lt;="&amp;EOMONTH(FC$8,0))/SUMIFS(10:10,$8:$8,"&gt;="&amp;DATE(YEAR(FC$8)-1,1,1),$8:$8,"&lt;="&amp;EOMONTH(FC$8,-12))-1</f>
        <v/>
      </c>
      <c r="FD13" s="1318">
        <f>SUMIFS(10:10,$8:$8,"&gt;="&amp;DATE(YEAR(FD$8),1,1),$8:$8,"&lt;="&amp;EOMONTH(FD$8,0))/SUMIFS(10:10,$8:$8,"&gt;="&amp;DATE(YEAR(FD$8)-1,1,1),$8:$8,"&lt;="&amp;EOMONTH(FD$8,-12))-1</f>
        <v/>
      </c>
      <c r="FE13" s="1318">
        <f>SUMIFS(10:10,$8:$8,"&gt;="&amp;DATE(YEAR(FE$8),1,1),$8:$8,"&lt;="&amp;EOMONTH(FE$8,0))/SUMIFS(10:10,$8:$8,"&gt;="&amp;DATE(YEAR(FE$8)-1,1,1),$8:$8,"&lt;="&amp;EOMONTH(FE$8,-12))-1</f>
        <v/>
      </c>
      <c r="FF13" s="1318">
        <f>SUMIFS(10:10,$8:$8,"&gt;="&amp;DATE(YEAR(FF$8),1,1),$8:$8,"&lt;="&amp;EOMONTH(FF$8,0))/SUMIFS(10:10,$8:$8,"&gt;="&amp;DATE(YEAR(FF$8)-1,1,1),$8:$8,"&lt;="&amp;EOMONTH(FF$8,-12))-1</f>
        <v/>
      </c>
      <c r="FG13" s="1318">
        <f>SUMIFS(10:10,$8:$8,"&gt;="&amp;DATE(YEAR(FG$8),1,1),$8:$8,"&lt;="&amp;EOMONTH(FG$8,0))/SUMIFS(10:10,$8:$8,"&gt;="&amp;DATE(YEAR(FG$8)-1,1,1),$8:$8,"&lt;="&amp;EOMONTH(FG$8,-12))-1</f>
        <v/>
      </c>
      <c r="FH13" s="1318">
        <f>SUMIFS(10:10,$8:$8,"&gt;="&amp;DATE(YEAR(FH$8),1,1),$8:$8,"&lt;="&amp;EOMONTH(FH$8,0))/SUMIFS(10:10,$8:$8,"&gt;="&amp;DATE(YEAR(FH$8)-1,1,1),$8:$8,"&lt;="&amp;EOMONTH(FH$8,-12))-1</f>
        <v/>
      </c>
      <c r="FI13" s="1318">
        <f>SUMIFS(10:10,$8:$8,"&gt;="&amp;DATE(YEAR(FI$8),1,1),$8:$8,"&lt;="&amp;EOMONTH(FI$8,0))/SUMIFS(10:10,$8:$8,"&gt;="&amp;DATE(YEAR(FI$8)-1,1,1),$8:$8,"&lt;="&amp;EOMONTH(FI$8,-12))-1</f>
        <v/>
      </c>
      <c r="FJ13" s="1318">
        <f>SUMIFS(10:10,$8:$8,"&gt;="&amp;DATE(YEAR(FJ$8),1,1),$8:$8,"&lt;="&amp;EOMONTH(FJ$8,0))/SUMIFS(10:10,$8:$8,"&gt;="&amp;DATE(YEAR(FJ$8)-1,1,1),$8:$8,"&lt;="&amp;EOMONTH(FJ$8,-12))-1</f>
        <v/>
      </c>
      <c r="FK13" s="1318">
        <f>SUMIFS(10:10,$8:$8,"&gt;="&amp;DATE(YEAR(FK$8),1,1),$8:$8,"&lt;="&amp;EOMONTH(FK$8,0))/SUMIFS(10:10,$8:$8,"&gt;="&amp;DATE(YEAR(FK$8)-1,1,1),$8:$8,"&lt;="&amp;EOMONTH(FK$8,-12))-1</f>
        <v/>
      </c>
      <c r="FL13" s="1318">
        <f>SUMIFS(10:10,$8:$8,"&gt;="&amp;DATE(YEAR(FL$8),1,1),$8:$8,"&lt;="&amp;EOMONTH(FL$8,0))/SUMIFS(10:10,$8:$8,"&gt;="&amp;DATE(YEAR(FL$8)-1,1,1),$8:$8,"&lt;="&amp;EOMONTH(FL$8,-12))-1</f>
        <v/>
      </c>
      <c r="FM13" s="1318">
        <f>SUMIFS(10:10,$8:$8,"&gt;="&amp;DATE(YEAR(FM$8),1,1),$8:$8,"&lt;="&amp;EOMONTH(FM$8,0))/SUMIFS(10:10,$8:$8,"&gt;="&amp;DATE(YEAR(FM$8)-1,1,1),$8:$8,"&lt;="&amp;EOMONTH(FM$8,-12))-1</f>
        <v/>
      </c>
      <c r="FN13" s="1318">
        <f>SUMIFS(10:10,$8:$8,"&gt;="&amp;DATE(YEAR(FN$8),1,1),$8:$8,"&lt;="&amp;EOMONTH(FN$8,0))/SUMIFS(10:10,$8:$8,"&gt;="&amp;DATE(YEAR(FN$8)-1,1,1),$8:$8,"&lt;="&amp;EOMONTH(FN$8,-12))-1</f>
        <v/>
      </c>
      <c r="FO13" s="1318">
        <f>SUMIFS(10:10,$8:$8,"&gt;="&amp;DATE(YEAR(FO$8),1,1),$8:$8,"&lt;="&amp;EOMONTH(FO$8,0))/SUMIFS(10:10,$8:$8,"&gt;="&amp;DATE(YEAR(FO$8)-1,1,1),$8:$8,"&lt;="&amp;EOMONTH(FO$8,-12))-1</f>
        <v/>
      </c>
      <c r="FP13" s="1318">
        <f>SUMIFS(10:10,$8:$8,"&gt;="&amp;DATE(YEAR(FP$8),1,1),$8:$8,"&lt;="&amp;EOMONTH(FP$8,0))/SUMIFS(10:10,$8:$8,"&gt;="&amp;DATE(YEAR(FP$8)-1,1,1),$8:$8,"&lt;="&amp;EOMONTH(FP$8,-12))-1</f>
        <v/>
      </c>
      <c r="FQ13" s="1318">
        <f>SUMIFS(10:10,$8:$8,"&gt;="&amp;DATE(YEAR(FQ$8),1,1),$8:$8,"&lt;="&amp;EOMONTH(FQ$8,0))/SUMIFS(10:10,$8:$8,"&gt;="&amp;DATE(YEAR(FQ$8)-1,1,1),$8:$8,"&lt;="&amp;EOMONTH(FQ$8,-12))-1</f>
        <v/>
      </c>
      <c r="FR13" s="1318">
        <f>SUMIFS(10:10,$8:$8,"&gt;="&amp;DATE(YEAR(FR$8),1,1),$8:$8,"&lt;="&amp;EOMONTH(FR$8,0))/SUMIFS(10:10,$8:$8,"&gt;="&amp;DATE(YEAR(FR$8)-1,1,1),$8:$8,"&lt;="&amp;EOMONTH(FR$8,-12))-1</f>
        <v/>
      </c>
      <c r="FS13" s="1318">
        <f>SUMIFS(10:10,$8:$8,"&gt;="&amp;DATE(YEAR(FS$8),1,1),$8:$8,"&lt;="&amp;EOMONTH(FS$8,0))/SUMIFS(10:10,$8:$8,"&gt;="&amp;DATE(YEAR(FS$8)-1,1,1),$8:$8,"&lt;="&amp;EOMONTH(FS$8,-12))-1</f>
        <v/>
      </c>
      <c r="FT13" s="1318">
        <f>SUMIFS(10:10,$8:$8,"&gt;="&amp;DATE(YEAR(FT$8),1,1),$8:$8,"&lt;="&amp;EOMONTH(FT$8,0))/SUMIFS(10:10,$8:$8,"&gt;="&amp;DATE(YEAR(FT$8)-1,1,1),$8:$8,"&lt;="&amp;EOMONTH(FT$8,-12))-1</f>
        <v/>
      </c>
      <c r="FU13" s="1318">
        <f>SUMIFS(10:10,$8:$8,"&gt;="&amp;DATE(YEAR(FU$8),1,1),$8:$8,"&lt;="&amp;EOMONTH(FU$8,0))/SUMIFS(10:10,$8:$8,"&gt;="&amp;DATE(YEAR(FU$8)-1,1,1),$8:$8,"&lt;="&amp;EOMONTH(FU$8,-12))-1</f>
        <v/>
      </c>
      <c r="FV13" s="1318">
        <f>SUMIFS(10:10,$8:$8,"&gt;="&amp;DATE(YEAR(FV$8),1,1),$8:$8,"&lt;="&amp;EOMONTH(FV$8,0))/SUMIFS(10:10,$8:$8,"&gt;="&amp;DATE(YEAR(FV$8)-1,1,1),$8:$8,"&lt;="&amp;EOMONTH(FV$8,-12))-1</f>
        <v/>
      </c>
      <c r="FW13" s="1318">
        <f>SUMIFS(10:10,$8:$8,"&gt;="&amp;DATE(YEAR(FW$8),1,1),$8:$8,"&lt;="&amp;EOMONTH(FW$8,0))/SUMIFS(10:10,$8:$8,"&gt;="&amp;DATE(YEAR(FW$8)-1,1,1),$8:$8,"&lt;="&amp;EOMONTH(FW$8,-12))-1</f>
        <v/>
      </c>
      <c r="FX13" s="1318">
        <f>SUMIFS(10:10,$8:$8,"&gt;="&amp;DATE(YEAR(FX$8),1,1),$8:$8,"&lt;="&amp;EOMONTH(FX$8,0))/SUMIFS(10:10,$8:$8,"&gt;="&amp;DATE(YEAR(FX$8)-1,1,1),$8:$8,"&lt;="&amp;EOMONTH(FX$8,-12))-1</f>
        <v/>
      </c>
      <c r="FY13" s="1318">
        <f>SUMIFS(10:10,$8:$8,"&gt;="&amp;DATE(YEAR(FY$8),1,1),$8:$8,"&lt;="&amp;EOMONTH(FY$8,0))/SUMIFS(10:10,$8:$8,"&gt;="&amp;DATE(YEAR(FY$8)-1,1,1),$8:$8,"&lt;="&amp;EOMONTH(FY$8,-12))-1</f>
        <v/>
      </c>
      <c r="FZ13" s="1318">
        <f>SUMIFS(10:10,$8:$8,"&gt;="&amp;DATE(YEAR(FZ$8),1,1),$8:$8,"&lt;="&amp;EOMONTH(FZ$8,0))/SUMIFS(10:10,$8:$8,"&gt;="&amp;DATE(YEAR(FZ$8)-1,1,1),$8:$8,"&lt;="&amp;EOMONTH(FZ$8,-12))-1</f>
        <v/>
      </c>
      <c r="GA13" s="1318">
        <f>SUMIFS(10:10,$8:$8,"&gt;="&amp;DATE(YEAR(GA$8),1,1),$8:$8,"&lt;="&amp;EOMONTH(GA$8,0))/SUMIFS(10:10,$8:$8,"&gt;="&amp;DATE(YEAR(GA$8)-1,1,1),$8:$8,"&lt;="&amp;EOMONTH(GA$8,-12))-1</f>
        <v/>
      </c>
      <c r="GB13" s="1318">
        <f>SUMIFS(10:10,$8:$8,"&gt;="&amp;DATE(YEAR(GB$8),1,1),$8:$8,"&lt;="&amp;EOMONTH(GB$8,0))/SUMIFS(10:10,$8:$8,"&gt;="&amp;DATE(YEAR(GB$8)-1,1,1),$8:$8,"&lt;="&amp;EOMONTH(GB$8,-12))-1</f>
        <v/>
      </c>
      <c r="GC13" s="1318">
        <f>SUMIFS(10:10,$8:$8,"&gt;="&amp;DATE(YEAR(GC$8),1,1),$8:$8,"&lt;="&amp;EOMONTH(GC$8,0))/SUMIFS(10:10,$8:$8,"&gt;="&amp;DATE(YEAR(GC$8)-1,1,1),$8:$8,"&lt;="&amp;EOMONTH(GC$8,-12))-1</f>
        <v/>
      </c>
      <c r="GD13" s="1318">
        <f>SUMIFS(10:10,$8:$8,"&gt;="&amp;DATE(YEAR(GD$8),1,1),$8:$8,"&lt;="&amp;EOMONTH(GD$8,0))/SUMIFS(10:10,$8:$8,"&gt;="&amp;DATE(YEAR(GD$8)-1,1,1),$8:$8,"&lt;="&amp;EOMONTH(GD$8,-12))-1</f>
        <v/>
      </c>
      <c r="GE13" s="1318">
        <f>SUMIFS(10:10,$8:$8,"&gt;="&amp;DATE(YEAR(GE$8),1,1),$8:$8,"&lt;="&amp;EOMONTH(GE$8,0))/SUMIFS(10:10,$8:$8,"&gt;="&amp;DATE(YEAR(GE$8)-1,1,1),$8:$8,"&lt;="&amp;EOMONTH(GE$8,-12))-1</f>
        <v/>
      </c>
      <c r="GF13" s="1318">
        <f>SUMIFS(10:10,$8:$8,"&gt;="&amp;DATE(YEAR(GF$8),1,1),$8:$8,"&lt;="&amp;EOMONTH(GF$8,0))/SUMIFS(10:10,$8:$8,"&gt;="&amp;DATE(YEAR(GF$8)-1,1,1),$8:$8,"&lt;="&amp;EOMONTH(GF$8,-12))-1</f>
        <v/>
      </c>
      <c r="GG13" s="1318">
        <f>SUMIFS(10:10,$8:$8,"&gt;="&amp;DATE(YEAR(GG$8),1,1),$8:$8,"&lt;="&amp;EOMONTH(GG$8,0))/SUMIFS(10:10,$8:$8,"&gt;="&amp;DATE(YEAR(GG$8)-1,1,1),$8:$8,"&lt;="&amp;EOMONTH(GG$8,-12))-1</f>
        <v/>
      </c>
      <c r="GH13" s="1318">
        <f>SUMIFS(10:10,$8:$8,"&gt;="&amp;DATE(YEAR(GH$8),1,1),$8:$8,"&lt;="&amp;EOMONTH(GH$8,0))/SUMIFS(10:10,$8:$8,"&gt;="&amp;DATE(YEAR(GH$8)-1,1,1),$8:$8,"&lt;="&amp;EOMONTH(GH$8,-12))-1</f>
        <v/>
      </c>
      <c r="GI13" s="1318">
        <f>SUMIFS(10:10,$8:$8,"&gt;="&amp;DATE(YEAR(GI$8),1,1),$8:$8,"&lt;="&amp;EOMONTH(GI$8,0))/SUMIFS(10:10,$8:$8,"&gt;="&amp;DATE(YEAR(GI$8)-1,1,1),$8:$8,"&lt;="&amp;EOMONTH(GI$8,-12))-1</f>
        <v/>
      </c>
      <c r="GJ13" s="1318">
        <f>SUMIFS(10:10,$8:$8,"&gt;="&amp;DATE(YEAR(GJ$8),1,1),$8:$8,"&lt;="&amp;EOMONTH(GJ$8,0))/SUMIFS(10:10,$8:$8,"&gt;="&amp;DATE(YEAR(GJ$8)-1,1,1),$8:$8,"&lt;="&amp;EOMONTH(GJ$8,-12))-1</f>
        <v/>
      </c>
      <c r="GK13" s="1318">
        <f>SUMIFS(10:10,$8:$8,"&gt;="&amp;DATE(YEAR(GK$8),1,1),$8:$8,"&lt;="&amp;EOMONTH(GK$8,0))/SUMIFS(10:10,$8:$8,"&gt;="&amp;DATE(YEAR(GK$8)-1,1,1),$8:$8,"&lt;="&amp;EOMONTH(GK$8,-12))-1</f>
        <v/>
      </c>
      <c r="GL13" s="1318">
        <f>SUMIFS(10:10,$8:$8,"&gt;="&amp;DATE(YEAR(GL$8),1,1),$8:$8,"&lt;="&amp;EOMONTH(GL$8,0))/SUMIFS(10:10,$8:$8,"&gt;="&amp;DATE(YEAR(GL$8)-1,1,1),$8:$8,"&lt;="&amp;EOMONTH(GL$8,-12))-1</f>
        <v/>
      </c>
      <c r="GM13" s="1318">
        <f>SUMIFS(10:10,$8:$8,"&gt;="&amp;DATE(YEAR(GM$8),1,1),$8:$8,"&lt;="&amp;EOMONTH(GM$8,0))/SUMIFS(10:10,$8:$8,"&gt;="&amp;DATE(YEAR(GM$8)-1,1,1),$8:$8,"&lt;="&amp;EOMONTH(GM$8,-12))-1</f>
        <v/>
      </c>
      <c r="GN13" s="1318">
        <f>SUMIFS(10:10,$8:$8,"&gt;="&amp;DATE(YEAR(GN$8),1,1),$8:$8,"&lt;="&amp;EOMONTH(GN$8,0))/SUMIFS(10:10,$8:$8,"&gt;="&amp;DATE(YEAR(GN$8)-1,1,1),$8:$8,"&lt;="&amp;EOMONTH(GN$8,-12))-1</f>
        <v/>
      </c>
      <c r="GO13" s="1318">
        <f>SUMIFS(10:10,$8:$8,"&gt;="&amp;DATE(YEAR(GO$8),1,1),$8:$8,"&lt;="&amp;EOMONTH(GO$8,0))/SUMIFS(10:10,$8:$8,"&gt;="&amp;DATE(YEAR(GO$8)-1,1,1),$8:$8,"&lt;="&amp;EOMONTH(GO$8,-12))-1</f>
        <v/>
      </c>
      <c r="GP13" s="1318">
        <f>SUMIFS(10:10,$8:$8,"&gt;="&amp;DATE(YEAR(GP$8),1,1),$8:$8,"&lt;="&amp;EOMONTH(GP$8,0))/SUMIFS(10:10,$8:$8,"&gt;="&amp;DATE(YEAR(GP$8)-1,1,1),$8:$8,"&lt;="&amp;EOMONTH(GP$8,-12))-1</f>
        <v/>
      </c>
      <c r="GQ13" s="1318">
        <f>SUMIFS(10:10,$8:$8,"&gt;="&amp;DATE(YEAR(GQ$8),1,1),$8:$8,"&lt;="&amp;EOMONTH(GQ$8,0))/SUMIFS(10:10,$8:$8,"&gt;="&amp;DATE(YEAR(GQ$8)-1,1,1),$8:$8,"&lt;="&amp;EOMONTH(GQ$8,-12))-1</f>
        <v/>
      </c>
      <c r="GR13" s="1318">
        <f>SUMIFS(10:10,$8:$8,"&gt;="&amp;DATE(YEAR(GR$8),1,1),$8:$8,"&lt;="&amp;EOMONTH(GR$8,0))/SUMIFS(10:10,$8:$8,"&gt;="&amp;DATE(YEAR(GR$8)-1,1,1),$8:$8,"&lt;="&amp;EOMONTH(GR$8,-12))-1</f>
        <v/>
      </c>
      <c r="GS13" s="1318">
        <f>SUMIFS(10:10,$8:$8,"&gt;="&amp;DATE(YEAR(GS$8),1,1),$8:$8,"&lt;="&amp;EOMONTH(GS$8,0))/SUMIFS(10:10,$8:$8,"&gt;="&amp;DATE(YEAR(GS$8)-1,1,1),$8:$8,"&lt;="&amp;EOMONTH(GS$8,-12))-1</f>
        <v/>
      </c>
      <c r="GT13" s="1318">
        <f>SUMIFS(10:10,$8:$8,"&gt;="&amp;DATE(YEAR(GT$8),1,1),$8:$8,"&lt;="&amp;EOMONTH(GT$8,0))/SUMIFS(10:10,$8:$8,"&gt;="&amp;DATE(YEAR(GT$8)-1,1,1),$8:$8,"&lt;="&amp;EOMONTH(GT$8,-12))-1</f>
        <v/>
      </c>
      <c r="GU13" s="1318">
        <f>SUMIFS(10:10,$8:$8,"&gt;="&amp;DATE(YEAR(GU$8),1,1),$8:$8,"&lt;="&amp;EOMONTH(GU$8,0))/SUMIFS(10:10,$8:$8,"&gt;="&amp;DATE(YEAR(GU$8)-1,1,1),$8:$8,"&lt;="&amp;EOMONTH(GU$8,-12))-1</f>
        <v/>
      </c>
      <c r="GV13" s="1318">
        <f>SUMIFS(10:10,$8:$8,"&gt;="&amp;DATE(YEAR(GV$8),1,1),$8:$8,"&lt;="&amp;EOMONTH(GV$8,0))/SUMIFS(10:10,$8:$8,"&gt;="&amp;DATE(YEAR(GV$8)-1,1,1),$8:$8,"&lt;="&amp;EOMONTH(GV$8,-12))-1</f>
        <v/>
      </c>
      <c r="GW13" s="1318">
        <f>SUMIFS(10:10,$8:$8,"&gt;="&amp;DATE(YEAR(GW$8),1,1),$8:$8,"&lt;="&amp;EOMONTH(GW$8,0))/SUMIFS(10:10,$8:$8,"&gt;="&amp;DATE(YEAR(GW$8)-1,1,1),$8:$8,"&lt;="&amp;EOMONTH(GW$8,-12))-1</f>
        <v/>
      </c>
      <c r="GX13" s="1318">
        <f>SUMIFS(10:10,$8:$8,"&gt;="&amp;DATE(YEAR(GX$8),1,1),$8:$8,"&lt;="&amp;EOMONTH(GX$8,0))/SUMIFS(10:10,$8:$8,"&gt;="&amp;DATE(YEAR(GX$8)-1,1,1),$8:$8,"&lt;="&amp;EOMONTH(GX$8,-12))-1</f>
        <v/>
      </c>
      <c r="GY13" s="1318">
        <f>SUMIFS(10:10,$8:$8,"&gt;="&amp;DATE(YEAR(GY$8),1,1),$8:$8,"&lt;="&amp;EOMONTH(GY$8,0))/SUMIFS(10:10,$8:$8,"&gt;="&amp;DATE(YEAR(GY$8)-1,1,1),$8:$8,"&lt;="&amp;EOMONTH(GY$8,-12))-1</f>
        <v/>
      </c>
      <c r="GZ13" s="1318">
        <f>SUMIFS(10:10,$8:$8,"&gt;="&amp;DATE(YEAR(GZ$8),1,1),$8:$8,"&lt;="&amp;EOMONTH(GZ$8,0))/SUMIFS(10:10,$8:$8,"&gt;="&amp;DATE(YEAR(GZ$8)-1,1,1),$8:$8,"&lt;="&amp;EOMONTH(GZ$8,-12))-1</f>
        <v/>
      </c>
      <c r="HA13" s="1318">
        <f>SUMIFS(10:10,$8:$8,"&gt;="&amp;DATE(YEAR(HA$8),1,1),$8:$8,"&lt;="&amp;EOMONTH(HA$8,0))/SUMIFS(10:10,$8:$8,"&gt;="&amp;DATE(YEAR(HA$8)-1,1,1),$8:$8,"&lt;="&amp;EOMONTH(HA$8,-12))-1</f>
        <v/>
      </c>
      <c r="HB13" s="1318">
        <f>SUMIFS(10:10,$8:$8,"&gt;="&amp;DATE(YEAR(HB$8),1,1),$8:$8,"&lt;="&amp;EOMONTH(HB$8,0))/SUMIFS(10:10,$8:$8,"&gt;="&amp;DATE(YEAR(HB$8)-1,1,1),$8:$8,"&lt;="&amp;EOMONTH(HB$8,-12))-1</f>
        <v/>
      </c>
      <c r="HC13" s="1318">
        <f>SUMIFS(10:10,$8:$8,"&gt;="&amp;DATE(YEAR(HC$8),1,1),$8:$8,"&lt;="&amp;EOMONTH(HC$8,0))/SUMIFS(10:10,$8:$8,"&gt;="&amp;DATE(YEAR(HC$8)-1,1,1),$8:$8,"&lt;="&amp;EOMONTH(HC$8,-12))-1</f>
        <v/>
      </c>
      <c r="HD13" s="1318">
        <f>SUMIFS(10:10,$8:$8,"&gt;="&amp;DATE(YEAR(HD$8),1,1),$8:$8,"&lt;="&amp;EOMONTH(HD$8,0))/SUMIFS(10:10,$8:$8,"&gt;="&amp;DATE(YEAR(HD$8)-1,1,1),$8:$8,"&lt;="&amp;EOMONTH(HD$8,-12))-1</f>
        <v/>
      </c>
      <c r="HE13" s="1318">
        <f>SUMIFS(10:10,$8:$8,"&gt;="&amp;DATE(YEAR(HE$8),1,1),$8:$8,"&lt;="&amp;EOMONTH(HE$8,0))/SUMIFS(10:10,$8:$8,"&gt;="&amp;DATE(YEAR(HE$8)-1,1,1),$8:$8,"&lt;="&amp;EOMONTH(HE$8,-12))-1</f>
        <v/>
      </c>
      <c r="HF13" s="1318">
        <f>SUMIFS(10:10,$8:$8,"&gt;="&amp;DATE(YEAR(HF$8),1,1),$8:$8,"&lt;="&amp;EOMONTH(HF$8,0))/SUMIFS(10:10,$8:$8,"&gt;="&amp;DATE(YEAR(HF$8)-1,1,1),$8:$8,"&lt;="&amp;EOMONTH(HF$8,-12))-1</f>
        <v/>
      </c>
      <c r="HG13" s="1318">
        <f>SUMIFS(10:10,$8:$8,"&gt;="&amp;DATE(YEAR(HG$8),1,1),$8:$8,"&lt;="&amp;EOMONTH(HG$8,0))/SUMIFS(10:10,$8:$8,"&gt;="&amp;DATE(YEAR(HG$8)-1,1,1),$8:$8,"&lt;="&amp;EOMONTH(HG$8,-12))-1</f>
        <v/>
      </c>
      <c r="HH13" s="1318">
        <f>SUMIFS(10:10,$8:$8,"&gt;="&amp;DATE(YEAR(HH$8),1,1),$8:$8,"&lt;="&amp;EOMONTH(HH$8,0))/SUMIFS(10:10,$8:$8,"&gt;="&amp;DATE(YEAR(HH$8)-1,1,1),$8:$8,"&lt;="&amp;EOMONTH(HH$8,-12))-1</f>
        <v/>
      </c>
      <c r="HI13" s="1318">
        <f>SUMIFS(10:10,$8:$8,"&gt;="&amp;DATE(YEAR(HI$8),1,1),$8:$8,"&lt;="&amp;EOMONTH(HI$8,0))/SUMIFS(10:10,$8:$8,"&gt;="&amp;DATE(YEAR(HI$8)-1,1,1),$8:$8,"&lt;="&amp;EOMONTH(HI$8,-12))-1</f>
        <v/>
      </c>
      <c r="HJ13" s="1318">
        <f>SUMIFS(10:10,$8:$8,"&gt;="&amp;DATE(YEAR(HJ$8),1,1),$8:$8,"&lt;="&amp;EOMONTH(HJ$8,0))/SUMIFS(10:10,$8:$8,"&gt;="&amp;DATE(YEAR(HJ$8)-1,1,1),$8:$8,"&lt;="&amp;EOMONTH(HJ$8,-12))-1</f>
        <v/>
      </c>
      <c r="HK13" s="1318">
        <f>SUMIFS(10:10,$8:$8,"&gt;="&amp;DATE(YEAR(HK$8),1,1),$8:$8,"&lt;="&amp;EOMONTH(HK$8,0))/SUMIFS(10:10,$8:$8,"&gt;="&amp;DATE(YEAR(HK$8)-1,1,1),$8:$8,"&lt;="&amp;EOMONTH(HK$8,-12))-1</f>
        <v/>
      </c>
      <c r="HL13" s="1318">
        <f>SUMIFS(10:10,$8:$8,"&gt;="&amp;DATE(YEAR(HL$8),1,1),$8:$8,"&lt;="&amp;EOMONTH(HL$8,0))/SUMIFS(10:10,$8:$8,"&gt;="&amp;DATE(YEAR(HL$8)-1,1,1),$8:$8,"&lt;="&amp;EOMONTH(HL$8,-12))-1</f>
        <v/>
      </c>
      <c r="HM13" s="1318">
        <f>SUMIFS(10:10,$8:$8,"&gt;="&amp;DATE(YEAR(HM$8),1,1),$8:$8,"&lt;="&amp;EOMONTH(HM$8,0))/SUMIFS(10:10,$8:$8,"&gt;="&amp;DATE(YEAR(HM$8)-1,1,1),$8:$8,"&lt;="&amp;EOMONTH(HM$8,-12))-1</f>
        <v/>
      </c>
      <c r="HN13" s="1318">
        <f>SUMIFS(10:10,$8:$8,"&gt;="&amp;DATE(YEAR(HN$8),1,1),$8:$8,"&lt;="&amp;EOMONTH(HN$8,0))/SUMIFS(10:10,$8:$8,"&gt;="&amp;DATE(YEAR(HN$8)-1,1,1),$8:$8,"&lt;="&amp;EOMONTH(HN$8,-12))-1</f>
        <v/>
      </c>
      <c r="HO13" s="1318">
        <f>SUMIFS(10:10,$8:$8,"&gt;="&amp;DATE(YEAR(HO$8),1,1),$8:$8,"&lt;="&amp;EOMONTH(HO$8,0))/SUMIFS(10:10,$8:$8,"&gt;="&amp;DATE(YEAR(HO$8)-1,1,1),$8:$8,"&lt;="&amp;EOMONTH(HO$8,-12))-1</f>
        <v/>
      </c>
      <c r="HP13" s="1318">
        <f>SUMIFS(10:10,$8:$8,"&gt;="&amp;DATE(YEAR(HP$8),1,1),$8:$8,"&lt;="&amp;EOMONTH(HP$8,0))/SUMIFS(10:10,$8:$8,"&gt;="&amp;DATE(YEAR(HP$8)-1,1,1),$8:$8,"&lt;="&amp;EOMONTH(HP$8,-12))-1</f>
        <v/>
      </c>
      <c r="HQ13" s="1318">
        <f>SUMIFS(10:10,$8:$8,"&gt;="&amp;DATE(YEAR(HQ$8),1,1),$8:$8,"&lt;="&amp;EOMONTH(HQ$8,0))/SUMIFS(10:10,$8:$8,"&gt;="&amp;DATE(YEAR(HQ$8)-1,1,1),$8:$8,"&lt;="&amp;EOMONTH(HQ$8,-12))-1</f>
        <v/>
      </c>
      <c r="HR13" s="1318">
        <f>SUMIFS(10:10,$8:$8,"&gt;="&amp;DATE(YEAR(HR$8),1,1),$8:$8,"&lt;="&amp;EOMONTH(HR$8,0))/SUMIFS(10:10,$8:$8,"&gt;="&amp;DATE(YEAR(HR$8)-1,1,1),$8:$8,"&lt;="&amp;EOMONTH(HR$8,-12))-1</f>
        <v/>
      </c>
      <c r="HS13" s="1318">
        <f>SUMIFS(10:10,$8:$8,"&gt;="&amp;DATE(YEAR(HS$8),1,1),$8:$8,"&lt;="&amp;EOMONTH(HS$8,0))/SUMIFS(10:10,$8:$8,"&gt;="&amp;DATE(YEAR(HS$8)-1,1,1),$8:$8,"&lt;="&amp;EOMONTH(HS$8,-12))-1</f>
        <v/>
      </c>
      <c r="HT13" s="1318">
        <f>SUMIFS(10:10,$8:$8,"&gt;="&amp;DATE(YEAR(HT$8),1,1),$8:$8,"&lt;="&amp;EOMONTH(HT$8,0))/SUMIFS(10:10,$8:$8,"&gt;="&amp;DATE(YEAR(HT$8)-1,1,1),$8:$8,"&lt;="&amp;EOMONTH(HT$8,-12))-1</f>
        <v/>
      </c>
      <c r="HU13" s="1318">
        <f>SUMIFS(10:10,$8:$8,"&gt;="&amp;DATE(YEAR(HU$8),1,1),$8:$8,"&lt;="&amp;EOMONTH(HU$8,0))/SUMIFS(10:10,$8:$8,"&gt;="&amp;DATE(YEAR(HU$8)-1,1,1),$8:$8,"&lt;="&amp;EOMONTH(HU$8,-12))-1</f>
        <v/>
      </c>
      <c r="HV13" s="1318">
        <f>SUMIFS(10:10,$8:$8,"&gt;="&amp;DATE(YEAR(HV$8),1,1),$8:$8,"&lt;="&amp;EOMONTH(HV$8,0))/SUMIFS(10:10,$8:$8,"&gt;="&amp;DATE(YEAR(HV$8)-1,1,1),$8:$8,"&lt;="&amp;EOMONTH(HV$8,-12))-1</f>
        <v/>
      </c>
      <c r="HW13" s="1318">
        <f>SUMIFS(10:10,$8:$8,"&gt;="&amp;DATE(YEAR(HW$8),1,1),$8:$8,"&lt;="&amp;EOMONTH(HW$8,0))/SUMIFS(10:10,$8:$8,"&gt;="&amp;DATE(YEAR(HW$8)-1,1,1),$8:$8,"&lt;="&amp;EOMONTH(HW$8,-12))-1</f>
        <v/>
      </c>
      <c r="HX13" s="1318">
        <f>SUMIFS(10:10,$8:$8,"&gt;="&amp;DATE(YEAR(HX$8),1,1),$8:$8,"&lt;="&amp;EOMONTH(HX$8,0))/SUMIFS(10:10,$8:$8,"&gt;="&amp;DATE(YEAR(HX$8)-1,1,1),$8:$8,"&lt;="&amp;EOMONTH(HX$8,-12))-1</f>
        <v/>
      </c>
      <c r="HY13" s="1318">
        <f>SUMIFS(10:10,$8:$8,"&gt;="&amp;DATE(YEAR(HY$8),1,1),$8:$8,"&lt;="&amp;EOMONTH(HY$8,0))/SUMIFS(10:10,$8:$8,"&gt;="&amp;DATE(YEAR(HY$8)-1,1,1),$8:$8,"&lt;="&amp;EOMONTH(HY$8,-12))-1</f>
        <v/>
      </c>
      <c r="HZ13" s="1318">
        <f>SUMIFS(10:10,$8:$8,"&gt;="&amp;DATE(YEAR(HZ$8),1,1),$8:$8,"&lt;="&amp;EOMONTH(HZ$8,0))/SUMIFS(10:10,$8:$8,"&gt;="&amp;DATE(YEAR(HZ$8)-1,1,1),$8:$8,"&lt;="&amp;EOMONTH(HZ$8,-12))-1</f>
        <v/>
      </c>
      <c r="IA13" s="1318">
        <f>SUMIFS(10:10,$8:$8,"&gt;="&amp;DATE(YEAR(IA$8),1,1),$8:$8,"&lt;="&amp;EOMONTH(IA$8,0))/SUMIFS(10:10,$8:$8,"&gt;="&amp;DATE(YEAR(IA$8)-1,1,1),$8:$8,"&lt;="&amp;EOMONTH(IA$8,-12))-1</f>
        <v/>
      </c>
      <c r="IB13" s="1318">
        <f>SUMIFS(10:10,$8:$8,"&gt;="&amp;DATE(YEAR(IB$8),1,1),$8:$8,"&lt;="&amp;EOMONTH(IB$8,0))/SUMIFS(10:10,$8:$8,"&gt;="&amp;DATE(YEAR(IB$8)-1,1,1),$8:$8,"&lt;="&amp;EOMONTH(IB$8,-12))-1</f>
        <v/>
      </c>
      <c r="IC13" s="1318">
        <f>SUMIFS(10:10,$8:$8,"&gt;="&amp;DATE(YEAR(IC$8),1,1),$8:$8,"&lt;="&amp;EOMONTH(IC$8,0))/SUMIFS(10:10,$8:$8,"&gt;="&amp;DATE(YEAR(IC$8)-1,1,1),$8:$8,"&lt;="&amp;EOMONTH(IC$8,-12))-1</f>
        <v/>
      </c>
      <c r="ID13" s="1318">
        <f>SUMIFS(10:10,$8:$8,"&gt;="&amp;DATE(YEAR(ID$8),1,1),$8:$8,"&lt;="&amp;EOMONTH(ID$8,0))/SUMIFS(10:10,$8:$8,"&gt;="&amp;DATE(YEAR(ID$8)-1,1,1),$8:$8,"&lt;="&amp;EOMONTH(ID$8,-12))-1</f>
        <v/>
      </c>
      <c r="IE13" s="1318">
        <f>SUMIFS(10:10,$8:$8,"&gt;="&amp;DATE(YEAR(IE$8),1,1),$8:$8,"&lt;="&amp;EOMONTH(IE$8,0))/SUMIFS(10:10,$8:$8,"&gt;="&amp;DATE(YEAR(IE$8)-1,1,1),$8:$8,"&lt;="&amp;EOMONTH(IE$8,-12))-1</f>
        <v/>
      </c>
      <c r="IF13" s="1318">
        <f>SUMIFS(10:10,$8:$8,"&gt;="&amp;DATE(YEAR(IF$8),1,1),$8:$8,"&lt;="&amp;EOMONTH(IF$8,0))/SUMIFS(10:10,$8:$8,"&gt;="&amp;DATE(YEAR(IF$8)-1,1,1),$8:$8,"&lt;="&amp;EOMONTH(IF$8,-12))-1</f>
        <v/>
      </c>
      <c r="IG13" s="1318">
        <f>SUMIFS(10:10,$8:$8,"&gt;="&amp;DATE(YEAR(IG$8),1,1),$8:$8,"&lt;="&amp;EOMONTH(IG$8,0))/SUMIFS(10:10,$8:$8,"&gt;="&amp;DATE(YEAR(IG$8)-1,1,1),$8:$8,"&lt;="&amp;EOMONTH(IG$8,-12))-1</f>
        <v/>
      </c>
      <c r="IH13" s="1318">
        <f>SUMIFS(10:10,$8:$8,"&gt;="&amp;DATE(YEAR(IH$8),1,1),$8:$8,"&lt;="&amp;EOMONTH(IH$8,0))/SUMIFS(10:10,$8:$8,"&gt;="&amp;DATE(YEAR(IH$8)-1,1,1),$8:$8,"&lt;="&amp;EOMONTH(IH$8,-12))-1</f>
        <v/>
      </c>
      <c r="II13" s="1318">
        <f>SUMIFS(10:10,$8:$8,"&gt;="&amp;DATE(YEAR(II$8),1,1),$8:$8,"&lt;="&amp;EOMONTH(II$8,0))/SUMIFS(10:10,$8:$8,"&gt;="&amp;DATE(YEAR(II$8)-1,1,1),$8:$8,"&lt;="&amp;EOMONTH(II$8,-12))-1</f>
        <v/>
      </c>
      <c r="IJ13" s="1318">
        <f>SUMIFS(10:10,$8:$8,"&gt;="&amp;DATE(YEAR(IJ$8),1,1),$8:$8,"&lt;="&amp;EOMONTH(IJ$8,0))/SUMIFS(10:10,$8:$8,"&gt;="&amp;DATE(YEAR(IJ$8)-1,1,1),$8:$8,"&lt;="&amp;EOMONTH(IJ$8,-12))-1</f>
        <v/>
      </c>
      <c r="IK13" s="1318">
        <f>SUMIFS(10:10,$8:$8,"&gt;="&amp;DATE(YEAR(IK$8),1,1),$8:$8,"&lt;="&amp;EOMONTH(IK$8,0))/SUMIFS(10:10,$8:$8,"&gt;="&amp;DATE(YEAR(IK$8)-1,1,1),$8:$8,"&lt;="&amp;EOMONTH(IK$8,-12))-1</f>
        <v/>
      </c>
      <c r="IL13" s="1318">
        <f>SUMIFS(10:10,$8:$8,"&gt;="&amp;DATE(YEAR(IL$8),1,1),$8:$8,"&lt;="&amp;EOMONTH(IL$8,0))/SUMIFS(10:10,$8:$8,"&gt;="&amp;DATE(YEAR(IL$8)-1,1,1),$8:$8,"&lt;="&amp;EOMONTH(IL$8,-12))-1</f>
        <v/>
      </c>
      <c r="IM13" s="1318">
        <f>SUMIFS(10:10,$8:$8,"&gt;="&amp;DATE(YEAR(IM$8),1,1),$8:$8,"&lt;="&amp;EOMONTH(IM$8,0))/SUMIFS(10:10,$8:$8,"&gt;="&amp;DATE(YEAR(IM$8)-1,1,1),$8:$8,"&lt;="&amp;EOMONTH(IM$8,-12))-1</f>
        <v/>
      </c>
      <c r="IN13" s="1318">
        <f>SUMIFS(10:10,$8:$8,"&gt;="&amp;DATE(YEAR(IN$8),1,1),$8:$8,"&lt;="&amp;EOMONTH(IN$8,0))/SUMIFS(10:10,$8:$8,"&gt;="&amp;DATE(YEAR(IN$8)-1,1,1),$8:$8,"&lt;="&amp;EOMONTH(IN$8,-12))-1</f>
        <v/>
      </c>
      <c r="IO13" s="1318">
        <f>SUMIFS(10:10,$8:$8,"&gt;="&amp;DATE(YEAR(IO$8),1,1),$8:$8,"&lt;="&amp;EOMONTH(IO$8,0))/SUMIFS(10:10,$8:$8,"&gt;="&amp;DATE(YEAR(IO$8)-1,1,1),$8:$8,"&lt;="&amp;EOMONTH(IO$8,-12))-1</f>
        <v/>
      </c>
      <c r="IP13" s="1318">
        <f>SUMIFS(10:10,$8:$8,"&gt;="&amp;DATE(YEAR(IP$8),1,1),$8:$8,"&lt;="&amp;EOMONTH(IP$8,0))/SUMIFS(10:10,$8:$8,"&gt;="&amp;DATE(YEAR(IP$8)-1,1,1),$8:$8,"&lt;="&amp;EOMONTH(IP$8,-12))-1</f>
        <v/>
      </c>
      <c r="IQ13" s="1318">
        <f>SUMIFS(10:10,$8:$8,"&gt;="&amp;DATE(YEAR(IQ$8),1,1),$8:$8,"&lt;="&amp;EOMONTH(IQ$8,0))/SUMIFS(10:10,$8:$8,"&gt;="&amp;DATE(YEAR(IQ$8)-1,1,1),$8:$8,"&lt;="&amp;EOMONTH(IQ$8,-12))-1</f>
        <v/>
      </c>
      <c r="IR13" s="1318">
        <f>SUMIFS(10:10,$8:$8,"&gt;="&amp;DATE(YEAR(IR$8),1,1),$8:$8,"&lt;="&amp;EOMONTH(IR$8,0))/SUMIFS(10:10,$8:$8,"&gt;="&amp;DATE(YEAR(IR$8)-1,1,1),$8:$8,"&lt;="&amp;EOMONTH(IR$8,-12))-1</f>
        <v/>
      </c>
      <c r="IS13" s="1318">
        <f>SUMIFS(10:10,$8:$8,"&gt;="&amp;DATE(YEAR(IS$8),1,1),$8:$8,"&lt;="&amp;EOMONTH(IS$8,0))/SUMIFS(10:10,$8:$8,"&gt;="&amp;DATE(YEAR(IS$8)-1,1,1),$8:$8,"&lt;="&amp;EOMONTH(IS$8,-12))-1</f>
        <v/>
      </c>
      <c r="IT13" s="1318">
        <f>SUMIFS(10:10,$8:$8,"&gt;="&amp;DATE(YEAR(IT$8),1,1),$8:$8,"&lt;="&amp;EOMONTH(IT$8,0))/SUMIFS(10:10,$8:$8,"&gt;="&amp;DATE(YEAR(IT$8)-1,1,1),$8:$8,"&lt;="&amp;EOMONTH(IT$8,-12))-1</f>
        <v/>
      </c>
      <c r="IU13" s="1318">
        <f>SUMIFS(10:10,$8:$8,"&gt;="&amp;DATE(YEAR(IU$8),1,1),$8:$8,"&lt;="&amp;EOMONTH(IU$8,0))/SUMIFS(10:10,$8:$8,"&gt;="&amp;DATE(YEAR(IU$8)-1,1,1),$8:$8,"&lt;="&amp;EOMONTH(IU$8,-12))-1</f>
        <v/>
      </c>
      <c r="IV13" s="1318">
        <f>SUMIFS(10:10,$8:$8,"&gt;="&amp;DATE(YEAR(IV$8),1,1),$8:$8,"&lt;="&amp;EOMONTH(IV$8,0))/SUMIFS(10:10,$8:$8,"&gt;="&amp;DATE(YEAR(IV$8)-1,1,1),$8:$8,"&lt;="&amp;EOMONTH(IV$8,-12))-1</f>
        <v/>
      </c>
      <c r="IW13" s="1318">
        <f>SUMIFS(10:10,$8:$8,"&gt;="&amp;DATE(YEAR(IW$8),1,1),$8:$8,"&lt;="&amp;EOMONTH(IW$8,0))/SUMIFS(10:10,$8:$8,"&gt;="&amp;DATE(YEAR(IW$8)-1,1,1),$8:$8,"&lt;="&amp;EOMONTH(IW$8,-12))-1</f>
        <v/>
      </c>
      <c r="IX13" s="1318">
        <f>SUMIFS(10:10,$8:$8,"&gt;="&amp;DATE(YEAR(IX$8),1,1),$8:$8,"&lt;="&amp;EOMONTH(IX$8,0))/SUMIFS(10:10,$8:$8,"&gt;="&amp;DATE(YEAR(IX$8)-1,1,1),$8:$8,"&lt;="&amp;EOMONTH(IX$8,-12))-1</f>
        <v/>
      </c>
      <c r="IY13" s="1318">
        <f>SUMIFS(10:10,$8:$8,"&gt;="&amp;DATE(YEAR(IY$8),1,1),$8:$8,"&lt;="&amp;EOMONTH(IY$8,0))/SUMIFS(10:10,$8:$8,"&gt;="&amp;DATE(YEAR(IY$8)-1,1,1),$8:$8,"&lt;="&amp;EOMONTH(IY$8,-12))-1</f>
        <v/>
      </c>
      <c r="IZ13" s="1318">
        <f>SUMIFS(10:10,$8:$8,"&gt;="&amp;DATE(YEAR(IZ$8),1,1),$8:$8,"&lt;="&amp;EOMONTH(IZ$8,0))/SUMIFS(10:10,$8:$8,"&gt;="&amp;DATE(YEAR(IZ$8)-1,1,1),$8:$8,"&lt;="&amp;EOMONTH(IZ$8,-12))-1</f>
        <v/>
      </c>
      <c r="JA13" s="1318">
        <f>SUMIFS(10:10,$8:$8,"&gt;="&amp;DATE(YEAR(JA$8),1,1),$8:$8,"&lt;="&amp;EOMONTH(JA$8,0))/SUMIFS(10:10,$8:$8,"&gt;="&amp;DATE(YEAR(JA$8)-1,1,1),$8:$8,"&lt;="&amp;EOMONTH(JA$8,-12))-1</f>
        <v/>
      </c>
      <c r="JB13" s="1318">
        <f>SUMIFS(10:10,$8:$8,"&gt;="&amp;DATE(YEAR(JB$8),1,1),$8:$8,"&lt;="&amp;EOMONTH(JB$8,0))/SUMIFS(10:10,$8:$8,"&gt;="&amp;DATE(YEAR(JB$8)-1,1,1),$8:$8,"&lt;="&amp;EOMONTH(JB$8,-12))-1</f>
        <v/>
      </c>
      <c r="JC13" s="1318">
        <f>SUMIFS(10:10,$8:$8,"&gt;="&amp;DATE(YEAR(JC$8),1,1),$8:$8,"&lt;="&amp;EOMONTH(JC$8,0))/SUMIFS(10:10,$8:$8,"&gt;="&amp;DATE(YEAR(JC$8)-1,1,1),$8:$8,"&lt;="&amp;EOMONTH(JC$8,-12))-1</f>
        <v/>
      </c>
      <c r="JD13" s="1318">
        <f>SUMIFS(10:10,$8:$8,"&gt;="&amp;DATE(YEAR(JD$8),1,1),$8:$8,"&lt;="&amp;EOMONTH(JD$8,0))/SUMIFS(10:10,$8:$8,"&gt;="&amp;DATE(YEAR(JD$8)-1,1,1),$8:$8,"&lt;="&amp;EOMONTH(JD$8,-12))-1</f>
        <v/>
      </c>
      <c r="JE13" s="1318">
        <f>SUMIFS(10:10,$8:$8,"&gt;="&amp;DATE(YEAR(JE$8),1,1),$8:$8,"&lt;="&amp;EOMONTH(JE$8,0))/SUMIFS(10:10,$8:$8,"&gt;="&amp;DATE(YEAR(JE$8)-1,1,1),$8:$8,"&lt;="&amp;EOMONTH(JE$8,-12))-1</f>
        <v/>
      </c>
      <c r="JF13" s="1318">
        <f>SUMIFS(10:10,$8:$8,"&gt;="&amp;DATE(YEAR(JF$8),1,1),$8:$8,"&lt;="&amp;EOMONTH(JF$8,0))/SUMIFS(10:10,$8:$8,"&gt;="&amp;DATE(YEAR(JF$8)-1,1,1),$8:$8,"&lt;="&amp;EOMONTH(JF$8,-12))-1</f>
        <v/>
      </c>
      <c r="JG13" s="1318">
        <f>SUMIFS(10:10,$8:$8,"&gt;="&amp;DATE(YEAR(JG$8),1,1),$8:$8,"&lt;="&amp;EOMONTH(JG$8,0))/SUMIFS(10:10,$8:$8,"&gt;="&amp;DATE(YEAR(JG$8)-1,1,1),$8:$8,"&lt;="&amp;EOMONTH(JG$8,-12))-1</f>
        <v/>
      </c>
      <c r="JH13" s="1318">
        <f>SUMIFS(10:10,$8:$8,"&gt;="&amp;DATE(YEAR(JH$8),1,1),$8:$8,"&lt;="&amp;EOMONTH(JH$8,0))/SUMIFS(10:10,$8:$8,"&gt;="&amp;DATE(YEAR(JH$8)-1,1,1),$8:$8,"&lt;="&amp;EOMONTH(JH$8,-12))-1</f>
        <v/>
      </c>
      <c r="JI13" s="1318">
        <f>SUMIFS(10:10,$8:$8,"&gt;="&amp;DATE(YEAR(JI$8),1,1),$8:$8,"&lt;="&amp;EOMONTH(JI$8,0))/SUMIFS(10:10,$8:$8,"&gt;="&amp;DATE(YEAR(JI$8)-1,1,1),$8:$8,"&lt;="&amp;EOMONTH(JI$8,-12))-1</f>
        <v/>
      </c>
      <c r="JJ13" s="1318">
        <f>SUMIFS(10:10,$8:$8,"&gt;="&amp;DATE(YEAR(JJ$8),1,1),$8:$8,"&lt;="&amp;EOMONTH(JJ$8,0))/SUMIFS(10:10,$8:$8,"&gt;="&amp;DATE(YEAR(JJ$8)-1,1,1),$8:$8,"&lt;="&amp;EOMONTH(JJ$8,-12))-1</f>
        <v/>
      </c>
      <c r="JK13" s="1318">
        <f>SUMIFS(10:10,$8:$8,"&gt;="&amp;DATE(YEAR(JK$8),1,1),$8:$8,"&lt;="&amp;EOMONTH(JK$8,0))/SUMIFS(10:10,$8:$8,"&gt;="&amp;DATE(YEAR(JK$8)-1,1,1),$8:$8,"&lt;="&amp;EOMONTH(JK$8,-12))-1</f>
        <v/>
      </c>
      <c r="JL13" s="1318">
        <f>SUMIFS(10:10,$8:$8,"&gt;="&amp;DATE(YEAR(JL$8),1,1),$8:$8,"&lt;="&amp;EOMONTH(JL$8,0))/SUMIFS(10:10,$8:$8,"&gt;="&amp;DATE(YEAR(JL$8)-1,1,1),$8:$8,"&lt;="&amp;EOMONTH(JL$8,-12))-1</f>
        <v/>
      </c>
      <c r="JM13" s="1318">
        <f>SUMIFS(10:10,$8:$8,"&gt;="&amp;DATE(YEAR(JM$8),1,1),$8:$8,"&lt;="&amp;EOMONTH(JM$8,0))/SUMIFS(10:10,$8:$8,"&gt;="&amp;DATE(YEAR(JM$8)-1,1,1),$8:$8,"&lt;="&amp;EOMONTH(JM$8,-12))-1</f>
        <v/>
      </c>
      <c r="JN13" s="1318">
        <f>SUMIFS(10:10,$8:$8,"&gt;="&amp;DATE(YEAR(JN$8),1,1),$8:$8,"&lt;="&amp;EOMONTH(JN$8,0))/SUMIFS(10:10,$8:$8,"&gt;="&amp;DATE(YEAR(JN$8)-1,1,1),$8:$8,"&lt;="&amp;EOMONTH(JN$8,-12))-1</f>
        <v/>
      </c>
      <c r="JO13" s="1318">
        <f>SUMIFS(10:10,$8:$8,"&gt;="&amp;DATE(YEAR(JO$8),1,1),$8:$8,"&lt;="&amp;EOMONTH(JO$8,0))/SUMIFS(10:10,$8:$8,"&gt;="&amp;DATE(YEAR(JO$8)-1,1,1),$8:$8,"&lt;="&amp;EOMONTH(JO$8,-12))-1</f>
        <v/>
      </c>
      <c r="JP13" s="1318">
        <f>SUMIFS(10:10,$8:$8,"&gt;="&amp;DATE(YEAR(JP$8),1,1),$8:$8,"&lt;="&amp;EOMONTH(JP$8,0))/SUMIFS(10:10,$8:$8,"&gt;="&amp;DATE(YEAR(JP$8)-1,1,1),$8:$8,"&lt;="&amp;EOMONTH(JP$8,-12))-1</f>
        <v/>
      </c>
      <c r="JQ13" s="1318">
        <f>SUMIFS(10:10,$8:$8,"&gt;="&amp;DATE(YEAR(JQ$8),1,1),$8:$8,"&lt;="&amp;EOMONTH(JQ$8,0))/SUMIFS(10:10,$8:$8,"&gt;="&amp;DATE(YEAR(JQ$8)-1,1,1),$8:$8,"&lt;="&amp;EOMONTH(JQ$8,-12))-1</f>
        <v/>
      </c>
      <c r="JR13" s="1318">
        <f>SUMIFS(10:10,$8:$8,"&gt;="&amp;DATE(YEAR(JR$8),1,1),$8:$8,"&lt;="&amp;EOMONTH(JR$8,0))/SUMIFS(10:10,$8:$8,"&gt;="&amp;DATE(YEAR(JR$8)-1,1,1),$8:$8,"&lt;="&amp;EOMONTH(JR$8,-12))-1</f>
        <v/>
      </c>
      <c r="JS13" s="1318">
        <f>SUMIFS(10:10,$8:$8,"&gt;="&amp;DATE(YEAR(JS$8),1,1),$8:$8,"&lt;="&amp;EOMONTH(JS$8,0))/SUMIFS(10:10,$8:$8,"&gt;="&amp;DATE(YEAR(JS$8)-1,1,1),$8:$8,"&lt;="&amp;EOMONTH(JS$8,-12))-1</f>
        <v/>
      </c>
      <c r="JT13" s="1318">
        <f>SUMIFS(10:10,$8:$8,"&gt;="&amp;DATE(YEAR(JT$8),1,1),$8:$8,"&lt;="&amp;EOMONTH(JT$8,0))/SUMIFS(10:10,$8:$8,"&gt;="&amp;DATE(YEAR(JT$8)-1,1,1),$8:$8,"&lt;="&amp;EOMONTH(JT$8,-12))-1</f>
        <v/>
      </c>
      <c r="JU13" s="1318">
        <f>SUMIFS(10:10,$8:$8,"&gt;="&amp;DATE(YEAR(JU$8),1,1),$8:$8,"&lt;="&amp;EOMONTH(JU$8,0))/SUMIFS(10:10,$8:$8,"&gt;="&amp;DATE(YEAR(JU$8)-1,1,1),$8:$8,"&lt;="&amp;EOMONTH(JU$8,-12))-1</f>
        <v/>
      </c>
      <c r="JV13" s="1318">
        <f>SUMIFS(10:10,$8:$8,"&gt;="&amp;DATE(YEAR(JV$8),1,1),$8:$8,"&lt;="&amp;EOMONTH(JV$8,0))/SUMIFS(10:10,$8:$8,"&gt;="&amp;DATE(YEAR(JV$8)-1,1,1),$8:$8,"&lt;="&amp;EOMONTH(JV$8,-12))-1</f>
        <v/>
      </c>
      <c r="JW13" s="1318">
        <f>SUMIFS(10:10,$8:$8,"&gt;="&amp;DATE(YEAR(JW$8),1,1),$8:$8,"&lt;="&amp;EOMONTH(JW$8,0))/SUMIFS(10:10,$8:$8,"&gt;="&amp;DATE(YEAR(JW$8)-1,1,1),$8:$8,"&lt;="&amp;EOMONTH(JW$8,-12))-1</f>
        <v/>
      </c>
      <c r="JX13" s="1318">
        <f>SUMIFS(10:10,$8:$8,"&gt;="&amp;DATE(YEAR(JX$8),1,1),$8:$8,"&lt;="&amp;EOMONTH(JX$8,0))/SUMIFS(10:10,$8:$8,"&gt;="&amp;DATE(YEAR(JX$8)-1,1,1),$8:$8,"&lt;="&amp;EOMONTH(JX$8,-12))-1</f>
        <v/>
      </c>
      <c r="JY13" s="1318">
        <f>SUMIFS(10:10,$8:$8,"&gt;="&amp;DATE(YEAR(JY$8),1,1),$8:$8,"&lt;="&amp;EOMONTH(JY$8,0))/SUMIFS(10:10,$8:$8,"&gt;="&amp;DATE(YEAR(JY$8)-1,1,1),$8:$8,"&lt;="&amp;EOMONTH(JY$8,-12))-1</f>
        <v/>
      </c>
      <c r="JZ13" s="1318">
        <f>SUMIFS(10:10,$8:$8,"&gt;="&amp;DATE(YEAR(JZ$8),1,1),$8:$8,"&lt;="&amp;EOMONTH(JZ$8,0))/SUMIFS(10:10,$8:$8,"&gt;="&amp;DATE(YEAR(JZ$8)-1,1,1),$8:$8,"&lt;="&amp;EOMONTH(JZ$8,-12))-1</f>
        <v/>
      </c>
      <c r="KA13" s="1318">
        <f>SUMIFS(10:10,$8:$8,"&gt;="&amp;DATE(YEAR(KA$8),1,1),$8:$8,"&lt;="&amp;EOMONTH(KA$8,0))/SUMIFS(10:10,$8:$8,"&gt;="&amp;DATE(YEAR(KA$8)-1,1,1),$8:$8,"&lt;="&amp;EOMONTH(KA$8,-12))-1</f>
        <v/>
      </c>
      <c r="KB13" s="1318">
        <f>SUMIFS(10:10,$8:$8,"&gt;="&amp;DATE(YEAR(KB$8),1,1),$8:$8,"&lt;="&amp;EOMONTH(KB$8,0))/SUMIFS(10:10,$8:$8,"&gt;="&amp;DATE(YEAR(KB$8)-1,1,1),$8:$8,"&lt;="&amp;EOMONTH(KB$8,-12))-1</f>
        <v/>
      </c>
      <c r="KC13" s="1318">
        <f>SUMIFS(10:10,$8:$8,"&gt;="&amp;DATE(YEAR(KC$8),1,1),$8:$8,"&lt;="&amp;EOMONTH(KC$8,0))/SUMIFS(10:10,$8:$8,"&gt;="&amp;DATE(YEAR(KC$8)-1,1,1),$8:$8,"&lt;="&amp;EOMONTH(KC$8,-12))-1</f>
        <v/>
      </c>
      <c r="KD13" s="1318">
        <f>SUMIFS(10:10,$8:$8,"&gt;="&amp;DATE(YEAR(KD$8),1,1),$8:$8,"&lt;="&amp;EOMONTH(KD$8,0))/SUMIFS(10:10,$8:$8,"&gt;="&amp;DATE(YEAR(KD$8)-1,1,1),$8:$8,"&lt;="&amp;EOMONTH(KD$8,-12))-1</f>
        <v/>
      </c>
      <c r="KE13" s="1318">
        <f>SUMIFS(10:10,$8:$8,"&gt;="&amp;DATE(YEAR(KE$8),1,1),$8:$8,"&lt;="&amp;EOMONTH(KE$8,0))/SUMIFS(10:10,$8:$8,"&gt;="&amp;DATE(YEAR(KE$8)-1,1,1),$8:$8,"&lt;="&amp;EOMONTH(KE$8,-12))-1</f>
        <v/>
      </c>
      <c r="KF13" s="1318">
        <f>SUMIFS(10:10,$8:$8,"&gt;="&amp;DATE(YEAR(KF$8),1,1),$8:$8,"&lt;="&amp;EOMONTH(KF$8,0))/SUMIFS(10:10,$8:$8,"&gt;="&amp;DATE(YEAR(KF$8)-1,1,1),$8:$8,"&lt;="&amp;EOMONTH(KF$8,-12))-1</f>
        <v/>
      </c>
      <c r="KG13" s="1318">
        <f>SUMIFS(10:10,$8:$8,"&gt;="&amp;DATE(YEAR(KG$8),1,1),$8:$8,"&lt;="&amp;EOMONTH(KG$8,0))/SUMIFS(10:10,$8:$8,"&gt;="&amp;DATE(YEAR(KG$8)-1,1,1),$8:$8,"&lt;="&amp;EOMONTH(KG$8,-12))-1</f>
        <v/>
      </c>
      <c r="KH13" s="1318">
        <f>SUMIFS(10:10,$8:$8,"&gt;="&amp;DATE(YEAR(KH$8),1,1),$8:$8,"&lt;="&amp;EOMONTH(KH$8,0))/SUMIFS(10:10,$8:$8,"&gt;="&amp;DATE(YEAR(KH$8)-1,1,1),$8:$8,"&lt;="&amp;EOMONTH(KH$8,-12))-1</f>
        <v/>
      </c>
      <c r="KI13" s="1318">
        <f>SUMIFS(10:10,$8:$8,"&gt;="&amp;DATE(YEAR(KI$8),1,1),$8:$8,"&lt;="&amp;EOMONTH(KI$8,0))/SUMIFS(10:10,$8:$8,"&gt;="&amp;DATE(YEAR(KI$8)-1,1,1),$8:$8,"&lt;="&amp;EOMONTH(KI$8,-12))-1</f>
        <v/>
      </c>
      <c r="KJ13" s="1318">
        <f>SUMIFS(10:10,$8:$8,"&gt;="&amp;DATE(YEAR(KJ$8),1,1),$8:$8,"&lt;="&amp;EOMONTH(KJ$8,0))/SUMIFS(10:10,$8:$8,"&gt;="&amp;DATE(YEAR(KJ$8)-1,1,1),$8:$8,"&lt;="&amp;EOMONTH(KJ$8,-12))-1</f>
        <v/>
      </c>
      <c r="KK13" s="1318">
        <f>SUMIFS(10:10,$8:$8,"&gt;="&amp;DATE(YEAR(KK$8),1,1),$8:$8,"&lt;="&amp;EOMONTH(KK$8,0))/SUMIFS(10:10,$8:$8,"&gt;="&amp;DATE(YEAR(KK$8)-1,1,1),$8:$8,"&lt;="&amp;EOMONTH(KK$8,-12))-1</f>
        <v/>
      </c>
      <c r="KL13" s="1318">
        <f>SUMIFS(10:10,$8:$8,"&gt;="&amp;DATE(YEAR(KL$8),1,1),$8:$8,"&lt;="&amp;EOMONTH(KL$8,0))/SUMIFS(10:10,$8:$8,"&gt;="&amp;DATE(YEAR(KL$8)-1,1,1),$8:$8,"&lt;="&amp;EOMONTH(KL$8,-12))-1</f>
        <v/>
      </c>
      <c r="KM13" s="1318">
        <f>SUMIFS(10:10,$8:$8,"&gt;="&amp;DATE(YEAR(KM$8),1,1),$8:$8,"&lt;="&amp;EOMONTH(KM$8,0))/SUMIFS(10:10,$8:$8,"&gt;="&amp;DATE(YEAR(KM$8)-1,1,1),$8:$8,"&lt;="&amp;EOMONTH(KM$8,-12))-1</f>
        <v/>
      </c>
      <c r="KN13" s="1318">
        <f>SUMIFS(10:10,$8:$8,"&gt;="&amp;DATE(YEAR(KN$8),1,1),$8:$8,"&lt;="&amp;EOMONTH(KN$8,0))/SUMIFS(10:10,$8:$8,"&gt;="&amp;DATE(YEAR(KN$8)-1,1,1),$8:$8,"&lt;="&amp;EOMONTH(KN$8,-12))-1</f>
        <v/>
      </c>
      <c r="KO13" s="1318">
        <f>SUMIFS(10:10,$8:$8,"&gt;="&amp;DATE(YEAR(KO$8),1,1),$8:$8,"&lt;="&amp;EOMONTH(KO$8,0))/SUMIFS(10:10,$8:$8,"&gt;="&amp;DATE(YEAR(KO$8)-1,1,1),$8:$8,"&lt;="&amp;EOMONTH(KO$8,-12))-1</f>
        <v/>
      </c>
      <c r="KP13" s="1318">
        <f>SUMIFS(10:10,$8:$8,"&gt;="&amp;DATE(YEAR(KP$8),1,1),$8:$8,"&lt;="&amp;EOMONTH(KP$8,0))/SUMIFS(10:10,$8:$8,"&gt;="&amp;DATE(YEAR(KP$8)-1,1,1),$8:$8,"&lt;="&amp;EOMONTH(KP$8,-12))-1</f>
        <v/>
      </c>
      <c r="KQ13" s="1318">
        <f>SUMIFS(10:10,$8:$8,"&gt;="&amp;DATE(YEAR(KQ$8),1,1),$8:$8,"&lt;="&amp;EOMONTH(KQ$8,0))/SUMIFS(10:10,$8:$8,"&gt;="&amp;DATE(YEAR(KQ$8)-1,1,1),$8:$8,"&lt;="&amp;EOMONTH(KQ$8,-12))-1</f>
        <v/>
      </c>
      <c r="KR13" s="1318">
        <f>SUMIFS(10:10,$8:$8,"&gt;="&amp;DATE(YEAR(KR$8),1,1),$8:$8,"&lt;="&amp;EOMONTH(KR$8,0))/SUMIFS(10:10,$8:$8,"&gt;="&amp;DATE(YEAR(KR$8)-1,1,1),$8:$8,"&lt;="&amp;EOMONTH(KR$8,-12))-1</f>
        <v/>
      </c>
      <c r="KS13" s="1318">
        <f>SUMIFS(10:10,$8:$8,"&gt;="&amp;DATE(YEAR(KS$8),1,1),$8:$8,"&lt;="&amp;EOMONTH(KS$8,0))/SUMIFS(10:10,$8:$8,"&gt;="&amp;DATE(YEAR(KS$8)-1,1,1),$8:$8,"&lt;="&amp;EOMONTH(KS$8,-12))-1</f>
        <v/>
      </c>
      <c r="KT13" s="1318">
        <f>SUMIFS(10:10,$8:$8,"&gt;="&amp;DATE(YEAR(KT$8),1,1),$8:$8,"&lt;="&amp;EOMONTH(KT$8,0))/SUMIFS(10:10,$8:$8,"&gt;="&amp;DATE(YEAR(KT$8)-1,1,1),$8:$8,"&lt;="&amp;EOMONTH(KT$8,-12))-1</f>
        <v/>
      </c>
      <c r="KU13" s="1318">
        <f>SUMIFS(10:10,$8:$8,"&gt;="&amp;DATE(YEAR(KU$8),1,1),$8:$8,"&lt;="&amp;EOMONTH(KU$8,0))/SUMIFS(10:10,$8:$8,"&gt;="&amp;DATE(YEAR(KU$8)-1,1,1),$8:$8,"&lt;="&amp;EOMONTH(KU$8,-12))-1</f>
        <v/>
      </c>
      <c r="KV13" s="1318">
        <f>SUMIFS(10:10,$8:$8,"&gt;="&amp;DATE(YEAR(KV$8),1,1),$8:$8,"&lt;="&amp;EOMONTH(KV$8,0))/SUMIFS(10:10,$8:$8,"&gt;="&amp;DATE(YEAR(KV$8)-1,1,1),$8:$8,"&lt;="&amp;EOMONTH(KV$8,-12))-1</f>
        <v/>
      </c>
      <c r="KW13" s="1318">
        <f>SUMIFS(10:10,$8:$8,"&gt;="&amp;DATE(YEAR(KW$8),1,1),$8:$8,"&lt;="&amp;EOMONTH(KW$8,0))/SUMIFS(10:10,$8:$8,"&gt;="&amp;DATE(YEAR(KW$8)-1,1,1),$8:$8,"&lt;="&amp;EOMONTH(KW$8,-12))-1</f>
        <v/>
      </c>
      <c r="KX13" s="1318">
        <f>SUMIFS(10:10,$8:$8,"&gt;="&amp;DATE(YEAR(KX$8),1,1),$8:$8,"&lt;="&amp;EOMONTH(KX$8,0))/SUMIFS(10:10,$8:$8,"&gt;="&amp;DATE(YEAR(KX$8)-1,1,1),$8:$8,"&lt;="&amp;EOMONTH(KX$8,-12))-1</f>
        <v/>
      </c>
      <c r="KY13" s="1318">
        <f>SUMIFS(10:10,$8:$8,"&gt;="&amp;DATE(YEAR(KY$8),1,1),$8:$8,"&lt;="&amp;EOMONTH(KY$8,0))/SUMIFS(10:10,$8:$8,"&gt;="&amp;DATE(YEAR(KY$8)-1,1,1),$8:$8,"&lt;="&amp;EOMONTH(KY$8,-12))-1</f>
        <v/>
      </c>
      <c r="KZ13" s="1318">
        <f>SUMIFS(10:10,$8:$8,"&gt;="&amp;DATE(YEAR(KZ$8),1,1),$8:$8,"&lt;="&amp;EOMONTH(KZ$8,0))/SUMIFS(10:10,$8:$8,"&gt;="&amp;DATE(YEAR(KZ$8)-1,1,1),$8:$8,"&lt;="&amp;EOMONTH(KZ$8,-12))-1</f>
        <v/>
      </c>
      <c r="LA13" s="1318">
        <f>SUMIFS(10:10,$8:$8,"&gt;="&amp;DATE(YEAR(LA$8),1,1),$8:$8,"&lt;="&amp;EOMONTH(LA$8,0))/SUMIFS(10:10,$8:$8,"&gt;="&amp;DATE(YEAR(LA$8)-1,1,1),$8:$8,"&lt;="&amp;EOMONTH(LA$8,-12))-1</f>
        <v/>
      </c>
      <c r="LB13" s="1318">
        <f>SUMIFS(10:10,$8:$8,"&gt;="&amp;DATE(YEAR(LB$8),1,1),$8:$8,"&lt;="&amp;EOMONTH(LB$8,0))/SUMIFS(10:10,$8:$8,"&gt;="&amp;DATE(YEAR(LB$8)-1,1,1),$8:$8,"&lt;="&amp;EOMONTH(LB$8,-12))-1</f>
        <v/>
      </c>
      <c r="LC13" s="1318">
        <f>SUMIFS(10:10,$8:$8,"&gt;="&amp;DATE(YEAR(LC$8),1,1),$8:$8,"&lt;="&amp;EOMONTH(LC$8,0))/SUMIFS(10:10,$8:$8,"&gt;="&amp;DATE(YEAR(LC$8)-1,1,1),$8:$8,"&lt;="&amp;EOMONTH(LC$8,-12))-1</f>
        <v/>
      </c>
      <c r="LD13" s="1318">
        <f>SUMIFS(10:10,$8:$8,"&gt;="&amp;DATE(YEAR(LD$8),1,1),$8:$8,"&lt;="&amp;EOMONTH(LD$8,0))/SUMIFS(10:10,$8:$8,"&gt;="&amp;DATE(YEAR(LD$8)-1,1,1),$8:$8,"&lt;="&amp;EOMONTH(LD$8,-12))-1</f>
        <v/>
      </c>
      <c r="LE13" s="1318">
        <f>SUMIFS(10:10,$8:$8,"&gt;="&amp;DATE(YEAR(LE$8),1,1),$8:$8,"&lt;="&amp;EOMONTH(LE$8,0))/SUMIFS(10:10,$8:$8,"&gt;="&amp;DATE(YEAR(LE$8)-1,1,1),$8:$8,"&lt;="&amp;EOMONTH(LE$8,-12))-1</f>
        <v/>
      </c>
      <c r="LF13" s="1318">
        <f>SUMIFS(10:10,$8:$8,"&gt;="&amp;DATE(YEAR(LF$8),1,1),$8:$8,"&lt;="&amp;EOMONTH(LF$8,0))/SUMIFS(10:10,$8:$8,"&gt;="&amp;DATE(YEAR(LF$8)-1,1,1),$8:$8,"&lt;="&amp;EOMONTH(LF$8,-12))-1</f>
        <v/>
      </c>
      <c r="LG13" s="1318">
        <f>SUMIFS(10:10,$8:$8,"&gt;="&amp;DATE(YEAR(LG$8),1,1),$8:$8,"&lt;="&amp;EOMONTH(LG$8,0))/SUMIFS(10:10,$8:$8,"&gt;="&amp;DATE(YEAR(LG$8)-1,1,1),$8:$8,"&lt;="&amp;EOMONTH(LG$8,-12))-1</f>
        <v/>
      </c>
      <c r="LH13" s="1318">
        <f>SUMIFS(10:10,$8:$8,"&gt;="&amp;DATE(YEAR(LH$8),1,1),$8:$8,"&lt;="&amp;EOMONTH(LH$8,0))/SUMIFS(10:10,$8:$8,"&gt;="&amp;DATE(YEAR(LH$8)-1,1,1),$8:$8,"&lt;="&amp;EOMONTH(LH$8,-12))-1</f>
        <v/>
      </c>
      <c r="LI13" s="1318">
        <f>SUMIFS(10:10,$8:$8,"&gt;="&amp;DATE(YEAR(LI$8),1,1),$8:$8,"&lt;="&amp;EOMONTH(LI$8,0))/SUMIFS(10:10,$8:$8,"&gt;="&amp;DATE(YEAR(LI$8)-1,1,1),$8:$8,"&lt;="&amp;EOMONTH(LI$8,-12))-1</f>
        <v/>
      </c>
      <c r="LJ13" s="1318">
        <f>SUMIFS(10:10,$8:$8,"&gt;="&amp;DATE(YEAR(LJ$8),1,1),$8:$8,"&lt;="&amp;EOMONTH(LJ$8,0))/SUMIFS(10:10,$8:$8,"&gt;="&amp;DATE(YEAR(LJ$8)-1,1,1),$8:$8,"&lt;="&amp;EOMONTH(LJ$8,-12))-1</f>
        <v/>
      </c>
      <c r="LK13" s="1318">
        <f>SUMIFS(10:10,$8:$8,"&gt;="&amp;DATE(YEAR(LK$8),1,1),$8:$8,"&lt;="&amp;EOMONTH(LK$8,0))/SUMIFS(10:10,$8:$8,"&gt;="&amp;DATE(YEAR(LK$8)-1,1,1),$8:$8,"&lt;="&amp;EOMONTH(LK$8,-12))-1</f>
        <v/>
      </c>
      <c r="LL13" s="1318">
        <f>SUMIFS(10:10,$8:$8,"&gt;="&amp;DATE(YEAR(LL$8),1,1),$8:$8,"&lt;="&amp;EOMONTH(LL$8,0))/SUMIFS(10:10,$8:$8,"&gt;="&amp;DATE(YEAR(LL$8)-1,1,1),$8:$8,"&lt;="&amp;EOMONTH(LL$8,-12))-1</f>
        <v/>
      </c>
      <c r="LM13" s="1318">
        <f>SUMIFS(10:10,$8:$8,"&gt;="&amp;DATE(YEAR(LM$8),1,1),$8:$8,"&lt;="&amp;EOMONTH(LM$8,0))/SUMIFS(10:10,$8:$8,"&gt;="&amp;DATE(YEAR(LM$8)-1,1,1),$8:$8,"&lt;="&amp;EOMONTH(LM$8,-12))-1</f>
        <v/>
      </c>
      <c r="LN13" s="1318">
        <f>SUMIFS(10:10,$8:$8,"&gt;="&amp;DATE(YEAR(LN$8),1,1),$8:$8,"&lt;="&amp;EOMONTH(LN$8,0))/SUMIFS(10:10,$8:$8,"&gt;="&amp;DATE(YEAR(LN$8)-1,1,1),$8:$8,"&lt;="&amp;EOMONTH(LN$8,-12))-1</f>
        <v/>
      </c>
      <c r="LO13" s="1318">
        <f>SUMIFS(10:10,$8:$8,"&gt;="&amp;DATE(YEAR(LO$8),1,1),$8:$8,"&lt;="&amp;EOMONTH(LO$8,0))/SUMIFS(10:10,$8:$8,"&gt;="&amp;DATE(YEAR(LO$8)-1,1,1),$8:$8,"&lt;="&amp;EOMONTH(LO$8,-12))-1</f>
        <v/>
      </c>
      <c r="LP13" s="1318">
        <f>SUMIFS(10:10,$8:$8,"&gt;="&amp;DATE(YEAR(LP$8),1,1),$8:$8,"&lt;="&amp;EOMONTH(LP$8,0))/SUMIFS(10:10,$8:$8,"&gt;="&amp;DATE(YEAR(LP$8)-1,1,1),$8:$8,"&lt;="&amp;EOMONTH(LP$8,-12))-1</f>
        <v/>
      </c>
      <c r="LQ13" s="1318">
        <f>SUMIFS(10:10,$8:$8,"&gt;="&amp;DATE(YEAR(LQ$8),1,1),$8:$8,"&lt;="&amp;EOMONTH(LQ$8,0))/SUMIFS(10:10,$8:$8,"&gt;="&amp;DATE(YEAR(LQ$8)-1,1,1),$8:$8,"&lt;="&amp;EOMONTH(LQ$8,-12))-1</f>
        <v/>
      </c>
      <c r="LR13" s="1318">
        <f>SUMIFS(10:10,$8:$8,"&gt;="&amp;DATE(YEAR(LR$8),1,1),$8:$8,"&lt;="&amp;EOMONTH(LR$8,0))/SUMIFS(10:10,$8:$8,"&gt;="&amp;DATE(YEAR(LR$8)-1,1,1),$8:$8,"&lt;="&amp;EOMONTH(LR$8,-12))-1</f>
        <v/>
      </c>
      <c r="LS13" s="1318">
        <f>SUMIFS(10:10,$8:$8,"&gt;="&amp;DATE(YEAR(LS$8),1,1),$8:$8,"&lt;="&amp;EOMONTH(LS$8,0))/SUMIFS(10:10,$8:$8,"&gt;="&amp;DATE(YEAR(LS$8)-1,1,1),$8:$8,"&lt;="&amp;EOMONTH(LS$8,-12))-1</f>
        <v/>
      </c>
    </row>
    <row r="14" ht="15" customHeight="1" s="239">
      <c r="A14" s="1319" t="inlineStr">
        <is>
          <t>Europe</t>
        </is>
      </c>
      <c r="B14" s="1320" t="n">
        <v>1245.696886252912</v>
      </c>
      <c r="C14" s="1319" t="n">
        <v>1112.476113747087</v>
      </c>
      <c r="D14" s="1319" t="n">
        <v>1236.981424148607</v>
      </c>
      <c r="E14" s="1319" t="n">
        <v>1170.462324423094</v>
      </c>
      <c r="F14" s="1319" t="n">
        <v>1087.698251428298</v>
      </c>
      <c r="G14" s="1319" t="n">
        <v>948.7070000000003</v>
      </c>
      <c r="H14" s="1319" t="n">
        <v>1221.914</v>
      </c>
      <c r="I14" s="1319" t="n">
        <v>1196.372000000001</v>
      </c>
      <c r="J14" s="1319" t="n">
        <v>1169.9</v>
      </c>
      <c r="K14" s="1319" t="n">
        <v>1223.598</v>
      </c>
      <c r="L14" s="1319" t="n">
        <v>1138.993</v>
      </c>
      <c r="M14" s="1319" t="n">
        <v>1152.598930481283</v>
      </c>
      <c r="N14" s="1320" t="n">
        <v>1176.187</v>
      </c>
      <c r="O14" s="1319" t="n">
        <v>1110.436</v>
      </c>
      <c r="P14" s="1319" t="n">
        <v>1198.635</v>
      </c>
      <c r="Q14" s="1319" t="n">
        <v>1166.089</v>
      </c>
      <c r="R14" s="1319" t="n">
        <v>1192.49</v>
      </c>
      <c r="S14" s="1319" t="n">
        <v>1160.259</v>
      </c>
      <c r="T14" s="1319" t="n">
        <v>1250.284</v>
      </c>
      <c r="U14" s="1319" t="n">
        <v>1248.965</v>
      </c>
      <c r="V14" s="1319" t="n">
        <v>1258.243</v>
      </c>
      <c r="W14" s="1319" t="n">
        <v>1283.501</v>
      </c>
      <c r="X14" s="1319" t="n">
        <v>1226.343</v>
      </c>
      <c r="Y14" s="1319" t="n">
        <v>1293.216</v>
      </c>
      <c r="Z14" s="1320" t="n">
        <v>1280.264</v>
      </c>
      <c r="AA14" s="1319" t="n">
        <v>1154.975</v>
      </c>
      <c r="AB14" s="1319" t="n">
        <v>1267.996</v>
      </c>
      <c r="AC14" s="1319" t="n">
        <v>1230.704</v>
      </c>
      <c r="AD14" s="1319" t="n">
        <v>1161.301</v>
      </c>
      <c r="AE14" s="1319" t="n">
        <v>1135.104</v>
      </c>
      <c r="AF14" s="1319" t="n">
        <v>1084.836</v>
      </c>
      <c r="AG14" s="1319" t="n">
        <v>1148.159</v>
      </c>
      <c r="AH14" s="1319" t="n">
        <v>1100.885</v>
      </c>
      <c r="AI14" s="1319" t="n">
        <v>1130.091</v>
      </c>
      <c r="AJ14" s="1319" t="n">
        <v>1042.937</v>
      </c>
      <c r="AK14" s="1319" t="n">
        <v>1095.794</v>
      </c>
      <c r="AL14" s="1320" t="n">
        <v>1085.425</v>
      </c>
      <c r="AM14" s="1319" t="n">
        <v>990.466</v>
      </c>
      <c r="AN14" s="1319" t="n">
        <v>1102.55</v>
      </c>
      <c r="AO14" s="1319" t="n">
        <v>1053.619</v>
      </c>
      <c r="AP14" s="1319" t="n">
        <v>1095.293</v>
      </c>
      <c r="AQ14" s="1319" t="n">
        <v>1058.721</v>
      </c>
      <c r="AR14" s="1319" t="n">
        <v>1186.304</v>
      </c>
      <c r="AS14" s="1319" t="n">
        <v>1171.962</v>
      </c>
      <c r="AT14" s="1319" t="n">
        <v>1134.344</v>
      </c>
      <c r="AU14" s="1319" t="n">
        <v>1162.012</v>
      </c>
      <c r="AV14" s="1319" t="n">
        <v>1115.749</v>
      </c>
      <c r="AW14" s="1319" t="n">
        <v>1134.452</v>
      </c>
      <c r="AX14" s="1320" t="n">
        <v>1147.39</v>
      </c>
      <c r="AY14" s="1320" t="n">
        <v>1025.802</v>
      </c>
      <c r="AZ14" s="1320" t="n">
        <v>1143.626605504587</v>
      </c>
      <c r="BA14" s="1320" t="n">
        <v>811.7793548387097</v>
      </c>
      <c r="BB14" s="1320" t="n">
        <v>666.671</v>
      </c>
      <c r="BC14" s="1320" t="n">
        <v>685.502</v>
      </c>
      <c r="BD14" s="1320" t="n">
        <v>1064.997</v>
      </c>
      <c r="BE14" s="1320" t="n">
        <v>1245.338</v>
      </c>
      <c r="BF14" s="1320" t="n">
        <v>1219.125</v>
      </c>
      <c r="BG14" s="1320" t="n">
        <v>1263.789</v>
      </c>
      <c r="BH14" s="1320" t="n">
        <v>1199.41</v>
      </c>
      <c r="BI14" s="1320" t="n">
        <v>1238.323</v>
      </c>
      <c r="BJ14" s="1320" t="n">
        <v>1241.016</v>
      </c>
      <c r="BK14" s="1320" t="n">
        <v>1161.686</v>
      </c>
      <c r="BL14" s="1320" t="n">
        <v>1246.553</v>
      </c>
      <c r="BM14" s="1320" t="n">
        <v>1258.258</v>
      </c>
      <c r="BN14" s="1320" t="n">
        <v>1318.109</v>
      </c>
      <c r="BO14" s="1320" t="n">
        <v>1264.448</v>
      </c>
      <c r="BP14" s="1320" t="n">
        <v>1316.53</v>
      </c>
      <c r="BQ14" s="1320" t="n">
        <v>1309.318</v>
      </c>
      <c r="BR14" s="1320" t="n">
        <v>1265.428</v>
      </c>
      <c r="BS14" s="1320" t="n">
        <v>1318.647</v>
      </c>
      <c r="BT14" s="1320" t="n">
        <v>1220.957</v>
      </c>
      <c r="BU14" s="1320" t="n">
        <v>1273.61</v>
      </c>
      <c r="BV14" s="1320" t="n">
        <v>1281.543</v>
      </c>
      <c r="BW14" s="1320" t="n">
        <v>1152.882</v>
      </c>
      <c r="BX14" s="1320" t="n">
        <v>1267.546</v>
      </c>
      <c r="BY14" s="1320" t="n">
        <v>1270.192</v>
      </c>
      <c r="BZ14" s="1320" t="n">
        <v>1310.692</v>
      </c>
      <c r="CA14" s="1320" t="n">
        <v>1309.693</v>
      </c>
      <c r="CB14" s="1320" t="n">
        <v>1460.246</v>
      </c>
      <c r="CC14" s="1320" t="n">
        <v>1445.73</v>
      </c>
      <c r="CD14" s="1320" t="n">
        <v>1403.885</v>
      </c>
      <c r="CE14" s="1320" t="n">
        <v>1450.276</v>
      </c>
      <c r="CF14" s="1320" t="n">
        <v>1362.478</v>
      </c>
      <c r="CG14" s="1320" t="n">
        <v>1465.94</v>
      </c>
      <c r="CH14" s="1320" t="n">
        <v>1469.364</v>
      </c>
      <c r="CI14" s="1320" t="n">
        <v>1308.179</v>
      </c>
      <c r="CJ14" s="1321" t="n">
        <v>1497.079</v>
      </c>
      <c r="CK14" s="1321" t="n">
        <v>1590.8</v>
      </c>
      <c r="CL14" s="1322" t="n">
        <v>1646.8</v>
      </c>
      <c r="CM14" s="1322" t="n">
        <v>1595.522</v>
      </c>
      <c r="CN14" s="1319" t="n">
        <v>1695.051</v>
      </c>
      <c r="CO14" s="1319" t="n">
        <v>1651.418</v>
      </c>
      <c r="CP14" s="1319" t="n">
        <v>1647.931</v>
      </c>
      <c r="CQ14" s="1319" t="n">
        <v>1676</v>
      </c>
      <c r="CR14" s="1319" t="n">
        <v>1524</v>
      </c>
      <c r="CS14" s="1319" t="n">
        <v>1581.701</v>
      </c>
      <c r="CT14" s="1319" t="n">
        <v>1580.538</v>
      </c>
      <c r="CU14" s="1319" t="n">
        <v>1422.731</v>
      </c>
      <c r="CV14" s="1319" t="n">
        <v>1611</v>
      </c>
      <c r="CW14" s="1320" t="n">
        <v>1651.81</v>
      </c>
      <c r="CX14" s="1320" t="n">
        <v>1705.045</v>
      </c>
      <c r="CY14" s="1320" t="n">
        <v>1650.728</v>
      </c>
      <c r="CZ14" s="1320" t="n">
        <v>1696.822</v>
      </c>
      <c r="DA14" s="1320" t="n">
        <v>1713.564</v>
      </c>
      <c r="DB14" s="1320" t="n">
        <v>1658.22</v>
      </c>
      <c r="DC14" s="1320" t="n">
        <v>1695.163</v>
      </c>
      <c r="DD14" s="1320" t="n">
        <v>1602.587</v>
      </c>
      <c r="DE14" s="1320" t="n">
        <v>1652.859</v>
      </c>
      <c r="DF14" s="1320" t="n">
        <v>1653.938</v>
      </c>
      <c r="DG14" s="1320" t="n">
        <v>1545.716</v>
      </c>
      <c r="DH14" s="1320" t="n">
        <v>1654.479</v>
      </c>
      <c r="DI14" s="1320" t="n">
        <v>1620.463</v>
      </c>
      <c r="DJ14" s="1320" t="n">
        <v>1682.225</v>
      </c>
      <c r="DK14" s="1320" t="n">
        <v>1624.199</v>
      </c>
      <c r="DL14" s="1320" t="n">
        <v>1682.568</v>
      </c>
      <c r="DM14" s="1320" t="n">
        <v>1705.751</v>
      </c>
      <c r="DN14" s="1320" t="n">
        <v>1651.276</v>
      </c>
      <c r="DO14" s="1320" t="n">
        <v>1728.612</v>
      </c>
      <c r="DP14" s="1320" t="n">
        <v>1703.981</v>
      </c>
      <c r="DQ14" s="1320" t="n">
        <v>1764.069</v>
      </c>
      <c r="DR14" s="1320" t="n">
        <v>1782.456</v>
      </c>
      <c r="DS14" s="1320" t="n">
        <v>1611.608</v>
      </c>
      <c r="DT14" s="1320" t="n">
        <v>1800.199</v>
      </c>
      <c r="DU14" s="1320" t="n">
        <v>1875.996</v>
      </c>
      <c r="DV14" s="1320" t="n">
        <v>1725.012</v>
      </c>
      <c r="DW14" s="1320" t="n">
        <v>1652.757</v>
      </c>
      <c r="DX14" s="1320" t="n">
        <v>1803.141</v>
      </c>
      <c r="DY14" s="1320" t="n">
        <v>1819.876</v>
      </c>
      <c r="DZ14" s="1320" t="n">
        <v>1488.697</v>
      </c>
      <c r="EA14" s="1320" t="n">
        <v>1518.553</v>
      </c>
      <c r="EB14" s="1320" t="n">
        <v>1480.577</v>
      </c>
      <c r="EC14" s="1320" t="n">
        <v>1663.57</v>
      </c>
      <c r="ED14" s="1320" t="n">
        <v>1676.958</v>
      </c>
      <c r="EE14" s="1320" t="n">
        <v>1498.71</v>
      </c>
      <c r="EF14" s="1320" t="n">
        <v>1682.906</v>
      </c>
      <c r="EG14" s="1320" t="n">
        <v>1485.697</v>
      </c>
      <c r="EH14" s="1320" t="n">
        <v>1766.111</v>
      </c>
      <c r="EI14" s="1320" t="n">
        <v>1727.42</v>
      </c>
      <c r="EJ14" s="1320" t="n">
        <v>1933.847</v>
      </c>
      <c r="EK14" s="1320" t="n">
        <v>1948.602</v>
      </c>
      <c r="EL14" s="1320" t="n">
        <v>1840.759</v>
      </c>
      <c r="EM14" s="1320" t="n">
        <v>1827.165</v>
      </c>
      <c r="EN14" s="1320" t="n">
        <v>1748.643</v>
      </c>
      <c r="EO14" s="1320" t="n">
        <v>1856.538</v>
      </c>
      <c r="EP14" s="1320" t="n">
        <v>1917.208</v>
      </c>
      <c r="EQ14" s="1320" t="n">
        <v>1724.483</v>
      </c>
      <c r="ER14" s="1320" t="n">
        <v>1912.19</v>
      </c>
      <c r="ES14" s="1320" t="n">
        <v>1858.154</v>
      </c>
      <c r="ET14" s="1320" t="n">
        <v>1916.472</v>
      </c>
      <c r="EU14" s="1320" t="n">
        <v>1830.954</v>
      </c>
      <c r="EV14" s="1320" t="n">
        <v>1974.059</v>
      </c>
      <c r="EW14" s="1320" t="n">
        <v>1979.255</v>
      </c>
      <c r="EX14" s="1320" t="n">
        <v>1887.631</v>
      </c>
      <c r="EY14" s="1320" t="n">
        <v>1948.614</v>
      </c>
      <c r="EZ14" s="1320" t="n">
        <v>1786.393</v>
      </c>
      <c r="FA14" s="1320" t="n">
        <v>1816.84</v>
      </c>
      <c r="FB14" s="1320" t="n">
        <v>1837.728</v>
      </c>
      <c r="FC14" s="1320" t="n">
        <v>1695.115</v>
      </c>
      <c r="FD14" s="1320" t="n">
        <v>1852.452</v>
      </c>
      <c r="FE14" s="1320" t="n">
        <v>1809.266</v>
      </c>
      <c r="FF14" s="1320" t="n">
        <v>1824.986</v>
      </c>
      <c r="FG14" s="1320" t="n">
        <v>1792.133</v>
      </c>
      <c r="FH14" s="1320" t="n">
        <v>1914.41</v>
      </c>
      <c r="FI14" s="1320" t="n">
        <v>1857.983</v>
      </c>
      <c r="FJ14" s="1320" t="n">
        <v>1778.334</v>
      </c>
      <c r="FK14" s="1320" t="n">
        <v>1812.771</v>
      </c>
      <c r="FL14" s="1320" t="n">
        <v>1669.139</v>
      </c>
      <c r="FM14" s="1320" t="n">
        <v>1664.777</v>
      </c>
      <c r="FN14" s="1320" t="n">
        <v>1744.755</v>
      </c>
      <c r="FO14" s="1320" t="n">
        <v>1536.693</v>
      </c>
      <c r="FP14" s="1320" t="n">
        <v>1747.746</v>
      </c>
      <c r="FQ14" s="1320" t="n">
        <v>1713.198</v>
      </c>
      <c r="FR14" s="1320" t="n">
        <v>1798.799</v>
      </c>
      <c r="FS14" s="1320" t="n">
        <v>1775.033</v>
      </c>
      <c r="FT14" s="1320" t="n">
        <v>2008.263</v>
      </c>
      <c r="FU14" s="1320" t="n">
        <v>1991.874</v>
      </c>
      <c r="FV14" s="1320" t="n">
        <v>1889.105</v>
      </c>
      <c r="FW14" s="1320" t="n">
        <v>1823.928</v>
      </c>
      <c r="FX14" s="1320" t="n">
        <v>1733.879</v>
      </c>
      <c r="FY14" s="1320" t="n">
        <v>1772.759</v>
      </c>
      <c r="FZ14" s="1320" t="n">
        <v>1769.321</v>
      </c>
      <c r="GA14" s="1320" t="n">
        <v>1596.349</v>
      </c>
      <c r="GB14" s="1320" t="n">
        <v>1746.656</v>
      </c>
      <c r="GC14" s="1320" t="n">
        <v>1741.891</v>
      </c>
      <c r="GD14" s="1320" t="n">
        <v>1777.522</v>
      </c>
      <c r="GE14" s="1320" t="n">
        <v>1791.756</v>
      </c>
      <c r="GF14" s="1323" t="n">
        <v>1885.85</v>
      </c>
      <c r="GG14" s="1323" t="n">
        <v>1887.472</v>
      </c>
      <c r="GH14" s="1323" t="n">
        <v>1826.583</v>
      </c>
      <c r="GI14" s="1323" t="n">
        <v>1747.21</v>
      </c>
      <c r="GJ14" s="1323" t="n">
        <v>1617.275</v>
      </c>
      <c r="GK14" s="1320" t="n">
        <v>1668.051</v>
      </c>
      <c r="GL14" s="1323" t="n">
        <v>1900.716</v>
      </c>
      <c r="GM14" s="1323" t="n">
        <v>1643.131</v>
      </c>
      <c r="GN14" s="1323" t="n">
        <v>1868.226</v>
      </c>
      <c r="GO14" s="1323" t="n">
        <v>1987.297</v>
      </c>
      <c r="GP14" s="1323" t="n">
        <v>1962.81</v>
      </c>
      <c r="GQ14" s="1323" t="n">
        <v>2032.707</v>
      </c>
      <c r="GR14" s="1323" t="n">
        <v>2114.437</v>
      </c>
      <c r="GS14" s="1323" t="n">
        <v>2131.265</v>
      </c>
      <c r="GT14" s="1323" t="n">
        <v>2126.504</v>
      </c>
      <c r="GU14" s="1323" t="n">
        <v>2189.824</v>
      </c>
      <c r="GV14" s="1323" t="n">
        <v>1964.498</v>
      </c>
      <c r="GW14" s="1320" t="n">
        <v>2047.889</v>
      </c>
      <c r="GX14" s="1323" t="n">
        <v>2072.739</v>
      </c>
      <c r="GY14" s="1323" t="n">
        <v>1927.707</v>
      </c>
      <c r="GZ14" s="1323" t="n">
        <v>2088.666</v>
      </c>
      <c r="HA14" s="1323" t="n">
        <v>2046.032</v>
      </c>
      <c r="HB14" s="1323" t="n">
        <v>1951.135</v>
      </c>
      <c r="HC14" s="1323" t="n">
        <v>2260.882</v>
      </c>
      <c r="HD14" s="1323" t="n">
        <v>2307.344</v>
      </c>
      <c r="HE14" s="1323" t="n">
        <v>2239.494</v>
      </c>
      <c r="HF14" s="1323" t="n">
        <v>2352.749</v>
      </c>
      <c r="HG14" s="1323" t="n">
        <v>2388.444</v>
      </c>
      <c r="HH14" s="1323" t="n">
        <v>2075.441</v>
      </c>
      <c r="HI14" s="1323" t="n">
        <v>2247.821</v>
      </c>
      <c r="HJ14" s="892" t="n">
        <v>2293.436</v>
      </c>
      <c r="HK14" s="892" t="n">
        <v>2012.497</v>
      </c>
      <c r="HL14" s="892" t="n">
        <v>2256.561</v>
      </c>
      <c r="HM14" s="892" t="n">
        <v>2307.573</v>
      </c>
      <c r="HN14" s="892" t="n">
        <v>2208.787</v>
      </c>
      <c r="HO14" s="892" t="n">
        <v>2469.468</v>
      </c>
      <c r="HP14" s="892" t="n">
        <v>2684.619</v>
      </c>
      <c r="HQ14" s="892" t="n">
        <v>2658.98</v>
      </c>
      <c r="HR14" s="892" t="n">
        <v>2601.181</v>
      </c>
      <c r="HS14" s="892" t="n">
        <v>2622.431</v>
      </c>
      <c r="HT14" s="892" t="n">
        <v>2377.341</v>
      </c>
      <c r="HU14" s="892" t="n">
        <v>2464.286</v>
      </c>
      <c r="HV14" s="892" t="n">
        <v>2469.232</v>
      </c>
      <c r="HW14" s="892" t="n">
        <v>2283.511</v>
      </c>
      <c r="HX14" s="892" t="n">
        <v>2524.673</v>
      </c>
      <c r="HY14" s="892" t="n">
        <v>2480.959</v>
      </c>
      <c r="HZ14" s="892" t="n">
        <v>2589.715</v>
      </c>
      <c r="IA14" s="892" t="n">
        <v>2795.305</v>
      </c>
      <c r="IB14" s="892" t="n">
        <v>2979.569</v>
      </c>
      <c r="IC14" s="892" t="n">
        <v>2969.912</v>
      </c>
      <c r="ID14" s="892" t="n">
        <v>2844.63</v>
      </c>
      <c r="IE14" s="892" t="n">
        <v>2923.375</v>
      </c>
      <c r="IF14" s="892" t="n">
        <v>2498.16</v>
      </c>
      <c r="IG14" s="892" t="n">
        <v>2730.83</v>
      </c>
      <c r="IH14" s="892" t="n">
        <v>2734.916</v>
      </c>
      <c r="II14" s="892" t="n">
        <v>2510.811</v>
      </c>
      <c r="IJ14" s="892" t="n">
        <v>2752.505</v>
      </c>
      <c r="IK14" s="892" t="n">
        <v>2884.249</v>
      </c>
      <c r="IL14" s="892" t="n">
        <v>2821.971</v>
      </c>
      <c r="IM14" s="892" t="n">
        <v>3062.142</v>
      </c>
      <c r="IN14" s="892" t="n">
        <v>3268.11</v>
      </c>
      <c r="IO14" s="892" t="n">
        <v>3222.711</v>
      </c>
      <c r="IP14" s="892" t="n">
        <v>3169.976</v>
      </c>
      <c r="IQ14" s="892" t="n">
        <v>3072.784</v>
      </c>
      <c r="IR14" s="892" t="n">
        <v>2525.958</v>
      </c>
      <c r="IS14" s="892" t="n">
        <v>2651.033</v>
      </c>
      <c r="IT14" s="892" t="n">
        <v>2663.279</v>
      </c>
      <c r="IU14" s="892" t="n">
        <v>1774.02</v>
      </c>
      <c r="IV14" s="892" t="n">
        <v>837.649</v>
      </c>
      <c r="IW14" s="892" t="n">
        <v>105.132</v>
      </c>
      <c r="IX14" s="893" t="n">
        <v>57.715</v>
      </c>
      <c r="IY14" s="893" t="n">
        <v>107.117</v>
      </c>
      <c r="IZ14" s="893" t="n">
        <v>195.2</v>
      </c>
      <c r="JA14" s="893" t="n">
        <v>256.676</v>
      </c>
      <c r="JB14" s="893" t="n">
        <v>377.102</v>
      </c>
      <c r="JC14" s="893" t="n">
        <v>307.156</v>
      </c>
      <c r="JD14" s="893" t="n">
        <v>322.845</v>
      </c>
      <c r="JE14" s="893" t="n">
        <v>272.473</v>
      </c>
      <c r="JF14" s="893" t="n">
        <v>149.003</v>
      </c>
      <c r="JG14" s="893" t="n">
        <v>63.047</v>
      </c>
      <c r="JH14" s="893" t="n">
        <v>35.48</v>
      </c>
      <c r="JI14" s="893" t="n">
        <v>59.521</v>
      </c>
      <c r="JJ14" s="893" t="n">
        <v>89.779</v>
      </c>
      <c r="JK14" s="893" t="n">
        <v>166.396</v>
      </c>
      <c r="JL14" s="893" t="n">
        <v>159.077</v>
      </c>
      <c r="JM14" s="893" t="n">
        <v>314.1</v>
      </c>
      <c r="JN14" s="893" t="n">
        <v>510.439</v>
      </c>
      <c r="JO14" s="893" t="n">
        <v>410.697</v>
      </c>
      <c r="JP14" s="893" t="n">
        <v>360.722</v>
      </c>
      <c r="JQ14" s="893" t="n">
        <v>343.689</v>
      </c>
      <c r="JR14" s="893" t="n">
        <v>44.672</v>
      </c>
      <c r="JS14" s="893" t="n">
        <v>31.861</v>
      </c>
      <c r="JT14" s="893" t="n">
        <v>53.591</v>
      </c>
      <c r="JU14" s="893" t="n">
        <v>56.443</v>
      </c>
      <c r="JV14" s="893" t="n">
        <v>153.631</v>
      </c>
      <c r="JW14" s="893" t="n">
        <v>433.65</v>
      </c>
      <c r="JX14" s="893" t="n">
        <v>498.625</v>
      </c>
      <c r="JY14" s="893" t="n">
        <v>489.843</v>
      </c>
      <c r="JZ14" s="893" t="n">
        <v>560.6799999999999</v>
      </c>
      <c r="KA14" s="893" t="n">
        <v>654.49</v>
      </c>
      <c r="KB14" s="893" t="n">
        <v>928.774</v>
      </c>
      <c r="KC14" s="893" t="n">
        <v>972.4880000000001</v>
      </c>
      <c r="KD14" s="893" t="n">
        <v>1217.949</v>
      </c>
      <c r="KE14" s="893" t="n">
        <v>1248.856</v>
      </c>
      <c r="KF14" s="893" t="n">
        <v>1528.77</v>
      </c>
      <c r="KG14" s="893" t="n">
        <v>1580.375</v>
      </c>
      <c r="KH14" s="893" t="n">
        <v>1560.107</v>
      </c>
      <c r="KI14" s="893" t="n">
        <v>1670.444</v>
      </c>
      <c r="KJ14" s="893" t="n">
        <v>1930.713</v>
      </c>
      <c r="KK14" s="893" t="n">
        <v>1869.865</v>
      </c>
      <c r="KL14" s="893" t="n">
        <v>1878.223</v>
      </c>
      <c r="KM14" s="893" t="n">
        <v>1771.737</v>
      </c>
      <c r="KN14" s="893" t="n">
        <v>1613.254</v>
      </c>
      <c r="KO14" s="893" t="n">
        <v>1637.903</v>
      </c>
      <c r="KP14" s="893" t="n">
        <v>1516.054</v>
      </c>
      <c r="KQ14" s="893" t="n">
        <v>1611.72</v>
      </c>
      <c r="KR14" s="893" t="n">
        <v>1660.523</v>
      </c>
      <c r="KS14" s="893" t="n">
        <v>1522.244</v>
      </c>
      <c r="KT14" s="893" t="n">
        <v>1573.869</v>
      </c>
      <c r="KU14" s="893" t="n">
        <v>1797.443</v>
      </c>
      <c r="KV14" s="893" t="n">
        <v>1754.698</v>
      </c>
      <c r="KW14" s="893" t="n">
        <v>1779.344</v>
      </c>
      <c r="KX14" s="893" t="n">
        <v>1876.845</v>
      </c>
      <c r="KY14" s="893" t="n">
        <v>1849.004</v>
      </c>
      <c r="KZ14" s="893" t="n">
        <v>1803.19</v>
      </c>
      <c r="LA14" s="893" t="n">
        <v>1819.973</v>
      </c>
      <c r="LB14" s="893" t="n"/>
      <c r="LC14" s="893" t="n"/>
      <c r="LD14" s="893" t="n"/>
      <c r="LE14" s="893" t="n"/>
      <c r="LF14" s="893" t="n"/>
      <c r="LG14" s="893" t="n"/>
      <c r="LH14" s="893" t="n"/>
      <c r="LI14" s="893" t="n"/>
      <c r="LJ14" s="893" t="n"/>
      <c r="LK14" s="893" t="n"/>
      <c r="LL14" s="893" t="n"/>
      <c r="LM14" s="893" t="n"/>
      <c r="LN14" s="893" t="n"/>
      <c r="LO14" s="893" t="n"/>
      <c r="LP14" s="893" t="n"/>
      <c r="LQ14" s="893" t="n"/>
      <c r="LR14" s="893" t="n"/>
      <c r="LS14" s="893" t="n"/>
    </row>
    <row r="15">
      <c r="A15" s="885" t="inlineStr">
        <is>
          <t>m cg %</t>
        </is>
      </c>
      <c r="B15" s="1318" t="n"/>
      <c r="C15" s="1318">
        <f>C14/B14-1</f>
        <v/>
      </c>
      <c r="D15" s="1318">
        <f>D14/C14-1</f>
        <v/>
      </c>
      <c r="E15" s="1318">
        <f>E14/D14-1</f>
        <v/>
      </c>
      <c r="F15" s="1318">
        <f>F14/E14-1</f>
        <v/>
      </c>
      <c r="G15" s="1318">
        <f>G14/F14-1</f>
        <v/>
      </c>
      <c r="H15" s="1318">
        <f>H14/G14-1</f>
        <v/>
      </c>
      <c r="I15" s="1318">
        <f>I14/H14-1</f>
        <v/>
      </c>
      <c r="J15" s="1318">
        <f>J14/I14-1</f>
        <v/>
      </c>
      <c r="K15" s="1318">
        <f>K14/J14-1</f>
        <v/>
      </c>
      <c r="L15" s="1318">
        <f>L14/K14-1</f>
        <v/>
      </c>
      <c r="M15" s="1318">
        <f>M14/L14-1</f>
        <v/>
      </c>
      <c r="N15" s="1318">
        <f>N14/M14-1</f>
        <v/>
      </c>
      <c r="O15" s="1318">
        <f>O14/N14-1</f>
        <v/>
      </c>
      <c r="P15" s="1318">
        <f>P14/O14-1</f>
        <v/>
      </c>
      <c r="Q15" s="1318">
        <f>Q14/P14-1</f>
        <v/>
      </c>
      <c r="R15" s="1318">
        <f>R14/Q14-1</f>
        <v/>
      </c>
      <c r="S15" s="1318">
        <f>S14/R14-1</f>
        <v/>
      </c>
      <c r="T15" s="1318">
        <f>T14/S14-1</f>
        <v/>
      </c>
      <c r="U15" s="1318">
        <f>U14/T14-1</f>
        <v/>
      </c>
      <c r="V15" s="1318">
        <f>V14/U14-1</f>
        <v/>
      </c>
      <c r="W15" s="1318">
        <f>W14/V14-1</f>
        <v/>
      </c>
      <c r="X15" s="1318">
        <f>X14/W14-1</f>
        <v/>
      </c>
      <c r="Y15" s="1318">
        <f>Y14/X14-1</f>
        <v/>
      </c>
      <c r="Z15" s="1318">
        <f>Z14/Y14-1</f>
        <v/>
      </c>
      <c r="AA15" s="1318">
        <f>AA14/Z14-1</f>
        <v/>
      </c>
      <c r="AB15" s="1318">
        <f>AB14/AA14-1</f>
        <v/>
      </c>
      <c r="AC15" s="1318">
        <f>AC14/AB14-1</f>
        <v/>
      </c>
      <c r="AD15" s="1318">
        <f>AD14/AC14-1</f>
        <v/>
      </c>
      <c r="AE15" s="1318">
        <f>AE14/AD14-1</f>
        <v/>
      </c>
      <c r="AF15" s="1318">
        <f>AF14/AE14-1</f>
        <v/>
      </c>
      <c r="AG15" s="1318">
        <f>AG14/AF14-1</f>
        <v/>
      </c>
      <c r="AH15" s="1318">
        <f>AH14/AG14-1</f>
        <v/>
      </c>
      <c r="AI15" s="1318">
        <f>AI14/AH14-1</f>
        <v/>
      </c>
      <c r="AJ15" s="1318">
        <f>AJ14/AI14-1</f>
        <v/>
      </c>
      <c r="AK15" s="1318">
        <f>AK14/AJ14-1</f>
        <v/>
      </c>
      <c r="AL15" s="1318">
        <f>AL14/AK14-1</f>
        <v/>
      </c>
      <c r="AM15" s="1318">
        <f>AM14/AL14-1</f>
        <v/>
      </c>
      <c r="AN15" s="1318">
        <f>AN14/AM14-1</f>
        <v/>
      </c>
      <c r="AO15" s="1318">
        <f>AO14/AN14-1</f>
        <v/>
      </c>
      <c r="AP15" s="1318">
        <f>AP14/AO14-1</f>
        <v/>
      </c>
      <c r="AQ15" s="1318">
        <f>AQ14/AP14-1</f>
        <v/>
      </c>
      <c r="AR15" s="1318">
        <f>AR14/AQ14-1</f>
        <v/>
      </c>
      <c r="AS15" s="1318">
        <f>AS14/AR14-1</f>
        <v/>
      </c>
      <c r="AT15" s="1318">
        <f>AT14/AS14-1</f>
        <v/>
      </c>
      <c r="AU15" s="1318">
        <f>AU14/AT14-1</f>
        <v/>
      </c>
      <c r="AV15" s="1318">
        <f>AV14/AU14-1</f>
        <v/>
      </c>
      <c r="AW15" s="1318">
        <f>AW14/AV14-1</f>
        <v/>
      </c>
      <c r="AX15" s="1318">
        <f>AX14/AW14-1</f>
        <v/>
      </c>
      <c r="AY15" s="1318">
        <f>AY14/AX14-1</f>
        <v/>
      </c>
      <c r="AZ15" s="1318">
        <f>AZ14/AY14-1</f>
        <v/>
      </c>
      <c r="BA15" s="1318">
        <f>BA14/AZ14-1</f>
        <v/>
      </c>
      <c r="BB15" s="1318">
        <f>BB14/BA14-1</f>
        <v/>
      </c>
      <c r="BC15" s="1318">
        <f>BC14/BB14-1</f>
        <v/>
      </c>
      <c r="BD15" s="1318">
        <f>BD14/BC14-1</f>
        <v/>
      </c>
      <c r="BE15" s="1318">
        <f>BE14/BD14-1</f>
        <v/>
      </c>
      <c r="BF15" s="1318">
        <f>BF14/BE14-1</f>
        <v/>
      </c>
      <c r="BG15" s="1318">
        <f>BG14/BF14-1</f>
        <v/>
      </c>
      <c r="BH15" s="1318">
        <f>BH14/BG14-1</f>
        <v/>
      </c>
      <c r="BI15" s="1318">
        <f>BI14/BH14-1</f>
        <v/>
      </c>
      <c r="BJ15" s="1318">
        <f>BJ14/BI14-1</f>
        <v/>
      </c>
      <c r="BK15" s="1318">
        <f>BK14/BJ14-1</f>
        <v/>
      </c>
      <c r="BL15" s="1318">
        <f>BL14/BK14-1</f>
        <v/>
      </c>
      <c r="BM15" s="1318">
        <f>BM14/BL14-1</f>
        <v/>
      </c>
      <c r="BN15" s="1318">
        <f>BN14/BM14-1</f>
        <v/>
      </c>
      <c r="BO15" s="1318">
        <f>BO14/BN14-1</f>
        <v/>
      </c>
      <c r="BP15" s="1318">
        <f>BP14/BO14-1</f>
        <v/>
      </c>
      <c r="BQ15" s="1318">
        <f>BQ14/BP14-1</f>
        <v/>
      </c>
      <c r="BR15" s="1318">
        <f>BR14/BQ14-1</f>
        <v/>
      </c>
      <c r="BS15" s="1318">
        <f>BS14/BR14-1</f>
        <v/>
      </c>
      <c r="BT15" s="1318">
        <f>BT14/BS14-1</f>
        <v/>
      </c>
      <c r="BU15" s="1318">
        <f>BU14/BT14-1</f>
        <v/>
      </c>
      <c r="BV15" s="1318">
        <f>BV14/BU14-1</f>
        <v/>
      </c>
      <c r="BW15" s="1318">
        <f>BW14/BV14-1</f>
        <v/>
      </c>
      <c r="BX15" s="1318">
        <f>BX14/BW14-1</f>
        <v/>
      </c>
      <c r="BY15" s="1318">
        <f>BY14/BX14-1</f>
        <v/>
      </c>
      <c r="BZ15" s="1318">
        <f>BZ14/BY14-1</f>
        <v/>
      </c>
      <c r="CA15" s="1318">
        <f>CA14/BZ14-1</f>
        <v/>
      </c>
      <c r="CB15" s="1318">
        <f>CB14/CA14-1</f>
        <v/>
      </c>
      <c r="CC15" s="1318">
        <f>CC14/CB14-1</f>
        <v/>
      </c>
      <c r="CD15" s="1318">
        <f>CD14/CC14-1</f>
        <v/>
      </c>
      <c r="CE15" s="1318">
        <f>CE14/CD14-1</f>
        <v/>
      </c>
      <c r="CF15" s="1318">
        <f>CF14/CE14-1</f>
        <v/>
      </c>
      <c r="CG15" s="1318">
        <f>CG14/CF14-1</f>
        <v/>
      </c>
      <c r="CH15" s="1318">
        <f>CH14/CG14-1</f>
        <v/>
      </c>
      <c r="CI15" s="1318">
        <f>CI14/CH14-1</f>
        <v/>
      </c>
      <c r="CJ15" s="1318">
        <f>CJ14/CI14-1</f>
        <v/>
      </c>
      <c r="CK15" s="1318">
        <f>CK14/CJ14-1</f>
        <v/>
      </c>
      <c r="CL15" s="1318">
        <f>CL14/CK14-1</f>
        <v/>
      </c>
      <c r="CM15" s="1318">
        <f>CM14/CL14-1</f>
        <v/>
      </c>
      <c r="CN15" s="1318">
        <f>CN14/CM14-1</f>
        <v/>
      </c>
      <c r="CO15" s="1318">
        <f>CO14/CN14-1</f>
        <v/>
      </c>
      <c r="CP15" s="1318">
        <f>CP14/CO14-1</f>
        <v/>
      </c>
      <c r="CQ15" s="1318">
        <f>CQ14/CP14-1</f>
        <v/>
      </c>
      <c r="CR15" s="1318">
        <f>CR14/CQ14-1</f>
        <v/>
      </c>
      <c r="CS15" s="1318">
        <f>CS14/CR14-1</f>
        <v/>
      </c>
      <c r="CT15" s="1318">
        <f>CT14/CS14-1</f>
        <v/>
      </c>
      <c r="CU15" s="1318">
        <f>CU14/CT14-1</f>
        <v/>
      </c>
      <c r="CV15" s="1318">
        <f>CV14/CU14-1</f>
        <v/>
      </c>
      <c r="CW15" s="1318">
        <f>CW14/CV14-1</f>
        <v/>
      </c>
      <c r="CX15" s="1318">
        <f>CX14/CW14-1</f>
        <v/>
      </c>
      <c r="CY15" s="1318">
        <f>CY14/CX14-1</f>
        <v/>
      </c>
      <c r="CZ15" s="1318">
        <f>CZ14/CY14-1</f>
        <v/>
      </c>
      <c r="DA15" s="1318">
        <f>DA14/CZ14-1</f>
        <v/>
      </c>
      <c r="DB15" s="1318">
        <f>DB14/DA14-1</f>
        <v/>
      </c>
      <c r="DC15" s="1318">
        <f>DC14/DB14-1</f>
        <v/>
      </c>
      <c r="DD15" s="1318">
        <f>DD14/DC14-1</f>
        <v/>
      </c>
      <c r="DE15" s="1318">
        <f>DE14/DD14-1</f>
        <v/>
      </c>
      <c r="DF15" s="1318">
        <f>DF14/DE14-1</f>
        <v/>
      </c>
      <c r="DG15" s="1318">
        <f>DG14/DF14-1</f>
        <v/>
      </c>
      <c r="DH15" s="1318">
        <f>DH14/DG14-1</f>
        <v/>
      </c>
      <c r="DI15" s="1318">
        <f>DI14/DH14-1</f>
        <v/>
      </c>
      <c r="DJ15" s="1318">
        <f>DJ14/DI14-1</f>
        <v/>
      </c>
      <c r="DK15" s="1318">
        <f>DK14/DJ14-1</f>
        <v/>
      </c>
      <c r="DL15" s="1318">
        <f>DL14/DK14-1</f>
        <v/>
      </c>
      <c r="DM15" s="1318">
        <f>DM14/DL14-1</f>
        <v/>
      </c>
      <c r="DN15" s="1318">
        <f>DN14/DM14-1</f>
        <v/>
      </c>
      <c r="DO15" s="1318">
        <f>DO14/DN14-1</f>
        <v/>
      </c>
      <c r="DP15" s="1318">
        <f>DP14/DO14-1</f>
        <v/>
      </c>
      <c r="DQ15" s="1318">
        <f>DQ14/DP14-1</f>
        <v/>
      </c>
      <c r="DR15" s="1318">
        <f>DR14/DQ14-1</f>
        <v/>
      </c>
      <c r="DS15" s="1318">
        <f>DS14/DR14-1</f>
        <v/>
      </c>
      <c r="DT15" s="1318">
        <f>DT14/DS14-1</f>
        <v/>
      </c>
      <c r="DU15" s="1318">
        <f>DU14/DT14-1</f>
        <v/>
      </c>
      <c r="DV15" s="1318">
        <f>DV14/DU14-1</f>
        <v/>
      </c>
      <c r="DW15" s="1318">
        <f>DW14/DV14-1</f>
        <v/>
      </c>
      <c r="DX15" s="1318">
        <f>DX14/DW14-1</f>
        <v/>
      </c>
      <c r="DY15" s="1318">
        <f>DY14/DX14-1</f>
        <v/>
      </c>
      <c r="DZ15" s="1318">
        <f>DZ14/DY14-1</f>
        <v/>
      </c>
      <c r="EA15" s="1318">
        <f>EA14/DZ14-1</f>
        <v/>
      </c>
      <c r="EB15" s="1318">
        <f>EB14/EA14-1</f>
        <v/>
      </c>
      <c r="EC15" s="1318">
        <f>EC14/EB14-1</f>
        <v/>
      </c>
      <c r="ED15" s="1318">
        <f>ED14/EC14-1</f>
        <v/>
      </c>
      <c r="EE15" s="1318">
        <f>EE14/ED14-1</f>
        <v/>
      </c>
      <c r="EF15" s="1318">
        <f>EF14/EE14-1</f>
        <v/>
      </c>
      <c r="EG15" s="1318">
        <f>EG14/EF14-1</f>
        <v/>
      </c>
      <c r="EH15" s="1318">
        <f>EH14/EG14-1</f>
        <v/>
      </c>
      <c r="EI15" s="1318">
        <f>EI14/EH14-1</f>
        <v/>
      </c>
      <c r="EJ15" s="1318">
        <f>EJ14/EI14-1</f>
        <v/>
      </c>
      <c r="EK15" s="1318">
        <f>EK14/EJ14-1</f>
        <v/>
      </c>
      <c r="EL15" s="1318">
        <f>EL14/EK14-1</f>
        <v/>
      </c>
      <c r="EM15" s="1318">
        <f>EM14/EL14-1</f>
        <v/>
      </c>
      <c r="EN15" s="1318">
        <f>EN14/EM14-1</f>
        <v/>
      </c>
      <c r="EO15" s="1318">
        <f>EO14/EN14-1</f>
        <v/>
      </c>
      <c r="EP15" s="1318">
        <f>EP14/EO14-1</f>
        <v/>
      </c>
      <c r="EQ15" s="1318">
        <f>EQ14/EP14-1</f>
        <v/>
      </c>
      <c r="ER15" s="1318">
        <f>ER14/EQ14-1</f>
        <v/>
      </c>
      <c r="ES15" s="1318">
        <f>ES14/ER14-1</f>
        <v/>
      </c>
      <c r="ET15" s="1318">
        <f>ET14/ES14-1</f>
        <v/>
      </c>
      <c r="EU15" s="1318">
        <f>EU14/ET14-1</f>
        <v/>
      </c>
      <c r="EV15" s="1318">
        <f>EV14/EU14-1</f>
        <v/>
      </c>
      <c r="EW15" s="1318">
        <f>EW14/EV14-1</f>
        <v/>
      </c>
      <c r="EX15" s="1318">
        <f>EX14/EW14-1</f>
        <v/>
      </c>
      <c r="EY15" s="1318">
        <f>EY14/EX14-1</f>
        <v/>
      </c>
      <c r="EZ15" s="1318">
        <f>EZ14/EY14-1</f>
        <v/>
      </c>
      <c r="FA15" s="1318">
        <f>FA14/EZ14-1</f>
        <v/>
      </c>
      <c r="FB15" s="1318">
        <f>FB14/FA14-1</f>
        <v/>
      </c>
      <c r="FC15" s="1318">
        <f>FC14/FB14-1</f>
        <v/>
      </c>
      <c r="FD15" s="1318">
        <f>FD14/FC14-1</f>
        <v/>
      </c>
      <c r="FE15" s="1318">
        <f>FE14/FD14-1</f>
        <v/>
      </c>
      <c r="FF15" s="1318">
        <f>FF14/FE14-1</f>
        <v/>
      </c>
      <c r="FG15" s="1318">
        <f>FG14/FF14-1</f>
        <v/>
      </c>
      <c r="FH15" s="1318">
        <f>FH14/FG14-1</f>
        <v/>
      </c>
      <c r="FI15" s="1318">
        <f>FI14/FH14-1</f>
        <v/>
      </c>
      <c r="FJ15" s="1318">
        <f>FJ14/FI14-1</f>
        <v/>
      </c>
      <c r="FK15" s="1318">
        <f>FK14/FJ14-1</f>
        <v/>
      </c>
      <c r="FL15" s="1318">
        <f>FL14/FK14-1</f>
        <v/>
      </c>
      <c r="FM15" s="1318">
        <f>FM14/FL14-1</f>
        <v/>
      </c>
      <c r="FN15" s="1318">
        <f>FN14/FM14-1</f>
        <v/>
      </c>
      <c r="FO15" s="1318">
        <f>FO14/FN14-1</f>
        <v/>
      </c>
      <c r="FP15" s="1318">
        <f>FP14/FO14-1</f>
        <v/>
      </c>
      <c r="FQ15" s="1318">
        <f>FQ14/FP14-1</f>
        <v/>
      </c>
      <c r="FR15" s="1318">
        <f>FR14/FQ14-1</f>
        <v/>
      </c>
      <c r="FS15" s="1318">
        <f>FS14/FR14-1</f>
        <v/>
      </c>
      <c r="FT15" s="1318">
        <f>FT14/FS14-1</f>
        <v/>
      </c>
      <c r="FU15" s="1318">
        <f>FU14/FT14-1</f>
        <v/>
      </c>
      <c r="FV15" s="1318">
        <f>FV14/FU14-1</f>
        <v/>
      </c>
      <c r="FW15" s="1318">
        <f>FW14/FV14-1</f>
        <v/>
      </c>
      <c r="FX15" s="1318">
        <f>FX14/FW14-1</f>
        <v/>
      </c>
      <c r="FY15" s="1318">
        <f>FY14/FX14-1</f>
        <v/>
      </c>
      <c r="FZ15" s="1318">
        <f>FZ14/FY14-1</f>
        <v/>
      </c>
      <c r="GA15" s="1318">
        <f>GA14/FZ14-1</f>
        <v/>
      </c>
      <c r="GB15" s="1318">
        <f>GB14/GA14-1</f>
        <v/>
      </c>
      <c r="GC15" s="1318">
        <f>GC14/GB14-1</f>
        <v/>
      </c>
      <c r="GD15" s="1318">
        <f>GD14/GC14-1</f>
        <v/>
      </c>
      <c r="GE15" s="1318">
        <f>GE14/GD14-1</f>
        <v/>
      </c>
      <c r="GF15" s="1318">
        <f>GF14/GE14-1</f>
        <v/>
      </c>
      <c r="GG15" s="1318">
        <f>GG14/GF14-1</f>
        <v/>
      </c>
      <c r="GH15" s="1318">
        <f>GH14/GG14-1</f>
        <v/>
      </c>
      <c r="GI15" s="1318">
        <f>GI14/GH14-1</f>
        <v/>
      </c>
      <c r="GJ15" s="1318">
        <f>GJ14/GI14-1</f>
        <v/>
      </c>
      <c r="GK15" s="1318">
        <f>GK14/GJ14-1</f>
        <v/>
      </c>
      <c r="GL15" s="1318">
        <f>GL14/GK14-1</f>
        <v/>
      </c>
      <c r="GM15" s="1318">
        <f>GM14/GL14-1</f>
        <v/>
      </c>
      <c r="GN15" s="1318">
        <f>GN14/GM14-1</f>
        <v/>
      </c>
      <c r="GO15" s="1318">
        <f>GO14/GN14-1</f>
        <v/>
      </c>
      <c r="GP15" s="1318">
        <f>GP14/GO14-1</f>
        <v/>
      </c>
      <c r="GQ15" s="1318">
        <f>GQ14/GP14-1</f>
        <v/>
      </c>
      <c r="GR15" s="1318">
        <f>GR14/GQ14-1</f>
        <v/>
      </c>
      <c r="GS15" s="1318">
        <f>GS14/GR14-1</f>
        <v/>
      </c>
      <c r="GT15" s="1318">
        <f>GT14/GS14-1</f>
        <v/>
      </c>
      <c r="GU15" s="1318">
        <f>GU14/GT14-1</f>
        <v/>
      </c>
      <c r="GV15" s="1318">
        <f>GV14/GU14-1</f>
        <v/>
      </c>
      <c r="GW15" s="1318">
        <f>GW14/GV14-1</f>
        <v/>
      </c>
      <c r="GX15" s="1318">
        <f>GX14/GW14-1</f>
        <v/>
      </c>
      <c r="GY15" s="1318">
        <f>GY14/GX14-1</f>
        <v/>
      </c>
      <c r="GZ15" s="1318">
        <f>GZ14/GY14-1</f>
        <v/>
      </c>
      <c r="HA15" s="1318">
        <f>HA14/GZ14-1</f>
        <v/>
      </c>
      <c r="HB15" s="1318">
        <f>HB14/HA14-1</f>
        <v/>
      </c>
      <c r="HC15" s="1318">
        <f>HC14/HB14-1</f>
        <v/>
      </c>
      <c r="HD15" s="1318">
        <f>HD14/HC14-1</f>
        <v/>
      </c>
      <c r="HE15" s="1318">
        <f>HE14/HD14-1</f>
        <v/>
      </c>
      <c r="HF15" s="1318">
        <f>HF14/HE14-1</f>
        <v/>
      </c>
      <c r="HG15" s="1318">
        <f>HG14/HF14-1</f>
        <v/>
      </c>
      <c r="HH15" s="1318">
        <f>HH14/HG14-1</f>
        <v/>
      </c>
      <c r="HI15" s="1318">
        <f>HI14/HH14-1</f>
        <v/>
      </c>
      <c r="HJ15" s="1318">
        <f>HJ14/HI14-1</f>
        <v/>
      </c>
      <c r="HK15" s="1318">
        <f>HK14/HJ14-1</f>
        <v/>
      </c>
      <c r="HL15" s="1318">
        <f>HL14/HK14-1</f>
        <v/>
      </c>
      <c r="HM15" s="1318">
        <f>HM14/HL14-1</f>
        <v/>
      </c>
      <c r="HN15" s="1318">
        <f>HN14/HM14-1</f>
        <v/>
      </c>
      <c r="HO15" s="1318">
        <f>HO14/HN14-1</f>
        <v/>
      </c>
      <c r="HP15" s="1318">
        <f>HP14/HO14-1</f>
        <v/>
      </c>
      <c r="HQ15" s="1318">
        <f>HQ14/HP14-1</f>
        <v/>
      </c>
      <c r="HR15" s="1318">
        <f>HR14/HQ14-1</f>
        <v/>
      </c>
      <c r="HS15" s="1318">
        <f>HS14/HR14-1</f>
        <v/>
      </c>
      <c r="HT15" s="1318">
        <f>HT14/HS14-1</f>
        <v/>
      </c>
      <c r="HU15" s="1318">
        <f>HU14/HT14-1</f>
        <v/>
      </c>
      <c r="HV15" s="1318">
        <f>HV14/HU14-1</f>
        <v/>
      </c>
      <c r="HW15" s="1318">
        <f>HW14/HV14-1</f>
        <v/>
      </c>
      <c r="HX15" s="1318">
        <f>HX14/HW14-1</f>
        <v/>
      </c>
      <c r="HY15" s="1318">
        <f>HY14/HX14-1</f>
        <v/>
      </c>
      <c r="HZ15" s="1318">
        <f>HZ14/HY14-1</f>
        <v/>
      </c>
      <c r="IA15" s="1318">
        <f>IA14/HZ14-1</f>
        <v/>
      </c>
      <c r="IB15" s="1318">
        <f>IB14/IA14-1</f>
        <v/>
      </c>
      <c r="IC15" s="1318">
        <f>IC14/IB14-1</f>
        <v/>
      </c>
      <c r="ID15" s="1318">
        <f>ID14/IC14-1</f>
        <v/>
      </c>
      <c r="IE15" s="1318">
        <f>IE14/ID14-1</f>
        <v/>
      </c>
      <c r="IF15" s="1318">
        <f>IF14/IE14-1</f>
        <v/>
      </c>
      <c r="IG15" s="1318">
        <f>IG14/IF14-1</f>
        <v/>
      </c>
      <c r="IH15" s="1318">
        <f>IH14/IG14-1</f>
        <v/>
      </c>
      <c r="II15" s="1318">
        <f>II14/IH14-1</f>
        <v/>
      </c>
      <c r="IJ15" s="1318">
        <f>IJ14/II14-1</f>
        <v/>
      </c>
      <c r="IK15" s="1318">
        <f>IK14/IJ14-1</f>
        <v/>
      </c>
      <c r="IL15" s="1318">
        <f>IL14/IK14-1</f>
        <v/>
      </c>
      <c r="IM15" s="1318">
        <f>IM14/IL14-1</f>
        <v/>
      </c>
      <c r="IN15" s="1318">
        <f>IN14/IM14-1</f>
        <v/>
      </c>
      <c r="IO15" s="1318">
        <f>IO14/IN14-1</f>
        <v/>
      </c>
      <c r="IP15" s="1318">
        <f>IP14/IO14-1</f>
        <v/>
      </c>
      <c r="IQ15" s="1318">
        <f>IQ14/IP14-1</f>
        <v/>
      </c>
      <c r="IR15" s="1318">
        <f>IR14/IQ14-1</f>
        <v/>
      </c>
      <c r="IS15" s="1318">
        <f>IS14/IR14-1</f>
        <v/>
      </c>
      <c r="IT15" s="1318">
        <f>IT14/IS14-1</f>
        <v/>
      </c>
      <c r="IU15" s="1318">
        <f>IU14/IT14-1</f>
        <v/>
      </c>
      <c r="IV15" s="1318">
        <f>IV14/IU14-1</f>
        <v/>
      </c>
      <c r="IW15" s="1318">
        <f>IW14/IV14-1</f>
        <v/>
      </c>
      <c r="IX15" s="1318">
        <f>IX14/IW14-1</f>
        <v/>
      </c>
      <c r="IY15" s="1318">
        <f>IY14/IX14-1</f>
        <v/>
      </c>
      <c r="IZ15" s="1318">
        <f>IZ14/IY14-1</f>
        <v/>
      </c>
      <c r="JA15" s="1318">
        <f>JA14/IZ14-1</f>
        <v/>
      </c>
      <c r="JB15" s="1318">
        <f>JB14/JA14-1</f>
        <v/>
      </c>
      <c r="JC15" s="1318">
        <f>JC14/JB14-1</f>
        <v/>
      </c>
      <c r="JD15" s="1318">
        <f>JD14/JC14-1</f>
        <v/>
      </c>
      <c r="JE15" s="1318">
        <f>JE14/JD14-1</f>
        <v/>
      </c>
      <c r="JF15" s="1318">
        <f>JF14/JE14-1</f>
        <v/>
      </c>
      <c r="JG15" s="1318">
        <f>JG14/JF14-1</f>
        <v/>
      </c>
      <c r="JH15" s="1318">
        <f>JH14/JG14-1</f>
        <v/>
      </c>
      <c r="JI15" s="1318">
        <f>JI14/JH14-1</f>
        <v/>
      </c>
      <c r="JJ15" s="1318">
        <f>JJ14/JI14-1</f>
        <v/>
      </c>
      <c r="JK15" s="1318">
        <f>JK14/JJ14-1</f>
        <v/>
      </c>
      <c r="JL15" s="1318">
        <f>JL14/JK14-1</f>
        <v/>
      </c>
      <c r="JM15" s="1318">
        <f>JM14/JL14-1</f>
        <v/>
      </c>
      <c r="JN15" s="1318">
        <f>JN14/JM14-1</f>
        <v/>
      </c>
      <c r="JO15" s="1318">
        <f>JO14/JN14-1</f>
        <v/>
      </c>
      <c r="JP15" s="1318">
        <f>JP14/JO14-1</f>
        <v/>
      </c>
      <c r="JQ15" s="1318">
        <f>JQ14/JP14-1</f>
        <v/>
      </c>
      <c r="JR15" s="1318">
        <f>JR14/JQ14-1</f>
        <v/>
      </c>
      <c r="JS15" s="1318">
        <f>JS14/JR14-1</f>
        <v/>
      </c>
      <c r="JT15" s="1318">
        <f>JT14/JS14-1</f>
        <v/>
      </c>
      <c r="JU15" s="1318">
        <f>JU14/JT14-1</f>
        <v/>
      </c>
      <c r="JV15" s="1318">
        <f>JV14/JU14-1</f>
        <v/>
      </c>
      <c r="JW15" s="1318">
        <f>JW14/JV14-1</f>
        <v/>
      </c>
      <c r="JX15" s="1318">
        <f>JX14/JW14-1</f>
        <v/>
      </c>
      <c r="JY15" s="1318">
        <f>JY14/JX14-1</f>
        <v/>
      </c>
      <c r="JZ15" s="1318">
        <f>JZ14/JY14-1</f>
        <v/>
      </c>
      <c r="KA15" s="1318">
        <f>KA14/JZ14-1</f>
        <v/>
      </c>
      <c r="KB15" s="1318">
        <f>KB14/KA14-1</f>
        <v/>
      </c>
      <c r="KC15" s="1318">
        <f>KC14/KB14-1</f>
        <v/>
      </c>
      <c r="KD15" s="1318">
        <f>KD14/KC14-1</f>
        <v/>
      </c>
      <c r="KE15" s="1318">
        <f>KE14/KD14-1</f>
        <v/>
      </c>
      <c r="KF15" s="1318">
        <f>KF14/KE14-1</f>
        <v/>
      </c>
      <c r="KG15" s="1318">
        <f>KG14/KF14-1</f>
        <v/>
      </c>
      <c r="KH15" s="1318">
        <f>KH14/KG14-1</f>
        <v/>
      </c>
      <c r="KI15" s="1318">
        <f>KI14/KH14-1</f>
        <v/>
      </c>
      <c r="KJ15" s="1318">
        <f>KJ14/KI14-1</f>
        <v/>
      </c>
      <c r="KK15" s="1318">
        <f>KK14/KJ14-1</f>
        <v/>
      </c>
      <c r="KL15" s="1318">
        <f>KL14/KK14-1</f>
        <v/>
      </c>
      <c r="KM15" s="1318">
        <f>KM14/KL14-1</f>
        <v/>
      </c>
      <c r="KN15" s="1318">
        <f>KN14/KM14-1</f>
        <v/>
      </c>
      <c r="KO15" s="1318">
        <f>KO14/KN14-1</f>
        <v/>
      </c>
      <c r="KP15" s="1318">
        <f>KP14/KO14-1</f>
        <v/>
      </c>
      <c r="KQ15" s="1318">
        <f>KQ14/KP14-1</f>
        <v/>
      </c>
      <c r="KR15" s="1318">
        <f>KR14/KQ14-1</f>
        <v/>
      </c>
      <c r="KS15" s="1318">
        <f>KS14/KR14-1</f>
        <v/>
      </c>
      <c r="KT15" s="1318">
        <f>KT14/KS14-1</f>
        <v/>
      </c>
      <c r="KU15" s="1318">
        <f>KU14/KT14-1</f>
        <v/>
      </c>
      <c r="KV15" s="1318">
        <f>KV14/KU14-1</f>
        <v/>
      </c>
      <c r="KW15" s="1318">
        <f>KW14/KV14-1</f>
        <v/>
      </c>
      <c r="KX15" s="1318">
        <f>KX14/KW14-1</f>
        <v/>
      </c>
      <c r="KY15" s="1318">
        <f>KY14/KX14-1</f>
        <v/>
      </c>
      <c r="KZ15" s="1318">
        <f>KZ14/KY14-1</f>
        <v/>
      </c>
      <c r="LA15" s="1318">
        <f>LA14/KZ14-1</f>
        <v/>
      </c>
      <c r="LB15" s="1318" t="n"/>
      <c r="LC15" s="1318" t="n"/>
      <c r="LD15" s="1318" t="n"/>
      <c r="LE15" s="1318" t="n"/>
      <c r="LF15" s="1318" t="n"/>
      <c r="LG15" s="1318" t="n"/>
      <c r="LH15" s="1318" t="n"/>
      <c r="LI15" s="1318" t="n"/>
      <c r="LJ15" s="1318" t="n"/>
      <c r="LK15" s="1318" t="n"/>
      <c r="LL15" s="1318" t="n"/>
      <c r="LM15" s="1318" t="n"/>
      <c r="LN15" s="1318" t="n"/>
      <c r="LO15" s="1318" t="n"/>
      <c r="LP15" s="1318" t="n"/>
      <c r="LQ15" s="1318" t="n"/>
      <c r="LR15" s="1318" t="n"/>
      <c r="LS15" s="1318" t="n"/>
    </row>
    <row r="16">
      <c r="A16" s="885" t="inlineStr">
        <is>
          <t>YoY cg %</t>
        </is>
      </c>
      <c r="B16" s="1318" t="n"/>
      <c r="C16" s="1318" t="n"/>
      <c r="D16" s="1318" t="n"/>
      <c r="E16" s="1318" t="n"/>
      <c r="F16" s="1318" t="n"/>
      <c r="G16" s="1318" t="n"/>
      <c r="H16" s="1318" t="n"/>
      <c r="I16" s="1318" t="n"/>
      <c r="J16" s="1318" t="n"/>
      <c r="K16" s="1318" t="n"/>
      <c r="L16" s="1318" t="n"/>
      <c r="M16" s="1318" t="n"/>
      <c r="N16" s="1318">
        <f>N14/B14-1</f>
        <v/>
      </c>
      <c r="O16" s="1318">
        <f>O14/C14-1</f>
        <v/>
      </c>
      <c r="P16" s="1318">
        <f>P14/D14-1</f>
        <v/>
      </c>
      <c r="Q16" s="1318">
        <f>Q14/E14-1</f>
        <v/>
      </c>
      <c r="R16" s="1318">
        <f>R14/F14-1</f>
        <v/>
      </c>
      <c r="S16" s="1318">
        <f>S14/G14-1</f>
        <v/>
      </c>
      <c r="T16" s="1318">
        <f>T14/H14-1</f>
        <v/>
      </c>
      <c r="U16" s="1318">
        <f>U14/I14-1</f>
        <v/>
      </c>
      <c r="V16" s="1318">
        <f>V14/J14-1</f>
        <v/>
      </c>
      <c r="W16" s="1318">
        <f>W14/K14-1</f>
        <v/>
      </c>
      <c r="X16" s="1318">
        <f>X14/L14-1</f>
        <v/>
      </c>
      <c r="Y16" s="1318">
        <f>Y14/M14-1</f>
        <v/>
      </c>
      <c r="Z16" s="1318">
        <f>Z14/N14-1</f>
        <v/>
      </c>
      <c r="AA16" s="1318">
        <f>AA14/O14-1</f>
        <v/>
      </c>
      <c r="AB16" s="1318">
        <f>AB14/P14-1</f>
        <v/>
      </c>
      <c r="AC16" s="1318">
        <f>AC14/Q14-1</f>
        <v/>
      </c>
      <c r="AD16" s="1318">
        <f>AD14/R14-1</f>
        <v/>
      </c>
      <c r="AE16" s="1318">
        <f>AE14/S14-1</f>
        <v/>
      </c>
      <c r="AF16" s="1318">
        <f>AF14/T14-1</f>
        <v/>
      </c>
      <c r="AG16" s="1318">
        <f>AG14/U14-1</f>
        <v/>
      </c>
      <c r="AH16" s="1318">
        <f>AH14/V14-1</f>
        <v/>
      </c>
      <c r="AI16" s="1318">
        <f>AI14/W14-1</f>
        <v/>
      </c>
      <c r="AJ16" s="1318">
        <f>AJ14/X14-1</f>
        <v/>
      </c>
      <c r="AK16" s="1318">
        <f>AK14/Y14-1</f>
        <v/>
      </c>
      <c r="AL16" s="1318">
        <f>AL14/Z14-1</f>
        <v/>
      </c>
      <c r="AM16" s="1318">
        <f>AM14/AA14-1</f>
        <v/>
      </c>
      <c r="AN16" s="1318">
        <f>AN14/AB14-1</f>
        <v/>
      </c>
      <c r="AO16" s="1318">
        <f>AO14/AC14-1</f>
        <v/>
      </c>
      <c r="AP16" s="1318">
        <f>AP14/AD14-1</f>
        <v/>
      </c>
      <c r="AQ16" s="1318">
        <f>AQ14/AE14-1</f>
        <v/>
      </c>
      <c r="AR16" s="1318">
        <f>AR14/AF14-1</f>
        <v/>
      </c>
      <c r="AS16" s="1318">
        <f>AS14/AG14-1</f>
        <v/>
      </c>
      <c r="AT16" s="1318">
        <f>AT14/AH14-1</f>
        <v/>
      </c>
      <c r="AU16" s="1318">
        <f>AU14/AI14-1</f>
        <v/>
      </c>
      <c r="AV16" s="1318">
        <f>AV14/AJ14-1</f>
        <v/>
      </c>
      <c r="AW16" s="1318">
        <f>AW14/AK14-1</f>
        <v/>
      </c>
      <c r="AX16" s="1318">
        <f>AX14/AL14-1</f>
        <v/>
      </c>
      <c r="AY16" s="1318">
        <f>AY14/AM14-1</f>
        <v/>
      </c>
      <c r="AZ16" s="1318">
        <f>AZ14/AN14-1</f>
        <v/>
      </c>
      <c r="BA16" s="1318">
        <f>BA14/AO14-1</f>
        <v/>
      </c>
      <c r="BB16" s="1318">
        <f>BB14/AP14-1</f>
        <v/>
      </c>
      <c r="BC16" s="1318">
        <f>BC14/AQ14-1</f>
        <v/>
      </c>
      <c r="BD16" s="1318">
        <f>BD14/AR14-1</f>
        <v/>
      </c>
      <c r="BE16" s="1318">
        <f>BE14/AS14-1</f>
        <v/>
      </c>
      <c r="BF16" s="1318">
        <f>BF14/AT14-1</f>
        <v/>
      </c>
      <c r="BG16" s="1318">
        <f>BG14/AU14-1</f>
        <v/>
      </c>
      <c r="BH16" s="1318">
        <f>BH14/AV14-1</f>
        <v/>
      </c>
      <c r="BI16" s="1318">
        <f>BI14/AW14-1</f>
        <v/>
      </c>
      <c r="BJ16" s="1318">
        <f>BJ14/AX14-1</f>
        <v/>
      </c>
      <c r="BK16" s="1318">
        <f>BK14/AY14-1</f>
        <v/>
      </c>
      <c r="BL16" s="1318">
        <f>BL14/AZ14-1</f>
        <v/>
      </c>
      <c r="BM16" s="1318">
        <f>BM14/BA14-1</f>
        <v/>
      </c>
      <c r="BN16" s="1318">
        <f>BN14/BB14-1</f>
        <v/>
      </c>
      <c r="BO16" s="1318">
        <f>BO14/BC14-1</f>
        <v/>
      </c>
      <c r="BP16" s="1318">
        <f>BP14/BD14-1</f>
        <v/>
      </c>
      <c r="BQ16" s="1318">
        <f>BQ14/BE14-1</f>
        <v/>
      </c>
      <c r="BR16" s="1318">
        <f>BR14/BF14-1</f>
        <v/>
      </c>
      <c r="BS16" s="1318">
        <f>BS14/BG14-1</f>
        <v/>
      </c>
      <c r="BT16" s="1318">
        <f>BT14/BH14-1</f>
        <v/>
      </c>
      <c r="BU16" s="1318">
        <f>BU14/BI14-1</f>
        <v/>
      </c>
      <c r="BV16" s="1318">
        <f>BV14/BJ14-1</f>
        <v/>
      </c>
      <c r="BW16" s="1318">
        <f>BW14/BK14-1</f>
        <v/>
      </c>
      <c r="BX16" s="1318">
        <f>BX14/BL14-1</f>
        <v/>
      </c>
      <c r="BY16" s="1318">
        <f>BY14/BM14-1</f>
        <v/>
      </c>
      <c r="BZ16" s="1318">
        <f>BZ14/BN14-1</f>
        <v/>
      </c>
      <c r="CA16" s="1318">
        <f>CA14/BO14-1</f>
        <v/>
      </c>
      <c r="CB16" s="1318">
        <f>CB14/BP14-1</f>
        <v/>
      </c>
      <c r="CC16" s="1318">
        <f>CC14/BQ14-1</f>
        <v/>
      </c>
      <c r="CD16" s="1318">
        <f>CD14/BR14-1</f>
        <v/>
      </c>
      <c r="CE16" s="1318">
        <f>CE14/BS14-1</f>
        <v/>
      </c>
      <c r="CF16" s="1318">
        <f>CF14/BT14-1</f>
        <v/>
      </c>
      <c r="CG16" s="1318">
        <f>CG14/BU14-1</f>
        <v/>
      </c>
      <c r="CH16" s="1318">
        <f>CH14/BV14-1</f>
        <v/>
      </c>
      <c r="CI16" s="1318">
        <f>CI14/BW14-1</f>
        <v/>
      </c>
      <c r="CJ16" s="1318">
        <f>CJ14/BX14-1</f>
        <v/>
      </c>
      <c r="CK16" s="1318">
        <f>CK14/BY14-1</f>
        <v/>
      </c>
      <c r="CL16" s="1318">
        <f>CL14/BZ14-1</f>
        <v/>
      </c>
      <c r="CM16" s="1318">
        <f>CM14/CA14-1</f>
        <v/>
      </c>
      <c r="CN16" s="1318">
        <f>CN14/CB14-1</f>
        <v/>
      </c>
      <c r="CO16" s="1318">
        <f>CO14/CC14-1</f>
        <v/>
      </c>
      <c r="CP16" s="1318">
        <f>CP14/CD14-1</f>
        <v/>
      </c>
      <c r="CQ16" s="1318">
        <f>CQ14/CE14-1</f>
        <v/>
      </c>
      <c r="CR16" s="1318">
        <f>CR14/CF14-1</f>
        <v/>
      </c>
      <c r="CS16" s="1318">
        <f>CS14/CG14-1</f>
        <v/>
      </c>
      <c r="CT16" s="1318">
        <f>CT14/CH14-1</f>
        <v/>
      </c>
      <c r="CU16" s="1318">
        <f>CU14/CI14-1</f>
        <v/>
      </c>
      <c r="CV16" s="1318">
        <f>CV14/CJ14-1</f>
        <v/>
      </c>
      <c r="CW16" s="1318">
        <f>CW14/CK14-1</f>
        <v/>
      </c>
      <c r="CX16" s="1318">
        <f>CX14/CL14-1</f>
        <v/>
      </c>
      <c r="CY16" s="1318">
        <f>CY14/CM14-1</f>
        <v/>
      </c>
      <c r="CZ16" s="1318">
        <f>CZ14/CN14-1</f>
        <v/>
      </c>
      <c r="DA16" s="1318">
        <f>DA14/CO14-1</f>
        <v/>
      </c>
      <c r="DB16" s="1318">
        <f>DB14/CP14-1</f>
        <v/>
      </c>
      <c r="DC16" s="1318">
        <f>DC14/CQ14-1</f>
        <v/>
      </c>
      <c r="DD16" s="1318">
        <f>DD14/CR14-1</f>
        <v/>
      </c>
      <c r="DE16" s="1318">
        <f>DE14/CS14-1</f>
        <v/>
      </c>
      <c r="DF16" s="1318">
        <f>DF14/CT14-1</f>
        <v/>
      </c>
      <c r="DG16" s="1318">
        <f>DG14/CU14-1</f>
        <v/>
      </c>
      <c r="DH16" s="1318">
        <f>DH14/CV14-1</f>
        <v/>
      </c>
      <c r="DI16" s="1318">
        <f>DI14/CW14-1</f>
        <v/>
      </c>
      <c r="DJ16" s="1318">
        <f>DJ14/CX14-1</f>
        <v/>
      </c>
      <c r="DK16" s="1318">
        <f>DK14/CY14-1</f>
        <v/>
      </c>
      <c r="DL16" s="1318">
        <f>DL14/CZ14-1</f>
        <v/>
      </c>
      <c r="DM16" s="1318">
        <f>DM14/DA14-1</f>
        <v/>
      </c>
      <c r="DN16" s="1318">
        <f>DN14/DB14-1</f>
        <v/>
      </c>
      <c r="DO16" s="1318">
        <f>DO14/DC14-1</f>
        <v/>
      </c>
      <c r="DP16" s="1318">
        <f>DP14/DD14-1</f>
        <v/>
      </c>
      <c r="DQ16" s="1318">
        <f>DQ14/DE14-1</f>
        <v/>
      </c>
      <c r="DR16" s="1318">
        <f>DR14/DF14-1</f>
        <v/>
      </c>
      <c r="DS16" s="1318">
        <f>DS14/DG14-1</f>
        <v/>
      </c>
      <c r="DT16" s="1318">
        <f>DT14/DH14-1</f>
        <v/>
      </c>
      <c r="DU16" s="1318">
        <f>DU14/DI14-1</f>
        <v/>
      </c>
      <c r="DV16" s="1318">
        <f>DV14/DJ14-1</f>
        <v/>
      </c>
      <c r="DW16" s="1318">
        <f>DW14/DK14-1</f>
        <v/>
      </c>
      <c r="DX16" s="1318">
        <f>DX14/DL14-1</f>
        <v/>
      </c>
      <c r="DY16" s="1318">
        <f>DY14/DM14-1</f>
        <v/>
      </c>
      <c r="DZ16" s="1318">
        <f>DZ14/DN14-1</f>
        <v/>
      </c>
      <c r="EA16" s="1318">
        <f>EA14/DO14-1</f>
        <v/>
      </c>
      <c r="EB16" s="1318">
        <f>EB14/DP14-1</f>
        <v/>
      </c>
      <c r="EC16" s="1318">
        <f>EC14/DQ14-1</f>
        <v/>
      </c>
      <c r="ED16" s="1318">
        <f>ED14/DR14-1</f>
        <v/>
      </c>
      <c r="EE16" s="1318">
        <f>EE14/DS14-1</f>
        <v/>
      </c>
      <c r="EF16" s="1318">
        <f>EF14/DT14-1</f>
        <v/>
      </c>
      <c r="EG16" s="1318">
        <f>EG14/DU14-1</f>
        <v/>
      </c>
      <c r="EH16" s="1318">
        <f>EH14/DV14-1</f>
        <v/>
      </c>
      <c r="EI16" s="1318">
        <f>EI14/DW14-1</f>
        <v/>
      </c>
      <c r="EJ16" s="1318">
        <f>EJ14/DX14-1</f>
        <v/>
      </c>
      <c r="EK16" s="1318">
        <f>EK14/DY14-1</f>
        <v/>
      </c>
      <c r="EL16" s="1318">
        <f>EL14/DZ14-1</f>
        <v/>
      </c>
      <c r="EM16" s="1318">
        <f>EM14/EA14-1</f>
        <v/>
      </c>
      <c r="EN16" s="1318">
        <f>EN14/EB14-1</f>
        <v/>
      </c>
      <c r="EO16" s="1318">
        <f>EO14/EC14-1</f>
        <v/>
      </c>
      <c r="EP16" s="1318">
        <f>EP14/ED14-1</f>
        <v/>
      </c>
      <c r="EQ16" s="1318">
        <f>EQ14/EE14-1</f>
        <v/>
      </c>
      <c r="ER16" s="1318">
        <f>ER14/EF14-1</f>
        <v/>
      </c>
      <c r="ES16" s="1318">
        <f>ES14/EG14-1</f>
        <v/>
      </c>
      <c r="ET16" s="1318">
        <f>ET14/EH14-1</f>
        <v/>
      </c>
      <c r="EU16" s="1318">
        <f>EU14/EI14-1</f>
        <v/>
      </c>
      <c r="EV16" s="1318">
        <f>EV14/EJ14-1</f>
        <v/>
      </c>
      <c r="EW16" s="1318">
        <f>EW14/EK14-1</f>
        <v/>
      </c>
      <c r="EX16" s="1318">
        <f>EX14/EL14-1</f>
        <v/>
      </c>
      <c r="EY16" s="1318">
        <f>EY14/EM14-1</f>
        <v/>
      </c>
      <c r="EZ16" s="1318">
        <f>EZ14/EN14-1</f>
        <v/>
      </c>
      <c r="FA16" s="1318">
        <f>FA14/EO14-1</f>
        <v/>
      </c>
      <c r="FB16" s="1318">
        <f>FB14/EP14-1</f>
        <v/>
      </c>
      <c r="FC16" s="1318">
        <f>FC14/EQ14-1</f>
        <v/>
      </c>
      <c r="FD16" s="1318">
        <f>FD14/ER14-1</f>
        <v/>
      </c>
      <c r="FE16" s="1318">
        <f>FE14/ES14-1</f>
        <v/>
      </c>
      <c r="FF16" s="1318">
        <f>FF14/ET14-1</f>
        <v/>
      </c>
      <c r="FG16" s="1318">
        <f>FG14/EU14-1</f>
        <v/>
      </c>
      <c r="FH16" s="1318">
        <f>FH14/EV14-1</f>
        <v/>
      </c>
      <c r="FI16" s="1318">
        <f>FI14/EW14-1</f>
        <v/>
      </c>
      <c r="FJ16" s="1318">
        <f>FJ14/EX14-1</f>
        <v/>
      </c>
      <c r="FK16" s="1318">
        <f>FK14/EY14-1</f>
        <v/>
      </c>
      <c r="FL16" s="1318">
        <f>FL14/EZ14-1</f>
        <v/>
      </c>
      <c r="FM16" s="1318">
        <f>FM14/FA14-1</f>
        <v/>
      </c>
      <c r="FN16" s="1318">
        <f>FN14/FB14-1</f>
        <v/>
      </c>
      <c r="FO16" s="1318">
        <f>FO14/FC14-1</f>
        <v/>
      </c>
      <c r="FP16" s="1318">
        <f>FP14/FD14-1</f>
        <v/>
      </c>
      <c r="FQ16" s="1318">
        <f>FQ14/FE14-1</f>
        <v/>
      </c>
      <c r="FR16" s="1318">
        <f>FR14/FF14-1</f>
        <v/>
      </c>
      <c r="FS16" s="1318">
        <f>FS14/FG14-1</f>
        <v/>
      </c>
      <c r="FT16" s="1318">
        <f>FT14/FH14-1</f>
        <v/>
      </c>
      <c r="FU16" s="1318">
        <f>FU14/FI14-1</f>
        <v/>
      </c>
      <c r="FV16" s="1318">
        <f>FV14/FJ14-1</f>
        <v/>
      </c>
      <c r="FW16" s="1318">
        <f>FW14/FK14-1</f>
        <v/>
      </c>
      <c r="FX16" s="1318">
        <f>FX14/FL14-1</f>
        <v/>
      </c>
      <c r="FY16" s="1318">
        <f>FY14/FM14-1</f>
        <v/>
      </c>
      <c r="FZ16" s="1318">
        <f>FZ14/FN14-1</f>
        <v/>
      </c>
      <c r="GA16" s="1318">
        <f>GA14/FO14-1</f>
        <v/>
      </c>
      <c r="GB16" s="1318">
        <f>GB14/FP14-1</f>
        <v/>
      </c>
      <c r="GC16" s="1318">
        <f>GC14/FQ14-1</f>
        <v/>
      </c>
      <c r="GD16" s="1318">
        <f>GD14/FR14-1</f>
        <v/>
      </c>
      <c r="GE16" s="1318">
        <f>GE14/FS14-1</f>
        <v/>
      </c>
      <c r="GF16" s="1318">
        <f>GF14/FT14-1</f>
        <v/>
      </c>
      <c r="GG16" s="1318">
        <f>GG14/FU14-1</f>
        <v/>
      </c>
      <c r="GH16" s="1318">
        <f>GH14/FV14-1</f>
        <v/>
      </c>
      <c r="GI16" s="1318">
        <f>GI14/FW14-1</f>
        <v/>
      </c>
      <c r="GJ16" s="1318">
        <f>GJ14/FX14-1</f>
        <v/>
      </c>
      <c r="GK16" s="1318">
        <f>GK14/FY14-1</f>
        <v/>
      </c>
      <c r="GL16" s="1318">
        <f>GL14/FZ14-1</f>
        <v/>
      </c>
      <c r="GM16" s="1318">
        <f>GM14/GA14-1</f>
        <v/>
      </c>
      <c r="GN16" s="1318">
        <f>GN14/GB14-1</f>
        <v/>
      </c>
      <c r="GO16" s="1318">
        <f>GO14/GC14-1</f>
        <v/>
      </c>
      <c r="GP16" s="1318">
        <f>GP14/GD14-1</f>
        <v/>
      </c>
      <c r="GQ16" s="1318">
        <f>GQ14/GE14-1</f>
        <v/>
      </c>
      <c r="GR16" s="1318">
        <f>GR14/GF14-1</f>
        <v/>
      </c>
      <c r="GS16" s="1318">
        <f>GS14/GG14-1</f>
        <v/>
      </c>
      <c r="GT16" s="1318">
        <f>GT14/GH14-1</f>
        <v/>
      </c>
      <c r="GU16" s="1318">
        <f>GU14/GI14-1</f>
        <v/>
      </c>
      <c r="GV16" s="1318">
        <f>GV14/GJ14-1</f>
        <v/>
      </c>
      <c r="GW16" s="1318">
        <f>GW14/GK14-1</f>
        <v/>
      </c>
      <c r="GX16" s="1318">
        <f>GX14/GL14-1</f>
        <v/>
      </c>
      <c r="GY16" s="1318">
        <f>GY14/GM14-1</f>
        <v/>
      </c>
      <c r="GZ16" s="1318">
        <f>GZ14/GN14-1</f>
        <v/>
      </c>
      <c r="HA16" s="1318">
        <f>HA14/GO14-1</f>
        <v/>
      </c>
      <c r="HB16" s="1318">
        <f>HB14/GP14-1</f>
        <v/>
      </c>
      <c r="HC16" s="1318">
        <f>HC14/GQ14-1</f>
        <v/>
      </c>
      <c r="HD16" s="1318">
        <f>HD14/GR14-1</f>
        <v/>
      </c>
      <c r="HE16" s="1318">
        <f>HE14/GS14-1</f>
        <v/>
      </c>
      <c r="HF16" s="1318">
        <f>HF14/GT14-1</f>
        <v/>
      </c>
      <c r="HG16" s="1318">
        <f>HG14/GU14-1</f>
        <v/>
      </c>
      <c r="HH16" s="1318">
        <f>HH14/GV14-1</f>
        <v/>
      </c>
      <c r="HI16" s="1318">
        <f>HI14/GW14-1</f>
        <v/>
      </c>
      <c r="HJ16" s="1318">
        <f>HJ14/GX14-1</f>
        <v/>
      </c>
      <c r="HK16" s="1318">
        <f>HK14/GY14-1</f>
        <v/>
      </c>
      <c r="HL16" s="1318">
        <f>HL14/GZ14-1</f>
        <v/>
      </c>
      <c r="HM16" s="1318">
        <f>HM14/HA14-1</f>
        <v/>
      </c>
      <c r="HN16" s="1318">
        <f>HN14/HB14-1</f>
        <v/>
      </c>
      <c r="HO16" s="1318">
        <f>HO14/HC14-1</f>
        <v/>
      </c>
      <c r="HP16" s="1318">
        <f>HP14/HD14-1</f>
        <v/>
      </c>
      <c r="HQ16" s="1318">
        <f>HQ14/HE14-1</f>
        <v/>
      </c>
      <c r="HR16" s="1318">
        <f>HR14/HF14-1</f>
        <v/>
      </c>
      <c r="HS16" s="1318">
        <f>HS14/HG14-1</f>
        <v/>
      </c>
      <c r="HT16" s="1318">
        <f>HT14/HH14-1</f>
        <v/>
      </c>
      <c r="HU16" s="1318">
        <f>HU14/HI14-1</f>
        <v/>
      </c>
      <c r="HV16" s="1318">
        <f>HV14/HJ14-1</f>
        <v/>
      </c>
      <c r="HW16" s="1318">
        <f>HW14/HK14-1</f>
        <v/>
      </c>
      <c r="HX16" s="1318">
        <f>HX14/HL14-1</f>
        <v/>
      </c>
      <c r="HY16" s="1318">
        <f>HY14/HM14-1</f>
        <v/>
      </c>
      <c r="HZ16" s="1318">
        <f>HZ14/HN14-1</f>
        <v/>
      </c>
      <c r="IA16" s="1318">
        <f>IA14/HO14-1</f>
        <v/>
      </c>
      <c r="IB16" s="1318">
        <f>IB14/HP14-1</f>
        <v/>
      </c>
      <c r="IC16" s="1318">
        <f>IC14/HQ14-1</f>
        <v/>
      </c>
      <c r="ID16" s="1318">
        <f>ID14/HR14-1</f>
        <v/>
      </c>
      <c r="IE16" s="1318">
        <f>IE14/HS14-1</f>
        <v/>
      </c>
      <c r="IF16" s="1318">
        <f>IF14/HT14-1</f>
        <v/>
      </c>
      <c r="IG16" s="1318">
        <f>IG14/HU14-1</f>
        <v/>
      </c>
      <c r="IH16" s="1318">
        <f>IH14/HV14-1</f>
        <v/>
      </c>
      <c r="II16" s="1318">
        <f>II14/HW14-1</f>
        <v/>
      </c>
      <c r="IJ16" s="1318">
        <f>IJ14/HX14-1</f>
        <v/>
      </c>
      <c r="IK16" s="1318">
        <f>IK14/HY14-1</f>
        <v/>
      </c>
      <c r="IL16" s="1318">
        <f>IL14/HZ14-1</f>
        <v/>
      </c>
      <c r="IM16" s="1318">
        <f>IM14/IA14-1</f>
        <v/>
      </c>
      <c r="IN16" s="1318">
        <f>IN14/IB14-1</f>
        <v/>
      </c>
      <c r="IO16" s="1318">
        <f>IO14/IC14-1</f>
        <v/>
      </c>
      <c r="IP16" s="1318">
        <f>IP14/ID14-1</f>
        <v/>
      </c>
      <c r="IQ16" s="1318">
        <f>IQ14/IE14-1</f>
        <v/>
      </c>
      <c r="IR16" s="1318">
        <f>IR14/IF14-1</f>
        <v/>
      </c>
      <c r="IS16" s="1318">
        <f>IS14/IG14-1</f>
        <v/>
      </c>
      <c r="IT16" s="1318">
        <f>IT14/IH14-1</f>
        <v/>
      </c>
      <c r="IU16" s="1318">
        <f>IU14/II14-1</f>
        <v/>
      </c>
      <c r="IV16" s="1318">
        <f>IV14/IJ14-1</f>
        <v/>
      </c>
      <c r="IW16" s="1318">
        <f>IW14/IK14-1</f>
        <v/>
      </c>
      <c r="IX16" s="1318">
        <f>IX14/IL14-1</f>
        <v/>
      </c>
      <c r="IY16" s="1318">
        <f>IY14/IM14-1</f>
        <v/>
      </c>
      <c r="IZ16" s="1318">
        <f>IZ14/IN14-1</f>
        <v/>
      </c>
      <c r="JA16" s="1318">
        <f>JA14/IO14-1</f>
        <v/>
      </c>
      <c r="JB16" s="1318">
        <f>JB14/IP14-1</f>
        <v/>
      </c>
      <c r="JC16" s="1318">
        <f>JC14/IQ14-1</f>
        <v/>
      </c>
      <c r="JD16" s="1318">
        <f>JD14/IR14-1</f>
        <v/>
      </c>
      <c r="JE16" s="1318">
        <f>JE14/IS14-1</f>
        <v/>
      </c>
      <c r="JF16" s="1318">
        <f>JF14/IT14-1</f>
        <v/>
      </c>
      <c r="JG16" s="1318">
        <f>JG14/IU14-1</f>
        <v/>
      </c>
      <c r="JH16" s="1318">
        <f>JH14/IV14-1</f>
        <v/>
      </c>
      <c r="JI16" s="1318">
        <f>JI14/IW14-1</f>
        <v/>
      </c>
      <c r="JJ16" s="1318">
        <f>JJ14/IX14-1</f>
        <v/>
      </c>
      <c r="JK16" s="1318">
        <f>JK14/IY14-1</f>
        <v/>
      </c>
      <c r="JL16" s="1318">
        <f>JL14/IZ14-1</f>
        <v/>
      </c>
      <c r="JM16" s="1318">
        <f>JM14/JA14-1</f>
        <v/>
      </c>
      <c r="JN16" s="1318">
        <f>JN14/JB14-1</f>
        <v/>
      </c>
      <c r="JO16" s="1318">
        <f>JO14/JC14-1</f>
        <v/>
      </c>
      <c r="JP16" s="1318">
        <f>JP14/JD14-1</f>
        <v/>
      </c>
      <c r="JQ16" s="1318">
        <f>JQ14/JE14-1</f>
        <v/>
      </c>
      <c r="JR16" s="1318">
        <f>JR14/JF14-1</f>
        <v/>
      </c>
      <c r="JS16" s="1318">
        <f>JS14/JG14-1</f>
        <v/>
      </c>
      <c r="JT16" s="1318">
        <f>JT14/JH14-1</f>
        <v/>
      </c>
      <c r="JU16" s="1318">
        <f>JU14/JI14-1</f>
        <v/>
      </c>
      <c r="JV16" s="1318">
        <f>JV14/JJ14-1</f>
        <v/>
      </c>
      <c r="JW16" s="1318">
        <f>JW14/JK14-1</f>
        <v/>
      </c>
      <c r="JX16" s="1318">
        <f>JX14/JL14-1</f>
        <v/>
      </c>
      <c r="JY16" s="1318">
        <f>JY14/JM14-1</f>
        <v/>
      </c>
      <c r="JZ16" s="1318">
        <f>JZ14/JN14-1</f>
        <v/>
      </c>
      <c r="KA16" s="1318">
        <f>KA14/JO14-1</f>
        <v/>
      </c>
      <c r="KB16" s="1318">
        <f>KB14/JP14-1</f>
        <v/>
      </c>
      <c r="KC16" s="1318">
        <f>KC14/JQ14-1</f>
        <v/>
      </c>
      <c r="KD16" s="1318">
        <f>KD14/JR14-1</f>
        <v/>
      </c>
      <c r="KE16" s="1318">
        <f>KE14/JS14-1</f>
        <v/>
      </c>
      <c r="KF16" s="1318">
        <f>KF14/JT14-1</f>
        <v/>
      </c>
      <c r="KG16" s="1318">
        <f>KG14/JU14-1</f>
        <v/>
      </c>
      <c r="KH16" s="1318">
        <f>KH14/JV14-1</f>
        <v/>
      </c>
      <c r="KI16" s="1318">
        <f>KI14/JW14-1</f>
        <v/>
      </c>
      <c r="KJ16" s="1318">
        <f>KJ14/JX14-1</f>
        <v/>
      </c>
      <c r="KK16" s="1318">
        <f>KK14/JY14-1</f>
        <v/>
      </c>
      <c r="KL16" s="1318">
        <f>KL14/JZ14-1</f>
        <v/>
      </c>
      <c r="KM16" s="1318">
        <f>KM14/KA14-1</f>
        <v/>
      </c>
      <c r="KN16" s="1318">
        <f>KN14/KB14-1</f>
        <v/>
      </c>
      <c r="KO16" s="1318">
        <f>KO14/KC14-1</f>
        <v/>
      </c>
      <c r="KP16" s="1318">
        <f>KP14/KD14-1</f>
        <v/>
      </c>
      <c r="KQ16" s="1318">
        <f>KQ14/KE14-1</f>
        <v/>
      </c>
      <c r="KR16" s="1318">
        <f>KR14/KF14-1</f>
        <v/>
      </c>
      <c r="KS16" s="1318">
        <f>KS14/KG14-1</f>
        <v/>
      </c>
      <c r="KT16" s="1318">
        <f>KT14/KH14-1</f>
        <v/>
      </c>
      <c r="KU16" s="1318">
        <f>KU14/KI14-1</f>
        <v/>
      </c>
      <c r="KV16" s="1318">
        <f>KV14/KJ14-1</f>
        <v/>
      </c>
      <c r="KW16" s="1318">
        <f>KW14/KK14-1</f>
        <v/>
      </c>
      <c r="KX16" s="1318">
        <f>KX14/KL14-1</f>
        <v/>
      </c>
      <c r="KY16" s="1318">
        <f>KY14/KM14-1</f>
        <v/>
      </c>
      <c r="KZ16" s="1318">
        <f>KZ14/KN14-1</f>
        <v/>
      </c>
      <c r="LA16" s="1318">
        <f>LA14/KO14-1</f>
        <v/>
      </c>
      <c r="LB16" s="1318" t="n"/>
      <c r="LC16" s="1318" t="n"/>
      <c r="LD16" s="1318" t="n"/>
      <c r="LE16" s="1318" t="n"/>
      <c r="LF16" s="1318" t="n"/>
      <c r="LG16" s="1318" t="n"/>
      <c r="LH16" s="1318" t="n"/>
      <c r="LI16" s="1318" t="n"/>
      <c r="LJ16" s="1318" t="n"/>
      <c r="LK16" s="1318" t="n"/>
      <c r="LL16" s="1318" t="n"/>
      <c r="LM16" s="1318" t="n"/>
      <c r="LN16" s="1318" t="n"/>
      <c r="LO16" s="1318" t="n"/>
      <c r="LP16" s="1318" t="n"/>
      <c r="LQ16" s="1318" t="n"/>
      <c r="LR16" s="1318" t="n"/>
      <c r="LS16" s="1318" t="n"/>
    </row>
    <row r="17">
      <c r="A17" s="885" t="inlineStr">
        <is>
          <t>YTD cg %</t>
        </is>
      </c>
      <c r="B17" s="1318" t="n"/>
      <c r="C17" s="1318" t="n"/>
      <c r="D17" s="1318" t="n"/>
      <c r="E17" s="1318" t="n"/>
      <c r="F17" s="1318" t="n"/>
      <c r="G17" s="1318" t="n"/>
      <c r="H17" s="1318" t="n"/>
      <c r="I17" s="1318" t="n"/>
      <c r="J17" s="1318" t="n"/>
      <c r="K17" s="1318" t="n"/>
      <c r="L17" s="1318" t="n"/>
      <c r="M17" s="1318" t="n"/>
      <c r="N17" s="1318">
        <f>SUMIFS(14:14,$8:$8,"&gt;="&amp;DATE(YEAR(N$8),1,1),$8:$8,"&lt;="&amp;EOMONTH(N$8,0))/SUMIFS(14:14,$8:$8,"&gt;="&amp;DATE(YEAR(N$8)-1,1,1),$8:$8,"&lt;="&amp;EOMONTH(N$8,-12))-1</f>
        <v/>
      </c>
      <c r="O17" s="1318">
        <f>SUMIFS(14:14,$8:$8,"&gt;="&amp;DATE(YEAR(O$8),1,1),$8:$8,"&lt;="&amp;EOMONTH(O$8,0))/SUMIFS(14:14,$8:$8,"&gt;="&amp;DATE(YEAR(O$8)-1,1,1),$8:$8,"&lt;="&amp;EOMONTH(O$8,-12))-1</f>
        <v/>
      </c>
      <c r="P17" s="1318">
        <f>SUMIFS(14:14,$8:$8,"&gt;="&amp;DATE(YEAR(P$8),1,1),$8:$8,"&lt;="&amp;EOMONTH(P$8,0))/SUMIFS(14:14,$8:$8,"&gt;="&amp;DATE(YEAR(P$8)-1,1,1),$8:$8,"&lt;="&amp;EOMONTH(P$8,-12))-1</f>
        <v/>
      </c>
      <c r="Q17" s="1318">
        <f>SUMIFS(14:14,$8:$8,"&gt;="&amp;DATE(YEAR(Q$8),1,1),$8:$8,"&lt;="&amp;EOMONTH(Q$8,0))/SUMIFS(14:14,$8:$8,"&gt;="&amp;DATE(YEAR(Q$8)-1,1,1),$8:$8,"&lt;="&amp;EOMONTH(Q$8,-12))-1</f>
        <v/>
      </c>
      <c r="R17" s="1318">
        <f>SUMIFS(14:14,$8:$8,"&gt;="&amp;DATE(YEAR(R$8),1,1),$8:$8,"&lt;="&amp;EOMONTH(R$8,0))/SUMIFS(14:14,$8:$8,"&gt;="&amp;DATE(YEAR(R$8)-1,1,1),$8:$8,"&lt;="&amp;EOMONTH(R$8,-12))-1</f>
        <v/>
      </c>
      <c r="S17" s="1318">
        <f>SUMIFS(14:14,$8:$8,"&gt;="&amp;DATE(YEAR(S$8),1,1),$8:$8,"&lt;="&amp;EOMONTH(S$8,0))/SUMIFS(14:14,$8:$8,"&gt;="&amp;DATE(YEAR(S$8)-1,1,1),$8:$8,"&lt;="&amp;EOMONTH(S$8,-12))-1</f>
        <v/>
      </c>
      <c r="T17" s="1318">
        <f>SUMIFS(14:14,$8:$8,"&gt;="&amp;DATE(YEAR(T$8),1,1),$8:$8,"&lt;="&amp;EOMONTH(T$8,0))/SUMIFS(14:14,$8:$8,"&gt;="&amp;DATE(YEAR(T$8)-1,1,1),$8:$8,"&lt;="&amp;EOMONTH(T$8,-12))-1</f>
        <v/>
      </c>
      <c r="U17" s="1318">
        <f>SUMIFS(14:14,$8:$8,"&gt;="&amp;DATE(YEAR(U$8),1,1),$8:$8,"&lt;="&amp;EOMONTH(U$8,0))/SUMIFS(14:14,$8:$8,"&gt;="&amp;DATE(YEAR(U$8)-1,1,1),$8:$8,"&lt;="&amp;EOMONTH(U$8,-12))-1</f>
        <v/>
      </c>
      <c r="V17" s="1318">
        <f>SUMIFS(14:14,$8:$8,"&gt;="&amp;DATE(YEAR(V$8),1,1),$8:$8,"&lt;="&amp;EOMONTH(V$8,0))/SUMIFS(14:14,$8:$8,"&gt;="&amp;DATE(YEAR(V$8)-1,1,1),$8:$8,"&lt;="&amp;EOMONTH(V$8,-12))-1</f>
        <v/>
      </c>
      <c r="W17" s="1318">
        <f>SUMIFS(14:14,$8:$8,"&gt;="&amp;DATE(YEAR(W$8),1,1),$8:$8,"&lt;="&amp;EOMONTH(W$8,0))/SUMIFS(14:14,$8:$8,"&gt;="&amp;DATE(YEAR(W$8)-1,1,1),$8:$8,"&lt;="&amp;EOMONTH(W$8,-12))-1</f>
        <v/>
      </c>
      <c r="X17" s="1318">
        <f>SUMIFS(14:14,$8:$8,"&gt;="&amp;DATE(YEAR(X$8),1,1),$8:$8,"&lt;="&amp;EOMONTH(X$8,0))/SUMIFS(14:14,$8:$8,"&gt;="&amp;DATE(YEAR(X$8)-1,1,1),$8:$8,"&lt;="&amp;EOMONTH(X$8,-12))-1</f>
        <v/>
      </c>
      <c r="Y17" s="1318">
        <f>SUMIFS(14:14,$8:$8,"&gt;="&amp;DATE(YEAR(Y$8),1,1),$8:$8,"&lt;="&amp;EOMONTH(Y$8,0))/SUMIFS(14:14,$8:$8,"&gt;="&amp;DATE(YEAR(Y$8)-1,1,1),$8:$8,"&lt;="&amp;EOMONTH(Y$8,-12))-1</f>
        <v/>
      </c>
      <c r="Z17" s="1318">
        <f>SUMIFS(14:14,$8:$8,"&gt;="&amp;DATE(YEAR(Z$8),1,1),$8:$8,"&lt;="&amp;EOMONTH(Z$8,0))/SUMIFS(14:14,$8:$8,"&gt;="&amp;DATE(YEAR(Z$8)-1,1,1),$8:$8,"&lt;="&amp;EOMONTH(Z$8,-12))-1</f>
        <v/>
      </c>
      <c r="AA17" s="1318">
        <f>SUMIFS(14:14,$8:$8,"&gt;="&amp;DATE(YEAR(AA$8),1,1),$8:$8,"&lt;="&amp;EOMONTH(AA$8,0))/SUMIFS(14:14,$8:$8,"&gt;="&amp;DATE(YEAR(AA$8)-1,1,1),$8:$8,"&lt;="&amp;EOMONTH(AA$8,-12))-1</f>
        <v/>
      </c>
      <c r="AB17" s="1318">
        <f>SUMIFS(14:14,$8:$8,"&gt;="&amp;DATE(YEAR(AB$8),1,1),$8:$8,"&lt;="&amp;EOMONTH(AB$8,0))/SUMIFS(14:14,$8:$8,"&gt;="&amp;DATE(YEAR(AB$8)-1,1,1),$8:$8,"&lt;="&amp;EOMONTH(AB$8,-12))-1</f>
        <v/>
      </c>
      <c r="AC17" s="1318">
        <f>SUMIFS(14:14,$8:$8,"&gt;="&amp;DATE(YEAR(AC$8),1,1),$8:$8,"&lt;="&amp;EOMONTH(AC$8,0))/SUMIFS(14:14,$8:$8,"&gt;="&amp;DATE(YEAR(AC$8)-1,1,1),$8:$8,"&lt;="&amp;EOMONTH(AC$8,-12))-1</f>
        <v/>
      </c>
      <c r="AD17" s="1318">
        <f>SUMIFS(14:14,$8:$8,"&gt;="&amp;DATE(YEAR(AD$8),1,1),$8:$8,"&lt;="&amp;EOMONTH(AD$8,0))/SUMIFS(14:14,$8:$8,"&gt;="&amp;DATE(YEAR(AD$8)-1,1,1),$8:$8,"&lt;="&amp;EOMONTH(AD$8,-12))-1</f>
        <v/>
      </c>
      <c r="AE17" s="1318">
        <f>SUMIFS(14:14,$8:$8,"&gt;="&amp;DATE(YEAR(AE$8),1,1),$8:$8,"&lt;="&amp;EOMONTH(AE$8,0))/SUMIFS(14:14,$8:$8,"&gt;="&amp;DATE(YEAR(AE$8)-1,1,1),$8:$8,"&lt;="&amp;EOMONTH(AE$8,-12))-1</f>
        <v/>
      </c>
      <c r="AF17" s="1318">
        <f>SUMIFS(14:14,$8:$8,"&gt;="&amp;DATE(YEAR(AF$8),1,1),$8:$8,"&lt;="&amp;EOMONTH(AF$8,0))/SUMIFS(14:14,$8:$8,"&gt;="&amp;DATE(YEAR(AF$8)-1,1,1),$8:$8,"&lt;="&amp;EOMONTH(AF$8,-12))-1</f>
        <v/>
      </c>
      <c r="AG17" s="1318">
        <f>SUMIFS(14:14,$8:$8,"&gt;="&amp;DATE(YEAR(AG$8),1,1),$8:$8,"&lt;="&amp;EOMONTH(AG$8,0))/SUMIFS(14:14,$8:$8,"&gt;="&amp;DATE(YEAR(AG$8)-1,1,1),$8:$8,"&lt;="&amp;EOMONTH(AG$8,-12))-1</f>
        <v/>
      </c>
      <c r="AH17" s="1318">
        <f>SUMIFS(14:14,$8:$8,"&gt;="&amp;DATE(YEAR(AH$8),1,1),$8:$8,"&lt;="&amp;EOMONTH(AH$8,0))/SUMIFS(14:14,$8:$8,"&gt;="&amp;DATE(YEAR(AH$8)-1,1,1),$8:$8,"&lt;="&amp;EOMONTH(AH$8,-12))-1</f>
        <v/>
      </c>
      <c r="AI17" s="1318">
        <f>SUMIFS(14:14,$8:$8,"&gt;="&amp;DATE(YEAR(AI$8),1,1),$8:$8,"&lt;="&amp;EOMONTH(AI$8,0))/SUMIFS(14:14,$8:$8,"&gt;="&amp;DATE(YEAR(AI$8)-1,1,1),$8:$8,"&lt;="&amp;EOMONTH(AI$8,-12))-1</f>
        <v/>
      </c>
      <c r="AJ17" s="1318">
        <f>SUMIFS(14:14,$8:$8,"&gt;="&amp;DATE(YEAR(AJ$8),1,1),$8:$8,"&lt;="&amp;EOMONTH(AJ$8,0))/SUMIFS(14:14,$8:$8,"&gt;="&amp;DATE(YEAR(AJ$8)-1,1,1),$8:$8,"&lt;="&amp;EOMONTH(AJ$8,-12))-1</f>
        <v/>
      </c>
      <c r="AK17" s="1318">
        <f>SUMIFS(14:14,$8:$8,"&gt;="&amp;DATE(YEAR(AK$8),1,1),$8:$8,"&lt;="&amp;EOMONTH(AK$8,0))/SUMIFS(14:14,$8:$8,"&gt;="&amp;DATE(YEAR(AK$8)-1,1,1),$8:$8,"&lt;="&amp;EOMONTH(AK$8,-12))-1</f>
        <v/>
      </c>
      <c r="AL17" s="1318">
        <f>SUMIFS(14:14,$8:$8,"&gt;="&amp;DATE(YEAR(AL$8),1,1),$8:$8,"&lt;="&amp;EOMONTH(AL$8,0))/SUMIFS(14:14,$8:$8,"&gt;="&amp;DATE(YEAR(AL$8)-1,1,1),$8:$8,"&lt;="&amp;EOMONTH(AL$8,-12))-1</f>
        <v/>
      </c>
      <c r="AM17" s="1318">
        <f>SUMIFS(14:14,$8:$8,"&gt;="&amp;DATE(YEAR(AM$8),1,1),$8:$8,"&lt;="&amp;EOMONTH(AM$8,0))/SUMIFS(14:14,$8:$8,"&gt;="&amp;DATE(YEAR(AM$8)-1,1,1),$8:$8,"&lt;="&amp;EOMONTH(AM$8,-12))-1</f>
        <v/>
      </c>
      <c r="AN17" s="1318">
        <f>SUMIFS(14:14,$8:$8,"&gt;="&amp;DATE(YEAR(AN$8),1,1),$8:$8,"&lt;="&amp;EOMONTH(AN$8,0))/SUMIFS(14:14,$8:$8,"&gt;="&amp;DATE(YEAR(AN$8)-1,1,1),$8:$8,"&lt;="&amp;EOMONTH(AN$8,-12))-1</f>
        <v/>
      </c>
      <c r="AO17" s="1318">
        <f>SUMIFS(14:14,$8:$8,"&gt;="&amp;DATE(YEAR(AO$8),1,1),$8:$8,"&lt;="&amp;EOMONTH(AO$8,0))/SUMIFS(14:14,$8:$8,"&gt;="&amp;DATE(YEAR(AO$8)-1,1,1),$8:$8,"&lt;="&amp;EOMONTH(AO$8,-12))-1</f>
        <v/>
      </c>
      <c r="AP17" s="1318">
        <f>SUMIFS(14:14,$8:$8,"&gt;="&amp;DATE(YEAR(AP$8),1,1),$8:$8,"&lt;="&amp;EOMONTH(AP$8,0))/SUMIFS(14:14,$8:$8,"&gt;="&amp;DATE(YEAR(AP$8)-1,1,1),$8:$8,"&lt;="&amp;EOMONTH(AP$8,-12))-1</f>
        <v/>
      </c>
      <c r="AQ17" s="1318">
        <f>SUMIFS(14:14,$8:$8,"&gt;="&amp;DATE(YEAR(AQ$8),1,1),$8:$8,"&lt;="&amp;EOMONTH(AQ$8,0))/SUMIFS(14:14,$8:$8,"&gt;="&amp;DATE(YEAR(AQ$8)-1,1,1),$8:$8,"&lt;="&amp;EOMONTH(AQ$8,-12))-1</f>
        <v/>
      </c>
      <c r="AR17" s="1318">
        <f>SUMIFS(14:14,$8:$8,"&gt;="&amp;DATE(YEAR(AR$8),1,1),$8:$8,"&lt;="&amp;EOMONTH(AR$8,0))/SUMIFS(14:14,$8:$8,"&gt;="&amp;DATE(YEAR(AR$8)-1,1,1),$8:$8,"&lt;="&amp;EOMONTH(AR$8,-12))-1</f>
        <v/>
      </c>
      <c r="AS17" s="1318">
        <f>SUMIFS(14:14,$8:$8,"&gt;="&amp;DATE(YEAR(AS$8),1,1),$8:$8,"&lt;="&amp;EOMONTH(AS$8,0))/SUMIFS(14:14,$8:$8,"&gt;="&amp;DATE(YEAR(AS$8)-1,1,1),$8:$8,"&lt;="&amp;EOMONTH(AS$8,-12))-1</f>
        <v/>
      </c>
      <c r="AT17" s="1318">
        <f>SUMIFS(14:14,$8:$8,"&gt;="&amp;DATE(YEAR(AT$8),1,1),$8:$8,"&lt;="&amp;EOMONTH(AT$8,0))/SUMIFS(14:14,$8:$8,"&gt;="&amp;DATE(YEAR(AT$8)-1,1,1),$8:$8,"&lt;="&amp;EOMONTH(AT$8,-12))-1</f>
        <v/>
      </c>
      <c r="AU17" s="1318">
        <f>SUMIFS(14:14,$8:$8,"&gt;="&amp;DATE(YEAR(AU$8),1,1),$8:$8,"&lt;="&amp;EOMONTH(AU$8,0))/SUMIFS(14:14,$8:$8,"&gt;="&amp;DATE(YEAR(AU$8)-1,1,1),$8:$8,"&lt;="&amp;EOMONTH(AU$8,-12))-1</f>
        <v/>
      </c>
      <c r="AV17" s="1318">
        <f>SUMIFS(14:14,$8:$8,"&gt;="&amp;DATE(YEAR(AV$8),1,1),$8:$8,"&lt;="&amp;EOMONTH(AV$8,0))/SUMIFS(14:14,$8:$8,"&gt;="&amp;DATE(YEAR(AV$8)-1,1,1),$8:$8,"&lt;="&amp;EOMONTH(AV$8,-12))-1</f>
        <v/>
      </c>
      <c r="AW17" s="1318">
        <f>SUMIFS(14:14,$8:$8,"&gt;="&amp;DATE(YEAR(AW$8),1,1),$8:$8,"&lt;="&amp;EOMONTH(AW$8,0))/SUMIFS(14:14,$8:$8,"&gt;="&amp;DATE(YEAR(AW$8)-1,1,1),$8:$8,"&lt;="&amp;EOMONTH(AW$8,-12))-1</f>
        <v/>
      </c>
      <c r="AX17" s="1318">
        <f>SUMIFS(14:14,$8:$8,"&gt;="&amp;DATE(YEAR(AX$8),1,1),$8:$8,"&lt;="&amp;EOMONTH(AX$8,0))/SUMIFS(14:14,$8:$8,"&gt;="&amp;DATE(YEAR(AX$8)-1,1,1),$8:$8,"&lt;="&amp;EOMONTH(AX$8,-12))-1</f>
        <v/>
      </c>
      <c r="AY17" s="1318">
        <f>SUMIFS(14:14,$8:$8,"&gt;="&amp;DATE(YEAR(AY$8),1,1),$8:$8,"&lt;="&amp;EOMONTH(AY$8,0))/SUMIFS(14:14,$8:$8,"&gt;="&amp;DATE(YEAR(AY$8)-1,1,1),$8:$8,"&lt;="&amp;EOMONTH(AY$8,-12))-1</f>
        <v/>
      </c>
      <c r="AZ17" s="1318">
        <f>SUMIFS(14:14,$8:$8,"&gt;="&amp;DATE(YEAR(AZ$8),1,1),$8:$8,"&lt;="&amp;EOMONTH(AZ$8,0))/SUMIFS(14:14,$8:$8,"&gt;="&amp;DATE(YEAR(AZ$8)-1,1,1),$8:$8,"&lt;="&amp;EOMONTH(AZ$8,-12))-1</f>
        <v/>
      </c>
      <c r="BA17" s="1318">
        <f>SUMIFS(14:14,$8:$8,"&gt;="&amp;DATE(YEAR(BA$8),1,1),$8:$8,"&lt;="&amp;EOMONTH(BA$8,0))/SUMIFS(14:14,$8:$8,"&gt;="&amp;DATE(YEAR(BA$8)-1,1,1),$8:$8,"&lt;="&amp;EOMONTH(BA$8,-12))-1</f>
        <v/>
      </c>
      <c r="BB17" s="1318">
        <f>SUMIFS(14:14,$8:$8,"&gt;="&amp;DATE(YEAR(BB$8),1,1),$8:$8,"&lt;="&amp;EOMONTH(BB$8,0))/SUMIFS(14:14,$8:$8,"&gt;="&amp;DATE(YEAR(BB$8)-1,1,1),$8:$8,"&lt;="&amp;EOMONTH(BB$8,-12))-1</f>
        <v/>
      </c>
      <c r="BC17" s="1318">
        <f>SUMIFS(14:14,$8:$8,"&gt;="&amp;DATE(YEAR(BC$8),1,1),$8:$8,"&lt;="&amp;EOMONTH(BC$8,0))/SUMIFS(14:14,$8:$8,"&gt;="&amp;DATE(YEAR(BC$8)-1,1,1),$8:$8,"&lt;="&amp;EOMONTH(BC$8,-12))-1</f>
        <v/>
      </c>
      <c r="BD17" s="1318">
        <f>SUMIFS(14:14,$8:$8,"&gt;="&amp;DATE(YEAR(BD$8),1,1),$8:$8,"&lt;="&amp;EOMONTH(BD$8,0))/SUMIFS(14:14,$8:$8,"&gt;="&amp;DATE(YEAR(BD$8)-1,1,1),$8:$8,"&lt;="&amp;EOMONTH(BD$8,-12))-1</f>
        <v/>
      </c>
      <c r="BE17" s="1318">
        <f>SUMIFS(14:14,$8:$8,"&gt;="&amp;DATE(YEAR(BE$8),1,1),$8:$8,"&lt;="&amp;EOMONTH(BE$8,0))/SUMIFS(14:14,$8:$8,"&gt;="&amp;DATE(YEAR(BE$8)-1,1,1),$8:$8,"&lt;="&amp;EOMONTH(BE$8,-12))-1</f>
        <v/>
      </c>
      <c r="BF17" s="1318">
        <f>SUMIFS(14:14,$8:$8,"&gt;="&amp;DATE(YEAR(BF$8),1,1),$8:$8,"&lt;="&amp;EOMONTH(BF$8,0))/SUMIFS(14:14,$8:$8,"&gt;="&amp;DATE(YEAR(BF$8)-1,1,1),$8:$8,"&lt;="&amp;EOMONTH(BF$8,-12))-1</f>
        <v/>
      </c>
      <c r="BG17" s="1318">
        <f>SUMIFS(14:14,$8:$8,"&gt;="&amp;DATE(YEAR(BG$8),1,1),$8:$8,"&lt;="&amp;EOMONTH(BG$8,0))/SUMIFS(14:14,$8:$8,"&gt;="&amp;DATE(YEAR(BG$8)-1,1,1),$8:$8,"&lt;="&amp;EOMONTH(BG$8,-12))-1</f>
        <v/>
      </c>
      <c r="BH17" s="1318">
        <f>SUMIFS(14:14,$8:$8,"&gt;="&amp;DATE(YEAR(BH$8),1,1),$8:$8,"&lt;="&amp;EOMONTH(BH$8,0))/SUMIFS(14:14,$8:$8,"&gt;="&amp;DATE(YEAR(BH$8)-1,1,1),$8:$8,"&lt;="&amp;EOMONTH(BH$8,-12))-1</f>
        <v/>
      </c>
      <c r="BI17" s="1318">
        <f>SUMIFS(14:14,$8:$8,"&gt;="&amp;DATE(YEAR(BI$8),1,1),$8:$8,"&lt;="&amp;EOMONTH(BI$8,0))/SUMIFS(14:14,$8:$8,"&gt;="&amp;DATE(YEAR(BI$8)-1,1,1),$8:$8,"&lt;="&amp;EOMONTH(BI$8,-12))-1</f>
        <v/>
      </c>
      <c r="BJ17" s="1318">
        <f>SUMIFS(14:14,$8:$8,"&gt;="&amp;DATE(YEAR(BJ$8),1,1),$8:$8,"&lt;="&amp;EOMONTH(BJ$8,0))/SUMIFS(14:14,$8:$8,"&gt;="&amp;DATE(YEAR(BJ$8)-1,1,1),$8:$8,"&lt;="&amp;EOMONTH(BJ$8,-12))-1</f>
        <v/>
      </c>
      <c r="BK17" s="1318">
        <f>SUMIFS(14:14,$8:$8,"&gt;="&amp;DATE(YEAR(BK$8),1,1),$8:$8,"&lt;="&amp;EOMONTH(BK$8,0))/SUMIFS(14:14,$8:$8,"&gt;="&amp;DATE(YEAR(BK$8)-1,1,1),$8:$8,"&lt;="&amp;EOMONTH(BK$8,-12))-1</f>
        <v/>
      </c>
      <c r="BL17" s="1318">
        <f>SUMIFS(14:14,$8:$8,"&gt;="&amp;DATE(YEAR(BL$8),1,1),$8:$8,"&lt;="&amp;EOMONTH(BL$8,0))/SUMIFS(14:14,$8:$8,"&gt;="&amp;DATE(YEAR(BL$8)-1,1,1),$8:$8,"&lt;="&amp;EOMONTH(BL$8,-12))-1</f>
        <v/>
      </c>
      <c r="BM17" s="1318">
        <f>SUMIFS(14:14,$8:$8,"&gt;="&amp;DATE(YEAR(BM$8),1,1),$8:$8,"&lt;="&amp;EOMONTH(BM$8,0))/SUMIFS(14:14,$8:$8,"&gt;="&amp;DATE(YEAR(BM$8)-1,1,1),$8:$8,"&lt;="&amp;EOMONTH(BM$8,-12))-1</f>
        <v/>
      </c>
      <c r="BN17" s="1318">
        <f>SUMIFS(14:14,$8:$8,"&gt;="&amp;DATE(YEAR(BN$8),1,1),$8:$8,"&lt;="&amp;EOMONTH(BN$8,0))/SUMIFS(14:14,$8:$8,"&gt;="&amp;DATE(YEAR(BN$8)-1,1,1),$8:$8,"&lt;="&amp;EOMONTH(BN$8,-12))-1</f>
        <v/>
      </c>
      <c r="BO17" s="1318">
        <f>SUMIFS(14:14,$8:$8,"&gt;="&amp;DATE(YEAR(BO$8),1,1),$8:$8,"&lt;="&amp;EOMONTH(BO$8,0))/SUMIFS(14:14,$8:$8,"&gt;="&amp;DATE(YEAR(BO$8)-1,1,1),$8:$8,"&lt;="&amp;EOMONTH(BO$8,-12))-1</f>
        <v/>
      </c>
      <c r="BP17" s="1318">
        <f>SUMIFS(14:14,$8:$8,"&gt;="&amp;DATE(YEAR(BP$8),1,1),$8:$8,"&lt;="&amp;EOMONTH(BP$8,0))/SUMIFS(14:14,$8:$8,"&gt;="&amp;DATE(YEAR(BP$8)-1,1,1),$8:$8,"&lt;="&amp;EOMONTH(BP$8,-12))-1</f>
        <v/>
      </c>
      <c r="BQ17" s="1318">
        <f>SUMIFS(14:14,$8:$8,"&gt;="&amp;DATE(YEAR(BQ$8),1,1),$8:$8,"&lt;="&amp;EOMONTH(BQ$8,0))/SUMIFS(14:14,$8:$8,"&gt;="&amp;DATE(YEAR(BQ$8)-1,1,1),$8:$8,"&lt;="&amp;EOMONTH(BQ$8,-12))-1</f>
        <v/>
      </c>
      <c r="BR17" s="1318">
        <f>SUMIFS(14:14,$8:$8,"&gt;="&amp;DATE(YEAR(BR$8),1,1),$8:$8,"&lt;="&amp;EOMONTH(BR$8,0))/SUMIFS(14:14,$8:$8,"&gt;="&amp;DATE(YEAR(BR$8)-1,1,1),$8:$8,"&lt;="&amp;EOMONTH(BR$8,-12))-1</f>
        <v/>
      </c>
      <c r="BS17" s="1318">
        <f>SUMIFS(14:14,$8:$8,"&gt;="&amp;DATE(YEAR(BS$8),1,1),$8:$8,"&lt;="&amp;EOMONTH(BS$8,0))/SUMIFS(14:14,$8:$8,"&gt;="&amp;DATE(YEAR(BS$8)-1,1,1),$8:$8,"&lt;="&amp;EOMONTH(BS$8,-12))-1</f>
        <v/>
      </c>
      <c r="BT17" s="1318">
        <f>SUMIFS(14:14,$8:$8,"&gt;="&amp;DATE(YEAR(BT$8),1,1),$8:$8,"&lt;="&amp;EOMONTH(BT$8,0))/SUMIFS(14:14,$8:$8,"&gt;="&amp;DATE(YEAR(BT$8)-1,1,1),$8:$8,"&lt;="&amp;EOMONTH(BT$8,-12))-1</f>
        <v/>
      </c>
      <c r="BU17" s="1318">
        <f>SUMIFS(14:14,$8:$8,"&gt;="&amp;DATE(YEAR(BU$8),1,1),$8:$8,"&lt;="&amp;EOMONTH(BU$8,0))/SUMIFS(14:14,$8:$8,"&gt;="&amp;DATE(YEAR(BU$8)-1,1,1),$8:$8,"&lt;="&amp;EOMONTH(BU$8,-12))-1</f>
        <v/>
      </c>
      <c r="BV17" s="1318">
        <f>SUMIFS(14:14,$8:$8,"&gt;="&amp;DATE(YEAR(BV$8),1,1),$8:$8,"&lt;="&amp;EOMONTH(BV$8,0))/SUMIFS(14:14,$8:$8,"&gt;="&amp;DATE(YEAR(BV$8)-1,1,1),$8:$8,"&lt;="&amp;EOMONTH(BV$8,-12))-1</f>
        <v/>
      </c>
      <c r="BW17" s="1318">
        <f>SUMIFS(14:14,$8:$8,"&gt;="&amp;DATE(YEAR(BW$8),1,1),$8:$8,"&lt;="&amp;EOMONTH(BW$8,0))/SUMIFS(14:14,$8:$8,"&gt;="&amp;DATE(YEAR(BW$8)-1,1,1),$8:$8,"&lt;="&amp;EOMONTH(BW$8,-12))-1</f>
        <v/>
      </c>
      <c r="BX17" s="1318">
        <f>SUMIFS(14:14,$8:$8,"&gt;="&amp;DATE(YEAR(BX$8),1,1),$8:$8,"&lt;="&amp;EOMONTH(BX$8,0))/SUMIFS(14:14,$8:$8,"&gt;="&amp;DATE(YEAR(BX$8)-1,1,1),$8:$8,"&lt;="&amp;EOMONTH(BX$8,-12))-1</f>
        <v/>
      </c>
      <c r="BY17" s="1318">
        <f>SUMIFS(14:14,$8:$8,"&gt;="&amp;DATE(YEAR(BY$8),1,1),$8:$8,"&lt;="&amp;EOMONTH(BY$8,0))/SUMIFS(14:14,$8:$8,"&gt;="&amp;DATE(YEAR(BY$8)-1,1,1),$8:$8,"&lt;="&amp;EOMONTH(BY$8,-12))-1</f>
        <v/>
      </c>
      <c r="BZ17" s="1318">
        <f>SUMIFS(14:14,$8:$8,"&gt;="&amp;DATE(YEAR(BZ$8),1,1),$8:$8,"&lt;="&amp;EOMONTH(BZ$8,0))/SUMIFS(14:14,$8:$8,"&gt;="&amp;DATE(YEAR(BZ$8)-1,1,1),$8:$8,"&lt;="&amp;EOMONTH(BZ$8,-12))-1</f>
        <v/>
      </c>
      <c r="CA17" s="1318">
        <f>SUMIFS(14:14,$8:$8,"&gt;="&amp;DATE(YEAR(CA$8),1,1),$8:$8,"&lt;="&amp;EOMONTH(CA$8,0))/SUMIFS(14:14,$8:$8,"&gt;="&amp;DATE(YEAR(CA$8)-1,1,1),$8:$8,"&lt;="&amp;EOMONTH(CA$8,-12))-1</f>
        <v/>
      </c>
      <c r="CB17" s="1318">
        <f>SUMIFS(14:14,$8:$8,"&gt;="&amp;DATE(YEAR(CB$8),1,1),$8:$8,"&lt;="&amp;EOMONTH(CB$8,0))/SUMIFS(14:14,$8:$8,"&gt;="&amp;DATE(YEAR(CB$8)-1,1,1),$8:$8,"&lt;="&amp;EOMONTH(CB$8,-12))-1</f>
        <v/>
      </c>
      <c r="CC17" s="1318">
        <f>SUMIFS(14:14,$8:$8,"&gt;="&amp;DATE(YEAR(CC$8),1,1),$8:$8,"&lt;="&amp;EOMONTH(CC$8,0))/SUMIFS(14:14,$8:$8,"&gt;="&amp;DATE(YEAR(CC$8)-1,1,1),$8:$8,"&lt;="&amp;EOMONTH(CC$8,-12))-1</f>
        <v/>
      </c>
      <c r="CD17" s="1318">
        <f>SUMIFS(14:14,$8:$8,"&gt;="&amp;DATE(YEAR(CD$8),1,1),$8:$8,"&lt;="&amp;EOMONTH(CD$8,0))/SUMIFS(14:14,$8:$8,"&gt;="&amp;DATE(YEAR(CD$8)-1,1,1),$8:$8,"&lt;="&amp;EOMONTH(CD$8,-12))-1</f>
        <v/>
      </c>
      <c r="CE17" s="1318">
        <f>SUMIFS(14:14,$8:$8,"&gt;="&amp;DATE(YEAR(CE$8),1,1),$8:$8,"&lt;="&amp;EOMONTH(CE$8,0))/SUMIFS(14:14,$8:$8,"&gt;="&amp;DATE(YEAR(CE$8)-1,1,1),$8:$8,"&lt;="&amp;EOMONTH(CE$8,-12))-1</f>
        <v/>
      </c>
      <c r="CF17" s="1318">
        <f>SUMIFS(14:14,$8:$8,"&gt;="&amp;DATE(YEAR(CF$8),1,1),$8:$8,"&lt;="&amp;EOMONTH(CF$8,0))/SUMIFS(14:14,$8:$8,"&gt;="&amp;DATE(YEAR(CF$8)-1,1,1),$8:$8,"&lt;="&amp;EOMONTH(CF$8,-12))-1</f>
        <v/>
      </c>
      <c r="CG17" s="1318">
        <f>SUMIFS(14:14,$8:$8,"&gt;="&amp;DATE(YEAR(CG$8),1,1),$8:$8,"&lt;="&amp;EOMONTH(CG$8,0))/SUMIFS(14:14,$8:$8,"&gt;="&amp;DATE(YEAR(CG$8)-1,1,1),$8:$8,"&lt;="&amp;EOMONTH(CG$8,-12))-1</f>
        <v/>
      </c>
      <c r="CH17" s="1318">
        <f>SUMIFS(14:14,$8:$8,"&gt;="&amp;DATE(YEAR(CH$8),1,1),$8:$8,"&lt;="&amp;EOMONTH(CH$8,0))/SUMIFS(14:14,$8:$8,"&gt;="&amp;DATE(YEAR(CH$8)-1,1,1),$8:$8,"&lt;="&amp;EOMONTH(CH$8,-12))-1</f>
        <v/>
      </c>
      <c r="CI17" s="1318">
        <f>SUMIFS(14:14,$8:$8,"&gt;="&amp;DATE(YEAR(CI$8),1,1),$8:$8,"&lt;="&amp;EOMONTH(CI$8,0))/SUMIFS(14:14,$8:$8,"&gt;="&amp;DATE(YEAR(CI$8)-1,1,1),$8:$8,"&lt;="&amp;EOMONTH(CI$8,-12))-1</f>
        <v/>
      </c>
      <c r="CJ17" s="1318">
        <f>SUMIFS(14:14,$8:$8,"&gt;="&amp;DATE(YEAR(CJ$8),1,1),$8:$8,"&lt;="&amp;EOMONTH(CJ$8,0))/SUMIFS(14:14,$8:$8,"&gt;="&amp;DATE(YEAR(CJ$8)-1,1,1),$8:$8,"&lt;="&amp;EOMONTH(CJ$8,-12))-1</f>
        <v/>
      </c>
      <c r="CK17" s="1318">
        <f>SUMIFS(14:14,$8:$8,"&gt;="&amp;DATE(YEAR(CK$8),1,1),$8:$8,"&lt;="&amp;EOMONTH(CK$8,0))/SUMIFS(14:14,$8:$8,"&gt;="&amp;DATE(YEAR(CK$8)-1,1,1),$8:$8,"&lt;="&amp;EOMONTH(CK$8,-12))-1</f>
        <v/>
      </c>
      <c r="CL17" s="1318">
        <f>SUMIFS(14:14,$8:$8,"&gt;="&amp;DATE(YEAR(CL$8),1,1),$8:$8,"&lt;="&amp;EOMONTH(CL$8,0))/SUMIFS(14:14,$8:$8,"&gt;="&amp;DATE(YEAR(CL$8)-1,1,1),$8:$8,"&lt;="&amp;EOMONTH(CL$8,-12))-1</f>
        <v/>
      </c>
      <c r="CM17" s="1318">
        <f>SUMIFS(14:14,$8:$8,"&gt;="&amp;DATE(YEAR(CM$8),1,1),$8:$8,"&lt;="&amp;EOMONTH(CM$8,0))/SUMIFS(14:14,$8:$8,"&gt;="&amp;DATE(YEAR(CM$8)-1,1,1),$8:$8,"&lt;="&amp;EOMONTH(CM$8,-12))-1</f>
        <v/>
      </c>
      <c r="CN17" s="1318">
        <f>SUMIFS(14:14,$8:$8,"&gt;="&amp;DATE(YEAR(CN$8),1,1),$8:$8,"&lt;="&amp;EOMONTH(CN$8,0))/SUMIFS(14:14,$8:$8,"&gt;="&amp;DATE(YEAR(CN$8)-1,1,1),$8:$8,"&lt;="&amp;EOMONTH(CN$8,-12))-1</f>
        <v/>
      </c>
      <c r="CO17" s="1318">
        <f>SUMIFS(14:14,$8:$8,"&gt;="&amp;DATE(YEAR(CO$8),1,1),$8:$8,"&lt;="&amp;EOMONTH(CO$8,0))/SUMIFS(14:14,$8:$8,"&gt;="&amp;DATE(YEAR(CO$8)-1,1,1),$8:$8,"&lt;="&amp;EOMONTH(CO$8,-12))-1</f>
        <v/>
      </c>
      <c r="CP17" s="1318">
        <f>SUMIFS(14:14,$8:$8,"&gt;="&amp;DATE(YEAR(CP$8),1,1),$8:$8,"&lt;="&amp;EOMONTH(CP$8,0))/SUMIFS(14:14,$8:$8,"&gt;="&amp;DATE(YEAR(CP$8)-1,1,1),$8:$8,"&lt;="&amp;EOMONTH(CP$8,-12))-1</f>
        <v/>
      </c>
      <c r="CQ17" s="1318">
        <f>SUMIFS(14:14,$8:$8,"&gt;="&amp;DATE(YEAR(CQ$8),1,1),$8:$8,"&lt;="&amp;EOMONTH(CQ$8,0))/SUMIFS(14:14,$8:$8,"&gt;="&amp;DATE(YEAR(CQ$8)-1,1,1),$8:$8,"&lt;="&amp;EOMONTH(CQ$8,-12))-1</f>
        <v/>
      </c>
      <c r="CR17" s="1318">
        <f>SUMIFS(14:14,$8:$8,"&gt;="&amp;DATE(YEAR(CR$8),1,1),$8:$8,"&lt;="&amp;EOMONTH(CR$8,0))/SUMIFS(14:14,$8:$8,"&gt;="&amp;DATE(YEAR(CR$8)-1,1,1),$8:$8,"&lt;="&amp;EOMONTH(CR$8,-12))-1</f>
        <v/>
      </c>
      <c r="CS17" s="1318">
        <f>SUMIFS(14:14,$8:$8,"&gt;="&amp;DATE(YEAR(CS$8),1,1),$8:$8,"&lt;="&amp;EOMONTH(CS$8,0))/SUMIFS(14:14,$8:$8,"&gt;="&amp;DATE(YEAR(CS$8)-1,1,1),$8:$8,"&lt;="&amp;EOMONTH(CS$8,-12))-1</f>
        <v/>
      </c>
      <c r="CT17" s="1318">
        <f>SUMIFS(14:14,$8:$8,"&gt;="&amp;DATE(YEAR(CT$8),1,1),$8:$8,"&lt;="&amp;EOMONTH(CT$8,0))/SUMIFS(14:14,$8:$8,"&gt;="&amp;DATE(YEAR(CT$8)-1,1,1),$8:$8,"&lt;="&amp;EOMONTH(CT$8,-12))-1</f>
        <v/>
      </c>
      <c r="CU17" s="1318">
        <f>SUMIFS(14:14,$8:$8,"&gt;="&amp;DATE(YEAR(CU$8),1,1),$8:$8,"&lt;="&amp;EOMONTH(CU$8,0))/SUMIFS(14:14,$8:$8,"&gt;="&amp;DATE(YEAR(CU$8)-1,1,1),$8:$8,"&lt;="&amp;EOMONTH(CU$8,-12))-1</f>
        <v/>
      </c>
      <c r="CV17" s="1318">
        <f>SUMIFS(14:14,$8:$8,"&gt;="&amp;DATE(YEAR(CV$8),1,1),$8:$8,"&lt;="&amp;EOMONTH(CV$8,0))/SUMIFS(14:14,$8:$8,"&gt;="&amp;DATE(YEAR(CV$8)-1,1,1),$8:$8,"&lt;="&amp;EOMONTH(CV$8,-12))-1</f>
        <v/>
      </c>
      <c r="CW17" s="1318">
        <f>SUMIFS(14:14,$8:$8,"&gt;="&amp;DATE(YEAR(CW$8),1,1),$8:$8,"&lt;="&amp;EOMONTH(CW$8,0))/SUMIFS(14:14,$8:$8,"&gt;="&amp;DATE(YEAR(CW$8)-1,1,1),$8:$8,"&lt;="&amp;EOMONTH(CW$8,-12))-1</f>
        <v/>
      </c>
      <c r="CX17" s="1318">
        <f>SUMIFS(14:14,$8:$8,"&gt;="&amp;DATE(YEAR(CX$8),1,1),$8:$8,"&lt;="&amp;EOMONTH(CX$8,0))/SUMIFS(14:14,$8:$8,"&gt;="&amp;DATE(YEAR(CX$8)-1,1,1),$8:$8,"&lt;="&amp;EOMONTH(CX$8,-12))-1</f>
        <v/>
      </c>
      <c r="CY17" s="1318">
        <f>SUMIFS(14:14,$8:$8,"&gt;="&amp;DATE(YEAR(CY$8),1,1),$8:$8,"&lt;="&amp;EOMONTH(CY$8,0))/SUMIFS(14:14,$8:$8,"&gt;="&amp;DATE(YEAR(CY$8)-1,1,1),$8:$8,"&lt;="&amp;EOMONTH(CY$8,-12))-1</f>
        <v/>
      </c>
      <c r="CZ17" s="1318">
        <f>SUMIFS(14:14,$8:$8,"&gt;="&amp;DATE(YEAR(CZ$8),1,1),$8:$8,"&lt;="&amp;EOMONTH(CZ$8,0))/SUMIFS(14:14,$8:$8,"&gt;="&amp;DATE(YEAR(CZ$8)-1,1,1),$8:$8,"&lt;="&amp;EOMONTH(CZ$8,-12))-1</f>
        <v/>
      </c>
      <c r="DA17" s="1318">
        <f>SUMIFS(14:14,$8:$8,"&gt;="&amp;DATE(YEAR(DA$8),1,1),$8:$8,"&lt;="&amp;EOMONTH(DA$8,0))/SUMIFS(14:14,$8:$8,"&gt;="&amp;DATE(YEAR(DA$8)-1,1,1),$8:$8,"&lt;="&amp;EOMONTH(DA$8,-12))-1</f>
        <v/>
      </c>
      <c r="DB17" s="1318">
        <f>SUMIFS(14:14,$8:$8,"&gt;="&amp;DATE(YEAR(DB$8),1,1),$8:$8,"&lt;="&amp;EOMONTH(DB$8,0))/SUMIFS(14:14,$8:$8,"&gt;="&amp;DATE(YEAR(DB$8)-1,1,1),$8:$8,"&lt;="&amp;EOMONTH(DB$8,-12))-1</f>
        <v/>
      </c>
      <c r="DC17" s="1318">
        <f>SUMIFS(14:14,$8:$8,"&gt;="&amp;DATE(YEAR(DC$8),1,1),$8:$8,"&lt;="&amp;EOMONTH(DC$8,0))/SUMIFS(14:14,$8:$8,"&gt;="&amp;DATE(YEAR(DC$8)-1,1,1),$8:$8,"&lt;="&amp;EOMONTH(DC$8,-12))-1</f>
        <v/>
      </c>
      <c r="DD17" s="1318">
        <f>SUMIFS(14:14,$8:$8,"&gt;="&amp;DATE(YEAR(DD$8),1,1),$8:$8,"&lt;="&amp;EOMONTH(DD$8,0))/SUMIFS(14:14,$8:$8,"&gt;="&amp;DATE(YEAR(DD$8)-1,1,1),$8:$8,"&lt;="&amp;EOMONTH(DD$8,-12))-1</f>
        <v/>
      </c>
      <c r="DE17" s="1318">
        <f>SUMIFS(14:14,$8:$8,"&gt;="&amp;DATE(YEAR(DE$8),1,1),$8:$8,"&lt;="&amp;EOMONTH(DE$8,0))/SUMIFS(14:14,$8:$8,"&gt;="&amp;DATE(YEAR(DE$8)-1,1,1),$8:$8,"&lt;="&amp;EOMONTH(DE$8,-12))-1</f>
        <v/>
      </c>
      <c r="DF17" s="1318">
        <f>SUMIFS(14:14,$8:$8,"&gt;="&amp;DATE(YEAR(DF$8),1,1),$8:$8,"&lt;="&amp;EOMONTH(DF$8,0))/SUMIFS(14:14,$8:$8,"&gt;="&amp;DATE(YEAR(DF$8)-1,1,1),$8:$8,"&lt;="&amp;EOMONTH(DF$8,-12))-1</f>
        <v/>
      </c>
      <c r="DG17" s="1318">
        <f>SUMIFS(14:14,$8:$8,"&gt;="&amp;DATE(YEAR(DG$8),1,1),$8:$8,"&lt;="&amp;EOMONTH(DG$8,0))/SUMIFS(14:14,$8:$8,"&gt;="&amp;DATE(YEAR(DG$8)-1,1,1),$8:$8,"&lt;="&amp;EOMONTH(DG$8,-12))-1</f>
        <v/>
      </c>
      <c r="DH17" s="1318">
        <f>SUMIFS(14:14,$8:$8,"&gt;="&amp;DATE(YEAR(DH$8),1,1),$8:$8,"&lt;="&amp;EOMONTH(DH$8,0))/SUMIFS(14:14,$8:$8,"&gt;="&amp;DATE(YEAR(DH$8)-1,1,1),$8:$8,"&lt;="&amp;EOMONTH(DH$8,-12))-1</f>
        <v/>
      </c>
      <c r="DI17" s="1318">
        <f>SUMIFS(14:14,$8:$8,"&gt;="&amp;DATE(YEAR(DI$8),1,1),$8:$8,"&lt;="&amp;EOMONTH(DI$8,0))/SUMIFS(14:14,$8:$8,"&gt;="&amp;DATE(YEAR(DI$8)-1,1,1),$8:$8,"&lt;="&amp;EOMONTH(DI$8,-12))-1</f>
        <v/>
      </c>
      <c r="DJ17" s="1318">
        <f>SUMIFS(14:14,$8:$8,"&gt;="&amp;DATE(YEAR(DJ$8),1,1),$8:$8,"&lt;="&amp;EOMONTH(DJ$8,0))/SUMIFS(14:14,$8:$8,"&gt;="&amp;DATE(YEAR(DJ$8)-1,1,1),$8:$8,"&lt;="&amp;EOMONTH(DJ$8,-12))-1</f>
        <v/>
      </c>
      <c r="DK17" s="1318">
        <f>SUMIFS(14:14,$8:$8,"&gt;="&amp;DATE(YEAR(DK$8),1,1),$8:$8,"&lt;="&amp;EOMONTH(DK$8,0))/SUMIFS(14:14,$8:$8,"&gt;="&amp;DATE(YEAR(DK$8)-1,1,1),$8:$8,"&lt;="&amp;EOMONTH(DK$8,-12))-1</f>
        <v/>
      </c>
      <c r="DL17" s="1318">
        <f>SUMIFS(14:14,$8:$8,"&gt;="&amp;DATE(YEAR(DL$8),1,1),$8:$8,"&lt;="&amp;EOMONTH(DL$8,0))/SUMIFS(14:14,$8:$8,"&gt;="&amp;DATE(YEAR(DL$8)-1,1,1),$8:$8,"&lt;="&amp;EOMONTH(DL$8,-12))-1</f>
        <v/>
      </c>
      <c r="DM17" s="1318">
        <f>SUMIFS(14:14,$8:$8,"&gt;="&amp;DATE(YEAR(DM$8),1,1),$8:$8,"&lt;="&amp;EOMONTH(DM$8,0))/SUMIFS(14:14,$8:$8,"&gt;="&amp;DATE(YEAR(DM$8)-1,1,1),$8:$8,"&lt;="&amp;EOMONTH(DM$8,-12))-1</f>
        <v/>
      </c>
      <c r="DN17" s="1318">
        <f>SUMIFS(14:14,$8:$8,"&gt;="&amp;DATE(YEAR(DN$8),1,1),$8:$8,"&lt;="&amp;EOMONTH(DN$8,0))/SUMIFS(14:14,$8:$8,"&gt;="&amp;DATE(YEAR(DN$8)-1,1,1),$8:$8,"&lt;="&amp;EOMONTH(DN$8,-12))-1</f>
        <v/>
      </c>
      <c r="DO17" s="1318">
        <f>SUMIFS(14:14,$8:$8,"&gt;="&amp;DATE(YEAR(DO$8),1,1),$8:$8,"&lt;="&amp;EOMONTH(DO$8,0))/SUMIFS(14:14,$8:$8,"&gt;="&amp;DATE(YEAR(DO$8)-1,1,1),$8:$8,"&lt;="&amp;EOMONTH(DO$8,-12))-1</f>
        <v/>
      </c>
      <c r="DP17" s="1318">
        <f>SUMIFS(14:14,$8:$8,"&gt;="&amp;DATE(YEAR(DP$8),1,1),$8:$8,"&lt;="&amp;EOMONTH(DP$8,0))/SUMIFS(14:14,$8:$8,"&gt;="&amp;DATE(YEAR(DP$8)-1,1,1),$8:$8,"&lt;="&amp;EOMONTH(DP$8,-12))-1</f>
        <v/>
      </c>
      <c r="DQ17" s="1318">
        <f>SUMIFS(14:14,$8:$8,"&gt;="&amp;DATE(YEAR(DQ$8),1,1),$8:$8,"&lt;="&amp;EOMONTH(DQ$8,0))/SUMIFS(14:14,$8:$8,"&gt;="&amp;DATE(YEAR(DQ$8)-1,1,1),$8:$8,"&lt;="&amp;EOMONTH(DQ$8,-12))-1</f>
        <v/>
      </c>
      <c r="DR17" s="1318">
        <f>SUMIFS(14:14,$8:$8,"&gt;="&amp;DATE(YEAR(DR$8),1,1),$8:$8,"&lt;="&amp;EOMONTH(DR$8,0))/SUMIFS(14:14,$8:$8,"&gt;="&amp;DATE(YEAR(DR$8)-1,1,1),$8:$8,"&lt;="&amp;EOMONTH(DR$8,-12))-1</f>
        <v/>
      </c>
      <c r="DS17" s="1318">
        <f>SUMIFS(14:14,$8:$8,"&gt;="&amp;DATE(YEAR(DS$8),1,1),$8:$8,"&lt;="&amp;EOMONTH(DS$8,0))/SUMIFS(14:14,$8:$8,"&gt;="&amp;DATE(YEAR(DS$8)-1,1,1),$8:$8,"&lt;="&amp;EOMONTH(DS$8,-12))-1</f>
        <v/>
      </c>
      <c r="DT17" s="1318">
        <f>SUMIFS(14:14,$8:$8,"&gt;="&amp;DATE(YEAR(DT$8),1,1),$8:$8,"&lt;="&amp;EOMONTH(DT$8,0))/SUMIFS(14:14,$8:$8,"&gt;="&amp;DATE(YEAR(DT$8)-1,1,1),$8:$8,"&lt;="&amp;EOMONTH(DT$8,-12))-1</f>
        <v/>
      </c>
      <c r="DU17" s="1318">
        <f>SUMIFS(14:14,$8:$8,"&gt;="&amp;DATE(YEAR(DU$8),1,1),$8:$8,"&lt;="&amp;EOMONTH(DU$8,0))/SUMIFS(14:14,$8:$8,"&gt;="&amp;DATE(YEAR(DU$8)-1,1,1),$8:$8,"&lt;="&amp;EOMONTH(DU$8,-12))-1</f>
        <v/>
      </c>
      <c r="DV17" s="1318">
        <f>SUMIFS(14:14,$8:$8,"&gt;="&amp;DATE(YEAR(DV$8),1,1),$8:$8,"&lt;="&amp;EOMONTH(DV$8,0))/SUMIFS(14:14,$8:$8,"&gt;="&amp;DATE(YEAR(DV$8)-1,1,1),$8:$8,"&lt;="&amp;EOMONTH(DV$8,-12))-1</f>
        <v/>
      </c>
      <c r="DW17" s="1318">
        <f>SUMIFS(14:14,$8:$8,"&gt;="&amp;DATE(YEAR(DW$8),1,1),$8:$8,"&lt;="&amp;EOMONTH(DW$8,0))/SUMIFS(14:14,$8:$8,"&gt;="&amp;DATE(YEAR(DW$8)-1,1,1),$8:$8,"&lt;="&amp;EOMONTH(DW$8,-12))-1</f>
        <v/>
      </c>
      <c r="DX17" s="1318">
        <f>SUMIFS(14:14,$8:$8,"&gt;="&amp;DATE(YEAR(DX$8),1,1),$8:$8,"&lt;="&amp;EOMONTH(DX$8,0))/SUMIFS(14:14,$8:$8,"&gt;="&amp;DATE(YEAR(DX$8)-1,1,1),$8:$8,"&lt;="&amp;EOMONTH(DX$8,-12))-1</f>
        <v/>
      </c>
      <c r="DY17" s="1318">
        <f>SUMIFS(14:14,$8:$8,"&gt;="&amp;DATE(YEAR(DY$8),1,1),$8:$8,"&lt;="&amp;EOMONTH(DY$8,0))/SUMIFS(14:14,$8:$8,"&gt;="&amp;DATE(YEAR(DY$8)-1,1,1),$8:$8,"&lt;="&amp;EOMONTH(DY$8,-12))-1</f>
        <v/>
      </c>
      <c r="DZ17" s="1318">
        <f>SUMIFS(14:14,$8:$8,"&gt;="&amp;DATE(YEAR(DZ$8),1,1),$8:$8,"&lt;="&amp;EOMONTH(DZ$8,0))/SUMIFS(14:14,$8:$8,"&gt;="&amp;DATE(YEAR(DZ$8)-1,1,1),$8:$8,"&lt;="&amp;EOMONTH(DZ$8,-12))-1</f>
        <v/>
      </c>
      <c r="EA17" s="1318">
        <f>SUMIFS(14:14,$8:$8,"&gt;="&amp;DATE(YEAR(EA$8),1,1),$8:$8,"&lt;="&amp;EOMONTH(EA$8,0))/SUMIFS(14:14,$8:$8,"&gt;="&amp;DATE(YEAR(EA$8)-1,1,1),$8:$8,"&lt;="&amp;EOMONTH(EA$8,-12))-1</f>
        <v/>
      </c>
      <c r="EB17" s="1318">
        <f>SUMIFS(14:14,$8:$8,"&gt;="&amp;DATE(YEAR(EB$8),1,1),$8:$8,"&lt;="&amp;EOMONTH(EB$8,0))/SUMIFS(14:14,$8:$8,"&gt;="&amp;DATE(YEAR(EB$8)-1,1,1),$8:$8,"&lt;="&amp;EOMONTH(EB$8,-12))-1</f>
        <v/>
      </c>
      <c r="EC17" s="1318">
        <f>SUMIFS(14:14,$8:$8,"&gt;="&amp;DATE(YEAR(EC$8),1,1),$8:$8,"&lt;="&amp;EOMONTH(EC$8,0))/SUMIFS(14:14,$8:$8,"&gt;="&amp;DATE(YEAR(EC$8)-1,1,1),$8:$8,"&lt;="&amp;EOMONTH(EC$8,-12))-1</f>
        <v/>
      </c>
      <c r="ED17" s="1318">
        <f>SUMIFS(14:14,$8:$8,"&gt;="&amp;DATE(YEAR(ED$8),1,1),$8:$8,"&lt;="&amp;EOMONTH(ED$8,0))/SUMIFS(14:14,$8:$8,"&gt;="&amp;DATE(YEAR(ED$8)-1,1,1),$8:$8,"&lt;="&amp;EOMONTH(ED$8,-12))-1</f>
        <v/>
      </c>
      <c r="EE17" s="1318">
        <f>SUMIFS(14:14,$8:$8,"&gt;="&amp;DATE(YEAR(EE$8),1,1),$8:$8,"&lt;="&amp;EOMONTH(EE$8,0))/SUMIFS(14:14,$8:$8,"&gt;="&amp;DATE(YEAR(EE$8)-1,1,1),$8:$8,"&lt;="&amp;EOMONTH(EE$8,-12))-1</f>
        <v/>
      </c>
      <c r="EF17" s="1318">
        <f>SUMIFS(14:14,$8:$8,"&gt;="&amp;DATE(YEAR(EF$8),1,1),$8:$8,"&lt;="&amp;EOMONTH(EF$8,0))/SUMIFS(14:14,$8:$8,"&gt;="&amp;DATE(YEAR(EF$8)-1,1,1),$8:$8,"&lt;="&amp;EOMONTH(EF$8,-12))-1</f>
        <v/>
      </c>
      <c r="EG17" s="1318">
        <f>SUMIFS(14:14,$8:$8,"&gt;="&amp;DATE(YEAR(EG$8),1,1),$8:$8,"&lt;="&amp;EOMONTH(EG$8,0))/SUMIFS(14:14,$8:$8,"&gt;="&amp;DATE(YEAR(EG$8)-1,1,1),$8:$8,"&lt;="&amp;EOMONTH(EG$8,-12))-1</f>
        <v/>
      </c>
      <c r="EH17" s="1318">
        <f>SUMIFS(14:14,$8:$8,"&gt;="&amp;DATE(YEAR(EH$8),1,1),$8:$8,"&lt;="&amp;EOMONTH(EH$8,0))/SUMIFS(14:14,$8:$8,"&gt;="&amp;DATE(YEAR(EH$8)-1,1,1),$8:$8,"&lt;="&amp;EOMONTH(EH$8,-12))-1</f>
        <v/>
      </c>
      <c r="EI17" s="1318">
        <f>SUMIFS(14:14,$8:$8,"&gt;="&amp;DATE(YEAR(EI$8),1,1),$8:$8,"&lt;="&amp;EOMONTH(EI$8,0))/SUMIFS(14:14,$8:$8,"&gt;="&amp;DATE(YEAR(EI$8)-1,1,1),$8:$8,"&lt;="&amp;EOMONTH(EI$8,-12))-1</f>
        <v/>
      </c>
      <c r="EJ17" s="1318">
        <f>SUMIFS(14:14,$8:$8,"&gt;="&amp;DATE(YEAR(EJ$8),1,1),$8:$8,"&lt;="&amp;EOMONTH(EJ$8,0))/SUMIFS(14:14,$8:$8,"&gt;="&amp;DATE(YEAR(EJ$8)-1,1,1),$8:$8,"&lt;="&amp;EOMONTH(EJ$8,-12))-1</f>
        <v/>
      </c>
      <c r="EK17" s="1318">
        <f>SUMIFS(14:14,$8:$8,"&gt;="&amp;DATE(YEAR(EK$8),1,1),$8:$8,"&lt;="&amp;EOMONTH(EK$8,0))/SUMIFS(14:14,$8:$8,"&gt;="&amp;DATE(YEAR(EK$8)-1,1,1),$8:$8,"&lt;="&amp;EOMONTH(EK$8,-12))-1</f>
        <v/>
      </c>
      <c r="EL17" s="1318">
        <f>SUMIFS(14:14,$8:$8,"&gt;="&amp;DATE(YEAR(EL$8),1,1),$8:$8,"&lt;="&amp;EOMONTH(EL$8,0))/SUMIFS(14:14,$8:$8,"&gt;="&amp;DATE(YEAR(EL$8)-1,1,1),$8:$8,"&lt;="&amp;EOMONTH(EL$8,-12))-1</f>
        <v/>
      </c>
      <c r="EM17" s="1318">
        <f>SUMIFS(14:14,$8:$8,"&gt;="&amp;DATE(YEAR(EM$8),1,1),$8:$8,"&lt;="&amp;EOMONTH(EM$8,0))/SUMIFS(14:14,$8:$8,"&gt;="&amp;DATE(YEAR(EM$8)-1,1,1),$8:$8,"&lt;="&amp;EOMONTH(EM$8,-12))-1</f>
        <v/>
      </c>
      <c r="EN17" s="1318">
        <f>SUMIFS(14:14,$8:$8,"&gt;="&amp;DATE(YEAR(EN$8),1,1),$8:$8,"&lt;="&amp;EOMONTH(EN$8,0))/SUMIFS(14:14,$8:$8,"&gt;="&amp;DATE(YEAR(EN$8)-1,1,1),$8:$8,"&lt;="&amp;EOMONTH(EN$8,-12))-1</f>
        <v/>
      </c>
      <c r="EO17" s="1318">
        <f>SUMIFS(14:14,$8:$8,"&gt;="&amp;DATE(YEAR(EO$8),1,1),$8:$8,"&lt;="&amp;EOMONTH(EO$8,0))/SUMIFS(14:14,$8:$8,"&gt;="&amp;DATE(YEAR(EO$8)-1,1,1),$8:$8,"&lt;="&amp;EOMONTH(EO$8,-12))-1</f>
        <v/>
      </c>
      <c r="EP17" s="1318">
        <f>SUMIFS(14:14,$8:$8,"&gt;="&amp;DATE(YEAR(EP$8),1,1),$8:$8,"&lt;="&amp;EOMONTH(EP$8,0))/SUMIFS(14:14,$8:$8,"&gt;="&amp;DATE(YEAR(EP$8)-1,1,1),$8:$8,"&lt;="&amp;EOMONTH(EP$8,-12))-1</f>
        <v/>
      </c>
      <c r="EQ17" s="1318">
        <f>SUMIFS(14:14,$8:$8,"&gt;="&amp;DATE(YEAR(EQ$8),1,1),$8:$8,"&lt;="&amp;EOMONTH(EQ$8,0))/SUMIFS(14:14,$8:$8,"&gt;="&amp;DATE(YEAR(EQ$8)-1,1,1),$8:$8,"&lt;="&amp;EOMONTH(EQ$8,-12))-1</f>
        <v/>
      </c>
      <c r="ER17" s="1318">
        <f>SUMIFS(14:14,$8:$8,"&gt;="&amp;DATE(YEAR(ER$8),1,1),$8:$8,"&lt;="&amp;EOMONTH(ER$8,0))/SUMIFS(14:14,$8:$8,"&gt;="&amp;DATE(YEAR(ER$8)-1,1,1),$8:$8,"&lt;="&amp;EOMONTH(ER$8,-12))-1</f>
        <v/>
      </c>
      <c r="ES17" s="1318">
        <f>SUMIFS(14:14,$8:$8,"&gt;="&amp;DATE(YEAR(ES$8),1,1),$8:$8,"&lt;="&amp;EOMONTH(ES$8,0))/SUMIFS(14:14,$8:$8,"&gt;="&amp;DATE(YEAR(ES$8)-1,1,1),$8:$8,"&lt;="&amp;EOMONTH(ES$8,-12))-1</f>
        <v/>
      </c>
      <c r="ET17" s="1318">
        <f>SUMIFS(14:14,$8:$8,"&gt;="&amp;DATE(YEAR(ET$8),1,1),$8:$8,"&lt;="&amp;EOMONTH(ET$8,0))/SUMIFS(14:14,$8:$8,"&gt;="&amp;DATE(YEAR(ET$8)-1,1,1),$8:$8,"&lt;="&amp;EOMONTH(ET$8,-12))-1</f>
        <v/>
      </c>
      <c r="EU17" s="1318">
        <f>SUMIFS(14:14,$8:$8,"&gt;="&amp;DATE(YEAR(EU$8),1,1),$8:$8,"&lt;="&amp;EOMONTH(EU$8,0))/SUMIFS(14:14,$8:$8,"&gt;="&amp;DATE(YEAR(EU$8)-1,1,1),$8:$8,"&lt;="&amp;EOMONTH(EU$8,-12))-1</f>
        <v/>
      </c>
      <c r="EV17" s="1318">
        <f>SUMIFS(14:14,$8:$8,"&gt;="&amp;DATE(YEAR(EV$8),1,1),$8:$8,"&lt;="&amp;EOMONTH(EV$8,0))/SUMIFS(14:14,$8:$8,"&gt;="&amp;DATE(YEAR(EV$8)-1,1,1),$8:$8,"&lt;="&amp;EOMONTH(EV$8,-12))-1</f>
        <v/>
      </c>
      <c r="EW17" s="1318">
        <f>SUMIFS(14:14,$8:$8,"&gt;="&amp;DATE(YEAR(EW$8),1,1),$8:$8,"&lt;="&amp;EOMONTH(EW$8,0))/SUMIFS(14:14,$8:$8,"&gt;="&amp;DATE(YEAR(EW$8)-1,1,1),$8:$8,"&lt;="&amp;EOMONTH(EW$8,-12))-1</f>
        <v/>
      </c>
      <c r="EX17" s="1318">
        <f>SUMIFS(14:14,$8:$8,"&gt;="&amp;DATE(YEAR(EX$8),1,1),$8:$8,"&lt;="&amp;EOMONTH(EX$8,0))/SUMIFS(14:14,$8:$8,"&gt;="&amp;DATE(YEAR(EX$8)-1,1,1),$8:$8,"&lt;="&amp;EOMONTH(EX$8,-12))-1</f>
        <v/>
      </c>
      <c r="EY17" s="1318">
        <f>SUMIFS(14:14,$8:$8,"&gt;="&amp;DATE(YEAR(EY$8),1,1),$8:$8,"&lt;="&amp;EOMONTH(EY$8,0))/SUMIFS(14:14,$8:$8,"&gt;="&amp;DATE(YEAR(EY$8)-1,1,1),$8:$8,"&lt;="&amp;EOMONTH(EY$8,-12))-1</f>
        <v/>
      </c>
      <c r="EZ17" s="1318">
        <f>SUMIFS(14:14,$8:$8,"&gt;="&amp;DATE(YEAR(EZ$8),1,1),$8:$8,"&lt;="&amp;EOMONTH(EZ$8,0))/SUMIFS(14:14,$8:$8,"&gt;="&amp;DATE(YEAR(EZ$8)-1,1,1),$8:$8,"&lt;="&amp;EOMONTH(EZ$8,-12))-1</f>
        <v/>
      </c>
      <c r="FA17" s="1318">
        <f>SUMIFS(14:14,$8:$8,"&gt;="&amp;DATE(YEAR(FA$8),1,1),$8:$8,"&lt;="&amp;EOMONTH(FA$8,0))/SUMIFS(14:14,$8:$8,"&gt;="&amp;DATE(YEAR(FA$8)-1,1,1),$8:$8,"&lt;="&amp;EOMONTH(FA$8,-12))-1</f>
        <v/>
      </c>
      <c r="FB17" s="1318">
        <f>SUMIFS(14:14,$8:$8,"&gt;="&amp;DATE(YEAR(FB$8),1,1),$8:$8,"&lt;="&amp;EOMONTH(FB$8,0))/SUMIFS(14:14,$8:$8,"&gt;="&amp;DATE(YEAR(FB$8)-1,1,1),$8:$8,"&lt;="&amp;EOMONTH(FB$8,-12))-1</f>
        <v/>
      </c>
      <c r="FC17" s="1318">
        <f>SUMIFS(14:14,$8:$8,"&gt;="&amp;DATE(YEAR(FC$8),1,1),$8:$8,"&lt;="&amp;EOMONTH(FC$8,0))/SUMIFS(14:14,$8:$8,"&gt;="&amp;DATE(YEAR(FC$8)-1,1,1),$8:$8,"&lt;="&amp;EOMONTH(FC$8,-12))-1</f>
        <v/>
      </c>
      <c r="FD17" s="1318">
        <f>SUMIFS(14:14,$8:$8,"&gt;="&amp;DATE(YEAR(FD$8),1,1),$8:$8,"&lt;="&amp;EOMONTH(FD$8,0))/SUMIFS(14:14,$8:$8,"&gt;="&amp;DATE(YEAR(FD$8)-1,1,1),$8:$8,"&lt;="&amp;EOMONTH(FD$8,-12))-1</f>
        <v/>
      </c>
      <c r="FE17" s="1318">
        <f>SUMIFS(14:14,$8:$8,"&gt;="&amp;DATE(YEAR(FE$8),1,1),$8:$8,"&lt;="&amp;EOMONTH(FE$8,0))/SUMIFS(14:14,$8:$8,"&gt;="&amp;DATE(YEAR(FE$8)-1,1,1),$8:$8,"&lt;="&amp;EOMONTH(FE$8,-12))-1</f>
        <v/>
      </c>
      <c r="FF17" s="1318">
        <f>SUMIFS(14:14,$8:$8,"&gt;="&amp;DATE(YEAR(FF$8),1,1),$8:$8,"&lt;="&amp;EOMONTH(FF$8,0))/SUMIFS(14:14,$8:$8,"&gt;="&amp;DATE(YEAR(FF$8)-1,1,1),$8:$8,"&lt;="&amp;EOMONTH(FF$8,-12))-1</f>
        <v/>
      </c>
      <c r="FG17" s="1318">
        <f>SUMIFS(14:14,$8:$8,"&gt;="&amp;DATE(YEAR(FG$8),1,1),$8:$8,"&lt;="&amp;EOMONTH(FG$8,0))/SUMIFS(14:14,$8:$8,"&gt;="&amp;DATE(YEAR(FG$8)-1,1,1),$8:$8,"&lt;="&amp;EOMONTH(FG$8,-12))-1</f>
        <v/>
      </c>
      <c r="FH17" s="1318">
        <f>SUMIFS(14:14,$8:$8,"&gt;="&amp;DATE(YEAR(FH$8),1,1),$8:$8,"&lt;="&amp;EOMONTH(FH$8,0))/SUMIFS(14:14,$8:$8,"&gt;="&amp;DATE(YEAR(FH$8)-1,1,1),$8:$8,"&lt;="&amp;EOMONTH(FH$8,-12))-1</f>
        <v/>
      </c>
      <c r="FI17" s="1318">
        <f>SUMIFS(14:14,$8:$8,"&gt;="&amp;DATE(YEAR(FI$8),1,1),$8:$8,"&lt;="&amp;EOMONTH(FI$8,0))/SUMIFS(14:14,$8:$8,"&gt;="&amp;DATE(YEAR(FI$8)-1,1,1),$8:$8,"&lt;="&amp;EOMONTH(FI$8,-12))-1</f>
        <v/>
      </c>
      <c r="FJ17" s="1318">
        <f>SUMIFS(14:14,$8:$8,"&gt;="&amp;DATE(YEAR(FJ$8),1,1),$8:$8,"&lt;="&amp;EOMONTH(FJ$8,0))/SUMIFS(14:14,$8:$8,"&gt;="&amp;DATE(YEAR(FJ$8)-1,1,1),$8:$8,"&lt;="&amp;EOMONTH(FJ$8,-12))-1</f>
        <v/>
      </c>
      <c r="FK17" s="1318">
        <f>SUMIFS(14:14,$8:$8,"&gt;="&amp;DATE(YEAR(FK$8),1,1),$8:$8,"&lt;="&amp;EOMONTH(FK$8,0))/SUMIFS(14:14,$8:$8,"&gt;="&amp;DATE(YEAR(FK$8)-1,1,1),$8:$8,"&lt;="&amp;EOMONTH(FK$8,-12))-1</f>
        <v/>
      </c>
      <c r="FL17" s="1318">
        <f>SUMIFS(14:14,$8:$8,"&gt;="&amp;DATE(YEAR(FL$8),1,1),$8:$8,"&lt;="&amp;EOMONTH(FL$8,0))/SUMIFS(14:14,$8:$8,"&gt;="&amp;DATE(YEAR(FL$8)-1,1,1),$8:$8,"&lt;="&amp;EOMONTH(FL$8,-12))-1</f>
        <v/>
      </c>
      <c r="FM17" s="1318">
        <f>SUMIFS(14:14,$8:$8,"&gt;="&amp;DATE(YEAR(FM$8),1,1),$8:$8,"&lt;="&amp;EOMONTH(FM$8,0))/SUMIFS(14:14,$8:$8,"&gt;="&amp;DATE(YEAR(FM$8)-1,1,1),$8:$8,"&lt;="&amp;EOMONTH(FM$8,-12))-1</f>
        <v/>
      </c>
      <c r="FN17" s="1318">
        <f>SUMIFS(14:14,$8:$8,"&gt;="&amp;DATE(YEAR(FN$8),1,1),$8:$8,"&lt;="&amp;EOMONTH(FN$8,0))/SUMIFS(14:14,$8:$8,"&gt;="&amp;DATE(YEAR(FN$8)-1,1,1),$8:$8,"&lt;="&amp;EOMONTH(FN$8,-12))-1</f>
        <v/>
      </c>
      <c r="FO17" s="1318">
        <f>SUMIFS(14:14,$8:$8,"&gt;="&amp;DATE(YEAR(FO$8),1,1),$8:$8,"&lt;="&amp;EOMONTH(FO$8,0))/SUMIFS(14:14,$8:$8,"&gt;="&amp;DATE(YEAR(FO$8)-1,1,1),$8:$8,"&lt;="&amp;EOMONTH(FO$8,-12))-1</f>
        <v/>
      </c>
      <c r="FP17" s="1318">
        <f>SUMIFS(14:14,$8:$8,"&gt;="&amp;DATE(YEAR(FP$8),1,1),$8:$8,"&lt;="&amp;EOMONTH(FP$8,0))/SUMIFS(14:14,$8:$8,"&gt;="&amp;DATE(YEAR(FP$8)-1,1,1),$8:$8,"&lt;="&amp;EOMONTH(FP$8,-12))-1</f>
        <v/>
      </c>
      <c r="FQ17" s="1318">
        <f>SUMIFS(14:14,$8:$8,"&gt;="&amp;DATE(YEAR(FQ$8),1,1),$8:$8,"&lt;="&amp;EOMONTH(FQ$8,0))/SUMIFS(14:14,$8:$8,"&gt;="&amp;DATE(YEAR(FQ$8)-1,1,1),$8:$8,"&lt;="&amp;EOMONTH(FQ$8,-12))-1</f>
        <v/>
      </c>
      <c r="FR17" s="1318">
        <f>SUMIFS(14:14,$8:$8,"&gt;="&amp;DATE(YEAR(FR$8),1,1),$8:$8,"&lt;="&amp;EOMONTH(FR$8,0))/SUMIFS(14:14,$8:$8,"&gt;="&amp;DATE(YEAR(FR$8)-1,1,1),$8:$8,"&lt;="&amp;EOMONTH(FR$8,-12))-1</f>
        <v/>
      </c>
      <c r="FS17" s="1318">
        <f>SUMIFS(14:14,$8:$8,"&gt;="&amp;DATE(YEAR(FS$8),1,1),$8:$8,"&lt;="&amp;EOMONTH(FS$8,0))/SUMIFS(14:14,$8:$8,"&gt;="&amp;DATE(YEAR(FS$8)-1,1,1),$8:$8,"&lt;="&amp;EOMONTH(FS$8,-12))-1</f>
        <v/>
      </c>
      <c r="FT17" s="1318">
        <f>SUMIFS(14:14,$8:$8,"&gt;="&amp;DATE(YEAR(FT$8),1,1),$8:$8,"&lt;="&amp;EOMONTH(FT$8,0))/SUMIFS(14:14,$8:$8,"&gt;="&amp;DATE(YEAR(FT$8)-1,1,1),$8:$8,"&lt;="&amp;EOMONTH(FT$8,-12))-1</f>
        <v/>
      </c>
      <c r="FU17" s="1318">
        <f>SUMIFS(14:14,$8:$8,"&gt;="&amp;DATE(YEAR(FU$8),1,1),$8:$8,"&lt;="&amp;EOMONTH(FU$8,0))/SUMIFS(14:14,$8:$8,"&gt;="&amp;DATE(YEAR(FU$8)-1,1,1),$8:$8,"&lt;="&amp;EOMONTH(FU$8,-12))-1</f>
        <v/>
      </c>
      <c r="FV17" s="1318">
        <f>SUMIFS(14:14,$8:$8,"&gt;="&amp;DATE(YEAR(FV$8),1,1),$8:$8,"&lt;="&amp;EOMONTH(FV$8,0))/SUMIFS(14:14,$8:$8,"&gt;="&amp;DATE(YEAR(FV$8)-1,1,1),$8:$8,"&lt;="&amp;EOMONTH(FV$8,-12))-1</f>
        <v/>
      </c>
      <c r="FW17" s="1318">
        <f>SUMIFS(14:14,$8:$8,"&gt;="&amp;DATE(YEAR(FW$8),1,1),$8:$8,"&lt;="&amp;EOMONTH(FW$8,0))/SUMIFS(14:14,$8:$8,"&gt;="&amp;DATE(YEAR(FW$8)-1,1,1),$8:$8,"&lt;="&amp;EOMONTH(FW$8,-12))-1</f>
        <v/>
      </c>
      <c r="FX17" s="1318">
        <f>SUMIFS(14:14,$8:$8,"&gt;="&amp;DATE(YEAR(FX$8),1,1),$8:$8,"&lt;="&amp;EOMONTH(FX$8,0))/SUMIFS(14:14,$8:$8,"&gt;="&amp;DATE(YEAR(FX$8)-1,1,1),$8:$8,"&lt;="&amp;EOMONTH(FX$8,-12))-1</f>
        <v/>
      </c>
      <c r="FY17" s="1318">
        <f>SUMIFS(14:14,$8:$8,"&gt;="&amp;DATE(YEAR(FY$8),1,1),$8:$8,"&lt;="&amp;EOMONTH(FY$8,0))/SUMIFS(14:14,$8:$8,"&gt;="&amp;DATE(YEAR(FY$8)-1,1,1),$8:$8,"&lt;="&amp;EOMONTH(FY$8,-12))-1</f>
        <v/>
      </c>
      <c r="FZ17" s="1318">
        <f>SUMIFS(14:14,$8:$8,"&gt;="&amp;DATE(YEAR(FZ$8),1,1),$8:$8,"&lt;="&amp;EOMONTH(FZ$8,0))/SUMIFS(14:14,$8:$8,"&gt;="&amp;DATE(YEAR(FZ$8)-1,1,1),$8:$8,"&lt;="&amp;EOMONTH(FZ$8,-12))-1</f>
        <v/>
      </c>
      <c r="GA17" s="1318">
        <f>SUMIFS(14:14,$8:$8,"&gt;="&amp;DATE(YEAR(GA$8),1,1),$8:$8,"&lt;="&amp;EOMONTH(GA$8,0))/SUMIFS(14:14,$8:$8,"&gt;="&amp;DATE(YEAR(GA$8)-1,1,1),$8:$8,"&lt;="&amp;EOMONTH(GA$8,-12))-1</f>
        <v/>
      </c>
      <c r="GB17" s="1318">
        <f>SUMIFS(14:14,$8:$8,"&gt;="&amp;DATE(YEAR(GB$8),1,1),$8:$8,"&lt;="&amp;EOMONTH(GB$8,0))/SUMIFS(14:14,$8:$8,"&gt;="&amp;DATE(YEAR(GB$8)-1,1,1),$8:$8,"&lt;="&amp;EOMONTH(GB$8,-12))-1</f>
        <v/>
      </c>
      <c r="GC17" s="1318">
        <f>SUMIFS(14:14,$8:$8,"&gt;="&amp;DATE(YEAR(GC$8),1,1),$8:$8,"&lt;="&amp;EOMONTH(GC$8,0))/SUMIFS(14:14,$8:$8,"&gt;="&amp;DATE(YEAR(GC$8)-1,1,1),$8:$8,"&lt;="&amp;EOMONTH(GC$8,-12))-1</f>
        <v/>
      </c>
      <c r="GD17" s="1318">
        <f>SUMIFS(14:14,$8:$8,"&gt;="&amp;DATE(YEAR(GD$8),1,1),$8:$8,"&lt;="&amp;EOMONTH(GD$8,0))/SUMIFS(14:14,$8:$8,"&gt;="&amp;DATE(YEAR(GD$8)-1,1,1),$8:$8,"&lt;="&amp;EOMONTH(GD$8,-12))-1</f>
        <v/>
      </c>
      <c r="GE17" s="1318">
        <f>SUMIFS(14:14,$8:$8,"&gt;="&amp;DATE(YEAR(GE$8),1,1),$8:$8,"&lt;="&amp;EOMONTH(GE$8,0))/SUMIFS(14:14,$8:$8,"&gt;="&amp;DATE(YEAR(GE$8)-1,1,1),$8:$8,"&lt;="&amp;EOMONTH(GE$8,-12))-1</f>
        <v/>
      </c>
      <c r="GF17" s="1318">
        <f>SUMIFS(14:14,$8:$8,"&gt;="&amp;DATE(YEAR(GF$8),1,1),$8:$8,"&lt;="&amp;EOMONTH(GF$8,0))/SUMIFS(14:14,$8:$8,"&gt;="&amp;DATE(YEAR(GF$8)-1,1,1),$8:$8,"&lt;="&amp;EOMONTH(GF$8,-12))-1</f>
        <v/>
      </c>
      <c r="GG17" s="1318">
        <f>SUMIFS(14:14,$8:$8,"&gt;="&amp;DATE(YEAR(GG$8),1,1),$8:$8,"&lt;="&amp;EOMONTH(GG$8,0))/SUMIFS(14:14,$8:$8,"&gt;="&amp;DATE(YEAR(GG$8)-1,1,1),$8:$8,"&lt;="&amp;EOMONTH(GG$8,-12))-1</f>
        <v/>
      </c>
      <c r="GH17" s="1318">
        <f>SUMIFS(14:14,$8:$8,"&gt;="&amp;DATE(YEAR(GH$8),1,1),$8:$8,"&lt;="&amp;EOMONTH(GH$8,0))/SUMIFS(14:14,$8:$8,"&gt;="&amp;DATE(YEAR(GH$8)-1,1,1),$8:$8,"&lt;="&amp;EOMONTH(GH$8,-12))-1</f>
        <v/>
      </c>
      <c r="GI17" s="1318">
        <f>SUMIFS(14:14,$8:$8,"&gt;="&amp;DATE(YEAR(GI$8),1,1),$8:$8,"&lt;="&amp;EOMONTH(GI$8,0))/SUMIFS(14:14,$8:$8,"&gt;="&amp;DATE(YEAR(GI$8)-1,1,1),$8:$8,"&lt;="&amp;EOMONTH(GI$8,-12))-1</f>
        <v/>
      </c>
      <c r="GJ17" s="1318">
        <f>SUMIFS(14:14,$8:$8,"&gt;="&amp;DATE(YEAR(GJ$8),1,1),$8:$8,"&lt;="&amp;EOMONTH(GJ$8,0))/SUMIFS(14:14,$8:$8,"&gt;="&amp;DATE(YEAR(GJ$8)-1,1,1),$8:$8,"&lt;="&amp;EOMONTH(GJ$8,-12))-1</f>
        <v/>
      </c>
      <c r="GK17" s="1318">
        <f>SUMIFS(14:14,$8:$8,"&gt;="&amp;DATE(YEAR(GK$8),1,1),$8:$8,"&lt;="&amp;EOMONTH(GK$8,0))/SUMIFS(14:14,$8:$8,"&gt;="&amp;DATE(YEAR(GK$8)-1,1,1),$8:$8,"&lt;="&amp;EOMONTH(GK$8,-12))-1</f>
        <v/>
      </c>
      <c r="GL17" s="1318">
        <f>SUMIFS(14:14,$8:$8,"&gt;="&amp;DATE(YEAR(GL$8),1,1),$8:$8,"&lt;="&amp;EOMONTH(GL$8,0))/SUMIFS(14:14,$8:$8,"&gt;="&amp;DATE(YEAR(GL$8)-1,1,1),$8:$8,"&lt;="&amp;EOMONTH(GL$8,-12))-1</f>
        <v/>
      </c>
      <c r="GM17" s="1318">
        <f>SUMIFS(14:14,$8:$8,"&gt;="&amp;DATE(YEAR(GM$8),1,1),$8:$8,"&lt;="&amp;EOMONTH(GM$8,0))/SUMIFS(14:14,$8:$8,"&gt;="&amp;DATE(YEAR(GM$8)-1,1,1),$8:$8,"&lt;="&amp;EOMONTH(GM$8,-12))-1</f>
        <v/>
      </c>
      <c r="GN17" s="1318">
        <f>SUMIFS(14:14,$8:$8,"&gt;="&amp;DATE(YEAR(GN$8),1,1),$8:$8,"&lt;="&amp;EOMONTH(GN$8,0))/SUMIFS(14:14,$8:$8,"&gt;="&amp;DATE(YEAR(GN$8)-1,1,1),$8:$8,"&lt;="&amp;EOMONTH(GN$8,-12))-1</f>
        <v/>
      </c>
      <c r="GO17" s="1318">
        <f>SUMIFS(14:14,$8:$8,"&gt;="&amp;DATE(YEAR(GO$8),1,1),$8:$8,"&lt;="&amp;EOMONTH(GO$8,0))/SUMIFS(14:14,$8:$8,"&gt;="&amp;DATE(YEAR(GO$8)-1,1,1),$8:$8,"&lt;="&amp;EOMONTH(GO$8,-12))-1</f>
        <v/>
      </c>
      <c r="GP17" s="1318">
        <f>SUMIFS(14:14,$8:$8,"&gt;="&amp;DATE(YEAR(GP$8),1,1),$8:$8,"&lt;="&amp;EOMONTH(GP$8,0))/SUMIFS(14:14,$8:$8,"&gt;="&amp;DATE(YEAR(GP$8)-1,1,1),$8:$8,"&lt;="&amp;EOMONTH(GP$8,-12))-1</f>
        <v/>
      </c>
      <c r="GQ17" s="1318">
        <f>SUMIFS(14:14,$8:$8,"&gt;="&amp;DATE(YEAR(GQ$8),1,1),$8:$8,"&lt;="&amp;EOMONTH(GQ$8,0))/SUMIFS(14:14,$8:$8,"&gt;="&amp;DATE(YEAR(GQ$8)-1,1,1),$8:$8,"&lt;="&amp;EOMONTH(GQ$8,-12))-1</f>
        <v/>
      </c>
      <c r="GR17" s="1318">
        <f>SUMIFS(14:14,$8:$8,"&gt;="&amp;DATE(YEAR(GR$8),1,1),$8:$8,"&lt;="&amp;EOMONTH(GR$8,0))/SUMIFS(14:14,$8:$8,"&gt;="&amp;DATE(YEAR(GR$8)-1,1,1),$8:$8,"&lt;="&amp;EOMONTH(GR$8,-12))-1</f>
        <v/>
      </c>
      <c r="GS17" s="1318">
        <f>SUMIFS(14:14,$8:$8,"&gt;="&amp;DATE(YEAR(GS$8),1,1),$8:$8,"&lt;="&amp;EOMONTH(GS$8,0))/SUMIFS(14:14,$8:$8,"&gt;="&amp;DATE(YEAR(GS$8)-1,1,1),$8:$8,"&lt;="&amp;EOMONTH(GS$8,-12))-1</f>
        <v/>
      </c>
      <c r="GT17" s="1318">
        <f>SUMIFS(14:14,$8:$8,"&gt;="&amp;DATE(YEAR(GT$8),1,1),$8:$8,"&lt;="&amp;EOMONTH(GT$8,0))/SUMIFS(14:14,$8:$8,"&gt;="&amp;DATE(YEAR(GT$8)-1,1,1),$8:$8,"&lt;="&amp;EOMONTH(GT$8,-12))-1</f>
        <v/>
      </c>
      <c r="GU17" s="1318">
        <f>SUMIFS(14:14,$8:$8,"&gt;="&amp;DATE(YEAR(GU$8),1,1),$8:$8,"&lt;="&amp;EOMONTH(GU$8,0))/SUMIFS(14:14,$8:$8,"&gt;="&amp;DATE(YEAR(GU$8)-1,1,1),$8:$8,"&lt;="&amp;EOMONTH(GU$8,-12))-1</f>
        <v/>
      </c>
      <c r="GV17" s="1318">
        <f>SUMIFS(14:14,$8:$8,"&gt;="&amp;DATE(YEAR(GV$8),1,1),$8:$8,"&lt;="&amp;EOMONTH(GV$8,0))/SUMIFS(14:14,$8:$8,"&gt;="&amp;DATE(YEAR(GV$8)-1,1,1),$8:$8,"&lt;="&amp;EOMONTH(GV$8,-12))-1</f>
        <v/>
      </c>
      <c r="GW17" s="1318">
        <f>SUMIFS(14:14,$8:$8,"&gt;="&amp;DATE(YEAR(GW$8),1,1),$8:$8,"&lt;="&amp;EOMONTH(GW$8,0))/SUMIFS(14:14,$8:$8,"&gt;="&amp;DATE(YEAR(GW$8)-1,1,1),$8:$8,"&lt;="&amp;EOMONTH(GW$8,-12))-1</f>
        <v/>
      </c>
      <c r="GX17" s="1318">
        <f>SUMIFS(14:14,$8:$8,"&gt;="&amp;DATE(YEAR(GX$8),1,1),$8:$8,"&lt;="&amp;EOMONTH(GX$8,0))/SUMIFS(14:14,$8:$8,"&gt;="&amp;DATE(YEAR(GX$8)-1,1,1),$8:$8,"&lt;="&amp;EOMONTH(GX$8,-12))-1</f>
        <v/>
      </c>
      <c r="GY17" s="1318">
        <f>SUMIFS(14:14,$8:$8,"&gt;="&amp;DATE(YEAR(GY$8),1,1),$8:$8,"&lt;="&amp;EOMONTH(GY$8,0))/SUMIFS(14:14,$8:$8,"&gt;="&amp;DATE(YEAR(GY$8)-1,1,1),$8:$8,"&lt;="&amp;EOMONTH(GY$8,-12))-1</f>
        <v/>
      </c>
      <c r="GZ17" s="1318">
        <f>SUMIFS(14:14,$8:$8,"&gt;="&amp;DATE(YEAR(GZ$8),1,1),$8:$8,"&lt;="&amp;EOMONTH(GZ$8,0))/SUMIFS(14:14,$8:$8,"&gt;="&amp;DATE(YEAR(GZ$8)-1,1,1),$8:$8,"&lt;="&amp;EOMONTH(GZ$8,-12))-1</f>
        <v/>
      </c>
      <c r="HA17" s="1318">
        <f>SUMIFS(14:14,$8:$8,"&gt;="&amp;DATE(YEAR(HA$8),1,1),$8:$8,"&lt;="&amp;EOMONTH(HA$8,0))/SUMIFS(14:14,$8:$8,"&gt;="&amp;DATE(YEAR(HA$8)-1,1,1),$8:$8,"&lt;="&amp;EOMONTH(HA$8,-12))-1</f>
        <v/>
      </c>
      <c r="HB17" s="1318">
        <f>SUMIFS(14:14,$8:$8,"&gt;="&amp;DATE(YEAR(HB$8),1,1),$8:$8,"&lt;="&amp;EOMONTH(HB$8,0))/SUMIFS(14:14,$8:$8,"&gt;="&amp;DATE(YEAR(HB$8)-1,1,1),$8:$8,"&lt;="&amp;EOMONTH(HB$8,-12))-1</f>
        <v/>
      </c>
      <c r="HC17" s="1318">
        <f>SUMIFS(14:14,$8:$8,"&gt;="&amp;DATE(YEAR(HC$8),1,1),$8:$8,"&lt;="&amp;EOMONTH(HC$8,0))/SUMIFS(14:14,$8:$8,"&gt;="&amp;DATE(YEAR(HC$8)-1,1,1),$8:$8,"&lt;="&amp;EOMONTH(HC$8,-12))-1</f>
        <v/>
      </c>
      <c r="HD17" s="1318">
        <f>SUMIFS(14:14,$8:$8,"&gt;="&amp;DATE(YEAR(HD$8),1,1),$8:$8,"&lt;="&amp;EOMONTH(HD$8,0))/SUMIFS(14:14,$8:$8,"&gt;="&amp;DATE(YEAR(HD$8)-1,1,1),$8:$8,"&lt;="&amp;EOMONTH(HD$8,-12))-1</f>
        <v/>
      </c>
      <c r="HE17" s="1318">
        <f>SUMIFS(14:14,$8:$8,"&gt;="&amp;DATE(YEAR(HE$8),1,1),$8:$8,"&lt;="&amp;EOMONTH(HE$8,0))/SUMIFS(14:14,$8:$8,"&gt;="&amp;DATE(YEAR(HE$8)-1,1,1),$8:$8,"&lt;="&amp;EOMONTH(HE$8,-12))-1</f>
        <v/>
      </c>
      <c r="HF17" s="1318">
        <f>SUMIFS(14:14,$8:$8,"&gt;="&amp;DATE(YEAR(HF$8),1,1),$8:$8,"&lt;="&amp;EOMONTH(HF$8,0))/SUMIFS(14:14,$8:$8,"&gt;="&amp;DATE(YEAR(HF$8)-1,1,1),$8:$8,"&lt;="&amp;EOMONTH(HF$8,-12))-1</f>
        <v/>
      </c>
      <c r="HG17" s="1318">
        <f>SUMIFS(14:14,$8:$8,"&gt;="&amp;DATE(YEAR(HG$8),1,1),$8:$8,"&lt;="&amp;EOMONTH(HG$8,0))/SUMIFS(14:14,$8:$8,"&gt;="&amp;DATE(YEAR(HG$8)-1,1,1),$8:$8,"&lt;="&amp;EOMONTH(HG$8,-12))-1</f>
        <v/>
      </c>
      <c r="HH17" s="1318">
        <f>SUMIFS(14:14,$8:$8,"&gt;="&amp;DATE(YEAR(HH$8),1,1),$8:$8,"&lt;="&amp;EOMONTH(HH$8,0))/SUMIFS(14:14,$8:$8,"&gt;="&amp;DATE(YEAR(HH$8)-1,1,1),$8:$8,"&lt;="&amp;EOMONTH(HH$8,-12))-1</f>
        <v/>
      </c>
      <c r="HI17" s="1318">
        <f>SUMIFS(14:14,$8:$8,"&gt;="&amp;DATE(YEAR(HI$8),1,1),$8:$8,"&lt;="&amp;EOMONTH(HI$8,0))/SUMIFS(14:14,$8:$8,"&gt;="&amp;DATE(YEAR(HI$8)-1,1,1),$8:$8,"&lt;="&amp;EOMONTH(HI$8,-12))-1</f>
        <v/>
      </c>
      <c r="HJ17" s="1318">
        <f>SUMIFS(14:14,$8:$8,"&gt;="&amp;DATE(YEAR(HJ$8),1,1),$8:$8,"&lt;="&amp;EOMONTH(HJ$8,0))/SUMIFS(14:14,$8:$8,"&gt;="&amp;DATE(YEAR(HJ$8)-1,1,1),$8:$8,"&lt;="&amp;EOMONTH(HJ$8,-12))-1</f>
        <v/>
      </c>
      <c r="HK17" s="1318">
        <f>SUMIFS(14:14,$8:$8,"&gt;="&amp;DATE(YEAR(HK$8),1,1),$8:$8,"&lt;="&amp;EOMONTH(HK$8,0))/SUMIFS(14:14,$8:$8,"&gt;="&amp;DATE(YEAR(HK$8)-1,1,1),$8:$8,"&lt;="&amp;EOMONTH(HK$8,-12))-1</f>
        <v/>
      </c>
      <c r="HL17" s="1318">
        <f>SUMIFS(14:14,$8:$8,"&gt;="&amp;DATE(YEAR(HL$8),1,1),$8:$8,"&lt;="&amp;EOMONTH(HL$8,0))/SUMIFS(14:14,$8:$8,"&gt;="&amp;DATE(YEAR(HL$8)-1,1,1),$8:$8,"&lt;="&amp;EOMONTH(HL$8,-12))-1</f>
        <v/>
      </c>
      <c r="HM17" s="1318">
        <f>SUMIFS(14:14,$8:$8,"&gt;="&amp;DATE(YEAR(HM$8),1,1),$8:$8,"&lt;="&amp;EOMONTH(HM$8,0))/SUMIFS(14:14,$8:$8,"&gt;="&amp;DATE(YEAR(HM$8)-1,1,1),$8:$8,"&lt;="&amp;EOMONTH(HM$8,-12))-1</f>
        <v/>
      </c>
      <c r="HN17" s="1318">
        <f>SUMIFS(14:14,$8:$8,"&gt;="&amp;DATE(YEAR(HN$8),1,1),$8:$8,"&lt;="&amp;EOMONTH(HN$8,0))/SUMIFS(14:14,$8:$8,"&gt;="&amp;DATE(YEAR(HN$8)-1,1,1),$8:$8,"&lt;="&amp;EOMONTH(HN$8,-12))-1</f>
        <v/>
      </c>
      <c r="HO17" s="1318">
        <f>SUMIFS(14:14,$8:$8,"&gt;="&amp;DATE(YEAR(HO$8),1,1),$8:$8,"&lt;="&amp;EOMONTH(HO$8,0))/SUMIFS(14:14,$8:$8,"&gt;="&amp;DATE(YEAR(HO$8)-1,1,1),$8:$8,"&lt;="&amp;EOMONTH(HO$8,-12))-1</f>
        <v/>
      </c>
      <c r="HP17" s="1318">
        <f>SUMIFS(14:14,$8:$8,"&gt;="&amp;DATE(YEAR(HP$8),1,1),$8:$8,"&lt;="&amp;EOMONTH(HP$8,0))/SUMIFS(14:14,$8:$8,"&gt;="&amp;DATE(YEAR(HP$8)-1,1,1),$8:$8,"&lt;="&amp;EOMONTH(HP$8,-12))-1</f>
        <v/>
      </c>
      <c r="HQ17" s="1318">
        <f>SUMIFS(14:14,$8:$8,"&gt;="&amp;DATE(YEAR(HQ$8),1,1),$8:$8,"&lt;="&amp;EOMONTH(HQ$8,0))/SUMIFS(14:14,$8:$8,"&gt;="&amp;DATE(YEAR(HQ$8)-1,1,1),$8:$8,"&lt;="&amp;EOMONTH(HQ$8,-12))-1</f>
        <v/>
      </c>
      <c r="HR17" s="1318">
        <f>SUMIFS(14:14,$8:$8,"&gt;="&amp;DATE(YEAR(HR$8),1,1),$8:$8,"&lt;="&amp;EOMONTH(HR$8,0))/SUMIFS(14:14,$8:$8,"&gt;="&amp;DATE(YEAR(HR$8)-1,1,1),$8:$8,"&lt;="&amp;EOMONTH(HR$8,-12))-1</f>
        <v/>
      </c>
      <c r="HS17" s="1318">
        <f>SUMIFS(14:14,$8:$8,"&gt;="&amp;DATE(YEAR(HS$8),1,1),$8:$8,"&lt;="&amp;EOMONTH(HS$8,0))/SUMIFS(14:14,$8:$8,"&gt;="&amp;DATE(YEAR(HS$8)-1,1,1),$8:$8,"&lt;="&amp;EOMONTH(HS$8,-12))-1</f>
        <v/>
      </c>
      <c r="HT17" s="1318">
        <f>SUMIFS(14:14,$8:$8,"&gt;="&amp;DATE(YEAR(HT$8),1,1),$8:$8,"&lt;="&amp;EOMONTH(HT$8,0))/SUMIFS(14:14,$8:$8,"&gt;="&amp;DATE(YEAR(HT$8)-1,1,1),$8:$8,"&lt;="&amp;EOMONTH(HT$8,-12))-1</f>
        <v/>
      </c>
      <c r="HU17" s="1318">
        <f>SUMIFS(14:14,$8:$8,"&gt;="&amp;DATE(YEAR(HU$8),1,1),$8:$8,"&lt;="&amp;EOMONTH(HU$8,0))/SUMIFS(14:14,$8:$8,"&gt;="&amp;DATE(YEAR(HU$8)-1,1,1),$8:$8,"&lt;="&amp;EOMONTH(HU$8,-12))-1</f>
        <v/>
      </c>
      <c r="HV17" s="1318">
        <f>SUMIFS(14:14,$8:$8,"&gt;="&amp;DATE(YEAR(HV$8),1,1),$8:$8,"&lt;="&amp;EOMONTH(HV$8,0))/SUMIFS(14:14,$8:$8,"&gt;="&amp;DATE(YEAR(HV$8)-1,1,1),$8:$8,"&lt;="&amp;EOMONTH(HV$8,-12))-1</f>
        <v/>
      </c>
      <c r="HW17" s="1318">
        <f>SUMIFS(14:14,$8:$8,"&gt;="&amp;DATE(YEAR(HW$8),1,1),$8:$8,"&lt;="&amp;EOMONTH(HW$8,0))/SUMIFS(14:14,$8:$8,"&gt;="&amp;DATE(YEAR(HW$8)-1,1,1),$8:$8,"&lt;="&amp;EOMONTH(HW$8,-12))-1</f>
        <v/>
      </c>
      <c r="HX17" s="1318">
        <f>SUMIFS(14:14,$8:$8,"&gt;="&amp;DATE(YEAR(HX$8),1,1),$8:$8,"&lt;="&amp;EOMONTH(HX$8,0))/SUMIFS(14:14,$8:$8,"&gt;="&amp;DATE(YEAR(HX$8)-1,1,1),$8:$8,"&lt;="&amp;EOMONTH(HX$8,-12))-1</f>
        <v/>
      </c>
      <c r="HY17" s="1318">
        <f>SUMIFS(14:14,$8:$8,"&gt;="&amp;DATE(YEAR(HY$8),1,1),$8:$8,"&lt;="&amp;EOMONTH(HY$8,0))/SUMIFS(14:14,$8:$8,"&gt;="&amp;DATE(YEAR(HY$8)-1,1,1),$8:$8,"&lt;="&amp;EOMONTH(HY$8,-12))-1</f>
        <v/>
      </c>
      <c r="HZ17" s="1318">
        <f>SUMIFS(14:14,$8:$8,"&gt;="&amp;DATE(YEAR(HZ$8),1,1),$8:$8,"&lt;="&amp;EOMONTH(HZ$8,0))/SUMIFS(14:14,$8:$8,"&gt;="&amp;DATE(YEAR(HZ$8)-1,1,1),$8:$8,"&lt;="&amp;EOMONTH(HZ$8,-12))-1</f>
        <v/>
      </c>
      <c r="IA17" s="1318">
        <f>SUMIFS(14:14,$8:$8,"&gt;="&amp;DATE(YEAR(IA$8),1,1),$8:$8,"&lt;="&amp;EOMONTH(IA$8,0))/SUMIFS(14:14,$8:$8,"&gt;="&amp;DATE(YEAR(IA$8)-1,1,1),$8:$8,"&lt;="&amp;EOMONTH(IA$8,-12))-1</f>
        <v/>
      </c>
      <c r="IB17" s="1318">
        <f>SUMIFS(14:14,$8:$8,"&gt;="&amp;DATE(YEAR(IB$8),1,1),$8:$8,"&lt;="&amp;EOMONTH(IB$8,0))/SUMIFS(14:14,$8:$8,"&gt;="&amp;DATE(YEAR(IB$8)-1,1,1),$8:$8,"&lt;="&amp;EOMONTH(IB$8,-12))-1</f>
        <v/>
      </c>
      <c r="IC17" s="1318">
        <f>SUMIFS(14:14,$8:$8,"&gt;="&amp;DATE(YEAR(IC$8),1,1),$8:$8,"&lt;="&amp;EOMONTH(IC$8,0))/SUMIFS(14:14,$8:$8,"&gt;="&amp;DATE(YEAR(IC$8)-1,1,1),$8:$8,"&lt;="&amp;EOMONTH(IC$8,-12))-1</f>
        <v/>
      </c>
      <c r="ID17" s="1318">
        <f>SUMIFS(14:14,$8:$8,"&gt;="&amp;DATE(YEAR(ID$8),1,1),$8:$8,"&lt;="&amp;EOMONTH(ID$8,0))/SUMIFS(14:14,$8:$8,"&gt;="&amp;DATE(YEAR(ID$8)-1,1,1),$8:$8,"&lt;="&amp;EOMONTH(ID$8,-12))-1</f>
        <v/>
      </c>
      <c r="IE17" s="1318">
        <f>SUMIFS(14:14,$8:$8,"&gt;="&amp;DATE(YEAR(IE$8),1,1),$8:$8,"&lt;="&amp;EOMONTH(IE$8,0))/SUMIFS(14:14,$8:$8,"&gt;="&amp;DATE(YEAR(IE$8)-1,1,1),$8:$8,"&lt;="&amp;EOMONTH(IE$8,-12))-1</f>
        <v/>
      </c>
      <c r="IF17" s="1318">
        <f>SUMIFS(14:14,$8:$8,"&gt;="&amp;DATE(YEAR(IF$8),1,1),$8:$8,"&lt;="&amp;EOMONTH(IF$8,0))/SUMIFS(14:14,$8:$8,"&gt;="&amp;DATE(YEAR(IF$8)-1,1,1),$8:$8,"&lt;="&amp;EOMONTH(IF$8,-12))-1</f>
        <v/>
      </c>
      <c r="IG17" s="1318">
        <f>SUMIFS(14:14,$8:$8,"&gt;="&amp;DATE(YEAR(IG$8),1,1),$8:$8,"&lt;="&amp;EOMONTH(IG$8,0))/SUMIFS(14:14,$8:$8,"&gt;="&amp;DATE(YEAR(IG$8)-1,1,1),$8:$8,"&lt;="&amp;EOMONTH(IG$8,-12))-1</f>
        <v/>
      </c>
      <c r="IH17" s="1318">
        <f>SUMIFS(14:14,$8:$8,"&gt;="&amp;DATE(YEAR(IH$8),1,1),$8:$8,"&lt;="&amp;EOMONTH(IH$8,0))/SUMIFS(14:14,$8:$8,"&gt;="&amp;DATE(YEAR(IH$8)-1,1,1),$8:$8,"&lt;="&amp;EOMONTH(IH$8,-12))-1</f>
        <v/>
      </c>
      <c r="II17" s="1318">
        <f>SUMIFS(14:14,$8:$8,"&gt;="&amp;DATE(YEAR(II$8),1,1),$8:$8,"&lt;="&amp;EOMONTH(II$8,0))/SUMIFS(14:14,$8:$8,"&gt;="&amp;DATE(YEAR(II$8)-1,1,1),$8:$8,"&lt;="&amp;EOMONTH(II$8,-12))-1</f>
        <v/>
      </c>
      <c r="IJ17" s="1318">
        <f>SUMIFS(14:14,$8:$8,"&gt;="&amp;DATE(YEAR(IJ$8),1,1),$8:$8,"&lt;="&amp;EOMONTH(IJ$8,0))/SUMIFS(14:14,$8:$8,"&gt;="&amp;DATE(YEAR(IJ$8)-1,1,1),$8:$8,"&lt;="&amp;EOMONTH(IJ$8,-12))-1</f>
        <v/>
      </c>
      <c r="IK17" s="1318">
        <f>SUMIFS(14:14,$8:$8,"&gt;="&amp;DATE(YEAR(IK$8),1,1),$8:$8,"&lt;="&amp;EOMONTH(IK$8,0))/SUMIFS(14:14,$8:$8,"&gt;="&amp;DATE(YEAR(IK$8)-1,1,1),$8:$8,"&lt;="&amp;EOMONTH(IK$8,-12))-1</f>
        <v/>
      </c>
      <c r="IL17" s="1318">
        <f>SUMIFS(14:14,$8:$8,"&gt;="&amp;DATE(YEAR(IL$8),1,1),$8:$8,"&lt;="&amp;EOMONTH(IL$8,0))/SUMIFS(14:14,$8:$8,"&gt;="&amp;DATE(YEAR(IL$8)-1,1,1),$8:$8,"&lt;="&amp;EOMONTH(IL$8,-12))-1</f>
        <v/>
      </c>
      <c r="IM17" s="1318">
        <f>SUMIFS(14:14,$8:$8,"&gt;="&amp;DATE(YEAR(IM$8),1,1),$8:$8,"&lt;="&amp;EOMONTH(IM$8,0))/SUMIFS(14:14,$8:$8,"&gt;="&amp;DATE(YEAR(IM$8)-1,1,1),$8:$8,"&lt;="&amp;EOMONTH(IM$8,-12))-1</f>
        <v/>
      </c>
      <c r="IN17" s="1318">
        <f>SUMIFS(14:14,$8:$8,"&gt;="&amp;DATE(YEAR(IN$8),1,1),$8:$8,"&lt;="&amp;EOMONTH(IN$8,0))/SUMIFS(14:14,$8:$8,"&gt;="&amp;DATE(YEAR(IN$8)-1,1,1),$8:$8,"&lt;="&amp;EOMONTH(IN$8,-12))-1</f>
        <v/>
      </c>
      <c r="IO17" s="1318">
        <f>SUMIFS(14:14,$8:$8,"&gt;="&amp;DATE(YEAR(IO$8),1,1),$8:$8,"&lt;="&amp;EOMONTH(IO$8,0))/SUMIFS(14:14,$8:$8,"&gt;="&amp;DATE(YEAR(IO$8)-1,1,1),$8:$8,"&lt;="&amp;EOMONTH(IO$8,-12))-1</f>
        <v/>
      </c>
      <c r="IP17" s="1318">
        <f>SUMIFS(14:14,$8:$8,"&gt;="&amp;DATE(YEAR(IP$8),1,1),$8:$8,"&lt;="&amp;EOMONTH(IP$8,0))/SUMIFS(14:14,$8:$8,"&gt;="&amp;DATE(YEAR(IP$8)-1,1,1),$8:$8,"&lt;="&amp;EOMONTH(IP$8,-12))-1</f>
        <v/>
      </c>
      <c r="IQ17" s="1318">
        <f>SUMIFS(14:14,$8:$8,"&gt;="&amp;DATE(YEAR(IQ$8),1,1),$8:$8,"&lt;="&amp;EOMONTH(IQ$8,0))/SUMIFS(14:14,$8:$8,"&gt;="&amp;DATE(YEAR(IQ$8)-1,1,1),$8:$8,"&lt;="&amp;EOMONTH(IQ$8,-12))-1</f>
        <v/>
      </c>
      <c r="IR17" s="1318">
        <f>SUMIFS(14:14,$8:$8,"&gt;="&amp;DATE(YEAR(IR$8),1,1),$8:$8,"&lt;="&amp;EOMONTH(IR$8,0))/SUMIFS(14:14,$8:$8,"&gt;="&amp;DATE(YEAR(IR$8)-1,1,1),$8:$8,"&lt;="&amp;EOMONTH(IR$8,-12))-1</f>
        <v/>
      </c>
      <c r="IS17" s="1318">
        <f>SUMIFS(14:14,$8:$8,"&gt;="&amp;DATE(YEAR(IS$8),1,1),$8:$8,"&lt;="&amp;EOMONTH(IS$8,0))/SUMIFS(14:14,$8:$8,"&gt;="&amp;DATE(YEAR(IS$8)-1,1,1),$8:$8,"&lt;="&amp;EOMONTH(IS$8,-12))-1</f>
        <v/>
      </c>
      <c r="IT17" s="1318">
        <f>SUMIFS(14:14,$8:$8,"&gt;="&amp;DATE(YEAR(IT$8),1,1),$8:$8,"&lt;="&amp;EOMONTH(IT$8,0))/SUMIFS(14:14,$8:$8,"&gt;="&amp;DATE(YEAR(IT$8)-1,1,1),$8:$8,"&lt;="&amp;EOMONTH(IT$8,-12))-1</f>
        <v/>
      </c>
      <c r="IU17" s="1318">
        <f>SUMIFS(14:14,$8:$8,"&gt;="&amp;DATE(YEAR(IU$8),1,1),$8:$8,"&lt;="&amp;EOMONTH(IU$8,0))/SUMIFS(14:14,$8:$8,"&gt;="&amp;DATE(YEAR(IU$8)-1,1,1),$8:$8,"&lt;="&amp;EOMONTH(IU$8,-12))-1</f>
        <v/>
      </c>
      <c r="IV17" s="1318">
        <f>SUMIFS(14:14,$8:$8,"&gt;="&amp;DATE(YEAR(IV$8),1,1),$8:$8,"&lt;="&amp;EOMONTH(IV$8,0))/SUMIFS(14:14,$8:$8,"&gt;="&amp;DATE(YEAR(IV$8)-1,1,1),$8:$8,"&lt;="&amp;EOMONTH(IV$8,-12))-1</f>
        <v/>
      </c>
      <c r="IW17" s="1318">
        <f>SUMIFS(14:14,$8:$8,"&gt;="&amp;DATE(YEAR(IW$8),1,1),$8:$8,"&lt;="&amp;EOMONTH(IW$8,0))/SUMIFS(14:14,$8:$8,"&gt;="&amp;DATE(YEAR(IW$8)-1,1,1),$8:$8,"&lt;="&amp;EOMONTH(IW$8,-12))-1</f>
        <v/>
      </c>
      <c r="IX17" s="1318">
        <f>SUMIFS(14:14,$8:$8,"&gt;="&amp;DATE(YEAR(IX$8),1,1),$8:$8,"&lt;="&amp;EOMONTH(IX$8,0))/SUMIFS(14:14,$8:$8,"&gt;="&amp;DATE(YEAR(IX$8)-1,1,1),$8:$8,"&lt;="&amp;EOMONTH(IX$8,-12))-1</f>
        <v/>
      </c>
      <c r="IY17" s="1318">
        <f>SUMIFS(14:14,$8:$8,"&gt;="&amp;DATE(YEAR(IY$8),1,1),$8:$8,"&lt;="&amp;EOMONTH(IY$8,0))/SUMIFS(14:14,$8:$8,"&gt;="&amp;DATE(YEAR(IY$8)-1,1,1),$8:$8,"&lt;="&amp;EOMONTH(IY$8,-12))-1</f>
        <v/>
      </c>
      <c r="IZ17" s="1318">
        <f>SUMIFS(14:14,$8:$8,"&gt;="&amp;DATE(YEAR(IZ$8),1,1),$8:$8,"&lt;="&amp;EOMONTH(IZ$8,0))/SUMIFS(14:14,$8:$8,"&gt;="&amp;DATE(YEAR(IZ$8)-1,1,1),$8:$8,"&lt;="&amp;EOMONTH(IZ$8,-12))-1</f>
        <v/>
      </c>
      <c r="JA17" s="1318">
        <f>SUMIFS(14:14,$8:$8,"&gt;="&amp;DATE(YEAR(JA$8),1,1),$8:$8,"&lt;="&amp;EOMONTH(JA$8,0))/SUMIFS(14:14,$8:$8,"&gt;="&amp;DATE(YEAR(JA$8)-1,1,1),$8:$8,"&lt;="&amp;EOMONTH(JA$8,-12))-1</f>
        <v/>
      </c>
      <c r="JB17" s="1318">
        <f>SUMIFS(14:14,$8:$8,"&gt;="&amp;DATE(YEAR(JB$8),1,1),$8:$8,"&lt;="&amp;EOMONTH(JB$8,0))/SUMIFS(14:14,$8:$8,"&gt;="&amp;DATE(YEAR(JB$8)-1,1,1),$8:$8,"&lt;="&amp;EOMONTH(JB$8,-12))-1</f>
        <v/>
      </c>
      <c r="JC17" s="1318">
        <f>SUMIFS(14:14,$8:$8,"&gt;="&amp;DATE(YEAR(JC$8),1,1),$8:$8,"&lt;="&amp;EOMONTH(JC$8,0))/SUMIFS(14:14,$8:$8,"&gt;="&amp;DATE(YEAR(JC$8)-1,1,1),$8:$8,"&lt;="&amp;EOMONTH(JC$8,-12))-1</f>
        <v/>
      </c>
      <c r="JD17" s="1318">
        <f>SUMIFS(14:14,$8:$8,"&gt;="&amp;DATE(YEAR(JD$8),1,1),$8:$8,"&lt;="&amp;EOMONTH(JD$8,0))/SUMIFS(14:14,$8:$8,"&gt;="&amp;DATE(YEAR(JD$8)-1,1,1),$8:$8,"&lt;="&amp;EOMONTH(JD$8,-12))-1</f>
        <v/>
      </c>
      <c r="JE17" s="1318">
        <f>SUMIFS(14:14,$8:$8,"&gt;="&amp;DATE(YEAR(JE$8),1,1),$8:$8,"&lt;="&amp;EOMONTH(JE$8,0))/SUMIFS(14:14,$8:$8,"&gt;="&amp;DATE(YEAR(JE$8)-1,1,1),$8:$8,"&lt;="&amp;EOMONTH(JE$8,-12))-1</f>
        <v/>
      </c>
      <c r="JF17" s="1318">
        <f>SUMIFS(14:14,$8:$8,"&gt;="&amp;DATE(YEAR(JF$8),1,1),$8:$8,"&lt;="&amp;EOMONTH(JF$8,0))/SUMIFS(14:14,$8:$8,"&gt;="&amp;DATE(YEAR(JF$8)-1,1,1),$8:$8,"&lt;="&amp;EOMONTH(JF$8,-12))-1</f>
        <v/>
      </c>
      <c r="JG17" s="1318">
        <f>SUMIFS(14:14,$8:$8,"&gt;="&amp;DATE(YEAR(JG$8),1,1),$8:$8,"&lt;="&amp;EOMONTH(JG$8,0))/SUMIFS(14:14,$8:$8,"&gt;="&amp;DATE(YEAR(JG$8)-1,1,1),$8:$8,"&lt;="&amp;EOMONTH(JG$8,-12))-1</f>
        <v/>
      </c>
      <c r="JH17" s="1318">
        <f>SUMIFS(14:14,$8:$8,"&gt;="&amp;DATE(YEAR(JH$8),1,1),$8:$8,"&lt;="&amp;EOMONTH(JH$8,0))/SUMIFS(14:14,$8:$8,"&gt;="&amp;DATE(YEAR(JH$8)-1,1,1),$8:$8,"&lt;="&amp;EOMONTH(JH$8,-12))-1</f>
        <v/>
      </c>
      <c r="JI17" s="1318">
        <f>SUMIFS(14:14,$8:$8,"&gt;="&amp;DATE(YEAR(JI$8),1,1),$8:$8,"&lt;="&amp;EOMONTH(JI$8,0))/SUMIFS(14:14,$8:$8,"&gt;="&amp;DATE(YEAR(JI$8)-1,1,1),$8:$8,"&lt;="&amp;EOMONTH(JI$8,-12))-1</f>
        <v/>
      </c>
      <c r="JJ17" s="1318">
        <f>SUMIFS(14:14,$8:$8,"&gt;="&amp;DATE(YEAR(JJ$8),1,1),$8:$8,"&lt;="&amp;EOMONTH(JJ$8,0))/SUMIFS(14:14,$8:$8,"&gt;="&amp;DATE(YEAR(JJ$8)-1,1,1),$8:$8,"&lt;="&amp;EOMONTH(JJ$8,-12))-1</f>
        <v/>
      </c>
      <c r="JK17" s="1318">
        <f>SUMIFS(14:14,$8:$8,"&gt;="&amp;DATE(YEAR(JK$8),1,1),$8:$8,"&lt;="&amp;EOMONTH(JK$8,0))/SUMIFS(14:14,$8:$8,"&gt;="&amp;DATE(YEAR(JK$8)-1,1,1),$8:$8,"&lt;="&amp;EOMONTH(JK$8,-12))-1</f>
        <v/>
      </c>
      <c r="JL17" s="1318">
        <f>SUMIFS(14:14,$8:$8,"&gt;="&amp;DATE(YEAR(JL$8),1,1),$8:$8,"&lt;="&amp;EOMONTH(JL$8,0))/SUMIFS(14:14,$8:$8,"&gt;="&amp;DATE(YEAR(JL$8)-1,1,1),$8:$8,"&lt;="&amp;EOMONTH(JL$8,-12))-1</f>
        <v/>
      </c>
      <c r="JM17" s="1318">
        <f>SUMIFS(14:14,$8:$8,"&gt;="&amp;DATE(YEAR(JM$8),1,1),$8:$8,"&lt;="&amp;EOMONTH(JM$8,0))/SUMIFS(14:14,$8:$8,"&gt;="&amp;DATE(YEAR(JM$8)-1,1,1),$8:$8,"&lt;="&amp;EOMONTH(JM$8,-12))-1</f>
        <v/>
      </c>
      <c r="JN17" s="1318">
        <f>SUMIFS(14:14,$8:$8,"&gt;="&amp;DATE(YEAR(JN$8),1,1),$8:$8,"&lt;="&amp;EOMONTH(JN$8,0))/SUMIFS(14:14,$8:$8,"&gt;="&amp;DATE(YEAR(JN$8)-1,1,1),$8:$8,"&lt;="&amp;EOMONTH(JN$8,-12))-1</f>
        <v/>
      </c>
      <c r="JO17" s="1318">
        <f>SUMIFS(14:14,$8:$8,"&gt;="&amp;DATE(YEAR(JO$8),1,1),$8:$8,"&lt;="&amp;EOMONTH(JO$8,0))/SUMIFS(14:14,$8:$8,"&gt;="&amp;DATE(YEAR(JO$8)-1,1,1),$8:$8,"&lt;="&amp;EOMONTH(JO$8,-12))-1</f>
        <v/>
      </c>
      <c r="JP17" s="1318">
        <f>SUMIFS(14:14,$8:$8,"&gt;="&amp;DATE(YEAR(JP$8),1,1),$8:$8,"&lt;="&amp;EOMONTH(JP$8,0))/SUMIFS(14:14,$8:$8,"&gt;="&amp;DATE(YEAR(JP$8)-1,1,1),$8:$8,"&lt;="&amp;EOMONTH(JP$8,-12))-1</f>
        <v/>
      </c>
      <c r="JQ17" s="1318">
        <f>SUMIFS(14:14,$8:$8,"&gt;="&amp;DATE(YEAR(JQ$8),1,1),$8:$8,"&lt;="&amp;EOMONTH(JQ$8,0))/SUMIFS(14:14,$8:$8,"&gt;="&amp;DATE(YEAR(JQ$8)-1,1,1),$8:$8,"&lt;="&amp;EOMONTH(JQ$8,-12))-1</f>
        <v/>
      </c>
      <c r="JR17" s="1318">
        <f>SUMIFS(14:14,$8:$8,"&gt;="&amp;DATE(YEAR(JR$8),1,1),$8:$8,"&lt;="&amp;EOMONTH(JR$8,0))/SUMIFS(14:14,$8:$8,"&gt;="&amp;DATE(YEAR(JR$8)-1,1,1),$8:$8,"&lt;="&amp;EOMONTH(JR$8,-12))-1</f>
        <v/>
      </c>
      <c r="JS17" s="1318">
        <f>SUMIFS(14:14,$8:$8,"&gt;="&amp;DATE(YEAR(JS$8),1,1),$8:$8,"&lt;="&amp;EOMONTH(JS$8,0))/SUMIFS(14:14,$8:$8,"&gt;="&amp;DATE(YEAR(JS$8)-1,1,1),$8:$8,"&lt;="&amp;EOMONTH(JS$8,-12))-1</f>
        <v/>
      </c>
      <c r="JT17" s="1318">
        <f>SUMIFS(14:14,$8:$8,"&gt;="&amp;DATE(YEAR(JT$8),1,1),$8:$8,"&lt;="&amp;EOMONTH(JT$8,0))/SUMIFS(14:14,$8:$8,"&gt;="&amp;DATE(YEAR(JT$8)-1,1,1),$8:$8,"&lt;="&amp;EOMONTH(JT$8,-12))-1</f>
        <v/>
      </c>
      <c r="JU17" s="1318">
        <f>SUMIFS(14:14,$8:$8,"&gt;="&amp;DATE(YEAR(JU$8),1,1),$8:$8,"&lt;="&amp;EOMONTH(JU$8,0))/SUMIFS(14:14,$8:$8,"&gt;="&amp;DATE(YEAR(JU$8)-1,1,1),$8:$8,"&lt;="&amp;EOMONTH(JU$8,-12))-1</f>
        <v/>
      </c>
      <c r="JV17" s="1318">
        <f>SUMIFS(14:14,$8:$8,"&gt;="&amp;DATE(YEAR(JV$8),1,1),$8:$8,"&lt;="&amp;EOMONTH(JV$8,0))/SUMIFS(14:14,$8:$8,"&gt;="&amp;DATE(YEAR(JV$8)-1,1,1),$8:$8,"&lt;="&amp;EOMONTH(JV$8,-12))-1</f>
        <v/>
      </c>
      <c r="JW17" s="1318">
        <f>SUMIFS(14:14,$8:$8,"&gt;="&amp;DATE(YEAR(JW$8),1,1),$8:$8,"&lt;="&amp;EOMONTH(JW$8,0))/SUMIFS(14:14,$8:$8,"&gt;="&amp;DATE(YEAR(JW$8)-1,1,1),$8:$8,"&lt;="&amp;EOMONTH(JW$8,-12))-1</f>
        <v/>
      </c>
      <c r="JX17" s="1318">
        <f>SUMIFS(14:14,$8:$8,"&gt;="&amp;DATE(YEAR(JX$8),1,1),$8:$8,"&lt;="&amp;EOMONTH(JX$8,0))/SUMIFS(14:14,$8:$8,"&gt;="&amp;DATE(YEAR(JX$8)-1,1,1),$8:$8,"&lt;="&amp;EOMONTH(JX$8,-12))-1</f>
        <v/>
      </c>
      <c r="JY17" s="1318">
        <f>SUMIFS(14:14,$8:$8,"&gt;="&amp;DATE(YEAR(JY$8),1,1),$8:$8,"&lt;="&amp;EOMONTH(JY$8,0))/SUMIFS(14:14,$8:$8,"&gt;="&amp;DATE(YEAR(JY$8)-1,1,1),$8:$8,"&lt;="&amp;EOMONTH(JY$8,-12))-1</f>
        <v/>
      </c>
      <c r="JZ17" s="1318">
        <f>SUMIFS(14:14,$8:$8,"&gt;="&amp;DATE(YEAR(JZ$8),1,1),$8:$8,"&lt;="&amp;EOMONTH(JZ$8,0))/SUMIFS(14:14,$8:$8,"&gt;="&amp;DATE(YEAR(JZ$8)-1,1,1),$8:$8,"&lt;="&amp;EOMONTH(JZ$8,-12))-1</f>
        <v/>
      </c>
      <c r="KA17" s="1318">
        <f>SUMIFS(14:14,$8:$8,"&gt;="&amp;DATE(YEAR(KA$8),1,1),$8:$8,"&lt;="&amp;EOMONTH(KA$8,0))/SUMIFS(14:14,$8:$8,"&gt;="&amp;DATE(YEAR(KA$8)-1,1,1),$8:$8,"&lt;="&amp;EOMONTH(KA$8,-12))-1</f>
        <v/>
      </c>
      <c r="KB17" s="1318">
        <f>SUMIFS(14:14,$8:$8,"&gt;="&amp;DATE(YEAR(KB$8),1,1),$8:$8,"&lt;="&amp;EOMONTH(KB$8,0))/SUMIFS(14:14,$8:$8,"&gt;="&amp;DATE(YEAR(KB$8)-1,1,1),$8:$8,"&lt;="&amp;EOMONTH(KB$8,-12))-1</f>
        <v/>
      </c>
      <c r="KC17" s="1318">
        <f>SUMIFS(14:14,$8:$8,"&gt;="&amp;DATE(YEAR(KC$8),1,1),$8:$8,"&lt;="&amp;EOMONTH(KC$8,0))/SUMIFS(14:14,$8:$8,"&gt;="&amp;DATE(YEAR(KC$8)-1,1,1),$8:$8,"&lt;="&amp;EOMONTH(KC$8,-12))-1</f>
        <v/>
      </c>
      <c r="KD17" s="1318">
        <f>SUMIFS(14:14,$8:$8,"&gt;="&amp;DATE(YEAR(KD$8),1,1),$8:$8,"&lt;="&amp;EOMONTH(KD$8,0))/SUMIFS(14:14,$8:$8,"&gt;="&amp;DATE(YEAR(KD$8)-1,1,1),$8:$8,"&lt;="&amp;EOMONTH(KD$8,-12))-1</f>
        <v/>
      </c>
      <c r="KE17" s="1318">
        <f>SUMIFS(14:14,$8:$8,"&gt;="&amp;DATE(YEAR(KE$8),1,1),$8:$8,"&lt;="&amp;EOMONTH(KE$8,0))/SUMIFS(14:14,$8:$8,"&gt;="&amp;DATE(YEAR(KE$8)-1,1,1),$8:$8,"&lt;="&amp;EOMONTH(KE$8,-12))-1</f>
        <v/>
      </c>
      <c r="KF17" s="1318">
        <f>SUMIFS(14:14,$8:$8,"&gt;="&amp;DATE(YEAR(KF$8),1,1),$8:$8,"&lt;="&amp;EOMONTH(KF$8,0))/SUMIFS(14:14,$8:$8,"&gt;="&amp;DATE(YEAR(KF$8)-1,1,1),$8:$8,"&lt;="&amp;EOMONTH(KF$8,-12))-1</f>
        <v/>
      </c>
      <c r="KG17" s="1318">
        <f>SUMIFS(14:14,$8:$8,"&gt;="&amp;DATE(YEAR(KG$8),1,1),$8:$8,"&lt;="&amp;EOMONTH(KG$8,0))/SUMIFS(14:14,$8:$8,"&gt;="&amp;DATE(YEAR(KG$8)-1,1,1),$8:$8,"&lt;="&amp;EOMONTH(KG$8,-12))-1</f>
        <v/>
      </c>
      <c r="KH17" s="1318">
        <f>SUMIFS(14:14,$8:$8,"&gt;="&amp;DATE(YEAR(KH$8),1,1),$8:$8,"&lt;="&amp;EOMONTH(KH$8,0))/SUMIFS(14:14,$8:$8,"&gt;="&amp;DATE(YEAR(KH$8)-1,1,1),$8:$8,"&lt;="&amp;EOMONTH(KH$8,-12))-1</f>
        <v/>
      </c>
      <c r="KI17" s="1318">
        <f>SUMIFS(14:14,$8:$8,"&gt;="&amp;DATE(YEAR(KI$8),1,1),$8:$8,"&lt;="&amp;EOMONTH(KI$8,0))/SUMIFS(14:14,$8:$8,"&gt;="&amp;DATE(YEAR(KI$8)-1,1,1),$8:$8,"&lt;="&amp;EOMONTH(KI$8,-12))-1</f>
        <v/>
      </c>
      <c r="KJ17" s="1318">
        <f>SUMIFS(14:14,$8:$8,"&gt;="&amp;DATE(YEAR(KJ$8),1,1),$8:$8,"&lt;="&amp;EOMONTH(KJ$8,0))/SUMIFS(14:14,$8:$8,"&gt;="&amp;DATE(YEAR(KJ$8)-1,1,1),$8:$8,"&lt;="&amp;EOMONTH(KJ$8,-12))-1</f>
        <v/>
      </c>
      <c r="KK17" s="1318">
        <f>SUMIFS(14:14,$8:$8,"&gt;="&amp;DATE(YEAR(KK$8),1,1),$8:$8,"&lt;="&amp;EOMONTH(KK$8,0))/SUMIFS(14:14,$8:$8,"&gt;="&amp;DATE(YEAR(KK$8)-1,1,1),$8:$8,"&lt;="&amp;EOMONTH(KK$8,-12))-1</f>
        <v/>
      </c>
      <c r="KL17" s="1318">
        <f>SUMIFS(14:14,$8:$8,"&gt;="&amp;DATE(YEAR(KL$8),1,1),$8:$8,"&lt;="&amp;EOMONTH(KL$8,0))/SUMIFS(14:14,$8:$8,"&gt;="&amp;DATE(YEAR(KL$8)-1,1,1),$8:$8,"&lt;="&amp;EOMONTH(KL$8,-12))-1</f>
        <v/>
      </c>
      <c r="KM17" s="1318">
        <f>SUMIFS(14:14,$8:$8,"&gt;="&amp;DATE(YEAR(KM$8),1,1),$8:$8,"&lt;="&amp;EOMONTH(KM$8,0))/SUMIFS(14:14,$8:$8,"&gt;="&amp;DATE(YEAR(KM$8)-1,1,1),$8:$8,"&lt;="&amp;EOMONTH(KM$8,-12))-1</f>
        <v/>
      </c>
      <c r="KN17" s="1318">
        <f>SUMIFS(14:14,$8:$8,"&gt;="&amp;DATE(YEAR(KN$8),1,1),$8:$8,"&lt;="&amp;EOMONTH(KN$8,0))/SUMIFS(14:14,$8:$8,"&gt;="&amp;DATE(YEAR(KN$8)-1,1,1),$8:$8,"&lt;="&amp;EOMONTH(KN$8,-12))-1</f>
        <v/>
      </c>
      <c r="KO17" s="1318">
        <f>SUMIFS(14:14,$8:$8,"&gt;="&amp;DATE(YEAR(KO$8),1,1),$8:$8,"&lt;="&amp;EOMONTH(KO$8,0))/SUMIFS(14:14,$8:$8,"&gt;="&amp;DATE(YEAR(KO$8)-1,1,1),$8:$8,"&lt;="&amp;EOMONTH(KO$8,-12))-1</f>
        <v/>
      </c>
      <c r="KP17" s="1318">
        <f>SUMIFS(14:14,$8:$8,"&gt;="&amp;DATE(YEAR(KP$8),1,1),$8:$8,"&lt;="&amp;EOMONTH(KP$8,0))/SUMIFS(14:14,$8:$8,"&gt;="&amp;DATE(YEAR(KP$8)-1,1,1),$8:$8,"&lt;="&amp;EOMONTH(KP$8,-12))-1</f>
        <v/>
      </c>
      <c r="KQ17" s="1318">
        <f>SUMIFS(14:14,$8:$8,"&gt;="&amp;DATE(YEAR(KQ$8),1,1),$8:$8,"&lt;="&amp;EOMONTH(KQ$8,0))/SUMIFS(14:14,$8:$8,"&gt;="&amp;DATE(YEAR(KQ$8)-1,1,1),$8:$8,"&lt;="&amp;EOMONTH(KQ$8,-12))-1</f>
        <v/>
      </c>
      <c r="KR17" s="1318">
        <f>SUMIFS(14:14,$8:$8,"&gt;="&amp;DATE(YEAR(KR$8),1,1),$8:$8,"&lt;="&amp;EOMONTH(KR$8,0))/SUMIFS(14:14,$8:$8,"&gt;="&amp;DATE(YEAR(KR$8)-1,1,1),$8:$8,"&lt;="&amp;EOMONTH(KR$8,-12))-1</f>
        <v/>
      </c>
      <c r="KS17" s="1318">
        <f>SUMIFS(14:14,$8:$8,"&gt;="&amp;DATE(YEAR(KS$8),1,1),$8:$8,"&lt;="&amp;EOMONTH(KS$8,0))/SUMIFS(14:14,$8:$8,"&gt;="&amp;DATE(YEAR(KS$8)-1,1,1),$8:$8,"&lt;="&amp;EOMONTH(KS$8,-12))-1</f>
        <v/>
      </c>
      <c r="KT17" s="1318">
        <f>SUMIFS(14:14,$8:$8,"&gt;="&amp;DATE(YEAR(KT$8),1,1),$8:$8,"&lt;="&amp;EOMONTH(KT$8,0))/SUMIFS(14:14,$8:$8,"&gt;="&amp;DATE(YEAR(KT$8)-1,1,1),$8:$8,"&lt;="&amp;EOMONTH(KT$8,-12))-1</f>
        <v/>
      </c>
      <c r="KU17" s="1318">
        <f>SUMIFS(14:14,$8:$8,"&gt;="&amp;DATE(YEAR(KU$8),1,1),$8:$8,"&lt;="&amp;EOMONTH(KU$8,0))/SUMIFS(14:14,$8:$8,"&gt;="&amp;DATE(YEAR(KU$8)-1,1,1),$8:$8,"&lt;="&amp;EOMONTH(KU$8,-12))-1</f>
        <v/>
      </c>
      <c r="KV17" s="1318">
        <f>SUMIFS(14:14,$8:$8,"&gt;="&amp;DATE(YEAR(KV$8),1,1),$8:$8,"&lt;="&amp;EOMONTH(KV$8,0))/SUMIFS(14:14,$8:$8,"&gt;="&amp;DATE(YEAR(KV$8)-1,1,1),$8:$8,"&lt;="&amp;EOMONTH(KV$8,-12))-1</f>
        <v/>
      </c>
      <c r="KW17" s="1318">
        <f>SUMIFS(14:14,$8:$8,"&gt;="&amp;DATE(YEAR(KW$8),1,1),$8:$8,"&lt;="&amp;EOMONTH(KW$8,0))/SUMIFS(14:14,$8:$8,"&gt;="&amp;DATE(YEAR(KW$8)-1,1,1),$8:$8,"&lt;="&amp;EOMONTH(KW$8,-12))-1</f>
        <v/>
      </c>
      <c r="KX17" s="1318">
        <f>SUMIFS(14:14,$8:$8,"&gt;="&amp;DATE(YEAR(KX$8),1,1),$8:$8,"&lt;="&amp;EOMONTH(KX$8,0))/SUMIFS(14:14,$8:$8,"&gt;="&amp;DATE(YEAR(KX$8)-1,1,1),$8:$8,"&lt;="&amp;EOMONTH(KX$8,-12))-1</f>
        <v/>
      </c>
      <c r="KY17" s="1318">
        <f>SUMIFS(14:14,$8:$8,"&gt;="&amp;DATE(YEAR(KY$8),1,1),$8:$8,"&lt;="&amp;EOMONTH(KY$8,0))/SUMIFS(14:14,$8:$8,"&gt;="&amp;DATE(YEAR(KY$8)-1,1,1),$8:$8,"&lt;="&amp;EOMONTH(KY$8,-12))-1</f>
        <v/>
      </c>
      <c r="KZ17" s="1318">
        <f>SUMIFS(14:14,$8:$8,"&gt;="&amp;DATE(YEAR(KZ$8),1,1),$8:$8,"&lt;="&amp;EOMONTH(KZ$8,0))/SUMIFS(14:14,$8:$8,"&gt;="&amp;DATE(YEAR(KZ$8)-1,1,1),$8:$8,"&lt;="&amp;EOMONTH(KZ$8,-12))-1</f>
        <v/>
      </c>
      <c r="LA17" s="1318">
        <f>SUMIFS(14:14,$8:$8,"&gt;="&amp;DATE(YEAR(LA$8),1,1),$8:$8,"&lt;="&amp;EOMONTH(LA$8,0))/SUMIFS(14:14,$8:$8,"&gt;="&amp;DATE(YEAR(LA$8)-1,1,1),$8:$8,"&lt;="&amp;EOMONTH(LA$8,-12))-1</f>
        <v/>
      </c>
      <c r="LB17" s="1318" t="n"/>
      <c r="LC17" s="1318" t="n"/>
      <c r="LD17" s="1318" t="n"/>
      <c r="LE17" s="1318" t="n"/>
      <c r="LF17" s="1318" t="n"/>
      <c r="LG17" s="1318" t="n"/>
      <c r="LH17" s="1318" t="n"/>
      <c r="LI17" s="1318" t="n"/>
      <c r="LJ17" s="1318" t="n"/>
      <c r="LK17" s="1318" t="n"/>
      <c r="LL17" s="1318" t="n"/>
      <c r="LM17" s="1318" t="n"/>
      <c r="LN17" s="1318" t="n"/>
      <c r="LO17" s="1318" t="n"/>
      <c r="LP17" s="1318" t="n"/>
      <c r="LQ17" s="1318" t="n"/>
      <c r="LR17" s="1318" t="n"/>
      <c r="LS17" s="1318" t="n"/>
    </row>
    <row r="18" ht="15" customHeight="1" s="239">
      <c r="A18" s="1319" t="inlineStr">
        <is>
          <t>SW Pacific</t>
        </is>
      </c>
      <c r="B18" s="1320" t="n">
        <v>2289.033380450147</v>
      </c>
      <c r="C18" s="1319" t="n">
        <v>2050.486619549853</v>
      </c>
      <c r="D18" s="1319" t="n">
        <v>2182.004127966976</v>
      </c>
      <c r="E18" s="1319" t="n">
        <v>1782.714715546621</v>
      </c>
      <c r="F18" s="1319" t="n">
        <v>1802.059156486403</v>
      </c>
      <c r="G18" s="1319" t="n">
        <v>1466.306999999999</v>
      </c>
      <c r="H18" s="1319" t="n">
        <v>1960.985000000001</v>
      </c>
      <c r="I18" s="1319" t="n">
        <v>1928.187</v>
      </c>
      <c r="J18" s="1319" t="n">
        <v>1873.800000000001</v>
      </c>
      <c r="K18" s="1319" t="n">
        <v>1969.034</v>
      </c>
      <c r="L18" s="1319" t="n">
        <v>2067.983</v>
      </c>
      <c r="M18" s="1319" t="n">
        <v>2099.526561043802</v>
      </c>
      <c r="N18" s="1320" t="n">
        <v>2105.224</v>
      </c>
      <c r="O18" s="1319" t="n">
        <v>1991.538</v>
      </c>
      <c r="P18" s="1319" t="n">
        <v>2114.362</v>
      </c>
      <c r="Q18" s="1319" t="n">
        <v>2012.986</v>
      </c>
      <c r="R18" s="1319" t="n">
        <v>2071.181</v>
      </c>
      <c r="S18" s="1319" t="n">
        <v>1988.203</v>
      </c>
      <c r="T18" s="1319" t="n">
        <v>2074.655</v>
      </c>
      <c r="U18" s="1319" t="n">
        <v>2070.406</v>
      </c>
      <c r="V18" s="1319" t="n">
        <v>2193.375</v>
      </c>
      <c r="W18" s="1319" t="n">
        <v>2264.331</v>
      </c>
      <c r="X18" s="1319" t="n">
        <v>2195.752</v>
      </c>
      <c r="Y18" s="1319" t="n">
        <v>2252.792</v>
      </c>
      <c r="Z18" s="1320" t="n">
        <v>2269.695</v>
      </c>
      <c r="AA18" s="1319" t="n">
        <v>2037.132</v>
      </c>
      <c r="AB18" s="1319" t="n">
        <v>2257.366</v>
      </c>
      <c r="AC18" s="1319" t="n">
        <v>2174.819</v>
      </c>
      <c r="AD18" s="1319" t="n">
        <v>2240.64</v>
      </c>
      <c r="AE18" s="1319" t="n">
        <v>2168.308</v>
      </c>
      <c r="AF18" s="1319" t="n">
        <v>1979.119</v>
      </c>
      <c r="AG18" s="1319" t="n">
        <v>2022.686</v>
      </c>
      <c r="AH18" s="1319" t="n">
        <v>1993.992</v>
      </c>
      <c r="AI18" s="1319" t="n">
        <v>2041.725</v>
      </c>
      <c r="AJ18" s="1319" t="n">
        <v>1802.813</v>
      </c>
      <c r="AK18" s="1319" t="n">
        <v>2081.412</v>
      </c>
      <c r="AL18" s="1320" t="n">
        <v>2072.712</v>
      </c>
      <c r="AM18" s="1319" t="n">
        <v>1714.988</v>
      </c>
      <c r="AN18" s="1319" t="n">
        <v>1858.794</v>
      </c>
      <c r="AO18" s="1319" t="n">
        <v>1735.236</v>
      </c>
      <c r="AP18" s="1319" t="n">
        <v>1840.25</v>
      </c>
      <c r="AQ18" s="1319" t="n">
        <v>1898.527</v>
      </c>
      <c r="AR18" s="1319" t="n">
        <v>2100.789</v>
      </c>
      <c r="AS18" s="1319" t="n">
        <v>2230.661</v>
      </c>
      <c r="AT18" s="1319" t="n">
        <v>2139.392</v>
      </c>
      <c r="AU18" s="1319" t="n">
        <v>2285.111</v>
      </c>
      <c r="AV18" s="1319" t="n">
        <v>2326.991</v>
      </c>
      <c r="AW18" s="1319" t="n">
        <v>2470.672</v>
      </c>
      <c r="AX18" s="1320" t="n">
        <v>1050.852</v>
      </c>
      <c r="AY18" s="1320" t="n">
        <v>944</v>
      </c>
      <c r="AZ18" s="1320" t="n">
        <v>1030.591408591409</v>
      </c>
      <c r="BA18" s="1320" t="n">
        <v>718.4620797498046</v>
      </c>
      <c r="BB18" s="1320" t="n">
        <v>523.7764771460423</v>
      </c>
      <c r="BC18" s="1320" t="n">
        <v>490.8</v>
      </c>
      <c r="BD18" s="1320" t="n">
        <v>713.6</v>
      </c>
      <c r="BE18" s="1320" t="n">
        <v>809.7</v>
      </c>
      <c r="BF18" s="1320" t="n">
        <v>820.4609826296729</v>
      </c>
      <c r="BG18" s="1320" t="n">
        <v>938.5</v>
      </c>
      <c r="BH18" s="1320" t="n">
        <v>1005.793404868133</v>
      </c>
      <c r="BI18" s="1320" t="n">
        <v>1065</v>
      </c>
      <c r="BJ18" s="1320" t="n">
        <v>1062.923</v>
      </c>
      <c r="BK18" s="1320" t="n">
        <v>995.927</v>
      </c>
      <c r="BL18" s="1320" t="n">
        <v>1031.622</v>
      </c>
      <c r="BM18" s="1320" t="n">
        <v>918.913</v>
      </c>
      <c r="BN18" s="1320" t="n">
        <v>939.655</v>
      </c>
      <c r="BO18" s="1320" t="n">
        <v>937.275</v>
      </c>
      <c r="BP18" s="1320" t="n">
        <v>998.798</v>
      </c>
      <c r="BQ18" s="1320" t="n">
        <v>985.022</v>
      </c>
      <c r="BR18" s="1320" t="n">
        <v>985.246</v>
      </c>
      <c r="BS18" s="1320" t="n">
        <v>1025.81</v>
      </c>
      <c r="BT18" s="1320" t="n">
        <v>1263.264</v>
      </c>
      <c r="BU18" s="1320" t="n">
        <v>1321.14</v>
      </c>
      <c r="BV18" s="1320" t="n">
        <v>1325.483</v>
      </c>
      <c r="BW18" s="1320" t="n">
        <v>1181.845</v>
      </c>
      <c r="BX18" s="1320" t="n">
        <v>1295.979</v>
      </c>
      <c r="BY18" s="1320" t="n">
        <v>1163.794</v>
      </c>
      <c r="BZ18" s="1320" t="n">
        <v>1185.347</v>
      </c>
      <c r="CA18" s="1320" t="n">
        <v>1157.127</v>
      </c>
      <c r="CB18" s="1320" t="n">
        <v>1208.603</v>
      </c>
      <c r="CC18" s="1320" t="n">
        <v>1189.84</v>
      </c>
      <c r="CD18" s="1320" t="n">
        <v>1153.56</v>
      </c>
      <c r="CE18" s="1320" t="n">
        <v>1211.269</v>
      </c>
      <c r="CF18" s="1320" t="n">
        <v>1261.479</v>
      </c>
      <c r="CG18" s="1320" t="n">
        <v>1321.883</v>
      </c>
      <c r="CH18" s="1320" t="n">
        <v>1321.584</v>
      </c>
      <c r="CI18" s="1320" t="n">
        <v>1195.384</v>
      </c>
      <c r="CJ18" s="1321" t="n">
        <v>1291.435</v>
      </c>
      <c r="CK18" s="1321" t="n">
        <v>1091.4</v>
      </c>
      <c r="CL18" s="1322" t="n">
        <v>1115.7</v>
      </c>
      <c r="CM18" s="1322" t="n">
        <v>1080.363</v>
      </c>
      <c r="CN18" s="1319" t="n">
        <v>1132.596</v>
      </c>
      <c r="CO18" s="1319" t="n">
        <v>1104.122</v>
      </c>
      <c r="CP18" s="1319" t="n">
        <v>1091.64</v>
      </c>
      <c r="CQ18" s="1319" t="n">
        <v>1166</v>
      </c>
      <c r="CR18" s="1319" t="n">
        <v>1305</v>
      </c>
      <c r="CS18" s="1319" t="n">
        <v>1351.352</v>
      </c>
      <c r="CT18" s="1319" t="n">
        <v>1347.822</v>
      </c>
      <c r="CU18" s="1319" t="n">
        <v>1217.708</v>
      </c>
      <c r="CV18" s="1319" t="n">
        <v>1294</v>
      </c>
      <c r="CW18" s="1320" t="n">
        <v>1092.609</v>
      </c>
      <c r="CX18" s="1320" t="n">
        <v>1122.074</v>
      </c>
      <c r="CY18" s="1320" t="n">
        <v>1093.125</v>
      </c>
      <c r="CZ18" s="1320" t="n">
        <v>1127.383</v>
      </c>
      <c r="DA18" s="1320" t="n">
        <v>1127.908</v>
      </c>
      <c r="DB18" s="1320" t="n">
        <v>1099.706</v>
      </c>
      <c r="DC18" s="1320" t="n">
        <v>1275.148</v>
      </c>
      <c r="DD18" s="1320" t="n">
        <v>1290.649</v>
      </c>
      <c r="DE18" s="1320" t="n">
        <v>1500.771</v>
      </c>
      <c r="DF18" s="1320" t="n">
        <v>1501.18</v>
      </c>
      <c r="DG18" s="1320" t="n">
        <v>1458.901</v>
      </c>
      <c r="DH18" s="1320" t="n">
        <v>1535.567</v>
      </c>
      <c r="DI18" s="1320" t="n">
        <v>1356.589</v>
      </c>
      <c r="DJ18" s="1320" t="n">
        <v>1404.968</v>
      </c>
      <c r="DK18" s="1320" t="n">
        <v>1359.705</v>
      </c>
      <c r="DL18" s="1320" t="n">
        <v>1416.584</v>
      </c>
      <c r="DM18" s="1320" t="n">
        <v>1392.454</v>
      </c>
      <c r="DN18" s="1320" t="n">
        <v>1361.846</v>
      </c>
      <c r="DO18" s="1320" t="n">
        <v>1506.067</v>
      </c>
      <c r="DP18" s="1320" t="n">
        <v>1665.592</v>
      </c>
      <c r="DQ18" s="1320" t="n">
        <v>1729.34</v>
      </c>
      <c r="DR18" s="1320" t="n">
        <v>1733.294</v>
      </c>
      <c r="DS18" s="1320" t="n">
        <v>1519.292</v>
      </c>
      <c r="DT18" s="1320" t="n">
        <v>1651.207</v>
      </c>
      <c r="DU18" s="1320" t="n">
        <v>1479.153</v>
      </c>
      <c r="DV18" s="1320" t="n">
        <v>1421.994</v>
      </c>
      <c r="DW18" s="1320" t="n">
        <v>1350.342</v>
      </c>
      <c r="DX18" s="1320" t="n">
        <v>1411.887</v>
      </c>
      <c r="DY18" s="1320" t="n">
        <v>1409.217</v>
      </c>
      <c r="DZ18" s="1320" t="n">
        <v>1316.752</v>
      </c>
      <c r="EA18" s="1320" t="n">
        <v>1392.404</v>
      </c>
      <c r="EB18" s="1320" t="n">
        <v>1531.495</v>
      </c>
      <c r="EC18" s="1320" t="n">
        <v>1742.106</v>
      </c>
      <c r="ED18" s="1320" t="n">
        <v>1745.611</v>
      </c>
      <c r="EE18" s="1320" t="n">
        <v>1582.202</v>
      </c>
      <c r="EF18" s="1320" t="n">
        <v>1648.388</v>
      </c>
      <c r="EG18" s="1320" t="n">
        <v>1367.827</v>
      </c>
      <c r="EH18" s="1320" t="n">
        <v>1410.047</v>
      </c>
      <c r="EI18" s="1320" t="n">
        <v>1418.585</v>
      </c>
      <c r="EJ18" s="1320" t="n">
        <v>1478.103</v>
      </c>
      <c r="EK18" s="1320" t="n">
        <v>1462.774</v>
      </c>
      <c r="EL18" s="1320" t="n">
        <v>1403.441</v>
      </c>
      <c r="EM18" s="1320" t="n">
        <v>1499.727</v>
      </c>
      <c r="EN18" s="1320" t="n">
        <v>1555.137</v>
      </c>
      <c r="EO18" s="1320" t="n">
        <v>1755.184</v>
      </c>
      <c r="EP18" s="1320" t="n">
        <v>1751.807</v>
      </c>
      <c r="EQ18" s="1320" t="n">
        <v>1581.745</v>
      </c>
      <c r="ER18" s="1320" t="n">
        <v>1636.784</v>
      </c>
      <c r="ES18" s="1320" t="n">
        <v>1496.558</v>
      </c>
      <c r="ET18" s="1320" t="n">
        <v>1520.125</v>
      </c>
      <c r="EU18" s="1320" t="n">
        <v>1456.604</v>
      </c>
      <c r="EV18" s="1320" t="n">
        <v>1544.467</v>
      </c>
      <c r="EW18" s="1320" t="n">
        <v>1541.28</v>
      </c>
      <c r="EX18" s="1320" t="n">
        <v>1495.792</v>
      </c>
      <c r="EY18" s="1320" t="n">
        <v>1555.47</v>
      </c>
      <c r="EZ18" s="1320" t="n">
        <v>1658.082</v>
      </c>
      <c r="FA18" s="1320" t="n">
        <v>1842.781</v>
      </c>
      <c r="FB18" s="1320" t="n">
        <v>1853.266</v>
      </c>
      <c r="FC18" s="1320" t="n">
        <v>1613.412</v>
      </c>
      <c r="FD18" s="1320" t="n">
        <v>1659.524</v>
      </c>
      <c r="FE18" s="1320" t="n">
        <v>1453.497</v>
      </c>
      <c r="FF18" s="1320" t="n">
        <v>1473.7</v>
      </c>
      <c r="FG18" s="1320" t="n">
        <v>1428.836</v>
      </c>
      <c r="FH18" s="1320" t="n">
        <v>1459.945</v>
      </c>
      <c r="FI18" s="1320" t="n">
        <v>1431.32</v>
      </c>
      <c r="FJ18" s="1320" t="n">
        <v>1419.474</v>
      </c>
      <c r="FK18" s="1320" t="n">
        <v>1469.408</v>
      </c>
      <c r="FL18" s="1320" t="n">
        <v>1411.314</v>
      </c>
      <c r="FM18" s="1320" t="n">
        <v>1630.143</v>
      </c>
      <c r="FN18" s="1320" t="n">
        <v>1636.246</v>
      </c>
      <c r="FO18" s="1320" t="n">
        <v>1462.772</v>
      </c>
      <c r="FP18" s="1320" t="n">
        <v>1452.39</v>
      </c>
      <c r="FQ18" s="1320" t="n">
        <v>1412.657</v>
      </c>
      <c r="FR18" s="1320" t="n">
        <v>1422.845</v>
      </c>
      <c r="FS18" s="1320" t="n">
        <v>1395.684</v>
      </c>
      <c r="FT18" s="1320" t="n">
        <v>1440.55</v>
      </c>
      <c r="FU18" s="1320" t="n">
        <v>1436.489</v>
      </c>
      <c r="FV18" s="1320" t="n">
        <v>1366.368</v>
      </c>
      <c r="FW18" s="1320" t="n">
        <v>1458.996</v>
      </c>
      <c r="FX18" s="1320" t="n">
        <v>1403.353</v>
      </c>
      <c r="FY18" s="1320" t="n">
        <v>1601.886</v>
      </c>
      <c r="FZ18" s="1320" t="n">
        <v>1602.123</v>
      </c>
      <c r="GA18" s="1320" t="n">
        <v>1451.844</v>
      </c>
      <c r="GB18" s="1320" t="n">
        <v>1460.14</v>
      </c>
      <c r="GC18" s="1320" t="n">
        <v>1465.742</v>
      </c>
      <c r="GD18" s="1320" t="n">
        <v>1443.139</v>
      </c>
      <c r="GE18" s="1320" t="n">
        <v>1425.594</v>
      </c>
      <c r="GF18" s="1320" t="n">
        <v>1518.01</v>
      </c>
      <c r="GG18" s="1320" t="n">
        <v>1516.337</v>
      </c>
      <c r="GH18" s="1320" t="n">
        <v>1462.287</v>
      </c>
      <c r="GI18" s="1320" t="n">
        <v>1514.629</v>
      </c>
      <c r="GJ18" s="1320" t="n">
        <v>1470.313</v>
      </c>
      <c r="GK18" s="1320" t="n">
        <v>1702.147</v>
      </c>
      <c r="GL18" s="1320" t="n">
        <v>1712.703</v>
      </c>
      <c r="GM18" s="1320" t="n">
        <v>1581.263</v>
      </c>
      <c r="GN18" s="1320" t="n">
        <v>1644.138</v>
      </c>
      <c r="GO18" s="1320" t="n">
        <v>1536.483</v>
      </c>
      <c r="GP18" s="1320" t="n">
        <v>1589.466</v>
      </c>
      <c r="GQ18" s="1320" t="n">
        <v>1527.967</v>
      </c>
      <c r="GR18" s="1320" t="n">
        <v>1587.88</v>
      </c>
      <c r="GS18" s="1320" t="n">
        <v>1590.137</v>
      </c>
      <c r="GT18" s="1320" t="n">
        <v>1538.707</v>
      </c>
      <c r="GU18" s="1320" t="n">
        <v>1627.514</v>
      </c>
      <c r="GV18" s="1320" t="n">
        <v>1577.855</v>
      </c>
      <c r="GW18" s="1320" t="n">
        <v>1835.935</v>
      </c>
      <c r="GX18" s="1320" t="n">
        <v>1841.313</v>
      </c>
      <c r="GY18" s="1320" t="n">
        <v>1724.459</v>
      </c>
      <c r="GZ18" s="1320" t="n">
        <v>1644.975</v>
      </c>
      <c r="HA18" s="1320" t="n">
        <v>1580.473</v>
      </c>
      <c r="HB18" s="1320" t="n">
        <v>1591.938</v>
      </c>
      <c r="HC18" s="1320" t="n">
        <v>1527.629</v>
      </c>
      <c r="HD18" s="1320" t="n">
        <v>1622.826</v>
      </c>
      <c r="HE18" s="1320" t="n">
        <v>1580.229</v>
      </c>
      <c r="HF18" s="1320" t="n">
        <v>1559.996</v>
      </c>
      <c r="HG18" s="1320" t="n">
        <v>1601.351</v>
      </c>
      <c r="HH18" s="1320" t="n">
        <v>1583.553</v>
      </c>
      <c r="HI18" s="1320" t="n">
        <v>1843.321</v>
      </c>
      <c r="HJ18" s="892" t="n">
        <v>1844.851</v>
      </c>
      <c r="HK18" s="892" t="n">
        <v>1671.253</v>
      </c>
      <c r="HL18" s="892" t="n">
        <v>1739.065</v>
      </c>
      <c r="HM18" s="892" t="n">
        <v>1655.427</v>
      </c>
      <c r="HN18" s="892" t="n">
        <v>1608.875</v>
      </c>
      <c r="HO18" s="892" t="n">
        <v>1549.174</v>
      </c>
      <c r="HP18" s="892" t="n">
        <v>1688.586</v>
      </c>
      <c r="HQ18" s="892" t="n">
        <v>1659.127</v>
      </c>
      <c r="HR18" s="892" t="n">
        <v>1621.148</v>
      </c>
      <c r="HS18" s="892" t="n">
        <v>1704.648</v>
      </c>
      <c r="HT18" s="892" t="n">
        <v>1676.751</v>
      </c>
      <c r="HU18" s="892" t="n">
        <v>2083.238</v>
      </c>
      <c r="HV18" s="892" t="n">
        <v>2073.64</v>
      </c>
      <c r="HW18" s="892" t="n">
        <v>1881.336</v>
      </c>
      <c r="HX18" s="892" t="n">
        <v>1838.498</v>
      </c>
      <c r="HY18" s="892" t="n">
        <v>1675.584</v>
      </c>
      <c r="HZ18" s="892" t="n">
        <v>1513.165</v>
      </c>
      <c r="IA18" s="892" t="n">
        <v>1538.962</v>
      </c>
      <c r="IB18" s="892" t="n">
        <v>1751.287</v>
      </c>
      <c r="IC18" s="892" t="n">
        <v>1716.737</v>
      </c>
      <c r="ID18" s="892" t="n">
        <v>1343.907</v>
      </c>
      <c r="IE18" s="892" t="n">
        <v>1486.973</v>
      </c>
      <c r="IF18" s="892" t="n">
        <v>1444.815</v>
      </c>
      <c r="IG18" s="892" t="n">
        <v>1891.968</v>
      </c>
      <c r="IH18" s="892" t="n">
        <v>1888.674</v>
      </c>
      <c r="II18" s="892" t="n">
        <v>1685.442</v>
      </c>
      <c r="IJ18" s="892" t="n">
        <v>1511.38</v>
      </c>
      <c r="IK18" s="892" t="n">
        <v>1481.776</v>
      </c>
      <c r="IL18" s="892" t="n">
        <v>1402.199</v>
      </c>
      <c r="IM18" s="892" t="n">
        <v>1417.657</v>
      </c>
      <c r="IN18" s="892" t="n">
        <v>1528.275</v>
      </c>
      <c r="IO18" s="892" t="n">
        <v>1496.876</v>
      </c>
      <c r="IP18" s="892" t="n">
        <v>1452.67</v>
      </c>
      <c r="IQ18" s="892" t="n">
        <v>1542.647</v>
      </c>
      <c r="IR18" s="892" t="n">
        <v>1464.751</v>
      </c>
      <c r="IS18" s="892" t="n">
        <v>1926.269</v>
      </c>
      <c r="IT18" s="892" t="n">
        <v>2016.481</v>
      </c>
      <c r="IU18" s="892" t="n">
        <v>1592.866</v>
      </c>
      <c r="IV18" s="892" t="n">
        <v>635.873</v>
      </c>
      <c r="IW18" s="892" t="n">
        <v>35.999</v>
      </c>
      <c r="IX18" s="893" t="n">
        <v>37.271</v>
      </c>
      <c r="IY18" s="893" t="n">
        <v>67.5</v>
      </c>
      <c r="IZ18" s="893" t="n">
        <v>107.968</v>
      </c>
      <c r="JA18" s="893" t="n">
        <v>114.21</v>
      </c>
      <c r="JB18" s="893" t="n">
        <v>153.259</v>
      </c>
      <c r="JC18" s="893" t="n">
        <v>163.643</v>
      </c>
      <c r="JD18" s="893" t="n">
        <v>162.958</v>
      </c>
      <c r="JE18" s="893" t="n">
        <v>253.083</v>
      </c>
      <c r="JF18" s="893" t="n">
        <v>308.123</v>
      </c>
      <c r="JG18" s="893" t="n">
        <v>180.611</v>
      </c>
      <c r="JH18" s="893" t="n">
        <v>19.759</v>
      </c>
      <c r="JI18" s="893" t="n">
        <v>64.77800000000001</v>
      </c>
      <c r="JJ18" s="893" t="n">
        <v>97.205</v>
      </c>
      <c r="JK18" s="893" t="n">
        <v>264.309</v>
      </c>
      <c r="JL18" s="893" t="n">
        <v>281.377</v>
      </c>
      <c r="JM18" s="893" t="n">
        <v>313.691</v>
      </c>
      <c r="JN18" s="893" t="n">
        <v>323.939</v>
      </c>
      <c r="JO18" s="893" t="n">
        <v>416.606</v>
      </c>
      <c r="JP18" s="893" t="n">
        <v>469.934</v>
      </c>
      <c r="JQ18" s="893" t="n">
        <v>442.418</v>
      </c>
      <c r="JR18" s="893" t="n">
        <v>27.169</v>
      </c>
      <c r="JS18" s="893" t="n">
        <v>27.219</v>
      </c>
      <c r="JT18" s="893" t="n">
        <v>26.44</v>
      </c>
      <c r="JU18" s="893" t="n">
        <v>46.062</v>
      </c>
      <c r="JV18" s="893" t="n">
        <v>55.663</v>
      </c>
      <c r="JW18" s="893" t="n">
        <v>297.982</v>
      </c>
      <c r="JX18" s="893" t="n">
        <v>248.629</v>
      </c>
      <c r="JY18" s="893" t="n">
        <v>205.987</v>
      </c>
      <c r="JZ18" s="893" t="n">
        <v>176.998</v>
      </c>
      <c r="KA18" s="893" t="n">
        <v>435.576</v>
      </c>
      <c r="KB18" s="893" t="n">
        <v>476.134</v>
      </c>
      <c r="KC18" s="893" t="n">
        <v>687.234</v>
      </c>
      <c r="KD18" s="893" t="n">
        <v>841.385</v>
      </c>
      <c r="KE18" s="893" t="n">
        <v>882.462</v>
      </c>
      <c r="KF18" s="893" t="n">
        <v>755.201</v>
      </c>
      <c r="KG18" s="893" t="n">
        <v>831.835</v>
      </c>
      <c r="KH18" s="893" t="n">
        <v>906.9640000000001</v>
      </c>
      <c r="KI18" s="893" t="n">
        <v>879.325</v>
      </c>
      <c r="KJ18" s="893" t="n">
        <v>889.246</v>
      </c>
      <c r="KK18" s="893" t="n">
        <v>924.728</v>
      </c>
      <c r="KL18" s="893" t="n">
        <v>917.546</v>
      </c>
      <c r="KM18" s="893" t="n">
        <v>953.7140000000001</v>
      </c>
      <c r="KN18" s="893" t="n">
        <v>1144.636</v>
      </c>
      <c r="KO18" s="893" t="n">
        <v>1272.252</v>
      </c>
      <c r="KP18" s="893" t="n">
        <v>1400.675</v>
      </c>
      <c r="KQ18" s="893" t="n">
        <v>1386.421</v>
      </c>
      <c r="KR18" s="893" t="n">
        <v>1353.118</v>
      </c>
      <c r="KS18" s="893" t="n">
        <v>1162.785</v>
      </c>
      <c r="KT18" s="893" t="n">
        <v>1077.732</v>
      </c>
      <c r="KU18" s="893" t="n">
        <v>1145.751</v>
      </c>
      <c r="KV18" s="893" t="n">
        <v>1118.066</v>
      </c>
      <c r="KW18" s="893" t="n">
        <v>1244.914</v>
      </c>
      <c r="KX18" s="893" t="n">
        <v>1274.047</v>
      </c>
      <c r="KY18" s="893" t="n">
        <v>1378.466</v>
      </c>
      <c r="KZ18" s="893" t="n">
        <v>1404.544</v>
      </c>
      <c r="LA18" s="893" t="n">
        <v>1642.114</v>
      </c>
      <c r="LB18" s="893" t="n"/>
      <c r="LC18" s="893" t="n"/>
      <c r="LD18" s="893" t="n"/>
      <c r="LE18" s="893" t="n"/>
      <c r="LF18" s="893" t="n"/>
      <c r="LG18" s="893" t="n"/>
      <c r="LH18" s="893" t="n"/>
      <c r="LI18" s="893" t="n"/>
      <c r="LJ18" s="893" t="n"/>
      <c r="LK18" s="893" t="n"/>
      <c r="LL18" s="893" t="n"/>
      <c r="LM18" s="893" t="n"/>
      <c r="LN18" s="893" t="n"/>
      <c r="LO18" s="893" t="n"/>
      <c r="LP18" s="893" t="n"/>
      <c r="LQ18" s="893" t="n"/>
      <c r="LR18" s="893" t="n"/>
      <c r="LS18" s="893" t="n"/>
    </row>
    <row r="19">
      <c r="A19" s="885" t="inlineStr">
        <is>
          <t>m cg %</t>
        </is>
      </c>
      <c r="B19" s="1318" t="n"/>
      <c r="C19" s="1318">
        <f>C18/B18-1</f>
        <v/>
      </c>
      <c r="D19" s="1318">
        <f>D18/C18-1</f>
        <v/>
      </c>
      <c r="E19" s="1318">
        <f>E18/D18-1</f>
        <v/>
      </c>
      <c r="F19" s="1318">
        <f>F18/E18-1</f>
        <v/>
      </c>
      <c r="G19" s="1318">
        <f>G18/F18-1</f>
        <v/>
      </c>
      <c r="H19" s="1318">
        <f>H18/G18-1</f>
        <v/>
      </c>
      <c r="I19" s="1318">
        <f>I18/H18-1</f>
        <v/>
      </c>
      <c r="J19" s="1318">
        <f>J18/I18-1</f>
        <v/>
      </c>
      <c r="K19" s="1318">
        <f>K18/J18-1</f>
        <v/>
      </c>
      <c r="L19" s="1318">
        <f>L18/K18-1</f>
        <v/>
      </c>
      <c r="M19" s="1318">
        <f>M18/L18-1</f>
        <v/>
      </c>
      <c r="N19" s="1318">
        <f>N18/M18-1</f>
        <v/>
      </c>
      <c r="O19" s="1318">
        <f>O18/N18-1</f>
        <v/>
      </c>
      <c r="P19" s="1318">
        <f>P18/O18-1</f>
        <v/>
      </c>
      <c r="Q19" s="1318">
        <f>Q18/P18-1</f>
        <v/>
      </c>
      <c r="R19" s="1318">
        <f>R18/Q18-1</f>
        <v/>
      </c>
      <c r="S19" s="1318">
        <f>S18/R18-1</f>
        <v/>
      </c>
      <c r="T19" s="1318">
        <f>T18/S18-1</f>
        <v/>
      </c>
      <c r="U19" s="1318">
        <f>U18/T18-1</f>
        <v/>
      </c>
      <c r="V19" s="1318">
        <f>V18/U18-1</f>
        <v/>
      </c>
      <c r="W19" s="1318">
        <f>W18/V18-1</f>
        <v/>
      </c>
      <c r="X19" s="1318">
        <f>X18/W18-1</f>
        <v/>
      </c>
      <c r="Y19" s="1318">
        <f>Y18/X18-1</f>
        <v/>
      </c>
      <c r="Z19" s="1318">
        <f>Z18/Y18-1</f>
        <v/>
      </c>
      <c r="AA19" s="1318">
        <f>AA18/Z18-1</f>
        <v/>
      </c>
      <c r="AB19" s="1318">
        <f>AB18/AA18-1</f>
        <v/>
      </c>
      <c r="AC19" s="1318">
        <f>AC18/AB18-1</f>
        <v/>
      </c>
      <c r="AD19" s="1318">
        <f>AD18/AC18-1</f>
        <v/>
      </c>
      <c r="AE19" s="1318">
        <f>AE18/AD18-1</f>
        <v/>
      </c>
      <c r="AF19" s="1318">
        <f>AF18/AE18-1</f>
        <v/>
      </c>
      <c r="AG19" s="1318">
        <f>AG18/AF18-1</f>
        <v/>
      </c>
      <c r="AH19" s="1318">
        <f>AH18/AG18-1</f>
        <v/>
      </c>
      <c r="AI19" s="1318">
        <f>AI18/AH18-1</f>
        <v/>
      </c>
      <c r="AJ19" s="1318">
        <f>AJ18/AI18-1</f>
        <v/>
      </c>
      <c r="AK19" s="1318">
        <f>AK18/AJ18-1</f>
        <v/>
      </c>
      <c r="AL19" s="1318">
        <f>AL18/AK18-1</f>
        <v/>
      </c>
      <c r="AM19" s="1318">
        <f>AM18/AL18-1</f>
        <v/>
      </c>
      <c r="AN19" s="1318">
        <f>AN18/AM18-1</f>
        <v/>
      </c>
      <c r="AO19" s="1318">
        <f>AO18/AN18-1</f>
        <v/>
      </c>
      <c r="AP19" s="1318">
        <f>AP18/AO18-1</f>
        <v/>
      </c>
      <c r="AQ19" s="1318">
        <f>AQ18/AP18-1</f>
        <v/>
      </c>
      <c r="AR19" s="1318">
        <f>AR18/AQ18-1</f>
        <v/>
      </c>
      <c r="AS19" s="1318">
        <f>AS18/AR18-1</f>
        <v/>
      </c>
      <c r="AT19" s="1318">
        <f>AT18/AS18-1</f>
        <v/>
      </c>
      <c r="AU19" s="1318">
        <f>AU18/AT18-1</f>
        <v/>
      </c>
      <c r="AV19" s="1318">
        <f>AV18/AU18-1</f>
        <v/>
      </c>
      <c r="AW19" s="1318">
        <f>AW18/AV18-1</f>
        <v/>
      </c>
      <c r="AX19" s="1318">
        <f>AX18/AW18-1</f>
        <v/>
      </c>
      <c r="AY19" s="1318">
        <f>AY18/AX18-1</f>
        <v/>
      </c>
      <c r="AZ19" s="1318">
        <f>AZ18/AY18-1</f>
        <v/>
      </c>
      <c r="BA19" s="1318">
        <f>BA18/AZ18-1</f>
        <v/>
      </c>
      <c r="BB19" s="1318">
        <f>BB18/BA18-1</f>
        <v/>
      </c>
      <c r="BC19" s="1318">
        <f>BC18/BB18-1</f>
        <v/>
      </c>
      <c r="BD19" s="1318">
        <f>BD18/BC18-1</f>
        <v/>
      </c>
      <c r="BE19" s="1318">
        <f>BE18/BD18-1</f>
        <v/>
      </c>
      <c r="BF19" s="1318">
        <f>BF18/BE18-1</f>
        <v/>
      </c>
      <c r="BG19" s="1318">
        <f>BG18/BF18-1</f>
        <v/>
      </c>
      <c r="BH19" s="1318">
        <f>BH18/BG18-1</f>
        <v/>
      </c>
      <c r="BI19" s="1318">
        <f>BI18/BH18-1</f>
        <v/>
      </c>
      <c r="BJ19" s="1318">
        <f>BJ18/BI18-1</f>
        <v/>
      </c>
      <c r="BK19" s="1318">
        <f>BK18/BJ18-1</f>
        <v/>
      </c>
      <c r="BL19" s="1318">
        <f>BL18/BK18-1</f>
        <v/>
      </c>
      <c r="BM19" s="1318">
        <f>BM18/BL18-1</f>
        <v/>
      </c>
      <c r="BN19" s="1318">
        <f>BN18/BM18-1</f>
        <v/>
      </c>
      <c r="BO19" s="1318">
        <f>BO18/BN18-1</f>
        <v/>
      </c>
      <c r="BP19" s="1318">
        <f>BP18/BO18-1</f>
        <v/>
      </c>
      <c r="BQ19" s="1318">
        <f>BQ18/BP18-1</f>
        <v/>
      </c>
      <c r="BR19" s="1318">
        <f>BR18/BQ18-1</f>
        <v/>
      </c>
      <c r="BS19" s="1318">
        <f>BS18/BR18-1</f>
        <v/>
      </c>
      <c r="BT19" s="1318">
        <f>BT18/BS18-1</f>
        <v/>
      </c>
      <c r="BU19" s="1318">
        <f>BU18/BT18-1</f>
        <v/>
      </c>
      <c r="BV19" s="1318">
        <f>BV18/BU18-1</f>
        <v/>
      </c>
      <c r="BW19" s="1318">
        <f>BW18/BV18-1</f>
        <v/>
      </c>
      <c r="BX19" s="1318">
        <f>BX18/BW18-1</f>
        <v/>
      </c>
      <c r="BY19" s="1318">
        <f>BY18/BX18-1</f>
        <v/>
      </c>
      <c r="BZ19" s="1318">
        <f>BZ18/BY18-1</f>
        <v/>
      </c>
      <c r="CA19" s="1318">
        <f>CA18/BZ18-1</f>
        <v/>
      </c>
      <c r="CB19" s="1318">
        <f>CB18/CA18-1</f>
        <v/>
      </c>
      <c r="CC19" s="1318">
        <f>CC18/CB18-1</f>
        <v/>
      </c>
      <c r="CD19" s="1318">
        <f>CD18/CC18-1</f>
        <v/>
      </c>
      <c r="CE19" s="1318">
        <f>CE18/CD18-1</f>
        <v/>
      </c>
      <c r="CF19" s="1318">
        <f>CF18/CE18-1</f>
        <v/>
      </c>
      <c r="CG19" s="1318">
        <f>CG18/CF18-1</f>
        <v/>
      </c>
      <c r="CH19" s="1318">
        <f>CH18/CG18-1</f>
        <v/>
      </c>
      <c r="CI19" s="1318">
        <f>CI18/CH18-1</f>
        <v/>
      </c>
      <c r="CJ19" s="1318">
        <f>CJ18/CI18-1</f>
        <v/>
      </c>
      <c r="CK19" s="1318">
        <f>CK18/CJ18-1</f>
        <v/>
      </c>
      <c r="CL19" s="1318">
        <f>CL18/CK18-1</f>
        <v/>
      </c>
      <c r="CM19" s="1318">
        <f>CM18/CL18-1</f>
        <v/>
      </c>
      <c r="CN19" s="1318">
        <f>CN18/CM18-1</f>
        <v/>
      </c>
      <c r="CO19" s="1318">
        <f>CO18/CN18-1</f>
        <v/>
      </c>
      <c r="CP19" s="1318">
        <f>CP18/CO18-1</f>
        <v/>
      </c>
      <c r="CQ19" s="1318">
        <f>CQ18/CP18-1</f>
        <v/>
      </c>
      <c r="CR19" s="1318">
        <f>CR18/CQ18-1</f>
        <v/>
      </c>
      <c r="CS19" s="1318">
        <f>CS18/CR18-1</f>
        <v/>
      </c>
      <c r="CT19" s="1318">
        <f>CT18/CS18-1</f>
        <v/>
      </c>
      <c r="CU19" s="1318">
        <f>CU18/CT18-1</f>
        <v/>
      </c>
      <c r="CV19" s="1318">
        <f>CV18/CU18-1</f>
        <v/>
      </c>
      <c r="CW19" s="1318">
        <f>CW18/CV18-1</f>
        <v/>
      </c>
      <c r="CX19" s="1318">
        <f>CX18/CW18-1</f>
        <v/>
      </c>
      <c r="CY19" s="1318">
        <f>CY18/CX18-1</f>
        <v/>
      </c>
      <c r="CZ19" s="1318">
        <f>CZ18/CY18-1</f>
        <v/>
      </c>
      <c r="DA19" s="1318">
        <f>DA18/CZ18-1</f>
        <v/>
      </c>
      <c r="DB19" s="1318">
        <f>DB18/DA18-1</f>
        <v/>
      </c>
      <c r="DC19" s="1318">
        <f>DC18/DB18-1</f>
        <v/>
      </c>
      <c r="DD19" s="1318">
        <f>DD18/DC18-1</f>
        <v/>
      </c>
      <c r="DE19" s="1318">
        <f>DE18/DD18-1</f>
        <v/>
      </c>
      <c r="DF19" s="1318">
        <f>DF18/DE18-1</f>
        <v/>
      </c>
      <c r="DG19" s="1318">
        <f>DG18/DF18-1</f>
        <v/>
      </c>
      <c r="DH19" s="1318">
        <f>DH18/DG18-1</f>
        <v/>
      </c>
      <c r="DI19" s="1318">
        <f>DI18/DH18-1</f>
        <v/>
      </c>
      <c r="DJ19" s="1318">
        <f>DJ18/DI18-1</f>
        <v/>
      </c>
      <c r="DK19" s="1318">
        <f>DK18/DJ18-1</f>
        <v/>
      </c>
      <c r="DL19" s="1318">
        <f>DL18/DK18-1</f>
        <v/>
      </c>
      <c r="DM19" s="1318">
        <f>DM18/DL18-1</f>
        <v/>
      </c>
      <c r="DN19" s="1318">
        <f>DN18/DM18-1</f>
        <v/>
      </c>
      <c r="DO19" s="1318">
        <f>DO18/DN18-1</f>
        <v/>
      </c>
      <c r="DP19" s="1318">
        <f>DP18/DO18-1</f>
        <v/>
      </c>
      <c r="DQ19" s="1318">
        <f>DQ18/DP18-1</f>
        <v/>
      </c>
      <c r="DR19" s="1318">
        <f>DR18/DQ18-1</f>
        <v/>
      </c>
      <c r="DS19" s="1318">
        <f>DS18/DR18-1</f>
        <v/>
      </c>
      <c r="DT19" s="1318">
        <f>DT18/DS18-1</f>
        <v/>
      </c>
      <c r="DU19" s="1318">
        <f>DU18/DT18-1</f>
        <v/>
      </c>
      <c r="DV19" s="1318">
        <f>DV18/DU18-1</f>
        <v/>
      </c>
      <c r="DW19" s="1318">
        <f>DW18/DV18-1</f>
        <v/>
      </c>
      <c r="DX19" s="1318">
        <f>DX18/DW18-1</f>
        <v/>
      </c>
      <c r="DY19" s="1318">
        <f>DY18/DX18-1</f>
        <v/>
      </c>
      <c r="DZ19" s="1318">
        <f>DZ18/DY18-1</f>
        <v/>
      </c>
      <c r="EA19" s="1318">
        <f>EA18/DZ18-1</f>
        <v/>
      </c>
      <c r="EB19" s="1318">
        <f>EB18/EA18-1</f>
        <v/>
      </c>
      <c r="EC19" s="1318">
        <f>EC18/EB18-1</f>
        <v/>
      </c>
      <c r="ED19" s="1318">
        <f>ED18/EC18-1</f>
        <v/>
      </c>
      <c r="EE19" s="1318">
        <f>EE18/ED18-1</f>
        <v/>
      </c>
      <c r="EF19" s="1318">
        <f>EF18/EE18-1</f>
        <v/>
      </c>
      <c r="EG19" s="1318">
        <f>EG18/EF18-1</f>
        <v/>
      </c>
      <c r="EH19" s="1318">
        <f>EH18/EG18-1</f>
        <v/>
      </c>
      <c r="EI19" s="1318">
        <f>EI18/EH18-1</f>
        <v/>
      </c>
      <c r="EJ19" s="1318">
        <f>EJ18/EI18-1</f>
        <v/>
      </c>
      <c r="EK19" s="1318">
        <f>EK18/EJ18-1</f>
        <v/>
      </c>
      <c r="EL19" s="1318">
        <f>EL18/EK18-1</f>
        <v/>
      </c>
      <c r="EM19" s="1318">
        <f>EM18/EL18-1</f>
        <v/>
      </c>
      <c r="EN19" s="1318">
        <f>EN18/EM18-1</f>
        <v/>
      </c>
      <c r="EO19" s="1318">
        <f>EO18/EN18-1</f>
        <v/>
      </c>
      <c r="EP19" s="1318">
        <f>EP18/EO18-1</f>
        <v/>
      </c>
      <c r="EQ19" s="1318">
        <f>EQ18/EP18-1</f>
        <v/>
      </c>
      <c r="ER19" s="1318">
        <f>ER18/EQ18-1</f>
        <v/>
      </c>
      <c r="ES19" s="1318">
        <f>ES18/ER18-1</f>
        <v/>
      </c>
      <c r="ET19" s="1318">
        <f>ET18/ES18-1</f>
        <v/>
      </c>
      <c r="EU19" s="1318">
        <f>EU18/ET18-1</f>
        <v/>
      </c>
      <c r="EV19" s="1318">
        <f>EV18/EU18-1</f>
        <v/>
      </c>
      <c r="EW19" s="1318">
        <f>EW18/EV18-1</f>
        <v/>
      </c>
      <c r="EX19" s="1318">
        <f>EX18/EW18-1</f>
        <v/>
      </c>
      <c r="EY19" s="1318">
        <f>EY18/EX18-1</f>
        <v/>
      </c>
      <c r="EZ19" s="1318">
        <f>EZ18/EY18-1</f>
        <v/>
      </c>
      <c r="FA19" s="1318">
        <f>FA18/EZ18-1</f>
        <v/>
      </c>
      <c r="FB19" s="1318">
        <f>FB18/FA18-1</f>
        <v/>
      </c>
      <c r="FC19" s="1318">
        <f>FC18/FB18-1</f>
        <v/>
      </c>
      <c r="FD19" s="1318">
        <f>FD18/FC18-1</f>
        <v/>
      </c>
      <c r="FE19" s="1318">
        <f>FE18/FD18-1</f>
        <v/>
      </c>
      <c r="FF19" s="1318">
        <f>FF18/FE18-1</f>
        <v/>
      </c>
      <c r="FG19" s="1318">
        <f>FG18/FF18-1</f>
        <v/>
      </c>
      <c r="FH19" s="1318">
        <f>FH18/FG18-1</f>
        <v/>
      </c>
      <c r="FI19" s="1318">
        <f>FI18/FH18-1</f>
        <v/>
      </c>
      <c r="FJ19" s="1318">
        <f>FJ18/FI18-1</f>
        <v/>
      </c>
      <c r="FK19" s="1318">
        <f>FK18/FJ18-1</f>
        <v/>
      </c>
      <c r="FL19" s="1318">
        <f>FL18/FK18-1</f>
        <v/>
      </c>
      <c r="FM19" s="1318">
        <f>FM18/FL18-1</f>
        <v/>
      </c>
      <c r="FN19" s="1318">
        <f>FN18/FM18-1</f>
        <v/>
      </c>
      <c r="FO19" s="1318">
        <f>FO18/FN18-1</f>
        <v/>
      </c>
      <c r="FP19" s="1318">
        <f>FP18/FO18-1</f>
        <v/>
      </c>
      <c r="FQ19" s="1318">
        <f>FQ18/FP18-1</f>
        <v/>
      </c>
      <c r="FR19" s="1318">
        <f>FR18/FQ18-1</f>
        <v/>
      </c>
      <c r="FS19" s="1318">
        <f>FS18/FR18-1</f>
        <v/>
      </c>
      <c r="FT19" s="1318">
        <f>FT18/FS18-1</f>
        <v/>
      </c>
      <c r="FU19" s="1318">
        <f>FU18/FT18-1</f>
        <v/>
      </c>
      <c r="FV19" s="1318">
        <f>FV18/FU18-1</f>
        <v/>
      </c>
      <c r="FW19" s="1318">
        <f>FW18/FV18-1</f>
        <v/>
      </c>
      <c r="FX19" s="1318">
        <f>FX18/FW18-1</f>
        <v/>
      </c>
      <c r="FY19" s="1318">
        <f>FY18/FX18-1</f>
        <v/>
      </c>
      <c r="FZ19" s="1318">
        <f>FZ18/FY18-1</f>
        <v/>
      </c>
      <c r="GA19" s="1318">
        <f>GA18/FZ18-1</f>
        <v/>
      </c>
      <c r="GB19" s="1318">
        <f>GB18/GA18-1</f>
        <v/>
      </c>
      <c r="GC19" s="1318">
        <f>GC18/GB18-1</f>
        <v/>
      </c>
      <c r="GD19" s="1318">
        <f>GD18/GC18-1</f>
        <v/>
      </c>
      <c r="GE19" s="1318">
        <f>GE18/GD18-1</f>
        <v/>
      </c>
      <c r="GF19" s="1318">
        <f>GF18/GE18-1</f>
        <v/>
      </c>
      <c r="GG19" s="1318">
        <f>GG18/GF18-1</f>
        <v/>
      </c>
      <c r="GH19" s="1318">
        <f>GH18/GG18-1</f>
        <v/>
      </c>
      <c r="GI19" s="1318">
        <f>GI18/GH18-1</f>
        <v/>
      </c>
      <c r="GJ19" s="1318">
        <f>GJ18/GI18-1</f>
        <v/>
      </c>
      <c r="GK19" s="1318">
        <f>GK18/GJ18-1</f>
        <v/>
      </c>
      <c r="GL19" s="1318">
        <f>GL18/GK18-1</f>
        <v/>
      </c>
      <c r="GM19" s="1318">
        <f>GM18/GL18-1</f>
        <v/>
      </c>
      <c r="GN19" s="1318">
        <f>GN18/GM18-1</f>
        <v/>
      </c>
      <c r="GO19" s="1318">
        <f>GO18/GN18-1</f>
        <v/>
      </c>
      <c r="GP19" s="1318">
        <f>GP18/GO18-1</f>
        <v/>
      </c>
      <c r="GQ19" s="1318">
        <f>GQ18/GP18-1</f>
        <v/>
      </c>
      <c r="GR19" s="1318">
        <f>GR18/GQ18-1</f>
        <v/>
      </c>
      <c r="GS19" s="1318">
        <f>GS18/GR18-1</f>
        <v/>
      </c>
      <c r="GT19" s="1318">
        <f>GT18/GS18-1</f>
        <v/>
      </c>
      <c r="GU19" s="1318">
        <f>GU18/GT18-1</f>
        <v/>
      </c>
      <c r="GV19" s="1318">
        <f>GV18/GU18-1</f>
        <v/>
      </c>
      <c r="GW19" s="1318">
        <f>GW18/GV18-1</f>
        <v/>
      </c>
      <c r="GX19" s="1318">
        <f>GX18/GW18-1</f>
        <v/>
      </c>
      <c r="GY19" s="1318">
        <f>GY18/GX18-1</f>
        <v/>
      </c>
      <c r="GZ19" s="1318">
        <f>GZ18/GY18-1</f>
        <v/>
      </c>
      <c r="HA19" s="1318">
        <f>HA18/GZ18-1</f>
        <v/>
      </c>
      <c r="HB19" s="1318">
        <f>HB18/HA18-1</f>
        <v/>
      </c>
      <c r="HC19" s="1318">
        <f>HC18/HB18-1</f>
        <v/>
      </c>
      <c r="HD19" s="1318">
        <f>HD18/HC18-1</f>
        <v/>
      </c>
      <c r="HE19" s="1318">
        <f>HE18/HD18-1</f>
        <v/>
      </c>
      <c r="HF19" s="1318">
        <f>HF18/HE18-1</f>
        <v/>
      </c>
      <c r="HG19" s="1318">
        <f>HG18/HF18-1</f>
        <v/>
      </c>
      <c r="HH19" s="1318">
        <f>HH18/HG18-1</f>
        <v/>
      </c>
      <c r="HI19" s="1318">
        <f>HI18/HH18-1</f>
        <v/>
      </c>
      <c r="HJ19" s="1318">
        <f>HJ18/HI18-1</f>
        <v/>
      </c>
      <c r="HK19" s="1318">
        <f>HK18/HJ18-1</f>
        <v/>
      </c>
      <c r="HL19" s="1318">
        <f>HL18/HK18-1</f>
        <v/>
      </c>
      <c r="HM19" s="1318">
        <f>HM18/HL18-1</f>
        <v/>
      </c>
      <c r="HN19" s="1318">
        <f>HN18/HM18-1</f>
        <v/>
      </c>
      <c r="HO19" s="1318">
        <f>HO18/HN18-1</f>
        <v/>
      </c>
      <c r="HP19" s="1318">
        <f>HP18/HO18-1</f>
        <v/>
      </c>
      <c r="HQ19" s="1318">
        <f>HQ18/HP18-1</f>
        <v/>
      </c>
      <c r="HR19" s="1318">
        <f>HR18/HQ18-1</f>
        <v/>
      </c>
      <c r="HS19" s="1318">
        <f>HS18/HR18-1</f>
        <v/>
      </c>
      <c r="HT19" s="1318">
        <f>HT18/HS18-1</f>
        <v/>
      </c>
      <c r="HU19" s="1318">
        <f>HU18/HT18-1</f>
        <v/>
      </c>
      <c r="HV19" s="1318">
        <f>HV18/HU18-1</f>
        <v/>
      </c>
      <c r="HW19" s="1318">
        <f>HW18/HV18-1</f>
        <v/>
      </c>
      <c r="HX19" s="1318">
        <f>HX18/HW18-1</f>
        <v/>
      </c>
      <c r="HY19" s="1318">
        <f>HY18/HX18-1</f>
        <v/>
      </c>
      <c r="HZ19" s="1318">
        <f>HZ18/HY18-1</f>
        <v/>
      </c>
      <c r="IA19" s="1318">
        <f>IA18/HZ18-1</f>
        <v/>
      </c>
      <c r="IB19" s="1318">
        <f>IB18/IA18-1</f>
        <v/>
      </c>
      <c r="IC19" s="1318">
        <f>IC18/IB18-1</f>
        <v/>
      </c>
      <c r="ID19" s="1318">
        <f>ID18/IC18-1</f>
        <v/>
      </c>
      <c r="IE19" s="1318">
        <f>IE18/ID18-1</f>
        <v/>
      </c>
      <c r="IF19" s="1318">
        <f>IF18/IE18-1</f>
        <v/>
      </c>
      <c r="IG19" s="1318">
        <f>IG18/IF18-1</f>
        <v/>
      </c>
      <c r="IH19" s="1318">
        <f>IH18/IG18-1</f>
        <v/>
      </c>
      <c r="II19" s="1318">
        <f>II18/IH18-1</f>
        <v/>
      </c>
      <c r="IJ19" s="1318">
        <f>IJ18/II18-1</f>
        <v/>
      </c>
      <c r="IK19" s="1318">
        <f>IK18/IJ18-1</f>
        <v/>
      </c>
      <c r="IL19" s="1318">
        <f>IL18/IK18-1</f>
        <v/>
      </c>
      <c r="IM19" s="1318">
        <f>IM18/IL18-1</f>
        <v/>
      </c>
      <c r="IN19" s="1318">
        <f>IN18/IM18-1</f>
        <v/>
      </c>
      <c r="IO19" s="1318">
        <f>IO18/IN18-1</f>
        <v/>
      </c>
      <c r="IP19" s="1318">
        <f>IP18/IO18-1</f>
        <v/>
      </c>
      <c r="IQ19" s="1318">
        <f>IQ18/IP18-1</f>
        <v/>
      </c>
      <c r="IR19" s="1318">
        <f>IR18/IQ18-1</f>
        <v/>
      </c>
      <c r="IS19" s="1318">
        <f>IS18/IR18-1</f>
        <v/>
      </c>
      <c r="IT19" s="1318">
        <f>IT18/IS18-1</f>
        <v/>
      </c>
      <c r="IU19" s="1318">
        <f>IU18/IT18-1</f>
        <v/>
      </c>
      <c r="IV19" s="1318">
        <f>IV18/IU18-1</f>
        <v/>
      </c>
      <c r="IW19" s="1318">
        <f>IW18/IV18-1</f>
        <v/>
      </c>
      <c r="IX19" s="1318">
        <f>IX18/IW18-1</f>
        <v/>
      </c>
      <c r="IY19" s="1318">
        <f>IY18/IX18-1</f>
        <v/>
      </c>
      <c r="IZ19" s="1318">
        <f>IZ18/IY18-1</f>
        <v/>
      </c>
      <c r="JA19" s="1318">
        <f>JA18/IZ18-1</f>
        <v/>
      </c>
      <c r="JB19" s="1318">
        <f>JB18/JA18-1</f>
        <v/>
      </c>
      <c r="JC19" s="1318">
        <f>JC18/JB18-1</f>
        <v/>
      </c>
      <c r="JD19" s="1318">
        <f>JD18/JC18-1</f>
        <v/>
      </c>
      <c r="JE19" s="1318">
        <f>JE18/JD18-1</f>
        <v/>
      </c>
      <c r="JF19" s="1318">
        <f>JF18/JE18-1</f>
        <v/>
      </c>
      <c r="JG19" s="1318">
        <f>JG18/JF18-1</f>
        <v/>
      </c>
      <c r="JH19" s="1318">
        <f>JH18/JG18-1</f>
        <v/>
      </c>
      <c r="JI19" s="1318">
        <f>JI18/JH18-1</f>
        <v/>
      </c>
      <c r="JJ19" s="1318">
        <f>JJ18/JI18-1</f>
        <v/>
      </c>
      <c r="JK19" s="1318">
        <f>JK18/JJ18-1</f>
        <v/>
      </c>
      <c r="JL19" s="1318">
        <f>JL18/JK18-1</f>
        <v/>
      </c>
      <c r="JM19" s="1318">
        <f>JM18/JL18-1</f>
        <v/>
      </c>
      <c r="JN19" s="1318">
        <f>JN18/JM18-1</f>
        <v/>
      </c>
      <c r="JO19" s="1318">
        <f>JO18/JN18-1</f>
        <v/>
      </c>
      <c r="JP19" s="1318">
        <f>JP18/JO18-1</f>
        <v/>
      </c>
      <c r="JQ19" s="1318">
        <f>JQ18/JP18-1</f>
        <v/>
      </c>
      <c r="JR19" s="1318">
        <f>JR18/JQ18-1</f>
        <v/>
      </c>
      <c r="JS19" s="1318">
        <f>JS18/JR18-1</f>
        <v/>
      </c>
      <c r="JT19" s="1318">
        <f>JT18/JS18-1</f>
        <v/>
      </c>
      <c r="JU19" s="1318">
        <f>JU18/JT18-1</f>
        <v/>
      </c>
      <c r="JV19" s="1318">
        <f>JV18/JU18-1</f>
        <v/>
      </c>
      <c r="JW19" s="1318">
        <f>JW18/JV18-1</f>
        <v/>
      </c>
      <c r="JX19" s="1318">
        <f>JX18/JW18-1</f>
        <v/>
      </c>
      <c r="JY19" s="1318">
        <f>JY18/JX18-1</f>
        <v/>
      </c>
      <c r="JZ19" s="1318">
        <f>JZ18/JY18-1</f>
        <v/>
      </c>
      <c r="KA19" s="1318">
        <f>KA18/JZ18-1</f>
        <v/>
      </c>
      <c r="KB19" s="1318">
        <f>KB18/KA18-1</f>
        <v/>
      </c>
      <c r="KC19" s="1318">
        <f>KC18/KB18-1</f>
        <v/>
      </c>
      <c r="KD19" s="1318">
        <f>KD18/KC18-1</f>
        <v/>
      </c>
      <c r="KE19" s="1318">
        <f>KE18/KD18-1</f>
        <v/>
      </c>
      <c r="KF19" s="1318">
        <f>KF18/KE18-1</f>
        <v/>
      </c>
      <c r="KG19" s="1318">
        <f>KG18/KF18-1</f>
        <v/>
      </c>
      <c r="KH19" s="1318">
        <f>KH18/KG18-1</f>
        <v/>
      </c>
      <c r="KI19" s="1318">
        <f>KI18/KH18-1</f>
        <v/>
      </c>
      <c r="KJ19" s="1318">
        <f>KJ18/KI18-1</f>
        <v/>
      </c>
      <c r="KK19" s="1318">
        <f>KK18/KJ18-1</f>
        <v/>
      </c>
      <c r="KL19" s="1318">
        <f>KL18/KK18-1</f>
        <v/>
      </c>
      <c r="KM19" s="1318">
        <f>KM18/KL18-1</f>
        <v/>
      </c>
      <c r="KN19" s="1318">
        <f>KN18/KM18-1</f>
        <v/>
      </c>
      <c r="KO19" s="1318">
        <f>KO18/KN18-1</f>
        <v/>
      </c>
      <c r="KP19" s="1318">
        <f>KP18/KO18-1</f>
        <v/>
      </c>
      <c r="KQ19" s="1318">
        <f>KQ18/KP18-1</f>
        <v/>
      </c>
      <c r="KR19" s="1318">
        <f>KR18/KQ18-1</f>
        <v/>
      </c>
      <c r="KS19" s="1318">
        <f>KS18/KR18-1</f>
        <v/>
      </c>
      <c r="KT19" s="1318">
        <f>KT18/KS18-1</f>
        <v/>
      </c>
      <c r="KU19" s="1318">
        <f>KU18/KT18-1</f>
        <v/>
      </c>
      <c r="KV19" s="1318">
        <f>KV18/KU18-1</f>
        <v/>
      </c>
      <c r="KW19" s="1318">
        <f>KW18/KV18-1</f>
        <v/>
      </c>
      <c r="KX19" s="1318">
        <f>KX18/KW18-1</f>
        <v/>
      </c>
      <c r="KY19" s="1318">
        <f>KY18/KX18-1</f>
        <v/>
      </c>
      <c r="KZ19" s="1318">
        <f>KZ18/KY18-1</f>
        <v/>
      </c>
      <c r="LA19" s="1318">
        <f>LA18/KZ18-1</f>
        <v/>
      </c>
      <c r="LB19" s="1318" t="n"/>
      <c r="LC19" s="1318" t="n"/>
      <c r="LD19" s="1318" t="n"/>
      <c r="LE19" s="1318" t="n"/>
      <c r="LF19" s="1318" t="n"/>
      <c r="LG19" s="1318" t="n"/>
      <c r="LH19" s="1318" t="n"/>
      <c r="LI19" s="1318" t="n"/>
      <c r="LJ19" s="1318" t="n"/>
      <c r="LK19" s="1318" t="n"/>
      <c r="LL19" s="1318" t="n"/>
      <c r="LM19" s="1318" t="n"/>
      <c r="LN19" s="1318" t="n"/>
      <c r="LO19" s="1318" t="n"/>
      <c r="LP19" s="1318" t="n"/>
      <c r="LQ19" s="1318" t="n"/>
      <c r="LR19" s="1318" t="n"/>
      <c r="LS19" s="1318" t="n"/>
    </row>
    <row r="20">
      <c r="A20" s="885" t="inlineStr">
        <is>
          <t>YoY cg %</t>
        </is>
      </c>
      <c r="B20" s="1318" t="n"/>
      <c r="C20" s="1318" t="n"/>
      <c r="D20" s="1318" t="n"/>
      <c r="E20" s="1318" t="n"/>
      <c r="F20" s="1318" t="n"/>
      <c r="G20" s="1318" t="n"/>
      <c r="H20" s="1318" t="n"/>
      <c r="I20" s="1318" t="n"/>
      <c r="J20" s="1318" t="n"/>
      <c r="K20" s="1318" t="n"/>
      <c r="L20" s="1318" t="n"/>
      <c r="M20" s="1318" t="n"/>
      <c r="N20" s="1318">
        <f>N18/B18-1</f>
        <v/>
      </c>
      <c r="O20" s="1318">
        <f>O18/C18-1</f>
        <v/>
      </c>
      <c r="P20" s="1318">
        <f>P18/D18-1</f>
        <v/>
      </c>
      <c r="Q20" s="1318">
        <f>Q18/E18-1</f>
        <v/>
      </c>
      <c r="R20" s="1318">
        <f>R18/F18-1</f>
        <v/>
      </c>
      <c r="S20" s="1318">
        <f>S18/G18-1</f>
        <v/>
      </c>
      <c r="T20" s="1318">
        <f>T18/H18-1</f>
        <v/>
      </c>
      <c r="U20" s="1318">
        <f>U18/I18-1</f>
        <v/>
      </c>
      <c r="V20" s="1318">
        <f>V18/J18-1</f>
        <v/>
      </c>
      <c r="W20" s="1318">
        <f>W18/K18-1</f>
        <v/>
      </c>
      <c r="X20" s="1318">
        <f>X18/L18-1</f>
        <v/>
      </c>
      <c r="Y20" s="1318">
        <f>Y18/M18-1</f>
        <v/>
      </c>
      <c r="Z20" s="1318">
        <f>Z18/N18-1</f>
        <v/>
      </c>
      <c r="AA20" s="1318">
        <f>AA18/O18-1</f>
        <v/>
      </c>
      <c r="AB20" s="1318">
        <f>AB18/P18-1</f>
        <v/>
      </c>
      <c r="AC20" s="1318">
        <f>AC18/Q18-1</f>
        <v/>
      </c>
      <c r="AD20" s="1318">
        <f>AD18/R18-1</f>
        <v/>
      </c>
      <c r="AE20" s="1318">
        <f>AE18/S18-1</f>
        <v/>
      </c>
      <c r="AF20" s="1318">
        <f>AF18/T18-1</f>
        <v/>
      </c>
      <c r="AG20" s="1318">
        <f>AG18/U18-1</f>
        <v/>
      </c>
      <c r="AH20" s="1318">
        <f>AH18/V18-1</f>
        <v/>
      </c>
      <c r="AI20" s="1318">
        <f>AI18/W18-1</f>
        <v/>
      </c>
      <c r="AJ20" s="1318">
        <f>AJ18/X18-1</f>
        <v/>
      </c>
      <c r="AK20" s="1318">
        <f>AK18/Y18-1</f>
        <v/>
      </c>
      <c r="AL20" s="1318">
        <f>AL18/Z18-1</f>
        <v/>
      </c>
      <c r="AM20" s="1318">
        <f>AM18/AA18-1</f>
        <v/>
      </c>
      <c r="AN20" s="1318">
        <f>AN18/AB18-1</f>
        <v/>
      </c>
      <c r="AO20" s="1318">
        <f>AO18/AC18-1</f>
        <v/>
      </c>
      <c r="AP20" s="1318">
        <f>AP18/AD18-1</f>
        <v/>
      </c>
      <c r="AQ20" s="1318">
        <f>AQ18/AE18-1</f>
        <v/>
      </c>
      <c r="AR20" s="1318">
        <f>AR18/AF18-1</f>
        <v/>
      </c>
      <c r="AS20" s="1318">
        <f>AS18/AG18-1</f>
        <v/>
      </c>
      <c r="AT20" s="1318">
        <f>AT18/AH18-1</f>
        <v/>
      </c>
      <c r="AU20" s="1318">
        <f>AU18/AI18-1</f>
        <v/>
      </c>
      <c r="AV20" s="1318">
        <f>AV18/AJ18-1</f>
        <v/>
      </c>
      <c r="AW20" s="1318">
        <f>AW18/AK18-1</f>
        <v/>
      </c>
      <c r="AX20" s="1318">
        <f>AX18/AL18-1</f>
        <v/>
      </c>
      <c r="AY20" s="1318">
        <f>AY18/AM18-1</f>
        <v/>
      </c>
      <c r="AZ20" s="1318">
        <f>AZ18/AN18-1</f>
        <v/>
      </c>
      <c r="BA20" s="1318">
        <f>BA18/AO18-1</f>
        <v/>
      </c>
      <c r="BB20" s="1318">
        <f>BB18/AP18-1</f>
        <v/>
      </c>
      <c r="BC20" s="1318">
        <f>BC18/AQ18-1</f>
        <v/>
      </c>
      <c r="BD20" s="1318">
        <f>BD18/AR18-1</f>
        <v/>
      </c>
      <c r="BE20" s="1318">
        <f>BE18/AS18-1</f>
        <v/>
      </c>
      <c r="BF20" s="1318">
        <f>BF18/AT18-1</f>
        <v/>
      </c>
      <c r="BG20" s="1318">
        <f>BG18/AU18-1</f>
        <v/>
      </c>
      <c r="BH20" s="1318">
        <f>BH18/AV18-1</f>
        <v/>
      </c>
      <c r="BI20" s="1318">
        <f>BI18/AW18-1</f>
        <v/>
      </c>
      <c r="BJ20" s="1318">
        <f>BJ18/AX18-1</f>
        <v/>
      </c>
      <c r="BK20" s="1318">
        <f>BK18/AY18-1</f>
        <v/>
      </c>
      <c r="BL20" s="1318">
        <f>BL18/AZ18-1</f>
        <v/>
      </c>
      <c r="BM20" s="1318">
        <f>BM18/BA18-1</f>
        <v/>
      </c>
      <c r="BN20" s="1318">
        <f>BN18/BB18-1</f>
        <v/>
      </c>
      <c r="BO20" s="1318">
        <f>BO18/BC18-1</f>
        <v/>
      </c>
      <c r="BP20" s="1318">
        <f>BP18/BD18-1</f>
        <v/>
      </c>
      <c r="BQ20" s="1318">
        <f>BQ18/BE18-1</f>
        <v/>
      </c>
      <c r="BR20" s="1318">
        <f>BR18/BF18-1</f>
        <v/>
      </c>
      <c r="BS20" s="1318">
        <f>BS18/BG18-1</f>
        <v/>
      </c>
      <c r="BT20" s="1318">
        <f>BT18/BH18-1</f>
        <v/>
      </c>
      <c r="BU20" s="1318">
        <f>BU18/BI18-1</f>
        <v/>
      </c>
      <c r="BV20" s="1318">
        <f>BV18/BJ18-1</f>
        <v/>
      </c>
      <c r="BW20" s="1318">
        <f>BW18/BK18-1</f>
        <v/>
      </c>
      <c r="BX20" s="1318">
        <f>BX18/BL18-1</f>
        <v/>
      </c>
      <c r="BY20" s="1318">
        <f>BY18/BM18-1</f>
        <v/>
      </c>
      <c r="BZ20" s="1318">
        <f>BZ18/BN18-1</f>
        <v/>
      </c>
      <c r="CA20" s="1318">
        <f>CA18/BO18-1</f>
        <v/>
      </c>
      <c r="CB20" s="1318">
        <f>CB18/BP18-1</f>
        <v/>
      </c>
      <c r="CC20" s="1318">
        <f>CC18/BQ18-1</f>
        <v/>
      </c>
      <c r="CD20" s="1318">
        <f>CD18/BR18-1</f>
        <v/>
      </c>
      <c r="CE20" s="1318">
        <f>CE18/BS18-1</f>
        <v/>
      </c>
      <c r="CF20" s="1318">
        <f>CF18/BT18-1</f>
        <v/>
      </c>
      <c r="CG20" s="1318">
        <f>CG18/BU18-1</f>
        <v/>
      </c>
      <c r="CH20" s="1318">
        <f>CH18/BV18-1</f>
        <v/>
      </c>
      <c r="CI20" s="1318">
        <f>CI18/BW18-1</f>
        <v/>
      </c>
      <c r="CJ20" s="1318">
        <f>CJ18/BX18-1</f>
        <v/>
      </c>
      <c r="CK20" s="1318">
        <f>CK18/BY18-1</f>
        <v/>
      </c>
      <c r="CL20" s="1318">
        <f>CL18/BZ18-1</f>
        <v/>
      </c>
      <c r="CM20" s="1318">
        <f>CM18/CA18-1</f>
        <v/>
      </c>
      <c r="CN20" s="1318">
        <f>CN18/CB18-1</f>
        <v/>
      </c>
      <c r="CO20" s="1318">
        <f>CO18/CC18-1</f>
        <v/>
      </c>
      <c r="CP20" s="1318">
        <f>CP18/CD18-1</f>
        <v/>
      </c>
      <c r="CQ20" s="1318">
        <f>CQ18/CE18-1</f>
        <v/>
      </c>
      <c r="CR20" s="1318">
        <f>CR18/CF18-1</f>
        <v/>
      </c>
      <c r="CS20" s="1318">
        <f>CS18/CG18-1</f>
        <v/>
      </c>
      <c r="CT20" s="1318">
        <f>CT18/CH18-1</f>
        <v/>
      </c>
      <c r="CU20" s="1318">
        <f>CU18/CI18-1</f>
        <v/>
      </c>
      <c r="CV20" s="1318">
        <f>CV18/CJ18-1</f>
        <v/>
      </c>
      <c r="CW20" s="1318">
        <f>CW18/CK18-1</f>
        <v/>
      </c>
      <c r="CX20" s="1318">
        <f>CX18/CL18-1</f>
        <v/>
      </c>
      <c r="CY20" s="1318">
        <f>CY18/CM18-1</f>
        <v/>
      </c>
      <c r="CZ20" s="1318">
        <f>CZ18/CN18-1</f>
        <v/>
      </c>
      <c r="DA20" s="1318">
        <f>DA18/CO18-1</f>
        <v/>
      </c>
      <c r="DB20" s="1318">
        <f>DB18/CP18-1</f>
        <v/>
      </c>
      <c r="DC20" s="1318">
        <f>DC18/CQ18-1</f>
        <v/>
      </c>
      <c r="DD20" s="1318">
        <f>DD18/CR18-1</f>
        <v/>
      </c>
      <c r="DE20" s="1318">
        <f>DE18/CS18-1</f>
        <v/>
      </c>
      <c r="DF20" s="1318">
        <f>DF18/CT18-1</f>
        <v/>
      </c>
      <c r="DG20" s="1318">
        <f>DG18/CU18-1</f>
        <v/>
      </c>
      <c r="DH20" s="1318">
        <f>DH18/CV18-1</f>
        <v/>
      </c>
      <c r="DI20" s="1318">
        <f>DI18/CW18-1</f>
        <v/>
      </c>
      <c r="DJ20" s="1318">
        <f>DJ18/CX18-1</f>
        <v/>
      </c>
      <c r="DK20" s="1318">
        <f>DK18/CY18-1</f>
        <v/>
      </c>
      <c r="DL20" s="1318">
        <f>DL18/CZ18-1</f>
        <v/>
      </c>
      <c r="DM20" s="1318">
        <f>DM18/DA18-1</f>
        <v/>
      </c>
      <c r="DN20" s="1318">
        <f>DN18/DB18-1</f>
        <v/>
      </c>
      <c r="DO20" s="1318">
        <f>DO18/DC18-1</f>
        <v/>
      </c>
      <c r="DP20" s="1318">
        <f>DP18/DD18-1</f>
        <v/>
      </c>
      <c r="DQ20" s="1318">
        <f>DQ18/DE18-1</f>
        <v/>
      </c>
      <c r="DR20" s="1318">
        <f>DR18/DF18-1</f>
        <v/>
      </c>
      <c r="DS20" s="1318">
        <f>DS18/DG18-1</f>
        <v/>
      </c>
      <c r="DT20" s="1318">
        <f>DT18/DH18-1</f>
        <v/>
      </c>
      <c r="DU20" s="1318">
        <f>DU18/DI18-1</f>
        <v/>
      </c>
      <c r="DV20" s="1318">
        <f>DV18/DJ18-1</f>
        <v/>
      </c>
      <c r="DW20" s="1318">
        <f>DW18/DK18-1</f>
        <v/>
      </c>
      <c r="DX20" s="1318">
        <f>DX18/DL18-1</f>
        <v/>
      </c>
      <c r="DY20" s="1318">
        <f>DY18/DM18-1</f>
        <v/>
      </c>
      <c r="DZ20" s="1318">
        <f>DZ18/DN18-1</f>
        <v/>
      </c>
      <c r="EA20" s="1318">
        <f>EA18/DO18-1</f>
        <v/>
      </c>
      <c r="EB20" s="1318">
        <f>EB18/DP18-1</f>
        <v/>
      </c>
      <c r="EC20" s="1318">
        <f>EC18/DQ18-1</f>
        <v/>
      </c>
      <c r="ED20" s="1318">
        <f>ED18/DR18-1</f>
        <v/>
      </c>
      <c r="EE20" s="1318">
        <f>EE18/DS18-1</f>
        <v/>
      </c>
      <c r="EF20" s="1318">
        <f>EF18/DT18-1</f>
        <v/>
      </c>
      <c r="EG20" s="1318">
        <f>EG18/DU18-1</f>
        <v/>
      </c>
      <c r="EH20" s="1318">
        <f>EH18/DV18-1</f>
        <v/>
      </c>
      <c r="EI20" s="1318">
        <f>EI18/DW18-1</f>
        <v/>
      </c>
      <c r="EJ20" s="1318">
        <f>EJ18/DX18-1</f>
        <v/>
      </c>
      <c r="EK20" s="1318">
        <f>EK18/DY18-1</f>
        <v/>
      </c>
      <c r="EL20" s="1318">
        <f>EL18/DZ18-1</f>
        <v/>
      </c>
      <c r="EM20" s="1318">
        <f>EM18/EA18-1</f>
        <v/>
      </c>
      <c r="EN20" s="1318">
        <f>EN18/EB18-1</f>
        <v/>
      </c>
      <c r="EO20" s="1318">
        <f>EO18/EC18-1</f>
        <v/>
      </c>
      <c r="EP20" s="1318">
        <f>EP18/ED18-1</f>
        <v/>
      </c>
      <c r="EQ20" s="1318">
        <f>EQ18/EE18-1</f>
        <v/>
      </c>
      <c r="ER20" s="1318">
        <f>ER18/EF18-1</f>
        <v/>
      </c>
      <c r="ES20" s="1318">
        <f>ES18/EG18-1</f>
        <v/>
      </c>
      <c r="ET20" s="1318">
        <f>ET18/EH18-1</f>
        <v/>
      </c>
      <c r="EU20" s="1318">
        <f>EU18/EI18-1</f>
        <v/>
      </c>
      <c r="EV20" s="1318">
        <f>EV18/EJ18-1</f>
        <v/>
      </c>
      <c r="EW20" s="1318">
        <f>EW18/EK18-1</f>
        <v/>
      </c>
      <c r="EX20" s="1318">
        <f>EX18/EL18-1</f>
        <v/>
      </c>
      <c r="EY20" s="1318">
        <f>EY18/EM18-1</f>
        <v/>
      </c>
      <c r="EZ20" s="1318">
        <f>EZ18/EN18-1</f>
        <v/>
      </c>
      <c r="FA20" s="1318">
        <f>FA18/EO18-1</f>
        <v/>
      </c>
      <c r="FB20" s="1318">
        <f>FB18/EP18-1</f>
        <v/>
      </c>
      <c r="FC20" s="1318">
        <f>FC18/EQ18-1</f>
        <v/>
      </c>
      <c r="FD20" s="1318">
        <f>FD18/ER18-1</f>
        <v/>
      </c>
      <c r="FE20" s="1318">
        <f>FE18/ES18-1</f>
        <v/>
      </c>
      <c r="FF20" s="1318">
        <f>FF18/ET18-1</f>
        <v/>
      </c>
      <c r="FG20" s="1318">
        <f>FG18/EU18-1</f>
        <v/>
      </c>
      <c r="FH20" s="1318">
        <f>FH18/EV18-1</f>
        <v/>
      </c>
      <c r="FI20" s="1318">
        <f>FI18/EW18-1</f>
        <v/>
      </c>
      <c r="FJ20" s="1318">
        <f>FJ18/EX18-1</f>
        <v/>
      </c>
      <c r="FK20" s="1318">
        <f>FK18/EY18-1</f>
        <v/>
      </c>
      <c r="FL20" s="1318">
        <f>FL18/EZ18-1</f>
        <v/>
      </c>
      <c r="FM20" s="1318">
        <f>FM18/FA18-1</f>
        <v/>
      </c>
      <c r="FN20" s="1318">
        <f>FN18/FB18-1</f>
        <v/>
      </c>
      <c r="FO20" s="1318">
        <f>FO18/FC18-1</f>
        <v/>
      </c>
      <c r="FP20" s="1318">
        <f>FP18/FD18-1</f>
        <v/>
      </c>
      <c r="FQ20" s="1318">
        <f>FQ18/FE18-1</f>
        <v/>
      </c>
      <c r="FR20" s="1318">
        <f>FR18/FF18-1</f>
        <v/>
      </c>
      <c r="FS20" s="1318">
        <f>FS18/FG18-1</f>
        <v/>
      </c>
      <c r="FT20" s="1318">
        <f>FT18/FH18-1</f>
        <v/>
      </c>
      <c r="FU20" s="1318">
        <f>FU18/FI18-1</f>
        <v/>
      </c>
      <c r="FV20" s="1318">
        <f>FV18/FJ18-1</f>
        <v/>
      </c>
      <c r="FW20" s="1318">
        <f>FW18/FK18-1</f>
        <v/>
      </c>
      <c r="FX20" s="1318">
        <f>FX18/FL18-1</f>
        <v/>
      </c>
      <c r="FY20" s="1318">
        <f>FY18/FM18-1</f>
        <v/>
      </c>
      <c r="FZ20" s="1318">
        <f>FZ18/FN18-1</f>
        <v/>
      </c>
      <c r="GA20" s="1318">
        <f>GA18/FO18-1</f>
        <v/>
      </c>
      <c r="GB20" s="1318">
        <f>GB18/FP18-1</f>
        <v/>
      </c>
      <c r="GC20" s="1318">
        <f>GC18/FQ18-1</f>
        <v/>
      </c>
      <c r="GD20" s="1318">
        <f>GD18/FR18-1</f>
        <v/>
      </c>
      <c r="GE20" s="1318">
        <f>GE18/FS18-1</f>
        <v/>
      </c>
      <c r="GF20" s="1318">
        <f>GF18/FT18-1</f>
        <v/>
      </c>
      <c r="GG20" s="1318">
        <f>GG18/FU18-1</f>
        <v/>
      </c>
      <c r="GH20" s="1318">
        <f>GH18/FV18-1</f>
        <v/>
      </c>
      <c r="GI20" s="1318">
        <f>GI18/FW18-1</f>
        <v/>
      </c>
      <c r="GJ20" s="1318">
        <f>GJ18/FX18-1</f>
        <v/>
      </c>
      <c r="GK20" s="1318">
        <f>GK18/FY18-1</f>
        <v/>
      </c>
      <c r="GL20" s="1318">
        <f>GL18/FZ18-1</f>
        <v/>
      </c>
      <c r="GM20" s="1318">
        <f>GM18/GA18-1</f>
        <v/>
      </c>
      <c r="GN20" s="1318">
        <f>GN18/GB18-1</f>
        <v/>
      </c>
      <c r="GO20" s="1318">
        <f>GO18/GC18-1</f>
        <v/>
      </c>
      <c r="GP20" s="1318">
        <f>GP18/GD18-1</f>
        <v/>
      </c>
      <c r="GQ20" s="1318">
        <f>GQ18/GE18-1</f>
        <v/>
      </c>
      <c r="GR20" s="1318">
        <f>GR18/GF18-1</f>
        <v/>
      </c>
      <c r="GS20" s="1318">
        <f>GS18/GG18-1</f>
        <v/>
      </c>
      <c r="GT20" s="1318">
        <f>GT18/GH18-1</f>
        <v/>
      </c>
      <c r="GU20" s="1318">
        <f>GU18/GI18-1</f>
        <v/>
      </c>
      <c r="GV20" s="1318">
        <f>GV18/GJ18-1</f>
        <v/>
      </c>
      <c r="GW20" s="1318">
        <f>GW18/GK18-1</f>
        <v/>
      </c>
      <c r="GX20" s="1318">
        <f>GX18/GL18-1</f>
        <v/>
      </c>
      <c r="GY20" s="1318">
        <f>GY18/GM18-1</f>
        <v/>
      </c>
      <c r="GZ20" s="1318">
        <f>GZ18/GN18-1</f>
        <v/>
      </c>
      <c r="HA20" s="1318">
        <f>HA18/GO18-1</f>
        <v/>
      </c>
      <c r="HB20" s="1318">
        <f>HB18/GP18-1</f>
        <v/>
      </c>
      <c r="HC20" s="1318">
        <f>HC18/GQ18-1</f>
        <v/>
      </c>
      <c r="HD20" s="1318">
        <f>HD18/GR18-1</f>
        <v/>
      </c>
      <c r="HE20" s="1318">
        <f>HE18/GS18-1</f>
        <v/>
      </c>
      <c r="HF20" s="1318">
        <f>HF18/GT18-1</f>
        <v/>
      </c>
      <c r="HG20" s="1318">
        <f>HG18/GU18-1</f>
        <v/>
      </c>
      <c r="HH20" s="1318">
        <f>HH18/GV18-1</f>
        <v/>
      </c>
      <c r="HI20" s="1318">
        <f>HI18/GW18-1</f>
        <v/>
      </c>
      <c r="HJ20" s="1318">
        <f>HJ18/GX18-1</f>
        <v/>
      </c>
      <c r="HK20" s="1318">
        <f>HK18/GY18-1</f>
        <v/>
      </c>
      <c r="HL20" s="1318">
        <f>HL18/GZ18-1</f>
        <v/>
      </c>
      <c r="HM20" s="1318">
        <f>HM18/HA18-1</f>
        <v/>
      </c>
      <c r="HN20" s="1318">
        <f>HN18/HB18-1</f>
        <v/>
      </c>
      <c r="HO20" s="1318">
        <f>HO18/HC18-1</f>
        <v/>
      </c>
      <c r="HP20" s="1318">
        <f>HP18/HD18-1</f>
        <v/>
      </c>
      <c r="HQ20" s="1318">
        <f>HQ18/HE18-1</f>
        <v/>
      </c>
      <c r="HR20" s="1318">
        <f>HR18/HF18-1</f>
        <v/>
      </c>
      <c r="HS20" s="1318">
        <f>HS18/HG18-1</f>
        <v/>
      </c>
      <c r="HT20" s="1318">
        <f>HT18/HH18-1</f>
        <v/>
      </c>
      <c r="HU20" s="1318">
        <f>HU18/HI18-1</f>
        <v/>
      </c>
      <c r="HV20" s="1318">
        <f>HV18/HJ18-1</f>
        <v/>
      </c>
      <c r="HW20" s="1318">
        <f>HW18/HK18-1</f>
        <v/>
      </c>
      <c r="HX20" s="1318">
        <f>HX18/HL18-1</f>
        <v/>
      </c>
      <c r="HY20" s="1318">
        <f>HY18/HM18-1</f>
        <v/>
      </c>
      <c r="HZ20" s="1318">
        <f>HZ18/HN18-1</f>
        <v/>
      </c>
      <c r="IA20" s="1318">
        <f>IA18/HO18-1</f>
        <v/>
      </c>
      <c r="IB20" s="1318">
        <f>IB18/HP18-1</f>
        <v/>
      </c>
      <c r="IC20" s="1318">
        <f>IC18/HQ18-1</f>
        <v/>
      </c>
      <c r="ID20" s="1318">
        <f>ID18/HR18-1</f>
        <v/>
      </c>
      <c r="IE20" s="1318">
        <f>IE18/HS18-1</f>
        <v/>
      </c>
      <c r="IF20" s="1318">
        <f>IF18/HT18-1</f>
        <v/>
      </c>
      <c r="IG20" s="1318">
        <f>IG18/HU18-1</f>
        <v/>
      </c>
      <c r="IH20" s="1318">
        <f>IH18/HV18-1</f>
        <v/>
      </c>
      <c r="II20" s="1318">
        <f>II18/HW18-1</f>
        <v/>
      </c>
      <c r="IJ20" s="1318">
        <f>IJ18/HX18-1</f>
        <v/>
      </c>
      <c r="IK20" s="1318">
        <f>IK18/HY18-1</f>
        <v/>
      </c>
      <c r="IL20" s="1318">
        <f>IL18/HZ18-1</f>
        <v/>
      </c>
      <c r="IM20" s="1318">
        <f>IM18/IA18-1</f>
        <v/>
      </c>
      <c r="IN20" s="1318">
        <f>IN18/IB18-1</f>
        <v/>
      </c>
      <c r="IO20" s="1318">
        <f>IO18/IC18-1</f>
        <v/>
      </c>
      <c r="IP20" s="1318">
        <f>IP18/ID18-1</f>
        <v/>
      </c>
      <c r="IQ20" s="1318">
        <f>IQ18/IE18-1</f>
        <v/>
      </c>
      <c r="IR20" s="1318">
        <f>IR18/IF18-1</f>
        <v/>
      </c>
      <c r="IS20" s="1318">
        <f>IS18/IG18-1</f>
        <v/>
      </c>
      <c r="IT20" s="1318">
        <f>IT18/IH18-1</f>
        <v/>
      </c>
      <c r="IU20" s="1318">
        <f>IU18/II18-1</f>
        <v/>
      </c>
      <c r="IV20" s="1318">
        <f>IV18/IJ18-1</f>
        <v/>
      </c>
      <c r="IW20" s="1318">
        <f>IW18/IK18-1</f>
        <v/>
      </c>
      <c r="IX20" s="1318">
        <f>IX18/IL18-1</f>
        <v/>
      </c>
      <c r="IY20" s="1318">
        <f>IY18/IM18-1</f>
        <v/>
      </c>
      <c r="IZ20" s="1318">
        <f>IZ18/IN18-1</f>
        <v/>
      </c>
      <c r="JA20" s="1318">
        <f>JA18/IO18-1</f>
        <v/>
      </c>
      <c r="JB20" s="1318">
        <f>JB18/IP18-1</f>
        <v/>
      </c>
      <c r="JC20" s="1318">
        <f>JC18/IQ18-1</f>
        <v/>
      </c>
      <c r="JD20" s="1318">
        <f>JD18/IR18-1</f>
        <v/>
      </c>
      <c r="JE20" s="1318">
        <f>JE18/IS18-1</f>
        <v/>
      </c>
      <c r="JF20" s="1318">
        <f>JF18/IT18-1</f>
        <v/>
      </c>
      <c r="JG20" s="1318">
        <f>JG18/IU18-1</f>
        <v/>
      </c>
      <c r="JH20" s="1318">
        <f>JH18/IV18-1</f>
        <v/>
      </c>
      <c r="JI20" s="1318">
        <f>JI18/IW18-1</f>
        <v/>
      </c>
      <c r="JJ20" s="1318">
        <f>JJ18/IX18-1</f>
        <v/>
      </c>
      <c r="JK20" s="1318">
        <f>JK18/IY18-1</f>
        <v/>
      </c>
      <c r="JL20" s="1318">
        <f>JL18/IZ18-1</f>
        <v/>
      </c>
      <c r="JM20" s="1318">
        <f>JM18/JA18-1</f>
        <v/>
      </c>
      <c r="JN20" s="1318">
        <f>JN18/JB18-1</f>
        <v/>
      </c>
      <c r="JO20" s="1318">
        <f>JO18/JC18-1</f>
        <v/>
      </c>
      <c r="JP20" s="1318">
        <f>JP18/JD18-1</f>
        <v/>
      </c>
      <c r="JQ20" s="1318">
        <f>JQ18/JE18-1</f>
        <v/>
      </c>
      <c r="JR20" s="1318">
        <f>JR18/JF18-1</f>
        <v/>
      </c>
      <c r="JS20" s="1318">
        <f>JS18/JG18-1</f>
        <v/>
      </c>
      <c r="JT20" s="1318">
        <f>JT18/JH18-1</f>
        <v/>
      </c>
      <c r="JU20" s="1318">
        <f>JU18/JI18-1</f>
        <v/>
      </c>
      <c r="JV20" s="1318">
        <f>JV18/JJ18-1</f>
        <v/>
      </c>
      <c r="JW20" s="1318">
        <f>JW18/JK18-1</f>
        <v/>
      </c>
      <c r="JX20" s="1318">
        <f>JX18/JL18-1</f>
        <v/>
      </c>
      <c r="JY20" s="1318">
        <f>JY18/JM18-1</f>
        <v/>
      </c>
      <c r="JZ20" s="1318">
        <f>JZ18/JN18-1</f>
        <v/>
      </c>
      <c r="KA20" s="1318">
        <f>KA18/JO18-1</f>
        <v/>
      </c>
      <c r="KB20" s="1318">
        <f>KB18/JP18-1</f>
        <v/>
      </c>
      <c r="KC20" s="1318">
        <f>KC18/JQ18-1</f>
        <v/>
      </c>
      <c r="KD20" s="1318">
        <f>KD18/JR18-1</f>
        <v/>
      </c>
      <c r="KE20" s="1318">
        <f>KE18/JS18-1</f>
        <v/>
      </c>
      <c r="KF20" s="1318">
        <f>KF18/JT18-1</f>
        <v/>
      </c>
      <c r="KG20" s="1318">
        <f>KG18/JU18-1</f>
        <v/>
      </c>
      <c r="KH20" s="1318">
        <f>KH18/JV18-1</f>
        <v/>
      </c>
      <c r="KI20" s="1318">
        <f>KI18/JW18-1</f>
        <v/>
      </c>
      <c r="KJ20" s="1318">
        <f>KJ18/JX18-1</f>
        <v/>
      </c>
      <c r="KK20" s="1318">
        <f>KK18/JY18-1</f>
        <v/>
      </c>
      <c r="KL20" s="1318">
        <f>KL18/JZ18-1</f>
        <v/>
      </c>
      <c r="KM20" s="1318">
        <f>KM18/KA18-1</f>
        <v/>
      </c>
      <c r="KN20" s="1318">
        <f>KN18/KB18-1</f>
        <v/>
      </c>
      <c r="KO20" s="1318">
        <f>KO18/KC18-1</f>
        <v/>
      </c>
      <c r="KP20" s="1318">
        <f>KP18/KD18-1</f>
        <v/>
      </c>
      <c r="KQ20" s="1318">
        <f>KQ18/KE18-1</f>
        <v/>
      </c>
      <c r="KR20" s="1318">
        <f>KR18/KF18-1</f>
        <v/>
      </c>
      <c r="KS20" s="1318">
        <f>KS18/KG18-1</f>
        <v/>
      </c>
      <c r="KT20" s="1318">
        <f>KT18/KH18-1</f>
        <v/>
      </c>
      <c r="KU20" s="1318">
        <f>KU18/KI18-1</f>
        <v/>
      </c>
      <c r="KV20" s="1318">
        <f>KV18/KJ18-1</f>
        <v/>
      </c>
      <c r="KW20" s="1318">
        <f>KW18/KK18-1</f>
        <v/>
      </c>
      <c r="KX20" s="1318">
        <f>KX18/KL18-1</f>
        <v/>
      </c>
      <c r="KY20" s="1318">
        <f>KY18/KM18-1</f>
        <v/>
      </c>
      <c r="KZ20" s="1318">
        <f>KZ18/KN18-1</f>
        <v/>
      </c>
      <c r="LA20" s="1318">
        <f>LA18/KO18-1</f>
        <v/>
      </c>
      <c r="LB20" s="1318" t="n"/>
      <c r="LC20" s="1318" t="n"/>
      <c r="LD20" s="1318" t="n"/>
      <c r="LE20" s="1318" t="n"/>
      <c r="LF20" s="1318" t="n"/>
      <c r="LG20" s="1318" t="n"/>
      <c r="LH20" s="1318" t="n"/>
      <c r="LI20" s="1318" t="n"/>
      <c r="LJ20" s="1318" t="n"/>
      <c r="LK20" s="1318" t="n"/>
      <c r="LL20" s="1318" t="n"/>
      <c r="LM20" s="1318" t="n"/>
      <c r="LN20" s="1318" t="n"/>
      <c r="LO20" s="1318" t="n"/>
      <c r="LP20" s="1318" t="n"/>
      <c r="LQ20" s="1318" t="n"/>
      <c r="LR20" s="1318" t="n"/>
      <c r="LS20" s="1318" t="n"/>
    </row>
    <row r="21">
      <c r="A21" s="885" t="inlineStr">
        <is>
          <t>YTD cg %</t>
        </is>
      </c>
      <c r="B21" s="1318" t="n"/>
      <c r="C21" s="1318" t="n"/>
      <c r="D21" s="1318" t="n"/>
      <c r="E21" s="1318" t="n"/>
      <c r="F21" s="1318" t="n"/>
      <c r="G21" s="1318" t="n"/>
      <c r="H21" s="1318" t="n"/>
      <c r="I21" s="1318" t="n"/>
      <c r="J21" s="1318" t="n"/>
      <c r="K21" s="1318" t="n"/>
      <c r="L21" s="1318" t="n"/>
      <c r="M21" s="1318" t="n"/>
      <c r="N21" s="1318">
        <f>SUMIFS(18:18,$8:$8,"&gt;="&amp;DATE(YEAR(N$8),1,1),$8:$8,"&lt;="&amp;EOMONTH(N$8,0))/SUMIFS(18:18,$8:$8,"&gt;="&amp;DATE(YEAR(N$8)-1,1,1),$8:$8,"&lt;="&amp;EOMONTH(N$8,-12))-1</f>
        <v/>
      </c>
      <c r="O21" s="1318">
        <f>SUMIFS(18:18,$8:$8,"&gt;="&amp;DATE(YEAR(O$8),1,1),$8:$8,"&lt;="&amp;EOMONTH(O$8,0))/SUMIFS(18:18,$8:$8,"&gt;="&amp;DATE(YEAR(O$8)-1,1,1),$8:$8,"&lt;="&amp;EOMONTH(O$8,-12))-1</f>
        <v/>
      </c>
      <c r="P21" s="1318">
        <f>SUMIFS(18:18,$8:$8,"&gt;="&amp;DATE(YEAR(P$8),1,1),$8:$8,"&lt;="&amp;EOMONTH(P$8,0))/SUMIFS(18:18,$8:$8,"&gt;="&amp;DATE(YEAR(P$8)-1,1,1),$8:$8,"&lt;="&amp;EOMONTH(P$8,-12))-1</f>
        <v/>
      </c>
      <c r="Q21" s="1318">
        <f>SUMIFS(18:18,$8:$8,"&gt;="&amp;DATE(YEAR(Q$8),1,1),$8:$8,"&lt;="&amp;EOMONTH(Q$8,0))/SUMIFS(18:18,$8:$8,"&gt;="&amp;DATE(YEAR(Q$8)-1,1,1),$8:$8,"&lt;="&amp;EOMONTH(Q$8,-12))-1</f>
        <v/>
      </c>
      <c r="R21" s="1318">
        <f>SUMIFS(18:18,$8:$8,"&gt;="&amp;DATE(YEAR(R$8),1,1),$8:$8,"&lt;="&amp;EOMONTH(R$8,0))/SUMIFS(18:18,$8:$8,"&gt;="&amp;DATE(YEAR(R$8)-1,1,1),$8:$8,"&lt;="&amp;EOMONTH(R$8,-12))-1</f>
        <v/>
      </c>
      <c r="S21" s="1318">
        <f>SUMIFS(18:18,$8:$8,"&gt;="&amp;DATE(YEAR(S$8),1,1),$8:$8,"&lt;="&amp;EOMONTH(S$8,0))/SUMIFS(18:18,$8:$8,"&gt;="&amp;DATE(YEAR(S$8)-1,1,1),$8:$8,"&lt;="&amp;EOMONTH(S$8,-12))-1</f>
        <v/>
      </c>
      <c r="T21" s="1318">
        <f>SUMIFS(18:18,$8:$8,"&gt;="&amp;DATE(YEAR(T$8),1,1),$8:$8,"&lt;="&amp;EOMONTH(T$8,0))/SUMIFS(18:18,$8:$8,"&gt;="&amp;DATE(YEAR(T$8)-1,1,1),$8:$8,"&lt;="&amp;EOMONTH(T$8,-12))-1</f>
        <v/>
      </c>
      <c r="U21" s="1318">
        <f>SUMIFS(18:18,$8:$8,"&gt;="&amp;DATE(YEAR(U$8),1,1),$8:$8,"&lt;="&amp;EOMONTH(U$8,0))/SUMIFS(18:18,$8:$8,"&gt;="&amp;DATE(YEAR(U$8)-1,1,1),$8:$8,"&lt;="&amp;EOMONTH(U$8,-12))-1</f>
        <v/>
      </c>
      <c r="V21" s="1318">
        <f>SUMIFS(18:18,$8:$8,"&gt;="&amp;DATE(YEAR(V$8),1,1),$8:$8,"&lt;="&amp;EOMONTH(V$8,0))/SUMIFS(18:18,$8:$8,"&gt;="&amp;DATE(YEAR(V$8)-1,1,1),$8:$8,"&lt;="&amp;EOMONTH(V$8,-12))-1</f>
        <v/>
      </c>
      <c r="W21" s="1318">
        <f>SUMIFS(18:18,$8:$8,"&gt;="&amp;DATE(YEAR(W$8),1,1),$8:$8,"&lt;="&amp;EOMONTH(W$8,0))/SUMIFS(18:18,$8:$8,"&gt;="&amp;DATE(YEAR(W$8)-1,1,1),$8:$8,"&lt;="&amp;EOMONTH(W$8,-12))-1</f>
        <v/>
      </c>
      <c r="X21" s="1318">
        <f>SUMIFS(18:18,$8:$8,"&gt;="&amp;DATE(YEAR(X$8),1,1),$8:$8,"&lt;="&amp;EOMONTH(X$8,0))/SUMIFS(18:18,$8:$8,"&gt;="&amp;DATE(YEAR(X$8)-1,1,1),$8:$8,"&lt;="&amp;EOMONTH(X$8,-12))-1</f>
        <v/>
      </c>
      <c r="Y21" s="1318">
        <f>SUMIFS(18:18,$8:$8,"&gt;="&amp;DATE(YEAR(Y$8),1,1),$8:$8,"&lt;="&amp;EOMONTH(Y$8,0))/SUMIFS(18:18,$8:$8,"&gt;="&amp;DATE(YEAR(Y$8)-1,1,1),$8:$8,"&lt;="&amp;EOMONTH(Y$8,-12))-1</f>
        <v/>
      </c>
      <c r="Z21" s="1318">
        <f>SUMIFS(18:18,$8:$8,"&gt;="&amp;DATE(YEAR(Z$8),1,1),$8:$8,"&lt;="&amp;EOMONTH(Z$8,0))/SUMIFS(18:18,$8:$8,"&gt;="&amp;DATE(YEAR(Z$8)-1,1,1),$8:$8,"&lt;="&amp;EOMONTH(Z$8,-12))-1</f>
        <v/>
      </c>
      <c r="AA21" s="1318">
        <f>SUMIFS(18:18,$8:$8,"&gt;="&amp;DATE(YEAR(AA$8),1,1),$8:$8,"&lt;="&amp;EOMONTH(AA$8,0))/SUMIFS(18:18,$8:$8,"&gt;="&amp;DATE(YEAR(AA$8)-1,1,1),$8:$8,"&lt;="&amp;EOMONTH(AA$8,-12))-1</f>
        <v/>
      </c>
      <c r="AB21" s="1318">
        <f>SUMIFS(18:18,$8:$8,"&gt;="&amp;DATE(YEAR(AB$8),1,1),$8:$8,"&lt;="&amp;EOMONTH(AB$8,0))/SUMIFS(18:18,$8:$8,"&gt;="&amp;DATE(YEAR(AB$8)-1,1,1),$8:$8,"&lt;="&amp;EOMONTH(AB$8,-12))-1</f>
        <v/>
      </c>
      <c r="AC21" s="1318">
        <f>SUMIFS(18:18,$8:$8,"&gt;="&amp;DATE(YEAR(AC$8),1,1),$8:$8,"&lt;="&amp;EOMONTH(AC$8,0))/SUMIFS(18:18,$8:$8,"&gt;="&amp;DATE(YEAR(AC$8)-1,1,1),$8:$8,"&lt;="&amp;EOMONTH(AC$8,-12))-1</f>
        <v/>
      </c>
      <c r="AD21" s="1318">
        <f>SUMIFS(18:18,$8:$8,"&gt;="&amp;DATE(YEAR(AD$8),1,1),$8:$8,"&lt;="&amp;EOMONTH(AD$8,0))/SUMIFS(18:18,$8:$8,"&gt;="&amp;DATE(YEAR(AD$8)-1,1,1),$8:$8,"&lt;="&amp;EOMONTH(AD$8,-12))-1</f>
        <v/>
      </c>
      <c r="AE21" s="1318">
        <f>SUMIFS(18:18,$8:$8,"&gt;="&amp;DATE(YEAR(AE$8),1,1),$8:$8,"&lt;="&amp;EOMONTH(AE$8,0))/SUMIFS(18:18,$8:$8,"&gt;="&amp;DATE(YEAR(AE$8)-1,1,1),$8:$8,"&lt;="&amp;EOMONTH(AE$8,-12))-1</f>
        <v/>
      </c>
      <c r="AF21" s="1318">
        <f>SUMIFS(18:18,$8:$8,"&gt;="&amp;DATE(YEAR(AF$8),1,1),$8:$8,"&lt;="&amp;EOMONTH(AF$8,0))/SUMIFS(18:18,$8:$8,"&gt;="&amp;DATE(YEAR(AF$8)-1,1,1),$8:$8,"&lt;="&amp;EOMONTH(AF$8,-12))-1</f>
        <v/>
      </c>
      <c r="AG21" s="1318">
        <f>SUMIFS(18:18,$8:$8,"&gt;="&amp;DATE(YEAR(AG$8),1,1),$8:$8,"&lt;="&amp;EOMONTH(AG$8,0))/SUMIFS(18:18,$8:$8,"&gt;="&amp;DATE(YEAR(AG$8)-1,1,1),$8:$8,"&lt;="&amp;EOMONTH(AG$8,-12))-1</f>
        <v/>
      </c>
      <c r="AH21" s="1318">
        <f>SUMIFS(18:18,$8:$8,"&gt;="&amp;DATE(YEAR(AH$8),1,1),$8:$8,"&lt;="&amp;EOMONTH(AH$8,0))/SUMIFS(18:18,$8:$8,"&gt;="&amp;DATE(YEAR(AH$8)-1,1,1),$8:$8,"&lt;="&amp;EOMONTH(AH$8,-12))-1</f>
        <v/>
      </c>
      <c r="AI21" s="1318">
        <f>SUMIFS(18:18,$8:$8,"&gt;="&amp;DATE(YEAR(AI$8),1,1),$8:$8,"&lt;="&amp;EOMONTH(AI$8,0))/SUMIFS(18:18,$8:$8,"&gt;="&amp;DATE(YEAR(AI$8)-1,1,1),$8:$8,"&lt;="&amp;EOMONTH(AI$8,-12))-1</f>
        <v/>
      </c>
      <c r="AJ21" s="1318">
        <f>SUMIFS(18:18,$8:$8,"&gt;="&amp;DATE(YEAR(AJ$8),1,1),$8:$8,"&lt;="&amp;EOMONTH(AJ$8,0))/SUMIFS(18:18,$8:$8,"&gt;="&amp;DATE(YEAR(AJ$8)-1,1,1),$8:$8,"&lt;="&amp;EOMONTH(AJ$8,-12))-1</f>
        <v/>
      </c>
      <c r="AK21" s="1318">
        <f>SUMIFS(18:18,$8:$8,"&gt;="&amp;DATE(YEAR(AK$8),1,1),$8:$8,"&lt;="&amp;EOMONTH(AK$8,0))/SUMIFS(18:18,$8:$8,"&gt;="&amp;DATE(YEAR(AK$8)-1,1,1),$8:$8,"&lt;="&amp;EOMONTH(AK$8,-12))-1</f>
        <v/>
      </c>
      <c r="AL21" s="1318">
        <f>SUMIFS(18:18,$8:$8,"&gt;="&amp;DATE(YEAR(AL$8),1,1),$8:$8,"&lt;="&amp;EOMONTH(AL$8,0))/SUMIFS(18:18,$8:$8,"&gt;="&amp;DATE(YEAR(AL$8)-1,1,1),$8:$8,"&lt;="&amp;EOMONTH(AL$8,-12))-1</f>
        <v/>
      </c>
      <c r="AM21" s="1318">
        <f>SUMIFS(18:18,$8:$8,"&gt;="&amp;DATE(YEAR(AM$8),1,1),$8:$8,"&lt;="&amp;EOMONTH(AM$8,0))/SUMIFS(18:18,$8:$8,"&gt;="&amp;DATE(YEAR(AM$8)-1,1,1),$8:$8,"&lt;="&amp;EOMONTH(AM$8,-12))-1</f>
        <v/>
      </c>
      <c r="AN21" s="1318">
        <f>SUMIFS(18:18,$8:$8,"&gt;="&amp;DATE(YEAR(AN$8),1,1),$8:$8,"&lt;="&amp;EOMONTH(AN$8,0))/SUMIFS(18:18,$8:$8,"&gt;="&amp;DATE(YEAR(AN$8)-1,1,1),$8:$8,"&lt;="&amp;EOMONTH(AN$8,-12))-1</f>
        <v/>
      </c>
      <c r="AO21" s="1318">
        <f>SUMIFS(18:18,$8:$8,"&gt;="&amp;DATE(YEAR(AO$8),1,1),$8:$8,"&lt;="&amp;EOMONTH(AO$8,0))/SUMIFS(18:18,$8:$8,"&gt;="&amp;DATE(YEAR(AO$8)-1,1,1),$8:$8,"&lt;="&amp;EOMONTH(AO$8,-12))-1</f>
        <v/>
      </c>
      <c r="AP21" s="1318">
        <f>SUMIFS(18:18,$8:$8,"&gt;="&amp;DATE(YEAR(AP$8),1,1),$8:$8,"&lt;="&amp;EOMONTH(AP$8,0))/SUMIFS(18:18,$8:$8,"&gt;="&amp;DATE(YEAR(AP$8)-1,1,1),$8:$8,"&lt;="&amp;EOMONTH(AP$8,-12))-1</f>
        <v/>
      </c>
      <c r="AQ21" s="1318">
        <f>SUMIFS(18:18,$8:$8,"&gt;="&amp;DATE(YEAR(AQ$8),1,1),$8:$8,"&lt;="&amp;EOMONTH(AQ$8,0))/SUMIFS(18:18,$8:$8,"&gt;="&amp;DATE(YEAR(AQ$8)-1,1,1),$8:$8,"&lt;="&amp;EOMONTH(AQ$8,-12))-1</f>
        <v/>
      </c>
      <c r="AR21" s="1318">
        <f>SUMIFS(18:18,$8:$8,"&gt;="&amp;DATE(YEAR(AR$8),1,1),$8:$8,"&lt;="&amp;EOMONTH(AR$8,0))/SUMIFS(18:18,$8:$8,"&gt;="&amp;DATE(YEAR(AR$8)-1,1,1),$8:$8,"&lt;="&amp;EOMONTH(AR$8,-12))-1</f>
        <v/>
      </c>
      <c r="AS21" s="1318">
        <f>SUMIFS(18:18,$8:$8,"&gt;="&amp;DATE(YEAR(AS$8),1,1),$8:$8,"&lt;="&amp;EOMONTH(AS$8,0))/SUMIFS(18:18,$8:$8,"&gt;="&amp;DATE(YEAR(AS$8)-1,1,1),$8:$8,"&lt;="&amp;EOMONTH(AS$8,-12))-1</f>
        <v/>
      </c>
      <c r="AT21" s="1318">
        <f>SUMIFS(18:18,$8:$8,"&gt;="&amp;DATE(YEAR(AT$8),1,1),$8:$8,"&lt;="&amp;EOMONTH(AT$8,0))/SUMIFS(18:18,$8:$8,"&gt;="&amp;DATE(YEAR(AT$8)-1,1,1),$8:$8,"&lt;="&amp;EOMONTH(AT$8,-12))-1</f>
        <v/>
      </c>
      <c r="AU21" s="1318">
        <f>SUMIFS(18:18,$8:$8,"&gt;="&amp;DATE(YEAR(AU$8),1,1),$8:$8,"&lt;="&amp;EOMONTH(AU$8,0))/SUMIFS(18:18,$8:$8,"&gt;="&amp;DATE(YEAR(AU$8)-1,1,1),$8:$8,"&lt;="&amp;EOMONTH(AU$8,-12))-1</f>
        <v/>
      </c>
      <c r="AV21" s="1318">
        <f>SUMIFS(18:18,$8:$8,"&gt;="&amp;DATE(YEAR(AV$8),1,1),$8:$8,"&lt;="&amp;EOMONTH(AV$8,0))/SUMIFS(18:18,$8:$8,"&gt;="&amp;DATE(YEAR(AV$8)-1,1,1),$8:$8,"&lt;="&amp;EOMONTH(AV$8,-12))-1</f>
        <v/>
      </c>
      <c r="AW21" s="1318">
        <f>SUMIFS(18:18,$8:$8,"&gt;="&amp;DATE(YEAR(AW$8),1,1),$8:$8,"&lt;="&amp;EOMONTH(AW$8,0))/SUMIFS(18:18,$8:$8,"&gt;="&amp;DATE(YEAR(AW$8)-1,1,1),$8:$8,"&lt;="&amp;EOMONTH(AW$8,-12))-1</f>
        <v/>
      </c>
      <c r="AX21" s="1318">
        <f>SUMIFS(18:18,$8:$8,"&gt;="&amp;DATE(YEAR(AX$8),1,1),$8:$8,"&lt;="&amp;EOMONTH(AX$8,0))/SUMIFS(18:18,$8:$8,"&gt;="&amp;DATE(YEAR(AX$8)-1,1,1),$8:$8,"&lt;="&amp;EOMONTH(AX$8,-12))-1</f>
        <v/>
      </c>
      <c r="AY21" s="1318">
        <f>SUMIFS(18:18,$8:$8,"&gt;="&amp;DATE(YEAR(AY$8),1,1),$8:$8,"&lt;="&amp;EOMONTH(AY$8,0))/SUMIFS(18:18,$8:$8,"&gt;="&amp;DATE(YEAR(AY$8)-1,1,1),$8:$8,"&lt;="&amp;EOMONTH(AY$8,-12))-1</f>
        <v/>
      </c>
      <c r="AZ21" s="1318">
        <f>SUMIFS(18:18,$8:$8,"&gt;="&amp;DATE(YEAR(AZ$8),1,1),$8:$8,"&lt;="&amp;EOMONTH(AZ$8,0))/SUMIFS(18:18,$8:$8,"&gt;="&amp;DATE(YEAR(AZ$8)-1,1,1),$8:$8,"&lt;="&amp;EOMONTH(AZ$8,-12))-1</f>
        <v/>
      </c>
      <c r="BA21" s="1318">
        <f>SUMIFS(18:18,$8:$8,"&gt;="&amp;DATE(YEAR(BA$8),1,1),$8:$8,"&lt;="&amp;EOMONTH(BA$8,0))/SUMIFS(18:18,$8:$8,"&gt;="&amp;DATE(YEAR(BA$8)-1,1,1),$8:$8,"&lt;="&amp;EOMONTH(BA$8,-12))-1</f>
        <v/>
      </c>
      <c r="BB21" s="1318">
        <f>SUMIFS(18:18,$8:$8,"&gt;="&amp;DATE(YEAR(BB$8),1,1),$8:$8,"&lt;="&amp;EOMONTH(BB$8,0))/SUMIFS(18:18,$8:$8,"&gt;="&amp;DATE(YEAR(BB$8)-1,1,1),$8:$8,"&lt;="&amp;EOMONTH(BB$8,-12))-1</f>
        <v/>
      </c>
      <c r="BC21" s="1318">
        <f>SUMIFS(18:18,$8:$8,"&gt;="&amp;DATE(YEAR(BC$8),1,1),$8:$8,"&lt;="&amp;EOMONTH(BC$8,0))/SUMIFS(18:18,$8:$8,"&gt;="&amp;DATE(YEAR(BC$8)-1,1,1),$8:$8,"&lt;="&amp;EOMONTH(BC$8,-12))-1</f>
        <v/>
      </c>
      <c r="BD21" s="1318">
        <f>SUMIFS(18:18,$8:$8,"&gt;="&amp;DATE(YEAR(BD$8),1,1),$8:$8,"&lt;="&amp;EOMONTH(BD$8,0))/SUMIFS(18:18,$8:$8,"&gt;="&amp;DATE(YEAR(BD$8)-1,1,1),$8:$8,"&lt;="&amp;EOMONTH(BD$8,-12))-1</f>
        <v/>
      </c>
      <c r="BE21" s="1318">
        <f>SUMIFS(18:18,$8:$8,"&gt;="&amp;DATE(YEAR(BE$8),1,1),$8:$8,"&lt;="&amp;EOMONTH(BE$8,0))/SUMIFS(18:18,$8:$8,"&gt;="&amp;DATE(YEAR(BE$8)-1,1,1),$8:$8,"&lt;="&amp;EOMONTH(BE$8,-12))-1</f>
        <v/>
      </c>
      <c r="BF21" s="1318">
        <f>SUMIFS(18:18,$8:$8,"&gt;="&amp;DATE(YEAR(BF$8),1,1),$8:$8,"&lt;="&amp;EOMONTH(BF$8,0))/SUMIFS(18:18,$8:$8,"&gt;="&amp;DATE(YEAR(BF$8)-1,1,1),$8:$8,"&lt;="&amp;EOMONTH(BF$8,-12))-1</f>
        <v/>
      </c>
      <c r="BG21" s="1318">
        <f>SUMIFS(18:18,$8:$8,"&gt;="&amp;DATE(YEAR(BG$8),1,1),$8:$8,"&lt;="&amp;EOMONTH(BG$8,0))/SUMIFS(18:18,$8:$8,"&gt;="&amp;DATE(YEAR(BG$8)-1,1,1),$8:$8,"&lt;="&amp;EOMONTH(BG$8,-12))-1</f>
        <v/>
      </c>
      <c r="BH21" s="1318">
        <f>SUMIFS(18:18,$8:$8,"&gt;="&amp;DATE(YEAR(BH$8),1,1),$8:$8,"&lt;="&amp;EOMONTH(BH$8,0))/SUMIFS(18:18,$8:$8,"&gt;="&amp;DATE(YEAR(BH$8)-1,1,1),$8:$8,"&lt;="&amp;EOMONTH(BH$8,-12))-1</f>
        <v/>
      </c>
      <c r="BI21" s="1318">
        <f>SUMIFS(18:18,$8:$8,"&gt;="&amp;DATE(YEAR(BI$8),1,1),$8:$8,"&lt;="&amp;EOMONTH(BI$8,0))/SUMIFS(18:18,$8:$8,"&gt;="&amp;DATE(YEAR(BI$8)-1,1,1),$8:$8,"&lt;="&amp;EOMONTH(BI$8,-12))-1</f>
        <v/>
      </c>
      <c r="BJ21" s="1318">
        <f>SUMIFS(18:18,$8:$8,"&gt;="&amp;DATE(YEAR(BJ$8),1,1),$8:$8,"&lt;="&amp;EOMONTH(BJ$8,0))/SUMIFS(18:18,$8:$8,"&gt;="&amp;DATE(YEAR(BJ$8)-1,1,1),$8:$8,"&lt;="&amp;EOMONTH(BJ$8,-12))-1</f>
        <v/>
      </c>
      <c r="BK21" s="1318">
        <f>SUMIFS(18:18,$8:$8,"&gt;="&amp;DATE(YEAR(BK$8),1,1),$8:$8,"&lt;="&amp;EOMONTH(BK$8,0))/SUMIFS(18:18,$8:$8,"&gt;="&amp;DATE(YEAR(BK$8)-1,1,1),$8:$8,"&lt;="&amp;EOMONTH(BK$8,-12))-1</f>
        <v/>
      </c>
      <c r="BL21" s="1318">
        <f>SUMIFS(18:18,$8:$8,"&gt;="&amp;DATE(YEAR(BL$8),1,1),$8:$8,"&lt;="&amp;EOMONTH(BL$8,0))/SUMIFS(18:18,$8:$8,"&gt;="&amp;DATE(YEAR(BL$8)-1,1,1),$8:$8,"&lt;="&amp;EOMONTH(BL$8,-12))-1</f>
        <v/>
      </c>
      <c r="BM21" s="1318">
        <f>SUMIFS(18:18,$8:$8,"&gt;="&amp;DATE(YEAR(BM$8),1,1),$8:$8,"&lt;="&amp;EOMONTH(BM$8,0))/SUMIFS(18:18,$8:$8,"&gt;="&amp;DATE(YEAR(BM$8)-1,1,1),$8:$8,"&lt;="&amp;EOMONTH(BM$8,-12))-1</f>
        <v/>
      </c>
      <c r="BN21" s="1318">
        <f>SUMIFS(18:18,$8:$8,"&gt;="&amp;DATE(YEAR(BN$8),1,1),$8:$8,"&lt;="&amp;EOMONTH(BN$8,0))/SUMIFS(18:18,$8:$8,"&gt;="&amp;DATE(YEAR(BN$8)-1,1,1),$8:$8,"&lt;="&amp;EOMONTH(BN$8,-12))-1</f>
        <v/>
      </c>
      <c r="BO21" s="1318">
        <f>SUMIFS(18:18,$8:$8,"&gt;="&amp;DATE(YEAR(BO$8),1,1),$8:$8,"&lt;="&amp;EOMONTH(BO$8,0))/SUMIFS(18:18,$8:$8,"&gt;="&amp;DATE(YEAR(BO$8)-1,1,1),$8:$8,"&lt;="&amp;EOMONTH(BO$8,-12))-1</f>
        <v/>
      </c>
      <c r="BP21" s="1318">
        <f>SUMIFS(18:18,$8:$8,"&gt;="&amp;DATE(YEAR(BP$8),1,1),$8:$8,"&lt;="&amp;EOMONTH(BP$8,0))/SUMIFS(18:18,$8:$8,"&gt;="&amp;DATE(YEAR(BP$8)-1,1,1),$8:$8,"&lt;="&amp;EOMONTH(BP$8,-12))-1</f>
        <v/>
      </c>
      <c r="BQ21" s="1318">
        <f>SUMIFS(18:18,$8:$8,"&gt;="&amp;DATE(YEAR(BQ$8),1,1),$8:$8,"&lt;="&amp;EOMONTH(BQ$8,0))/SUMIFS(18:18,$8:$8,"&gt;="&amp;DATE(YEAR(BQ$8)-1,1,1),$8:$8,"&lt;="&amp;EOMONTH(BQ$8,-12))-1</f>
        <v/>
      </c>
      <c r="BR21" s="1318">
        <f>SUMIFS(18:18,$8:$8,"&gt;="&amp;DATE(YEAR(BR$8),1,1),$8:$8,"&lt;="&amp;EOMONTH(BR$8,0))/SUMIFS(18:18,$8:$8,"&gt;="&amp;DATE(YEAR(BR$8)-1,1,1),$8:$8,"&lt;="&amp;EOMONTH(BR$8,-12))-1</f>
        <v/>
      </c>
      <c r="BS21" s="1318">
        <f>SUMIFS(18:18,$8:$8,"&gt;="&amp;DATE(YEAR(BS$8),1,1),$8:$8,"&lt;="&amp;EOMONTH(BS$8,0))/SUMIFS(18:18,$8:$8,"&gt;="&amp;DATE(YEAR(BS$8)-1,1,1),$8:$8,"&lt;="&amp;EOMONTH(BS$8,-12))-1</f>
        <v/>
      </c>
      <c r="BT21" s="1318">
        <f>SUMIFS(18:18,$8:$8,"&gt;="&amp;DATE(YEAR(BT$8),1,1),$8:$8,"&lt;="&amp;EOMONTH(BT$8,0))/SUMIFS(18:18,$8:$8,"&gt;="&amp;DATE(YEAR(BT$8)-1,1,1),$8:$8,"&lt;="&amp;EOMONTH(BT$8,-12))-1</f>
        <v/>
      </c>
      <c r="BU21" s="1318">
        <f>SUMIFS(18:18,$8:$8,"&gt;="&amp;DATE(YEAR(BU$8),1,1),$8:$8,"&lt;="&amp;EOMONTH(BU$8,0))/SUMIFS(18:18,$8:$8,"&gt;="&amp;DATE(YEAR(BU$8)-1,1,1),$8:$8,"&lt;="&amp;EOMONTH(BU$8,-12))-1</f>
        <v/>
      </c>
      <c r="BV21" s="1318">
        <f>SUMIFS(18:18,$8:$8,"&gt;="&amp;DATE(YEAR(BV$8),1,1),$8:$8,"&lt;="&amp;EOMONTH(BV$8,0))/SUMIFS(18:18,$8:$8,"&gt;="&amp;DATE(YEAR(BV$8)-1,1,1),$8:$8,"&lt;="&amp;EOMONTH(BV$8,-12))-1</f>
        <v/>
      </c>
      <c r="BW21" s="1318">
        <f>SUMIFS(18:18,$8:$8,"&gt;="&amp;DATE(YEAR(BW$8),1,1),$8:$8,"&lt;="&amp;EOMONTH(BW$8,0))/SUMIFS(18:18,$8:$8,"&gt;="&amp;DATE(YEAR(BW$8)-1,1,1),$8:$8,"&lt;="&amp;EOMONTH(BW$8,-12))-1</f>
        <v/>
      </c>
      <c r="BX21" s="1318">
        <f>SUMIFS(18:18,$8:$8,"&gt;="&amp;DATE(YEAR(BX$8),1,1),$8:$8,"&lt;="&amp;EOMONTH(BX$8,0))/SUMIFS(18:18,$8:$8,"&gt;="&amp;DATE(YEAR(BX$8)-1,1,1),$8:$8,"&lt;="&amp;EOMONTH(BX$8,-12))-1</f>
        <v/>
      </c>
      <c r="BY21" s="1318">
        <f>SUMIFS(18:18,$8:$8,"&gt;="&amp;DATE(YEAR(BY$8),1,1),$8:$8,"&lt;="&amp;EOMONTH(BY$8,0))/SUMIFS(18:18,$8:$8,"&gt;="&amp;DATE(YEAR(BY$8)-1,1,1),$8:$8,"&lt;="&amp;EOMONTH(BY$8,-12))-1</f>
        <v/>
      </c>
      <c r="BZ21" s="1318">
        <f>SUMIFS(18:18,$8:$8,"&gt;="&amp;DATE(YEAR(BZ$8),1,1),$8:$8,"&lt;="&amp;EOMONTH(BZ$8,0))/SUMIFS(18:18,$8:$8,"&gt;="&amp;DATE(YEAR(BZ$8)-1,1,1),$8:$8,"&lt;="&amp;EOMONTH(BZ$8,-12))-1</f>
        <v/>
      </c>
      <c r="CA21" s="1318">
        <f>SUMIFS(18:18,$8:$8,"&gt;="&amp;DATE(YEAR(CA$8),1,1),$8:$8,"&lt;="&amp;EOMONTH(CA$8,0))/SUMIFS(18:18,$8:$8,"&gt;="&amp;DATE(YEAR(CA$8)-1,1,1),$8:$8,"&lt;="&amp;EOMONTH(CA$8,-12))-1</f>
        <v/>
      </c>
      <c r="CB21" s="1318">
        <f>SUMIFS(18:18,$8:$8,"&gt;="&amp;DATE(YEAR(CB$8),1,1),$8:$8,"&lt;="&amp;EOMONTH(CB$8,0))/SUMIFS(18:18,$8:$8,"&gt;="&amp;DATE(YEAR(CB$8)-1,1,1),$8:$8,"&lt;="&amp;EOMONTH(CB$8,-12))-1</f>
        <v/>
      </c>
      <c r="CC21" s="1318">
        <f>SUMIFS(18:18,$8:$8,"&gt;="&amp;DATE(YEAR(CC$8),1,1),$8:$8,"&lt;="&amp;EOMONTH(CC$8,0))/SUMIFS(18:18,$8:$8,"&gt;="&amp;DATE(YEAR(CC$8)-1,1,1),$8:$8,"&lt;="&amp;EOMONTH(CC$8,-12))-1</f>
        <v/>
      </c>
      <c r="CD21" s="1318">
        <f>SUMIFS(18:18,$8:$8,"&gt;="&amp;DATE(YEAR(CD$8),1,1),$8:$8,"&lt;="&amp;EOMONTH(CD$8,0))/SUMIFS(18:18,$8:$8,"&gt;="&amp;DATE(YEAR(CD$8)-1,1,1),$8:$8,"&lt;="&amp;EOMONTH(CD$8,-12))-1</f>
        <v/>
      </c>
      <c r="CE21" s="1318">
        <f>SUMIFS(18:18,$8:$8,"&gt;="&amp;DATE(YEAR(CE$8),1,1),$8:$8,"&lt;="&amp;EOMONTH(CE$8,0))/SUMIFS(18:18,$8:$8,"&gt;="&amp;DATE(YEAR(CE$8)-1,1,1),$8:$8,"&lt;="&amp;EOMONTH(CE$8,-12))-1</f>
        <v/>
      </c>
      <c r="CF21" s="1318">
        <f>SUMIFS(18:18,$8:$8,"&gt;="&amp;DATE(YEAR(CF$8),1,1),$8:$8,"&lt;="&amp;EOMONTH(CF$8,0))/SUMIFS(18:18,$8:$8,"&gt;="&amp;DATE(YEAR(CF$8)-1,1,1),$8:$8,"&lt;="&amp;EOMONTH(CF$8,-12))-1</f>
        <v/>
      </c>
      <c r="CG21" s="1318">
        <f>SUMIFS(18:18,$8:$8,"&gt;="&amp;DATE(YEAR(CG$8),1,1),$8:$8,"&lt;="&amp;EOMONTH(CG$8,0))/SUMIFS(18:18,$8:$8,"&gt;="&amp;DATE(YEAR(CG$8)-1,1,1),$8:$8,"&lt;="&amp;EOMONTH(CG$8,-12))-1</f>
        <v/>
      </c>
      <c r="CH21" s="1318">
        <f>SUMIFS(18:18,$8:$8,"&gt;="&amp;DATE(YEAR(CH$8),1,1),$8:$8,"&lt;="&amp;EOMONTH(CH$8,0))/SUMIFS(18:18,$8:$8,"&gt;="&amp;DATE(YEAR(CH$8)-1,1,1),$8:$8,"&lt;="&amp;EOMONTH(CH$8,-12))-1</f>
        <v/>
      </c>
      <c r="CI21" s="1318">
        <f>SUMIFS(18:18,$8:$8,"&gt;="&amp;DATE(YEAR(CI$8),1,1),$8:$8,"&lt;="&amp;EOMONTH(CI$8,0))/SUMIFS(18:18,$8:$8,"&gt;="&amp;DATE(YEAR(CI$8)-1,1,1),$8:$8,"&lt;="&amp;EOMONTH(CI$8,-12))-1</f>
        <v/>
      </c>
      <c r="CJ21" s="1318">
        <f>SUMIFS(18:18,$8:$8,"&gt;="&amp;DATE(YEAR(CJ$8),1,1),$8:$8,"&lt;="&amp;EOMONTH(CJ$8,0))/SUMIFS(18:18,$8:$8,"&gt;="&amp;DATE(YEAR(CJ$8)-1,1,1),$8:$8,"&lt;="&amp;EOMONTH(CJ$8,-12))-1</f>
        <v/>
      </c>
      <c r="CK21" s="1318">
        <f>SUMIFS(18:18,$8:$8,"&gt;="&amp;DATE(YEAR(CK$8),1,1),$8:$8,"&lt;="&amp;EOMONTH(CK$8,0))/SUMIFS(18:18,$8:$8,"&gt;="&amp;DATE(YEAR(CK$8)-1,1,1),$8:$8,"&lt;="&amp;EOMONTH(CK$8,-12))-1</f>
        <v/>
      </c>
      <c r="CL21" s="1318">
        <f>SUMIFS(18:18,$8:$8,"&gt;="&amp;DATE(YEAR(CL$8),1,1),$8:$8,"&lt;="&amp;EOMONTH(CL$8,0))/SUMIFS(18:18,$8:$8,"&gt;="&amp;DATE(YEAR(CL$8)-1,1,1),$8:$8,"&lt;="&amp;EOMONTH(CL$8,-12))-1</f>
        <v/>
      </c>
      <c r="CM21" s="1318">
        <f>SUMIFS(18:18,$8:$8,"&gt;="&amp;DATE(YEAR(CM$8),1,1),$8:$8,"&lt;="&amp;EOMONTH(CM$8,0))/SUMIFS(18:18,$8:$8,"&gt;="&amp;DATE(YEAR(CM$8)-1,1,1),$8:$8,"&lt;="&amp;EOMONTH(CM$8,-12))-1</f>
        <v/>
      </c>
      <c r="CN21" s="1318">
        <f>SUMIFS(18:18,$8:$8,"&gt;="&amp;DATE(YEAR(CN$8),1,1),$8:$8,"&lt;="&amp;EOMONTH(CN$8,0))/SUMIFS(18:18,$8:$8,"&gt;="&amp;DATE(YEAR(CN$8)-1,1,1),$8:$8,"&lt;="&amp;EOMONTH(CN$8,-12))-1</f>
        <v/>
      </c>
      <c r="CO21" s="1318">
        <f>SUMIFS(18:18,$8:$8,"&gt;="&amp;DATE(YEAR(CO$8),1,1),$8:$8,"&lt;="&amp;EOMONTH(CO$8,0))/SUMIFS(18:18,$8:$8,"&gt;="&amp;DATE(YEAR(CO$8)-1,1,1),$8:$8,"&lt;="&amp;EOMONTH(CO$8,-12))-1</f>
        <v/>
      </c>
      <c r="CP21" s="1318">
        <f>SUMIFS(18:18,$8:$8,"&gt;="&amp;DATE(YEAR(CP$8),1,1),$8:$8,"&lt;="&amp;EOMONTH(CP$8,0))/SUMIFS(18:18,$8:$8,"&gt;="&amp;DATE(YEAR(CP$8)-1,1,1),$8:$8,"&lt;="&amp;EOMONTH(CP$8,-12))-1</f>
        <v/>
      </c>
      <c r="CQ21" s="1318">
        <f>SUMIFS(18:18,$8:$8,"&gt;="&amp;DATE(YEAR(CQ$8),1,1),$8:$8,"&lt;="&amp;EOMONTH(CQ$8,0))/SUMIFS(18:18,$8:$8,"&gt;="&amp;DATE(YEAR(CQ$8)-1,1,1),$8:$8,"&lt;="&amp;EOMONTH(CQ$8,-12))-1</f>
        <v/>
      </c>
      <c r="CR21" s="1318">
        <f>SUMIFS(18:18,$8:$8,"&gt;="&amp;DATE(YEAR(CR$8),1,1),$8:$8,"&lt;="&amp;EOMONTH(CR$8,0))/SUMIFS(18:18,$8:$8,"&gt;="&amp;DATE(YEAR(CR$8)-1,1,1),$8:$8,"&lt;="&amp;EOMONTH(CR$8,-12))-1</f>
        <v/>
      </c>
      <c r="CS21" s="1318">
        <f>SUMIFS(18:18,$8:$8,"&gt;="&amp;DATE(YEAR(CS$8),1,1),$8:$8,"&lt;="&amp;EOMONTH(CS$8,0))/SUMIFS(18:18,$8:$8,"&gt;="&amp;DATE(YEAR(CS$8)-1,1,1),$8:$8,"&lt;="&amp;EOMONTH(CS$8,-12))-1</f>
        <v/>
      </c>
      <c r="CT21" s="1318">
        <f>SUMIFS(18:18,$8:$8,"&gt;="&amp;DATE(YEAR(CT$8),1,1),$8:$8,"&lt;="&amp;EOMONTH(CT$8,0))/SUMIFS(18:18,$8:$8,"&gt;="&amp;DATE(YEAR(CT$8)-1,1,1),$8:$8,"&lt;="&amp;EOMONTH(CT$8,-12))-1</f>
        <v/>
      </c>
      <c r="CU21" s="1318">
        <f>SUMIFS(18:18,$8:$8,"&gt;="&amp;DATE(YEAR(CU$8),1,1),$8:$8,"&lt;="&amp;EOMONTH(CU$8,0))/SUMIFS(18:18,$8:$8,"&gt;="&amp;DATE(YEAR(CU$8)-1,1,1),$8:$8,"&lt;="&amp;EOMONTH(CU$8,-12))-1</f>
        <v/>
      </c>
      <c r="CV21" s="1318">
        <f>SUMIFS(18:18,$8:$8,"&gt;="&amp;DATE(YEAR(CV$8),1,1),$8:$8,"&lt;="&amp;EOMONTH(CV$8,0))/SUMIFS(18:18,$8:$8,"&gt;="&amp;DATE(YEAR(CV$8)-1,1,1),$8:$8,"&lt;="&amp;EOMONTH(CV$8,-12))-1</f>
        <v/>
      </c>
      <c r="CW21" s="1318">
        <f>SUMIFS(18:18,$8:$8,"&gt;="&amp;DATE(YEAR(CW$8),1,1),$8:$8,"&lt;="&amp;EOMONTH(CW$8,0))/SUMIFS(18:18,$8:$8,"&gt;="&amp;DATE(YEAR(CW$8)-1,1,1),$8:$8,"&lt;="&amp;EOMONTH(CW$8,-12))-1</f>
        <v/>
      </c>
      <c r="CX21" s="1318">
        <f>SUMIFS(18:18,$8:$8,"&gt;="&amp;DATE(YEAR(CX$8),1,1),$8:$8,"&lt;="&amp;EOMONTH(CX$8,0))/SUMIFS(18:18,$8:$8,"&gt;="&amp;DATE(YEAR(CX$8)-1,1,1),$8:$8,"&lt;="&amp;EOMONTH(CX$8,-12))-1</f>
        <v/>
      </c>
      <c r="CY21" s="1318">
        <f>SUMIFS(18:18,$8:$8,"&gt;="&amp;DATE(YEAR(CY$8),1,1),$8:$8,"&lt;="&amp;EOMONTH(CY$8,0))/SUMIFS(18:18,$8:$8,"&gt;="&amp;DATE(YEAR(CY$8)-1,1,1),$8:$8,"&lt;="&amp;EOMONTH(CY$8,-12))-1</f>
        <v/>
      </c>
      <c r="CZ21" s="1318">
        <f>SUMIFS(18:18,$8:$8,"&gt;="&amp;DATE(YEAR(CZ$8),1,1),$8:$8,"&lt;="&amp;EOMONTH(CZ$8,0))/SUMIFS(18:18,$8:$8,"&gt;="&amp;DATE(YEAR(CZ$8)-1,1,1),$8:$8,"&lt;="&amp;EOMONTH(CZ$8,-12))-1</f>
        <v/>
      </c>
      <c r="DA21" s="1318">
        <f>SUMIFS(18:18,$8:$8,"&gt;="&amp;DATE(YEAR(DA$8),1,1),$8:$8,"&lt;="&amp;EOMONTH(DA$8,0))/SUMIFS(18:18,$8:$8,"&gt;="&amp;DATE(YEAR(DA$8)-1,1,1),$8:$8,"&lt;="&amp;EOMONTH(DA$8,-12))-1</f>
        <v/>
      </c>
      <c r="DB21" s="1318">
        <f>SUMIFS(18:18,$8:$8,"&gt;="&amp;DATE(YEAR(DB$8),1,1),$8:$8,"&lt;="&amp;EOMONTH(DB$8,0))/SUMIFS(18:18,$8:$8,"&gt;="&amp;DATE(YEAR(DB$8)-1,1,1),$8:$8,"&lt;="&amp;EOMONTH(DB$8,-12))-1</f>
        <v/>
      </c>
      <c r="DC21" s="1318">
        <f>SUMIFS(18:18,$8:$8,"&gt;="&amp;DATE(YEAR(DC$8),1,1),$8:$8,"&lt;="&amp;EOMONTH(DC$8,0))/SUMIFS(18:18,$8:$8,"&gt;="&amp;DATE(YEAR(DC$8)-1,1,1),$8:$8,"&lt;="&amp;EOMONTH(DC$8,-12))-1</f>
        <v/>
      </c>
      <c r="DD21" s="1318">
        <f>SUMIFS(18:18,$8:$8,"&gt;="&amp;DATE(YEAR(DD$8),1,1),$8:$8,"&lt;="&amp;EOMONTH(DD$8,0))/SUMIFS(18:18,$8:$8,"&gt;="&amp;DATE(YEAR(DD$8)-1,1,1),$8:$8,"&lt;="&amp;EOMONTH(DD$8,-12))-1</f>
        <v/>
      </c>
      <c r="DE21" s="1318">
        <f>SUMIFS(18:18,$8:$8,"&gt;="&amp;DATE(YEAR(DE$8),1,1),$8:$8,"&lt;="&amp;EOMONTH(DE$8,0))/SUMIFS(18:18,$8:$8,"&gt;="&amp;DATE(YEAR(DE$8)-1,1,1),$8:$8,"&lt;="&amp;EOMONTH(DE$8,-12))-1</f>
        <v/>
      </c>
      <c r="DF21" s="1318">
        <f>SUMIFS(18:18,$8:$8,"&gt;="&amp;DATE(YEAR(DF$8),1,1),$8:$8,"&lt;="&amp;EOMONTH(DF$8,0))/SUMIFS(18:18,$8:$8,"&gt;="&amp;DATE(YEAR(DF$8)-1,1,1),$8:$8,"&lt;="&amp;EOMONTH(DF$8,-12))-1</f>
        <v/>
      </c>
      <c r="DG21" s="1318">
        <f>SUMIFS(18:18,$8:$8,"&gt;="&amp;DATE(YEAR(DG$8),1,1),$8:$8,"&lt;="&amp;EOMONTH(DG$8,0))/SUMIFS(18:18,$8:$8,"&gt;="&amp;DATE(YEAR(DG$8)-1,1,1),$8:$8,"&lt;="&amp;EOMONTH(DG$8,-12))-1</f>
        <v/>
      </c>
      <c r="DH21" s="1318">
        <f>SUMIFS(18:18,$8:$8,"&gt;="&amp;DATE(YEAR(DH$8),1,1),$8:$8,"&lt;="&amp;EOMONTH(DH$8,0))/SUMIFS(18:18,$8:$8,"&gt;="&amp;DATE(YEAR(DH$8)-1,1,1),$8:$8,"&lt;="&amp;EOMONTH(DH$8,-12))-1</f>
        <v/>
      </c>
      <c r="DI21" s="1318">
        <f>SUMIFS(18:18,$8:$8,"&gt;="&amp;DATE(YEAR(DI$8),1,1),$8:$8,"&lt;="&amp;EOMONTH(DI$8,0))/SUMIFS(18:18,$8:$8,"&gt;="&amp;DATE(YEAR(DI$8)-1,1,1),$8:$8,"&lt;="&amp;EOMONTH(DI$8,-12))-1</f>
        <v/>
      </c>
      <c r="DJ21" s="1318">
        <f>SUMIFS(18:18,$8:$8,"&gt;="&amp;DATE(YEAR(DJ$8),1,1),$8:$8,"&lt;="&amp;EOMONTH(DJ$8,0))/SUMIFS(18:18,$8:$8,"&gt;="&amp;DATE(YEAR(DJ$8)-1,1,1),$8:$8,"&lt;="&amp;EOMONTH(DJ$8,-12))-1</f>
        <v/>
      </c>
      <c r="DK21" s="1318">
        <f>SUMIFS(18:18,$8:$8,"&gt;="&amp;DATE(YEAR(DK$8),1,1),$8:$8,"&lt;="&amp;EOMONTH(DK$8,0))/SUMIFS(18:18,$8:$8,"&gt;="&amp;DATE(YEAR(DK$8)-1,1,1),$8:$8,"&lt;="&amp;EOMONTH(DK$8,-12))-1</f>
        <v/>
      </c>
      <c r="DL21" s="1318">
        <f>SUMIFS(18:18,$8:$8,"&gt;="&amp;DATE(YEAR(DL$8),1,1),$8:$8,"&lt;="&amp;EOMONTH(DL$8,0))/SUMIFS(18:18,$8:$8,"&gt;="&amp;DATE(YEAR(DL$8)-1,1,1),$8:$8,"&lt;="&amp;EOMONTH(DL$8,-12))-1</f>
        <v/>
      </c>
      <c r="DM21" s="1318">
        <f>SUMIFS(18:18,$8:$8,"&gt;="&amp;DATE(YEAR(DM$8),1,1),$8:$8,"&lt;="&amp;EOMONTH(DM$8,0))/SUMIFS(18:18,$8:$8,"&gt;="&amp;DATE(YEAR(DM$8)-1,1,1),$8:$8,"&lt;="&amp;EOMONTH(DM$8,-12))-1</f>
        <v/>
      </c>
      <c r="DN21" s="1318">
        <f>SUMIFS(18:18,$8:$8,"&gt;="&amp;DATE(YEAR(DN$8),1,1),$8:$8,"&lt;="&amp;EOMONTH(DN$8,0))/SUMIFS(18:18,$8:$8,"&gt;="&amp;DATE(YEAR(DN$8)-1,1,1),$8:$8,"&lt;="&amp;EOMONTH(DN$8,-12))-1</f>
        <v/>
      </c>
      <c r="DO21" s="1318">
        <f>SUMIFS(18:18,$8:$8,"&gt;="&amp;DATE(YEAR(DO$8),1,1),$8:$8,"&lt;="&amp;EOMONTH(DO$8,0))/SUMIFS(18:18,$8:$8,"&gt;="&amp;DATE(YEAR(DO$8)-1,1,1),$8:$8,"&lt;="&amp;EOMONTH(DO$8,-12))-1</f>
        <v/>
      </c>
      <c r="DP21" s="1318">
        <f>SUMIFS(18:18,$8:$8,"&gt;="&amp;DATE(YEAR(DP$8),1,1),$8:$8,"&lt;="&amp;EOMONTH(DP$8,0))/SUMIFS(18:18,$8:$8,"&gt;="&amp;DATE(YEAR(DP$8)-1,1,1),$8:$8,"&lt;="&amp;EOMONTH(DP$8,-12))-1</f>
        <v/>
      </c>
      <c r="DQ21" s="1318">
        <f>SUMIFS(18:18,$8:$8,"&gt;="&amp;DATE(YEAR(DQ$8),1,1),$8:$8,"&lt;="&amp;EOMONTH(DQ$8,0))/SUMIFS(18:18,$8:$8,"&gt;="&amp;DATE(YEAR(DQ$8)-1,1,1),$8:$8,"&lt;="&amp;EOMONTH(DQ$8,-12))-1</f>
        <v/>
      </c>
      <c r="DR21" s="1318">
        <f>SUMIFS(18:18,$8:$8,"&gt;="&amp;DATE(YEAR(DR$8),1,1),$8:$8,"&lt;="&amp;EOMONTH(DR$8,0))/SUMIFS(18:18,$8:$8,"&gt;="&amp;DATE(YEAR(DR$8)-1,1,1),$8:$8,"&lt;="&amp;EOMONTH(DR$8,-12))-1</f>
        <v/>
      </c>
      <c r="DS21" s="1318">
        <f>SUMIFS(18:18,$8:$8,"&gt;="&amp;DATE(YEAR(DS$8),1,1),$8:$8,"&lt;="&amp;EOMONTH(DS$8,0))/SUMIFS(18:18,$8:$8,"&gt;="&amp;DATE(YEAR(DS$8)-1,1,1),$8:$8,"&lt;="&amp;EOMONTH(DS$8,-12))-1</f>
        <v/>
      </c>
      <c r="DT21" s="1318">
        <f>SUMIFS(18:18,$8:$8,"&gt;="&amp;DATE(YEAR(DT$8),1,1),$8:$8,"&lt;="&amp;EOMONTH(DT$8,0))/SUMIFS(18:18,$8:$8,"&gt;="&amp;DATE(YEAR(DT$8)-1,1,1),$8:$8,"&lt;="&amp;EOMONTH(DT$8,-12))-1</f>
        <v/>
      </c>
      <c r="DU21" s="1318">
        <f>SUMIFS(18:18,$8:$8,"&gt;="&amp;DATE(YEAR(DU$8),1,1),$8:$8,"&lt;="&amp;EOMONTH(DU$8,0))/SUMIFS(18:18,$8:$8,"&gt;="&amp;DATE(YEAR(DU$8)-1,1,1),$8:$8,"&lt;="&amp;EOMONTH(DU$8,-12))-1</f>
        <v/>
      </c>
      <c r="DV21" s="1318">
        <f>SUMIFS(18:18,$8:$8,"&gt;="&amp;DATE(YEAR(DV$8),1,1),$8:$8,"&lt;="&amp;EOMONTH(DV$8,0))/SUMIFS(18:18,$8:$8,"&gt;="&amp;DATE(YEAR(DV$8)-1,1,1),$8:$8,"&lt;="&amp;EOMONTH(DV$8,-12))-1</f>
        <v/>
      </c>
      <c r="DW21" s="1318">
        <f>SUMIFS(18:18,$8:$8,"&gt;="&amp;DATE(YEAR(DW$8),1,1),$8:$8,"&lt;="&amp;EOMONTH(DW$8,0))/SUMIFS(18:18,$8:$8,"&gt;="&amp;DATE(YEAR(DW$8)-1,1,1),$8:$8,"&lt;="&amp;EOMONTH(DW$8,-12))-1</f>
        <v/>
      </c>
      <c r="DX21" s="1318">
        <f>SUMIFS(18:18,$8:$8,"&gt;="&amp;DATE(YEAR(DX$8),1,1),$8:$8,"&lt;="&amp;EOMONTH(DX$8,0))/SUMIFS(18:18,$8:$8,"&gt;="&amp;DATE(YEAR(DX$8)-1,1,1),$8:$8,"&lt;="&amp;EOMONTH(DX$8,-12))-1</f>
        <v/>
      </c>
      <c r="DY21" s="1318">
        <f>SUMIFS(18:18,$8:$8,"&gt;="&amp;DATE(YEAR(DY$8),1,1),$8:$8,"&lt;="&amp;EOMONTH(DY$8,0))/SUMIFS(18:18,$8:$8,"&gt;="&amp;DATE(YEAR(DY$8)-1,1,1),$8:$8,"&lt;="&amp;EOMONTH(DY$8,-12))-1</f>
        <v/>
      </c>
      <c r="DZ21" s="1318">
        <f>SUMIFS(18:18,$8:$8,"&gt;="&amp;DATE(YEAR(DZ$8),1,1),$8:$8,"&lt;="&amp;EOMONTH(DZ$8,0))/SUMIFS(18:18,$8:$8,"&gt;="&amp;DATE(YEAR(DZ$8)-1,1,1),$8:$8,"&lt;="&amp;EOMONTH(DZ$8,-12))-1</f>
        <v/>
      </c>
      <c r="EA21" s="1318">
        <f>SUMIFS(18:18,$8:$8,"&gt;="&amp;DATE(YEAR(EA$8),1,1),$8:$8,"&lt;="&amp;EOMONTH(EA$8,0))/SUMIFS(18:18,$8:$8,"&gt;="&amp;DATE(YEAR(EA$8)-1,1,1),$8:$8,"&lt;="&amp;EOMONTH(EA$8,-12))-1</f>
        <v/>
      </c>
      <c r="EB21" s="1318">
        <f>SUMIFS(18:18,$8:$8,"&gt;="&amp;DATE(YEAR(EB$8),1,1),$8:$8,"&lt;="&amp;EOMONTH(EB$8,0))/SUMIFS(18:18,$8:$8,"&gt;="&amp;DATE(YEAR(EB$8)-1,1,1),$8:$8,"&lt;="&amp;EOMONTH(EB$8,-12))-1</f>
        <v/>
      </c>
      <c r="EC21" s="1318">
        <f>SUMIFS(18:18,$8:$8,"&gt;="&amp;DATE(YEAR(EC$8),1,1),$8:$8,"&lt;="&amp;EOMONTH(EC$8,0))/SUMIFS(18:18,$8:$8,"&gt;="&amp;DATE(YEAR(EC$8)-1,1,1),$8:$8,"&lt;="&amp;EOMONTH(EC$8,-12))-1</f>
        <v/>
      </c>
      <c r="ED21" s="1318">
        <f>SUMIFS(18:18,$8:$8,"&gt;="&amp;DATE(YEAR(ED$8),1,1),$8:$8,"&lt;="&amp;EOMONTH(ED$8,0))/SUMIFS(18:18,$8:$8,"&gt;="&amp;DATE(YEAR(ED$8)-1,1,1),$8:$8,"&lt;="&amp;EOMONTH(ED$8,-12))-1</f>
        <v/>
      </c>
      <c r="EE21" s="1318">
        <f>SUMIFS(18:18,$8:$8,"&gt;="&amp;DATE(YEAR(EE$8),1,1),$8:$8,"&lt;="&amp;EOMONTH(EE$8,0))/SUMIFS(18:18,$8:$8,"&gt;="&amp;DATE(YEAR(EE$8)-1,1,1),$8:$8,"&lt;="&amp;EOMONTH(EE$8,-12))-1</f>
        <v/>
      </c>
      <c r="EF21" s="1318">
        <f>SUMIFS(18:18,$8:$8,"&gt;="&amp;DATE(YEAR(EF$8),1,1),$8:$8,"&lt;="&amp;EOMONTH(EF$8,0))/SUMIFS(18:18,$8:$8,"&gt;="&amp;DATE(YEAR(EF$8)-1,1,1),$8:$8,"&lt;="&amp;EOMONTH(EF$8,-12))-1</f>
        <v/>
      </c>
      <c r="EG21" s="1318">
        <f>SUMIFS(18:18,$8:$8,"&gt;="&amp;DATE(YEAR(EG$8),1,1),$8:$8,"&lt;="&amp;EOMONTH(EG$8,0))/SUMIFS(18:18,$8:$8,"&gt;="&amp;DATE(YEAR(EG$8)-1,1,1),$8:$8,"&lt;="&amp;EOMONTH(EG$8,-12))-1</f>
        <v/>
      </c>
      <c r="EH21" s="1318">
        <f>SUMIFS(18:18,$8:$8,"&gt;="&amp;DATE(YEAR(EH$8),1,1),$8:$8,"&lt;="&amp;EOMONTH(EH$8,0))/SUMIFS(18:18,$8:$8,"&gt;="&amp;DATE(YEAR(EH$8)-1,1,1),$8:$8,"&lt;="&amp;EOMONTH(EH$8,-12))-1</f>
        <v/>
      </c>
      <c r="EI21" s="1318">
        <f>SUMIFS(18:18,$8:$8,"&gt;="&amp;DATE(YEAR(EI$8),1,1),$8:$8,"&lt;="&amp;EOMONTH(EI$8,0))/SUMIFS(18:18,$8:$8,"&gt;="&amp;DATE(YEAR(EI$8)-1,1,1),$8:$8,"&lt;="&amp;EOMONTH(EI$8,-12))-1</f>
        <v/>
      </c>
      <c r="EJ21" s="1318">
        <f>SUMIFS(18:18,$8:$8,"&gt;="&amp;DATE(YEAR(EJ$8),1,1),$8:$8,"&lt;="&amp;EOMONTH(EJ$8,0))/SUMIFS(18:18,$8:$8,"&gt;="&amp;DATE(YEAR(EJ$8)-1,1,1),$8:$8,"&lt;="&amp;EOMONTH(EJ$8,-12))-1</f>
        <v/>
      </c>
      <c r="EK21" s="1318">
        <f>SUMIFS(18:18,$8:$8,"&gt;="&amp;DATE(YEAR(EK$8),1,1),$8:$8,"&lt;="&amp;EOMONTH(EK$8,0))/SUMIFS(18:18,$8:$8,"&gt;="&amp;DATE(YEAR(EK$8)-1,1,1),$8:$8,"&lt;="&amp;EOMONTH(EK$8,-12))-1</f>
        <v/>
      </c>
      <c r="EL21" s="1318">
        <f>SUMIFS(18:18,$8:$8,"&gt;="&amp;DATE(YEAR(EL$8),1,1),$8:$8,"&lt;="&amp;EOMONTH(EL$8,0))/SUMIFS(18:18,$8:$8,"&gt;="&amp;DATE(YEAR(EL$8)-1,1,1),$8:$8,"&lt;="&amp;EOMONTH(EL$8,-12))-1</f>
        <v/>
      </c>
      <c r="EM21" s="1318">
        <f>SUMIFS(18:18,$8:$8,"&gt;="&amp;DATE(YEAR(EM$8),1,1),$8:$8,"&lt;="&amp;EOMONTH(EM$8,0))/SUMIFS(18:18,$8:$8,"&gt;="&amp;DATE(YEAR(EM$8)-1,1,1),$8:$8,"&lt;="&amp;EOMONTH(EM$8,-12))-1</f>
        <v/>
      </c>
      <c r="EN21" s="1318">
        <f>SUMIFS(18:18,$8:$8,"&gt;="&amp;DATE(YEAR(EN$8),1,1),$8:$8,"&lt;="&amp;EOMONTH(EN$8,0))/SUMIFS(18:18,$8:$8,"&gt;="&amp;DATE(YEAR(EN$8)-1,1,1),$8:$8,"&lt;="&amp;EOMONTH(EN$8,-12))-1</f>
        <v/>
      </c>
      <c r="EO21" s="1318">
        <f>SUMIFS(18:18,$8:$8,"&gt;="&amp;DATE(YEAR(EO$8),1,1),$8:$8,"&lt;="&amp;EOMONTH(EO$8,0))/SUMIFS(18:18,$8:$8,"&gt;="&amp;DATE(YEAR(EO$8)-1,1,1),$8:$8,"&lt;="&amp;EOMONTH(EO$8,-12))-1</f>
        <v/>
      </c>
      <c r="EP21" s="1318">
        <f>SUMIFS(18:18,$8:$8,"&gt;="&amp;DATE(YEAR(EP$8),1,1),$8:$8,"&lt;="&amp;EOMONTH(EP$8,0))/SUMIFS(18:18,$8:$8,"&gt;="&amp;DATE(YEAR(EP$8)-1,1,1),$8:$8,"&lt;="&amp;EOMONTH(EP$8,-12))-1</f>
        <v/>
      </c>
      <c r="EQ21" s="1318">
        <f>SUMIFS(18:18,$8:$8,"&gt;="&amp;DATE(YEAR(EQ$8),1,1),$8:$8,"&lt;="&amp;EOMONTH(EQ$8,0))/SUMIFS(18:18,$8:$8,"&gt;="&amp;DATE(YEAR(EQ$8)-1,1,1),$8:$8,"&lt;="&amp;EOMONTH(EQ$8,-12))-1</f>
        <v/>
      </c>
      <c r="ER21" s="1318">
        <f>SUMIFS(18:18,$8:$8,"&gt;="&amp;DATE(YEAR(ER$8),1,1),$8:$8,"&lt;="&amp;EOMONTH(ER$8,0))/SUMIFS(18:18,$8:$8,"&gt;="&amp;DATE(YEAR(ER$8)-1,1,1),$8:$8,"&lt;="&amp;EOMONTH(ER$8,-12))-1</f>
        <v/>
      </c>
      <c r="ES21" s="1318">
        <f>SUMIFS(18:18,$8:$8,"&gt;="&amp;DATE(YEAR(ES$8),1,1),$8:$8,"&lt;="&amp;EOMONTH(ES$8,0))/SUMIFS(18:18,$8:$8,"&gt;="&amp;DATE(YEAR(ES$8)-1,1,1),$8:$8,"&lt;="&amp;EOMONTH(ES$8,-12))-1</f>
        <v/>
      </c>
      <c r="ET21" s="1318">
        <f>SUMIFS(18:18,$8:$8,"&gt;="&amp;DATE(YEAR(ET$8),1,1),$8:$8,"&lt;="&amp;EOMONTH(ET$8,0))/SUMIFS(18:18,$8:$8,"&gt;="&amp;DATE(YEAR(ET$8)-1,1,1),$8:$8,"&lt;="&amp;EOMONTH(ET$8,-12))-1</f>
        <v/>
      </c>
      <c r="EU21" s="1318">
        <f>SUMIFS(18:18,$8:$8,"&gt;="&amp;DATE(YEAR(EU$8),1,1),$8:$8,"&lt;="&amp;EOMONTH(EU$8,0))/SUMIFS(18:18,$8:$8,"&gt;="&amp;DATE(YEAR(EU$8)-1,1,1),$8:$8,"&lt;="&amp;EOMONTH(EU$8,-12))-1</f>
        <v/>
      </c>
      <c r="EV21" s="1318">
        <f>SUMIFS(18:18,$8:$8,"&gt;="&amp;DATE(YEAR(EV$8),1,1),$8:$8,"&lt;="&amp;EOMONTH(EV$8,0))/SUMIFS(18:18,$8:$8,"&gt;="&amp;DATE(YEAR(EV$8)-1,1,1),$8:$8,"&lt;="&amp;EOMONTH(EV$8,-12))-1</f>
        <v/>
      </c>
      <c r="EW21" s="1318">
        <f>SUMIFS(18:18,$8:$8,"&gt;="&amp;DATE(YEAR(EW$8),1,1),$8:$8,"&lt;="&amp;EOMONTH(EW$8,0))/SUMIFS(18:18,$8:$8,"&gt;="&amp;DATE(YEAR(EW$8)-1,1,1),$8:$8,"&lt;="&amp;EOMONTH(EW$8,-12))-1</f>
        <v/>
      </c>
      <c r="EX21" s="1318">
        <f>SUMIFS(18:18,$8:$8,"&gt;="&amp;DATE(YEAR(EX$8),1,1),$8:$8,"&lt;="&amp;EOMONTH(EX$8,0))/SUMIFS(18:18,$8:$8,"&gt;="&amp;DATE(YEAR(EX$8)-1,1,1),$8:$8,"&lt;="&amp;EOMONTH(EX$8,-12))-1</f>
        <v/>
      </c>
      <c r="EY21" s="1318">
        <f>SUMIFS(18:18,$8:$8,"&gt;="&amp;DATE(YEAR(EY$8),1,1),$8:$8,"&lt;="&amp;EOMONTH(EY$8,0))/SUMIFS(18:18,$8:$8,"&gt;="&amp;DATE(YEAR(EY$8)-1,1,1),$8:$8,"&lt;="&amp;EOMONTH(EY$8,-12))-1</f>
        <v/>
      </c>
      <c r="EZ21" s="1318">
        <f>SUMIFS(18:18,$8:$8,"&gt;="&amp;DATE(YEAR(EZ$8),1,1),$8:$8,"&lt;="&amp;EOMONTH(EZ$8,0))/SUMIFS(18:18,$8:$8,"&gt;="&amp;DATE(YEAR(EZ$8)-1,1,1),$8:$8,"&lt;="&amp;EOMONTH(EZ$8,-12))-1</f>
        <v/>
      </c>
      <c r="FA21" s="1318">
        <f>SUMIFS(18:18,$8:$8,"&gt;="&amp;DATE(YEAR(FA$8),1,1),$8:$8,"&lt;="&amp;EOMONTH(FA$8,0))/SUMIFS(18:18,$8:$8,"&gt;="&amp;DATE(YEAR(FA$8)-1,1,1),$8:$8,"&lt;="&amp;EOMONTH(FA$8,-12))-1</f>
        <v/>
      </c>
      <c r="FB21" s="1318">
        <f>SUMIFS(18:18,$8:$8,"&gt;="&amp;DATE(YEAR(FB$8),1,1),$8:$8,"&lt;="&amp;EOMONTH(FB$8,0))/SUMIFS(18:18,$8:$8,"&gt;="&amp;DATE(YEAR(FB$8)-1,1,1),$8:$8,"&lt;="&amp;EOMONTH(FB$8,-12))-1</f>
        <v/>
      </c>
      <c r="FC21" s="1318">
        <f>SUMIFS(18:18,$8:$8,"&gt;="&amp;DATE(YEAR(FC$8),1,1),$8:$8,"&lt;="&amp;EOMONTH(FC$8,0))/SUMIFS(18:18,$8:$8,"&gt;="&amp;DATE(YEAR(FC$8)-1,1,1),$8:$8,"&lt;="&amp;EOMONTH(FC$8,-12))-1</f>
        <v/>
      </c>
      <c r="FD21" s="1318">
        <f>SUMIFS(18:18,$8:$8,"&gt;="&amp;DATE(YEAR(FD$8),1,1),$8:$8,"&lt;="&amp;EOMONTH(FD$8,0))/SUMIFS(18:18,$8:$8,"&gt;="&amp;DATE(YEAR(FD$8)-1,1,1),$8:$8,"&lt;="&amp;EOMONTH(FD$8,-12))-1</f>
        <v/>
      </c>
      <c r="FE21" s="1318">
        <f>SUMIFS(18:18,$8:$8,"&gt;="&amp;DATE(YEAR(FE$8),1,1),$8:$8,"&lt;="&amp;EOMONTH(FE$8,0))/SUMIFS(18:18,$8:$8,"&gt;="&amp;DATE(YEAR(FE$8)-1,1,1),$8:$8,"&lt;="&amp;EOMONTH(FE$8,-12))-1</f>
        <v/>
      </c>
      <c r="FF21" s="1318">
        <f>SUMIFS(18:18,$8:$8,"&gt;="&amp;DATE(YEAR(FF$8),1,1),$8:$8,"&lt;="&amp;EOMONTH(FF$8,0))/SUMIFS(18:18,$8:$8,"&gt;="&amp;DATE(YEAR(FF$8)-1,1,1),$8:$8,"&lt;="&amp;EOMONTH(FF$8,-12))-1</f>
        <v/>
      </c>
      <c r="FG21" s="1318">
        <f>SUMIFS(18:18,$8:$8,"&gt;="&amp;DATE(YEAR(FG$8),1,1),$8:$8,"&lt;="&amp;EOMONTH(FG$8,0))/SUMIFS(18:18,$8:$8,"&gt;="&amp;DATE(YEAR(FG$8)-1,1,1),$8:$8,"&lt;="&amp;EOMONTH(FG$8,-12))-1</f>
        <v/>
      </c>
      <c r="FH21" s="1318">
        <f>SUMIFS(18:18,$8:$8,"&gt;="&amp;DATE(YEAR(FH$8),1,1),$8:$8,"&lt;="&amp;EOMONTH(FH$8,0))/SUMIFS(18:18,$8:$8,"&gt;="&amp;DATE(YEAR(FH$8)-1,1,1),$8:$8,"&lt;="&amp;EOMONTH(FH$8,-12))-1</f>
        <v/>
      </c>
      <c r="FI21" s="1318">
        <f>SUMIFS(18:18,$8:$8,"&gt;="&amp;DATE(YEAR(FI$8),1,1),$8:$8,"&lt;="&amp;EOMONTH(FI$8,0))/SUMIFS(18:18,$8:$8,"&gt;="&amp;DATE(YEAR(FI$8)-1,1,1),$8:$8,"&lt;="&amp;EOMONTH(FI$8,-12))-1</f>
        <v/>
      </c>
      <c r="FJ21" s="1318">
        <f>SUMIFS(18:18,$8:$8,"&gt;="&amp;DATE(YEAR(FJ$8),1,1),$8:$8,"&lt;="&amp;EOMONTH(FJ$8,0))/SUMIFS(18:18,$8:$8,"&gt;="&amp;DATE(YEAR(FJ$8)-1,1,1),$8:$8,"&lt;="&amp;EOMONTH(FJ$8,-12))-1</f>
        <v/>
      </c>
      <c r="FK21" s="1318">
        <f>SUMIFS(18:18,$8:$8,"&gt;="&amp;DATE(YEAR(FK$8),1,1),$8:$8,"&lt;="&amp;EOMONTH(FK$8,0))/SUMIFS(18:18,$8:$8,"&gt;="&amp;DATE(YEAR(FK$8)-1,1,1),$8:$8,"&lt;="&amp;EOMONTH(FK$8,-12))-1</f>
        <v/>
      </c>
      <c r="FL21" s="1318">
        <f>SUMIFS(18:18,$8:$8,"&gt;="&amp;DATE(YEAR(FL$8),1,1),$8:$8,"&lt;="&amp;EOMONTH(FL$8,0))/SUMIFS(18:18,$8:$8,"&gt;="&amp;DATE(YEAR(FL$8)-1,1,1),$8:$8,"&lt;="&amp;EOMONTH(FL$8,-12))-1</f>
        <v/>
      </c>
      <c r="FM21" s="1318">
        <f>SUMIFS(18:18,$8:$8,"&gt;="&amp;DATE(YEAR(FM$8),1,1),$8:$8,"&lt;="&amp;EOMONTH(FM$8,0))/SUMIFS(18:18,$8:$8,"&gt;="&amp;DATE(YEAR(FM$8)-1,1,1),$8:$8,"&lt;="&amp;EOMONTH(FM$8,-12))-1</f>
        <v/>
      </c>
      <c r="FN21" s="1318">
        <f>SUMIFS(18:18,$8:$8,"&gt;="&amp;DATE(YEAR(FN$8),1,1),$8:$8,"&lt;="&amp;EOMONTH(FN$8,0))/SUMIFS(18:18,$8:$8,"&gt;="&amp;DATE(YEAR(FN$8)-1,1,1),$8:$8,"&lt;="&amp;EOMONTH(FN$8,-12))-1</f>
        <v/>
      </c>
      <c r="FO21" s="1318">
        <f>SUMIFS(18:18,$8:$8,"&gt;="&amp;DATE(YEAR(FO$8),1,1),$8:$8,"&lt;="&amp;EOMONTH(FO$8,0))/SUMIFS(18:18,$8:$8,"&gt;="&amp;DATE(YEAR(FO$8)-1,1,1),$8:$8,"&lt;="&amp;EOMONTH(FO$8,-12))-1</f>
        <v/>
      </c>
      <c r="FP21" s="1318">
        <f>SUMIFS(18:18,$8:$8,"&gt;="&amp;DATE(YEAR(FP$8),1,1),$8:$8,"&lt;="&amp;EOMONTH(FP$8,0))/SUMIFS(18:18,$8:$8,"&gt;="&amp;DATE(YEAR(FP$8)-1,1,1),$8:$8,"&lt;="&amp;EOMONTH(FP$8,-12))-1</f>
        <v/>
      </c>
      <c r="FQ21" s="1318">
        <f>SUMIFS(18:18,$8:$8,"&gt;="&amp;DATE(YEAR(FQ$8),1,1),$8:$8,"&lt;="&amp;EOMONTH(FQ$8,0))/SUMIFS(18:18,$8:$8,"&gt;="&amp;DATE(YEAR(FQ$8)-1,1,1),$8:$8,"&lt;="&amp;EOMONTH(FQ$8,-12))-1</f>
        <v/>
      </c>
      <c r="FR21" s="1318">
        <f>SUMIFS(18:18,$8:$8,"&gt;="&amp;DATE(YEAR(FR$8),1,1),$8:$8,"&lt;="&amp;EOMONTH(FR$8,0))/SUMIFS(18:18,$8:$8,"&gt;="&amp;DATE(YEAR(FR$8)-1,1,1),$8:$8,"&lt;="&amp;EOMONTH(FR$8,-12))-1</f>
        <v/>
      </c>
      <c r="FS21" s="1318">
        <f>SUMIFS(18:18,$8:$8,"&gt;="&amp;DATE(YEAR(FS$8),1,1),$8:$8,"&lt;="&amp;EOMONTH(FS$8,0))/SUMIFS(18:18,$8:$8,"&gt;="&amp;DATE(YEAR(FS$8)-1,1,1),$8:$8,"&lt;="&amp;EOMONTH(FS$8,-12))-1</f>
        <v/>
      </c>
      <c r="FT21" s="1318">
        <f>SUMIFS(18:18,$8:$8,"&gt;="&amp;DATE(YEAR(FT$8),1,1),$8:$8,"&lt;="&amp;EOMONTH(FT$8,0))/SUMIFS(18:18,$8:$8,"&gt;="&amp;DATE(YEAR(FT$8)-1,1,1),$8:$8,"&lt;="&amp;EOMONTH(FT$8,-12))-1</f>
        <v/>
      </c>
      <c r="FU21" s="1318">
        <f>SUMIFS(18:18,$8:$8,"&gt;="&amp;DATE(YEAR(FU$8),1,1),$8:$8,"&lt;="&amp;EOMONTH(FU$8,0))/SUMIFS(18:18,$8:$8,"&gt;="&amp;DATE(YEAR(FU$8)-1,1,1),$8:$8,"&lt;="&amp;EOMONTH(FU$8,-12))-1</f>
        <v/>
      </c>
      <c r="FV21" s="1318">
        <f>SUMIFS(18:18,$8:$8,"&gt;="&amp;DATE(YEAR(FV$8),1,1),$8:$8,"&lt;="&amp;EOMONTH(FV$8,0))/SUMIFS(18:18,$8:$8,"&gt;="&amp;DATE(YEAR(FV$8)-1,1,1),$8:$8,"&lt;="&amp;EOMONTH(FV$8,-12))-1</f>
        <v/>
      </c>
      <c r="FW21" s="1318">
        <f>SUMIFS(18:18,$8:$8,"&gt;="&amp;DATE(YEAR(FW$8),1,1),$8:$8,"&lt;="&amp;EOMONTH(FW$8,0))/SUMIFS(18:18,$8:$8,"&gt;="&amp;DATE(YEAR(FW$8)-1,1,1),$8:$8,"&lt;="&amp;EOMONTH(FW$8,-12))-1</f>
        <v/>
      </c>
      <c r="FX21" s="1318">
        <f>SUMIFS(18:18,$8:$8,"&gt;="&amp;DATE(YEAR(FX$8),1,1),$8:$8,"&lt;="&amp;EOMONTH(FX$8,0))/SUMIFS(18:18,$8:$8,"&gt;="&amp;DATE(YEAR(FX$8)-1,1,1),$8:$8,"&lt;="&amp;EOMONTH(FX$8,-12))-1</f>
        <v/>
      </c>
      <c r="FY21" s="1318">
        <f>SUMIFS(18:18,$8:$8,"&gt;="&amp;DATE(YEAR(FY$8),1,1),$8:$8,"&lt;="&amp;EOMONTH(FY$8,0))/SUMIFS(18:18,$8:$8,"&gt;="&amp;DATE(YEAR(FY$8)-1,1,1),$8:$8,"&lt;="&amp;EOMONTH(FY$8,-12))-1</f>
        <v/>
      </c>
      <c r="FZ21" s="1318">
        <f>SUMIFS(18:18,$8:$8,"&gt;="&amp;DATE(YEAR(FZ$8),1,1),$8:$8,"&lt;="&amp;EOMONTH(FZ$8,0))/SUMIFS(18:18,$8:$8,"&gt;="&amp;DATE(YEAR(FZ$8)-1,1,1),$8:$8,"&lt;="&amp;EOMONTH(FZ$8,-12))-1</f>
        <v/>
      </c>
      <c r="GA21" s="1318">
        <f>SUMIFS(18:18,$8:$8,"&gt;="&amp;DATE(YEAR(GA$8),1,1),$8:$8,"&lt;="&amp;EOMONTH(GA$8,0))/SUMIFS(18:18,$8:$8,"&gt;="&amp;DATE(YEAR(GA$8)-1,1,1),$8:$8,"&lt;="&amp;EOMONTH(GA$8,-12))-1</f>
        <v/>
      </c>
      <c r="GB21" s="1318">
        <f>SUMIFS(18:18,$8:$8,"&gt;="&amp;DATE(YEAR(GB$8),1,1),$8:$8,"&lt;="&amp;EOMONTH(GB$8,0))/SUMIFS(18:18,$8:$8,"&gt;="&amp;DATE(YEAR(GB$8)-1,1,1),$8:$8,"&lt;="&amp;EOMONTH(GB$8,-12))-1</f>
        <v/>
      </c>
      <c r="GC21" s="1318">
        <f>SUMIFS(18:18,$8:$8,"&gt;="&amp;DATE(YEAR(GC$8),1,1),$8:$8,"&lt;="&amp;EOMONTH(GC$8,0))/SUMIFS(18:18,$8:$8,"&gt;="&amp;DATE(YEAR(GC$8)-1,1,1),$8:$8,"&lt;="&amp;EOMONTH(GC$8,-12))-1</f>
        <v/>
      </c>
      <c r="GD21" s="1318">
        <f>SUMIFS(18:18,$8:$8,"&gt;="&amp;DATE(YEAR(GD$8),1,1),$8:$8,"&lt;="&amp;EOMONTH(GD$8,0))/SUMIFS(18:18,$8:$8,"&gt;="&amp;DATE(YEAR(GD$8)-1,1,1),$8:$8,"&lt;="&amp;EOMONTH(GD$8,-12))-1</f>
        <v/>
      </c>
      <c r="GE21" s="1318">
        <f>SUMIFS(18:18,$8:$8,"&gt;="&amp;DATE(YEAR(GE$8),1,1),$8:$8,"&lt;="&amp;EOMONTH(GE$8,0))/SUMIFS(18:18,$8:$8,"&gt;="&amp;DATE(YEAR(GE$8)-1,1,1),$8:$8,"&lt;="&amp;EOMONTH(GE$8,-12))-1</f>
        <v/>
      </c>
      <c r="GF21" s="1318">
        <f>SUMIFS(18:18,$8:$8,"&gt;="&amp;DATE(YEAR(GF$8),1,1),$8:$8,"&lt;="&amp;EOMONTH(GF$8,0))/SUMIFS(18:18,$8:$8,"&gt;="&amp;DATE(YEAR(GF$8)-1,1,1),$8:$8,"&lt;="&amp;EOMONTH(GF$8,-12))-1</f>
        <v/>
      </c>
      <c r="GG21" s="1318">
        <f>SUMIFS(18:18,$8:$8,"&gt;="&amp;DATE(YEAR(GG$8),1,1),$8:$8,"&lt;="&amp;EOMONTH(GG$8,0))/SUMIFS(18:18,$8:$8,"&gt;="&amp;DATE(YEAR(GG$8)-1,1,1),$8:$8,"&lt;="&amp;EOMONTH(GG$8,-12))-1</f>
        <v/>
      </c>
      <c r="GH21" s="1318">
        <f>SUMIFS(18:18,$8:$8,"&gt;="&amp;DATE(YEAR(GH$8),1,1),$8:$8,"&lt;="&amp;EOMONTH(GH$8,0))/SUMIFS(18:18,$8:$8,"&gt;="&amp;DATE(YEAR(GH$8)-1,1,1),$8:$8,"&lt;="&amp;EOMONTH(GH$8,-12))-1</f>
        <v/>
      </c>
      <c r="GI21" s="1318">
        <f>SUMIFS(18:18,$8:$8,"&gt;="&amp;DATE(YEAR(GI$8),1,1),$8:$8,"&lt;="&amp;EOMONTH(GI$8,0))/SUMIFS(18:18,$8:$8,"&gt;="&amp;DATE(YEAR(GI$8)-1,1,1),$8:$8,"&lt;="&amp;EOMONTH(GI$8,-12))-1</f>
        <v/>
      </c>
      <c r="GJ21" s="1318">
        <f>SUMIFS(18:18,$8:$8,"&gt;="&amp;DATE(YEAR(GJ$8),1,1),$8:$8,"&lt;="&amp;EOMONTH(GJ$8,0))/SUMIFS(18:18,$8:$8,"&gt;="&amp;DATE(YEAR(GJ$8)-1,1,1),$8:$8,"&lt;="&amp;EOMONTH(GJ$8,-12))-1</f>
        <v/>
      </c>
      <c r="GK21" s="1318">
        <f>SUMIFS(18:18,$8:$8,"&gt;="&amp;DATE(YEAR(GK$8),1,1),$8:$8,"&lt;="&amp;EOMONTH(GK$8,0))/SUMIFS(18:18,$8:$8,"&gt;="&amp;DATE(YEAR(GK$8)-1,1,1),$8:$8,"&lt;="&amp;EOMONTH(GK$8,-12))-1</f>
        <v/>
      </c>
      <c r="GL21" s="1318">
        <f>SUMIFS(18:18,$8:$8,"&gt;="&amp;DATE(YEAR(GL$8),1,1),$8:$8,"&lt;="&amp;EOMONTH(GL$8,0))/SUMIFS(18:18,$8:$8,"&gt;="&amp;DATE(YEAR(GL$8)-1,1,1),$8:$8,"&lt;="&amp;EOMONTH(GL$8,-12))-1</f>
        <v/>
      </c>
      <c r="GM21" s="1318">
        <f>SUMIFS(18:18,$8:$8,"&gt;="&amp;DATE(YEAR(GM$8),1,1),$8:$8,"&lt;="&amp;EOMONTH(GM$8,0))/SUMIFS(18:18,$8:$8,"&gt;="&amp;DATE(YEAR(GM$8)-1,1,1),$8:$8,"&lt;="&amp;EOMONTH(GM$8,-12))-1</f>
        <v/>
      </c>
      <c r="GN21" s="1318">
        <f>SUMIFS(18:18,$8:$8,"&gt;="&amp;DATE(YEAR(GN$8),1,1),$8:$8,"&lt;="&amp;EOMONTH(GN$8,0))/SUMIFS(18:18,$8:$8,"&gt;="&amp;DATE(YEAR(GN$8)-1,1,1),$8:$8,"&lt;="&amp;EOMONTH(GN$8,-12))-1</f>
        <v/>
      </c>
      <c r="GO21" s="1318">
        <f>SUMIFS(18:18,$8:$8,"&gt;="&amp;DATE(YEAR(GO$8),1,1),$8:$8,"&lt;="&amp;EOMONTH(GO$8,0))/SUMIFS(18:18,$8:$8,"&gt;="&amp;DATE(YEAR(GO$8)-1,1,1),$8:$8,"&lt;="&amp;EOMONTH(GO$8,-12))-1</f>
        <v/>
      </c>
      <c r="GP21" s="1318">
        <f>SUMIFS(18:18,$8:$8,"&gt;="&amp;DATE(YEAR(GP$8),1,1),$8:$8,"&lt;="&amp;EOMONTH(GP$8,0))/SUMIFS(18:18,$8:$8,"&gt;="&amp;DATE(YEAR(GP$8)-1,1,1),$8:$8,"&lt;="&amp;EOMONTH(GP$8,-12))-1</f>
        <v/>
      </c>
      <c r="GQ21" s="1318">
        <f>SUMIFS(18:18,$8:$8,"&gt;="&amp;DATE(YEAR(GQ$8),1,1),$8:$8,"&lt;="&amp;EOMONTH(GQ$8,0))/SUMIFS(18:18,$8:$8,"&gt;="&amp;DATE(YEAR(GQ$8)-1,1,1),$8:$8,"&lt;="&amp;EOMONTH(GQ$8,-12))-1</f>
        <v/>
      </c>
      <c r="GR21" s="1318">
        <f>SUMIFS(18:18,$8:$8,"&gt;="&amp;DATE(YEAR(GR$8),1,1),$8:$8,"&lt;="&amp;EOMONTH(GR$8,0))/SUMIFS(18:18,$8:$8,"&gt;="&amp;DATE(YEAR(GR$8)-1,1,1),$8:$8,"&lt;="&amp;EOMONTH(GR$8,-12))-1</f>
        <v/>
      </c>
      <c r="GS21" s="1318">
        <f>SUMIFS(18:18,$8:$8,"&gt;="&amp;DATE(YEAR(GS$8),1,1),$8:$8,"&lt;="&amp;EOMONTH(GS$8,0))/SUMIFS(18:18,$8:$8,"&gt;="&amp;DATE(YEAR(GS$8)-1,1,1),$8:$8,"&lt;="&amp;EOMONTH(GS$8,-12))-1</f>
        <v/>
      </c>
      <c r="GT21" s="1318">
        <f>SUMIFS(18:18,$8:$8,"&gt;="&amp;DATE(YEAR(GT$8),1,1),$8:$8,"&lt;="&amp;EOMONTH(GT$8,0))/SUMIFS(18:18,$8:$8,"&gt;="&amp;DATE(YEAR(GT$8)-1,1,1),$8:$8,"&lt;="&amp;EOMONTH(GT$8,-12))-1</f>
        <v/>
      </c>
      <c r="GU21" s="1318">
        <f>SUMIFS(18:18,$8:$8,"&gt;="&amp;DATE(YEAR(GU$8),1,1),$8:$8,"&lt;="&amp;EOMONTH(GU$8,0))/SUMIFS(18:18,$8:$8,"&gt;="&amp;DATE(YEAR(GU$8)-1,1,1),$8:$8,"&lt;="&amp;EOMONTH(GU$8,-12))-1</f>
        <v/>
      </c>
      <c r="GV21" s="1318">
        <f>SUMIFS(18:18,$8:$8,"&gt;="&amp;DATE(YEAR(GV$8),1,1),$8:$8,"&lt;="&amp;EOMONTH(GV$8,0))/SUMIFS(18:18,$8:$8,"&gt;="&amp;DATE(YEAR(GV$8)-1,1,1),$8:$8,"&lt;="&amp;EOMONTH(GV$8,-12))-1</f>
        <v/>
      </c>
      <c r="GW21" s="1318">
        <f>SUMIFS(18:18,$8:$8,"&gt;="&amp;DATE(YEAR(GW$8),1,1),$8:$8,"&lt;="&amp;EOMONTH(GW$8,0))/SUMIFS(18:18,$8:$8,"&gt;="&amp;DATE(YEAR(GW$8)-1,1,1),$8:$8,"&lt;="&amp;EOMONTH(GW$8,-12))-1</f>
        <v/>
      </c>
      <c r="GX21" s="1318">
        <f>SUMIFS(18:18,$8:$8,"&gt;="&amp;DATE(YEAR(GX$8),1,1),$8:$8,"&lt;="&amp;EOMONTH(GX$8,0))/SUMIFS(18:18,$8:$8,"&gt;="&amp;DATE(YEAR(GX$8)-1,1,1),$8:$8,"&lt;="&amp;EOMONTH(GX$8,-12))-1</f>
        <v/>
      </c>
      <c r="GY21" s="1318">
        <f>SUMIFS(18:18,$8:$8,"&gt;="&amp;DATE(YEAR(GY$8),1,1),$8:$8,"&lt;="&amp;EOMONTH(GY$8,0))/SUMIFS(18:18,$8:$8,"&gt;="&amp;DATE(YEAR(GY$8)-1,1,1),$8:$8,"&lt;="&amp;EOMONTH(GY$8,-12))-1</f>
        <v/>
      </c>
      <c r="GZ21" s="1318">
        <f>SUMIFS(18:18,$8:$8,"&gt;="&amp;DATE(YEAR(GZ$8),1,1),$8:$8,"&lt;="&amp;EOMONTH(GZ$8,0))/SUMIFS(18:18,$8:$8,"&gt;="&amp;DATE(YEAR(GZ$8)-1,1,1),$8:$8,"&lt;="&amp;EOMONTH(GZ$8,-12))-1</f>
        <v/>
      </c>
      <c r="HA21" s="1318">
        <f>SUMIFS(18:18,$8:$8,"&gt;="&amp;DATE(YEAR(HA$8),1,1),$8:$8,"&lt;="&amp;EOMONTH(HA$8,0))/SUMIFS(18:18,$8:$8,"&gt;="&amp;DATE(YEAR(HA$8)-1,1,1),$8:$8,"&lt;="&amp;EOMONTH(HA$8,-12))-1</f>
        <v/>
      </c>
      <c r="HB21" s="1318">
        <f>SUMIFS(18:18,$8:$8,"&gt;="&amp;DATE(YEAR(HB$8),1,1),$8:$8,"&lt;="&amp;EOMONTH(HB$8,0))/SUMIFS(18:18,$8:$8,"&gt;="&amp;DATE(YEAR(HB$8)-1,1,1),$8:$8,"&lt;="&amp;EOMONTH(HB$8,-12))-1</f>
        <v/>
      </c>
      <c r="HC21" s="1318">
        <f>SUMIFS(18:18,$8:$8,"&gt;="&amp;DATE(YEAR(HC$8),1,1),$8:$8,"&lt;="&amp;EOMONTH(HC$8,0))/SUMIFS(18:18,$8:$8,"&gt;="&amp;DATE(YEAR(HC$8)-1,1,1),$8:$8,"&lt;="&amp;EOMONTH(HC$8,-12))-1</f>
        <v/>
      </c>
      <c r="HD21" s="1318">
        <f>SUMIFS(18:18,$8:$8,"&gt;="&amp;DATE(YEAR(HD$8),1,1),$8:$8,"&lt;="&amp;EOMONTH(HD$8,0))/SUMIFS(18:18,$8:$8,"&gt;="&amp;DATE(YEAR(HD$8)-1,1,1),$8:$8,"&lt;="&amp;EOMONTH(HD$8,-12))-1</f>
        <v/>
      </c>
      <c r="HE21" s="1318">
        <f>SUMIFS(18:18,$8:$8,"&gt;="&amp;DATE(YEAR(HE$8),1,1),$8:$8,"&lt;="&amp;EOMONTH(HE$8,0))/SUMIFS(18:18,$8:$8,"&gt;="&amp;DATE(YEAR(HE$8)-1,1,1),$8:$8,"&lt;="&amp;EOMONTH(HE$8,-12))-1</f>
        <v/>
      </c>
      <c r="HF21" s="1318">
        <f>SUMIFS(18:18,$8:$8,"&gt;="&amp;DATE(YEAR(HF$8),1,1),$8:$8,"&lt;="&amp;EOMONTH(HF$8,0))/SUMIFS(18:18,$8:$8,"&gt;="&amp;DATE(YEAR(HF$8)-1,1,1),$8:$8,"&lt;="&amp;EOMONTH(HF$8,-12))-1</f>
        <v/>
      </c>
      <c r="HG21" s="1318">
        <f>SUMIFS(18:18,$8:$8,"&gt;="&amp;DATE(YEAR(HG$8),1,1),$8:$8,"&lt;="&amp;EOMONTH(HG$8,0))/SUMIFS(18:18,$8:$8,"&gt;="&amp;DATE(YEAR(HG$8)-1,1,1),$8:$8,"&lt;="&amp;EOMONTH(HG$8,-12))-1</f>
        <v/>
      </c>
      <c r="HH21" s="1318">
        <f>SUMIFS(18:18,$8:$8,"&gt;="&amp;DATE(YEAR(HH$8),1,1),$8:$8,"&lt;="&amp;EOMONTH(HH$8,0))/SUMIFS(18:18,$8:$8,"&gt;="&amp;DATE(YEAR(HH$8)-1,1,1),$8:$8,"&lt;="&amp;EOMONTH(HH$8,-12))-1</f>
        <v/>
      </c>
      <c r="HI21" s="1318">
        <f>SUMIFS(18:18,$8:$8,"&gt;="&amp;DATE(YEAR(HI$8),1,1),$8:$8,"&lt;="&amp;EOMONTH(HI$8,0))/SUMIFS(18:18,$8:$8,"&gt;="&amp;DATE(YEAR(HI$8)-1,1,1),$8:$8,"&lt;="&amp;EOMONTH(HI$8,-12))-1</f>
        <v/>
      </c>
      <c r="HJ21" s="1318">
        <f>SUMIFS(18:18,$8:$8,"&gt;="&amp;DATE(YEAR(HJ$8),1,1),$8:$8,"&lt;="&amp;EOMONTH(HJ$8,0))/SUMIFS(18:18,$8:$8,"&gt;="&amp;DATE(YEAR(HJ$8)-1,1,1),$8:$8,"&lt;="&amp;EOMONTH(HJ$8,-12))-1</f>
        <v/>
      </c>
      <c r="HK21" s="1318">
        <f>SUMIFS(18:18,$8:$8,"&gt;="&amp;DATE(YEAR(HK$8),1,1),$8:$8,"&lt;="&amp;EOMONTH(HK$8,0))/SUMIFS(18:18,$8:$8,"&gt;="&amp;DATE(YEAR(HK$8)-1,1,1),$8:$8,"&lt;="&amp;EOMONTH(HK$8,-12))-1</f>
        <v/>
      </c>
      <c r="HL21" s="1318">
        <f>SUMIFS(18:18,$8:$8,"&gt;="&amp;DATE(YEAR(HL$8),1,1),$8:$8,"&lt;="&amp;EOMONTH(HL$8,0))/SUMIFS(18:18,$8:$8,"&gt;="&amp;DATE(YEAR(HL$8)-1,1,1),$8:$8,"&lt;="&amp;EOMONTH(HL$8,-12))-1</f>
        <v/>
      </c>
      <c r="HM21" s="1318">
        <f>SUMIFS(18:18,$8:$8,"&gt;="&amp;DATE(YEAR(HM$8),1,1),$8:$8,"&lt;="&amp;EOMONTH(HM$8,0))/SUMIFS(18:18,$8:$8,"&gt;="&amp;DATE(YEAR(HM$8)-1,1,1),$8:$8,"&lt;="&amp;EOMONTH(HM$8,-12))-1</f>
        <v/>
      </c>
      <c r="HN21" s="1318">
        <f>SUMIFS(18:18,$8:$8,"&gt;="&amp;DATE(YEAR(HN$8),1,1),$8:$8,"&lt;="&amp;EOMONTH(HN$8,0))/SUMIFS(18:18,$8:$8,"&gt;="&amp;DATE(YEAR(HN$8)-1,1,1),$8:$8,"&lt;="&amp;EOMONTH(HN$8,-12))-1</f>
        <v/>
      </c>
      <c r="HO21" s="1318">
        <f>SUMIFS(18:18,$8:$8,"&gt;="&amp;DATE(YEAR(HO$8),1,1),$8:$8,"&lt;="&amp;EOMONTH(HO$8,0))/SUMIFS(18:18,$8:$8,"&gt;="&amp;DATE(YEAR(HO$8)-1,1,1),$8:$8,"&lt;="&amp;EOMONTH(HO$8,-12))-1</f>
        <v/>
      </c>
      <c r="HP21" s="1318">
        <f>SUMIFS(18:18,$8:$8,"&gt;="&amp;DATE(YEAR(HP$8),1,1),$8:$8,"&lt;="&amp;EOMONTH(HP$8,0))/SUMIFS(18:18,$8:$8,"&gt;="&amp;DATE(YEAR(HP$8)-1,1,1),$8:$8,"&lt;="&amp;EOMONTH(HP$8,-12))-1</f>
        <v/>
      </c>
      <c r="HQ21" s="1318">
        <f>SUMIFS(18:18,$8:$8,"&gt;="&amp;DATE(YEAR(HQ$8),1,1),$8:$8,"&lt;="&amp;EOMONTH(HQ$8,0))/SUMIFS(18:18,$8:$8,"&gt;="&amp;DATE(YEAR(HQ$8)-1,1,1),$8:$8,"&lt;="&amp;EOMONTH(HQ$8,-12))-1</f>
        <v/>
      </c>
      <c r="HR21" s="1318">
        <f>SUMIFS(18:18,$8:$8,"&gt;="&amp;DATE(YEAR(HR$8),1,1),$8:$8,"&lt;="&amp;EOMONTH(HR$8,0))/SUMIFS(18:18,$8:$8,"&gt;="&amp;DATE(YEAR(HR$8)-1,1,1),$8:$8,"&lt;="&amp;EOMONTH(HR$8,-12))-1</f>
        <v/>
      </c>
      <c r="HS21" s="1318">
        <f>SUMIFS(18:18,$8:$8,"&gt;="&amp;DATE(YEAR(HS$8),1,1),$8:$8,"&lt;="&amp;EOMONTH(HS$8,0))/SUMIFS(18:18,$8:$8,"&gt;="&amp;DATE(YEAR(HS$8)-1,1,1),$8:$8,"&lt;="&amp;EOMONTH(HS$8,-12))-1</f>
        <v/>
      </c>
      <c r="HT21" s="1318">
        <f>SUMIFS(18:18,$8:$8,"&gt;="&amp;DATE(YEAR(HT$8),1,1),$8:$8,"&lt;="&amp;EOMONTH(HT$8,0))/SUMIFS(18:18,$8:$8,"&gt;="&amp;DATE(YEAR(HT$8)-1,1,1),$8:$8,"&lt;="&amp;EOMONTH(HT$8,-12))-1</f>
        <v/>
      </c>
      <c r="HU21" s="1318">
        <f>SUMIFS(18:18,$8:$8,"&gt;="&amp;DATE(YEAR(HU$8),1,1),$8:$8,"&lt;="&amp;EOMONTH(HU$8,0))/SUMIFS(18:18,$8:$8,"&gt;="&amp;DATE(YEAR(HU$8)-1,1,1),$8:$8,"&lt;="&amp;EOMONTH(HU$8,-12))-1</f>
        <v/>
      </c>
      <c r="HV21" s="1318">
        <f>SUMIFS(18:18,$8:$8,"&gt;="&amp;DATE(YEAR(HV$8),1,1),$8:$8,"&lt;="&amp;EOMONTH(HV$8,0))/SUMIFS(18:18,$8:$8,"&gt;="&amp;DATE(YEAR(HV$8)-1,1,1),$8:$8,"&lt;="&amp;EOMONTH(HV$8,-12))-1</f>
        <v/>
      </c>
      <c r="HW21" s="1318">
        <f>SUMIFS(18:18,$8:$8,"&gt;="&amp;DATE(YEAR(HW$8),1,1),$8:$8,"&lt;="&amp;EOMONTH(HW$8,0))/SUMIFS(18:18,$8:$8,"&gt;="&amp;DATE(YEAR(HW$8)-1,1,1),$8:$8,"&lt;="&amp;EOMONTH(HW$8,-12))-1</f>
        <v/>
      </c>
      <c r="HX21" s="1318">
        <f>SUMIFS(18:18,$8:$8,"&gt;="&amp;DATE(YEAR(HX$8),1,1),$8:$8,"&lt;="&amp;EOMONTH(HX$8,0))/SUMIFS(18:18,$8:$8,"&gt;="&amp;DATE(YEAR(HX$8)-1,1,1),$8:$8,"&lt;="&amp;EOMONTH(HX$8,-12))-1</f>
        <v/>
      </c>
      <c r="HY21" s="1318">
        <f>SUMIFS(18:18,$8:$8,"&gt;="&amp;DATE(YEAR(HY$8),1,1),$8:$8,"&lt;="&amp;EOMONTH(HY$8,0))/SUMIFS(18:18,$8:$8,"&gt;="&amp;DATE(YEAR(HY$8)-1,1,1),$8:$8,"&lt;="&amp;EOMONTH(HY$8,-12))-1</f>
        <v/>
      </c>
      <c r="HZ21" s="1318">
        <f>SUMIFS(18:18,$8:$8,"&gt;="&amp;DATE(YEAR(HZ$8),1,1),$8:$8,"&lt;="&amp;EOMONTH(HZ$8,0))/SUMIFS(18:18,$8:$8,"&gt;="&amp;DATE(YEAR(HZ$8)-1,1,1),$8:$8,"&lt;="&amp;EOMONTH(HZ$8,-12))-1</f>
        <v/>
      </c>
      <c r="IA21" s="1318">
        <f>SUMIFS(18:18,$8:$8,"&gt;="&amp;DATE(YEAR(IA$8),1,1),$8:$8,"&lt;="&amp;EOMONTH(IA$8,0))/SUMIFS(18:18,$8:$8,"&gt;="&amp;DATE(YEAR(IA$8)-1,1,1),$8:$8,"&lt;="&amp;EOMONTH(IA$8,-12))-1</f>
        <v/>
      </c>
      <c r="IB21" s="1318">
        <f>SUMIFS(18:18,$8:$8,"&gt;="&amp;DATE(YEAR(IB$8),1,1),$8:$8,"&lt;="&amp;EOMONTH(IB$8,0))/SUMIFS(18:18,$8:$8,"&gt;="&amp;DATE(YEAR(IB$8)-1,1,1),$8:$8,"&lt;="&amp;EOMONTH(IB$8,-12))-1</f>
        <v/>
      </c>
      <c r="IC21" s="1318">
        <f>SUMIFS(18:18,$8:$8,"&gt;="&amp;DATE(YEAR(IC$8),1,1),$8:$8,"&lt;="&amp;EOMONTH(IC$8,0))/SUMIFS(18:18,$8:$8,"&gt;="&amp;DATE(YEAR(IC$8)-1,1,1),$8:$8,"&lt;="&amp;EOMONTH(IC$8,-12))-1</f>
        <v/>
      </c>
      <c r="ID21" s="1318">
        <f>SUMIFS(18:18,$8:$8,"&gt;="&amp;DATE(YEAR(ID$8),1,1),$8:$8,"&lt;="&amp;EOMONTH(ID$8,0))/SUMIFS(18:18,$8:$8,"&gt;="&amp;DATE(YEAR(ID$8)-1,1,1),$8:$8,"&lt;="&amp;EOMONTH(ID$8,-12))-1</f>
        <v/>
      </c>
      <c r="IE21" s="1318">
        <f>SUMIFS(18:18,$8:$8,"&gt;="&amp;DATE(YEAR(IE$8),1,1),$8:$8,"&lt;="&amp;EOMONTH(IE$8,0))/SUMIFS(18:18,$8:$8,"&gt;="&amp;DATE(YEAR(IE$8)-1,1,1),$8:$8,"&lt;="&amp;EOMONTH(IE$8,-12))-1</f>
        <v/>
      </c>
      <c r="IF21" s="1318">
        <f>SUMIFS(18:18,$8:$8,"&gt;="&amp;DATE(YEAR(IF$8),1,1),$8:$8,"&lt;="&amp;EOMONTH(IF$8,0))/SUMIFS(18:18,$8:$8,"&gt;="&amp;DATE(YEAR(IF$8)-1,1,1),$8:$8,"&lt;="&amp;EOMONTH(IF$8,-12))-1</f>
        <v/>
      </c>
      <c r="IG21" s="1318">
        <f>SUMIFS(18:18,$8:$8,"&gt;="&amp;DATE(YEAR(IG$8),1,1),$8:$8,"&lt;="&amp;EOMONTH(IG$8,0))/SUMIFS(18:18,$8:$8,"&gt;="&amp;DATE(YEAR(IG$8)-1,1,1),$8:$8,"&lt;="&amp;EOMONTH(IG$8,-12))-1</f>
        <v/>
      </c>
      <c r="IH21" s="1318">
        <f>SUMIFS(18:18,$8:$8,"&gt;="&amp;DATE(YEAR(IH$8),1,1),$8:$8,"&lt;="&amp;EOMONTH(IH$8,0))/SUMIFS(18:18,$8:$8,"&gt;="&amp;DATE(YEAR(IH$8)-1,1,1),$8:$8,"&lt;="&amp;EOMONTH(IH$8,-12))-1</f>
        <v/>
      </c>
      <c r="II21" s="1318">
        <f>SUMIFS(18:18,$8:$8,"&gt;="&amp;DATE(YEAR(II$8),1,1),$8:$8,"&lt;="&amp;EOMONTH(II$8,0))/SUMIFS(18:18,$8:$8,"&gt;="&amp;DATE(YEAR(II$8)-1,1,1),$8:$8,"&lt;="&amp;EOMONTH(II$8,-12))-1</f>
        <v/>
      </c>
      <c r="IJ21" s="1318">
        <f>SUMIFS(18:18,$8:$8,"&gt;="&amp;DATE(YEAR(IJ$8),1,1),$8:$8,"&lt;="&amp;EOMONTH(IJ$8,0))/SUMIFS(18:18,$8:$8,"&gt;="&amp;DATE(YEAR(IJ$8)-1,1,1),$8:$8,"&lt;="&amp;EOMONTH(IJ$8,-12))-1</f>
        <v/>
      </c>
      <c r="IK21" s="1318">
        <f>SUMIFS(18:18,$8:$8,"&gt;="&amp;DATE(YEAR(IK$8),1,1),$8:$8,"&lt;="&amp;EOMONTH(IK$8,0))/SUMIFS(18:18,$8:$8,"&gt;="&amp;DATE(YEAR(IK$8)-1,1,1),$8:$8,"&lt;="&amp;EOMONTH(IK$8,-12))-1</f>
        <v/>
      </c>
      <c r="IL21" s="1318">
        <f>SUMIFS(18:18,$8:$8,"&gt;="&amp;DATE(YEAR(IL$8),1,1),$8:$8,"&lt;="&amp;EOMONTH(IL$8,0))/SUMIFS(18:18,$8:$8,"&gt;="&amp;DATE(YEAR(IL$8)-1,1,1),$8:$8,"&lt;="&amp;EOMONTH(IL$8,-12))-1</f>
        <v/>
      </c>
      <c r="IM21" s="1318">
        <f>SUMIFS(18:18,$8:$8,"&gt;="&amp;DATE(YEAR(IM$8),1,1),$8:$8,"&lt;="&amp;EOMONTH(IM$8,0))/SUMIFS(18:18,$8:$8,"&gt;="&amp;DATE(YEAR(IM$8)-1,1,1),$8:$8,"&lt;="&amp;EOMONTH(IM$8,-12))-1</f>
        <v/>
      </c>
      <c r="IN21" s="1318">
        <f>SUMIFS(18:18,$8:$8,"&gt;="&amp;DATE(YEAR(IN$8),1,1),$8:$8,"&lt;="&amp;EOMONTH(IN$8,0))/SUMIFS(18:18,$8:$8,"&gt;="&amp;DATE(YEAR(IN$8)-1,1,1),$8:$8,"&lt;="&amp;EOMONTH(IN$8,-12))-1</f>
        <v/>
      </c>
      <c r="IO21" s="1318">
        <f>SUMIFS(18:18,$8:$8,"&gt;="&amp;DATE(YEAR(IO$8),1,1),$8:$8,"&lt;="&amp;EOMONTH(IO$8,0))/SUMIFS(18:18,$8:$8,"&gt;="&amp;DATE(YEAR(IO$8)-1,1,1),$8:$8,"&lt;="&amp;EOMONTH(IO$8,-12))-1</f>
        <v/>
      </c>
      <c r="IP21" s="1318">
        <f>SUMIFS(18:18,$8:$8,"&gt;="&amp;DATE(YEAR(IP$8),1,1),$8:$8,"&lt;="&amp;EOMONTH(IP$8,0))/SUMIFS(18:18,$8:$8,"&gt;="&amp;DATE(YEAR(IP$8)-1,1,1),$8:$8,"&lt;="&amp;EOMONTH(IP$8,-12))-1</f>
        <v/>
      </c>
      <c r="IQ21" s="1318">
        <f>SUMIFS(18:18,$8:$8,"&gt;="&amp;DATE(YEAR(IQ$8),1,1),$8:$8,"&lt;="&amp;EOMONTH(IQ$8,0))/SUMIFS(18:18,$8:$8,"&gt;="&amp;DATE(YEAR(IQ$8)-1,1,1),$8:$8,"&lt;="&amp;EOMONTH(IQ$8,-12))-1</f>
        <v/>
      </c>
      <c r="IR21" s="1318">
        <f>SUMIFS(18:18,$8:$8,"&gt;="&amp;DATE(YEAR(IR$8),1,1),$8:$8,"&lt;="&amp;EOMONTH(IR$8,0))/SUMIFS(18:18,$8:$8,"&gt;="&amp;DATE(YEAR(IR$8)-1,1,1),$8:$8,"&lt;="&amp;EOMONTH(IR$8,-12))-1</f>
        <v/>
      </c>
      <c r="IS21" s="1318">
        <f>SUMIFS(18:18,$8:$8,"&gt;="&amp;DATE(YEAR(IS$8),1,1),$8:$8,"&lt;="&amp;EOMONTH(IS$8,0))/SUMIFS(18:18,$8:$8,"&gt;="&amp;DATE(YEAR(IS$8)-1,1,1),$8:$8,"&lt;="&amp;EOMONTH(IS$8,-12))-1</f>
        <v/>
      </c>
      <c r="IT21" s="1318">
        <f>SUMIFS(18:18,$8:$8,"&gt;="&amp;DATE(YEAR(IT$8),1,1),$8:$8,"&lt;="&amp;EOMONTH(IT$8,0))/SUMIFS(18:18,$8:$8,"&gt;="&amp;DATE(YEAR(IT$8)-1,1,1),$8:$8,"&lt;="&amp;EOMONTH(IT$8,-12))-1</f>
        <v/>
      </c>
      <c r="IU21" s="1318">
        <f>SUMIFS(18:18,$8:$8,"&gt;="&amp;DATE(YEAR(IU$8),1,1),$8:$8,"&lt;="&amp;EOMONTH(IU$8,0))/SUMIFS(18:18,$8:$8,"&gt;="&amp;DATE(YEAR(IU$8)-1,1,1),$8:$8,"&lt;="&amp;EOMONTH(IU$8,-12))-1</f>
        <v/>
      </c>
      <c r="IV21" s="1318">
        <f>SUMIFS(18:18,$8:$8,"&gt;="&amp;DATE(YEAR(IV$8),1,1),$8:$8,"&lt;="&amp;EOMONTH(IV$8,0))/SUMIFS(18:18,$8:$8,"&gt;="&amp;DATE(YEAR(IV$8)-1,1,1),$8:$8,"&lt;="&amp;EOMONTH(IV$8,-12))-1</f>
        <v/>
      </c>
      <c r="IW21" s="1318">
        <f>SUMIFS(18:18,$8:$8,"&gt;="&amp;DATE(YEAR(IW$8),1,1),$8:$8,"&lt;="&amp;EOMONTH(IW$8,0))/SUMIFS(18:18,$8:$8,"&gt;="&amp;DATE(YEAR(IW$8)-1,1,1),$8:$8,"&lt;="&amp;EOMONTH(IW$8,-12))-1</f>
        <v/>
      </c>
      <c r="IX21" s="1318">
        <f>SUMIFS(18:18,$8:$8,"&gt;="&amp;DATE(YEAR(IX$8),1,1),$8:$8,"&lt;="&amp;EOMONTH(IX$8,0))/SUMIFS(18:18,$8:$8,"&gt;="&amp;DATE(YEAR(IX$8)-1,1,1),$8:$8,"&lt;="&amp;EOMONTH(IX$8,-12))-1</f>
        <v/>
      </c>
      <c r="IY21" s="1318">
        <f>SUMIFS(18:18,$8:$8,"&gt;="&amp;DATE(YEAR(IY$8),1,1),$8:$8,"&lt;="&amp;EOMONTH(IY$8,0))/SUMIFS(18:18,$8:$8,"&gt;="&amp;DATE(YEAR(IY$8)-1,1,1),$8:$8,"&lt;="&amp;EOMONTH(IY$8,-12))-1</f>
        <v/>
      </c>
      <c r="IZ21" s="1318">
        <f>SUMIFS(18:18,$8:$8,"&gt;="&amp;DATE(YEAR(IZ$8),1,1),$8:$8,"&lt;="&amp;EOMONTH(IZ$8,0))/SUMIFS(18:18,$8:$8,"&gt;="&amp;DATE(YEAR(IZ$8)-1,1,1),$8:$8,"&lt;="&amp;EOMONTH(IZ$8,-12))-1</f>
        <v/>
      </c>
      <c r="JA21" s="1318">
        <f>SUMIFS(18:18,$8:$8,"&gt;="&amp;DATE(YEAR(JA$8),1,1),$8:$8,"&lt;="&amp;EOMONTH(JA$8,0))/SUMIFS(18:18,$8:$8,"&gt;="&amp;DATE(YEAR(JA$8)-1,1,1),$8:$8,"&lt;="&amp;EOMONTH(JA$8,-12))-1</f>
        <v/>
      </c>
      <c r="JB21" s="1318">
        <f>SUMIFS(18:18,$8:$8,"&gt;="&amp;DATE(YEAR(JB$8),1,1),$8:$8,"&lt;="&amp;EOMONTH(JB$8,0))/SUMIFS(18:18,$8:$8,"&gt;="&amp;DATE(YEAR(JB$8)-1,1,1),$8:$8,"&lt;="&amp;EOMONTH(JB$8,-12))-1</f>
        <v/>
      </c>
      <c r="JC21" s="1318">
        <f>SUMIFS(18:18,$8:$8,"&gt;="&amp;DATE(YEAR(JC$8),1,1),$8:$8,"&lt;="&amp;EOMONTH(JC$8,0))/SUMIFS(18:18,$8:$8,"&gt;="&amp;DATE(YEAR(JC$8)-1,1,1),$8:$8,"&lt;="&amp;EOMONTH(JC$8,-12))-1</f>
        <v/>
      </c>
      <c r="JD21" s="1318">
        <f>SUMIFS(18:18,$8:$8,"&gt;="&amp;DATE(YEAR(JD$8),1,1),$8:$8,"&lt;="&amp;EOMONTH(JD$8,0))/SUMIFS(18:18,$8:$8,"&gt;="&amp;DATE(YEAR(JD$8)-1,1,1),$8:$8,"&lt;="&amp;EOMONTH(JD$8,-12))-1</f>
        <v/>
      </c>
      <c r="JE21" s="1318">
        <f>SUMIFS(18:18,$8:$8,"&gt;="&amp;DATE(YEAR(JE$8),1,1),$8:$8,"&lt;="&amp;EOMONTH(JE$8,0))/SUMIFS(18:18,$8:$8,"&gt;="&amp;DATE(YEAR(JE$8)-1,1,1),$8:$8,"&lt;="&amp;EOMONTH(JE$8,-12))-1</f>
        <v/>
      </c>
      <c r="JF21" s="1318">
        <f>SUMIFS(18:18,$8:$8,"&gt;="&amp;DATE(YEAR(JF$8),1,1),$8:$8,"&lt;="&amp;EOMONTH(JF$8,0))/SUMIFS(18:18,$8:$8,"&gt;="&amp;DATE(YEAR(JF$8)-1,1,1),$8:$8,"&lt;="&amp;EOMONTH(JF$8,-12))-1</f>
        <v/>
      </c>
      <c r="JG21" s="1318">
        <f>SUMIFS(18:18,$8:$8,"&gt;="&amp;DATE(YEAR(JG$8),1,1),$8:$8,"&lt;="&amp;EOMONTH(JG$8,0))/SUMIFS(18:18,$8:$8,"&gt;="&amp;DATE(YEAR(JG$8)-1,1,1),$8:$8,"&lt;="&amp;EOMONTH(JG$8,-12))-1</f>
        <v/>
      </c>
      <c r="JH21" s="1318">
        <f>SUMIFS(18:18,$8:$8,"&gt;="&amp;DATE(YEAR(JH$8),1,1),$8:$8,"&lt;="&amp;EOMONTH(JH$8,0))/SUMIFS(18:18,$8:$8,"&gt;="&amp;DATE(YEAR(JH$8)-1,1,1),$8:$8,"&lt;="&amp;EOMONTH(JH$8,-12))-1</f>
        <v/>
      </c>
      <c r="JI21" s="1318">
        <f>SUMIFS(18:18,$8:$8,"&gt;="&amp;DATE(YEAR(JI$8),1,1),$8:$8,"&lt;="&amp;EOMONTH(JI$8,0))/SUMIFS(18:18,$8:$8,"&gt;="&amp;DATE(YEAR(JI$8)-1,1,1),$8:$8,"&lt;="&amp;EOMONTH(JI$8,-12))-1</f>
        <v/>
      </c>
      <c r="JJ21" s="1318">
        <f>SUMIFS(18:18,$8:$8,"&gt;="&amp;DATE(YEAR(JJ$8),1,1),$8:$8,"&lt;="&amp;EOMONTH(JJ$8,0))/SUMIFS(18:18,$8:$8,"&gt;="&amp;DATE(YEAR(JJ$8)-1,1,1),$8:$8,"&lt;="&amp;EOMONTH(JJ$8,-12))-1</f>
        <v/>
      </c>
      <c r="JK21" s="1318">
        <f>SUMIFS(18:18,$8:$8,"&gt;="&amp;DATE(YEAR(JK$8),1,1),$8:$8,"&lt;="&amp;EOMONTH(JK$8,0))/SUMIFS(18:18,$8:$8,"&gt;="&amp;DATE(YEAR(JK$8)-1,1,1),$8:$8,"&lt;="&amp;EOMONTH(JK$8,-12))-1</f>
        <v/>
      </c>
      <c r="JL21" s="1318">
        <f>SUMIFS(18:18,$8:$8,"&gt;="&amp;DATE(YEAR(JL$8),1,1),$8:$8,"&lt;="&amp;EOMONTH(JL$8,0))/SUMIFS(18:18,$8:$8,"&gt;="&amp;DATE(YEAR(JL$8)-1,1,1),$8:$8,"&lt;="&amp;EOMONTH(JL$8,-12))-1</f>
        <v/>
      </c>
      <c r="JM21" s="1318">
        <f>SUMIFS(18:18,$8:$8,"&gt;="&amp;DATE(YEAR(JM$8),1,1),$8:$8,"&lt;="&amp;EOMONTH(JM$8,0))/SUMIFS(18:18,$8:$8,"&gt;="&amp;DATE(YEAR(JM$8)-1,1,1),$8:$8,"&lt;="&amp;EOMONTH(JM$8,-12))-1</f>
        <v/>
      </c>
      <c r="JN21" s="1318">
        <f>SUMIFS(18:18,$8:$8,"&gt;="&amp;DATE(YEAR(JN$8),1,1),$8:$8,"&lt;="&amp;EOMONTH(JN$8,0))/SUMIFS(18:18,$8:$8,"&gt;="&amp;DATE(YEAR(JN$8)-1,1,1),$8:$8,"&lt;="&amp;EOMONTH(JN$8,-12))-1</f>
        <v/>
      </c>
      <c r="JO21" s="1318">
        <f>SUMIFS(18:18,$8:$8,"&gt;="&amp;DATE(YEAR(JO$8),1,1),$8:$8,"&lt;="&amp;EOMONTH(JO$8,0))/SUMIFS(18:18,$8:$8,"&gt;="&amp;DATE(YEAR(JO$8)-1,1,1),$8:$8,"&lt;="&amp;EOMONTH(JO$8,-12))-1</f>
        <v/>
      </c>
      <c r="JP21" s="1318">
        <f>SUMIFS(18:18,$8:$8,"&gt;="&amp;DATE(YEAR(JP$8),1,1),$8:$8,"&lt;="&amp;EOMONTH(JP$8,0))/SUMIFS(18:18,$8:$8,"&gt;="&amp;DATE(YEAR(JP$8)-1,1,1),$8:$8,"&lt;="&amp;EOMONTH(JP$8,-12))-1</f>
        <v/>
      </c>
      <c r="JQ21" s="1318">
        <f>SUMIFS(18:18,$8:$8,"&gt;="&amp;DATE(YEAR(JQ$8),1,1),$8:$8,"&lt;="&amp;EOMONTH(JQ$8,0))/SUMIFS(18:18,$8:$8,"&gt;="&amp;DATE(YEAR(JQ$8)-1,1,1),$8:$8,"&lt;="&amp;EOMONTH(JQ$8,-12))-1</f>
        <v/>
      </c>
      <c r="JR21" s="1318">
        <f>SUMIFS(18:18,$8:$8,"&gt;="&amp;DATE(YEAR(JR$8),1,1),$8:$8,"&lt;="&amp;EOMONTH(JR$8,0))/SUMIFS(18:18,$8:$8,"&gt;="&amp;DATE(YEAR(JR$8)-1,1,1),$8:$8,"&lt;="&amp;EOMONTH(JR$8,-12))-1</f>
        <v/>
      </c>
      <c r="JS21" s="1318">
        <f>SUMIFS(18:18,$8:$8,"&gt;="&amp;DATE(YEAR(JS$8),1,1),$8:$8,"&lt;="&amp;EOMONTH(JS$8,0))/SUMIFS(18:18,$8:$8,"&gt;="&amp;DATE(YEAR(JS$8)-1,1,1),$8:$8,"&lt;="&amp;EOMONTH(JS$8,-12))-1</f>
        <v/>
      </c>
      <c r="JT21" s="1318">
        <f>SUMIFS(18:18,$8:$8,"&gt;="&amp;DATE(YEAR(JT$8),1,1),$8:$8,"&lt;="&amp;EOMONTH(JT$8,0))/SUMIFS(18:18,$8:$8,"&gt;="&amp;DATE(YEAR(JT$8)-1,1,1),$8:$8,"&lt;="&amp;EOMONTH(JT$8,-12))-1</f>
        <v/>
      </c>
      <c r="JU21" s="1318">
        <f>SUMIFS(18:18,$8:$8,"&gt;="&amp;DATE(YEAR(JU$8),1,1),$8:$8,"&lt;="&amp;EOMONTH(JU$8,0))/SUMIFS(18:18,$8:$8,"&gt;="&amp;DATE(YEAR(JU$8)-1,1,1),$8:$8,"&lt;="&amp;EOMONTH(JU$8,-12))-1</f>
        <v/>
      </c>
      <c r="JV21" s="1318">
        <f>SUMIFS(18:18,$8:$8,"&gt;="&amp;DATE(YEAR(JV$8),1,1),$8:$8,"&lt;="&amp;EOMONTH(JV$8,0))/SUMIFS(18:18,$8:$8,"&gt;="&amp;DATE(YEAR(JV$8)-1,1,1),$8:$8,"&lt;="&amp;EOMONTH(JV$8,-12))-1</f>
        <v/>
      </c>
      <c r="JW21" s="1318">
        <f>SUMIFS(18:18,$8:$8,"&gt;="&amp;DATE(YEAR(JW$8),1,1),$8:$8,"&lt;="&amp;EOMONTH(JW$8,0))/SUMIFS(18:18,$8:$8,"&gt;="&amp;DATE(YEAR(JW$8)-1,1,1),$8:$8,"&lt;="&amp;EOMONTH(JW$8,-12))-1</f>
        <v/>
      </c>
      <c r="JX21" s="1318">
        <f>SUMIFS(18:18,$8:$8,"&gt;="&amp;DATE(YEAR(JX$8),1,1),$8:$8,"&lt;="&amp;EOMONTH(JX$8,0))/SUMIFS(18:18,$8:$8,"&gt;="&amp;DATE(YEAR(JX$8)-1,1,1),$8:$8,"&lt;="&amp;EOMONTH(JX$8,-12))-1</f>
        <v/>
      </c>
      <c r="JY21" s="1318">
        <f>SUMIFS(18:18,$8:$8,"&gt;="&amp;DATE(YEAR(JY$8),1,1),$8:$8,"&lt;="&amp;EOMONTH(JY$8,0))/SUMIFS(18:18,$8:$8,"&gt;="&amp;DATE(YEAR(JY$8)-1,1,1),$8:$8,"&lt;="&amp;EOMONTH(JY$8,-12))-1</f>
        <v/>
      </c>
      <c r="JZ21" s="1318">
        <f>SUMIFS(18:18,$8:$8,"&gt;="&amp;DATE(YEAR(JZ$8),1,1),$8:$8,"&lt;="&amp;EOMONTH(JZ$8,0))/SUMIFS(18:18,$8:$8,"&gt;="&amp;DATE(YEAR(JZ$8)-1,1,1),$8:$8,"&lt;="&amp;EOMONTH(JZ$8,-12))-1</f>
        <v/>
      </c>
      <c r="KA21" s="1318">
        <f>SUMIFS(18:18,$8:$8,"&gt;="&amp;DATE(YEAR(KA$8),1,1),$8:$8,"&lt;="&amp;EOMONTH(KA$8,0))/SUMIFS(18:18,$8:$8,"&gt;="&amp;DATE(YEAR(KA$8)-1,1,1),$8:$8,"&lt;="&amp;EOMONTH(KA$8,-12))-1</f>
        <v/>
      </c>
      <c r="KB21" s="1318">
        <f>SUMIFS(18:18,$8:$8,"&gt;="&amp;DATE(YEAR(KB$8),1,1),$8:$8,"&lt;="&amp;EOMONTH(KB$8,0))/SUMIFS(18:18,$8:$8,"&gt;="&amp;DATE(YEAR(KB$8)-1,1,1),$8:$8,"&lt;="&amp;EOMONTH(KB$8,-12))-1</f>
        <v/>
      </c>
      <c r="KC21" s="1318">
        <f>SUMIFS(18:18,$8:$8,"&gt;="&amp;DATE(YEAR(KC$8),1,1),$8:$8,"&lt;="&amp;EOMONTH(KC$8,0))/SUMIFS(18:18,$8:$8,"&gt;="&amp;DATE(YEAR(KC$8)-1,1,1),$8:$8,"&lt;="&amp;EOMONTH(KC$8,-12))-1</f>
        <v/>
      </c>
      <c r="KD21" s="1318">
        <f>SUMIFS(18:18,$8:$8,"&gt;="&amp;DATE(YEAR(KD$8),1,1),$8:$8,"&lt;="&amp;EOMONTH(KD$8,0))/SUMIFS(18:18,$8:$8,"&gt;="&amp;DATE(YEAR(KD$8)-1,1,1),$8:$8,"&lt;="&amp;EOMONTH(KD$8,-12))-1</f>
        <v/>
      </c>
      <c r="KE21" s="1318">
        <f>SUMIFS(18:18,$8:$8,"&gt;="&amp;DATE(YEAR(KE$8),1,1),$8:$8,"&lt;="&amp;EOMONTH(KE$8,0))/SUMIFS(18:18,$8:$8,"&gt;="&amp;DATE(YEAR(KE$8)-1,1,1),$8:$8,"&lt;="&amp;EOMONTH(KE$8,-12))-1</f>
        <v/>
      </c>
      <c r="KF21" s="1318">
        <f>SUMIFS(18:18,$8:$8,"&gt;="&amp;DATE(YEAR(KF$8),1,1),$8:$8,"&lt;="&amp;EOMONTH(KF$8,0))/SUMIFS(18:18,$8:$8,"&gt;="&amp;DATE(YEAR(KF$8)-1,1,1),$8:$8,"&lt;="&amp;EOMONTH(KF$8,-12))-1</f>
        <v/>
      </c>
      <c r="KG21" s="1318">
        <f>SUMIFS(18:18,$8:$8,"&gt;="&amp;DATE(YEAR(KG$8),1,1),$8:$8,"&lt;="&amp;EOMONTH(KG$8,0))/SUMIFS(18:18,$8:$8,"&gt;="&amp;DATE(YEAR(KG$8)-1,1,1),$8:$8,"&lt;="&amp;EOMONTH(KG$8,-12))-1</f>
        <v/>
      </c>
      <c r="KH21" s="1318">
        <f>SUMIFS(18:18,$8:$8,"&gt;="&amp;DATE(YEAR(KH$8),1,1),$8:$8,"&lt;="&amp;EOMONTH(KH$8,0))/SUMIFS(18:18,$8:$8,"&gt;="&amp;DATE(YEAR(KH$8)-1,1,1),$8:$8,"&lt;="&amp;EOMONTH(KH$8,-12))-1</f>
        <v/>
      </c>
      <c r="KI21" s="1318">
        <f>SUMIFS(18:18,$8:$8,"&gt;="&amp;DATE(YEAR(KI$8),1,1),$8:$8,"&lt;="&amp;EOMONTH(KI$8,0))/SUMIFS(18:18,$8:$8,"&gt;="&amp;DATE(YEAR(KI$8)-1,1,1),$8:$8,"&lt;="&amp;EOMONTH(KI$8,-12))-1</f>
        <v/>
      </c>
      <c r="KJ21" s="1318">
        <f>SUMIFS(18:18,$8:$8,"&gt;="&amp;DATE(YEAR(KJ$8),1,1),$8:$8,"&lt;="&amp;EOMONTH(KJ$8,0))/SUMIFS(18:18,$8:$8,"&gt;="&amp;DATE(YEAR(KJ$8)-1,1,1),$8:$8,"&lt;="&amp;EOMONTH(KJ$8,-12))-1</f>
        <v/>
      </c>
      <c r="KK21" s="1318">
        <f>SUMIFS(18:18,$8:$8,"&gt;="&amp;DATE(YEAR(KK$8),1,1),$8:$8,"&lt;="&amp;EOMONTH(KK$8,0))/SUMIFS(18:18,$8:$8,"&gt;="&amp;DATE(YEAR(KK$8)-1,1,1),$8:$8,"&lt;="&amp;EOMONTH(KK$8,-12))-1</f>
        <v/>
      </c>
      <c r="KL21" s="1318">
        <f>SUMIFS(18:18,$8:$8,"&gt;="&amp;DATE(YEAR(KL$8),1,1),$8:$8,"&lt;="&amp;EOMONTH(KL$8,0))/SUMIFS(18:18,$8:$8,"&gt;="&amp;DATE(YEAR(KL$8)-1,1,1),$8:$8,"&lt;="&amp;EOMONTH(KL$8,-12))-1</f>
        <v/>
      </c>
      <c r="KM21" s="1318">
        <f>SUMIFS(18:18,$8:$8,"&gt;="&amp;DATE(YEAR(KM$8),1,1),$8:$8,"&lt;="&amp;EOMONTH(KM$8,0))/SUMIFS(18:18,$8:$8,"&gt;="&amp;DATE(YEAR(KM$8)-1,1,1),$8:$8,"&lt;="&amp;EOMONTH(KM$8,-12))-1</f>
        <v/>
      </c>
      <c r="KN21" s="1318">
        <f>SUMIFS(18:18,$8:$8,"&gt;="&amp;DATE(YEAR(KN$8),1,1),$8:$8,"&lt;="&amp;EOMONTH(KN$8,0))/SUMIFS(18:18,$8:$8,"&gt;="&amp;DATE(YEAR(KN$8)-1,1,1),$8:$8,"&lt;="&amp;EOMONTH(KN$8,-12))-1</f>
        <v/>
      </c>
      <c r="KO21" s="1318">
        <f>SUMIFS(18:18,$8:$8,"&gt;="&amp;DATE(YEAR(KO$8),1,1),$8:$8,"&lt;="&amp;EOMONTH(KO$8,0))/SUMIFS(18:18,$8:$8,"&gt;="&amp;DATE(YEAR(KO$8)-1,1,1),$8:$8,"&lt;="&amp;EOMONTH(KO$8,-12))-1</f>
        <v/>
      </c>
      <c r="KP21" s="1318">
        <f>SUMIFS(18:18,$8:$8,"&gt;="&amp;DATE(YEAR(KP$8),1,1),$8:$8,"&lt;="&amp;EOMONTH(KP$8,0))/SUMIFS(18:18,$8:$8,"&gt;="&amp;DATE(YEAR(KP$8)-1,1,1),$8:$8,"&lt;="&amp;EOMONTH(KP$8,-12))-1</f>
        <v/>
      </c>
      <c r="KQ21" s="1318">
        <f>SUMIFS(18:18,$8:$8,"&gt;="&amp;DATE(YEAR(KQ$8),1,1),$8:$8,"&lt;="&amp;EOMONTH(KQ$8,0))/SUMIFS(18:18,$8:$8,"&gt;="&amp;DATE(YEAR(KQ$8)-1,1,1),$8:$8,"&lt;="&amp;EOMONTH(KQ$8,-12))-1</f>
        <v/>
      </c>
      <c r="KR21" s="1318">
        <f>SUMIFS(18:18,$8:$8,"&gt;="&amp;DATE(YEAR(KR$8),1,1),$8:$8,"&lt;="&amp;EOMONTH(KR$8,0))/SUMIFS(18:18,$8:$8,"&gt;="&amp;DATE(YEAR(KR$8)-1,1,1),$8:$8,"&lt;="&amp;EOMONTH(KR$8,-12))-1</f>
        <v/>
      </c>
      <c r="KS21" s="1318">
        <f>SUMIFS(18:18,$8:$8,"&gt;="&amp;DATE(YEAR(KS$8),1,1),$8:$8,"&lt;="&amp;EOMONTH(KS$8,0))/SUMIFS(18:18,$8:$8,"&gt;="&amp;DATE(YEAR(KS$8)-1,1,1),$8:$8,"&lt;="&amp;EOMONTH(KS$8,-12))-1</f>
        <v/>
      </c>
      <c r="KT21" s="1318">
        <f>SUMIFS(18:18,$8:$8,"&gt;="&amp;DATE(YEAR(KT$8),1,1),$8:$8,"&lt;="&amp;EOMONTH(KT$8,0))/SUMIFS(18:18,$8:$8,"&gt;="&amp;DATE(YEAR(KT$8)-1,1,1),$8:$8,"&lt;="&amp;EOMONTH(KT$8,-12))-1</f>
        <v/>
      </c>
      <c r="KU21" s="1318">
        <f>SUMIFS(18:18,$8:$8,"&gt;="&amp;DATE(YEAR(KU$8),1,1),$8:$8,"&lt;="&amp;EOMONTH(KU$8,0))/SUMIFS(18:18,$8:$8,"&gt;="&amp;DATE(YEAR(KU$8)-1,1,1),$8:$8,"&lt;="&amp;EOMONTH(KU$8,-12))-1</f>
        <v/>
      </c>
      <c r="KV21" s="1318">
        <f>SUMIFS(18:18,$8:$8,"&gt;="&amp;DATE(YEAR(KV$8),1,1),$8:$8,"&lt;="&amp;EOMONTH(KV$8,0))/SUMIFS(18:18,$8:$8,"&gt;="&amp;DATE(YEAR(KV$8)-1,1,1),$8:$8,"&lt;="&amp;EOMONTH(KV$8,-12))-1</f>
        <v/>
      </c>
      <c r="KW21" s="1318">
        <f>SUMIFS(18:18,$8:$8,"&gt;="&amp;DATE(YEAR(KW$8),1,1),$8:$8,"&lt;="&amp;EOMONTH(KW$8,0))/SUMIFS(18:18,$8:$8,"&gt;="&amp;DATE(YEAR(KW$8)-1,1,1),$8:$8,"&lt;="&amp;EOMONTH(KW$8,-12))-1</f>
        <v/>
      </c>
      <c r="KX21" s="1318">
        <f>SUMIFS(18:18,$8:$8,"&gt;="&amp;DATE(YEAR(KX$8),1,1),$8:$8,"&lt;="&amp;EOMONTH(KX$8,0))/SUMIFS(18:18,$8:$8,"&gt;="&amp;DATE(YEAR(KX$8)-1,1,1),$8:$8,"&lt;="&amp;EOMONTH(KX$8,-12))-1</f>
        <v/>
      </c>
      <c r="KY21" s="1318">
        <f>SUMIFS(18:18,$8:$8,"&gt;="&amp;DATE(YEAR(KY$8),1,1),$8:$8,"&lt;="&amp;EOMONTH(KY$8,0))/SUMIFS(18:18,$8:$8,"&gt;="&amp;DATE(YEAR(KY$8)-1,1,1),$8:$8,"&lt;="&amp;EOMONTH(KY$8,-12))-1</f>
        <v/>
      </c>
      <c r="KZ21" s="1318">
        <f>SUMIFS(18:18,$8:$8,"&gt;="&amp;DATE(YEAR(KZ$8),1,1),$8:$8,"&lt;="&amp;EOMONTH(KZ$8,0))/SUMIFS(18:18,$8:$8,"&gt;="&amp;DATE(YEAR(KZ$8)-1,1,1),$8:$8,"&lt;="&amp;EOMONTH(KZ$8,-12))-1</f>
        <v/>
      </c>
      <c r="LA21" s="1318">
        <f>SUMIFS(18:18,$8:$8,"&gt;="&amp;DATE(YEAR(LA$8),1,1),$8:$8,"&lt;="&amp;EOMONTH(LA$8,0))/SUMIFS(18:18,$8:$8,"&gt;="&amp;DATE(YEAR(LA$8)-1,1,1),$8:$8,"&lt;="&amp;EOMONTH(LA$8,-12))-1</f>
        <v/>
      </c>
      <c r="LB21" s="1318" t="n"/>
      <c r="LC21" s="1318" t="n"/>
      <c r="LD21" s="1318" t="n"/>
      <c r="LE21" s="1318" t="n"/>
      <c r="LF21" s="1318" t="n"/>
      <c r="LG21" s="1318" t="n"/>
      <c r="LH21" s="1318" t="n"/>
      <c r="LI21" s="1318" t="n"/>
      <c r="LJ21" s="1318" t="n"/>
      <c r="LK21" s="1318" t="n"/>
      <c r="LL21" s="1318" t="n"/>
      <c r="LM21" s="1318" t="n"/>
      <c r="LN21" s="1318" t="n"/>
      <c r="LO21" s="1318" t="n"/>
      <c r="LP21" s="1318" t="n"/>
      <c r="LQ21" s="1318" t="n"/>
      <c r="LR21" s="1318" t="n"/>
      <c r="LS21" s="1318" t="n"/>
    </row>
    <row r="22" ht="15" customHeight="1" s="239">
      <c r="A22" s="1319" t="inlineStr">
        <is>
          <t>Nth America</t>
        </is>
      </c>
      <c r="B22" s="1320" t="n"/>
      <c r="C22" s="1319" t="n"/>
      <c r="D22" s="1319" t="n"/>
      <c r="E22" s="1319" t="n"/>
      <c r="F22" s="1319" t="n"/>
      <c r="G22" s="1319" t="n"/>
      <c r="H22" s="1319" t="n"/>
      <c r="I22" s="1319" t="n"/>
      <c r="J22" s="1319" t="n"/>
      <c r="K22" s="1319" t="n"/>
      <c r="L22" s="1319" t="n"/>
      <c r="M22" s="1319" t="n"/>
      <c r="N22" s="1320" t="n"/>
      <c r="O22" s="1319" t="n"/>
      <c r="P22" s="1319" t="n"/>
      <c r="Q22" s="1319" t="n"/>
      <c r="R22" s="1319" t="n"/>
      <c r="S22" s="1319" t="n"/>
      <c r="T22" s="1319" t="n"/>
      <c r="U22" s="1319" t="n"/>
      <c r="V22" s="1319" t="n"/>
      <c r="W22" s="1319" t="n"/>
      <c r="X22" s="1319" t="n"/>
      <c r="Y22" s="1319" t="n"/>
      <c r="Z22" s="1320" t="n"/>
      <c r="AA22" s="1319" t="n"/>
      <c r="AB22" s="1319" t="n"/>
      <c r="AC22" s="1319" t="n"/>
      <c r="AD22" s="1319" t="n"/>
      <c r="AE22" s="1319" t="n"/>
      <c r="AF22" s="1319" t="n"/>
      <c r="AG22" s="1319" t="n"/>
      <c r="AH22" s="1319" t="n"/>
      <c r="AI22" s="1319" t="n"/>
      <c r="AJ22" s="1319" t="n"/>
      <c r="AK22" s="1319" t="n"/>
      <c r="AL22" s="1320" t="n"/>
      <c r="AM22" s="1319" t="n"/>
      <c r="AN22" s="1319" t="n"/>
      <c r="AO22" s="1319" t="n"/>
      <c r="AP22" s="1319" t="n"/>
      <c r="AQ22" s="1319" t="n"/>
      <c r="AR22" s="1319" t="n"/>
      <c r="AS22" s="1319" t="n"/>
      <c r="AT22" s="1319" t="n"/>
      <c r="AU22" s="1319" t="n"/>
      <c r="AV22" s="1319" t="n"/>
      <c r="AW22" s="1319" t="n"/>
      <c r="AX22" s="1320" t="n">
        <v>1437.388</v>
      </c>
      <c r="AY22" s="1320" t="n">
        <v>1260.525234744057</v>
      </c>
      <c r="AZ22" s="1320" t="n">
        <v>1388.586</v>
      </c>
      <c r="BA22" s="1320" t="n">
        <v>1051.30553390491</v>
      </c>
      <c r="BB22" s="1320" t="n">
        <v>749.0208779443254</v>
      </c>
      <c r="BC22" s="1320" t="n">
        <v>777.7</v>
      </c>
      <c r="BD22" s="1320" t="n">
        <v>1057.554647663985</v>
      </c>
      <c r="BE22" s="1320" t="n">
        <v>1208.290929247451</v>
      </c>
      <c r="BF22" s="1320" t="n">
        <v>1168.814017370327</v>
      </c>
      <c r="BG22" s="1320" t="n">
        <v>1399.377362633644</v>
      </c>
      <c r="BH22" s="1320" t="n">
        <v>1344</v>
      </c>
      <c r="BI22" s="1320" t="n">
        <v>1404.515814438049</v>
      </c>
      <c r="BJ22" s="1320" t="n">
        <v>1398.895</v>
      </c>
      <c r="BK22" s="1320" t="n">
        <v>1294.652</v>
      </c>
      <c r="BL22" s="1320" t="n">
        <v>1388.586</v>
      </c>
      <c r="BM22" s="1320" t="n">
        <v>1348.825</v>
      </c>
      <c r="BN22" s="1320" t="n">
        <v>1399.171</v>
      </c>
      <c r="BO22" s="1320" t="n">
        <v>1409.997</v>
      </c>
      <c r="BP22" s="1320" t="n">
        <v>1707.287</v>
      </c>
      <c r="BQ22" s="1320" t="n">
        <v>1700.09</v>
      </c>
      <c r="BR22" s="1320" t="n">
        <v>1638.196</v>
      </c>
      <c r="BS22" s="1320" t="n">
        <v>1704.475</v>
      </c>
      <c r="BT22" s="1320" t="n">
        <v>1659.573</v>
      </c>
      <c r="BU22" s="1320" t="n">
        <v>1698.116</v>
      </c>
      <c r="BV22" s="1320" t="n">
        <v>1694.552</v>
      </c>
      <c r="BW22" s="1320" t="n">
        <v>1532.704</v>
      </c>
      <c r="BX22" s="1320" t="n">
        <v>1699.064</v>
      </c>
      <c r="BY22" s="1320" t="n">
        <v>1649.783</v>
      </c>
      <c r="BZ22" s="1320" t="n">
        <v>1695.374</v>
      </c>
      <c r="CA22" s="1320" t="n">
        <v>1644.234</v>
      </c>
      <c r="CB22" s="1320" t="n">
        <v>1816.322</v>
      </c>
      <c r="CC22" s="1320" t="n">
        <v>1968.876</v>
      </c>
      <c r="CD22" s="1320" t="n">
        <v>1891.034</v>
      </c>
      <c r="CE22" s="1320" t="n">
        <v>1966.745</v>
      </c>
      <c r="CF22" s="1320" t="n">
        <v>1913.706</v>
      </c>
      <c r="CG22" s="1320" t="n">
        <v>2023.299</v>
      </c>
      <c r="CH22" s="1320" t="n">
        <v>2020.25</v>
      </c>
      <c r="CI22" s="1320" t="n">
        <v>1832.154</v>
      </c>
      <c r="CJ22" s="1321" t="n">
        <v>2025.268</v>
      </c>
      <c r="CK22" s="1321" t="n">
        <v>1949.8</v>
      </c>
      <c r="CL22" s="1322" t="n">
        <v>2018.1</v>
      </c>
      <c r="CM22" s="1322" t="n">
        <v>1951.288</v>
      </c>
      <c r="CN22" s="1319" t="n">
        <v>2020.859</v>
      </c>
      <c r="CO22" s="1319" t="n">
        <v>2018.701</v>
      </c>
      <c r="CP22" s="1319" t="n">
        <v>2000.981</v>
      </c>
      <c r="CQ22" s="1319" t="n">
        <v>2020</v>
      </c>
      <c r="CR22" s="1319" t="n">
        <v>1954</v>
      </c>
      <c r="CS22" s="1319" t="n">
        <v>2021.823</v>
      </c>
      <c r="CT22" s="1319" t="n">
        <v>2025.016</v>
      </c>
      <c r="CU22" s="1319" t="n">
        <v>1823.021</v>
      </c>
      <c r="CV22" s="1319" t="n">
        <v>2021</v>
      </c>
      <c r="CW22" s="1320" t="n">
        <v>1959.391</v>
      </c>
      <c r="CX22" s="1320" t="n">
        <v>2028.731</v>
      </c>
      <c r="CY22" s="1320" t="n">
        <v>2000.92</v>
      </c>
      <c r="CZ22" s="1320" t="n">
        <v>2095.482</v>
      </c>
      <c r="DA22" s="1320" t="n">
        <v>2089.468</v>
      </c>
      <c r="DB22" s="1320" t="n">
        <v>2009.525</v>
      </c>
      <c r="DC22" s="1320" t="n">
        <v>2204.749</v>
      </c>
      <c r="DD22" s="1320" t="n">
        <v>2389.987</v>
      </c>
      <c r="DE22" s="1320" t="n">
        <v>2599.729</v>
      </c>
      <c r="DF22" s="1320" t="n">
        <v>2684.094</v>
      </c>
      <c r="DG22" s="1320" t="n">
        <v>2527.858</v>
      </c>
      <c r="DH22" s="1320" t="n">
        <v>2723.185</v>
      </c>
      <c r="DI22" s="1320" t="n">
        <v>2717.816</v>
      </c>
      <c r="DJ22" s="1320" t="n">
        <v>2827.787</v>
      </c>
      <c r="DK22" s="1320" t="n">
        <v>2729.486</v>
      </c>
      <c r="DL22" s="1320" t="n">
        <v>2807.114</v>
      </c>
      <c r="DM22" s="1320" t="n">
        <v>2752.475</v>
      </c>
      <c r="DN22" s="1320" t="n">
        <v>2612.621</v>
      </c>
      <c r="DO22" s="1320" t="n">
        <v>2495.738</v>
      </c>
      <c r="DP22" s="1320" t="n">
        <v>2122.435</v>
      </c>
      <c r="DQ22" s="1320" t="n">
        <v>2215.34</v>
      </c>
      <c r="DR22" s="1320" t="n">
        <v>2219.277</v>
      </c>
      <c r="DS22" s="1320" t="n">
        <v>1883.343</v>
      </c>
      <c r="DT22" s="1320" t="n">
        <v>2098.087</v>
      </c>
      <c r="DU22" s="1320" t="n">
        <v>2119.757</v>
      </c>
      <c r="DV22" s="1320" t="n">
        <v>2193.717</v>
      </c>
      <c r="DW22" s="1320" t="n">
        <v>2118.959</v>
      </c>
      <c r="DX22" s="1320" t="n">
        <v>2178.528</v>
      </c>
      <c r="DY22" s="1320" t="n">
        <v>2177.914</v>
      </c>
      <c r="DZ22" s="1320" t="n">
        <v>1994.397</v>
      </c>
      <c r="EA22" s="1320" t="n">
        <v>2066.703</v>
      </c>
      <c r="EB22" s="1320" t="n">
        <v>2070.046</v>
      </c>
      <c r="EC22" s="1320" t="n">
        <v>2141.185</v>
      </c>
      <c r="ED22" s="1320" t="n">
        <v>2138.925</v>
      </c>
      <c r="EE22" s="1320" t="n">
        <v>1867.341</v>
      </c>
      <c r="EF22" s="1320" t="n">
        <v>2083.466</v>
      </c>
      <c r="EG22" s="1320" t="n">
        <v>2146.648</v>
      </c>
      <c r="EH22" s="1320" t="n">
        <v>2342.477</v>
      </c>
      <c r="EI22" s="1320" t="n">
        <v>2256.21</v>
      </c>
      <c r="EJ22" s="1320" t="n">
        <v>2344.564</v>
      </c>
      <c r="EK22" s="1320" t="n">
        <v>2341.3</v>
      </c>
      <c r="EL22" s="1320" t="n">
        <v>2267.138</v>
      </c>
      <c r="EM22" s="1320" t="n">
        <v>2343.475</v>
      </c>
      <c r="EN22" s="1320" t="n">
        <v>2306.333</v>
      </c>
      <c r="EO22" s="1320" t="n">
        <v>2381.353</v>
      </c>
      <c r="EP22" s="1320" t="n">
        <v>2396.524</v>
      </c>
      <c r="EQ22" s="1320" t="n">
        <v>2143.159</v>
      </c>
      <c r="ER22" s="1320" t="n">
        <v>2429.591</v>
      </c>
      <c r="ES22" s="1320" t="n">
        <v>2461.05</v>
      </c>
      <c r="ET22" s="1320" t="n">
        <v>2742.391</v>
      </c>
      <c r="EU22" s="1320" t="n">
        <v>2654.933</v>
      </c>
      <c r="EV22" s="1320" t="n">
        <v>2743.835</v>
      </c>
      <c r="EW22" s="1320" t="n">
        <v>2704.855</v>
      </c>
      <c r="EX22" s="1320" t="n">
        <v>2882.242</v>
      </c>
      <c r="EY22" s="1320" t="n">
        <v>2969.834</v>
      </c>
      <c r="EZ22" s="1320" t="n">
        <v>2794.899</v>
      </c>
      <c r="FA22" s="1320" t="n">
        <v>2920.951</v>
      </c>
      <c r="FB22" s="1320" t="n">
        <v>2901.114</v>
      </c>
      <c r="FC22" s="1320" t="n">
        <v>2666.091</v>
      </c>
      <c r="FD22" s="1320" t="n">
        <v>3014.492</v>
      </c>
      <c r="FE22" s="1320" t="n">
        <v>2968.599</v>
      </c>
      <c r="FF22" s="1320" t="n">
        <v>2883.476</v>
      </c>
      <c r="FG22" s="1320" t="n">
        <v>2789.633</v>
      </c>
      <c r="FH22" s="1320" t="n">
        <v>2819.238</v>
      </c>
      <c r="FI22" s="1320" t="n">
        <v>2854.142</v>
      </c>
      <c r="FJ22" s="1320" t="n">
        <v>2490.878</v>
      </c>
      <c r="FK22" s="1320" t="n">
        <v>2452.068</v>
      </c>
      <c r="FL22" s="1320" t="n">
        <v>2412.561</v>
      </c>
      <c r="FM22" s="1320" t="n">
        <v>2469.664</v>
      </c>
      <c r="FN22" s="1320" t="n">
        <v>2440.995</v>
      </c>
      <c r="FO22" s="1320" t="n">
        <v>2183.097</v>
      </c>
      <c r="FP22" s="1320" t="n">
        <v>2437.982</v>
      </c>
      <c r="FQ22" s="1320" t="n">
        <v>2530.903</v>
      </c>
      <c r="FR22" s="1320" t="n">
        <v>2622.389</v>
      </c>
      <c r="FS22" s="1320" t="n">
        <v>2542.899</v>
      </c>
      <c r="FT22" s="1320" t="n">
        <v>2635.993</v>
      </c>
      <c r="FU22" s="1320" t="n">
        <v>2652.694</v>
      </c>
      <c r="FV22" s="1320" t="n">
        <v>2596.34262295082</v>
      </c>
      <c r="FW22" s="1320" t="n">
        <v>2746.189</v>
      </c>
      <c r="FX22" s="1320" t="n">
        <v>2663.044</v>
      </c>
      <c r="FY22" s="1320" t="n">
        <v>2743.495</v>
      </c>
      <c r="FZ22" s="1320" t="n">
        <v>2753.508</v>
      </c>
      <c r="GA22" s="1320" t="n">
        <v>2474.273</v>
      </c>
      <c r="GB22" s="1320" t="n">
        <v>3003.836</v>
      </c>
      <c r="GC22" s="1320" t="n">
        <v>2924.115</v>
      </c>
      <c r="GD22" s="1320" t="n">
        <v>3018.215</v>
      </c>
      <c r="GE22" s="1320" t="n">
        <v>3112.331</v>
      </c>
      <c r="GF22" s="1320" t="n">
        <v>3217.141</v>
      </c>
      <c r="GG22" s="1320" t="n">
        <v>3336.324</v>
      </c>
      <c r="GH22" s="1320" t="n">
        <v>3167.538</v>
      </c>
      <c r="GI22" s="1320" t="n">
        <v>3288.816</v>
      </c>
      <c r="GJ22" s="1320" t="n">
        <v>3112.24</v>
      </c>
      <c r="GK22" s="1320" t="n">
        <v>3255.202</v>
      </c>
      <c r="GL22" s="1320" t="n">
        <v>3213.876</v>
      </c>
      <c r="GM22" s="1320" t="n">
        <v>2769.543</v>
      </c>
      <c r="GN22" s="1320" t="n">
        <v>3050.392</v>
      </c>
      <c r="GO22" s="1320" t="n">
        <v>2905.066</v>
      </c>
      <c r="GP22" s="1320" t="n">
        <v>3316.892</v>
      </c>
      <c r="GQ22" s="1320" t="n">
        <v>3279.686</v>
      </c>
      <c r="GR22" s="1320" t="n">
        <v>3443.511</v>
      </c>
      <c r="GS22" s="1320" t="n">
        <v>3529.477</v>
      </c>
      <c r="GT22" s="1320" t="n">
        <v>3115.993</v>
      </c>
      <c r="GU22" s="1320" t="n">
        <v>3334.476</v>
      </c>
      <c r="GV22" s="1320" t="n">
        <v>3072.395</v>
      </c>
      <c r="GW22" s="1320" t="n">
        <v>3294.918</v>
      </c>
      <c r="GX22" s="1320" t="n">
        <v>3370.62</v>
      </c>
      <c r="GY22" s="1320" t="n">
        <v>3065.926</v>
      </c>
      <c r="GZ22" s="1320" t="n">
        <v>3326.173</v>
      </c>
      <c r="HA22" s="1320" t="n">
        <v>3101.929</v>
      </c>
      <c r="HB22" s="1320" t="n">
        <v>3426.776</v>
      </c>
      <c r="HC22" s="1320" t="n">
        <v>3364.697</v>
      </c>
      <c r="HD22" s="1320" t="n">
        <v>3497.864</v>
      </c>
      <c r="HE22" s="1320" t="n">
        <v>3444.781</v>
      </c>
      <c r="HF22" s="1320" t="n">
        <v>3054.008</v>
      </c>
      <c r="HG22" s="1320" t="n">
        <v>3268.104</v>
      </c>
      <c r="HH22" s="1320" t="n">
        <v>3008.393</v>
      </c>
      <c r="HI22" s="1320" t="n">
        <v>3371.528</v>
      </c>
      <c r="HJ22" s="892" t="n">
        <v>3335.497</v>
      </c>
      <c r="HK22" s="892" t="n">
        <v>2933.593</v>
      </c>
      <c r="HL22" s="892" t="n">
        <v>3246.23</v>
      </c>
      <c r="HM22" s="892" t="n">
        <v>3353.475</v>
      </c>
      <c r="HN22" s="892" t="n">
        <v>3457.549</v>
      </c>
      <c r="HO22" s="892" t="n">
        <v>3477.024</v>
      </c>
      <c r="HP22" s="892" t="n">
        <v>3755.102</v>
      </c>
      <c r="HQ22" s="892" t="n">
        <v>3698.323</v>
      </c>
      <c r="HR22" s="892" t="n">
        <v>3220.815</v>
      </c>
      <c r="HS22" s="892" t="n">
        <v>3444.249</v>
      </c>
      <c r="HT22" s="892" t="n">
        <v>3094.641</v>
      </c>
      <c r="HU22" s="892" t="n">
        <v>3390.282</v>
      </c>
      <c r="HV22" s="892" t="n">
        <v>3370.219</v>
      </c>
      <c r="HW22" s="892" t="n">
        <v>2916.521</v>
      </c>
      <c r="HX22" s="892" t="n">
        <v>3235.42</v>
      </c>
      <c r="HY22" s="892" t="n">
        <v>3188.389</v>
      </c>
      <c r="HZ22" s="892" t="n">
        <v>3382.656</v>
      </c>
      <c r="IA22" s="892" t="n">
        <v>3398.305</v>
      </c>
      <c r="IB22" s="892" t="n">
        <v>3611.401</v>
      </c>
      <c r="IC22" s="892" t="n">
        <v>3611.689</v>
      </c>
      <c r="ID22" s="892" t="n">
        <v>3206.316</v>
      </c>
      <c r="IE22" s="892" t="n">
        <v>3500.506</v>
      </c>
      <c r="IF22" s="892" t="n">
        <v>3319.859</v>
      </c>
      <c r="IG22" s="892" t="n">
        <v>3566.698</v>
      </c>
      <c r="IH22" s="892" t="n">
        <v>3653.803</v>
      </c>
      <c r="II22" s="892" t="n">
        <v>3170.51</v>
      </c>
      <c r="IJ22" s="892" t="n">
        <v>3611.487</v>
      </c>
      <c r="IK22" s="892" t="n">
        <v>3526.284</v>
      </c>
      <c r="IL22" s="892" t="n">
        <v>3777.092</v>
      </c>
      <c r="IM22" s="892" t="n">
        <v>3754.482</v>
      </c>
      <c r="IN22" s="892" t="n">
        <v>4103.063</v>
      </c>
      <c r="IO22" s="892" t="n">
        <v>4045.241</v>
      </c>
      <c r="IP22" s="892" t="n">
        <v>3610.472</v>
      </c>
      <c r="IQ22" s="892" t="n">
        <v>3628.511</v>
      </c>
      <c r="IR22" s="892" t="n">
        <v>3160.784</v>
      </c>
      <c r="IS22" s="892" t="n">
        <v>3513.127</v>
      </c>
      <c r="IT22" s="892" t="n">
        <v>3571.618</v>
      </c>
      <c r="IU22" s="892" t="n">
        <v>2447.029</v>
      </c>
      <c r="IV22" s="892" t="n">
        <v>1148.927</v>
      </c>
      <c r="IW22" s="893" t="n">
        <v>115.038</v>
      </c>
      <c r="IX22" s="893" t="n">
        <v>121.908</v>
      </c>
      <c r="IY22" s="893" t="n">
        <v>234.994</v>
      </c>
      <c r="IZ22" s="893" t="n">
        <v>562.502</v>
      </c>
      <c r="JA22" s="893" t="n">
        <v>586.471</v>
      </c>
      <c r="JB22" s="893" t="n">
        <v>516.497</v>
      </c>
      <c r="JC22" s="893" t="n">
        <v>489.195</v>
      </c>
      <c r="JD22" s="893" t="n">
        <v>470.053</v>
      </c>
      <c r="JE22" s="893" t="n">
        <v>497.902</v>
      </c>
      <c r="JF22" s="893" t="n">
        <v>484.291</v>
      </c>
      <c r="JG22" s="893" t="n">
        <v>271.103</v>
      </c>
      <c r="JH22" s="893" t="n">
        <v>185.288</v>
      </c>
      <c r="JI22" s="893" t="n">
        <v>181.943</v>
      </c>
      <c r="JJ22" s="893" t="n">
        <v>138.594</v>
      </c>
      <c r="JK22" s="893" t="n">
        <v>450.977</v>
      </c>
      <c r="JL22" s="893" t="n">
        <v>368.39</v>
      </c>
      <c r="JM22" s="893" t="n">
        <v>951.932</v>
      </c>
      <c r="JN22" s="893" t="n">
        <v>575.71</v>
      </c>
      <c r="JO22" s="893" t="n">
        <v>319.916</v>
      </c>
      <c r="JP22" s="893" t="n">
        <v>390.998</v>
      </c>
      <c r="JQ22" s="893" t="n">
        <v>550.322</v>
      </c>
      <c r="JR22" s="893" t="n">
        <v>92.889</v>
      </c>
      <c r="JS22" s="893" t="n">
        <v>30.304</v>
      </c>
      <c r="JT22" s="893" t="n">
        <v>42.133</v>
      </c>
      <c r="JU22" s="893" t="n">
        <v>81.197</v>
      </c>
      <c r="JV22" s="893" t="n">
        <v>199.341</v>
      </c>
      <c r="JW22" s="893" t="n">
        <v>490.54</v>
      </c>
      <c r="JX22" s="893" t="n">
        <v>674.713</v>
      </c>
      <c r="JY22" s="893" t="n">
        <v>1231.895</v>
      </c>
      <c r="JZ22" s="893" t="n">
        <v>993.909</v>
      </c>
      <c r="KA22" s="893" t="n">
        <v>939.573</v>
      </c>
      <c r="KB22" s="893" t="n">
        <v>932.994</v>
      </c>
      <c r="KC22" s="893" t="n">
        <v>1158.569</v>
      </c>
      <c r="KD22" s="893" t="n">
        <v>1274.617</v>
      </c>
      <c r="KE22" s="893" t="n">
        <v>1381.47</v>
      </c>
      <c r="KF22" s="893" t="n">
        <v>1500.777</v>
      </c>
      <c r="KG22" s="893" t="n">
        <v>1426.148</v>
      </c>
      <c r="KH22" s="893" t="n">
        <v>1686.574</v>
      </c>
      <c r="KI22" s="893" t="n">
        <v>1713.897</v>
      </c>
      <c r="KJ22" s="893" t="n">
        <v>1961.272</v>
      </c>
      <c r="KK22" s="893" t="n">
        <v>2128.222</v>
      </c>
      <c r="KL22" s="893" t="n">
        <v>2035.044</v>
      </c>
      <c r="KM22" s="893" t="n">
        <v>2155.437</v>
      </c>
      <c r="KN22" s="893" t="n">
        <v>2041.628</v>
      </c>
      <c r="KO22" s="893" t="n">
        <v>2230.174</v>
      </c>
      <c r="KP22" s="893" t="n">
        <v>2285.841</v>
      </c>
      <c r="KQ22" s="893" t="n">
        <v>2273.243</v>
      </c>
      <c r="KR22" s="893" t="n">
        <v>2372.447</v>
      </c>
      <c r="KS22" s="893" t="n">
        <v>2508.436</v>
      </c>
      <c r="KT22" s="893" t="n">
        <v>2626.065</v>
      </c>
      <c r="KU22" s="893" t="n">
        <v>2605.214</v>
      </c>
      <c r="KV22" s="893" t="n">
        <v>2678.252</v>
      </c>
      <c r="KW22" s="893" t="n">
        <v>2679.984</v>
      </c>
      <c r="KX22" s="893" t="n">
        <v>2619.936</v>
      </c>
      <c r="KY22" s="893" t="n">
        <v>2656.431</v>
      </c>
      <c r="KZ22" s="893" t="n">
        <v>2750.687</v>
      </c>
      <c r="LA22" s="893" t="n">
        <v>2964.025</v>
      </c>
      <c r="LB22" s="893" t="n"/>
      <c r="LC22" s="893" t="n"/>
      <c r="LD22" s="893" t="n"/>
      <c r="LE22" s="893" t="n"/>
      <c r="LF22" s="893" t="n"/>
      <c r="LG22" s="893" t="n"/>
      <c r="LH22" s="893" t="n"/>
      <c r="LI22" s="893" t="n"/>
      <c r="LJ22" s="893" t="n"/>
      <c r="LK22" s="893" t="n"/>
      <c r="LL22" s="893" t="n"/>
      <c r="LM22" s="893" t="n"/>
      <c r="LN22" s="893" t="n"/>
      <c r="LO22" s="893" t="n"/>
      <c r="LP22" s="893" t="n"/>
      <c r="LQ22" s="893" t="n"/>
      <c r="LR22" s="893" t="n"/>
      <c r="LS22" s="893" t="n"/>
    </row>
    <row r="23">
      <c r="A23" s="885" t="inlineStr">
        <is>
          <t>m cg %</t>
        </is>
      </c>
      <c r="B23" s="1318" t="n"/>
      <c r="C23" s="1318" t="n"/>
      <c r="D23" s="1318" t="n"/>
      <c r="E23" s="1318" t="n"/>
      <c r="F23" s="1318" t="n"/>
      <c r="G23" s="1318" t="n"/>
      <c r="H23" s="1318" t="n"/>
      <c r="I23" s="1318" t="n"/>
      <c r="J23" s="1318" t="n"/>
      <c r="K23" s="1318" t="n"/>
      <c r="L23" s="1318" t="n"/>
      <c r="M23" s="1318" t="n"/>
      <c r="N23" s="1318" t="n"/>
      <c r="O23" s="1318" t="n"/>
      <c r="P23" s="1318" t="n"/>
      <c r="Q23" s="1318" t="n"/>
      <c r="R23" s="1318" t="n"/>
      <c r="S23" s="1318" t="n"/>
      <c r="T23" s="1318" t="n"/>
      <c r="U23" s="1318" t="n"/>
      <c r="V23" s="1318" t="n"/>
      <c r="W23" s="1318" t="n"/>
      <c r="X23" s="1318" t="n"/>
      <c r="Y23" s="1318" t="n"/>
      <c r="Z23" s="1318" t="n"/>
      <c r="AA23" s="1318" t="n"/>
      <c r="AB23" s="1318" t="n"/>
      <c r="AC23" s="1318" t="n"/>
      <c r="AD23" s="1318" t="n"/>
      <c r="AE23" s="1318" t="n"/>
      <c r="AF23" s="1318" t="n"/>
      <c r="AG23" s="1318" t="n"/>
      <c r="AH23" s="1318" t="n"/>
      <c r="AI23" s="1318" t="n"/>
      <c r="AJ23" s="1318" t="n"/>
      <c r="AK23" s="1318" t="n"/>
      <c r="AL23" s="1318" t="n"/>
      <c r="AM23" s="1318" t="n"/>
      <c r="AN23" s="1318" t="n"/>
      <c r="AO23" s="1318" t="n"/>
      <c r="AP23" s="1318" t="n"/>
      <c r="AQ23" s="1318" t="n"/>
      <c r="AR23" s="1318" t="n"/>
      <c r="AS23" s="1318" t="n"/>
      <c r="AT23" s="1318" t="n"/>
      <c r="AU23" s="1318" t="n"/>
      <c r="AV23" s="1318" t="n"/>
      <c r="AW23" s="1318" t="n"/>
      <c r="AX23" s="1318" t="n"/>
      <c r="AY23" s="1318" t="n"/>
      <c r="AZ23" s="1318" t="n"/>
      <c r="BA23" s="1318" t="n"/>
      <c r="BB23" s="1318" t="n"/>
      <c r="BC23" s="1318" t="n"/>
      <c r="BD23" s="1318" t="n"/>
      <c r="BE23" s="1318" t="n"/>
      <c r="BF23" s="1318" t="n"/>
      <c r="BG23" s="1318" t="n"/>
      <c r="BH23" s="1318" t="n"/>
      <c r="BI23" s="1318" t="n"/>
      <c r="BJ23" s="1318">
        <f>BJ22/BI22-1</f>
        <v/>
      </c>
      <c r="BK23" s="1318">
        <f>BK22/BJ22-1</f>
        <v/>
      </c>
      <c r="BL23" s="1318">
        <f>BL22/BK22-1</f>
        <v/>
      </c>
      <c r="BM23" s="1318">
        <f>BM22/BL22-1</f>
        <v/>
      </c>
      <c r="BN23" s="1318">
        <f>BN22/BM22-1</f>
        <v/>
      </c>
      <c r="BO23" s="1318">
        <f>BO22/BN22-1</f>
        <v/>
      </c>
      <c r="BP23" s="1318">
        <f>BP22/BO22-1</f>
        <v/>
      </c>
      <c r="BQ23" s="1318">
        <f>BQ22/BP22-1</f>
        <v/>
      </c>
      <c r="BR23" s="1318">
        <f>BR22/BQ22-1</f>
        <v/>
      </c>
      <c r="BS23" s="1318">
        <f>BS22/BR22-1</f>
        <v/>
      </c>
      <c r="BT23" s="1318">
        <f>BT22/BS22-1</f>
        <v/>
      </c>
      <c r="BU23" s="1318">
        <f>BU22/BT22-1</f>
        <v/>
      </c>
      <c r="BV23" s="1318">
        <f>BV22/BU22-1</f>
        <v/>
      </c>
      <c r="BW23" s="1318">
        <f>BW22/BV22-1</f>
        <v/>
      </c>
      <c r="BX23" s="1318">
        <f>BX22/BW22-1</f>
        <v/>
      </c>
      <c r="BY23" s="1318">
        <f>BY22/BX22-1</f>
        <v/>
      </c>
      <c r="BZ23" s="1318">
        <f>BZ22/BY22-1</f>
        <v/>
      </c>
      <c r="CA23" s="1318">
        <f>CA22/BZ22-1</f>
        <v/>
      </c>
      <c r="CB23" s="1318">
        <f>CB22/CA22-1</f>
        <v/>
      </c>
      <c r="CC23" s="1318">
        <f>CC22/CB22-1</f>
        <v/>
      </c>
      <c r="CD23" s="1318">
        <f>CD22/CC22-1</f>
        <v/>
      </c>
      <c r="CE23" s="1318">
        <f>CE22/CD22-1</f>
        <v/>
      </c>
      <c r="CF23" s="1318">
        <f>CF22/CE22-1</f>
        <v/>
      </c>
      <c r="CG23" s="1318">
        <f>CG22/CF22-1</f>
        <v/>
      </c>
      <c r="CH23" s="1318">
        <f>CH22/CG22-1</f>
        <v/>
      </c>
      <c r="CI23" s="1318">
        <f>CI22/CH22-1</f>
        <v/>
      </c>
      <c r="CJ23" s="1318">
        <f>CJ22/CI22-1</f>
        <v/>
      </c>
      <c r="CK23" s="1318">
        <f>CK22/CJ22-1</f>
        <v/>
      </c>
      <c r="CL23" s="1318">
        <f>CL22/CK22-1</f>
        <v/>
      </c>
      <c r="CM23" s="1318">
        <f>CM22/CL22-1</f>
        <v/>
      </c>
      <c r="CN23" s="1318">
        <f>CN22/CM22-1</f>
        <v/>
      </c>
      <c r="CO23" s="1318">
        <f>CO22/CN22-1</f>
        <v/>
      </c>
      <c r="CP23" s="1318">
        <f>CP22/CO22-1</f>
        <v/>
      </c>
      <c r="CQ23" s="1318">
        <f>CQ22/CP22-1</f>
        <v/>
      </c>
      <c r="CR23" s="1318">
        <f>CR22/CQ22-1</f>
        <v/>
      </c>
      <c r="CS23" s="1318">
        <f>CS22/CR22-1</f>
        <v/>
      </c>
      <c r="CT23" s="1318">
        <f>CT22/CS22-1</f>
        <v/>
      </c>
      <c r="CU23" s="1318">
        <f>CU22/CT22-1</f>
        <v/>
      </c>
      <c r="CV23" s="1318">
        <f>CV22/CU22-1</f>
        <v/>
      </c>
      <c r="CW23" s="1318">
        <f>CW22/CV22-1</f>
        <v/>
      </c>
      <c r="CX23" s="1318">
        <f>CX22/CW22-1</f>
        <v/>
      </c>
      <c r="CY23" s="1318">
        <f>CY22/CX22-1</f>
        <v/>
      </c>
      <c r="CZ23" s="1318">
        <f>CZ22/CY22-1</f>
        <v/>
      </c>
      <c r="DA23" s="1318">
        <f>DA22/CZ22-1</f>
        <v/>
      </c>
      <c r="DB23" s="1318">
        <f>DB22/DA22-1</f>
        <v/>
      </c>
      <c r="DC23" s="1318">
        <f>DC22/DB22-1</f>
        <v/>
      </c>
      <c r="DD23" s="1318">
        <f>DD22/DC22-1</f>
        <v/>
      </c>
      <c r="DE23" s="1318">
        <f>DE22/DD22-1</f>
        <v/>
      </c>
      <c r="DF23" s="1318">
        <f>DF22/DE22-1</f>
        <v/>
      </c>
      <c r="DG23" s="1318">
        <f>DG22/DF22-1</f>
        <v/>
      </c>
      <c r="DH23" s="1318">
        <f>DH22/DG22-1</f>
        <v/>
      </c>
      <c r="DI23" s="1318">
        <f>DI22/DH22-1</f>
        <v/>
      </c>
      <c r="DJ23" s="1318">
        <f>DJ22/DI22-1</f>
        <v/>
      </c>
      <c r="DK23" s="1318">
        <f>DK22/DJ22-1</f>
        <v/>
      </c>
      <c r="DL23" s="1318">
        <f>DL22/DK22-1</f>
        <v/>
      </c>
      <c r="DM23" s="1318">
        <f>DM22/DL22-1</f>
        <v/>
      </c>
      <c r="DN23" s="1318">
        <f>DN22/DM22-1</f>
        <v/>
      </c>
      <c r="DO23" s="1318">
        <f>DO22/DN22-1</f>
        <v/>
      </c>
      <c r="DP23" s="1318">
        <f>DP22/DO22-1</f>
        <v/>
      </c>
      <c r="DQ23" s="1318">
        <f>DQ22/DP22-1</f>
        <v/>
      </c>
      <c r="DR23" s="1318">
        <f>DR22/DQ22-1</f>
        <v/>
      </c>
      <c r="DS23" s="1318">
        <f>DS22/DR22-1</f>
        <v/>
      </c>
      <c r="DT23" s="1318">
        <f>DT22/DS22-1</f>
        <v/>
      </c>
      <c r="DU23" s="1318">
        <f>DU22/DT22-1</f>
        <v/>
      </c>
      <c r="DV23" s="1318">
        <f>DV22/DU22-1</f>
        <v/>
      </c>
      <c r="DW23" s="1318">
        <f>DW22/DV22-1</f>
        <v/>
      </c>
      <c r="DX23" s="1318">
        <f>DX22/DW22-1</f>
        <v/>
      </c>
      <c r="DY23" s="1318">
        <f>DY22/DX22-1</f>
        <v/>
      </c>
      <c r="DZ23" s="1318">
        <f>DZ22/DY22-1</f>
        <v/>
      </c>
      <c r="EA23" s="1318">
        <f>EA22/DZ22-1</f>
        <v/>
      </c>
      <c r="EB23" s="1318">
        <f>EB22/EA22-1</f>
        <v/>
      </c>
      <c r="EC23" s="1318">
        <f>EC22/EB22-1</f>
        <v/>
      </c>
      <c r="ED23" s="1318">
        <f>ED22/EC22-1</f>
        <v/>
      </c>
      <c r="EE23" s="1318">
        <f>EE22/ED22-1</f>
        <v/>
      </c>
      <c r="EF23" s="1318">
        <f>EF22/EE22-1</f>
        <v/>
      </c>
      <c r="EG23" s="1318">
        <f>EG22/EF22-1</f>
        <v/>
      </c>
      <c r="EH23" s="1318">
        <f>EH22/EG22-1</f>
        <v/>
      </c>
      <c r="EI23" s="1318">
        <f>EI22/EH22-1</f>
        <v/>
      </c>
      <c r="EJ23" s="1318">
        <f>EJ22/EI22-1</f>
        <v/>
      </c>
      <c r="EK23" s="1318">
        <f>EK22/EJ22-1</f>
        <v/>
      </c>
      <c r="EL23" s="1318">
        <f>EL22/EK22-1</f>
        <v/>
      </c>
      <c r="EM23" s="1318">
        <f>EM22/EL22-1</f>
        <v/>
      </c>
      <c r="EN23" s="1318">
        <f>EN22/EM22-1</f>
        <v/>
      </c>
      <c r="EO23" s="1318">
        <f>EO22/EN22-1</f>
        <v/>
      </c>
      <c r="EP23" s="1318">
        <f>EP22/EO22-1</f>
        <v/>
      </c>
      <c r="EQ23" s="1318">
        <f>EQ22/EP22-1</f>
        <v/>
      </c>
      <c r="ER23" s="1318">
        <f>ER22/EQ22-1</f>
        <v/>
      </c>
      <c r="ES23" s="1318">
        <f>ES22/ER22-1</f>
        <v/>
      </c>
      <c r="ET23" s="1318">
        <f>ET22/ES22-1</f>
        <v/>
      </c>
      <c r="EU23" s="1318">
        <f>EU22/ET22-1</f>
        <v/>
      </c>
      <c r="EV23" s="1318">
        <f>EV22/EU22-1</f>
        <v/>
      </c>
      <c r="EW23" s="1318">
        <f>EW22/EV22-1</f>
        <v/>
      </c>
      <c r="EX23" s="1318">
        <f>EX22/EW22-1</f>
        <v/>
      </c>
      <c r="EY23" s="1318">
        <f>EY22/EX22-1</f>
        <v/>
      </c>
      <c r="EZ23" s="1318">
        <f>EZ22/EY22-1</f>
        <v/>
      </c>
      <c r="FA23" s="1318">
        <f>FA22/EZ22-1</f>
        <v/>
      </c>
      <c r="FB23" s="1318">
        <f>FB22/FA22-1</f>
        <v/>
      </c>
      <c r="FC23" s="1318">
        <f>FC22/FB22-1</f>
        <v/>
      </c>
      <c r="FD23" s="1318">
        <f>FD22/FC22-1</f>
        <v/>
      </c>
      <c r="FE23" s="1318">
        <f>FE22/FD22-1</f>
        <v/>
      </c>
      <c r="FF23" s="1318">
        <f>FF22/FE22-1</f>
        <v/>
      </c>
      <c r="FG23" s="1318">
        <f>FG22/FF22-1</f>
        <v/>
      </c>
      <c r="FH23" s="1318">
        <f>FH22/FG22-1</f>
        <v/>
      </c>
      <c r="FI23" s="1318">
        <f>FI22/FH22-1</f>
        <v/>
      </c>
      <c r="FJ23" s="1318">
        <f>FJ22/FI22-1</f>
        <v/>
      </c>
      <c r="FK23" s="1318">
        <f>FK22/FJ22-1</f>
        <v/>
      </c>
      <c r="FL23" s="1318">
        <f>FL22/FK22-1</f>
        <v/>
      </c>
      <c r="FM23" s="1318">
        <f>FM22/FL22-1</f>
        <v/>
      </c>
      <c r="FN23" s="1318">
        <f>FN22/FM22-1</f>
        <v/>
      </c>
      <c r="FO23" s="1318">
        <f>FO22/FN22-1</f>
        <v/>
      </c>
      <c r="FP23" s="1318">
        <f>FP22/FO22-1</f>
        <v/>
      </c>
      <c r="FQ23" s="1318">
        <f>FQ22/FP22-1</f>
        <v/>
      </c>
      <c r="FR23" s="1318">
        <f>FR22/FQ22-1</f>
        <v/>
      </c>
      <c r="FS23" s="1318">
        <f>FS22/FR22-1</f>
        <v/>
      </c>
      <c r="FT23" s="1318">
        <f>FT22/FS22-1</f>
        <v/>
      </c>
      <c r="FU23" s="1318">
        <f>FU22/FT22-1</f>
        <v/>
      </c>
      <c r="FV23" s="1318">
        <f>FV22/FU22-1</f>
        <v/>
      </c>
      <c r="FW23" s="1318">
        <f>FW22/FV22-1</f>
        <v/>
      </c>
      <c r="FX23" s="1318">
        <f>FX22/FW22-1</f>
        <v/>
      </c>
      <c r="FY23" s="1318">
        <f>FY22/FX22-1</f>
        <v/>
      </c>
      <c r="FZ23" s="1318">
        <f>FZ22/FY22-1</f>
        <v/>
      </c>
      <c r="GA23" s="1318">
        <f>GA22/FZ22-1</f>
        <v/>
      </c>
      <c r="GB23" s="1318">
        <f>GB22/GA22-1</f>
        <v/>
      </c>
      <c r="GC23" s="1318">
        <f>GC22/GB22-1</f>
        <v/>
      </c>
      <c r="GD23" s="1318">
        <f>GD22/GC22-1</f>
        <v/>
      </c>
      <c r="GE23" s="1318">
        <f>GE22/GD22-1</f>
        <v/>
      </c>
      <c r="GF23" s="1318">
        <f>GF22/GE22-1</f>
        <v/>
      </c>
      <c r="GG23" s="1318">
        <f>GG22/GF22-1</f>
        <v/>
      </c>
      <c r="GH23" s="1318">
        <f>GH22/GG22-1</f>
        <v/>
      </c>
      <c r="GI23" s="1318">
        <f>GI22/GH22-1</f>
        <v/>
      </c>
      <c r="GJ23" s="1318">
        <f>GJ22/GI22-1</f>
        <v/>
      </c>
      <c r="GK23" s="1318">
        <f>GK22/GJ22-1</f>
        <v/>
      </c>
      <c r="GL23" s="1318">
        <f>GL22/GK22-1</f>
        <v/>
      </c>
      <c r="GM23" s="1318">
        <f>GM22/GL22-1</f>
        <v/>
      </c>
      <c r="GN23" s="1318">
        <f>GN22/GM22-1</f>
        <v/>
      </c>
      <c r="GO23" s="1318">
        <f>GO22/GN22-1</f>
        <v/>
      </c>
      <c r="GP23" s="1318">
        <f>GP22/GO22-1</f>
        <v/>
      </c>
      <c r="GQ23" s="1318">
        <f>GQ22/GP22-1</f>
        <v/>
      </c>
      <c r="GR23" s="1318">
        <f>GR22/GQ22-1</f>
        <v/>
      </c>
      <c r="GS23" s="1318">
        <f>GS22/GR22-1</f>
        <v/>
      </c>
      <c r="GT23" s="1318">
        <f>GT22/GS22-1</f>
        <v/>
      </c>
      <c r="GU23" s="1318">
        <f>GU22/GT22-1</f>
        <v/>
      </c>
      <c r="GV23" s="1318">
        <f>GV22/GU22-1</f>
        <v/>
      </c>
      <c r="GW23" s="1318">
        <f>GW22/GV22-1</f>
        <v/>
      </c>
      <c r="GX23" s="1318">
        <f>GX22/GW22-1</f>
        <v/>
      </c>
      <c r="GY23" s="1318">
        <f>GY22/GX22-1</f>
        <v/>
      </c>
      <c r="GZ23" s="1318">
        <f>GZ22/GY22-1</f>
        <v/>
      </c>
      <c r="HA23" s="1318">
        <f>HA22/GZ22-1</f>
        <v/>
      </c>
      <c r="HB23" s="1318">
        <f>HB22/HA22-1</f>
        <v/>
      </c>
      <c r="HC23" s="1318">
        <f>HC22/HB22-1</f>
        <v/>
      </c>
      <c r="HD23" s="1318">
        <f>HD22/HC22-1</f>
        <v/>
      </c>
      <c r="HE23" s="1318">
        <f>HE22/HD22-1</f>
        <v/>
      </c>
      <c r="HF23" s="1318">
        <f>HF22/HE22-1</f>
        <v/>
      </c>
      <c r="HG23" s="1318">
        <f>HG22/HF22-1</f>
        <v/>
      </c>
      <c r="HH23" s="1318">
        <f>HH22/HG22-1</f>
        <v/>
      </c>
      <c r="HI23" s="1318">
        <f>HI22/HH22-1</f>
        <v/>
      </c>
      <c r="HJ23" s="1318">
        <f>HJ22/HI22-1</f>
        <v/>
      </c>
      <c r="HK23" s="1318">
        <f>HK22/HJ22-1</f>
        <v/>
      </c>
      <c r="HL23" s="1318">
        <f>HL22/HK22-1</f>
        <v/>
      </c>
      <c r="HM23" s="1318">
        <f>HM22/HL22-1</f>
        <v/>
      </c>
      <c r="HN23" s="1318">
        <f>HN22/HM22-1</f>
        <v/>
      </c>
      <c r="HO23" s="1318">
        <f>HO22/HN22-1</f>
        <v/>
      </c>
      <c r="HP23" s="1318">
        <f>HP22/HO22-1</f>
        <v/>
      </c>
      <c r="HQ23" s="1318">
        <f>HQ22/HP22-1</f>
        <v/>
      </c>
      <c r="HR23" s="1318">
        <f>HR22/HQ22-1</f>
        <v/>
      </c>
      <c r="HS23" s="1318">
        <f>HS22/HR22-1</f>
        <v/>
      </c>
      <c r="HT23" s="1318">
        <f>HT22/HS22-1</f>
        <v/>
      </c>
      <c r="HU23" s="1318">
        <f>HU22/HT22-1</f>
        <v/>
      </c>
      <c r="HV23" s="1318">
        <f>HV22/HU22-1</f>
        <v/>
      </c>
      <c r="HW23" s="1318">
        <f>HW22/HV22-1</f>
        <v/>
      </c>
      <c r="HX23" s="1318">
        <f>HX22/HW22-1</f>
        <v/>
      </c>
      <c r="HY23" s="1318">
        <f>HY22/HX22-1</f>
        <v/>
      </c>
      <c r="HZ23" s="1318">
        <f>HZ22/HY22-1</f>
        <v/>
      </c>
      <c r="IA23" s="1318">
        <f>IA22/HZ22-1</f>
        <v/>
      </c>
      <c r="IB23" s="1318">
        <f>IB22/IA22-1</f>
        <v/>
      </c>
      <c r="IC23" s="1318">
        <f>IC22/IB22-1</f>
        <v/>
      </c>
      <c r="ID23" s="1318">
        <f>ID22/IC22-1</f>
        <v/>
      </c>
      <c r="IE23" s="1318">
        <f>IE22/ID22-1</f>
        <v/>
      </c>
      <c r="IF23" s="1318">
        <f>IF22/IE22-1</f>
        <v/>
      </c>
      <c r="IG23" s="1318">
        <f>IG22/IF22-1</f>
        <v/>
      </c>
      <c r="IH23" s="1318">
        <f>IH22/IG22-1</f>
        <v/>
      </c>
      <c r="II23" s="1318">
        <f>II22/IH22-1</f>
        <v/>
      </c>
      <c r="IJ23" s="1318">
        <f>IJ22/II22-1</f>
        <v/>
      </c>
      <c r="IK23" s="1318">
        <f>IK22/IJ22-1</f>
        <v/>
      </c>
      <c r="IL23" s="1318">
        <f>IL22/IK22-1</f>
        <v/>
      </c>
      <c r="IM23" s="1318">
        <f>IM22/IL22-1</f>
        <v/>
      </c>
      <c r="IN23" s="1318">
        <f>IN22/IM22-1</f>
        <v/>
      </c>
      <c r="IO23" s="1318">
        <f>IO22/IN22-1</f>
        <v/>
      </c>
      <c r="IP23" s="1318">
        <f>IP22/IO22-1</f>
        <v/>
      </c>
      <c r="IQ23" s="1318">
        <f>IQ22/IP22-1</f>
        <v/>
      </c>
      <c r="IR23" s="1318">
        <f>IR22/IQ22-1</f>
        <v/>
      </c>
      <c r="IS23" s="1318">
        <f>IS22/IR22-1</f>
        <v/>
      </c>
      <c r="IT23" s="1318">
        <f>IT22/IS22-1</f>
        <v/>
      </c>
      <c r="IU23" s="1318">
        <f>IU22/IT22-1</f>
        <v/>
      </c>
      <c r="IV23" s="1318">
        <f>IV22/IU22-1</f>
        <v/>
      </c>
      <c r="IW23" s="1318">
        <f>IW22/IV22-1</f>
        <v/>
      </c>
      <c r="IX23" s="1318">
        <f>IX22/IW22-1</f>
        <v/>
      </c>
      <c r="IY23" s="1318">
        <f>IY22/IX22-1</f>
        <v/>
      </c>
      <c r="IZ23" s="1318">
        <f>IZ22/IY22-1</f>
        <v/>
      </c>
      <c r="JA23" s="1318">
        <f>JA22/IZ22-1</f>
        <v/>
      </c>
      <c r="JB23" s="1318">
        <f>JB22/JA22-1</f>
        <v/>
      </c>
      <c r="JC23" s="1318">
        <f>JC22/JB22-1</f>
        <v/>
      </c>
      <c r="JD23" s="1318">
        <f>JD22/JC22-1</f>
        <v/>
      </c>
      <c r="JE23" s="1318">
        <f>JE22/JD22-1</f>
        <v/>
      </c>
      <c r="JF23" s="1318">
        <f>JF22/JE22-1</f>
        <v/>
      </c>
      <c r="JG23" s="1318">
        <f>JG22/JF22-1</f>
        <v/>
      </c>
      <c r="JH23" s="1318">
        <f>JH22/JG22-1</f>
        <v/>
      </c>
      <c r="JI23" s="1318">
        <f>JI22/JH22-1</f>
        <v/>
      </c>
      <c r="JJ23" s="1318">
        <f>JJ22/JI22-1</f>
        <v/>
      </c>
      <c r="JK23" s="1318">
        <f>JK22/JJ22-1</f>
        <v/>
      </c>
      <c r="JL23" s="1318">
        <f>JL22/JK22-1</f>
        <v/>
      </c>
      <c r="JM23" s="1318">
        <f>JM22/JL22-1</f>
        <v/>
      </c>
      <c r="JN23" s="1318">
        <f>JN22/JM22-1</f>
        <v/>
      </c>
      <c r="JO23" s="1318">
        <f>JO22/JN22-1</f>
        <v/>
      </c>
      <c r="JP23" s="1318">
        <f>JP22/JO22-1</f>
        <v/>
      </c>
      <c r="JQ23" s="1318">
        <f>JQ22/JP22-1</f>
        <v/>
      </c>
      <c r="JR23" s="1318">
        <f>JR22/JQ22-1</f>
        <v/>
      </c>
      <c r="JS23" s="1318">
        <f>JS22/JR22-1</f>
        <v/>
      </c>
      <c r="JT23" s="1318">
        <f>JT22/JS22-1</f>
        <v/>
      </c>
      <c r="JU23" s="1318">
        <f>JU22/JT22-1</f>
        <v/>
      </c>
      <c r="JV23" s="1318">
        <f>JV22/JU22-1</f>
        <v/>
      </c>
      <c r="JW23" s="1318">
        <f>JW22/JV22-1</f>
        <v/>
      </c>
      <c r="JX23" s="1318">
        <f>JX22/JW22-1</f>
        <v/>
      </c>
      <c r="JY23" s="1318">
        <f>JY22/JX22-1</f>
        <v/>
      </c>
      <c r="JZ23" s="1318">
        <f>JZ22/JY22-1</f>
        <v/>
      </c>
      <c r="KA23" s="1318">
        <f>KA22/JZ22-1</f>
        <v/>
      </c>
      <c r="KB23" s="1318">
        <f>KB22/KA22-1</f>
        <v/>
      </c>
      <c r="KC23" s="1318">
        <f>KC22/KB22-1</f>
        <v/>
      </c>
      <c r="KD23" s="1318">
        <f>KD22/KC22-1</f>
        <v/>
      </c>
      <c r="KE23" s="1318">
        <f>KE22/KD22-1</f>
        <v/>
      </c>
      <c r="KF23" s="1318">
        <f>KF22/KE22-1</f>
        <v/>
      </c>
      <c r="KG23" s="1318">
        <f>KG22/KF22-1</f>
        <v/>
      </c>
      <c r="KH23" s="1318">
        <f>KH22/KG22-1</f>
        <v/>
      </c>
      <c r="KI23" s="1318">
        <f>KI22/KH22-1</f>
        <v/>
      </c>
      <c r="KJ23" s="1318">
        <f>KJ22/KI22-1</f>
        <v/>
      </c>
      <c r="KK23" s="1318">
        <f>KK22/KJ22-1</f>
        <v/>
      </c>
      <c r="KL23" s="1318">
        <f>KL22/KK22-1</f>
        <v/>
      </c>
      <c r="KM23" s="1318">
        <f>KM22/KL22-1</f>
        <v/>
      </c>
      <c r="KN23" s="1318">
        <f>KN22/KM22-1</f>
        <v/>
      </c>
      <c r="KO23" s="1318">
        <f>KO22/KN22-1</f>
        <v/>
      </c>
      <c r="KP23" s="1318">
        <f>KP22/KO22-1</f>
        <v/>
      </c>
      <c r="KQ23" s="1318">
        <f>KQ22/KP22-1</f>
        <v/>
      </c>
      <c r="KR23" s="1318">
        <f>KR22/KQ22-1</f>
        <v/>
      </c>
      <c r="KS23" s="1318">
        <f>KS22/KR22-1</f>
        <v/>
      </c>
      <c r="KT23" s="1318">
        <f>KT22/KS22-1</f>
        <v/>
      </c>
      <c r="KU23" s="1318">
        <f>KU22/KT22-1</f>
        <v/>
      </c>
      <c r="KV23" s="1318">
        <f>KV22/KU22-1</f>
        <v/>
      </c>
      <c r="KW23" s="1318">
        <f>KW22/KV22-1</f>
        <v/>
      </c>
      <c r="KX23" s="1318">
        <f>KX22/KW22-1</f>
        <v/>
      </c>
      <c r="KY23" s="1318">
        <f>KY22/KX22-1</f>
        <v/>
      </c>
      <c r="KZ23" s="1318">
        <f>KZ22/KY22-1</f>
        <v/>
      </c>
      <c r="LA23" s="1318">
        <f>LA22/KZ22-1</f>
        <v/>
      </c>
      <c r="LB23" s="1318" t="n"/>
      <c r="LC23" s="1318" t="n"/>
      <c r="LD23" s="1318" t="n"/>
      <c r="LE23" s="1318" t="n"/>
      <c r="LF23" s="1318" t="n"/>
      <c r="LG23" s="1318" t="n"/>
      <c r="LH23" s="1318" t="n"/>
      <c r="LI23" s="1318" t="n"/>
      <c r="LJ23" s="1318" t="n"/>
      <c r="LK23" s="1318" t="n"/>
      <c r="LL23" s="1318" t="n"/>
      <c r="LM23" s="1318" t="n"/>
      <c r="LN23" s="1318" t="n"/>
      <c r="LO23" s="1318" t="n"/>
      <c r="LP23" s="1318" t="n"/>
      <c r="LQ23" s="1318" t="n"/>
      <c r="LR23" s="1318" t="n"/>
      <c r="LS23" s="1318" t="n"/>
    </row>
    <row r="24">
      <c r="A24" s="885" t="inlineStr">
        <is>
          <t>YoY cg %</t>
        </is>
      </c>
      <c r="B24" s="1318" t="n"/>
      <c r="C24" s="1318" t="n"/>
      <c r="D24" s="1318" t="n"/>
      <c r="E24" s="1318" t="n"/>
      <c r="F24" s="1318" t="n"/>
      <c r="G24" s="1318" t="n"/>
      <c r="H24" s="1318" t="n"/>
      <c r="I24" s="1318" t="n"/>
      <c r="J24" s="1318" t="n"/>
      <c r="K24" s="1318" t="n"/>
      <c r="L24" s="1318" t="n"/>
      <c r="M24" s="1318" t="n"/>
      <c r="N24" s="1318" t="n"/>
      <c r="O24" s="1318" t="n"/>
      <c r="P24" s="1318" t="n"/>
      <c r="Q24" s="1318" t="n"/>
      <c r="R24" s="1318" t="n"/>
      <c r="S24" s="1318" t="n"/>
      <c r="T24" s="1318" t="n"/>
      <c r="U24" s="1318" t="n"/>
      <c r="V24" s="1318" t="n"/>
      <c r="W24" s="1318" t="n"/>
      <c r="X24" s="1318" t="n"/>
      <c r="Y24" s="1318" t="n"/>
      <c r="Z24" s="1318" t="n"/>
      <c r="AA24" s="1318" t="n"/>
      <c r="AB24" s="1318" t="n"/>
      <c r="AC24" s="1318" t="n"/>
      <c r="AD24" s="1318" t="n"/>
      <c r="AE24" s="1318" t="n"/>
      <c r="AF24" s="1318" t="n"/>
      <c r="AG24" s="1318" t="n"/>
      <c r="AH24" s="1318" t="n"/>
      <c r="AI24" s="1318" t="n"/>
      <c r="AJ24" s="1318" t="n"/>
      <c r="AK24" s="1318" t="n"/>
      <c r="AL24" s="1318" t="n"/>
      <c r="AM24" s="1318" t="n"/>
      <c r="AN24" s="1318" t="n"/>
      <c r="AO24" s="1318" t="n"/>
      <c r="AP24" s="1318" t="n"/>
      <c r="AQ24" s="1318" t="n"/>
      <c r="AR24" s="1318" t="n"/>
      <c r="AS24" s="1318" t="n"/>
      <c r="AT24" s="1318" t="n"/>
      <c r="AU24" s="1318" t="n"/>
      <c r="AV24" s="1318" t="n"/>
      <c r="AW24" s="1318" t="n"/>
      <c r="AX24" s="1318" t="n"/>
      <c r="AY24" s="1318" t="n"/>
      <c r="AZ24" s="1318" t="n"/>
      <c r="BA24" s="1318" t="n"/>
      <c r="BB24" s="1318" t="n"/>
      <c r="BC24" s="1318" t="n"/>
      <c r="BD24" s="1318" t="n"/>
      <c r="BE24" s="1318" t="n"/>
      <c r="BF24" s="1318" t="n"/>
      <c r="BG24" s="1318" t="n"/>
      <c r="BH24" s="1318" t="n"/>
      <c r="BI24" s="1318" t="n"/>
      <c r="BJ24" s="1318">
        <f>BJ22/AX22-1</f>
        <v/>
      </c>
      <c r="BK24" s="1318">
        <f>BK22/AY22-1</f>
        <v/>
      </c>
      <c r="BL24" s="1318">
        <f>BL22/AZ22-1</f>
        <v/>
      </c>
      <c r="BM24" s="1318">
        <f>BM22/BA22-1</f>
        <v/>
      </c>
      <c r="BN24" s="1318">
        <f>BN22/BB22-1</f>
        <v/>
      </c>
      <c r="BO24" s="1318">
        <f>BO22/BC22-1</f>
        <v/>
      </c>
      <c r="BP24" s="1318">
        <f>BP22/BD22-1</f>
        <v/>
      </c>
      <c r="BQ24" s="1318">
        <f>BQ22/BE22-1</f>
        <v/>
      </c>
      <c r="BR24" s="1318">
        <f>BR22/BF22-1</f>
        <v/>
      </c>
      <c r="BS24" s="1318">
        <f>BS22/BG22-1</f>
        <v/>
      </c>
      <c r="BT24" s="1318">
        <f>BT22/BH22-1</f>
        <v/>
      </c>
      <c r="BU24" s="1318">
        <f>BU22/BI22-1</f>
        <v/>
      </c>
      <c r="BV24" s="1318">
        <f>BV22/BJ22-1</f>
        <v/>
      </c>
      <c r="BW24" s="1318">
        <f>BW22/BK22-1</f>
        <v/>
      </c>
      <c r="BX24" s="1318">
        <f>BX22/BL22-1</f>
        <v/>
      </c>
      <c r="BY24" s="1318">
        <f>BY22/BM22-1</f>
        <v/>
      </c>
      <c r="BZ24" s="1318">
        <f>BZ22/BN22-1</f>
        <v/>
      </c>
      <c r="CA24" s="1318">
        <f>CA22/BO22-1</f>
        <v/>
      </c>
      <c r="CB24" s="1318">
        <f>CB22/BP22-1</f>
        <v/>
      </c>
      <c r="CC24" s="1318">
        <f>CC22/BQ22-1</f>
        <v/>
      </c>
      <c r="CD24" s="1318">
        <f>CD22/BR22-1</f>
        <v/>
      </c>
      <c r="CE24" s="1318">
        <f>CE22/BS22-1</f>
        <v/>
      </c>
      <c r="CF24" s="1318">
        <f>CF22/BT22-1</f>
        <v/>
      </c>
      <c r="CG24" s="1318">
        <f>CG22/BU22-1</f>
        <v/>
      </c>
      <c r="CH24" s="1318">
        <f>CH22/BV22-1</f>
        <v/>
      </c>
      <c r="CI24" s="1318">
        <f>CI22/BW22-1</f>
        <v/>
      </c>
      <c r="CJ24" s="1318">
        <f>CJ22/BX22-1</f>
        <v/>
      </c>
      <c r="CK24" s="1318">
        <f>CK22/BY22-1</f>
        <v/>
      </c>
      <c r="CL24" s="1318">
        <f>CL22/BZ22-1</f>
        <v/>
      </c>
      <c r="CM24" s="1318">
        <f>CM22/CA22-1</f>
        <v/>
      </c>
      <c r="CN24" s="1318">
        <f>CN22/CB22-1</f>
        <v/>
      </c>
      <c r="CO24" s="1318">
        <f>CO22/CC22-1</f>
        <v/>
      </c>
      <c r="CP24" s="1318">
        <f>CP22/CD22-1</f>
        <v/>
      </c>
      <c r="CQ24" s="1318">
        <f>CQ22/CE22-1</f>
        <v/>
      </c>
      <c r="CR24" s="1318">
        <f>CR22/CF22-1</f>
        <v/>
      </c>
      <c r="CS24" s="1318">
        <f>CS22/CG22-1</f>
        <v/>
      </c>
      <c r="CT24" s="1318">
        <f>CT22/CH22-1</f>
        <v/>
      </c>
      <c r="CU24" s="1318">
        <f>CU22/CI22-1</f>
        <v/>
      </c>
      <c r="CV24" s="1318">
        <f>CV22/CJ22-1</f>
        <v/>
      </c>
      <c r="CW24" s="1318">
        <f>CW22/CK22-1</f>
        <v/>
      </c>
      <c r="CX24" s="1318">
        <f>CX22/CL22-1</f>
        <v/>
      </c>
      <c r="CY24" s="1318">
        <f>CY22/CM22-1</f>
        <v/>
      </c>
      <c r="CZ24" s="1318">
        <f>CZ22/CN22-1</f>
        <v/>
      </c>
      <c r="DA24" s="1318">
        <f>DA22/CO22-1</f>
        <v/>
      </c>
      <c r="DB24" s="1318">
        <f>DB22/CP22-1</f>
        <v/>
      </c>
      <c r="DC24" s="1318">
        <f>DC22/CQ22-1</f>
        <v/>
      </c>
      <c r="DD24" s="1318">
        <f>DD22/CR22-1</f>
        <v/>
      </c>
      <c r="DE24" s="1318">
        <f>DE22/CS22-1</f>
        <v/>
      </c>
      <c r="DF24" s="1318">
        <f>DF22/CT22-1</f>
        <v/>
      </c>
      <c r="DG24" s="1318">
        <f>DG22/CU22-1</f>
        <v/>
      </c>
      <c r="DH24" s="1318">
        <f>DH22/CV22-1</f>
        <v/>
      </c>
      <c r="DI24" s="1318">
        <f>DI22/CW22-1</f>
        <v/>
      </c>
      <c r="DJ24" s="1318">
        <f>DJ22/CX22-1</f>
        <v/>
      </c>
      <c r="DK24" s="1318">
        <f>DK22/CY22-1</f>
        <v/>
      </c>
      <c r="DL24" s="1318">
        <f>DL22/CZ22-1</f>
        <v/>
      </c>
      <c r="DM24" s="1318">
        <f>DM22/DA22-1</f>
        <v/>
      </c>
      <c r="DN24" s="1318">
        <f>DN22/DB22-1</f>
        <v/>
      </c>
      <c r="DO24" s="1318">
        <f>DO22/DC22-1</f>
        <v/>
      </c>
      <c r="DP24" s="1318">
        <f>DP22/DD22-1</f>
        <v/>
      </c>
      <c r="DQ24" s="1318">
        <f>DQ22/DE22-1</f>
        <v/>
      </c>
      <c r="DR24" s="1318">
        <f>DR22/DF22-1</f>
        <v/>
      </c>
      <c r="DS24" s="1318">
        <f>DS22/DG22-1</f>
        <v/>
      </c>
      <c r="DT24" s="1318">
        <f>DT22/DH22-1</f>
        <v/>
      </c>
      <c r="DU24" s="1318">
        <f>DU22/DI22-1</f>
        <v/>
      </c>
      <c r="DV24" s="1318">
        <f>DV22/DJ22-1</f>
        <v/>
      </c>
      <c r="DW24" s="1318">
        <f>DW22/DK22-1</f>
        <v/>
      </c>
      <c r="DX24" s="1318">
        <f>DX22/DL22-1</f>
        <v/>
      </c>
      <c r="DY24" s="1318">
        <f>DY22/DM22-1</f>
        <v/>
      </c>
      <c r="DZ24" s="1318">
        <f>DZ22/DN22-1</f>
        <v/>
      </c>
      <c r="EA24" s="1318">
        <f>EA22/DO22-1</f>
        <v/>
      </c>
      <c r="EB24" s="1318">
        <f>EB22/DP22-1</f>
        <v/>
      </c>
      <c r="EC24" s="1318">
        <f>EC22/DQ22-1</f>
        <v/>
      </c>
      <c r="ED24" s="1318">
        <f>ED22/DR22-1</f>
        <v/>
      </c>
      <c r="EE24" s="1318">
        <f>EE22/DS22-1</f>
        <v/>
      </c>
      <c r="EF24" s="1318">
        <f>EF22/DT22-1</f>
        <v/>
      </c>
      <c r="EG24" s="1318">
        <f>EG22/DU22-1</f>
        <v/>
      </c>
      <c r="EH24" s="1318">
        <f>EH22/DV22-1</f>
        <v/>
      </c>
      <c r="EI24" s="1318">
        <f>EI22/DW22-1</f>
        <v/>
      </c>
      <c r="EJ24" s="1318">
        <f>EJ22/DX22-1</f>
        <v/>
      </c>
      <c r="EK24" s="1318">
        <f>EK22/DY22-1</f>
        <v/>
      </c>
      <c r="EL24" s="1318">
        <f>EL22/DZ22-1</f>
        <v/>
      </c>
      <c r="EM24" s="1318">
        <f>EM22/EA22-1</f>
        <v/>
      </c>
      <c r="EN24" s="1318">
        <f>EN22/EB22-1</f>
        <v/>
      </c>
      <c r="EO24" s="1318">
        <f>EO22/EC22-1</f>
        <v/>
      </c>
      <c r="EP24" s="1318">
        <f>EP22/ED22-1</f>
        <v/>
      </c>
      <c r="EQ24" s="1318">
        <f>EQ22/EE22-1</f>
        <v/>
      </c>
      <c r="ER24" s="1318">
        <f>ER22/EF22-1</f>
        <v/>
      </c>
      <c r="ES24" s="1318">
        <f>ES22/EG22-1</f>
        <v/>
      </c>
      <c r="ET24" s="1318">
        <f>ET22/EH22-1</f>
        <v/>
      </c>
      <c r="EU24" s="1318">
        <f>EU22/EI22-1</f>
        <v/>
      </c>
      <c r="EV24" s="1318">
        <f>EV22/EJ22-1</f>
        <v/>
      </c>
      <c r="EW24" s="1318">
        <f>EW22/EK22-1</f>
        <v/>
      </c>
      <c r="EX24" s="1318">
        <f>EX22/EL22-1</f>
        <v/>
      </c>
      <c r="EY24" s="1318">
        <f>EY22/EM22-1</f>
        <v/>
      </c>
      <c r="EZ24" s="1318">
        <f>EZ22/EN22-1</f>
        <v/>
      </c>
      <c r="FA24" s="1318">
        <f>FA22/EO22-1</f>
        <v/>
      </c>
      <c r="FB24" s="1318">
        <f>FB22/EP22-1</f>
        <v/>
      </c>
      <c r="FC24" s="1318">
        <f>FC22/EQ22-1</f>
        <v/>
      </c>
      <c r="FD24" s="1318">
        <f>FD22/ER22-1</f>
        <v/>
      </c>
      <c r="FE24" s="1318">
        <f>FE22/ES22-1</f>
        <v/>
      </c>
      <c r="FF24" s="1318">
        <f>FF22/ET22-1</f>
        <v/>
      </c>
      <c r="FG24" s="1318">
        <f>FG22/EU22-1</f>
        <v/>
      </c>
      <c r="FH24" s="1318">
        <f>FH22/EV22-1</f>
        <v/>
      </c>
      <c r="FI24" s="1318">
        <f>FI22/EW22-1</f>
        <v/>
      </c>
      <c r="FJ24" s="1318">
        <f>FJ22/EX22-1</f>
        <v/>
      </c>
      <c r="FK24" s="1318">
        <f>FK22/EY22-1</f>
        <v/>
      </c>
      <c r="FL24" s="1318">
        <f>FL22/EZ22-1</f>
        <v/>
      </c>
      <c r="FM24" s="1318">
        <f>FM22/FA22-1</f>
        <v/>
      </c>
      <c r="FN24" s="1318">
        <f>FN22/FB22-1</f>
        <v/>
      </c>
      <c r="FO24" s="1318">
        <f>FO22/FC22-1</f>
        <v/>
      </c>
      <c r="FP24" s="1318">
        <f>FP22/FD22-1</f>
        <v/>
      </c>
      <c r="FQ24" s="1318">
        <f>FQ22/FE22-1</f>
        <v/>
      </c>
      <c r="FR24" s="1318">
        <f>FR22/FF22-1</f>
        <v/>
      </c>
      <c r="FS24" s="1318">
        <f>FS22/FG22-1</f>
        <v/>
      </c>
      <c r="FT24" s="1318">
        <f>FT22/FH22-1</f>
        <v/>
      </c>
      <c r="FU24" s="1318">
        <f>FU22/FI22-1</f>
        <v/>
      </c>
      <c r="FV24" s="1318">
        <f>FV22/FJ22-1</f>
        <v/>
      </c>
      <c r="FW24" s="1318">
        <f>FW22/FK22-1</f>
        <v/>
      </c>
      <c r="FX24" s="1318">
        <f>FX22/FL22-1</f>
        <v/>
      </c>
      <c r="FY24" s="1318">
        <f>FY22/FM22-1</f>
        <v/>
      </c>
      <c r="FZ24" s="1318">
        <f>FZ22/FN22-1</f>
        <v/>
      </c>
      <c r="GA24" s="1318">
        <f>GA22/FO22-1</f>
        <v/>
      </c>
      <c r="GB24" s="1318">
        <f>GB22/FP22-1</f>
        <v/>
      </c>
      <c r="GC24" s="1318">
        <f>GC22/FQ22-1</f>
        <v/>
      </c>
      <c r="GD24" s="1318">
        <f>GD22/FR22-1</f>
        <v/>
      </c>
      <c r="GE24" s="1318">
        <f>GE22/FS22-1</f>
        <v/>
      </c>
      <c r="GF24" s="1318">
        <f>GF22/FT22-1</f>
        <v/>
      </c>
      <c r="GG24" s="1318">
        <f>GG22/FU22-1</f>
        <v/>
      </c>
      <c r="GH24" s="1318">
        <f>GH22/FV22-1</f>
        <v/>
      </c>
      <c r="GI24" s="1318">
        <f>GI22/FW22-1</f>
        <v/>
      </c>
      <c r="GJ24" s="1318">
        <f>GJ22/FX22-1</f>
        <v/>
      </c>
      <c r="GK24" s="1318">
        <f>GK22/FY22-1</f>
        <v/>
      </c>
      <c r="GL24" s="1318">
        <f>GL22/FZ22-1</f>
        <v/>
      </c>
      <c r="GM24" s="1318">
        <f>GM22/GA22-1</f>
        <v/>
      </c>
      <c r="GN24" s="1318">
        <f>GN22/GB22-1</f>
        <v/>
      </c>
      <c r="GO24" s="1318">
        <f>GO22/GC22-1</f>
        <v/>
      </c>
      <c r="GP24" s="1318">
        <f>GP22/GD22-1</f>
        <v/>
      </c>
      <c r="GQ24" s="1318">
        <f>GQ22/GE22-1</f>
        <v/>
      </c>
      <c r="GR24" s="1318">
        <f>GR22/GF22-1</f>
        <v/>
      </c>
      <c r="GS24" s="1318">
        <f>GS22/GG22-1</f>
        <v/>
      </c>
      <c r="GT24" s="1318">
        <f>GT22/GH22-1</f>
        <v/>
      </c>
      <c r="GU24" s="1318">
        <f>GU22/GI22-1</f>
        <v/>
      </c>
      <c r="GV24" s="1318">
        <f>GV22/GJ22-1</f>
        <v/>
      </c>
      <c r="GW24" s="1318">
        <f>GW22/GK22-1</f>
        <v/>
      </c>
      <c r="GX24" s="1318">
        <f>GX22/GL22-1</f>
        <v/>
      </c>
      <c r="GY24" s="1318">
        <f>GY22/GM22-1</f>
        <v/>
      </c>
      <c r="GZ24" s="1318">
        <f>GZ22/GN22-1</f>
        <v/>
      </c>
      <c r="HA24" s="1318">
        <f>HA22/GO22-1</f>
        <v/>
      </c>
      <c r="HB24" s="1318">
        <f>HB22/GP22-1</f>
        <v/>
      </c>
      <c r="HC24" s="1318">
        <f>HC22/GQ22-1</f>
        <v/>
      </c>
      <c r="HD24" s="1318">
        <f>HD22/GR22-1</f>
        <v/>
      </c>
      <c r="HE24" s="1318">
        <f>HE22/GS22-1</f>
        <v/>
      </c>
      <c r="HF24" s="1318">
        <f>HF22/GT22-1</f>
        <v/>
      </c>
      <c r="HG24" s="1318">
        <f>HG22/GU22-1</f>
        <v/>
      </c>
      <c r="HH24" s="1318">
        <f>HH22/GV22-1</f>
        <v/>
      </c>
      <c r="HI24" s="1318">
        <f>HI22/GW22-1</f>
        <v/>
      </c>
      <c r="HJ24" s="1318">
        <f>HJ22/GX22-1</f>
        <v/>
      </c>
      <c r="HK24" s="1318">
        <f>HK22/GY22-1</f>
        <v/>
      </c>
      <c r="HL24" s="1318">
        <f>HL22/GZ22-1</f>
        <v/>
      </c>
      <c r="HM24" s="1318">
        <f>HM22/HA22-1</f>
        <v/>
      </c>
      <c r="HN24" s="1318">
        <f>HN22/HB22-1</f>
        <v/>
      </c>
      <c r="HO24" s="1318">
        <f>HO22/HC22-1</f>
        <v/>
      </c>
      <c r="HP24" s="1318">
        <f>HP22/HD22-1</f>
        <v/>
      </c>
      <c r="HQ24" s="1318">
        <f>HQ22/HE22-1</f>
        <v/>
      </c>
      <c r="HR24" s="1318">
        <f>HR22/HF22-1</f>
        <v/>
      </c>
      <c r="HS24" s="1318">
        <f>HS22/HG22-1</f>
        <v/>
      </c>
      <c r="HT24" s="1318">
        <f>HT22/HH22-1</f>
        <v/>
      </c>
      <c r="HU24" s="1318">
        <f>HU22/HI22-1</f>
        <v/>
      </c>
      <c r="HV24" s="1318">
        <f>HV22/HJ22-1</f>
        <v/>
      </c>
      <c r="HW24" s="1318">
        <f>HW22/HK22-1</f>
        <v/>
      </c>
      <c r="HX24" s="1318">
        <f>HX22/HL22-1</f>
        <v/>
      </c>
      <c r="HY24" s="1318">
        <f>HY22/HM22-1</f>
        <v/>
      </c>
      <c r="HZ24" s="1318">
        <f>HZ22/HN22-1</f>
        <v/>
      </c>
      <c r="IA24" s="1318">
        <f>IA22/HO22-1</f>
        <v/>
      </c>
      <c r="IB24" s="1318">
        <f>IB22/HP22-1</f>
        <v/>
      </c>
      <c r="IC24" s="1318">
        <f>IC22/HQ22-1</f>
        <v/>
      </c>
      <c r="ID24" s="1318">
        <f>ID22/HR22-1</f>
        <v/>
      </c>
      <c r="IE24" s="1318">
        <f>IE22/HS22-1</f>
        <v/>
      </c>
      <c r="IF24" s="1318">
        <f>IF22/HT22-1</f>
        <v/>
      </c>
      <c r="IG24" s="1318">
        <f>IG22/HU22-1</f>
        <v/>
      </c>
      <c r="IH24" s="1318">
        <f>IH22/HV22-1</f>
        <v/>
      </c>
      <c r="II24" s="1318">
        <f>II22/HW22-1</f>
        <v/>
      </c>
      <c r="IJ24" s="1318">
        <f>IJ22/HX22-1</f>
        <v/>
      </c>
      <c r="IK24" s="1318">
        <f>IK22/HY22-1</f>
        <v/>
      </c>
      <c r="IL24" s="1318">
        <f>IL22/HZ22-1</f>
        <v/>
      </c>
      <c r="IM24" s="1318">
        <f>IM22/IA22-1</f>
        <v/>
      </c>
      <c r="IN24" s="1318">
        <f>IN22/IB22-1</f>
        <v/>
      </c>
      <c r="IO24" s="1318">
        <f>IO22/IC22-1</f>
        <v/>
      </c>
      <c r="IP24" s="1318">
        <f>IP22/ID22-1</f>
        <v/>
      </c>
      <c r="IQ24" s="1318">
        <f>IQ22/IE22-1</f>
        <v/>
      </c>
      <c r="IR24" s="1318">
        <f>IR22/IF22-1</f>
        <v/>
      </c>
      <c r="IS24" s="1318">
        <f>IS22/IG22-1</f>
        <v/>
      </c>
      <c r="IT24" s="1318">
        <f>IT22/IH22-1</f>
        <v/>
      </c>
      <c r="IU24" s="1318">
        <f>IU22/II22-1</f>
        <v/>
      </c>
      <c r="IV24" s="1318">
        <f>IV22/IJ22-1</f>
        <v/>
      </c>
      <c r="IW24" s="1318">
        <f>IW22/IK22-1</f>
        <v/>
      </c>
      <c r="IX24" s="1318">
        <f>IX22/IL22-1</f>
        <v/>
      </c>
      <c r="IY24" s="1318">
        <f>IY22/IM22-1</f>
        <v/>
      </c>
      <c r="IZ24" s="1318">
        <f>IZ22/IN22-1</f>
        <v/>
      </c>
      <c r="JA24" s="1318">
        <f>JA22/IO22-1</f>
        <v/>
      </c>
      <c r="JB24" s="1318">
        <f>JB22/IP22-1</f>
        <v/>
      </c>
      <c r="JC24" s="1318">
        <f>JC22/IQ22-1</f>
        <v/>
      </c>
      <c r="JD24" s="1318">
        <f>JD22/IR22-1</f>
        <v/>
      </c>
      <c r="JE24" s="1318">
        <f>JE22/IS22-1</f>
        <v/>
      </c>
      <c r="JF24" s="1318">
        <f>JF22/IT22-1</f>
        <v/>
      </c>
      <c r="JG24" s="1318">
        <f>JG22/IU22-1</f>
        <v/>
      </c>
      <c r="JH24" s="1318">
        <f>JH22/IV22-1</f>
        <v/>
      </c>
      <c r="JI24" s="1318">
        <f>JI22/IW22-1</f>
        <v/>
      </c>
      <c r="JJ24" s="1318">
        <f>JJ22/IX22-1</f>
        <v/>
      </c>
      <c r="JK24" s="1318">
        <f>JK22/IY22-1</f>
        <v/>
      </c>
      <c r="JL24" s="1318">
        <f>JL22/IZ22-1</f>
        <v/>
      </c>
      <c r="JM24" s="1318">
        <f>JM22/JA22-1</f>
        <v/>
      </c>
      <c r="JN24" s="1318">
        <f>JN22/JB22-1</f>
        <v/>
      </c>
      <c r="JO24" s="1318">
        <f>JO22/JC22-1</f>
        <v/>
      </c>
      <c r="JP24" s="1318">
        <f>JP22/JD22-1</f>
        <v/>
      </c>
      <c r="JQ24" s="1318">
        <f>JQ22/JE22-1</f>
        <v/>
      </c>
      <c r="JR24" s="1318">
        <f>JR22/JF22-1</f>
        <v/>
      </c>
      <c r="JS24" s="1318">
        <f>JS22/JG22-1</f>
        <v/>
      </c>
      <c r="JT24" s="1318">
        <f>JT22/JH22-1</f>
        <v/>
      </c>
      <c r="JU24" s="1318">
        <f>JU22/JI22-1</f>
        <v/>
      </c>
      <c r="JV24" s="1318">
        <f>JV22/JJ22-1</f>
        <v/>
      </c>
      <c r="JW24" s="1318">
        <f>JW22/JK22-1</f>
        <v/>
      </c>
      <c r="JX24" s="1318">
        <f>JX22/JL22-1</f>
        <v/>
      </c>
      <c r="JY24" s="1318">
        <f>JY22/JM22-1</f>
        <v/>
      </c>
      <c r="JZ24" s="1318">
        <f>JZ22/JN22-1</f>
        <v/>
      </c>
      <c r="KA24" s="1318">
        <f>KA22/JO22-1</f>
        <v/>
      </c>
      <c r="KB24" s="1318">
        <f>KB22/JP22-1</f>
        <v/>
      </c>
      <c r="KC24" s="1318">
        <f>KC22/JQ22-1</f>
        <v/>
      </c>
      <c r="KD24" s="1318">
        <f>KD22/JR22-1</f>
        <v/>
      </c>
      <c r="KE24" s="1318">
        <f>KE22/JS22-1</f>
        <v/>
      </c>
      <c r="KF24" s="1318">
        <f>KF22/JT22-1</f>
        <v/>
      </c>
      <c r="KG24" s="1318">
        <f>KG22/JU22-1</f>
        <v/>
      </c>
      <c r="KH24" s="1318">
        <f>KH22/JV22-1</f>
        <v/>
      </c>
      <c r="KI24" s="1318">
        <f>KI22/JW22-1</f>
        <v/>
      </c>
      <c r="KJ24" s="1318">
        <f>KJ22/JX22-1</f>
        <v/>
      </c>
      <c r="KK24" s="1318">
        <f>KK22/JY22-1</f>
        <v/>
      </c>
      <c r="KL24" s="1318">
        <f>KL22/JZ22-1</f>
        <v/>
      </c>
      <c r="KM24" s="1318">
        <f>KM22/KA22-1</f>
        <v/>
      </c>
      <c r="KN24" s="1318">
        <f>KN22/KB22-1</f>
        <v/>
      </c>
      <c r="KO24" s="1318">
        <f>KO22/KC22-1</f>
        <v/>
      </c>
      <c r="KP24" s="1318">
        <f>KP22/KD22-1</f>
        <v/>
      </c>
      <c r="KQ24" s="1318">
        <f>KQ22/KE22-1</f>
        <v/>
      </c>
      <c r="KR24" s="1318">
        <f>KR22/KF22-1</f>
        <v/>
      </c>
      <c r="KS24" s="1318">
        <f>KS22/KG22-1</f>
        <v/>
      </c>
      <c r="KT24" s="1318">
        <f>KT22/KH22-1</f>
        <v/>
      </c>
      <c r="KU24" s="1318">
        <f>KU22/KI22-1</f>
        <v/>
      </c>
      <c r="KV24" s="1318">
        <f>KV22/KJ22-1</f>
        <v/>
      </c>
      <c r="KW24" s="1318">
        <f>KW22/KK22-1</f>
        <v/>
      </c>
      <c r="KX24" s="1318">
        <f>KX22/KL22-1</f>
        <v/>
      </c>
      <c r="KY24" s="1318">
        <f>KY22/KM22-1</f>
        <v/>
      </c>
      <c r="KZ24" s="1318">
        <f>KZ22/KN22-1</f>
        <v/>
      </c>
      <c r="LA24" s="1318">
        <f>LA22/KO22-1</f>
        <v/>
      </c>
      <c r="LB24" s="1318" t="n"/>
      <c r="LC24" s="1318" t="n"/>
      <c r="LD24" s="1318" t="n"/>
      <c r="LE24" s="1318" t="n"/>
      <c r="LF24" s="1318" t="n"/>
      <c r="LG24" s="1318" t="n"/>
      <c r="LH24" s="1318" t="n"/>
      <c r="LI24" s="1318" t="n"/>
      <c r="LJ24" s="1318" t="n"/>
      <c r="LK24" s="1318" t="n"/>
      <c r="LL24" s="1318" t="n"/>
      <c r="LM24" s="1318" t="n"/>
      <c r="LN24" s="1318" t="n"/>
      <c r="LO24" s="1318" t="n"/>
      <c r="LP24" s="1318" t="n"/>
      <c r="LQ24" s="1318" t="n"/>
      <c r="LR24" s="1318" t="n"/>
      <c r="LS24" s="1318" t="n"/>
    </row>
    <row r="25">
      <c r="A25" s="885" t="inlineStr">
        <is>
          <t>YTD cg %</t>
        </is>
      </c>
      <c r="B25" s="1318" t="n"/>
      <c r="C25" s="1318" t="n"/>
      <c r="D25" s="1318" t="n"/>
      <c r="E25" s="1318" t="n"/>
      <c r="F25" s="1318" t="n"/>
      <c r="G25" s="1318" t="n"/>
      <c r="H25" s="1318" t="n"/>
      <c r="I25" s="1318" t="n"/>
      <c r="J25" s="1318" t="n"/>
      <c r="K25" s="1318" t="n"/>
      <c r="L25" s="1318" t="n"/>
      <c r="M25" s="1318" t="n"/>
      <c r="N25" s="1318" t="n"/>
      <c r="O25" s="1318" t="n"/>
      <c r="P25" s="1318" t="n"/>
      <c r="Q25" s="1318" t="n"/>
      <c r="R25" s="1318" t="n"/>
      <c r="S25" s="1318" t="n"/>
      <c r="T25" s="1318" t="n"/>
      <c r="U25" s="1318" t="n"/>
      <c r="V25" s="1318" t="n"/>
      <c r="W25" s="1318" t="n"/>
      <c r="X25" s="1318" t="n"/>
      <c r="Y25" s="1318" t="n"/>
      <c r="Z25" s="1318" t="n"/>
      <c r="AA25" s="1318" t="n"/>
      <c r="AB25" s="1318" t="n"/>
      <c r="AC25" s="1318" t="n"/>
      <c r="AD25" s="1318" t="n"/>
      <c r="AE25" s="1318" t="n"/>
      <c r="AF25" s="1318" t="n"/>
      <c r="AG25" s="1318" t="n"/>
      <c r="AH25" s="1318" t="n"/>
      <c r="AI25" s="1318" t="n"/>
      <c r="AJ25" s="1318" t="n"/>
      <c r="AK25" s="1318" t="n"/>
      <c r="AL25" s="1318" t="n"/>
      <c r="AM25" s="1318" t="n"/>
      <c r="AN25" s="1318" t="n"/>
      <c r="AO25" s="1318" t="n"/>
      <c r="AP25" s="1318" t="n"/>
      <c r="AQ25" s="1318" t="n"/>
      <c r="AR25" s="1318" t="n"/>
      <c r="AS25" s="1318" t="n"/>
      <c r="AT25" s="1318" t="n"/>
      <c r="AU25" s="1318" t="n"/>
      <c r="AV25" s="1318" t="n"/>
      <c r="AW25" s="1318" t="n"/>
      <c r="AX25" s="1318" t="n"/>
      <c r="AY25" s="1318" t="n"/>
      <c r="AZ25" s="1318" t="n"/>
      <c r="BA25" s="1318" t="n"/>
      <c r="BB25" s="1318" t="n"/>
      <c r="BC25" s="1318" t="n"/>
      <c r="BD25" s="1318" t="n"/>
      <c r="BE25" s="1318" t="n"/>
      <c r="BF25" s="1318" t="n"/>
      <c r="BG25" s="1318" t="n"/>
      <c r="BH25" s="1318" t="n"/>
      <c r="BI25" s="1318" t="n"/>
      <c r="BJ25" s="1318">
        <f>SUMIFS(22:22,$8:$8,"&gt;="&amp;DATE(YEAR(BJ$8),1,1),$8:$8,"&lt;="&amp;EOMONTH(BJ$8,0))/SUMIFS(22:22,$8:$8,"&gt;="&amp;DATE(YEAR(BJ$8)-1,1,1),$8:$8,"&lt;="&amp;EOMONTH(BJ$8,-12))-1</f>
        <v/>
      </c>
      <c r="BK25" s="1318">
        <f>SUMIFS(22:22,$8:$8,"&gt;="&amp;DATE(YEAR(BK$8),1,1),$8:$8,"&lt;="&amp;EOMONTH(BK$8,0))/SUMIFS(22:22,$8:$8,"&gt;="&amp;DATE(YEAR(BK$8)-1,1,1),$8:$8,"&lt;="&amp;EOMONTH(BK$8,-12))-1</f>
        <v/>
      </c>
      <c r="BL25" s="1318">
        <f>SUMIFS(22:22,$8:$8,"&gt;="&amp;DATE(YEAR(BL$8),1,1),$8:$8,"&lt;="&amp;EOMONTH(BL$8,0))/SUMIFS(22:22,$8:$8,"&gt;="&amp;DATE(YEAR(BL$8)-1,1,1),$8:$8,"&lt;="&amp;EOMONTH(BL$8,-12))-1</f>
        <v/>
      </c>
      <c r="BM25" s="1318">
        <f>SUMIFS(22:22,$8:$8,"&gt;="&amp;DATE(YEAR(BM$8),1,1),$8:$8,"&lt;="&amp;EOMONTH(BM$8,0))/SUMIFS(22:22,$8:$8,"&gt;="&amp;DATE(YEAR(BM$8)-1,1,1),$8:$8,"&lt;="&amp;EOMONTH(BM$8,-12))-1</f>
        <v/>
      </c>
      <c r="BN25" s="1318">
        <f>SUMIFS(22:22,$8:$8,"&gt;="&amp;DATE(YEAR(BN$8),1,1),$8:$8,"&lt;="&amp;EOMONTH(BN$8,0))/SUMIFS(22:22,$8:$8,"&gt;="&amp;DATE(YEAR(BN$8)-1,1,1),$8:$8,"&lt;="&amp;EOMONTH(BN$8,-12))-1</f>
        <v/>
      </c>
      <c r="BO25" s="1318">
        <f>SUMIFS(22:22,$8:$8,"&gt;="&amp;DATE(YEAR(BO$8),1,1),$8:$8,"&lt;="&amp;EOMONTH(BO$8,0))/SUMIFS(22:22,$8:$8,"&gt;="&amp;DATE(YEAR(BO$8)-1,1,1),$8:$8,"&lt;="&amp;EOMONTH(BO$8,-12))-1</f>
        <v/>
      </c>
      <c r="BP25" s="1318">
        <f>SUMIFS(22:22,$8:$8,"&gt;="&amp;DATE(YEAR(BP$8),1,1),$8:$8,"&lt;="&amp;EOMONTH(BP$8,0))/SUMIFS(22:22,$8:$8,"&gt;="&amp;DATE(YEAR(BP$8)-1,1,1),$8:$8,"&lt;="&amp;EOMONTH(BP$8,-12))-1</f>
        <v/>
      </c>
      <c r="BQ25" s="1318">
        <f>SUMIFS(22:22,$8:$8,"&gt;="&amp;DATE(YEAR(BQ$8),1,1),$8:$8,"&lt;="&amp;EOMONTH(BQ$8,0))/SUMIFS(22:22,$8:$8,"&gt;="&amp;DATE(YEAR(BQ$8)-1,1,1),$8:$8,"&lt;="&amp;EOMONTH(BQ$8,-12))-1</f>
        <v/>
      </c>
      <c r="BR25" s="1318">
        <f>SUMIFS(22:22,$8:$8,"&gt;="&amp;DATE(YEAR(BR$8),1,1),$8:$8,"&lt;="&amp;EOMONTH(BR$8,0))/SUMIFS(22:22,$8:$8,"&gt;="&amp;DATE(YEAR(BR$8)-1,1,1),$8:$8,"&lt;="&amp;EOMONTH(BR$8,-12))-1</f>
        <v/>
      </c>
      <c r="BS25" s="1318">
        <f>SUMIFS(22:22,$8:$8,"&gt;="&amp;DATE(YEAR(BS$8),1,1),$8:$8,"&lt;="&amp;EOMONTH(BS$8,0))/SUMIFS(22:22,$8:$8,"&gt;="&amp;DATE(YEAR(BS$8)-1,1,1),$8:$8,"&lt;="&amp;EOMONTH(BS$8,-12))-1</f>
        <v/>
      </c>
      <c r="BT25" s="1318">
        <f>SUMIFS(22:22,$8:$8,"&gt;="&amp;DATE(YEAR(BT$8),1,1),$8:$8,"&lt;="&amp;EOMONTH(BT$8,0))/SUMIFS(22:22,$8:$8,"&gt;="&amp;DATE(YEAR(BT$8)-1,1,1),$8:$8,"&lt;="&amp;EOMONTH(BT$8,-12))-1</f>
        <v/>
      </c>
      <c r="BU25" s="1318">
        <f>SUMIFS(22:22,$8:$8,"&gt;="&amp;DATE(YEAR(BU$8),1,1),$8:$8,"&lt;="&amp;EOMONTH(BU$8,0))/SUMIFS(22:22,$8:$8,"&gt;="&amp;DATE(YEAR(BU$8)-1,1,1),$8:$8,"&lt;="&amp;EOMONTH(BU$8,-12))-1</f>
        <v/>
      </c>
      <c r="BV25" s="1318">
        <f>SUMIFS(22:22,$8:$8,"&gt;="&amp;DATE(YEAR(BV$8),1,1),$8:$8,"&lt;="&amp;EOMONTH(BV$8,0))/SUMIFS(22:22,$8:$8,"&gt;="&amp;DATE(YEAR(BV$8)-1,1,1),$8:$8,"&lt;="&amp;EOMONTH(BV$8,-12))-1</f>
        <v/>
      </c>
      <c r="BW25" s="1318">
        <f>SUMIFS(22:22,$8:$8,"&gt;="&amp;DATE(YEAR(BW$8),1,1),$8:$8,"&lt;="&amp;EOMONTH(BW$8,0))/SUMIFS(22:22,$8:$8,"&gt;="&amp;DATE(YEAR(BW$8)-1,1,1),$8:$8,"&lt;="&amp;EOMONTH(BW$8,-12))-1</f>
        <v/>
      </c>
      <c r="BX25" s="1318">
        <f>SUMIFS(22:22,$8:$8,"&gt;="&amp;DATE(YEAR(BX$8),1,1),$8:$8,"&lt;="&amp;EOMONTH(BX$8,0))/SUMIFS(22:22,$8:$8,"&gt;="&amp;DATE(YEAR(BX$8)-1,1,1),$8:$8,"&lt;="&amp;EOMONTH(BX$8,-12))-1</f>
        <v/>
      </c>
      <c r="BY25" s="1318">
        <f>SUMIFS(22:22,$8:$8,"&gt;="&amp;DATE(YEAR(BY$8),1,1),$8:$8,"&lt;="&amp;EOMONTH(BY$8,0))/SUMIFS(22:22,$8:$8,"&gt;="&amp;DATE(YEAR(BY$8)-1,1,1),$8:$8,"&lt;="&amp;EOMONTH(BY$8,-12))-1</f>
        <v/>
      </c>
      <c r="BZ25" s="1318">
        <f>SUMIFS(22:22,$8:$8,"&gt;="&amp;DATE(YEAR(BZ$8),1,1),$8:$8,"&lt;="&amp;EOMONTH(BZ$8,0))/SUMIFS(22:22,$8:$8,"&gt;="&amp;DATE(YEAR(BZ$8)-1,1,1),$8:$8,"&lt;="&amp;EOMONTH(BZ$8,-12))-1</f>
        <v/>
      </c>
      <c r="CA25" s="1318">
        <f>SUMIFS(22:22,$8:$8,"&gt;="&amp;DATE(YEAR(CA$8),1,1),$8:$8,"&lt;="&amp;EOMONTH(CA$8,0))/SUMIFS(22:22,$8:$8,"&gt;="&amp;DATE(YEAR(CA$8)-1,1,1),$8:$8,"&lt;="&amp;EOMONTH(CA$8,-12))-1</f>
        <v/>
      </c>
      <c r="CB25" s="1318">
        <f>SUMIFS(22:22,$8:$8,"&gt;="&amp;DATE(YEAR(CB$8),1,1),$8:$8,"&lt;="&amp;EOMONTH(CB$8,0))/SUMIFS(22:22,$8:$8,"&gt;="&amp;DATE(YEAR(CB$8)-1,1,1),$8:$8,"&lt;="&amp;EOMONTH(CB$8,-12))-1</f>
        <v/>
      </c>
      <c r="CC25" s="1318">
        <f>SUMIFS(22:22,$8:$8,"&gt;="&amp;DATE(YEAR(CC$8),1,1),$8:$8,"&lt;="&amp;EOMONTH(CC$8,0))/SUMIFS(22:22,$8:$8,"&gt;="&amp;DATE(YEAR(CC$8)-1,1,1),$8:$8,"&lt;="&amp;EOMONTH(CC$8,-12))-1</f>
        <v/>
      </c>
      <c r="CD25" s="1318">
        <f>SUMIFS(22:22,$8:$8,"&gt;="&amp;DATE(YEAR(CD$8),1,1),$8:$8,"&lt;="&amp;EOMONTH(CD$8,0))/SUMIFS(22:22,$8:$8,"&gt;="&amp;DATE(YEAR(CD$8)-1,1,1),$8:$8,"&lt;="&amp;EOMONTH(CD$8,-12))-1</f>
        <v/>
      </c>
      <c r="CE25" s="1318">
        <f>SUMIFS(22:22,$8:$8,"&gt;="&amp;DATE(YEAR(CE$8),1,1),$8:$8,"&lt;="&amp;EOMONTH(CE$8,0))/SUMIFS(22:22,$8:$8,"&gt;="&amp;DATE(YEAR(CE$8)-1,1,1),$8:$8,"&lt;="&amp;EOMONTH(CE$8,-12))-1</f>
        <v/>
      </c>
      <c r="CF25" s="1318">
        <f>SUMIFS(22:22,$8:$8,"&gt;="&amp;DATE(YEAR(CF$8),1,1),$8:$8,"&lt;="&amp;EOMONTH(CF$8,0))/SUMIFS(22:22,$8:$8,"&gt;="&amp;DATE(YEAR(CF$8)-1,1,1),$8:$8,"&lt;="&amp;EOMONTH(CF$8,-12))-1</f>
        <v/>
      </c>
      <c r="CG25" s="1318">
        <f>SUMIFS(22:22,$8:$8,"&gt;="&amp;DATE(YEAR(CG$8),1,1),$8:$8,"&lt;="&amp;EOMONTH(CG$8,0))/SUMIFS(22:22,$8:$8,"&gt;="&amp;DATE(YEAR(CG$8)-1,1,1),$8:$8,"&lt;="&amp;EOMONTH(CG$8,-12))-1</f>
        <v/>
      </c>
      <c r="CH25" s="1318">
        <f>SUMIFS(22:22,$8:$8,"&gt;="&amp;DATE(YEAR(CH$8),1,1),$8:$8,"&lt;="&amp;EOMONTH(CH$8,0))/SUMIFS(22:22,$8:$8,"&gt;="&amp;DATE(YEAR(CH$8)-1,1,1),$8:$8,"&lt;="&amp;EOMONTH(CH$8,-12))-1</f>
        <v/>
      </c>
      <c r="CI25" s="1318">
        <f>SUMIFS(22:22,$8:$8,"&gt;="&amp;DATE(YEAR(CI$8),1,1),$8:$8,"&lt;="&amp;EOMONTH(CI$8,0))/SUMIFS(22:22,$8:$8,"&gt;="&amp;DATE(YEAR(CI$8)-1,1,1),$8:$8,"&lt;="&amp;EOMONTH(CI$8,-12))-1</f>
        <v/>
      </c>
      <c r="CJ25" s="1318">
        <f>SUMIFS(22:22,$8:$8,"&gt;="&amp;DATE(YEAR(CJ$8),1,1),$8:$8,"&lt;="&amp;EOMONTH(CJ$8,0))/SUMIFS(22:22,$8:$8,"&gt;="&amp;DATE(YEAR(CJ$8)-1,1,1),$8:$8,"&lt;="&amp;EOMONTH(CJ$8,-12))-1</f>
        <v/>
      </c>
      <c r="CK25" s="1318">
        <f>SUMIFS(22:22,$8:$8,"&gt;="&amp;DATE(YEAR(CK$8),1,1),$8:$8,"&lt;="&amp;EOMONTH(CK$8,0))/SUMIFS(22:22,$8:$8,"&gt;="&amp;DATE(YEAR(CK$8)-1,1,1),$8:$8,"&lt;="&amp;EOMONTH(CK$8,-12))-1</f>
        <v/>
      </c>
      <c r="CL25" s="1318">
        <f>SUMIFS(22:22,$8:$8,"&gt;="&amp;DATE(YEAR(CL$8),1,1),$8:$8,"&lt;="&amp;EOMONTH(CL$8,0))/SUMIFS(22:22,$8:$8,"&gt;="&amp;DATE(YEAR(CL$8)-1,1,1),$8:$8,"&lt;="&amp;EOMONTH(CL$8,-12))-1</f>
        <v/>
      </c>
      <c r="CM25" s="1318">
        <f>SUMIFS(22:22,$8:$8,"&gt;="&amp;DATE(YEAR(CM$8),1,1),$8:$8,"&lt;="&amp;EOMONTH(CM$8,0))/SUMIFS(22:22,$8:$8,"&gt;="&amp;DATE(YEAR(CM$8)-1,1,1),$8:$8,"&lt;="&amp;EOMONTH(CM$8,-12))-1</f>
        <v/>
      </c>
      <c r="CN25" s="1318">
        <f>SUMIFS(22:22,$8:$8,"&gt;="&amp;DATE(YEAR(CN$8),1,1),$8:$8,"&lt;="&amp;EOMONTH(CN$8,0))/SUMIFS(22:22,$8:$8,"&gt;="&amp;DATE(YEAR(CN$8)-1,1,1),$8:$8,"&lt;="&amp;EOMONTH(CN$8,-12))-1</f>
        <v/>
      </c>
      <c r="CO25" s="1318">
        <f>SUMIFS(22:22,$8:$8,"&gt;="&amp;DATE(YEAR(CO$8),1,1),$8:$8,"&lt;="&amp;EOMONTH(CO$8,0))/SUMIFS(22:22,$8:$8,"&gt;="&amp;DATE(YEAR(CO$8)-1,1,1),$8:$8,"&lt;="&amp;EOMONTH(CO$8,-12))-1</f>
        <v/>
      </c>
      <c r="CP25" s="1318">
        <f>SUMIFS(22:22,$8:$8,"&gt;="&amp;DATE(YEAR(CP$8),1,1),$8:$8,"&lt;="&amp;EOMONTH(CP$8,0))/SUMIFS(22:22,$8:$8,"&gt;="&amp;DATE(YEAR(CP$8)-1,1,1),$8:$8,"&lt;="&amp;EOMONTH(CP$8,-12))-1</f>
        <v/>
      </c>
      <c r="CQ25" s="1318">
        <f>SUMIFS(22:22,$8:$8,"&gt;="&amp;DATE(YEAR(CQ$8),1,1),$8:$8,"&lt;="&amp;EOMONTH(CQ$8,0))/SUMIFS(22:22,$8:$8,"&gt;="&amp;DATE(YEAR(CQ$8)-1,1,1),$8:$8,"&lt;="&amp;EOMONTH(CQ$8,-12))-1</f>
        <v/>
      </c>
      <c r="CR25" s="1318">
        <f>SUMIFS(22:22,$8:$8,"&gt;="&amp;DATE(YEAR(CR$8),1,1),$8:$8,"&lt;="&amp;EOMONTH(CR$8,0))/SUMIFS(22:22,$8:$8,"&gt;="&amp;DATE(YEAR(CR$8)-1,1,1),$8:$8,"&lt;="&amp;EOMONTH(CR$8,-12))-1</f>
        <v/>
      </c>
      <c r="CS25" s="1318">
        <f>SUMIFS(22:22,$8:$8,"&gt;="&amp;DATE(YEAR(CS$8),1,1),$8:$8,"&lt;="&amp;EOMONTH(CS$8,0))/SUMIFS(22:22,$8:$8,"&gt;="&amp;DATE(YEAR(CS$8)-1,1,1),$8:$8,"&lt;="&amp;EOMONTH(CS$8,-12))-1</f>
        <v/>
      </c>
      <c r="CT25" s="1318">
        <f>SUMIFS(22:22,$8:$8,"&gt;="&amp;DATE(YEAR(CT$8),1,1),$8:$8,"&lt;="&amp;EOMONTH(CT$8,0))/SUMIFS(22:22,$8:$8,"&gt;="&amp;DATE(YEAR(CT$8)-1,1,1),$8:$8,"&lt;="&amp;EOMONTH(CT$8,-12))-1</f>
        <v/>
      </c>
      <c r="CU25" s="1318">
        <f>SUMIFS(22:22,$8:$8,"&gt;="&amp;DATE(YEAR(CU$8),1,1),$8:$8,"&lt;="&amp;EOMONTH(CU$8,0))/SUMIFS(22:22,$8:$8,"&gt;="&amp;DATE(YEAR(CU$8)-1,1,1),$8:$8,"&lt;="&amp;EOMONTH(CU$8,-12))-1</f>
        <v/>
      </c>
      <c r="CV25" s="1318">
        <f>SUMIFS(22:22,$8:$8,"&gt;="&amp;DATE(YEAR(CV$8),1,1),$8:$8,"&lt;="&amp;EOMONTH(CV$8,0))/SUMIFS(22:22,$8:$8,"&gt;="&amp;DATE(YEAR(CV$8)-1,1,1),$8:$8,"&lt;="&amp;EOMONTH(CV$8,-12))-1</f>
        <v/>
      </c>
      <c r="CW25" s="1318">
        <f>SUMIFS(22:22,$8:$8,"&gt;="&amp;DATE(YEAR(CW$8),1,1),$8:$8,"&lt;="&amp;EOMONTH(CW$8,0))/SUMIFS(22:22,$8:$8,"&gt;="&amp;DATE(YEAR(CW$8)-1,1,1),$8:$8,"&lt;="&amp;EOMONTH(CW$8,-12))-1</f>
        <v/>
      </c>
      <c r="CX25" s="1318">
        <f>SUMIFS(22:22,$8:$8,"&gt;="&amp;DATE(YEAR(CX$8),1,1),$8:$8,"&lt;="&amp;EOMONTH(CX$8,0))/SUMIFS(22:22,$8:$8,"&gt;="&amp;DATE(YEAR(CX$8)-1,1,1),$8:$8,"&lt;="&amp;EOMONTH(CX$8,-12))-1</f>
        <v/>
      </c>
      <c r="CY25" s="1318">
        <f>SUMIFS(22:22,$8:$8,"&gt;="&amp;DATE(YEAR(CY$8),1,1),$8:$8,"&lt;="&amp;EOMONTH(CY$8,0))/SUMIFS(22:22,$8:$8,"&gt;="&amp;DATE(YEAR(CY$8)-1,1,1),$8:$8,"&lt;="&amp;EOMONTH(CY$8,-12))-1</f>
        <v/>
      </c>
      <c r="CZ25" s="1318">
        <f>SUMIFS(22:22,$8:$8,"&gt;="&amp;DATE(YEAR(CZ$8),1,1),$8:$8,"&lt;="&amp;EOMONTH(CZ$8,0))/SUMIFS(22:22,$8:$8,"&gt;="&amp;DATE(YEAR(CZ$8)-1,1,1),$8:$8,"&lt;="&amp;EOMONTH(CZ$8,-12))-1</f>
        <v/>
      </c>
      <c r="DA25" s="1318">
        <f>SUMIFS(22:22,$8:$8,"&gt;="&amp;DATE(YEAR(DA$8),1,1),$8:$8,"&lt;="&amp;EOMONTH(DA$8,0))/SUMIFS(22:22,$8:$8,"&gt;="&amp;DATE(YEAR(DA$8)-1,1,1),$8:$8,"&lt;="&amp;EOMONTH(DA$8,-12))-1</f>
        <v/>
      </c>
      <c r="DB25" s="1318">
        <f>SUMIFS(22:22,$8:$8,"&gt;="&amp;DATE(YEAR(DB$8),1,1),$8:$8,"&lt;="&amp;EOMONTH(DB$8,0))/SUMIFS(22:22,$8:$8,"&gt;="&amp;DATE(YEAR(DB$8)-1,1,1),$8:$8,"&lt;="&amp;EOMONTH(DB$8,-12))-1</f>
        <v/>
      </c>
      <c r="DC25" s="1318">
        <f>SUMIFS(22:22,$8:$8,"&gt;="&amp;DATE(YEAR(DC$8),1,1),$8:$8,"&lt;="&amp;EOMONTH(DC$8,0))/SUMIFS(22:22,$8:$8,"&gt;="&amp;DATE(YEAR(DC$8)-1,1,1),$8:$8,"&lt;="&amp;EOMONTH(DC$8,-12))-1</f>
        <v/>
      </c>
      <c r="DD25" s="1318">
        <f>SUMIFS(22:22,$8:$8,"&gt;="&amp;DATE(YEAR(DD$8),1,1),$8:$8,"&lt;="&amp;EOMONTH(DD$8,0))/SUMIFS(22:22,$8:$8,"&gt;="&amp;DATE(YEAR(DD$8)-1,1,1),$8:$8,"&lt;="&amp;EOMONTH(DD$8,-12))-1</f>
        <v/>
      </c>
      <c r="DE25" s="1318">
        <f>SUMIFS(22:22,$8:$8,"&gt;="&amp;DATE(YEAR(DE$8),1,1),$8:$8,"&lt;="&amp;EOMONTH(DE$8,0))/SUMIFS(22:22,$8:$8,"&gt;="&amp;DATE(YEAR(DE$8)-1,1,1),$8:$8,"&lt;="&amp;EOMONTH(DE$8,-12))-1</f>
        <v/>
      </c>
      <c r="DF25" s="1318">
        <f>SUMIFS(22:22,$8:$8,"&gt;="&amp;DATE(YEAR(DF$8),1,1),$8:$8,"&lt;="&amp;EOMONTH(DF$8,0))/SUMIFS(22:22,$8:$8,"&gt;="&amp;DATE(YEAR(DF$8)-1,1,1),$8:$8,"&lt;="&amp;EOMONTH(DF$8,-12))-1</f>
        <v/>
      </c>
      <c r="DG25" s="1318">
        <f>SUMIFS(22:22,$8:$8,"&gt;="&amp;DATE(YEAR(DG$8),1,1),$8:$8,"&lt;="&amp;EOMONTH(DG$8,0))/SUMIFS(22:22,$8:$8,"&gt;="&amp;DATE(YEAR(DG$8)-1,1,1),$8:$8,"&lt;="&amp;EOMONTH(DG$8,-12))-1</f>
        <v/>
      </c>
      <c r="DH25" s="1318">
        <f>SUMIFS(22:22,$8:$8,"&gt;="&amp;DATE(YEAR(DH$8),1,1),$8:$8,"&lt;="&amp;EOMONTH(DH$8,0))/SUMIFS(22:22,$8:$8,"&gt;="&amp;DATE(YEAR(DH$8)-1,1,1),$8:$8,"&lt;="&amp;EOMONTH(DH$8,-12))-1</f>
        <v/>
      </c>
      <c r="DI25" s="1318">
        <f>SUMIFS(22:22,$8:$8,"&gt;="&amp;DATE(YEAR(DI$8),1,1),$8:$8,"&lt;="&amp;EOMONTH(DI$8,0))/SUMIFS(22:22,$8:$8,"&gt;="&amp;DATE(YEAR(DI$8)-1,1,1),$8:$8,"&lt;="&amp;EOMONTH(DI$8,-12))-1</f>
        <v/>
      </c>
      <c r="DJ25" s="1318">
        <f>SUMIFS(22:22,$8:$8,"&gt;="&amp;DATE(YEAR(DJ$8),1,1),$8:$8,"&lt;="&amp;EOMONTH(DJ$8,0))/SUMIFS(22:22,$8:$8,"&gt;="&amp;DATE(YEAR(DJ$8)-1,1,1),$8:$8,"&lt;="&amp;EOMONTH(DJ$8,-12))-1</f>
        <v/>
      </c>
      <c r="DK25" s="1318">
        <f>SUMIFS(22:22,$8:$8,"&gt;="&amp;DATE(YEAR(DK$8),1,1),$8:$8,"&lt;="&amp;EOMONTH(DK$8,0))/SUMIFS(22:22,$8:$8,"&gt;="&amp;DATE(YEAR(DK$8)-1,1,1),$8:$8,"&lt;="&amp;EOMONTH(DK$8,-12))-1</f>
        <v/>
      </c>
      <c r="DL25" s="1318">
        <f>SUMIFS(22:22,$8:$8,"&gt;="&amp;DATE(YEAR(DL$8),1,1),$8:$8,"&lt;="&amp;EOMONTH(DL$8,0))/SUMIFS(22:22,$8:$8,"&gt;="&amp;DATE(YEAR(DL$8)-1,1,1),$8:$8,"&lt;="&amp;EOMONTH(DL$8,-12))-1</f>
        <v/>
      </c>
      <c r="DM25" s="1318">
        <f>SUMIFS(22:22,$8:$8,"&gt;="&amp;DATE(YEAR(DM$8),1,1),$8:$8,"&lt;="&amp;EOMONTH(DM$8,0))/SUMIFS(22:22,$8:$8,"&gt;="&amp;DATE(YEAR(DM$8)-1,1,1),$8:$8,"&lt;="&amp;EOMONTH(DM$8,-12))-1</f>
        <v/>
      </c>
      <c r="DN25" s="1318">
        <f>SUMIFS(22:22,$8:$8,"&gt;="&amp;DATE(YEAR(DN$8),1,1),$8:$8,"&lt;="&amp;EOMONTH(DN$8,0))/SUMIFS(22:22,$8:$8,"&gt;="&amp;DATE(YEAR(DN$8)-1,1,1),$8:$8,"&lt;="&amp;EOMONTH(DN$8,-12))-1</f>
        <v/>
      </c>
      <c r="DO25" s="1318">
        <f>SUMIFS(22:22,$8:$8,"&gt;="&amp;DATE(YEAR(DO$8),1,1),$8:$8,"&lt;="&amp;EOMONTH(DO$8,0))/SUMIFS(22:22,$8:$8,"&gt;="&amp;DATE(YEAR(DO$8)-1,1,1),$8:$8,"&lt;="&amp;EOMONTH(DO$8,-12))-1</f>
        <v/>
      </c>
      <c r="DP25" s="1318">
        <f>SUMIFS(22:22,$8:$8,"&gt;="&amp;DATE(YEAR(DP$8),1,1),$8:$8,"&lt;="&amp;EOMONTH(DP$8,0))/SUMIFS(22:22,$8:$8,"&gt;="&amp;DATE(YEAR(DP$8)-1,1,1),$8:$8,"&lt;="&amp;EOMONTH(DP$8,-12))-1</f>
        <v/>
      </c>
      <c r="DQ25" s="1318">
        <f>SUMIFS(22:22,$8:$8,"&gt;="&amp;DATE(YEAR(DQ$8),1,1),$8:$8,"&lt;="&amp;EOMONTH(DQ$8,0))/SUMIFS(22:22,$8:$8,"&gt;="&amp;DATE(YEAR(DQ$8)-1,1,1),$8:$8,"&lt;="&amp;EOMONTH(DQ$8,-12))-1</f>
        <v/>
      </c>
      <c r="DR25" s="1318">
        <f>SUMIFS(22:22,$8:$8,"&gt;="&amp;DATE(YEAR(DR$8),1,1),$8:$8,"&lt;="&amp;EOMONTH(DR$8,0))/SUMIFS(22:22,$8:$8,"&gt;="&amp;DATE(YEAR(DR$8)-1,1,1),$8:$8,"&lt;="&amp;EOMONTH(DR$8,-12))-1</f>
        <v/>
      </c>
      <c r="DS25" s="1318">
        <f>SUMIFS(22:22,$8:$8,"&gt;="&amp;DATE(YEAR(DS$8),1,1),$8:$8,"&lt;="&amp;EOMONTH(DS$8,0))/SUMIFS(22:22,$8:$8,"&gt;="&amp;DATE(YEAR(DS$8)-1,1,1),$8:$8,"&lt;="&amp;EOMONTH(DS$8,-12))-1</f>
        <v/>
      </c>
      <c r="DT25" s="1318">
        <f>SUMIFS(22:22,$8:$8,"&gt;="&amp;DATE(YEAR(DT$8),1,1),$8:$8,"&lt;="&amp;EOMONTH(DT$8,0))/SUMIFS(22:22,$8:$8,"&gt;="&amp;DATE(YEAR(DT$8)-1,1,1),$8:$8,"&lt;="&amp;EOMONTH(DT$8,-12))-1</f>
        <v/>
      </c>
      <c r="DU25" s="1318">
        <f>SUMIFS(22:22,$8:$8,"&gt;="&amp;DATE(YEAR(DU$8),1,1),$8:$8,"&lt;="&amp;EOMONTH(DU$8,0))/SUMIFS(22:22,$8:$8,"&gt;="&amp;DATE(YEAR(DU$8)-1,1,1),$8:$8,"&lt;="&amp;EOMONTH(DU$8,-12))-1</f>
        <v/>
      </c>
      <c r="DV25" s="1318">
        <f>SUMIFS(22:22,$8:$8,"&gt;="&amp;DATE(YEAR(DV$8),1,1),$8:$8,"&lt;="&amp;EOMONTH(DV$8,0))/SUMIFS(22:22,$8:$8,"&gt;="&amp;DATE(YEAR(DV$8)-1,1,1),$8:$8,"&lt;="&amp;EOMONTH(DV$8,-12))-1</f>
        <v/>
      </c>
      <c r="DW25" s="1318">
        <f>SUMIFS(22:22,$8:$8,"&gt;="&amp;DATE(YEAR(DW$8),1,1),$8:$8,"&lt;="&amp;EOMONTH(DW$8,0))/SUMIFS(22:22,$8:$8,"&gt;="&amp;DATE(YEAR(DW$8)-1,1,1),$8:$8,"&lt;="&amp;EOMONTH(DW$8,-12))-1</f>
        <v/>
      </c>
      <c r="DX25" s="1318">
        <f>SUMIFS(22:22,$8:$8,"&gt;="&amp;DATE(YEAR(DX$8),1,1),$8:$8,"&lt;="&amp;EOMONTH(DX$8,0))/SUMIFS(22:22,$8:$8,"&gt;="&amp;DATE(YEAR(DX$8)-1,1,1),$8:$8,"&lt;="&amp;EOMONTH(DX$8,-12))-1</f>
        <v/>
      </c>
      <c r="DY25" s="1318">
        <f>SUMIFS(22:22,$8:$8,"&gt;="&amp;DATE(YEAR(DY$8),1,1),$8:$8,"&lt;="&amp;EOMONTH(DY$8,0))/SUMIFS(22:22,$8:$8,"&gt;="&amp;DATE(YEAR(DY$8)-1,1,1),$8:$8,"&lt;="&amp;EOMONTH(DY$8,-12))-1</f>
        <v/>
      </c>
      <c r="DZ25" s="1318">
        <f>SUMIFS(22:22,$8:$8,"&gt;="&amp;DATE(YEAR(DZ$8),1,1),$8:$8,"&lt;="&amp;EOMONTH(DZ$8,0))/SUMIFS(22:22,$8:$8,"&gt;="&amp;DATE(YEAR(DZ$8)-1,1,1),$8:$8,"&lt;="&amp;EOMONTH(DZ$8,-12))-1</f>
        <v/>
      </c>
      <c r="EA25" s="1318">
        <f>SUMIFS(22:22,$8:$8,"&gt;="&amp;DATE(YEAR(EA$8),1,1),$8:$8,"&lt;="&amp;EOMONTH(EA$8,0))/SUMIFS(22:22,$8:$8,"&gt;="&amp;DATE(YEAR(EA$8)-1,1,1),$8:$8,"&lt;="&amp;EOMONTH(EA$8,-12))-1</f>
        <v/>
      </c>
      <c r="EB25" s="1318">
        <f>SUMIFS(22:22,$8:$8,"&gt;="&amp;DATE(YEAR(EB$8),1,1),$8:$8,"&lt;="&amp;EOMONTH(EB$8,0))/SUMIFS(22:22,$8:$8,"&gt;="&amp;DATE(YEAR(EB$8)-1,1,1),$8:$8,"&lt;="&amp;EOMONTH(EB$8,-12))-1</f>
        <v/>
      </c>
      <c r="EC25" s="1318">
        <f>SUMIFS(22:22,$8:$8,"&gt;="&amp;DATE(YEAR(EC$8),1,1),$8:$8,"&lt;="&amp;EOMONTH(EC$8,0))/SUMIFS(22:22,$8:$8,"&gt;="&amp;DATE(YEAR(EC$8)-1,1,1),$8:$8,"&lt;="&amp;EOMONTH(EC$8,-12))-1</f>
        <v/>
      </c>
      <c r="ED25" s="1318">
        <f>SUMIFS(22:22,$8:$8,"&gt;="&amp;DATE(YEAR(ED$8),1,1),$8:$8,"&lt;="&amp;EOMONTH(ED$8,0))/SUMIFS(22:22,$8:$8,"&gt;="&amp;DATE(YEAR(ED$8)-1,1,1),$8:$8,"&lt;="&amp;EOMONTH(ED$8,-12))-1</f>
        <v/>
      </c>
      <c r="EE25" s="1318">
        <f>SUMIFS(22:22,$8:$8,"&gt;="&amp;DATE(YEAR(EE$8),1,1),$8:$8,"&lt;="&amp;EOMONTH(EE$8,0))/SUMIFS(22:22,$8:$8,"&gt;="&amp;DATE(YEAR(EE$8)-1,1,1),$8:$8,"&lt;="&amp;EOMONTH(EE$8,-12))-1</f>
        <v/>
      </c>
      <c r="EF25" s="1318">
        <f>SUMIFS(22:22,$8:$8,"&gt;="&amp;DATE(YEAR(EF$8),1,1),$8:$8,"&lt;="&amp;EOMONTH(EF$8,0))/SUMIFS(22:22,$8:$8,"&gt;="&amp;DATE(YEAR(EF$8)-1,1,1),$8:$8,"&lt;="&amp;EOMONTH(EF$8,-12))-1</f>
        <v/>
      </c>
      <c r="EG25" s="1318">
        <f>SUMIFS(22:22,$8:$8,"&gt;="&amp;DATE(YEAR(EG$8),1,1),$8:$8,"&lt;="&amp;EOMONTH(EG$8,0))/SUMIFS(22:22,$8:$8,"&gt;="&amp;DATE(YEAR(EG$8)-1,1,1),$8:$8,"&lt;="&amp;EOMONTH(EG$8,-12))-1</f>
        <v/>
      </c>
      <c r="EH25" s="1318">
        <f>SUMIFS(22:22,$8:$8,"&gt;="&amp;DATE(YEAR(EH$8),1,1),$8:$8,"&lt;="&amp;EOMONTH(EH$8,0))/SUMIFS(22:22,$8:$8,"&gt;="&amp;DATE(YEAR(EH$8)-1,1,1),$8:$8,"&lt;="&amp;EOMONTH(EH$8,-12))-1</f>
        <v/>
      </c>
      <c r="EI25" s="1318">
        <f>SUMIFS(22:22,$8:$8,"&gt;="&amp;DATE(YEAR(EI$8),1,1),$8:$8,"&lt;="&amp;EOMONTH(EI$8,0))/SUMIFS(22:22,$8:$8,"&gt;="&amp;DATE(YEAR(EI$8)-1,1,1),$8:$8,"&lt;="&amp;EOMONTH(EI$8,-12))-1</f>
        <v/>
      </c>
      <c r="EJ25" s="1318">
        <f>SUMIFS(22:22,$8:$8,"&gt;="&amp;DATE(YEAR(EJ$8),1,1),$8:$8,"&lt;="&amp;EOMONTH(EJ$8,0))/SUMIFS(22:22,$8:$8,"&gt;="&amp;DATE(YEAR(EJ$8)-1,1,1),$8:$8,"&lt;="&amp;EOMONTH(EJ$8,-12))-1</f>
        <v/>
      </c>
      <c r="EK25" s="1318">
        <f>SUMIFS(22:22,$8:$8,"&gt;="&amp;DATE(YEAR(EK$8),1,1),$8:$8,"&lt;="&amp;EOMONTH(EK$8,0))/SUMIFS(22:22,$8:$8,"&gt;="&amp;DATE(YEAR(EK$8)-1,1,1),$8:$8,"&lt;="&amp;EOMONTH(EK$8,-12))-1</f>
        <v/>
      </c>
      <c r="EL25" s="1318">
        <f>SUMIFS(22:22,$8:$8,"&gt;="&amp;DATE(YEAR(EL$8),1,1),$8:$8,"&lt;="&amp;EOMONTH(EL$8,0))/SUMIFS(22:22,$8:$8,"&gt;="&amp;DATE(YEAR(EL$8)-1,1,1),$8:$8,"&lt;="&amp;EOMONTH(EL$8,-12))-1</f>
        <v/>
      </c>
      <c r="EM25" s="1318">
        <f>SUMIFS(22:22,$8:$8,"&gt;="&amp;DATE(YEAR(EM$8),1,1),$8:$8,"&lt;="&amp;EOMONTH(EM$8,0))/SUMIFS(22:22,$8:$8,"&gt;="&amp;DATE(YEAR(EM$8)-1,1,1),$8:$8,"&lt;="&amp;EOMONTH(EM$8,-12))-1</f>
        <v/>
      </c>
      <c r="EN25" s="1318">
        <f>SUMIFS(22:22,$8:$8,"&gt;="&amp;DATE(YEAR(EN$8),1,1),$8:$8,"&lt;="&amp;EOMONTH(EN$8,0))/SUMIFS(22:22,$8:$8,"&gt;="&amp;DATE(YEAR(EN$8)-1,1,1),$8:$8,"&lt;="&amp;EOMONTH(EN$8,-12))-1</f>
        <v/>
      </c>
      <c r="EO25" s="1318">
        <f>SUMIFS(22:22,$8:$8,"&gt;="&amp;DATE(YEAR(EO$8),1,1),$8:$8,"&lt;="&amp;EOMONTH(EO$8,0))/SUMIFS(22:22,$8:$8,"&gt;="&amp;DATE(YEAR(EO$8)-1,1,1),$8:$8,"&lt;="&amp;EOMONTH(EO$8,-12))-1</f>
        <v/>
      </c>
      <c r="EP25" s="1318">
        <f>SUMIFS(22:22,$8:$8,"&gt;="&amp;DATE(YEAR(EP$8),1,1),$8:$8,"&lt;="&amp;EOMONTH(EP$8,0))/SUMIFS(22:22,$8:$8,"&gt;="&amp;DATE(YEAR(EP$8)-1,1,1),$8:$8,"&lt;="&amp;EOMONTH(EP$8,-12))-1</f>
        <v/>
      </c>
      <c r="EQ25" s="1318">
        <f>SUMIFS(22:22,$8:$8,"&gt;="&amp;DATE(YEAR(EQ$8),1,1),$8:$8,"&lt;="&amp;EOMONTH(EQ$8,0))/SUMIFS(22:22,$8:$8,"&gt;="&amp;DATE(YEAR(EQ$8)-1,1,1),$8:$8,"&lt;="&amp;EOMONTH(EQ$8,-12))-1</f>
        <v/>
      </c>
      <c r="ER25" s="1318">
        <f>SUMIFS(22:22,$8:$8,"&gt;="&amp;DATE(YEAR(ER$8),1,1),$8:$8,"&lt;="&amp;EOMONTH(ER$8,0))/SUMIFS(22:22,$8:$8,"&gt;="&amp;DATE(YEAR(ER$8)-1,1,1),$8:$8,"&lt;="&amp;EOMONTH(ER$8,-12))-1</f>
        <v/>
      </c>
      <c r="ES25" s="1318">
        <f>SUMIFS(22:22,$8:$8,"&gt;="&amp;DATE(YEAR(ES$8),1,1),$8:$8,"&lt;="&amp;EOMONTH(ES$8,0))/SUMIFS(22:22,$8:$8,"&gt;="&amp;DATE(YEAR(ES$8)-1,1,1),$8:$8,"&lt;="&amp;EOMONTH(ES$8,-12))-1</f>
        <v/>
      </c>
      <c r="ET25" s="1318">
        <f>SUMIFS(22:22,$8:$8,"&gt;="&amp;DATE(YEAR(ET$8),1,1),$8:$8,"&lt;="&amp;EOMONTH(ET$8,0))/SUMIFS(22:22,$8:$8,"&gt;="&amp;DATE(YEAR(ET$8)-1,1,1),$8:$8,"&lt;="&amp;EOMONTH(ET$8,-12))-1</f>
        <v/>
      </c>
      <c r="EU25" s="1318">
        <f>SUMIFS(22:22,$8:$8,"&gt;="&amp;DATE(YEAR(EU$8),1,1),$8:$8,"&lt;="&amp;EOMONTH(EU$8,0))/SUMIFS(22:22,$8:$8,"&gt;="&amp;DATE(YEAR(EU$8)-1,1,1),$8:$8,"&lt;="&amp;EOMONTH(EU$8,-12))-1</f>
        <v/>
      </c>
      <c r="EV25" s="1318">
        <f>SUMIFS(22:22,$8:$8,"&gt;="&amp;DATE(YEAR(EV$8),1,1),$8:$8,"&lt;="&amp;EOMONTH(EV$8,0))/SUMIFS(22:22,$8:$8,"&gt;="&amp;DATE(YEAR(EV$8)-1,1,1),$8:$8,"&lt;="&amp;EOMONTH(EV$8,-12))-1</f>
        <v/>
      </c>
      <c r="EW25" s="1318">
        <f>SUMIFS(22:22,$8:$8,"&gt;="&amp;DATE(YEAR(EW$8),1,1),$8:$8,"&lt;="&amp;EOMONTH(EW$8,0))/SUMIFS(22:22,$8:$8,"&gt;="&amp;DATE(YEAR(EW$8)-1,1,1),$8:$8,"&lt;="&amp;EOMONTH(EW$8,-12))-1</f>
        <v/>
      </c>
      <c r="EX25" s="1318">
        <f>SUMIFS(22:22,$8:$8,"&gt;="&amp;DATE(YEAR(EX$8),1,1),$8:$8,"&lt;="&amp;EOMONTH(EX$8,0))/SUMIFS(22:22,$8:$8,"&gt;="&amp;DATE(YEAR(EX$8)-1,1,1),$8:$8,"&lt;="&amp;EOMONTH(EX$8,-12))-1</f>
        <v/>
      </c>
      <c r="EY25" s="1318">
        <f>SUMIFS(22:22,$8:$8,"&gt;="&amp;DATE(YEAR(EY$8),1,1),$8:$8,"&lt;="&amp;EOMONTH(EY$8,0))/SUMIFS(22:22,$8:$8,"&gt;="&amp;DATE(YEAR(EY$8)-1,1,1),$8:$8,"&lt;="&amp;EOMONTH(EY$8,-12))-1</f>
        <v/>
      </c>
      <c r="EZ25" s="1318">
        <f>SUMIFS(22:22,$8:$8,"&gt;="&amp;DATE(YEAR(EZ$8),1,1),$8:$8,"&lt;="&amp;EOMONTH(EZ$8,0))/SUMIFS(22:22,$8:$8,"&gt;="&amp;DATE(YEAR(EZ$8)-1,1,1),$8:$8,"&lt;="&amp;EOMONTH(EZ$8,-12))-1</f>
        <v/>
      </c>
      <c r="FA25" s="1318">
        <f>SUMIFS(22:22,$8:$8,"&gt;="&amp;DATE(YEAR(FA$8),1,1),$8:$8,"&lt;="&amp;EOMONTH(FA$8,0))/SUMIFS(22:22,$8:$8,"&gt;="&amp;DATE(YEAR(FA$8)-1,1,1),$8:$8,"&lt;="&amp;EOMONTH(FA$8,-12))-1</f>
        <v/>
      </c>
      <c r="FB25" s="1318">
        <f>SUMIFS(22:22,$8:$8,"&gt;="&amp;DATE(YEAR(FB$8),1,1),$8:$8,"&lt;="&amp;EOMONTH(FB$8,0))/SUMIFS(22:22,$8:$8,"&gt;="&amp;DATE(YEAR(FB$8)-1,1,1),$8:$8,"&lt;="&amp;EOMONTH(FB$8,-12))-1</f>
        <v/>
      </c>
      <c r="FC25" s="1318">
        <f>SUMIFS(22:22,$8:$8,"&gt;="&amp;DATE(YEAR(FC$8),1,1),$8:$8,"&lt;="&amp;EOMONTH(FC$8,0))/SUMIFS(22:22,$8:$8,"&gt;="&amp;DATE(YEAR(FC$8)-1,1,1),$8:$8,"&lt;="&amp;EOMONTH(FC$8,-12))-1</f>
        <v/>
      </c>
      <c r="FD25" s="1318">
        <f>SUMIFS(22:22,$8:$8,"&gt;="&amp;DATE(YEAR(FD$8),1,1),$8:$8,"&lt;="&amp;EOMONTH(FD$8,0))/SUMIFS(22:22,$8:$8,"&gt;="&amp;DATE(YEAR(FD$8)-1,1,1),$8:$8,"&lt;="&amp;EOMONTH(FD$8,-12))-1</f>
        <v/>
      </c>
      <c r="FE25" s="1318">
        <f>SUMIFS(22:22,$8:$8,"&gt;="&amp;DATE(YEAR(FE$8),1,1),$8:$8,"&lt;="&amp;EOMONTH(FE$8,0))/SUMIFS(22:22,$8:$8,"&gt;="&amp;DATE(YEAR(FE$8)-1,1,1),$8:$8,"&lt;="&amp;EOMONTH(FE$8,-12))-1</f>
        <v/>
      </c>
      <c r="FF25" s="1318">
        <f>SUMIFS(22:22,$8:$8,"&gt;="&amp;DATE(YEAR(FF$8),1,1),$8:$8,"&lt;="&amp;EOMONTH(FF$8,0))/SUMIFS(22:22,$8:$8,"&gt;="&amp;DATE(YEAR(FF$8)-1,1,1),$8:$8,"&lt;="&amp;EOMONTH(FF$8,-12))-1</f>
        <v/>
      </c>
      <c r="FG25" s="1318">
        <f>SUMIFS(22:22,$8:$8,"&gt;="&amp;DATE(YEAR(FG$8),1,1),$8:$8,"&lt;="&amp;EOMONTH(FG$8,0))/SUMIFS(22:22,$8:$8,"&gt;="&amp;DATE(YEAR(FG$8)-1,1,1),$8:$8,"&lt;="&amp;EOMONTH(FG$8,-12))-1</f>
        <v/>
      </c>
      <c r="FH25" s="1318">
        <f>SUMIFS(22:22,$8:$8,"&gt;="&amp;DATE(YEAR(FH$8),1,1),$8:$8,"&lt;="&amp;EOMONTH(FH$8,0))/SUMIFS(22:22,$8:$8,"&gt;="&amp;DATE(YEAR(FH$8)-1,1,1),$8:$8,"&lt;="&amp;EOMONTH(FH$8,-12))-1</f>
        <v/>
      </c>
      <c r="FI25" s="1318">
        <f>SUMIFS(22:22,$8:$8,"&gt;="&amp;DATE(YEAR(FI$8),1,1),$8:$8,"&lt;="&amp;EOMONTH(FI$8,0))/SUMIFS(22:22,$8:$8,"&gt;="&amp;DATE(YEAR(FI$8)-1,1,1),$8:$8,"&lt;="&amp;EOMONTH(FI$8,-12))-1</f>
        <v/>
      </c>
      <c r="FJ25" s="1318">
        <f>SUMIFS(22:22,$8:$8,"&gt;="&amp;DATE(YEAR(FJ$8),1,1),$8:$8,"&lt;="&amp;EOMONTH(FJ$8,0))/SUMIFS(22:22,$8:$8,"&gt;="&amp;DATE(YEAR(FJ$8)-1,1,1),$8:$8,"&lt;="&amp;EOMONTH(FJ$8,-12))-1</f>
        <v/>
      </c>
      <c r="FK25" s="1318">
        <f>SUMIFS(22:22,$8:$8,"&gt;="&amp;DATE(YEAR(FK$8),1,1),$8:$8,"&lt;="&amp;EOMONTH(FK$8,0))/SUMIFS(22:22,$8:$8,"&gt;="&amp;DATE(YEAR(FK$8)-1,1,1),$8:$8,"&lt;="&amp;EOMONTH(FK$8,-12))-1</f>
        <v/>
      </c>
      <c r="FL25" s="1318">
        <f>SUMIFS(22:22,$8:$8,"&gt;="&amp;DATE(YEAR(FL$8),1,1),$8:$8,"&lt;="&amp;EOMONTH(FL$8,0))/SUMIFS(22:22,$8:$8,"&gt;="&amp;DATE(YEAR(FL$8)-1,1,1),$8:$8,"&lt;="&amp;EOMONTH(FL$8,-12))-1</f>
        <v/>
      </c>
      <c r="FM25" s="1318">
        <f>SUMIFS(22:22,$8:$8,"&gt;="&amp;DATE(YEAR(FM$8),1,1),$8:$8,"&lt;="&amp;EOMONTH(FM$8,0))/SUMIFS(22:22,$8:$8,"&gt;="&amp;DATE(YEAR(FM$8)-1,1,1),$8:$8,"&lt;="&amp;EOMONTH(FM$8,-12))-1</f>
        <v/>
      </c>
      <c r="FN25" s="1318">
        <f>SUMIFS(22:22,$8:$8,"&gt;="&amp;DATE(YEAR(FN$8),1,1),$8:$8,"&lt;="&amp;EOMONTH(FN$8,0))/SUMIFS(22:22,$8:$8,"&gt;="&amp;DATE(YEAR(FN$8)-1,1,1),$8:$8,"&lt;="&amp;EOMONTH(FN$8,-12))-1</f>
        <v/>
      </c>
      <c r="FO25" s="1318">
        <f>SUMIFS(22:22,$8:$8,"&gt;="&amp;DATE(YEAR(FO$8),1,1),$8:$8,"&lt;="&amp;EOMONTH(FO$8,0))/SUMIFS(22:22,$8:$8,"&gt;="&amp;DATE(YEAR(FO$8)-1,1,1),$8:$8,"&lt;="&amp;EOMONTH(FO$8,-12))-1</f>
        <v/>
      </c>
      <c r="FP25" s="1318">
        <f>SUMIFS(22:22,$8:$8,"&gt;="&amp;DATE(YEAR(FP$8),1,1),$8:$8,"&lt;="&amp;EOMONTH(FP$8,0))/SUMIFS(22:22,$8:$8,"&gt;="&amp;DATE(YEAR(FP$8)-1,1,1),$8:$8,"&lt;="&amp;EOMONTH(FP$8,-12))-1</f>
        <v/>
      </c>
      <c r="FQ25" s="1318">
        <f>SUMIFS(22:22,$8:$8,"&gt;="&amp;DATE(YEAR(FQ$8),1,1),$8:$8,"&lt;="&amp;EOMONTH(FQ$8,0))/SUMIFS(22:22,$8:$8,"&gt;="&amp;DATE(YEAR(FQ$8)-1,1,1),$8:$8,"&lt;="&amp;EOMONTH(FQ$8,-12))-1</f>
        <v/>
      </c>
      <c r="FR25" s="1318">
        <f>SUMIFS(22:22,$8:$8,"&gt;="&amp;DATE(YEAR(FR$8),1,1),$8:$8,"&lt;="&amp;EOMONTH(FR$8,0))/SUMIFS(22:22,$8:$8,"&gt;="&amp;DATE(YEAR(FR$8)-1,1,1),$8:$8,"&lt;="&amp;EOMONTH(FR$8,-12))-1</f>
        <v/>
      </c>
      <c r="FS25" s="1318">
        <f>SUMIFS(22:22,$8:$8,"&gt;="&amp;DATE(YEAR(FS$8),1,1),$8:$8,"&lt;="&amp;EOMONTH(FS$8,0))/SUMIFS(22:22,$8:$8,"&gt;="&amp;DATE(YEAR(FS$8)-1,1,1),$8:$8,"&lt;="&amp;EOMONTH(FS$8,-12))-1</f>
        <v/>
      </c>
      <c r="FT25" s="1318">
        <f>SUMIFS(22:22,$8:$8,"&gt;="&amp;DATE(YEAR(FT$8),1,1),$8:$8,"&lt;="&amp;EOMONTH(FT$8,0))/SUMIFS(22:22,$8:$8,"&gt;="&amp;DATE(YEAR(FT$8)-1,1,1),$8:$8,"&lt;="&amp;EOMONTH(FT$8,-12))-1</f>
        <v/>
      </c>
      <c r="FU25" s="1318">
        <f>SUMIFS(22:22,$8:$8,"&gt;="&amp;DATE(YEAR(FU$8),1,1),$8:$8,"&lt;="&amp;EOMONTH(FU$8,0))/SUMIFS(22:22,$8:$8,"&gt;="&amp;DATE(YEAR(FU$8)-1,1,1),$8:$8,"&lt;="&amp;EOMONTH(FU$8,-12))-1</f>
        <v/>
      </c>
      <c r="FV25" s="1318">
        <f>SUMIFS(22:22,$8:$8,"&gt;="&amp;DATE(YEAR(FV$8),1,1),$8:$8,"&lt;="&amp;EOMONTH(FV$8,0))/SUMIFS(22:22,$8:$8,"&gt;="&amp;DATE(YEAR(FV$8)-1,1,1),$8:$8,"&lt;="&amp;EOMONTH(FV$8,-12))-1</f>
        <v/>
      </c>
      <c r="FW25" s="1318">
        <f>SUMIFS(22:22,$8:$8,"&gt;="&amp;DATE(YEAR(FW$8),1,1),$8:$8,"&lt;="&amp;EOMONTH(FW$8,0))/SUMIFS(22:22,$8:$8,"&gt;="&amp;DATE(YEAR(FW$8)-1,1,1),$8:$8,"&lt;="&amp;EOMONTH(FW$8,-12))-1</f>
        <v/>
      </c>
      <c r="FX25" s="1318">
        <f>SUMIFS(22:22,$8:$8,"&gt;="&amp;DATE(YEAR(FX$8),1,1),$8:$8,"&lt;="&amp;EOMONTH(FX$8,0))/SUMIFS(22:22,$8:$8,"&gt;="&amp;DATE(YEAR(FX$8)-1,1,1),$8:$8,"&lt;="&amp;EOMONTH(FX$8,-12))-1</f>
        <v/>
      </c>
      <c r="FY25" s="1318">
        <f>SUMIFS(22:22,$8:$8,"&gt;="&amp;DATE(YEAR(FY$8),1,1),$8:$8,"&lt;="&amp;EOMONTH(FY$8,0))/SUMIFS(22:22,$8:$8,"&gt;="&amp;DATE(YEAR(FY$8)-1,1,1),$8:$8,"&lt;="&amp;EOMONTH(FY$8,-12))-1</f>
        <v/>
      </c>
      <c r="FZ25" s="1318">
        <f>SUMIFS(22:22,$8:$8,"&gt;="&amp;DATE(YEAR(FZ$8),1,1),$8:$8,"&lt;="&amp;EOMONTH(FZ$8,0))/SUMIFS(22:22,$8:$8,"&gt;="&amp;DATE(YEAR(FZ$8)-1,1,1),$8:$8,"&lt;="&amp;EOMONTH(FZ$8,-12))-1</f>
        <v/>
      </c>
      <c r="GA25" s="1318">
        <f>SUMIFS(22:22,$8:$8,"&gt;="&amp;DATE(YEAR(GA$8),1,1),$8:$8,"&lt;="&amp;EOMONTH(GA$8,0))/SUMIFS(22:22,$8:$8,"&gt;="&amp;DATE(YEAR(GA$8)-1,1,1),$8:$8,"&lt;="&amp;EOMONTH(GA$8,-12))-1</f>
        <v/>
      </c>
      <c r="GB25" s="1318">
        <f>SUMIFS(22:22,$8:$8,"&gt;="&amp;DATE(YEAR(GB$8),1,1),$8:$8,"&lt;="&amp;EOMONTH(GB$8,0))/SUMIFS(22:22,$8:$8,"&gt;="&amp;DATE(YEAR(GB$8)-1,1,1),$8:$8,"&lt;="&amp;EOMONTH(GB$8,-12))-1</f>
        <v/>
      </c>
      <c r="GC25" s="1318">
        <f>SUMIFS(22:22,$8:$8,"&gt;="&amp;DATE(YEAR(GC$8),1,1),$8:$8,"&lt;="&amp;EOMONTH(GC$8,0))/SUMIFS(22:22,$8:$8,"&gt;="&amp;DATE(YEAR(GC$8)-1,1,1),$8:$8,"&lt;="&amp;EOMONTH(GC$8,-12))-1</f>
        <v/>
      </c>
      <c r="GD25" s="1318">
        <f>SUMIFS(22:22,$8:$8,"&gt;="&amp;DATE(YEAR(GD$8),1,1),$8:$8,"&lt;="&amp;EOMONTH(GD$8,0))/SUMIFS(22:22,$8:$8,"&gt;="&amp;DATE(YEAR(GD$8)-1,1,1),$8:$8,"&lt;="&amp;EOMONTH(GD$8,-12))-1</f>
        <v/>
      </c>
      <c r="GE25" s="1318">
        <f>SUMIFS(22:22,$8:$8,"&gt;="&amp;DATE(YEAR(GE$8),1,1),$8:$8,"&lt;="&amp;EOMONTH(GE$8,0))/SUMIFS(22:22,$8:$8,"&gt;="&amp;DATE(YEAR(GE$8)-1,1,1),$8:$8,"&lt;="&amp;EOMONTH(GE$8,-12))-1</f>
        <v/>
      </c>
      <c r="GF25" s="1318">
        <f>SUMIFS(22:22,$8:$8,"&gt;="&amp;DATE(YEAR(GF$8),1,1),$8:$8,"&lt;="&amp;EOMONTH(GF$8,0))/SUMIFS(22:22,$8:$8,"&gt;="&amp;DATE(YEAR(GF$8)-1,1,1),$8:$8,"&lt;="&amp;EOMONTH(GF$8,-12))-1</f>
        <v/>
      </c>
      <c r="GG25" s="1318">
        <f>SUMIFS(22:22,$8:$8,"&gt;="&amp;DATE(YEAR(GG$8),1,1),$8:$8,"&lt;="&amp;EOMONTH(GG$8,0))/SUMIFS(22:22,$8:$8,"&gt;="&amp;DATE(YEAR(GG$8)-1,1,1),$8:$8,"&lt;="&amp;EOMONTH(GG$8,-12))-1</f>
        <v/>
      </c>
      <c r="GH25" s="1318">
        <f>SUMIFS(22:22,$8:$8,"&gt;="&amp;DATE(YEAR(GH$8),1,1),$8:$8,"&lt;="&amp;EOMONTH(GH$8,0))/SUMIFS(22:22,$8:$8,"&gt;="&amp;DATE(YEAR(GH$8)-1,1,1),$8:$8,"&lt;="&amp;EOMONTH(GH$8,-12))-1</f>
        <v/>
      </c>
      <c r="GI25" s="1318">
        <f>SUMIFS(22:22,$8:$8,"&gt;="&amp;DATE(YEAR(GI$8),1,1),$8:$8,"&lt;="&amp;EOMONTH(GI$8,0))/SUMIFS(22:22,$8:$8,"&gt;="&amp;DATE(YEAR(GI$8)-1,1,1),$8:$8,"&lt;="&amp;EOMONTH(GI$8,-12))-1</f>
        <v/>
      </c>
      <c r="GJ25" s="1318">
        <f>SUMIFS(22:22,$8:$8,"&gt;="&amp;DATE(YEAR(GJ$8),1,1),$8:$8,"&lt;="&amp;EOMONTH(GJ$8,0))/SUMIFS(22:22,$8:$8,"&gt;="&amp;DATE(YEAR(GJ$8)-1,1,1),$8:$8,"&lt;="&amp;EOMONTH(GJ$8,-12))-1</f>
        <v/>
      </c>
      <c r="GK25" s="1318">
        <f>SUMIFS(22:22,$8:$8,"&gt;="&amp;DATE(YEAR(GK$8),1,1),$8:$8,"&lt;="&amp;EOMONTH(GK$8,0))/SUMIFS(22:22,$8:$8,"&gt;="&amp;DATE(YEAR(GK$8)-1,1,1),$8:$8,"&lt;="&amp;EOMONTH(GK$8,-12))-1</f>
        <v/>
      </c>
      <c r="GL25" s="1318">
        <f>SUMIFS(22:22,$8:$8,"&gt;="&amp;DATE(YEAR(GL$8),1,1),$8:$8,"&lt;="&amp;EOMONTH(GL$8,0))/SUMIFS(22:22,$8:$8,"&gt;="&amp;DATE(YEAR(GL$8)-1,1,1),$8:$8,"&lt;="&amp;EOMONTH(GL$8,-12))-1</f>
        <v/>
      </c>
      <c r="GM25" s="1318">
        <f>SUMIFS(22:22,$8:$8,"&gt;="&amp;DATE(YEAR(GM$8),1,1),$8:$8,"&lt;="&amp;EOMONTH(GM$8,0))/SUMIFS(22:22,$8:$8,"&gt;="&amp;DATE(YEAR(GM$8)-1,1,1),$8:$8,"&lt;="&amp;EOMONTH(GM$8,-12))-1</f>
        <v/>
      </c>
      <c r="GN25" s="1318">
        <f>SUMIFS(22:22,$8:$8,"&gt;="&amp;DATE(YEAR(GN$8),1,1),$8:$8,"&lt;="&amp;EOMONTH(GN$8,0))/SUMIFS(22:22,$8:$8,"&gt;="&amp;DATE(YEAR(GN$8)-1,1,1),$8:$8,"&lt;="&amp;EOMONTH(GN$8,-12))-1</f>
        <v/>
      </c>
      <c r="GO25" s="1318">
        <f>SUMIFS(22:22,$8:$8,"&gt;="&amp;DATE(YEAR(GO$8),1,1),$8:$8,"&lt;="&amp;EOMONTH(GO$8,0))/SUMIFS(22:22,$8:$8,"&gt;="&amp;DATE(YEAR(GO$8)-1,1,1),$8:$8,"&lt;="&amp;EOMONTH(GO$8,-12))-1</f>
        <v/>
      </c>
      <c r="GP25" s="1318">
        <f>SUMIFS(22:22,$8:$8,"&gt;="&amp;DATE(YEAR(GP$8),1,1),$8:$8,"&lt;="&amp;EOMONTH(GP$8,0))/SUMIFS(22:22,$8:$8,"&gt;="&amp;DATE(YEAR(GP$8)-1,1,1),$8:$8,"&lt;="&amp;EOMONTH(GP$8,-12))-1</f>
        <v/>
      </c>
      <c r="GQ25" s="1318">
        <f>SUMIFS(22:22,$8:$8,"&gt;="&amp;DATE(YEAR(GQ$8),1,1),$8:$8,"&lt;="&amp;EOMONTH(GQ$8,0))/SUMIFS(22:22,$8:$8,"&gt;="&amp;DATE(YEAR(GQ$8)-1,1,1),$8:$8,"&lt;="&amp;EOMONTH(GQ$8,-12))-1</f>
        <v/>
      </c>
      <c r="GR25" s="1318">
        <f>SUMIFS(22:22,$8:$8,"&gt;="&amp;DATE(YEAR(GR$8),1,1),$8:$8,"&lt;="&amp;EOMONTH(GR$8,0))/SUMIFS(22:22,$8:$8,"&gt;="&amp;DATE(YEAR(GR$8)-1,1,1),$8:$8,"&lt;="&amp;EOMONTH(GR$8,-12))-1</f>
        <v/>
      </c>
      <c r="GS25" s="1318">
        <f>SUMIFS(22:22,$8:$8,"&gt;="&amp;DATE(YEAR(GS$8),1,1),$8:$8,"&lt;="&amp;EOMONTH(GS$8,0))/SUMIFS(22:22,$8:$8,"&gt;="&amp;DATE(YEAR(GS$8)-1,1,1),$8:$8,"&lt;="&amp;EOMONTH(GS$8,-12))-1</f>
        <v/>
      </c>
      <c r="GT25" s="1318">
        <f>SUMIFS(22:22,$8:$8,"&gt;="&amp;DATE(YEAR(GT$8),1,1),$8:$8,"&lt;="&amp;EOMONTH(GT$8,0))/SUMIFS(22:22,$8:$8,"&gt;="&amp;DATE(YEAR(GT$8)-1,1,1),$8:$8,"&lt;="&amp;EOMONTH(GT$8,-12))-1</f>
        <v/>
      </c>
      <c r="GU25" s="1318">
        <f>SUMIFS(22:22,$8:$8,"&gt;="&amp;DATE(YEAR(GU$8),1,1),$8:$8,"&lt;="&amp;EOMONTH(GU$8,0))/SUMIFS(22:22,$8:$8,"&gt;="&amp;DATE(YEAR(GU$8)-1,1,1),$8:$8,"&lt;="&amp;EOMONTH(GU$8,-12))-1</f>
        <v/>
      </c>
      <c r="GV25" s="1318">
        <f>SUMIFS(22:22,$8:$8,"&gt;="&amp;DATE(YEAR(GV$8),1,1),$8:$8,"&lt;="&amp;EOMONTH(GV$8,0))/SUMIFS(22:22,$8:$8,"&gt;="&amp;DATE(YEAR(GV$8)-1,1,1),$8:$8,"&lt;="&amp;EOMONTH(GV$8,-12))-1</f>
        <v/>
      </c>
      <c r="GW25" s="1318">
        <f>SUMIFS(22:22,$8:$8,"&gt;="&amp;DATE(YEAR(GW$8),1,1),$8:$8,"&lt;="&amp;EOMONTH(GW$8,0))/SUMIFS(22:22,$8:$8,"&gt;="&amp;DATE(YEAR(GW$8)-1,1,1),$8:$8,"&lt;="&amp;EOMONTH(GW$8,-12))-1</f>
        <v/>
      </c>
      <c r="GX25" s="1318">
        <f>SUMIFS(22:22,$8:$8,"&gt;="&amp;DATE(YEAR(GX$8),1,1),$8:$8,"&lt;="&amp;EOMONTH(GX$8,0))/SUMIFS(22:22,$8:$8,"&gt;="&amp;DATE(YEAR(GX$8)-1,1,1),$8:$8,"&lt;="&amp;EOMONTH(GX$8,-12))-1</f>
        <v/>
      </c>
      <c r="GY25" s="1318">
        <f>SUMIFS(22:22,$8:$8,"&gt;="&amp;DATE(YEAR(GY$8),1,1),$8:$8,"&lt;="&amp;EOMONTH(GY$8,0))/SUMIFS(22:22,$8:$8,"&gt;="&amp;DATE(YEAR(GY$8)-1,1,1),$8:$8,"&lt;="&amp;EOMONTH(GY$8,-12))-1</f>
        <v/>
      </c>
      <c r="GZ25" s="1318">
        <f>SUMIFS(22:22,$8:$8,"&gt;="&amp;DATE(YEAR(GZ$8),1,1),$8:$8,"&lt;="&amp;EOMONTH(GZ$8,0))/SUMIFS(22:22,$8:$8,"&gt;="&amp;DATE(YEAR(GZ$8)-1,1,1),$8:$8,"&lt;="&amp;EOMONTH(GZ$8,-12))-1</f>
        <v/>
      </c>
      <c r="HA25" s="1318">
        <f>SUMIFS(22:22,$8:$8,"&gt;="&amp;DATE(YEAR(HA$8),1,1),$8:$8,"&lt;="&amp;EOMONTH(HA$8,0))/SUMIFS(22:22,$8:$8,"&gt;="&amp;DATE(YEAR(HA$8)-1,1,1),$8:$8,"&lt;="&amp;EOMONTH(HA$8,-12))-1</f>
        <v/>
      </c>
      <c r="HB25" s="1318">
        <f>SUMIFS(22:22,$8:$8,"&gt;="&amp;DATE(YEAR(HB$8),1,1),$8:$8,"&lt;="&amp;EOMONTH(HB$8,0))/SUMIFS(22:22,$8:$8,"&gt;="&amp;DATE(YEAR(HB$8)-1,1,1),$8:$8,"&lt;="&amp;EOMONTH(HB$8,-12))-1</f>
        <v/>
      </c>
      <c r="HC25" s="1318">
        <f>SUMIFS(22:22,$8:$8,"&gt;="&amp;DATE(YEAR(HC$8),1,1),$8:$8,"&lt;="&amp;EOMONTH(HC$8,0))/SUMIFS(22:22,$8:$8,"&gt;="&amp;DATE(YEAR(HC$8)-1,1,1),$8:$8,"&lt;="&amp;EOMONTH(HC$8,-12))-1</f>
        <v/>
      </c>
      <c r="HD25" s="1318">
        <f>SUMIFS(22:22,$8:$8,"&gt;="&amp;DATE(YEAR(HD$8),1,1),$8:$8,"&lt;="&amp;EOMONTH(HD$8,0))/SUMIFS(22:22,$8:$8,"&gt;="&amp;DATE(YEAR(HD$8)-1,1,1),$8:$8,"&lt;="&amp;EOMONTH(HD$8,-12))-1</f>
        <v/>
      </c>
      <c r="HE25" s="1318">
        <f>SUMIFS(22:22,$8:$8,"&gt;="&amp;DATE(YEAR(HE$8),1,1),$8:$8,"&lt;="&amp;EOMONTH(HE$8,0))/SUMIFS(22:22,$8:$8,"&gt;="&amp;DATE(YEAR(HE$8)-1,1,1),$8:$8,"&lt;="&amp;EOMONTH(HE$8,-12))-1</f>
        <v/>
      </c>
      <c r="HF25" s="1318">
        <f>SUMIFS(22:22,$8:$8,"&gt;="&amp;DATE(YEAR(HF$8),1,1),$8:$8,"&lt;="&amp;EOMONTH(HF$8,0))/SUMIFS(22:22,$8:$8,"&gt;="&amp;DATE(YEAR(HF$8)-1,1,1),$8:$8,"&lt;="&amp;EOMONTH(HF$8,-12))-1</f>
        <v/>
      </c>
      <c r="HG25" s="1318">
        <f>SUMIFS(22:22,$8:$8,"&gt;="&amp;DATE(YEAR(HG$8),1,1),$8:$8,"&lt;="&amp;EOMONTH(HG$8,0))/SUMIFS(22:22,$8:$8,"&gt;="&amp;DATE(YEAR(HG$8)-1,1,1),$8:$8,"&lt;="&amp;EOMONTH(HG$8,-12))-1</f>
        <v/>
      </c>
      <c r="HH25" s="1318">
        <f>SUMIFS(22:22,$8:$8,"&gt;="&amp;DATE(YEAR(HH$8),1,1),$8:$8,"&lt;="&amp;EOMONTH(HH$8,0))/SUMIFS(22:22,$8:$8,"&gt;="&amp;DATE(YEAR(HH$8)-1,1,1),$8:$8,"&lt;="&amp;EOMONTH(HH$8,-12))-1</f>
        <v/>
      </c>
      <c r="HI25" s="1318">
        <f>SUMIFS(22:22,$8:$8,"&gt;="&amp;DATE(YEAR(HI$8),1,1),$8:$8,"&lt;="&amp;EOMONTH(HI$8,0))/SUMIFS(22:22,$8:$8,"&gt;="&amp;DATE(YEAR(HI$8)-1,1,1),$8:$8,"&lt;="&amp;EOMONTH(HI$8,-12))-1</f>
        <v/>
      </c>
      <c r="HJ25" s="1318">
        <f>SUMIFS(22:22,$8:$8,"&gt;="&amp;DATE(YEAR(HJ$8),1,1),$8:$8,"&lt;="&amp;EOMONTH(HJ$8,0))/SUMIFS(22:22,$8:$8,"&gt;="&amp;DATE(YEAR(HJ$8)-1,1,1),$8:$8,"&lt;="&amp;EOMONTH(HJ$8,-12))-1</f>
        <v/>
      </c>
      <c r="HK25" s="1318">
        <f>SUMIFS(22:22,$8:$8,"&gt;="&amp;DATE(YEAR(HK$8),1,1),$8:$8,"&lt;="&amp;EOMONTH(HK$8,0))/SUMIFS(22:22,$8:$8,"&gt;="&amp;DATE(YEAR(HK$8)-1,1,1),$8:$8,"&lt;="&amp;EOMONTH(HK$8,-12))-1</f>
        <v/>
      </c>
      <c r="HL25" s="1318">
        <f>SUMIFS(22:22,$8:$8,"&gt;="&amp;DATE(YEAR(HL$8),1,1),$8:$8,"&lt;="&amp;EOMONTH(HL$8,0))/SUMIFS(22:22,$8:$8,"&gt;="&amp;DATE(YEAR(HL$8)-1,1,1),$8:$8,"&lt;="&amp;EOMONTH(HL$8,-12))-1</f>
        <v/>
      </c>
      <c r="HM25" s="1318">
        <f>SUMIFS(22:22,$8:$8,"&gt;="&amp;DATE(YEAR(HM$8),1,1),$8:$8,"&lt;="&amp;EOMONTH(HM$8,0))/SUMIFS(22:22,$8:$8,"&gt;="&amp;DATE(YEAR(HM$8)-1,1,1),$8:$8,"&lt;="&amp;EOMONTH(HM$8,-12))-1</f>
        <v/>
      </c>
      <c r="HN25" s="1318">
        <f>SUMIFS(22:22,$8:$8,"&gt;="&amp;DATE(YEAR(HN$8),1,1),$8:$8,"&lt;="&amp;EOMONTH(HN$8,0))/SUMIFS(22:22,$8:$8,"&gt;="&amp;DATE(YEAR(HN$8)-1,1,1),$8:$8,"&lt;="&amp;EOMONTH(HN$8,-12))-1</f>
        <v/>
      </c>
      <c r="HO25" s="1318">
        <f>SUMIFS(22:22,$8:$8,"&gt;="&amp;DATE(YEAR(HO$8),1,1),$8:$8,"&lt;="&amp;EOMONTH(HO$8,0))/SUMIFS(22:22,$8:$8,"&gt;="&amp;DATE(YEAR(HO$8)-1,1,1),$8:$8,"&lt;="&amp;EOMONTH(HO$8,-12))-1</f>
        <v/>
      </c>
      <c r="HP25" s="1318">
        <f>SUMIFS(22:22,$8:$8,"&gt;="&amp;DATE(YEAR(HP$8),1,1),$8:$8,"&lt;="&amp;EOMONTH(HP$8,0))/SUMIFS(22:22,$8:$8,"&gt;="&amp;DATE(YEAR(HP$8)-1,1,1),$8:$8,"&lt;="&amp;EOMONTH(HP$8,-12))-1</f>
        <v/>
      </c>
      <c r="HQ25" s="1318">
        <f>SUMIFS(22:22,$8:$8,"&gt;="&amp;DATE(YEAR(HQ$8),1,1),$8:$8,"&lt;="&amp;EOMONTH(HQ$8,0))/SUMIFS(22:22,$8:$8,"&gt;="&amp;DATE(YEAR(HQ$8)-1,1,1),$8:$8,"&lt;="&amp;EOMONTH(HQ$8,-12))-1</f>
        <v/>
      </c>
      <c r="HR25" s="1318">
        <f>SUMIFS(22:22,$8:$8,"&gt;="&amp;DATE(YEAR(HR$8),1,1),$8:$8,"&lt;="&amp;EOMONTH(HR$8,0))/SUMIFS(22:22,$8:$8,"&gt;="&amp;DATE(YEAR(HR$8)-1,1,1),$8:$8,"&lt;="&amp;EOMONTH(HR$8,-12))-1</f>
        <v/>
      </c>
      <c r="HS25" s="1318">
        <f>SUMIFS(22:22,$8:$8,"&gt;="&amp;DATE(YEAR(HS$8),1,1),$8:$8,"&lt;="&amp;EOMONTH(HS$8,0))/SUMIFS(22:22,$8:$8,"&gt;="&amp;DATE(YEAR(HS$8)-1,1,1),$8:$8,"&lt;="&amp;EOMONTH(HS$8,-12))-1</f>
        <v/>
      </c>
      <c r="HT25" s="1318">
        <f>SUMIFS(22:22,$8:$8,"&gt;="&amp;DATE(YEAR(HT$8),1,1),$8:$8,"&lt;="&amp;EOMONTH(HT$8,0))/SUMIFS(22:22,$8:$8,"&gt;="&amp;DATE(YEAR(HT$8)-1,1,1),$8:$8,"&lt;="&amp;EOMONTH(HT$8,-12))-1</f>
        <v/>
      </c>
      <c r="HU25" s="1318">
        <f>SUMIFS(22:22,$8:$8,"&gt;="&amp;DATE(YEAR(HU$8),1,1),$8:$8,"&lt;="&amp;EOMONTH(HU$8,0))/SUMIFS(22:22,$8:$8,"&gt;="&amp;DATE(YEAR(HU$8)-1,1,1),$8:$8,"&lt;="&amp;EOMONTH(HU$8,-12))-1</f>
        <v/>
      </c>
      <c r="HV25" s="1318">
        <f>SUMIFS(22:22,$8:$8,"&gt;="&amp;DATE(YEAR(HV$8),1,1),$8:$8,"&lt;="&amp;EOMONTH(HV$8,0))/SUMIFS(22:22,$8:$8,"&gt;="&amp;DATE(YEAR(HV$8)-1,1,1),$8:$8,"&lt;="&amp;EOMONTH(HV$8,-12))-1</f>
        <v/>
      </c>
      <c r="HW25" s="1318">
        <f>SUMIFS(22:22,$8:$8,"&gt;="&amp;DATE(YEAR(HW$8),1,1),$8:$8,"&lt;="&amp;EOMONTH(HW$8,0))/SUMIFS(22:22,$8:$8,"&gt;="&amp;DATE(YEAR(HW$8)-1,1,1),$8:$8,"&lt;="&amp;EOMONTH(HW$8,-12))-1</f>
        <v/>
      </c>
      <c r="HX25" s="1318">
        <f>SUMIFS(22:22,$8:$8,"&gt;="&amp;DATE(YEAR(HX$8),1,1),$8:$8,"&lt;="&amp;EOMONTH(HX$8,0))/SUMIFS(22:22,$8:$8,"&gt;="&amp;DATE(YEAR(HX$8)-1,1,1),$8:$8,"&lt;="&amp;EOMONTH(HX$8,-12))-1</f>
        <v/>
      </c>
      <c r="HY25" s="1318">
        <f>SUMIFS(22:22,$8:$8,"&gt;="&amp;DATE(YEAR(HY$8),1,1),$8:$8,"&lt;="&amp;EOMONTH(HY$8,0))/SUMIFS(22:22,$8:$8,"&gt;="&amp;DATE(YEAR(HY$8)-1,1,1),$8:$8,"&lt;="&amp;EOMONTH(HY$8,-12))-1</f>
        <v/>
      </c>
      <c r="HZ25" s="1318">
        <f>SUMIFS(22:22,$8:$8,"&gt;="&amp;DATE(YEAR(HZ$8),1,1),$8:$8,"&lt;="&amp;EOMONTH(HZ$8,0))/SUMIFS(22:22,$8:$8,"&gt;="&amp;DATE(YEAR(HZ$8)-1,1,1),$8:$8,"&lt;="&amp;EOMONTH(HZ$8,-12))-1</f>
        <v/>
      </c>
      <c r="IA25" s="1318">
        <f>SUMIFS(22:22,$8:$8,"&gt;="&amp;DATE(YEAR(IA$8),1,1),$8:$8,"&lt;="&amp;EOMONTH(IA$8,0))/SUMIFS(22:22,$8:$8,"&gt;="&amp;DATE(YEAR(IA$8)-1,1,1),$8:$8,"&lt;="&amp;EOMONTH(IA$8,-12))-1</f>
        <v/>
      </c>
      <c r="IB25" s="1318">
        <f>SUMIFS(22:22,$8:$8,"&gt;="&amp;DATE(YEAR(IB$8),1,1),$8:$8,"&lt;="&amp;EOMONTH(IB$8,0))/SUMIFS(22:22,$8:$8,"&gt;="&amp;DATE(YEAR(IB$8)-1,1,1),$8:$8,"&lt;="&amp;EOMONTH(IB$8,-12))-1</f>
        <v/>
      </c>
      <c r="IC25" s="1318">
        <f>SUMIFS(22:22,$8:$8,"&gt;="&amp;DATE(YEAR(IC$8),1,1),$8:$8,"&lt;="&amp;EOMONTH(IC$8,0))/SUMIFS(22:22,$8:$8,"&gt;="&amp;DATE(YEAR(IC$8)-1,1,1),$8:$8,"&lt;="&amp;EOMONTH(IC$8,-12))-1</f>
        <v/>
      </c>
      <c r="ID25" s="1318">
        <f>SUMIFS(22:22,$8:$8,"&gt;="&amp;DATE(YEAR(ID$8),1,1),$8:$8,"&lt;="&amp;EOMONTH(ID$8,0))/SUMIFS(22:22,$8:$8,"&gt;="&amp;DATE(YEAR(ID$8)-1,1,1),$8:$8,"&lt;="&amp;EOMONTH(ID$8,-12))-1</f>
        <v/>
      </c>
      <c r="IE25" s="1318">
        <f>SUMIFS(22:22,$8:$8,"&gt;="&amp;DATE(YEAR(IE$8),1,1),$8:$8,"&lt;="&amp;EOMONTH(IE$8,0))/SUMIFS(22:22,$8:$8,"&gt;="&amp;DATE(YEAR(IE$8)-1,1,1),$8:$8,"&lt;="&amp;EOMONTH(IE$8,-12))-1</f>
        <v/>
      </c>
      <c r="IF25" s="1318">
        <f>SUMIFS(22:22,$8:$8,"&gt;="&amp;DATE(YEAR(IF$8),1,1),$8:$8,"&lt;="&amp;EOMONTH(IF$8,0))/SUMIFS(22:22,$8:$8,"&gt;="&amp;DATE(YEAR(IF$8)-1,1,1),$8:$8,"&lt;="&amp;EOMONTH(IF$8,-12))-1</f>
        <v/>
      </c>
      <c r="IG25" s="1318">
        <f>SUMIFS(22:22,$8:$8,"&gt;="&amp;DATE(YEAR(IG$8),1,1),$8:$8,"&lt;="&amp;EOMONTH(IG$8,0))/SUMIFS(22:22,$8:$8,"&gt;="&amp;DATE(YEAR(IG$8)-1,1,1),$8:$8,"&lt;="&amp;EOMONTH(IG$8,-12))-1</f>
        <v/>
      </c>
      <c r="IH25" s="1318">
        <f>SUMIFS(22:22,$8:$8,"&gt;="&amp;DATE(YEAR(IH$8),1,1),$8:$8,"&lt;="&amp;EOMONTH(IH$8,0))/SUMIFS(22:22,$8:$8,"&gt;="&amp;DATE(YEAR(IH$8)-1,1,1),$8:$8,"&lt;="&amp;EOMONTH(IH$8,-12))-1</f>
        <v/>
      </c>
      <c r="II25" s="1318">
        <f>SUMIFS(22:22,$8:$8,"&gt;="&amp;DATE(YEAR(II$8),1,1),$8:$8,"&lt;="&amp;EOMONTH(II$8,0))/SUMIFS(22:22,$8:$8,"&gt;="&amp;DATE(YEAR(II$8)-1,1,1),$8:$8,"&lt;="&amp;EOMONTH(II$8,-12))-1</f>
        <v/>
      </c>
      <c r="IJ25" s="1318">
        <f>SUMIFS(22:22,$8:$8,"&gt;="&amp;DATE(YEAR(IJ$8),1,1),$8:$8,"&lt;="&amp;EOMONTH(IJ$8,0))/SUMIFS(22:22,$8:$8,"&gt;="&amp;DATE(YEAR(IJ$8)-1,1,1),$8:$8,"&lt;="&amp;EOMONTH(IJ$8,-12))-1</f>
        <v/>
      </c>
      <c r="IK25" s="1318">
        <f>SUMIFS(22:22,$8:$8,"&gt;="&amp;DATE(YEAR(IK$8),1,1),$8:$8,"&lt;="&amp;EOMONTH(IK$8,0))/SUMIFS(22:22,$8:$8,"&gt;="&amp;DATE(YEAR(IK$8)-1,1,1),$8:$8,"&lt;="&amp;EOMONTH(IK$8,-12))-1</f>
        <v/>
      </c>
      <c r="IL25" s="1318">
        <f>SUMIFS(22:22,$8:$8,"&gt;="&amp;DATE(YEAR(IL$8),1,1),$8:$8,"&lt;="&amp;EOMONTH(IL$8,0))/SUMIFS(22:22,$8:$8,"&gt;="&amp;DATE(YEAR(IL$8)-1,1,1),$8:$8,"&lt;="&amp;EOMONTH(IL$8,-12))-1</f>
        <v/>
      </c>
      <c r="IM25" s="1318">
        <f>SUMIFS(22:22,$8:$8,"&gt;="&amp;DATE(YEAR(IM$8),1,1),$8:$8,"&lt;="&amp;EOMONTH(IM$8,0))/SUMIFS(22:22,$8:$8,"&gt;="&amp;DATE(YEAR(IM$8)-1,1,1),$8:$8,"&lt;="&amp;EOMONTH(IM$8,-12))-1</f>
        <v/>
      </c>
      <c r="IN25" s="1318">
        <f>SUMIFS(22:22,$8:$8,"&gt;="&amp;DATE(YEAR(IN$8),1,1),$8:$8,"&lt;="&amp;EOMONTH(IN$8,0))/SUMIFS(22:22,$8:$8,"&gt;="&amp;DATE(YEAR(IN$8)-1,1,1),$8:$8,"&lt;="&amp;EOMONTH(IN$8,-12))-1</f>
        <v/>
      </c>
      <c r="IO25" s="1318">
        <f>SUMIFS(22:22,$8:$8,"&gt;="&amp;DATE(YEAR(IO$8),1,1),$8:$8,"&lt;="&amp;EOMONTH(IO$8,0))/SUMIFS(22:22,$8:$8,"&gt;="&amp;DATE(YEAR(IO$8)-1,1,1),$8:$8,"&lt;="&amp;EOMONTH(IO$8,-12))-1</f>
        <v/>
      </c>
      <c r="IP25" s="1318">
        <f>SUMIFS(22:22,$8:$8,"&gt;="&amp;DATE(YEAR(IP$8),1,1),$8:$8,"&lt;="&amp;EOMONTH(IP$8,0))/SUMIFS(22:22,$8:$8,"&gt;="&amp;DATE(YEAR(IP$8)-1,1,1),$8:$8,"&lt;="&amp;EOMONTH(IP$8,-12))-1</f>
        <v/>
      </c>
      <c r="IQ25" s="1318">
        <f>SUMIFS(22:22,$8:$8,"&gt;="&amp;DATE(YEAR(IQ$8),1,1),$8:$8,"&lt;="&amp;EOMONTH(IQ$8,0))/SUMIFS(22:22,$8:$8,"&gt;="&amp;DATE(YEAR(IQ$8)-1,1,1),$8:$8,"&lt;="&amp;EOMONTH(IQ$8,-12))-1</f>
        <v/>
      </c>
      <c r="IR25" s="1318">
        <f>SUMIFS(22:22,$8:$8,"&gt;="&amp;DATE(YEAR(IR$8),1,1),$8:$8,"&lt;="&amp;EOMONTH(IR$8,0))/SUMIFS(22:22,$8:$8,"&gt;="&amp;DATE(YEAR(IR$8)-1,1,1),$8:$8,"&lt;="&amp;EOMONTH(IR$8,-12))-1</f>
        <v/>
      </c>
      <c r="IS25" s="1318">
        <f>SUMIFS(22:22,$8:$8,"&gt;="&amp;DATE(YEAR(IS$8),1,1),$8:$8,"&lt;="&amp;EOMONTH(IS$8,0))/SUMIFS(22:22,$8:$8,"&gt;="&amp;DATE(YEAR(IS$8)-1,1,1),$8:$8,"&lt;="&amp;EOMONTH(IS$8,-12))-1</f>
        <v/>
      </c>
      <c r="IT25" s="1318">
        <f>SUMIFS(22:22,$8:$8,"&gt;="&amp;DATE(YEAR(IT$8),1,1),$8:$8,"&lt;="&amp;EOMONTH(IT$8,0))/SUMIFS(22:22,$8:$8,"&gt;="&amp;DATE(YEAR(IT$8)-1,1,1),$8:$8,"&lt;="&amp;EOMONTH(IT$8,-12))-1</f>
        <v/>
      </c>
      <c r="IU25" s="1318">
        <f>SUMIFS(22:22,$8:$8,"&gt;="&amp;DATE(YEAR(IU$8),1,1),$8:$8,"&lt;="&amp;EOMONTH(IU$8,0))/SUMIFS(22:22,$8:$8,"&gt;="&amp;DATE(YEAR(IU$8)-1,1,1),$8:$8,"&lt;="&amp;EOMONTH(IU$8,-12))-1</f>
        <v/>
      </c>
      <c r="IV25" s="1318">
        <f>SUMIFS(22:22,$8:$8,"&gt;="&amp;DATE(YEAR(IV$8),1,1),$8:$8,"&lt;="&amp;EOMONTH(IV$8,0))/SUMIFS(22:22,$8:$8,"&gt;="&amp;DATE(YEAR(IV$8)-1,1,1),$8:$8,"&lt;="&amp;EOMONTH(IV$8,-12))-1</f>
        <v/>
      </c>
      <c r="IW25" s="1318">
        <f>SUMIFS(22:22,$8:$8,"&gt;="&amp;DATE(YEAR(IW$8),1,1),$8:$8,"&lt;="&amp;EOMONTH(IW$8,0))/SUMIFS(22:22,$8:$8,"&gt;="&amp;DATE(YEAR(IW$8)-1,1,1),$8:$8,"&lt;="&amp;EOMONTH(IW$8,-12))-1</f>
        <v/>
      </c>
      <c r="IX25" s="1318">
        <f>SUMIFS(22:22,$8:$8,"&gt;="&amp;DATE(YEAR(IX$8),1,1),$8:$8,"&lt;="&amp;EOMONTH(IX$8,0))/SUMIFS(22:22,$8:$8,"&gt;="&amp;DATE(YEAR(IX$8)-1,1,1),$8:$8,"&lt;="&amp;EOMONTH(IX$8,-12))-1</f>
        <v/>
      </c>
      <c r="IY25" s="1318">
        <f>SUMIFS(22:22,$8:$8,"&gt;="&amp;DATE(YEAR(IY$8),1,1),$8:$8,"&lt;="&amp;EOMONTH(IY$8,0))/SUMIFS(22:22,$8:$8,"&gt;="&amp;DATE(YEAR(IY$8)-1,1,1),$8:$8,"&lt;="&amp;EOMONTH(IY$8,-12))-1</f>
        <v/>
      </c>
      <c r="IZ25" s="1318">
        <f>SUMIFS(22:22,$8:$8,"&gt;="&amp;DATE(YEAR(IZ$8),1,1),$8:$8,"&lt;="&amp;EOMONTH(IZ$8,0))/SUMIFS(22:22,$8:$8,"&gt;="&amp;DATE(YEAR(IZ$8)-1,1,1),$8:$8,"&lt;="&amp;EOMONTH(IZ$8,-12))-1</f>
        <v/>
      </c>
      <c r="JA25" s="1318">
        <f>SUMIFS(22:22,$8:$8,"&gt;="&amp;DATE(YEAR(JA$8),1,1),$8:$8,"&lt;="&amp;EOMONTH(JA$8,0))/SUMIFS(22:22,$8:$8,"&gt;="&amp;DATE(YEAR(JA$8)-1,1,1),$8:$8,"&lt;="&amp;EOMONTH(JA$8,-12))-1</f>
        <v/>
      </c>
      <c r="JB25" s="1318">
        <f>SUMIFS(22:22,$8:$8,"&gt;="&amp;DATE(YEAR(JB$8),1,1),$8:$8,"&lt;="&amp;EOMONTH(JB$8,0))/SUMIFS(22:22,$8:$8,"&gt;="&amp;DATE(YEAR(JB$8)-1,1,1),$8:$8,"&lt;="&amp;EOMONTH(JB$8,-12))-1</f>
        <v/>
      </c>
      <c r="JC25" s="1318">
        <f>SUMIFS(22:22,$8:$8,"&gt;="&amp;DATE(YEAR(JC$8),1,1),$8:$8,"&lt;="&amp;EOMONTH(JC$8,0))/SUMIFS(22:22,$8:$8,"&gt;="&amp;DATE(YEAR(JC$8)-1,1,1),$8:$8,"&lt;="&amp;EOMONTH(JC$8,-12))-1</f>
        <v/>
      </c>
      <c r="JD25" s="1318">
        <f>SUMIFS(22:22,$8:$8,"&gt;="&amp;DATE(YEAR(JD$8),1,1),$8:$8,"&lt;="&amp;EOMONTH(JD$8,0))/SUMIFS(22:22,$8:$8,"&gt;="&amp;DATE(YEAR(JD$8)-1,1,1),$8:$8,"&lt;="&amp;EOMONTH(JD$8,-12))-1</f>
        <v/>
      </c>
      <c r="JE25" s="1318">
        <f>SUMIFS(22:22,$8:$8,"&gt;="&amp;DATE(YEAR(JE$8),1,1),$8:$8,"&lt;="&amp;EOMONTH(JE$8,0))/SUMIFS(22:22,$8:$8,"&gt;="&amp;DATE(YEAR(JE$8)-1,1,1),$8:$8,"&lt;="&amp;EOMONTH(JE$8,-12))-1</f>
        <v/>
      </c>
      <c r="JF25" s="1318">
        <f>SUMIFS(22:22,$8:$8,"&gt;="&amp;DATE(YEAR(JF$8),1,1),$8:$8,"&lt;="&amp;EOMONTH(JF$8,0))/SUMIFS(22:22,$8:$8,"&gt;="&amp;DATE(YEAR(JF$8)-1,1,1),$8:$8,"&lt;="&amp;EOMONTH(JF$8,-12))-1</f>
        <v/>
      </c>
      <c r="JG25" s="1318">
        <f>SUMIFS(22:22,$8:$8,"&gt;="&amp;DATE(YEAR(JG$8),1,1),$8:$8,"&lt;="&amp;EOMONTH(JG$8,0))/SUMIFS(22:22,$8:$8,"&gt;="&amp;DATE(YEAR(JG$8)-1,1,1),$8:$8,"&lt;="&amp;EOMONTH(JG$8,-12))-1</f>
        <v/>
      </c>
      <c r="JH25" s="1318">
        <f>SUMIFS(22:22,$8:$8,"&gt;="&amp;DATE(YEAR(JH$8),1,1),$8:$8,"&lt;="&amp;EOMONTH(JH$8,0))/SUMIFS(22:22,$8:$8,"&gt;="&amp;DATE(YEAR(JH$8)-1,1,1),$8:$8,"&lt;="&amp;EOMONTH(JH$8,-12))-1</f>
        <v/>
      </c>
      <c r="JI25" s="1318">
        <f>SUMIFS(22:22,$8:$8,"&gt;="&amp;DATE(YEAR(JI$8),1,1),$8:$8,"&lt;="&amp;EOMONTH(JI$8,0))/SUMIFS(22:22,$8:$8,"&gt;="&amp;DATE(YEAR(JI$8)-1,1,1),$8:$8,"&lt;="&amp;EOMONTH(JI$8,-12))-1</f>
        <v/>
      </c>
      <c r="JJ25" s="1318">
        <f>SUMIFS(22:22,$8:$8,"&gt;="&amp;DATE(YEAR(JJ$8),1,1),$8:$8,"&lt;="&amp;EOMONTH(JJ$8,0))/SUMIFS(22:22,$8:$8,"&gt;="&amp;DATE(YEAR(JJ$8)-1,1,1),$8:$8,"&lt;="&amp;EOMONTH(JJ$8,-12))-1</f>
        <v/>
      </c>
      <c r="JK25" s="1318">
        <f>SUMIFS(22:22,$8:$8,"&gt;="&amp;DATE(YEAR(JK$8),1,1),$8:$8,"&lt;="&amp;EOMONTH(JK$8,0))/SUMIFS(22:22,$8:$8,"&gt;="&amp;DATE(YEAR(JK$8)-1,1,1),$8:$8,"&lt;="&amp;EOMONTH(JK$8,-12))-1</f>
        <v/>
      </c>
      <c r="JL25" s="1318">
        <f>SUMIFS(22:22,$8:$8,"&gt;="&amp;DATE(YEAR(JL$8),1,1),$8:$8,"&lt;="&amp;EOMONTH(JL$8,0))/SUMIFS(22:22,$8:$8,"&gt;="&amp;DATE(YEAR(JL$8)-1,1,1),$8:$8,"&lt;="&amp;EOMONTH(JL$8,-12))-1</f>
        <v/>
      </c>
      <c r="JM25" s="1318">
        <f>SUMIFS(22:22,$8:$8,"&gt;="&amp;DATE(YEAR(JM$8),1,1),$8:$8,"&lt;="&amp;EOMONTH(JM$8,0))/SUMIFS(22:22,$8:$8,"&gt;="&amp;DATE(YEAR(JM$8)-1,1,1),$8:$8,"&lt;="&amp;EOMONTH(JM$8,-12))-1</f>
        <v/>
      </c>
      <c r="JN25" s="1318">
        <f>SUMIFS(22:22,$8:$8,"&gt;="&amp;DATE(YEAR(JN$8),1,1),$8:$8,"&lt;="&amp;EOMONTH(JN$8,0))/SUMIFS(22:22,$8:$8,"&gt;="&amp;DATE(YEAR(JN$8)-1,1,1),$8:$8,"&lt;="&amp;EOMONTH(JN$8,-12))-1</f>
        <v/>
      </c>
      <c r="JO25" s="1318">
        <f>SUMIFS(22:22,$8:$8,"&gt;="&amp;DATE(YEAR(JO$8),1,1),$8:$8,"&lt;="&amp;EOMONTH(JO$8,0))/SUMIFS(22:22,$8:$8,"&gt;="&amp;DATE(YEAR(JO$8)-1,1,1),$8:$8,"&lt;="&amp;EOMONTH(JO$8,-12))-1</f>
        <v/>
      </c>
      <c r="JP25" s="1318">
        <f>SUMIFS(22:22,$8:$8,"&gt;="&amp;DATE(YEAR(JP$8),1,1),$8:$8,"&lt;="&amp;EOMONTH(JP$8,0))/SUMIFS(22:22,$8:$8,"&gt;="&amp;DATE(YEAR(JP$8)-1,1,1),$8:$8,"&lt;="&amp;EOMONTH(JP$8,-12))-1</f>
        <v/>
      </c>
      <c r="JQ25" s="1318">
        <f>SUMIFS(22:22,$8:$8,"&gt;="&amp;DATE(YEAR(JQ$8),1,1),$8:$8,"&lt;="&amp;EOMONTH(JQ$8,0))/SUMIFS(22:22,$8:$8,"&gt;="&amp;DATE(YEAR(JQ$8)-1,1,1),$8:$8,"&lt;="&amp;EOMONTH(JQ$8,-12))-1</f>
        <v/>
      </c>
      <c r="JR25" s="1318">
        <f>SUMIFS(22:22,$8:$8,"&gt;="&amp;DATE(YEAR(JR$8),1,1),$8:$8,"&lt;="&amp;EOMONTH(JR$8,0))/SUMIFS(22:22,$8:$8,"&gt;="&amp;DATE(YEAR(JR$8)-1,1,1),$8:$8,"&lt;="&amp;EOMONTH(JR$8,-12))-1</f>
        <v/>
      </c>
      <c r="JS25" s="1318">
        <f>SUMIFS(22:22,$8:$8,"&gt;="&amp;DATE(YEAR(JS$8),1,1),$8:$8,"&lt;="&amp;EOMONTH(JS$8,0))/SUMIFS(22:22,$8:$8,"&gt;="&amp;DATE(YEAR(JS$8)-1,1,1),$8:$8,"&lt;="&amp;EOMONTH(JS$8,-12))-1</f>
        <v/>
      </c>
      <c r="JT25" s="1318">
        <f>SUMIFS(22:22,$8:$8,"&gt;="&amp;DATE(YEAR(JT$8),1,1),$8:$8,"&lt;="&amp;EOMONTH(JT$8,0))/SUMIFS(22:22,$8:$8,"&gt;="&amp;DATE(YEAR(JT$8)-1,1,1),$8:$8,"&lt;="&amp;EOMONTH(JT$8,-12))-1</f>
        <v/>
      </c>
      <c r="JU25" s="1318">
        <f>SUMIFS(22:22,$8:$8,"&gt;="&amp;DATE(YEAR(JU$8),1,1),$8:$8,"&lt;="&amp;EOMONTH(JU$8,0))/SUMIFS(22:22,$8:$8,"&gt;="&amp;DATE(YEAR(JU$8)-1,1,1),$8:$8,"&lt;="&amp;EOMONTH(JU$8,-12))-1</f>
        <v/>
      </c>
      <c r="JV25" s="1318">
        <f>SUMIFS(22:22,$8:$8,"&gt;="&amp;DATE(YEAR(JV$8),1,1),$8:$8,"&lt;="&amp;EOMONTH(JV$8,0))/SUMIFS(22:22,$8:$8,"&gt;="&amp;DATE(YEAR(JV$8)-1,1,1),$8:$8,"&lt;="&amp;EOMONTH(JV$8,-12))-1</f>
        <v/>
      </c>
      <c r="JW25" s="1318">
        <f>SUMIFS(22:22,$8:$8,"&gt;="&amp;DATE(YEAR(JW$8),1,1),$8:$8,"&lt;="&amp;EOMONTH(JW$8,0))/SUMIFS(22:22,$8:$8,"&gt;="&amp;DATE(YEAR(JW$8)-1,1,1),$8:$8,"&lt;="&amp;EOMONTH(JW$8,-12))-1</f>
        <v/>
      </c>
      <c r="JX25" s="1318">
        <f>SUMIFS(22:22,$8:$8,"&gt;="&amp;DATE(YEAR(JX$8),1,1),$8:$8,"&lt;="&amp;EOMONTH(JX$8,0))/SUMIFS(22:22,$8:$8,"&gt;="&amp;DATE(YEAR(JX$8)-1,1,1),$8:$8,"&lt;="&amp;EOMONTH(JX$8,-12))-1</f>
        <v/>
      </c>
      <c r="JY25" s="1318">
        <f>SUMIFS(22:22,$8:$8,"&gt;="&amp;DATE(YEAR(JY$8),1,1),$8:$8,"&lt;="&amp;EOMONTH(JY$8,0))/SUMIFS(22:22,$8:$8,"&gt;="&amp;DATE(YEAR(JY$8)-1,1,1),$8:$8,"&lt;="&amp;EOMONTH(JY$8,-12))-1</f>
        <v/>
      </c>
      <c r="JZ25" s="1318">
        <f>SUMIFS(22:22,$8:$8,"&gt;="&amp;DATE(YEAR(JZ$8),1,1),$8:$8,"&lt;="&amp;EOMONTH(JZ$8,0))/SUMIFS(22:22,$8:$8,"&gt;="&amp;DATE(YEAR(JZ$8)-1,1,1),$8:$8,"&lt;="&amp;EOMONTH(JZ$8,-12))-1</f>
        <v/>
      </c>
      <c r="KA25" s="1318">
        <f>SUMIFS(22:22,$8:$8,"&gt;="&amp;DATE(YEAR(KA$8),1,1),$8:$8,"&lt;="&amp;EOMONTH(KA$8,0))/SUMIFS(22:22,$8:$8,"&gt;="&amp;DATE(YEAR(KA$8)-1,1,1),$8:$8,"&lt;="&amp;EOMONTH(KA$8,-12))-1</f>
        <v/>
      </c>
      <c r="KB25" s="1318">
        <f>SUMIFS(22:22,$8:$8,"&gt;="&amp;DATE(YEAR(KB$8),1,1),$8:$8,"&lt;="&amp;EOMONTH(KB$8,0))/SUMIFS(22:22,$8:$8,"&gt;="&amp;DATE(YEAR(KB$8)-1,1,1),$8:$8,"&lt;="&amp;EOMONTH(KB$8,-12))-1</f>
        <v/>
      </c>
      <c r="KC25" s="1318">
        <f>SUMIFS(22:22,$8:$8,"&gt;="&amp;DATE(YEAR(KC$8),1,1),$8:$8,"&lt;="&amp;EOMONTH(KC$8,0))/SUMIFS(22:22,$8:$8,"&gt;="&amp;DATE(YEAR(KC$8)-1,1,1),$8:$8,"&lt;="&amp;EOMONTH(KC$8,-12))-1</f>
        <v/>
      </c>
      <c r="KD25" s="1318">
        <f>SUMIFS(22:22,$8:$8,"&gt;="&amp;DATE(YEAR(KD$8),1,1),$8:$8,"&lt;="&amp;EOMONTH(KD$8,0))/SUMIFS(22:22,$8:$8,"&gt;="&amp;DATE(YEAR(KD$8)-1,1,1),$8:$8,"&lt;="&amp;EOMONTH(KD$8,-12))-1</f>
        <v/>
      </c>
      <c r="KE25" s="1318">
        <f>SUMIFS(22:22,$8:$8,"&gt;="&amp;DATE(YEAR(KE$8),1,1),$8:$8,"&lt;="&amp;EOMONTH(KE$8,0))/SUMIFS(22:22,$8:$8,"&gt;="&amp;DATE(YEAR(KE$8)-1,1,1),$8:$8,"&lt;="&amp;EOMONTH(KE$8,-12))-1</f>
        <v/>
      </c>
      <c r="KF25" s="1318">
        <f>SUMIFS(22:22,$8:$8,"&gt;="&amp;DATE(YEAR(KF$8),1,1),$8:$8,"&lt;="&amp;EOMONTH(KF$8,0))/SUMIFS(22:22,$8:$8,"&gt;="&amp;DATE(YEAR(KF$8)-1,1,1),$8:$8,"&lt;="&amp;EOMONTH(KF$8,-12))-1</f>
        <v/>
      </c>
      <c r="KG25" s="1318">
        <f>SUMIFS(22:22,$8:$8,"&gt;="&amp;DATE(YEAR(KG$8),1,1),$8:$8,"&lt;="&amp;EOMONTH(KG$8,0))/SUMIFS(22:22,$8:$8,"&gt;="&amp;DATE(YEAR(KG$8)-1,1,1),$8:$8,"&lt;="&amp;EOMONTH(KG$8,-12))-1</f>
        <v/>
      </c>
      <c r="KH25" s="1318">
        <f>SUMIFS(22:22,$8:$8,"&gt;="&amp;DATE(YEAR(KH$8),1,1),$8:$8,"&lt;="&amp;EOMONTH(KH$8,0))/SUMIFS(22:22,$8:$8,"&gt;="&amp;DATE(YEAR(KH$8)-1,1,1),$8:$8,"&lt;="&amp;EOMONTH(KH$8,-12))-1</f>
        <v/>
      </c>
      <c r="KI25" s="1318">
        <f>SUMIFS(22:22,$8:$8,"&gt;="&amp;DATE(YEAR(KI$8),1,1),$8:$8,"&lt;="&amp;EOMONTH(KI$8,0))/SUMIFS(22:22,$8:$8,"&gt;="&amp;DATE(YEAR(KI$8)-1,1,1),$8:$8,"&lt;="&amp;EOMONTH(KI$8,-12))-1</f>
        <v/>
      </c>
      <c r="KJ25" s="1318">
        <f>SUMIFS(22:22,$8:$8,"&gt;="&amp;DATE(YEAR(KJ$8),1,1),$8:$8,"&lt;="&amp;EOMONTH(KJ$8,0))/SUMIFS(22:22,$8:$8,"&gt;="&amp;DATE(YEAR(KJ$8)-1,1,1),$8:$8,"&lt;="&amp;EOMONTH(KJ$8,-12))-1</f>
        <v/>
      </c>
      <c r="KK25" s="1318">
        <f>SUMIFS(22:22,$8:$8,"&gt;="&amp;DATE(YEAR(KK$8),1,1),$8:$8,"&lt;="&amp;EOMONTH(KK$8,0))/SUMIFS(22:22,$8:$8,"&gt;="&amp;DATE(YEAR(KK$8)-1,1,1),$8:$8,"&lt;="&amp;EOMONTH(KK$8,-12))-1</f>
        <v/>
      </c>
      <c r="KL25" s="1318">
        <f>SUMIFS(22:22,$8:$8,"&gt;="&amp;DATE(YEAR(KL$8),1,1),$8:$8,"&lt;="&amp;EOMONTH(KL$8,0))/SUMIFS(22:22,$8:$8,"&gt;="&amp;DATE(YEAR(KL$8)-1,1,1),$8:$8,"&lt;="&amp;EOMONTH(KL$8,-12))-1</f>
        <v/>
      </c>
      <c r="KM25" s="1318">
        <f>SUMIFS(22:22,$8:$8,"&gt;="&amp;DATE(YEAR(KM$8),1,1),$8:$8,"&lt;="&amp;EOMONTH(KM$8,0))/SUMIFS(22:22,$8:$8,"&gt;="&amp;DATE(YEAR(KM$8)-1,1,1),$8:$8,"&lt;="&amp;EOMONTH(KM$8,-12))-1</f>
        <v/>
      </c>
      <c r="KN25" s="1318">
        <f>SUMIFS(22:22,$8:$8,"&gt;="&amp;DATE(YEAR(KN$8),1,1),$8:$8,"&lt;="&amp;EOMONTH(KN$8,0))/SUMIFS(22:22,$8:$8,"&gt;="&amp;DATE(YEAR(KN$8)-1,1,1),$8:$8,"&lt;="&amp;EOMONTH(KN$8,-12))-1</f>
        <v/>
      </c>
      <c r="KO25" s="1318">
        <f>SUMIFS(22:22,$8:$8,"&gt;="&amp;DATE(YEAR(KO$8),1,1),$8:$8,"&lt;="&amp;EOMONTH(KO$8,0))/SUMIFS(22:22,$8:$8,"&gt;="&amp;DATE(YEAR(KO$8)-1,1,1),$8:$8,"&lt;="&amp;EOMONTH(KO$8,-12))-1</f>
        <v/>
      </c>
      <c r="KP25" s="1318">
        <f>SUMIFS(22:22,$8:$8,"&gt;="&amp;DATE(YEAR(KP$8),1,1),$8:$8,"&lt;="&amp;EOMONTH(KP$8,0))/SUMIFS(22:22,$8:$8,"&gt;="&amp;DATE(YEAR(KP$8)-1,1,1),$8:$8,"&lt;="&amp;EOMONTH(KP$8,-12))-1</f>
        <v/>
      </c>
      <c r="KQ25" s="1318">
        <f>SUMIFS(22:22,$8:$8,"&gt;="&amp;DATE(YEAR(KQ$8),1,1),$8:$8,"&lt;="&amp;EOMONTH(KQ$8,0))/SUMIFS(22:22,$8:$8,"&gt;="&amp;DATE(YEAR(KQ$8)-1,1,1),$8:$8,"&lt;="&amp;EOMONTH(KQ$8,-12))-1</f>
        <v/>
      </c>
      <c r="KR25" s="1318">
        <f>SUMIFS(22:22,$8:$8,"&gt;="&amp;DATE(YEAR(KR$8),1,1),$8:$8,"&lt;="&amp;EOMONTH(KR$8,0))/SUMIFS(22:22,$8:$8,"&gt;="&amp;DATE(YEAR(KR$8)-1,1,1),$8:$8,"&lt;="&amp;EOMONTH(KR$8,-12))-1</f>
        <v/>
      </c>
      <c r="KS25" s="1318">
        <f>SUMIFS(22:22,$8:$8,"&gt;="&amp;DATE(YEAR(KS$8),1,1),$8:$8,"&lt;="&amp;EOMONTH(KS$8,0))/SUMIFS(22:22,$8:$8,"&gt;="&amp;DATE(YEAR(KS$8)-1,1,1),$8:$8,"&lt;="&amp;EOMONTH(KS$8,-12))-1</f>
        <v/>
      </c>
      <c r="KT25" s="1318">
        <f>SUMIFS(22:22,$8:$8,"&gt;="&amp;DATE(YEAR(KT$8),1,1),$8:$8,"&lt;="&amp;EOMONTH(KT$8,0))/SUMIFS(22:22,$8:$8,"&gt;="&amp;DATE(YEAR(KT$8)-1,1,1),$8:$8,"&lt;="&amp;EOMONTH(KT$8,-12))-1</f>
        <v/>
      </c>
      <c r="KU25" s="1318">
        <f>SUMIFS(22:22,$8:$8,"&gt;="&amp;DATE(YEAR(KU$8),1,1),$8:$8,"&lt;="&amp;EOMONTH(KU$8,0))/SUMIFS(22:22,$8:$8,"&gt;="&amp;DATE(YEAR(KU$8)-1,1,1),$8:$8,"&lt;="&amp;EOMONTH(KU$8,-12))-1</f>
        <v/>
      </c>
      <c r="KV25" s="1318">
        <f>SUMIFS(22:22,$8:$8,"&gt;="&amp;DATE(YEAR(KV$8),1,1),$8:$8,"&lt;="&amp;EOMONTH(KV$8,0))/SUMIFS(22:22,$8:$8,"&gt;="&amp;DATE(YEAR(KV$8)-1,1,1),$8:$8,"&lt;="&amp;EOMONTH(KV$8,-12))-1</f>
        <v/>
      </c>
      <c r="KW25" s="1318">
        <f>SUMIFS(22:22,$8:$8,"&gt;="&amp;DATE(YEAR(KW$8),1,1),$8:$8,"&lt;="&amp;EOMONTH(KW$8,0))/SUMIFS(22:22,$8:$8,"&gt;="&amp;DATE(YEAR(KW$8)-1,1,1),$8:$8,"&lt;="&amp;EOMONTH(KW$8,-12))-1</f>
        <v/>
      </c>
      <c r="KX25" s="1318">
        <f>SUMIFS(22:22,$8:$8,"&gt;="&amp;DATE(YEAR(KX$8),1,1),$8:$8,"&lt;="&amp;EOMONTH(KX$8,0))/SUMIFS(22:22,$8:$8,"&gt;="&amp;DATE(YEAR(KX$8)-1,1,1),$8:$8,"&lt;="&amp;EOMONTH(KX$8,-12))-1</f>
        <v/>
      </c>
      <c r="KY25" s="1318">
        <f>SUMIFS(22:22,$8:$8,"&gt;="&amp;DATE(YEAR(KY$8),1,1),$8:$8,"&lt;="&amp;EOMONTH(KY$8,0))/SUMIFS(22:22,$8:$8,"&gt;="&amp;DATE(YEAR(KY$8)-1,1,1),$8:$8,"&lt;="&amp;EOMONTH(KY$8,-12))-1</f>
        <v/>
      </c>
      <c r="KZ25" s="1318">
        <f>SUMIFS(22:22,$8:$8,"&gt;="&amp;DATE(YEAR(KZ$8),1,1),$8:$8,"&lt;="&amp;EOMONTH(KZ$8,0))/SUMIFS(22:22,$8:$8,"&gt;="&amp;DATE(YEAR(KZ$8)-1,1,1),$8:$8,"&lt;="&amp;EOMONTH(KZ$8,-12))-1</f>
        <v/>
      </c>
      <c r="LA25" s="1318">
        <f>SUMIFS(22:22,$8:$8,"&gt;="&amp;DATE(YEAR(LA$8),1,1),$8:$8,"&lt;="&amp;EOMONTH(LA$8,0))/SUMIFS(22:22,$8:$8,"&gt;="&amp;DATE(YEAR(LA$8)-1,1,1),$8:$8,"&lt;="&amp;EOMONTH(LA$8,-12))-1</f>
        <v/>
      </c>
      <c r="LB25" s="1318" t="n"/>
      <c r="LC25" s="1318" t="n"/>
      <c r="LD25" s="1318" t="n"/>
      <c r="LE25" s="1318" t="n"/>
      <c r="LF25" s="1318" t="n"/>
      <c r="LG25" s="1318" t="n"/>
      <c r="LH25" s="1318" t="n"/>
      <c r="LI25" s="1318" t="n"/>
      <c r="LJ25" s="1318" t="n"/>
      <c r="LK25" s="1318" t="n"/>
      <c r="LL25" s="1318" t="n"/>
      <c r="LM25" s="1318" t="n"/>
      <c r="LN25" s="1318" t="n"/>
      <c r="LO25" s="1318" t="n"/>
      <c r="LP25" s="1318" t="n"/>
      <c r="LQ25" s="1318" t="n"/>
      <c r="LR25" s="1318" t="n"/>
      <c r="LS25" s="1318" t="n"/>
    </row>
    <row r="26" ht="15" customHeight="1" s="239">
      <c r="A26" s="1319" t="inlineStr">
        <is>
          <t>Nth Asia</t>
        </is>
      </c>
      <c r="B26" s="1320" t="n">
        <v>834.779411764706</v>
      </c>
      <c r="C26" s="1319" t="n">
        <v>788.8245882352941</v>
      </c>
      <c r="D26" s="1319" t="n">
        <v>835.829268292683</v>
      </c>
      <c r="E26" s="1319" t="n">
        <v>825.6011610880942</v>
      </c>
      <c r="F26" s="1319" t="n">
        <v>799.4395706192231</v>
      </c>
      <c r="G26" s="1319" t="n">
        <v>638.2799999999997</v>
      </c>
      <c r="H26" s="1319" t="n">
        <v>792.2669999999998</v>
      </c>
      <c r="I26" s="1319" t="n">
        <v>791.3910000000005</v>
      </c>
      <c r="J26" s="1319" t="n">
        <v>743.0999999999995</v>
      </c>
      <c r="K26" s="1319" t="n">
        <v>786.225</v>
      </c>
      <c r="L26" s="1319" t="n">
        <v>809.279</v>
      </c>
      <c r="M26" s="1319" t="n">
        <v>829.1370262390672</v>
      </c>
      <c r="N26" s="1320" t="n">
        <v>817.4160000000001</v>
      </c>
      <c r="O26" s="1319" t="n">
        <v>798.297</v>
      </c>
      <c r="P26" s="1319" t="n">
        <v>822.456</v>
      </c>
      <c r="Q26" s="1319" t="n">
        <v>801.0119999999999</v>
      </c>
      <c r="R26" s="1319" t="n">
        <v>842.082</v>
      </c>
      <c r="S26" s="1319" t="n">
        <v>801.338</v>
      </c>
      <c r="T26" s="1319" t="n">
        <v>835.4</v>
      </c>
      <c r="U26" s="1319" t="n">
        <v>846.154</v>
      </c>
      <c r="V26" s="1319" t="n">
        <v>822.359</v>
      </c>
      <c r="W26" s="1319" t="n">
        <v>847.341</v>
      </c>
      <c r="X26" s="1319" t="n">
        <v>825.548</v>
      </c>
      <c r="Y26" s="1319" t="n">
        <v>853.182</v>
      </c>
      <c r="Z26" s="1320" t="n">
        <v>866.472</v>
      </c>
      <c r="AA26" s="1319" t="n">
        <v>778.643</v>
      </c>
      <c r="AB26" s="1319" t="n">
        <v>864.891</v>
      </c>
      <c r="AC26" s="1319" t="n">
        <v>841.85</v>
      </c>
      <c r="AD26" s="1319" t="n">
        <v>874.3390000000001</v>
      </c>
      <c r="AE26" s="1319" t="n">
        <v>844.635</v>
      </c>
      <c r="AF26" s="1319" t="n">
        <v>833.083</v>
      </c>
      <c r="AG26" s="1319" t="n">
        <v>889.231</v>
      </c>
      <c r="AH26" s="1319" t="n">
        <v>856.3390000000001</v>
      </c>
      <c r="AI26" s="1319" t="n">
        <v>878.4160000000001</v>
      </c>
      <c r="AJ26" s="1319" t="n">
        <v>852.918</v>
      </c>
      <c r="AK26" s="1319" t="n">
        <v>897.899</v>
      </c>
      <c r="AL26" s="1320" t="n">
        <v>883.36</v>
      </c>
      <c r="AM26" s="1319" t="n">
        <v>861.5549999999999</v>
      </c>
      <c r="AN26" s="1319" t="n">
        <v>906.26</v>
      </c>
      <c r="AO26" s="1319" t="n">
        <v>870.244</v>
      </c>
      <c r="AP26" s="1319" t="n">
        <v>906.2809999999999</v>
      </c>
      <c r="AQ26" s="1319" t="n">
        <v>918.506</v>
      </c>
      <c r="AR26" s="1319" t="n">
        <v>944.752</v>
      </c>
      <c r="AS26" s="1319" t="n">
        <v>959.653</v>
      </c>
      <c r="AT26" s="1319" t="n">
        <v>930.799</v>
      </c>
      <c r="AU26" s="1319" t="n">
        <v>949.174</v>
      </c>
      <c r="AV26" s="1319" t="n">
        <v>918.085</v>
      </c>
      <c r="AW26" s="1319" t="n">
        <v>972.888</v>
      </c>
      <c r="AX26" s="1320" t="n">
        <v>988.378</v>
      </c>
      <c r="AY26" s="1320" t="n">
        <v>904.173</v>
      </c>
      <c r="AZ26" s="1320" t="n">
        <v>954.3464491362763</v>
      </c>
      <c r="BA26" s="1320" t="n">
        <v>584.6763509587448</v>
      </c>
      <c r="BB26" s="1320" t="n">
        <v>289.119</v>
      </c>
      <c r="BC26" s="1320" t="n">
        <v>356.622</v>
      </c>
      <c r="BD26" s="1320" t="n">
        <v>674.181</v>
      </c>
      <c r="BE26" s="1320" t="n">
        <v>878.1849999999999</v>
      </c>
      <c r="BF26" s="1320" t="n">
        <v>868.179</v>
      </c>
      <c r="BG26" s="1320" t="n">
        <v>990.045</v>
      </c>
      <c r="BH26" s="1320" t="n">
        <v>933.9829999999999</v>
      </c>
      <c r="BI26" s="1320" t="n">
        <v>1014.12</v>
      </c>
      <c r="BJ26" s="1320" t="n">
        <v>1034.981</v>
      </c>
      <c r="BK26" s="1320" t="n">
        <v>915.739</v>
      </c>
      <c r="BL26" s="1320" t="n">
        <v>994.429</v>
      </c>
      <c r="BM26" s="1320" t="n">
        <v>1006.228</v>
      </c>
      <c r="BN26" s="1320" t="n">
        <v>1047.456</v>
      </c>
      <c r="BO26" s="1320" t="n">
        <v>1016.001</v>
      </c>
      <c r="BP26" s="1320" t="n">
        <v>1090.887</v>
      </c>
      <c r="BQ26" s="1320" t="n">
        <v>1098.289</v>
      </c>
      <c r="BR26" s="1320" t="n">
        <v>1032.244</v>
      </c>
      <c r="BS26" s="1320" t="n">
        <v>1042.293</v>
      </c>
      <c r="BT26" s="1320" t="n">
        <v>971.397</v>
      </c>
      <c r="BU26" s="1320" t="n">
        <v>1039.9</v>
      </c>
      <c r="BV26" s="1320" t="n">
        <v>1061.318</v>
      </c>
      <c r="BW26" s="1320" t="n">
        <v>1008.06</v>
      </c>
      <c r="BX26" s="1320" t="n">
        <v>1064.886</v>
      </c>
      <c r="BY26" s="1320" t="n">
        <v>1049.368</v>
      </c>
      <c r="BZ26" s="1320" t="n">
        <v>1102.719</v>
      </c>
      <c r="CA26" s="1320" t="n">
        <v>1076.42</v>
      </c>
      <c r="CB26" s="1320" t="n">
        <v>1130.516</v>
      </c>
      <c r="CC26" s="1320" t="n">
        <v>1131.046</v>
      </c>
      <c r="CD26" s="1320" t="n">
        <v>1084.459</v>
      </c>
      <c r="CE26" s="1320" t="n">
        <v>1118.946</v>
      </c>
      <c r="CF26" s="1320" t="n">
        <v>1076.567</v>
      </c>
      <c r="CG26" s="1320" t="n">
        <v>1149.312</v>
      </c>
      <c r="CH26" s="1320" t="n">
        <v>1164.947</v>
      </c>
      <c r="CI26" s="1320" t="n">
        <v>1072.411</v>
      </c>
      <c r="CJ26" s="1321" t="n">
        <v>1158.808</v>
      </c>
      <c r="CK26" s="1321" t="n">
        <v>1132.8</v>
      </c>
      <c r="CL26" s="1322" t="n">
        <v>1166.5</v>
      </c>
      <c r="CM26" s="1322" t="n">
        <v>1126.717</v>
      </c>
      <c r="CN26" s="1319" t="n">
        <v>1166.91</v>
      </c>
      <c r="CO26" s="1319" t="n">
        <v>1184.009</v>
      </c>
      <c r="CP26" s="1319" t="n">
        <v>1130.974</v>
      </c>
      <c r="CQ26" s="1319" t="n">
        <v>1149</v>
      </c>
      <c r="CR26" s="1319" t="n">
        <v>1123</v>
      </c>
      <c r="CS26" s="1319" t="n">
        <v>1203.134</v>
      </c>
      <c r="CT26" s="1319" t="n">
        <v>1272.113</v>
      </c>
      <c r="CU26" s="1319" t="n">
        <v>1217.336</v>
      </c>
      <c r="CV26" s="1319" t="n">
        <v>1276</v>
      </c>
      <c r="CW26" s="1320" t="n">
        <v>1256.355</v>
      </c>
      <c r="CX26" s="1320" t="n">
        <v>1273.087</v>
      </c>
      <c r="CY26" s="1320" t="n">
        <v>1241.599</v>
      </c>
      <c r="CZ26" s="1320" t="n">
        <v>1327.392</v>
      </c>
      <c r="DA26" s="1320" t="n">
        <v>1339.65</v>
      </c>
      <c r="DB26" s="1320" t="n">
        <v>1286.166</v>
      </c>
      <c r="DC26" s="1320" t="n">
        <v>1276.721</v>
      </c>
      <c r="DD26" s="1320" t="n">
        <v>1257.823</v>
      </c>
      <c r="DE26" s="1320" t="n">
        <v>1339.192</v>
      </c>
      <c r="DF26" s="1320" t="n">
        <v>1303.421</v>
      </c>
      <c r="DG26" s="1320" t="n">
        <v>1310.078</v>
      </c>
      <c r="DH26" s="1320" t="n">
        <v>1315.18</v>
      </c>
      <c r="DI26" s="1320" t="n">
        <v>1200.784</v>
      </c>
      <c r="DJ26" s="1320" t="n">
        <v>1274.073</v>
      </c>
      <c r="DK26" s="1320" t="n">
        <v>1250.641</v>
      </c>
      <c r="DL26" s="1320" t="n">
        <v>1315.813</v>
      </c>
      <c r="DM26" s="1320" t="n">
        <v>1310.079</v>
      </c>
      <c r="DN26" s="1320" t="n">
        <v>1209.797</v>
      </c>
      <c r="DO26" s="1320" t="n">
        <v>1288.664</v>
      </c>
      <c r="DP26" s="1320" t="n">
        <v>1226.39</v>
      </c>
      <c r="DQ26" s="1320" t="n">
        <v>1302.878</v>
      </c>
      <c r="DR26" s="1320" t="n">
        <v>1333.327</v>
      </c>
      <c r="DS26" s="1320" t="n">
        <v>1157.241</v>
      </c>
      <c r="DT26" s="1320" t="n">
        <v>1259.058</v>
      </c>
      <c r="DU26" s="1320" t="n">
        <v>1268.422</v>
      </c>
      <c r="DV26" s="1320" t="n">
        <v>1253.206</v>
      </c>
      <c r="DW26" s="1320" t="n">
        <v>991.126</v>
      </c>
      <c r="DX26" s="1320" t="n">
        <v>1146.938</v>
      </c>
      <c r="DY26" s="1320" t="n">
        <v>1198.63</v>
      </c>
      <c r="DZ26" s="1320" t="n">
        <v>1071.007</v>
      </c>
      <c r="EA26" s="1320" t="n">
        <v>1124.916</v>
      </c>
      <c r="EB26" s="1320" t="n">
        <v>1095.313</v>
      </c>
      <c r="EC26" s="1320" t="n">
        <v>1201.187</v>
      </c>
      <c r="ED26" s="1320" t="n">
        <v>1136.846</v>
      </c>
      <c r="EE26" s="1320" t="n">
        <v>1164.641</v>
      </c>
      <c r="EF26" s="1320" t="n">
        <v>1126.103</v>
      </c>
      <c r="EG26" s="1320" t="n">
        <v>1151.154</v>
      </c>
      <c r="EH26" s="1320" t="n">
        <v>1207.804</v>
      </c>
      <c r="EI26" s="1320" t="n">
        <v>1118.052</v>
      </c>
      <c r="EJ26" s="1320" t="n">
        <v>1290.3</v>
      </c>
      <c r="EK26" s="1320" t="n">
        <v>1294.551</v>
      </c>
      <c r="EL26" s="1320" t="n">
        <v>1196.994</v>
      </c>
      <c r="EM26" s="1320" t="n">
        <v>1270.557</v>
      </c>
      <c r="EN26" s="1320" t="n">
        <v>1303.506</v>
      </c>
      <c r="EO26" s="1320" t="n">
        <v>1421.003</v>
      </c>
      <c r="EP26" s="1320" t="n">
        <v>1418.185</v>
      </c>
      <c r="EQ26" s="1320" t="n">
        <v>1332.312</v>
      </c>
      <c r="ER26" s="1320" t="n">
        <v>1329.26</v>
      </c>
      <c r="ES26" s="1320" t="n">
        <v>1161.566</v>
      </c>
      <c r="ET26" s="1320" t="n">
        <v>1139.746</v>
      </c>
      <c r="EU26" s="1320" t="n">
        <v>1115.534</v>
      </c>
      <c r="EV26" s="1320" t="n">
        <v>1209.974</v>
      </c>
      <c r="EW26" s="1320" t="n">
        <v>1255.151</v>
      </c>
      <c r="EX26" s="1320" t="n">
        <v>1210.558</v>
      </c>
      <c r="EY26" s="1320" t="n">
        <v>1267.203</v>
      </c>
      <c r="EZ26" s="1320" t="n">
        <v>1323.401</v>
      </c>
      <c r="FA26" s="1320" t="n">
        <v>1431.448</v>
      </c>
      <c r="FB26" s="1320" t="n">
        <v>1495.266</v>
      </c>
      <c r="FC26" s="1320" t="n">
        <v>1296.259</v>
      </c>
      <c r="FD26" s="1320" t="n">
        <v>1378.488</v>
      </c>
      <c r="FE26" s="1320" t="n">
        <v>1380.078</v>
      </c>
      <c r="FF26" s="1320" t="n">
        <v>1401.272</v>
      </c>
      <c r="FG26" s="1320" t="n">
        <v>1321.651</v>
      </c>
      <c r="FH26" s="1320" t="n">
        <v>1464.526</v>
      </c>
      <c r="FI26" s="1320" t="n">
        <v>1490.804</v>
      </c>
      <c r="FJ26" s="1320" t="n">
        <v>1399.347</v>
      </c>
      <c r="FK26" s="1320" t="n">
        <v>1457.517</v>
      </c>
      <c r="FL26" s="1320" t="n">
        <v>1382.107</v>
      </c>
      <c r="FM26" s="1320" t="n">
        <v>1500.249</v>
      </c>
      <c r="FN26" s="1320" t="n">
        <v>1447.74</v>
      </c>
      <c r="FO26" s="1320" t="n">
        <v>1399.696</v>
      </c>
      <c r="FP26" s="1320" t="n">
        <v>1409.732</v>
      </c>
      <c r="FQ26" s="1320" t="n">
        <v>1363.737</v>
      </c>
      <c r="FR26" s="1320" t="n">
        <v>1355.777</v>
      </c>
      <c r="FS26" s="1320" t="n">
        <v>1337.794</v>
      </c>
      <c r="FT26" s="1320" t="n">
        <v>1511.165</v>
      </c>
      <c r="FU26" s="1320" t="n">
        <v>1485.853</v>
      </c>
      <c r="FV26" s="1320" t="n">
        <v>1330.069</v>
      </c>
      <c r="FW26" s="1320" t="n">
        <v>1451.402</v>
      </c>
      <c r="FX26" s="1320" t="n">
        <v>1363.006</v>
      </c>
      <c r="FY26" s="1320" t="n">
        <v>1491.988</v>
      </c>
      <c r="FZ26" s="1320" t="n">
        <v>1454.068</v>
      </c>
      <c r="GA26" s="1320" t="n">
        <v>1390.031</v>
      </c>
      <c r="GB26" s="1320" t="n">
        <v>1465.975</v>
      </c>
      <c r="GC26" s="1320" t="n">
        <v>1534.859</v>
      </c>
      <c r="GD26" s="1320" t="n">
        <v>1519.43</v>
      </c>
      <c r="GE26" s="1320" t="n">
        <v>1506.199</v>
      </c>
      <c r="GF26" s="1320" t="n">
        <v>1639.977</v>
      </c>
      <c r="GG26" s="1320" t="n">
        <v>1665.616</v>
      </c>
      <c r="GH26" s="1320" t="n">
        <v>1499.038</v>
      </c>
      <c r="GI26" s="1320" t="n">
        <v>1578.741</v>
      </c>
      <c r="GJ26" s="1320" t="n">
        <v>1495.488</v>
      </c>
      <c r="GK26" s="1320" t="n">
        <v>1649.345</v>
      </c>
      <c r="GL26" s="1320" t="n">
        <v>1562.531</v>
      </c>
      <c r="GM26" s="1320" t="n">
        <v>1577.11</v>
      </c>
      <c r="GN26" s="1320" t="n">
        <v>1566.921</v>
      </c>
      <c r="GO26" s="1320" t="n">
        <v>1578.624</v>
      </c>
      <c r="GP26" s="1320" t="n">
        <v>1613.033</v>
      </c>
      <c r="GQ26" s="1320" t="n">
        <v>1476.912</v>
      </c>
      <c r="GR26" s="1320" t="n">
        <v>1588.932</v>
      </c>
      <c r="GS26" s="1320" t="n">
        <v>1627.963</v>
      </c>
      <c r="GT26" s="1320" t="n">
        <v>1473.17</v>
      </c>
      <c r="GU26" s="1320" t="n">
        <v>1628.996</v>
      </c>
      <c r="GV26" s="1320" t="n">
        <v>1530.685</v>
      </c>
      <c r="GW26" s="1320" t="n">
        <v>1680.999</v>
      </c>
      <c r="GX26" s="1320" t="n">
        <v>1646.768</v>
      </c>
      <c r="GY26" s="1320" t="n">
        <v>1610.572</v>
      </c>
      <c r="GZ26" s="1320" t="n">
        <v>1650.773</v>
      </c>
      <c r="HA26" s="1320" t="n">
        <v>1598.586</v>
      </c>
      <c r="HB26" s="1320" t="n">
        <v>1592.525</v>
      </c>
      <c r="HC26" s="1320" t="n">
        <v>1562.177</v>
      </c>
      <c r="HD26" s="1320" t="n">
        <v>1717.846</v>
      </c>
      <c r="HE26" s="1320" t="n">
        <v>1677.745</v>
      </c>
      <c r="HF26" s="1320" t="n">
        <v>1509.039</v>
      </c>
      <c r="HG26" s="1320" t="n">
        <v>1618.027</v>
      </c>
      <c r="HH26" s="1320" t="n">
        <v>1420.404</v>
      </c>
      <c r="HI26" s="1320" t="n">
        <v>1653.161</v>
      </c>
      <c r="HJ26" s="892" t="n">
        <v>1696.155</v>
      </c>
      <c r="HK26" s="892" t="n">
        <v>1520.166</v>
      </c>
      <c r="HL26" s="892" t="n">
        <v>1604.79</v>
      </c>
      <c r="HM26" s="892" t="n">
        <v>1638.183</v>
      </c>
      <c r="HN26" s="892" t="n">
        <v>1549.506</v>
      </c>
      <c r="HO26" s="892" t="n">
        <v>1478.462</v>
      </c>
      <c r="HP26" s="892" t="n">
        <v>1654.954</v>
      </c>
      <c r="HQ26" s="892" t="n">
        <v>1628.276</v>
      </c>
      <c r="HR26" s="892" t="n">
        <v>1405.388</v>
      </c>
      <c r="HS26" s="892" t="n">
        <v>1639.084</v>
      </c>
      <c r="HT26" s="892" t="n">
        <v>1506.835</v>
      </c>
      <c r="HU26" s="892" t="n">
        <v>1631.663</v>
      </c>
      <c r="HV26" s="892" t="n">
        <v>1608.97</v>
      </c>
      <c r="HW26" s="892" t="n">
        <v>1614.869</v>
      </c>
      <c r="HX26" s="892" t="n">
        <v>1652.874</v>
      </c>
      <c r="HY26" s="892" t="n">
        <v>1644.068</v>
      </c>
      <c r="HZ26" s="892" t="n">
        <v>1626.562</v>
      </c>
      <c r="IA26" s="892" t="n">
        <v>1541.341</v>
      </c>
      <c r="IB26" s="892" t="n">
        <v>1745.338</v>
      </c>
      <c r="IC26" s="892" t="n">
        <v>1803.104</v>
      </c>
      <c r="ID26" s="892" t="n">
        <v>1428.63</v>
      </c>
      <c r="IE26" s="892" t="n">
        <v>1706.395</v>
      </c>
      <c r="IF26" s="892" t="n">
        <v>1554.213</v>
      </c>
      <c r="IG26" s="892" t="n">
        <v>1767.384</v>
      </c>
      <c r="IH26" s="892" t="n">
        <v>1707.387</v>
      </c>
      <c r="II26" s="892" t="n">
        <v>1671.62</v>
      </c>
      <c r="IJ26" s="892" t="n">
        <v>1709.644</v>
      </c>
      <c r="IK26" s="892" t="n">
        <v>1782.634</v>
      </c>
      <c r="IL26" s="892" t="n">
        <v>1732.407</v>
      </c>
      <c r="IM26" s="892" t="n">
        <v>1667.6</v>
      </c>
      <c r="IN26" s="892" t="n">
        <v>1851.504</v>
      </c>
      <c r="IO26" s="892" t="n">
        <v>1845.282</v>
      </c>
      <c r="IP26" s="892" t="n">
        <v>1656.83</v>
      </c>
      <c r="IQ26" s="892" t="n">
        <v>1710.138</v>
      </c>
      <c r="IR26" s="892" t="n">
        <v>1533.536</v>
      </c>
      <c r="IS26" s="892" t="n">
        <v>1707.653</v>
      </c>
      <c r="IT26" s="892" t="n">
        <v>1749.611</v>
      </c>
      <c r="IU26" s="892" t="n">
        <v>1013.691</v>
      </c>
      <c r="IV26" s="892" t="n">
        <v>134.318</v>
      </c>
      <c r="IW26" s="892" t="n">
        <v>22.073</v>
      </c>
      <c r="IX26" s="893" t="n">
        <v>24.235</v>
      </c>
      <c r="IY26" s="893" t="n">
        <v>26.101</v>
      </c>
      <c r="IZ26" s="893" t="n">
        <v>32.779</v>
      </c>
      <c r="JA26" s="893" t="n">
        <v>34.408</v>
      </c>
      <c r="JB26" s="893" t="n">
        <v>34.534</v>
      </c>
      <c r="JC26" s="893" t="n">
        <v>32.405</v>
      </c>
      <c r="JD26" s="893" t="n">
        <v>33.445</v>
      </c>
      <c r="JE26" s="893" t="n">
        <v>43.569</v>
      </c>
      <c r="JF26" s="893" t="n">
        <v>48.914</v>
      </c>
      <c r="JG26" s="893" t="n">
        <v>39.445</v>
      </c>
      <c r="JH26" s="893" t="n">
        <v>29.681</v>
      </c>
      <c r="JI26" s="893" t="n">
        <v>34.056</v>
      </c>
      <c r="JJ26" s="893" t="n">
        <v>36.419</v>
      </c>
      <c r="JK26" s="893" t="n">
        <v>47.453</v>
      </c>
      <c r="JL26" s="893" t="n">
        <v>52.709</v>
      </c>
      <c r="JM26" s="893" t="n">
        <v>58.451</v>
      </c>
      <c r="JN26" s="893" t="n">
        <v>56.641</v>
      </c>
      <c r="JO26" s="893" t="n">
        <v>43.291</v>
      </c>
      <c r="JP26" s="893" t="n">
        <v>45.596</v>
      </c>
      <c r="JQ26" s="893" t="n">
        <v>35.03</v>
      </c>
      <c r="JR26" s="893" t="n">
        <v>8.375</v>
      </c>
      <c r="JS26" s="893" t="n">
        <v>11.44</v>
      </c>
      <c r="JT26" s="893" t="n">
        <v>12.256</v>
      </c>
      <c r="JU26" s="893" t="n">
        <v>21.116</v>
      </c>
      <c r="JV26" s="893" t="n">
        <v>17.312</v>
      </c>
      <c r="JW26" s="893" t="n">
        <v>32.878</v>
      </c>
      <c r="JX26" s="893" t="n">
        <v>75.357</v>
      </c>
      <c r="JY26" s="893" t="n">
        <v>66.68899999999999</v>
      </c>
      <c r="JZ26" s="893" t="n">
        <v>85.26900000000001</v>
      </c>
      <c r="KA26" s="893" t="n">
        <v>224.614</v>
      </c>
      <c r="KB26" s="893" t="n">
        <v>294.494</v>
      </c>
      <c r="KC26" s="893" t="n">
        <v>645.423</v>
      </c>
      <c r="KD26" s="893" t="n">
        <v>786.255</v>
      </c>
      <c r="KE26" s="893" t="n">
        <v>703.504</v>
      </c>
      <c r="KF26" s="893" t="n">
        <v>800.5599999999999</v>
      </c>
      <c r="KG26" s="893" t="n">
        <v>875.272</v>
      </c>
      <c r="KH26" s="893" t="n">
        <v>980.822</v>
      </c>
      <c r="KI26" s="893" t="n">
        <v>1071.036</v>
      </c>
      <c r="KJ26" s="893" t="n">
        <v>1207.947</v>
      </c>
      <c r="KK26" s="893" t="n">
        <v>1216.207</v>
      </c>
      <c r="KL26" s="893" t="n">
        <v>1054.997</v>
      </c>
      <c r="KM26" s="893" t="n">
        <v>1171.402</v>
      </c>
      <c r="KN26" s="893" t="n">
        <v>1253.02</v>
      </c>
      <c r="KO26" s="893" t="n">
        <v>1315.822</v>
      </c>
      <c r="KP26" s="893" t="n">
        <v>1327.088</v>
      </c>
      <c r="KQ26" s="893" t="n">
        <v>1319.09</v>
      </c>
      <c r="KR26" s="893" t="n">
        <v>1320.707</v>
      </c>
      <c r="KS26" s="893" t="n">
        <v>1182.358</v>
      </c>
      <c r="KT26" s="893" t="n">
        <v>1215.147</v>
      </c>
      <c r="KU26" s="893" t="n">
        <v>1210.015</v>
      </c>
      <c r="KV26" s="893" t="n">
        <v>1332.789</v>
      </c>
      <c r="KW26" s="893" t="n">
        <v>1334.693</v>
      </c>
      <c r="KX26" s="893" t="n">
        <v>1246.363</v>
      </c>
      <c r="KY26" s="893" t="n">
        <v>1312.452</v>
      </c>
      <c r="KZ26" s="893" t="n">
        <v>1286.829</v>
      </c>
      <c r="LA26" s="893" t="n">
        <v>1439.099</v>
      </c>
      <c r="LB26" s="893" t="n"/>
      <c r="LC26" s="893" t="n"/>
      <c r="LD26" s="893" t="n"/>
      <c r="LE26" s="893" t="n"/>
      <c r="LF26" s="893" t="n"/>
      <c r="LG26" s="893" t="n"/>
      <c r="LH26" s="893" t="n"/>
      <c r="LI26" s="893" t="n"/>
      <c r="LJ26" s="893" t="n"/>
      <c r="LK26" s="893" t="n"/>
      <c r="LL26" s="893" t="n"/>
      <c r="LM26" s="893" t="n"/>
      <c r="LN26" s="893" t="n"/>
      <c r="LO26" s="893" t="n"/>
      <c r="LP26" s="893" t="n"/>
      <c r="LQ26" s="893" t="n"/>
      <c r="LR26" s="893" t="n"/>
      <c r="LS26" s="893" t="n"/>
    </row>
    <row r="27">
      <c r="A27" s="885" t="inlineStr">
        <is>
          <t>m cg %</t>
        </is>
      </c>
      <c r="B27" s="1318" t="n"/>
      <c r="C27" s="1318">
        <f>C26/B26-1</f>
        <v/>
      </c>
      <c r="D27" s="1318">
        <f>D26/C26-1</f>
        <v/>
      </c>
      <c r="E27" s="1318">
        <f>E26/D26-1</f>
        <v/>
      </c>
      <c r="F27" s="1318">
        <f>F26/E26-1</f>
        <v/>
      </c>
      <c r="G27" s="1318">
        <f>G26/F26-1</f>
        <v/>
      </c>
      <c r="H27" s="1318">
        <f>H26/G26-1</f>
        <v/>
      </c>
      <c r="I27" s="1318">
        <f>I26/H26-1</f>
        <v/>
      </c>
      <c r="J27" s="1318">
        <f>J26/I26-1</f>
        <v/>
      </c>
      <c r="K27" s="1318">
        <f>K26/J26-1</f>
        <v/>
      </c>
      <c r="L27" s="1318">
        <f>L26/K26-1</f>
        <v/>
      </c>
      <c r="M27" s="1318">
        <f>M26/L26-1</f>
        <v/>
      </c>
      <c r="N27" s="1318">
        <f>N26/M26-1</f>
        <v/>
      </c>
      <c r="O27" s="1318">
        <f>O26/N26-1</f>
        <v/>
      </c>
      <c r="P27" s="1318">
        <f>P26/O26-1</f>
        <v/>
      </c>
      <c r="Q27" s="1318">
        <f>Q26/P26-1</f>
        <v/>
      </c>
      <c r="R27" s="1318">
        <f>R26/Q26-1</f>
        <v/>
      </c>
      <c r="S27" s="1318">
        <f>S26/R26-1</f>
        <v/>
      </c>
      <c r="T27" s="1318">
        <f>T26/S26-1</f>
        <v/>
      </c>
      <c r="U27" s="1318">
        <f>U26/T26-1</f>
        <v/>
      </c>
      <c r="V27" s="1318">
        <f>V26/U26-1</f>
        <v/>
      </c>
      <c r="W27" s="1318">
        <f>W26/V26-1</f>
        <v/>
      </c>
      <c r="X27" s="1318">
        <f>X26/W26-1</f>
        <v/>
      </c>
      <c r="Y27" s="1318">
        <f>Y26/X26-1</f>
        <v/>
      </c>
      <c r="Z27" s="1318">
        <f>Z26/Y26-1</f>
        <v/>
      </c>
      <c r="AA27" s="1318">
        <f>AA26/Z26-1</f>
        <v/>
      </c>
      <c r="AB27" s="1318">
        <f>AB26/AA26-1</f>
        <v/>
      </c>
      <c r="AC27" s="1318">
        <f>AC26/AB26-1</f>
        <v/>
      </c>
      <c r="AD27" s="1318">
        <f>AD26/AC26-1</f>
        <v/>
      </c>
      <c r="AE27" s="1318">
        <f>AE26/AD26-1</f>
        <v/>
      </c>
      <c r="AF27" s="1318">
        <f>AF26/AE26-1</f>
        <v/>
      </c>
      <c r="AG27" s="1318">
        <f>AG26/AF26-1</f>
        <v/>
      </c>
      <c r="AH27" s="1318">
        <f>AH26/AG26-1</f>
        <v/>
      </c>
      <c r="AI27" s="1318">
        <f>AI26/AH26-1</f>
        <v/>
      </c>
      <c r="AJ27" s="1318">
        <f>AJ26/AI26-1</f>
        <v/>
      </c>
      <c r="AK27" s="1318">
        <f>AK26/AJ26-1</f>
        <v/>
      </c>
      <c r="AL27" s="1318">
        <f>AL26/AK26-1</f>
        <v/>
      </c>
      <c r="AM27" s="1318">
        <f>AM26/AL26-1</f>
        <v/>
      </c>
      <c r="AN27" s="1318">
        <f>AN26/AM26-1</f>
        <v/>
      </c>
      <c r="AO27" s="1318">
        <f>AO26/AN26-1</f>
        <v/>
      </c>
      <c r="AP27" s="1318">
        <f>AP26/AO26-1</f>
        <v/>
      </c>
      <c r="AQ27" s="1318">
        <f>AQ26/AP26-1</f>
        <v/>
      </c>
      <c r="AR27" s="1318">
        <f>AR26/AQ26-1</f>
        <v/>
      </c>
      <c r="AS27" s="1318">
        <f>AS26/AR26-1</f>
        <v/>
      </c>
      <c r="AT27" s="1318">
        <f>AT26/AS26-1</f>
        <v/>
      </c>
      <c r="AU27" s="1318">
        <f>AU26/AT26-1</f>
        <v/>
      </c>
      <c r="AV27" s="1318">
        <f>AV26/AU26-1</f>
        <v/>
      </c>
      <c r="AW27" s="1318">
        <f>AW26/AV26-1</f>
        <v/>
      </c>
      <c r="AX27" s="1318">
        <f>AX26/AW26-1</f>
        <v/>
      </c>
      <c r="AY27" s="1318">
        <f>AY26/AX26-1</f>
        <v/>
      </c>
      <c r="AZ27" s="1318">
        <f>AZ26/AY26-1</f>
        <v/>
      </c>
      <c r="BA27" s="1318">
        <f>BA26/AZ26-1</f>
        <v/>
      </c>
      <c r="BB27" s="1318">
        <f>BB26/BA26-1</f>
        <v/>
      </c>
      <c r="BC27" s="1318">
        <f>BC26/BB26-1</f>
        <v/>
      </c>
      <c r="BD27" s="1318">
        <f>BD26/BC26-1</f>
        <v/>
      </c>
      <c r="BE27" s="1318">
        <f>BE26/BD26-1</f>
        <v/>
      </c>
      <c r="BF27" s="1318">
        <f>BF26/BE26-1</f>
        <v/>
      </c>
      <c r="BG27" s="1318">
        <f>BG26/BF26-1</f>
        <v/>
      </c>
      <c r="BH27" s="1318">
        <f>BH26/BG26-1</f>
        <v/>
      </c>
      <c r="BI27" s="1318">
        <f>BI26/BH26-1</f>
        <v/>
      </c>
      <c r="BJ27" s="1318">
        <f>BJ26/BI26-1</f>
        <v/>
      </c>
      <c r="BK27" s="1318">
        <f>BK26/BJ26-1</f>
        <v/>
      </c>
      <c r="BL27" s="1318">
        <f>BL26/BK26-1</f>
        <v/>
      </c>
      <c r="BM27" s="1318">
        <f>BM26/BL26-1</f>
        <v/>
      </c>
      <c r="BN27" s="1318">
        <f>BN26/BM26-1</f>
        <v/>
      </c>
      <c r="BO27" s="1318">
        <f>BO26/BN26-1</f>
        <v/>
      </c>
      <c r="BP27" s="1318">
        <f>BP26/BO26-1</f>
        <v/>
      </c>
      <c r="BQ27" s="1318">
        <f>BQ26/BP26-1</f>
        <v/>
      </c>
      <c r="BR27" s="1318">
        <f>BR26/BQ26-1</f>
        <v/>
      </c>
      <c r="BS27" s="1318">
        <f>BS26/BR26-1</f>
        <v/>
      </c>
      <c r="BT27" s="1318">
        <f>BT26/BS26-1</f>
        <v/>
      </c>
      <c r="BU27" s="1318">
        <f>BU26/BT26-1</f>
        <v/>
      </c>
      <c r="BV27" s="1318">
        <f>BV26/BU26-1</f>
        <v/>
      </c>
      <c r="BW27" s="1318">
        <f>BW26/BV26-1</f>
        <v/>
      </c>
      <c r="BX27" s="1318">
        <f>BX26/BW26-1</f>
        <v/>
      </c>
      <c r="BY27" s="1318">
        <f>BY26/BX26-1</f>
        <v/>
      </c>
      <c r="BZ27" s="1318">
        <f>BZ26/BY26-1</f>
        <v/>
      </c>
      <c r="CA27" s="1318">
        <f>CA26/BZ26-1</f>
        <v/>
      </c>
      <c r="CB27" s="1318">
        <f>CB26/CA26-1</f>
        <v/>
      </c>
      <c r="CC27" s="1318">
        <f>CC26/CB26-1</f>
        <v/>
      </c>
      <c r="CD27" s="1318">
        <f>CD26/CC26-1</f>
        <v/>
      </c>
      <c r="CE27" s="1318">
        <f>CE26/CD26-1</f>
        <v/>
      </c>
      <c r="CF27" s="1318">
        <f>CF26/CE26-1</f>
        <v/>
      </c>
      <c r="CG27" s="1318">
        <f>CG26/CF26-1</f>
        <v/>
      </c>
      <c r="CH27" s="1318">
        <f>CH26/CG26-1</f>
        <v/>
      </c>
      <c r="CI27" s="1318">
        <f>CI26/CH26-1</f>
        <v/>
      </c>
      <c r="CJ27" s="1318">
        <f>CJ26/CI26-1</f>
        <v/>
      </c>
      <c r="CK27" s="1318">
        <f>CK26/CJ26-1</f>
        <v/>
      </c>
      <c r="CL27" s="1318">
        <f>CL26/CK26-1</f>
        <v/>
      </c>
      <c r="CM27" s="1318">
        <f>CM26/CL26-1</f>
        <v/>
      </c>
      <c r="CN27" s="1318">
        <f>CN26/CM26-1</f>
        <v/>
      </c>
      <c r="CO27" s="1318">
        <f>CO26/CN26-1</f>
        <v/>
      </c>
      <c r="CP27" s="1318">
        <f>CP26/CO26-1</f>
        <v/>
      </c>
      <c r="CQ27" s="1318">
        <f>CQ26/CP26-1</f>
        <v/>
      </c>
      <c r="CR27" s="1318">
        <f>CR26/CQ26-1</f>
        <v/>
      </c>
      <c r="CS27" s="1318">
        <f>CS26/CR26-1</f>
        <v/>
      </c>
      <c r="CT27" s="1318">
        <f>CT26/CS26-1</f>
        <v/>
      </c>
      <c r="CU27" s="1318">
        <f>CU26/CT26-1</f>
        <v/>
      </c>
      <c r="CV27" s="1318">
        <f>CV26/CU26-1</f>
        <v/>
      </c>
      <c r="CW27" s="1318">
        <f>CW26/CV26-1</f>
        <v/>
      </c>
      <c r="CX27" s="1318">
        <f>CX26/CW26-1</f>
        <v/>
      </c>
      <c r="CY27" s="1318">
        <f>CY26/CX26-1</f>
        <v/>
      </c>
      <c r="CZ27" s="1318">
        <f>CZ26/CY26-1</f>
        <v/>
      </c>
      <c r="DA27" s="1318">
        <f>DA26/CZ26-1</f>
        <v/>
      </c>
      <c r="DB27" s="1318">
        <f>DB26/DA26-1</f>
        <v/>
      </c>
      <c r="DC27" s="1318">
        <f>DC26/DB26-1</f>
        <v/>
      </c>
      <c r="DD27" s="1318">
        <f>DD26/DC26-1</f>
        <v/>
      </c>
      <c r="DE27" s="1318">
        <f>DE26/DD26-1</f>
        <v/>
      </c>
      <c r="DF27" s="1318">
        <f>DF26/DE26-1</f>
        <v/>
      </c>
      <c r="DG27" s="1318">
        <f>DG26/DF26-1</f>
        <v/>
      </c>
      <c r="DH27" s="1318">
        <f>DH26/DG26-1</f>
        <v/>
      </c>
      <c r="DI27" s="1318">
        <f>DI26/DH26-1</f>
        <v/>
      </c>
      <c r="DJ27" s="1318">
        <f>DJ26/DI26-1</f>
        <v/>
      </c>
      <c r="DK27" s="1318">
        <f>DK26/DJ26-1</f>
        <v/>
      </c>
      <c r="DL27" s="1318">
        <f>DL26/DK26-1</f>
        <v/>
      </c>
      <c r="DM27" s="1318">
        <f>DM26/DL26-1</f>
        <v/>
      </c>
      <c r="DN27" s="1318">
        <f>DN26/DM26-1</f>
        <v/>
      </c>
      <c r="DO27" s="1318">
        <f>DO26/DN26-1</f>
        <v/>
      </c>
      <c r="DP27" s="1318">
        <f>DP26/DO26-1</f>
        <v/>
      </c>
      <c r="DQ27" s="1318">
        <f>DQ26/DP26-1</f>
        <v/>
      </c>
      <c r="DR27" s="1318">
        <f>DR26/DQ26-1</f>
        <v/>
      </c>
      <c r="DS27" s="1318">
        <f>DS26/DR26-1</f>
        <v/>
      </c>
      <c r="DT27" s="1318">
        <f>DT26/DS26-1</f>
        <v/>
      </c>
      <c r="DU27" s="1318">
        <f>DU26/DT26-1</f>
        <v/>
      </c>
      <c r="DV27" s="1318">
        <f>DV26/DU26-1</f>
        <v/>
      </c>
      <c r="DW27" s="1318">
        <f>DW26/DV26-1</f>
        <v/>
      </c>
      <c r="DX27" s="1318">
        <f>DX26/DW26-1</f>
        <v/>
      </c>
      <c r="DY27" s="1318">
        <f>DY26/DX26-1</f>
        <v/>
      </c>
      <c r="DZ27" s="1318">
        <f>DZ26/DY26-1</f>
        <v/>
      </c>
      <c r="EA27" s="1318">
        <f>EA26/DZ26-1</f>
        <v/>
      </c>
      <c r="EB27" s="1318">
        <f>EB26/EA26-1</f>
        <v/>
      </c>
      <c r="EC27" s="1318">
        <f>EC26/EB26-1</f>
        <v/>
      </c>
      <c r="ED27" s="1318">
        <f>ED26/EC26-1</f>
        <v/>
      </c>
      <c r="EE27" s="1318">
        <f>EE26/ED26-1</f>
        <v/>
      </c>
      <c r="EF27" s="1318">
        <f>EF26/EE26-1</f>
        <v/>
      </c>
      <c r="EG27" s="1318">
        <f>EG26/EF26-1</f>
        <v/>
      </c>
      <c r="EH27" s="1318">
        <f>EH26/EG26-1</f>
        <v/>
      </c>
      <c r="EI27" s="1318">
        <f>EI26/EH26-1</f>
        <v/>
      </c>
      <c r="EJ27" s="1318">
        <f>EJ26/EI26-1</f>
        <v/>
      </c>
      <c r="EK27" s="1318">
        <f>EK26/EJ26-1</f>
        <v/>
      </c>
      <c r="EL27" s="1318">
        <f>EL26/EK26-1</f>
        <v/>
      </c>
      <c r="EM27" s="1318">
        <f>EM26/EL26-1</f>
        <v/>
      </c>
      <c r="EN27" s="1318">
        <f>EN26/EM26-1</f>
        <v/>
      </c>
      <c r="EO27" s="1318">
        <f>EO26/EN26-1</f>
        <v/>
      </c>
      <c r="EP27" s="1318">
        <f>EP26/EO26-1</f>
        <v/>
      </c>
      <c r="EQ27" s="1318">
        <f>EQ26/EP26-1</f>
        <v/>
      </c>
      <c r="ER27" s="1318">
        <f>ER26/EQ26-1</f>
        <v/>
      </c>
      <c r="ES27" s="1318">
        <f>ES26/ER26-1</f>
        <v/>
      </c>
      <c r="ET27" s="1318">
        <f>ET26/ES26-1</f>
        <v/>
      </c>
      <c r="EU27" s="1318">
        <f>EU26/ET26-1</f>
        <v/>
      </c>
      <c r="EV27" s="1318">
        <f>EV26/EU26-1</f>
        <v/>
      </c>
      <c r="EW27" s="1318">
        <f>EW26/EV26-1</f>
        <v/>
      </c>
      <c r="EX27" s="1318">
        <f>EX26/EW26-1</f>
        <v/>
      </c>
      <c r="EY27" s="1318">
        <f>EY26/EX26-1</f>
        <v/>
      </c>
      <c r="EZ27" s="1318">
        <f>EZ26/EY26-1</f>
        <v/>
      </c>
      <c r="FA27" s="1318">
        <f>FA26/EZ26-1</f>
        <v/>
      </c>
      <c r="FB27" s="1318">
        <f>FB26/FA26-1</f>
        <v/>
      </c>
      <c r="FC27" s="1318">
        <f>FC26/FB26-1</f>
        <v/>
      </c>
      <c r="FD27" s="1318">
        <f>FD26/FC26-1</f>
        <v/>
      </c>
      <c r="FE27" s="1318">
        <f>FE26/FD26-1</f>
        <v/>
      </c>
      <c r="FF27" s="1318">
        <f>FF26/FE26-1</f>
        <v/>
      </c>
      <c r="FG27" s="1318">
        <f>FG26/FF26-1</f>
        <v/>
      </c>
      <c r="FH27" s="1318">
        <f>FH26/FG26-1</f>
        <v/>
      </c>
      <c r="FI27" s="1318">
        <f>FI26/FH26-1</f>
        <v/>
      </c>
      <c r="FJ27" s="1318">
        <f>FJ26/FI26-1</f>
        <v/>
      </c>
      <c r="FK27" s="1318">
        <f>FK26/FJ26-1</f>
        <v/>
      </c>
      <c r="FL27" s="1318">
        <f>FL26/FK26-1</f>
        <v/>
      </c>
      <c r="FM27" s="1318">
        <f>FM26/FL26-1</f>
        <v/>
      </c>
      <c r="FN27" s="1318">
        <f>FN26/FM26-1</f>
        <v/>
      </c>
      <c r="FO27" s="1318">
        <f>FO26/FN26-1</f>
        <v/>
      </c>
      <c r="FP27" s="1318">
        <f>FP26/FO26-1</f>
        <v/>
      </c>
      <c r="FQ27" s="1318">
        <f>FQ26/FP26-1</f>
        <v/>
      </c>
      <c r="FR27" s="1318">
        <f>FR26/FQ26-1</f>
        <v/>
      </c>
      <c r="FS27" s="1318">
        <f>FS26/FR26-1</f>
        <v/>
      </c>
      <c r="FT27" s="1318">
        <f>FT26/FS26-1</f>
        <v/>
      </c>
      <c r="FU27" s="1318">
        <f>FU26/FT26-1</f>
        <v/>
      </c>
      <c r="FV27" s="1318">
        <f>FV26/FU26-1</f>
        <v/>
      </c>
      <c r="FW27" s="1318">
        <f>FW26/FV26-1</f>
        <v/>
      </c>
      <c r="FX27" s="1318">
        <f>FX26/FW26-1</f>
        <v/>
      </c>
      <c r="FY27" s="1318">
        <f>FY26/FX26-1</f>
        <v/>
      </c>
      <c r="FZ27" s="1318">
        <f>FZ26/FY26-1</f>
        <v/>
      </c>
      <c r="GA27" s="1318">
        <f>GA26/FZ26-1</f>
        <v/>
      </c>
      <c r="GB27" s="1318">
        <f>GB26/GA26-1</f>
        <v/>
      </c>
      <c r="GC27" s="1318">
        <f>GC26/GB26-1</f>
        <v/>
      </c>
      <c r="GD27" s="1318">
        <f>GD26/GC26-1</f>
        <v/>
      </c>
      <c r="GE27" s="1318">
        <f>GE26/GD26-1</f>
        <v/>
      </c>
      <c r="GF27" s="1318">
        <f>GF26/GE26-1</f>
        <v/>
      </c>
      <c r="GG27" s="1318">
        <f>GG26/GF26-1</f>
        <v/>
      </c>
      <c r="GH27" s="1318">
        <f>GH26/GG26-1</f>
        <v/>
      </c>
      <c r="GI27" s="1318">
        <f>GI26/GH26-1</f>
        <v/>
      </c>
      <c r="GJ27" s="1318">
        <f>GJ26/GI26-1</f>
        <v/>
      </c>
      <c r="GK27" s="1318">
        <f>GK26/GJ26-1</f>
        <v/>
      </c>
      <c r="GL27" s="1318">
        <f>GL26/GK26-1</f>
        <v/>
      </c>
      <c r="GM27" s="1318">
        <f>GM26/GL26-1</f>
        <v/>
      </c>
      <c r="GN27" s="1318">
        <f>GN26/GM26-1</f>
        <v/>
      </c>
      <c r="GO27" s="1318">
        <f>GO26/GN26-1</f>
        <v/>
      </c>
      <c r="GP27" s="1318">
        <f>GP26/GO26-1</f>
        <v/>
      </c>
      <c r="GQ27" s="1318">
        <f>GQ26/GP26-1</f>
        <v/>
      </c>
      <c r="GR27" s="1318">
        <f>GR26/GQ26-1</f>
        <v/>
      </c>
      <c r="GS27" s="1318">
        <f>GS26/GR26-1</f>
        <v/>
      </c>
      <c r="GT27" s="1318">
        <f>GT26/GS26-1</f>
        <v/>
      </c>
      <c r="GU27" s="1318">
        <f>GU26/GT26-1</f>
        <v/>
      </c>
      <c r="GV27" s="1318">
        <f>GV26/GU26-1</f>
        <v/>
      </c>
      <c r="GW27" s="1318">
        <f>GW26/GV26-1</f>
        <v/>
      </c>
      <c r="GX27" s="1318">
        <f>GX26/GW26-1</f>
        <v/>
      </c>
      <c r="GY27" s="1318">
        <f>GY26/GX26-1</f>
        <v/>
      </c>
      <c r="GZ27" s="1318">
        <f>GZ26/GY26-1</f>
        <v/>
      </c>
      <c r="HA27" s="1318">
        <f>HA26/GZ26-1</f>
        <v/>
      </c>
      <c r="HB27" s="1318">
        <f>HB26/HA26-1</f>
        <v/>
      </c>
      <c r="HC27" s="1318">
        <f>HC26/HB26-1</f>
        <v/>
      </c>
      <c r="HD27" s="1318">
        <f>HD26/HC26-1</f>
        <v/>
      </c>
      <c r="HE27" s="1318">
        <f>HE26/HD26-1</f>
        <v/>
      </c>
      <c r="HF27" s="1318">
        <f>HF26/HE26-1</f>
        <v/>
      </c>
      <c r="HG27" s="1318">
        <f>HG26/HF26-1</f>
        <v/>
      </c>
      <c r="HH27" s="1318">
        <f>HH26/HG26-1</f>
        <v/>
      </c>
      <c r="HI27" s="1318">
        <f>HI26/HH26-1</f>
        <v/>
      </c>
      <c r="HJ27" s="1318">
        <f>HJ26/HI26-1</f>
        <v/>
      </c>
      <c r="HK27" s="1318">
        <f>HK26/HJ26-1</f>
        <v/>
      </c>
      <c r="HL27" s="1318">
        <f>HL26/HK26-1</f>
        <v/>
      </c>
      <c r="HM27" s="1318">
        <f>HM26/HL26-1</f>
        <v/>
      </c>
      <c r="HN27" s="1318">
        <f>HN26/HM26-1</f>
        <v/>
      </c>
      <c r="HO27" s="1318">
        <f>HO26/HN26-1</f>
        <v/>
      </c>
      <c r="HP27" s="1318">
        <f>HP26/HO26-1</f>
        <v/>
      </c>
      <c r="HQ27" s="1318">
        <f>HQ26/HP26-1</f>
        <v/>
      </c>
      <c r="HR27" s="1318">
        <f>HR26/HQ26-1</f>
        <v/>
      </c>
      <c r="HS27" s="1318">
        <f>HS26/HR26-1</f>
        <v/>
      </c>
      <c r="HT27" s="1318">
        <f>HT26/HS26-1</f>
        <v/>
      </c>
      <c r="HU27" s="1318">
        <f>HU26/HT26-1</f>
        <v/>
      </c>
      <c r="HV27" s="1318">
        <f>HV26/HU26-1</f>
        <v/>
      </c>
      <c r="HW27" s="1318">
        <f>HW26/HV26-1</f>
        <v/>
      </c>
      <c r="HX27" s="1318">
        <f>HX26/HW26-1</f>
        <v/>
      </c>
      <c r="HY27" s="1318">
        <f>HY26/HX26-1</f>
        <v/>
      </c>
      <c r="HZ27" s="1318">
        <f>HZ26/HY26-1</f>
        <v/>
      </c>
      <c r="IA27" s="1318">
        <f>IA26/HZ26-1</f>
        <v/>
      </c>
      <c r="IB27" s="1318">
        <f>IB26/IA26-1</f>
        <v/>
      </c>
      <c r="IC27" s="1318">
        <f>IC26/IB26-1</f>
        <v/>
      </c>
      <c r="ID27" s="1318">
        <f>ID26/IC26-1</f>
        <v/>
      </c>
      <c r="IE27" s="1318">
        <f>IE26/ID26-1</f>
        <v/>
      </c>
      <c r="IF27" s="1318">
        <f>IF26/IE26-1</f>
        <v/>
      </c>
      <c r="IG27" s="1318">
        <f>IG26/IF26-1</f>
        <v/>
      </c>
      <c r="IH27" s="1318">
        <f>IH26/IG26-1</f>
        <v/>
      </c>
      <c r="II27" s="1318">
        <f>II26/IH26-1</f>
        <v/>
      </c>
      <c r="IJ27" s="1318">
        <f>IJ26/II26-1</f>
        <v/>
      </c>
      <c r="IK27" s="1318">
        <f>IK26/IJ26-1</f>
        <v/>
      </c>
      <c r="IL27" s="1318">
        <f>IL26/IK26-1</f>
        <v/>
      </c>
      <c r="IM27" s="1318">
        <f>IM26/IL26-1</f>
        <v/>
      </c>
      <c r="IN27" s="1318">
        <f>IN26/IM26-1</f>
        <v/>
      </c>
      <c r="IO27" s="1318">
        <f>IO26/IN26-1</f>
        <v/>
      </c>
      <c r="IP27" s="1318">
        <f>IP26/IO26-1</f>
        <v/>
      </c>
      <c r="IQ27" s="1318">
        <f>IQ26/IP26-1</f>
        <v/>
      </c>
      <c r="IR27" s="1318">
        <f>IR26/IQ26-1</f>
        <v/>
      </c>
      <c r="IS27" s="1318">
        <f>IS26/IR26-1</f>
        <v/>
      </c>
      <c r="IT27" s="1318">
        <f>IT26/IS26-1</f>
        <v/>
      </c>
      <c r="IU27" s="1318">
        <f>IU26/IT26-1</f>
        <v/>
      </c>
      <c r="IV27" s="1318">
        <f>IV26/IU26-1</f>
        <v/>
      </c>
      <c r="IW27" s="1318">
        <f>IW26/IV26-1</f>
        <v/>
      </c>
      <c r="IX27" s="1318">
        <f>IX26/IW26-1</f>
        <v/>
      </c>
      <c r="IY27" s="1318">
        <f>IY26/IX26-1</f>
        <v/>
      </c>
      <c r="IZ27" s="1318">
        <f>IZ26/IY26-1</f>
        <v/>
      </c>
      <c r="JA27" s="1318">
        <f>JA26/IZ26-1</f>
        <v/>
      </c>
      <c r="JB27" s="1318">
        <f>JB26/JA26-1</f>
        <v/>
      </c>
      <c r="JC27" s="1318">
        <f>JC26/JB26-1</f>
        <v/>
      </c>
      <c r="JD27" s="1318">
        <f>JD26/JC26-1</f>
        <v/>
      </c>
      <c r="JE27" s="1318">
        <f>JE26/JD26-1</f>
        <v/>
      </c>
      <c r="JF27" s="1318">
        <f>JF26/JE26-1</f>
        <v/>
      </c>
      <c r="JG27" s="1318">
        <f>JG26/JF26-1</f>
        <v/>
      </c>
      <c r="JH27" s="1318">
        <f>JH26/JG26-1</f>
        <v/>
      </c>
      <c r="JI27" s="1318">
        <f>JI26/JH26-1</f>
        <v/>
      </c>
      <c r="JJ27" s="1318">
        <f>JJ26/JI26-1</f>
        <v/>
      </c>
      <c r="JK27" s="1318">
        <f>JK26/JJ26-1</f>
        <v/>
      </c>
      <c r="JL27" s="1318">
        <f>JL26/JK26-1</f>
        <v/>
      </c>
      <c r="JM27" s="1318">
        <f>JM26/JL26-1</f>
        <v/>
      </c>
      <c r="JN27" s="1318">
        <f>JN26/JM26-1</f>
        <v/>
      </c>
      <c r="JO27" s="1318">
        <f>JO26/JN26-1</f>
        <v/>
      </c>
      <c r="JP27" s="1318">
        <f>JP26/JO26-1</f>
        <v/>
      </c>
      <c r="JQ27" s="1318">
        <f>JQ26/JP26-1</f>
        <v/>
      </c>
      <c r="JR27" s="1318">
        <f>JR26/JQ26-1</f>
        <v/>
      </c>
      <c r="JS27" s="1318">
        <f>JS26/JR26-1</f>
        <v/>
      </c>
      <c r="JT27" s="1318">
        <f>JT26/JS26-1</f>
        <v/>
      </c>
      <c r="JU27" s="1318">
        <f>JU26/JT26-1</f>
        <v/>
      </c>
      <c r="JV27" s="1318">
        <f>JV26/JU26-1</f>
        <v/>
      </c>
      <c r="JW27" s="1318">
        <f>JW26/JV26-1</f>
        <v/>
      </c>
      <c r="JX27" s="1318">
        <f>JX26/JW26-1</f>
        <v/>
      </c>
      <c r="JY27" s="1318">
        <f>JY26/JX26-1</f>
        <v/>
      </c>
      <c r="JZ27" s="1318">
        <f>JZ26/JY26-1</f>
        <v/>
      </c>
      <c r="KA27" s="1318">
        <f>KA26/JZ26-1</f>
        <v/>
      </c>
      <c r="KB27" s="1318">
        <f>KB26/KA26-1</f>
        <v/>
      </c>
      <c r="KC27" s="1318">
        <f>KC26/KB26-1</f>
        <v/>
      </c>
      <c r="KD27" s="1318">
        <f>KD26/KC26-1</f>
        <v/>
      </c>
      <c r="KE27" s="1318">
        <f>KE26/KD26-1</f>
        <v/>
      </c>
      <c r="KF27" s="1318">
        <f>KF26/KE26-1</f>
        <v/>
      </c>
      <c r="KG27" s="1318">
        <f>KG26/KF26-1</f>
        <v/>
      </c>
      <c r="KH27" s="1318">
        <f>KH26/KG26-1</f>
        <v/>
      </c>
      <c r="KI27" s="1318">
        <f>KI26/KH26-1</f>
        <v/>
      </c>
      <c r="KJ27" s="1318">
        <f>KJ26/KI26-1</f>
        <v/>
      </c>
      <c r="KK27" s="1318">
        <f>KK26/KJ26-1</f>
        <v/>
      </c>
      <c r="KL27" s="1318">
        <f>KL26/KK26-1</f>
        <v/>
      </c>
      <c r="KM27" s="1318">
        <f>KM26/KL26-1</f>
        <v/>
      </c>
      <c r="KN27" s="1318">
        <f>KN26/KM26-1</f>
        <v/>
      </c>
      <c r="KO27" s="1318">
        <f>KO26/KN26-1</f>
        <v/>
      </c>
      <c r="KP27" s="1318">
        <f>KP26/KO26-1</f>
        <v/>
      </c>
      <c r="KQ27" s="1318">
        <f>KQ26/KP26-1</f>
        <v/>
      </c>
      <c r="KR27" s="1318">
        <f>KR26/KQ26-1</f>
        <v/>
      </c>
      <c r="KS27" s="1318">
        <f>KS26/KR26-1</f>
        <v/>
      </c>
      <c r="KT27" s="1318">
        <f>KT26/KS26-1</f>
        <v/>
      </c>
      <c r="KU27" s="1318">
        <f>KU26/KT26-1</f>
        <v/>
      </c>
      <c r="KV27" s="1318">
        <f>KV26/KU26-1</f>
        <v/>
      </c>
      <c r="KW27" s="1318">
        <f>KW26/KV26-1</f>
        <v/>
      </c>
      <c r="KX27" s="1318">
        <f>KX26/KW26-1</f>
        <v/>
      </c>
      <c r="KY27" s="1318">
        <f>KY26/KX26-1</f>
        <v/>
      </c>
      <c r="KZ27" s="1318">
        <f>KZ26/KY26-1</f>
        <v/>
      </c>
      <c r="LA27" s="1318">
        <f>LA26/KZ26-1</f>
        <v/>
      </c>
      <c r="LB27" s="1318" t="n"/>
      <c r="LC27" s="1318" t="n"/>
      <c r="LD27" s="1318" t="n"/>
      <c r="LE27" s="1318" t="n"/>
      <c r="LF27" s="1318" t="n"/>
      <c r="LG27" s="1318" t="n"/>
      <c r="LH27" s="1318" t="n"/>
      <c r="LI27" s="1318" t="n"/>
      <c r="LJ27" s="1318" t="n"/>
      <c r="LK27" s="1318" t="n"/>
      <c r="LL27" s="1318" t="n"/>
      <c r="LM27" s="1318" t="n"/>
      <c r="LN27" s="1318" t="n"/>
      <c r="LO27" s="1318" t="n"/>
      <c r="LP27" s="1318" t="n"/>
      <c r="LQ27" s="1318" t="n"/>
      <c r="LR27" s="1318" t="n"/>
      <c r="LS27" s="1318" t="n"/>
    </row>
    <row r="28">
      <c r="A28" s="885" t="inlineStr">
        <is>
          <t>YoY cg %</t>
        </is>
      </c>
      <c r="B28" s="1318" t="n"/>
      <c r="C28" s="1318" t="n"/>
      <c r="D28" s="1318" t="n"/>
      <c r="E28" s="1318" t="n"/>
      <c r="F28" s="1318" t="n"/>
      <c r="G28" s="1318" t="n"/>
      <c r="H28" s="1318" t="n"/>
      <c r="I28" s="1318" t="n"/>
      <c r="J28" s="1318" t="n"/>
      <c r="K28" s="1318" t="n"/>
      <c r="L28" s="1318" t="n"/>
      <c r="M28" s="1318" t="n"/>
      <c r="N28" s="1318">
        <f>N26/B26-1</f>
        <v/>
      </c>
      <c r="O28" s="1318">
        <f>O26/C26-1</f>
        <v/>
      </c>
      <c r="P28" s="1318">
        <f>P26/D26-1</f>
        <v/>
      </c>
      <c r="Q28" s="1318">
        <f>Q26/E26-1</f>
        <v/>
      </c>
      <c r="R28" s="1318">
        <f>R26/F26-1</f>
        <v/>
      </c>
      <c r="S28" s="1318">
        <f>S26/G26-1</f>
        <v/>
      </c>
      <c r="T28" s="1318">
        <f>T26/H26-1</f>
        <v/>
      </c>
      <c r="U28" s="1318">
        <f>U26/I26-1</f>
        <v/>
      </c>
      <c r="V28" s="1318">
        <f>V26/J26-1</f>
        <v/>
      </c>
      <c r="W28" s="1318">
        <f>W26/K26-1</f>
        <v/>
      </c>
      <c r="X28" s="1318">
        <f>X26/L26-1</f>
        <v/>
      </c>
      <c r="Y28" s="1318">
        <f>Y26/M26-1</f>
        <v/>
      </c>
      <c r="Z28" s="1318">
        <f>Z26/N26-1</f>
        <v/>
      </c>
      <c r="AA28" s="1318">
        <f>AA26/O26-1</f>
        <v/>
      </c>
      <c r="AB28" s="1318">
        <f>AB26/P26-1</f>
        <v/>
      </c>
      <c r="AC28" s="1318">
        <f>AC26/Q26-1</f>
        <v/>
      </c>
      <c r="AD28" s="1318">
        <f>AD26/R26-1</f>
        <v/>
      </c>
      <c r="AE28" s="1318">
        <f>AE26/S26-1</f>
        <v/>
      </c>
      <c r="AF28" s="1318">
        <f>AF26/T26-1</f>
        <v/>
      </c>
      <c r="AG28" s="1318">
        <f>AG26/U26-1</f>
        <v/>
      </c>
      <c r="AH28" s="1318">
        <f>AH26/V26-1</f>
        <v/>
      </c>
      <c r="AI28" s="1318">
        <f>AI26/W26-1</f>
        <v/>
      </c>
      <c r="AJ28" s="1318">
        <f>AJ26/X26-1</f>
        <v/>
      </c>
      <c r="AK28" s="1318">
        <f>AK26/Y26-1</f>
        <v/>
      </c>
      <c r="AL28" s="1318">
        <f>AL26/Z26-1</f>
        <v/>
      </c>
      <c r="AM28" s="1318">
        <f>AM26/AA26-1</f>
        <v/>
      </c>
      <c r="AN28" s="1318">
        <f>AN26/AB26-1</f>
        <v/>
      </c>
      <c r="AO28" s="1318">
        <f>AO26/AC26-1</f>
        <v/>
      </c>
      <c r="AP28" s="1318">
        <f>AP26/AD26-1</f>
        <v/>
      </c>
      <c r="AQ28" s="1318">
        <f>AQ26/AE26-1</f>
        <v/>
      </c>
      <c r="AR28" s="1318">
        <f>AR26/AF26-1</f>
        <v/>
      </c>
      <c r="AS28" s="1318">
        <f>AS26/AG26-1</f>
        <v/>
      </c>
      <c r="AT28" s="1318">
        <f>AT26/AH26-1</f>
        <v/>
      </c>
      <c r="AU28" s="1318">
        <f>AU26/AI26-1</f>
        <v/>
      </c>
      <c r="AV28" s="1318">
        <f>AV26/AJ26-1</f>
        <v/>
      </c>
      <c r="AW28" s="1318">
        <f>AW26/AK26-1</f>
        <v/>
      </c>
      <c r="AX28" s="1318">
        <f>AX26/AL26-1</f>
        <v/>
      </c>
      <c r="AY28" s="1318">
        <f>AY26/AM26-1</f>
        <v/>
      </c>
      <c r="AZ28" s="1318">
        <f>AZ26/AN26-1</f>
        <v/>
      </c>
      <c r="BA28" s="1318">
        <f>BA26/AO26-1</f>
        <v/>
      </c>
      <c r="BB28" s="1318">
        <f>BB26/AP26-1</f>
        <v/>
      </c>
      <c r="BC28" s="1318">
        <f>BC26/AQ26-1</f>
        <v/>
      </c>
      <c r="BD28" s="1318">
        <f>BD26/AR26-1</f>
        <v/>
      </c>
      <c r="BE28" s="1318">
        <f>BE26/AS26-1</f>
        <v/>
      </c>
      <c r="BF28" s="1318">
        <f>BF26/AT26-1</f>
        <v/>
      </c>
      <c r="BG28" s="1318">
        <f>BG26/AU26-1</f>
        <v/>
      </c>
      <c r="BH28" s="1318">
        <f>BH26/AV26-1</f>
        <v/>
      </c>
      <c r="BI28" s="1318">
        <f>BI26/AW26-1</f>
        <v/>
      </c>
      <c r="BJ28" s="1318">
        <f>BJ26/AX26-1</f>
        <v/>
      </c>
      <c r="BK28" s="1318">
        <f>BK26/AY26-1</f>
        <v/>
      </c>
      <c r="BL28" s="1318">
        <f>BL26/AZ26-1</f>
        <v/>
      </c>
      <c r="BM28" s="1318">
        <f>BM26/BA26-1</f>
        <v/>
      </c>
      <c r="BN28" s="1318">
        <f>BN26/BB26-1</f>
        <v/>
      </c>
      <c r="BO28" s="1318">
        <f>BO26/BC26-1</f>
        <v/>
      </c>
      <c r="BP28" s="1318">
        <f>BP26/BD26-1</f>
        <v/>
      </c>
      <c r="BQ28" s="1318">
        <f>BQ26/BE26-1</f>
        <v/>
      </c>
      <c r="BR28" s="1318">
        <f>BR26/BF26-1</f>
        <v/>
      </c>
      <c r="BS28" s="1318">
        <f>BS26/BG26-1</f>
        <v/>
      </c>
      <c r="BT28" s="1318">
        <f>BT26/BH26-1</f>
        <v/>
      </c>
      <c r="BU28" s="1318">
        <f>BU26/BI26-1</f>
        <v/>
      </c>
      <c r="BV28" s="1318">
        <f>BV26/BJ26-1</f>
        <v/>
      </c>
      <c r="BW28" s="1318">
        <f>BW26/BK26-1</f>
        <v/>
      </c>
      <c r="BX28" s="1318">
        <f>BX26/BL26-1</f>
        <v/>
      </c>
      <c r="BY28" s="1318">
        <f>BY26/BM26-1</f>
        <v/>
      </c>
      <c r="BZ28" s="1318">
        <f>BZ26/BN26-1</f>
        <v/>
      </c>
      <c r="CA28" s="1318">
        <f>CA26/BO26-1</f>
        <v/>
      </c>
      <c r="CB28" s="1318">
        <f>CB26/BP26-1</f>
        <v/>
      </c>
      <c r="CC28" s="1318">
        <f>CC26/BQ26-1</f>
        <v/>
      </c>
      <c r="CD28" s="1318">
        <f>CD26/BR26-1</f>
        <v/>
      </c>
      <c r="CE28" s="1318">
        <f>CE26/BS26-1</f>
        <v/>
      </c>
      <c r="CF28" s="1318">
        <f>CF26/BT26-1</f>
        <v/>
      </c>
      <c r="CG28" s="1318">
        <f>CG26/BU26-1</f>
        <v/>
      </c>
      <c r="CH28" s="1318">
        <f>CH26/BV26-1</f>
        <v/>
      </c>
      <c r="CI28" s="1318">
        <f>CI26/BW26-1</f>
        <v/>
      </c>
      <c r="CJ28" s="1318">
        <f>CJ26/BX26-1</f>
        <v/>
      </c>
      <c r="CK28" s="1318">
        <f>CK26/BY26-1</f>
        <v/>
      </c>
      <c r="CL28" s="1318">
        <f>CL26/BZ26-1</f>
        <v/>
      </c>
      <c r="CM28" s="1318">
        <f>CM26/CA26-1</f>
        <v/>
      </c>
      <c r="CN28" s="1318">
        <f>CN26/CB26-1</f>
        <v/>
      </c>
      <c r="CO28" s="1318">
        <f>CO26/CC26-1</f>
        <v/>
      </c>
      <c r="CP28" s="1318">
        <f>CP26/CD26-1</f>
        <v/>
      </c>
      <c r="CQ28" s="1318">
        <f>CQ26/CE26-1</f>
        <v/>
      </c>
      <c r="CR28" s="1318">
        <f>CR26/CF26-1</f>
        <v/>
      </c>
      <c r="CS28" s="1318">
        <f>CS26/CG26-1</f>
        <v/>
      </c>
      <c r="CT28" s="1318">
        <f>CT26/CH26-1</f>
        <v/>
      </c>
      <c r="CU28" s="1318">
        <f>CU26/CI26-1</f>
        <v/>
      </c>
      <c r="CV28" s="1318">
        <f>CV26/CJ26-1</f>
        <v/>
      </c>
      <c r="CW28" s="1318">
        <f>CW26/CK26-1</f>
        <v/>
      </c>
      <c r="CX28" s="1318">
        <f>CX26/CL26-1</f>
        <v/>
      </c>
      <c r="CY28" s="1318">
        <f>CY26/CM26-1</f>
        <v/>
      </c>
      <c r="CZ28" s="1318">
        <f>CZ26/CN26-1</f>
        <v/>
      </c>
      <c r="DA28" s="1318">
        <f>DA26/CO26-1</f>
        <v/>
      </c>
      <c r="DB28" s="1318">
        <f>DB26/CP26-1</f>
        <v/>
      </c>
      <c r="DC28" s="1318">
        <f>DC26/CQ26-1</f>
        <v/>
      </c>
      <c r="DD28" s="1318">
        <f>DD26/CR26-1</f>
        <v/>
      </c>
      <c r="DE28" s="1318">
        <f>DE26/CS26-1</f>
        <v/>
      </c>
      <c r="DF28" s="1318">
        <f>DF26/CT26-1</f>
        <v/>
      </c>
      <c r="DG28" s="1318">
        <f>DG26/CU26-1</f>
        <v/>
      </c>
      <c r="DH28" s="1318">
        <f>DH26/CV26-1</f>
        <v/>
      </c>
      <c r="DI28" s="1318">
        <f>DI26/CW26-1</f>
        <v/>
      </c>
      <c r="DJ28" s="1318">
        <f>DJ26/CX26-1</f>
        <v/>
      </c>
      <c r="DK28" s="1318">
        <f>DK26/CY26-1</f>
        <v/>
      </c>
      <c r="DL28" s="1318">
        <f>DL26/CZ26-1</f>
        <v/>
      </c>
      <c r="DM28" s="1318">
        <f>DM26/DA26-1</f>
        <v/>
      </c>
      <c r="DN28" s="1318">
        <f>DN26/DB26-1</f>
        <v/>
      </c>
      <c r="DO28" s="1318">
        <f>DO26/DC26-1</f>
        <v/>
      </c>
      <c r="DP28" s="1318">
        <f>DP26/DD26-1</f>
        <v/>
      </c>
      <c r="DQ28" s="1318">
        <f>DQ26/DE26-1</f>
        <v/>
      </c>
      <c r="DR28" s="1318">
        <f>DR26/DF26-1</f>
        <v/>
      </c>
      <c r="DS28" s="1318">
        <f>DS26/DG26-1</f>
        <v/>
      </c>
      <c r="DT28" s="1318">
        <f>DT26/DH26-1</f>
        <v/>
      </c>
      <c r="DU28" s="1318">
        <f>DU26/DI26-1</f>
        <v/>
      </c>
      <c r="DV28" s="1318">
        <f>DV26/DJ26-1</f>
        <v/>
      </c>
      <c r="DW28" s="1318">
        <f>DW26/DK26-1</f>
        <v/>
      </c>
      <c r="DX28" s="1318">
        <f>DX26/DL26-1</f>
        <v/>
      </c>
      <c r="DY28" s="1318">
        <f>DY26/DM26-1</f>
        <v/>
      </c>
      <c r="DZ28" s="1318">
        <f>DZ26/DN26-1</f>
        <v/>
      </c>
      <c r="EA28" s="1318">
        <f>EA26/DO26-1</f>
        <v/>
      </c>
      <c r="EB28" s="1318">
        <f>EB26/DP26-1</f>
        <v/>
      </c>
      <c r="EC28" s="1318">
        <f>EC26/DQ26-1</f>
        <v/>
      </c>
      <c r="ED28" s="1318">
        <f>ED26/DR26-1</f>
        <v/>
      </c>
      <c r="EE28" s="1318">
        <f>EE26/DS26-1</f>
        <v/>
      </c>
      <c r="EF28" s="1318">
        <f>EF26/DT26-1</f>
        <v/>
      </c>
      <c r="EG28" s="1318">
        <f>EG26/DU26-1</f>
        <v/>
      </c>
      <c r="EH28" s="1318">
        <f>EH26/DV26-1</f>
        <v/>
      </c>
      <c r="EI28" s="1318">
        <f>EI26/DW26-1</f>
        <v/>
      </c>
      <c r="EJ28" s="1318">
        <f>EJ26/DX26-1</f>
        <v/>
      </c>
      <c r="EK28" s="1318">
        <f>EK26/DY26-1</f>
        <v/>
      </c>
      <c r="EL28" s="1318">
        <f>EL26/DZ26-1</f>
        <v/>
      </c>
      <c r="EM28" s="1318">
        <f>EM26/EA26-1</f>
        <v/>
      </c>
      <c r="EN28" s="1318">
        <f>EN26/EB26-1</f>
        <v/>
      </c>
      <c r="EO28" s="1318">
        <f>EO26/EC26-1</f>
        <v/>
      </c>
      <c r="EP28" s="1318">
        <f>EP26/ED26-1</f>
        <v/>
      </c>
      <c r="EQ28" s="1318">
        <f>EQ26/EE26-1</f>
        <v/>
      </c>
      <c r="ER28" s="1318">
        <f>ER26/EF26-1</f>
        <v/>
      </c>
      <c r="ES28" s="1318">
        <f>ES26/EG26-1</f>
        <v/>
      </c>
      <c r="ET28" s="1318">
        <f>ET26/EH26-1</f>
        <v/>
      </c>
      <c r="EU28" s="1318">
        <f>EU26/EI26-1</f>
        <v/>
      </c>
      <c r="EV28" s="1318">
        <f>EV26/EJ26-1</f>
        <v/>
      </c>
      <c r="EW28" s="1318">
        <f>EW26/EK26-1</f>
        <v/>
      </c>
      <c r="EX28" s="1318">
        <f>EX26/EL26-1</f>
        <v/>
      </c>
      <c r="EY28" s="1318">
        <f>EY26/EM26-1</f>
        <v/>
      </c>
      <c r="EZ28" s="1318">
        <f>EZ26/EN26-1</f>
        <v/>
      </c>
      <c r="FA28" s="1318">
        <f>FA26/EO26-1</f>
        <v/>
      </c>
      <c r="FB28" s="1318">
        <f>FB26/EP26-1</f>
        <v/>
      </c>
      <c r="FC28" s="1318">
        <f>FC26/EQ26-1</f>
        <v/>
      </c>
      <c r="FD28" s="1318">
        <f>FD26/ER26-1</f>
        <v/>
      </c>
      <c r="FE28" s="1318">
        <f>FE26/ES26-1</f>
        <v/>
      </c>
      <c r="FF28" s="1318">
        <f>FF26/ET26-1</f>
        <v/>
      </c>
      <c r="FG28" s="1318">
        <f>FG26/EU26-1</f>
        <v/>
      </c>
      <c r="FH28" s="1318">
        <f>FH26/EV26-1</f>
        <v/>
      </c>
      <c r="FI28" s="1318">
        <f>FI26/EW26-1</f>
        <v/>
      </c>
      <c r="FJ28" s="1318">
        <f>FJ26/EX26-1</f>
        <v/>
      </c>
      <c r="FK28" s="1318">
        <f>FK26/EY26-1</f>
        <v/>
      </c>
      <c r="FL28" s="1318">
        <f>FL26/EZ26-1</f>
        <v/>
      </c>
      <c r="FM28" s="1318">
        <f>FM26/FA26-1</f>
        <v/>
      </c>
      <c r="FN28" s="1318">
        <f>FN26/FB26-1</f>
        <v/>
      </c>
      <c r="FO28" s="1318">
        <f>FO26/FC26-1</f>
        <v/>
      </c>
      <c r="FP28" s="1318">
        <f>FP26/FD26-1</f>
        <v/>
      </c>
      <c r="FQ28" s="1318">
        <f>FQ26/FE26-1</f>
        <v/>
      </c>
      <c r="FR28" s="1318">
        <f>FR26/FF26-1</f>
        <v/>
      </c>
      <c r="FS28" s="1318">
        <f>FS26/FG26-1</f>
        <v/>
      </c>
      <c r="FT28" s="1318">
        <f>FT26/FH26-1</f>
        <v/>
      </c>
      <c r="FU28" s="1318">
        <f>FU26/FI26-1</f>
        <v/>
      </c>
      <c r="FV28" s="1318">
        <f>FV26/FJ26-1</f>
        <v/>
      </c>
      <c r="FW28" s="1318">
        <f>FW26/FK26-1</f>
        <v/>
      </c>
      <c r="FX28" s="1318">
        <f>FX26/FL26-1</f>
        <v/>
      </c>
      <c r="FY28" s="1318">
        <f>FY26/FM26-1</f>
        <v/>
      </c>
      <c r="FZ28" s="1318">
        <f>FZ26/FN26-1</f>
        <v/>
      </c>
      <c r="GA28" s="1318">
        <f>GA26/FO26-1</f>
        <v/>
      </c>
      <c r="GB28" s="1318">
        <f>GB26/FP26-1</f>
        <v/>
      </c>
      <c r="GC28" s="1318">
        <f>GC26/FQ26-1</f>
        <v/>
      </c>
      <c r="GD28" s="1318">
        <f>GD26/FR26-1</f>
        <v/>
      </c>
      <c r="GE28" s="1318">
        <f>GE26/FS26-1</f>
        <v/>
      </c>
      <c r="GF28" s="1318">
        <f>GF26/FT26-1</f>
        <v/>
      </c>
      <c r="GG28" s="1318">
        <f>GG26/FU26-1</f>
        <v/>
      </c>
      <c r="GH28" s="1318">
        <f>GH26/FV26-1</f>
        <v/>
      </c>
      <c r="GI28" s="1318">
        <f>GI26/FW26-1</f>
        <v/>
      </c>
      <c r="GJ28" s="1318">
        <f>GJ26/FX26-1</f>
        <v/>
      </c>
      <c r="GK28" s="1318">
        <f>GK26/FY26-1</f>
        <v/>
      </c>
      <c r="GL28" s="1318">
        <f>GL26/FZ26-1</f>
        <v/>
      </c>
      <c r="GM28" s="1318">
        <f>GM26/GA26-1</f>
        <v/>
      </c>
      <c r="GN28" s="1318">
        <f>GN26/GB26-1</f>
        <v/>
      </c>
      <c r="GO28" s="1318">
        <f>GO26/GC26-1</f>
        <v/>
      </c>
      <c r="GP28" s="1318">
        <f>GP26/GD26-1</f>
        <v/>
      </c>
      <c r="GQ28" s="1318">
        <f>GQ26/GE26-1</f>
        <v/>
      </c>
      <c r="GR28" s="1318">
        <f>GR26/GF26-1</f>
        <v/>
      </c>
      <c r="GS28" s="1318">
        <f>GS26/GG26-1</f>
        <v/>
      </c>
      <c r="GT28" s="1318">
        <f>GT26/GH26-1</f>
        <v/>
      </c>
      <c r="GU28" s="1318">
        <f>GU26/GI26-1</f>
        <v/>
      </c>
      <c r="GV28" s="1318">
        <f>GV26/GJ26-1</f>
        <v/>
      </c>
      <c r="GW28" s="1318">
        <f>GW26/GK26-1</f>
        <v/>
      </c>
      <c r="GX28" s="1318">
        <f>GX26/GL26-1</f>
        <v/>
      </c>
      <c r="GY28" s="1318">
        <f>GY26/GM26-1</f>
        <v/>
      </c>
      <c r="GZ28" s="1318">
        <f>GZ26/GN26-1</f>
        <v/>
      </c>
      <c r="HA28" s="1318">
        <f>HA26/GO26-1</f>
        <v/>
      </c>
      <c r="HB28" s="1318">
        <f>HB26/GP26-1</f>
        <v/>
      </c>
      <c r="HC28" s="1318">
        <f>HC26/GQ26-1</f>
        <v/>
      </c>
      <c r="HD28" s="1318">
        <f>HD26/GR26-1</f>
        <v/>
      </c>
      <c r="HE28" s="1318">
        <f>HE26/GS26-1</f>
        <v/>
      </c>
      <c r="HF28" s="1318">
        <f>HF26/GT26-1</f>
        <v/>
      </c>
      <c r="HG28" s="1318">
        <f>HG26/GU26-1</f>
        <v/>
      </c>
      <c r="HH28" s="1318">
        <f>HH26/GV26-1</f>
        <v/>
      </c>
      <c r="HI28" s="1318">
        <f>HI26/GW26-1</f>
        <v/>
      </c>
      <c r="HJ28" s="1318">
        <f>HJ26/GX26-1</f>
        <v/>
      </c>
      <c r="HK28" s="1318">
        <f>HK26/GY26-1</f>
        <v/>
      </c>
      <c r="HL28" s="1318">
        <f>HL26/GZ26-1</f>
        <v/>
      </c>
      <c r="HM28" s="1318">
        <f>HM26/HA26-1</f>
        <v/>
      </c>
      <c r="HN28" s="1318">
        <f>HN26/HB26-1</f>
        <v/>
      </c>
      <c r="HO28" s="1318">
        <f>HO26/HC26-1</f>
        <v/>
      </c>
      <c r="HP28" s="1318">
        <f>HP26/HD26-1</f>
        <v/>
      </c>
      <c r="HQ28" s="1318">
        <f>HQ26/HE26-1</f>
        <v/>
      </c>
      <c r="HR28" s="1318">
        <f>HR26/HF26-1</f>
        <v/>
      </c>
      <c r="HS28" s="1318">
        <f>HS26/HG26-1</f>
        <v/>
      </c>
      <c r="HT28" s="1318">
        <f>HT26/HH26-1</f>
        <v/>
      </c>
      <c r="HU28" s="1318">
        <f>HU26/HI26-1</f>
        <v/>
      </c>
      <c r="HV28" s="1318">
        <f>HV26/HJ26-1</f>
        <v/>
      </c>
      <c r="HW28" s="1318">
        <f>HW26/HK26-1</f>
        <v/>
      </c>
      <c r="HX28" s="1318">
        <f>HX26/HL26-1</f>
        <v/>
      </c>
      <c r="HY28" s="1318">
        <f>HY26/HM26-1</f>
        <v/>
      </c>
      <c r="HZ28" s="1318">
        <f>HZ26/HN26-1</f>
        <v/>
      </c>
      <c r="IA28" s="1318">
        <f>IA26/HO26-1</f>
        <v/>
      </c>
      <c r="IB28" s="1318">
        <f>IB26/HP26-1</f>
        <v/>
      </c>
      <c r="IC28" s="1318">
        <f>IC26/HQ26-1</f>
        <v/>
      </c>
      <c r="ID28" s="1318">
        <f>ID26/HR26-1</f>
        <v/>
      </c>
      <c r="IE28" s="1318">
        <f>IE26/HS26-1</f>
        <v/>
      </c>
      <c r="IF28" s="1318">
        <f>IF26/HT26-1</f>
        <v/>
      </c>
      <c r="IG28" s="1318">
        <f>IG26/HU26-1</f>
        <v/>
      </c>
      <c r="IH28" s="1318">
        <f>IH26/HV26-1</f>
        <v/>
      </c>
      <c r="II28" s="1318">
        <f>II26/HW26-1</f>
        <v/>
      </c>
      <c r="IJ28" s="1318">
        <f>IJ26/HX26-1</f>
        <v/>
      </c>
      <c r="IK28" s="1318">
        <f>IK26/HY26-1</f>
        <v/>
      </c>
      <c r="IL28" s="1318">
        <f>IL26/HZ26-1</f>
        <v/>
      </c>
      <c r="IM28" s="1318">
        <f>IM26/IA26-1</f>
        <v/>
      </c>
      <c r="IN28" s="1318">
        <f>IN26/IB26-1</f>
        <v/>
      </c>
      <c r="IO28" s="1318">
        <f>IO26/IC26-1</f>
        <v/>
      </c>
      <c r="IP28" s="1318">
        <f>IP26/ID26-1</f>
        <v/>
      </c>
      <c r="IQ28" s="1318">
        <f>IQ26/IE26-1</f>
        <v/>
      </c>
      <c r="IR28" s="1318">
        <f>IR26/IF26-1</f>
        <v/>
      </c>
      <c r="IS28" s="1318">
        <f>IS26/IG26-1</f>
        <v/>
      </c>
      <c r="IT28" s="1318">
        <f>IT26/IH26-1</f>
        <v/>
      </c>
      <c r="IU28" s="1318">
        <f>IU26/II26-1</f>
        <v/>
      </c>
      <c r="IV28" s="1318">
        <f>IV26/IJ26-1</f>
        <v/>
      </c>
      <c r="IW28" s="1318">
        <f>IW26/IK26-1</f>
        <v/>
      </c>
      <c r="IX28" s="1318">
        <f>IX26/IL26-1</f>
        <v/>
      </c>
      <c r="IY28" s="1318">
        <f>IY26/IM26-1</f>
        <v/>
      </c>
      <c r="IZ28" s="1318">
        <f>IZ26/IN26-1</f>
        <v/>
      </c>
      <c r="JA28" s="1318">
        <f>JA26/IO26-1</f>
        <v/>
      </c>
      <c r="JB28" s="1318">
        <f>JB26/IP26-1</f>
        <v/>
      </c>
      <c r="JC28" s="1318">
        <f>JC26/IQ26-1</f>
        <v/>
      </c>
      <c r="JD28" s="1318">
        <f>JD26/IR26-1</f>
        <v/>
      </c>
      <c r="JE28" s="1318">
        <f>JE26/IS26-1</f>
        <v/>
      </c>
      <c r="JF28" s="1318">
        <f>JF26/IT26-1</f>
        <v/>
      </c>
      <c r="JG28" s="1318">
        <f>JG26/IU26-1</f>
        <v/>
      </c>
      <c r="JH28" s="1318">
        <f>JH26/IV26-1</f>
        <v/>
      </c>
      <c r="JI28" s="1318">
        <f>JI26/IW26-1</f>
        <v/>
      </c>
      <c r="JJ28" s="1318">
        <f>JJ26/IX26-1</f>
        <v/>
      </c>
      <c r="JK28" s="1318">
        <f>JK26/IY26-1</f>
        <v/>
      </c>
      <c r="JL28" s="1318">
        <f>JL26/IZ26-1</f>
        <v/>
      </c>
      <c r="JM28" s="1318">
        <f>JM26/JA26-1</f>
        <v/>
      </c>
      <c r="JN28" s="1318">
        <f>JN26/JB26-1</f>
        <v/>
      </c>
      <c r="JO28" s="1318">
        <f>JO26/JC26-1</f>
        <v/>
      </c>
      <c r="JP28" s="1318">
        <f>JP26/JD26-1</f>
        <v/>
      </c>
      <c r="JQ28" s="1318">
        <f>JQ26/JE26-1</f>
        <v/>
      </c>
      <c r="JR28" s="1318">
        <f>JR26/JF26-1</f>
        <v/>
      </c>
      <c r="JS28" s="1318">
        <f>JS26/JG26-1</f>
        <v/>
      </c>
      <c r="JT28" s="1318">
        <f>JT26/JH26-1</f>
        <v/>
      </c>
      <c r="JU28" s="1318">
        <f>JU26/JI26-1</f>
        <v/>
      </c>
      <c r="JV28" s="1318">
        <f>JV26/JJ26-1</f>
        <v/>
      </c>
      <c r="JW28" s="1318">
        <f>JW26/JK26-1</f>
        <v/>
      </c>
      <c r="JX28" s="1318">
        <f>JX26/JL26-1</f>
        <v/>
      </c>
      <c r="JY28" s="1318">
        <f>JY26/JM26-1</f>
        <v/>
      </c>
      <c r="JZ28" s="1318">
        <f>JZ26/JN26-1</f>
        <v/>
      </c>
      <c r="KA28" s="1318">
        <f>KA26/JO26-1</f>
        <v/>
      </c>
      <c r="KB28" s="1318">
        <f>KB26/JP26-1</f>
        <v/>
      </c>
      <c r="KC28" s="1318">
        <f>KC26/JQ26-1</f>
        <v/>
      </c>
      <c r="KD28" s="1318">
        <f>KD26/JR26-1</f>
        <v/>
      </c>
      <c r="KE28" s="1318">
        <f>KE26/JS26-1</f>
        <v/>
      </c>
      <c r="KF28" s="1318">
        <f>KF26/JT26-1</f>
        <v/>
      </c>
      <c r="KG28" s="1318">
        <f>KG26/JU26-1</f>
        <v/>
      </c>
      <c r="KH28" s="1318">
        <f>KH26/JV26-1</f>
        <v/>
      </c>
      <c r="KI28" s="1318">
        <f>KI26/JW26-1</f>
        <v/>
      </c>
      <c r="KJ28" s="1318">
        <f>KJ26/JX26-1</f>
        <v/>
      </c>
      <c r="KK28" s="1318">
        <f>KK26/JY26-1</f>
        <v/>
      </c>
      <c r="KL28" s="1318">
        <f>KL26/JZ26-1</f>
        <v/>
      </c>
      <c r="KM28" s="1318">
        <f>KM26/KA26-1</f>
        <v/>
      </c>
      <c r="KN28" s="1318">
        <f>KN26/KB26-1</f>
        <v/>
      </c>
      <c r="KO28" s="1318">
        <f>KO26/KC26-1</f>
        <v/>
      </c>
      <c r="KP28" s="1318">
        <f>KP26/KD26-1</f>
        <v/>
      </c>
      <c r="KQ28" s="1318">
        <f>KQ26/KE26-1</f>
        <v/>
      </c>
      <c r="KR28" s="1318">
        <f>KR26/KF26-1</f>
        <v/>
      </c>
      <c r="KS28" s="1318">
        <f>KS26/KG26-1</f>
        <v/>
      </c>
      <c r="KT28" s="1318">
        <f>KT26/KH26-1</f>
        <v/>
      </c>
      <c r="KU28" s="1318">
        <f>KU26/KI26-1</f>
        <v/>
      </c>
      <c r="KV28" s="1318">
        <f>KV26/KJ26-1</f>
        <v/>
      </c>
      <c r="KW28" s="1318">
        <f>KW26/KK26-1</f>
        <v/>
      </c>
      <c r="KX28" s="1318">
        <f>KX26/KL26-1</f>
        <v/>
      </c>
      <c r="KY28" s="1318">
        <f>KY26/KM26-1</f>
        <v/>
      </c>
      <c r="KZ28" s="1318">
        <f>KZ26/KN26-1</f>
        <v/>
      </c>
      <c r="LA28" s="1318">
        <f>LA26/KO26-1</f>
        <v/>
      </c>
      <c r="LB28" s="1318" t="n"/>
      <c r="LC28" s="1318" t="n"/>
      <c r="LD28" s="1318" t="n"/>
      <c r="LE28" s="1318" t="n"/>
      <c r="LF28" s="1318" t="n"/>
      <c r="LG28" s="1318" t="n"/>
      <c r="LH28" s="1318" t="n"/>
      <c r="LI28" s="1318" t="n"/>
      <c r="LJ28" s="1318" t="n"/>
      <c r="LK28" s="1318" t="n"/>
      <c r="LL28" s="1318" t="n"/>
      <c r="LM28" s="1318" t="n"/>
      <c r="LN28" s="1318" t="n"/>
      <c r="LO28" s="1318" t="n"/>
      <c r="LP28" s="1318" t="n"/>
      <c r="LQ28" s="1318" t="n"/>
      <c r="LR28" s="1318" t="n"/>
      <c r="LS28" s="1318" t="n"/>
    </row>
    <row r="29">
      <c r="A29" s="885" t="inlineStr">
        <is>
          <t>YTD cg %</t>
        </is>
      </c>
      <c r="B29" s="1318" t="n"/>
      <c r="C29" s="1318" t="n"/>
      <c r="D29" s="1318" t="n"/>
      <c r="E29" s="1318" t="n"/>
      <c r="F29" s="1318" t="n"/>
      <c r="G29" s="1318" t="n"/>
      <c r="H29" s="1318" t="n"/>
      <c r="I29" s="1318" t="n"/>
      <c r="J29" s="1318" t="n"/>
      <c r="K29" s="1318" t="n"/>
      <c r="L29" s="1318" t="n"/>
      <c r="M29" s="1318" t="n"/>
      <c r="N29" s="1318">
        <f>SUMIFS(26:26,$8:$8,"&gt;="&amp;DATE(YEAR(N$8),1,1),$8:$8,"&lt;="&amp;EOMONTH(N$8,0))/SUMIFS(26:26,$8:$8,"&gt;="&amp;DATE(YEAR(N$8)-1,1,1),$8:$8,"&lt;="&amp;EOMONTH(N$8,-12))-1</f>
        <v/>
      </c>
      <c r="O29" s="1318">
        <f>SUMIFS(26:26,$8:$8,"&gt;="&amp;DATE(YEAR(O$8),1,1),$8:$8,"&lt;="&amp;EOMONTH(O$8,0))/SUMIFS(26:26,$8:$8,"&gt;="&amp;DATE(YEAR(O$8)-1,1,1),$8:$8,"&lt;="&amp;EOMONTH(O$8,-12))-1</f>
        <v/>
      </c>
      <c r="P29" s="1318">
        <f>SUMIFS(26:26,$8:$8,"&gt;="&amp;DATE(YEAR(P$8),1,1),$8:$8,"&lt;="&amp;EOMONTH(P$8,0))/SUMIFS(26:26,$8:$8,"&gt;="&amp;DATE(YEAR(P$8)-1,1,1),$8:$8,"&lt;="&amp;EOMONTH(P$8,-12))-1</f>
        <v/>
      </c>
      <c r="Q29" s="1318">
        <f>SUMIFS(26:26,$8:$8,"&gt;="&amp;DATE(YEAR(Q$8),1,1),$8:$8,"&lt;="&amp;EOMONTH(Q$8,0))/SUMIFS(26:26,$8:$8,"&gt;="&amp;DATE(YEAR(Q$8)-1,1,1),$8:$8,"&lt;="&amp;EOMONTH(Q$8,-12))-1</f>
        <v/>
      </c>
      <c r="R29" s="1318">
        <f>SUMIFS(26:26,$8:$8,"&gt;="&amp;DATE(YEAR(R$8),1,1),$8:$8,"&lt;="&amp;EOMONTH(R$8,0))/SUMIFS(26:26,$8:$8,"&gt;="&amp;DATE(YEAR(R$8)-1,1,1),$8:$8,"&lt;="&amp;EOMONTH(R$8,-12))-1</f>
        <v/>
      </c>
      <c r="S29" s="1318">
        <f>SUMIFS(26:26,$8:$8,"&gt;="&amp;DATE(YEAR(S$8),1,1),$8:$8,"&lt;="&amp;EOMONTH(S$8,0))/SUMIFS(26:26,$8:$8,"&gt;="&amp;DATE(YEAR(S$8)-1,1,1),$8:$8,"&lt;="&amp;EOMONTH(S$8,-12))-1</f>
        <v/>
      </c>
      <c r="T29" s="1318">
        <f>SUMIFS(26:26,$8:$8,"&gt;="&amp;DATE(YEAR(T$8),1,1),$8:$8,"&lt;="&amp;EOMONTH(T$8,0))/SUMIFS(26:26,$8:$8,"&gt;="&amp;DATE(YEAR(T$8)-1,1,1),$8:$8,"&lt;="&amp;EOMONTH(T$8,-12))-1</f>
        <v/>
      </c>
      <c r="U29" s="1318">
        <f>SUMIFS(26:26,$8:$8,"&gt;="&amp;DATE(YEAR(U$8),1,1),$8:$8,"&lt;="&amp;EOMONTH(U$8,0))/SUMIFS(26:26,$8:$8,"&gt;="&amp;DATE(YEAR(U$8)-1,1,1),$8:$8,"&lt;="&amp;EOMONTH(U$8,-12))-1</f>
        <v/>
      </c>
      <c r="V29" s="1318">
        <f>SUMIFS(26:26,$8:$8,"&gt;="&amp;DATE(YEAR(V$8),1,1),$8:$8,"&lt;="&amp;EOMONTH(V$8,0))/SUMIFS(26:26,$8:$8,"&gt;="&amp;DATE(YEAR(V$8)-1,1,1),$8:$8,"&lt;="&amp;EOMONTH(V$8,-12))-1</f>
        <v/>
      </c>
      <c r="W29" s="1318">
        <f>SUMIFS(26:26,$8:$8,"&gt;="&amp;DATE(YEAR(W$8),1,1),$8:$8,"&lt;="&amp;EOMONTH(W$8,0))/SUMIFS(26:26,$8:$8,"&gt;="&amp;DATE(YEAR(W$8)-1,1,1),$8:$8,"&lt;="&amp;EOMONTH(W$8,-12))-1</f>
        <v/>
      </c>
      <c r="X29" s="1318">
        <f>SUMIFS(26:26,$8:$8,"&gt;="&amp;DATE(YEAR(X$8),1,1),$8:$8,"&lt;="&amp;EOMONTH(X$8,0))/SUMIFS(26:26,$8:$8,"&gt;="&amp;DATE(YEAR(X$8)-1,1,1),$8:$8,"&lt;="&amp;EOMONTH(X$8,-12))-1</f>
        <v/>
      </c>
      <c r="Y29" s="1318">
        <f>SUMIFS(26:26,$8:$8,"&gt;="&amp;DATE(YEAR(Y$8),1,1),$8:$8,"&lt;="&amp;EOMONTH(Y$8,0))/SUMIFS(26:26,$8:$8,"&gt;="&amp;DATE(YEAR(Y$8)-1,1,1),$8:$8,"&lt;="&amp;EOMONTH(Y$8,-12))-1</f>
        <v/>
      </c>
      <c r="Z29" s="1318">
        <f>SUMIFS(26:26,$8:$8,"&gt;="&amp;DATE(YEAR(Z$8),1,1),$8:$8,"&lt;="&amp;EOMONTH(Z$8,0))/SUMIFS(26:26,$8:$8,"&gt;="&amp;DATE(YEAR(Z$8)-1,1,1),$8:$8,"&lt;="&amp;EOMONTH(Z$8,-12))-1</f>
        <v/>
      </c>
      <c r="AA29" s="1318">
        <f>SUMIFS(26:26,$8:$8,"&gt;="&amp;DATE(YEAR(AA$8),1,1),$8:$8,"&lt;="&amp;EOMONTH(AA$8,0))/SUMIFS(26:26,$8:$8,"&gt;="&amp;DATE(YEAR(AA$8)-1,1,1),$8:$8,"&lt;="&amp;EOMONTH(AA$8,-12))-1</f>
        <v/>
      </c>
      <c r="AB29" s="1318">
        <f>SUMIFS(26:26,$8:$8,"&gt;="&amp;DATE(YEAR(AB$8),1,1),$8:$8,"&lt;="&amp;EOMONTH(AB$8,0))/SUMIFS(26:26,$8:$8,"&gt;="&amp;DATE(YEAR(AB$8)-1,1,1),$8:$8,"&lt;="&amp;EOMONTH(AB$8,-12))-1</f>
        <v/>
      </c>
      <c r="AC29" s="1318">
        <f>SUMIFS(26:26,$8:$8,"&gt;="&amp;DATE(YEAR(AC$8),1,1),$8:$8,"&lt;="&amp;EOMONTH(AC$8,0))/SUMIFS(26:26,$8:$8,"&gt;="&amp;DATE(YEAR(AC$8)-1,1,1),$8:$8,"&lt;="&amp;EOMONTH(AC$8,-12))-1</f>
        <v/>
      </c>
      <c r="AD29" s="1318">
        <f>SUMIFS(26:26,$8:$8,"&gt;="&amp;DATE(YEAR(AD$8),1,1),$8:$8,"&lt;="&amp;EOMONTH(AD$8,0))/SUMIFS(26:26,$8:$8,"&gt;="&amp;DATE(YEAR(AD$8)-1,1,1),$8:$8,"&lt;="&amp;EOMONTH(AD$8,-12))-1</f>
        <v/>
      </c>
      <c r="AE29" s="1318">
        <f>SUMIFS(26:26,$8:$8,"&gt;="&amp;DATE(YEAR(AE$8),1,1),$8:$8,"&lt;="&amp;EOMONTH(AE$8,0))/SUMIFS(26:26,$8:$8,"&gt;="&amp;DATE(YEAR(AE$8)-1,1,1),$8:$8,"&lt;="&amp;EOMONTH(AE$8,-12))-1</f>
        <v/>
      </c>
      <c r="AF29" s="1318">
        <f>SUMIFS(26:26,$8:$8,"&gt;="&amp;DATE(YEAR(AF$8),1,1),$8:$8,"&lt;="&amp;EOMONTH(AF$8,0))/SUMIFS(26:26,$8:$8,"&gt;="&amp;DATE(YEAR(AF$8)-1,1,1),$8:$8,"&lt;="&amp;EOMONTH(AF$8,-12))-1</f>
        <v/>
      </c>
      <c r="AG29" s="1318">
        <f>SUMIFS(26:26,$8:$8,"&gt;="&amp;DATE(YEAR(AG$8),1,1),$8:$8,"&lt;="&amp;EOMONTH(AG$8,0))/SUMIFS(26:26,$8:$8,"&gt;="&amp;DATE(YEAR(AG$8)-1,1,1),$8:$8,"&lt;="&amp;EOMONTH(AG$8,-12))-1</f>
        <v/>
      </c>
      <c r="AH29" s="1318">
        <f>SUMIFS(26:26,$8:$8,"&gt;="&amp;DATE(YEAR(AH$8),1,1),$8:$8,"&lt;="&amp;EOMONTH(AH$8,0))/SUMIFS(26:26,$8:$8,"&gt;="&amp;DATE(YEAR(AH$8)-1,1,1),$8:$8,"&lt;="&amp;EOMONTH(AH$8,-12))-1</f>
        <v/>
      </c>
      <c r="AI29" s="1318">
        <f>SUMIFS(26:26,$8:$8,"&gt;="&amp;DATE(YEAR(AI$8),1,1),$8:$8,"&lt;="&amp;EOMONTH(AI$8,0))/SUMIFS(26:26,$8:$8,"&gt;="&amp;DATE(YEAR(AI$8)-1,1,1),$8:$8,"&lt;="&amp;EOMONTH(AI$8,-12))-1</f>
        <v/>
      </c>
      <c r="AJ29" s="1318">
        <f>SUMIFS(26:26,$8:$8,"&gt;="&amp;DATE(YEAR(AJ$8),1,1),$8:$8,"&lt;="&amp;EOMONTH(AJ$8,0))/SUMIFS(26:26,$8:$8,"&gt;="&amp;DATE(YEAR(AJ$8)-1,1,1),$8:$8,"&lt;="&amp;EOMONTH(AJ$8,-12))-1</f>
        <v/>
      </c>
      <c r="AK29" s="1318">
        <f>SUMIFS(26:26,$8:$8,"&gt;="&amp;DATE(YEAR(AK$8),1,1),$8:$8,"&lt;="&amp;EOMONTH(AK$8,0))/SUMIFS(26:26,$8:$8,"&gt;="&amp;DATE(YEAR(AK$8)-1,1,1),$8:$8,"&lt;="&amp;EOMONTH(AK$8,-12))-1</f>
        <v/>
      </c>
      <c r="AL29" s="1318">
        <f>SUMIFS(26:26,$8:$8,"&gt;="&amp;DATE(YEAR(AL$8),1,1),$8:$8,"&lt;="&amp;EOMONTH(AL$8,0))/SUMIFS(26:26,$8:$8,"&gt;="&amp;DATE(YEAR(AL$8)-1,1,1),$8:$8,"&lt;="&amp;EOMONTH(AL$8,-12))-1</f>
        <v/>
      </c>
      <c r="AM29" s="1318">
        <f>SUMIFS(26:26,$8:$8,"&gt;="&amp;DATE(YEAR(AM$8),1,1),$8:$8,"&lt;="&amp;EOMONTH(AM$8,0))/SUMIFS(26:26,$8:$8,"&gt;="&amp;DATE(YEAR(AM$8)-1,1,1),$8:$8,"&lt;="&amp;EOMONTH(AM$8,-12))-1</f>
        <v/>
      </c>
      <c r="AN29" s="1318">
        <f>SUMIFS(26:26,$8:$8,"&gt;="&amp;DATE(YEAR(AN$8),1,1),$8:$8,"&lt;="&amp;EOMONTH(AN$8,0))/SUMIFS(26:26,$8:$8,"&gt;="&amp;DATE(YEAR(AN$8)-1,1,1),$8:$8,"&lt;="&amp;EOMONTH(AN$8,-12))-1</f>
        <v/>
      </c>
      <c r="AO29" s="1318">
        <f>SUMIFS(26:26,$8:$8,"&gt;="&amp;DATE(YEAR(AO$8),1,1),$8:$8,"&lt;="&amp;EOMONTH(AO$8,0))/SUMIFS(26:26,$8:$8,"&gt;="&amp;DATE(YEAR(AO$8)-1,1,1),$8:$8,"&lt;="&amp;EOMONTH(AO$8,-12))-1</f>
        <v/>
      </c>
      <c r="AP29" s="1318">
        <f>SUMIFS(26:26,$8:$8,"&gt;="&amp;DATE(YEAR(AP$8),1,1),$8:$8,"&lt;="&amp;EOMONTH(AP$8,0))/SUMIFS(26:26,$8:$8,"&gt;="&amp;DATE(YEAR(AP$8)-1,1,1),$8:$8,"&lt;="&amp;EOMONTH(AP$8,-12))-1</f>
        <v/>
      </c>
      <c r="AQ29" s="1318">
        <f>SUMIFS(26:26,$8:$8,"&gt;="&amp;DATE(YEAR(AQ$8),1,1),$8:$8,"&lt;="&amp;EOMONTH(AQ$8,0))/SUMIFS(26:26,$8:$8,"&gt;="&amp;DATE(YEAR(AQ$8)-1,1,1),$8:$8,"&lt;="&amp;EOMONTH(AQ$8,-12))-1</f>
        <v/>
      </c>
      <c r="AR29" s="1318">
        <f>SUMIFS(26:26,$8:$8,"&gt;="&amp;DATE(YEAR(AR$8),1,1),$8:$8,"&lt;="&amp;EOMONTH(AR$8,0))/SUMIFS(26:26,$8:$8,"&gt;="&amp;DATE(YEAR(AR$8)-1,1,1),$8:$8,"&lt;="&amp;EOMONTH(AR$8,-12))-1</f>
        <v/>
      </c>
      <c r="AS29" s="1318">
        <f>SUMIFS(26:26,$8:$8,"&gt;="&amp;DATE(YEAR(AS$8),1,1),$8:$8,"&lt;="&amp;EOMONTH(AS$8,0))/SUMIFS(26:26,$8:$8,"&gt;="&amp;DATE(YEAR(AS$8)-1,1,1),$8:$8,"&lt;="&amp;EOMONTH(AS$8,-12))-1</f>
        <v/>
      </c>
      <c r="AT29" s="1318">
        <f>SUMIFS(26:26,$8:$8,"&gt;="&amp;DATE(YEAR(AT$8),1,1),$8:$8,"&lt;="&amp;EOMONTH(AT$8,0))/SUMIFS(26:26,$8:$8,"&gt;="&amp;DATE(YEAR(AT$8)-1,1,1),$8:$8,"&lt;="&amp;EOMONTH(AT$8,-12))-1</f>
        <v/>
      </c>
      <c r="AU29" s="1318">
        <f>SUMIFS(26:26,$8:$8,"&gt;="&amp;DATE(YEAR(AU$8),1,1),$8:$8,"&lt;="&amp;EOMONTH(AU$8,0))/SUMIFS(26:26,$8:$8,"&gt;="&amp;DATE(YEAR(AU$8)-1,1,1),$8:$8,"&lt;="&amp;EOMONTH(AU$8,-12))-1</f>
        <v/>
      </c>
      <c r="AV29" s="1318">
        <f>SUMIFS(26:26,$8:$8,"&gt;="&amp;DATE(YEAR(AV$8),1,1),$8:$8,"&lt;="&amp;EOMONTH(AV$8,0))/SUMIFS(26:26,$8:$8,"&gt;="&amp;DATE(YEAR(AV$8)-1,1,1),$8:$8,"&lt;="&amp;EOMONTH(AV$8,-12))-1</f>
        <v/>
      </c>
      <c r="AW29" s="1318">
        <f>SUMIFS(26:26,$8:$8,"&gt;="&amp;DATE(YEAR(AW$8),1,1),$8:$8,"&lt;="&amp;EOMONTH(AW$8,0))/SUMIFS(26:26,$8:$8,"&gt;="&amp;DATE(YEAR(AW$8)-1,1,1),$8:$8,"&lt;="&amp;EOMONTH(AW$8,-12))-1</f>
        <v/>
      </c>
      <c r="AX29" s="1318">
        <f>SUMIFS(26:26,$8:$8,"&gt;="&amp;DATE(YEAR(AX$8),1,1),$8:$8,"&lt;="&amp;EOMONTH(AX$8,0))/SUMIFS(26:26,$8:$8,"&gt;="&amp;DATE(YEAR(AX$8)-1,1,1),$8:$8,"&lt;="&amp;EOMONTH(AX$8,-12))-1</f>
        <v/>
      </c>
      <c r="AY29" s="1318">
        <f>SUMIFS(26:26,$8:$8,"&gt;="&amp;DATE(YEAR(AY$8),1,1),$8:$8,"&lt;="&amp;EOMONTH(AY$8,0))/SUMIFS(26:26,$8:$8,"&gt;="&amp;DATE(YEAR(AY$8)-1,1,1),$8:$8,"&lt;="&amp;EOMONTH(AY$8,-12))-1</f>
        <v/>
      </c>
      <c r="AZ29" s="1318">
        <f>SUMIFS(26:26,$8:$8,"&gt;="&amp;DATE(YEAR(AZ$8),1,1),$8:$8,"&lt;="&amp;EOMONTH(AZ$8,0))/SUMIFS(26:26,$8:$8,"&gt;="&amp;DATE(YEAR(AZ$8)-1,1,1),$8:$8,"&lt;="&amp;EOMONTH(AZ$8,-12))-1</f>
        <v/>
      </c>
      <c r="BA29" s="1318">
        <f>SUMIFS(26:26,$8:$8,"&gt;="&amp;DATE(YEAR(BA$8),1,1),$8:$8,"&lt;="&amp;EOMONTH(BA$8,0))/SUMIFS(26:26,$8:$8,"&gt;="&amp;DATE(YEAR(BA$8)-1,1,1),$8:$8,"&lt;="&amp;EOMONTH(BA$8,-12))-1</f>
        <v/>
      </c>
      <c r="BB29" s="1318">
        <f>SUMIFS(26:26,$8:$8,"&gt;="&amp;DATE(YEAR(BB$8),1,1),$8:$8,"&lt;="&amp;EOMONTH(BB$8,0))/SUMIFS(26:26,$8:$8,"&gt;="&amp;DATE(YEAR(BB$8)-1,1,1),$8:$8,"&lt;="&amp;EOMONTH(BB$8,-12))-1</f>
        <v/>
      </c>
      <c r="BC29" s="1318">
        <f>SUMIFS(26:26,$8:$8,"&gt;="&amp;DATE(YEAR(BC$8),1,1),$8:$8,"&lt;="&amp;EOMONTH(BC$8,0))/SUMIFS(26:26,$8:$8,"&gt;="&amp;DATE(YEAR(BC$8)-1,1,1),$8:$8,"&lt;="&amp;EOMONTH(BC$8,-12))-1</f>
        <v/>
      </c>
      <c r="BD29" s="1318">
        <f>SUMIFS(26:26,$8:$8,"&gt;="&amp;DATE(YEAR(BD$8),1,1),$8:$8,"&lt;="&amp;EOMONTH(BD$8,0))/SUMIFS(26:26,$8:$8,"&gt;="&amp;DATE(YEAR(BD$8)-1,1,1),$8:$8,"&lt;="&amp;EOMONTH(BD$8,-12))-1</f>
        <v/>
      </c>
      <c r="BE29" s="1318">
        <f>SUMIFS(26:26,$8:$8,"&gt;="&amp;DATE(YEAR(BE$8),1,1),$8:$8,"&lt;="&amp;EOMONTH(BE$8,0))/SUMIFS(26:26,$8:$8,"&gt;="&amp;DATE(YEAR(BE$8)-1,1,1),$8:$8,"&lt;="&amp;EOMONTH(BE$8,-12))-1</f>
        <v/>
      </c>
      <c r="BF29" s="1318">
        <f>SUMIFS(26:26,$8:$8,"&gt;="&amp;DATE(YEAR(BF$8),1,1),$8:$8,"&lt;="&amp;EOMONTH(BF$8,0))/SUMIFS(26:26,$8:$8,"&gt;="&amp;DATE(YEAR(BF$8)-1,1,1),$8:$8,"&lt;="&amp;EOMONTH(BF$8,-12))-1</f>
        <v/>
      </c>
      <c r="BG29" s="1318">
        <f>SUMIFS(26:26,$8:$8,"&gt;="&amp;DATE(YEAR(BG$8),1,1),$8:$8,"&lt;="&amp;EOMONTH(BG$8,0))/SUMIFS(26:26,$8:$8,"&gt;="&amp;DATE(YEAR(BG$8)-1,1,1),$8:$8,"&lt;="&amp;EOMONTH(BG$8,-12))-1</f>
        <v/>
      </c>
      <c r="BH29" s="1318">
        <f>SUMIFS(26:26,$8:$8,"&gt;="&amp;DATE(YEAR(BH$8),1,1),$8:$8,"&lt;="&amp;EOMONTH(BH$8,0))/SUMIFS(26:26,$8:$8,"&gt;="&amp;DATE(YEAR(BH$8)-1,1,1),$8:$8,"&lt;="&amp;EOMONTH(BH$8,-12))-1</f>
        <v/>
      </c>
      <c r="BI29" s="1318">
        <f>SUMIFS(26:26,$8:$8,"&gt;="&amp;DATE(YEAR(BI$8),1,1),$8:$8,"&lt;="&amp;EOMONTH(BI$8,0))/SUMIFS(26:26,$8:$8,"&gt;="&amp;DATE(YEAR(BI$8)-1,1,1),$8:$8,"&lt;="&amp;EOMONTH(BI$8,-12))-1</f>
        <v/>
      </c>
      <c r="BJ29" s="1318">
        <f>SUMIFS(26:26,$8:$8,"&gt;="&amp;DATE(YEAR(BJ$8),1,1),$8:$8,"&lt;="&amp;EOMONTH(BJ$8,0))/SUMIFS(26:26,$8:$8,"&gt;="&amp;DATE(YEAR(BJ$8)-1,1,1),$8:$8,"&lt;="&amp;EOMONTH(BJ$8,-12))-1</f>
        <v/>
      </c>
      <c r="BK29" s="1318">
        <f>SUMIFS(26:26,$8:$8,"&gt;="&amp;DATE(YEAR(BK$8),1,1),$8:$8,"&lt;="&amp;EOMONTH(BK$8,0))/SUMIFS(26:26,$8:$8,"&gt;="&amp;DATE(YEAR(BK$8)-1,1,1),$8:$8,"&lt;="&amp;EOMONTH(BK$8,-12))-1</f>
        <v/>
      </c>
      <c r="BL29" s="1318">
        <f>SUMIFS(26:26,$8:$8,"&gt;="&amp;DATE(YEAR(BL$8),1,1),$8:$8,"&lt;="&amp;EOMONTH(BL$8,0))/SUMIFS(26:26,$8:$8,"&gt;="&amp;DATE(YEAR(BL$8)-1,1,1),$8:$8,"&lt;="&amp;EOMONTH(BL$8,-12))-1</f>
        <v/>
      </c>
      <c r="BM29" s="1318">
        <f>SUMIFS(26:26,$8:$8,"&gt;="&amp;DATE(YEAR(BM$8),1,1),$8:$8,"&lt;="&amp;EOMONTH(BM$8,0))/SUMIFS(26:26,$8:$8,"&gt;="&amp;DATE(YEAR(BM$8)-1,1,1),$8:$8,"&lt;="&amp;EOMONTH(BM$8,-12))-1</f>
        <v/>
      </c>
      <c r="BN29" s="1318">
        <f>SUMIFS(26:26,$8:$8,"&gt;="&amp;DATE(YEAR(BN$8),1,1),$8:$8,"&lt;="&amp;EOMONTH(BN$8,0))/SUMIFS(26:26,$8:$8,"&gt;="&amp;DATE(YEAR(BN$8)-1,1,1),$8:$8,"&lt;="&amp;EOMONTH(BN$8,-12))-1</f>
        <v/>
      </c>
      <c r="BO29" s="1318">
        <f>SUMIFS(26:26,$8:$8,"&gt;="&amp;DATE(YEAR(BO$8),1,1),$8:$8,"&lt;="&amp;EOMONTH(BO$8,0))/SUMIFS(26:26,$8:$8,"&gt;="&amp;DATE(YEAR(BO$8)-1,1,1),$8:$8,"&lt;="&amp;EOMONTH(BO$8,-12))-1</f>
        <v/>
      </c>
      <c r="BP29" s="1318">
        <f>SUMIFS(26:26,$8:$8,"&gt;="&amp;DATE(YEAR(BP$8),1,1),$8:$8,"&lt;="&amp;EOMONTH(BP$8,0))/SUMIFS(26:26,$8:$8,"&gt;="&amp;DATE(YEAR(BP$8)-1,1,1),$8:$8,"&lt;="&amp;EOMONTH(BP$8,-12))-1</f>
        <v/>
      </c>
      <c r="BQ29" s="1318">
        <f>SUMIFS(26:26,$8:$8,"&gt;="&amp;DATE(YEAR(BQ$8),1,1),$8:$8,"&lt;="&amp;EOMONTH(BQ$8,0))/SUMIFS(26:26,$8:$8,"&gt;="&amp;DATE(YEAR(BQ$8)-1,1,1),$8:$8,"&lt;="&amp;EOMONTH(BQ$8,-12))-1</f>
        <v/>
      </c>
      <c r="BR29" s="1318">
        <f>SUMIFS(26:26,$8:$8,"&gt;="&amp;DATE(YEAR(BR$8),1,1),$8:$8,"&lt;="&amp;EOMONTH(BR$8,0))/SUMIFS(26:26,$8:$8,"&gt;="&amp;DATE(YEAR(BR$8)-1,1,1),$8:$8,"&lt;="&amp;EOMONTH(BR$8,-12))-1</f>
        <v/>
      </c>
      <c r="BS29" s="1318">
        <f>SUMIFS(26:26,$8:$8,"&gt;="&amp;DATE(YEAR(BS$8),1,1),$8:$8,"&lt;="&amp;EOMONTH(BS$8,0))/SUMIFS(26:26,$8:$8,"&gt;="&amp;DATE(YEAR(BS$8)-1,1,1),$8:$8,"&lt;="&amp;EOMONTH(BS$8,-12))-1</f>
        <v/>
      </c>
      <c r="BT29" s="1318">
        <f>SUMIFS(26:26,$8:$8,"&gt;="&amp;DATE(YEAR(BT$8),1,1),$8:$8,"&lt;="&amp;EOMONTH(BT$8,0))/SUMIFS(26:26,$8:$8,"&gt;="&amp;DATE(YEAR(BT$8)-1,1,1),$8:$8,"&lt;="&amp;EOMONTH(BT$8,-12))-1</f>
        <v/>
      </c>
      <c r="BU29" s="1318">
        <f>SUMIFS(26:26,$8:$8,"&gt;="&amp;DATE(YEAR(BU$8),1,1),$8:$8,"&lt;="&amp;EOMONTH(BU$8,0))/SUMIFS(26:26,$8:$8,"&gt;="&amp;DATE(YEAR(BU$8)-1,1,1),$8:$8,"&lt;="&amp;EOMONTH(BU$8,-12))-1</f>
        <v/>
      </c>
      <c r="BV29" s="1318">
        <f>SUMIFS(26:26,$8:$8,"&gt;="&amp;DATE(YEAR(BV$8),1,1),$8:$8,"&lt;="&amp;EOMONTH(BV$8,0))/SUMIFS(26:26,$8:$8,"&gt;="&amp;DATE(YEAR(BV$8)-1,1,1),$8:$8,"&lt;="&amp;EOMONTH(BV$8,-12))-1</f>
        <v/>
      </c>
      <c r="BW29" s="1318">
        <f>SUMIFS(26:26,$8:$8,"&gt;="&amp;DATE(YEAR(BW$8),1,1),$8:$8,"&lt;="&amp;EOMONTH(BW$8,0))/SUMIFS(26:26,$8:$8,"&gt;="&amp;DATE(YEAR(BW$8)-1,1,1),$8:$8,"&lt;="&amp;EOMONTH(BW$8,-12))-1</f>
        <v/>
      </c>
      <c r="BX29" s="1318">
        <f>SUMIFS(26:26,$8:$8,"&gt;="&amp;DATE(YEAR(BX$8),1,1),$8:$8,"&lt;="&amp;EOMONTH(BX$8,0))/SUMIFS(26:26,$8:$8,"&gt;="&amp;DATE(YEAR(BX$8)-1,1,1),$8:$8,"&lt;="&amp;EOMONTH(BX$8,-12))-1</f>
        <v/>
      </c>
      <c r="BY29" s="1318">
        <f>SUMIFS(26:26,$8:$8,"&gt;="&amp;DATE(YEAR(BY$8),1,1),$8:$8,"&lt;="&amp;EOMONTH(BY$8,0))/SUMIFS(26:26,$8:$8,"&gt;="&amp;DATE(YEAR(BY$8)-1,1,1),$8:$8,"&lt;="&amp;EOMONTH(BY$8,-12))-1</f>
        <v/>
      </c>
      <c r="BZ29" s="1318">
        <f>SUMIFS(26:26,$8:$8,"&gt;="&amp;DATE(YEAR(BZ$8),1,1),$8:$8,"&lt;="&amp;EOMONTH(BZ$8,0))/SUMIFS(26:26,$8:$8,"&gt;="&amp;DATE(YEAR(BZ$8)-1,1,1),$8:$8,"&lt;="&amp;EOMONTH(BZ$8,-12))-1</f>
        <v/>
      </c>
      <c r="CA29" s="1318">
        <f>SUMIFS(26:26,$8:$8,"&gt;="&amp;DATE(YEAR(CA$8),1,1),$8:$8,"&lt;="&amp;EOMONTH(CA$8,0))/SUMIFS(26:26,$8:$8,"&gt;="&amp;DATE(YEAR(CA$8)-1,1,1),$8:$8,"&lt;="&amp;EOMONTH(CA$8,-12))-1</f>
        <v/>
      </c>
      <c r="CB29" s="1318">
        <f>SUMIFS(26:26,$8:$8,"&gt;="&amp;DATE(YEAR(CB$8),1,1),$8:$8,"&lt;="&amp;EOMONTH(CB$8,0))/SUMIFS(26:26,$8:$8,"&gt;="&amp;DATE(YEAR(CB$8)-1,1,1),$8:$8,"&lt;="&amp;EOMONTH(CB$8,-12))-1</f>
        <v/>
      </c>
      <c r="CC29" s="1318">
        <f>SUMIFS(26:26,$8:$8,"&gt;="&amp;DATE(YEAR(CC$8),1,1),$8:$8,"&lt;="&amp;EOMONTH(CC$8,0))/SUMIFS(26:26,$8:$8,"&gt;="&amp;DATE(YEAR(CC$8)-1,1,1),$8:$8,"&lt;="&amp;EOMONTH(CC$8,-12))-1</f>
        <v/>
      </c>
      <c r="CD29" s="1318">
        <f>SUMIFS(26:26,$8:$8,"&gt;="&amp;DATE(YEAR(CD$8),1,1),$8:$8,"&lt;="&amp;EOMONTH(CD$8,0))/SUMIFS(26:26,$8:$8,"&gt;="&amp;DATE(YEAR(CD$8)-1,1,1),$8:$8,"&lt;="&amp;EOMONTH(CD$8,-12))-1</f>
        <v/>
      </c>
      <c r="CE29" s="1318">
        <f>SUMIFS(26:26,$8:$8,"&gt;="&amp;DATE(YEAR(CE$8),1,1),$8:$8,"&lt;="&amp;EOMONTH(CE$8,0))/SUMIFS(26:26,$8:$8,"&gt;="&amp;DATE(YEAR(CE$8)-1,1,1),$8:$8,"&lt;="&amp;EOMONTH(CE$8,-12))-1</f>
        <v/>
      </c>
      <c r="CF29" s="1318">
        <f>SUMIFS(26:26,$8:$8,"&gt;="&amp;DATE(YEAR(CF$8),1,1),$8:$8,"&lt;="&amp;EOMONTH(CF$8,0))/SUMIFS(26:26,$8:$8,"&gt;="&amp;DATE(YEAR(CF$8)-1,1,1),$8:$8,"&lt;="&amp;EOMONTH(CF$8,-12))-1</f>
        <v/>
      </c>
      <c r="CG29" s="1318">
        <f>SUMIFS(26:26,$8:$8,"&gt;="&amp;DATE(YEAR(CG$8),1,1),$8:$8,"&lt;="&amp;EOMONTH(CG$8,0))/SUMIFS(26:26,$8:$8,"&gt;="&amp;DATE(YEAR(CG$8)-1,1,1),$8:$8,"&lt;="&amp;EOMONTH(CG$8,-12))-1</f>
        <v/>
      </c>
      <c r="CH29" s="1318">
        <f>SUMIFS(26:26,$8:$8,"&gt;="&amp;DATE(YEAR(CH$8),1,1),$8:$8,"&lt;="&amp;EOMONTH(CH$8,0))/SUMIFS(26:26,$8:$8,"&gt;="&amp;DATE(YEAR(CH$8)-1,1,1),$8:$8,"&lt;="&amp;EOMONTH(CH$8,-12))-1</f>
        <v/>
      </c>
      <c r="CI29" s="1318">
        <f>SUMIFS(26:26,$8:$8,"&gt;="&amp;DATE(YEAR(CI$8),1,1),$8:$8,"&lt;="&amp;EOMONTH(CI$8,0))/SUMIFS(26:26,$8:$8,"&gt;="&amp;DATE(YEAR(CI$8)-1,1,1),$8:$8,"&lt;="&amp;EOMONTH(CI$8,-12))-1</f>
        <v/>
      </c>
      <c r="CJ29" s="1318">
        <f>SUMIFS(26:26,$8:$8,"&gt;="&amp;DATE(YEAR(CJ$8),1,1),$8:$8,"&lt;="&amp;EOMONTH(CJ$8,0))/SUMIFS(26:26,$8:$8,"&gt;="&amp;DATE(YEAR(CJ$8)-1,1,1),$8:$8,"&lt;="&amp;EOMONTH(CJ$8,-12))-1</f>
        <v/>
      </c>
      <c r="CK29" s="1318">
        <f>SUMIFS(26:26,$8:$8,"&gt;="&amp;DATE(YEAR(CK$8),1,1),$8:$8,"&lt;="&amp;EOMONTH(CK$8,0))/SUMIFS(26:26,$8:$8,"&gt;="&amp;DATE(YEAR(CK$8)-1,1,1),$8:$8,"&lt;="&amp;EOMONTH(CK$8,-12))-1</f>
        <v/>
      </c>
      <c r="CL29" s="1318">
        <f>SUMIFS(26:26,$8:$8,"&gt;="&amp;DATE(YEAR(CL$8),1,1),$8:$8,"&lt;="&amp;EOMONTH(CL$8,0))/SUMIFS(26:26,$8:$8,"&gt;="&amp;DATE(YEAR(CL$8)-1,1,1),$8:$8,"&lt;="&amp;EOMONTH(CL$8,-12))-1</f>
        <v/>
      </c>
      <c r="CM29" s="1318">
        <f>SUMIFS(26:26,$8:$8,"&gt;="&amp;DATE(YEAR(CM$8),1,1),$8:$8,"&lt;="&amp;EOMONTH(CM$8,0))/SUMIFS(26:26,$8:$8,"&gt;="&amp;DATE(YEAR(CM$8)-1,1,1),$8:$8,"&lt;="&amp;EOMONTH(CM$8,-12))-1</f>
        <v/>
      </c>
      <c r="CN29" s="1318">
        <f>SUMIFS(26:26,$8:$8,"&gt;="&amp;DATE(YEAR(CN$8),1,1),$8:$8,"&lt;="&amp;EOMONTH(CN$8,0))/SUMIFS(26:26,$8:$8,"&gt;="&amp;DATE(YEAR(CN$8)-1,1,1),$8:$8,"&lt;="&amp;EOMONTH(CN$8,-12))-1</f>
        <v/>
      </c>
      <c r="CO29" s="1318">
        <f>SUMIFS(26:26,$8:$8,"&gt;="&amp;DATE(YEAR(CO$8),1,1),$8:$8,"&lt;="&amp;EOMONTH(CO$8,0))/SUMIFS(26:26,$8:$8,"&gt;="&amp;DATE(YEAR(CO$8)-1,1,1),$8:$8,"&lt;="&amp;EOMONTH(CO$8,-12))-1</f>
        <v/>
      </c>
      <c r="CP29" s="1318">
        <f>SUMIFS(26:26,$8:$8,"&gt;="&amp;DATE(YEAR(CP$8),1,1),$8:$8,"&lt;="&amp;EOMONTH(CP$8,0))/SUMIFS(26:26,$8:$8,"&gt;="&amp;DATE(YEAR(CP$8)-1,1,1),$8:$8,"&lt;="&amp;EOMONTH(CP$8,-12))-1</f>
        <v/>
      </c>
      <c r="CQ29" s="1318">
        <f>SUMIFS(26:26,$8:$8,"&gt;="&amp;DATE(YEAR(CQ$8),1,1),$8:$8,"&lt;="&amp;EOMONTH(CQ$8,0))/SUMIFS(26:26,$8:$8,"&gt;="&amp;DATE(YEAR(CQ$8)-1,1,1),$8:$8,"&lt;="&amp;EOMONTH(CQ$8,-12))-1</f>
        <v/>
      </c>
      <c r="CR29" s="1318">
        <f>SUMIFS(26:26,$8:$8,"&gt;="&amp;DATE(YEAR(CR$8),1,1),$8:$8,"&lt;="&amp;EOMONTH(CR$8,0))/SUMIFS(26:26,$8:$8,"&gt;="&amp;DATE(YEAR(CR$8)-1,1,1),$8:$8,"&lt;="&amp;EOMONTH(CR$8,-12))-1</f>
        <v/>
      </c>
      <c r="CS29" s="1318">
        <f>SUMIFS(26:26,$8:$8,"&gt;="&amp;DATE(YEAR(CS$8),1,1),$8:$8,"&lt;="&amp;EOMONTH(CS$8,0))/SUMIFS(26:26,$8:$8,"&gt;="&amp;DATE(YEAR(CS$8)-1,1,1),$8:$8,"&lt;="&amp;EOMONTH(CS$8,-12))-1</f>
        <v/>
      </c>
      <c r="CT29" s="1318">
        <f>SUMIFS(26:26,$8:$8,"&gt;="&amp;DATE(YEAR(CT$8),1,1),$8:$8,"&lt;="&amp;EOMONTH(CT$8,0))/SUMIFS(26:26,$8:$8,"&gt;="&amp;DATE(YEAR(CT$8)-1,1,1),$8:$8,"&lt;="&amp;EOMONTH(CT$8,-12))-1</f>
        <v/>
      </c>
      <c r="CU29" s="1318">
        <f>SUMIFS(26:26,$8:$8,"&gt;="&amp;DATE(YEAR(CU$8),1,1),$8:$8,"&lt;="&amp;EOMONTH(CU$8,0))/SUMIFS(26:26,$8:$8,"&gt;="&amp;DATE(YEAR(CU$8)-1,1,1),$8:$8,"&lt;="&amp;EOMONTH(CU$8,-12))-1</f>
        <v/>
      </c>
      <c r="CV29" s="1318">
        <f>SUMIFS(26:26,$8:$8,"&gt;="&amp;DATE(YEAR(CV$8),1,1),$8:$8,"&lt;="&amp;EOMONTH(CV$8,0))/SUMIFS(26:26,$8:$8,"&gt;="&amp;DATE(YEAR(CV$8)-1,1,1),$8:$8,"&lt;="&amp;EOMONTH(CV$8,-12))-1</f>
        <v/>
      </c>
      <c r="CW29" s="1318">
        <f>SUMIFS(26:26,$8:$8,"&gt;="&amp;DATE(YEAR(CW$8),1,1),$8:$8,"&lt;="&amp;EOMONTH(CW$8,0))/SUMIFS(26:26,$8:$8,"&gt;="&amp;DATE(YEAR(CW$8)-1,1,1),$8:$8,"&lt;="&amp;EOMONTH(CW$8,-12))-1</f>
        <v/>
      </c>
      <c r="CX29" s="1318">
        <f>SUMIFS(26:26,$8:$8,"&gt;="&amp;DATE(YEAR(CX$8),1,1),$8:$8,"&lt;="&amp;EOMONTH(CX$8,0))/SUMIFS(26:26,$8:$8,"&gt;="&amp;DATE(YEAR(CX$8)-1,1,1),$8:$8,"&lt;="&amp;EOMONTH(CX$8,-12))-1</f>
        <v/>
      </c>
      <c r="CY29" s="1318">
        <f>SUMIFS(26:26,$8:$8,"&gt;="&amp;DATE(YEAR(CY$8),1,1),$8:$8,"&lt;="&amp;EOMONTH(CY$8,0))/SUMIFS(26:26,$8:$8,"&gt;="&amp;DATE(YEAR(CY$8)-1,1,1),$8:$8,"&lt;="&amp;EOMONTH(CY$8,-12))-1</f>
        <v/>
      </c>
      <c r="CZ29" s="1318">
        <f>SUMIFS(26:26,$8:$8,"&gt;="&amp;DATE(YEAR(CZ$8),1,1),$8:$8,"&lt;="&amp;EOMONTH(CZ$8,0))/SUMIFS(26:26,$8:$8,"&gt;="&amp;DATE(YEAR(CZ$8)-1,1,1),$8:$8,"&lt;="&amp;EOMONTH(CZ$8,-12))-1</f>
        <v/>
      </c>
      <c r="DA29" s="1318">
        <f>SUMIFS(26:26,$8:$8,"&gt;="&amp;DATE(YEAR(DA$8),1,1),$8:$8,"&lt;="&amp;EOMONTH(DA$8,0))/SUMIFS(26:26,$8:$8,"&gt;="&amp;DATE(YEAR(DA$8)-1,1,1),$8:$8,"&lt;="&amp;EOMONTH(DA$8,-12))-1</f>
        <v/>
      </c>
      <c r="DB29" s="1318">
        <f>SUMIFS(26:26,$8:$8,"&gt;="&amp;DATE(YEAR(DB$8),1,1),$8:$8,"&lt;="&amp;EOMONTH(DB$8,0))/SUMIFS(26:26,$8:$8,"&gt;="&amp;DATE(YEAR(DB$8)-1,1,1),$8:$8,"&lt;="&amp;EOMONTH(DB$8,-12))-1</f>
        <v/>
      </c>
      <c r="DC29" s="1318">
        <f>SUMIFS(26:26,$8:$8,"&gt;="&amp;DATE(YEAR(DC$8),1,1),$8:$8,"&lt;="&amp;EOMONTH(DC$8,0))/SUMIFS(26:26,$8:$8,"&gt;="&amp;DATE(YEAR(DC$8)-1,1,1),$8:$8,"&lt;="&amp;EOMONTH(DC$8,-12))-1</f>
        <v/>
      </c>
      <c r="DD29" s="1318">
        <f>SUMIFS(26:26,$8:$8,"&gt;="&amp;DATE(YEAR(DD$8),1,1),$8:$8,"&lt;="&amp;EOMONTH(DD$8,0))/SUMIFS(26:26,$8:$8,"&gt;="&amp;DATE(YEAR(DD$8)-1,1,1),$8:$8,"&lt;="&amp;EOMONTH(DD$8,-12))-1</f>
        <v/>
      </c>
      <c r="DE29" s="1318">
        <f>SUMIFS(26:26,$8:$8,"&gt;="&amp;DATE(YEAR(DE$8),1,1),$8:$8,"&lt;="&amp;EOMONTH(DE$8,0))/SUMIFS(26:26,$8:$8,"&gt;="&amp;DATE(YEAR(DE$8)-1,1,1),$8:$8,"&lt;="&amp;EOMONTH(DE$8,-12))-1</f>
        <v/>
      </c>
      <c r="DF29" s="1318">
        <f>SUMIFS(26:26,$8:$8,"&gt;="&amp;DATE(YEAR(DF$8),1,1),$8:$8,"&lt;="&amp;EOMONTH(DF$8,0))/SUMIFS(26:26,$8:$8,"&gt;="&amp;DATE(YEAR(DF$8)-1,1,1),$8:$8,"&lt;="&amp;EOMONTH(DF$8,-12))-1</f>
        <v/>
      </c>
      <c r="DG29" s="1318">
        <f>SUMIFS(26:26,$8:$8,"&gt;="&amp;DATE(YEAR(DG$8),1,1),$8:$8,"&lt;="&amp;EOMONTH(DG$8,0))/SUMIFS(26:26,$8:$8,"&gt;="&amp;DATE(YEAR(DG$8)-1,1,1),$8:$8,"&lt;="&amp;EOMONTH(DG$8,-12))-1</f>
        <v/>
      </c>
      <c r="DH29" s="1318">
        <f>SUMIFS(26:26,$8:$8,"&gt;="&amp;DATE(YEAR(DH$8),1,1),$8:$8,"&lt;="&amp;EOMONTH(DH$8,0))/SUMIFS(26:26,$8:$8,"&gt;="&amp;DATE(YEAR(DH$8)-1,1,1),$8:$8,"&lt;="&amp;EOMONTH(DH$8,-12))-1</f>
        <v/>
      </c>
      <c r="DI29" s="1318">
        <f>SUMIFS(26:26,$8:$8,"&gt;="&amp;DATE(YEAR(DI$8),1,1),$8:$8,"&lt;="&amp;EOMONTH(DI$8,0))/SUMIFS(26:26,$8:$8,"&gt;="&amp;DATE(YEAR(DI$8)-1,1,1),$8:$8,"&lt;="&amp;EOMONTH(DI$8,-12))-1</f>
        <v/>
      </c>
      <c r="DJ29" s="1318">
        <f>SUMIFS(26:26,$8:$8,"&gt;="&amp;DATE(YEAR(DJ$8),1,1),$8:$8,"&lt;="&amp;EOMONTH(DJ$8,0))/SUMIFS(26:26,$8:$8,"&gt;="&amp;DATE(YEAR(DJ$8)-1,1,1),$8:$8,"&lt;="&amp;EOMONTH(DJ$8,-12))-1</f>
        <v/>
      </c>
      <c r="DK29" s="1318">
        <f>SUMIFS(26:26,$8:$8,"&gt;="&amp;DATE(YEAR(DK$8),1,1),$8:$8,"&lt;="&amp;EOMONTH(DK$8,0))/SUMIFS(26:26,$8:$8,"&gt;="&amp;DATE(YEAR(DK$8)-1,1,1),$8:$8,"&lt;="&amp;EOMONTH(DK$8,-12))-1</f>
        <v/>
      </c>
      <c r="DL29" s="1318">
        <f>SUMIFS(26:26,$8:$8,"&gt;="&amp;DATE(YEAR(DL$8),1,1),$8:$8,"&lt;="&amp;EOMONTH(DL$8,0))/SUMIFS(26:26,$8:$8,"&gt;="&amp;DATE(YEAR(DL$8)-1,1,1),$8:$8,"&lt;="&amp;EOMONTH(DL$8,-12))-1</f>
        <v/>
      </c>
      <c r="DM29" s="1318">
        <f>SUMIFS(26:26,$8:$8,"&gt;="&amp;DATE(YEAR(DM$8),1,1),$8:$8,"&lt;="&amp;EOMONTH(DM$8,0))/SUMIFS(26:26,$8:$8,"&gt;="&amp;DATE(YEAR(DM$8)-1,1,1),$8:$8,"&lt;="&amp;EOMONTH(DM$8,-12))-1</f>
        <v/>
      </c>
      <c r="DN29" s="1318">
        <f>SUMIFS(26:26,$8:$8,"&gt;="&amp;DATE(YEAR(DN$8),1,1),$8:$8,"&lt;="&amp;EOMONTH(DN$8,0))/SUMIFS(26:26,$8:$8,"&gt;="&amp;DATE(YEAR(DN$8)-1,1,1),$8:$8,"&lt;="&amp;EOMONTH(DN$8,-12))-1</f>
        <v/>
      </c>
      <c r="DO29" s="1318">
        <f>SUMIFS(26:26,$8:$8,"&gt;="&amp;DATE(YEAR(DO$8),1,1),$8:$8,"&lt;="&amp;EOMONTH(DO$8,0))/SUMIFS(26:26,$8:$8,"&gt;="&amp;DATE(YEAR(DO$8)-1,1,1),$8:$8,"&lt;="&amp;EOMONTH(DO$8,-12))-1</f>
        <v/>
      </c>
      <c r="DP29" s="1318">
        <f>SUMIFS(26:26,$8:$8,"&gt;="&amp;DATE(YEAR(DP$8),1,1),$8:$8,"&lt;="&amp;EOMONTH(DP$8,0))/SUMIFS(26:26,$8:$8,"&gt;="&amp;DATE(YEAR(DP$8)-1,1,1),$8:$8,"&lt;="&amp;EOMONTH(DP$8,-12))-1</f>
        <v/>
      </c>
      <c r="DQ29" s="1318">
        <f>SUMIFS(26:26,$8:$8,"&gt;="&amp;DATE(YEAR(DQ$8),1,1),$8:$8,"&lt;="&amp;EOMONTH(DQ$8,0))/SUMIFS(26:26,$8:$8,"&gt;="&amp;DATE(YEAR(DQ$8)-1,1,1),$8:$8,"&lt;="&amp;EOMONTH(DQ$8,-12))-1</f>
        <v/>
      </c>
      <c r="DR29" s="1318">
        <f>SUMIFS(26:26,$8:$8,"&gt;="&amp;DATE(YEAR(DR$8),1,1),$8:$8,"&lt;="&amp;EOMONTH(DR$8,0))/SUMIFS(26:26,$8:$8,"&gt;="&amp;DATE(YEAR(DR$8)-1,1,1),$8:$8,"&lt;="&amp;EOMONTH(DR$8,-12))-1</f>
        <v/>
      </c>
      <c r="DS29" s="1318">
        <f>SUMIFS(26:26,$8:$8,"&gt;="&amp;DATE(YEAR(DS$8),1,1),$8:$8,"&lt;="&amp;EOMONTH(DS$8,0))/SUMIFS(26:26,$8:$8,"&gt;="&amp;DATE(YEAR(DS$8)-1,1,1),$8:$8,"&lt;="&amp;EOMONTH(DS$8,-12))-1</f>
        <v/>
      </c>
      <c r="DT29" s="1318">
        <f>SUMIFS(26:26,$8:$8,"&gt;="&amp;DATE(YEAR(DT$8),1,1),$8:$8,"&lt;="&amp;EOMONTH(DT$8,0))/SUMIFS(26:26,$8:$8,"&gt;="&amp;DATE(YEAR(DT$8)-1,1,1),$8:$8,"&lt;="&amp;EOMONTH(DT$8,-12))-1</f>
        <v/>
      </c>
      <c r="DU29" s="1318">
        <f>SUMIFS(26:26,$8:$8,"&gt;="&amp;DATE(YEAR(DU$8),1,1),$8:$8,"&lt;="&amp;EOMONTH(DU$8,0))/SUMIFS(26:26,$8:$8,"&gt;="&amp;DATE(YEAR(DU$8)-1,1,1),$8:$8,"&lt;="&amp;EOMONTH(DU$8,-12))-1</f>
        <v/>
      </c>
      <c r="DV29" s="1318">
        <f>SUMIFS(26:26,$8:$8,"&gt;="&amp;DATE(YEAR(DV$8),1,1),$8:$8,"&lt;="&amp;EOMONTH(DV$8,0))/SUMIFS(26:26,$8:$8,"&gt;="&amp;DATE(YEAR(DV$8)-1,1,1),$8:$8,"&lt;="&amp;EOMONTH(DV$8,-12))-1</f>
        <v/>
      </c>
      <c r="DW29" s="1318">
        <f>SUMIFS(26:26,$8:$8,"&gt;="&amp;DATE(YEAR(DW$8),1,1),$8:$8,"&lt;="&amp;EOMONTH(DW$8,0))/SUMIFS(26:26,$8:$8,"&gt;="&amp;DATE(YEAR(DW$8)-1,1,1),$8:$8,"&lt;="&amp;EOMONTH(DW$8,-12))-1</f>
        <v/>
      </c>
      <c r="DX29" s="1318">
        <f>SUMIFS(26:26,$8:$8,"&gt;="&amp;DATE(YEAR(DX$8),1,1),$8:$8,"&lt;="&amp;EOMONTH(DX$8,0))/SUMIFS(26:26,$8:$8,"&gt;="&amp;DATE(YEAR(DX$8)-1,1,1),$8:$8,"&lt;="&amp;EOMONTH(DX$8,-12))-1</f>
        <v/>
      </c>
      <c r="DY29" s="1318">
        <f>SUMIFS(26:26,$8:$8,"&gt;="&amp;DATE(YEAR(DY$8),1,1),$8:$8,"&lt;="&amp;EOMONTH(DY$8,0))/SUMIFS(26:26,$8:$8,"&gt;="&amp;DATE(YEAR(DY$8)-1,1,1),$8:$8,"&lt;="&amp;EOMONTH(DY$8,-12))-1</f>
        <v/>
      </c>
      <c r="DZ29" s="1318">
        <f>SUMIFS(26:26,$8:$8,"&gt;="&amp;DATE(YEAR(DZ$8),1,1),$8:$8,"&lt;="&amp;EOMONTH(DZ$8,0))/SUMIFS(26:26,$8:$8,"&gt;="&amp;DATE(YEAR(DZ$8)-1,1,1),$8:$8,"&lt;="&amp;EOMONTH(DZ$8,-12))-1</f>
        <v/>
      </c>
      <c r="EA29" s="1318">
        <f>SUMIFS(26:26,$8:$8,"&gt;="&amp;DATE(YEAR(EA$8),1,1),$8:$8,"&lt;="&amp;EOMONTH(EA$8,0))/SUMIFS(26:26,$8:$8,"&gt;="&amp;DATE(YEAR(EA$8)-1,1,1),$8:$8,"&lt;="&amp;EOMONTH(EA$8,-12))-1</f>
        <v/>
      </c>
      <c r="EB29" s="1318">
        <f>SUMIFS(26:26,$8:$8,"&gt;="&amp;DATE(YEAR(EB$8),1,1),$8:$8,"&lt;="&amp;EOMONTH(EB$8,0))/SUMIFS(26:26,$8:$8,"&gt;="&amp;DATE(YEAR(EB$8)-1,1,1),$8:$8,"&lt;="&amp;EOMONTH(EB$8,-12))-1</f>
        <v/>
      </c>
      <c r="EC29" s="1318">
        <f>SUMIFS(26:26,$8:$8,"&gt;="&amp;DATE(YEAR(EC$8),1,1),$8:$8,"&lt;="&amp;EOMONTH(EC$8,0))/SUMIFS(26:26,$8:$8,"&gt;="&amp;DATE(YEAR(EC$8)-1,1,1),$8:$8,"&lt;="&amp;EOMONTH(EC$8,-12))-1</f>
        <v/>
      </c>
      <c r="ED29" s="1318">
        <f>SUMIFS(26:26,$8:$8,"&gt;="&amp;DATE(YEAR(ED$8),1,1),$8:$8,"&lt;="&amp;EOMONTH(ED$8,0))/SUMIFS(26:26,$8:$8,"&gt;="&amp;DATE(YEAR(ED$8)-1,1,1),$8:$8,"&lt;="&amp;EOMONTH(ED$8,-12))-1</f>
        <v/>
      </c>
      <c r="EE29" s="1318">
        <f>SUMIFS(26:26,$8:$8,"&gt;="&amp;DATE(YEAR(EE$8),1,1),$8:$8,"&lt;="&amp;EOMONTH(EE$8,0))/SUMIFS(26:26,$8:$8,"&gt;="&amp;DATE(YEAR(EE$8)-1,1,1),$8:$8,"&lt;="&amp;EOMONTH(EE$8,-12))-1</f>
        <v/>
      </c>
      <c r="EF29" s="1318">
        <f>SUMIFS(26:26,$8:$8,"&gt;="&amp;DATE(YEAR(EF$8),1,1),$8:$8,"&lt;="&amp;EOMONTH(EF$8,0))/SUMIFS(26:26,$8:$8,"&gt;="&amp;DATE(YEAR(EF$8)-1,1,1),$8:$8,"&lt;="&amp;EOMONTH(EF$8,-12))-1</f>
        <v/>
      </c>
      <c r="EG29" s="1318">
        <f>SUMIFS(26:26,$8:$8,"&gt;="&amp;DATE(YEAR(EG$8),1,1),$8:$8,"&lt;="&amp;EOMONTH(EG$8,0))/SUMIFS(26:26,$8:$8,"&gt;="&amp;DATE(YEAR(EG$8)-1,1,1),$8:$8,"&lt;="&amp;EOMONTH(EG$8,-12))-1</f>
        <v/>
      </c>
      <c r="EH29" s="1318">
        <f>SUMIFS(26:26,$8:$8,"&gt;="&amp;DATE(YEAR(EH$8),1,1),$8:$8,"&lt;="&amp;EOMONTH(EH$8,0))/SUMIFS(26:26,$8:$8,"&gt;="&amp;DATE(YEAR(EH$8)-1,1,1),$8:$8,"&lt;="&amp;EOMONTH(EH$8,-12))-1</f>
        <v/>
      </c>
      <c r="EI29" s="1318">
        <f>SUMIFS(26:26,$8:$8,"&gt;="&amp;DATE(YEAR(EI$8),1,1),$8:$8,"&lt;="&amp;EOMONTH(EI$8,0))/SUMIFS(26:26,$8:$8,"&gt;="&amp;DATE(YEAR(EI$8)-1,1,1),$8:$8,"&lt;="&amp;EOMONTH(EI$8,-12))-1</f>
        <v/>
      </c>
      <c r="EJ29" s="1318">
        <f>SUMIFS(26:26,$8:$8,"&gt;="&amp;DATE(YEAR(EJ$8),1,1),$8:$8,"&lt;="&amp;EOMONTH(EJ$8,0))/SUMIFS(26:26,$8:$8,"&gt;="&amp;DATE(YEAR(EJ$8)-1,1,1),$8:$8,"&lt;="&amp;EOMONTH(EJ$8,-12))-1</f>
        <v/>
      </c>
      <c r="EK29" s="1318">
        <f>SUMIFS(26:26,$8:$8,"&gt;="&amp;DATE(YEAR(EK$8),1,1),$8:$8,"&lt;="&amp;EOMONTH(EK$8,0))/SUMIFS(26:26,$8:$8,"&gt;="&amp;DATE(YEAR(EK$8)-1,1,1),$8:$8,"&lt;="&amp;EOMONTH(EK$8,-12))-1</f>
        <v/>
      </c>
      <c r="EL29" s="1318">
        <f>SUMIFS(26:26,$8:$8,"&gt;="&amp;DATE(YEAR(EL$8),1,1),$8:$8,"&lt;="&amp;EOMONTH(EL$8,0))/SUMIFS(26:26,$8:$8,"&gt;="&amp;DATE(YEAR(EL$8)-1,1,1),$8:$8,"&lt;="&amp;EOMONTH(EL$8,-12))-1</f>
        <v/>
      </c>
      <c r="EM29" s="1318">
        <f>SUMIFS(26:26,$8:$8,"&gt;="&amp;DATE(YEAR(EM$8),1,1),$8:$8,"&lt;="&amp;EOMONTH(EM$8,0))/SUMIFS(26:26,$8:$8,"&gt;="&amp;DATE(YEAR(EM$8)-1,1,1),$8:$8,"&lt;="&amp;EOMONTH(EM$8,-12))-1</f>
        <v/>
      </c>
      <c r="EN29" s="1318">
        <f>SUMIFS(26:26,$8:$8,"&gt;="&amp;DATE(YEAR(EN$8),1,1),$8:$8,"&lt;="&amp;EOMONTH(EN$8,0))/SUMIFS(26:26,$8:$8,"&gt;="&amp;DATE(YEAR(EN$8)-1,1,1),$8:$8,"&lt;="&amp;EOMONTH(EN$8,-12))-1</f>
        <v/>
      </c>
      <c r="EO29" s="1318">
        <f>SUMIFS(26:26,$8:$8,"&gt;="&amp;DATE(YEAR(EO$8),1,1),$8:$8,"&lt;="&amp;EOMONTH(EO$8,0))/SUMIFS(26:26,$8:$8,"&gt;="&amp;DATE(YEAR(EO$8)-1,1,1),$8:$8,"&lt;="&amp;EOMONTH(EO$8,-12))-1</f>
        <v/>
      </c>
      <c r="EP29" s="1318">
        <f>SUMIFS(26:26,$8:$8,"&gt;="&amp;DATE(YEAR(EP$8),1,1),$8:$8,"&lt;="&amp;EOMONTH(EP$8,0))/SUMIFS(26:26,$8:$8,"&gt;="&amp;DATE(YEAR(EP$8)-1,1,1),$8:$8,"&lt;="&amp;EOMONTH(EP$8,-12))-1</f>
        <v/>
      </c>
      <c r="EQ29" s="1318">
        <f>SUMIFS(26:26,$8:$8,"&gt;="&amp;DATE(YEAR(EQ$8),1,1),$8:$8,"&lt;="&amp;EOMONTH(EQ$8,0))/SUMIFS(26:26,$8:$8,"&gt;="&amp;DATE(YEAR(EQ$8)-1,1,1),$8:$8,"&lt;="&amp;EOMONTH(EQ$8,-12))-1</f>
        <v/>
      </c>
      <c r="ER29" s="1318">
        <f>SUMIFS(26:26,$8:$8,"&gt;="&amp;DATE(YEAR(ER$8),1,1),$8:$8,"&lt;="&amp;EOMONTH(ER$8,0))/SUMIFS(26:26,$8:$8,"&gt;="&amp;DATE(YEAR(ER$8)-1,1,1),$8:$8,"&lt;="&amp;EOMONTH(ER$8,-12))-1</f>
        <v/>
      </c>
      <c r="ES29" s="1318">
        <f>SUMIFS(26:26,$8:$8,"&gt;="&amp;DATE(YEAR(ES$8),1,1),$8:$8,"&lt;="&amp;EOMONTH(ES$8,0))/SUMIFS(26:26,$8:$8,"&gt;="&amp;DATE(YEAR(ES$8)-1,1,1),$8:$8,"&lt;="&amp;EOMONTH(ES$8,-12))-1</f>
        <v/>
      </c>
      <c r="ET29" s="1318">
        <f>SUMIFS(26:26,$8:$8,"&gt;="&amp;DATE(YEAR(ET$8),1,1),$8:$8,"&lt;="&amp;EOMONTH(ET$8,0))/SUMIFS(26:26,$8:$8,"&gt;="&amp;DATE(YEAR(ET$8)-1,1,1),$8:$8,"&lt;="&amp;EOMONTH(ET$8,-12))-1</f>
        <v/>
      </c>
      <c r="EU29" s="1318">
        <f>SUMIFS(26:26,$8:$8,"&gt;="&amp;DATE(YEAR(EU$8),1,1),$8:$8,"&lt;="&amp;EOMONTH(EU$8,0))/SUMIFS(26:26,$8:$8,"&gt;="&amp;DATE(YEAR(EU$8)-1,1,1),$8:$8,"&lt;="&amp;EOMONTH(EU$8,-12))-1</f>
        <v/>
      </c>
      <c r="EV29" s="1318">
        <f>SUMIFS(26:26,$8:$8,"&gt;="&amp;DATE(YEAR(EV$8),1,1),$8:$8,"&lt;="&amp;EOMONTH(EV$8,0))/SUMIFS(26:26,$8:$8,"&gt;="&amp;DATE(YEAR(EV$8)-1,1,1),$8:$8,"&lt;="&amp;EOMONTH(EV$8,-12))-1</f>
        <v/>
      </c>
      <c r="EW29" s="1318">
        <f>SUMIFS(26:26,$8:$8,"&gt;="&amp;DATE(YEAR(EW$8),1,1),$8:$8,"&lt;="&amp;EOMONTH(EW$8,0))/SUMIFS(26:26,$8:$8,"&gt;="&amp;DATE(YEAR(EW$8)-1,1,1),$8:$8,"&lt;="&amp;EOMONTH(EW$8,-12))-1</f>
        <v/>
      </c>
      <c r="EX29" s="1318">
        <f>SUMIFS(26:26,$8:$8,"&gt;="&amp;DATE(YEAR(EX$8),1,1),$8:$8,"&lt;="&amp;EOMONTH(EX$8,0))/SUMIFS(26:26,$8:$8,"&gt;="&amp;DATE(YEAR(EX$8)-1,1,1),$8:$8,"&lt;="&amp;EOMONTH(EX$8,-12))-1</f>
        <v/>
      </c>
      <c r="EY29" s="1318">
        <f>SUMIFS(26:26,$8:$8,"&gt;="&amp;DATE(YEAR(EY$8),1,1),$8:$8,"&lt;="&amp;EOMONTH(EY$8,0))/SUMIFS(26:26,$8:$8,"&gt;="&amp;DATE(YEAR(EY$8)-1,1,1),$8:$8,"&lt;="&amp;EOMONTH(EY$8,-12))-1</f>
        <v/>
      </c>
      <c r="EZ29" s="1318">
        <f>SUMIFS(26:26,$8:$8,"&gt;="&amp;DATE(YEAR(EZ$8),1,1),$8:$8,"&lt;="&amp;EOMONTH(EZ$8,0))/SUMIFS(26:26,$8:$8,"&gt;="&amp;DATE(YEAR(EZ$8)-1,1,1),$8:$8,"&lt;="&amp;EOMONTH(EZ$8,-12))-1</f>
        <v/>
      </c>
      <c r="FA29" s="1318">
        <f>SUMIFS(26:26,$8:$8,"&gt;="&amp;DATE(YEAR(FA$8),1,1),$8:$8,"&lt;="&amp;EOMONTH(FA$8,0))/SUMIFS(26:26,$8:$8,"&gt;="&amp;DATE(YEAR(FA$8)-1,1,1),$8:$8,"&lt;="&amp;EOMONTH(FA$8,-12))-1</f>
        <v/>
      </c>
      <c r="FB29" s="1318">
        <f>SUMIFS(26:26,$8:$8,"&gt;="&amp;DATE(YEAR(FB$8),1,1),$8:$8,"&lt;="&amp;EOMONTH(FB$8,0))/SUMIFS(26:26,$8:$8,"&gt;="&amp;DATE(YEAR(FB$8)-1,1,1),$8:$8,"&lt;="&amp;EOMONTH(FB$8,-12))-1</f>
        <v/>
      </c>
      <c r="FC29" s="1318">
        <f>SUMIFS(26:26,$8:$8,"&gt;="&amp;DATE(YEAR(FC$8),1,1),$8:$8,"&lt;="&amp;EOMONTH(FC$8,0))/SUMIFS(26:26,$8:$8,"&gt;="&amp;DATE(YEAR(FC$8)-1,1,1),$8:$8,"&lt;="&amp;EOMONTH(FC$8,-12))-1</f>
        <v/>
      </c>
      <c r="FD29" s="1318">
        <f>SUMIFS(26:26,$8:$8,"&gt;="&amp;DATE(YEAR(FD$8),1,1),$8:$8,"&lt;="&amp;EOMONTH(FD$8,0))/SUMIFS(26:26,$8:$8,"&gt;="&amp;DATE(YEAR(FD$8)-1,1,1),$8:$8,"&lt;="&amp;EOMONTH(FD$8,-12))-1</f>
        <v/>
      </c>
      <c r="FE29" s="1318">
        <f>SUMIFS(26:26,$8:$8,"&gt;="&amp;DATE(YEAR(FE$8),1,1),$8:$8,"&lt;="&amp;EOMONTH(FE$8,0))/SUMIFS(26:26,$8:$8,"&gt;="&amp;DATE(YEAR(FE$8)-1,1,1),$8:$8,"&lt;="&amp;EOMONTH(FE$8,-12))-1</f>
        <v/>
      </c>
      <c r="FF29" s="1318">
        <f>SUMIFS(26:26,$8:$8,"&gt;="&amp;DATE(YEAR(FF$8),1,1),$8:$8,"&lt;="&amp;EOMONTH(FF$8,0))/SUMIFS(26:26,$8:$8,"&gt;="&amp;DATE(YEAR(FF$8)-1,1,1),$8:$8,"&lt;="&amp;EOMONTH(FF$8,-12))-1</f>
        <v/>
      </c>
      <c r="FG29" s="1318">
        <f>SUMIFS(26:26,$8:$8,"&gt;="&amp;DATE(YEAR(FG$8),1,1),$8:$8,"&lt;="&amp;EOMONTH(FG$8,0))/SUMIFS(26:26,$8:$8,"&gt;="&amp;DATE(YEAR(FG$8)-1,1,1),$8:$8,"&lt;="&amp;EOMONTH(FG$8,-12))-1</f>
        <v/>
      </c>
      <c r="FH29" s="1318">
        <f>SUMIFS(26:26,$8:$8,"&gt;="&amp;DATE(YEAR(FH$8),1,1),$8:$8,"&lt;="&amp;EOMONTH(FH$8,0))/SUMIFS(26:26,$8:$8,"&gt;="&amp;DATE(YEAR(FH$8)-1,1,1),$8:$8,"&lt;="&amp;EOMONTH(FH$8,-12))-1</f>
        <v/>
      </c>
      <c r="FI29" s="1318">
        <f>SUMIFS(26:26,$8:$8,"&gt;="&amp;DATE(YEAR(FI$8),1,1),$8:$8,"&lt;="&amp;EOMONTH(FI$8,0))/SUMIFS(26:26,$8:$8,"&gt;="&amp;DATE(YEAR(FI$8)-1,1,1),$8:$8,"&lt;="&amp;EOMONTH(FI$8,-12))-1</f>
        <v/>
      </c>
      <c r="FJ29" s="1318">
        <f>SUMIFS(26:26,$8:$8,"&gt;="&amp;DATE(YEAR(FJ$8),1,1),$8:$8,"&lt;="&amp;EOMONTH(FJ$8,0))/SUMIFS(26:26,$8:$8,"&gt;="&amp;DATE(YEAR(FJ$8)-1,1,1),$8:$8,"&lt;="&amp;EOMONTH(FJ$8,-12))-1</f>
        <v/>
      </c>
      <c r="FK29" s="1318">
        <f>SUMIFS(26:26,$8:$8,"&gt;="&amp;DATE(YEAR(FK$8),1,1),$8:$8,"&lt;="&amp;EOMONTH(FK$8,0))/SUMIFS(26:26,$8:$8,"&gt;="&amp;DATE(YEAR(FK$8)-1,1,1),$8:$8,"&lt;="&amp;EOMONTH(FK$8,-12))-1</f>
        <v/>
      </c>
      <c r="FL29" s="1318">
        <f>SUMIFS(26:26,$8:$8,"&gt;="&amp;DATE(YEAR(FL$8),1,1),$8:$8,"&lt;="&amp;EOMONTH(FL$8,0))/SUMIFS(26:26,$8:$8,"&gt;="&amp;DATE(YEAR(FL$8)-1,1,1),$8:$8,"&lt;="&amp;EOMONTH(FL$8,-12))-1</f>
        <v/>
      </c>
      <c r="FM29" s="1318">
        <f>SUMIFS(26:26,$8:$8,"&gt;="&amp;DATE(YEAR(FM$8),1,1),$8:$8,"&lt;="&amp;EOMONTH(FM$8,0))/SUMIFS(26:26,$8:$8,"&gt;="&amp;DATE(YEAR(FM$8)-1,1,1),$8:$8,"&lt;="&amp;EOMONTH(FM$8,-12))-1</f>
        <v/>
      </c>
      <c r="FN29" s="1318">
        <f>SUMIFS(26:26,$8:$8,"&gt;="&amp;DATE(YEAR(FN$8),1,1),$8:$8,"&lt;="&amp;EOMONTH(FN$8,0))/SUMIFS(26:26,$8:$8,"&gt;="&amp;DATE(YEAR(FN$8)-1,1,1),$8:$8,"&lt;="&amp;EOMONTH(FN$8,-12))-1</f>
        <v/>
      </c>
      <c r="FO29" s="1318">
        <f>SUMIFS(26:26,$8:$8,"&gt;="&amp;DATE(YEAR(FO$8),1,1),$8:$8,"&lt;="&amp;EOMONTH(FO$8,0))/SUMIFS(26:26,$8:$8,"&gt;="&amp;DATE(YEAR(FO$8)-1,1,1),$8:$8,"&lt;="&amp;EOMONTH(FO$8,-12))-1</f>
        <v/>
      </c>
      <c r="FP29" s="1318">
        <f>SUMIFS(26:26,$8:$8,"&gt;="&amp;DATE(YEAR(FP$8),1,1),$8:$8,"&lt;="&amp;EOMONTH(FP$8,0))/SUMIFS(26:26,$8:$8,"&gt;="&amp;DATE(YEAR(FP$8)-1,1,1),$8:$8,"&lt;="&amp;EOMONTH(FP$8,-12))-1</f>
        <v/>
      </c>
      <c r="FQ29" s="1318">
        <f>SUMIFS(26:26,$8:$8,"&gt;="&amp;DATE(YEAR(FQ$8),1,1),$8:$8,"&lt;="&amp;EOMONTH(FQ$8,0))/SUMIFS(26:26,$8:$8,"&gt;="&amp;DATE(YEAR(FQ$8)-1,1,1),$8:$8,"&lt;="&amp;EOMONTH(FQ$8,-12))-1</f>
        <v/>
      </c>
      <c r="FR29" s="1318">
        <f>SUMIFS(26:26,$8:$8,"&gt;="&amp;DATE(YEAR(FR$8),1,1),$8:$8,"&lt;="&amp;EOMONTH(FR$8,0))/SUMIFS(26:26,$8:$8,"&gt;="&amp;DATE(YEAR(FR$8)-1,1,1),$8:$8,"&lt;="&amp;EOMONTH(FR$8,-12))-1</f>
        <v/>
      </c>
      <c r="FS29" s="1318">
        <f>SUMIFS(26:26,$8:$8,"&gt;="&amp;DATE(YEAR(FS$8),1,1),$8:$8,"&lt;="&amp;EOMONTH(FS$8,0))/SUMIFS(26:26,$8:$8,"&gt;="&amp;DATE(YEAR(FS$8)-1,1,1),$8:$8,"&lt;="&amp;EOMONTH(FS$8,-12))-1</f>
        <v/>
      </c>
      <c r="FT29" s="1318">
        <f>SUMIFS(26:26,$8:$8,"&gt;="&amp;DATE(YEAR(FT$8),1,1),$8:$8,"&lt;="&amp;EOMONTH(FT$8,0))/SUMIFS(26:26,$8:$8,"&gt;="&amp;DATE(YEAR(FT$8)-1,1,1),$8:$8,"&lt;="&amp;EOMONTH(FT$8,-12))-1</f>
        <v/>
      </c>
      <c r="FU29" s="1318">
        <f>SUMIFS(26:26,$8:$8,"&gt;="&amp;DATE(YEAR(FU$8),1,1),$8:$8,"&lt;="&amp;EOMONTH(FU$8,0))/SUMIFS(26:26,$8:$8,"&gt;="&amp;DATE(YEAR(FU$8)-1,1,1),$8:$8,"&lt;="&amp;EOMONTH(FU$8,-12))-1</f>
        <v/>
      </c>
      <c r="FV29" s="1318">
        <f>SUMIFS(26:26,$8:$8,"&gt;="&amp;DATE(YEAR(FV$8),1,1),$8:$8,"&lt;="&amp;EOMONTH(FV$8,0))/SUMIFS(26:26,$8:$8,"&gt;="&amp;DATE(YEAR(FV$8)-1,1,1),$8:$8,"&lt;="&amp;EOMONTH(FV$8,-12))-1</f>
        <v/>
      </c>
      <c r="FW29" s="1318">
        <f>SUMIFS(26:26,$8:$8,"&gt;="&amp;DATE(YEAR(FW$8),1,1),$8:$8,"&lt;="&amp;EOMONTH(FW$8,0))/SUMIFS(26:26,$8:$8,"&gt;="&amp;DATE(YEAR(FW$8)-1,1,1),$8:$8,"&lt;="&amp;EOMONTH(FW$8,-12))-1</f>
        <v/>
      </c>
      <c r="FX29" s="1318">
        <f>SUMIFS(26:26,$8:$8,"&gt;="&amp;DATE(YEAR(FX$8),1,1),$8:$8,"&lt;="&amp;EOMONTH(FX$8,0))/SUMIFS(26:26,$8:$8,"&gt;="&amp;DATE(YEAR(FX$8)-1,1,1),$8:$8,"&lt;="&amp;EOMONTH(FX$8,-12))-1</f>
        <v/>
      </c>
      <c r="FY29" s="1318">
        <f>SUMIFS(26:26,$8:$8,"&gt;="&amp;DATE(YEAR(FY$8),1,1),$8:$8,"&lt;="&amp;EOMONTH(FY$8,0))/SUMIFS(26:26,$8:$8,"&gt;="&amp;DATE(YEAR(FY$8)-1,1,1),$8:$8,"&lt;="&amp;EOMONTH(FY$8,-12))-1</f>
        <v/>
      </c>
      <c r="FZ29" s="1318">
        <f>SUMIFS(26:26,$8:$8,"&gt;="&amp;DATE(YEAR(FZ$8),1,1),$8:$8,"&lt;="&amp;EOMONTH(FZ$8,0))/SUMIFS(26:26,$8:$8,"&gt;="&amp;DATE(YEAR(FZ$8)-1,1,1),$8:$8,"&lt;="&amp;EOMONTH(FZ$8,-12))-1</f>
        <v/>
      </c>
      <c r="GA29" s="1318">
        <f>SUMIFS(26:26,$8:$8,"&gt;="&amp;DATE(YEAR(GA$8),1,1),$8:$8,"&lt;="&amp;EOMONTH(GA$8,0))/SUMIFS(26:26,$8:$8,"&gt;="&amp;DATE(YEAR(GA$8)-1,1,1),$8:$8,"&lt;="&amp;EOMONTH(GA$8,-12))-1</f>
        <v/>
      </c>
      <c r="GB29" s="1318">
        <f>SUMIFS(26:26,$8:$8,"&gt;="&amp;DATE(YEAR(GB$8),1,1),$8:$8,"&lt;="&amp;EOMONTH(GB$8,0))/SUMIFS(26:26,$8:$8,"&gt;="&amp;DATE(YEAR(GB$8)-1,1,1),$8:$8,"&lt;="&amp;EOMONTH(GB$8,-12))-1</f>
        <v/>
      </c>
      <c r="GC29" s="1318">
        <f>SUMIFS(26:26,$8:$8,"&gt;="&amp;DATE(YEAR(GC$8),1,1),$8:$8,"&lt;="&amp;EOMONTH(GC$8,0))/SUMIFS(26:26,$8:$8,"&gt;="&amp;DATE(YEAR(GC$8)-1,1,1),$8:$8,"&lt;="&amp;EOMONTH(GC$8,-12))-1</f>
        <v/>
      </c>
      <c r="GD29" s="1318">
        <f>SUMIFS(26:26,$8:$8,"&gt;="&amp;DATE(YEAR(GD$8),1,1),$8:$8,"&lt;="&amp;EOMONTH(GD$8,0))/SUMIFS(26:26,$8:$8,"&gt;="&amp;DATE(YEAR(GD$8)-1,1,1),$8:$8,"&lt;="&amp;EOMONTH(GD$8,-12))-1</f>
        <v/>
      </c>
      <c r="GE29" s="1318">
        <f>SUMIFS(26:26,$8:$8,"&gt;="&amp;DATE(YEAR(GE$8),1,1),$8:$8,"&lt;="&amp;EOMONTH(GE$8,0))/SUMIFS(26:26,$8:$8,"&gt;="&amp;DATE(YEAR(GE$8)-1,1,1),$8:$8,"&lt;="&amp;EOMONTH(GE$8,-12))-1</f>
        <v/>
      </c>
      <c r="GF29" s="1318">
        <f>SUMIFS(26:26,$8:$8,"&gt;="&amp;DATE(YEAR(GF$8),1,1),$8:$8,"&lt;="&amp;EOMONTH(GF$8,0))/SUMIFS(26:26,$8:$8,"&gt;="&amp;DATE(YEAR(GF$8)-1,1,1),$8:$8,"&lt;="&amp;EOMONTH(GF$8,-12))-1</f>
        <v/>
      </c>
      <c r="GG29" s="1318">
        <f>SUMIFS(26:26,$8:$8,"&gt;="&amp;DATE(YEAR(GG$8),1,1),$8:$8,"&lt;="&amp;EOMONTH(GG$8,0))/SUMIFS(26:26,$8:$8,"&gt;="&amp;DATE(YEAR(GG$8)-1,1,1),$8:$8,"&lt;="&amp;EOMONTH(GG$8,-12))-1</f>
        <v/>
      </c>
      <c r="GH29" s="1318">
        <f>SUMIFS(26:26,$8:$8,"&gt;="&amp;DATE(YEAR(GH$8),1,1),$8:$8,"&lt;="&amp;EOMONTH(GH$8,0))/SUMIFS(26:26,$8:$8,"&gt;="&amp;DATE(YEAR(GH$8)-1,1,1),$8:$8,"&lt;="&amp;EOMONTH(GH$8,-12))-1</f>
        <v/>
      </c>
      <c r="GI29" s="1318">
        <f>SUMIFS(26:26,$8:$8,"&gt;="&amp;DATE(YEAR(GI$8),1,1),$8:$8,"&lt;="&amp;EOMONTH(GI$8,0))/SUMIFS(26:26,$8:$8,"&gt;="&amp;DATE(YEAR(GI$8)-1,1,1),$8:$8,"&lt;="&amp;EOMONTH(GI$8,-12))-1</f>
        <v/>
      </c>
      <c r="GJ29" s="1318">
        <f>SUMIFS(26:26,$8:$8,"&gt;="&amp;DATE(YEAR(GJ$8),1,1),$8:$8,"&lt;="&amp;EOMONTH(GJ$8,0))/SUMIFS(26:26,$8:$8,"&gt;="&amp;DATE(YEAR(GJ$8)-1,1,1),$8:$8,"&lt;="&amp;EOMONTH(GJ$8,-12))-1</f>
        <v/>
      </c>
      <c r="GK29" s="1318">
        <f>SUMIFS(26:26,$8:$8,"&gt;="&amp;DATE(YEAR(GK$8),1,1),$8:$8,"&lt;="&amp;EOMONTH(GK$8,0))/SUMIFS(26:26,$8:$8,"&gt;="&amp;DATE(YEAR(GK$8)-1,1,1),$8:$8,"&lt;="&amp;EOMONTH(GK$8,-12))-1</f>
        <v/>
      </c>
      <c r="GL29" s="1318">
        <f>SUMIFS(26:26,$8:$8,"&gt;="&amp;DATE(YEAR(GL$8),1,1),$8:$8,"&lt;="&amp;EOMONTH(GL$8,0))/SUMIFS(26:26,$8:$8,"&gt;="&amp;DATE(YEAR(GL$8)-1,1,1),$8:$8,"&lt;="&amp;EOMONTH(GL$8,-12))-1</f>
        <v/>
      </c>
      <c r="GM29" s="1318">
        <f>SUMIFS(26:26,$8:$8,"&gt;="&amp;DATE(YEAR(GM$8),1,1),$8:$8,"&lt;="&amp;EOMONTH(GM$8,0))/SUMIFS(26:26,$8:$8,"&gt;="&amp;DATE(YEAR(GM$8)-1,1,1),$8:$8,"&lt;="&amp;EOMONTH(GM$8,-12))-1</f>
        <v/>
      </c>
      <c r="GN29" s="1318">
        <f>SUMIFS(26:26,$8:$8,"&gt;="&amp;DATE(YEAR(GN$8),1,1),$8:$8,"&lt;="&amp;EOMONTH(GN$8,0))/SUMIFS(26:26,$8:$8,"&gt;="&amp;DATE(YEAR(GN$8)-1,1,1),$8:$8,"&lt;="&amp;EOMONTH(GN$8,-12))-1</f>
        <v/>
      </c>
      <c r="GO29" s="1318">
        <f>SUMIFS(26:26,$8:$8,"&gt;="&amp;DATE(YEAR(GO$8),1,1),$8:$8,"&lt;="&amp;EOMONTH(GO$8,0))/SUMIFS(26:26,$8:$8,"&gt;="&amp;DATE(YEAR(GO$8)-1,1,1),$8:$8,"&lt;="&amp;EOMONTH(GO$8,-12))-1</f>
        <v/>
      </c>
      <c r="GP29" s="1318">
        <f>SUMIFS(26:26,$8:$8,"&gt;="&amp;DATE(YEAR(GP$8),1,1),$8:$8,"&lt;="&amp;EOMONTH(GP$8,0))/SUMIFS(26:26,$8:$8,"&gt;="&amp;DATE(YEAR(GP$8)-1,1,1),$8:$8,"&lt;="&amp;EOMONTH(GP$8,-12))-1</f>
        <v/>
      </c>
      <c r="GQ29" s="1318">
        <f>SUMIFS(26:26,$8:$8,"&gt;="&amp;DATE(YEAR(GQ$8),1,1),$8:$8,"&lt;="&amp;EOMONTH(GQ$8,0))/SUMIFS(26:26,$8:$8,"&gt;="&amp;DATE(YEAR(GQ$8)-1,1,1),$8:$8,"&lt;="&amp;EOMONTH(GQ$8,-12))-1</f>
        <v/>
      </c>
      <c r="GR29" s="1318">
        <f>SUMIFS(26:26,$8:$8,"&gt;="&amp;DATE(YEAR(GR$8),1,1),$8:$8,"&lt;="&amp;EOMONTH(GR$8,0))/SUMIFS(26:26,$8:$8,"&gt;="&amp;DATE(YEAR(GR$8)-1,1,1),$8:$8,"&lt;="&amp;EOMONTH(GR$8,-12))-1</f>
        <v/>
      </c>
      <c r="GS29" s="1318">
        <f>SUMIFS(26:26,$8:$8,"&gt;="&amp;DATE(YEAR(GS$8),1,1),$8:$8,"&lt;="&amp;EOMONTH(GS$8,0))/SUMIFS(26:26,$8:$8,"&gt;="&amp;DATE(YEAR(GS$8)-1,1,1),$8:$8,"&lt;="&amp;EOMONTH(GS$8,-12))-1</f>
        <v/>
      </c>
      <c r="GT29" s="1318">
        <f>SUMIFS(26:26,$8:$8,"&gt;="&amp;DATE(YEAR(GT$8),1,1),$8:$8,"&lt;="&amp;EOMONTH(GT$8,0))/SUMIFS(26:26,$8:$8,"&gt;="&amp;DATE(YEAR(GT$8)-1,1,1),$8:$8,"&lt;="&amp;EOMONTH(GT$8,-12))-1</f>
        <v/>
      </c>
      <c r="GU29" s="1318">
        <f>SUMIFS(26:26,$8:$8,"&gt;="&amp;DATE(YEAR(GU$8),1,1),$8:$8,"&lt;="&amp;EOMONTH(GU$8,0))/SUMIFS(26:26,$8:$8,"&gt;="&amp;DATE(YEAR(GU$8)-1,1,1),$8:$8,"&lt;="&amp;EOMONTH(GU$8,-12))-1</f>
        <v/>
      </c>
      <c r="GV29" s="1318">
        <f>SUMIFS(26:26,$8:$8,"&gt;="&amp;DATE(YEAR(GV$8),1,1),$8:$8,"&lt;="&amp;EOMONTH(GV$8,0))/SUMIFS(26:26,$8:$8,"&gt;="&amp;DATE(YEAR(GV$8)-1,1,1),$8:$8,"&lt;="&amp;EOMONTH(GV$8,-12))-1</f>
        <v/>
      </c>
      <c r="GW29" s="1318">
        <f>SUMIFS(26:26,$8:$8,"&gt;="&amp;DATE(YEAR(GW$8),1,1),$8:$8,"&lt;="&amp;EOMONTH(GW$8,0))/SUMIFS(26:26,$8:$8,"&gt;="&amp;DATE(YEAR(GW$8)-1,1,1),$8:$8,"&lt;="&amp;EOMONTH(GW$8,-12))-1</f>
        <v/>
      </c>
      <c r="GX29" s="1318">
        <f>SUMIFS(26:26,$8:$8,"&gt;="&amp;DATE(YEAR(GX$8),1,1),$8:$8,"&lt;="&amp;EOMONTH(GX$8,0))/SUMIFS(26:26,$8:$8,"&gt;="&amp;DATE(YEAR(GX$8)-1,1,1),$8:$8,"&lt;="&amp;EOMONTH(GX$8,-12))-1</f>
        <v/>
      </c>
      <c r="GY29" s="1318">
        <f>SUMIFS(26:26,$8:$8,"&gt;="&amp;DATE(YEAR(GY$8),1,1),$8:$8,"&lt;="&amp;EOMONTH(GY$8,0))/SUMIFS(26:26,$8:$8,"&gt;="&amp;DATE(YEAR(GY$8)-1,1,1),$8:$8,"&lt;="&amp;EOMONTH(GY$8,-12))-1</f>
        <v/>
      </c>
      <c r="GZ29" s="1318">
        <f>SUMIFS(26:26,$8:$8,"&gt;="&amp;DATE(YEAR(GZ$8),1,1),$8:$8,"&lt;="&amp;EOMONTH(GZ$8,0))/SUMIFS(26:26,$8:$8,"&gt;="&amp;DATE(YEAR(GZ$8)-1,1,1),$8:$8,"&lt;="&amp;EOMONTH(GZ$8,-12))-1</f>
        <v/>
      </c>
      <c r="HA29" s="1318">
        <f>SUMIFS(26:26,$8:$8,"&gt;="&amp;DATE(YEAR(HA$8),1,1),$8:$8,"&lt;="&amp;EOMONTH(HA$8,0))/SUMIFS(26:26,$8:$8,"&gt;="&amp;DATE(YEAR(HA$8)-1,1,1),$8:$8,"&lt;="&amp;EOMONTH(HA$8,-12))-1</f>
        <v/>
      </c>
      <c r="HB29" s="1318">
        <f>SUMIFS(26:26,$8:$8,"&gt;="&amp;DATE(YEAR(HB$8),1,1),$8:$8,"&lt;="&amp;EOMONTH(HB$8,0))/SUMIFS(26:26,$8:$8,"&gt;="&amp;DATE(YEAR(HB$8)-1,1,1),$8:$8,"&lt;="&amp;EOMONTH(HB$8,-12))-1</f>
        <v/>
      </c>
      <c r="HC29" s="1318">
        <f>SUMIFS(26:26,$8:$8,"&gt;="&amp;DATE(YEAR(HC$8),1,1),$8:$8,"&lt;="&amp;EOMONTH(HC$8,0))/SUMIFS(26:26,$8:$8,"&gt;="&amp;DATE(YEAR(HC$8)-1,1,1),$8:$8,"&lt;="&amp;EOMONTH(HC$8,-12))-1</f>
        <v/>
      </c>
      <c r="HD29" s="1318">
        <f>SUMIFS(26:26,$8:$8,"&gt;="&amp;DATE(YEAR(HD$8),1,1),$8:$8,"&lt;="&amp;EOMONTH(HD$8,0))/SUMIFS(26:26,$8:$8,"&gt;="&amp;DATE(YEAR(HD$8)-1,1,1),$8:$8,"&lt;="&amp;EOMONTH(HD$8,-12))-1</f>
        <v/>
      </c>
      <c r="HE29" s="1318">
        <f>SUMIFS(26:26,$8:$8,"&gt;="&amp;DATE(YEAR(HE$8),1,1),$8:$8,"&lt;="&amp;EOMONTH(HE$8,0))/SUMIFS(26:26,$8:$8,"&gt;="&amp;DATE(YEAR(HE$8)-1,1,1),$8:$8,"&lt;="&amp;EOMONTH(HE$8,-12))-1</f>
        <v/>
      </c>
      <c r="HF29" s="1318">
        <f>SUMIFS(26:26,$8:$8,"&gt;="&amp;DATE(YEAR(HF$8),1,1),$8:$8,"&lt;="&amp;EOMONTH(HF$8,0))/SUMIFS(26:26,$8:$8,"&gt;="&amp;DATE(YEAR(HF$8)-1,1,1),$8:$8,"&lt;="&amp;EOMONTH(HF$8,-12))-1</f>
        <v/>
      </c>
      <c r="HG29" s="1318">
        <f>SUMIFS(26:26,$8:$8,"&gt;="&amp;DATE(YEAR(HG$8),1,1),$8:$8,"&lt;="&amp;EOMONTH(HG$8,0))/SUMIFS(26:26,$8:$8,"&gt;="&amp;DATE(YEAR(HG$8)-1,1,1),$8:$8,"&lt;="&amp;EOMONTH(HG$8,-12))-1</f>
        <v/>
      </c>
      <c r="HH29" s="1318">
        <f>SUMIFS(26:26,$8:$8,"&gt;="&amp;DATE(YEAR(HH$8),1,1),$8:$8,"&lt;="&amp;EOMONTH(HH$8,0))/SUMIFS(26:26,$8:$8,"&gt;="&amp;DATE(YEAR(HH$8)-1,1,1),$8:$8,"&lt;="&amp;EOMONTH(HH$8,-12))-1</f>
        <v/>
      </c>
      <c r="HI29" s="1318">
        <f>SUMIFS(26:26,$8:$8,"&gt;="&amp;DATE(YEAR(HI$8),1,1),$8:$8,"&lt;="&amp;EOMONTH(HI$8,0))/SUMIFS(26:26,$8:$8,"&gt;="&amp;DATE(YEAR(HI$8)-1,1,1),$8:$8,"&lt;="&amp;EOMONTH(HI$8,-12))-1</f>
        <v/>
      </c>
      <c r="HJ29" s="1318">
        <f>SUMIFS(26:26,$8:$8,"&gt;="&amp;DATE(YEAR(HJ$8),1,1),$8:$8,"&lt;="&amp;EOMONTH(HJ$8,0))/SUMIFS(26:26,$8:$8,"&gt;="&amp;DATE(YEAR(HJ$8)-1,1,1),$8:$8,"&lt;="&amp;EOMONTH(HJ$8,-12))-1</f>
        <v/>
      </c>
      <c r="HK29" s="1318">
        <f>SUMIFS(26:26,$8:$8,"&gt;="&amp;DATE(YEAR(HK$8),1,1),$8:$8,"&lt;="&amp;EOMONTH(HK$8,0))/SUMIFS(26:26,$8:$8,"&gt;="&amp;DATE(YEAR(HK$8)-1,1,1),$8:$8,"&lt;="&amp;EOMONTH(HK$8,-12))-1</f>
        <v/>
      </c>
      <c r="HL29" s="1318">
        <f>SUMIFS(26:26,$8:$8,"&gt;="&amp;DATE(YEAR(HL$8),1,1),$8:$8,"&lt;="&amp;EOMONTH(HL$8,0))/SUMIFS(26:26,$8:$8,"&gt;="&amp;DATE(YEAR(HL$8)-1,1,1),$8:$8,"&lt;="&amp;EOMONTH(HL$8,-12))-1</f>
        <v/>
      </c>
      <c r="HM29" s="1318">
        <f>SUMIFS(26:26,$8:$8,"&gt;="&amp;DATE(YEAR(HM$8),1,1),$8:$8,"&lt;="&amp;EOMONTH(HM$8,0))/SUMIFS(26:26,$8:$8,"&gt;="&amp;DATE(YEAR(HM$8)-1,1,1),$8:$8,"&lt;="&amp;EOMONTH(HM$8,-12))-1</f>
        <v/>
      </c>
      <c r="HN29" s="1318">
        <f>SUMIFS(26:26,$8:$8,"&gt;="&amp;DATE(YEAR(HN$8),1,1),$8:$8,"&lt;="&amp;EOMONTH(HN$8,0))/SUMIFS(26:26,$8:$8,"&gt;="&amp;DATE(YEAR(HN$8)-1,1,1),$8:$8,"&lt;="&amp;EOMONTH(HN$8,-12))-1</f>
        <v/>
      </c>
      <c r="HO29" s="1318">
        <f>SUMIFS(26:26,$8:$8,"&gt;="&amp;DATE(YEAR(HO$8),1,1),$8:$8,"&lt;="&amp;EOMONTH(HO$8,0))/SUMIFS(26:26,$8:$8,"&gt;="&amp;DATE(YEAR(HO$8)-1,1,1),$8:$8,"&lt;="&amp;EOMONTH(HO$8,-12))-1</f>
        <v/>
      </c>
      <c r="HP29" s="1318">
        <f>SUMIFS(26:26,$8:$8,"&gt;="&amp;DATE(YEAR(HP$8),1,1),$8:$8,"&lt;="&amp;EOMONTH(HP$8,0))/SUMIFS(26:26,$8:$8,"&gt;="&amp;DATE(YEAR(HP$8)-1,1,1),$8:$8,"&lt;="&amp;EOMONTH(HP$8,-12))-1</f>
        <v/>
      </c>
      <c r="HQ29" s="1318">
        <f>SUMIFS(26:26,$8:$8,"&gt;="&amp;DATE(YEAR(HQ$8),1,1),$8:$8,"&lt;="&amp;EOMONTH(HQ$8,0))/SUMIFS(26:26,$8:$8,"&gt;="&amp;DATE(YEAR(HQ$8)-1,1,1),$8:$8,"&lt;="&amp;EOMONTH(HQ$8,-12))-1</f>
        <v/>
      </c>
      <c r="HR29" s="1318">
        <f>SUMIFS(26:26,$8:$8,"&gt;="&amp;DATE(YEAR(HR$8),1,1),$8:$8,"&lt;="&amp;EOMONTH(HR$8,0))/SUMIFS(26:26,$8:$8,"&gt;="&amp;DATE(YEAR(HR$8)-1,1,1),$8:$8,"&lt;="&amp;EOMONTH(HR$8,-12))-1</f>
        <v/>
      </c>
      <c r="HS29" s="1318">
        <f>SUMIFS(26:26,$8:$8,"&gt;="&amp;DATE(YEAR(HS$8),1,1),$8:$8,"&lt;="&amp;EOMONTH(HS$8,0))/SUMIFS(26:26,$8:$8,"&gt;="&amp;DATE(YEAR(HS$8)-1,1,1),$8:$8,"&lt;="&amp;EOMONTH(HS$8,-12))-1</f>
        <v/>
      </c>
      <c r="HT29" s="1318">
        <f>SUMIFS(26:26,$8:$8,"&gt;="&amp;DATE(YEAR(HT$8),1,1),$8:$8,"&lt;="&amp;EOMONTH(HT$8,0))/SUMIFS(26:26,$8:$8,"&gt;="&amp;DATE(YEAR(HT$8)-1,1,1),$8:$8,"&lt;="&amp;EOMONTH(HT$8,-12))-1</f>
        <v/>
      </c>
      <c r="HU29" s="1318">
        <f>SUMIFS(26:26,$8:$8,"&gt;="&amp;DATE(YEAR(HU$8),1,1),$8:$8,"&lt;="&amp;EOMONTH(HU$8,0))/SUMIFS(26:26,$8:$8,"&gt;="&amp;DATE(YEAR(HU$8)-1,1,1),$8:$8,"&lt;="&amp;EOMONTH(HU$8,-12))-1</f>
        <v/>
      </c>
      <c r="HV29" s="1318">
        <f>SUMIFS(26:26,$8:$8,"&gt;="&amp;DATE(YEAR(HV$8),1,1),$8:$8,"&lt;="&amp;EOMONTH(HV$8,0))/SUMIFS(26:26,$8:$8,"&gt;="&amp;DATE(YEAR(HV$8)-1,1,1),$8:$8,"&lt;="&amp;EOMONTH(HV$8,-12))-1</f>
        <v/>
      </c>
      <c r="HW29" s="1318">
        <f>SUMIFS(26:26,$8:$8,"&gt;="&amp;DATE(YEAR(HW$8),1,1),$8:$8,"&lt;="&amp;EOMONTH(HW$8,0))/SUMIFS(26:26,$8:$8,"&gt;="&amp;DATE(YEAR(HW$8)-1,1,1),$8:$8,"&lt;="&amp;EOMONTH(HW$8,-12))-1</f>
        <v/>
      </c>
      <c r="HX29" s="1318">
        <f>SUMIFS(26:26,$8:$8,"&gt;="&amp;DATE(YEAR(HX$8),1,1),$8:$8,"&lt;="&amp;EOMONTH(HX$8,0))/SUMIFS(26:26,$8:$8,"&gt;="&amp;DATE(YEAR(HX$8)-1,1,1),$8:$8,"&lt;="&amp;EOMONTH(HX$8,-12))-1</f>
        <v/>
      </c>
      <c r="HY29" s="1318">
        <f>SUMIFS(26:26,$8:$8,"&gt;="&amp;DATE(YEAR(HY$8),1,1),$8:$8,"&lt;="&amp;EOMONTH(HY$8,0))/SUMIFS(26:26,$8:$8,"&gt;="&amp;DATE(YEAR(HY$8)-1,1,1),$8:$8,"&lt;="&amp;EOMONTH(HY$8,-12))-1</f>
        <v/>
      </c>
      <c r="HZ29" s="1318">
        <f>SUMIFS(26:26,$8:$8,"&gt;="&amp;DATE(YEAR(HZ$8),1,1),$8:$8,"&lt;="&amp;EOMONTH(HZ$8,0))/SUMIFS(26:26,$8:$8,"&gt;="&amp;DATE(YEAR(HZ$8)-1,1,1),$8:$8,"&lt;="&amp;EOMONTH(HZ$8,-12))-1</f>
        <v/>
      </c>
      <c r="IA29" s="1318">
        <f>SUMIFS(26:26,$8:$8,"&gt;="&amp;DATE(YEAR(IA$8),1,1),$8:$8,"&lt;="&amp;EOMONTH(IA$8,0))/SUMIFS(26:26,$8:$8,"&gt;="&amp;DATE(YEAR(IA$8)-1,1,1),$8:$8,"&lt;="&amp;EOMONTH(IA$8,-12))-1</f>
        <v/>
      </c>
      <c r="IB29" s="1318">
        <f>SUMIFS(26:26,$8:$8,"&gt;="&amp;DATE(YEAR(IB$8),1,1),$8:$8,"&lt;="&amp;EOMONTH(IB$8,0))/SUMIFS(26:26,$8:$8,"&gt;="&amp;DATE(YEAR(IB$8)-1,1,1),$8:$8,"&lt;="&amp;EOMONTH(IB$8,-12))-1</f>
        <v/>
      </c>
      <c r="IC29" s="1318">
        <f>SUMIFS(26:26,$8:$8,"&gt;="&amp;DATE(YEAR(IC$8),1,1),$8:$8,"&lt;="&amp;EOMONTH(IC$8,0))/SUMIFS(26:26,$8:$8,"&gt;="&amp;DATE(YEAR(IC$8)-1,1,1),$8:$8,"&lt;="&amp;EOMONTH(IC$8,-12))-1</f>
        <v/>
      </c>
      <c r="ID29" s="1318">
        <f>SUMIFS(26:26,$8:$8,"&gt;="&amp;DATE(YEAR(ID$8),1,1),$8:$8,"&lt;="&amp;EOMONTH(ID$8,0))/SUMIFS(26:26,$8:$8,"&gt;="&amp;DATE(YEAR(ID$8)-1,1,1),$8:$8,"&lt;="&amp;EOMONTH(ID$8,-12))-1</f>
        <v/>
      </c>
      <c r="IE29" s="1318">
        <f>SUMIFS(26:26,$8:$8,"&gt;="&amp;DATE(YEAR(IE$8),1,1),$8:$8,"&lt;="&amp;EOMONTH(IE$8,0))/SUMIFS(26:26,$8:$8,"&gt;="&amp;DATE(YEAR(IE$8)-1,1,1),$8:$8,"&lt;="&amp;EOMONTH(IE$8,-12))-1</f>
        <v/>
      </c>
      <c r="IF29" s="1318">
        <f>SUMIFS(26:26,$8:$8,"&gt;="&amp;DATE(YEAR(IF$8),1,1),$8:$8,"&lt;="&amp;EOMONTH(IF$8,0))/SUMIFS(26:26,$8:$8,"&gt;="&amp;DATE(YEAR(IF$8)-1,1,1),$8:$8,"&lt;="&amp;EOMONTH(IF$8,-12))-1</f>
        <v/>
      </c>
      <c r="IG29" s="1318">
        <f>SUMIFS(26:26,$8:$8,"&gt;="&amp;DATE(YEAR(IG$8),1,1),$8:$8,"&lt;="&amp;EOMONTH(IG$8,0))/SUMIFS(26:26,$8:$8,"&gt;="&amp;DATE(YEAR(IG$8)-1,1,1),$8:$8,"&lt;="&amp;EOMONTH(IG$8,-12))-1</f>
        <v/>
      </c>
      <c r="IH29" s="1318">
        <f>SUMIFS(26:26,$8:$8,"&gt;="&amp;DATE(YEAR(IH$8),1,1),$8:$8,"&lt;="&amp;EOMONTH(IH$8,0))/SUMIFS(26:26,$8:$8,"&gt;="&amp;DATE(YEAR(IH$8)-1,1,1),$8:$8,"&lt;="&amp;EOMONTH(IH$8,-12))-1</f>
        <v/>
      </c>
      <c r="II29" s="1318">
        <f>SUMIFS(26:26,$8:$8,"&gt;="&amp;DATE(YEAR(II$8),1,1),$8:$8,"&lt;="&amp;EOMONTH(II$8,0))/SUMIFS(26:26,$8:$8,"&gt;="&amp;DATE(YEAR(II$8)-1,1,1),$8:$8,"&lt;="&amp;EOMONTH(II$8,-12))-1</f>
        <v/>
      </c>
      <c r="IJ29" s="1318">
        <f>SUMIFS(26:26,$8:$8,"&gt;="&amp;DATE(YEAR(IJ$8),1,1),$8:$8,"&lt;="&amp;EOMONTH(IJ$8,0))/SUMIFS(26:26,$8:$8,"&gt;="&amp;DATE(YEAR(IJ$8)-1,1,1),$8:$8,"&lt;="&amp;EOMONTH(IJ$8,-12))-1</f>
        <v/>
      </c>
      <c r="IK29" s="1318">
        <f>SUMIFS(26:26,$8:$8,"&gt;="&amp;DATE(YEAR(IK$8),1,1),$8:$8,"&lt;="&amp;EOMONTH(IK$8,0))/SUMIFS(26:26,$8:$8,"&gt;="&amp;DATE(YEAR(IK$8)-1,1,1),$8:$8,"&lt;="&amp;EOMONTH(IK$8,-12))-1</f>
        <v/>
      </c>
      <c r="IL29" s="1318">
        <f>SUMIFS(26:26,$8:$8,"&gt;="&amp;DATE(YEAR(IL$8),1,1),$8:$8,"&lt;="&amp;EOMONTH(IL$8,0))/SUMIFS(26:26,$8:$8,"&gt;="&amp;DATE(YEAR(IL$8)-1,1,1),$8:$8,"&lt;="&amp;EOMONTH(IL$8,-12))-1</f>
        <v/>
      </c>
      <c r="IM29" s="1318">
        <f>SUMIFS(26:26,$8:$8,"&gt;="&amp;DATE(YEAR(IM$8),1,1),$8:$8,"&lt;="&amp;EOMONTH(IM$8,0))/SUMIFS(26:26,$8:$8,"&gt;="&amp;DATE(YEAR(IM$8)-1,1,1),$8:$8,"&lt;="&amp;EOMONTH(IM$8,-12))-1</f>
        <v/>
      </c>
      <c r="IN29" s="1318">
        <f>SUMIFS(26:26,$8:$8,"&gt;="&amp;DATE(YEAR(IN$8),1,1),$8:$8,"&lt;="&amp;EOMONTH(IN$8,0))/SUMIFS(26:26,$8:$8,"&gt;="&amp;DATE(YEAR(IN$8)-1,1,1),$8:$8,"&lt;="&amp;EOMONTH(IN$8,-12))-1</f>
        <v/>
      </c>
      <c r="IO29" s="1318">
        <f>SUMIFS(26:26,$8:$8,"&gt;="&amp;DATE(YEAR(IO$8),1,1),$8:$8,"&lt;="&amp;EOMONTH(IO$8,0))/SUMIFS(26:26,$8:$8,"&gt;="&amp;DATE(YEAR(IO$8)-1,1,1),$8:$8,"&lt;="&amp;EOMONTH(IO$8,-12))-1</f>
        <v/>
      </c>
      <c r="IP29" s="1318">
        <f>SUMIFS(26:26,$8:$8,"&gt;="&amp;DATE(YEAR(IP$8),1,1),$8:$8,"&lt;="&amp;EOMONTH(IP$8,0))/SUMIFS(26:26,$8:$8,"&gt;="&amp;DATE(YEAR(IP$8)-1,1,1),$8:$8,"&lt;="&amp;EOMONTH(IP$8,-12))-1</f>
        <v/>
      </c>
      <c r="IQ29" s="1318">
        <f>SUMIFS(26:26,$8:$8,"&gt;="&amp;DATE(YEAR(IQ$8),1,1),$8:$8,"&lt;="&amp;EOMONTH(IQ$8,0))/SUMIFS(26:26,$8:$8,"&gt;="&amp;DATE(YEAR(IQ$8)-1,1,1),$8:$8,"&lt;="&amp;EOMONTH(IQ$8,-12))-1</f>
        <v/>
      </c>
      <c r="IR29" s="1318">
        <f>SUMIFS(26:26,$8:$8,"&gt;="&amp;DATE(YEAR(IR$8),1,1),$8:$8,"&lt;="&amp;EOMONTH(IR$8,0))/SUMIFS(26:26,$8:$8,"&gt;="&amp;DATE(YEAR(IR$8)-1,1,1),$8:$8,"&lt;="&amp;EOMONTH(IR$8,-12))-1</f>
        <v/>
      </c>
      <c r="IS29" s="1318">
        <f>SUMIFS(26:26,$8:$8,"&gt;="&amp;DATE(YEAR(IS$8),1,1),$8:$8,"&lt;="&amp;EOMONTH(IS$8,0))/SUMIFS(26:26,$8:$8,"&gt;="&amp;DATE(YEAR(IS$8)-1,1,1),$8:$8,"&lt;="&amp;EOMONTH(IS$8,-12))-1</f>
        <v/>
      </c>
      <c r="IT29" s="1318">
        <f>SUMIFS(26:26,$8:$8,"&gt;="&amp;DATE(YEAR(IT$8),1,1),$8:$8,"&lt;="&amp;EOMONTH(IT$8,0))/SUMIFS(26:26,$8:$8,"&gt;="&amp;DATE(YEAR(IT$8)-1,1,1),$8:$8,"&lt;="&amp;EOMONTH(IT$8,-12))-1</f>
        <v/>
      </c>
      <c r="IU29" s="1318">
        <f>SUMIFS(26:26,$8:$8,"&gt;="&amp;DATE(YEAR(IU$8),1,1),$8:$8,"&lt;="&amp;EOMONTH(IU$8,0))/SUMIFS(26:26,$8:$8,"&gt;="&amp;DATE(YEAR(IU$8)-1,1,1),$8:$8,"&lt;="&amp;EOMONTH(IU$8,-12))-1</f>
        <v/>
      </c>
      <c r="IV29" s="1318">
        <f>SUMIFS(26:26,$8:$8,"&gt;="&amp;DATE(YEAR(IV$8),1,1),$8:$8,"&lt;="&amp;EOMONTH(IV$8,0))/SUMIFS(26:26,$8:$8,"&gt;="&amp;DATE(YEAR(IV$8)-1,1,1),$8:$8,"&lt;="&amp;EOMONTH(IV$8,-12))-1</f>
        <v/>
      </c>
      <c r="IW29" s="1318">
        <f>SUMIFS(26:26,$8:$8,"&gt;="&amp;DATE(YEAR(IW$8),1,1),$8:$8,"&lt;="&amp;EOMONTH(IW$8,0))/SUMIFS(26:26,$8:$8,"&gt;="&amp;DATE(YEAR(IW$8)-1,1,1),$8:$8,"&lt;="&amp;EOMONTH(IW$8,-12))-1</f>
        <v/>
      </c>
      <c r="IX29" s="1318">
        <f>SUMIFS(26:26,$8:$8,"&gt;="&amp;DATE(YEAR(IX$8),1,1),$8:$8,"&lt;="&amp;EOMONTH(IX$8,0))/SUMIFS(26:26,$8:$8,"&gt;="&amp;DATE(YEAR(IX$8)-1,1,1),$8:$8,"&lt;="&amp;EOMONTH(IX$8,-12))-1</f>
        <v/>
      </c>
      <c r="IY29" s="1318">
        <f>SUMIFS(26:26,$8:$8,"&gt;="&amp;DATE(YEAR(IY$8),1,1),$8:$8,"&lt;="&amp;EOMONTH(IY$8,0))/SUMIFS(26:26,$8:$8,"&gt;="&amp;DATE(YEAR(IY$8)-1,1,1),$8:$8,"&lt;="&amp;EOMONTH(IY$8,-12))-1</f>
        <v/>
      </c>
      <c r="IZ29" s="1318">
        <f>SUMIFS(26:26,$8:$8,"&gt;="&amp;DATE(YEAR(IZ$8),1,1),$8:$8,"&lt;="&amp;EOMONTH(IZ$8,0))/SUMIFS(26:26,$8:$8,"&gt;="&amp;DATE(YEAR(IZ$8)-1,1,1),$8:$8,"&lt;="&amp;EOMONTH(IZ$8,-12))-1</f>
        <v/>
      </c>
      <c r="JA29" s="1318">
        <f>SUMIFS(26:26,$8:$8,"&gt;="&amp;DATE(YEAR(JA$8),1,1),$8:$8,"&lt;="&amp;EOMONTH(JA$8,0))/SUMIFS(26:26,$8:$8,"&gt;="&amp;DATE(YEAR(JA$8)-1,1,1),$8:$8,"&lt;="&amp;EOMONTH(JA$8,-12))-1</f>
        <v/>
      </c>
      <c r="JB29" s="1318">
        <f>SUMIFS(26:26,$8:$8,"&gt;="&amp;DATE(YEAR(JB$8),1,1),$8:$8,"&lt;="&amp;EOMONTH(JB$8,0))/SUMIFS(26:26,$8:$8,"&gt;="&amp;DATE(YEAR(JB$8)-1,1,1),$8:$8,"&lt;="&amp;EOMONTH(JB$8,-12))-1</f>
        <v/>
      </c>
      <c r="JC29" s="1318">
        <f>SUMIFS(26:26,$8:$8,"&gt;="&amp;DATE(YEAR(JC$8),1,1),$8:$8,"&lt;="&amp;EOMONTH(JC$8,0))/SUMIFS(26:26,$8:$8,"&gt;="&amp;DATE(YEAR(JC$8)-1,1,1),$8:$8,"&lt;="&amp;EOMONTH(JC$8,-12))-1</f>
        <v/>
      </c>
      <c r="JD29" s="1318">
        <f>SUMIFS(26:26,$8:$8,"&gt;="&amp;DATE(YEAR(JD$8),1,1),$8:$8,"&lt;="&amp;EOMONTH(JD$8,0))/SUMIFS(26:26,$8:$8,"&gt;="&amp;DATE(YEAR(JD$8)-1,1,1),$8:$8,"&lt;="&amp;EOMONTH(JD$8,-12))-1</f>
        <v/>
      </c>
      <c r="JE29" s="1318">
        <f>SUMIFS(26:26,$8:$8,"&gt;="&amp;DATE(YEAR(JE$8),1,1),$8:$8,"&lt;="&amp;EOMONTH(JE$8,0))/SUMIFS(26:26,$8:$8,"&gt;="&amp;DATE(YEAR(JE$8)-1,1,1),$8:$8,"&lt;="&amp;EOMONTH(JE$8,-12))-1</f>
        <v/>
      </c>
      <c r="JF29" s="1318">
        <f>SUMIFS(26:26,$8:$8,"&gt;="&amp;DATE(YEAR(JF$8),1,1),$8:$8,"&lt;="&amp;EOMONTH(JF$8,0))/SUMIFS(26:26,$8:$8,"&gt;="&amp;DATE(YEAR(JF$8)-1,1,1),$8:$8,"&lt;="&amp;EOMONTH(JF$8,-12))-1</f>
        <v/>
      </c>
      <c r="JG29" s="1318">
        <f>SUMIFS(26:26,$8:$8,"&gt;="&amp;DATE(YEAR(JG$8),1,1),$8:$8,"&lt;="&amp;EOMONTH(JG$8,0))/SUMIFS(26:26,$8:$8,"&gt;="&amp;DATE(YEAR(JG$8)-1,1,1),$8:$8,"&lt;="&amp;EOMONTH(JG$8,-12))-1</f>
        <v/>
      </c>
      <c r="JH29" s="1318">
        <f>SUMIFS(26:26,$8:$8,"&gt;="&amp;DATE(YEAR(JH$8),1,1),$8:$8,"&lt;="&amp;EOMONTH(JH$8,0))/SUMIFS(26:26,$8:$8,"&gt;="&amp;DATE(YEAR(JH$8)-1,1,1),$8:$8,"&lt;="&amp;EOMONTH(JH$8,-12))-1</f>
        <v/>
      </c>
      <c r="JI29" s="1318">
        <f>SUMIFS(26:26,$8:$8,"&gt;="&amp;DATE(YEAR(JI$8),1,1),$8:$8,"&lt;="&amp;EOMONTH(JI$8,0))/SUMIFS(26:26,$8:$8,"&gt;="&amp;DATE(YEAR(JI$8)-1,1,1),$8:$8,"&lt;="&amp;EOMONTH(JI$8,-12))-1</f>
        <v/>
      </c>
      <c r="JJ29" s="1318">
        <f>SUMIFS(26:26,$8:$8,"&gt;="&amp;DATE(YEAR(JJ$8),1,1),$8:$8,"&lt;="&amp;EOMONTH(JJ$8,0))/SUMIFS(26:26,$8:$8,"&gt;="&amp;DATE(YEAR(JJ$8)-1,1,1),$8:$8,"&lt;="&amp;EOMONTH(JJ$8,-12))-1</f>
        <v/>
      </c>
      <c r="JK29" s="1318">
        <f>SUMIFS(26:26,$8:$8,"&gt;="&amp;DATE(YEAR(JK$8),1,1),$8:$8,"&lt;="&amp;EOMONTH(JK$8,0))/SUMIFS(26:26,$8:$8,"&gt;="&amp;DATE(YEAR(JK$8)-1,1,1),$8:$8,"&lt;="&amp;EOMONTH(JK$8,-12))-1</f>
        <v/>
      </c>
      <c r="JL29" s="1318">
        <f>SUMIFS(26:26,$8:$8,"&gt;="&amp;DATE(YEAR(JL$8),1,1),$8:$8,"&lt;="&amp;EOMONTH(JL$8,0))/SUMIFS(26:26,$8:$8,"&gt;="&amp;DATE(YEAR(JL$8)-1,1,1),$8:$8,"&lt;="&amp;EOMONTH(JL$8,-12))-1</f>
        <v/>
      </c>
      <c r="JM29" s="1318">
        <f>SUMIFS(26:26,$8:$8,"&gt;="&amp;DATE(YEAR(JM$8),1,1),$8:$8,"&lt;="&amp;EOMONTH(JM$8,0))/SUMIFS(26:26,$8:$8,"&gt;="&amp;DATE(YEAR(JM$8)-1,1,1),$8:$8,"&lt;="&amp;EOMONTH(JM$8,-12))-1</f>
        <v/>
      </c>
      <c r="JN29" s="1318">
        <f>SUMIFS(26:26,$8:$8,"&gt;="&amp;DATE(YEAR(JN$8),1,1),$8:$8,"&lt;="&amp;EOMONTH(JN$8,0))/SUMIFS(26:26,$8:$8,"&gt;="&amp;DATE(YEAR(JN$8)-1,1,1),$8:$8,"&lt;="&amp;EOMONTH(JN$8,-12))-1</f>
        <v/>
      </c>
      <c r="JO29" s="1318">
        <f>SUMIFS(26:26,$8:$8,"&gt;="&amp;DATE(YEAR(JO$8),1,1),$8:$8,"&lt;="&amp;EOMONTH(JO$8,0))/SUMIFS(26:26,$8:$8,"&gt;="&amp;DATE(YEAR(JO$8)-1,1,1),$8:$8,"&lt;="&amp;EOMONTH(JO$8,-12))-1</f>
        <v/>
      </c>
      <c r="JP29" s="1318">
        <f>SUMIFS(26:26,$8:$8,"&gt;="&amp;DATE(YEAR(JP$8),1,1),$8:$8,"&lt;="&amp;EOMONTH(JP$8,0))/SUMIFS(26:26,$8:$8,"&gt;="&amp;DATE(YEAR(JP$8)-1,1,1),$8:$8,"&lt;="&amp;EOMONTH(JP$8,-12))-1</f>
        <v/>
      </c>
      <c r="JQ29" s="1318">
        <f>SUMIFS(26:26,$8:$8,"&gt;="&amp;DATE(YEAR(JQ$8),1,1),$8:$8,"&lt;="&amp;EOMONTH(JQ$8,0))/SUMIFS(26:26,$8:$8,"&gt;="&amp;DATE(YEAR(JQ$8)-1,1,1),$8:$8,"&lt;="&amp;EOMONTH(JQ$8,-12))-1</f>
        <v/>
      </c>
      <c r="JR29" s="1318">
        <f>SUMIFS(26:26,$8:$8,"&gt;="&amp;DATE(YEAR(JR$8),1,1),$8:$8,"&lt;="&amp;EOMONTH(JR$8,0))/SUMIFS(26:26,$8:$8,"&gt;="&amp;DATE(YEAR(JR$8)-1,1,1),$8:$8,"&lt;="&amp;EOMONTH(JR$8,-12))-1</f>
        <v/>
      </c>
      <c r="JS29" s="1318">
        <f>SUMIFS(26:26,$8:$8,"&gt;="&amp;DATE(YEAR(JS$8),1,1),$8:$8,"&lt;="&amp;EOMONTH(JS$8,0))/SUMIFS(26:26,$8:$8,"&gt;="&amp;DATE(YEAR(JS$8)-1,1,1),$8:$8,"&lt;="&amp;EOMONTH(JS$8,-12))-1</f>
        <v/>
      </c>
      <c r="JT29" s="1318">
        <f>SUMIFS(26:26,$8:$8,"&gt;="&amp;DATE(YEAR(JT$8),1,1),$8:$8,"&lt;="&amp;EOMONTH(JT$8,0))/SUMIFS(26:26,$8:$8,"&gt;="&amp;DATE(YEAR(JT$8)-1,1,1),$8:$8,"&lt;="&amp;EOMONTH(JT$8,-12))-1</f>
        <v/>
      </c>
      <c r="JU29" s="1318">
        <f>SUMIFS(26:26,$8:$8,"&gt;="&amp;DATE(YEAR(JU$8),1,1),$8:$8,"&lt;="&amp;EOMONTH(JU$8,0))/SUMIFS(26:26,$8:$8,"&gt;="&amp;DATE(YEAR(JU$8)-1,1,1),$8:$8,"&lt;="&amp;EOMONTH(JU$8,-12))-1</f>
        <v/>
      </c>
      <c r="JV29" s="1318">
        <f>SUMIFS(26:26,$8:$8,"&gt;="&amp;DATE(YEAR(JV$8),1,1),$8:$8,"&lt;="&amp;EOMONTH(JV$8,0))/SUMIFS(26:26,$8:$8,"&gt;="&amp;DATE(YEAR(JV$8)-1,1,1),$8:$8,"&lt;="&amp;EOMONTH(JV$8,-12))-1</f>
        <v/>
      </c>
      <c r="JW29" s="1318">
        <f>SUMIFS(26:26,$8:$8,"&gt;="&amp;DATE(YEAR(JW$8),1,1),$8:$8,"&lt;="&amp;EOMONTH(JW$8,0))/SUMIFS(26:26,$8:$8,"&gt;="&amp;DATE(YEAR(JW$8)-1,1,1),$8:$8,"&lt;="&amp;EOMONTH(JW$8,-12))-1</f>
        <v/>
      </c>
      <c r="JX29" s="1318">
        <f>SUMIFS(26:26,$8:$8,"&gt;="&amp;DATE(YEAR(JX$8),1,1),$8:$8,"&lt;="&amp;EOMONTH(JX$8,0))/SUMIFS(26:26,$8:$8,"&gt;="&amp;DATE(YEAR(JX$8)-1,1,1),$8:$8,"&lt;="&amp;EOMONTH(JX$8,-12))-1</f>
        <v/>
      </c>
      <c r="JY29" s="1318">
        <f>SUMIFS(26:26,$8:$8,"&gt;="&amp;DATE(YEAR(JY$8),1,1),$8:$8,"&lt;="&amp;EOMONTH(JY$8,0))/SUMIFS(26:26,$8:$8,"&gt;="&amp;DATE(YEAR(JY$8)-1,1,1),$8:$8,"&lt;="&amp;EOMONTH(JY$8,-12))-1</f>
        <v/>
      </c>
      <c r="JZ29" s="1318">
        <f>SUMIFS(26:26,$8:$8,"&gt;="&amp;DATE(YEAR(JZ$8),1,1),$8:$8,"&lt;="&amp;EOMONTH(JZ$8,0))/SUMIFS(26:26,$8:$8,"&gt;="&amp;DATE(YEAR(JZ$8)-1,1,1),$8:$8,"&lt;="&amp;EOMONTH(JZ$8,-12))-1</f>
        <v/>
      </c>
      <c r="KA29" s="1318">
        <f>SUMIFS(26:26,$8:$8,"&gt;="&amp;DATE(YEAR(KA$8),1,1),$8:$8,"&lt;="&amp;EOMONTH(KA$8,0))/SUMIFS(26:26,$8:$8,"&gt;="&amp;DATE(YEAR(KA$8)-1,1,1),$8:$8,"&lt;="&amp;EOMONTH(KA$8,-12))-1</f>
        <v/>
      </c>
      <c r="KB29" s="1318">
        <f>SUMIFS(26:26,$8:$8,"&gt;="&amp;DATE(YEAR(KB$8),1,1),$8:$8,"&lt;="&amp;EOMONTH(KB$8,0))/SUMIFS(26:26,$8:$8,"&gt;="&amp;DATE(YEAR(KB$8)-1,1,1),$8:$8,"&lt;="&amp;EOMONTH(KB$8,-12))-1</f>
        <v/>
      </c>
      <c r="KC29" s="1318">
        <f>SUMIFS(26:26,$8:$8,"&gt;="&amp;DATE(YEAR(KC$8),1,1),$8:$8,"&lt;="&amp;EOMONTH(KC$8,0))/SUMIFS(26:26,$8:$8,"&gt;="&amp;DATE(YEAR(KC$8)-1,1,1),$8:$8,"&lt;="&amp;EOMONTH(KC$8,-12))-1</f>
        <v/>
      </c>
      <c r="KD29" s="1318">
        <f>SUMIFS(26:26,$8:$8,"&gt;="&amp;DATE(YEAR(KD$8),1,1),$8:$8,"&lt;="&amp;EOMONTH(KD$8,0))/SUMIFS(26:26,$8:$8,"&gt;="&amp;DATE(YEAR(KD$8)-1,1,1),$8:$8,"&lt;="&amp;EOMONTH(KD$8,-12))-1</f>
        <v/>
      </c>
      <c r="KE29" s="1318">
        <f>SUMIFS(26:26,$8:$8,"&gt;="&amp;DATE(YEAR(KE$8),1,1),$8:$8,"&lt;="&amp;EOMONTH(KE$8,0))/SUMIFS(26:26,$8:$8,"&gt;="&amp;DATE(YEAR(KE$8)-1,1,1),$8:$8,"&lt;="&amp;EOMONTH(KE$8,-12))-1</f>
        <v/>
      </c>
      <c r="KF29" s="1318">
        <f>SUMIFS(26:26,$8:$8,"&gt;="&amp;DATE(YEAR(KF$8),1,1),$8:$8,"&lt;="&amp;EOMONTH(KF$8,0))/SUMIFS(26:26,$8:$8,"&gt;="&amp;DATE(YEAR(KF$8)-1,1,1),$8:$8,"&lt;="&amp;EOMONTH(KF$8,-12))-1</f>
        <v/>
      </c>
      <c r="KG29" s="1318">
        <f>SUMIFS(26:26,$8:$8,"&gt;="&amp;DATE(YEAR(KG$8),1,1),$8:$8,"&lt;="&amp;EOMONTH(KG$8,0))/SUMIFS(26:26,$8:$8,"&gt;="&amp;DATE(YEAR(KG$8)-1,1,1),$8:$8,"&lt;="&amp;EOMONTH(KG$8,-12))-1</f>
        <v/>
      </c>
      <c r="KH29" s="1318">
        <f>SUMIFS(26:26,$8:$8,"&gt;="&amp;DATE(YEAR(KH$8),1,1),$8:$8,"&lt;="&amp;EOMONTH(KH$8,0))/SUMIFS(26:26,$8:$8,"&gt;="&amp;DATE(YEAR(KH$8)-1,1,1),$8:$8,"&lt;="&amp;EOMONTH(KH$8,-12))-1</f>
        <v/>
      </c>
      <c r="KI29" s="1318">
        <f>SUMIFS(26:26,$8:$8,"&gt;="&amp;DATE(YEAR(KI$8),1,1),$8:$8,"&lt;="&amp;EOMONTH(KI$8,0))/SUMIFS(26:26,$8:$8,"&gt;="&amp;DATE(YEAR(KI$8)-1,1,1),$8:$8,"&lt;="&amp;EOMONTH(KI$8,-12))-1</f>
        <v/>
      </c>
      <c r="KJ29" s="1318">
        <f>SUMIFS(26:26,$8:$8,"&gt;="&amp;DATE(YEAR(KJ$8),1,1),$8:$8,"&lt;="&amp;EOMONTH(KJ$8,0))/SUMIFS(26:26,$8:$8,"&gt;="&amp;DATE(YEAR(KJ$8)-1,1,1),$8:$8,"&lt;="&amp;EOMONTH(KJ$8,-12))-1</f>
        <v/>
      </c>
      <c r="KK29" s="1318">
        <f>SUMIFS(26:26,$8:$8,"&gt;="&amp;DATE(YEAR(KK$8),1,1),$8:$8,"&lt;="&amp;EOMONTH(KK$8,0))/SUMIFS(26:26,$8:$8,"&gt;="&amp;DATE(YEAR(KK$8)-1,1,1),$8:$8,"&lt;="&amp;EOMONTH(KK$8,-12))-1</f>
        <v/>
      </c>
      <c r="KL29" s="1318">
        <f>SUMIFS(26:26,$8:$8,"&gt;="&amp;DATE(YEAR(KL$8),1,1),$8:$8,"&lt;="&amp;EOMONTH(KL$8,0))/SUMIFS(26:26,$8:$8,"&gt;="&amp;DATE(YEAR(KL$8)-1,1,1),$8:$8,"&lt;="&amp;EOMONTH(KL$8,-12))-1</f>
        <v/>
      </c>
      <c r="KM29" s="1318">
        <f>SUMIFS(26:26,$8:$8,"&gt;="&amp;DATE(YEAR(KM$8),1,1),$8:$8,"&lt;="&amp;EOMONTH(KM$8,0))/SUMIFS(26:26,$8:$8,"&gt;="&amp;DATE(YEAR(KM$8)-1,1,1),$8:$8,"&lt;="&amp;EOMONTH(KM$8,-12))-1</f>
        <v/>
      </c>
      <c r="KN29" s="1318">
        <f>SUMIFS(26:26,$8:$8,"&gt;="&amp;DATE(YEAR(KN$8),1,1),$8:$8,"&lt;="&amp;EOMONTH(KN$8,0))/SUMIFS(26:26,$8:$8,"&gt;="&amp;DATE(YEAR(KN$8)-1,1,1),$8:$8,"&lt;="&amp;EOMONTH(KN$8,-12))-1</f>
        <v/>
      </c>
      <c r="KO29" s="1318">
        <f>SUMIFS(26:26,$8:$8,"&gt;="&amp;DATE(YEAR(KO$8),1,1),$8:$8,"&lt;="&amp;EOMONTH(KO$8,0))/SUMIFS(26:26,$8:$8,"&gt;="&amp;DATE(YEAR(KO$8)-1,1,1),$8:$8,"&lt;="&amp;EOMONTH(KO$8,-12))-1</f>
        <v/>
      </c>
      <c r="KP29" s="1318">
        <f>SUMIFS(26:26,$8:$8,"&gt;="&amp;DATE(YEAR(KP$8),1,1),$8:$8,"&lt;="&amp;EOMONTH(KP$8,0))/SUMIFS(26:26,$8:$8,"&gt;="&amp;DATE(YEAR(KP$8)-1,1,1),$8:$8,"&lt;="&amp;EOMONTH(KP$8,-12))-1</f>
        <v/>
      </c>
      <c r="KQ29" s="1318">
        <f>SUMIFS(26:26,$8:$8,"&gt;="&amp;DATE(YEAR(KQ$8),1,1),$8:$8,"&lt;="&amp;EOMONTH(KQ$8,0))/SUMIFS(26:26,$8:$8,"&gt;="&amp;DATE(YEAR(KQ$8)-1,1,1),$8:$8,"&lt;="&amp;EOMONTH(KQ$8,-12))-1</f>
        <v/>
      </c>
      <c r="KR29" s="1318">
        <f>SUMIFS(26:26,$8:$8,"&gt;="&amp;DATE(YEAR(KR$8),1,1),$8:$8,"&lt;="&amp;EOMONTH(KR$8,0))/SUMIFS(26:26,$8:$8,"&gt;="&amp;DATE(YEAR(KR$8)-1,1,1),$8:$8,"&lt;="&amp;EOMONTH(KR$8,-12))-1</f>
        <v/>
      </c>
      <c r="KS29" s="1318">
        <f>SUMIFS(26:26,$8:$8,"&gt;="&amp;DATE(YEAR(KS$8),1,1),$8:$8,"&lt;="&amp;EOMONTH(KS$8,0))/SUMIFS(26:26,$8:$8,"&gt;="&amp;DATE(YEAR(KS$8)-1,1,1),$8:$8,"&lt;="&amp;EOMONTH(KS$8,-12))-1</f>
        <v/>
      </c>
      <c r="KT29" s="1318">
        <f>SUMIFS(26:26,$8:$8,"&gt;="&amp;DATE(YEAR(KT$8),1,1),$8:$8,"&lt;="&amp;EOMONTH(KT$8,0))/SUMIFS(26:26,$8:$8,"&gt;="&amp;DATE(YEAR(KT$8)-1,1,1),$8:$8,"&lt;="&amp;EOMONTH(KT$8,-12))-1</f>
        <v/>
      </c>
      <c r="KU29" s="1318">
        <f>SUMIFS(26:26,$8:$8,"&gt;="&amp;DATE(YEAR(KU$8),1,1),$8:$8,"&lt;="&amp;EOMONTH(KU$8,0))/SUMIFS(26:26,$8:$8,"&gt;="&amp;DATE(YEAR(KU$8)-1,1,1),$8:$8,"&lt;="&amp;EOMONTH(KU$8,-12))-1</f>
        <v/>
      </c>
      <c r="KV29" s="1318">
        <f>SUMIFS(26:26,$8:$8,"&gt;="&amp;DATE(YEAR(KV$8),1,1),$8:$8,"&lt;="&amp;EOMONTH(KV$8,0))/SUMIFS(26:26,$8:$8,"&gt;="&amp;DATE(YEAR(KV$8)-1,1,1),$8:$8,"&lt;="&amp;EOMONTH(KV$8,-12))-1</f>
        <v/>
      </c>
      <c r="KW29" s="1318">
        <f>SUMIFS(26:26,$8:$8,"&gt;="&amp;DATE(YEAR(KW$8),1,1),$8:$8,"&lt;="&amp;EOMONTH(KW$8,0))/SUMIFS(26:26,$8:$8,"&gt;="&amp;DATE(YEAR(KW$8)-1,1,1),$8:$8,"&lt;="&amp;EOMONTH(KW$8,-12))-1</f>
        <v/>
      </c>
      <c r="KX29" s="1318">
        <f>SUMIFS(26:26,$8:$8,"&gt;="&amp;DATE(YEAR(KX$8),1,1),$8:$8,"&lt;="&amp;EOMONTH(KX$8,0))/SUMIFS(26:26,$8:$8,"&gt;="&amp;DATE(YEAR(KX$8)-1,1,1),$8:$8,"&lt;="&amp;EOMONTH(KX$8,-12))-1</f>
        <v/>
      </c>
      <c r="KY29" s="1318">
        <f>SUMIFS(26:26,$8:$8,"&gt;="&amp;DATE(YEAR(KY$8),1,1),$8:$8,"&lt;="&amp;EOMONTH(KY$8,0))/SUMIFS(26:26,$8:$8,"&gt;="&amp;DATE(YEAR(KY$8)-1,1,1),$8:$8,"&lt;="&amp;EOMONTH(KY$8,-12))-1</f>
        <v/>
      </c>
      <c r="KZ29" s="1318">
        <f>SUMIFS(26:26,$8:$8,"&gt;="&amp;DATE(YEAR(KZ$8),1,1),$8:$8,"&lt;="&amp;EOMONTH(KZ$8,0))/SUMIFS(26:26,$8:$8,"&gt;="&amp;DATE(YEAR(KZ$8)-1,1,1),$8:$8,"&lt;="&amp;EOMONTH(KZ$8,-12))-1</f>
        <v/>
      </c>
      <c r="LA29" s="1318">
        <f>SUMIFS(26:26,$8:$8,"&gt;="&amp;DATE(YEAR(LA$8),1,1),$8:$8,"&lt;="&amp;EOMONTH(LA$8,0))/SUMIFS(26:26,$8:$8,"&gt;="&amp;DATE(YEAR(LA$8)-1,1,1),$8:$8,"&lt;="&amp;EOMONTH(LA$8,-12))-1</f>
        <v/>
      </c>
      <c r="LB29" s="1318" t="n"/>
      <c r="LC29" s="1318" t="n"/>
      <c r="LD29" s="1318" t="n"/>
      <c r="LE29" s="1318" t="n"/>
      <c r="LF29" s="1318" t="n"/>
      <c r="LG29" s="1318" t="n"/>
      <c r="LH29" s="1318" t="n"/>
      <c r="LI29" s="1318" t="n"/>
      <c r="LJ29" s="1318" t="n"/>
      <c r="LK29" s="1318" t="n"/>
      <c r="LL29" s="1318" t="n"/>
      <c r="LM29" s="1318" t="n"/>
      <c r="LN29" s="1318" t="n"/>
      <c r="LO29" s="1318" t="n"/>
      <c r="LP29" s="1318" t="n"/>
      <c r="LQ29" s="1318" t="n"/>
      <c r="LR29" s="1318" t="n"/>
      <c r="LS29" s="1318" t="n"/>
    </row>
    <row r="30" ht="15" customHeight="1" s="239">
      <c r="A30" s="1319" t="inlineStr">
        <is>
          <t>SE &amp; W Asia</t>
        </is>
      </c>
      <c r="B30" s="1320">
        <f>B31+B32</f>
        <v/>
      </c>
      <c r="C30" s="1319">
        <f>C31+C32</f>
        <v/>
      </c>
      <c r="D30" s="1319">
        <f>D31+D32</f>
        <v/>
      </c>
      <c r="E30" s="1319">
        <f>E31+E32</f>
        <v/>
      </c>
      <c r="F30" s="1319">
        <f>F31+F32</f>
        <v/>
      </c>
      <c r="G30" s="1319">
        <f>G31+G32</f>
        <v/>
      </c>
      <c r="H30" s="1319">
        <f>H31+H32</f>
        <v/>
      </c>
      <c r="I30" s="1319">
        <f>I31+I32</f>
        <v/>
      </c>
      <c r="J30" s="1319">
        <f>J31+J32</f>
        <v/>
      </c>
      <c r="K30" s="1319">
        <f>K31+K32</f>
        <v/>
      </c>
      <c r="L30" s="1319">
        <f>L31+L32</f>
        <v/>
      </c>
      <c r="M30" s="1319">
        <f>M31+M32</f>
        <v/>
      </c>
      <c r="N30" s="1320">
        <f>N31+N32</f>
        <v/>
      </c>
      <c r="O30" s="1319">
        <f>O31+O32</f>
        <v/>
      </c>
      <c r="P30" s="1319">
        <f>P31+P32</f>
        <v/>
      </c>
      <c r="Q30" s="1319">
        <f>Q31+Q32</f>
        <v/>
      </c>
      <c r="R30" s="1319">
        <f>R31+R32</f>
        <v/>
      </c>
      <c r="S30" s="1319">
        <f>S31+S32</f>
        <v/>
      </c>
      <c r="T30" s="1319">
        <f>T31+T32</f>
        <v/>
      </c>
      <c r="U30" s="1319">
        <f>U31+U32</f>
        <v/>
      </c>
      <c r="V30" s="1319">
        <f>V31+V32</f>
        <v/>
      </c>
      <c r="W30" s="1319">
        <f>W31+W32</f>
        <v/>
      </c>
      <c r="X30" s="1319">
        <f>X31+X32</f>
        <v/>
      </c>
      <c r="Y30" s="1319">
        <f>Y31+Y32</f>
        <v/>
      </c>
      <c r="Z30" s="1320">
        <f>Z31+Z32</f>
        <v/>
      </c>
      <c r="AA30" s="1319">
        <f>AA31+AA32</f>
        <v/>
      </c>
      <c r="AB30" s="1319">
        <f>AB31+AB32</f>
        <v/>
      </c>
      <c r="AC30" s="1319">
        <f>AC31+AC32</f>
        <v/>
      </c>
      <c r="AD30" s="1319">
        <f>AD31+AD32</f>
        <v/>
      </c>
      <c r="AE30" s="1319">
        <f>AE31+AE32</f>
        <v/>
      </c>
      <c r="AF30" s="1319">
        <f>AF31+AF32</f>
        <v/>
      </c>
      <c r="AG30" s="1319">
        <f>AG31+AG32</f>
        <v/>
      </c>
      <c r="AH30" s="1319">
        <f>AH31+AH32</f>
        <v/>
      </c>
      <c r="AI30" s="1319">
        <f>AI31+AI32</f>
        <v/>
      </c>
      <c r="AJ30" s="1319">
        <f>AJ31+AJ32</f>
        <v/>
      </c>
      <c r="AK30" s="1319">
        <f>AK31+AK32</f>
        <v/>
      </c>
      <c r="AL30" s="1320">
        <f>AL31+AL32</f>
        <v/>
      </c>
      <c r="AM30" s="1319">
        <f>AM31+AM32</f>
        <v/>
      </c>
      <c r="AN30" s="1319">
        <f>AN31+AN32</f>
        <v/>
      </c>
      <c r="AO30" s="1319">
        <f>AO31+AO32</f>
        <v/>
      </c>
      <c r="AP30" s="1319">
        <f>AP31+AP32</f>
        <v/>
      </c>
      <c r="AQ30" s="1319">
        <f>AQ31+AQ32</f>
        <v/>
      </c>
      <c r="AR30" s="1319">
        <f>AR31+AR32</f>
        <v/>
      </c>
      <c r="AS30" s="1319">
        <f>AS31+AS32</f>
        <v/>
      </c>
      <c r="AT30" s="1319">
        <f>AT31+AT32</f>
        <v/>
      </c>
      <c r="AU30" s="1319">
        <f>AU31+AU32</f>
        <v/>
      </c>
      <c r="AV30" s="1319">
        <f>AV31+AV32</f>
        <v/>
      </c>
      <c r="AW30" s="1319">
        <f>AW31+AW32</f>
        <v/>
      </c>
      <c r="AX30" s="1320">
        <f>AX31+AX32</f>
        <v/>
      </c>
      <c r="AY30" s="1320">
        <f>AY31+AY32</f>
        <v/>
      </c>
      <c r="AZ30" s="1320">
        <f>AZ31+AZ32</f>
        <v/>
      </c>
      <c r="BA30" s="1320">
        <f>BA31+BA32</f>
        <v/>
      </c>
      <c r="BB30" s="1320">
        <f>BB31+BB32</f>
        <v/>
      </c>
      <c r="BC30" s="1320">
        <f>BC31+BC32</f>
        <v/>
      </c>
      <c r="BD30" s="1320">
        <f>BD31+BD32</f>
        <v/>
      </c>
      <c r="BE30" s="1320">
        <f>BE31+BE32</f>
        <v/>
      </c>
      <c r="BF30" s="1320">
        <f>BF31+BF32</f>
        <v/>
      </c>
      <c r="BG30" s="1320">
        <f>BG31+BG32</f>
        <v/>
      </c>
      <c r="BH30" s="1320">
        <f>BH31+BH32</f>
        <v/>
      </c>
      <c r="BI30" s="1320">
        <f>BI31+BI32</f>
        <v/>
      </c>
      <c r="BJ30" s="1320">
        <f>BJ31+BJ32</f>
        <v/>
      </c>
      <c r="BK30" s="1320">
        <f>BK31+BK32</f>
        <v/>
      </c>
      <c r="BL30" s="1320">
        <f>BL31+BL32</f>
        <v/>
      </c>
      <c r="BM30" s="1320">
        <f>BM31+BM32</f>
        <v/>
      </c>
      <c r="BN30" s="1320">
        <f>BN31+BN32</f>
        <v/>
      </c>
      <c r="BO30" s="1320">
        <f>BO31+BO32</f>
        <v/>
      </c>
      <c r="BP30" s="1320">
        <f>BP31+BP32</f>
        <v/>
      </c>
      <c r="BQ30" s="1320">
        <f>BQ31+BQ32</f>
        <v/>
      </c>
      <c r="BR30" s="1320">
        <f>BR31+BR32</f>
        <v/>
      </c>
      <c r="BS30" s="1320">
        <f>BS31+BS32</f>
        <v/>
      </c>
      <c r="BT30" s="1320">
        <f>BT31+BT32</f>
        <v/>
      </c>
      <c r="BU30" s="1320">
        <f>BU31+BU32</f>
        <v/>
      </c>
      <c r="BV30" s="1320">
        <f>BV31+BV32</f>
        <v/>
      </c>
      <c r="BW30" s="1320">
        <f>BW31+BW32</f>
        <v/>
      </c>
      <c r="BX30" s="1320">
        <f>BX31+BX32</f>
        <v/>
      </c>
      <c r="BY30" s="1320">
        <f>BY31+BY32</f>
        <v/>
      </c>
      <c r="BZ30" s="1320">
        <f>BZ31+BZ32</f>
        <v/>
      </c>
      <c r="CA30" s="1320">
        <f>CA31+CA32</f>
        <v/>
      </c>
      <c r="CB30" s="1320">
        <f>CB31+CB32</f>
        <v/>
      </c>
      <c r="CC30" s="1320">
        <f>CC31+CC32</f>
        <v/>
      </c>
      <c r="CD30" s="1320">
        <f>CD31+CD32</f>
        <v/>
      </c>
      <c r="CE30" s="1320">
        <f>CE31+CE32</f>
        <v/>
      </c>
      <c r="CF30" s="1320">
        <f>CF31+CF32</f>
        <v/>
      </c>
      <c r="CG30" s="1320">
        <f>CG31+CG32</f>
        <v/>
      </c>
      <c r="CH30" s="1320">
        <f>CH31+CH32</f>
        <v/>
      </c>
      <c r="CI30" s="1320">
        <f>CI31+CI32</f>
        <v/>
      </c>
      <c r="CJ30" s="1321">
        <f>CJ31+CJ32</f>
        <v/>
      </c>
      <c r="CK30" s="1321">
        <f>CK31+CK32</f>
        <v/>
      </c>
      <c r="CL30" s="1322">
        <f>CL31+CL32</f>
        <v/>
      </c>
      <c r="CM30" s="1322">
        <f>CM31+CM32</f>
        <v/>
      </c>
      <c r="CN30" s="1319">
        <f>CN31+CN32</f>
        <v/>
      </c>
      <c r="CO30" s="1319">
        <f>CO31+CO32</f>
        <v/>
      </c>
      <c r="CP30" s="1319">
        <f>CP31+CP32</f>
        <v/>
      </c>
      <c r="CQ30" s="1319">
        <f>CQ31+CQ32</f>
        <v/>
      </c>
      <c r="CR30" s="1319">
        <f>CR31+CR32</f>
        <v/>
      </c>
      <c r="CS30" s="1319">
        <f>CS31+CS32</f>
        <v/>
      </c>
      <c r="CT30" s="1319">
        <f>CT31+CT32</f>
        <v/>
      </c>
      <c r="CU30" s="1319">
        <f>CU31+CU32</f>
        <v/>
      </c>
      <c r="CV30" s="1319">
        <f>CV31+CV32</f>
        <v/>
      </c>
      <c r="CW30" s="1320">
        <f>CW31+CW32</f>
        <v/>
      </c>
      <c r="CX30" s="1320">
        <f>CX31+CX32</f>
        <v/>
      </c>
      <c r="CY30" s="1320">
        <f>CY31+CY32</f>
        <v/>
      </c>
      <c r="CZ30" s="1320">
        <f>CZ31+CZ32</f>
        <v/>
      </c>
      <c r="DA30" s="1320">
        <f>DA31+DA32</f>
        <v/>
      </c>
      <c r="DB30" s="1320">
        <f>DB31+DB32</f>
        <v/>
      </c>
      <c r="DC30" s="1320">
        <f>DC31+DC32</f>
        <v/>
      </c>
      <c r="DD30" s="1320">
        <f>DD31+DD32</f>
        <v/>
      </c>
      <c r="DE30" s="1320">
        <f>DE31+DE32</f>
        <v/>
      </c>
      <c r="DF30" s="1320">
        <f>DF31+DF32</f>
        <v/>
      </c>
      <c r="DG30" s="1320">
        <f>DG31+DG32</f>
        <v/>
      </c>
      <c r="DH30" s="1320">
        <f>DH31+DH32</f>
        <v/>
      </c>
      <c r="DI30" s="1320">
        <f>DI31+DI32</f>
        <v/>
      </c>
      <c r="DJ30" s="1320">
        <f>DJ31+DJ32</f>
        <v/>
      </c>
      <c r="DK30" s="1320">
        <f>DK31+DK32</f>
        <v/>
      </c>
      <c r="DL30" s="1320">
        <f>DL31+DL32</f>
        <v/>
      </c>
      <c r="DM30" s="1320">
        <f>DM31+DM32</f>
        <v/>
      </c>
      <c r="DN30" s="1320">
        <f>DN31+DN32</f>
        <v/>
      </c>
      <c r="DO30" s="1320">
        <f>DO31+DO32</f>
        <v/>
      </c>
      <c r="DP30" s="1320">
        <f>DP31+DP32</f>
        <v/>
      </c>
      <c r="DQ30" s="1320">
        <f>DQ31+DQ32</f>
        <v/>
      </c>
      <c r="DR30" s="1320">
        <f>DR31+DR32</f>
        <v/>
      </c>
      <c r="DS30" s="1320">
        <f>DS31+DS32</f>
        <v/>
      </c>
      <c r="DT30" s="1320">
        <f>DT31+DT32</f>
        <v/>
      </c>
      <c r="DU30" s="1320">
        <f>DU31+DU32</f>
        <v/>
      </c>
      <c r="DV30" s="1320">
        <f>DV31+DV32</f>
        <v/>
      </c>
      <c r="DW30" s="1320">
        <f>DW31+DW32</f>
        <v/>
      </c>
      <c r="DX30" s="1320">
        <f>DX31+DX32</f>
        <v/>
      </c>
      <c r="DY30" s="1320">
        <f>DY31+DY32</f>
        <v/>
      </c>
      <c r="DZ30" s="1320">
        <f>DZ31+DZ32</f>
        <v/>
      </c>
      <c r="EA30" s="1320">
        <f>EA31+EA32</f>
        <v/>
      </c>
      <c r="EB30" s="1320">
        <f>EB31+EB32</f>
        <v/>
      </c>
      <c r="EC30" s="1320">
        <f>EC31+EC32</f>
        <v/>
      </c>
      <c r="ED30" s="1320">
        <f>ED31+ED32</f>
        <v/>
      </c>
      <c r="EE30" s="1320">
        <f>EE31+EE32</f>
        <v/>
      </c>
      <c r="EF30" s="1320">
        <f>EF31+EF32</f>
        <v/>
      </c>
      <c r="EG30" s="1320">
        <f>EG31+EG32</f>
        <v/>
      </c>
      <c r="EH30" s="1320">
        <f>EH31+EH32</f>
        <v/>
      </c>
      <c r="EI30" s="1320">
        <f>EI31+EI32</f>
        <v/>
      </c>
      <c r="EJ30" s="1320">
        <f>EJ31+EJ32</f>
        <v/>
      </c>
      <c r="EK30" s="1320">
        <f>EK31+EK32</f>
        <v/>
      </c>
      <c r="EL30" s="1320">
        <f>EL31+EL32</f>
        <v/>
      </c>
      <c r="EM30" s="1320">
        <f>EM31+EM32</f>
        <v/>
      </c>
      <c r="EN30" s="1320">
        <f>EN31+EN32</f>
        <v/>
      </c>
      <c r="EO30" s="1320">
        <f>EO31+EO32</f>
        <v/>
      </c>
      <c r="EP30" s="1320">
        <f>EP31+EP32</f>
        <v/>
      </c>
      <c r="EQ30" s="1320">
        <f>EQ31+EQ32</f>
        <v/>
      </c>
      <c r="ER30" s="1320">
        <f>ER31+ER32</f>
        <v/>
      </c>
      <c r="ES30" s="1320">
        <f>ES31+ES32</f>
        <v/>
      </c>
      <c r="ET30" s="1320">
        <f>ET31+ET32</f>
        <v/>
      </c>
      <c r="EU30" s="1320">
        <f>EU31+EU32</f>
        <v/>
      </c>
      <c r="EV30" s="1320">
        <f>EV31+EV32</f>
        <v/>
      </c>
      <c r="EW30" s="1320">
        <f>EW31+EW32</f>
        <v/>
      </c>
      <c r="EX30" s="1320">
        <f>EX31+EX32</f>
        <v/>
      </c>
      <c r="EY30" s="1320">
        <f>EY31+EY32</f>
        <v/>
      </c>
      <c r="EZ30" s="1320">
        <f>EZ31+EZ32</f>
        <v/>
      </c>
      <c r="FA30" s="1320">
        <f>FA31+FA32</f>
        <v/>
      </c>
      <c r="FB30" s="1320">
        <f>FB31+FB32</f>
        <v/>
      </c>
      <c r="FC30" s="1320">
        <f>FC31+FC32</f>
        <v/>
      </c>
      <c r="FD30" s="1320">
        <f>FD31+FD32</f>
        <v/>
      </c>
      <c r="FE30" s="1320">
        <f>FE31+FE32</f>
        <v/>
      </c>
      <c r="FF30" s="1320">
        <f>FF31+FF32</f>
        <v/>
      </c>
      <c r="FG30" s="1320">
        <f>FG31+FG32</f>
        <v/>
      </c>
      <c r="FH30" s="1320">
        <f>FH31+FH32</f>
        <v/>
      </c>
      <c r="FI30" s="1320">
        <f>FI31+FI32</f>
        <v/>
      </c>
      <c r="FJ30" s="1320">
        <f>FJ31+FJ32</f>
        <v/>
      </c>
      <c r="FK30" s="1320">
        <f>FK31+FK32</f>
        <v/>
      </c>
      <c r="FL30" s="1320">
        <f>FL31+FL32</f>
        <v/>
      </c>
      <c r="FM30" s="1320">
        <f>FM31+FM32</f>
        <v/>
      </c>
      <c r="FN30" s="1320">
        <f>FN31+FN32</f>
        <v/>
      </c>
      <c r="FO30" s="1320">
        <f>FO31+FO32</f>
        <v/>
      </c>
      <c r="FP30" s="1320">
        <f>FP31+FP32</f>
        <v/>
      </c>
      <c r="FQ30" s="1320">
        <f>FQ31+FQ32</f>
        <v/>
      </c>
      <c r="FR30" s="1320">
        <f>FR31+FR32</f>
        <v/>
      </c>
      <c r="FS30" s="1320">
        <f>FS31+FS32</f>
        <v/>
      </c>
      <c r="FT30" s="1320">
        <f>FT31+FT32</f>
        <v/>
      </c>
      <c r="FU30" s="1320">
        <f>FU31+FU32</f>
        <v/>
      </c>
      <c r="FV30" s="1320">
        <f>FV31+FV32</f>
        <v/>
      </c>
      <c r="FW30" s="1320">
        <f>FW31+FW32</f>
        <v/>
      </c>
      <c r="FX30" s="1320">
        <f>FX31+FX32</f>
        <v/>
      </c>
      <c r="FY30" s="1320">
        <f>FY31+FY32</f>
        <v/>
      </c>
      <c r="FZ30" s="1320">
        <f>FZ31+FZ32</f>
        <v/>
      </c>
      <c r="GA30" s="1320">
        <f>GA31+GA32</f>
        <v/>
      </c>
      <c r="GB30" s="1320">
        <f>GB31+GB32</f>
        <v/>
      </c>
      <c r="GC30" s="1320">
        <f>GC31+GC32</f>
        <v/>
      </c>
      <c r="GD30" s="1320">
        <f>GD31+GD32</f>
        <v/>
      </c>
      <c r="GE30" s="1320">
        <f>GE31+GE32</f>
        <v/>
      </c>
      <c r="GF30" s="1320">
        <f>GF31+GF32</f>
        <v/>
      </c>
      <c r="GG30" s="1320">
        <f>GG31+GG32</f>
        <v/>
      </c>
      <c r="GH30" s="1320">
        <f>GH31+GH32</f>
        <v/>
      </c>
      <c r="GI30" s="1320">
        <f>GI31+GI32</f>
        <v/>
      </c>
      <c r="GJ30" s="1320">
        <f>GJ31+GJ32</f>
        <v/>
      </c>
      <c r="GK30" s="1320">
        <f>GK31+GK32</f>
        <v/>
      </c>
      <c r="GL30" s="1320">
        <f>GL31+GL32</f>
        <v/>
      </c>
      <c r="GM30" s="1320">
        <f>GM31+GM32</f>
        <v/>
      </c>
      <c r="GN30" s="1320">
        <f>GN31+GN32</f>
        <v/>
      </c>
      <c r="GO30" s="1320">
        <f>GO31+GO32</f>
        <v/>
      </c>
      <c r="GP30" s="1320">
        <f>GP31+GP32</f>
        <v/>
      </c>
      <c r="GQ30" s="1320">
        <f>GQ31+GQ32</f>
        <v/>
      </c>
      <c r="GR30" s="1320">
        <f>GR31+GR32</f>
        <v/>
      </c>
      <c r="GS30" s="1320">
        <f>GS31+GS32</f>
        <v/>
      </c>
      <c r="GT30" s="1320">
        <f>GT31+GT32</f>
        <v/>
      </c>
      <c r="GU30" s="1320">
        <f>GU31+GU32</f>
        <v/>
      </c>
      <c r="GV30" s="1320">
        <f>GV31+GV32</f>
        <v/>
      </c>
      <c r="GW30" s="1320">
        <f>GW31+GW32</f>
        <v/>
      </c>
      <c r="GX30" s="1320">
        <f>GX31+GX32</f>
        <v/>
      </c>
      <c r="GY30" s="1320">
        <f>GY31+GY32</f>
        <v/>
      </c>
      <c r="GZ30" s="1320">
        <f>GZ31+GZ32</f>
        <v/>
      </c>
      <c r="HA30" s="1320">
        <f>HA31+HA32</f>
        <v/>
      </c>
      <c r="HB30" s="1320">
        <f>HB31+HB32</f>
        <v/>
      </c>
      <c r="HC30" s="1320">
        <f>HC31+HC32</f>
        <v/>
      </c>
      <c r="HD30" s="1320">
        <f>HD31+HD32</f>
        <v/>
      </c>
      <c r="HE30" s="1320">
        <f>HE31+HE32</f>
        <v/>
      </c>
      <c r="HF30" s="1320">
        <f>HF31+HF32</f>
        <v/>
      </c>
      <c r="HG30" s="1320">
        <f>HG31+HG32</f>
        <v/>
      </c>
      <c r="HH30" s="1320">
        <f>HH31+HH32</f>
        <v/>
      </c>
      <c r="HI30" s="1320">
        <f>HI31+HI32</f>
        <v/>
      </c>
      <c r="HJ30" s="1320">
        <f>HJ31+HJ32</f>
        <v/>
      </c>
      <c r="HK30" s="1320">
        <f>HK31+HK32</f>
        <v/>
      </c>
      <c r="HL30" s="1320">
        <f>HL31+HL32</f>
        <v/>
      </c>
      <c r="HM30" s="1320">
        <f>HM31+HM32</f>
        <v/>
      </c>
      <c r="HN30" s="1320">
        <f>HN31+HN32</f>
        <v/>
      </c>
      <c r="HO30" s="1320">
        <f>HO31+HO32</f>
        <v/>
      </c>
      <c r="HP30" s="1320">
        <f>HP31+HP32</f>
        <v/>
      </c>
      <c r="HQ30" s="1320">
        <f>HQ31+HQ32</f>
        <v/>
      </c>
      <c r="HR30" s="1320">
        <f>HR31+HR32</f>
        <v/>
      </c>
      <c r="HS30" s="1320">
        <f>HS31+HS32</f>
        <v/>
      </c>
      <c r="HT30" s="1320">
        <f>HT31+HT32</f>
        <v/>
      </c>
      <c r="HU30" s="1320">
        <f>HU31+HU32</f>
        <v/>
      </c>
      <c r="HV30" s="1320">
        <f>HV31+HV32</f>
        <v/>
      </c>
      <c r="HW30" s="1320">
        <f>HW31+HW32</f>
        <v/>
      </c>
      <c r="HX30" s="1320">
        <f>HX31+HX32</f>
        <v/>
      </c>
      <c r="HY30" s="1320">
        <f>HY31+HY32</f>
        <v/>
      </c>
      <c r="HZ30" s="1320">
        <f>HZ31+HZ32</f>
        <v/>
      </c>
      <c r="IA30" s="1320">
        <f>IA31+IA32</f>
        <v/>
      </c>
      <c r="IB30" s="1320">
        <f>IB31+IB32</f>
        <v/>
      </c>
      <c r="IC30" s="1320">
        <f>IC31+IC32</f>
        <v/>
      </c>
      <c r="ID30" s="1320">
        <f>ID31+ID32</f>
        <v/>
      </c>
      <c r="IE30" s="1320">
        <f>IE31+IE32</f>
        <v/>
      </c>
      <c r="IF30" s="1320">
        <f>IF31+IF32</f>
        <v/>
      </c>
      <c r="IG30" s="1320">
        <f>IG31+IG32</f>
        <v/>
      </c>
      <c r="IH30" s="1320">
        <f>IH31+IH32</f>
        <v/>
      </c>
      <c r="II30" s="1320">
        <f>II31+II32</f>
        <v/>
      </c>
      <c r="IJ30" s="1320">
        <f>IJ31+IJ32</f>
        <v/>
      </c>
      <c r="IK30" s="1320">
        <f>IK31+IK32</f>
        <v/>
      </c>
      <c r="IL30" s="1320">
        <f>IL31+IL32</f>
        <v/>
      </c>
      <c r="IM30" s="1320">
        <f>IM31+IM32</f>
        <v/>
      </c>
      <c r="IN30" s="1320">
        <f>IN31+IN32</f>
        <v/>
      </c>
      <c r="IO30" s="1320">
        <f>IO31+IO32</f>
        <v/>
      </c>
      <c r="IP30" s="1320">
        <f>IP31+IP32</f>
        <v/>
      </c>
      <c r="IQ30" s="1320">
        <f>IQ31+IQ32</f>
        <v/>
      </c>
      <c r="IR30" s="1320">
        <f>IR31+IR32</f>
        <v/>
      </c>
      <c r="IS30" s="1320">
        <f>IS31+IS32</f>
        <v/>
      </c>
      <c r="IT30" s="1320">
        <f>IT31+IT32</f>
        <v/>
      </c>
      <c r="IU30" s="1320">
        <f>IU31+IU32</f>
        <v/>
      </c>
      <c r="IV30" s="1320">
        <f>IV31+IV32</f>
        <v/>
      </c>
      <c r="IW30" s="1320">
        <f>IW31+IW32</f>
        <v/>
      </c>
      <c r="IX30" s="1320">
        <f>IX31+IX32</f>
        <v/>
      </c>
      <c r="IY30" s="1320">
        <f>IY31+IY32</f>
        <v/>
      </c>
      <c r="IZ30" s="1320">
        <f>IZ31+IZ32</f>
        <v/>
      </c>
      <c r="JA30" s="1320">
        <f>JA31+JA32</f>
        <v/>
      </c>
      <c r="JB30" s="1320">
        <f>JB31+JB32</f>
        <v/>
      </c>
      <c r="JC30" s="1320">
        <f>JC31+JC32</f>
        <v/>
      </c>
      <c r="JD30" s="1320">
        <f>JD31+JD32</f>
        <v/>
      </c>
      <c r="JE30" s="1320">
        <f>JE31+JE32</f>
        <v/>
      </c>
      <c r="JF30" s="1320">
        <f>JF31+JF32</f>
        <v/>
      </c>
      <c r="JG30" s="1320">
        <f>JG31+JG32</f>
        <v/>
      </c>
      <c r="JH30" s="1320">
        <f>JH31+JH32</f>
        <v/>
      </c>
      <c r="JI30" s="1320">
        <f>JI31+JI32</f>
        <v/>
      </c>
      <c r="JJ30" s="1320">
        <f>JJ31+JJ32</f>
        <v/>
      </c>
      <c r="JK30" s="1320">
        <f>JK31+JK32</f>
        <v/>
      </c>
      <c r="JL30" s="1320">
        <f>JL31+JL32</f>
        <v/>
      </c>
      <c r="JM30" s="1320">
        <f>JM31+JM32</f>
        <v/>
      </c>
      <c r="JN30" s="1320">
        <f>JN31+JN32</f>
        <v/>
      </c>
      <c r="JO30" s="1320">
        <f>JO31+JO32</f>
        <v/>
      </c>
      <c r="JP30" s="1320">
        <f>JP31+JP32</f>
        <v/>
      </c>
      <c r="JQ30" s="1320">
        <f>JQ31+JQ32</f>
        <v/>
      </c>
      <c r="JR30" s="1320">
        <f>JR31+JR32</f>
        <v/>
      </c>
      <c r="JS30" s="1320">
        <f>JS31+JS32</f>
        <v/>
      </c>
      <c r="JT30" s="1320">
        <f>JT31+JT32</f>
        <v/>
      </c>
      <c r="JU30" s="1320">
        <f>JU31+JU32</f>
        <v/>
      </c>
      <c r="JV30" s="1320">
        <f>JV31+JV32</f>
        <v/>
      </c>
      <c r="JW30" s="1320">
        <f>JW31+JW32</f>
        <v/>
      </c>
      <c r="JX30" s="1320">
        <f>JX31+JX32</f>
        <v/>
      </c>
      <c r="JY30" s="1320">
        <f>JY31+JY32</f>
        <v/>
      </c>
      <c r="JZ30" s="1320">
        <f>JZ31+JZ32</f>
        <v/>
      </c>
      <c r="KA30" s="1320">
        <f>KA31+KA32</f>
        <v/>
      </c>
      <c r="KB30" s="1320">
        <f>KB31+KB32</f>
        <v/>
      </c>
      <c r="KC30" s="1320">
        <f>KC31+KC32</f>
        <v/>
      </c>
      <c r="KD30" s="1320">
        <f>KD31+KD32</f>
        <v/>
      </c>
      <c r="KE30" s="1320">
        <f>KE31+KE32</f>
        <v/>
      </c>
      <c r="KF30" s="1320">
        <f>KF31+KF32</f>
        <v/>
      </c>
      <c r="KG30" s="1320">
        <f>KG31+KG32</f>
        <v/>
      </c>
      <c r="KH30" s="1320">
        <f>KH31+KH32</f>
        <v/>
      </c>
      <c r="KI30" s="1320">
        <f>KI31+KI32</f>
        <v/>
      </c>
      <c r="KJ30" s="1320">
        <f>KJ31+KJ32</f>
        <v/>
      </c>
      <c r="KK30" s="1320">
        <f>KK31+KK32</f>
        <v/>
      </c>
      <c r="KL30" s="1320">
        <f>KL31+KL32</f>
        <v/>
      </c>
      <c r="KM30" s="1320">
        <f>KM31+KM32</f>
        <v/>
      </c>
      <c r="KN30" s="1320">
        <f>KN31+KN32</f>
        <v/>
      </c>
      <c r="KO30" s="1320">
        <f>KO31+KO32</f>
        <v/>
      </c>
      <c r="KP30" s="1320">
        <f>KP31+KP32</f>
        <v/>
      </c>
      <c r="KQ30" s="1320">
        <f>KQ31+KQ32</f>
        <v/>
      </c>
      <c r="KR30" s="1320">
        <f>KR31+KR32</f>
        <v/>
      </c>
      <c r="KS30" s="1320">
        <f>KS31+KS32</f>
        <v/>
      </c>
      <c r="KT30" s="1320">
        <f>KT31+KT32</f>
        <v/>
      </c>
      <c r="KU30" s="1320">
        <f>KU31+KU32</f>
        <v/>
      </c>
      <c r="KV30" s="1320">
        <f>KV31+KV32</f>
        <v/>
      </c>
      <c r="KW30" s="1320">
        <f>KW31+KW32</f>
        <v/>
      </c>
      <c r="KX30" s="1320">
        <f>KX31+KX32</f>
        <v/>
      </c>
      <c r="KY30" s="1320">
        <f>KY31+KY32</f>
        <v/>
      </c>
      <c r="KZ30" s="1320">
        <f>KZ31+KZ32</f>
        <v/>
      </c>
      <c r="LA30" s="1320">
        <f>LA31+LA32</f>
        <v/>
      </c>
      <c r="LB30" s="1320" t="n"/>
      <c r="LC30" s="1320" t="n"/>
      <c r="LD30" s="1320" t="n"/>
      <c r="LE30" s="1320" t="n"/>
      <c r="LF30" s="1320" t="n"/>
      <c r="LG30" s="1320" t="n"/>
      <c r="LH30" s="1320" t="n"/>
      <c r="LI30" s="1320" t="n"/>
      <c r="LJ30" s="1320" t="n"/>
      <c r="LK30" s="1320" t="n"/>
      <c r="LL30" s="1320" t="n"/>
      <c r="LM30" s="1320" t="n"/>
      <c r="LN30" s="1320" t="n"/>
      <c r="LO30" s="1320" t="n"/>
      <c r="LP30" s="1320" t="n"/>
      <c r="LQ30" s="1320" t="n"/>
      <c r="LR30" s="1320" t="n"/>
      <c r="LS30" s="1320" t="n"/>
    </row>
    <row r="31" outlineLevel="1" s="239">
      <c r="A31" s="1324" t="inlineStr">
        <is>
          <t>SE Asia</t>
        </is>
      </c>
      <c r="B31" s="1325" t="n">
        <v>1001.44399315947</v>
      </c>
      <c r="C31" s="1326" t="n">
        <v>930.8030068405302</v>
      </c>
      <c r="D31" s="1326" t="n">
        <v>988.9250780437045</v>
      </c>
      <c r="E31" s="1326" t="n">
        <v>961.5825419889022</v>
      </c>
      <c r="F31" s="1326" t="n">
        <v>950.749379967393</v>
      </c>
      <c r="G31" s="1326" t="n">
        <v>870.0789999999997</v>
      </c>
      <c r="H31" s="1326" t="n">
        <v>949.3120000000008</v>
      </c>
      <c r="I31" s="1326" t="n">
        <v>933.3519999999999</v>
      </c>
      <c r="J31" s="1326" t="n">
        <v>863.4000000000005</v>
      </c>
      <c r="K31" s="1326" t="n">
        <v>947.458</v>
      </c>
      <c r="L31" s="1326" t="n">
        <v>913.5069999999999</v>
      </c>
      <c r="M31" s="1326" t="n">
        <v>950.2909393183708</v>
      </c>
      <c r="N31" s="1325" t="n">
        <v>936.951</v>
      </c>
      <c r="O31" s="1326" t="n">
        <v>912.591</v>
      </c>
      <c r="P31" s="1326" t="n">
        <v>950.357</v>
      </c>
      <c r="Q31" s="1326" t="n">
        <v>951.672</v>
      </c>
      <c r="R31" s="1326" t="n">
        <v>963.511</v>
      </c>
      <c r="S31" s="1326" t="n">
        <v>954.105</v>
      </c>
      <c r="T31" s="1326" t="n">
        <v>1008.528</v>
      </c>
      <c r="U31" s="1326" t="n">
        <v>1030.848</v>
      </c>
      <c r="V31" s="1326" t="n">
        <v>1075.351</v>
      </c>
      <c r="W31" s="1326" t="n">
        <v>1098.525</v>
      </c>
      <c r="X31" s="1326" t="n">
        <v>1071.143</v>
      </c>
      <c r="Y31" s="1326" t="n">
        <v>1143.2</v>
      </c>
      <c r="Z31" s="1325" t="n">
        <v>1149.866</v>
      </c>
      <c r="AA31" s="1326" t="n">
        <v>1031.399</v>
      </c>
      <c r="AB31" s="1326" t="n">
        <v>1200.933</v>
      </c>
      <c r="AC31" s="1326" t="n">
        <v>1179.914</v>
      </c>
      <c r="AD31" s="1326" t="n">
        <v>1220.077</v>
      </c>
      <c r="AE31" s="1326" t="n">
        <v>1188.118</v>
      </c>
      <c r="AF31" s="1326" t="n">
        <v>1090.262</v>
      </c>
      <c r="AG31" s="1326" t="n">
        <v>1112.073</v>
      </c>
      <c r="AH31" s="1326" t="n">
        <v>1169.616</v>
      </c>
      <c r="AI31" s="1326" t="n">
        <v>1117.276</v>
      </c>
      <c r="AJ31" s="1326" t="n">
        <v>999.74</v>
      </c>
      <c r="AK31" s="1326" t="n">
        <v>1150.015</v>
      </c>
      <c r="AL31" s="1325" t="n">
        <v>1152.177</v>
      </c>
      <c r="AM31" s="1326" t="n">
        <v>1055.341</v>
      </c>
      <c r="AN31" s="1326" t="n">
        <v>1127.578</v>
      </c>
      <c r="AO31" s="1326" t="n">
        <v>1099.093</v>
      </c>
      <c r="AP31" s="1326" t="n">
        <v>1136.971</v>
      </c>
      <c r="AQ31" s="1326" t="n">
        <v>1113.358</v>
      </c>
      <c r="AR31" s="1326" t="n">
        <v>1180.88</v>
      </c>
      <c r="AS31" s="1326" t="n">
        <v>1250.293</v>
      </c>
      <c r="AT31" s="1326" t="n">
        <v>1210.665</v>
      </c>
      <c r="AU31" s="1326" t="n">
        <v>1264.817</v>
      </c>
      <c r="AV31" s="1326" t="n">
        <v>1205.875</v>
      </c>
      <c r="AW31" s="1326" t="n">
        <v>1266.43</v>
      </c>
      <c r="AX31" s="1325" t="n">
        <v>1258.915</v>
      </c>
      <c r="AY31" s="1325" t="n">
        <v>1141.494</v>
      </c>
      <c r="AZ31" s="1325" t="n">
        <v>1241.707149853085</v>
      </c>
      <c r="BA31" s="1325" t="n">
        <v>785.771897810219</v>
      </c>
      <c r="BB31" s="1325" t="n">
        <v>677.705</v>
      </c>
      <c r="BC31" s="1325" t="n">
        <v>745.668</v>
      </c>
      <c r="BD31" s="1325" t="n">
        <v>985.349</v>
      </c>
      <c r="BE31" s="1325" t="n">
        <v>1119.045</v>
      </c>
      <c r="BF31" s="1325" t="n">
        <v>1103.226</v>
      </c>
      <c r="BG31" s="1325" t="n">
        <v>1232.198</v>
      </c>
      <c r="BH31" s="1325" t="n">
        <v>1199.76</v>
      </c>
      <c r="BI31" s="1325" t="n">
        <v>1284.429</v>
      </c>
      <c r="BJ31" s="1325" t="n">
        <v>1294.426</v>
      </c>
      <c r="BK31" s="1325" t="n">
        <v>1177.359</v>
      </c>
      <c r="BL31" s="1325" t="n">
        <v>1267.783</v>
      </c>
      <c r="BM31" s="1325" t="n">
        <v>1291.809</v>
      </c>
      <c r="BN31" s="1325" t="n">
        <v>1304.971</v>
      </c>
      <c r="BO31" s="1325" t="n">
        <v>1282.199</v>
      </c>
      <c r="BP31" s="1325" t="n">
        <v>1349.226</v>
      </c>
      <c r="BQ31" s="1325" t="n">
        <v>1387.71</v>
      </c>
      <c r="BR31" s="1325" t="n">
        <v>1265.036</v>
      </c>
      <c r="BS31" s="1325" t="n">
        <v>1323.025</v>
      </c>
      <c r="BT31" s="1325" t="n">
        <v>1361.223</v>
      </c>
      <c r="BU31" s="1325" t="n">
        <v>1459.78</v>
      </c>
      <c r="BV31" s="1325" t="n">
        <v>1427.8</v>
      </c>
      <c r="BW31" s="1325" t="n">
        <v>1302.489</v>
      </c>
      <c r="BX31" s="1325" t="n">
        <v>1455.135</v>
      </c>
      <c r="BY31" s="1325" t="n">
        <v>1380.735</v>
      </c>
      <c r="BZ31" s="1325" t="n">
        <v>1415.176</v>
      </c>
      <c r="CA31" s="1325" t="n">
        <v>1372.687</v>
      </c>
      <c r="CB31" s="1325" t="n">
        <v>1508.696</v>
      </c>
      <c r="CC31" s="1325" t="n">
        <v>1513.721</v>
      </c>
      <c r="CD31" s="1325" t="n">
        <v>1437.86</v>
      </c>
      <c r="CE31" s="1325" t="n">
        <v>1484.488</v>
      </c>
      <c r="CF31" s="1325" t="n">
        <v>1493.152</v>
      </c>
      <c r="CG31" s="1325" t="n">
        <v>1587.834</v>
      </c>
      <c r="CH31" s="1325" t="n">
        <v>1586.456</v>
      </c>
      <c r="CI31" s="1325" t="n">
        <v>1364.644</v>
      </c>
      <c r="CJ31" s="1327" t="n">
        <v>1524.211</v>
      </c>
      <c r="CK31" s="1327" t="n">
        <v>1498.2</v>
      </c>
      <c r="CL31" s="1328" t="n">
        <v>1529.7</v>
      </c>
      <c r="CM31" s="1328" t="n">
        <v>1487.875</v>
      </c>
      <c r="CN31" s="1326" t="n">
        <v>1576.045</v>
      </c>
      <c r="CO31" s="1326" t="n">
        <v>1575.461</v>
      </c>
      <c r="CP31" s="1326" t="n">
        <v>1511.122</v>
      </c>
      <c r="CQ31" s="1326" t="n">
        <v>1569</v>
      </c>
      <c r="CR31" s="1326" t="n">
        <v>1513</v>
      </c>
      <c r="CS31" s="1326" t="n">
        <v>1638.681</v>
      </c>
      <c r="CT31" s="1326" t="n">
        <v>1699.072</v>
      </c>
      <c r="CU31" s="1326" t="n">
        <v>1494.642</v>
      </c>
      <c r="CV31" s="1326" t="n">
        <v>1620</v>
      </c>
      <c r="CW31" s="1325" t="n">
        <v>1589.153</v>
      </c>
      <c r="CX31" s="1325" t="n">
        <v>1621.068</v>
      </c>
      <c r="CY31" s="1325" t="n">
        <v>1542.446</v>
      </c>
      <c r="CZ31" s="1325" t="n">
        <v>1608.041</v>
      </c>
      <c r="DA31" s="1325" t="n">
        <v>1653.098</v>
      </c>
      <c r="DB31" s="1325" t="n">
        <v>1546.005</v>
      </c>
      <c r="DC31" s="1325" t="n">
        <v>1651.805</v>
      </c>
      <c r="DD31" s="1325" t="n">
        <v>1534.825</v>
      </c>
      <c r="DE31" s="1325" t="n">
        <v>1660.127</v>
      </c>
      <c r="DF31" s="1325" t="n">
        <v>1631.228</v>
      </c>
      <c r="DG31" s="1325" t="n">
        <v>1519.159</v>
      </c>
      <c r="DH31" s="1325" t="n">
        <v>1720.611</v>
      </c>
      <c r="DI31" s="1325" t="n">
        <v>1833.314</v>
      </c>
      <c r="DJ31" s="1325" t="n">
        <v>1882.194</v>
      </c>
      <c r="DK31" s="1325" t="n">
        <v>1858.915</v>
      </c>
      <c r="DL31" s="1325" t="n">
        <v>2010.48</v>
      </c>
      <c r="DM31" s="1325" t="n">
        <v>1971.669</v>
      </c>
      <c r="DN31" s="1325" t="n">
        <v>1934.009</v>
      </c>
      <c r="DO31" s="1325" t="n">
        <v>2075.322</v>
      </c>
      <c r="DP31" s="1325" t="n">
        <v>1977.397</v>
      </c>
      <c r="DQ31" s="1325" t="n">
        <v>2113.831</v>
      </c>
      <c r="DR31" s="1325" t="n">
        <v>2118.69</v>
      </c>
      <c r="DS31" s="1325" t="n">
        <v>1861.601</v>
      </c>
      <c r="DT31" s="1325" t="n">
        <v>2059.327</v>
      </c>
      <c r="DU31" s="1325" t="n">
        <v>2047.327</v>
      </c>
      <c r="DV31" s="1325" t="n">
        <v>2028.222</v>
      </c>
      <c r="DW31" s="1325" t="n">
        <v>1939.745</v>
      </c>
      <c r="DX31" s="1325" t="n">
        <v>2028.579</v>
      </c>
      <c r="DY31" s="1325" t="n">
        <v>2074.623</v>
      </c>
      <c r="DZ31" s="1325" t="n">
        <v>2022.256</v>
      </c>
      <c r="EA31" s="1325" t="n">
        <v>2045.175</v>
      </c>
      <c r="EB31" s="1325" t="n">
        <v>2005.217</v>
      </c>
      <c r="EC31" s="1325" t="n">
        <v>2149.313</v>
      </c>
      <c r="ED31" s="1325" t="n">
        <v>2106.991</v>
      </c>
      <c r="EE31" s="1325" t="n">
        <v>1917.324</v>
      </c>
      <c r="EF31" s="1325" t="n">
        <v>1149.859</v>
      </c>
      <c r="EG31" s="1325" t="n">
        <v>1159.606</v>
      </c>
      <c r="EH31" s="1325" t="n">
        <v>1146.477</v>
      </c>
      <c r="EI31" s="1325" t="n">
        <v>1125.183</v>
      </c>
      <c r="EJ31" s="1325" t="n">
        <v>1229.045</v>
      </c>
      <c r="EK31" s="1325" t="n">
        <v>1254.551</v>
      </c>
      <c r="EL31" s="1325" t="n">
        <v>1273.296</v>
      </c>
      <c r="EM31" s="1325" t="n">
        <v>1251.846</v>
      </c>
      <c r="EN31" s="1325" t="n">
        <v>1213.426</v>
      </c>
      <c r="EO31" s="1325" t="n">
        <v>1279.136</v>
      </c>
      <c r="EP31" s="1325" t="n">
        <v>1282.03</v>
      </c>
      <c r="EQ31" s="1325" t="n">
        <v>1163.757</v>
      </c>
      <c r="ER31" s="1325" t="n">
        <v>1277.72</v>
      </c>
      <c r="ES31" s="1325" t="n">
        <v>1293.02</v>
      </c>
      <c r="ET31" s="1325" t="n">
        <v>1352.19</v>
      </c>
      <c r="EU31" s="1325" t="n">
        <v>1345.595</v>
      </c>
      <c r="EV31" s="1325" t="n">
        <v>1415.709</v>
      </c>
      <c r="EW31" s="1325" t="n">
        <v>1429.04</v>
      </c>
      <c r="EX31" s="1325" t="n">
        <v>1344.753</v>
      </c>
      <c r="EY31" s="1325" t="n">
        <v>1367.255</v>
      </c>
      <c r="EZ31" s="1325" t="n">
        <v>1310.191</v>
      </c>
      <c r="FA31" s="1325" t="n">
        <v>1438.108</v>
      </c>
      <c r="FB31" s="1325" t="n">
        <v>1463.632</v>
      </c>
      <c r="FC31" s="1325" t="n">
        <v>1317.607</v>
      </c>
      <c r="FD31" s="1325" t="n">
        <v>1405.065</v>
      </c>
      <c r="FE31" s="1325" t="n">
        <v>1482.062</v>
      </c>
      <c r="FF31" s="1325" t="n">
        <v>1491.551</v>
      </c>
      <c r="FG31" s="1325" t="n">
        <v>1452.537</v>
      </c>
      <c r="FH31" s="1325" t="n">
        <v>1549.162</v>
      </c>
      <c r="FI31" s="1325" t="n">
        <v>1635.444</v>
      </c>
      <c r="FJ31" s="1325" t="n">
        <v>1495.769</v>
      </c>
      <c r="FK31" s="1325" t="n">
        <v>1567.129</v>
      </c>
      <c r="FL31" s="1325" t="n">
        <v>1523.682</v>
      </c>
      <c r="FM31" s="1325" t="n">
        <v>1647.169</v>
      </c>
      <c r="FN31" s="1325" t="n">
        <v>1571.812</v>
      </c>
      <c r="FO31" s="1325" t="n">
        <v>1415.738</v>
      </c>
      <c r="FP31" s="1325" t="n">
        <v>1508.469</v>
      </c>
      <c r="FQ31" s="1325" t="n">
        <v>1488.302</v>
      </c>
      <c r="FR31" s="1325" t="n">
        <v>1536.063</v>
      </c>
      <c r="FS31" s="1325" t="n">
        <v>1480.009</v>
      </c>
      <c r="FT31" s="1325" t="n">
        <v>1561.896</v>
      </c>
      <c r="FU31" s="1325" t="n">
        <v>1600.39</v>
      </c>
      <c r="FV31" s="1325" t="n">
        <v>1417.63</v>
      </c>
      <c r="FW31" s="1325" t="n">
        <v>1503.097</v>
      </c>
      <c r="FX31" s="1325" t="n">
        <v>1519.494</v>
      </c>
      <c r="FY31" s="1325" t="n">
        <v>1642.703</v>
      </c>
      <c r="FZ31" s="1325" t="n">
        <v>1572.373</v>
      </c>
      <c r="GA31" s="1325" t="n">
        <v>1384.171</v>
      </c>
      <c r="GB31" s="1325" t="n">
        <v>1481.726</v>
      </c>
      <c r="GC31" s="1325" t="n">
        <v>1527.404</v>
      </c>
      <c r="GD31" s="1325" t="n">
        <v>1577.838</v>
      </c>
      <c r="GE31" s="1325" t="n">
        <v>1429.868</v>
      </c>
      <c r="GF31" s="1325" t="n">
        <v>1605.097</v>
      </c>
      <c r="GG31" s="1325" t="n">
        <v>1588.141</v>
      </c>
      <c r="GH31" s="1325" t="n">
        <v>1465.834</v>
      </c>
      <c r="GI31" s="1325" t="n">
        <v>1601.059</v>
      </c>
      <c r="GJ31" s="1325" t="n">
        <v>1620.562</v>
      </c>
      <c r="GK31" s="1325" t="n">
        <v>1770.845</v>
      </c>
      <c r="GL31" s="1325" t="n">
        <v>1708.296</v>
      </c>
      <c r="GM31" s="1325" t="n">
        <v>1602.306</v>
      </c>
      <c r="GN31" s="1325" t="n">
        <v>1736.058</v>
      </c>
      <c r="GO31" s="1325" t="n">
        <v>1748.655</v>
      </c>
      <c r="GP31" s="1325" t="n">
        <v>1739.797</v>
      </c>
      <c r="GQ31" s="1325" t="n">
        <v>1685.529</v>
      </c>
      <c r="GR31" s="1325" t="n">
        <v>1852.271</v>
      </c>
      <c r="GS31" s="1325" t="n">
        <v>1828.578</v>
      </c>
      <c r="GT31" s="1325" t="n">
        <v>1537.757</v>
      </c>
      <c r="GU31" s="1325" t="n">
        <v>1676.329</v>
      </c>
      <c r="GV31" s="1325" t="n">
        <v>1682.801</v>
      </c>
      <c r="GW31" s="1325" t="n">
        <v>1842.974</v>
      </c>
      <c r="GX31" s="1325" t="n">
        <v>1777.137</v>
      </c>
      <c r="GY31" s="1325" t="n">
        <v>1738.734</v>
      </c>
      <c r="GZ31" s="1325" t="n">
        <v>1847.67</v>
      </c>
      <c r="HA31" s="1325" t="n">
        <v>1740.765</v>
      </c>
      <c r="HB31" s="1325" t="n">
        <v>1788.941</v>
      </c>
      <c r="HC31" s="1325" t="n">
        <v>1747.901</v>
      </c>
      <c r="HD31" s="1325" t="n">
        <v>1825.474</v>
      </c>
      <c r="HE31" s="1325" t="n">
        <v>1760.788</v>
      </c>
      <c r="HF31" s="1325" t="n">
        <v>1685.584</v>
      </c>
      <c r="HG31" s="1325" t="n">
        <v>1715.226</v>
      </c>
      <c r="HH31" s="1325" t="n">
        <v>1655.368</v>
      </c>
      <c r="HI31" s="1325" t="n">
        <v>1846.209</v>
      </c>
      <c r="HJ31" s="892" t="n">
        <v>1796.764</v>
      </c>
      <c r="HK31" s="892" t="n">
        <v>1639.353</v>
      </c>
      <c r="HL31" s="892" t="n">
        <v>1777.572</v>
      </c>
      <c r="HM31" s="892" t="n">
        <v>1736.083</v>
      </c>
      <c r="HN31" s="892" t="n">
        <v>1761.872</v>
      </c>
      <c r="HO31" s="892" t="n">
        <v>1721.672</v>
      </c>
      <c r="HP31" s="892" t="n">
        <v>1820.248</v>
      </c>
      <c r="HQ31" s="892" t="n">
        <v>1750.167</v>
      </c>
      <c r="HR31" s="892" t="n">
        <v>1665.597</v>
      </c>
      <c r="HS31" s="892" t="n">
        <v>1768.221</v>
      </c>
      <c r="HT31" s="892" t="n">
        <v>1736.887</v>
      </c>
      <c r="HU31" s="892" t="n">
        <v>1880.301</v>
      </c>
      <c r="HV31" s="892" t="n">
        <v>1786.779</v>
      </c>
      <c r="HW31" s="892" t="n">
        <v>1614.869</v>
      </c>
      <c r="HX31" s="892" t="n">
        <v>1837.035</v>
      </c>
      <c r="HY31" s="892" t="n">
        <v>1806.964</v>
      </c>
      <c r="HZ31" s="892" t="n">
        <v>1814.61</v>
      </c>
      <c r="IA31" s="892" t="n">
        <v>1854.824</v>
      </c>
      <c r="IB31" s="892" t="n">
        <v>1877.382</v>
      </c>
      <c r="IC31" s="892" t="n">
        <v>1858.009</v>
      </c>
      <c r="ID31" s="892" t="n">
        <v>1590.68</v>
      </c>
      <c r="IE31" s="892" t="n">
        <v>1727.341</v>
      </c>
      <c r="IF31" s="892" t="n">
        <v>1746.976</v>
      </c>
      <c r="IG31" s="892" t="n">
        <v>1858.476</v>
      </c>
      <c r="IH31" s="892" t="n">
        <v>1800.151</v>
      </c>
      <c r="II31" s="892" t="n">
        <v>1648.716</v>
      </c>
      <c r="IJ31" s="892" t="n">
        <v>1822.117</v>
      </c>
      <c r="IK31" s="892" t="n">
        <v>1815.076</v>
      </c>
      <c r="IL31" s="892" t="n">
        <v>1799.287</v>
      </c>
      <c r="IM31" s="892" t="n">
        <v>1823.95</v>
      </c>
      <c r="IN31" s="892" t="n">
        <v>1845.589</v>
      </c>
      <c r="IO31" s="892" t="n">
        <v>1822.884</v>
      </c>
      <c r="IP31" s="892" t="n">
        <v>1668.498</v>
      </c>
      <c r="IQ31" s="892" t="n">
        <v>1753.698</v>
      </c>
      <c r="IR31" s="892" t="n">
        <v>1751.468</v>
      </c>
      <c r="IS31" s="892" t="n">
        <v>1932.36</v>
      </c>
      <c r="IT31" s="892" t="n">
        <v>1866.848</v>
      </c>
      <c r="IU31" s="892" t="n">
        <v>1062.741</v>
      </c>
      <c r="IV31" s="892" t="n">
        <v>524.784</v>
      </c>
      <c r="IW31" s="892" t="n">
        <v>66.82299999999999</v>
      </c>
      <c r="IX31" s="893" t="n">
        <v>72.117</v>
      </c>
      <c r="IY31" s="893" t="n">
        <v>74.624</v>
      </c>
      <c r="IZ31" s="893" t="n">
        <v>105.69</v>
      </c>
      <c r="JA31" s="893" t="n">
        <v>95.35899999999999</v>
      </c>
      <c r="JB31" s="893" t="n">
        <v>91.32899999999999</v>
      </c>
      <c r="JC31" s="893" t="n">
        <v>94.715</v>
      </c>
      <c r="JD31" s="893" t="n">
        <v>95.452</v>
      </c>
      <c r="JE31" s="893" t="n">
        <v>107.125</v>
      </c>
      <c r="JF31" s="893" t="n">
        <v>107.555</v>
      </c>
      <c r="JG31" s="893" t="n">
        <v>88.554</v>
      </c>
      <c r="JH31" s="893" t="n">
        <v>55.187</v>
      </c>
      <c r="JI31" s="893" t="n">
        <v>61.935</v>
      </c>
      <c r="JJ31" s="893" t="n">
        <v>58.108</v>
      </c>
      <c r="JK31" s="893" t="n">
        <v>77.79000000000001</v>
      </c>
      <c r="JL31" s="893" t="n">
        <v>82.77200000000001</v>
      </c>
      <c r="JM31" s="893" t="n">
        <v>97.559</v>
      </c>
      <c r="JN31" s="893" t="n">
        <v>111.919</v>
      </c>
      <c r="JO31" s="893" t="n">
        <v>99.833</v>
      </c>
      <c r="JP31" s="893" t="n">
        <v>98.501</v>
      </c>
      <c r="JQ31" s="893" t="n">
        <v>76.48999999999999</v>
      </c>
      <c r="JR31" s="893" t="n">
        <v>23.367</v>
      </c>
      <c r="JS31" s="893" t="n">
        <v>19.65</v>
      </c>
      <c r="JT31" s="893" t="n">
        <v>22.694</v>
      </c>
      <c r="JU31" s="893" t="n">
        <v>31.591</v>
      </c>
      <c r="JV31" s="893" t="n">
        <v>29.863</v>
      </c>
      <c r="JW31" s="893" t="n">
        <v>79.405</v>
      </c>
      <c r="JX31" s="893" t="n">
        <v>158.863</v>
      </c>
      <c r="JY31" s="893" t="n">
        <v>151.095</v>
      </c>
      <c r="JZ31" s="893" t="n">
        <v>174.141</v>
      </c>
      <c r="KA31" s="893" t="n">
        <v>334.403</v>
      </c>
      <c r="KB31" s="893" t="n">
        <v>395.516</v>
      </c>
      <c r="KC31" s="893" t="n">
        <v>630.652</v>
      </c>
      <c r="KD31" s="893" t="n">
        <v>690.309</v>
      </c>
      <c r="KE31" s="893" t="n">
        <v>761.943</v>
      </c>
      <c r="KF31" s="893" t="n">
        <v>850.704</v>
      </c>
      <c r="KG31" s="893" t="n">
        <v>956.082</v>
      </c>
      <c r="KH31" s="893" t="n">
        <v>972.942</v>
      </c>
      <c r="KI31" s="893" t="n">
        <v>971.04</v>
      </c>
      <c r="KJ31" s="893" t="n">
        <v>1026.434</v>
      </c>
      <c r="KK31" s="893" t="n">
        <v>1017.034</v>
      </c>
      <c r="KL31" s="893" t="n">
        <v>1003.589</v>
      </c>
      <c r="KM31" s="893" t="n">
        <v>1054.896</v>
      </c>
      <c r="KN31" s="893" t="n">
        <v>971.015</v>
      </c>
      <c r="KO31" s="893" t="n">
        <v>1139.642</v>
      </c>
      <c r="KP31" s="893" t="n">
        <v>1113.694</v>
      </c>
      <c r="KQ31" s="893" t="n">
        <v>1127.261</v>
      </c>
      <c r="KR31" s="893" t="n">
        <v>1197.245</v>
      </c>
      <c r="KS31" s="893" t="n">
        <v>1170.299</v>
      </c>
      <c r="KT31" s="893" t="n">
        <v>1049.684</v>
      </c>
      <c r="KU31" s="893" t="n">
        <v>1282.082</v>
      </c>
      <c r="KV31" s="893" t="n">
        <v>1385.501</v>
      </c>
      <c r="KW31" s="893" t="n">
        <v>1401.713</v>
      </c>
      <c r="KX31" s="893" t="n">
        <v>1297.571</v>
      </c>
      <c r="KY31" s="893" t="n">
        <v>1365.986</v>
      </c>
      <c r="KZ31" s="893" t="n">
        <v>1205.662</v>
      </c>
      <c r="LA31" s="893" t="n">
        <v>1342.186</v>
      </c>
      <c r="LB31" s="893" t="n"/>
      <c r="LC31" s="893" t="n"/>
      <c r="LD31" s="893" t="n"/>
      <c r="LE31" s="893" t="n"/>
      <c r="LF31" s="893" t="n"/>
      <c r="LG31" s="893" t="n"/>
      <c r="LH31" s="893" t="n"/>
      <c r="LI31" s="893" t="n"/>
      <c r="LJ31" s="893" t="n"/>
      <c r="LK31" s="893" t="n"/>
      <c r="LL31" s="893" t="n"/>
      <c r="LM31" s="893" t="n"/>
      <c r="LN31" s="893" t="n"/>
      <c r="LO31" s="893" t="n"/>
      <c r="LP31" s="893" t="n"/>
      <c r="LQ31" s="893" t="n"/>
      <c r="LR31" s="893" t="n"/>
      <c r="LS31" s="893" t="n"/>
    </row>
    <row r="32" outlineLevel="1" ht="15" customHeight="1" s="239">
      <c r="A32" s="1324" t="inlineStr">
        <is>
          <t>India, Middle East, Pakistan</t>
        </is>
      </c>
      <c r="B32" s="1320" t="n"/>
      <c r="C32" s="1319" t="n"/>
      <c r="D32" s="1319" t="n"/>
      <c r="E32" s="1319" t="n"/>
      <c r="F32" s="1319" t="n"/>
      <c r="G32" s="1319" t="n"/>
      <c r="H32" s="1319" t="n"/>
      <c r="I32" s="1319" t="n"/>
      <c r="J32" s="1319" t="n"/>
      <c r="K32" s="1319" t="n"/>
      <c r="L32" s="1319" t="n"/>
      <c r="M32" s="1319" t="n"/>
      <c r="N32" s="1320" t="n"/>
      <c r="O32" s="1319" t="n"/>
      <c r="P32" s="1319" t="n"/>
      <c r="Q32" s="1319" t="n"/>
      <c r="R32" s="1319" t="n"/>
      <c r="S32" s="1319" t="n"/>
      <c r="T32" s="1319" t="n"/>
      <c r="U32" s="1319" t="n"/>
      <c r="V32" s="1319" t="n"/>
      <c r="W32" s="1319" t="n"/>
      <c r="X32" s="1319" t="n"/>
      <c r="Y32" s="1319" t="n"/>
      <c r="Z32" s="1320" t="n"/>
      <c r="AA32" s="1319" t="n"/>
      <c r="AB32" s="1319" t="n"/>
      <c r="AC32" s="1319" t="n"/>
      <c r="AD32" s="1319" t="n"/>
      <c r="AE32" s="1319" t="n"/>
      <c r="AF32" s="1319" t="n"/>
      <c r="AG32" s="1319" t="n"/>
      <c r="AH32" s="1319" t="n"/>
      <c r="AI32" s="1319" t="n"/>
      <c r="AJ32" s="1319" t="n"/>
      <c r="AK32" s="1319" t="n"/>
      <c r="AL32" s="1320" t="n"/>
      <c r="AM32" s="1319" t="n"/>
      <c r="AN32" s="1319" t="n"/>
      <c r="AO32" s="1319" t="n"/>
      <c r="AP32" s="1319" t="n"/>
      <c r="AQ32" s="1319" t="n"/>
      <c r="AR32" s="1319" t="n"/>
      <c r="AS32" s="1319" t="n"/>
      <c r="AT32" s="1319" t="n"/>
      <c r="AU32" s="1319" t="n"/>
      <c r="AV32" s="1319" t="n"/>
      <c r="AW32" s="1319" t="n"/>
      <c r="AX32" s="1320" t="n"/>
      <c r="AY32" s="1320" t="n"/>
      <c r="AZ32" s="1320" t="n"/>
      <c r="BA32" s="1320" t="n"/>
      <c r="BB32" s="1320" t="n"/>
      <c r="BC32" s="1320" t="n"/>
      <c r="BD32" s="1320" t="n"/>
      <c r="BE32" s="1320" t="n"/>
      <c r="BF32" s="1320" t="n"/>
      <c r="BG32" s="1320" t="n"/>
      <c r="BH32" s="1320" t="n"/>
      <c r="BI32" s="1320" t="n"/>
      <c r="BJ32" s="1320" t="n"/>
      <c r="BK32" s="1320" t="n"/>
      <c r="BL32" s="1320" t="n"/>
      <c r="BM32" s="1320" t="n"/>
      <c r="BN32" s="1320" t="n"/>
      <c r="BO32" s="1320" t="n"/>
      <c r="BP32" s="1320" t="n"/>
      <c r="BQ32" s="1320" t="n"/>
      <c r="BR32" s="1320" t="n"/>
      <c r="BS32" s="1320" t="n"/>
      <c r="BT32" s="1320" t="n"/>
      <c r="BU32" s="1320" t="n"/>
      <c r="BV32" s="1320" t="n"/>
      <c r="BW32" s="1320" t="n"/>
      <c r="BX32" s="1320" t="n"/>
      <c r="BY32" s="1320" t="n"/>
      <c r="BZ32" s="1320" t="n"/>
      <c r="CA32" s="1320" t="n"/>
      <c r="CB32" s="1320" t="n"/>
      <c r="CC32" s="1320" t="n"/>
      <c r="CD32" s="1320" t="n"/>
      <c r="CE32" s="1320" t="n"/>
      <c r="CF32" s="1320" t="n"/>
      <c r="CG32" s="1320" t="n"/>
      <c r="CH32" s="1320" t="n"/>
      <c r="CI32" s="1320" t="n"/>
      <c r="CJ32" s="1321" t="n"/>
      <c r="CK32" s="1321" t="n"/>
      <c r="CL32" s="1322" t="n"/>
      <c r="CM32" s="1322" t="n"/>
      <c r="CN32" s="1319" t="n"/>
      <c r="CO32" s="1319" t="n"/>
      <c r="CP32" s="1319" t="n"/>
      <c r="CQ32" s="1319" t="n"/>
      <c r="CR32" s="1319" t="n"/>
      <c r="CS32" s="1319" t="n"/>
      <c r="CT32" s="1326" t="n"/>
      <c r="CU32" s="1326" t="n"/>
      <c r="CV32" s="1326" t="n"/>
      <c r="CW32" s="1325" t="n"/>
      <c r="CX32" s="1325" t="n"/>
      <c r="CY32" s="1325" t="n"/>
      <c r="CZ32" s="1325" t="n"/>
      <c r="DA32" s="1325" t="n"/>
      <c r="DB32" s="1325" t="n"/>
      <c r="DC32" s="1325" t="n"/>
      <c r="DD32" s="1325" t="n"/>
      <c r="DE32" s="1325" t="n"/>
      <c r="DF32" s="1325" t="n"/>
      <c r="DG32" s="1325" t="n"/>
      <c r="DH32" s="1325" t="n"/>
      <c r="DI32" s="1325" t="n"/>
      <c r="DJ32" s="1325" t="n"/>
      <c r="DK32" s="1325" t="n"/>
      <c r="DL32" s="1325" t="n"/>
      <c r="DM32" s="1325" t="n"/>
      <c r="DN32" s="1325" t="n"/>
      <c r="DO32" s="1325" t="n"/>
      <c r="DP32" s="1325" t="n"/>
      <c r="DQ32" s="1325" t="n"/>
      <c r="DR32" s="1325" t="n"/>
      <c r="DS32" s="1325" t="n"/>
      <c r="DT32" s="1325" t="n"/>
      <c r="DU32" s="1325" t="n"/>
      <c r="DV32" s="1325" t="n"/>
      <c r="DW32" s="1325" t="n"/>
      <c r="DX32" s="1325" t="n"/>
      <c r="DY32" s="1325" t="n"/>
      <c r="DZ32" s="1325" t="n"/>
      <c r="EA32" s="1325" t="n"/>
      <c r="EB32" s="1325" t="n"/>
      <c r="EC32" s="1325" t="n"/>
      <c r="ED32" s="1325" t="n"/>
      <c r="EE32" s="1325" t="n"/>
      <c r="EF32" s="1325" t="n">
        <v>954.569</v>
      </c>
      <c r="EG32" s="1325" t="n">
        <v>897.71</v>
      </c>
      <c r="EH32" s="1325" t="n">
        <v>931.158</v>
      </c>
      <c r="EI32" s="1325" t="n">
        <v>897.5839999999999</v>
      </c>
      <c r="EJ32" s="1325" t="n">
        <v>930.146</v>
      </c>
      <c r="EK32" s="1325" t="n">
        <v>914.506</v>
      </c>
      <c r="EL32" s="1325" t="n">
        <v>885.971</v>
      </c>
      <c r="EM32" s="1325" t="n">
        <v>927.182</v>
      </c>
      <c r="EN32" s="1325" t="n">
        <v>920.001</v>
      </c>
      <c r="EO32" s="1325" t="n">
        <v>927.494</v>
      </c>
      <c r="EP32" s="1325" t="n">
        <v>930.792</v>
      </c>
      <c r="EQ32" s="1325" t="n">
        <v>839.671</v>
      </c>
      <c r="ER32" s="1325" t="n">
        <v>943.271</v>
      </c>
      <c r="ES32" s="1325" t="n">
        <v>917.778</v>
      </c>
      <c r="ET32" s="1325" t="n">
        <v>942.019</v>
      </c>
      <c r="EU32" s="1325" t="n">
        <v>972.447</v>
      </c>
      <c r="EV32" s="1325" t="n">
        <v>1004.606</v>
      </c>
      <c r="EW32" s="1325" t="n">
        <v>983.794</v>
      </c>
      <c r="EX32" s="1325" t="n">
        <v>963.787</v>
      </c>
      <c r="EY32" s="1325" t="n">
        <v>996.617</v>
      </c>
      <c r="EZ32" s="1325" t="n">
        <v>974.889</v>
      </c>
      <c r="FA32" s="1325" t="n">
        <v>996.7190000000001</v>
      </c>
      <c r="FB32" s="1325" t="n">
        <v>988.366</v>
      </c>
      <c r="FC32" s="1325" t="n">
        <v>934.958</v>
      </c>
      <c r="FD32" s="1325" t="n">
        <v>992.717</v>
      </c>
      <c r="FE32" s="1325" t="n">
        <v>881.048</v>
      </c>
      <c r="FF32" s="1325" t="n">
        <v>920.785</v>
      </c>
      <c r="FG32" s="1325" t="n">
        <v>887.496</v>
      </c>
      <c r="FH32" s="1325" t="n">
        <v>875.377</v>
      </c>
      <c r="FI32" s="1325" t="n">
        <v>879.924</v>
      </c>
      <c r="FJ32" s="1325" t="n">
        <v>900.058</v>
      </c>
      <c r="FK32" s="1325" t="n">
        <v>928.1</v>
      </c>
      <c r="FL32" s="1325" t="n">
        <v>910.188</v>
      </c>
      <c r="FM32" s="1325" t="n">
        <v>950.048</v>
      </c>
      <c r="FN32" s="1325" t="n">
        <v>912.466</v>
      </c>
      <c r="FO32" s="1325" t="n">
        <v>837.701</v>
      </c>
      <c r="FP32" s="1325" t="n">
        <v>937.783</v>
      </c>
      <c r="FQ32" s="1325" t="n">
        <v>876.443</v>
      </c>
      <c r="FR32" s="1325" t="n">
        <v>907.3339999999999</v>
      </c>
      <c r="FS32" s="1325" t="n">
        <v>884.321</v>
      </c>
      <c r="FT32" s="1325" t="n">
        <v>872.564</v>
      </c>
      <c r="FU32" s="1325" t="n">
        <v>880.463</v>
      </c>
      <c r="FV32" s="1325" t="n">
        <v>831.403</v>
      </c>
      <c r="FW32" s="1325" t="n">
        <v>886.768</v>
      </c>
      <c r="FX32" s="1325" t="n">
        <v>926.877</v>
      </c>
      <c r="FY32" s="1325" t="n">
        <v>942.552</v>
      </c>
      <c r="FZ32" s="1325" t="n">
        <v>938.92</v>
      </c>
      <c r="GA32" s="1325" t="n">
        <v>843.321</v>
      </c>
      <c r="GB32" s="1325" t="n">
        <v>945.146</v>
      </c>
      <c r="GC32" s="1325" t="n">
        <v>926.254</v>
      </c>
      <c r="GD32" s="1325" t="n">
        <v>950.579</v>
      </c>
      <c r="GE32" s="1325" t="n">
        <v>907.317</v>
      </c>
      <c r="GF32" s="1325" t="n">
        <v>876.674</v>
      </c>
      <c r="GG32" s="1325" t="n">
        <v>894.954</v>
      </c>
      <c r="GH32" s="1325" t="n">
        <v>857.992</v>
      </c>
      <c r="GI32" s="1325" t="n">
        <v>892.352</v>
      </c>
      <c r="GJ32" s="1325" t="n">
        <v>822.52</v>
      </c>
      <c r="GK32" s="1325" t="n">
        <v>829.24</v>
      </c>
      <c r="GL32" s="1325" t="n">
        <v>835.586</v>
      </c>
      <c r="GM32" s="1325" t="n">
        <v>747.648</v>
      </c>
      <c r="GN32" s="1325" t="n">
        <v>848.269</v>
      </c>
      <c r="GO32" s="1325" t="n">
        <v>824.27</v>
      </c>
      <c r="GP32" s="1325" t="n">
        <v>870.056</v>
      </c>
      <c r="GQ32" s="1325" t="n">
        <v>832.86</v>
      </c>
      <c r="GR32" s="1325" t="n">
        <v>855.434</v>
      </c>
      <c r="GS32" s="1325" t="n">
        <v>873.856</v>
      </c>
      <c r="GT32" s="1325" t="n">
        <v>853.212</v>
      </c>
      <c r="GU32" s="1325" t="n">
        <v>880.215</v>
      </c>
      <c r="GV32" s="1325" t="n">
        <v>837.1799999999999</v>
      </c>
      <c r="GW32" s="1325" t="n">
        <v>868.789</v>
      </c>
      <c r="GX32" s="1325" t="n">
        <v>892.595</v>
      </c>
      <c r="GY32" s="1325" t="n">
        <v>747.326</v>
      </c>
      <c r="GZ32" s="1325" t="n">
        <v>775.35</v>
      </c>
      <c r="HA32" s="1325" t="n">
        <v>746.783</v>
      </c>
      <c r="HB32" s="1325" t="n">
        <v>782.01</v>
      </c>
      <c r="HC32" s="1325" t="n">
        <v>735.265</v>
      </c>
      <c r="HD32" s="1325" t="n">
        <v>755.597</v>
      </c>
      <c r="HE32" s="1325" t="n">
        <v>762.8869999999999</v>
      </c>
      <c r="HF32" s="1325" t="n">
        <v>755.0650000000001</v>
      </c>
      <c r="HG32" s="1325" t="n">
        <v>752.578</v>
      </c>
      <c r="HH32" s="1325" t="n">
        <v>686.4880000000001</v>
      </c>
      <c r="HI32" s="1325" t="n">
        <v>779.825</v>
      </c>
      <c r="HJ32" s="892" t="n">
        <v>760.957</v>
      </c>
      <c r="HK32" s="892" t="n">
        <v>673.523</v>
      </c>
      <c r="HL32" s="892" t="n">
        <v>709.629</v>
      </c>
      <c r="HM32" s="892" t="n">
        <v>687.013</v>
      </c>
      <c r="HN32" s="892" t="n">
        <v>713.169</v>
      </c>
      <c r="HO32" s="892" t="n">
        <v>697.326</v>
      </c>
      <c r="HP32" s="892" t="n">
        <v>695.329</v>
      </c>
      <c r="HQ32" s="892" t="n">
        <v>690.2329999999999</v>
      </c>
      <c r="HR32" s="892" t="n">
        <v>678.086</v>
      </c>
      <c r="HS32" s="892" t="n">
        <v>705.627</v>
      </c>
      <c r="HT32" s="892" t="n">
        <v>684.649</v>
      </c>
      <c r="HU32" s="892" t="n">
        <v>757.683</v>
      </c>
      <c r="HV32" s="892" t="n">
        <v>752.5700000000001</v>
      </c>
      <c r="HW32" s="892" t="n">
        <v>660.294</v>
      </c>
      <c r="HX32" s="892" t="n">
        <v>735.566</v>
      </c>
      <c r="HY32" s="892" t="n">
        <v>705.474</v>
      </c>
      <c r="HZ32" s="892" t="n">
        <v>734.3869999999999</v>
      </c>
      <c r="IA32" s="892" t="n">
        <v>695.6799999999999</v>
      </c>
      <c r="IB32" s="892" t="n">
        <v>695.051</v>
      </c>
      <c r="IC32" s="892" t="n">
        <v>705.7329999999999</v>
      </c>
      <c r="ID32" s="892" t="n">
        <v>935.573</v>
      </c>
      <c r="IE32" s="892" t="n">
        <v>1011.375</v>
      </c>
      <c r="IF32" s="892" t="n">
        <v>1051.941</v>
      </c>
      <c r="IG32" s="892" t="n">
        <v>1190.365</v>
      </c>
      <c r="IH32" s="892" t="n">
        <v>1203.73</v>
      </c>
      <c r="II32" s="892" t="n">
        <v>1036.237</v>
      </c>
      <c r="IJ32" s="892" t="n">
        <v>1066.108</v>
      </c>
      <c r="IK32" s="892" t="n">
        <v>1024.045</v>
      </c>
      <c r="IL32" s="892" t="n">
        <v>976.265</v>
      </c>
      <c r="IM32" s="892" t="n">
        <v>1043.807</v>
      </c>
      <c r="IN32" s="892" t="n">
        <v>1023.365</v>
      </c>
      <c r="IO32" s="892" t="n">
        <v>1029.294</v>
      </c>
      <c r="IP32" s="892" t="n">
        <v>1023.098</v>
      </c>
      <c r="IQ32" s="892" t="n">
        <v>1058.111</v>
      </c>
      <c r="IR32" s="892" t="n">
        <v>1121.251</v>
      </c>
      <c r="IS32" s="892" t="n">
        <v>1210.566</v>
      </c>
      <c r="IT32" s="892" t="n">
        <v>1198.208</v>
      </c>
      <c r="IU32" s="892" t="n">
        <v>818.109</v>
      </c>
      <c r="IV32" s="892" t="n">
        <v>262.68</v>
      </c>
      <c r="IW32" s="892" t="n">
        <v>0</v>
      </c>
      <c r="IX32" s="893" t="n">
        <v>0</v>
      </c>
      <c r="IY32" s="893" t="n">
        <v>0</v>
      </c>
      <c r="IZ32" s="893" t="n">
        <v>0</v>
      </c>
      <c r="JA32" s="893" t="n">
        <v>0</v>
      </c>
      <c r="JB32" s="893" t="n">
        <v>0</v>
      </c>
      <c r="JC32" s="893" t="n">
        <v>0</v>
      </c>
      <c r="JD32" s="893" t="n">
        <v>0</v>
      </c>
      <c r="JE32" s="893" t="n">
        <v>0</v>
      </c>
      <c r="JF32" s="893" t="n">
        <v>0</v>
      </c>
      <c r="JG32" s="893" t="n">
        <v>0</v>
      </c>
      <c r="JH32" s="893" t="n">
        <v>0</v>
      </c>
      <c r="JI32" s="893" t="n">
        <v>0</v>
      </c>
      <c r="JJ32" s="893" t="n">
        <v>6.22</v>
      </c>
      <c r="JK32" s="893" t="n">
        <v>13.995</v>
      </c>
      <c r="JL32" s="893" t="n">
        <v>27.989</v>
      </c>
      <c r="JM32" s="893" t="n">
        <v>28.144</v>
      </c>
      <c r="JN32" s="893" t="n">
        <v>18.28</v>
      </c>
      <c r="JO32" s="893" t="n">
        <v>14.956</v>
      </c>
      <c r="JP32" s="893" t="n">
        <v>19.942</v>
      </c>
      <c r="JQ32" s="893" t="n">
        <v>23.474</v>
      </c>
      <c r="JR32" s="893" t="n">
        <v>2.826</v>
      </c>
      <c r="JS32" s="893" t="n">
        <v>0</v>
      </c>
      <c r="JT32" s="893" t="n">
        <v>0</v>
      </c>
      <c r="JU32" s="893" t="n">
        <v>0</v>
      </c>
      <c r="JV32" s="893" t="n">
        <v>17.708</v>
      </c>
      <c r="JW32" s="893" t="n">
        <v>47.051</v>
      </c>
      <c r="JX32" s="893" t="n">
        <v>65.893</v>
      </c>
      <c r="JY32" s="893" t="n">
        <v>65.139</v>
      </c>
      <c r="JZ32" s="893" t="n">
        <v>67.29600000000001</v>
      </c>
      <c r="KA32" s="893" t="n">
        <v>167.439</v>
      </c>
      <c r="KB32" s="893" t="n">
        <v>179.042</v>
      </c>
      <c r="KC32" s="893" t="n">
        <v>228.866</v>
      </c>
      <c r="KD32" s="893" t="n">
        <v>224.703</v>
      </c>
      <c r="KE32" s="893" t="n">
        <v>249.452</v>
      </c>
      <c r="KF32" s="893" t="n">
        <v>288.081</v>
      </c>
      <c r="KG32" s="893" t="n">
        <v>308.083</v>
      </c>
      <c r="KH32" s="893" t="n">
        <v>353.213</v>
      </c>
      <c r="KI32" s="893" t="n">
        <v>360.856</v>
      </c>
      <c r="KJ32" s="893" t="n">
        <v>404.058</v>
      </c>
      <c r="KK32" s="893" t="n">
        <v>497.238</v>
      </c>
      <c r="KL32" s="893" t="n">
        <v>483.908</v>
      </c>
      <c r="KM32" s="893" t="n">
        <v>528.193</v>
      </c>
      <c r="KN32" s="893" t="n">
        <v>539.417</v>
      </c>
      <c r="KO32" s="893" t="n">
        <v>536.6609999999999</v>
      </c>
      <c r="KP32" s="893" t="n">
        <v>511.932</v>
      </c>
      <c r="KQ32" s="893" t="n">
        <v>541.785</v>
      </c>
      <c r="KR32" s="893" t="n">
        <v>619.907</v>
      </c>
      <c r="KS32" s="893" t="n">
        <v>563.174</v>
      </c>
      <c r="KT32" s="893" t="n">
        <v>600.854</v>
      </c>
      <c r="KU32" s="893" t="n">
        <v>614.917</v>
      </c>
      <c r="KV32" s="893" t="n">
        <v>631.245</v>
      </c>
      <c r="KW32" s="893" t="n">
        <v>650.033</v>
      </c>
      <c r="KX32" s="893" t="n">
        <v>638.825</v>
      </c>
      <c r="KY32" s="893" t="n">
        <v>671.974</v>
      </c>
      <c r="KZ32" s="893" t="n">
        <v>713.443</v>
      </c>
      <c r="LA32" s="893" t="n">
        <v>722.475</v>
      </c>
      <c r="LB32" s="893" t="n"/>
      <c r="LC32" s="893" t="n"/>
      <c r="LD32" s="893" t="n"/>
      <c r="LE32" s="893" t="n"/>
      <c r="LF32" s="893" t="n"/>
      <c r="LG32" s="893" t="n"/>
      <c r="LH32" s="893" t="n"/>
      <c r="LI32" s="893" t="n"/>
      <c r="LJ32" s="893" t="n"/>
      <c r="LK32" s="893" t="n"/>
      <c r="LL32" s="893" t="n"/>
      <c r="LM32" s="893" t="n"/>
      <c r="LN32" s="893" t="n"/>
      <c r="LO32" s="893" t="n"/>
      <c r="LP32" s="893" t="n"/>
      <c r="LQ32" s="893" t="n"/>
      <c r="LR32" s="893" t="n"/>
      <c r="LS32" s="893" t="n"/>
    </row>
    <row r="33">
      <c r="A33" s="885" t="inlineStr">
        <is>
          <t>m cg %</t>
        </is>
      </c>
      <c r="B33" s="1318" t="n"/>
      <c r="C33" s="1318">
        <f>C30/B30-1</f>
        <v/>
      </c>
      <c r="D33" s="1318">
        <f>D30/C30-1</f>
        <v/>
      </c>
      <c r="E33" s="1318">
        <f>E30/D30-1</f>
        <v/>
      </c>
      <c r="F33" s="1318">
        <f>F30/E30-1</f>
        <v/>
      </c>
      <c r="G33" s="1318">
        <f>G30/F30-1</f>
        <v/>
      </c>
      <c r="H33" s="1318">
        <f>H30/G30-1</f>
        <v/>
      </c>
      <c r="I33" s="1318">
        <f>I30/H30-1</f>
        <v/>
      </c>
      <c r="J33" s="1318">
        <f>J30/I30-1</f>
        <v/>
      </c>
      <c r="K33" s="1318">
        <f>K30/J30-1</f>
        <v/>
      </c>
      <c r="L33" s="1318">
        <f>L30/K30-1</f>
        <v/>
      </c>
      <c r="M33" s="1318">
        <f>M30/L30-1</f>
        <v/>
      </c>
      <c r="N33" s="1318">
        <f>N30/M30-1</f>
        <v/>
      </c>
      <c r="O33" s="1318">
        <f>O30/N30-1</f>
        <v/>
      </c>
      <c r="P33" s="1318">
        <f>P30/O30-1</f>
        <v/>
      </c>
      <c r="Q33" s="1318">
        <f>Q30/P30-1</f>
        <v/>
      </c>
      <c r="R33" s="1318">
        <f>R30/Q30-1</f>
        <v/>
      </c>
      <c r="S33" s="1318">
        <f>S30/R30-1</f>
        <v/>
      </c>
      <c r="T33" s="1318">
        <f>T30/S30-1</f>
        <v/>
      </c>
      <c r="U33" s="1318">
        <f>U30/T30-1</f>
        <v/>
      </c>
      <c r="V33" s="1318">
        <f>V30/U30-1</f>
        <v/>
      </c>
      <c r="W33" s="1318">
        <f>W30/V30-1</f>
        <v/>
      </c>
      <c r="X33" s="1318">
        <f>X30/W30-1</f>
        <v/>
      </c>
      <c r="Y33" s="1318">
        <f>Y30/X30-1</f>
        <v/>
      </c>
      <c r="Z33" s="1318">
        <f>Z30/Y30-1</f>
        <v/>
      </c>
      <c r="AA33" s="1318">
        <f>AA30/Z30-1</f>
        <v/>
      </c>
      <c r="AB33" s="1318">
        <f>AB30/AA30-1</f>
        <v/>
      </c>
      <c r="AC33" s="1318">
        <f>AC30/AB30-1</f>
        <v/>
      </c>
      <c r="AD33" s="1318">
        <f>AD30/AC30-1</f>
        <v/>
      </c>
      <c r="AE33" s="1318">
        <f>AE30/AD30-1</f>
        <v/>
      </c>
      <c r="AF33" s="1318">
        <f>AF30/AE30-1</f>
        <v/>
      </c>
      <c r="AG33" s="1318">
        <f>AG30/AF30-1</f>
        <v/>
      </c>
      <c r="AH33" s="1318">
        <f>AH30/AG30-1</f>
        <v/>
      </c>
      <c r="AI33" s="1318">
        <f>AI30/AH30-1</f>
        <v/>
      </c>
      <c r="AJ33" s="1318">
        <f>AJ30/AI30-1</f>
        <v/>
      </c>
      <c r="AK33" s="1318">
        <f>AK30/AJ30-1</f>
        <v/>
      </c>
      <c r="AL33" s="1318">
        <f>AL30/AK30-1</f>
        <v/>
      </c>
      <c r="AM33" s="1318">
        <f>AM30/AL30-1</f>
        <v/>
      </c>
      <c r="AN33" s="1318">
        <f>AN30/AM30-1</f>
        <v/>
      </c>
      <c r="AO33" s="1318">
        <f>AO30/AN30-1</f>
        <v/>
      </c>
      <c r="AP33" s="1318">
        <f>AP30/AO30-1</f>
        <v/>
      </c>
      <c r="AQ33" s="1318">
        <f>AQ30/AP30-1</f>
        <v/>
      </c>
      <c r="AR33" s="1318">
        <f>AR30/AQ30-1</f>
        <v/>
      </c>
      <c r="AS33" s="1318">
        <f>AS30/AR30-1</f>
        <v/>
      </c>
      <c r="AT33" s="1318">
        <f>AT30/AS30-1</f>
        <v/>
      </c>
      <c r="AU33" s="1318">
        <f>AU30/AT30-1</f>
        <v/>
      </c>
      <c r="AV33" s="1318">
        <f>AV30/AU30-1</f>
        <v/>
      </c>
      <c r="AW33" s="1318">
        <f>AW30/AV30-1</f>
        <v/>
      </c>
      <c r="AX33" s="1318">
        <f>AX30/AW30-1</f>
        <v/>
      </c>
      <c r="AY33" s="1318">
        <f>AY30/AX30-1</f>
        <v/>
      </c>
      <c r="AZ33" s="1318">
        <f>AZ30/AY30-1</f>
        <v/>
      </c>
      <c r="BA33" s="1318">
        <f>BA30/AZ30-1</f>
        <v/>
      </c>
      <c r="BB33" s="1318">
        <f>BB30/BA30-1</f>
        <v/>
      </c>
      <c r="BC33" s="1318">
        <f>BC30/BB30-1</f>
        <v/>
      </c>
      <c r="BD33" s="1318">
        <f>BD30/BC30-1</f>
        <v/>
      </c>
      <c r="BE33" s="1318">
        <f>BE30/BD30-1</f>
        <v/>
      </c>
      <c r="BF33" s="1318">
        <f>BF30/BE30-1</f>
        <v/>
      </c>
      <c r="BG33" s="1318">
        <f>BG30/BF30-1</f>
        <v/>
      </c>
      <c r="BH33" s="1318">
        <f>BH30/BG30-1</f>
        <v/>
      </c>
      <c r="BI33" s="1318">
        <f>BI30/BH30-1</f>
        <v/>
      </c>
      <c r="BJ33" s="1318">
        <f>BJ30/BI30-1</f>
        <v/>
      </c>
      <c r="BK33" s="1318">
        <f>BK30/BJ30-1</f>
        <v/>
      </c>
      <c r="BL33" s="1318">
        <f>BL30/BK30-1</f>
        <v/>
      </c>
      <c r="BM33" s="1318">
        <f>BM30/BL30-1</f>
        <v/>
      </c>
      <c r="BN33" s="1318">
        <f>BN30/BM30-1</f>
        <v/>
      </c>
      <c r="BO33" s="1318">
        <f>BO30/BN30-1</f>
        <v/>
      </c>
      <c r="BP33" s="1318">
        <f>BP30/BO30-1</f>
        <v/>
      </c>
      <c r="BQ33" s="1318">
        <f>BQ30/BP30-1</f>
        <v/>
      </c>
      <c r="BR33" s="1318">
        <f>BR30/BQ30-1</f>
        <v/>
      </c>
      <c r="BS33" s="1318">
        <f>BS30/BR30-1</f>
        <v/>
      </c>
      <c r="BT33" s="1318">
        <f>BT30/BS30-1</f>
        <v/>
      </c>
      <c r="BU33" s="1318">
        <f>BU30/BT30-1</f>
        <v/>
      </c>
      <c r="BV33" s="1318">
        <f>BV30/BU30-1</f>
        <v/>
      </c>
      <c r="BW33" s="1318">
        <f>BW30/BV30-1</f>
        <v/>
      </c>
      <c r="BX33" s="1318">
        <f>BX30/BW30-1</f>
        <v/>
      </c>
      <c r="BY33" s="1318">
        <f>BY30/BX30-1</f>
        <v/>
      </c>
      <c r="BZ33" s="1318">
        <f>BZ30/BY30-1</f>
        <v/>
      </c>
      <c r="CA33" s="1318">
        <f>CA30/BZ30-1</f>
        <v/>
      </c>
      <c r="CB33" s="1318">
        <f>CB30/CA30-1</f>
        <v/>
      </c>
      <c r="CC33" s="1318">
        <f>CC30/CB30-1</f>
        <v/>
      </c>
      <c r="CD33" s="1318">
        <f>CD30/CC30-1</f>
        <v/>
      </c>
      <c r="CE33" s="1318">
        <f>CE30/CD30-1</f>
        <v/>
      </c>
      <c r="CF33" s="1318">
        <f>CF30/CE30-1</f>
        <v/>
      </c>
      <c r="CG33" s="1318">
        <f>CG30/CF30-1</f>
        <v/>
      </c>
      <c r="CH33" s="1318">
        <f>CH30/CG30-1</f>
        <v/>
      </c>
      <c r="CI33" s="1318">
        <f>CI30/CH30-1</f>
        <v/>
      </c>
      <c r="CJ33" s="1318">
        <f>CJ30/CI30-1</f>
        <v/>
      </c>
      <c r="CK33" s="1318">
        <f>CK30/CJ30-1</f>
        <v/>
      </c>
      <c r="CL33" s="1318">
        <f>CL30/CK30-1</f>
        <v/>
      </c>
      <c r="CM33" s="1318">
        <f>CM30/CL30-1</f>
        <v/>
      </c>
      <c r="CN33" s="1318">
        <f>CN30/CM30-1</f>
        <v/>
      </c>
      <c r="CO33" s="1318">
        <f>CO30/CN30-1</f>
        <v/>
      </c>
      <c r="CP33" s="1318">
        <f>CP30/CO30-1</f>
        <v/>
      </c>
      <c r="CQ33" s="1318">
        <f>CQ30/CP30-1</f>
        <v/>
      </c>
      <c r="CR33" s="1318">
        <f>CR30/CQ30-1</f>
        <v/>
      </c>
      <c r="CS33" s="1318">
        <f>CS30/CR30-1</f>
        <v/>
      </c>
      <c r="CT33" s="1318">
        <f>CT30/CS30-1</f>
        <v/>
      </c>
      <c r="CU33" s="1318">
        <f>CU30/CT30-1</f>
        <v/>
      </c>
      <c r="CV33" s="1318">
        <f>CV30/CU30-1</f>
        <v/>
      </c>
      <c r="CW33" s="1318">
        <f>CW30/CV30-1</f>
        <v/>
      </c>
      <c r="CX33" s="1318">
        <f>CX30/CW30-1</f>
        <v/>
      </c>
      <c r="CY33" s="1318">
        <f>CY30/CX30-1</f>
        <v/>
      </c>
      <c r="CZ33" s="1318">
        <f>CZ30/CY30-1</f>
        <v/>
      </c>
      <c r="DA33" s="1318">
        <f>DA30/CZ30-1</f>
        <v/>
      </c>
      <c r="DB33" s="1318">
        <f>DB30/DA30-1</f>
        <v/>
      </c>
      <c r="DC33" s="1318">
        <f>DC30/DB30-1</f>
        <v/>
      </c>
      <c r="DD33" s="1318">
        <f>DD30/DC30-1</f>
        <v/>
      </c>
      <c r="DE33" s="1318">
        <f>DE30/DD30-1</f>
        <v/>
      </c>
      <c r="DF33" s="1318">
        <f>DF30/DE30-1</f>
        <v/>
      </c>
      <c r="DG33" s="1318">
        <f>DG30/DF30-1</f>
        <v/>
      </c>
      <c r="DH33" s="1318">
        <f>DH30/DG30-1</f>
        <v/>
      </c>
      <c r="DI33" s="1318">
        <f>DI30/DH30-1</f>
        <v/>
      </c>
      <c r="DJ33" s="1318">
        <f>DJ30/DI30-1</f>
        <v/>
      </c>
      <c r="DK33" s="1318">
        <f>DK30/DJ30-1</f>
        <v/>
      </c>
      <c r="DL33" s="1318">
        <f>DL30/DK30-1</f>
        <v/>
      </c>
      <c r="DM33" s="1318">
        <f>DM30/DL30-1</f>
        <v/>
      </c>
      <c r="DN33" s="1318">
        <f>DN30/DM30-1</f>
        <v/>
      </c>
      <c r="DO33" s="1318">
        <f>DO30/DN30-1</f>
        <v/>
      </c>
      <c r="DP33" s="1318">
        <f>DP30/DO30-1</f>
        <v/>
      </c>
      <c r="DQ33" s="1318">
        <f>DQ30/DP30-1</f>
        <v/>
      </c>
      <c r="DR33" s="1318">
        <f>DR30/DQ30-1</f>
        <v/>
      </c>
      <c r="DS33" s="1318">
        <f>DS30/DR30-1</f>
        <v/>
      </c>
      <c r="DT33" s="1318">
        <f>DT30/DS30-1</f>
        <v/>
      </c>
      <c r="DU33" s="1318">
        <f>DU30/DT30-1</f>
        <v/>
      </c>
      <c r="DV33" s="1318">
        <f>DV30/DU30-1</f>
        <v/>
      </c>
      <c r="DW33" s="1318">
        <f>DW30/DV30-1</f>
        <v/>
      </c>
      <c r="DX33" s="1318">
        <f>DX30/DW30-1</f>
        <v/>
      </c>
      <c r="DY33" s="1318">
        <f>DY30/DX30-1</f>
        <v/>
      </c>
      <c r="DZ33" s="1318">
        <f>DZ30/DY30-1</f>
        <v/>
      </c>
      <c r="EA33" s="1318">
        <f>EA30/DZ30-1</f>
        <v/>
      </c>
      <c r="EB33" s="1318">
        <f>EB30/EA30-1</f>
        <v/>
      </c>
      <c r="EC33" s="1318">
        <f>EC30/EB30-1</f>
        <v/>
      </c>
      <c r="ED33" s="1318">
        <f>ED30/EC30-1</f>
        <v/>
      </c>
      <c r="EE33" s="1318">
        <f>EE30/ED30-1</f>
        <v/>
      </c>
      <c r="EF33" s="1318">
        <f>EF30/EE30-1</f>
        <v/>
      </c>
      <c r="EG33" s="1318">
        <f>EG30/EF30-1</f>
        <v/>
      </c>
      <c r="EH33" s="1318">
        <f>EH30/EG30-1</f>
        <v/>
      </c>
      <c r="EI33" s="1318">
        <f>EI30/EH30-1</f>
        <v/>
      </c>
      <c r="EJ33" s="1318">
        <f>EJ30/EI30-1</f>
        <v/>
      </c>
      <c r="EK33" s="1318">
        <f>EK30/EJ30-1</f>
        <v/>
      </c>
      <c r="EL33" s="1318">
        <f>EL30/EK30-1</f>
        <v/>
      </c>
      <c r="EM33" s="1318">
        <f>EM30/EL30-1</f>
        <v/>
      </c>
      <c r="EN33" s="1318">
        <f>EN30/EM30-1</f>
        <v/>
      </c>
      <c r="EO33" s="1318">
        <f>EO30/EN30-1</f>
        <v/>
      </c>
      <c r="EP33" s="1318">
        <f>EP30/EO30-1</f>
        <v/>
      </c>
      <c r="EQ33" s="1318">
        <f>EQ30/EP30-1</f>
        <v/>
      </c>
      <c r="ER33" s="1318">
        <f>ER30/EQ30-1</f>
        <v/>
      </c>
      <c r="ES33" s="1318">
        <f>ES30/ER30-1</f>
        <v/>
      </c>
      <c r="ET33" s="1318">
        <f>ET30/ES30-1</f>
        <v/>
      </c>
      <c r="EU33" s="1318">
        <f>EU30/ET30-1</f>
        <v/>
      </c>
      <c r="EV33" s="1318">
        <f>EV30/EU30-1</f>
        <v/>
      </c>
      <c r="EW33" s="1318">
        <f>EW30/EV30-1</f>
        <v/>
      </c>
      <c r="EX33" s="1318">
        <f>EX30/EW30-1</f>
        <v/>
      </c>
      <c r="EY33" s="1318">
        <f>EY30/EX30-1</f>
        <v/>
      </c>
      <c r="EZ33" s="1318">
        <f>EZ30/EY30-1</f>
        <v/>
      </c>
      <c r="FA33" s="1318">
        <f>FA30/EZ30-1</f>
        <v/>
      </c>
      <c r="FB33" s="1318">
        <f>FB30/FA30-1</f>
        <v/>
      </c>
      <c r="FC33" s="1318">
        <f>FC30/FB30-1</f>
        <v/>
      </c>
      <c r="FD33" s="1318">
        <f>FD30/FC30-1</f>
        <v/>
      </c>
      <c r="FE33" s="1318">
        <f>FE30/FD30-1</f>
        <v/>
      </c>
      <c r="FF33" s="1318">
        <f>FF30/FE30-1</f>
        <v/>
      </c>
      <c r="FG33" s="1318">
        <f>FG30/FF30-1</f>
        <v/>
      </c>
      <c r="FH33" s="1318">
        <f>FH30/FG30-1</f>
        <v/>
      </c>
      <c r="FI33" s="1318">
        <f>FI30/FH30-1</f>
        <v/>
      </c>
      <c r="FJ33" s="1318">
        <f>FJ30/FI30-1</f>
        <v/>
      </c>
      <c r="FK33" s="1318">
        <f>FK30/FJ30-1</f>
        <v/>
      </c>
      <c r="FL33" s="1318">
        <f>FL30/FK30-1</f>
        <v/>
      </c>
      <c r="FM33" s="1318">
        <f>FM30/FL30-1</f>
        <v/>
      </c>
      <c r="FN33" s="1318">
        <f>FN30/FM30-1</f>
        <v/>
      </c>
      <c r="FO33" s="1318">
        <f>FO30/FN30-1</f>
        <v/>
      </c>
      <c r="FP33" s="1318">
        <f>FP30/FO30-1</f>
        <v/>
      </c>
      <c r="FQ33" s="1318">
        <f>FQ30/FP30-1</f>
        <v/>
      </c>
      <c r="FR33" s="1318">
        <f>FR30/FQ30-1</f>
        <v/>
      </c>
      <c r="FS33" s="1318">
        <f>FS30/FR30-1</f>
        <v/>
      </c>
      <c r="FT33" s="1318">
        <f>FT30/FS30-1</f>
        <v/>
      </c>
      <c r="FU33" s="1318">
        <f>FU30/FT30-1</f>
        <v/>
      </c>
      <c r="FV33" s="1318">
        <f>FV30/FU30-1</f>
        <v/>
      </c>
      <c r="FW33" s="1318">
        <f>FW30/FV30-1</f>
        <v/>
      </c>
      <c r="FX33" s="1318">
        <f>FX30/FW30-1</f>
        <v/>
      </c>
      <c r="FY33" s="1318">
        <f>FY30/FX30-1</f>
        <v/>
      </c>
      <c r="FZ33" s="1318">
        <f>FZ30/FY30-1</f>
        <v/>
      </c>
      <c r="GA33" s="1318">
        <f>GA30/FZ30-1</f>
        <v/>
      </c>
      <c r="GB33" s="1318">
        <f>GB30/GA30-1</f>
        <v/>
      </c>
      <c r="GC33" s="1318">
        <f>GC30/GB30-1</f>
        <v/>
      </c>
      <c r="GD33" s="1318">
        <f>GD30/GC30-1</f>
        <v/>
      </c>
      <c r="GE33" s="1318">
        <f>GE30/GD30-1</f>
        <v/>
      </c>
      <c r="GF33" s="1318">
        <f>GF30/GE30-1</f>
        <v/>
      </c>
      <c r="GG33" s="1318">
        <f>GG30/GF30-1</f>
        <v/>
      </c>
      <c r="GH33" s="1318">
        <f>GH30/GG30-1</f>
        <v/>
      </c>
      <c r="GI33" s="1318">
        <f>GI30/GH30-1</f>
        <v/>
      </c>
      <c r="GJ33" s="1318">
        <f>GJ30/GI30-1</f>
        <v/>
      </c>
      <c r="GK33" s="1318">
        <f>GK30/GJ30-1</f>
        <v/>
      </c>
      <c r="GL33" s="1318">
        <f>GL30/GK30-1</f>
        <v/>
      </c>
      <c r="GM33" s="1318">
        <f>GM30/GL30-1</f>
        <v/>
      </c>
      <c r="GN33" s="1318">
        <f>GN30/GM30-1</f>
        <v/>
      </c>
      <c r="GO33" s="1318">
        <f>GO30/GN30-1</f>
        <v/>
      </c>
      <c r="GP33" s="1318">
        <f>GP30/GO30-1</f>
        <v/>
      </c>
      <c r="GQ33" s="1318">
        <f>GQ30/GP30-1</f>
        <v/>
      </c>
      <c r="GR33" s="1318">
        <f>GR30/GQ30-1</f>
        <v/>
      </c>
      <c r="GS33" s="1318">
        <f>GS30/GR30-1</f>
        <v/>
      </c>
      <c r="GT33" s="1318">
        <f>GT30/GS30-1</f>
        <v/>
      </c>
      <c r="GU33" s="1318">
        <f>GU30/GT30-1</f>
        <v/>
      </c>
      <c r="GV33" s="1318">
        <f>GV30/GU30-1</f>
        <v/>
      </c>
      <c r="GW33" s="1318">
        <f>GW30/GV30-1</f>
        <v/>
      </c>
      <c r="GX33" s="1318">
        <f>GX30/GW30-1</f>
        <v/>
      </c>
      <c r="GY33" s="1318">
        <f>GY30/GX30-1</f>
        <v/>
      </c>
      <c r="GZ33" s="1318">
        <f>GZ30/GY30-1</f>
        <v/>
      </c>
      <c r="HA33" s="1318">
        <f>HA30/GZ30-1</f>
        <v/>
      </c>
      <c r="HB33" s="1318">
        <f>HB30/HA30-1</f>
        <v/>
      </c>
      <c r="HC33" s="1318">
        <f>HC30/HB30-1</f>
        <v/>
      </c>
      <c r="HD33" s="1318">
        <f>HD30/HC30-1</f>
        <v/>
      </c>
      <c r="HE33" s="1318">
        <f>HE30/HD30-1</f>
        <v/>
      </c>
      <c r="HF33" s="1318">
        <f>HF30/HE30-1</f>
        <v/>
      </c>
      <c r="HG33" s="1318">
        <f>HG30/HF30-1</f>
        <v/>
      </c>
      <c r="HH33" s="1318">
        <f>HH30/HG30-1</f>
        <v/>
      </c>
      <c r="HI33" s="1318">
        <f>HI30/HH30-1</f>
        <v/>
      </c>
      <c r="HJ33" s="1318">
        <f>HJ30/HI30-1</f>
        <v/>
      </c>
      <c r="HK33" s="1318">
        <f>HK30/HJ30-1</f>
        <v/>
      </c>
      <c r="HL33" s="1318">
        <f>HL30/HK30-1</f>
        <v/>
      </c>
      <c r="HM33" s="1318">
        <f>HM30/HL30-1</f>
        <v/>
      </c>
      <c r="HN33" s="1318">
        <f>HN30/HM30-1</f>
        <v/>
      </c>
      <c r="HO33" s="1318">
        <f>HO30/HN30-1</f>
        <v/>
      </c>
      <c r="HP33" s="1318">
        <f>HP30/HO30-1</f>
        <v/>
      </c>
      <c r="HQ33" s="1318">
        <f>HQ30/HP30-1</f>
        <v/>
      </c>
      <c r="HR33" s="1318">
        <f>HR30/HQ30-1</f>
        <v/>
      </c>
      <c r="HS33" s="1318">
        <f>HS30/HR30-1</f>
        <v/>
      </c>
      <c r="HT33" s="1318">
        <f>HT30/HS30-1</f>
        <v/>
      </c>
      <c r="HU33" s="1318">
        <f>HU30/HT30-1</f>
        <v/>
      </c>
      <c r="HV33" s="1318">
        <f>HV30/HU30-1</f>
        <v/>
      </c>
      <c r="HW33" s="1318">
        <f>HW30/HV30-1</f>
        <v/>
      </c>
      <c r="HX33" s="1318">
        <f>HX30/HW30-1</f>
        <v/>
      </c>
      <c r="HY33" s="1318">
        <f>HY30/HX30-1</f>
        <v/>
      </c>
      <c r="HZ33" s="1318">
        <f>HZ30/HY30-1</f>
        <v/>
      </c>
      <c r="IA33" s="1318">
        <f>IA30/HZ30-1</f>
        <v/>
      </c>
      <c r="IB33" s="1318">
        <f>IB30/IA30-1</f>
        <v/>
      </c>
      <c r="IC33" s="1318">
        <f>IC30/IB30-1</f>
        <v/>
      </c>
      <c r="ID33" s="1318">
        <f>ID30/IC30-1</f>
        <v/>
      </c>
      <c r="IE33" s="1318">
        <f>IE30/ID30-1</f>
        <v/>
      </c>
      <c r="IF33" s="1318">
        <f>IF30/IE30-1</f>
        <v/>
      </c>
      <c r="IG33" s="1318">
        <f>IG30/IF30-1</f>
        <v/>
      </c>
      <c r="IH33" s="1318">
        <f>IH30/IG30-1</f>
        <v/>
      </c>
      <c r="II33" s="1318">
        <f>II30/IH30-1</f>
        <v/>
      </c>
      <c r="IJ33" s="1318">
        <f>IJ30/II30-1</f>
        <v/>
      </c>
      <c r="IK33" s="1318">
        <f>IK30/IJ30-1</f>
        <v/>
      </c>
      <c r="IL33" s="1318">
        <f>IL30/IK30-1</f>
        <v/>
      </c>
      <c r="IM33" s="1318">
        <f>IM30/IL30-1</f>
        <v/>
      </c>
      <c r="IN33" s="1318">
        <f>IN30/IM30-1</f>
        <v/>
      </c>
      <c r="IO33" s="1318">
        <f>IO30/IN30-1</f>
        <v/>
      </c>
      <c r="IP33" s="1318">
        <f>IP30/IO30-1</f>
        <v/>
      </c>
      <c r="IQ33" s="1318">
        <f>IQ30/IP30-1</f>
        <v/>
      </c>
      <c r="IR33" s="1318">
        <f>IR30/IQ30-1</f>
        <v/>
      </c>
      <c r="IS33" s="1318">
        <f>IS30/IR30-1</f>
        <v/>
      </c>
      <c r="IT33" s="1318">
        <f>IT30/IS30-1</f>
        <v/>
      </c>
      <c r="IU33" s="1318">
        <f>IU30/IT30-1</f>
        <v/>
      </c>
      <c r="IV33" s="1318">
        <f>IV30/IU30-1</f>
        <v/>
      </c>
      <c r="IW33" s="1318">
        <f>IW30/IV30-1</f>
        <v/>
      </c>
      <c r="IX33" s="1318">
        <f>IX30/IW30-1</f>
        <v/>
      </c>
      <c r="IY33" s="1318">
        <f>IY30/IX30-1</f>
        <v/>
      </c>
      <c r="IZ33" s="1318">
        <f>IZ30/IY30-1</f>
        <v/>
      </c>
      <c r="JA33" s="1318">
        <f>JA30/IZ30-1</f>
        <v/>
      </c>
      <c r="JB33" s="1318">
        <f>JB30/JA30-1</f>
        <v/>
      </c>
      <c r="JC33" s="1318">
        <f>JC30/JB30-1</f>
        <v/>
      </c>
      <c r="JD33" s="1318">
        <f>JD30/JC30-1</f>
        <v/>
      </c>
      <c r="JE33" s="1318">
        <f>JE30/JD30-1</f>
        <v/>
      </c>
      <c r="JF33" s="1318">
        <f>JF30/JE30-1</f>
        <v/>
      </c>
      <c r="JG33" s="1318">
        <f>JG30/JF30-1</f>
        <v/>
      </c>
      <c r="JH33" s="1318">
        <f>JH30/JG30-1</f>
        <v/>
      </c>
      <c r="JI33" s="1318">
        <f>JI30/JH30-1</f>
        <v/>
      </c>
      <c r="JJ33" s="1318">
        <f>JJ30/JI30-1</f>
        <v/>
      </c>
      <c r="JK33" s="1318">
        <f>JK30/JJ30-1</f>
        <v/>
      </c>
      <c r="JL33" s="1318">
        <f>JL30/JK30-1</f>
        <v/>
      </c>
      <c r="JM33" s="1318">
        <f>JM30/JL30-1</f>
        <v/>
      </c>
      <c r="JN33" s="1318">
        <f>JN30/JM30-1</f>
        <v/>
      </c>
      <c r="JO33" s="1318">
        <f>JO30/JN30-1</f>
        <v/>
      </c>
      <c r="JP33" s="1318">
        <f>JP30/JO30-1</f>
        <v/>
      </c>
      <c r="JQ33" s="1318">
        <f>JQ30/JP30-1</f>
        <v/>
      </c>
      <c r="JR33" s="1318">
        <f>JR30/JQ30-1</f>
        <v/>
      </c>
      <c r="JS33" s="1318">
        <f>JS30/JR30-1</f>
        <v/>
      </c>
      <c r="JT33" s="1318">
        <f>JT30/JS30-1</f>
        <v/>
      </c>
      <c r="JU33" s="1318">
        <f>JU30/JT30-1</f>
        <v/>
      </c>
      <c r="JV33" s="1318">
        <f>JV30/JU30-1</f>
        <v/>
      </c>
      <c r="JW33" s="1318">
        <f>JW30/JV30-1</f>
        <v/>
      </c>
      <c r="JX33" s="1318">
        <f>JX30/JW30-1</f>
        <v/>
      </c>
      <c r="JY33" s="1318">
        <f>JY30/JX30-1</f>
        <v/>
      </c>
      <c r="JZ33" s="1318">
        <f>JZ30/JY30-1</f>
        <v/>
      </c>
      <c r="KA33" s="1318">
        <f>KA30/JZ30-1</f>
        <v/>
      </c>
      <c r="KB33" s="1318">
        <f>KB30/KA30-1</f>
        <v/>
      </c>
      <c r="KC33" s="1318">
        <f>KC30/KB30-1</f>
        <v/>
      </c>
      <c r="KD33" s="1318">
        <f>KD30/KC30-1</f>
        <v/>
      </c>
      <c r="KE33" s="1318">
        <f>KE30/KD30-1</f>
        <v/>
      </c>
      <c r="KF33" s="1318">
        <f>KF30/KE30-1</f>
        <v/>
      </c>
      <c r="KG33" s="1318">
        <f>KG30/KF30-1</f>
        <v/>
      </c>
      <c r="KH33" s="1318">
        <f>KH30/KG30-1</f>
        <v/>
      </c>
      <c r="KI33" s="1318">
        <f>KI30/KH30-1</f>
        <v/>
      </c>
      <c r="KJ33" s="1318">
        <f>KJ30/KI30-1</f>
        <v/>
      </c>
      <c r="KK33" s="1318">
        <f>KK30/KJ30-1</f>
        <v/>
      </c>
      <c r="KL33" s="1318">
        <f>KL30/KK30-1</f>
        <v/>
      </c>
      <c r="KM33" s="1318">
        <f>KM30/KL30-1</f>
        <v/>
      </c>
      <c r="KN33" s="1318">
        <f>KN30/KM30-1</f>
        <v/>
      </c>
      <c r="KO33" s="1318">
        <f>KO30/KN30-1</f>
        <v/>
      </c>
      <c r="KP33" s="1318">
        <f>KP30/KO30-1</f>
        <v/>
      </c>
      <c r="KQ33" s="1318">
        <f>KQ30/KP30-1</f>
        <v/>
      </c>
      <c r="KR33" s="1318">
        <f>KR30/KQ30-1</f>
        <v/>
      </c>
      <c r="KS33" s="1318">
        <f>KS30/KR30-1</f>
        <v/>
      </c>
      <c r="KT33" s="1318">
        <f>KT30/KS30-1</f>
        <v/>
      </c>
      <c r="KU33" s="1318">
        <f>KU30/KT30-1</f>
        <v/>
      </c>
      <c r="KV33" s="1318">
        <f>KV30/KU30-1</f>
        <v/>
      </c>
      <c r="KW33" s="1318">
        <f>KW30/KV30-1</f>
        <v/>
      </c>
      <c r="KX33" s="1318">
        <f>KX30/KW30-1</f>
        <v/>
      </c>
      <c r="KY33" s="1318">
        <f>KY30/KX30-1</f>
        <v/>
      </c>
      <c r="KZ33" s="1318">
        <f>KZ30/KY30-1</f>
        <v/>
      </c>
      <c r="LA33" s="1318">
        <f>LA30/KZ30-1</f>
        <v/>
      </c>
      <c r="LB33" s="1318" t="n"/>
      <c r="LC33" s="1318" t="n"/>
      <c r="LD33" s="1318" t="n"/>
      <c r="LE33" s="1318" t="n"/>
      <c r="LF33" s="1318" t="n"/>
      <c r="LG33" s="1318" t="n"/>
      <c r="LH33" s="1318" t="n"/>
      <c r="LI33" s="1318" t="n"/>
      <c r="LJ33" s="1318" t="n"/>
      <c r="LK33" s="1318" t="n"/>
      <c r="LL33" s="1318" t="n"/>
      <c r="LM33" s="1318" t="n"/>
      <c r="LN33" s="1318" t="n"/>
      <c r="LO33" s="1318" t="n"/>
      <c r="LP33" s="1318" t="n"/>
      <c r="LQ33" s="1318" t="n"/>
      <c r="LR33" s="1318" t="n"/>
      <c r="LS33" s="1318" t="n"/>
    </row>
    <row r="34">
      <c r="A34" s="885" t="inlineStr">
        <is>
          <t>YoY cg %</t>
        </is>
      </c>
      <c r="B34" s="1318" t="n"/>
      <c r="C34" s="1318" t="n"/>
      <c r="D34" s="1318" t="n"/>
      <c r="E34" s="1318" t="n"/>
      <c r="F34" s="1318" t="n"/>
      <c r="G34" s="1318" t="n"/>
      <c r="H34" s="1318" t="n"/>
      <c r="I34" s="1318" t="n"/>
      <c r="J34" s="1318" t="n"/>
      <c r="K34" s="1318" t="n"/>
      <c r="L34" s="1318" t="n"/>
      <c r="M34" s="1318" t="n"/>
      <c r="N34" s="1318">
        <f>N30/B30-1</f>
        <v/>
      </c>
      <c r="O34" s="1318">
        <f>O30/C30-1</f>
        <v/>
      </c>
      <c r="P34" s="1318">
        <f>P30/D30-1</f>
        <v/>
      </c>
      <c r="Q34" s="1318">
        <f>Q30/E30-1</f>
        <v/>
      </c>
      <c r="R34" s="1318">
        <f>R30/F30-1</f>
        <v/>
      </c>
      <c r="S34" s="1318">
        <f>S30/G30-1</f>
        <v/>
      </c>
      <c r="T34" s="1318">
        <f>T30/H30-1</f>
        <v/>
      </c>
      <c r="U34" s="1318">
        <f>U30/I30-1</f>
        <v/>
      </c>
      <c r="V34" s="1318">
        <f>V30/J30-1</f>
        <v/>
      </c>
      <c r="W34" s="1318">
        <f>W30/K30-1</f>
        <v/>
      </c>
      <c r="X34" s="1318">
        <f>X30/L30-1</f>
        <v/>
      </c>
      <c r="Y34" s="1318">
        <f>Y30/M30-1</f>
        <v/>
      </c>
      <c r="Z34" s="1318">
        <f>Z30/N30-1</f>
        <v/>
      </c>
      <c r="AA34" s="1318">
        <f>AA30/O30-1</f>
        <v/>
      </c>
      <c r="AB34" s="1318">
        <f>AB30/P30-1</f>
        <v/>
      </c>
      <c r="AC34" s="1318">
        <f>AC30/Q30-1</f>
        <v/>
      </c>
      <c r="AD34" s="1318">
        <f>AD30/R30-1</f>
        <v/>
      </c>
      <c r="AE34" s="1318">
        <f>AE30/S30-1</f>
        <v/>
      </c>
      <c r="AF34" s="1318">
        <f>AF30/T30-1</f>
        <v/>
      </c>
      <c r="AG34" s="1318">
        <f>AG30/U30-1</f>
        <v/>
      </c>
      <c r="AH34" s="1318">
        <f>AH30/V30-1</f>
        <v/>
      </c>
      <c r="AI34" s="1318">
        <f>AI30/W30-1</f>
        <v/>
      </c>
      <c r="AJ34" s="1318">
        <f>AJ30/X30-1</f>
        <v/>
      </c>
      <c r="AK34" s="1318">
        <f>AK30/Y30-1</f>
        <v/>
      </c>
      <c r="AL34" s="1318">
        <f>AL30/Z30-1</f>
        <v/>
      </c>
      <c r="AM34" s="1318">
        <f>AM30/AA30-1</f>
        <v/>
      </c>
      <c r="AN34" s="1318">
        <f>AN30/AB30-1</f>
        <v/>
      </c>
      <c r="AO34" s="1318">
        <f>AO30/AC30-1</f>
        <v/>
      </c>
      <c r="AP34" s="1318">
        <f>AP30/AD30-1</f>
        <v/>
      </c>
      <c r="AQ34" s="1318">
        <f>AQ30/AE30-1</f>
        <v/>
      </c>
      <c r="AR34" s="1318">
        <f>AR30/AF30-1</f>
        <v/>
      </c>
      <c r="AS34" s="1318">
        <f>AS30/AG30-1</f>
        <v/>
      </c>
      <c r="AT34" s="1318">
        <f>AT30/AH30-1</f>
        <v/>
      </c>
      <c r="AU34" s="1318">
        <f>AU30/AI30-1</f>
        <v/>
      </c>
      <c r="AV34" s="1318">
        <f>AV30/AJ30-1</f>
        <v/>
      </c>
      <c r="AW34" s="1318">
        <f>AW30/AK30-1</f>
        <v/>
      </c>
      <c r="AX34" s="1318">
        <f>AX30/AL30-1</f>
        <v/>
      </c>
      <c r="AY34" s="1318">
        <f>AY30/AM30-1</f>
        <v/>
      </c>
      <c r="AZ34" s="1318">
        <f>AZ30/AN30-1</f>
        <v/>
      </c>
      <c r="BA34" s="1318">
        <f>BA30/AO30-1</f>
        <v/>
      </c>
      <c r="BB34" s="1318">
        <f>BB30/AP30-1</f>
        <v/>
      </c>
      <c r="BC34" s="1318">
        <f>BC30/AQ30-1</f>
        <v/>
      </c>
      <c r="BD34" s="1318">
        <f>BD30/AR30-1</f>
        <v/>
      </c>
      <c r="BE34" s="1318">
        <f>BE30/AS30-1</f>
        <v/>
      </c>
      <c r="BF34" s="1318">
        <f>BF30/AT30-1</f>
        <v/>
      </c>
      <c r="BG34" s="1318">
        <f>BG30/AU30-1</f>
        <v/>
      </c>
      <c r="BH34" s="1318">
        <f>BH30/AV30-1</f>
        <v/>
      </c>
      <c r="BI34" s="1318">
        <f>BI30/AW30-1</f>
        <v/>
      </c>
      <c r="BJ34" s="1318">
        <f>BJ30/AX30-1</f>
        <v/>
      </c>
      <c r="BK34" s="1318">
        <f>BK30/AY30-1</f>
        <v/>
      </c>
      <c r="BL34" s="1318">
        <f>BL30/AZ30-1</f>
        <v/>
      </c>
      <c r="BM34" s="1318">
        <f>BM30/BA30-1</f>
        <v/>
      </c>
      <c r="BN34" s="1318">
        <f>BN30/BB30-1</f>
        <v/>
      </c>
      <c r="BO34" s="1318">
        <f>BO30/BC30-1</f>
        <v/>
      </c>
      <c r="BP34" s="1318">
        <f>BP30/BD30-1</f>
        <v/>
      </c>
      <c r="BQ34" s="1318">
        <f>BQ30/BE30-1</f>
        <v/>
      </c>
      <c r="BR34" s="1318">
        <f>BR30/BF30-1</f>
        <v/>
      </c>
      <c r="BS34" s="1318">
        <f>BS30/BG30-1</f>
        <v/>
      </c>
      <c r="BT34" s="1318">
        <f>BT30/BH30-1</f>
        <v/>
      </c>
      <c r="BU34" s="1318">
        <f>BU30/BI30-1</f>
        <v/>
      </c>
      <c r="BV34" s="1318">
        <f>BV30/BJ30-1</f>
        <v/>
      </c>
      <c r="BW34" s="1318">
        <f>BW30/BK30-1</f>
        <v/>
      </c>
      <c r="BX34" s="1318">
        <f>BX30/BL30-1</f>
        <v/>
      </c>
      <c r="BY34" s="1318">
        <f>BY30/BM30-1</f>
        <v/>
      </c>
      <c r="BZ34" s="1318">
        <f>BZ30/BN30-1</f>
        <v/>
      </c>
      <c r="CA34" s="1318">
        <f>CA30/BO30-1</f>
        <v/>
      </c>
      <c r="CB34" s="1318">
        <f>CB30/BP30-1</f>
        <v/>
      </c>
      <c r="CC34" s="1318">
        <f>CC30/BQ30-1</f>
        <v/>
      </c>
      <c r="CD34" s="1318">
        <f>CD30/BR30-1</f>
        <v/>
      </c>
      <c r="CE34" s="1318">
        <f>CE30/BS30-1</f>
        <v/>
      </c>
      <c r="CF34" s="1318">
        <f>CF30/BT30-1</f>
        <v/>
      </c>
      <c r="CG34" s="1318">
        <f>CG30/BU30-1</f>
        <v/>
      </c>
      <c r="CH34" s="1318">
        <f>CH30/BV30-1</f>
        <v/>
      </c>
      <c r="CI34" s="1318">
        <f>CI30/BW30-1</f>
        <v/>
      </c>
      <c r="CJ34" s="1318">
        <f>CJ30/BX30-1</f>
        <v/>
      </c>
      <c r="CK34" s="1318">
        <f>CK30/BY30-1</f>
        <v/>
      </c>
      <c r="CL34" s="1318">
        <f>CL30/BZ30-1</f>
        <v/>
      </c>
      <c r="CM34" s="1318">
        <f>CM30/CA30-1</f>
        <v/>
      </c>
      <c r="CN34" s="1318">
        <f>CN30/CB30-1</f>
        <v/>
      </c>
      <c r="CO34" s="1318">
        <f>CO30/CC30-1</f>
        <v/>
      </c>
      <c r="CP34" s="1318">
        <f>CP30/CD30-1</f>
        <v/>
      </c>
      <c r="CQ34" s="1318">
        <f>CQ30/CE30-1</f>
        <v/>
      </c>
      <c r="CR34" s="1318">
        <f>CR30/CF30-1</f>
        <v/>
      </c>
      <c r="CS34" s="1318">
        <f>CS30/CG30-1</f>
        <v/>
      </c>
      <c r="CT34" s="1318">
        <f>CT30/CH30-1</f>
        <v/>
      </c>
      <c r="CU34" s="1318">
        <f>CU30/CI30-1</f>
        <v/>
      </c>
      <c r="CV34" s="1318">
        <f>CV30/CJ30-1</f>
        <v/>
      </c>
      <c r="CW34" s="1318">
        <f>CW30/CK30-1</f>
        <v/>
      </c>
      <c r="CX34" s="1318">
        <f>CX30/CL30-1</f>
        <v/>
      </c>
      <c r="CY34" s="1318">
        <f>CY30/CM30-1</f>
        <v/>
      </c>
      <c r="CZ34" s="1318">
        <f>CZ30/CN30-1</f>
        <v/>
      </c>
      <c r="DA34" s="1318">
        <f>DA30/CO30-1</f>
        <v/>
      </c>
      <c r="DB34" s="1318">
        <f>DB30/CP30-1</f>
        <v/>
      </c>
      <c r="DC34" s="1318">
        <f>DC30/CQ30-1</f>
        <v/>
      </c>
      <c r="DD34" s="1318">
        <f>DD30/CR30-1</f>
        <v/>
      </c>
      <c r="DE34" s="1318">
        <f>DE30/CS30-1</f>
        <v/>
      </c>
      <c r="DF34" s="1318">
        <f>DF30/CT30-1</f>
        <v/>
      </c>
      <c r="DG34" s="1318">
        <f>DG30/CU30-1</f>
        <v/>
      </c>
      <c r="DH34" s="1318">
        <f>DH30/CV30-1</f>
        <v/>
      </c>
      <c r="DI34" s="1318">
        <f>DI30/CW30-1</f>
        <v/>
      </c>
      <c r="DJ34" s="1318">
        <f>DJ30/CX30-1</f>
        <v/>
      </c>
      <c r="DK34" s="1318">
        <f>DK30/CY30-1</f>
        <v/>
      </c>
      <c r="DL34" s="1318">
        <f>DL30/CZ30-1</f>
        <v/>
      </c>
      <c r="DM34" s="1318">
        <f>DM30/DA30-1</f>
        <v/>
      </c>
      <c r="DN34" s="1318">
        <f>DN30/DB30-1</f>
        <v/>
      </c>
      <c r="DO34" s="1318">
        <f>DO30/DC30-1</f>
        <v/>
      </c>
      <c r="DP34" s="1318">
        <f>DP30/DD30-1</f>
        <v/>
      </c>
      <c r="DQ34" s="1318">
        <f>DQ30/DE30-1</f>
        <v/>
      </c>
      <c r="DR34" s="1318">
        <f>DR30/DF30-1</f>
        <v/>
      </c>
      <c r="DS34" s="1318">
        <f>DS30/DG30-1</f>
        <v/>
      </c>
      <c r="DT34" s="1318">
        <f>DT30/DH30-1</f>
        <v/>
      </c>
      <c r="DU34" s="1318">
        <f>DU30/DI30-1</f>
        <v/>
      </c>
      <c r="DV34" s="1318">
        <f>DV30/DJ30-1</f>
        <v/>
      </c>
      <c r="DW34" s="1318">
        <f>DW30/DK30-1</f>
        <v/>
      </c>
      <c r="DX34" s="1318">
        <f>DX30/DL30-1</f>
        <v/>
      </c>
      <c r="DY34" s="1318">
        <f>DY30/DM30-1</f>
        <v/>
      </c>
      <c r="DZ34" s="1318">
        <f>DZ30/DN30-1</f>
        <v/>
      </c>
      <c r="EA34" s="1318">
        <f>EA30/DO30-1</f>
        <v/>
      </c>
      <c r="EB34" s="1318">
        <f>EB30/DP30-1</f>
        <v/>
      </c>
      <c r="EC34" s="1318">
        <f>EC30/DQ30-1</f>
        <v/>
      </c>
      <c r="ED34" s="1318">
        <f>ED30/DR30-1</f>
        <v/>
      </c>
      <c r="EE34" s="1318">
        <f>EE30/DS30-1</f>
        <v/>
      </c>
      <c r="EF34" s="1318">
        <f>EF30/DT30-1</f>
        <v/>
      </c>
      <c r="EG34" s="1318">
        <f>EG30/DU30-1</f>
        <v/>
      </c>
      <c r="EH34" s="1318">
        <f>EH30/DV30-1</f>
        <v/>
      </c>
      <c r="EI34" s="1318">
        <f>EI30/DW30-1</f>
        <v/>
      </c>
      <c r="EJ34" s="1318">
        <f>EJ30/DX30-1</f>
        <v/>
      </c>
      <c r="EK34" s="1318">
        <f>EK30/DY30-1</f>
        <v/>
      </c>
      <c r="EL34" s="1318">
        <f>EL30/DZ30-1</f>
        <v/>
      </c>
      <c r="EM34" s="1318">
        <f>EM30/EA30-1</f>
        <v/>
      </c>
      <c r="EN34" s="1318">
        <f>EN30/EB30-1</f>
        <v/>
      </c>
      <c r="EO34" s="1318">
        <f>EO30/EC30-1</f>
        <v/>
      </c>
      <c r="EP34" s="1318">
        <f>EP30/ED30-1</f>
        <v/>
      </c>
      <c r="EQ34" s="1318">
        <f>EQ30/EE30-1</f>
        <v/>
      </c>
      <c r="ER34" s="1318">
        <f>ER30/EF30-1</f>
        <v/>
      </c>
      <c r="ES34" s="1318">
        <f>ES30/EG30-1</f>
        <v/>
      </c>
      <c r="ET34" s="1318">
        <f>ET30/EH30-1</f>
        <v/>
      </c>
      <c r="EU34" s="1318">
        <f>EU30/EI30-1</f>
        <v/>
      </c>
      <c r="EV34" s="1318">
        <f>EV30/EJ30-1</f>
        <v/>
      </c>
      <c r="EW34" s="1318">
        <f>EW30/EK30-1</f>
        <v/>
      </c>
      <c r="EX34" s="1318">
        <f>EX30/EL30-1</f>
        <v/>
      </c>
      <c r="EY34" s="1318">
        <f>EY30/EM30-1</f>
        <v/>
      </c>
      <c r="EZ34" s="1318">
        <f>EZ30/EN30-1</f>
        <v/>
      </c>
      <c r="FA34" s="1318">
        <f>FA30/EO30-1</f>
        <v/>
      </c>
      <c r="FB34" s="1318">
        <f>FB30/EP30-1</f>
        <v/>
      </c>
      <c r="FC34" s="1318">
        <f>FC30/EQ30-1</f>
        <v/>
      </c>
      <c r="FD34" s="1318">
        <f>FD30/ER30-1</f>
        <v/>
      </c>
      <c r="FE34" s="1318">
        <f>FE30/ES30-1</f>
        <v/>
      </c>
      <c r="FF34" s="1318">
        <f>FF30/ET30-1</f>
        <v/>
      </c>
      <c r="FG34" s="1318">
        <f>FG30/EU30-1</f>
        <v/>
      </c>
      <c r="FH34" s="1318">
        <f>FH30/EV30-1</f>
        <v/>
      </c>
      <c r="FI34" s="1318">
        <f>FI30/EW30-1</f>
        <v/>
      </c>
      <c r="FJ34" s="1318">
        <f>FJ30/EX30-1</f>
        <v/>
      </c>
      <c r="FK34" s="1318">
        <f>FK30/EY30-1</f>
        <v/>
      </c>
      <c r="FL34" s="1318">
        <f>FL30/EZ30-1</f>
        <v/>
      </c>
      <c r="FM34" s="1318">
        <f>FM30/FA30-1</f>
        <v/>
      </c>
      <c r="FN34" s="1318">
        <f>FN30/FB30-1</f>
        <v/>
      </c>
      <c r="FO34" s="1318">
        <f>FO30/FC30-1</f>
        <v/>
      </c>
      <c r="FP34" s="1318">
        <f>FP30/FD30-1</f>
        <v/>
      </c>
      <c r="FQ34" s="1318">
        <f>FQ30/FE30-1</f>
        <v/>
      </c>
      <c r="FR34" s="1318">
        <f>FR30/FF30-1</f>
        <v/>
      </c>
      <c r="FS34" s="1318">
        <f>FS30/FG30-1</f>
        <v/>
      </c>
      <c r="FT34" s="1318">
        <f>FT30/FH30-1</f>
        <v/>
      </c>
      <c r="FU34" s="1318">
        <f>FU30/FI30-1</f>
        <v/>
      </c>
      <c r="FV34" s="1318">
        <f>FV30/FJ30-1</f>
        <v/>
      </c>
      <c r="FW34" s="1318">
        <f>FW30/FK30-1</f>
        <v/>
      </c>
      <c r="FX34" s="1318">
        <f>FX30/FL30-1</f>
        <v/>
      </c>
      <c r="FY34" s="1318">
        <f>FY30/FM30-1</f>
        <v/>
      </c>
      <c r="FZ34" s="1318">
        <f>FZ30/FN30-1</f>
        <v/>
      </c>
      <c r="GA34" s="1318">
        <f>GA30/FO30-1</f>
        <v/>
      </c>
      <c r="GB34" s="1318">
        <f>GB30/FP30-1</f>
        <v/>
      </c>
      <c r="GC34" s="1318">
        <f>GC30/FQ30-1</f>
        <v/>
      </c>
      <c r="GD34" s="1318">
        <f>GD30/FR30-1</f>
        <v/>
      </c>
      <c r="GE34" s="1318">
        <f>GE30/FS30-1</f>
        <v/>
      </c>
      <c r="GF34" s="1318">
        <f>GF30/FT30-1</f>
        <v/>
      </c>
      <c r="GG34" s="1318">
        <f>GG30/FU30-1</f>
        <v/>
      </c>
      <c r="GH34" s="1318">
        <f>GH30/FV30-1</f>
        <v/>
      </c>
      <c r="GI34" s="1318">
        <f>GI30/FW30-1</f>
        <v/>
      </c>
      <c r="GJ34" s="1318">
        <f>GJ30/FX30-1</f>
        <v/>
      </c>
      <c r="GK34" s="1318">
        <f>GK30/FY30-1</f>
        <v/>
      </c>
      <c r="GL34" s="1318">
        <f>GL30/FZ30-1</f>
        <v/>
      </c>
      <c r="GM34" s="1318">
        <f>GM30/GA30-1</f>
        <v/>
      </c>
      <c r="GN34" s="1318">
        <f>GN30/GB30-1</f>
        <v/>
      </c>
      <c r="GO34" s="1318">
        <f>GO30/GC30-1</f>
        <v/>
      </c>
      <c r="GP34" s="1318">
        <f>GP30/GD30-1</f>
        <v/>
      </c>
      <c r="GQ34" s="1318">
        <f>GQ30/GE30-1</f>
        <v/>
      </c>
      <c r="GR34" s="1318">
        <f>GR30/GF30-1</f>
        <v/>
      </c>
      <c r="GS34" s="1318">
        <f>GS30/GG30-1</f>
        <v/>
      </c>
      <c r="GT34" s="1318">
        <f>GT30/GH30-1</f>
        <v/>
      </c>
      <c r="GU34" s="1318">
        <f>GU30/GI30-1</f>
        <v/>
      </c>
      <c r="GV34" s="1318">
        <f>GV30/GJ30-1</f>
        <v/>
      </c>
      <c r="GW34" s="1318">
        <f>GW30/GK30-1</f>
        <v/>
      </c>
      <c r="GX34" s="1318">
        <f>GX30/GL30-1</f>
        <v/>
      </c>
      <c r="GY34" s="1318">
        <f>GY30/GM30-1</f>
        <v/>
      </c>
      <c r="GZ34" s="1318">
        <f>GZ30/GN30-1</f>
        <v/>
      </c>
      <c r="HA34" s="1318">
        <f>HA30/GO30-1</f>
        <v/>
      </c>
      <c r="HB34" s="1318">
        <f>HB30/GP30-1</f>
        <v/>
      </c>
      <c r="HC34" s="1318">
        <f>HC30/GQ30-1</f>
        <v/>
      </c>
      <c r="HD34" s="1318">
        <f>HD30/GR30-1</f>
        <v/>
      </c>
      <c r="HE34" s="1318">
        <f>HE30/GS30-1</f>
        <v/>
      </c>
      <c r="HF34" s="1318">
        <f>HF30/GT30-1</f>
        <v/>
      </c>
      <c r="HG34" s="1318">
        <f>HG30/GU30-1</f>
        <v/>
      </c>
      <c r="HH34" s="1318">
        <f>HH30/GV30-1</f>
        <v/>
      </c>
      <c r="HI34" s="1318">
        <f>HI30/GW30-1</f>
        <v/>
      </c>
      <c r="HJ34" s="1318">
        <f>HJ30/GX30-1</f>
        <v/>
      </c>
      <c r="HK34" s="1318">
        <f>HK30/GY30-1</f>
        <v/>
      </c>
      <c r="HL34" s="1318">
        <f>HL30/GZ30-1</f>
        <v/>
      </c>
      <c r="HM34" s="1318">
        <f>HM30/HA30-1</f>
        <v/>
      </c>
      <c r="HN34" s="1318">
        <f>HN30/HB30-1</f>
        <v/>
      </c>
      <c r="HO34" s="1318">
        <f>HO30/HC30-1</f>
        <v/>
      </c>
      <c r="HP34" s="1318">
        <f>HP30/HD30-1</f>
        <v/>
      </c>
      <c r="HQ34" s="1318">
        <f>HQ30/HE30-1</f>
        <v/>
      </c>
      <c r="HR34" s="1318">
        <f>HR30/HF30-1</f>
        <v/>
      </c>
      <c r="HS34" s="1318">
        <f>HS30/HG30-1</f>
        <v/>
      </c>
      <c r="HT34" s="1318">
        <f>HT30/HH30-1</f>
        <v/>
      </c>
      <c r="HU34" s="1318">
        <f>HU30/HI30-1</f>
        <v/>
      </c>
      <c r="HV34" s="1318">
        <f>HV30/HJ30-1</f>
        <v/>
      </c>
      <c r="HW34" s="1318">
        <f>HW30/HK30-1</f>
        <v/>
      </c>
      <c r="HX34" s="1318">
        <f>HX30/HL30-1</f>
        <v/>
      </c>
      <c r="HY34" s="1318">
        <f>HY30/HM30-1</f>
        <v/>
      </c>
      <c r="HZ34" s="1318">
        <f>HZ30/HN30-1</f>
        <v/>
      </c>
      <c r="IA34" s="1318">
        <f>IA30/HO30-1</f>
        <v/>
      </c>
      <c r="IB34" s="1318">
        <f>IB30/HP30-1</f>
        <v/>
      </c>
      <c r="IC34" s="1318">
        <f>IC30/HQ30-1</f>
        <v/>
      </c>
      <c r="ID34" s="1318">
        <f>ID30/HR30-1</f>
        <v/>
      </c>
      <c r="IE34" s="1318">
        <f>IE30/HS30-1</f>
        <v/>
      </c>
      <c r="IF34" s="1318">
        <f>IF30/HT30-1</f>
        <v/>
      </c>
      <c r="IG34" s="1318">
        <f>IG30/HU30-1</f>
        <v/>
      </c>
      <c r="IH34" s="1318">
        <f>IH30/HV30-1</f>
        <v/>
      </c>
      <c r="II34" s="1318">
        <f>II30/HW30-1</f>
        <v/>
      </c>
      <c r="IJ34" s="1318">
        <f>IJ30/HX30-1</f>
        <v/>
      </c>
      <c r="IK34" s="1318">
        <f>IK30/HY30-1</f>
        <v/>
      </c>
      <c r="IL34" s="1318">
        <f>IL30/HZ30-1</f>
        <v/>
      </c>
      <c r="IM34" s="1318">
        <f>IM30/IA30-1</f>
        <v/>
      </c>
      <c r="IN34" s="1318">
        <f>IN30/IB30-1</f>
        <v/>
      </c>
      <c r="IO34" s="1318">
        <f>IO30/IC30-1</f>
        <v/>
      </c>
      <c r="IP34" s="1318">
        <f>IP30/ID30-1</f>
        <v/>
      </c>
      <c r="IQ34" s="1318">
        <f>IQ30/IE30-1</f>
        <v/>
      </c>
      <c r="IR34" s="1318">
        <f>IR30/IF30-1</f>
        <v/>
      </c>
      <c r="IS34" s="1318">
        <f>IS30/IG30-1</f>
        <v/>
      </c>
      <c r="IT34" s="1318">
        <f>IT30/IH30-1</f>
        <v/>
      </c>
      <c r="IU34" s="1318">
        <f>IU30/II30-1</f>
        <v/>
      </c>
      <c r="IV34" s="1318">
        <f>IV30/IJ30-1</f>
        <v/>
      </c>
      <c r="IW34" s="1318">
        <f>IW30/IK30-1</f>
        <v/>
      </c>
      <c r="IX34" s="1318">
        <f>IX30/IL30-1</f>
        <v/>
      </c>
      <c r="IY34" s="1318">
        <f>IY30/IM30-1</f>
        <v/>
      </c>
      <c r="IZ34" s="1318">
        <f>IZ30/IN30-1</f>
        <v/>
      </c>
      <c r="JA34" s="1318">
        <f>JA30/IO30-1</f>
        <v/>
      </c>
      <c r="JB34" s="1318">
        <f>JB30/IP30-1</f>
        <v/>
      </c>
      <c r="JC34" s="1318">
        <f>JC30/IQ30-1</f>
        <v/>
      </c>
      <c r="JD34" s="1318">
        <f>JD30/IR30-1</f>
        <v/>
      </c>
      <c r="JE34" s="1318">
        <f>JE30/IS30-1</f>
        <v/>
      </c>
      <c r="JF34" s="1318">
        <f>JF30/IT30-1</f>
        <v/>
      </c>
      <c r="JG34" s="1318">
        <f>JG30/IU30-1</f>
        <v/>
      </c>
      <c r="JH34" s="1318">
        <f>JH30/IV30-1</f>
        <v/>
      </c>
      <c r="JI34" s="1318">
        <f>JI30/IW30-1</f>
        <v/>
      </c>
      <c r="JJ34" s="1318">
        <f>JJ30/IX30-1</f>
        <v/>
      </c>
      <c r="JK34" s="1318">
        <f>JK30/IY30-1</f>
        <v/>
      </c>
      <c r="JL34" s="1318">
        <f>JL30/IZ30-1</f>
        <v/>
      </c>
      <c r="JM34" s="1318">
        <f>JM30/JA30-1</f>
        <v/>
      </c>
      <c r="JN34" s="1318">
        <f>JN30/JB30-1</f>
        <v/>
      </c>
      <c r="JO34" s="1318">
        <f>JO30/JC30-1</f>
        <v/>
      </c>
      <c r="JP34" s="1318">
        <f>JP30/JD30-1</f>
        <v/>
      </c>
      <c r="JQ34" s="1318">
        <f>JQ30/JE30-1</f>
        <v/>
      </c>
      <c r="JR34" s="1318">
        <f>JR30/JF30-1</f>
        <v/>
      </c>
      <c r="JS34" s="1318">
        <f>JS30/JG30-1</f>
        <v/>
      </c>
      <c r="JT34" s="1318">
        <f>JT30/JH30-1</f>
        <v/>
      </c>
      <c r="JU34" s="1318">
        <f>JU30/JI30-1</f>
        <v/>
      </c>
      <c r="JV34" s="1318">
        <f>JV30/JJ30-1</f>
        <v/>
      </c>
      <c r="JW34" s="1318">
        <f>JW30/JK30-1</f>
        <v/>
      </c>
      <c r="JX34" s="1318">
        <f>JX30/JL30-1</f>
        <v/>
      </c>
      <c r="JY34" s="1318">
        <f>JY30/JM30-1</f>
        <v/>
      </c>
      <c r="JZ34" s="1318">
        <f>JZ30/JN30-1</f>
        <v/>
      </c>
      <c r="KA34" s="1318">
        <f>KA30/JO30-1</f>
        <v/>
      </c>
      <c r="KB34" s="1318">
        <f>KB30/JP30-1</f>
        <v/>
      </c>
      <c r="KC34" s="1318">
        <f>KC30/JQ30-1</f>
        <v/>
      </c>
      <c r="KD34" s="1318">
        <f>KD30/JR30-1</f>
        <v/>
      </c>
      <c r="KE34" s="1318">
        <f>KE30/JS30-1</f>
        <v/>
      </c>
      <c r="KF34" s="1318">
        <f>KF30/JT30-1</f>
        <v/>
      </c>
      <c r="KG34" s="1318">
        <f>KG30/JU30-1</f>
        <v/>
      </c>
      <c r="KH34" s="1318">
        <f>KH30/JV30-1</f>
        <v/>
      </c>
      <c r="KI34" s="1318">
        <f>KI30/JW30-1</f>
        <v/>
      </c>
      <c r="KJ34" s="1318">
        <f>KJ30/JX30-1</f>
        <v/>
      </c>
      <c r="KK34" s="1318">
        <f>KK30/JY30-1</f>
        <v/>
      </c>
      <c r="KL34" s="1318">
        <f>KL30/JZ30-1</f>
        <v/>
      </c>
      <c r="KM34" s="1318">
        <f>KM30/KA30-1</f>
        <v/>
      </c>
      <c r="KN34" s="1318">
        <f>KN30/KB30-1</f>
        <v/>
      </c>
      <c r="KO34" s="1318">
        <f>KO30/KC30-1</f>
        <v/>
      </c>
      <c r="KP34" s="1318">
        <f>KP30/KD30-1</f>
        <v/>
      </c>
      <c r="KQ34" s="1318">
        <f>KQ30/KE30-1</f>
        <v/>
      </c>
      <c r="KR34" s="1318">
        <f>KR30/KF30-1</f>
        <v/>
      </c>
      <c r="KS34" s="1318">
        <f>KS30/KG30-1</f>
        <v/>
      </c>
      <c r="KT34" s="1318">
        <f>KT30/KH30-1</f>
        <v/>
      </c>
      <c r="KU34" s="1318">
        <f>KU30/KI30-1</f>
        <v/>
      </c>
      <c r="KV34" s="1318">
        <f>KV30/KJ30-1</f>
        <v/>
      </c>
      <c r="KW34" s="1318">
        <f>KW30/KK30-1</f>
        <v/>
      </c>
      <c r="KX34" s="1318">
        <f>KX30/KL30-1</f>
        <v/>
      </c>
      <c r="KY34" s="1318">
        <f>KY30/KM30-1</f>
        <v/>
      </c>
      <c r="KZ34" s="1318">
        <f>KZ30/KN30-1</f>
        <v/>
      </c>
      <c r="LA34" s="1318">
        <f>LA30/KO30-1</f>
        <v/>
      </c>
      <c r="LB34" s="1318" t="n"/>
      <c r="LC34" s="1318" t="n"/>
      <c r="LD34" s="1318" t="n"/>
      <c r="LE34" s="1318" t="n"/>
      <c r="LF34" s="1318" t="n"/>
      <c r="LG34" s="1318" t="n"/>
      <c r="LH34" s="1318" t="n"/>
      <c r="LI34" s="1318" t="n"/>
      <c r="LJ34" s="1318" t="n"/>
      <c r="LK34" s="1318" t="n"/>
      <c r="LL34" s="1318" t="n"/>
      <c r="LM34" s="1318" t="n"/>
      <c r="LN34" s="1318" t="n"/>
      <c r="LO34" s="1318" t="n"/>
      <c r="LP34" s="1318" t="n"/>
      <c r="LQ34" s="1318" t="n"/>
      <c r="LR34" s="1318" t="n"/>
      <c r="LS34" s="1318" t="n"/>
    </row>
    <row r="35">
      <c r="A35" s="885" t="inlineStr">
        <is>
          <t>YTD cg %</t>
        </is>
      </c>
      <c r="B35" s="1318" t="n"/>
      <c r="C35" s="1318" t="n"/>
      <c r="D35" s="1318" t="n"/>
      <c r="E35" s="1318" t="n"/>
      <c r="F35" s="1318" t="n"/>
      <c r="G35" s="1318" t="n"/>
      <c r="H35" s="1318" t="n"/>
      <c r="I35" s="1318" t="n"/>
      <c r="J35" s="1318" t="n"/>
      <c r="K35" s="1318" t="n"/>
      <c r="L35" s="1318" t="n"/>
      <c r="M35" s="1318" t="n"/>
      <c r="N35" s="1318">
        <f>SUMIFS(30:30,$8:$8,"&gt;="&amp;DATE(YEAR(N$8),1,1),$8:$8,"&lt;="&amp;EOMONTH(N$8,0))/SUMIFS(30:30,$8:$8,"&gt;="&amp;DATE(YEAR(N$8)-1,1,1),$8:$8,"&lt;="&amp;EOMONTH(N$8,-12))-1</f>
        <v/>
      </c>
      <c r="O35" s="1318">
        <f>SUMIFS(30:30,$8:$8,"&gt;="&amp;DATE(YEAR(O$8),1,1),$8:$8,"&lt;="&amp;EOMONTH(O$8,0))/SUMIFS(30:30,$8:$8,"&gt;="&amp;DATE(YEAR(O$8)-1,1,1),$8:$8,"&lt;="&amp;EOMONTH(O$8,-12))-1</f>
        <v/>
      </c>
      <c r="P35" s="1318">
        <f>SUMIFS(30:30,$8:$8,"&gt;="&amp;DATE(YEAR(P$8),1,1),$8:$8,"&lt;="&amp;EOMONTH(P$8,0))/SUMIFS(30:30,$8:$8,"&gt;="&amp;DATE(YEAR(P$8)-1,1,1),$8:$8,"&lt;="&amp;EOMONTH(P$8,-12))-1</f>
        <v/>
      </c>
      <c r="Q35" s="1318">
        <f>SUMIFS(30:30,$8:$8,"&gt;="&amp;DATE(YEAR(Q$8),1,1),$8:$8,"&lt;="&amp;EOMONTH(Q$8,0))/SUMIFS(30:30,$8:$8,"&gt;="&amp;DATE(YEAR(Q$8)-1,1,1),$8:$8,"&lt;="&amp;EOMONTH(Q$8,-12))-1</f>
        <v/>
      </c>
      <c r="R35" s="1318">
        <f>SUMIFS(30:30,$8:$8,"&gt;="&amp;DATE(YEAR(R$8),1,1),$8:$8,"&lt;="&amp;EOMONTH(R$8,0))/SUMIFS(30:30,$8:$8,"&gt;="&amp;DATE(YEAR(R$8)-1,1,1),$8:$8,"&lt;="&amp;EOMONTH(R$8,-12))-1</f>
        <v/>
      </c>
      <c r="S35" s="1318">
        <f>SUMIFS(30:30,$8:$8,"&gt;="&amp;DATE(YEAR(S$8),1,1),$8:$8,"&lt;="&amp;EOMONTH(S$8,0))/SUMIFS(30:30,$8:$8,"&gt;="&amp;DATE(YEAR(S$8)-1,1,1),$8:$8,"&lt;="&amp;EOMONTH(S$8,-12))-1</f>
        <v/>
      </c>
      <c r="T35" s="1318">
        <f>SUMIFS(30:30,$8:$8,"&gt;="&amp;DATE(YEAR(T$8),1,1),$8:$8,"&lt;="&amp;EOMONTH(T$8,0))/SUMIFS(30:30,$8:$8,"&gt;="&amp;DATE(YEAR(T$8)-1,1,1),$8:$8,"&lt;="&amp;EOMONTH(T$8,-12))-1</f>
        <v/>
      </c>
      <c r="U35" s="1318">
        <f>SUMIFS(30:30,$8:$8,"&gt;="&amp;DATE(YEAR(U$8),1,1),$8:$8,"&lt;="&amp;EOMONTH(U$8,0))/SUMIFS(30:30,$8:$8,"&gt;="&amp;DATE(YEAR(U$8)-1,1,1),$8:$8,"&lt;="&amp;EOMONTH(U$8,-12))-1</f>
        <v/>
      </c>
      <c r="V35" s="1318">
        <f>SUMIFS(30:30,$8:$8,"&gt;="&amp;DATE(YEAR(V$8),1,1),$8:$8,"&lt;="&amp;EOMONTH(V$8,0))/SUMIFS(30:30,$8:$8,"&gt;="&amp;DATE(YEAR(V$8)-1,1,1),$8:$8,"&lt;="&amp;EOMONTH(V$8,-12))-1</f>
        <v/>
      </c>
      <c r="W35" s="1318">
        <f>SUMIFS(30:30,$8:$8,"&gt;="&amp;DATE(YEAR(W$8),1,1),$8:$8,"&lt;="&amp;EOMONTH(W$8,0))/SUMIFS(30:30,$8:$8,"&gt;="&amp;DATE(YEAR(W$8)-1,1,1),$8:$8,"&lt;="&amp;EOMONTH(W$8,-12))-1</f>
        <v/>
      </c>
      <c r="X35" s="1318">
        <f>SUMIFS(30:30,$8:$8,"&gt;="&amp;DATE(YEAR(X$8),1,1),$8:$8,"&lt;="&amp;EOMONTH(X$8,0))/SUMIFS(30:30,$8:$8,"&gt;="&amp;DATE(YEAR(X$8)-1,1,1),$8:$8,"&lt;="&amp;EOMONTH(X$8,-12))-1</f>
        <v/>
      </c>
      <c r="Y35" s="1318">
        <f>SUMIFS(30:30,$8:$8,"&gt;="&amp;DATE(YEAR(Y$8),1,1),$8:$8,"&lt;="&amp;EOMONTH(Y$8,0))/SUMIFS(30:30,$8:$8,"&gt;="&amp;DATE(YEAR(Y$8)-1,1,1),$8:$8,"&lt;="&amp;EOMONTH(Y$8,-12))-1</f>
        <v/>
      </c>
      <c r="Z35" s="1318">
        <f>SUMIFS(30:30,$8:$8,"&gt;="&amp;DATE(YEAR(Z$8),1,1),$8:$8,"&lt;="&amp;EOMONTH(Z$8,0))/SUMIFS(30:30,$8:$8,"&gt;="&amp;DATE(YEAR(Z$8)-1,1,1),$8:$8,"&lt;="&amp;EOMONTH(Z$8,-12))-1</f>
        <v/>
      </c>
      <c r="AA35" s="1318">
        <f>SUMIFS(30:30,$8:$8,"&gt;="&amp;DATE(YEAR(AA$8),1,1),$8:$8,"&lt;="&amp;EOMONTH(AA$8,0))/SUMIFS(30:30,$8:$8,"&gt;="&amp;DATE(YEAR(AA$8)-1,1,1),$8:$8,"&lt;="&amp;EOMONTH(AA$8,-12))-1</f>
        <v/>
      </c>
      <c r="AB35" s="1318">
        <f>SUMIFS(30:30,$8:$8,"&gt;="&amp;DATE(YEAR(AB$8),1,1),$8:$8,"&lt;="&amp;EOMONTH(AB$8,0))/SUMIFS(30:30,$8:$8,"&gt;="&amp;DATE(YEAR(AB$8)-1,1,1),$8:$8,"&lt;="&amp;EOMONTH(AB$8,-12))-1</f>
        <v/>
      </c>
      <c r="AC35" s="1318">
        <f>SUMIFS(30:30,$8:$8,"&gt;="&amp;DATE(YEAR(AC$8),1,1),$8:$8,"&lt;="&amp;EOMONTH(AC$8,0))/SUMIFS(30:30,$8:$8,"&gt;="&amp;DATE(YEAR(AC$8)-1,1,1),$8:$8,"&lt;="&amp;EOMONTH(AC$8,-12))-1</f>
        <v/>
      </c>
      <c r="AD35" s="1318">
        <f>SUMIFS(30:30,$8:$8,"&gt;="&amp;DATE(YEAR(AD$8),1,1),$8:$8,"&lt;="&amp;EOMONTH(AD$8,0))/SUMIFS(30:30,$8:$8,"&gt;="&amp;DATE(YEAR(AD$8)-1,1,1),$8:$8,"&lt;="&amp;EOMONTH(AD$8,-12))-1</f>
        <v/>
      </c>
      <c r="AE35" s="1318">
        <f>SUMIFS(30:30,$8:$8,"&gt;="&amp;DATE(YEAR(AE$8),1,1),$8:$8,"&lt;="&amp;EOMONTH(AE$8,0))/SUMIFS(30:30,$8:$8,"&gt;="&amp;DATE(YEAR(AE$8)-1,1,1),$8:$8,"&lt;="&amp;EOMONTH(AE$8,-12))-1</f>
        <v/>
      </c>
      <c r="AF35" s="1318">
        <f>SUMIFS(30:30,$8:$8,"&gt;="&amp;DATE(YEAR(AF$8),1,1),$8:$8,"&lt;="&amp;EOMONTH(AF$8,0))/SUMIFS(30:30,$8:$8,"&gt;="&amp;DATE(YEAR(AF$8)-1,1,1),$8:$8,"&lt;="&amp;EOMONTH(AF$8,-12))-1</f>
        <v/>
      </c>
      <c r="AG35" s="1318">
        <f>SUMIFS(30:30,$8:$8,"&gt;="&amp;DATE(YEAR(AG$8),1,1),$8:$8,"&lt;="&amp;EOMONTH(AG$8,0))/SUMIFS(30:30,$8:$8,"&gt;="&amp;DATE(YEAR(AG$8)-1,1,1),$8:$8,"&lt;="&amp;EOMONTH(AG$8,-12))-1</f>
        <v/>
      </c>
      <c r="AH35" s="1318">
        <f>SUMIFS(30:30,$8:$8,"&gt;="&amp;DATE(YEAR(AH$8),1,1),$8:$8,"&lt;="&amp;EOMONTH(AH$8,0))/SUMIFS(30:30,$8:$8,"&gt;="&amp;DATE(YEAR(AH$8)-1,1,1),$8:$8,"&lt;="&amp;EOMONTH(AH$8,-12))-1</f>
        <v/>
      </c>
      <c r="AI35" s="1318">
        <f>SUMIFS(30:30,$8:$8,"&gt;="&amp;DATE(YEAR(AI$8),1,1),$8:$8,"&lt;="&amp;EOMONTH(AI$8,0))/SUMIFS(30:30,$8:$8,"&gt;="&amp;DATE(YEAR(AI$8)-1,1,1),$8:$8,"&lt;="&amp;EOMONTH(AI$8,-12))-1</f>
        <v/>
      </c>
      <c r="AJ35" s="1318">
        <f>SUMIFS(30:30,$8:$8,"&gt;="&amp;DATE(YEAR(AJ$8),1,1),$8:$8,"&lt;="&amp;EOMONTH(AJ$8,0))/SUMIFS(30:30,$8:$8,"&gt;="&amp;DATE(YEAR(AJ$8)-1,1,1),$8:$8,"&lt;="&amp;EOMONTH(AJ$8,-12))-1</f>
        <v/>
      </c>
      <c r="AK35" s="1318">
        <f>SUMIFS(30:30,$8:$8,"&gt;="&amp;DATE(YEAR(AK$8),1,1),$8:$8,"&lt;="&amp;EOMONTH(AK$8,0))/SUMIFS(30:30,$8:$8,"&gt;="&amp;DATE(YEAR(AK$8)-1,1,1),$8:$8,"&lt;="&amp;EOMONTH(AK$8,-12))-1</f>
        <v/>
      </c>
      <c r="AL35" s="1318">
        <f>SUMIFS(30:30,$8:$8,"&gt;="&amp;DATE(YEAR(AL$8),1,1),$8:$8,"&lt;="&amp;EOMONTH(AL$8,0))/SUMIFS(30:30,$8:$8,"&gt;="&amp;DATE(YEAR(AL$8)-1,1,1),$8:$8,"&lt;="&amp;EOMONTH(AL$8,-12))-1</f>
        <v/>
      </c>
      <c r="AM35" s="1318">
        <f>SUMIFS(30:30,$8:$8,"&gt;="&amp;DATE(YEAR(AM$8),1,1),$8:$8,"&lt;="&amp;EOMONTH(AM$8,0))/SUMIFS(30:30,$8:$8,"&gt;="&amp;DATE(YEAR(AM$8)-1,1,1),$8:$8,"&lt;="&amp;EOMONTH(AM$8,-12))-1</f>
        <v/>
      </c>
      <c r="AN35" s="1318">
        <f>SUMIFS(30:30,$8:$8,"&gt;="&amp;DATE(YEAR(AN$8),1,1),$8:$8,"&lt;="&amp;EOMONTH(AN$8,0))/SUMIFS(30:30,$8:$8,"&gt;="&amp;DATE(YEAR(AN$8)-1,1,1),$8:$8,"&lt;="&amp;EOMONTH(AN$8,-12))-1</f>
        <v/>
      </c>
      <c r="AO35" s="1318">
        <f>SUMIFS(30:30,$8:$8,"&gt;="&amp;DATE(YEAR(AO$8),1,1),$8:$8,"&lt;="&amp;EOMONTH(AO$8,0))/SUMIFS(30:30,$8:$8,"&gt;="&amp;DATE(YEAR(AO$8)-1,1,1),$8:$8,"&lt;="&amp;EOMONTH(AO$8,-12))-1</f>
        <v/>
      </c>
      <c r="AP35" s="1318">
        <f>SUMIFS(30:30,$8:$8,"&gt;="&amp;DATE(YEAR(AP$8),1,1),$8:$8,"&lt;="&amp;EOMONTH(AP$8,0))/SUMIFS(30:30,$8:$8,"&gt;="&amp;DATE(YEAR(AP$8)-1,1,1),$8:$8,"&lt;="&amp;EOMONTH(AP$8,-12))-1</f>
        <v/>
      </c>
      <c r="AQ35" s="1318">
        <f>SUMIFS(30:30,$8:$8,"&gt;="&amp;DATE(YEAR(AQ$8),1,1),$8:$8,"&lt;="&amp;EOMONTH(AQ$8,0))/SUMIFS(30:30,$8:$8,"&gt;="&amp;DATE(YEAR(AQ$8)-1,1,1),$8:$8,"&lt;="&amp;EOMONTH(AQ$8,-12))-1</f>
        <v/>
      </c>
      <c r="AR35" s="1318">
        <f>SUMIFS(30:30,$8:$8,"&gt;="&amp;DATE(YEAR(AR$8),1,1),$8:$8,"&lt;="&amp;EOMONTH(AR$8,0))/SUMIFS(30:30,$8:$8,"&gt;="&amp;DATE(YEAR(AR$8)-1,1,1),$8:$8,"&lt;="&amp;EOMONTH(AR$8,-12))-1</f>
        <v/>
      </c>
      <c r="AS35" s="1318">
        <f>SUMIFS(30:30,$8:$8,"&gt;="&amp;DATE(YEAR(AS$8),1,1),$8:$8,"&lt;="&amp;EOMONTH(AS$8,0))/SUMIFS(30:30,$8:$8,"&gt;="&amp;DATE(YEAR(AS$8)-1,1,1),$8:$8,"&lt;="&amp;EOMONTH(AS$8,-12))-1</f>
        <v/>
      </c>
      <c r="AT35" s="1318">
        <f>SUMIFS(30:30,$8:$8,"&gt;="&amp;DATE(YEAR(AT$8),1,1),$8:$8,"&lt;="&amp;EOMONTH(AT$8,0))/SUMIFS(30:30,$8:$8,"&gt;="&amp;DATE(YEAR(AT$8)-1,1,1),$8:$8,"&lt;="&amp;EOMONTH(AT$8,-12))-1</f>
        <v/>
      </c>
      <c r="AU35" s="1318">
        <f>SUMIFS(30:30,$8:$8,"&gt;="&amp;DATE(YEAR(AU$8),1,1),$8:$8,"&lt;="&amp;EOMONTH(AU$8,0))/SUMIFS(30:30,$8:$8,"&gt;="&amp;DATE(YEAR(AU$8)-1,1,1),$8:$8,"&lt;="&amp;EOMONTH(AU$8,-12))-1</f>
        <v/>
      </c>
      <c r="AV35" s="1318">
        <f>SUMIFS(30:30,$8:$8,"&gt;="&amp;DATE(YEAR(AV$8),1,1),$8:$8,"&lt;="&amp;EOMONTH(AV$8,0))/SUMIFS(30:30,$8:$8,"&gt;="&amp;DATE(YEAR(AV$8)-1,1,1),$8:$8,"&lt;="&amp;EOMONTH(AV$8,-12))-1</f>
        <v/>
      </c>
      <c r="AW35" s="1318">
        <f>SUMIFS(30:30,$8:$8,"&gt;="&amp;DATE(YEAR(AW$8),1,1),$8:$8,"&lt;="&amp;EOMONTH(AW$8,0))/SUMIFS(30:30,$8:$8,"&gt;="&amp;DATE(YEAR(AW$8)-1,1,1),$8:$8,"&lt;="&amp;EOMONTH(AW$8,-12))-1</f>
        <v/>
      </c>
      <c r="AX35" s="1318">
        <f>SUMIFS(30:30,$8:$8,"&gt;="&amp;DATE(YEAR(AX$8),1,1),$8:$8,"&lt;="&amp;EOMONTH(AX$8,0))/SUMIFS(30:30,$8:$8,"&gt;="&amp;DATE(YEAR(AX$8)-1,1,1),$8:$8,"&lt;="&amp;EOMONTH(AX$8,-12))-1</f>
        <v/>
      </c>
      <c r="AY35" s="1318">
        <f>SUMIFS(30:30,$8:$8,"&gt;="&amp;DATE(YEAR(AY$8),1,1),$8:$8,"&lt;="&amp;EOMONTH(AY$8,0))/SUMIFS(30:30,$8:$8,"&gt;="&amp;DATE(YEAR(AY$8)-1,1,1),$8:$8,"&lt;="&amp;EOMONTH(AY$8,-12))-1</f>
        <v/>
      </c>
      <c r="AZ35" s="1318">
        <f>SUMIFS(30:30,$8:$8,"&gt;="&amp;DATE(YEAR(AZ$8),1,1),$8:$8,"&lt;="&amp;EOMONTH(AZ$8,0))/SUMIFS(30:30,$8:$8,"&gt;="&amp;DATE(YEAR(AZ$8)-1,1,1),$8:$8,"&lt;="&amp;EOMONTH(AZ$8,-12))-1</f>
        <v/>
      </c>
      <c r="BA35" s="1318">
        <f>SUMIFS(30:30,$8:$8,"&gt;="&amp;DATE(YEAR(BA$8),1,1),$8:$8,"&lt;="&amp;EOMONTH(BA$8,0))/SUMIFS(30:30,$8:$8,"&gt;="&amp;DATE(YEAR(BA$8)-1,1,1),$8:$8,"&lt;="&amp;EOMONTH(BA$8,-12))-1</f>
        <v/>
      </c>
      <c r="BB35" s="1318">
        <f>SUMIFS(30:30,$8:$8,"&gt;="&amp;DATE(YEAR(BB$8),1,1),$8:$8,"&lt;="&amp;EOMONTH(BB$8,0))/SUMIFS(30:30,$8:$8,"&gt;="&amp;DATE(YEAR(BB$8)-1,1,1),$8:$8,"&lt;="&amp;EOMONTH(BB$8,-12))-1</f>
        <v/>
      </c>
      <c r="BC35" s="1318">
        <f>SUMIFS(30:30,$8:$8,"&gt;="&amp;DATE(YEAR(BC$8),1,1),$8:$8,"&lt;="&amp;EOMONTH(BC$8,0))/SUMIFS(30:30,$8:$8,"&gt;="&amp;DATE(YEAR(BC$8)-1,1,1),$8:$8,"&lt;="&amp;EOMONTH(BC$8,-12))-1</f>
        <v/>
      </c>
      <c r="BD35" s="1318">
        <f>SUMIFS(30:30,$8:$8,"&gt;="&amp;DATE(YEAR(BD$8),1,1),$8:$8,"&lt;="&amp;EOMONTH(BD$8,0))/SUMIFS(30:30,$8:$8,"&gt;="&amp;DATE(YEAR(BD$8)-1,1,1),$8:$8,"&lt;="&amp;EOMONTH(BD$8,-12))-1</f>
        <v/>
      </c>
      <c r="BE35" s="1318">
        <f>SUMIFS(30:30,$8:$8,"&gt;="&amp;DATE(YEAR(BE$8),1,1),$8:$8,"&lt;="&amp;EOMONTH(BE$8,0))/SUMIFS(30:30,$8:$8,"&gt;="&amp;DATE(YEAR(BE$8)-1,1,1),$8:$8,"&lt;="&amp;EOMONTH(BE$8,-12))-1</f>
        <v/>
      </c>
      <c r="BF35" s="1318">
        <f>SUMIFS(30:30,$8:$8,"&gt;="&amp;DATE(YEAR(BF$8),1,1),$8:$8,"&lt;="&amp;EOMONTH(BF$8,0))/SUMIFS(30:30,$8:$8,"&gt;="&amp;DATE(YEAR(BF$8)-1,1,1),$8:$8,"&lt;="&amp;EOMONTH(BF$8,-12))-1</f>
        <v/>
      </c>
      <c r="BG35" s="1318">
        <f>SUMIFS(30:30,$8:$8,"&gt;="&amp;DATE(YEAR(BG$8),1,1),$8:$8,"&lt;="&amp;EOMONTH(BG$8,0))/SUMIFS(30:30,$8:$8,"&gt;="&amp;DATE(YEAR(BG$8)-1,1,1),$8:$8,"&lt;="&amp;EOMONTH(BG$8,-12))-1</f>
        <v/>
      </c>
      <c r="BH35" s="1318">
        <f>SUMIFS(30:30,$8:$8,"&gt;="&amp;DATE(YEAR(BH$8),1,1),$8:$8,"&lt;="&amp;EOMONTH(BH$8,0))/SUMIFS(30:30,$8:$8,"&gt;="&amp;DATE(YEAR(BH$8)-1,1,1),$8:$8,"&lt;="&amp;EOMONTH(BH$8,-12))-1</f>
        <v/>
      </c>
      <c r="BI35" s="1318">
        <f>SUMIFS(30:30,$8:$8,"&gt;="&amp;DATE(YEAR(BI$8),1,1),$8:$8,"&lt;="&amp;EOMONTH(BI$8,0))/SUMIFS(30:30,$8:$8,"&gt;="&amp;DATE(YEAR(BI$8)-1,1,1),$8:$8,"&lt;="&amp;EOMONTH(BI$8,-12))-1</f>
        <v/>
      </c>
      <c r="BJ35" s="1318">
        <f>SUMIFS(30:30,$8:$8,"&gt;="&amp;DATE(YEAR(BJ$8),1,1),$8:$8,"&lt;="&amp;EOMONTH(BJ$8,0))/SUMIFS(30:30,$8:$8,"&gt;="&amp;DATE(YEAR(BJ$8)-1,1,1),$8:$8,"&lt;="&amp;EOMONTH(BJ$8,-12))-1</f>
        <v/>
      </c>
      <c r="BK35" s="1318">
        <f>SUMIFS(30:30,$8:$8,"&gt;="&amp;DATE(YEAR(BK$8),1,1),$8:$8,"&lt;="&amp;EOMONTH(BK$8,0))/SUMIFS(30:30,$8:$8,"&gt;="&amp;DATE(YEAR(BK$8)-1,1,1),$8:$8,"&lt;="&amp;EOMONTH(BK$8,-12))-1</f>
        <v/>
      </c>
      <c r="BL35" s="1318">
        <f>SUMIFS(30:30,$8:$8,"&gt;="&amp;DATE(YEAR(BL$8),1,1),$8:$8,"&lt;="&amp;EOMONTH(BL$8,0))/SUMIFS(30:30,$8:$8,"&gt;="&amp;DATE(YEAR(BL$8)-1,1,1),$8:$8,"&lt;="&amp;EOMONTH(BL$8,-12))-1</f>
        <v/>
      </c>
      <c r="BM35" s="1318">
        <f>SUMIFS(30:30,$8:$8,"&gt;="&amp;DATE(YEAR(BM$8),1,1),$8:$8,"&lt;="&amp;EOMONTH(BM$8,0))/SUMIFS(30:30,$8:$8,"&gt;="&amp;DATE(YEAR(BM$8)-1,1,1),$8:$8,"&lt;="&amp;EOMONTH(BM$8,-12))-1</f>
        <v/>
      </c>
      <c r="BN35" s="1318">
        <f>SUMIFS(30:30,$8:$8,"&gt;="&amp;DATE(YEAR(BN$8),1,1),$8:$8,"&lt;="&amp;EOMONTH(BN$8,0))/SUMIFS(30:30,$8:$8,"&gt;="&amp;DATE(YEAR(BN$8)-1,1,1),$8:$8,"&lt;="&amp;EOMONTH(BN$8,-12))-1</f>
        <v/>
      </c>
      <c r="BO35" s="1318">
        <f>SUMIFS(30:30,$8:$8,"&gt;="&amp;DATE(YEAR(BO$8),1,1),$8:$8,"&lt;="&amp;EOMONTH(BO$8,0))/SUMIFS(30:30,$8:$8,"&gt;="&amp;DATE(YEAR(BO$8)-1,1,1),$8:$8,"&lt;="&amp;EOMONTH(BO$8,-12))-1</f>
        <v/>
      </c>
      <c r="BP35" s="1318">
        <f>SUMIFS(30:30,$8:$8,"&gt;="&amp;DATE(YEAR(BP$8),1,1),$8:$8,"&lt;="&amp;EOMONTH(BP$8,0))/SUMIFS(30:30,$8:$8,"&gt;="&amp;DATE(YEAR(BP$8)-1,1,1),$8:$8,"&lt;="&amp;EOMONTH(BP$8,-12))-1</f>
        <v/>
      </c>
      <c r="BQ35" s="1318">
        <f>SUMIFS(30:30,$8:$8,"&gt;="&amp;DATE(YEAR(BQ$8),1,1),$8:$8,"&lt;="&amp;EOMONTH(BQ$8,0))/SUMIFS(30:30,$8:$8,"&gt;="&amp;DATE(YEAR(BQ$8)-1,1,1),$8:$8,"&lt;="&amp;EOMONTH(BQ$8,-12))-1</f>
        <v/>
      </c>
      <c r="BR35" s="1318">
        <f>SUMIFS(30:30,$8:$8,"&gt;="&amp;DATE(YEAR(BR$8),1,1),$8:$8,"&lt;="&amp;EOMONTH(BR$8,0))/SUMIFS(30:30,$8:$8,"&gt;="&amp;DATE(YEAR(BR$8)-1,1,1),$8:$8,"&lt;="&amp;EOMONTH(BR$8,-12))-1</f>
        <v/>
      </c>
      <c r="BS35" s="1318">
        <f>SUMIFS(30:30,$8:$8,"&gt;="&amp;DATE(YEAR(BS$8),1,1),$8:$8,"&lt;="&amp;EOMONTH(BS$8,0))/SUMIFS(30:30,$8:$8,"&gt;="&amp;DATE(YEAR(BS$8)-1,1,1),$8:$8,"&lt;="&amp;EOMONTH(BS$8,-12))-1</f>
        <v/>
      </c>
      <c r="BT35" s="1318">
        <f>SUMIFS(30:30,$8:$8,"&gt;="&amp;DATE(YEAR(BT$8),1,1),$8:$8,"&lt;="&amp;EOMONTH(BT$8,0))/SUMIFS(30:30,$8:$8,"&gt;="&amp;DATE(YEAR(BT$8)-1,1,1),$8:$8,"&lt;="&amp;EOMONTH(BT$8,-12))-1</f>
        <v/>
      </c>
      <c r="BU35" s="1318">
        <f>SUMIFS(30:30,$8:$8,"&gt;="&amp;DATE(YEAR(BU$8),1,1),$8:$8,"&lt;="&amp;EOMONTH(BU$8,0))/SUMIFS(30:30,$8:$8,"&gt;="&amp;DATE(YEAR(BU$8)-1,1,1),$8:$8,"&lt;="&amp;EOMONTH(BU$8,-12))-1</f>
        <v/>
      </c>
      <c r="BV35" s="1318">
        <f>SUMIFS(30:30,$8:$8,"&gt;="&amp;DATE(YEAR(BV$8),1,1),$8:$8,"&lt;="&amp;EOMONTH(BV$8,0))/SUMIFS(30:30,$8:$8,"&gt;="&amp;DATE(YEAR(BV$8)-1,1,1),$8:$8,"&lt;="&amp;EOMONTH(BV$8,-12))-1</f>
        <v/>
      </c>
      <c r="BW35" s="1318">
        <f>SUMIFS(30:30,$8:$8,"&gt;="&amp;DATE(YEAR(BW$8),1,1),$8:$8,"&lt;="&amp;EOMONTH(BW$8,0))/SUMIFS(30:30,$8:$8,"&gt;="&amp;DATE(YEAR(BW$8)-1,1,1),$8:$8,"&lt;="&amp;EOMONTH(BW$8,-12))-1</f>
        <v/>
      </c>
      <c r="BX35" s="1318">
        <f>SUMIFS(30:30,$8:$8,"&gt;="&amp;DATE(YEAR(BX$8),1,1),$8:$8,"&lt;="&amp;EOMONTH(BX$8,0))/SUMIFS(30:30,$8:$8,"&gt;="&amp;DATE(YEAR(BX$8)-1,1,1),$8:$8,"&lt;="&amp;EOMONTH(BX$8,-12))-1</f>
        <v/>
      </c>
      <c r="BY35" s="1318">
        <f>SUMIFS(30:30,$8:$8,"&gt;="&amp;DATE(YEAR(BY$8),1,1),$8:$8,"&lt;="&amp;EOMONTH(BY$8,0))/SUMIFS(30:30,$8:$8,"&gt;="&amp;DATE(YEAR(BY$8)-1,1,1),$8:$8,"&lt;="&amp;EOMONTH(BY$8,-12))-1</f>
        <v/>
      </c>
      <c r="BZ35" s="1318">
        <f>SUMIFS(30:30,$8:$8,"&gt;="&amp;DATE(YEAR(BZ$8),1,1),$8:$8,"&lt;="&amp;EOMONTH(BZ$8,0))/SUMIFS(30:30,$8:$8,"&gt;="&amp;DATE(YEAR(BZ$8)-1,1,1),$8:$8,"&lt;="&amp;EOMONTH(BZ$8,-12))-1</f>
        <v/>
      </c>
      <c r="CA35" s="1318">
        <f>SUMIFS(30:30,$8:$8,"&gt;="&amp;DATE(YEAR(CA$8),1,1),$8:$8,"&lt;="&amp;EOMONTH(CA$8,0))/SUMIFS(30:30,$8:$8,"&gt;="&amp;DATE(YEAR(CA$8)-1,1,1),$8:$8,"&lt;="&amp;EOMONTH(CA$8,-12))-1</f>
        <v/>
      </c>
      <c r="CB35" s="1318">
        <f>SUMIFS(30:30,$8:$8,"&gt;="&amp;DATE(YEAR(CB$8),1,1),$8:$8,"&lt;="&amp;EOMONTH(CB$8,0))/SUMIFS(30:30,$8:$8,"&gt;="&amp;DATE(YEAR(CB$8)-1,1,1),$8:$8,"&lt;="&amp;EOMONTH(CB$8,-12))-1</f>
        <v/>
      </c>
      <c r="CC35" s="1318">
        <f>SUMIFS(30:30,$8:$8,"&gt;="&amp;DATE(YEAR(CC$8),1,1),$8:$8,"&lt;="&amp;EOMONTH(CC$8,0))/SUMIFS(30:30,$8:$8,"&gt;="&amp;DATE(YEAR(CC$8)-1,1,1),$8:$8,"&lt;="&amp;EOMONTH(CC$8,-12))-1</f>
        <v/>
      </c>
      <c r="CD35" s="1318">
        <f>SUMIFS(30:30,$8:$8,"&gt;="&amp;DATE(YEAR(CD$8),1,1),$8:$8,"&lt;="&amp;EOMONTH(CD$8,0))/SUMIFS(30:30,$8:$8,"&gt;="&amp;DATE(YEAR(CD$8)-1,1,1),$8:$8,"&lt;="&amp;EOMONTH(CD$8,-12))-1</f>
        <v/>
      </c>
      <c r="CE35" s="1318">
        <f>SUMIFS(30:30,$8:$8,"&gt;="&amp;DATE(YEAR(CE$8),1,1),$8:$8,"&lt;="&amp;EOMONTH(CE$8,0))/SUMIFS(30:30,$8:$8,"&gt;="&amp;DATE(YEAR(CE$8)-1,1,1),$8:$8,"&lt;="&amp;EOMONTH(CE$8,-12))-1</f>
        <v/>
      </c>
      <c r="CF35" s="1318">
        <f>SUMIFS(30:30,$8:$8,"&gt;="&amp;DATE(YEAR(CF$8),1,1),$8:$8,"&lt;="&amp;EOMONTH(CF$8,0))/SUMIFS(30:30,$8:$8,"&gt;="&amp;DATE(YEAR(CF$8)-1,1,1),$8:$8,"&lt;="&amp;EOMONTH(CF$8,-12))-1</f>
        <v/>
      </c>
      <c r="CG35" s="1318">
        <f>SUMIFS(30:30,$8:$8,"&gt;="&amp;DATE(YEAR(CG$8),1,1),$8:$8,"&lt;="&amp;EOMONTH(CG$8,0))/SUMIFS(30:30,$8:$8,"&gt;="&amp;DATE(YEAR(CG$8)-1,1,1),$8:$8,"&lt;="&amp;EOMONTH(CG$8,-12))-1</f>
        <v/>
      </c>
      <c r="CH35" s="1318">
        <f>SUMIFS(30:30,$8:$8,"&gt;="&amp;DATE(YEAR(CH$8),1,1),$8:$8,"&lt;="&amp;EOMONTH(CH$8,0))/SUMIFS(30:30,$8:$8,"&gt;="&amp;DATE(YEAR(CH$8)-1,1,1),$8:$8,"&lt;="&amp;EOMONTH(CH$8,-12))-1</f>
        <v/>
      </c>
      <c r="CI35" s="1318">
        <f>SUMIFS(30:30,$8:$8,"&gt;="&amp;DATE(YEAR(CI$8),1,1),$8:$8,"&lt;="&amp;EOMONTH(CI$8,0))/SUMIFS(30:30,$8:$8,"&gt;="&amp;DATE(YEAR(CI$8)-1,1,1),$8:$8,"&lt;="&amp;EOMONTH(CI$8,-12))-1</f>
        <v/>
      </c>
      <c r="CJ35" s="1318">
        <f>SUMIFS(30:30,$8:$8,"&gt;="&amp;DATE(YEAR(CJ$8),1,1),$8:$8,"&lt;="&amp;EOMONTH(CJ$8,0))/SUMIFS(30:30,$8:$8,"&gt;="&amp;DATE(YEAR(CJ$8)-1,1,1),$8:$8,"&lt;="&amp;EOMONTH(CJ$8,-12))-1</f>
        <v/>
      </c>
      <c r="CK35" s="1318">
        <f>SUMIFS(30:30,$8:$8,"&gt;="&amp;DATE(YEAR(CK$8),1,1),$8:$8,"&lt;="&amp;EOMONTH(CK$8,0))/SUMIFS(30:30,$8:$8,"&gt;="&amp;DATE(YEAR(CK$8)-1,1,1),$8:$8,"&lt;="&amp;EOMONTH(CK$8,-12))-1</f>
        <v/>
      </c>
      <c r="CL35" s="1318">
        <f>SUMIFS(30:30,$8:$8,"&gt;="&amp;DATE(YEAR(CL$8),1,1),$8:$8,"&lt;="&amp;EOMONTH(CL$8,0))/SUMIFS(30:30,$8:$8,"&gt;="&amp;DATE(YEAR(CL$8)-1,1,1),$8:$8,"&lt;="&amp;EOMONTH(CL$8,-12))-1</f>
        <v/>
      </c>
      <c r="CM35" s="1318">
        <f>SUMIFS(30:30,$8:$8,"&gt;="&amp;DATE(YEAR(CM$8),1,1),$8:$8,"&lt;="&amp;EOMONTH(CM$8,0))/SUMIFS(30:30,$8:$8,"&gt;="&amp;DATE(YEAR(CM$8)-1,1,1),$8:$8,"&lt;="&amp;EOMONTH(CM$8,-12))-1</f>
        <v/>
      </c>
      <c r="CN35" s="1318">
        <f>SUMIFS(30:30,$8:$8,"&gt;="&amp;DATE(YEAR(CN$8),1,1),$8:$8,"&lt;="&amp;EOMONTH(CN$8,0))/SUMIFS(30:30,$8:$8,"&gt;="&amp;DATE(YEAR(CN$8)-1,1,1),$8:$8,"&lt;="&amp;EOMONTH(CN$8,-12))-1</f>
        <v/>
      </c>
      <c r="CO35" s="1318">
        <f>SUMIFS(30:30,$8:$8,"&gt;="&amp;DATE(YEAR(CO$8),1,1),$8:$8,"&lt;="&amp;EOMONTH(CO$8,0))/SUMIFS(30:30,$8:$8,"&gt;="&amp;DATE(YEAR(CO$8)-1,1,1),$8:$8,"&lt;="&amp;EOMONTH(CO$8,-12))-1</f>
        <v/>
      </c>
      <c r="CP35" s="1318">
        <f>SUMIFS(30:30,$8:$8,"&gt;="&amp;DATE(YEAR(CP$8),1,1),$8:$8,"&lt;="&amp;EOMONTH(CP$8,0))/SUMIFS(30:30,$8:$8,"&gt;="&amp;DATE(YEAR(CP$8)-1,1,1),$8:$8,"&lt;="&amp;EOMONTH(CP$8,-12))-1</f>
        <v/>
      </c>
      <c r="CQ35" s="1318">
        <f>SUMIFS(30:30,$8:$8,"&gt;="&amp;DATE(YEAR(CQ$8),1,1),$8:$8,"&lt;="&amp;EOMONTH(CQ$8,0))/SUMIFS(30:30,$8:$8,"&gt;="&amp;DATE(YEAR(CQ$8)-1,1,1),$8:$8,"&lt;="&amp;EOMONTH(CQ$8,-12))-1</f>
        <v/>
      </c>
      <c r="CR35" s="1318">
        <f>SUMIFS(30:30,$8:$8,"&gt;="&amp;DATE(YEAR(CR$8),1,1),$8:$8,"&lt;="&amp;EOMONTH(CR$8,0))/SUMIFS(30:30,$8:$8,"&gt;="&amp;DATE(YEAR(CR$8)-1,1,1),$8:$8,"&lt;="&amp;EOMONTH(CR$8,-12))-1</f>
        <v/>
      </c>
      <c r="CS35" s="1318">
        <f>SUMIFS(30:30,$8:$8,"&gt;="&amp;DATE(YEAR(CS$8),1,1),$8:$8,"&lt;="&amp;EOMONTH(CS$8,0))/SUMIFS(30:30,$8:$8,"&gt;="&amp;DATE(YEAR(CS$8)-1,1,1),$8:$8,"&lt;="&amp;EOMONTH(CS$8,-12))-1</f>
        <v/>
      </c>
      <c r="CT35" s="1318">
        <f>SUMIFS(30:30,$8:$8,"&gt;="&amp;DATE(YEAR(CT$8),1,1),$8:$8,"&lt;="&amp;EOMONTH(CT$8,0))/SUMIFS(30:30,$8:$8,"&gt;="&amp;DATE(YEAR(CT$8)-1,1,1),$8:$8,"&lt;="&amp;EOMONTH(CT$8,-12))-1</f>
        <v/>
      </c>
      <c r="CU35" s="1318">
        <f>SUMIFS(30:30,$8:$8,"&gt;="&amp;DATE(YEAR(CU$8),1,1),$8:$8,"&lt;="&amp;EOMONTH(CU$8,0))/SUMIFS(30:30,$8:$8,"&gt;="&amp;DATE(YEAR(CU$8)-1,1,1),$8:$8,"&lt;="&amp;EOMONTH(CU$8,-12))-1</f>
        <v/>
      </c>
      <c r="CV35" s="1318">
        <f>SUMIFS(30:30,$8:$8,"&gt;="&amp;DATE(YEAR(CV$8),1,1),$8:$8,"&lt;="&amp;EOMONTH(CV$8,0))/SUMIFS(30:30,$8:$8,"&gt;="&amp;DATE(YEAR(CV$8)-1,1,1),$8:$8,"&lt;="&amp;EOMONTH(CV$8,-12))-1</f>
        <v/>
      </c>
      <c r="CW35" s="1318">
        <f>SUMIFS(30:30,$8:$8,"&gt;="&amp;DATE(YEAR(CW$8),1,1),$8:$8,"&lt;="&amp;EOMONTH(CW$8,0))/SUMIFS(30:30,$8:$8,"&gt;="&amp;DATE(YEAR(CW$8)-1,1,1),$8:$8,"&lt;="&amp;EOMONTH(CW$8,-12))-1</f>
        <v/>
      </c>
      <c r="CX35" s="1318">
        <f>SUMIFS(30:30,$8:$8,"&gt;="&amp;DATE(YEAR(CX$8),1,1),$8:$8,"&lt;="&amp;EOMONTH(CX$8,0))/SUMIFS(30:30,$8:$8,"&gt;="&amp;DATE(YEAR(CX$8)-1,1,1),$8:$8,"&lt;="&amp;EOMONTH(CX$8,-12))-1</f>
        <v/>
      </c>
      <c r="CY35" s="1318">
        <f>SUMIFS(30:30,$8:$8,"&gt;="&amp;DATE(YEAR(CY$8),1,1),$8:$8,"&lt;="&amp;EOMONTH(CY$8,0))/SUMIFS(30:30,$8:$8,"&gt;="&amp;DATE(YEAR(CY$8)-1,1,1),$8:$8,"&lt;="&amp;EOMONTH(CY$8,-12))-1</f>
        <v/>
      </c>
      <c r="CZ35" s="1318">
        <f>SUMIFS(30:30,$8:$8,"&gt;="&amp;DATE(YEAR(CZ$8),1,1),$8:$8,"&lt;="&amp;EOMONTH(CZ$8,0))/SUMIFS(30:30,$8:$8,"&gt;="&amp;DATE(YEAR(CZ$8)-1,1,1),$8:$8,"&lt;="&amp;EOMONTH(CZ$8,-12))-1</f>
        <v/>
      </c>
      <c r="DA35" s="1318">
        <f>SUMIFS(30:30,$8:$8,"&gt;="&amp;DATE(YEAR(DA$8),1,1),$8:$8,"&lt;="&amp;EOMONTH(DA$8,0))/SUMIFS(30:30,$8:$8,"&gt;="&amp;DATE(YEAR(DA$8)-1,1,1),$8:$8,"&lt;="&amp;EOMONTH(DA$8,-12))-1</f>
        <v/>
      </c>
      <c r="DB35" s="1318">
        <f>SUMIFS(30:30,$8:$8,"&gt;="&amp;DATE(YEAR(DB$8),1,1),$8:$8,"&lt;="&amp;EOMONTH(DB$8,0))/SUMIFS(30:30,$8:$8,"&gt;="&amp;DATE(YEAR(DB$8)-1,1,1),$8:$8,"&lt;="&amp;EOMONTH(DB$8,-12))-1</f>
        <v/>
      </c>
      <c r="DC35" s="1318">
        <f>SUMIFS(30:30,$8:$8,"&gt;="&amp;DATE(YEAR(DC$8),1,1),$8:$8,"&lt;="&amp;EOMONTH(DC$8,0))/SUMIFS(30:30,$8:$8,"&gt;="&amp;DATE(YEAR(DC$8)-1,1,1),$8:$8,"&lt;="&amp;EOMONTH(DC$8,-12))-1</f>
        <v/>
      </c>
      <c r="DD35" s="1318">
        <f>SUMIFS(30:30,$8:$8,"&gt;="&amp;DATE(YEAR(DD$8),1,1),$8:$8,"&lt;="&amp;EOMONTH(DD$8,0))/SUMIFS(30:30,$8:$8,"&gt;="&amp;DATE(YEAR(DD$8)-1,1,1),$8:$8,"&lt;="&amp;EOMONTH(DD$8,-12))-1</f>
        <v/>
      </c>
      <c r="DE35" s="1318">
        <f>SUMIFS(30:30,$8:$8,"&gt;="&amp;DATE(YEAR(DE$8),1,1),$8:$8,"&lt;="&amp;EOMONTH(DE$8,0))/SUMIFS(30:30,$8:$8,"&gt;="&amp;DATE(YEAR(DE$8)-1,1,1),$8:$8,"&lt;="&amp;EOMONTH(DE$8,-12))-1</f>
        <v/>
      </c>
      <c r="DF35" s="1318">
        <f>SUMIFS(30:30,$8:$8,"&gt;="&amp;DATE(YEAR(DF$8),1,1),$8:$8,"&lt;="&amp;EOMONTH(DF$8,0))/SUMIFS(30:30,$8:$8,"&gt;="&amp;DATE(YEAR(DF$8)-1,1,1),$8:$8,"&lt;="&amp;EOMONTH(DF$8,-12))-1</f>
        <v/>
      </c>
      <c r="DG35" s="1318">
        <f>SUMIFS(30:30,$8:$8,"&gt;="&amp;DATE(YEAR(DG$8),1,1),$8:$8,"&lt;="&amp;EOMONTH(DG$8,0))/SUMIFS(30:30,$8:$8,"&gt;="&amp;DATE(YEAR(DG$8)-1,1,1),$8:$8,"&lt;="&amp;EOMONTH(DG$8,-12))-1</f>
        <v/>
      </c>
      <c r="DH35" s="1318">
        <f>SUMIFS(30:30,$8:$8,"&gt;="&amp;DATE(YEAR(DH$8),1,1),$8:$8,"&lt;="&amp;EOMONTH(DH$8,0))/SUMIFS(30:30,$8:$8,"&gt;="&amp;DATE(YEAR(DH$8)-1,1,1),$8:$8,"&lt;="&amp;EOMONTH(DH$8,-12))-1</f>
        <v/>
      </c>
      <c r="DI35" s="1318">
        <f>SUMIFS(30:30,$8:$8,"&gt;="&amp;DATE(YEAR(DI$8),1,1),$8:$8,"&lt;="&amp;EOMONTH(DI$8,0))/SUMIFS(30:30,$8:$8,"&gt;="&amp;DATE(YEAR(DI$8)-1,1,1),$8:$8,"&lt;="&amp;EOMONTH(DI$8,-12))-1</f>
        <v/>
      </c>
      <c r="DJ35" s="1318">
        <f>SUMIFS(30:30,$8:$8,"&gt;="&amp;DATE(YEAR(DJ$8),1,1),$8:$8,"&lt;="&amp;EOMONTH(DJ$8,0))/SUMIFS(30:30,$8:$8,"&gt;="&amp;DATE(YEAR(DJ$8)-1,1,1),$8:$8,"&lt;="&amp;EOMONTH(DJ$8,-12))-1</f>
        <v/>
      </c>
      <c r="DK35" s="1318">
        <f>SUMIFS(30:30,$8:$8,"&gt;="&amp;DATE(YEAR(DK$8),1,1),$8:$8,"&lt;="&amp;EOMONTH(DK$8,0))/SUMIFS(30:30,$8:$8,"&gt;="&amp;DATE(YEAR(DK$8)-1,1,1),$8:$8,"&lt;="&amp;EOMONTH(DK$8,-12))-1</f>
        <v/>
      </c>
      <c r="DL35" s="1318">
        <f>SUMIFS(30:30,$8:$8,"&gt;="&amp;DATE(YEAR(DL$8),1,1),$8:$8,"&lt;="&amp;EOMONTH(DL$8,0))/SUMIFS(30:30,$8:$8,"&gt;="&amp;DATE(YEAR(DL$8)-1,1,1),$8:$8,"&lt;="&amp;EOMONTH(DL$8,-12))-1</f>
        <v/>
      </c>
      <c r="DM35" s="1318">
        <f>SUMIFS(30:30,$8:$8,"&gt;="&amp;DATE(YEAR(DM$8),1,1),$8:$8,"&lt;="&amp;EOMONTH(DM$8,0))/SUMIFS(30:30,$8:$8,"&gt;="&amp;DATE(YEAR(DM$8)-1,1,1),$8:$8,"&lt;="&amp;EOMONTH(DM$8,-12))-1</f>
        <v/>
      </c>
      <c r="DN35" s="1318">
        <f>SUMIFS(30:30,$8:$8,"&gt;="&amp;DATE(YEAR(DN$8),1,1),$8:$8,"&lt;="&amp;EOMONTH(DN$8,0))/SUMIFS(30:30,$8:$8,"&gt;="&amp;DATE(YEAR(DN$8)-1,1,1),$8:$8,"&lt;="&amp;EOMONTH(DN$8,-12))-1</f>
        <v/>
      </c>
      <c r="DO35" s="1318">
        <f>SUMIFS(30:30,$8:$8,"&gt;="&amp;DATE(YEAR(DO$8),1,1),$8:$8,"&lt;="&amp;EOMONTH(DO$8,0))/SUMIFS(30:30,$8:$8,"&gt;="&amp;DATE(YEAR(DO$8)-1,1,1),$8:$8,"&lt;="&amp;EOMONTH(DO$8,-12))-1</f>
        <v/>
      </c>
      <c r="DP35" s="1318">
        <f>SUMIFS(30:30,$8:$8,"&gt;="&amp;DATE(YEAR(DP$8),1,1),$8:$8,"&lt;="&amp;EOMONTH(DP$8,0))/SUMIFS(30:30,$8:$8,"&gt;="&amp;DATE(YEAR(DP$8)-1,1,1),$8:$8,"&lt;="&amp;EOMONTH(DP$8,-12))-1</f>
        <v/>
      </c>
      <c r="DQ35" s="1318">
        <f>SUMIFS(30:30,$8:$8,"&gt;="&amp;DATE(YEAR(DQ$8),1,1),$8:$8,"&lt;="&amp;EOMONTH(DQ$8,0))/SUMIFS(30:30,$8:$8,"&gt;="&amp;DATE(YEAR(DQ$8)-1,1,1),$8:$8,"&lt;="&amp;EOMONTH(DQ$8,-12))-1</f>
        <v/>
      </c>
      <c r="DR35" s="1318">
        <f>SUMIFS(30:30,$8:$8,"&gt;="&amp;DATE(YEAR(DR$8),1,1),$8:$8,"&lt;="&amp;EOMONTH(DR$8,0))/SUMIFS(30:30,$8:$8,"&gt;="&amp;DATE(YEAR(DR$8)-1,1,1),$8:$8,"&lt;="&amp;EOMONTH(DR$8,-12))-1</f>
        <v/>
      </c>
      <c r="DS35" s="1318">
        <f>SUMIFS(30:30,$8:$8,"&gt;="&amp;DATE(YEAR(DS$8),1,1),$8:$8,"&lt;="&amp;EOMONTH(DS$8,0))/SUMIFS(30:30,$8:$8,"&gt;="&amp;DATE(YEAR(DS$8)-1,1,1),$8:$8,"&lt;="&amp;EOMONTH(DS$8,-12))-1</f>
        <v/>
      </c>
      <c r="DT35" s="1318">
        <f>SUMIFS(30:30,$8:$8,"&gt;="&amp;DATE(YEAR(DT$8),1,1),$8:$8,"&lt;="&amp;EOMONTH(DT$8,0))/SUMIFS(30:30,$8:$8,"&gt;="&amp;DATE(YEAR(DT$8)-1,1,1),$8:$8,"&lt;="&amp;EOMONTH(DT$8,-12))-1</f>
        <v/>
      </c>
      <c r="DU35" s="1318">
        <f>SUMIFS(30:30,$8:$8,"&gt;="&amp;DATE(YEAR(DU$8),1,1),$8:$8,"&lt;="&amp;EOMONTH(DU$8,0))/SUMIFS(30:30,$8:$8,"&gt;="&amp;DATE(YEAR(DU$8)-1,1,1),$8:$8,"&lt;="&amp;EOMONTH(DU$8,-12))-1</f>
        <v/>
      </c>
      <c r="DV35" s="1318">
        <f>SUMIFS(30:30,$8:$8,"&gt;="&amp;DATE(YEAR(DV$8),1,1),$8:$8,"&lt;="&amp;EOMONTH(DV$8,0))/SUMIFS(30:30,$8:$8,"&gt;="&amp;DATE(YEAR(DV$8)-1,1,1),$8:$8,"&lt;="&amp;EOMONTH(DV$8,-12))-1</f>
        <v/>
      </c>
      <c r="DW35" s="1318">
        <f>SUMIFS(30:30,$8:$8,"&gt;="&amp;DATE(YEAR(DW$8),1,1),$8:$8,"&lt;="&amp;EOMONTH(DW$8,0))/SUMIFS(30:30,$8:$8,"&gt;="&amp;DATE(YEAR(DW$8)-1,1,1),$8:$8,"&lt;="&amp;EOMONTH(DW$8,-12))-1</f>
        <v/>
      </c>
      <c r="DX35" s="1318">
        <f>SUMIFS(30:30,$8:$8,"&gt;="&amp;DATE(YEAR(DX$8),1,1),$8:$8,"&lt;="&amp;EOMONTH(DX$8,0))/SUMIFS(30:30,$8:$8,"&gt;="&amp;DATE(YEAR(DX$8)-1,1,1),$8:$8,"&lt;="&amp;EOMONTH(DX$8,-12))-1</f>
        <v/>
      </c>
      <c r="DY35" s="1318">
        <f>SUMIFS(30:30,$8:$8,"&gt;="&amp;DATE(YEAR(DY$8),1,1),$8:$8,"&lt;="&amp;EOMONTH(DY$8,0))/SUMIFS(30:30,$8:$8,"&gt;="&amp;DATE(YEAR(DY$8)-1,1,1),$8:$8,"&lt;="&amp;EOMONTH(DY$8,-12))-1</f>
        <v/>
      </c>
      <c r="DZ35" s="1318">
        <f>SUMIFS(30:30,$8:$8,"&gt;="&amp;DATE(YEAR(DZ$8),1,1),$8:$8,"&lt;="&amp;EOMONTH(DZ$8,0))/SUMIFS(30:30,$8:$8,"&gt;="&amp;DATE(YEAR(DZ$8)-1,1,1),$8:$8,"&lt;="&amp;EOMONTH(DZ$8,-12))-1</f>
        <v/>
      </c>
      <c r="EA35" s="1318">
        <f>SUMIFS(30:30,$8:$8,"&gt;="&amp;DATE(YEAR(EA$8),1,1),$8:$8,"&lt;="&amp;EOMONTH(EA$8,0))/SUMIFS(30:30,$8:$8,"&gt;="&amp;DATE(YEAR(EA$8)-1,1,1),$8:$8,"&lt;="&amp;EOMONTH(EA$8,-12))-1</f>
        <v/>
      </c>
      <c r="EB35" s="1318">
        <f>SUMIFS(30:30,$8:$8,"&gt;="&amp;DATE(YEAR(EB$8),1,1),$8:$8,"&lt;="&amp;EOMONTH(EB$8,0))/SUMIFS(30:30,$8:$8,"&gt;="&amp;DATE(YEAR(EB$8)-1,1,1),$8:$8,"&lt;="&amp;EOMONTH(EB$8,-12))-1</f>
        <v/>
      </c>
      <c r="EC35" s="1318">
        <f>SUMIFS(30:30,$8:$8,"&gt;="&amp;DATE(YEAR(EC$8),1,1),$8:$8,"&lt;="&amp;EOMONTH(EC$8,0))/SUMIFS(30:30,$8:$8,"&gt;="&amp;DATE(YEAR(EC$8)-1,1,1),$8:$8,"&lt;="&amp;EOMONTH(EC$8,-12))-1</f>
        <v/>
      </c>
      <c r="ED35" s="1318">
        <f>SUMIFS(30:30,$8:$8,"&gt;="&amp;DATE(YEAR(ED$8),1,1),$8:$8,"&lt;="&amp;EOMONTH(ED$8,0))/SUMIFS(30:30,$8:$8,"&gt;="&amp;DATE(YEAR(ED$8)-1,1,1),$8:$8,"&lt;="&amp;EOMONTH(ED$8,-12))-1</f>
        <v/>
      </c>
      <c r="EE35" s="1318">
        <f>SUMIFS(30:30,$8:$8,"&gt;="&amp;DATE(YEAR(EE$8),1,1),$8:$8,"&lt;="&amp;EOMONTH(EE$8,0))/SUMIFS(30:30,$8:$8,"&gt;="&amp;DATE(YEAR(EE$8)-1,1,1),$8:$8,"&lt;="&amp;EOMONTH(EE$8,-12))-1</f>
        <v/>
      </c>
      <c r="EF35" s="1318">
        <f>SUMIFS(30:30,$8:$8,"&gt;="&amp;DATE(YEAR(EF$8),1,1),$8:$8,"&lt;="&amp;EOMONTH(EF$8,0))/SUMIFS(30:30,$8:$8,"&gt;="&amp;DATE(YEAR(EF$8)-1,1,1),$8:$8,"&lt;="&amp;EOMONTH(EF$8,-12))-1</f>
        <v/>
      </c>
      <c r="EG35" s="1318">
        <f>SUMIFS(30:30,$8:$8,"&gt;="&amp;DATE(YEAR(EG$8),1,1),$8:$8,"&lt;="&amp;EOMONTH(EG$8,0))/SUMIFS(30:30,$8:$8,"&gt;="&amp;DATE(YEAR(EG$8)-1,1,1),$8:$8,"&lt;="&amp;EOMONTH(EG$8,-12))-1</f>
        <v/>
      </c>
      <c r="EH35" s="1318">
        <f>SUMIFS(30:30,$8:$8,"&gt;="&amp;DATE(YEAR(EH$8),1,1),$8:$8,"&lt;="&amp;EOMONTH(EH$8,0))/SUMIFS(30:30,$8:$8,"&gt;="&amp;DATE(YEAR(EH$8)-1,1,1),$8:$8,"&lt;="&amp;EOMONTH(EH$8,-12))-1</f>
        <v/>
      </c>
      <c r="EI35" s="1318">
        <f>SUMIFS(30:30,$8:$8,"&gt;="&amp;DATE(YEAR(EI$8),1,1),$8:$8,"&lt;="&amp;EOMONTH(EI$8,0))/SUMIFS(30:30,$8:$8,"&gt;="&amp;DATE(YEAR(EI$8)-1,1,1),$8:$8,"&lt;="&amp;EOMONTH(EI$8,-12))-1</f>
        <v/>
      </c>
      <c r="EJ35" s="1318">
        <f>SUMIFS(30:30,$8:$8,"&gt;="&amp;DATE(YEAR(EJ$8),1,1),$8:$8,"&lt;="&amp;EOMONTH(EJ$8,0))/SUMIFS(30:30,$8:$8,"&gt;="&amp;DATE(YEAR(EJ$8)-1,1,1),$8:$8,"&lt;="&amp;EOMONTH(EJ$8,-12))-1</f>
        <v/>
      </c>
      <c r="EK35" s="1318">
        <f>SUMIFS(30:30,$8:$8,"&gt;="&amp;DATE(YEAR(EK$8),1,1),$8:$8,"&lt;="&amp;EOMONTH(EK$8,0))/SUMIFS(30:30,$8:$8,"&gt;="&amp;DATE(YEAR(EK$8)-1,1,1),$8:$8,"&lt;="&amp;EOMONTH(EK$8,-12))-1</f>
        <v/>
      </c>
      <c r="EL35" s="1318">
        <f>SUMIFS(30:30,$8:$8,"&gt;="&amp;DATE(YEAR(EL$8),1,1),$8:$8,"&lt;="&amp;EOMONTH(EL$8,0))/SUMIFS(30:30,$8:$8,"&gt;="&amp;DATE(YEAR(EL$8)-1,1,1),$8:$8,"&lt;="&amp;EOMONTH(EL$8,-12))-1</f>
        <v/>
      </c>
      <c r="EM35" s="1318">
        <f>SUMIFS(30:30,$8:$8,"&gt;="&amp;DATE(YEAR(EM$8),1,1),$8:$8,"&lt;="&amp;EOMONTH(EM$8,0))/SUMIFS(30:30,$8:$8,"&gt;="&amp;DATE(YEAR(EM$8)-1,1,1),$8:$8,"&lt;="&amp;EOMONTH(EM$8,-12))-1</f>
        <v/>
      </c>
      <c r="EN35" s="1318">
        <f>SUMIFS(30:30,$8:$8,"&gt;="&amp;DATE(YEAR(EN$8),1,1),$8:$8,"&lt;="&amp;EOMONTH(EN$8,0))/SUMIFS(30:30,$8:$8,"&gt;="&amp;DATE(YEAR(EN$8)-1,1,1),$8:$8,"&lt;="&amp;EOMONTH(EN$8,-12))-1</f>
        <v/>
      </c>
      <c r="EO35" s="1318">
        <f>SUMIFS(30:30,$8:$8,"&gt;="&amp;DATE(YEAR(EO$8),1,1),$8:$8,"&lt;="&amp;EOMONTH(EO$8,0))/SUMIFS(30:30,$8:$8,"&gt;="&amp;DATE(YEAR(EO$8)-1,1,1),$8:$8,"&lt;="&amp;EOMONTH(EO$8,-12))-1</f>
        <v/>
      </c>
      <c r="EP35" s="1318">
        <f>SUMIFS(30:30,$8:$8,"&gt;="&amp;DATE(YEAR(EP$8),1,1),$8:$8,"&lt;="&amp;EOMONTH(EP$8,0))/SUMIFS(30:30,$8:$8,"&gt;="&amp;DATE(YEAR(EP$8)-1,1,1),$8:$8,"&lt;="&amp;EOMONTH(EP$8,-12))-1</f>
        <v/>
      </c>
      <c r="EQ35" s="1318">
        <f>SUMIFS(30:30,$8:$8,"&gt;="&amp;DATE(YEAR(EQ$8),1,1),$8:$8,"&lt;="&amp;EOMONTH(EQ$8,0))/SUMIFS(30:30,$8:$8,"&gt;="&amp;DATE(YEAR(EQ$8)-1,1,1),$8:$8,"&lt;="&amp;EOMONTH(EQ$8,-12))-1</f>
        <v/>
      </c>
      <c r="ER35" s="1318">
        <f>SUMIFS(30:30,$8:$8,"&gt;="&amp;DATE(YEAR(ER$8),1,1),$8:$8,"&lt;="&amp;EOMONTH(ER$8,0))/SUMIFS(30:30,$8:$8,"&gt;="&amp;DATE(YEAR(ER$8)-1,1,1),$8:$8,"&lt;="&amp;EOMONTH(ER$8,-12))-1</f>
        <v/>
      </c>
      <c r="ES35" s="1318">
        <f>SUMIFS(30:30,$8:$8,"&gt;="&amp;DATE(YEAR(ES$8),1,1),$8:$8,"&lt;="&amp;EOMONTH(ES$8,0))/SUMIFS(30:30,$8:$8,"&gt;="&amp;DATE(YEAR(ES$8)-1,1,1),$8:$8,"&lt;="&amp;EOMONTH(ES$8,-12))-1</f>
        <v/>
      </c>
      <c r="ET35" s="1318">
        <f>SUMIFS(30:30,$8:$8,"&gt;="&amp;DATE(YEAR(ET$8),1,1),$8:$8,"&lt;="&amp;EOMONTH(ET$8,0))/SUMIFS(30:30,$8:$8,"&gt;="&amp;DATE(YEAR(ET$8)-1,1,1),$8:$8,"&lt;="&amp;EOMONTH(ET$8,-12))-1</f>
        <v/>
      </c>
      <c r="EU35" s="1318">
        <f>SUMIFS(30:30,$8:$8,"&gt;="&amp;DATE(YEAR(EU$8),1,1),$8:$8,"&lt;="&amp;EOMONTH(EU$8,0))/SUMIFS(30:30,$8:$8,"&gt;="&amp;DATE(YEAR(EU$8)-1,1,1),$8:$8,"&lt;="&amp;EOMONTH(EU$8,-12))-1</f>
        <v/>
      </c>
      <c r="EV35" s="1318">
        <f>SUMIFS(30:30,$8:$8,"&gt;="&amp;DATE(YEAR(EV$8),1,1),$8:$8,"&lt;="&amp;EOMONTH(EV$8,0))/SUMIFS(30:30,$8:$8,"&gt;="&amp;DATE(YEAR(EV$8)-1,1,1),$8:$8,"&lt;="&amp;EOMONTH(EV$8,-12))-1</f>
        <v/>
      </c>
      <c r="EW35" s="1318">
        <f>SUMIFS(30:30,$8:$8,"&gt;="&amp;DATE(YEAR(EW$8),1,1),$8:$8,"&lt;="&amp;EOMONTH(EW$8,0))/SUMIFS(30:30,$8:$8,"&gt;="&amp;DATE(YEAR(EW$8)-1,1,1),$8:$8,"&lt;="&amp;EOMONTH(EW$8,-12))-1</f>
        <v/>
      </c>
      <c r="EX35" s="1318">
        <f>SUMIFS(30:30,$8:$8,"&gt;="&amp;DATE(YEAR(EX$8),1,1),$8:$8,"&lt;="&amp;EOMONTH(EX$8,0))/SUMIFS(30:30,$8:$8,"&gt;="&amp;DATE(YEAR(EX$8)-1,1,1),$8:$8,"&lt;="&amp;EOMONTH(EX$8,-12))-1</f>
        <v/>
      </c>
      <c r="EY35" s="1318">
        <f>SUMIFS(30:30,$8:$8,"&gt;="&amp;DATE(YEAR(EY$8),1,1),$8:$8,"&lt;="&amp;EOMONTH(EY$8,0))/SUMIFS(30:30,$8:$8,"&gt;="&amp;DATE(YEAR(EY$8)-1,1,1),$8:$8,"&lt;="&amp;EOMONTH(EY$8,-12))-1</f>
        <v/>
      </c>
      <c r="EZ35" s="1318">
        <f>SUMIFS(30:30,$8:$8,"&gt;="&amp;DATE(YEAR(EZ$8),1,1),$8:$8,"&lt;="&amp;EOMONTH(EZ$8,0))/SUMIFS(30:30,$8:$8,"&gt;="&amp;DATE(YEAR(EZ$8)-1,1,1),$8:$8,"&lt;="&amp;EOMONTH(EZ$8,-12))-1</f>
        <v/>
      </c>
      <c r="FA35" s="1318">
        <f>SUMIFS(30:30,$8:$8,"&gt;="&amp;DATE(YEAR(FA$8),1,1),$8:$8,"&lt;="&amp;EOMONTH(FA$8,0))/SUMIFS(30:30,$8:$8,"&gt;="&amp;DATE(YEAR(FA$8)-1,1,1),$8:$8,"&lt;="&amp;EOMONTH(FA$8,-12))-1</f>
        <v/>
      </c>
      <c r="FB35" s="1318">
        <f>SUMIFS(30:30,$8:$8,"&gt;="&amp;DATE(YEAR(FB$8),1,1),$8:$8,"&lt;="&amp;EOMONTH(FB$8,0))/SUMIFS(30:30,$8:$8,"&gt;="&amp;DATE(YEAR(FB$8)-1,1,1),$8:$8,"&lt;="&amp;EOMONTH(FB$8,-12))-1</f>
        <v/>
      </c>
      <c r="FC35" s="1318">
        <f>SUMIFS(30:30,$8:$8,"&gt;="&amp;DATE(YEAR(FC$8),1,1),$8:$8,"&lt;="&amp;EOMONTH(FC$8,0))/SUMIFS(30:30,$8:$8,"&gt;="&amp;DATE(YEAR(FC$8)-1,1,1),$8:$8,"&lt;="&amp;EOMONTH(FC$8,-12))-1</f>
        <v/>
      </c>
      <c r="FD35" s="1318">
        <f>SUMIFS(30:30,$8:$8,"&gt;="&amp;DATE(YEAR(FD$8),1,1),$8:$8,"&lt;="&amp;EOMONTH(FD$8,0))/SUMIFS(30:30,$8:$8,"&gt;="&amp;DATE(YEAR(FD$8)-1,1,1),$8:$8,"&lt;="&amp;EOMONTH(FD$8,-12))-1</f>
        <v/>
      </c>
      <c r="FE35" s="1318">
        <f>SUMIFS(30:30,$8:$8,"&gt;="&amp;DATE(YEAR(FE$8),1,1),$8:$8,"&lt;="&amp;EOMONTH(FE$8,0))/SUMIFS(30:30,$8:$8,"&gt;="&amp;DATE(YEAR(FE$8)-1,1,1),$8:$8,"&lt;="&amp;EOMONTH(FE$8,-12))-1</f>
        <v/>
      </c>
      <c r="FF35" s="1318">
        <f>SUMIFS(30:30,$8:$8,"&gt;="&amp;DATE(YEAR(FF$8),1,1),$8:$8,"&lt;="&amp;EOMONTH(FF$8,0))/SUMIFS(30:30,$8:$8,"&gt;="&amp;DATE(YEAR(FF$8)-1,1,1),$8:$8,"&lt;="&amp;EOMONTH(FF$8,-12))-1</f>
        <v/>
      </c>
      <c r="FG35" s="1318">
        <f>SUMIFS(30:30,$8:$8,"&gt;="&amp;DATE(YEAR(FG$8),1,1),$8:$8,"&lt;="&amp;EOMONTH(FG$8,0))/SUMIFS(30:30,$8:$8,"&gt;="&amp;DATE(YEAR(FG$8)-1,1,1),$8:$8,"&lt;="&amp;EOMONTH(FG$8,-12))-1</f>
        <v/>
      </c>
      <c r="FH35" s="1318">
        <f>SUMIFS(30:30,$8:$8,"&gt;="&amp;DATE(YEAR(FH$8),1,1),$8:$8,"&lt;="&amp;EOMONTH(FH$8,0))/SUMIFS(30:30,$8:$8,"&gt;="&amp;DATE(YEAR(FH$8)-1,1,1),$8:$8,"&lt;="&amp;EOMONTH(FH$8,-12))-1</f>
        <v/>
      </c>
      <c r="FI35" s="1318">
        <f>SUMIFS(30:30,$8:$8,"&gt;="&amp;DATE(YEAR(FI$8),1,1),$8:$8,"&lt;="&amp;EOMONTH(FI$8,0))/SUMIFS(30:30,$8:$8,"&gt;="&amp;DATE(YEAR(FI$8)-1,1,1),$8:$8,"&lt;="&amp;EOMONTH(FI$8,-12))-1</f>
        <v/>
      </c>
      <c r="FJ35" s="1318">
        <f>SUMIFS(30:30,$8:$8,"&gt;="&amp;DATE(YEAR(FJ$8),1,1),$8:$8,"&lt;="&amp;EOMONTH(FJ$8,0))/SUMIFS(30:30,$8:$8,"&gt;="&amp;DATE(YEAR(FJ$8)-1,1,1),$8:$8,"&lt;="&amp;EOMONTH(FJ$8,-12))-1</f>
        <v/>
      </c>
      <c r="FK35" s="1318">
        <f>SUMIFS(30:30,$8:$8,"&gt;="&amp;DATE(YEAR(FK$8),1,1),$8:$8,"&lt;="&amp;EOMONTH(FK$8,0))/SUMIFS(30:30,$8:$8,"&gt;="&amp;DATE(YEAR(FK$8)-1,1,1),$8:$8,"&lt;="&amp;EOMONTH(FK$8,-12))-1</f>
        <v/>
      </c>
      <c r="FL35" s="1318">
        <f>SUMIFS(30:30,$8:$8,"&gt;="&amp;DATE(YEAR(FL$8),1,1),$8:$8,"&lt;="&amp;EOMONTH(FL$8,0))/SUMIFS(30:30,$8:$8,"&gt;="&amp;DATE(YEAR(FL$8)-1,1,1),$8:$8,"&lt;="&amp;EOMONTH(FL$8,-12))-1</f>
        <v/>
      </c>
      <c r="FM35" s="1318">
        <f>SUMIFS(30:30,$8:$8,"&gt;="&amp;DATE(YEAR(FM$8),1,1),$8:$8,"&lt;="&amp;EOMONTH(FM$8,0))/SUMIFS(30:30,$8:$8,"&gt;="&amp;DATE(YEAR(FM$8)-1,1,1),$8:$8,"&lt;="&amp;EOMONTH(FM$8,-12))-1</f>
        <v/>
      </c>
      <c r="FN35" s="1318">
        <f>SUMIFS(30:30,$8:$8,"&gt;="&amp;DATE(YEAR(FN$8),1,1),$8:$8,"&lt;="&amp;EOMONTH(FN$8,0))/SUMIFS(30:30,$8:$8,"&gt;="&amp;DATE(YEAR(FN$8)-1,1,1),$8:$8,"&lt;="&amp;EOMONTH(FN$8,-12))-1</f>
        <v/>
      </c>
      <c r="FO35" s="1318">
        <f>SUMIFS(30:30,$8:$8,"&gt;="&amp;DATE(YEAR(FO$8),1,1),$8:$8,"&lt;="&amp;EOMONTH(FO$8,0))/SUMIFS(30:30,$8:$8,"&gt;="&amp;DATE(YEAR(FO$8)-1,1,1),$8:$8,"&lt;="&amp;EOMONTH(FO$8,-12))-1</f>
        <v/>
      </c>
      <c r="FP35" s="1318">
        <f>SUMIFS(30:30,$8:$8,"&gt;="&amp;DATE(YEAR(FP$8),1,1),$8:$8,"&lt;="&amp;EOMONTH(FP$8,0))/SUMIFS(30:30,$8:$8,"&gt;="&amp;DATE(YEAR(FP$8)-1,1,1),$8:$8,"&lt;="&amp;EOMONTH(FP$8,-12))-1</f>
        <v/>
      </c>
      <c r="FQ35" s="1318">
        <f>SUMIFS(30:30,$8:$8,"&gt;="&amp;DATE(YEAR(FQ$8),1,1),$8:$8,"&lt;="&amp;EOMONTH(FQ$8,0))/SUMIFS(30:30,$8:$8,"&gt;="&amp;DATE(YEAR(FQ$8)-1,1,1),$8:$8,"&lt;="&amp;EOMONTH(FQ$8,-12))-1</f>
        <v/>
      </c>
      <c r="FR35" s="1318">
        <f>SUMIFS(30:30,$8:$8,"&gt;="&amp;DATE(YEAR(FR$8),1,1),$8:$8,"&lt;="&amp;EOMONTH(FR$8,0))/SUMIFS(30:30,$8:$8,"&gt;="&amp;DATE(YEAR(FR$8)-1,1,1),$8:$8,"&lt;="&amp;EOMONTH(FR$8,-12))-1</f>
        <v/>
      </c>
      <c r="FS35" s="1318">
        <f>SUMIFS(30:30,$8:$8,"&gt;="&amp;DATE(YEAR(FS$8),1,1),$8:$8,"&lt;="&amp;EOMONTH(FS$8,0))/SUMIFS(30:30,$8:$8,"&gt;="&amp;DATE(YEAR(FS$8)-1,1,1),$8:$8,"&lt;="&amp;EOMONTH(FS$8,-12))-1</f>
        <v/>
      </c>
      <c r="FT35" s="1318">
        <f>SUMIFS(30:30,$8:$8,"&gt;="&amp;DATE(YEAR(FT$8),1,1),$8:$8,"&lt;="&amp;EOMONTH(FT$8,0))/SUMIFS(30:30,$8:$8,"&gt;="&amp;DATE(YEAR(FT$8)-1,1,1),$8:$8,"&lt;="&amp;EOMONTH(FT$8,-12))-1</f>
        <v/>
      </c>
      <c r="FU35" s="1318">
        <f>SUMIFS(30:30,$8:$8,"&gt;="&amp;DATE(YEAR(FU$8),1,1),$8:$8,"&lt;="&amp;EOMONTH(FU$8,0))/SUMIFS(30:30,$8:$8,"&gt;="&amp;DATE(YEAR(FU$8)-1,1,1),$8:$8,"&lt;="&amp;EOMONTH(FU$8,-12))-1</f>
        <v/>
      </c>
      <c r="FV35" s="1318">
        <f>SUMIFS(30:30,$8:$8,"&gt;="&amp;DATE(YEAR(FV$8),1,1),$8:$8,"&lt;="&amp;EOMONTH(FV$8,0))/SUMIFS(30:30,$8:$8,"&gt;="&amp;DATE(YEAR(FV$8)-1,1,1),$8:$8,"&lt;="&amp;EOMONTH(FV$8,-12))-1</f>
        <v/>
      </c>
      <c r="FW35" s="1318">
        <f>SUMIFS(30:30,$8:$8,"&gt;="&amp;DATE(YEAR(FW$8),1,1),$8:$8,"&lt;="&amp;EOMONTH(FW$8,0))/SUMIFS(30:30,$8:$8,"&gt;="&amp;DATE(YEAR(FW$8)-1,1,1),$8:$8,"&lt;="&amp;EOMONTH(FW$8,-12))-1</f>
        <v/>
      </c>
      <c r="FX35" s="1318">
        <f>SUMIFS(30:30,$8:$8,"&gt;="&amp;DATE(YEAR(FX$8),1,1),$8:$8,"&lt;="&amp;EOMONTH(FX$8,0))/SUMIFS(30:30,$8:$8,"&gt;="&amp;DATE(YEAR(FX$8)-1,1,1),$8:$8,"&lt;="&amp;EOMONTH(FX$8,-12))-1</f>
        <v/>
      </c>
      <c r="FY35" s="1318">
        <f>SUMIFS(30:30,$8:$8,"&gt;="&amp;DATE(YEAR(FY$8),1,1),$8:$8,"&lt;="&amp;EOMONTH(FY$8,0))/SUMIFS(30:30,$8:$8,"&gt;="&amp;DATE(YEAR(FY$8)-1,1,1),$8:$8,"&lt;="&amp;EOMONTH(FY$8,-12))-1</f>
        <v/>
      </c>
      <c r="FZ35" s="1318">
        <f>SUMIFS(30:30,$8:$8,"&gt;="&amp;DATE(YEAR(FZ$8),1,1),$8:$8,"&lt;="&amp;EOMONTH(FZ$8,0))/SUMIFS(30:30,$8:$8,"&gt;="&amp;DATE(YEAR(FZ$8)-1,1,1),$8:$8,"&lt;="&amp;EOMONTH(FZ$8,-12))-1</f>
        <v/>
      </c>
      <c r="GA35" s="1318">
        <f>SUMIFS(30:30,$8:$8,"&gt;="&amp;DATE(YEAR(GA$8),1,1),$8:$8,"&lt;="&amp;EOMONTH(GA$8,0))/SUMIFS(30:30,$8:$8,"&gt;="&amp;DATE(YEAR(GA$8)-1,1,1),$8:$8,"&lt;="&amp;EOMONTH(GA$8,-12))-1</f>
        <v/>
      </c>
      <c r="GB35" s="1318">
        <f>SUMIFS(30:30,$8:$8,"&gt;="&amp;DATE(YEAR(GB$8),1,1),$8:$8,"&lt;="&amp;EOMONTH(GB$8,0))/SUMIFS(30:30,$8:$8,"&gt;="&amp;DATE(YEAR(GB$8)-1,1,1),$8:$8,"&lt;="&amp;EOMONTH(GB$8,-12))-1</f>
        <v/>
      </c>
      <c r="GC35" s="1318">
        <f>SUMIFS(30:30,$8:$8,"&gt;="&amp;DATE(YEAR(GC$8),1,1),$8:$8,"&lt;="&amp;EOMONTH(GC$8,0))/SUMIFS(30:30,$8:$8,"&gt;="&amp;DATE(YEAR(GC$8)-1,1,1),$8:$8,"&lt;="&amp;EOMONTH(GC$8,-12))-1</f>
        <v/>
      </c>
      <c r="GD35" s="1318">
        <f>SUMIFS(30:30,$8:$8,"&gt;="&amp;DATE(YEAR(GD$8),1,1),$8:$8,"&lt;="&amp;EOMONTH(GD$8,0))/SUMIFS(30:30,$8:$8,"&gt;="&amp;DATE(YEAR(GD$8)-1,1,1),$8:$8,"&lt;="&amp;EOMONTH(GD$8,-12))-1</f>
        <v/>
      </c>
      <c r="GE35" s="1318">
        <f>SUMIFS(30:30,$8:$8,"&gt;="&amp;DATE(YEAR(GE$8),1,1),$8:$8,"&lt;="&amp;EOMONTH(GE$8,0))/SUMIFS(30:30,$8:$8,"&gt;="&amp;DATE(YEAR(GE$8)-1,1,1),$8:$8,"&lt;="&amp;EOMONTH(GE$8,-12))-1</f>
        <v/>
      </c>
      <c r="GF35" s="1318">
        <f>SUMIFS(30:30,$8:$8,"&gt;="&amp;DATE(YEAR(GF$8),1,1),$8:$8,"&lt;="&amp;EOMONTH(GF$8,0))/SUMIFS(30:30,$8:$8,"&gt;="&amp;DATE(YEAR(GF$8)-1,1,1),$8:$8,"&lt;="&amp;EOMONTH(GF$8,-12))-1</f>
        <v/>
      </c>
      <c r="GG35" s="1318">
        <f>SUMIFS(30:30,$8:$8,"&gt;="&amp;DATE(YEAR(GG$8),1,1),$8:$8,"&lt;="&amp;EOMONTH(GG$8,0))/SUMIFS(30:30,$8:$8,"&gt;="&amp;DATE(YEAR(GG$8)-1,1,1),$8:$8,"&lt;="&amp;EOMONTH(GG$8,-12))-1</f>
        <v/>
      </c>
      <c r="GH35" s="1318">
        <f>SUMIFS(30:30,$8:$8,"&gt;="&amp;DATE(YEAR(GH$8),1,1),$8:$8,"&lt;="&amp;EOMONTH(GH$8,0))/SUMIFS(30:30,$8:$8,"&gt;="&amp;DATE(YEAR(GH$8)-1,1,1),$8:$8,"&lt;="&amp;EOMONTH(GH$8,-12))-1</f>
        <v/>
      </c>
      <c r="GI35" s="1318">
        <f>SUMIFS(30:30,$8:$8,"&gt;="&amp;DATE(YEAR(GI$8),1,1),$8:$8,"&lt;="&amp;EOMONTH(GI$8,0))/SUMIFS(30:30,$8:$8,"&gt;="&amp;DATE(YEAR(GI$8)-1,1,1),$8:$8,"&lt;="&amp;EOMONTH(GI$8,-12))-1</f>
        <v/>
      </c>
      <c r="GJ35" s="1318">
        <f>SUMIFS(30:30,$8:$8,"&gt;="&amp;DATE(YEAR(GJ$8),1,1),$8:$8,"&lt;="&amp;EOMONTH(GJ$8,0))/SUMIFS(30:30,$8:$8,"&gt;="&amp;DATE(YEAR(GJ$8)-1,1,1),$8:$8,"&lt;="&amp;EOMONTH(GJ$8,-12))-1</f>
        <v/>
      </c>
      <c r="GK35" s="1318">
        <f>SUMIFS(30:30,$8:$8,"&gt;="&amp;DATE(YEAR(GK$8),1,1),$8:$8,"&lt;="&amp;EOMONTH(GK$8,0))/SUMIFS(30:30,$8:$8,"&gt;="&amp;DATE(YEAR(GK$8)-1,1,1),$8:$8,"&lt;="&amp;EOMONTH(GK$8,-12))-1</f>
        <v/>
      </c>
      <c r="GL35" s="1318">
        <f>SUMIFS(30:30,$8:$8,"&gt;="&amp;DATE(YEAR(GL$8),1,1),$8:$8,"&lt;="&amp;EOMONTH(GL$8,0))/SUMIFS(30:30,$8:$8,"&gt;="&amp;DATE(YEAR(GL$8)-1,1,1),$8:$8,"&lt;="&amp;EOMONTH(GL$8,-12))-1</f>
        <v/>
      </c>
      <c r="GM35" s="1318">
        <f>SUMIFS(30:30,$8:$8,"&gt;="&amp;DATE(YEAR(GM$8),1,1),$8:$8,"&lt;="&amp;EOMONTH(GM$8,0))/SUMIFS(30:30,$8:$8,"&gt;="&amp;DATE(YEAR(GM$8)-1,1,1),$8:$8,"&lt;="&amp;EOMONTH(GM$8,-12))-1</f>
        <v/>
      </c>
      <c r="GN35" s="1318">
        <f>SUMIFS(30:30,$8:$8,"&gt;="&amp;DATE(YEAR(GN$8),1,1),$8:$8,"&lt;="&amp;EOMONTH(GN$8,0))/SUMIFS(30:30,$8:$8,"&gt;="&amp;DATE(YEAR(GN$8)-1,1,1),$8:$8,"&lt;="&amp;EOMONTH(GN$8,-12))-1</f>
        <v/>
      </c>
      <c r="GO35" s="1318">
        <f>SUMIFS(30:30,$8:$8,"&gt;="&amp;DATE(YEAR(GO$8),1,1),$8:$8,"&lt;="&amp;EOMONTH(GO$8,0))/SUMIFS(30:30,$8:$8,"&gt;="&amp;DATE(YEAR(GO$8)-1,1,1),$8:$8,"&lt;="&amp;EOMONTH(GO$8,-12))-1</f>
        <v/>
      </c>
      <c r="GP35" s="1318">
        <f>SUMIFS(30:30,$8:$8,"&gt;="&amp;DATE(YEAR(GP$8),1,1),$8:$8,"&lt;="&amp;EOMONTH(GP$8,0))/SUMIFS(30:30,$8:$8,"&gt;="&amp;DATE(YEAR(GP$8)-1,1,1),$8:$8,"&lt;="&amp;EOMONTH(GP$8,-12))-1</f>
        <v/>
      </c>
      <c r="GQ35" s="1318">
        <f>SUMIFS(30:30,$8:$8,"&gt;="&amp;DATE(YEAR(GQ$8),1,1),$8:$8,"&lt;="&amp;EOMONTH(GQ$8,0))/SUMIFS(30:30,$8:$8,"&gt;="&amp;DATE(YEAR(GQ$8)-1,1,1),$8:$8,"&lt;="&amp;EOMONTH(GQ$8,-12))-1</f>
        <v/>
      </c>
      <c r="GR35" s="1318">
        <f>SUMIFS(30:30,$8:$8,"&gt;="&amp;DATE(YEAR(GR$8),1,1),$8:$8,"&lt;="&amp;EOMONTH(GR$8,0))/SUMIFS(30:30,$8:$8,"&gt;="&amp;DATE(YEAR(GR$8)-1,1,1),$8:$8,"&lt;="&amp;EOMONTH(GR$8,-12))-1</f>
        <v/>
      </c>
      <c r="GS35" s="1318">
        <f>SUMIFS(30:30,$8:$8,"&gt;="&amp;DATE(YEAR(GS$8),1,1),$8:$8,"&lt;="&amp;EOMONTH(GS$8,0))/SUMIFS(30:30,$8:$8,"&gt;="&amp;DATE(YEAR(GS$8)-1,1,1),$8:$8,"&lt;="&amp;EOMONTH(GS$8,-12))-1</f>
        <v/>
      </c>
      <c r="GT35" s="1318">
        <f>SUMIFS(30:30,$8:$8,"&gt;="&amp;DATE(YEAR(GT$8),1,1),$8:$8,"&lt;="&amp;EOMONTH(GT$8,0))/SUMIFS(30:30,$8:$8,"&gt;="&amp;DATE(YEAR(GT$8)-1,1,1),$8:$8,"&lt;="&amp;EOMONTH(GT$8,-12))-1</f>
        <v/>
      </c>
      <c r="GU35" s="1318">
        <f>SUMIFS(30:30,$8:$8,"&gt;="&amp;DATE(YEAR(GU$8),1,1),$8:$8,"&lt;="&amp;EOMONTH(GU$8,0))/SUMIFS(30:30,$8:$8,"&gt;="&amp;DATE(YEAR(GU$8)-1,1,1),$8:$8,"&lt;="&amp;EOMONTH(GU$8,-12))-1</f>
        <v/>
      </c>
      <c r="GV35" s="1318">
        <f>SUMIFS(30:30,$8:$8,"&gt;="&amp;DATE(YEAR(GV$8),1,1),$8:$8,"&lt;="&amp;EOMONTH(GV$8,0))/SUMIFS(30:30,$8:$8,"&gt;="&amp;DATE(YEAR(GV$8)-1,1,1),$8:$8,"&lt;="&amp;EOMONTH(GV$8,-12))-1</f>
        <v/>
      </c>
      <c r="GW35" s="1318">
        <f>SUMIFS(30:30,$8:$8,"&gt;="&amp;DATE(YEAR(GW$8),1,1),$8:$8,"&lt;="&amp;EOMONTH(GW$8,0))/SUMIFS(30:30,$8:$8,"&gt;="&amp;DATE(YEAR(GW$8)-1,1,1),$8:$8,"&lt;="&amp;EOMONTH(GW$8,-12))-1</f>
        <v/>
      </c>
      <c r="GX35" s="1318">
        <f>SUMIFS(30:30,$8:$8,"&gt;="&amp;DATE(YEAR(GX$8),1,1),$8:$8,"&lt;="&amp;EOMONTH(GX$8,0))/SUMIFS(30:30,$8:$8,"&gt;="&amp;DATE(YEAR(GX$8)-1,1,1),$8:$8,"&lt;="&amp;EOMONTH(GX$8,-12))-1</f>
        <v/>
      </c>
      <c r="GY35" s="1318">
        <f>SUMIFS(30:30,$8:$8,"&gt;="&amp;DATE(YEAR(GY$8),1,1),$8:$8,"&lt;="&amp;EOMONTH(GY$8,0))/SUMIFS(30:30,$8:$8,"&gt;="&amp;DATE(YEAR(GY$8)-1,1,1),$8:$8,"&lt;="&amp;EOMONTH(GY$8,-12))-1</f>
        <v/>
      </c>
      <c r="GZ35" s="1318">
        <f>SUMIFS(30:30,$8:$8,"&gt;="&amp;DATE(YEAR(GZ$8),1,1),$8:$8,"&lt;="&amp;EOMONTH(GZ$8,0))/SUMIFS(30:30,$8:$8,"&gt;="&amp;DATE(YEAR(GZ$8)-1,1,1),$8:$8,"&lt;="&amp;EOMONTH(GZ$8,-12))-1</f>
        <v/>
      </c>
      <c r="HA35" s="1318">
        <f>SUMIFS(30:30,$8:$8,"&gt;="&amp;DATE(YEAR(HA$8),1,1),$8:$8,"&lt;="&amp;EOMONTH(HA$8,0))/SUMIFS(30:30,$8:$8,"&gt;="&amp;DATE(YEAR(HA$8)-1,1,1),$8:$8,"&lt;="&amp;EOMONTH(HA$8,-12))-1</f>
        <v/>
      </c>
      <c r="HB35" s="1318">
        <f>SUMIFS(30:30,$8:$8,"&gt;="&amp;DATE(YEAR(HB$8),1,1),$8:$8,"&lt;="&amp;EOMONTH(HB$8,0))/SUMIFS(30:30,$8:$8,"&gt;="&amp;DATE(YEAR(HB$8)-1,1,1),$8:$8,"&lt;="&amp;EOMONTH(HB$8,-12))-1</f>
        <v/>
      </c>
      <c r="HC35" s="1318">
        <f>SUMIFS(30:30,$8:$8,"&gt;="&amp;DATE(YEAR(HC$8),1,1),$8:$8,"&lt;="&amp;EOMONTH(HC$8,0))/SUMIFS(30:30,$8:$8,"&gt;="&amp;DATE(YEAR(HC$8)-1,1,1),$8:$8,"&lt;="&amp;EOMONTH(HC$8,-12))-1</f>
        <v/>
      </c>
      <c r="HD35" s="1318">
        <f>SUMIFS(30:30,$8:$8,"&gt;="&amp;DATE(YEAR(HD$8),1,1),$8:$8,"&lt;="&amp;EOMONTH(HD$8,0))/SUMIFS(30:30,$8:$8,"&gt;="&amp;DATE(YEAR(HD$8)-1,1,1),$8:$8,"&lt;="&amp;EOMONTH(HD$8,-12))-1</f>
        <v/>
      </c>
      <c r="HE35" s="1318">
        <f>SUMIFS(30:30,$8:$8,"&gt;="&amp;DATE(YEAR(HE$8),1,1),$8:$8,"&lt;="&amp;EOMONTH(HE$8,0))/SUMIFS(30:30,$8:$8,"&gt;="&amp;DATE(YEAR(HE$8)-1,1,1),$8:$8,"&lt;="&amp;EOMONTH(HE$8,-12))-1</f>
        <v/>
      </c>
      <c r="HF35" s="1318">
        <f>SUMIFS(30:30,$8:$8,"&gt;="&amp;DATE(YEAR(HF$8),1,1),$8:$8,"&lt;="&amp;EOMONTH(HF$8,0))/SUMIFS(30:30,$8:$8,"&gt;="&amp;DATE(YEAR(HF$8)-1,1,1),$8:$8,"&lt;="&amp;EOMONTH(HF$8,-12))-1</f>
        <v/>
      </c>
      <c r="HG35" s="1318">
        <f>SUMIFS(30:30,$8:$8,"&gt;="&amp;DATE(YEAR(HG$8),1,1),$8:$8,"&lt;="&amp;EOMONTH(HG$8,0))/SUMIFS(30:30,$8:$8,"&gt;="&amp;DATE(YEAR(HG$8)-1,1,1),$8:$8,"&lt;="&amp;EOMONTH(HG$8,-12))-1</f>
        <v/>
      </c>
      <c r="HH35" s="1318">
        <f>SUMIFS(30:30,$8:$8,"&gt;="&amp;DATE(YEAR(HH$8),1,1),$8:$8,"&lt;="&amp;EOMONTH(HH$8,0))/SUMIFS(30:30,$8:$8,"&gt;="&amp;DATE(YEAR(HH$8)-1,1,1),$8:$8,"&lt;="&amp;EOMONTH(HH$8,-12))-1</f>
        <v/>
      </c>
      <c r="HI35" s="1318">
        <f>SUMIFS(30:30,$8:$8,"&gt;="&amp;DATE(YEAR(HI$8),1,1),$8:$8,"&lt;="&amp;EOMONTH(HI$8,0))/SUMIFS(30:30,$8:$8,"&gt;="&amp;DATE(YEAR(HI$8)-1,1,1),$8:$8,"&lt;="&amp;EOMONTH(HI$8,-12))-1</f>
        <v/>
      </c>
      <c r="HJ35" s="1318">
        <f>SUMIFS(30:30,$8:$8,"&gt;="&amp;DATE(YEAR(HJ$8),1,1),$8:$8,"&lt;="&amp;EOMONTH(HJ$8,0))/SUMIFS(30:30,$8:$8,"&gt;="&amp;DATE(YEAR(HJ$8)-1,1,1),$8:$8,"&lt;="&amp;EOMONTH(HJ$8,-12))-1</f>
        <v/>
      </c>
      <c r="HK35" s="1318">
        <f>SUMIFS(30:30,$8:$8,"&gt;="&amp;DATE(YEAR(HK$8),1,1),$8:$8,"&lt;="&amp;EOMONTH(HK$8,0))/SUMIFS(30:30,$8:$8,"&gt;="&amp;DATE(YEAR(HK$8)-1,1,1),$8:$8,"&lt;="&amp;EOMONTH(HK$8,-12))-1</f>
        <v/>
      </c>
      <c r="HL35" s="1318">
        <f>SUMIFS(30:30,$8:$8,"&gt;="&amp;DATE(YEAR(HL$8),1,1),$8:$8,"&lt;="&amp;EOMONTH(HL$8,0))/SUMIFS(30:30,$8:$8,"&gt;="&amp;DATE(YEAR(HL$8)-1,1,1),$8:$8,"&lt;="&amp;EOMONTH(HL$8,-12))-1</f>
        <v/>
      </c>
      <c r="HM35" s="1318">
        <f>SUMIFS(30:30,$8:$8,"&gt;="&amp;DATE(YEAR(HM$8),1,1),$8:$8,"&lt;="&amp;EOMONTH(HM$8,0))/SUMIFS(30:30,$8:$8,"&gt;="&amp;DATE(YEAR(HM$8)-1,1,1),$8:$8,"&lt;="&amp;EOMONTH(HM$8,-12))-1</f>
        <v/>
      </c>
      <c r="HN35" s="1318">
        <f>SUMIFS(30:30,$8:$8,"&gt;="&amp;DATE(YEAR(HN$8),1,1),$8:$8,"&lt;="&amp;EOMONTH(HN$8,0))/SUMIFS(30:30,$8:$8,"&gt;="&amp;DATE(YEAR(HN$8)-1,1,1),$8:$8,"&lt;="&amp;EOMONTH(HN$8,-12))-1</f>
        <v/>
      </c>
      <c r="HO35" s="1318">
        <f>SUMIFS(30:30,$8:$8,"&gt;="&amp;DATE(YEAR(HO$8),1,1),$8:$8,"&lt;="&amp;EOMONTH(HO$8,0))/SUMIFS(30:30,$8:$8,"&gt;="&amp;DATE(YEAR(HO$8)-1,1,1),$8:$8,"&lt;="&amp;EOMONTH(HO$8,-12))-1</f>
        <v/>
      </c>
      <c r="HP35" s="1318">
        <f>SUMIFS(30:30,$8:$8,"&gt;="&amp;DATE(YEAR(HP$8),1,1),$8:$8,"&lt;="&amp;EOMONTH(HP$8,0))/SUMIFS(30:30,$8:$8,"&gt;="&amp;DATE(YEAR(HP$8)-1,1,1),$8:$8,"&lt;="&amp;EOMONTH(HP$8,-12))-1</f>
        <v/>
      </c>
      <c r="HQ35" s="1318">
        <f>SUMIFS(30:30,$8:$8,"&gt;="&amp;DATE(YEAR(HQ$8),1,1),$8:$8,"&lt;="&amp;EOMONTH(HQ$8,0))/SUMIFS(30:30,$8:$8,"&gt;="&amp;DATE(YEAR(HQ$8)-1,1,1),$8:$8,"&lt;="&amp;EOMONTH(HQ$8,-12))-1</f>
        <v/>
      </c>
      <c r="HR35" s="1318">
        <f>SUMIFS(30:30,$8:$8,"&gt;="&amp;DATE(YEAR(HR$8),1,1),$8:$8,"&lt;="&amp;EOMONTH(HR$8,0))/SUMIFS(30:30,$8:$8,"&gt;="&amp;DATE(YEAR(HR$8)-1,1,1),$8:$8,"&lt;="&amp;EOMONTH(HR$8,-12))-1</f>
        <v/>
      </c>
      <c r="HS35" s="1318">
        <f>SUMIFS(30:30,$8:$8,"&gt;="&amp;DATE(YEAR(HS$8),1,1),$8:$8,"&lt;="&amp;EOMONTH(HS$8,0))/SUMIFS(30:30,$8:$8,"&gt;="&amp;DATE(YEAR(HS$8)-1,1,1),$8:$8,"&lt;="&amp;EOMONTH(HS$8,-12))-1</f>
        <v/>
      </c>
      <c r="HT35" s="1318">
        <f>SUMIFS(30:30,$8:$8,"&gt;="&amp;DATE(YEAR(HT$8),1,1),$8:$8,"&lt;="&amp;EOMONTH(HT$8,0))/SUMIFS(30:30,$8:$8,"&gt;="&amp;DATE(YEAR(HT$8)-1,1,1),$8:$8,"&lt;="&amp;EOMONTH(HT$8,-12))-1</f>
        <v/>
      </c>
      <c r="HU35" s="1318">
        <f>SUMIFS(30:30,$8:$8,"&gt;="&amp;DATE(YEAR(HU$8),1,1),$8:$8,"&lt;="&amp;EOMONTH(HU$8,0))/SUMIFS(30:30,$8:$8,"&gt;="&amp;DATE(YEAR(HU$8)-1,1,1),$8:$8,"&lt;="&amp;EOMONTH(HU$8,-12))-1</f>
        <v/>
      </c>
      <c r="HV35" s="1318">
        <f>SUMIFS(30:30,$8:$8,"&gt;="&amp;DATE(YEAR(HV$8),1,1),$8:$8,"&lt;="&amp;EOMONTH(HV$8,0))/SUMIFS(30:30,$8:$8,"&gt;="&amp;DATE(YEAR(HV$8)-1,1,1),$8:$8,"&lt;="&amp;EOMONTH(HV$8,-12))-1</f>
        <v/>
      </c>
      <c r="HW35" s="1318">
        <f>SUMIFS(30:30,$8:$8,"&gt;="&amp;DATE(YEAR(HW$8),1,1),$8:$8,"&lt;="&amp;EOMONTH(HW$8,0))/SUMIFS(30:30,$8:$8,"&gt;="&amp;DATE(YEAR(HW$8)-1,1,1),$8:$8,"&lt;="&amp;EOMONTH(HW$8,-12))-1</f>
        <v/>
      </c>
      <c r="HX35" s="1318">
        <f>SUMIFS(30:30,$8:$8,"&gt;="&amp;DATE(YEAR(HX$8),1,1),$8:$8,"&lt;="&amp;EOMONTH(HX$8,0))/SUMIFS(30:30,$8:$8,"&gt;="&amp;DATE(YEAR(HX$8)-1,1,1),$8:$8,"&lt;="&amp;EOMONTH(HX$8,-12))-1</f>
        <v/>
      </c>
      <c r="HY35" s="1318">
        <f>SUMIFS(30:30,$8:$8,"&gt;="&amp;DATE(YEAR(HY$8),1,1),$8:$8,"&lt;="&amp;EOMONTH(HY$8,0))/SUMIFS(30:30,$8:$8,"&gt;="&amp;DATE(YEAR(HY$8)-1,1,1),$8:$8,"&lt;="&amp;EOMONTH(HY$8,-12))-1</f>
        <v/>
      </c>
      <c r="HZ35" s="1318">
        <f>SUMIFS(30:30,$8:$8,"&gt;="&amp;DATE(YEAR(HZ$8),1,1),$8:$8,"&lt;="&amp;EOMONTH(HZ$8,0))/SUMIFS(30:30,$8:$8,"&gt;="&amp;DATE(YEAR(HZ$8)-1,1,1),$8:$8,"&lt;="&amp;EOMONTH(HZ$8,-12))-1</f>
        <v/>
      </c>
      <c r="IA35" s="1318">
        <f>SUMIFS(30:30,$8:$8,"&gt;="&amp;DATE(YEAR(IA$8),1,1),$8:$8,"&lt;="&amp;EOMONTH(IA$8,0))/SUMIFS(30:30,$8:$8,"&gt;="&amp;DATE(YEAR(IA$8)-1,1,1),$8:$8,"&lt;="&amp;EOMONTH(IA$8,-12))-1</f>
        <v/>
      </c>
      <c r="IB35" s="1318">
        <f>SUMIFS(30:30,$8:$8,"&gt;="&amp;DATE(YEAR(IB$8),1,1),$8:$8,"&lt;="&amp;EOMONTH(IB$8,0))/SUMIFS(30:30,$8:$8,"&gt;="&amp;DATE(YEAR(IB$8)-1,1,1),$8:$8,"&lt;="&amp;EOMONTH(IB$8,-12))-1</f>
        <v/>
      </c>
      <c r="IC35" s="1318">
        <f>SUMIFS(30:30,$8:$8,"&gt;="&amp;DATE(YEAR(IC$8),1,1),$8:$8,"&lt;="&amp;EOMONTH(IC$8,0))/SUMIFS(30:30,$8:$8,"&gt;="&amp;DATE(YEAR(IC$8)-1,1,1),$8:$8,"&lt;="&amp;EOMONTH(IC$8,-12))-1</f>
        <v/>
      </c>
      <c r="ID35" s="1318">
        <f>SUMIFS(30:30,$8:$8,"&gt;="&amp;DATE(YEAR(ID$8),1,1),$8:$8,"&lt;="&amp;EOMONTH(ID$8,0))/SUMIFS(30:30,$8:$8,"&gt;="&amp;DATE(YEAR(ID$8)-1,1,1),$8:$8,"&lt;="&amp;EOMONTH(ID$8,-12))-1</f>
        <v/>
      </c>
      <c r="IE35" s="1318">
        <f>SUMIFS(30:30,$8:$8,"&gt;="&amp;DATE(YEAR(IE$8),1,1),$8:$8,"&lt;="&amp;EOMONTH(IE$8,0))/SUMIFS(30:30,$8:$8,"&gt;="&amp;DATE(YEAR(IE$8)-1,1,1),$8:$8,"&lt;="&amp;EOMONTH(IE$8,-12))-1</f>
        <v/>
      </c>
      <c r="IF35" s="1318">
        <f>SUMIFS(30:30,$8:$8,"&gt;="&amp;DATE(YEAR(IF$8),1,1),$8:$8,"&lt;="&amp;EOMONTH(IF$8,0))/SUMIFS(30:30,$8:$8,"&gt;="&amp;DATE(YEAR(IF$8)-1,1,1),$8:$8,"&lt;="&amp;EOMONTH(IF$8,-12))-1</f>
        <v/>
      </c>
      <c r="IG35" s="1318">
        <f>SUMIFS(30:30,$8:$8,"&gt;="&amp;DATE(YEAR(IG$8),1,1),$8:$8,"&lt;="&amp;EOMONTH(IG$8,0))/SUMIFS(30:30,$8:$8,"&gt;="&amp;DATE(YEAR(IG$8)-1,1,1),$8:$8,"&lt;="&amp;EOMONTH(IG$8,-12))-1</f>
        <v/>
      </c>
      <c r="IH35" s="1318">
        <f>SUMIFS(30:30,$8:$8,"&gt;="&amp;DATE(YEAR(IH$8),1,1),$8:$8,"&lt;="&amp;EOMONTH(IH$8,0))/SUMIFS(30:30,$8:$8,"&gt;="&amp;DATE(YEAR(IH$8)-1,1,1),$8:$8,"&lt;="&amp;EOMONTH(IH$8,-12))-1</f>
        <v/>
      </c>
      <c r="II35" s="1318">
        <f>SUMIFS(30:30,$8:$8,"&gt;="&amp;DATE(YEAR(II$8),1,1),$8:$8,"&lt;="&amp;EOMONTH(II$8,0))/SUMIFS(30:30,$8:$8,"&gt;="&amp;DATE(YEAR(II$8)-1,1,1),$8:$8,"&lt;="&amp;EOMONTH(II$8,-12))-1</f>
        <v/>
      </c>
      <c r="IJ35" s="1318">
        <f>SUMIFS(30:30,$8:$8,"&gt;="&amp;DATE(YEAR(IJ$8),1,1),$8:$8,"&lt;="&amp;EOMONTH(IJ$8,0))/SUMIFS(30:30,$8:$8,"&gt;="&amp;DATE(YEAR(IJ$8)-1,1,1),$8:$8,"&lt;="&amp;EOMONTH(IJ$8,-12))-1</f>
        <v/>
      </c>
      <c r="IK35" s="1318">
        <f>SUMIFS(30:30,$8:$8,"&gt;="&amp;DATE(YEAR(IK$8),1,1),$8:$8,"&lt;="&amp;EOMONTH(IK$8,0))/SUMIFS(30:30,$8:$8,"&gt;="&amp;DATE(YEAR(IK$8)-1,1,1),$8:$8,"&lt;="&amp;EOMONTH(IK$8,-12))-1</f>
        <v/>
      </c>
      <c r="IL35" s="1318">
        <f>SUMIFS(30:30,$8:$8,"&gt;="&amp;DATE(YEAR(IL$8),1,1),$8:$8,"&lt;="&amp;EOMONTH(IL$8,0))/SUMIFS(30:30,$8:$8,"&gt;="&amp;DATE(YEAR(IL$8)-1,1,1),$8:$8,"&lt;="&amp;EOMONTH(IL$8,-12))-1</f>
        <v/>
      </c>
      <c r="IM35" s="1318">
        <f>SUMIFS(30:30,$8:$8,"&gt;="&amp;DATE(YEAR(IM$8),1,1),$8:$8,"&lt;="&amp;EOMONTH(IM$8,0))/SUMIFS(30:30,$8:$8,"&gt;="&amp;DATE(YEAR(IM$8)-1,1,1),$8:$8,"&lt;="&amp;EOMONTH(IM$8,-12))-1</f>
        <v/>
      </c>
      <c r="IN35" s="1318">
        <f>SUMIFS(30:30,$8:$8,"&gt;="&amp;DATE(YEAR(IN$8),1,1),$8:$8,"&lt;="&amp;EOMONTH(IN$8,0))/SUMIFS(30:30,$8:$8,"&gt;="&amp;DATE(YEAR(IN$8)-1,1,1),$8:$8,"&lt;="&amp;EOMONTH(IN$8,-12))-1</f>
        <v/>
      </c>
      <c r="IO35" s="1318">
        <f>SUMIFS(30:30,$8:$8,"&gt;="&amp;DATE(YEAR(IO$8),1,1),$8:$8,"&lt;="&amp;EOMONTH(IO$8,0))/SUMIFS(30:30,$8:$8,"&gt;="&amp;DATE(YEAR(IO$8)-1,1,1),$8:$8,"&lt;="&amp;EOMONTH(IO$8,-12))-1</f>
        <v/>
      </c>
      <c r="IP35" s="1318">
        <f>SUMIFS(30:30,$8:$8,"&gt;="&amp;DATE(YEAR(IP$8),1,1),$8:$8,"&lt;="&amp;EOMONTH(IP$8,0))/SUMIFS(30:30,$8:$8,"&gt;="&amp;DATE(YEAR(IP$8)-1,1,1),$8:$8,"&lt;="&amp;EOMONTH(IP$8,-12))-1</f>
        <v/>
      </c>
      <c r="IQ35" s="1318">
        <f>SUMIFS(30:30,$8:$8,"&gt;="&amp;DATE(YEAR(IQ$8),1,1),$8:$8,"&lt;="&amp;EOMONTH(IQ$8,0))/SUMIFS(30:30,$8:$8,"&gt;="&amp;DATE(YEAR(IQ$8)-1,1,1),$8:$8,"&lt;="&amp;EOMONTH(IQ$8,-12))-1</f>
        <v/>
      </c>
      <c r="IR35" s="1318">
        <f>SUMIFS(30:30,$8:$8,"&gt;="&amp;DATE(YEAR(IR$8),1,1),$8:$8,"&lt;="&amp;EOMONTH(IR$8,0))/SUMIFS(30:30,$8:$8,"&gt;="&amp;DATE(YEAR(IR$8)-1,1,1),$8:$8,"&lt;="&amp;EOMONTH(IR$8,-12))-1</f>
        <v/>
      </c>
      <c r="IS35" s="1318">
        <f>SUMIFS(30:30,$8:$8,"&gt;="&amp;DATE(YEAR(IS$8),1,1),$8:$8,"&lt;="&amp;EOMONTH(IS$8,0))/SUMIFS(30:30,$8:$8,"&gt;="&amp;DATE(YEAR(IS$8)-1,1,1),$8:$8,"&lt;="&amp;EOMONTH(IS$8,-12))-1</f>
        <v/>
      </c>
      <c r="IT35" s="1318">
        <f>SUMIFS(30:30,$8:$8,"&gt;="&amp;DATE(YEAR(IT$8),1,1),$8:$8,"&lt;="&amp;EOMONTH(IT$8,0))/SUMIFS(30:30,$8:$8,"&gt;="&amp;DATE(YEAR(IT$8)-1,1,1),$8:$8,"&lt;="&amp;EOMONTH(IT$8,-12))-1</f>
        <v/>
      </c>
      <c r="IU35" s="1318">
        <f>SUMIFS(30:30,$8:$8,"&gt;="&amp;DATE(YEAR(IU$8),1,1),$8:$8,"&lt;="&amp;EOMONTH(IU$8,0))/SUMIFS(30:30,$8:$8,"&gt;="&amp;DATE(YEAR(IU$8)-1,1,1),$8:$8,"&lt;="&amp;EOMONTH(IU$8,-12))-1</f>
        <v/>
      </c>
      <c r="IV35" s="1318">
        <f>SUMIFS(30:30,$8:$8,"&gt;="&amp;DATE(YEAR(IV$8),1,1),$8:$8,"&lt;="&amp;EOMONTH(IV$8,0))/SUMIFS(30:30,$8:$8,"&gt;="&amp;DATE(YEAR(IV$8)-1,1,1),$8:$8,"&lt;="&amp;EOMONTH(IV$8,-12))-1</f>
        <v/>
      </c>
      <c r="IW35" s="1318">
        <f>SUMIFS(30:30,$8:$8,"&gt;="&amp;DATE(YEAR(IW$8),1,1),$8:$8,"&lt;="&amp;EOMONTH(IW$8,0))/SUMIFS(30:30,$8:$8,"&gt;="&amp;DATE(YEAR(IW$8)-1,1,1),$8:$8,"&lt;="&amp;EOMONTH(IW$8,-12))-1</f>
        <v/>
      </c>
      <c r="IX35" s="1318">
        <f>SUMIFS(30:30,$8:$8,"&gt;="&amp;DATE(YEAR(IX$8),1,1),$8:$8,"&lt;="&amp;EOMONTH(IX$8,0))/SUMIFS(30:30,$8:$8,"&gt;="&amp;DATE(YEAR(IX$8)-1,1,1),$8:$8,"&lt;="&amp;EOMONTH(IX$8,-12))-1</f>
        <v/>
      </c>
      <c r="IY35" s="1318">
        <f>SUMIFS(30:30,$8:$8,"&gt;="&amp;DATE(YEAR(IY$8),1,1),$8:$8,"&lt;="&amp;EOMONTH(IY$8,0))/SUMIFS(30:30,$8:$8,"&gt;="&amp;DATE(YEAR(IY$8)-1,1,1),$8:$8,"&lt;="&amp;EOMONTH(IY$8,-12))-1</f>
        <v/>
      </c>
      <c r="IZ35" s="1318">
        <f>SUMIFS(30:30,$8:$8,"&gt;="&amp;DATE(YEAR(IZ$8),1,1),$8:$8,"&lt;="&amp;EOMONTH(IZ$8,0))/SUMIFS(30:30,$8:$8,"&gt;="&amp;DATE(YEAR(IZ$8)-1,1,1),$8:$8,"&lt;="&amp;EOMONTH(IZ$8,-12))-1</f>
        <v/>
      </c>
      <c r="JA35" s="1318">
        <f>SUMIFS(30:30,$8:$8,"&gt;="&amp;DATE(YEAR(JA$8),1,1),$8:$8,"&lt;="&amp;EOMONTH(JA$8,0))/SUMIFS(30:30,$8:$8,"&gt;="&amp;DATE(YEAR(JA$8)-1,1,1),$8:$8,"&lt;="&amp;EOMONTH(JA$8,-12))-1</f>
        <v/>
      </c>
      <c r="JB35" s="1318">
        <f>SUMIFS(30:30,$8:$8,"&gt;="&amp;DATE(YEAR(JB$8),1,1),$8:$8,"&lt;="&amp;EOMONTH(JB$8,0))/SUMIFS(30:30,$8:$8,"&gt;="&amp;DATE(YEAR(JB$8)-1,1,1),$8:$8,"&lt;="&amp;EOMONTH(JB$8,-12))-1</f>
        <v/>
      </c>
      <c r="JC35" s="1318">
        <f>SUMIFS(30:30,$8:$8,"&gt;="&amp;DATE(YEAR(JC$8),1,1),$8:$8,"&lt;="&amp;EOMONTH(JC$8,0))/SUMIFS(30:30,$8:$8,"&gt;="&amp;DATE(YEAR(JC$8)-1,1,1),$8:$8,"&lt;="&amp;EOMONTH(JC$8,-12))-1</f>
        <v/>
      </c>
      <c r="JD35" s="1318">
        <f>SUMIFS(30:30,$8:$8,"&gt;="&amp;DATE(YEAR(JD$8),1,1),$8:$8,"&lt;="&amp;EOMONTH(JD$8,0))/SUMIFS(30:30,$8:$8,"&gt;="&amp;DATE(YEAR(JD$8)-1,1,1),$8:$8,"&lt;="&amp;EOMONTH(JD$8,-12))-1</f>
        <v/>
      </c>
      <c r="JE35" s="1318">
        <f>SUMIFS(30:30,$8:$8,"&gt;="&amp;DATE(YEAR(JE$8),1,1),$8:$8,"&lt;="&amp;EOMONTH(JE$8,0))/SUMIFS(30:30,$8:$8,"&gt;="&amp;DATE(YEAR(JE$8)-1,1,1),$8:$8,"&lt;="&amp;EOMONTH(JE$8,-12))-1</f>
        <v/>
      </c>
      <c r="JF35" s="1318">
        <f>SUMIFS(30:30,$8:$8,"&gt;="&amp;DATE(YEAR(JF$8),1,1),$8:$8,"&lt;="&amp;EOMONTH(JF$8,0))/SUMIFS(30:30,$8:$8,"&gt;="&amp;DATE(YEAR(JF$8)-1,1,1),$8:$8,"&lt;="&amp;EOMONTH(JF$8,-12))-1</f>
        <v/>
      </c>
      <c r="JG35" s="1318">
        <f>SUMIFS(30:30,$8:$8,"&gt;="&amp;DATE(YEAR(JG$8),1,1),$8:$8,"&lt;="&amp;EOMONTH(JG$8,0))/SUMIFS(30:30,$8:$8,"&gt;="&amp;DATE(YEAR(JG$8)-1,1,1),$8:$8,"&lt;="&amp;EOMONTH(JG$8,-12))-1</f>
        <v/>
      </c>
      <c r="JH35" s="1318">
        <f>SUMIFS(30:30,$8:$8,"&gt;="&amp;DATE(YEAR(JH$8),1,1),$8:$8,"&lt;="&amp;EOMONTH(JH$8,0))/SUMIFS(30:30,$8:$8,"&gt;="&amp;DATE(YEAR(JH$8)-1,1,1),$8:$8,"&lt;="&amp;EOMONTH(JH$8,-12))-1</f>
        <v/>
      </c>
      <c r="JI35" s="1318">
        <f>SUMIFS(30:30,$8:$8,"&gt;="&amp;DATE(YEAR(JI$8),1,1),$8:$8,"&lt;="&amp;EOMONTH(JI$8,0))/SUMIFS(30:30,$8:$8,"&gt;="&amp;DATE(YEAR(JI$8)-1,1,1),$8:$8,"&lt;="&amp;EOMONTH(JI$8,-12))-1</f>
        <v/>
      </c>
      <c r="JJ35" s="1318">
        <f>SUMIFS(30:30,$8:$8,"&gt;="&amp;DATE(YEAR(JJ$8),1,1),$8:$8,"&lt;="&amp;EOMONTH(JJ$8,0))/SUMIFS(30:30,$8:$8,"&gt;="&amp;DATE(YEAR(JJ$8)-1,1,1),$8:$8,"&lt;="&amp;EOMONTH(JJ$8,-12))-1</f>
        <v/>
      </c>
      <c r="JK35" s="1318">
        <f>SUMIFS(30:30,$8:$8,"&gt;="&amp;DATE(YEAR(JK$8),1,1),$8:$8,"&lt;="&amp;EOMONTH(JK$8,0))/SUMIFS(30:30,$8:$8,"&gt;="&amp;DATE(YEAR(JK$8)-1,1,1),$8:$8,"&lt;="&amp;EOMONTH(JK$8,-12))-1</f>
        <v/>
      </c>
      <c r="JL35" s="1318">
        <f>SUMIFS(30:30,$8:$8,"&gt;="&amp;DATE(YEAR(JL$8),1,1),$8:$8,"&lt;="&amp;EOMONTH(JL$8,0))/SUMIFS(30:30,$8:$8,"&gt;="&amp;DATE(YEAR(JL$8)-1,1,1),$8:$8,"&lt;="&amp;EOMONTH(JL$8,-12))-1</f>
        <v/>
      </c>
      <c r="JM35" s="1318">
        <f>SUMIFS(30:30,$8:$8,"&gt;="&amp;DATE(YEAR(JM$8),1,1),$8:$8,"&lt;="&amp;EOMONTH(JM$8,0))/SUMIFS(30:30,$8:$8,"&gt;="&amp;DATE(YEAR(JM$8)-1,1,1),$8:$8,"&lt;="&amp;EOMONTH(JM$8,-12))-1</f>
        <v/>
      </c>
      <c r="JN35" s="1318">
        <f>SUMIFS(30:30,$8:$8,"&gt;="&amp;DATE(YEAR(JN$8),1,1),$8:$8,"&lt;="&amp;EOMONTH(JN$8,0))/SUMIFS(30:30,$8:$8,"&gt;="&amp;DATE(YEAR(JN$8)-1,1,1),$8:$8,"&lt;="&amp;EOMONTH(JN$8,-12))-1</f>
        <v/>
      </c>
      <c r="JO35" s="1318">
        <f>SUMIFS(30:30,$8:$8,"&gt;="&amp;DATE(YEAR(JO$8),1,1),$8:$8,"&lt;="&amp;EOMONTH(JO$8,0))/SUMIFS(30:30,$8:$8,"&gt;="&amp;DATE(YEAR(JO$8)-1,1,1),$8:$8,"&lt;="&amp;EOMONTH(JO$8,-12))-1</f>
        <v/>
      </c>
      <c r="JP35" s="1318">
        <f>SUMIFS(30:30,$8:$8,"&gt;="&amp;DATE(YEAR(JP$8),1,1),$8:$8,"&lt;="&amp;EOMONTH(JP$8,0))/SUMIFS(30:30,$8:$8,"&gt;="&amp;DATE(YEAR(JP$8)-1,1,1),$8:$8,"&lt;="&amp;EOMONTH(JP$8,-12))-1</f>
        <v/>
      </c>
      <c r="JQ35" s="1318">
        <f>SUMIFS(30:30,$8:$8,"&gt;="&amp;DATE(YEAR(JQ$8),1,1),$8:$8,"&lt;="&amp;EOMONTH(JQ$8,0))/SUMIFS(30:30,$8:$8,"&gt;="&amp;DATE(YEAR(JQ$8)-1,1,1),$8:$8,"&lt;="&amp;EOMONTH(JQ$8,-12))-1</f>
        <v/>
      </c>
      <c r="JR35" s="1318">
        <f>SUMIFS(30:30,$8:$8,"&gt;="&amp;DATE(YEAR(JR$8),1,1),$8:$8,"&lt;="&amp;EOMONTH(JR$8,0))/SUMIFS(30:30,$8:$8,"&gt;="&amp;DATE(YEAR(JR$8)-1,1,1),$8:$8,"&lt;="&amp;EOMONTH(JR$8,-12))-1</f>
        <v/>
      </c>
      <c r="JS35" s="1318">
        <f>SUMIFS(30:30,$8:$8,"&gt;="&amp;DATE(YEAR(JS$8),1,1),$8:$8,"&lt;="&amp;EOMONTH(JS$8,0))/SUMIFS(30:30,$8:$8,"&gt;="&amp;DATE(YEAR(JS$8)-1,1,1),$8:$8,"&lt;="&amp;EOMONTH(JS$8,-12))-1</f>
        <v/>
      </c>
      <c r="JT35" s="1318">
        <f>SUMIFS(30:30,$8:$8,"&gt;="&amp;DATE(YEAR(JT$8),1,1),$8:$8,"&lt;="&amp;EOMONTH(JT$8,0))/SUMIFS(30:30,$8:$8,"&gt;="&amp;DATE(YEAR(JT$8)-1,1,1),$8:$8,"&lt;="&amp;EOMONTH(JT$8,-12))-1</f>
        <v/>
      </c>
      <c r="JU35" s="1318">
        <f>SUMIFS(30:30,$8:$8,"&gt;="&amp;DATE(YEAR(JU$8),1,1),$8:$8,"&lt;="&amp;EOMONTH(JU$8,0))/SUMIFS(30:30,$8:$8,"&gt;="&amp;DATE(YEAR(JU$8)-1,1,1),$8:$8,"&lt;="&amp;EOMONTH(JU$8,-12))-1</f>
        <v/>
      </c>
      <c r="JV35" s="1318">
        <f>SUMIFS(30:30,$8:$8,"&gt;="&amp;DATE(YEAR(JV$8),1,1),$8:$8,"&lt;="&amp;EOMONTH(JV$8,0))/SUMIFS(30:30,$8:$8,"&gt;="&amp;DATE(YEAR(JV$8)-1,1,1),$8:$8,"&lt;="&amp;EOMONTH(JV$8,-12))-1</f>
        <v/>
      </c>
      <c r="JW35" s="1318">
        <f>SUMIFS(30:30,$8:$8,"&gt;="&amp;DATE(YEAR(JW$8),1,1),$8:$8,"&lt;="&amp;EOMONTH(JW$8,0))/SUMIFS(30:30,$8:$8,"&gt;="&amp;DATE(YEAR(JW$8)-1,1,1),$8:$8,"&lt;="&amp;EOMONTH(JW$8,-12))-1</f>
        <v/>
      </c>
      <c r="JX35" s="1318">
        <f>SUMIFS(30:30,$8:$8,"&gt;="&amp;DATE(YEAR(JX$8),1,1),$8:$8,"&lt;="&amp;EOMONTH(JX$8,0))/SUMIFS(30:30,$8:$8,"&gt;="&amp;DATE(YEAR(JX$8)-1,1,1),$8:$8,"&lt;="&amp;EOMONTH(JX$8,-12))-1</f>
        <v/>
      </c>
      <c r="JY35" s="1318">
        <f>SUMIFS(30:30,$8:$8,"&gt;="&amp;DATE(YEAR(JY$8),1,1),$8:$8,"&lt;="&amp;EOMONTH(JY$8,0))/SUMIFS(30:30,$8:$8,"&gt;="&amp;DATE(YEAR(JY$8)-1,1,1),$8:$8,"&lt;="&amp;EOMONTH(JY$8,-12))-1</f>
        <v/>
      </c>
      <c r="JZ35" s="1318">
        <f>SUMIFS(30:30,$8:$8,"&gt;="&amp;DATE(YEAR(JZ$8),1,1),$8:$8,"&lt;="&amp;EOMONTH(JZ$8,0))/SUMIFS(30:30,$8:$8,"&gt;="&amp;DATE(YEAR(JZ$8)-1,1,1),$8:$8,"&lt;="&amp;EOMONTH(JZ$8,-12))-1</f>
        <v/>
      </c>
      <c r="KA35" s="1318">
        <f>SUMIFS(30:30,$8:$8,"&gt;="&amp;DATE(YEAR(KA$8),1,1),$8:$8,"&lt;="&amp;EOMONTH(KA$8,0))/SUMIFS(30:30,$8:$8,"&gt;="&amp;DATE(YEAR(KA$8)-1,1,1),$8:$8,"&lt;="&amp;EOMONTH(KA$8,-12))-1</f>
        <v/>
      </c>
      <c r="KB35" s="1318">
        <f>SUMIFS(30:30,$8:$8,"&gt;="&amp;DATE(YEAR(KB$8),1,1),$8:$8,"&lt;="&amp;EOMONTH(KB$8,0))/SUMIFS(30:30,$8:$8,"&gt;="&amp;DATE(YEAR(KB$8)-1,1,1),$8:$8,"&lt;="&amp;EOMONTH(KB$8,-12))-1</f>
        <v/>
      </c>
      <c r="KC35" s="1318">
        <f>SUMIFS(30:30,$8:$8,"&gt;="&amp;DATE(YEAR(KC$8),1,1),$8:$8,"&lt;="&amp;EOMONTH(KC$8,0))/SUMIFS(30:30,$8:$8,"&gt;="&amp;DATE(YEAR(KC$8)-1,1,1),$8:$8,"&lt;="&amp;EOMONTH(KC$8,-12))-1</f>
        <v/>
      </c>
      <c r="KD35" s="1318">
        <f>SUMIFS(30:30,$8:$8,"&gt;="&amp;DATE(YEAR(KD$8),1,1),$8:$8,"&lt;="&amp;EOMONTH(KD$8,0))/SUMIFS(30:30,$8:$8,"&gt;="&amp;DATE(YEAR(KD$8)-1,1,1),$8:$8,"&lt;="&amp;EOMONTH(KD$8,-12))-1</f>
        <v/>
      </c>
      <c r="KE35" s="1318">
        <f>SUMIFS(30:30,$8:$8,"&gt;="&amp;DATE(YEAR(KE$8),1,1),$8:$8,"&lt;="&amp;EOMONTH(KE$8,0))/SUMIFS(30:30,$8:$8,"&gt;="&amp;DATE(YEAR(KE$8)-1,1,1),$8:$8,"&lt;="&amp;EOMONTH(KE$8,-12))-1</f>
        <v/>
      </c>
      <c r="KF35" s="1318">
        <f>SUMIFS(30:30,$8:$8,"&gt;="&amp;DATE(YEAR(KF$8),1,1),$8:$8,"&lt;="&amp;EOMONTH(KF$8,0))/SUMIFS(30:30,$8:$8,"&gt;="&amp;DATE(YEAR(KF$8)-1,1,1),$8:$8,"&lt;="&amp;EOMONTH(KF$8,-12))-1</f>
        <v/>
      </c>
      <c r="KG35" s="1318">
        <f>SUMIFS(30:30,$8:$8,"&gt;="&amp;DATE(YEAR(KG$8),1,1),$8:$8,"&lt;="&amp;EOMONTH(KG$8,0))/SUMIFS(30:30,$8:$8,"&gt;="&amp;DATE(YEAR(KG$8)-1,1,1),$8:$8,"&lt;="&amp;EOMONTH(KG$8,-12))-1</f>
        <v/>
      </c>
      <c r="KH35" s="1318">
        <f>SUMIFS(30:30,$8:$8,"&gt;="&amp;DATE(YEAR(KH$8),1,1),$8:$8,"&lt;="&amp;EOMONTH(KH$8,0))/SUMIFS(30:30,$8:$8,"&gt;="&amp;DATE(YEAR(KH$8)-1,1,1),$8:$8,"&lt;="&amp;EOMONTH(KH$8,-12))-1</f>
        <v/>
      </c>
      <c r="KI35" s="1318">
        <f>SUMIFS(30:30,$8:$8,"&gt;="&amp;DATE(YEAR(KI$8),1,1),$8:$8,"&lt;="&amp;EOMONTH(KI$8,0))/SUMIFS(30:30,$8:$8,"&gt;="&amp;DATE(YEAR(KI$8)-1,1,1),$8:$8,"&lt;="&amp;EOMONTH(KI$8,-12))-1</f>
        <v/>
      </c>
      <c r="KJ35" s="1318">
        <f>SUMIFS(30:30,$8:$8,"&gt;="&amp;DATE(YEAR(KJ$8),1,1),$8:$8,"&lt;="&amp;EOMONTH(KJ$8,0))/SUMIFS(30:30,$8:$8,"&gt;="&amp;DATE(YEAR(KJ$8)-1,1,1),$8:$8,"&lt;="&amp;EOMONTH(KJ$8,-12))-1</f>
        <v/>
      </c>
      <c r="KK35" s="1318">
        <f>SUMIFS(30:30,$8:$8,"&gt;="&amp;DATE(YEAR(KK$8),1,1),$8:$8,"&lt;="&amp;EOMONTH(KK$8,0))/SUMIFS(30:30,$8:$8,"&gt;="&amp;DATE(YEAR(KK$8)-1,1,1),$8:$8,"&lt;="&amp;EOMONTH(KK$8,-12))-1</f>
        <v/>
      </c>
      <c r="KL35" s="1318">
        <f>SUMIFS(30:30,$8:$8,"&gt;="&amp;DATE(YEAR(KL$8),1,1),$8:$8,"&lt;="&amp;EOMONTH(KL$8,0))/SUMIFS(30:30,$8:$8,"&gt;="&amp;DATE(YEAR(KL$8)-1,1,1),$8:$8,"&lt;="&amp;EOMONTH(KL$8,-12))-1</f>
        <v/>
      </c>
      <c r="KM35" s="1318">
        <f>SUMIFS(30:30,$8:$8,"&gt;="&amp;DATE(YEAR(KM$8),1,1),$8:$8,"&lt;="&amp;EOMONTH(KM$8,0))/SUMIFS(30:30,$8:$8,"&gt;="&amp;DATE(YEAR(KM$8)-1,1,1),$8:$8,"&lt;="&amp;EOMONTH(KM$8,-12))-1</f>
        <v/>
      </c>
      <c r="KN35" s="1318">
        <f>SUMIFS(30:30,$8:$8,"&gt;="&amp;DATE(YEAR(KN$8),1,1),$8:$8,"&lt;="&amp;EOMONTH(KN$8,0))/SUMIFS(30:30,$8:$8,"&gt;="&amp;DATE(YEAR(KN$8)-1,1,1),$8:$8,"&lt;="&amp;EOMONTH(KN$8,-12))-1</f>
        <v/>
      </c>
      <c r="KO35" s="1318">
        <f>SUMIFS(30:30,$8:$8,"&gt;="&amp;DATE(YEAR(KO$8),1,1),$8:$8,"&lt;="&amp;EOMONTH(KO$8,0))/SUMIFS(30:30,$8:$8,"&gt;="&amp;DATE(YEAR(KO$8)-1,1,1),$8:$8,"&lt;="&amp;EOMONTH(KO$8,-12))-1</f>
        <v/>
      </c>
      <c r="KP35" s="1318">
        <f>SUMIFS(30:30,$8:$8,"&gt;="&amp;DATE(YEAR(KP$8),1,1),$8:$8,"&lt;="&amp;EOMONTH(KP$8,0))/SUMIFS(30:30,$8:$8,"&gt;="&amp;DATE(YEAR(KP$8)-1,1,1),$8:$8,"&lt;="&amp;EOMONTH(KP$8,-12))-1</f>
        <v/>
      </c>
      <c r="KQ35" s="1318">
        <f>SUMIFS(30:30,$8:$8,"&gt;="&amp;DATE(YEAR(KQ$8),1,1),$8:$8,"&lt;="&amp;EOMONTH(KQ$8,0))/SUMIFS(30:30,$8:$8,"&gt;="&amp;DATE(YEAR(KQ$8)-1,1,1),$8:$8,"&lt;="&amp;EOMONTH(KQ$8,-12))-1</f>
        <v/>
      </c>
      <c r="KR35" s="1318">
        <f>SUMIFS(30:30,$8:$8,"&gt;="&amp;DATE(YEAR(KR$8),1,1),$8:$8,"&lt;="&amp;EOMONTH(KR$8,0))/SUMIFS(30:30,$8:$8,"&gt;="&amp;DATE(YEAR(KR$8)-1,1,1),$8:$8,"&lt;="&amp;EOMONTH(KR$8,-12))-1</f>
        <v/>
      </c>
      <c r="KS35" s="1318">
        <f>SUMIFS(30:30,$8:$8,"&gt;="&amp;DATE(YEAR(KS$8),1,1),$8:$8,"&lt;="&amp;EOMONTH(KS$8,0))/SUMIFS(30:30,$8:$8,"&gt;="&amp;DATE(YEAR(KS$8)-1,1,1),$8:$8,"&lt;="&amp;EOMONTH(KS$8,-12))-1</f>
        <v/>
      </c>
      <c r="KT35" s="1318">
        <f>SUMIFS(30:30,$8:$8,"&gt;="&amp;DATE(YEAR(KT$8),1,1),$8:$8,"&lt;="&amp;EOMONTH(KT$8,0))/SUMIFS(30:30,$8:$8,"&gt;="&amp;DATE(YEAR(KT$8)-1,1,1),$8:$8,"&lt;="&amp;EOMONTH(KT$8,-12))-1</f>
        <v/>
      </c>
      <c r="KU35" s="1318">
        <f>SUMIFS(30:30,$8:$8,"&gt;="&amp;DATE(YEAR(KU$8),1,1),$8:$8,"&lt;="&amp;EOMONTH(KU$8,0))/SUMIFS(30:30,$8:$8,"&gt;="&amp;DATE(YEAR(KU$8)-1,1,1),$8:$8,"&lt;="&amp;EOMONTH(KU$8,-12))-1</f>
        <v/>
      </c>
      <c r="KV35" s="1318">
        <f>SUMIFS(30:30,$8:$8,"&gt;="&amp;DATE(YEAR(KV$8),1,1),$8:$8,"&lt;="&amp;EOMONTH(KV$8,0))/SUMIFS(30:30,$8:$8,"&gt;="&amp;DATE(YEAR(KV$8)-1,1,1),$8:$8,"&lt;="&amp;EOMONTH(KV$8,-12))-1</f>
        <v/>
      </c>
      <c r="KW35" s="1318">
        <f>SUMIFS(30:30,$8:$8,"&gt;="&amp;DATE(YEAR(KW$8),1,1),$8:$8,"&lt;="&amp;EOMONTH(KW$8,0))/SUMIFS(30:30,$8:$8,"&gt;="&amp;DATE(YEAR(KW$8)-1,1,1),$8:$8,"&lt;="&amp;EOMONTH(KW$8,-12))-1</f>
        <v/>
      </c>
      <c r="KX35" s="1318">
        <f>SUMIFS(30:30,$8:$8,"&gt;="&amp;DATE(YEAR(KX$8),1,1),$8:$8,"&lt;="&amp;EOMONTH(KX$8,0))/SUMIFS(30:30,$8:$8,"&gt;="&amp;DATE(YEAR(KX$8)-1,1,1),$8:$8,"&lt;="&amp;EOMONTH(KX$8,-12))-1</f>
        <v/>
      </c>
      <c r="KY35" s="1318">
        <f>SUMIFS(30:30,$8:$8,"&gt;="&amp;DATE(YEAR(KY$8),1,1),$8:$8,"&lt;="&amp;EOMONTH(KY$8,0))/SUMIFS(30:30,$8:$8,"&gt;="&amp;DATE(YEAR(KY$8)-1,1,1),$8:$8,"&lt;="&amp;EOMONTH(KY$8,-12))-1</f>
        <v/>
      </c>
      <c r="KZ35" s="1318">
        <f>SUMIFS(30:30,$8:$8,"&gt;="&amp;DATE(YEAR(KZ$8),1,1),$8:$8,"&lt;="&amp;EOMONTH(KZ$8,0))/SUMIFS(30:30,$8:$8,"&gt;="&amp;DATE(YEAR(KZ$8)-1,1,1),$8:$8,"&lt;="&amp;EOMONTH(KZ$8,-12))-1</f>
        <v/>
      </c>
      <c r="LA35" s="1318">
        <f>SUMIFS(30:30,$8:$8,"&gt;="&amp;DATE(YEAR(LA$8),1,1),$8:$8,"&lt;="&amp;EOMONTH(LA$8,0))/SUMIFS(30:30,$8:$8,"&gt;="&amp;DATE(YEAR(LA$8)-1,1,1),$8:$8,"&lt;="&amp;EOMONTH(LA$8,-12))-1</f>
        <v/>
      </c>
      <c r="LB35" s="1318" t="n"/>
      <c r="LC35" s="1318" t="n"/>
      <c r="LD35" s="1318" t="n"/>
      <c r="LE35" s="1318" t="n"/>
      <c r="LF35" s="1318" t="n"/>
      <c r="LG35" s="1318" t="n"/>
      <c r="LH35" s="1318" t="n"/>
      <c r="LI35" s="1318" t="n"/>
      <c r="LJ35" s="1318" t="n"/>
      <c r="LK35" s="1318" t="n"/>
      <c r="LL35" s="1318" t="n"/>
      <c r="LM35" s="1318" t="n"/>
      <c r="LN35" s="1318" t="n"/>
      <c r="LO35" s="1318" t="n"/>
      <c r="LP35" s="1318" t="n"/>
      <c r="LQ35" s="1318" t="n"/>
      <c r="LR35" s="1318" t="n"/>
      <c r="LS35" s="1318" t="n"/>
    </row>
    <row r="36" ht="15" customHeight="1" s="239">
      <c r="A36" s="1319" t="inlineStr">
        <is>
          <t>China</t>
        </is>
      </c>
      <c r="B36" s="1320" t="n"/>
      <c r="C36" s="1319" t="n"/>
      <c r="D36" s="1319" t="n"/>
      <c r="E36" s="1319" t="n"/>
      <c r="F36" s="1319" t="n"/>
      <c r="G36" s="1319" t="n"/>
      <c r="H36" s="1319" t="n"/>
      <c r="I36" s="1319" t="n"/>
      <c r="J36" s="1319" t="n"/>
      <c r="K36" s="1319" t="n"/>
      <c r="L36" s="1319" t="n"/>
      <c r="M36" s="1319" t="n"/>
      <c r="N36" s="1320" t="n"/>
      <c r="O36" s="1319" t="n"/>
      <c r="P36" s="1319" t="n"/>
      <c r="Q36" s="1319" t="n"/>
      <c r="R36" s="1319" t="n"/>
      <c r="S36" s="1319" t="n"/>
      <c r="T36" s="1319" t="n"/>
      <c r="U36" s="1319" t="n"/>
      <c r="V36" s="1319" t="n"/>
      <c r="W36" s="1319" t="n"/>
      <c r="X36" s="1319" t="n"/>
      <c r="Y36" s="1319" t="n"/>
      <c r="Z36" s="1320" t="n"/>
      <c r="AA36" s="1319" t="n"/>
      <c r="AB36" s="1319" t="n"/>
      <c r="AC36" s="1319" t="n"/>
      <c r="AD36" s="1319" t="n"/>
      <c r="AE36" s="1319" t="n"/>
      <c r="AF36" s="1319" t="n"/>
      <c r="AG36" s="1319" t="n"/>
      <c r="AH36" s="1319" t="n"/>
      <c r="AI36" s="1319" t="n"/>
      <c r="AJ36" s="1319" t="n"/>
      <c r="AK36" s="1319" t="n"/>
      <c r="AL36" s="1320" t="n"/>
      <c r="AM36" s="1319" t="n"/>
      <c r="AN36" s="1319" t="n"/>
      <c r="AO36" s="1319" t="n"/>
      <c r="AP36" s="1319" t="n"/>
      <c r="AQ36" s="1319" t="n"/>
      <c r="AR36" s="1319" t="n"/>
      <c r="AS36" s="1319" t="n"/>
      <c r="AT36" s="1319" t="n"/>
      <c r="AU36" s="1319" t="n"/>
      <c r="AV36" s="1319" t="n"/>
      <c r="AW36" s="1319" t="n"/>
      <c r="AX36" s="1320" t="n"/>
      <c r="AY36" s="1320" t="n"/>
      <c r="AZ36" s="1320" t="n"/>
      <c r="BA36" s="1320" t="n"/>
      <c r="BB36" s="1320" t="n"/>
      <c r="BC36" s="1320" t="n"/>
      <c r="BD36" s="1320" t="n"/>
      <c r="BE36" s="1320" t="n"/>
      <c r="BF36" s="1320" t="n"/>
      <c r="BG36" s="1320" t="n"/>
      <c r="BH36" s="1320" t="n"/>
      <c r="BI36" s="1320" t="n"/>
      <c r="BJ36" s="1320" t="n"/>
      <c r="BK36" s="1320" t="n"/>
      <c r="BL36" s="1320" t="n"/>
      <c r="BM36" s="1320" t="n"/>
      <c r="BN36" s="1320" t="n"/>
      <c r="BO36" s="1320" t="n"/>
      <c r="BP36" s="1320" t="n"/>
      <c r="BQ36" s="1320" t="n"/>
      <c r="BR36" s="1320" t="n"/>
      <c r="BS36" s="1320" t="n"/>
      <c r="BT36" s="1320" t="n"/>
      <c r="BU36" s="1320" t="n"/>
      <c r="BV36" s="1320" t="n"/>
      <c r="BW36" s="1320" t="n"/>
      <c r="BX36" s="1320" t="n"/>
      <c r="BY36" s="1320" t="n"/>
      <c r="BZ36" s="1320" t="n"/>
      <c r="CA36" s="1320" t="n"/>
      <c r="CB36" s="1320" t="n"/>
      <c r="CC36" s="1320" t="n"/>
      <c r="CD36" s="1320" t="n"/>
      <c r="CE36" s="1320" t="n"/>
      <c r="CF36" s="1320" t="n"/>
      <c r="CG36" s="1320" t="n"/>
      <c r="CH36" s="1320" t="n"/>
      <c r="CI36" s="1320" t="n"/>
      <c r="CJ36" s="1321" t="n"/>
      <c r="CK36" s="1321" t="n"/>
      <c r="CL36" s="1322" t="n"/>
      <c r="CM36" s="1322" t="n"/>
      <c r="CN36" s="1319" t="n"/>
      <c r="CO36" s="1319" t="n"/>
      <c r="CP36" s="1319" t="n"/>
      <c r="CQ36" s="1319" t="n"/>
      <c r="CR36" s="1319" t="n"/>
      <c r="CS36" s="1319" t="n"/>
      <c r="CT36" s="1319" t="n">
        <v>671.612</v>
      </c>
      <c r="CU36" s="1319" t="n">
        <v>614.03</v>
      </c>
      <c r="CV36" s="1319" t="n">
        <v>678</v>
      </c>
      <c r="CW36" s="1320" t="n">
        <v>714.249</v>
      </c>
      <c r="CX36" s="1320" t="n">
        <v>709.329</v>
      </c>
      <c r="CY36" s="1320" t="n">
        <v>698.5309999999999</v>
      </c>
      <c r="CZ36" s="1320" t="n">
        <v>734.582</v>
      </c>
      <c r="DA36" s="1320" t="n">
        <v>743.836</v>
      </c>
      <c r="DB36" s="1320" t="n">
        <v>716.754</v>
      </c>
      <c r="DC36" s="1320" t="n">
        <v>743.602</v>
      </c>
      <c r="DD36" s="1320" t="n">
        <v>704.23</v>
      </c>
      <c r="DE36" s="1320" t="n">
        <v>672.576</v>
      </c>
      <c r="DF36" s="1320" t="n">
        <v>696.912</v>
      </c>
      <c r="DG36" s="1320" t="n">
        <v>653.274</v>
      </c>
      <c r="DH36" s="1320" t="n">
        <v>717.66</v>
      </c>
      <c r="DI36" s="1320" t="n">
        <v>712.295</v>
      </c>
      <c r="DJ36" s="1320" t="n">
        <v>743.074</v>
      </c>
      <c r="DK36" s="1320" t="n">
        <v>717.634</v>
      </c>
      <c r="DL36" s="1320" t="n">
        <v>759.889</v>
      </c>
      <c r="DM36" s="1320" t="n">
        <v>747.6</v>
      </c>
      <c r="DN36" s="1320" t="n">
        <v>728.197</v>
      </c>
      <c r="DO36" s="1320" t="n">
        <v>775.011</v>
      </c>
      <c r="DP36" s="1320" t="n">
        <v>729.6660000000001</v>
      </c>
      <c r="DQ36" s="1320" t="n">
        <v>738.554</v>
      </c>
      <c r="DR36" s="1320" t="n">
        <v>727.379</v>
      </c>
      <c r="DS36" s="1320" t="n">
        <v>646.475</v>
      </c>
      <c r="DT36" s="1320" t="n">
        <v>717.345</v>
      </c>
      <c r="DU36" s="1320" t="n">
        <v>752.596</v>
      </c>
      <c r="DV36" s="1320" t="n">
        <v>730.187</v>
      </c>
      <c r="DW36" s="1320" t="n">
        <v>621.796</v>
      </c>
      <c r="DX36" s="1320" t="n">
        <v>677.413</v>
      </c>
      <c r="DY36" s="1320" t="n">
        <v>709.499</v>
      </c>
      <c r="DZ36" s="1320" t="n">
        <v>683.49</v>
      </c>
      <c r="EA36" s="1320" t="n">
        <v>724.949</v>
      </c>
      <c r="EB36" s="1320" t="n">
        <v>684.628</v>
      </c>
      <c r="EC36" s="1320" t="n">
        <v>768.062</v>
      </c>
      <c r="ED36" s="1320" t="n">
        <v>751.4059999999999</v>
      </c>
      <c r="EE36" s="1320" t="n">
        <v>712.478</v>
      </c>
      <c r="EF36" s="1320" t="n">
        <v>781.9299999999999</v>
      </c>
      <c r="EG36" s="1320" t="n">
        <v>785.8339999999999</v>
      </c>
      <c r="EH36" s="1320" t="n">
        <v>814.513</v>
      </c>
      <c r="EI36" s="1320" t="n">
        <v>797.563</v>
      </c>
      <c r="EJ36" s="1320" t="n">
        <v>850.9690000000001</v>
      </c>
      <c r="EK36" s="1320" t="n">
        <v>843.13</v>
      </c>
      <c r="EL36" s="1320" t="n">
        <v>819.348</v>
      </c>
      <c r="EM36" s="1320" t="n">
        <v>866.345</v>
      </c>
      <c r="EN36" s="1320" t="n">
        <v>812.312</v>
      </c>
      <c r="EO36" s="1320" t="n">
        <v>798.046</v>
      </c>
      <c r="EP36" s="1320" t="n">
        <v>821.553</v>
      </c>
      <c r="EQ36" s="1320" t="n">
        <v>735.524</v>
      </c>
      <c r="ER36" s="1320" t="n">
        <v>817.8680000000001</v>
      </c>
      <c r="ES36" s="1320" t="n">
        <v>851.787</v>
      </c>
      <c r="ET36" s="1320" t="n">
        <v>881.8579999999999</v>
      </c>
      <c r="EU36" s="1320" t="n">
        <v>839.439</v>
      </c>
      <c r="EV36" s="1320" t="n">
        <v>871.377</v>
      </c>
      <c r="EW36" s="1320" t="n">
        <v>874.396</v>
      </c>
      <c r="EX36" s="1320" t="n">
        <v>851.586</v>
      </c>
      <c r="EY36" s="1320" t="n">
        <v>906.36</v>
      </c>
      <c r="EZ36" s="1320" t="n">
        <v>855.923</v>
      </c>
      <c r="FA36" s="1320" t="n">
        <v>874.237</v>
      </c>
      <c r="FB36" s="1320" t="n">
        <v>891.831</v>
      </c>
      <c r="FC36" s="1320" t="n">
        <v>839.039</v>
      </c>
      <c r="FD36" s="1320" t="n">
        <v>887.669</v>
      </c>
      <c r="FE36" s="1320" t="n">
        <v>884.461</v>
      </c>
      <c r="FF36" s="1320" t="n">
        <v>937.511</v>
      </c>
      <c r="FG36" s="1320" t="n">
        <v>902.287</v>
      </c>
      <c r="FH36" s="1320" t="n">
        <v>932.447</v>
      </c>
      <c r="FI36" s="1320" t="n">
        <v>945.253</v>
      </c>
      <c r="FJ36" s="1320" t="n">
        <v>933.399</v>
      </c>
      <c r="FK36" s="1320" t="n">
        <v>980.441</v>
      </c>
      <c r="FL36" s="1320" t="n">
        <v>931.687</v>
      </c>
      <c r="FM36" s="1320" t="n">
        <v>946.5069999999999</v>
      </c>
      <c r="FN36" s="1320" t="n">
        <v>957.4400000000001</v>
      </c>
      <c r="FO36" s="1320" t="n">
        <v>889.6130000000001</v>
      </c>
      <c r="FP36" s="1320" t="n">
        <v>958.376</v>
      </c>
      <c r="FQ36" s="1320" t="n">
        <v>955.478</v>
      </c>
      <c r="FR36" s="1320" t="n">
        <v>959.744</v>
      </c>
      <c r="FS36" s="1320" t="n">
        <v>938.141</v>
      </c>
      <c r="FT36" s="1320" t="n">
        <v>995.472</v>
      </c>
      <c r="FU36" s="1320" t="n">
        <v>999.175</v>
      </c>
      <c r="FV36" s="1320" t="n">
        <v>944.894</v>
      </c>
      <c r="FW36" s="1320" t="n">
        <v>995.95</v>
      </c>
      <c r="FX36" s="1320" t="n">
        <v>945.83</v>
      </c>
      <c r="FY36" s="1320" t="n">
        <v>962.807</v>
      </c>
      <c r="FZ36" s="1320" t="n">
        <v>979.741</v>
      </c>
      <c r="GA36" s="1320" t="n">
        <v>881.1319999999999</v>
      </c>
      <c r="GB36" s="1320" t="n">
        <v>943.0309999999999</v>
      </c>
      <c r="GC36" s="1320" t="n">
        <v>925.187</v>
      </c>
      <c r="GD36" s="1320" t="n">
        <v>931.856</v>
      </c>
      <c r="GE36" s="1320" t="n">
        <v>899.635</v>
      </c>
      <c r="GF36" s="1320" t="n">
        <v>937.7190000000001</v>
      </c>
      <c r="GG36" s="1320" t="n">
        <v>945.1180000000001</v>
      </c>
      <c r="GH36" s="1320" t="n">
        <v>930.851</v>
      </c>
      <c r="GI36" s="1320" t="n">
        <v>983.057</v>
      </c>
      <c r="GJ36" s="1320" t="n">
        <v>946.915</v>
      </c>
      <c r="GK36" s="1320" t="n">
        <v>946.145</v>
      </c>
      <c r="GL36" s="1320" t="n">
        <v>942.741</v>
      </c>
      <c r="GM36" s="1320" t="n">
        <v>880.043</v>
      </c>
      <c r="GN36" s="1320" t="n">
        <v>966.676</v>
      </c>
      <c r="GO36" s="1320" t="n">
        <v>942.502</v>
      </c>
      <c r="GP36" s="1320" t="n">
        <v>964.333</v>
      </c>
      <c r="GQ36" s="1320" t="n">
        <v>916.027</v>
      </c>
      <c r="GR36" s="1320" t="n">
        <v>956.775</v>
      </c>
      <c r="GS36" s="1320" t="n">
        <v>976.878</v>
      </c>
      <c r="GT36" s="1320" t="n">
        <v>949.433</v>
      </c>
      <c r="GU36" s="1320" t="n">
        <v>970.381</v>
      </c>
      <c r="GV36" s="1320" t="n">
        <v>934.312</v>
      </c>
      <c r="GW36" s="1320" t="n">
        <v>960.296</v>
      </c>
      <c r="GX36" s="1320" t="n">
        <v>973.2910000000001</v>
      </c>
      <c r="GY36" s="1320" t="n">
        <v>913.404</v>
      </c>
      <c r="GZ36" s="1320" t="n">
        <v>958.2569999999999</v>
      </c>
      <c r="HA36" s="1320" t="n">
        <v>962.051</v>
      </c>
      <c r="HB36" s="1320" t="n">
        <v>985.391</v>
      </c>
      <c r="HC36" s="1320" t="n">
        <v>938.169</v>
      </c>
      <c r="HD36" s="1320" t="n">
        <v>996.5069999999999</v>
      </c>
      <c r="HE36" s="1320" t="n">
        <v>991.952</v>
      </c>
      <c r="HF36" s="1320" t="n">
        <v>984.264</v>
      </c>
      <c r="HG36" s="1320" t="n">
        <v>990.855</v>
      </c>
      <c r="HH36" s="1320" t="n">
        <v>899.3150000000001</v>
      </c>
      <c r="HI36" s="1320" t="n">
        <v>951.5170000000001</v>
      </c>
      <c r="HJ36" s="892" t="n">
        <v>1013.663</v>
      </c>
      <c r="HK36" s="892" t="n">
        <v>923.7569999999999</v>
      </c>
      <c r="HL36" s="892" t="n">
        <v>997.047</v>
      </c>
      <c r="HM36" s="892" t="n">
        <v>990.524</v>
      </c>
      <c r="HN36" s="892" t="n">
        <v>1002.41</v>
      </c>
      <c r="HO36" s="892" t="n">
        <v>934.141</v>
      </c>
      <c r="HP36" s="892" t="n">
        <v>988.5410000000001</v>
      </c>
      <c r="HQ36" s="892" t="n">
        <v>971.504</v>
      </c>
      <c r="HR36" s="892" t="n">
        <v>990.821</v>
      </c>
      <c r="HS36" s="892" t="n">
        <v>1021.01</v>
      </c>
      <c r="HT36" s="892" t="n">
        <v>975.059</v>
      </c>
      <c r="HU36" s="892" t="n">
        <v>1002.131</v>
      </c>
      <c r="HV36" s="892" t="n">
        <v>1009.386</v>
      </c>
      <c r="HW36" s="892" t="n">
        <v>928.212</v>
      </c>
      <c r="HX36" s="892" t="n">
        <v>1008.932</v>
      </c>
      <c r="HY36" s="892" t="n">
        <v>981.601</v>
      </c>
      <c r="HZ36" s="892" t="n">
        <v>1001.486</v>
      </c>
      <c r="IA36" s="892" t="n">
        <v>970.157</v>
      </c>
      <c r="IB36" s="892" t="n">
        <v>1005.077</v>
      </c>
      <c r="IC36" s="892" t="n">
        <v>1025.497</v>
      </c>
      <c r="ID36" s="892" t="n">
        <v>924.213</v>
      </c>
      <c r="IE36" s="892" t="n">
        <v>1034.207</v>
      </c>
      <c r="IF36" s="892" t="n">
        <v>977.098</v>
      </c>
      <c r="IG36" s="892" t="n">
        <v>973.047</v>
      </c>
      <c r="IH36" s="892" t="n">
        <v>1015.526</v>
      </c>
      <c r="II36" s="892" t="n">
        <v>905.099</v>
      </c>
      <c r="IJ36" s="892" t="n">
        <v>988.072</v>
      </c>
      <c r="IK36" s="892" t="n">
        <v>979.647</v>
      </c>
      <c r="IL36" s="892" t="n">
        <v>985.961</v>
      </c>
      <c r="IM36" s="892" t="n">
        <v>961.955</v>
      </c>
      <c r="IN36" s="892" t="n">
        <v>1022.567</v>
      </c>
      <c r="IO36" s="892" t="n">
        <v>929.946</v>
      </c>
      <c r="IP36" s="892" t="n">
        <v>898.7380000000001</v>
      </c>
      <c r="IQ36" s="892" t="n">
        <v>943.726</v>
      </c>
      <c r="IR36" s="892" t="n">
        <v>851.846</v>
      </c>
      <c r="IS36" s="892" t="n">
        <v>854.3049999999999</v>
      </c>
      <c r="IT36" s="892" t="n">
        <v>896.694</v>
      </c>
      <c r="IU36" s="892" t="n">
        <v>215.972</v>
      </c>
      <c r="IV36" s="892" t="n">
        <v>61.045</v>
      </c>
      <c r="IW36" s="892" t="n">
        <v>23.279</v>
      </c>
      <c r="IX36" s="893" t="n">
        <v>24.781</v>
      </c>
      <c r="IY36" s="893" t="n">
        <v>22.811</v>
      </c>
      <c r="IZ36" s="893" t="n">
        <v>32.115</v>
      </c>
      <c r="JA36" s="893" t="n">
        <v>32.632</v>
      </c>
      <c r="JB36" s="893" t="n">
        <v>41.256</v>
      </c>
      <c r="JC36" s="893" t="n">
        <v>66.824</v>
      </c>
      <c r="JD36" s="893" t="n">
        <v>48.755</v>
      </c>
      <c r="JE36" s="893" t="n">
        <v>45.36</v>
      </c>
      <c r="JF36" s="893" t="n">
        <v>46.728</v>
      </c>
      <c r="JG36" s="893" t="n">
        <v>36.426</v>
      </c>
      <c r="JH36" s="893" t="n">
        <v>36.68</v>
      </c>
      <c r="JI36" s="893" t="n">
        <v>35.547</v>
      </c>
      <c r="JJ36" s="893" t="n">
        <v>40.274</v>
      </c>
      <c r="JK36" s="893" t="n">
        <v>55.956</v>
      </c>
      <c r="JL36" s="893" t="n">
        <v>71.367</v>
      </c>
      <c r="JM36" s="893" t="n">
        <v>127.887</v>
      </c>
      <c r="JN36" s="893" t="n">
        <v>107.84</v>
      </c>
      <c r="JO36" s="893" t="n">
        <v>78.149</v>
      </c>
      <c r="JP36" s="893" t="n">
        <v>82.28400000000001</v>
      </c>
      <c r="JQ36" s="893" t="n">
        <v>97.41800000000001</v>
      </c>
      <c r="JR36" s="893" t="n">
        <v>89.223</v>
      </c>
      <c r="JS36" s="893" t="n">
        <v>87.41200000000001</v>
      </c>
      <c r="JT36" s="893" t="n">
        <v>87.413</v>
      </c>
      <c r="JU36" s="893" t="n">
        <v>69.242</v>
      </c>
      <c r="JV36" s="893" t="n">
        <v>71.679</v>
      </c>
      <c r="JW36" s="893" t="n">
        <v>85.52</v>
      </c>
      <c r="JX36" s="893" t="n">
        <v>100.575</v>
      </c>
      <c r="JY36" s="893" t="n">
        <v>126.196</v>
      </c>
      <c r="JZ36" s="893" t="n">
        <v>119.646</v>
      </c>
      <c r="KA36" s="893" t="n">
        <v>121.059</v>
      </c>
      <c r="KB36" s="893" t="n">
        <v>127.912</v>
      </c>
      <c r="KC36" s="893" t="n">
        <v>124.759</v>
      </c>
      <c r="KD36" s="893" t="n">
        <v>207.591</v>
      </c>
      <c r="KE36" s="893" t="n">
        <v>306.616</v>
      </c>
      <c r="KF36" s="893" t="n">
        <v>349.99</v>
      </c>
      <c r="KG36" s="893" t="n">
        <v>359.133</v>
      </c>
      <c r="KH36" s="893" t="n">
        <v>367.522</v>
      </c>
      <c r="KI36" s="893" t="n">
        <v>369.7</v>
      </c>
      <c r="KJ36" s="893" t="n">
        <v>384.439</v>
      </c>
      <c r="KK36" s="893" t="n">
        <v>407.428</v>
      </c>
      <c r="KL36" s="893" t="n">
        <v>476.149</v>
      </c>
      <c r="KM36" s="893" t="n">
        <v>509.099</v>
      </c>
      <c r="KN36" s="893" t="n">
        <v>504.228</v>
      </c>
      <c r="KO36" s="893" t="n">
        <v>496.46</v>
      </c>
      <c r="KP36" s="893" t="n">
        <v>452.25</v>
      </c>
      <c r="KQ36" s="893" t="n">
        <v>446.333</v>
      </c>
      <c r="KR36" s="893" t="n">
        <v>522.713</v>
      </c>
      <c r="KS36" s="893" t="n">
        <v>523.711</v>
      </c>
      <c r="KT36" s="893" t="n">
        <v>598.883</v>
      </c>
      <c r="KU36" s="893" t="n">
        <v>490.282</v>
      </c>
      <c r="KV36" s="893" t="n">
        <v>555.712</v>
      </c>
      <c r="KW36" s="893" t="n">
        <v>569.11</v>
      </c>
      <c r="KX36" s="893" t="n">
        <v>599.544</v>
      </c>
      <c r="KY36" s="893" t="n">
        <v>648.885</v>
      </c>
      <c r="KZ36" s="893" t="n">
        <v>621.043</v>
      </c>
      <c r="LA36" s="893" t="n">
        <v>640.647</v>
      </c>
      <c r="LB36" s="893" t="n"/>
      <c r="LC36" s="893" t="n"/>
      <c r="LD36" s="893" t="n"/>
      <c r="LE36" s="893" t="n"/>
      <c r="LF36" s="893" t="n"/>
      <c r="LG36" s="893" t="n"/>
      <c r="LH36" s="893" t="n"/>
      <c r="LI36" s="893" t="n"/>
      <c r="LJ36" s="893" t="n"/>
      <c r="LK36" s="893" t="n"/>
      <c r="LL36" s="893" t="n"/>
      <c r="LM36" s="893" t="n"/>
      <c r="LN36" s="893" t="n"/>
      <c r="LO36" s="893" t="n"/>
      <c r="LP36" s="893" t="n"/>
      <c r="LQ36" s="893" t="n"/>
      <c r="LR36" s="893" t="n"/>
      <c r="LS36" s="893" t="n"/>
    </row>
    <row r="37">
      <c r="A37" s="885" t="inlineStr">
        <is>
          <t>m cg %</t>
        </is>
      </c>
      <c r="B37" s="1318" t="n"/>
      <c r="C37" s="1318" t="n"/>
      <c r="D37" s="1318" t="n"/>
      <c r="E37" s="1318" t="n"/>
      <c r="F37" s="1318" t="n"/>
      <c r="G37" s="1318" t="n"/>
      <c r="H37" s="1318" t="n"/>
      <c r="I37" s="1318" t="n"/>
      <c r="J37" s="1318" t="n"/>
      <c r="K37" s="1318" t="n"/>
      <c r="L37" s="1318" t="n"/>
      <c r="M37" s="1318" t="n"/>
      <c r="N37" s="1318" t="n"/>
      <c r="O37" s="1318" t="n"/>
      <c r="P37" s="1318" t="n"/>
      <c r="Q37" s="1318" t="n"/>
      <c r="R37" s="1318" t="n"/>
      <c r="S37" s="1318" t="n"/>
      <c r="T37" s="1318" t="n"/>
      <c r="U37" s="1318" t="n"/>
      <c r="V37" s="1318" t="n"/>
      <c r="W37" s="1318" t="n"/>
      <c r="X37" s="1318" t="n"/>
      <c r="Y37" s="1318" t="n"/>
      <c r="Z37" s="1318" t="n"/>
      <c r="AA37" s="1318" t="n"/>
      <c r="AB37" s="1318" t="n"/>
      <c r="AC37" s="1318" t="n"/>
      <c r="AD37" s="1318" t="n"/>
      <c r="AE37" s="1318" t="n"/>
      <c r="AF37" s="1318" t="n"/>
      <c r="AG37" s="1318" t="n"/>
      <c r="AH37" s="1318" t="n"/>
      <c r="AI37" s="1318" t="n"/>
      <c r="AJ37" s="1318" t="n"/>
      <c r="AK37" s="1318" t="n"/>
      <c r="AL37" s="1318" t="n"/>
      <c r="AM37" s="1318" t="n"/>
      <c r="AN37" s="1318" t="n"/>
      <c r="AO37" s="1318" t="n"/>
      <c r="AP37" s="1318" t="n"/>
      <c r="AQ37" s="1318" t="n"/>
      <c r="AR37" s="1318" t="n"/>
      <c r="AS37" s="1318" t="n"/>
      <c r="AT37" s="1318" t="n"/>
      <c r="AU37" s="1318" t="n"/>
      <c r="AV37" s="1318" t="n"/>
      <c r="AW37" s="1318" t="n"/>
      <c r="AX37" s="1318" t="n"/>
      <c r="AY37" s="1318" t="n"/>
      <c r="AZ37" s="1318" t="n"/>
      <c r="BA37" s="1318" t="n"/>
      <c r="BB37" s="1318" t="n"/>
      <c r="BC37" s="1318" t="n"/>
      <c r="BD37" s="1318" t="n"/>
      <c r="BE37" s="1318" t="n"/>
      <c r="BF37" s="1318" t="n"/>
      <c r="BG37" s="1318" t="n"/>
      <c r="BH37" s="1318" t="n"/>
      <c r="BI37" s="1318" t="n"/>
      <c r="BJ37" s="1318" t="n"/>
      <c r="BK37" s="1318" t="n"/>
      <c r="BL37" s="1318" t="n"/>
      <c r="BM37" s="1318" t="n"/>
      <c r="BN37" s="1318" t="n"/>
      <c r="BO37" s="1318" t="n"/>
      <c r="BP37" s="1318" t="n"/>
      <c r="BQ37" s="1318" t="n"/>
      <c r="BR37" s="1318" t="n"/>
      <c r="BS37" s="1318" t="n"/>
      <c r="BT37" s="1318" t="n"/>
      <c r="BU37" s="1318" t="n"/>
      <c r="BV37" s="1318" t="n"/>
      <c r="BW37" s="1318" t="n"/>
      <c r="BX37" s="1318" t="n"/>
      <c r="BY37" s="1318" t="n"/>
      <c r="BZ37" s="1318" t="n"/>
      <c r="CA37" s="1318" t="n"/>
      <c r="CB37" s="1318" t="n"/>
      <c r="CC37" s="1318" t="n"/>
      <c r="CD37" s="1318" t="n"/>
      <c r="CE37" s="1318" t="n"/>
      <c r="CF37" s="1318" t="n"/>
      <c r="CG37" s="1318" t="n"/>
      <c r="CH37" s="1318" t="n"/>
      <c r="CI37" s="1318" t="n"/>
      <c r="CJ37" s="1318" t="n"/>
      <c r="CK37" s="1318" t="n"/>
      <c r="CL37" s="1318" t="n"/>
      <c r="CM37" s="1318" t="n"/>
      <c r="CN37" s="1318" t="n"/>
      <c r="CO37" s="1318" t="n"/>
      <c r="CP37" s="1318" t="n"/>
      <c r="CQ37" s="1318" t="n"/>
      <c r="CR37" s="1318" t="n"/>
      <c r="CS37" s="1318" t="n"/>
      <c r="CT37" s="1318" t="n"/>
      <c r="CU37" s="1318">
        <f>CU36/CT36-1</f>
        <v/>
      </c>
      <c r="CV37" s="1318">
        <f>CV36/CU36-1</f>
        <v/>
      </c>
      <c r="CW37" s="1318">
        <f>CW36/CV36-1</f>
        <v/>
      </c>
      <c r="CX37" s="1318">
        <f>CX36/CW36-1</f>
        <v/>
      </c>
      <c r="CY37" s="1318">
        <f>CY36/CX36-1</f>
        <v/>
      </c>
      <c r="CZ37" s="1318">
        <f>CZ36/CY36-1</f>
        <v/>
      </c>
      <c r="DA37" s="1318">
        <f>DA36/CZ36-1</f>
        <v/>
      </c>
      <c r="DB37" s="1318">
        <f>DB36/DA36-1</f>
        <v/>
      </c>
      <c r="DC37" s="1318">
        <f>DC36/DB36-1</f>
        <v/>
      </c>
      <c r="DD37" s="1318">
        <f>DD36/DC36-1</f>
        <v/>
      </c>
      <c r="DE37" s="1318">
        <f>DE36/DD36-1</f>
        <v/>
      </c>
      <c r="DF37" s="1318">
        <f>DF36/DE36-1</f>
        <v/>
      </c>
      <c r="DG37" s="1318">
        <f>DG36/DF36-1</f>
        <v/>
      </c>
      <c r="DH37" s="1318">
        <f>DH36/DG36-1</f>
        <v/>
      </c>
      <c r="DI37" s="1318">
        <f>DI36/DH36-1</f>
        <v/>
      </c>
      <c r="DJ37" s="1318">
        <f>DJ36/DI36-1</f>
        <v/>
      </c>
      <c r="DK37" s="1318">
        <f>DK36/DJ36-1</f>
        <v/>
      </c>
      <c r="DL37" s="1318">
        <f>DL36/DK36-1</f>
        <v/>
      </c>
      <c r="DM37" s="1318">
        <f>DM36/DL36-1</f>
        <v/>
      </c>
      <c r="DN37" s="1318">
        <f>DN36/DM36-1</f>
        <v/>
      </c>
      <c r="DO37" s="1318">
        <f>DO36/DN36-1</f>
        <v/>
      </c>
      <c r="DP37" s="1318">
        <f>DP36/DO36-1</f>
        <v/>
      </c>
      <c r="DQ37" s="1318">
        <f>DQ36/DP36-1</f>
        <v/>
      </c>
      <c r="DR37" s="1318">
        <f>DR36/DQ36-1</f>
        <v/>
      </c>
      <c r="DS37" s="1318">
        <f>DS36/DR36-1</f>
        <v/>
      </c>
      <c r="DT37" s="1318">
        <f>DT36/DS36-1</f>
        <v/>
      </c>
      <c r="DU37" s="1318">
        <f>DU36/DT36-1</f>
        <v/>
      </c>
      <c r="DV37" s="1318">
        <f>DV36/DU36-1</f>
        <v/>
      </c>
      <c r="DW37" s="1318">
        <f>DW36/DV36-1</f>
        <v/>
      </c>
      <c r="DX37" s="1318">
        <f>DX36/DW36-1</f>
        <v/>
      </c>
      <c r="DY37" s="1318">
        <f>DY36/DX36-1</f>
        <v/>
      </c>
      <c r="DZ37" s="1318">
        <f>DZ36/DY36-1</f>
        <v/>
      </c>
      <c r="EA37" s="1318">
        <f>EA36/DZ36-1</f>
        <v/>
      </c>
      <c r="EB37" s="1318">
        <f>EB36/EA36-1</f>
        <v/>
      </c>
      <c r="EC37" s="1318">
        <f>EC36/EB36-1</f>
        <v/>
      </c>
      <c r="ED37" s="1318">
        <f>ED36/EC36-1</f>
        <v/>
      </c>
      <c r="EE37" s="1318">
        <f>EE36/ED36-1</f>
        <v/>
      </c>
      <c r="EF37" s="1318">
        <f>EF36/EE36-1</f>
        <v/>
      </c>
      <c r="EG37" s="1318">
        <f>EG36/EF36-1</f>
        <v/>
      </c>
      <c r="EH37" s="1318">
        <f>EH36/EG36-1</f>
        <v/>
      </c>
      <c r="EI37" s="1318">
        <f>EI36/EH36-1</f>
        <v/>
      </c>
      <c r="EJ37" s="1318">
        <f>EJ36/EI36-1</f>
        <v/>
      </c>
      <c r="EK37" s="1318">
        <f>EK36/EJ36-1</f>
        <v/>
      </c>
      <c r="EL37" s="1318">
        <f>EL36/EK36-1</f>
        <v/>
      </c>
      <c r="EM37" s="1318">
        <f>EM36/EL36-1</f>
        <v/>
      </c>
      <c r="EN37" s="1318">
        <f>EN36/EM36-1</f>
        <v/>
      </c>
      <c r="EO37" s="1318">
        <f>EO36/EN36-1</f>
        <v/>
      </c>
      <c r="EP37" s="1318">
        <f>EP36/EO36-1</f>
        <v/>
      </c>
      <c r="EQ37" s="1318">
        <f>EQ36/EP36-1</f>
        <v/>
      </c>
      <c r="ER37" s="1318">
        <f>ER36/EQ36-1</f>
        <v/>
      </c>
      <c r="ES37" s="1318">
        <f>ES36/ER36-1</f>
        <v/>
      </c>
      <c r="ET37" s="1318">
        <f>ET36/ES36-1</f>
        <v/>
      </c>
      <c r="EU37" s="1318">
        <f>EU36/ET36-1</f>
        <v/>
      </c>
      <c r="EV37" s="1318">
        <f>EV36/EU36-1</f>
        <v/>
      </c>
      <c r="EW37" s="1318">
        <f>EW36/EV36-1</f>
        <v/>
      </c>
      <c r="EX37" s="1318">
        <f>EX36/EW36-1</f>
        <v/>
      </c>
      <c r="EY37" s="1318">
        <f>EY36/EX36-1</f>
        <v/>
      </c>
      <c r="EZ37" s="1318">
        <f>EZ36/EY36-1</f>
        <v/>
      </c>
      <c r="FA37" s="1318">
        <f>FA36/EZ36-1</f>
        <v/>
      </c>
      <c r="FB37" s="1318">
        <f>FB36/FA36-1</f>
        <v/>
      </c>
      <c r="FC37" s="1318">
        <f>FC36/FB36-1</f>
        <v/>
      </c>
      <c r="FD37" s="1318">
        <f>FD36/FC36-1</f>
        <v/>
      </c>
      <c r="FE37" s="1318">
        <f>FE36/FD36-1</f>
        <v/>
      </c>
      <c r="FF37" s="1318">
        <f>FF36/FE36-1</f>
        <v/>
      </c>
      <c r="FG37" s="1318">
        <f>FG36/FF36-1</f>
        <v/>
      </c>
      <c r="FH37" s="1318">
        <f>FH36/FG36-1</f>
        <v/>
      </c>
      <c r="FI37" s="1318">
        <f>FI36/FH36-1</f>
        <v/>
      </c>
      <c r="FJ37" s="1318">
        <f>FJ36/FI36-1</f>
        <v/>
      </c>
      <c r="FK37" s="1318">
        <f>FK36/FJ36-1</f>
        <v/>
      </c>
      <c r="FL37" s="1318">
        <f>FL36/FK36-1</f>
        <v/>
      </c>
      <c r="FM37" s="1318">
        <f>FM36/FL36-1</f>
        <v/>
      </c>
      <c r="FN37" s="1318">
        <f>FN36/FM36-1</f>
        <v/>
      </c>
      <c r="FO37" s="1318">
        <f>FO36/FN36-1</f>
        <v/>
      </c>
      <c r="FP37" s="1318">
        <f>FP36/FO36-1</f>
        <v/>
      </c>
      <c r="FQ37" s="1318">
        <f>FQ36/FP36-1</f>
        <v/>
      </c>
      <c r="FR37" s="1318">
        <f>FR36/FQ36-1</f>
        <v/>
      </c>
      <c r="FS37" s="1318">
        <f>FS36/FR36-1</f>
        <v/>
      </c>
      <c r="FT37" s="1318">
        <f>FT36/FS36-1</f>
        <v/>
      </c>
      <c r="FU37" s="1318">
        <f>FU36/FT36-1</f>
        <v/>
      </c>
      <c r="FV37" s="1318">
        <f>FV36/FU36-1</f>
        <v/>
      </c>
      <c r="FW37" s="1318">
        <f>FW36/FV36-1</f>
        <v/>
      </c>
      <c r="FX37" s="1318">
        <f>FX36/FW36-1</f>
        <v/>
      </c>
      <c r="FY37" s="1318">
        <f>FY36/FX36-1</f>
        <v/>
      </c>
      <c r="FZ37" s="1318">
        <f>FZ36/FY36-1</f>
        <v/>
      </c>
      <c r="GA37" s="1318">
        <f>GA36/FZ36-1</f>
        <v/>
      </c>
      <c r="GB37" s="1318">
        <f>GB36/GA36-1</f>
        <v/>
      </c>
      <c r="GC37" s="1318">
        <f>GC36/GB36-1</f>
        <v/>
      </c>
      <c r="GD37" s="1318">
        <f>GD36/GC36-1</f>
        <v/>
      </c>
      <c r="GE37" s="1318">
        <f>GE36/GD36-1</f>
        <v/>
      </c>
      <c r="GF37" s="1318">
        <f>GF36/GE36-1</f>
        <v/>
      </c>
      <c r="GG37" s="1318">
        <f>GG36/GF36-1</f>
        <v/>
      </c>
      <c r="GH37" s="1318">
        <f>GH36/GG36-1</f>
        <v/>
      </c>
      <c r="GI37" s="1318">
        <f>GI36/GH36-1</f>
        <v/>
      </c>
      <c r="GJ37" s="1318">
        <f>GJ36/GI36-1</f>
        <v/>
      </c>
      <c r="GK37" s="1318">
        <f>GK36/GJ36-1</f>
        <v/>
      </c>
      <c r="GL37" s="1318">
        <f>GL36/GK36-1</f>
        <v/>
      </c>
      <c r="GM37" s="1318">
        <f>GM36/GL36-1</f>
        <v/>
      </c>
      <c r="GN37" s="1318">
        <f>GN36/GM36-1</f>
        <v/>
      </c>
      <c r="GO37" s="1318">
        <f>GO36/GN36-1</f>
        <v/>
      </c>
      <c r="GP37" s="1318">
        <f>GP36/GO36-1</f>
        <v/>
      </c>
      <c r="GQ37" s="1318">
        <f>GQ36/GP36-1</f>
        <v/>
      </c>
      <c r="GR37" s="1318">
        <f>GR36/GQ36-1</f>
        <v/>
      </c>
      <c r="GS37" s="1318">
        <f>GS36/GR36-1</f>
        <v/>
      </c>
      <c r="GT37" s="1318">
        <f>GT36/GS36-1</f>
        <v/>
      </c>
      <c r="GU37" s="1318">
        <f>GU36/GT36-1</f>
        <v/>
      </c>
      <c r="GV37" s="1318">
        <f>GV36/GU36-1</f>
        <v/>
      </c>
      <c r="GW37" s="1318">
        <f>GW36/GV36-1</f>
        <v/>
      </c>
      <c r="GX37" s="1318">
        <f>GX36/GW36-1</f>
        <v/>
      </c>
      <c r="GY37" s="1318">
        <f>GY36/GX36-1</f>
        <v/>
      </c>
      <c r="GZ37" s="1318">
        <f>GZ36/GY36-1</f>
        <v/>
      </c>
      <c r="HA37" s="1318">
        <f>HA36/GZ36-1</f>
        <v/>
      </c>
      <c r="HB37" s="1318">
        <f>HB36/HA36-1</f>
        <v/>
      </c>
      <c r="HC37" s="1318">
        <f>HC36/HB36-1</f>
        <v/>
      </c>
      <c r="HD37" s="1318">
        <f>HD36/HC36-1</f>
        <v/>
      </c>
      <c r="HE37" s="1318">
        <f>HE36/HD36-1</f>
        <v/>
      </c>
      <c r="HF37" s="1318">
        <f>HF36/HE36-1</f>
        <v/>
      </c>
      <c r="HG37" s="1318">
        <f>HG36/HF36-1</f>
        <v/>
      </c>
      <c r="HH37" s="1318">
        <f>HH36/HG36-1</f>
        <v/>
      </c>
      <c r="HI37" s="1318">
        <f>HI36/HH36-1</f>
        <v/>
      </c>
      <c r="HJ37" s="1318">
        <f>HJ36/HI36-1</f>
        <v/>
      </c>
      <c r="HK37" s="1318">
        <f>HK36/HJ36-1</f>
        <v/>
      </c>
      <c r="HL37" s="1318">
        <f>HL36/HK36-1</f>
        <v/>
      </c>
      <c r="HM37" s="1318">
        <f>HM36/HL36-1</f>
        <v/>
      </c>
      <c r="HN37" s="1318">
        <f>HN36/HM36-1</f>
        <v/>
      </c>
      <c r="HO37" s="1318">
        <f>HO36/HN36-1</f>
        <v/>
      </c>
      <c r="HP37" s="1318">
        <f>HP36/HO36-1</f>
        <v/>
      </c>
      <c r="HQ37" s="1318">
        <f>HQ36/HP36-1</f>
        <v/>
      </c>
      <c r="HR37" s="1318">
        <f>HR36/HQ36-1</f>
        <v/>
      </c>
      <c r="HS37" s="1318">
        <f>HS36/HR36-1</f>
        <v/>
      </c>
      <c r="HT37" s="1318">
        <f>HT36/HS36-1</f>
        <v/>
      </c>
      <c r="HU37" s="1318">
        <f>HU36/HT36-1</f>
        <v/>
      </c>
      <c r="HV37" s="1318">
        <f>HV36/HU36-1</f>
        <v/>
      </c>
      <c r="HW37" s="1318">
        <f>HW36/HV36-1</f>
        <v/>
      </c>
      <c r="HX37" s="1318">
        <f>HX36/HW36-1</f>
        <v/>
      </c>
      <c r="HY37" s="1318">
        <f>HY36/HX36-1</f>
        <v/>
      </c>
      <c r="HZ37" s="1318">
        <f>HZ36/HY36-1</f>
        <v/>
      </c>
      <c r="IA37" s="1318">
        <f>IA36/HZ36-1</f>
        <v/>
      </c>
      <c r="IB37" s="1318">
        <f>IB36/IA36-1</f>
        <v/>
      </c>
      <c r="IC37" s="1318">
        <f>IC36/IB36-1</f>
        <v/>
      </c>
      <c r="ID37" s="1318">
        <f>ID36/IC36-1</f>
        <v/>
      </c>
      <c r="IE37" s="1318">
        <f>IE36/ID36-1</f>
        <v/>
      </c>
      <c r="IF37" s="1318">
        <f>IF36/IE36-1</f>
        <v/>
      </c>
      <c r="IG37" s="1318">
        <f>IG36/IF36-1</f>
        <v/>
      </c>
      <c r="IH37" s="1318">
        <f>IH36/IG36-1</f>
        <v/>
      </c>
      <c r="II37" s="1318">
        <f>II36/IH36-1</f>
        <v/>
      </c>
      <c r="IJ37" s="1318">
        <f>IJ36/II36-1</f>
        <v/>
      </c>
      <c r="IK37" s="1318">
        <f>IK36/IJ36-1</f>
        <v/>
      </c>
      <c r="IL37" s="1318">
        <f>IL36/IK36-1</f>
        <v/>
      </c>
      <c r="IM37" s="1318">
        <f>IM36/IL36-1</f>
        <v/>
      </c>
      <c r="IN37" s="1318">
        <f>IN36/IM36-1</f>
        <v/>
      </c>
      <c r="IO37" s="1318">
        <f>IO36/IN36-1</f>
        <v/>
      </c>
      <c r="IP37" s="1318">
        <f>IP36/IO36-1</f>
        <v/>
      </c>
      <c r="IQ37" s="1318">
        <f>IQ36/IP36-1</f>
        <v/>
      </c>
      <c r="IR37" s="1318">
        <f>IR36/IQ36-1</f>
        <v/>
      </c>
      <c r="IS37" s="1318">
        <f>IS36/IR36-1</f>
        <v/>
      </c>
      <c r="IT37" s="1318">
        <f>IT36/IS36-1</f>
        <v/>
      </c>
      <c r="IU37" s="1318">
        <f>IU36/IT36-1</f>
        <v/>
      </c>
      <c r="IV37" s="1318">
        <f>IV36/IU36-1</f>
        <v/>
      </c>
      <c r="IW37" s="1318">
        <f>IW36/IV36-1</f>
        <v/>
      </c>
      <c r="IX37" s="1318">
        <f>IX36/IW36-1</f>
        <v/>
      </c>
      <c r="IY37" s="1318">
        <f>IY36/IX36-1</f>
        <v/>
      </c>
      <c r="IZ37" s="1318">
        <f>IZ36/IY36-1</f>
        <v/>
      </c>
      <c r="JA37" s="1318">
        <f>JA36/IZ36-1</f>
        <v/>
      </c>
      <c r="JB37" s="1318">
        <f>JB36/JA36-1</f>
        <v/>
      </c>
      <c r="JC37" s="1318">
        <f>JC36/JB36-1</f>
        <v/>
      </c>
      <c r="JD37" s="1318">
        <f>JD36/JC36-1</f>
        <v/>
      </c>
      <c r="JE37" s="1318">
        <f>JE36/JD36-1</f>
        <v/>
      </c>
      <c r="JF37" s="1318">
        <f>JF36/JE36-1</f>
        <v/>
      </c>
      <c r="JG37" s="1318">
        <f>JG36/JF36-1</f>
        <v/>
      </c>
      <c r="JH37" s="1318">
        <f>JH36/JG36-1</f>
        <v/>
      </c>
      <c r="JI37" s="1318">
        <f>JI36/JH36-1</f>
        <v/>
      </c>
      <c r="JJ37" s="1318">
        <f>JJ36/JI36-1</f>
        <v/>
      </c>
      <c r="JK37" s="1318">
        <f>JK36/JJ36-1</f>
        <v/>
      </c>
      <c r="JL37" s="1318">
        <f>JL36/JK36-1</f>
        <v/>
      </c>
      <c r="JM37" s="1318">
        <f>JM36/JL36-1</f>
        <v/>
      </c>
      <c r="JN37" s="1318">
        <f>JN36/JM36-1</f>
        <v/>
      </c>
      <c r="JO37" s="1318">
        <f>JO36/JN36-1</f>
        <v/>
      </c>
      <c r="JP37" s="1318">
        <f>JP36/JO36-1</f>
        <v/>
      </c>
      <c r="JQ37" s="1318">
        <f>JQ36/JP36-1</f>
        <v/>
      </c>
      <c r="JR37" s="1318">
        <f>JR36/JQ36-1</f>
        <v/>
      </c>
      <c r="JS37" s="1318">
        <f>JS36/JR36-1</f>
        <v/>
      </c>
      <c r="JT37" s="1318">
        <f>JT36/JS36-1</f>
        <v/>
      </c>
      <c r="JU37" s="1318">
        <f>JU36/JT36-1</f>
        <v/>
      </c>
      <c r="JV37" s="1318">
        <f>JV36/JU36-1</f>
        <v/>
      </c>
      <c r="JW37" s="1318">
        <f>JW36/JV36-1</f>
        <v/>
      </c>
      <c r="JX37" s="1318">
        <f>JX36/JW36-1</f>
        <v/>
      </c>
      <c r="JY37" s="1318">
        <f>JY36/JX36-1</f>
        <v/>
      </c>
      <c r="JZ37" s="1318">
        <f>JZ36/JY36-1</f>
        <v/>
      </c>
      <c r="KA37" s="1318">
        <f>KA36/JZ36-1</f>
        <v/>
      </c>
      <c r="KB37" s="1318">
        <f>KB36/KA36-1</f>
        <v/>
      </c>
      <c r="KC37" s="1318">
        <f>KC36/KB36-1</f>
        <v/>
      </c>
      <c r="KD37" s="1318">
        <f>KD36/KC36-1</f>
        <v/>
      </c>
      <c r="KE37" s="1318">
        <f>KE36/KD36-1</f>
        <v/>
      </c>
      <c r="KF37" s="1318">
        <f>KF36/KE36-1</f>
        <v/>
      </c>
      <c r="KG37" s="1318">
        <f>KG36/KF36-1</f>
        <v/>
      </c>
      <c r="KH37" s="1318">
        <f>KH36/KG36-1</f>
        <v/>
      </c>
      <c r="KI37" s="1318">
        <f>KI36/KH36-1</f>
        <v/>
      </c>
      <c r="KJ37" s="1318">
        <f>KJ36/KI36-1</f>
        <v/>
      </c>
      <c r="KK37" s="1318">
        <f>KK36/KJ36-1</f>
        <v/>
      </c>
      <c r="KL37" s="1318">
        <f>KL36/KK36-1</f>
        <v/>
      </c>
      <c r="KM37" s="1318">
        <f>KM36/KL36-1</f>
        <v/>
      </c>
      <c r="KN37" s="1318">
        <f>KN36/KM36-1</f>
        <v/>
      </c>
      <c r="KO37" s="1318">
        <f>KO36/KN36-1</f>
        <v/>
      </c>
      <c r="KP37" s="1318">
        <f>KP36/KO36-1</f>
        <v/>
      </c>
      <c r="KQ37" s="1318">
        <f>KQ36/KP36-1</f>
        <v/>
      </c>
      <c r="KR37" s="1318">
        <f>KR36/KQ36-1</f>
        <v/>
      </c>
      <c r="KS37" s="1318">
        <f>KS36/KR36-1</f>
        <v/>
      </c>
      <c r="KT37" s="1318">
        <f>KT36/KS36-1</f>
        <v/>
      </c>
      <c r="KU37" s="1318">
        <f>KU36/KT36-1</f>
        <v/>
      </c>
      <c r="KV37" s="1318">
        <f>KV36/KU36-1</f>
        <v/>
      </c>
      <c r="KW37" s="1318">
        <f>KW36/KV36-1</f>
        <v/>
      </c>
      <c r="KX37" s="1318">
        <f>KX36/KW36-1</f>
        <v/>
      </c>
      <c r="KY37" s="1318">
        <f>KY36/KX36-1</f>
        <v/>
      </c>
      <c r="KZ37" s="1318">
        <f>KZ36/KY36-1</f>
        <v/>
      </c>
      <c r="LA37" s="1318">
        <f>LA36/KZ36-1</f>
        <v/>
      </c>
      <c r="LB37" s="1318" t="n"/>
      <c r="LC37" s="1318" t="n"/>
      <c r="LD37" s="1318" t="n"/>
      <c r="LE37" s="1318" t="n"/>
      <c r="LF37" s="1318" t="n"/>
      <c r="LG37" s="1318" t="n"/>
      <c r="LH37" s="1318" t="n"/>
      <c r="LI37" s="1318" t="n"/>
      <c r="LJ37" s="1318" t="n"/>
      <c r="LK37" s="1318" t="n"/>
      <c r="LL37" s="1318" t="n"/>
      <c r="LM37" s="1318" t="n"/>
      <c r="LN37" s="1318" t="n"/>
      <c r="LO37" s="1318" t="n"/>
      <c r="LP37" s="1318" t="n"/>
      <c r="LQ37" s="1318" t="n"/>
      <c r="LR37" s="1318" t="n"/>
      <c r="LS37" s="1318" t="n"/>
    </row>
    <row r="38">
      <c r="A38" s="885" t="inlineStr">
        <is>
          <t>YoY cg %</t>
        </is>
      </c>
      <c r="B38" s="1318" t="n"/>
      <c r="C38" s="1318" t="n"/>
      <c r="D38" s="1318" t="n"/>
      <c r="E38" s="1318" t="n"/>
      <c r="F38" s="1318" t="n"/>
      <c r="G38" s="1318" t="n"/>
      <c r="H38" s="1318" t="n"/>
      <c r="I38" s="1318" t="n"/>
      <c r="J38" s="1318" t="n"/>
      <c r="K38" s="1318" t="n"/>
      <c r="L38" s="1318" t="n"/>
      <c r="M38" s="1318" t="n"/>
      <c r="N38" s="1318" t="n"/>
      <c r="O38" s="1318" t="n"/>
      <c r="P38" s="1318" t="n"/>
      <c r="Q38" s="1318" t="n"/>
      <c r="R38" s="1318" t="n"/>
      <c r="S38" s="1318" t="n"/>
      <c r="T38" s="1318" t="n"/>
      <c r="U38" s="1318" t="n"/>
      <c r="V38" s="1318" t="n"/>
      <c r="W38" s="1318" t="n"/>
      <c r="X38" s="1318" t="n"/>
      <c r="Y38" s="1318" t="n"/>
      <c r="Z38" s="1318" t="n"/>
      <c r="AA38" s="1318" t="n"/>
      <c r="AB38" s="1318" t="n"/>
      <c r="AC38" s="1318" t="n"/>
      <c r="AD38" s="1318" t="n"/>
      <c r="AE38" s="1318" t="n"/>
      <c r="AF38" s="1318" t="n"/>
      <c r="AG38" s="1318" t="n"/>
      <c r="AH38" s="1318" t="n"/>
      <c r="AI38" s="1318" t="n"/>
      <c r="AJ38" s="1318" t="n"/>
      <c r="AK38" s="1318" t="n"/>
      <c r="AL38" s="1318" t="n"/>
      <c r="AM38" s="1318" t="n"/>
      <c r="AN38" s="1318" t="n"/>
      <c r="AO38" s="1318" t="n"/>
      <c r="AP38" s="1318" t="n"/>
      <c r="AQ38" s="1318" t="n"/>
      <c r="AR38" s="1318" t="n"/>
      <c r="AS38" s="1318" t="n"/>
      <c r="AT38" s="1318" t="n"/>
      <c r="AU38" s="1318" t="n"/>
      <c r="AV38" s="1318" t="n"/>
      <c r="AW38" s="1318" t="n"/>
      <c r="AX38" s="1318" t="n"/>
      <c r="AY38" s="1318" t="n"/>
      <c r="AZ38" s="1318" t="n"/>
      <c r="BA38" s="1318" t="n"/>
      <c r="BB38" s="1318" t="n"/>
      <c r="BC38" s="1318" t="n"/>
      <c r="BD38" s="1318" t="n"/>
      <c r="BE38" s="1318" t="n"/>
      <c r="BF38" s="1318" t="n"/>
      <c r="BG38" s="1318" t="n"/>
      <c r="BH38" s="1318" t="n"/>
      <c r="BI38" s="1318" t="n"/>
      <c r="BJ38" s="1318" t="n"/>
      <c r="BK38" s="1318" t="n"/>
      <c r="BL38" s="1318" t="n"/>
      <c r="BM38" s="1318" t="n"/>
      <c r="BN38" s="1318" t="n"/>
      <c r="BO38" s="1318" t="n"/>
      <c r="BP38" s="1318" t="n"/>
      <c r="BQ38" s="1318" t="n"/>
      <c r="BR38" s="1318" t="n"/>
      <c r="BS38" s="1318" t="n"/>
      <c r="BT38" s="1318" t="n"/>
      <c r="BU38" s="1318" t="n"/>
      <c r="BV38" s="1318" t="n"/>
      <c r="BW38" s="1318" t="n"/>
      <c r="BX38" s="1318" t="n"/>
      <c r="BY38" s="1318" t="n"/>
      <c r="BZ38" s="1318" t="n"/>
      <c r="CA38" s="1318" t="n"/>
      <c r="CB38" s="1318" t="n"/>
      <c r="CC38" s="1318" t="n"/>
      <c r="CD38" s="1318" t="n"/>
      <c r="CE38" s="1318" t="n"/>
      <c r="CF38" s="1318" t="n"/>
      <c r="CG38" s="1318" t="n"/>
      <c r="CH38" s="1318" t="n"/>
      <c r="CI38" s="1318" t="n"/>
      <c r="CJ38" s="1318" t="n"/>
      <c r="CK38" s="1318" t="n"/>
      <c r="CL38" s="1318" t="n"/>
      <c r="CM38" s="1318" t="n"/>
      <c r="CN38" s="1318" t="n"/>
      <c r="CO38" s="1318" t="n"/>
      <c r="CP38" s="1318" t="n"/>
      <c r="CQ38" s="1318" t="n"/>
      <c r="CR38" s="1318" t="n"/>
      <c r="CS38" s="1318" t="n"/>
      <c r="CT38" s="1318" t="n"/>
      <c r="CU38" s="1318" t="n"/>
      <c r="CV38" s="1318" t="n"/>
      <c r="CW38" s="1318" t="n"/>
      <c r="CX38" s="1318" t="n"/>
      <c r="CY38" s="1318" t="n"/>
      <c r="CZ38" s="1318" t="n"/>
      <c r="DA38" s="1318" t="n"/>
      <c r="DB38" s="1318" t="n"/>
      <c r="DC38" s="1318" t="n"/>
      <c r="DD38" s="1318" t="n"/>
      <c r="DE38" s="1318" t="n"/>
      <c r="DF38" s="1318">
        <f>DF36/CT36-1</f>
        <v/>
      </c>
      <c r="DG38" s="1318">
        <f>DG36/CU36-1</f>
        <v/>
      </c>
      <c r="DH38" s="1318">
        <f>DH36/CV36-1</f>
        <v/>
      </c>
      <c r="DI38" s="1318">
        <f>DI36/CW36-1</f>
        <v/>
      </c>
      <c r="DJ38" s="1318">
        <f>DJ36/CX36-1</f>
        <v/>
      </c>
      <c r="DK38" s="1318">
        <f>DK36/CY36-1</f>
        <v/>
      </c>
      <c r="DL38" s="1318">
        <f>DL36/CZ36-1</f>
        <v/>
      </c>
      <c r="DM38" s="1318">
        <f>DM36/DA36-1</f>
        <v/>
      </c>
      <c r="DN38" s="1318">
        <f>DN36/DB36-1</f>
        <v/>
      </c>
      <c r="DO38" s="1318">
        <f>DO36/DC36-1</f>
        <v/>
      </c>
      <c r="DP38" s="1318">
        <f>DP36/DD36-1</f>
        <v/>
      </c>
      <c r="DQ38" s="1318">
        <f>DQ36/DE36-1</f>
        <v/>
      </c>
      <c r="DR38" s="1318">
        <f>DR36/DF36-1</f>
        <v/>
      </c>
      <c r="DS38" s="1318">
        <f>DS36/DG36-1</f>
        <v/>
      </c>
      <c r="DT38" s="1318">
        <f>DT36/DH36-1</f>
        <v/>
      </c>
      <c r="DU38" s="1318">
        <f>DU36/DI36-1</f>
        <v/>
      </c>
      <c r="DV38" s="1318">
        <f>DV36/DJ36-1</f>
        <v/>
      </c>
      <c r="DW38" s="1318">
        <f>DW36/DK36-1</f>
        <v/>
      </c>
      <c r="DX38" s="1318">
        <f>DX36/DL36-1</f>
        <v/>
      </c>
      <c r="DY38" s="1318">
        <f>DY36/DM36-1</f>
        <v/>
      </c>
      <c r="DZ38" s="1318">
        <f>DZ36/DN36-1</f>
        <v/>
      </c>
      <c r="EA38" s="1318">
        <f>EA36/DO36-1</f>
        <v/>
      </c>
      <c r="EB38" s="1318">
        <f>EB36/DP36-1</f>
        <v/>
      </c>
      <c r="EC38" s="1318">
        <f>EC36/DQ36-1</f>
        <v/>
      </c>
      <c r="ED38" s="1318">
        <f>ED36/DR36-1</f>
        <v/>
      </c>
      <c r="EE38" s="1318">
        <f>EE36/DS36-1</f>
        <v/>
      </c>
      <c r="EF38" s="1318">
        <f>EF36/DT36-1</f>
        <v/>
      </c>
      <c r="EG38" s="1318">
        <f>EG36/DU36-1</f>
        <v/>
      </c>
      <c r="EH38" s="1318">
        <f>EH36/DV36-1</f>
        <v/>
      </c>
      <c r="EI38" s="1318">
        <f>EI36/DW36-1</f>
        <v/>
      </c>
      <c r="EJ38" s="1318">
        <f>EJ36/DX36-1</f>
        <v/>
      </c>
      <c r="EK38" s="1318">
        <f>EK36/DY36-1</f>
        <v/>
      </c>
      <c r="EL38" s="1318">
        <f>EL36/DZ36-1</f>
        <v/>
      </c>
      <c r="EM38" s="1318">
        <f>EM36/EA36-1</f>
        <v/>
      </c>
      <c r="EN38" s="1318">
        <f>EN36/EB36-1</f>
        <v/>
      </c>
      <c r="EO38" s="1318">
        <f>EO36/EC36-1</f>
        <v/>
      </c>
      <c r="EP38" s="1318">
        <f>EP36/ED36-1</f>
        <v/>
      </c>
      <c r="EQ38" s="1318">
        <f>EQ36/EE36-1</f>
        <v/>
      </c>
      <c r="ER38" s="1318">
        <f>ER36/EF36-1</f>
        <v/>
      </c>
      <c r="ES38" s="1318">
        <f>ES36/EG36-1</f>
        <v/>
      </c>
      <c r="ET38" s="1318">
        <f>ET36/EH36-1</f>
        <v/>
      </c>
      <c r="EU38" s="1318">
        <f>EU36/EI36-1</f>
        <v/>
      </c>
      <c r="EV38" s="1318">
        <f>EV36/EJ36-1</f>
        <v/>
      </c>
      <c r="EW38" s="1318">
        <f>EW36/EK36-1</f>
        <v/>
      </c>
      <c r="EX38" s="1318">
        <f>EX36/EL36-1</f>
        <v/>
      </c>
      <c r="EY38" s="1318">
        <f>EY36/EM36-1</f>
        <v/>
      </c>
      <c r="EZ38" s="1318">
        <f>EZ36/EN36-1</f>
        <v/>
      </c>
      <c r="FA38" s="1318">
        <f>FA36/EO36-1</f>
        <v/>
      </c>
      <c r="FB38" s="1318">
        <f>FB36/EP36-1</f>
        <v/>
      </c>
      <c r="FC38" s="1318">
        <f>FC36/EQ36-1</f>
        <v/>
      </c>
      <c r="FD38" s="1318">
        <f>FD36/ER36-1</f>
        <v/>
      </c>
      <c r="FE38" s="1318">
        <f>FE36/ES36-1</f>
        <v/>
      </c>
      <c r="FF38" s="1318">
        <f>FF36/ET36-1</f>
        <v/>
      </c>
      <c r="FG38" s="1318">
        <f>FG36/EU36-1</f>
        <v/>
      </c>
      <c r="FH38" s="1318">
        <f>FH36/EV36-1</f>
        <v/>
      </c>
      <c r="FI38" s="1318">
        <f>FI36/EW36-1</f>
        <v/>
      </c>
      <c r="FJ38" s="1318">
        <f>FJ36/EX36-1</f>
        <v/>
      </c>
      <c r="FK38" s="1318">
        <f>FK36/EY36-1</f>
        <v/>
      </c>
      <c r="FL38" s="1318">
        <f>FL36/EZ36-1</f>
        <v/>
      </c>
      <c r="FM38" s="1318">
        <f>FM36/FA36-1</f>
        <v/>
      </c>
      <c r="FN38" s="1318">
        <f>FN36/FB36-1</f>
        <v/>
      </c>
      <c r="FO38" s="1318">
        <f>FO36/FC36-1</f>
        <v/>
      </c>
      <c r="FP38" s="1318">
        <f>FP36/FD36-1</f>
        <v/>
      </c>
      <c r="FQ38" s="1318">
        <f>FQ36/FE36-1</f>
        <v/>
      </c>
      <c r="FR38" s="1318">
        <f>FR36/FF36-1</f>
        <v/>
      </c>
      <c r="FS38" s="1318">
        <f>FS36/FG36-1</f>
        <v/>
      </c>
      <c r="FT38" s="1318">
        <f>FT36/FH36-1</f>
        <v/>
      </c>
      <c r="FU38" s="1318">
        <f>FU36/FI36-1</f>
        <v/>
      </c>
      <c r="FV38" s="1318">
        <f>FV36/FJ36-1</f>
        <v/>
      </c>
      <c r="FW38" s="1318">
        <f>FW36/FK36-1</f>
        <v/>
      </c>
      <c r="FX38" s="1318">
        <f>FX36/FL36-1</f>
        <v/>
      </c>
      <c r="FY38" s="1318">
        <f>FY36/FM36-1</f>
        <v/>
      </c>
      <c r="FZ38" s="1318">
        <f>FZ36/FN36-1</f>
        <v/>
      </c>
      <c r="GA38" s="1318">
        <f>GA36/FO36-1</f>
        <v/>
      </c>
      <c r="GB38" s="1318">
        <f>GB36/FP36-1</f>
        <v/>
      </c>
      <c r="GC38" s="1318">
        <f>GC36/FQ36-1</f>
        <v/>
      </c>
      <c r="GD38" s="1318">
        <f>GD36/FR36-1</f>
        <v/>
      </c>
      <c r="GE38" s="1318">
        <f>GE36/FS36-1</f>
        <v/>
      </c>
      <c r="GF38" s="1318">
        <f>GF36/FT36-1</f>
        <v/>
      </c>
      <c r="GG38" s="1318">
        <f>GG36/FU36-1</f>
        <v/>
      </c>
      <c r="GH38" s="1318">
        <f>GH36/FV36-1</f>
        <v/>
      </c>
      <c r="GI38" s="1318">
        <f>GI36/FW36-1</f>
        <v/>
      </c>
      <c r="GJ38" s="1318">
        <f>GJ36/FX36-1</f>
        <v/>
      </c>
      <c r="GK38" s="1318">
        <f>GK36/FY36-1</f>
        <v/>
      </c>
      <c r="GL38" s="1318">
        <f>GL36/FZ36-1</f>
        <v/>
      </c>
      <c r="GM38" s="1318">
        <f>GM36/GA36-1</f>
        <v/>
      </c>
      <c r="GN38" s="1318">
        <f>GN36/GB36-1</f>
        <v/>
      </c>
      <c r="GO38" s="1318">
        <f>GO36/GC36-1</f>
        <v/>
      </c>
      <c r="GP38" s="1318">
        <f>GP36/GD36-1</f>
        <v/>
      </c>
      <c r="GQ38" s="1318">
        <f>GQ36/GE36-1</f>
        <v/>
      </c>
      <c r="GR38" s="1318">
        <f>GR36/GF36-1</f>
        <v/>
      </c>
      <c r="GS38" s="1318">
        <f>GS36/GG36-1</f>
        <v/>
      </c>
      <c r="GT38" s="1318">
        <f>GT36/GH36-1</f>
        <v/>
      </c>
      <c r="GU38" s="1318">
        <f>GU36/GI36-1</f>
        <v/>
      </c>
      <c r="GV38" s="1318">
        <f>GV36/GJ36-1</f>
        <v/>
      </c>
      <c r="GW38" s="1318">
        <f>GW36/GK36-1</f>
        <v/>
      </c>
      <c r="GX38" s="1318">
        <f>GX36/GL36-1</f>
        <v/>
      </c>
      <c r="GY38" s="1318">
        <f>GY36/GM36-1</f>
        <v/>
      </c>
      <c r="GZ38" s="1318">
        <f>GZ36/GN36-1</f>
        <v/>
      </c>
      <c r="HA38" s="1318">
        <f>HA36/GO36-1</f>
        <v/>
      </c>
      <c r="HB38" s="1318">
        <f>HB36/GP36-1</f>
        <v/>
      </c>
      <c r="HC38" s="1318">
        <f>HC36/GQ36-1</f>
        <v/>
      </c>
      <c r="HD38" s="1318">
        <f>HD36/GR36-1</f>
        <v/>
      </c>
      <c r="HE38" s="1318">
        <f>HE36/GS36-1</f>
        <v/>
      </c>
      <c r="HF38" s="1318">
        <f>HF36/GT36-1</f>
        <v/>
      </c>
      <c r="HG38" s="1318">
        <f>HG36/GU36-1</f>
        <v/>
      </c>
      <c r="HH38" s="1318">
        <f>HH36/GV36-1</f>
        <v/>
      </c>
      <c r="HI38" s="1318">
        <f>HI36/GW36-1</f>
        <v/>
      </c>
      <c r="HJ38" s="1318">
        <f>HJ36/GX36-1</f>
        <v/>
      </c>
      <c r="HK38" s="1318">
        <f>HK36/GY36-1</f>
        <v/>
      </c>
      <c r="HL38" s="1318">
        <f>HL36/GZ36-1</f>
        <v/>
      </c>
      <c r="HM38" s="1318">
        <f>HM36/HA36-1</f>
        <v/>
      </c>
      <c r="HN38" s="1318">
        <f>HN36/HB36-1</f>
        <v/>
      </c>
      <c r="HO38" s="1318">
        <f>HO36/HC36-1</f>
        <v/>
      </c>
      <c r="HP38" s="1318">
        <f>HP36/HD36-1</f>
        <v/>
      </c>
      <c r="HQ38" s="1318">
        <f>HQ36/HE36-1</f>
        <v/>
      </c>
      <c r="HR38" s="1318">
        <f>HR36/HF36-1</f>
        <v/>
      </c>
      <c r="HS38" s="1318">
        <f>HS36/HG36-1</f>
        <v/>
      </c>
      <c r="HT38" s="1318">
        <f>HT36/HH36-1</f>
        <v/>
      </c>
      <c r="HU38" s="1318">
        <f>HU36/HI36-1</f>
        <v/>
      </c>
      <c r="HV38" s="1318">
        <f>HV36/HJ36-1</f>
        <v/>
      </c>
      <c r="HW38" s="1318">
        <f>HW36/HK36-1</f>
        <v/>
      </c>
      <c r="HX38" s="1318">
        <f>HX36/HL36-1</f>
        <v/>
      </c>
      <c r="HY38" s="1318">
        <f>HY36/HM36-1</f>
        <v/>
      </c>
      <c r="HZ38" s="1318">
        <f>HZ36/HN36-1</f>
        <v/>
      </c>
      <c r="IA38" s="1318">
        <f>IA36/HO36-1</f>
        <v/>
      </c>
      <c r="IB38" s="1318">
        <f>IB36/HP36-1</f>
        <v/>
      </c>
      <c r="IC38" s="1318">
        <f>IC36/HQ36-1</f>
        <v/>
      </c>
      <c r="ID38" s="1318">
        <f>ID36/HR36-1</f>
        <v/>
      </c>
      <c r="IE38" s="1318">
        <f>IE36/HS36-1</f>
        <v/>
      </c>
      <c r="IF38" s="1318">
        <f>IF36/HT36-1</f>
        <v/>
      </c>
      <c r="IG38" s="1318">
        <f>IG36/HU36-1</f>
        <v/>
      </c>
      <c r="IH38" s="1318">
        <f>IH36/HV36-1</f>
        <v/>
      </c>
      <c r="II38" s="1318">
        <f>II36/HW36-1</f>
        <v/>
      </c>
      <c r="IJ38" s="1318">
        <f>IJ36/HX36-1</f>
        <v/>
      </c>
      <c r="IK38" s="1318">
        <f>IK36/HY36-1</f>
        <v/>
      </c>
      <c r="IL38" s="1318">
        <f>IL36/HZ36-1</f>
        <v/>
      </c>
      <c r="IM38" s="1318">
        <f>IM36/IA36-1</f>
        <v/>
      </c>
      <c r="IN38" s="1318">
        <f>IN36/IB36-1</f>
        <v/>
      </c>
      <c r="IO38" s="1318">
        <f>IO36/IC36-1</f>
        <v/>
      </c>
      <c r="IP38" s="1318">
        <f>IP36/ID36-1</f>
        <v/>
      </c>
      <c r="IQ38" s="1318">
        <f>IQ36/IE36-1</f>
        <v/>
      </c>
      <c r="IR38" s="1318">
        <f>IR36/IF36-1</f>
        <v/>
      </c>
      <c r="IS38" s="1318">
        <f>IS36/IG36-1</f>
        <v/>
      </c>
      <c r="IT38" s="1318">
        <f>IT36/IH36-1</f>
        <v/>
      </c>
      <c r="IU38" s="1318">
        <f>IU36/II36-1</f>
        <v/>
      </c>
      <c r="IV38" s="1318">
        <f>IV36/IJ36-1</f>
        <v/>
      </c>
      <c r="IW38" s="1318">
        <f>IW36/IK36-1</f>
        <v/>
      </c>
      <c r="IX38" s="1318">
        <f>IX36/IL36-1</f>
        <v/>
      </c>
      <c r="IY38" s="1318">
        <f>IY36/IM36-1</f>
        <v/>
      </c>
      <c r="IZ38" s="1318">
        <f>IZ36/IN36-1</f>
        <v/>
      </c>
      <c r="JA38" s="1318">
        <f>JA36/IO36-1</f>
        <v/>
      </c>
      <c r="JB38" s="1318">
        <f>JB36/IP36-1</f>
        <v/>
      </c>
      <c r="JC38" s="1318">
        <f>JC36/IQ36-1</f>
        <v/>
      </c>
      <c r="JD38" s="1318">
        <f>JD36/IR36-1</f>
        <v/>
      </c>
      <c r="JE38" s="1318">
        <f>JE36/IS36-1</f>
        <v/>
      </c>
      <c r="JF38" s="1318">
        <f>JF36/IT36-1</f>
        <v/>
      </c>
      <c r="JG38" s="1318">
        <f>JG36/IU36-1</f>
        <v/>
      </c>
      <c r="JH38" s="1318">
        <f>JH36/IV36-1</f>
        <v/>
      </c>
      <c r="JI38" s="1318">
        <f>JI36/IW36-1</f>
        <v/>
      </c>
      <c r="JJ38" s="1318">
        <f>JJ36/IX36-1</f>
        <v/>
      </c>
      <c r="JK38" s="1318">
        <f>JK36/IY36-1</f>
        <v/>
      </c>
      <c r="JL38" s="1318">
        <f>JL36/IZ36-1</f>
        <v/>
      </c>
      <c r="JM38" s="1318">
        <f>JM36/JA36-1</f>
        <v/>
      </c>
      <c r="JN38" s="1318">
        <f>JN36/JB36-1</f>
        <v/>
      </c>
      <c r="JO38" s="1318">
        <f>JO36/JC36-1</f>
        <v/>
      </c>
      <c r="JP38" s="1318">
        <f>JP36/JD36-1</f>
        <v/>
      </c>
      <c r="JQ38" s="1318">
        <f>JQ36/JE36-1</f>
        <v/>
      </c>
      <c r="JR38" s="1318">
        <f>JR36/JF36-1</f>
        <v/>
      </c>
      <c r="JS38" s="1318">
        <f>JS36/JG36-1</f>
        <v/>
      </c>
      <c r="JT38" s="1318">
        <f>JT36/JH36-1</f>
        <v/>
      </c>
      <c r="JU38" s="1318">
        <f>JU36/JI36-1</f>
        <v/>
      </c>
      <c r="JV38" s="1318">
        <f>JV36/JJ36-1</f>
        <v/>
      </c>
      <c r="JW38" s="1318">
        <f>JW36/JK36-1</f>
        <v/>
      </c>
      <c r="JX38" s="1318">
        <f>JX36/JL36-1</f>
        <v/>
      </c>
      <c r="JY38" s="1318">
        <f>JY36/JM36-1</f>
        <v/>
      </c>
      <c r="JZ38" s="1318">
        <f>JZ36/JN36-1</f>
        <v/>
      </c>
      <c r="KA38" s="1318">
        <f>KA36/JO36-1</f>
        <v/>
      </c>
      <c r="KB38" s="1318">
        <f>KB36/JP36-1</f>
        <v/>
      </c>
      <c r="KC38" s="1318">
        <f>KC36/JQ36-1</f>
        <v/>
      </c>
      <c r="KD38" s="1318">
        <f>KD36/JR36-1</f>
        <v/>
      </c>
      <c r="KE38" s="1318">
        <f>KE36/JS36-1</f>
        <v/>
      </c>
      <c r="KF38" s="1318">
        <f>KF36/JT36-1</f>
        <v/>
      </c>
      <c r="KG38" s="1318">
        <f>KG36/JU36-1</f>
        <v/>
      </c>
      <c r="KH38" s="1318">
        <f>KH36/JV36-1</f>
        <v/>
      </c>
      <c r="KI38" s="1318">
        <f>KI36/JW36-1</f>
        <v/>
      </c>
      <c r="KJ38" s="1318">
        <f>KJ36/JX36-1</f>
        <v/>
      </c>
      <c r="KK38" s="1318">
        <f>KK36/JY36-1</f>
        <v/>
      </c>
      <c r="KL38" s="1318">
        <f>KL36/JZ36-1</f>
        <v/>
      </c>
      <c r="KM38" s="1318">
        <f>KM36/KA36-1</f>
        <v/>
      </c>
      <c r="KN38" s="1318">
        <f>KN36/KB36-1</f>
        <v/>
      </c>
      <c r="KO38" s="1318">
        <f>KO36/KC36-1</f>
        <v/>
      </c>
      <c r="KP38" s="1318">
        <f>KP36/KD36-1</f>
        <v/>
      </c>
      <c r="KQ38" s="1318">
        <f>KQ36/KE36-1</f>
        <v/>
      </c>
      <c r="KR38" s="1318">
        <f>KR36/KF36-1</f>
        <v/>
      </c>
      <c r="KS38" s="1318">
        <f>KS36/KG36-1</f>
        <v/>
      </c>
      <c r="KT38" s="1318">
        <f>KT36/KH36-1</f>
        <v/>
      </c>
      <c r="KU38" s="1318">
        <f>KU36/KI36-1</f>
        <v/>
      </c>
      <c r="KV38" s="1318">
        <f>KV36/KJ36-1</f>
        <v/>
      </c>
      <c r="KW38" s="1318">
        <f>KW36/KK36-1</f>
        <v/>
      </c>
      <c r="KX38" s="1318">
        <f>KX36/KL36-1</f>
        <v/>
      </c>
      <c r="KY38" s="1318">
        <f>KY36/KM36-1</f>
        <v/>
      </c>
      <c r="KZ38" s="1318">
        <f>KZ36/KN36-1</f>
        <v/>
      </c>
      <c r="LA38" s="1318">
        <f>LA36/KO36-1</f>
        <v/>
      </c>
      <c r="LB38" s="1318" t="n"/>
      <c r="LC38" s="1318" t="n"/>
      <c r="LD38" s="1318" t="n"/>
      <c r="LE38" s="1318" t="n"/>
      <c r="LF38" s="1318" t="n"/>
      <c r="LG38" s="1318" t="n"/>
      <c r="LH38" s="1318" t="n"/>
      <c r="LI38" s="1318" t="n"/>
      <c r="LJ38" s="1318" t="n"/>
      <c r="LK38" s="1318" t="n"/>
      <c r="LL38" s="1318" t="n"/>
      <c r="LM38" s="1318" t="n"/>
      <c r="LN38" s="1318" t="n"/>
      <c r="LO38" s="1318" t="n"/>
      <c r="LP38" s="1318" t="n"/>
      <c r="LQ38" s="1318" t="n"/>
      <c r="LR38" s="1318" t="n"/>
      <c r="LS38" s="1318" t="n"/>
    </row>
    <row r="39">
      <c r="A39" s="885" t="inlineStr">
        <is>
          <t>YTD cg %</t>
        </is>
      </c>
      <c r="B39" s="1318" t="n"/>
      <c r="C39" s="1318" t="n"/>
      <c r="D39" s="1318" t="n"/>
      <c r="E39" s="1318" t="n"/>
      <c r="F39" s="1318" t="n"/>
      <c r="G39" s="1318" t="n"/>
      <c r="H39" s="1318" t="n"/>
      <c r="I39" s="1318" t="n"/>
      <c r="J39" s="1318" t="n"/>
      <c r="K39" s="1318" t="n"/>
      <c r="L39" s="1318" t="n"/>
      <c r="M39" s="1318" t="n"/>
      <c r="N39" s="1318" t="n"/>
      <c r="O39" s="1318" t="n"/>
      <c r="P39" s="1318" t="n"/>
      <c r="Q39" s="1318" t="n"/>
      <c r="R39" s="1318" t="n"/>
      <c r="S39" s="1318" t="n"/>
      <c r="T39" s="1318" t="n"/>
      <c r="U39" s="1318" t="n"/>
      <c r="V39" s="1318" t="n"/>
      <c r="W39" s="1318" t="n"/>
      <c r="X39" s="1318" t="n"/>
      <c r="Y39" s="1318" t="n"/>
      <c r="Z39" s="1318" t="n"/>
      <c r="AA39" s="1318" t="n"/>
      <c r="AB39" s="1318" t="n"/>
      <c r="AC39" s="1318" t="n"/>
      <c r="AD39" s="1318" t="n"/>
      <c r="AE39" s="1318" t="n"/>
      <c r="AF39" s="1318" t="n"/>
      <c r="AG39" s="1318" t="n"/>
      <c r="AH39" s="1318" t="n"/>
      <c r="AI39" s="1318" t="n"/>
      <c r="AJ39" s="1318" t="n"/>
      <c r="AK39" s="1318" t="n"/>
      <c r="AL39" s="1318" t="n"/>
      <c r="AM39" s="1318" t="n"/>
      <c r="AN39" s="1318" t="n"/>
      <c r="AO39" s="1318" t="n"/>
      <c r="AP39" s="1318" t="n"/>
      <c r="AQ39" s="1318" t="n"/>
      <c r="AR39" s="1318" t="n"/>
      <c r="AS39" s="1318" t="n"/>
      <c r="AT39" s="1318" t="n"/>
      <c r="AU39" s="1318" t="n"/>
      <c r="AV39" s="1318" t="n"/>
      <c r="AW39" s="1318" t="n"/>
      <c r="AX39" s="1318" t="n"/>
      <c r="AY39" s="1318" t="n"/>
      <c r="AZ39" s="1318" t="n"/>
      <c r="BA39" s="1318" t="n"/>
      <c r="BB39" s="1318" t="n"/>
      <c r="BC39" s="1318" t="n"/>
      <c r="BD39" s="1318" t="n"/>
      <c r="BE39" s="1318" t="n"/>
      <c r="BF39" s="1318" t="n"/>
      <c r="BG39" s="1318" t="n"/>
      <c r="BH39" s="1318" t="n"/>
      <c r="BI39" s="1318" t="n"/>
      <c r="BJ39" s="1318" t="n"/>
      <c r="BK39" s="1318" t="n"/>
      <c r="BL39" s="1318" t="n"/>
      <c r="BM39" s="1318" t="n"/>
      <c r="BN39" s="1318" t="n"/>
      <c r="BO39" s="1318" t="n"/>
      <c r="BP39" s="1318" t="n"/>
      <c r="BQ39" s="1318" t="n"/>
      <c r="BR39" s="1318" t="n"/>
      <c r="BS39" s="1318" t="n"/>
      <c r="BT39" s="1318" t="n"/>
      <c r="BU39" s="1318" t="n"/>
      <c r="BV39" s="1318" t="n"/>
      <c r="BW39" s="1318" t="n"/>
      <c r="BX39" s="1318" t="n"/>
      <c r="BY39" s="1318" t="n"/>
      <c r="BZ39" s="1318" t="n"/>
      <c r="CA39" s="1318" t="n"/>
      <c r="CB39" s="1318" t="n"/>
      <c r="CC39" s="1318" t="n"/>
      <c r="CD39" s="1318" t="n"/>
      <c r="CE39" s="1318" t="n"/>
      <c r="CF39" s="1318" t="n"/>
      <c r="CG39" s="1318" t="n"/>
      <c r="CH39" s="1318" t="n"/>
      <c r="CI39" s="1318" t="n"/>
      <c r="CJ39" s="1318" t="n"/>
      <c r="CK39" s="1318" t="n"/>
      <c r="CL39" s="1318" t="n"/>
      <c r="CM39" s="1318" t="n"/>
      <c r="CN39" s="1318" t="n"/>
      <c r="CO39" s="1318" t="n"/>
      <c r="CP39" s="1318" t="n"/>
      <c r="CQ39" s="1318" t="n"/>
      <c r="CR39" s="1318" t="n"/>
      <c r="CS39" s="1318" t="n"/>
      <c r="CT39" s="1318" t="n"/>
      <c r="CU39" s="1318" t="n"/>
      <c r="CV39" s="1318" t="n"/>
      <c r="CW39" s="1318" t="n"/>
      <c r="CX39" s="1318" t="n"/>
      <c r="CY39" s="1318" t="n"/>
      <c r="CZ39" s="1318" t="n"/>
      <c r="DA39" s="1318" t="n"/>
      <c r="DB39" s="1318" t="n"/>
      <c r="DC39" s="1318" t="n"/>
      <c r="DD39" s="1318" t="n"/>
      <c r="DE39" s="1318" t="n"/>
      <c r="DF39" s="1318">
        <f>SUMIFS(36:36,$8:$8,"&gt;="&amp;DATE(YEAR(DF$8),1,1),$8:$8,"&lt;="&amp;EOMONTH(DF$8,0))/SUMIFS(36:36,$8:$8,"&gt;="&amp;DATE(YEAR(DF$8)-1,1,1),$8:$8,"&lt;="&amp;EOMONTH(DF$8,-12))-1</f>
        <v/>
      </c>
      <c r="DG39" s="1318">
        <f>SUMIFS(36:36,$8:$8,"&gt;="&amp;DATE(YEAR(DG$8),1,1),$8:$8,"&lt;="&amp;EOMONTH(DG$8,0))/SUMIFS(36:36,$8:$8,"&gt;="&amp;DATE(YEAR(DG$8)-1,1,1),$8:$8,"&lt;="&amp;EOMONTH(DG$8,-12))-1</f>
        <v/>
      </c>
      <c r="DH39" s="1318">
        <f>SUMIFS(36:36,$8:$8,"&gt;="&amp;DATE(YEAR(DH$8),1,1),$8:$8,"&lt;="&amp;EOMONTH(DH$8,0))/SUMIFS(36:36,$8:$8,"&gt;="&amp;DATE(YEAR(DH$8)-1,1,1),$8:$8,"&lt;="&amp;EOMONTH(DH$8,-12))-1</f>
        <v/>
      </c>
      <c r="DI39" s="1318">
        <f>SUMIFS(36:36,$8:$8,"&gt;="&amp;DATE(YEAR(DI$8),1,1),$8:$8,"&lt;="&amp;EOMONTH(DI$8,0))/SUMIFS(36:36,$8:$8,"&gt;="&amp;DATE(YEAR(DI$8)-1,1,1),$8:$8,"&lt;="&amp;EOMONTH(DI$8,-12))-1</f>
        <v/>
      </c>
      <c r="DJ39" s="1318">
        <f>SUMIFS(36:36,$8:$8,"&gt;="&amp;DATE(YEAR(DJ$8),1,1),$8:$8,"&lt;="&amp;EOMONTH(DJ$8,0))/SUMIFS(36:36,$8:$8,"&gt;="&amp;DATE(YEAR(DJ$8)-1,1,1),$8:$8,"&lt;="&amp;EOMONTH(DJ$8,-12))-1</f>
        <v/>
      </c>
      <c r="DK39" s="1318">
        <f>SUMIFS(36:36,$8:$8,"&gt;="&amp;DATE(YEAR(DK$8),1,1),$8:$8,"&lt;="&amp;EOMONTH(DK$8,0))/SUMIFS(36:36,$8:$8,"&gt;="&amp;DATE(YEAR(DK$8)-1,1,1),$8:$8,"&lt;="&amp;EOMONTH(DK$8,-12))-1</f>
        <v/>
      </c>
      <c r="DL39" s="1318">
        <f>SUMIFS(36:36,$8:$8,"&gt;="&amp;DATE(YEAR(DL$8),1,1),$8:$8,"&lt;="&amp;EOMONTH(DL$8,0))/SUMIFS(36:36,$8:$8,"&gt;="&amp;DATE(YEAR(DL$8)-1,1,1),$8:$8,"&lt;="&amp;EOMONTH(DL$8,-12))-1</f>
        <v/>
      </c>
      <c r="DM39" s="1318">
        <f>SUMIFS(36:36,$8:$8,"&gt;="&amp;DATE(YEAR(DM$8),1,1),$8:$8,"&lt;="&amp;EOMONTH(DM$8,0))/SUMIFS(36:36,$8:$8,"&gt;="&amp;DATE(YEAR(DM$8)-1,1,1),$8:$8,"&lt;="&amp;EOMONTH(DM$8,-12))-1</f>
        <v/>
      </c>
      <c r="DN39" s="1318">
        <f>SUMIFS(36:36,$8:$8,"&gt;="&amp;DATE(YEAR(DN$8),1,1),$8:$8,"&lt;="&amp;EOMONTH(DN$8,0))/SUMIFS(36:36,$8:$8,"&gt;="&amp;DATE(YEAR(DN$8)-1,1,1),$8:$8,"&lt;="&amp;EOMONTH(DN$8,-12))-1</f>
        <v/>
      </c>
      <c r="DO39" s="1318">
        <f>SUMIFS(36:36,$8:$8,"&gt;="&amp;DATE(YEAR(DO$8),1,1),$8:$8,"&lt;="&amp;EOMONTH(DO$8,0))/SUMIFS(36:36,$8:$8,"&gt;="&amp;DATE(YEAR(DO$8)-1,1,1),$8:$8,"&lt;="&amp;EOMONTH(DO$8,-12))-1</f>
        <v/>
      </c>
      <c r="DP39" s="1318">
        <f>SUMIFS(36:36,$8:$8,"&gt;="&amp;DATE(YEAR(DP$8),1,1),$8:$8,"&lt;="&amp;EOMONTH(DP$8,0))/SUMIFS(36:36,$8:$8,"&gt;="&amp;DATE(YEAR(DP$8)-1,1,1),$8:$8,"&lt;="&amp;EOMONTH(DP$8,-12))-1</f>
        <v/>
      </c>
      <c r="DQ39" s="1318">
        <f>SUMIFS(36:36,$8:$8,"&gt;="&amp;DATE(YEAR(DQ$8),1,1),$8:$8,"&lt;="&amp;EOMONTH(DQ$8,0))/SUMIFS(36:36,$8:$8,"&gt;="&amp;DATE(YEAR(DQ$8)-1,1,1),$8:$8,"&lt;="&amp;EOMONTH(DQ$8,-12))-1</f>
        <v/>
      </c>
      <c r="DR39" s="1318">
        <f>SUMIFS(36:36,$8:$8,"&gt;="&amp;DATE(YEAR(DR$8),1,1),$8:$8,"&lt;="&amp;EOMONTH(DR$8,0))/SUMIFS(36:36,$8:$8,"&gt;="&amp;DATE(YEAR(DR$8)-1,1,1),$8:$8,"&lt;="&amp;EOMONTH(DR$8,-12))-1</f>
        <v/>
      </c>
      <c r="DS39" s="1318">
        <f>SUMIFS(36:36,$8:$8,"&gt;="&amp;DATE(YEAR(DS$8),1,1),$8:$8,"&lt;="&amp;EOMONTH(DS$8,0))/SUMIFS(36:36,$8:$8,"&gt;="&amp;DATE(YEAR(DS$8)-1,1,1),$8:$8,"&lt;="&amp;EOMONTH(DS$8,-12))-1</f>
        <v/>
      </c>
      <c r="DT39" s="1318">
        <f>SUMIFS(36:36,$8:$8,"&gt;="&amp;DATE(YEAR(DT$8),1,1),$8:$8,"&lt;="&amp;EOMONTH(DT$8,0))/SUMIFS(36:36,$8:$8,"&gt;="&amp;DATE(YEAR(DT$8)-1,1,1),$8:$8,"&lt;="&amp;EOMONTH(DT$8,-12))-1</f>
        <v/>
      </c>
      <c r="DU39" s="1318">
        <f>SUMIFS(36:36,$8:$8,"&gt;="&amp;DATE(YEAR(DU$8),1,1),$8:$8,"&lt;="&amp;EOMONTH(DU$8,0))/SUMIFS(36:36,$8:$8,"&gt;="&amp;DATE(YEAR(DU$8)-1,1,1),$8:$8,"&lt;="&amp;EOMONTH(DU$8,-12))-1</f>
        <v/>
      </c>
      <c r="DV39" s="1318">
        <f>SUMIFS(36:36,$8:$8,"&gt;="&amp;DATE(YEAR(DV$8),1,1),$8:$8,"&lt;="&amp;EOMONTH(DV$8,0))/SUMIFS(36:36,$8:$8,"&gt;="&amp;DATE(YEAR(DV$8)-1,1,1),$8:$8,"&lt;="&amp;EOMONTH(DV$8,-12))-1</f>
        <v/>
      </c>
      <c r="DW39" s="1318">
        <f>SUMIFS(36:36,$8:$8,"&gt;="&amp;DATE(YEAR(DW$8),1,1),$8:$8,"&lt;="&amp;EOMONTH(DW$8,0))/SUMIFS(36:36,$8:$8,"&gt;="&amp;DATE(YEAR(DW$8)-1,1,1),$8:$8,"&lt;="&amp;EOMONTH(DW$8,-12))-1</f>
        <v/>
      </c>
      <c r="DX39" s="1318">
        <f>SUMIFS(36:36,$8:$8,"&gt;="&amp;DATE(YEAR(DX$8),1,1),$8:$8,"&lt;="&amp;EOMONTH(DX$8,0))/SUMIFS(36:36,$8:$8,"&gt;="&amp;DATE(YEAR(DX$8)-1,1,1),$8:$8,"&lt;="&amp;EOMONTH(DX$8,-12))-1</f>
        <v/>
      </c>
      <c r="DY39" s="1318">
        <f>SUMIFS(36:36,$8:$8,"&gt;="&amp;DATE(YEAR(DY$8),1,1),$8:$8,"&lt;="&amp;EOMONTH(DY$8,0))/SUMIFS(36:36,$8:$8,"&gt;="&amp;DATE(YEAR(DY$8)-1,1,1),$8:$8,"&lt;="&amp;EOMONTH(DY$8,-12))-1</f>
        <v/>
      </c>
      <c r="DZ39" s="1318">
        <f>SUMIFS(36:36,$8:$8,"&gt;="&amp;DATE(YEAR(DZ$8),1,1),$8:$8,"&lt;="&amp;EOMONTH(DZ$8,0))/SUMIFS(36:36,$8:$8,"&gt;="&amp;DATE(YEAR(DZ$8)-1,1,1),$8:$8,"&lt;="&amp;EOMONTH(DZ$8,-12))-1</f>
        <v/>
      </c>
      <c r="EA39" s="1318">
        <f>SUMIFS(36:36,$8:$8,"&gt;="&amp;DATE(YEAR(EA$8),1,1),$8:$8,"&lt;="&amp;EOMONTH(EA$8,0))/SUMIFS(36:36,$8:$8,"&gt;="&amp;DATE(YEAR(EA$8)-1,1,1),$8:$8,"&lt;="&amp;EOMONTH(EA$8,-12))-1</f>
        <v/>
      </c>
      <c r="EB39" s="1318">
        <f>SUMIFS(36:36,$8:$8,"&gt;="&amp;DATE(YEAR(EB$8),1,1),$8:$8,"&lt;="&amp;EOMONTH(EB$8,0))/SUMIFS(36:36,$8:$8,"&gt;="&amp;DATE(YEAR(EB$8)-1,1,1),$8:$8,"&lt;="&amp;EOMONTH(EB$8,-12))-1</f>
        <v/>
      </c>
      <c r="EC39" s="1318">
        <f>SUMIFS(36:36,$8:$8,"&gt;="&amp;DATE(YEAR(EC$8),1,1),$8:$8,"&lt;="&amp;EOMONTH(EC$8,0))/SUMIFS(36:36,$8:$8,"&gt;="&amp;DATE(YEAR(EC$8)-1,1,1),$8:$8,"&lt;="&amp;EOMONTH(EC$8,-12))-1</f>
        <v/>
      </c>
      <c r="ED39" s="1318">
        <f>SUMIFS(36:36,$8:$8,"&gt;="&amp;DATE(YEAR(ED$8),1,1),$8:$8,"&lt;="&amp;EOMONTH(ED$8,0))/SUMIFS(36:36,$8:$8,"&gt;="&amp;DATE(YEAR(ED$8)-1,1,1),$8:$8,"&lt;="&amp;EOMONTH(ED$8,-12))-1</f>
        <v/>
      </c>
      <c r="EE39" s="1318">
        <f>SUMIFS(36:36,$8:$8,"&gt;="&amp;DATE(YEAR(EE$8),1,1),$8:$8,"&lt;="&amp;EOMONTH(EE$8,0))/SUMIFS(36:36,$8:$8,"&gt;="&amp;DATE(YEAR(EE$8)-1,1,1),$8:$8,"&lt;="&amp;EOMONTH(EE$8,-12))-1</f>
        <v/>
      </c>
      <c r="EF39" s="1318">
        <f>SUMIFS(36:36,$8:$8,"&gt;="&amp;DATE(YEAR(EF$8),1,1),$8:$8,"&lt;="&amp;EOMONTH(EF$8,0))/SUMIFS(36:36,$8:$8,"&gt;="&amp;DATE(YEAR(EF$8)-1,1,1),$8:$8,"&lt;="&amp;EOMONTH(EF$8,-12))-1</f>
        <v/>
      </c>
      <c r="EG39" s="1318">
        <f>SUMIFS(36:36,$8:$8,"&gt;="&amp;DATE(YEAR(EG$8),1,1),$8:$8,"&lt;="&amp;EOMONTH(EG$8,0))/SUMIFS(36:36,$8:$8,"&gt;="&amp;DATE(YEAR(EG$8)-1,1,1),$8:$8,"&lt;="&amp;EOMONTH(EG$8,-12))-1</f>
        <v/>
      </c>
      <c r="EH39" s="1318">
        <f>SUMIFS(36:36,$8:$8,"&gt;="&amp;DATE(YEAR(EH$8),1,1),$8:$8,"&lt;="&amp;EOMONTH(EH$8,0))/SUMIFS(36:36,$8:$8,"&gt;="&amp;DATE(YEAR(EH$8)-1,1,1),$8:$8,"&lt;="&amp;EOMONTH(EH$8,-12))-1</f>
        <v/>
      </c>
      <c r="EI39" s="1318">
        <f>SUMIFS(36:36,$8:$8,"&gt;="&amp;DATE(YEAR(EI$8),1,1),$8:$8,"&lt;="&amp;EOMONTH(EI$8,0))/SUMIFS(36:36,$8:$8,"&gt;="&amp;DATE(YEAR(EI$8)-1,1,1),$8:$8,"&lt;="&amp;EOMONTH(EI$8,-12))-1</f>
        <v/>
      </c>
      <c r="EJ39" s="1318">
        <f>SUMIFS(36:36,$8:$8,"&gt;="&amp;DATE(YEAR(EJ$8),1,1),$8:$8,"&lt;="&amp;EOMONTH(EJ$8,0))/SUMIFS(36:36,$8:$8,"&gt;="&amp;DATE(YEAR(EJ$8)-1,1,1),$8:$8,"&lt;="&amp;EOMONTH(EJ$8,-12))-1</f>
        <v/>
      </c>
      <c r="EK39" s="1318">
        <f>SUMIFS(36:36,$8:$8,"&gt;="&amp;DATE(YEAR(EK$8),1,1),$8:$8,"&lt;="&amp;EOMONTH(EK$8,0))/SUMIFS(36:36,$8:$8,"&gt;="&amp;DATE(YEAR(EK$8)-1,1,1),$8:$8,"&lt;="&amp;EOMONTH(EK$8,-12))-1</f>
        <v/>
      </c>
      <c r="EL39" s="1318">
        <f>SUMIFS(36:36,$8:$8,"&gt;="&amp;DATE(YEAR(EL$8),1,1),$8:$8,"&lt;="&amp;EOMONTH(EL$8,0))/SUMIFS(36:36,$8:$8,"&gt;="&amp;DATE(YEAR(EL$8)-1,1,1),$8:$8,"&lt;="&amp;EOMONTH(EL$8,-12))-1</f>
        <v/>
      </c>
      <c r="EM39" s="1318">
        <f>SUMIFS(36:36,$8:$8,"&gt;="&amp;DATE(YEAR(EM$8),1,1),$8:$8,"&lt;="&amp;EOMONTH(EM$8,0))/SUMIFS(36:36,$8:$8,"&gt;="&amp;DATE(YEAR(EM$8)-1,1,1),$8:$8,"&lt;="&amp;EOMONTH(EM$8,-12))-1</f>
        <v/>
      </c>
      <c r="EN39" s="1318">
        <f>SUMIFS(36:36,$8:$8,"&gt;="&amp;DATE(YEAR(EN$8),1,1),$8:$8,"&lt;="&amp;EOMONTH(EN$8,0))/SUMIFS(36:36,$8:$8,"&gt;="&amp;DATE(YEAR(EN$8)-1,1,1),$8:$8,"&lt;="&amp;EOMONTH(EN$8,-12))-1</f>
        <v/>
      </c>
      <c r="EO39" s="1318">
        <f>SUMIFS(36:36,$8:$8,"&gt;="&amp;DATE(YEAR(EO$8),1,1),$8:$8,"&lt;="&amp;EOMONTH(EO$8,0))/SUMIFS(36:36,$8:$8,"&gt;="&amp;DATE(YEAR(EO$8)-1,1,1),$8:$8,"&lt;="&amp;EOMONTH(EO$8,-12))-1</f>
        <v/>
      </c>
      <c r="EP39" s="1318">
        <f>SUMIFS(36:36,$8:$8,"&gt;="&amp;DATE(YEAR(EP$8),1,1),$8:$8,"&lt;="&amp;EOMONTH(EP$8,0))/SUMIFS(36:36,$8:$8,"&gt;="&amp;DATE(YEAR(EP$8)-1,1,1),$8:$8,"&lt;="&amp;EOMONTH(EP$8,-12))-1</f>
        <v/>
      </c>
      <c r="EQ39" s="1318">
        <f>SUMIFS(36:36,$8:$8,"&gt;="&amp;DATE(YEAR(EQ$8),1,1),$8:$8,"&lt;="&amp;EOMONTH(EQ$8,0))/SUMIFS(36:36,$8:$8,"&gt;="&amp;DATE(YEAR(EQ$8)-1,1,1),$8:$8,"&lt;="&amp;EOMONTH(EQ$8,-12))-1</f>
        <v/>
      </c>
      <c r="ER39" s="1318">
        <f>SUMIFS(36:36,$8:$8,"&gt;="&amp;DATE(YEAR(ER$8),1,1),$8:$8,"&lt;="&amp;EOMONTH(ER$8,0))/SUMIFS(36:36,$8:$8,"&gt;="&amp;DATE(YEAR(ER$8)-1,1,1),$8:$8,"&lt;="&amp;EOMONTH(ER$8,-12))-1</f>
        <v/>
      </c>
      <c r="ES39" s="1318">
        <f>SUMIFS(36:36,$8:$8,"&gt;="&amp;DATE(YEAR(ES$8),1,1),$8:$8,"&lt;="&amp;EOMONTH(ES$8,0))/SUMIFS(36:36,$8:$8,"&gt;="&amp;DATE(YEAR(ES$8)-1,1,1),$8:$8,"&lt;="&amp;EOMONTH(ES$8,-12))-1</f>
        <v/>
      </c>
      <c r="ET39" s="1318">
        <f>SUMIFS(36:36,$8:$8,"&gt;="&amp;DATE(YEAR(ET$8),1,1),$8:$8,"&lt;="&amp;EOMONTH(ET$8,0))/SUMIFS(36:36,$8:$8,"&gt;="&amp;DATE(YEAR(ET$8)-1,1,1),$8:$8,"&lt;="&amp;EOMONTH(ET$8,-12))-1</f>
        <v/>
      </c>
      <c r="EU39" s="1318">
        <f>SUMIFS(36:36,$8:$8,"&gt;="&amp;DATE(YEAR(EU$8),1,1),$8:$8,"&lt;="&amp;EOMONTH(EU$8,0))/SUMIFS(36:36,$8:$8,"&gt;="&amp;DATE(YEAR(EU$8)-1,1,1),$8:$8,"&lt;="&amp;EOMONTH(EU$8,-12))-1</f>
        <v/>
      </c>
      <c r="EV39" s="1318">
        <f>SUMIFS(36:36,$8:$8,"&gt;="&amp;DATE(YEAR(EV$8),1,1),$8:$8,"&lt;="&amp;EOMONTH(EV$8,0))/SUMIFS(36:36,$8:$8,"&gt;="&amp;DATE(YEAR(EV$8)-1,1,1),$8:$8,"&lt;="&amp;EOMONTH(EV$8,-12))-1</f>
        <v/>
      </c>
      <c r="EW39" s="1318">
        <f>SUMIFS(36:36,$8:$8,"&gt;="&amp;DATE(YEAR(EW$8),1,1),$8:$8,"&lt;="&amp;EOMONTH(EW$8,0))/SUMIFS(36:36,$8:$8,"&gt;="&amp;DATE(YEAR(EW$8)-1,1,1),$8:$8,"&lt;="&amp;EOMONTH(EW$8,-12))-1</f>
        <v/>
      </c>
      <c r="EX39" s="1318">
        <f>SUMIFS(36:36,$8:$8,"&gt;="&amp;DATE(YEAR(EX$8),1,1),$8:$8,"&lt;="&amp;EOMONTH(EX$8,0))/SUMIFS(36:36,$8:$8,"&gt;="&amp;DATE(YEAR(EX$8)-1,1,1),$8:$8,"&lt;="&amp;EOMONTH(EX$8,-12))-1</f>
        <v/>
      </c>
      <c r="EY39" s="1318">
        <f>SUMIFS(36:36,$8:$8,"&gt;="&amp;DATE(YEAR(EY$8),1,1),$8:$8,"&lt;="&amp;EOMONTH(EY$8,0))/SUMIFS(36:36,$8:$8,"&gt;="&amp;DATE(YEAR(EY$8)-1,1,1),$8:$8,"&lt;="&amp;EOMONTH(EY$8,-12))-1</f>
        <v/>
      </c>
      <c r="EZ39" s="1318">
        <f>SUMIFS(36:36,$8:$8,"&gt;="&amp;DATE(YEAR(EZ$8),1,1),$8:$8,"&lt;="&amp;EOMONTH(EZ$8,0))/SUMIFS(36:36,$8:$8,"&gt;="&amp;DATE(YEAR(EZ$8)-1,1,1),$8:$8,"&lt;="&amp;EOMONTH(EZ$8,-12))-1</f>
        <v/>
      </c>
      <c r="FA39" s="1318">
        <f>SUMIFS(36:36,$8:$8,"&gt;="&amp;DATE(YEAR(FA$8),1,1),$8:$8,"&lt;="&amp;EOMONTH(FA$8,0))/SUMIFS(36:36,$8:$8,"&gt;="&amp;DATE(YEAR(FA$8)-1,1,1),$8:$8,"&lt;="&amp;EOMONTH(FA$8,-12))-1</f>
        <v/>
      </c>
      <c r="FB39" s="1318">
        <f>SUMIFS(36:36,$8:$8,"&gt;="&amp;DATE(YEAR(FB$8),1,1),$8:$8,"&lt;="&amp;EOMONTH(FB$8,0))/SUMIFS(36:36,$8:$8,"&gt;="&amp;DATE(YEAR(FB$8)-1,1,1),$8:$8,"&lt;="&amp;EOMONTH(FB$8,-12))-1</f>
        <v/>
      </c>
      <c r="FC39" s="1318">
        <f>SUMIFS(36:36,$8:$8,"&gt;="&amp;DATE(YEAR(FC$8),1,1),$8:$8,"&lt;="&amp;EOMONTH(FC$8,0))/SUMIFS(36:36,$8:$8,"&gt;="&amp;DATE(YEAR(FC$8)-1,1,1),$8:$8,"&lt;="&amp;EOMONTH(FC$8,-12))-1</f>
        <v/>
      </c>
      <c r="FD39" s="1318">
        <f>SUMIFS(36:36,$8:$8,"&gt;="&amp;DATE(YEAR(FD$8),1,1),$8:$8,"&lt;="&amp;EOMONTH(FD$8,0))/SUMIFS(36:36,$8:$8,"&gt;="&amp;DATE(YEAR(FD$8)-1,1,1),$8:$8,"&lt;="&amp;EOMONTH(FD$8,-12))-1</f>
        <v/>
      </c>
      <c r="FE39" s="1318">
        <f>SUMIFS(36:36,$8:$8,"&gt;="&amp;DATE(YEAR(FE$8),1,1),$8:$8,"&lt;="&amp;EOMONTH(FE$8,0))/SUMIFS(36:36,$8:$8,"&gt;="&amp;DATE(YEAR(FE$8)-1,1,1),$8:$8,"&lt;="&amp;EOMONTH(FE$8,-12))-1</f>
        <v/>
      </c>
      <c r="FF39" s="1318">
        <f>SUMIFS(36:36,$8:$8,"&gt;="&amp;DATE(YEAR(FF$8),1,1),$8:$8,"&lt;="&amp;EOMONTH(FF$8,0))/SUMIFS(36:36,$8:$8,"&gt;="&amp;DATE(YEAR(FF$8)-1,1,1),$8:$8,"&lt;="&amp;EOMONTH(FF$8,-12))-1</f>
        <v/>
      </c>
      <c r="FG39" s="1318">
        <f>SUMIFS(36:36,$8:$8,"&gt;="&amp;DATE(YEAR(FG$8),1,1),$8:$8,"&lt;="&amp;EOMONTH(FG$8,0))/SUMIFS(36:36,$8:$8,"&gt;="&amp;DATE(YEAR(FG$8)-1,1,1),$8:$8,"&lt;="&amp;EOMONTH(FG$8,-12))-1</f>
        <v/>
      </c>
      <c r="FH39" s="1318">
        <f>SUMIFS(36:36,$8:$8,"&gt;="&amp;DATE(YEAR(FH$8),1,1),$8:$8,"&lt;="&amp;EOMONTH(FH$8,0))/SUMIFS(36:36,$8:$8,"&gt;="&amp;DATE(YEAR(FH$8)-1,1,1),$8:$8,"&lt;="&amp;EOMONTH(FH$8,-12))-1</f>
        <v/>
      </c>
      <c r="FI39" s="1318">
        <f>SUMIFS(36:36,$8:$8,"&gt;="&amp;DATE(YEAR(FI$8),1,1),$8:$8,"&lt;="&amp;EOMONTH(FI$8,0))/SUMIFS(36:36,$8:$8,"&gt;="&amp;DATE(YEAR(FI$8)-1,1,1),$8:$8,"&lt;="&amp;EOMONTH(FI$8,-12))-1</f>
        <v/>
      </c>
      <c r="FJ39" s="1318">
        <f>SUMIFS(36:36,$8:$8,"&gt;="&amp;DATE(YEAR(FJ$8),1,1),$8:$8,"&lt;="&amp;EOMONTH(FJ$8,0))/SUMIFS(36:36,$8:$8,"&gt;="&amp;DATE(YEAR(FJ$8)-1,1,1),$8:$8,"&lt;="&amp;EOMONTH(FJ$8,-12))-1</f>
        <v/>
      </c>
      <c r="FK39" s="1318">
        <f>SUMIFS(36:36,$8:$8,"&gt;="&amp;DATE(YEAR(FK$8),1,1),$8:$8,"&lt;="&amp;EOMONTH(FK$8,0))/SUMIFS(36:36,$8:$8,"&gt;="&amp;DATE(YEAR(FK$8)-1,1,1),$8:$8,"&lt;="&amp;EOMONTH(FK$8,-12))-1</f>
        <v/>
      </c>
      <c r="FL39" s="1318">
        <f>SUMIFS(36:36,$8:$8,"&gt;="&amp;DATE(YEAR(FL$8),1,1),$8:$8,"&lt;="&amp;EOMONTH(FL$8,0))/SUMIFS(36:36,$8:$8,"&gt;="&amp;DATE(YEAR(FL$8)-1,1,1),$8:$8,"&lt;="&amp;EOMONTH(FL$8,-12))-1</f>
        <v/>
      </c>
      <c r="FM39" s="1318">
        <f>SUMIFS(36:36,$8:$8,"&gt;="&amp;DATE(YEAR(FM$8),1,1),$8:$8,"&lt;="&amp;EOMONTH(FM$8,0))/SUMIFS(36:36,$8:$8,"&gt;="&amp;DATE(YEAR(FM$8)-1,1,1),$8:$8,"&lt;="&amp;EOMONTH(FM$8,-12))-1</f>
        <v/>
      </c>
      <c r="FN39" s="1318">
        <f>SUMIFS(36:36,$8:$8,"&gt;="&amp;DATE(YEAR(FN$8),1,1),$8:$8,"&lt;="&amp;EOMONTH(FN$8,0))/SUMIFS(36:36,$8:$8,"&gt;="&amp;DATE(YEAR(FN$8)-1,1,1),$8:$8,"&lt;="&amp;EOMONTH(FN$8,-12))-1</f>
        <v/>
      </c>
      <c r="FO39" s="1318">
        <f>SUMIFS(36:36,$8:$8,"&gt;="&amp;DATE(YEAR(FO$8),1,1),$8:$8,"&lt;="&amp;EOMONTH(FO$8,0))/SUMIFS(36:36,$8:$8,"&gt;="&amp;DATE(YEAR(FO$8)-1,1,1),$8:$8,"&lt;="&amp;EOMONTH(FO$8,-12))-1</f>
        <v/>
      </c>
      <c r="FP39" s="1318">
        <f>SUMIFS(36:36,$8:$8,"&gt;="&amp;DATE(YEAR(FP$8),1,1),$8:$8,"&lt;="&amp;EOMONTH(FP$8,0))/SUMIFS(36:36,$8:$8,"&gt;="&amp;DATE(YEAR(FP$8)-1,1,1),$8:$8,"&lt;="&amp;EOMONTH(FP$8,-12))-1</f>
        <v/>
      </c>
      <c r="FQ39" s="1318">
        <f>SUMIFS(36:36,$8:$8,"&gt;="&amp;DATE(YEAR(FQ$8),1,1),$8:$8,"&lt;="&amp;EOMONTH(FQ$8,0))/SUMIFS(36:36,$8:$8,"&gt;="&amp;DATE(YEAR(FQ$8)-1,1,1),$8:$8,"&lt;="&amp;EOMONTH(FQ$8,-12))-1</f>
        <v/>
      </c>
      <c r="FR39" s="1318">
        <f>SUMIFS(36:36,$8:$8,"&gt;="&amp;DATE(YEAR(FR$8),1,1),$8:$8,"&lt;="&amp;EOMONTH(FR$8,0))/SUMIFS(36:36,$8:$8,"&gt;="&amp;DATE(YEAR(FR$8)-1,1,1),$8:$8,"&lt;="&amp;EOMONTH(FR$8,-12))-1</f>
        <v/>
      </c>
      <c r="FS39" s="1318">
        <f>SUMIFS(36:36,$8:$8,"&gt;="&amp;DATE(YEAR(FS$8),1,1),$8:$8,"&lt;="&amp;EOMONTH(FS$8,0))/SUMIFS(36:36,$8:$8,"&gt;="&amp;DATE(YEAR(FS$8)-1,1,1),$8:$8,"&lt;="&amp;EOMONTH(FS$8,-12))-1</f>
        <v/>
      </c>
      <c r="FT39" s="1318">
        <f>SUMIFS(36:36,$8:$8,"&gt;="&amp;DATE(YEAR(FT$8),1,1),$8:$8,"&lt;="&amp;EOMONTH(FT$8,0))/SUMIFS(36:36,$8:$8,"&gt;="&amp;DATE(YEAR(FT$8)-1,1,1),$8:$8,"&lt;="&amp;EOMONTH(FT$8,-12))-1</f>
        <v/>
      </c>
      <c r="FU39" s="1318">
        <f>SUMIFS(36:36,$8:$8,"&gt;="&amp;DATE(YEAR(FU$8),1,1),$8:$8,"&lt;="&amp;EOMONTH(FU$8,0))/SUMIFS(36:36,$8:$8,"&gt;="&amp;DATE(YEAR(FU$8)-1,1,1),$8:$8,"&lt;="&amp;EOMONTH(FU$8,-12))-1</f>
        <v/>
      </c>
      <c r="FV39" s="1318">
        <f>SUMIFS(36:36,$8:$8,"&gt;="&amp;DATE(YEAR(FV$8),1,1),$8:$8,"&lt;="&amp;EOMONTH(FV$8,0))/SUMIFS(36:36,$8:$8,"&gt;="&amp;DATE(YEAR(FV$8)-1,1,1),$8:$8,"&lt;="&amp;EOMONTH(FV$8,-12))-1</f>
        <v/>
      </c>
      <c r="FW39" s="1318">
        <f>SUMIFS(36:36,$8:$8,"&gt;="&amp;DATE(YEAR(FW$8),1,1),$8:$8,"&lt;="&amp;EOMONTH(FW$8,0))/SUMIFS(36:36,$8:$8,"&gt;="&amp;DATE(YEAR(FW$8)-1,1,1),$8:$8,"&lt;="&amp;EOMONTH(FW$8,-12))-1</f>
        <v/>
      </c>
      <c r="FX39" s="1318">
        <f>SUMIFS(36:36,$8:$8,"&gt;="&amp;DATE(YEAR(FX$8),1,1),$8:$8,"&lt;="&amp;EOMONTH(FX$8,0))/SUMIFS(36:36,$8:$8,"&gt;="&amp;DATE(YEAR(FX$8)-1,1,1),$8:$8,"&lt;="&amp;EOMONTH(FX$8,-12))-1</f>
        <v/>
      </c>
      <c r="FY39" s="1318">
        <f>SUMIFS(36:36,$8:$8,"&gt;="&amp;DATE(YEAR(FY$8),1,1),$8:$8,"&lt;="&amp;EOMONTH(FY$8,0))/SUMIFS(36:36,$8:$8,"&gt;="&amp;DATE(YEAR(FY$8)-1,1,1),$8:$8,"&lt;="&amp;EOMONTH(FY$8,-12))-1</f>
        <v/>
      </c>
      <c r="FZ39" s="1318">
        <f>SUMIFS(36:36,$8:$8,"&gt;="&amp;DATE(YEAR(FZ$8),1,1),$8:$8,"&lt;="&amp;EOMONTH(FZ$8,0))/SUMIFS(36:36,$8:$8,"&gt;="&amp;DATE(YEAR(FZ$8)-1,1,1),$8:$8,"&lt;="&amp;EOMONTH(FZ$8,-12))-1</f>
        <v/>
      </c>
      <c r="GA39" s="1318">
        <f>SUMIFS(36:36,$8:$8,"&gt;="&amp;DATE(YEAR(GA$8),1,1),$8:$8,"&lt;="&amp;EOMONTH(GA$8,0))/SUMIFS(36:36,$8:$8,"&gt;="&amp;DATE(YEAR(GA$8)-1,1,1),$8:$8,"&lt;="&amp;EOMONTH(GA$8,-12))-1</f>
        <v/>
      </c>
      <c r="GB39" s="1318">
        <f>SUMIFS(36:36,$8:$8,"&gt;="&amp;DATE(YEAR(GB$8),1,1),$8:$8,"&lt;="&amp;EOMONTH(GB$8,0))/SUMIFS(36:36,$8:$8,"&gt;="&amp;DATE(YEAR(GB$8)-1,1,1),$8:$8,"&lt;="&amp;EOMONTH(GB$8,-12))-1</f>
        <v/>
      </c>
      <c r="GC39" s="1318">
        <f>SUMIFS(36:36,$8:$8,"&gt;="&amp;DATE(YEAR(GC$8),1,1),$8:$8,"&lt;="&amp;EOMONTH(GC$8,0))/SUMIFS(36:36,$8:$8,"&gt;="&amp;DATE(YEAR(GC$8)-1,1,1),$8:$8,"&lt;="&amp;EOMONTH(GC$8,-12))-1</f>
        <v/>
      </c>
      <c r="GD39" s="1318">
        <f>SUMIFS(36:36,$8:$8,"&gt;="&amp;DATE(YEAR(GD$8),1,1),$8:$8,"&lt;="&amp;EOMONTH(GD$8,0))/SUMIFS(36:36,$8:$8,"&gt;="&amp;DATE(YEAR(GD$8)-1,1,1),$8:$8,"&lt;="&amp;EOMONTH(GD$8,-12))-1</f>
        <v/>
      </c>
      <c r="GE39" s="1318">
        <f>SUMIFS(36:36,$8:$8,"&gt;="&amp;DATE(YEAR(GE$8),1,1),$8:$8,"&lt;="&amp;EOMONTH(GE$8,0))/SUMIFS(36:36,$8:$8,"&gt;="&amp;DATE(YEAR(GE$8)-1,1,1),$8:$8,"&lt;="&amp;EOMONTH(GE$8,-12))-1</f>
        <v/>
      </c>
      <c r="GF39" s="1318">
        <f>SUMIFS(36:36,$8:$8,"&gt;="&amp;DATE(YEAR(GF$8),1,1),$8:$8,"&lt;="&amp;EOMONTH(GF$8,0))/SUMIFS(36:36,$8:$8,"&gt;="&amp;DATE(YEAR(GF$8)-1,1,1),$8:$8,"&lt;="&amp;EOMONTH(GF$8,-12))-1</f>
        <v/>
      </c>
      <c r="GG39" s="1318">
        <f>SUMIFS(36:36,$8:$8,"&gt;="&amp;DATE(YEAR(GG$8),1,1),$8:$8,"&lt;="&amp;EOMONTH(GG$8,0))/SUMIFS(36:36,$8:$8,"&gt;="&amp;DATE(YEAR(GG$8)-1,1,1),$8:$8,"&lt;="&amp;EOMONTH(GG$8,-12))-1</f>
        <v/>
      </c>
      <c r="GH39" s="1318">
        <f>SUMIFS(36:36,$8:$8,"&gt;="&amp;DATE(YEAR(GH$8),1,1),$8:$8,"&lt;="&amp;EOMONTH(GH$8,0))/SUMIFS(36:36,$8:$8,"&gt;="&amp;DATE(YEAR(GH$8)-1,1,1),$8:$8,"&lt;="&amp;EOMONTH(GH$8,-12))-1</f>
        <v/>
      </c>
      <c r="GI39" s="1318">
        <f>SUMIFS(36:36,$8:$8,"&gt;="&amp;DATE(YEAR(GI$8),1,1),$8:$8,"&lt;="&amp;EOMONTH(GI$8,0))/SUMIFS(36:36,$8:$8,"&gt;="&amp;DATE(YEAR(GI$8)-1,1,1),$8:$8,"&lt;="&amp;EOMONTH(GI$8,-12))-1</f>
        <v/>
      </c>
      <c r="GJ39" s="1318">
        <f>SUMIFS(36:36,$8:$8,"&gt;="&amp;DATE(YEAR(GJ$8),1,1),$8:$8,"&lt;="&amp;EOMONTH(GJ$8,0))/SUMIFS(36:36,$8:$8,"&gt;="&amp;DATE(YEAR(GJ$8)-1,1,1),$8:$8,"&lt;="&amp;EOMONTH(GJ$8,-12))-1</f>
        <v/>
      </c>
      <c r="GK39" s="1318">
        <f>SUMIFS(36:36,$8:$8,"&gt;="&amp;DATE(YEAR(GK$8),1,1),$8:$8,"&lt;="&amp;EOMONTH(GK$8,0))/SUMIFS(36:36,$8:$8,"&gt;="&amp;DATE(YEAR(GK$8)-1,1,1),$8:$8,"&lt;="&amp;EOMONTH(GK$8,-12))-1</f>
        <v/>
      </c>
      <c r="GL39" s="1318">
        <f>SUMIFS(36:36,$8:$8,"&gt;="&amp;DATE(YEAR(GL$8),1,1),$8:$8,"&lt;="&amp;EOMONTH(GL$8,0))/SUMIFS(36:36,$8:$8,"&gt;="&amp;DATE(YEAR(GL$8)-1,1,1),$8:$8,"&lt;="&amp;EOMONTH(GL$8,-12))-1</f>
        <v/>
      </c>
      <c r="GM39" s="1318">
        <f>SUMIFS(36:36,$8:$8,"&gt;="&amp;DATE(YEAR(GM$8),1,1),$8:$8,"&lt;="&amp;EOMONTH(GM$8,0))/SUMIFS(36:36,$8:$8,"&gt;="&amp;DATE(YEAR(GM$8)-1,1,1),$8:$8,"&lt;="&amp;EOMONTH(GM$8,-12))-1</f>
        <v/>
      </c>
      <c r="GN39" s="1318">
        <f>SUMIFS(36:36,$8:$8,"&gt;="&amp;DATE(YEAR(GN$8),1,1),$8:$8,"&lt;="&amp;EOMONTH(GN$8,0))/SUMIFS(36:36,$8:$8,"&gt;="&amp;DATE(YEAR(GN$8)-1,1,1),$8:$8,"&lt;="&amp;EOMONTH(GN$8,-12))-1</f>
        <v/>
      </c>
      <c r="GO39" s="1318">
        <f>SUMIFS(36:36,$8:$8,"&gt;="&amp;DATE(YEAR(GO$8),1,1),$8:$8,"&lt;="&amp;EOMONTH(GO$8,0))/SUMIFS(36:36,$8:$8,"&gt;="&amp;DATE(YEAR(GO$8)-1,1,1),$8:$8,"&lt;="&amp;EOMONTH(GO$8,-12))-1</f>
        <v/>
      </c>
      <c r="GP39" s="1318">
        <f>SUMIFS(36:36,$8:$8,"&gt;="&amp;DATE(YEAR(GP$8),1,1),$8:$8,"&lt;="&amp;EOMONTH(GP$8,0))/SUMIFS(36:36,$8:$8,"&gt;="&amp;DATE(YEAR(GP$8)-1,1,1),$8:$8,"&lt;="&amp;EOMONTH(GP$8,-12))-1</f>
        <v/>
      </c>
      <c r="GQ39" s="1318">
        <f>SUMIFS(36:36,$8:$8,"&gt;="&amp;DATE(YEAR(GQ$8),1,1),$8:$8,"&lt;="&amp;EOMONTH(GQ$8,0))/SUMIFS(36:36,$8:$8,"&gt;="&amp;DATE(YEAR(GQ$8)-1,1,1),$8:$8,"&lt;="&amp;EOMONTH(GQ$8,-12))-1</f>
        <v/>
      </c>
      <c r="GR39" s="1318">
        <f>SUMIFS(36:36,$8:$8,"&gt;="&amp;DATE(YEAR(GR$8),1,1),$8:$8,"&lt;="&amp;EOMONTH(GR$8,0))/SUMIFS(36:36,$8:$8,"&gt;="&amp;DATE(YEAR(GR$8)-1,1,1),$8:$8,"&lt;="&amp;EOMONTH(GR$8,-12))-1</f>
        <v/>
      </c>
      <c r="GS39" s="1318">
        <f>SUMIFS(36:36,$8:$8,"&gt;="&amp;DATE(YEAR(GS$8),1,1),$8:$8,"&lt;="&amp;EOMONTH(GS$8,0))/SUMIFS(36:36,$8:$8,"&gt;="&amp;DATE(YEAR(GS$8)-1,1,1),$8:$8,"&lt;="&amp;EOMONTH(GS$8,-12))-1</f>
        <v/>
      </c>
      <c r="GT39" s="1318">
        <f>SUMIFS(36:36,$8:$8,"&gt;="&amp;DATE(YEAR(GT$8),1,1),$8:$8,"&lt;="&amp;EOMONTH(GT$8,0))/SUMIFS(36:36,$8:$8,"&gt;="&amp;DATE(YEAR(GT$8)-1,1,1),$8:$8,"&lt;="&amp;EOMONTH(GT$8,-12))-1</f>
        <v/>
      </c>
      <c r="GU39" s="1318">
        <f>SUMIFS(36:36,$8:$8,"&gt;="&amp;DATE(YEAR(GU$8),1,1),$8:$8,"&lt;="&amp;EOMONTH(GU$8,0))/SUMIFS(36:36,$8:$8,"&gt;="&amp;DATE(YEAR(GU$8)-1,1,1),$8:$8,"&lt;="&amp;EOMONTH(GU$8,-12))-1</f>
        <v/>
      </c>
      <c r="GV39" s="1318">
        <f>SUMIFS(36:36,$8:$8,"&gt;="&amp;DATE(YEAR(GV$8),1,1),$8:$8,"&lt;="&amp;EOMONTH(GV$8,0))/SUMIFS(36:36,$8:$8,"&gt;="&amp;DATE(YEAR(GV$8)-1,1,1),$8:$8,"&lt;="&amp;EOMONTH(GV$8,-12))-1</f>
        <v/>
      </c>
      <c r="GW39" s="1318">
        <f>SUMIFS(36:36,$8:$8,"&gt;="&amp;DATE(YEAR(GW$8),1,1),$8:$8,"&lt;="&amp;EOMONTH(GW$8,0))/SUMIFS(36:36,$8:$8,"&gt;="&amp;DATE(YEAR(GW$8)-1,1,1),$8:$8,"&lt;="&amp;EOMONTH(GW$8,-12))-1</f>
        <v/>
      </c>
      <c r="GX39" s="1318">
        <f>SUMIFS(36:36,$8:$8,"&gt;="&amp;DATE(YEAR(GX$8),1,1),$8:$8,"&lt;="&amp;EOMONTH(GX$8,0))/SUMIFS(36:36,$8:$8,"&gt;="&amp;DATE(YEAR(GX$8)-1,1,1),$8:$8,"&lt;="&amp;EOMONTH(GX$8,-12))-1</f>
        <v/>
      </c>
      <c r="GY39" s="1318">
        <f>SUMIFS(36:36,$8:$8,"&gt;="&amp;DATE(YEAR(GY$8),1,1),$8:$8,"&lt;="&amp;EOMONTH(GY$8,0))/SUMIFS(36:36,$8:$8,"&gt;="&amp;DATE(YEAR(GY$8)-1,1,1),$8:$8,"&lt;="&amp;EOMONTH(GY$8,-12))-1</f>
        <v/>
      </c>
      <c r="GZ39" s="1318">
        <f>SUMIFS(36:36,$8:$8,"&gt;="&amp;DATE(YEAR(GZ$8),1,1),$8:$8,"&lt;="&amp;EOMONTH(GZ$8,0))/SUMIFS(36:36,$8:$8,"&gt;="&amp;DATE(YEAR(GZ$8)-1,1,1),$8:$8,"&lt;="&amp;EOMONTH(GZ$8,-12))-1</f>
        <v/>
      </c>
      <c r="HA39" s="1318">
        <f>SUMIFS(36:36,$8:$8,"&gt;="&amp;DATE(YEAR(HA$8),1,1),$8:$8,"&lt;="&amp;EOMONTH(HA$8,0))/SUMIFS(36:36,$8:$8,"&gt;="&amp;DATE(YEAR(HA$8)-1,1,1),$8:$8,"&lt;="&amp;EOMONTH(HA$8,-12))-1</f>
        <v/>
      </c>
      <c r="HB39" s="1318">
        <f>SUMIFS(36:36,$8:$8,"&gt;="&amp;DATE(YEAR(HB$8),1,1),$8:$8,"&lt;="&amp;EOMONTH(HB$8,0))/SUMIFS(36:36,$8:$8,"&gt;="&amp;DATE(YEAR(HB$8)-1,1,1),$8:$8,"&lt;="&amp;EOMONTH(HB$8,-12))-1</f>
        <v/>
      </c>
      <c r="HC39" s="1318">
        <f>SUMIFS(36:36,$8:$8,"&gt;="&amp;DATE(YEAR(HC$8),1,1),$8:$8,"&lt;="&amp;EOMONTH(HC$8,0))/SUMIFS(36:36,$8:$8,"&gt;="&amp;DATE(YEAR(HC$8)-1,1,1),$8:$8,"&lt;="&amp;EOMONTH(HC$8,-12))-1</f>
        <v/>
      </c>
      <c r="HD39" s="1318">
        <f>SUMIFS(36:36,$8:$8,"&gt;="&amp;DATE(YEAR(HD$8),1,1),$8:$8,"&lt;="&amp;EOMONTH(HD$8,0))/SUMIFS(36:36,$8:$8,"&gt;="&amp;DATE(YEAR(HD$8)-1,1,1),$8:$8,"&lt;="&amp;EOMONTH(HD$8,-12))-1</f>
        <v/>
      </c>
      <c r="HE39" s="1318">
        <f>SUMIFS(36:36,$8:$8,"&gt;="&amp;DATE(YEAR(HE$8),1,1),$8:$8,"&lt;="&amp;EOMONTH(HE$8,0))/SUMIFS(36:36,$8:$8,"&gt;="&amp;DATE(YEAR(HE$8)-1,1,1),$8:$8,"&lt;="&amp;EOMONTH(HE$8,-12))-1</f>
        <v/>
      </c>
      <c r="HF39" s="1318">
        <f>SUMIFS(36:36,$8:$8,"&gt;="&amp;DATE(YEAR(HF$8),1,1),$8:$8,"&lt;="&amp;EOMONTH(HF$8,0))/SUMIFS(36:36,$8:$8,"&gt;="&amp;DATE(YEAR(HF$8)-1,1,1),$8:$8,"&lt;="&amp;EOMONTH(HF$8,-12))-1</f>
        <v/>
      </c>
      <c r="HG39" s="1318">
        <f>SUMIFS(36:36,$8:$8,"&gt;="&amp;DATE(YEAR(HG$8),1,1),$8:$8,"&lt;="&amp;EOMONTH(HG$8,0))/SUMIFS(36:36,$8:$8,"&gt;="&amp;DATE(YEAR(HG$8)-1,1,1),$8:$8,"&lt;="&amp;EOMONTH(HG$8,-12))-1</f>
        <v/>
      </c>
      <c r="HH39" s="1318">
        <f>SUMIFS(36:36,$8:$8,"&gt;="&amp;DATE(YEAR(HH$8),1,1),$8:$8,"&lt;="&amp;EOMONTH(HH$8,0))/SUMIFS(36:36,$8:$8,"&gt;="&amp;DATE(YEAR(HH$8)-1,1,1),$8:$8,"&lt;="&amp;EOMONTH(HH$8,-12))-1</f>
        <v/>
      </c>
      <c r="HI39" s="1318">
        <f>SUMIFS(36:36,$8:$8,"&gt;="&amp;DATE(YEAR(HI$8),1,1),$8:$8,"&lt;="&amp;EOMONTH(HI$8,0))/SUMIFS(36:36,$8:$8,"&gt;="&amp;DATE(YEAR(HI$8)-1,1,1),$8:$8,"&lt;="&amp;EOMONTH(HI$8,-12))-1</f>
        <v/>
      </c>
      <c r="HJ39" s="1318">
        <f>SUMIFS(36:36,$8:$8,"&gt;="&amp;DATE(YEAR(HJ$8),1,1),$8:$8,"&lt;="&amp;EOMONTH(HJ$8,0))/SUMIFS(36:36,$8:$8,"&gt;="&amp;DATE(YEAR(HJ$8)-1,1,1),$8:$8,"&lt;="&amp;EOMONTH(HJ$8,-12))-1</f>
        <v/>
      </c>
      <c r="HK39" s="1318">
        <f>SUMIFS(36:36,$8:$8,"&gt;="&amp;DATE(YEAR(HK$8),1,1),$8:$8,"&lt;="&amp;EOMONTH(HK$8,0))/SUMIFS(36:36,$8:$8,"&gt;="&amp;DATE(YEAR(HK$8)-1,1,1),$8:$8,"&lt;="&amp;EOMONTH(HK$8,-12))-1</f>
        <v/>
      </c>
      <c r="HL39" s="1318">
        <f>SUMIFS(36:36,$8:$8,"&gt;="&amp;DATE(YEAR(HL$8),1,1),$8:$8,"&lt;="&amp;EOMONTH(HL$8,0))/SUMIFS(36:36,$8:$8,"&gt;="&amp;DATE(YEAR(HL$8)-1,1,1),$8:$8,"&lt;="&amp;EOMONTH(HL$8,-12))-1</f>
        <v/>
      </c>
      <c r="HM39" s="1318">
        <f>SUMIFS(36:36,$8:$8,"&gt;="&amp;DATE(YEAR(HM$8),1,1),$8:$8,"&lt;="&amp;EOMONTH(HM$8,0))/SUMIFS(36:36,$8:$8,"&gt;="&amp;DATE(YEAR(HM$8)-1,1,1),$8:$8,"&lt;="&amp;EOMONTH(HM$8,-12))-1</f>
        <v/>
      </c>
      <c r="HN39" s="1318">
        <f>SUMIFS(36:36,$8:$8,"&gt;="&amp;DATE(YEAR(HN$8),1,1),$8:$8,"&lt;="&amp;EOMONTH(HN$8,0))/SUMIFS(36:36,$8:$8,"&gt;="&amp;DATE(YEAR(HN$8)-1,1,1),$8:$8,"&lt;="&amp;EOMONTH(HN$8,-12))-1</f>
        <v/>
      </c>
      <c r="HO39" s="1318">
        <f>SUMIFS(36:36,$8:$8,"&gt;="&amp;DATE(YEAR(HO$8),1,1),$8:$8,"&lt;="&amp;EOMONTH(HO$8,0))/SUMIFS(36:36,$8:$8,"&gt;="&amp;DATE(YEAR(HO$8)-1,1,1),$8:$8,"&lt;="&amp;EOMONTH(HO$8,-12))-1</f>
        <v/>
      </c>
      <c r="HP39" s="1318">
        <f>SUMIFS(36:36,$8:$8,"&gt;="&amp;DATE(YEAR(HP$8),1,1),$8:$8,"&lt;="&amp;EOMONTH(HP$8,0))/SUMIFS(36:36,$8:$8,"&gt;="&amp;DATE(YEAR(HP$8)-1,1,1),$8:$8,"&lt;="&amp;EOMONTH(HP$8,-12))-1</f>
        <v/>
      </c>
      <c r="HQ39" s="1318">
        <f>SUMIFS(36:36,$8:$8,"&gt;="&amp;DATE(YEAR(HQ$8),1,1),$8:$8,"&lt;="&amp;EOMONTH(HQ$8,0))/SUMIFS(36:36,$8:$8,"&gt;="&amp;DATE(YEAR(HQ$8)-1,1,1),$8:$8,"&lt;="&amp;EOMONTH(HQ$8,-12))-1</f>
        <v/>
      </c>
      <c r="HR39" s="1318">
        <f>SUMIFS(36:36,$8:$8,"&gt;="&amp;DATE(YEAR(HR$8),1,1),$8:$8,"&lt;="&amp;EOMONTH(HR$8,0))/SUMIFS(36:36,$8:$8,"&gt;="&amp;DATE(YEAR(HR$8)-1,1,1),$8:$8,"&lt;="&amp;EOMONTH(HR$8,-12))-1</f>
        <v/>
      </c>
      <c r="HS39" s="1318">
        <f>SUMIFS(36:36,$8:$8,"&gt;="&amp;DATE(YEAR(HS$8),1,1),$8:$8,"&lt;="&amp;EOMONTH(HS$8,0))/SUMIFS(36:36,$8:$8,"&gt;="&amp;DATE(YEAR(HS$8)-1,1,1),$8:$8,"&lt;="&amp;EOMONTH(HS$8,-12))-1</f>
        <v/>
      </c>
      <c r="HT39" s="1318">
        <f>SUMIFS(36:36,$8:$8,"&gt;="&amp;DATE(YEAR(HT$8),1,1),$8:$8,"&lt;="&amp;EOMONTH(HT$8,0))/SUMIFS(36:36,$8:$8,"&gt;="&amp;DATE(YEAR(HT$8)-1,1,1),$8:$8,"&lt;="&amp;EOMONTH(HT$8,-12))-1</f>
        <v/>
      </c>
      <c r="HU39" s="1318">
        <f>SUMIFS(36:36,$8:$8,"&gt;="&amp;DATE(YEAR(HU$8),1,1),$8:$8,"&lt;="&amp;EOMONTH(HU$8,0))/SUMIFS(36:36,$8:$8,"&gt;="&amp;DATE(YEAR(HU$8)-1,1,1),$8:$8,"&lt;="&amp;EOMONTH(HU$8,-12))-1</f>
        <v/>
      </c>
      <c r="HV39" s="1318">
        <f>SUMIFS(36:36,$8:$8,"&gt;="&amp;DATE(YEAR(HV$8),1,1),$8:$8,"&lt;="&amp;EOMONTH(HV$8,0))/SUMIFS(36:36,$8:$8,"&gt;="&amp;DATE(YEAR(HV$8)-1,1,1),$8:$8,"&lt;="&amp;EOMONTH(HV$8,-12))-1</f>
        <v/>
      </c>
      <c r="HW39" s="1318">
        <f>SUMIFS(36:36,$8:$8,"&gt;="&amp;DATE(YEAR(HW$8),1,1),$8:$8,"&lt;="&amp;EOMONTH(HW$8,0))/SUMIFS(36:36,$8:$8,"&gt;="&amp;DATE(YEAR(HW$8)-1,1,1),$8:$8,"&lt;="&amp;EOMONTH(HW$8,-12))-1</f>
        <v/>
      </c>
      <c r="HX39" s="1318">
        <f>SUMIFS(36:36,$8:$8,"&gt;="&amp;DATE(YEAR(HX$8),1,1),$8:$8,"&lt;="&amp;EOMONTH(HX$8,0))/SUMIFS(36:36,$8:$8,"&gt;="&amp;DATE(YEAR(HX$8)-1,1,1),$8:$8,"&lt;="&amp;EOMONTH(HX$8,-12))-1</f>
        <v/>
      </c>
      <c r="HY39" s="1318">
        <f>SUMIFS(36:36,$8:$8,"&gt;="&amp;DATE(YEAR(HY$8),1,1),$8:$8,"&lt;="&amp;EOMONTH(HY$8,0))/SUMIFS(36:36,$8:$8,"&gt;="&amp;DATE(YEAR(HY$8)-1,1,1),$8:$8,"&lt;="&amp;EOMONTH(HY$8,-12))-1</f>
        <v/>
      </c>
      <c r="HZ39" s="1318">
        <f>SUMIFS(36:36,$8:$8,"&gt;="&amp;DATE(YEAR(HZ$8),1,1),$8:$8,"&lt;="&amp;EOMONTH(HZ$8,0))/SUMIFS(36:36,$8:$8,"&gt;="&amp;DATE(YEAR(HZ$8)-1,1,1),$8:$8,"&lt;="&amp;EOMONTH(HZ$8,-12))-1</f>
        <v/>
      </c>
      <c r="IA39" s="1318">
        <f>SUMIFS(36:36,$8:$8,"&gt;="&amp;DATE(YEAR(IA$8),1,1),$8:$8,"&lt;="&amp;EOMONTH(IA$8,0))/SUMIFS(36:36,$8:$8,"&gt;="&amp;DATE(YEAR(IA$8)-1,1,1),$8:$8,"&lt;="&amp;EOMONTH(IA$8,-12))-1</f>
        <v/>
      </c>
      <c r="IB39" s="1318">
        <f>SUMIFS(36:36,$8:$8,"&gt;="&amp;DATE(YEAR(IB$8),1,1),$8:$8,"&lt;="&amp;EOMONTH(IB$8,0))/SUMIFS(36:36,$8:$8,"&gt;="&amp;DATE(YEAR(IB$8)-1,1,1),$8:$8,"&lt;="&amp;EOMONTH(IB$8,-12))-1</f>
        <v/>
      </c>
      <c r="IC39" s="1318">
        <f>SUMIFS(36:36,$8:$8,"&gt;="&amp;DATE(YEAR(IC$8),1,1),$8:$8,"&lt;="&amp;EOMONTH(IC$8,0))/SUMIFS(36:36,$8:$8,"&gt;="&amp;DATE(YEAR(IC$8)-1,1,1),$8:$8,"&lt;="&amp;EOMONTH(IC$8,-12))-1</f>
        <v/>
      </c>
      <c r="ID39" s="1318">
        <f>SUMIFS(36:36,$8:$8,"&gt;="&amp;DATE(YEAR(ID$8),1,1),$8:$8,"&lt;="&amp;EOMONTH(ID$8,0))/SUMIFS(36:36,$8:$8,"&gt;="&amp;DATE(YEAR(ID$8)-1,1,1),$8:$8,"&lt;="&amp;EOMONTH(ID$8,-12))-1</f>
        <v/>
      </c>
      <c r="IE39" s="1318">
        <f>SUMIFS(36:36,$8:$8,"&gt;="&amp;DATE(YEAR(IE$8),1,1),$8:$8,"&lt;="&amp;EOMONTH(IE$8,0))/SUMIFS(36:36,$8:$8,"&gt;="&amp;DATE(YEAR(IE$8)-1,1,1),$8:$8,"&lt;="&amp;EOMONTH(IE$8,-12))-1</f>
        <v/>
      </c>
      <c r="IF39" s="1318">
        <f>SUMIFS(36:36,$8:$8,"&gt;="&amp;DATE(YEAR(IF$8),1,1),$8:$8,"&lt;="&amp;EOMONTH(IF$8,0))/SUMIFS(36:36,$8:$8,"&gt;="&amp;DATE(YEAR(IF$8)-1,1,1),$8:$8,"&lt;="&amp;EOMONTH(IF$8,-12))-1</f>
        <v/>
      </c>
      <c r="IG39" s="1318">
        <f>SUMIFS(36:36,$8:$8,"&gt;="&amp;DATE(YEAR(IG$8),1,1),$8:$8,"&lt;="&amp;EOMONTH(IG$8,0))/SUMIFS(36:36,$8:$8,"&gt;="&amp;DATE(YEAR(IG$8)-1,1,1),$8:$8,"&lt;="&amp;EOMONTH(IG$8,-12))-1</f>
        <v/>
      </c>
      <c r="IH39" s="1318">
        <f>SUMIFS(36:36,$8:$8,"&gt;="&amp;DATE(YEAR(IH$8),1,1),$8:$8,"&lt;="&amp;EOMONTH(IH$8,0))/SUMIFS(36:36,$8:$8,"&gt;="&amp;DATE(YEAR(IH$8)-1,1,1),$8:$8,"&lt;="&amp;EOMONTH(IH$8,-12))-1</f>
        <v/>
      </c>
      <c r="II39" s="1318">
        <f>SUMIFS(36:36,$8:$8,"&gt;="&amp;DATE(YEAR(II$8),1,1),$8:$8,"&lt;="&amp;EOMONTH(II$8,0))/SUMIFS(36:36,$8:$8,"&gt;="&amp;DATE(YEAR(II$8)-1,1,1),$8:$8,"&lt;="&amp;EOMONTH(II$8,-12))-1</f>
        <v/>
      </c>
      <c r="IJ39" s="1318">
        <f>SUMIFS(36:36,$8:$8,"&gt;="&amp;DATE(YEAR(IJ$8),1,1),$8:$8,"&lt;="&amp;EOMONTH(IJ$8,0))/SUMIFS(36:36,$8:$8,"&gt;="&amp;DATE(YEAR(IJ$8)-1,1,1),$8:$8,"&lt;="&amp;EOMONTH(IJ$8,-12))-1</f>
        <v/>
      </c>
      <c r="IK39" s="1318">
        <f>SUMIFS(36:36,$8:$8,"&gt;="&amp;DATE(YEAR(IK$8),1,1),$8:$8,"&lt;="&amp;EOMONTH(IK$8,0))/SUMIFS(36:36,$8:$8,"&gt;="&amp;DATE(YEAR(IK$8)-1,1,1),$8:$8,"&lt;="&amp;EOMONTH(IK$8,-12))-1</f>
        <v/>
      </c>
      <c r="IL39" s="1318">
        <f>SUMIFS(36:36,$8:$8,"&gt;="&amp;DATE(YEAR(IL$8),1,1),$8:$8,"&lt;="&amp;EOMONTH(IL$8,0))/SUMIFS(36:36,$8:$8,"&gt;="&amp;DATE(YEAR(IL$8)-1,1,1),$8:$8,"&lt;="&amp;EOMONTH(IL$8,-12))-1</f>
        <v/>
      </c>
      <c r="IM39" s="1318">
        <f>SUMIFS(36:36,$8:$8,"&gt;="&amp;DATE(YEAR(IM$8),1,1),$8:$8,"&lt;="&amp;EOMONTH(IM$8,0))/SUMIFS(36:36,$8:$8,"&gt;="&amp;DATE(YEAR(IM$8)-1,1,1),$8:$8,"&lt;="&amp;EOMONTH(IM$8,-12))-1</f>
        <v/>
      </c>
      <c r="IN39" s="1318">
        <f>SUMIFS(36:36,$8:$8,"&gt;="&amp;DATE(YEAR(IN$8),1,1),$8:$8,"&lt;="&amp;EOMONTH(IN$8,0))/SUMIFS(36:36,$8:$8,"&gt;="&amp;DATE(YEAR(IN$8)-1,1,1),$8:$8,"&lt;="&amp;EOMONTH(IN$8,-12))-1</f>
        <v/>
      </c>
      <c r="IO39" s="1318">
        <f>SUMIFS(36:36,$8:$8,"&gt;="&amp;DATE(YEAR(IO$8),1,1),$8:$8,"&lt;="&amp;EOMONTH(IO$8,0))/SUMIFS(36:36,$8:$8,"&gt;="&amp;DATE(YEAR(IO$8)-1,1,1),$8:$8,"&lt;="&amp;EOMONTH(IO$8,-12))-1</f>
        <v/>
      </c>
      <c r="IP39" s="1318">
        <f>SUMIFS(36:36,$8:$8,"&gt;="&amp;DATE(YEAR(IP$8),1,1),$8:$8,"&lt;="&amp;EOMONTH(IP$8,0))/SUMIFS(36:36,$8:$8,"&gt;="&amp;DATE(YEAR(IP$8)-1,1,1),$8:$8,"&lt;="&amp;EOMONTH(IP$8,-12))-1</f>
        <v/>
      </c>
      <c r="IQ39" s="1318">
        <f>SUMIFS(36:36,$8:$8,"&gt;="&amp;DATE(YEAR(IQ$8),1,1),$8:$8,"&lt;="&amp;EOMONTH(IQ$8,0))/SUMIFS(36:36,$8:$8,"&gt;="&amp;DATE(YEAR(IQ$8)-1,1,1),$8:$8,"&lt;="&amp;EOMONTH(IQ$8,-12))-1</f>
        <v/>
      </c>
      <c r="IR39" s="1318">
        <f>SUMIFS(36:36,$8:$8,"&gt;="&amp;DATE(YEAR(IR$8),1,1),$8:$8,"&lt;="&amp;EOMONTH(IR$8,0))/SUMIFS(36:36,$8:$8,"&gt;="&amp;DATE(YEAR(IR$8)-1,1,1),$8:$8,"&lt;="&amp;EOMONTH(IR$8,-12))-1</f>
        <v/>
      </c>
      <c r="IS39" s="1318">
        <f>SUMIFS(36:36,$8:$8,"&gt;="&amp;DATE(YEAR(IS$8),1,1),$8:$8,"&lt;="&amp;EOMONTH(IS$8,0))/SUMIFS(36:36,$8:$8,"&gt;="&amp;DATE(YEAR(IS$8)-1,1,1),$8:$8,"&lt;="&amp;EOMONTH(IS$8,-12))-1</f>
        <v/>
      </c>
      <c r="IT39" s="1318">
        <f>SUMIFS(36:36,$8:$8,"&gt;="&amp;DATE(YEAR(IT$8),1,1),$8:$8,"&lt;="&amp;EOMONTH(IT$8,0))/SUMIFS(36:36,$8:$8,"&gt;="&amp;DATE(YEAR(IT$8)-1,1,1),$8:$8,"&lt;="&amp;EOMONTH(IT$8,-12))-1</f>
        <v/>
      </c>
      <c r="IU39" s="1318">
        <f>SUMIFS(36:36,$8:$8,"&gt;="&amp;DATE(YEAR(IU$8),1,1),$8:$8,"&lt;="&amp;EOMONTH(IU$8,0))/SUMIFS(36:36,$8:$8,"&gt;="&amp;DATE(YEAR(IU$8)-1,1,1),$8:$8,"&lt;="&amp;EOMONTH(IU$8,-12))-1</f>
        <v/>
      </c>
      <c r="IV39" s="1318">
        <f>SUMIFS(36:36,$8:$8,"&gt;="&amp;DATE(YEAR(IV$8),1,1),$8:$8,"&lt;="&amp;EOMONTH(IV$8,0))/SUMIFS(36:36,$8:$8,"&gt;="&amp;DATE(YEAR(IV$8)-1,1,1),$8:$8,"&lt;="&amp;EOMONTH(IV$8,-12))-1</f>
        <v/>
      </c>
      <c r="IW39" s="1318">
        <f>SUMIFS(36:36,$8:$8,"&gt;="&amp;DATE(YEAR(IW$8),1,1),$8:$8,"&lt;="&amp;EOMONTH(IW$8,0))/SUMIFS(36:36,$8:$8,"&gt;="&amp;DATE(YEAR(IW$8)-1,1,1),$8:$8,"&lt;="&amp;EOMONTH(IW$8,-12))-1</f>
        <v/>
      </c>
      <c r="IX39" s="1318">
        <f>SUMIFS(36:36,$8:$8,"&gt;="&amp;DATE(YEAR(IX$8),1,1),$8:$8,"&lt;="&amp;EOMONTH(IX$8,0))/SUMIFS(36:36,$8:$8,"&gt;="&amp;DATE(YEAR(IX$8)-1,1,1),$8:$8,"&lt;="&amp;EOMONTH(IX$8,-12))-1</f>
        <v/>
      </c>
      <c r="IY39" s="1318">
        <f>SUMIFS(36:36,$8:$8,"&gt;="&amp;DATE(YEAR(IY$8),1,1),$8:$8,"&lt;="&amp;EOMONTH(IY$8,0))/SUMIFS(36:36,$8:$8,"&gt;="&amp;DATE(YEAR(IY$8)-1,1,1),$8:$8,"&lt;="&amp;EOMONTH(IY$8,-12))-1</f>
        <v/>
      </c>
      <c r="IZ39" s="1318">
        <f>SUMIFS(36:36,$8:$8,"&gt;="&amp;DATE(YEAR(IZ$8),1,1),$8:$8,"&lt;="&amp;EOMONTH(IZ$8,0))/SUMIFS(36:36,$8:$8,"&gt;="&amp;DATE(YEAR(IZ$8)-1,1,1),$8:$8,"&lt;="&amp;EOMONTH(IZ$8,-12))-1</f>
        <v/>
      </c>
      <c r="JA39" s="1318">
        <f>SUMIFS(36:36,$8:$8,"&gt;="&amp;DATE(YEAR(JA$8),1,1),$8:$8,"&lt;="&amp;EOMONTH(JA$8,0))/SUMIFS(36:36,$8:$8,"&gt;="&amp;DATE(YEAR(JA$8)-1,1,1),$8:$8,"&lt;="&amp;EOMONTH(JA$8,-12))-1</f>
        <v/>
      </c>
      <c r="JB39" s="1318">
        <f>SUMIFS(36:36,$8:$8,"&gt;="&amp;DATE(YEAR(JB$8),1,1),$8:$8,"&lt;="&amp;EOMONTH(JB$8,0))/SUMIFS(36:36,$8:$8,"&gt;="&amp;DATE(YEAR(JB$8)-1,1,1),$8:$8,"&lt;="&amp;EOMONTH(JB$8,-12))-1</f>
        <v/>
      </c>
      <c r="JC39" s="1318">
        <f>SUMIFS(36:36,$8:$8,"&gt;="&amp;DATE(YEAR(JC$8),1,1),$8:$8,"&lt;="&amp;EOMONTH(JC$8,0))/SUMIFS(36:36,$8:$8,"&gt;="&amp;DATE(YEAR(JC$8)-1,1,1),$8:$8,"&lt;="&amp;EOMONTH(JC$8,-12))-1</f>
        <v/>
      </c>
      <c r="JD39" s="1318">
        <f>SUMIFS(36:36,$8:$8,"&gt;="&amp;DATE(YEAR(JD$8),1,1),$8:$8,"&lt;="&amp;EOMONTH(JD$8,0))/SUMIFS(36:36,$8:$8,"&gt;="&amp;DATE(YEAR(JD$8)-1,1,1),$8:$8,"&lt;="&amp;EOMONTH(JD$8,-12))-1</f>
        <v/>
      </c>
      <c r="JE39" s="1318">
        <f>SUMIFS(36:36,$8:$8,"&gt;="&amp;DATE(YEAR(JE$8),1,1),$8:$8,"&lt;="&amp;EOMONTH(JE$8,0))/SUMIFS(36:36,$8:$8,"&gt;="&amp;DATE(YEAR(JE$8)-1,1,1),$8:$8,"&lt;="&amp;EOMONTH(JE$8,-12))-1</f>
        <v/>
      </c>
      <c r="JF39" s="1318">
        <f>SUMIFS(36:36,$8:$8,"&gt;="&amp;DATE(YEAR(JF$8),1,1),$8:$8,"&lt;="&amp;EOMONTH(JF$8,0))/SUMIFS(36:36,$8:$8,"&gt;="&amp;DATE(YEAR(JF$8)-1,1,1),$8:$8,"&lt;="&amp;EOMONTH(JF$8,-12))-1</f>
        <v/>
      </c>
      <c r="JG39" s="1318">
        <f>SUMIFS(36:36,$8:$8,"&gt;="&amp;DATE(YEAR(JG$8),1,1),$8:$8,"&lt;="&amp;EOMONTH(JG$8,0))/SUMIFS(36:36,$8:$8,"&gt;="&amp;DATE(YEAR(JG$8)-1,1,1),$8:$8,"&lt;="&amp;EOMONTH(JG$8,-12))-1</f>
        <v/>
      </c>
      <c r="JH39" s="1318">
        <f>SUMIFS(36:36,$8:$8,"&gt;="&amp;DATE(YEAR(JH$8),1,1),$8:$8,"&lt;="&amp;EOMONTH(JH$8,0))/SUMIFS(36:36,$8:$8,"&gt;="&amp;DATE(YEAR(JH$8)-1,1,1),$8:$8,"&lt;="&amp;EOMONTH(JH$8,-12))-1</f>
        <v/>
      </c>
      <c r="JI39" s="1318">
        <f>SUMIFS(36:36,$8:$8,"&gt;="&amp;DATE(YEAR(JI$8),1,1),$8:$8,"&lt;="&amp;EOMONTH(JI$8,0))/SUMIFS(36:36,$8:$8,"&gt;="&amp;DATE(YEAR(JI$8)-1,1,1),$8:$8,"&lt;="&amp;EOMONTH(JI$8,-12))-1</f>
        <v/>
      </c>
      <c r="JJ39" s="1318">
        <f>SUMIFS(36:36,$8:$8,"&gt;="&amp;DATE(YEAR(JJ$8),1,1),$8:$8,"&lt;="&amp;EOMONTH(JJ$8,0))/SUMIFS(36:36,$8:$8,"&gt;="&amp;DATE(YEAR(JJ$8)-1,1,1),$8:$8,"&lt;="&amp;EOMONTH(JJ$8,-12))-1</f>
        <v/>
      </c>
      <c r="JK39" s="1318">
        <f>SUMIFS(36:36,$8:$8,"&gt;="&amp;DATE(YEAR(JK$8),1,1),$8:$8,"&lt;="&amp;EOMONTH(JK$8,0))/SUMIFS(36:36,$8:$8,"&gt;="&amp;DATE(YEAR(JK$8)-1,1,1),$8:$8,"&lt;="&amp;EOMONTH(JK$8,-12))-1</f>
        <v/>
      </c>
      <c r="JL39" s="1318">
        <f>SUMIFS(36:36,$8:$8,"&gt;="&amp;DATE(YEAR(JL$8),1,1),$8:$8,"&lt;="&amp;EOMONTH(JL$8,0))/SUMIFS(36:36,$8:$8,"&gt;="&amp;DATE(YEAR(JL$8)-1,1,1),$8:$8,"&lt;="&amp;EOMONTH(JL$8,-12))-1</f>
        <v/>
      </c>
      <c r="JM39" s="1318">
        <f>SUMIFS(36:36,$8:$8,"&gt;="&amp;DATE(YEAR(JM$8),1,1),$8:$8,"&lt;="&amp;EOMONTH(JM$8,0))/SUMIFS(36:36,$8:$8,"&gt;="&amp;DATE(YEAR(JM$8)-1,1,1),$8:$8,"&lt;="&amp;EOMONTH(JM$8,-12))-1</f>
        <v/>
      </c>
      <c r="JN39" s="1318">
        <f>SUMIFS(36:36,$8:$8,"&gt;="&amp;DATE(YEAR(JN$8),1,1),$8:$8,"&lt;="&amp;EOMONTH(JN$8,0))/SUMIFS(36:36,$8:$8,"&gt;="&amp;DATE(YEAR(JN$8)-1,1,1),$8:$8,"&lt;="&amp;EOMONTH(JN$8,-12))-1</f>
        <v/>
      </c>
      <c r="JO39" s="1318">
        <f>SUMIFS(36:36,$8:$8,"&gt;="&amp;DATE(YEAR(JO$8),1,1),$8:$8,"&lt;="&amp;EOMONTH(JO$8,0))/SUMIFS(36:36,$8:$8,"&gt;="&amp;DATE(YEAR(JO$8)-1,1,1),$8:$8,"&lt;="&amp;EOMONTH(JO$8,-12))-1</f>
        <v/>
      </c>
      <c r="JP39" s="1318">
        <f>SUMIFS(36:36,$8:$8,"&gt;="&amp;DATE(YEAR(JP$8),1,1),$8:$8,"&lt;="&amp;EOMONTH(JP$8,0))/SUMIFS(36:36,$8:$8,"&gt;="&amp;DATE(YEAR(JP$8)-1,1,1),$8:$8,"&lt;="&amp;EOMONTH(JP$8,-12))-1</f>
        <v/>
      </c>
      <c r="JQ39" s="1318">
        <f>SUMIFS(36:36,$8:$8,"&gt;="&amp;DATE(YEAR(JQ$8),1,1),$8:$8,"&lt;="&amp;EOMONTH(JQ$8,0))/SUMIFS(36:36,$8:$8,"&gt;="&amp;DATE(YEAR(JQ$8)-1,1,1),$8:$8,"&lt;="&amp;EOMONTH(JQ$8,-12))-1</f>
        <v/>
      </c>
      <c r="JR39" s="1318">
        <f>SUMIFS(36:36,$8:$8,"&gt;="&amp;DATE(YEAR(JR$8),1,1),$8:$8,"&lt;="&amp;EOMONTH(JR$8,0))/SUMIFS(36:36,$8:$8,"&gt;="&amp;DATE(YEAR(JR$8)-1,1,1),$8:$8,"&lt;="&amp;EOMONTH(JR$8,-12))-1</f>
        <v/>
      </c>
      <c r="JS39" s="1318">
        <f>SUMIFS(36:36,$8:$8,"&gt;="&amp;DATE(YEAR(JS$8),1,1),$8:$8,"&lt;="&amp;EOMONTH(JS$8,0))/SUMIFS(36:36,$8:$8,"&gt;="&amp;DATE(YEAR(JS$8)-1,1,1),$8:$8,"&lt;="&amp;EOMONTH(JS$8,-12))-1</f>
        <v/>
      </c>
      <c r="JT39" s="1318">
        <f>SUMIFS(36:36,$8:$8,"&gt;="&amp;DATE(YEAR(JT$8),1,1),$8:$8,"&lt;="&amp;EOMONTH(JT$8,0))/SUMIFS(36:36,$8:$8,"&gt;="&amp;DATE(YEAR(JT$8)-1,1,1),$8:$8,"&lt;="&amp;EOMONTH(JT$8,-12))-1</f>
        <v/>
      </c>
      <c r="JU39" s="1318">
        <f>SUMIFS(36:36,$8:$8,"&gt;="&amp;DATE(YEAR(JU$8),1,1),$8:$8,"&lt;="&amp;EOMONTH(JU$8,0))/SUMIFS(36:36,$8:$8,"&gt;="&amp;DATE(YEAR(JU$8)-1,1,1),$8:$8,"&lt;="&amp;EOMONTH(JU$8,-12))-1</f>
        <v/>
      </c>
      <c r="JV39" s="1318">
        <f>SUMIFS(36:36,$8:$8,"&gt;="&amp;DATE(YEAR(JV$8),1,1),$8:$8,"&lt;="&amp;EOMONTH(JV$8,0))/SUMIFS(36:36,$8:$8,"&gt;="&amp;DATE(YEAR(JV$8)-1,1,1),$8:$8,"&lt;="&amp;EOMONTH(JV$8,-12))-1</f>
        <v/>
      </c>
      <c r="JW39" s="1318">
        <f>SUMIFS(36:36,$8:$8,"&gt;="&amp;DATE(YEAR(JW$8),1,1),$8:$8,"&lt;="&amp;EOMONTH(JW$8,0))/SUMIFS(36:36,$8:$8,"&gt;="&amp;DATE(YEAR(JW$8)-1,1,1),$8:$8,"&lt;="&amp;EOMONTH(JW$8,-12))-1</f>
        <v/>
      </c>
      <c r="JX39" s="1318">
        <f>SUMIFS(36:36,$8:$8,"&gt;="&amp;DATE(YEAR(JX$8),1,1),$8:$8,"&lt;="&amp;EOMONTH(JX$8,0))/SUMIFS(36:36,$8:$8,"&gt;="&amp;DATE(YEAR(JX$8)-1,1,1),$8:$8,"&lt;="&amp;EOMONTH(JX$8,-12))-1</f>
        <v/>
      </c>
      <c r="JY39" s="1318">
        <f>SUMIFS(36:36,$8:$8,"&gt;="&amp;DATE(YEAR(JY$8),1,1),$8:$8,"&lt;="&amp;EOMONTH(JY$8,0))/SUMIFS(36:36,$8:$8,"&gt;="&amp;DATE(YEAR(JY$8)-1,1,1),$8:$8,"&lt;="&amp;EOMONTH(JY$8,-12))-1</f>
        <v/>
      </c>
      <c r="JZ39" s="1318">
        <f>SUMIFS(36:36,$8:$8,"&gt;="&amp;DATE(YEAR(JZ$8),1,1),$8:$8,"&lt;="&amp;EOMONTH(JZ$8,0))/SUMIFS(36:36,$8:$8,"&gt;="&amp;DATE(YEAR(JZ$8)-1,1,1),$8:$8,"&lt;="&amp;EOMONTH(JZ$8,-12))-1</f>
        <v/>
      </c>
      <c r="KA39" s="1318">
        <f>SUMIFS(36:36,$8:$8,"&gt;="&amp;DATE(YEAR(KA$8),1,1),$8:$8,"&lt;="&amp;EOMONTH(KA$8,0))/SUMIFS(36:36,$8:$8,"&gt;="&amp;DATE(YEAR(KA$8)-1,1,1),$8:$8,"&lt;="&amp;EOMONTH(KA$8,-12))-1</f>
        <v/>
      </c>
      <c r="KB39" s="1318">
        <f>SUMIFS(36:36,$8:$8,"&gt;="&amp;DATE(YEAR(KB$8),1,1),$8:$8,"&lt;="&amp;EOMONTH(KB$8,0))/SUMIFS(36:36,$8:$8,"&gt;="&amp;DATE(YEAR(KB$8)-1,1,1),$8:$8,"&lt;="&amp;EOMONTH(KB$8,-12))-1</f>
        <v/>
      </c>
      <c r="KC39" s="1318">
        <f>SUMIFS(36:36,$8:$8,"&gt;="&amp;DATE(YEAR(KC$8),1,1),$8:$8,"&lt;="&amp;EOMONTH(KC$8,0))/SUMIFS(36:36,$8:$8,"&gt;="&amp;DATE(YEAR(KC$8)-1,1,1),$8:$8,"&lt;="&amp;EOMONTH(KC$8,-12))-1</f>
        <v/>
      </c>
      <c r="KD39" s="1318">
        <f>SUMIFS(36:36,$8:$8,"&gt;="&amp;DATE(YEAR(KD$8),1,1),$8:$8,"&lt;="&amp;EOMONTH(KD$8,0))/SUMIFS(36:36,$8:$8,"&gt;="&amp;DATE(YEAR(KD$8)-1,1,1),$8:$8,"&lt;="&amp;EOMONTH(KD$8,-12))-1</f>
        <v/>
      </c>
      <c r="KE39" s="1318">
        <f>SUMIFS(36:36,$8:$8,"&gt;="&amp;DATE(YEAR(KE$8),1,1),$8:$8,"&lt;="&amp;EOMONTH(KE$8,0))/SUMIFS(36:36,$8:$8,"&gt;="&amp;DATE(YEAR(KE$8)-1,1,1),$8:$8,"&lt;="&amp;EOMONTH(KE$8,-12))-1</f>
        <v/>
      </c>
      <c r="KF39" s="1318">
        <f>SUMIFS(36:36,$8:$8,"&gt;="&amp;DATE(YEAR(KF$8),1,1),$8:$8,"&lt;="&amp;EOMONTH(KF$8,0))/SUMIFS(36:36,$8:$8,"&gt;="&amp;DATE(YEAR(KF$8)-1,1,1),$8:$8,"&lt;="&amp;EOMONTH(KF$8,-12))-1</f>
        <v/>
      </c>
      <c r="KG39" s="1318">
        <f>SUMIFS(36:36,$8:$8,"&gt;="&amp;DATE(YEAR(KG$8),1,1),$8:$8,"&lt;="&amp;EOMONTH(KG$8,0))/SUMIFS(36:36,$8:$8,"&gt;="&amp;DATE(YEAR(KG$8)-1,1,1),$8:$8,"&lt;="&amp;EOMONTH(KG$8,-12))-1</f>
        <v/>
      </c>
      <c r="KH39" s="1318">
        <f>SUMIFS(36:36,$8:$8,"&gt;="&amp;DATE(YEAR(KH$8),1,1),$8:$8,"&lt;="&amp;EOMONTH(KH$8,0))/SUMIFS(36:36,$8:$8,"&gt;="&amp;DATE(YEAR(KH$8)-1,1,1),$8:$8,"&lt;="&amp;EOMONTH(KH$8,-12))-1</f>
        <v/>
      </c>
      <c r="KI39" s="1318">
        <f>SUMIFS(36:36,$8:$8,"&gt;="&amp;DATE(YEAR(KI$8),1,1),$8:$8,"&lt;="&amp;EOMONTH(KI$8,0))/SUMIFS(36:36,$8:$8,"&gt;="&amp;DATE(YEAR(KI$8)-1,1,1),$8:$8,"&lt;="&amp;EOMONTH(KI$8,-12))-1</f>
        <v/>
      </c>
      <c r="KJ39" s="1318">
        <f>SUMIFS(36:36,$8:$8,"&gt;="&amp;DATE(YEAR(KJ$8),1,1),$8:$8,"&lt;="&amp;EOMONTH(KJ$8,0))/SUMIFS(36:36,$8:$8,"&gt;="&amp;DATE(YEAR(KJ$8)-1,1,1),$8:$8,"&lt;="&amp;EOMONTH(KJ$8,-12))-1</f>
        <v/>
      </c>
      <c r="KK39" s="1318">
        <f>SUMIFS(36:36,$8:$8,"&gt;="&amp;DATE(YEAR(KK$8),1,1),$8:$8,"&lt;="&amp;EOMONTH(KK$8,0))/SUMIFS(36:36,$8:$8,"&gt;="&amp;DATE(YEAR(KK$8)-1,1,1),$8:$8,"&lt;="&amp;EOMONTH(KK$8,-12))-1</f>
        <v/>
      </c>
      <c r="KL39" s="1318">
        <f>SUMIFS(36:36,$8:$8,"&gt;="&amp;DATE(YEAR(KL$8),1,1),$8:$8,"&lt;="&amp;EOMONTH(KL$8,0))/SUMIFS(36:36,$8:$8,"&gt;="&amp;DATE(YEAR(KL$8)-1,1,1),$8:$8,"&lt;="&amp;EOMONTH(KL$8,-12))-1</f>
        <v/>
      </c>
      <c r="KM39" s="1318">
        <f>SUMIFS(36:36,$8:$8,"&gt;="&amp;DATE(YEAR(KM$8),1,1),$8:$8,"&lt;="&amp;EOMONTH(KM$8,0))/SUMIFS(36:36,$8:$8,"&gt;="&amp;DATE(YEAR(KM$8)-1,1,1),$8:$8,"&lt;="&amp;EOMONTH(KM$8,-12))-1</f>
        <v/>
      </c>
      <c r="KN39" s="1318">
        <f>SUMIFS(36:36,$8:$8,"&gt;="&amp;DATE(YEAR(KN$8),1,1),$8:$8,"&lt;="&amp;EOMONTH(KN$8,0))/SUMIFS(36:36,$8:$8,"&gt;="&amp;DATE(YEAR(KN$8)-1,1,1),$8:$8,"&lt;="&amp;EOMONTH(KN$8,-12))-1</f>
        <v/>
      </c>
      <c r="KO39" s="1318">
        <f>SUMIFS(36:36,$8:$8,"&gt;="&amp;DATE(YEAR(KO$8),1,1),$8:$8,"&lt;="&amp;EOMONTH(KO$8,0))/SUMIFS(36:36,$8:$8,"&gt;="&amp;DATE(YEAR(KO$8)-1,1,1),$8:$8,"&lt;="&amp;EOMONTH(KO$8,-12))-1</f>
        <v/>
      </c>
      <c r="KP39" s="1318">
        <f>SUMIFS(36:36,$8:$8,"&gt;="&amp;DATE(YEAR(KP$8),1,1),$8:$8,"&lt;="&amp;EOMONTH(KP$8,0))/SUMIFS(36:36,$8:$8,"&gt;="&amp;DATE(YEAR(KP$8)-1,1,1),$8:$8,"&lt;="&amp;EOMONTH(KP$8,-12))-1</f>
        <v/>
      </c>
      <c r="KQ39" s="1318">
        <f>SUMIFS(36:36,$8:$8,"&gt;="&amp;DATE(YEAR(KQ$8),1,1),$8:$8,"&lt;="&amp;EOMONTH(KQ$8,0))/SUMIFS(36:36,$8:$8,"&gt;="&amp;DATE(YEAR(KQ$8)-1,1,1),$8:$8,"&lt;="&amp;EOMONTH(KQ$8,-12))-1</f>
        <v/>
      </c>
      <c r="KR39" s="1318">
        <f>SUMIFS(36:36,$8:$8,"&gt;="&amp;DATE(YEAR(KR$8),1,1),$8:$8,"&lt;="&amp;EOMONTH(KR$8,0))/SUMIFS(36:36,$8:$8,"&gt;="&amp;DATE(YEAR(KR$8)-1,1,1),$8:$8,"&lt;="&amp;EOMONTH(KR$8,-12))-1</f>
        <v/>
      </c>
      <c r="KS39" s="1318">
        <f>SUMIFS(36:36,$8:$8,"&gt;="&amp;DATE(YEAR(KS$8),1,1),$8:$8,"&lt;="&amp;EOMONTH(KS$8,0))/SUMIFS(36:36,$8:$8,"&gt;="&amp;DATE(YEAR(KS$8)-1,1,1),$8:$8,"&lt;="&amp;EOMONTH(KS$8,-12))-1</f>
        <v/>
      </c>
      <c r="KT39" s="1318">
        <f>SUMIFS(36:36,$8:$8,"&gt;="&amp;DATE(YEAR(KT$8),1,1),$8:$8,"&lt;="&amp;EOMONTH(KT$8,0))/SUMIFS(36:36,$8:$8,"&gt;="&amp;DATE(YEAR(KT$8)-1,1,1),$8:$8,"&lt;="&amp;EOMONTH(KT$8,-12))-1</f>
        <v/>
      </c>
      <c r="KU39" s="1318">
        <f>SUMIFS(36:36,$8:$8,"&gt;="&amp;DATE(YEAR(KU$8),1,1),$8:$8,"&lt;="&amp;EOMONTH(KU$8,0))/SUMIFS(36:36,$8:$8,"&gt;="&amp;DATE(YEAR(KU$8)-1,1,1),$8:$8,"&lt;="&amp;EOMONTH(KU$8,-12))-1</f>
        <v/>
      </c>
      <c r="KV39" s="1318">
        <f>SUMIFS(36:36,$8:$8,"&gt;="&amp;DATE(YEAR(KV$8),1,1),$8:$8,"&lt;="&amp;EOMONTH(KV$8,0))/SUMIFS(36:36,$8:$8,"&gt;="&amp;DATE(YEAR(KV$8)-1,1,1),$8:$8,"&lt;="&amp;EOMONTH(KV$8,-12))-1</f>
        <v/>
      </c>
      <c r="KW39" s="1318">
        <f>SUMIFS(36:36,$8:$8,"&gt;="&amp;DATE(YEAR(KW$8),1,1),$8:$8,"&lt;="&amp;EOMONTH(KW$8,0))/SUMIFS(36:36,$8:$8,"&gt;="&amp;DATE(YEAR(KW$8)-1,1,1),$8:$8,"&lt;="&amp;EOMONTH(KW$8,-12))-1</f>
        <v/>
      </c>
      <c r="KX39" s="1318">
        <f>SUMIFS(36:36,$8:$8,"&gt;="&amp;DATE(YEAR(KX$8),1,1),$8:$8,"&lt;="&amp;EOMONTH(KX$8,0))/SUMIFS(36:36,$8:$8,"&gt;="&amp;DATE(YEAR(KX$8)-1,1,1),$8:$8,"&lt;="&amp;EOMONTH(KX$8,-12))-1</f>
        <v/>
      </c>
      <c r="KY39" s="1318">
        <f>SUMIFS(36:36,$8:$8,"&gt;="&amp;DATE(YEAR(KY$8),1,1),$8:$8,"&lt;="&amp;EOMONTH(KY$8,0))/SUMIFS(36:36,$8:$8,"&gt;="&amp;DATE(YEAR(KY$8)-1,1,1),$8:$8,"&lt;="&amp;EOMONTH(KY$8,-12))-1</f>
        <v/>
      </c>
      <c r="KZ39" s="1318">
        <f>SUMIFS(36:36,$8:$8,"&gt;="&amp;DATE(YEAR(KZ$8),1,1),$8:$8,"&lt;="&amp;EOMONTH(KZ$8,0))/SUMIFS(36:36,$8:$8,"&gt;="&amp;DATE(YEAR(KZ$8)-1,1,1),$8:$8,"&lt;="&amp;EOMONTH(KZ$8,-12))-1</f>
        <v/>
      </c>
      <c r="LA39" s="1318">
        <f>SUMIFS(36:36,$8:$8,"&gt;="&amp;DATE(YEAR(LA$8),1,1),$8:$8,"&lt;="&amp;EOMONTH(LA$8,0))/SUMIFS(36:36,$8:$8,"&gt;="&amp;DATE(YEAR(LA$8)-1,1,1),$8:$8,"&lt;="&amp;EOMONTH(LA$8,-12))-1</f>
        <v/>
      </c>
      <c r="LB39" s="1318" t="n"/>
      <c r="LC39" s="1318" t="n"/>
      <c r="LD39" s="1318" t="n"/>
      <c r="LE39" s="1318" t="n"/>
      <c r="LF39" s="1318" t="n"/>
      <c r="LG39" s="1318" t="n"/>
      <c r="LH39" s="1318" t="n"/>
      <c r="LI39" s="1318" t="n"/>
      <c r="LJ39" s="1318" t="n"/>
      <c r="LK39" s="1318" t="n"/>
      <c r="LL39" s="1318" t="n"/>
      <c r="LM39" s="1318" t="n"/>
      <c r="LN39" s="1318" t="n"/>
      <c r="LO39" s="1318" t="n"/>
      <c r="LP39" s="1318" t="n"/>
      <c r="LQ39" s="1318" t="n"/>
      <c r="LR39" s="1318" t="n"/>
      <c r="LS39" s="1318" t="n"/>
    </row>
    <row r="40" ht="15" customFormat="1" customHeight="1" s="561">
      <c r="A40" s="1317" t="inlineStr">
        <is>
          <t>AFTK (Million)</t>
        </is>
      </c>
      <c r="B40" s="863" t="n">
        <v>433.28</v>
      </c>
      <c r="C40" s="883" t="n">
        <v>398.705</v>
      </c>
      <c r="D40" s="883" t="n">
        <v>439.515</v>
      </c>
      <c r="E40" s="883" t="n">
        <v>431.215</v>
      </c>
      <c r="F40" s="883" t="n">
        <v>429.935</v>
      </c>
      <c r="G40" s="883" t="n">
        <v>380.214</v>
      </c>
      <c r="H40" s="883" t="n">
        <v>461.224</v>
      </c>
      <c r="I40" s="883" t="n">
        <v>449.16</v>
      </c>
      <c r="J40" s="883" t="n">
        <v>459.154</v>
      </c>
      <c r="K40" s="883" t="n">
        <v>493.235</v>
      </c>
      <c r="L40" s="883" t="n">
        <v>474.7491289198606</v>
      </c>
      <c r="M40" s="883" t="n">
        <v>459.0968921389397</v>
      </c>
      <c r="N40" s="863" t="n">
        <v>411.133</v>
      </c>
      <c r="O40" s="883" t="n">
        <v>403.435</v>
      </c>
      <c r="P40" s="883" t="n">
        <v>466.781</v>
      </c>
      <c r="Q40" s="883" t="n">
        <v>452.775</v>
      </c>
      <c r="R40" s="883" t="n">
        <v>456.869</v>
      </c>
      <c r="S40" s="883" t="n">
        <v>451.839</v>
      </c>
      <c r="T40" s="883" t="n">
        <v>479.64</v>
      </c>
      <c r="U40" s="883" t="n">
        <v>494.817</v>
      </c>
      <c r="V40" s="883" t="n">
        <v>517.612</v>
      </c>
      <c r="W40" s="883" t="n">
        <v>557.51</v>
      </c>
      <c r="X40" s="883" t="n">
        <v>545.0119999999999</v>
      </c>
      <c r="Y40" s="883" t="n">
        <v>502.252</v>
      </c>
      <c r="Z40" s="863" t="n">
        <v>451.262</v>
      </c>
      <c r="AA40" s="883" t="n">
        <v>432.498</v>
      </c>
      <c r="AB40" s="883" t="n">
        <v>520.761</v>
      </c>
      <c r="AC40" s="883" t="n">
        <v>476.128</v>
      </c>
      <c r="AD40" s="883" t="n">
        <v>478.971</v>
      </c>
      <c r="AE40" s="883" t="n">
        <v>492.3</v>
      </c>
      <c r="AF40" s="883" t="n">
        <v>462.485</v>
      </c>
      <c r="AG40" s="883" t="n">
        <v>484.636</v>
      </c>
      <c r="AH40" s="883" t="n">
        <v>578.0884148431263</v>
      </c>
      <c r="AI40" s="883" t="n">
        <v>625.9966159179652</v>
      </c>
      <c r="AJ40" s="883" t="n">
        <v>520.837</v>
      </c>
      <c r="AK40" s="883" t="n">
        <v>617.8</v>
      </c>
      <c r="AL40" s="863" t="n">
        <v>554.384</v>
      </c>
      <c r="AM40" s="883" t="n">
        <v>504.8743733786492</v>
      </c>
      <c r="AN40" s="883" t="n">
        <v>592.0597163752419</v>
      </c>
      <c r="AO40" s="883" t="n">
        <v>551.6495757124206</v>
      </c>
      <c r="AP40" s="883" t="n">
        <v>581.1043059334297</v>
      </c>
      <c r="AQ40" s="883" t="n">
        <v>585.4868708971553</v>
      </c>
      <c r="AR40" s="883" t="n">
        <v>592.925</v>
      </c>
      <c r="AS40" s="883" t="n">
        <v>655.708</v>
      </c>
      <c r="AT40" s="883" t="n">
        <v>646.588</v>
      </c>
      <c r="AU40" s="883" t="n">
        <v>675.458</v>
      </c>
      <c r="AV40" s="883" t="n">
        <v>662.516</v>
      </c>
      <c r="AW40" s="883" t="n">
        <v>648.914</v>
      </c>
      <c r="AX40" s="863" t="n">
        <v>653.776</v>
      </c>
      <c r="AY40" s="863" t="n">
        <v>566.499</v>
      </c>
      <c r="AZ40" s="863" t="n">
        <v>686.509</v>
      </c>
      <c r="BA40" s="863" t="n">
        <v>564.443</v>
      </c>
      <c r="BB40" s="863" t="n">
        <v>528.324</v>
      </c>
      <c r="BC40" s="863" t="n">
        <v>535.135</v>
      </c>
      <c r="BD40" s="863" t="n">
        <v>614.937</v>
      </c>
      <c r="BE40" s="863" t="n">
        <v>679.7670000000001</v>
      </c>
      <c r="BF40" s="863" t="n">
        <v>671.638</v>
      </c>
      <c r="BG40" s="863" t="n">
        <v>738.028</v>
      </c>
      <c r="BH40" s="863" t="n">
        <v>746.766</v>
      </c>
      <c r="BI40" s="863" t="n">
        <v>729.296</v>
      </c>
      <c r="BJ40" s="863" t="n">
        <v>689.087</v>
      </c>
      <c r="BK40" s="863" t="n">
        <v>653.797</v>
      </c>
      <c r="BL40" s="863" t="n">
        <v>750.978</v>
      </c>
      <c r="BM40" s="863" t="n">
        <v>671.011</v>
      </c>
      <c r="BN40" s="863" t="n">
        <v>709.596</v>
      </c>
      <c r="BO40" s="863" t="n">
        <v>665.592</v>
      </c>
      <c r="BP40" s="863" t="n">
        <v>730.0549999999999</v>
      </c>
      <c r="BQ40" s="863" t="n">
        <v>748.615</v>
      </c>
      <c r="BR40" s="863" t="n">
        <v>742.072</v>
      </c>
      <c r="BS40" s="863" t="n">
        <v>799.498</v>
      </c>
      <c r="BT40" s="863" t="n">
        <v>811.163</v>
      </c>
      <c r="BU40" s="863" t="n">
        <v>776.769</v>
      </c>
      <c r="BV40" s="863" t="n">
        <v>757.7809999999999</v>
      </c>
      <c r="BW40" s="863" t="n">
        <v>701.3430000000002</v>
      </c>
      <c r="BX40" s="863" t="n">
        <v>851.37</v>
      </c>
      <c r="BY40" s="863" t="n">
        <v>808.174</v>
      </c>
      <c r="BZ40" s="863" t="n">
        <v>805.502</v>
      </c>
      <c r="CA40" s="863" t="n">
        <v>761.1</v>
      </c>
      <c r="CB40" s="863" t="n">
        <v>837.365</v>
      </c>
      <c r="CC40" s="863" t="n">
        <v>856.2809999999999</v>
      </c>
      <c r="CD40" s="863" t="n">
        <v>845.482</v>
      </c>
      <c r="CE40" s="863" t="n">
        <v>878.38</v>
      </c>
      <c r="CF40" s="863" t="n">
        <v>865.938</v>
      </c>
      <c r="CG40" s="863" t="n">
        <v>910.215</v>
      </c>
      <c r="CH40" s="863" t="n">
        <v>867.221</v>
      </c>
      <c r="CI40" s="863" t="n">
        <v>739.107</v>
      </c>
      <c r="CJ40" s="863" t="n">
        <v>874.252</v>
      </c>
      <c r="CK40" s="863" t="n">
        <v>819.2419825072885</v>
      </c>
      <c r="CL40" s="884" t="n">
        <v>845.6716417910447</v>
      </c>
      <c r="CM40" s="884" t="n">
        <v>813.717</v>
      </c>
      <c r="CN40" s="863" t="n">
        <v>845.542</v>
      </c>
      <c r="CO40" s="863" t="n">
        <v>861.978</v>
      </c>
      <c r="CP40" s="863" t="n">
        <v>895.198</v>
      </c>
      <c r="CQ40" s="883" t="n">
        <v>953</v>
      </c>
      <c r="CR40" s="883" t="n">
        <v>933</v>
      </c>
      <c r="CS40" s="883" t="n">
        <v>943.1319999999999</v>
      </c>
      <c r="CT40" s="883" t="n">
        <v>1043.773</v>
      </c>
      <c r="CU40" s="883" t="n">
        <v>940.644</v>
      </c>
      <c r="CV40" s="883" t="n">
        <v>1105</v>
      </c>
      <c r="CW40" s="863" t="n">
        <v>1032.88</v>
      </c>
      <c r="CX40" s="863" t="n">
        <v>1052.256</v>
      </c>
      <c r="CY40" s="883" t="n">
        <v>1061.192</v>
      </c>
      <c r="CZ40" s="883" t="n">
        <v>1108.85</v>
      </c>
      <c r="DA40" s="863" t="n">
        <v>1178.583</v>
      </c>
      <c r="DB40" s="863" t="n">
        <v>1166.222</v>
      </c>
      <c r="DC40" s="863" t="n">
        <v>1223.144</v>
      </c>
      <c r="DD40" s="863" t="n">
        <v>1207.065</v>
      </c>
      <c r="DE40" s="863" t="n">
        <v>1215.13</v>
      </c>
      <c r="DF40" s="863" t="n">
        <v>1150.254</v>
      </c>
      <c r="DG40" s="863" t="n">
        <v>1018.571</v>
      </c>
      <c r="DH40" s="863" t="n">
        <v>1172.177</v>
      </c>
      <c r="DI40" s="863" t="n">
        <v>1119.217</v>
      </c>
      <c r="DJ40" s="863" t="n">
        <v>1119.217</v>
      </c>
      <c r="DK40" s="863" t="n">
        <v>1085.054</v>
      </c>
      <c r="DL40" s="863" t="n">
        <v>1135.153</v>
      </c>
      <c r="DM40" s="863" t="n">
        <v>1115.309</v>
      </c>
      <c r="DN40" s="863" t="n">
        <v>1111.691</v>
      </c>
      <c r="DO40" s="863" t="n">
        <v>1191.836</v>
      </c>
      <c r="DP40" s="863" t="n">
        <v>1191.836</v>
      </c>
      <c r="DQ40" s="863" t="n">
        <v>1044.754</v>
      </c>
      <c r="DR40" s="863" t="n">
        <v>966.806</v>
      </c>
      <c r="DS40" s="863" t="n">
        <v>848.381</v>
      </c>
      <c r="DT40" s="863" t="n">
        <v>1054.883</v>
      </c>
      <c r="DU40" s="863" t="n">
        <v>982.443</v>
      </c>
      <c r="DV40" s="863" t="n">
        <v>944.673</v>
      </c>
      <c r="DW40" s="863" t="n">
        <v>930.208</v>
      </c>
      <c r="DX40" s="863" t="n">
        <v>992.54</v>
      </c>
      <c r="DY40" s="863" t="n">
        <v>958.513</v>
      </c>
      <c r="DZ40" s="863" t="n">
        <v>960.572</v>
      </c>
      <c r="EA40" s="863" t="n">
        <v>1005.474</v>
      </c>
      <c r="EB40" s="863" t="n">
        <v>1011.561</v>
      </c>
      <c r="EC40" s="863" t="n">
        <v>1010.388</v>
      </c>
      <c r="ED40" s="863" t="n">
        <v>957.909</v>
      </c>
      <c r="EE40" s="863" t="n">
        <v>830.362</v>
      </c>
      <c r="EF40" s="863" t="n">
        <v>1062.304</v>
      </c>
      <c r="EG40" s="863" t="n">
        <v>1044.922</v>
      </c>
      <c r="EH40" s="863" t="n">
        <v>1130.322</v>
      </c>
      <c r="EI40" s="863" t="n">
        <v>1108.967</v>
      </c>
      <c r="EJ40" s="863" t="n">
        <v>1204.104</v>
      </c>
      <c r="EK40" s="863" t="n">
        <v>1193.74</v>
      </c>
      <c r="EL40" s="863" t="n">
        <v>1204.215</v>
      </c>
      <c r="EM40" s="863" t="n">
        <v>1273.404</v>
      </c>
      <c r="EN40" s="863" t="n">
        <v>1230.074</v>
      </c>
      <c r="EO40" s="863" t="n">
        <v>1202.465</v>
      </c>
      <c r="EP40" s="863" t="n">
        <v>1202.423</v>
      </c>
      <c r="EQ40" s="863" t="n">
        <v>978.197</v>
      </c>
      <c r="ER40" s="863" t="n">
        <v>1286.925</v>
      </c>
      <c r="ES40" s="863" t="n">
        <v>1185.117</v>
      </c>
      <c r="ET40" s="863" t="n">
        <v>1198.822</v>
      </c>
      <c r="EU40" s="863" t="n">
        <v>1179.209</v>
      </c>
      <c r="EV40" s="863" t="n">
        <v>1255.208</v>
      </c>
      <c r="EW40" s="863" t="n">
        <v>1206.129</v>
      </c>
      <c r="EX40" s="863" t="n">
        <v>1194.861</v>
      </c>
      <c r="EY40" s="863" t="n">
        <v>1214.177</v>
      </c>
      <c r="EZ40" s="863" t="n">
        <v>1216.374</v>
      </c>
      <c r="FA40" s="863" t="n">
        <v>1249.208</v>
      </c>
      <c r="FB40" s="863" t="n">
        <v>1121.652</v>
      </c>
      <c r="FC40" s="863" t="n">
        <v>1024.42</v>
      </c>
      <c r="FD40" s="863" t="n">
        <v>1249.257</v>
      </c>
      <c r="FE40" s="863" t="n">
        <v>1104.654</v>
      </c>
      <c r="FF40" s="863" t="n">
        <v>1111.505</v>
      </c>
      <c r="FG40" s="863" t="n">
        <v>1117.588</v>
      </c>
      <c r="FH40" s="863" t="n">
        <v>1112.588</v>
      </c>
      <c r="FI40" s="863" t="n">
        <v>1133</v>
      </c>
      <c r="FJ40" s="863" t="n">
        <v>1191.272</v>
      </c>
      <c r="FK40" s="863" t="n">
        <v>1220.426</v>
      </c>
      <c r="FL40" s="863" t="n">
        <v>1278.477</v>
      </c>
      <c r="FM40" s="863" t="n">
        <v>1261.122</v>
      </c>
      <c r="FN40" s="863" t="n">
        <v>1148.285</v>
      </c>
      <c r="FO40" s="863" t="n">
        <v>939.0890000000001</v>
      </c>
      <c r="FP40" s="863" t="n">
        <v>1145.242</v>
      </c>
      <c r="FQ40" s="863" t="n">
        <v>1121.297</v>
      </c>
      <c r="FR40" s="863" t="n">
        <v>1110.046</v>
      </c>
      <c r="FS40" s="863" t="n">
        <v>1142.697</v>
      </c>
      <c r="FT40" s="863" t="n">
        <v>1185.84</v>
      </c>
      <c r="FU40" s="863" t="n">
        <v>1211.402</v>
      </c>
      <c r="FV40" s="863" t="n">
        <v>1217.551</v>
      </c>
      <c r="FW40" s="863" t="n">
        <v>1269.003</v>
      </c>
      <c r="FX40" s="863" t="n">
        <v>1387.011</v>
      </c>
      <c r="FY40" s="863" t="n">
        <v>1284.397</v>
      </c>
      <c r="FZ40" s="863" t="n">
        <v>1243.371</v>
      </c>
      <c r="GA40" s="863" t="n">
        <v>925.408</v>
      </c>
      <c r="GB40" s="863" t="n">
        <v>1360.194</v>
      </c>
      <c r="GC40" s="863" t="n">
        <v>1264.543</v>
      </c>
      <c r="GD40" s="863" t="n">
        <v>1265.644</v>
      </c>
      <c r="GE40" s="863" t="n">
        <v>1259.12</v>
      </c>
      <c r="GF40" s="863" t="n">
        <v>1335.859</v>
      </c>
      <c r="GG40" s="863" t="n">
        <v>1372.905</v>
      </c>
      <c r="GH40" s="863" t="n">
        <v>1348.665</v>
      </c>
      <c r="GI40" s="863" t="n">
        <v>1424.725</v>
      </c>
      <c r="GJ40" s="863" t="n">
        <v>1459.945</v>
      </c>
      <c r="GK40" s="863" t="n">
        <v>1369.37</v>
      </c>
      <c r="GL40" s="863" t="n">
        <v>1354.291</v>
      </c>
      <c r="GM40" s="863" t="n">
        <v>1161.986</v>
      </c>
      <c r="GN40" s="863" t="n">
        <v>1358.248</v>
      </c>
      <c r="GO40" s="863" t="n">
        <v>1357.125</v>
      </c>
      <c r="GP40" s="863" t="n">
        <v>1406.361</v>
      </c>
      <c r="GQ40" s="863" t="n">
        <v>1333.381</v>
      </c>
      <c r="GR40" s="863" t="n">
        <v>1418.497</v>
      </c>
      <c r="GS40" s="863" t="n">
        <v>1420.988</v>
      </c>
      <c r="GT40" s="863" t="n">
        <v>1389.314</v>
      </c>
      <c r="GU40" s="863" t="n">
        <v>1436.003</v>
      </c>
      <c r="GV40" s="863" t="n">
        <v>1442.174</v>
      </c>
      <c r="GW40" s="863" t="n">
        <v>1402.654</v>
      </c>
      <c r="GX40" s="863" t="n">
        <v>1386.291</v>
      </c>
      <c r="GY40" s="863" t="n">
        <v>1174.771</v>
      </c>
      <c r="GZ40" s="863" t="n">
        <v>1414.529</v>
      </c>
      <c r="HA40" s="863" t="n">
        <v>1345.685</v>
      </c>
      <c r="HB40" s="863" t="n">
        <v>1338.976</v>
      </c>
      <c r="HC40" s="863" t="n">
        <v>1360.888</v>
      </c>
      <c r="HD40" s="863" t="n">
        <v>1435.009</v>
      </c>
      <c r="HE40" s="863" t="n">
        <v>1383.497</v>
      </c>
      <c r="HF40" s="863" t="n">
        <v>1419.469</v>
      </c>
      <c r="HG40" s="863" t="n">
        <v>1444.725</v>
      </c>
      <c r="HH40" s="863" t="n">
        <v>1415.148</v>
      </c>
      <c r="HI40" s="863" t="n">
        <v>1452.9</v>
      </c>
      <c r="HJ40" s="863" t="n">
        <v>1393.594</v>
      </c>
      <c r="HK40" s="863" t="n">
        <v>1189.317</v>
      </c>
      <c r="HL40" s="863" t="n">
        <v>1461.629</v>
      </c>
      <c r="HM40" s="863" t="n">
        <v>1380.177</v>
      </c>
      <c r="HN40" s="863" t="n">
        <v>1355.074</v>
      </c>
      <c r="HO40" s="863" t="n">
        <v>1426.267</v>
      </c>
      <c r="HP40" s="863" t="n">
        <v>1500.228</v>
      </c>
      <c r="HQ40" s="863" t="n">
        <v>1487.172</v>
      </c>
      <c r="HR40" s="863" t="n">
        <v>1455.981</v>
      </c>
      <c r="HS40" s="863" t="n">
        <v>1479.42</v>
      </c>
      <c r="HT40" s="863" t="n">
        <v>1498.241</v>
      </c>
      <c r="HU40" s="863" t="n">
        <v>1535.346</v>
      </c>
      <c r="HV40" s="863" t="n">
        <v>1457.391</v>
      </c>
      <c r="HW40" s="863" t="n">
        <v>1258.078</v>
      </c>
      <c r="HX40" s="863" t="n">
        <v>1525.512</v>
      </c>
      <c r="HY40" s="863" t="n">
        <v>1438.583</v>
      </c>
      <c r="HZ40" s="863" t="n">
        <v>1407.234</v>
      </c>
      <c r="IA40" s="863" t="n">
        <v>1455.599</v>
      </c>
      <c r="IB40" s="863" t="n">
        <v>1496.162</v>
      </c>
      <c r="IC40" s="863" t="n">
        <v>1529.492</v>
      </c>
      <c r="ID40" s="863" t="n">
        <v>1466.141</v>
      </c>
      <c r="IE40" s="863" t="n">
        <v>1534.925</v>
      </c>
      <c r="IF40" s="863" t="n">
        <v>1512.205</v>
      </c>
      <c r="IG40" s="863" t="n">
        <v>1534.617</v>
      </c>
      <c r="IH40" s="863" t="n">
        <v>1468.551</v>
      </c>
      <c r="II40" s="863" t="n">
        <v>1235.247</v>
      </c>
      <c r="IJ40" s="863" t="n">
        <v>1529.8</v>
      </c>
      <c r="IK40" s="863" t="n">
        <v>1451.844</v>
      </c>
      <c r="IL40" s="863" t="n">
        <v>1471.533</v>
      </c>
      <c r="IM40" s="863" t="n">
        <v>1477.548</v>
      </c>
      <c r="IN40" s="863" t="n">
        <v>1508.183</v>
      </c>
      <c r="IO40" s="863" t="n">
        <v>1520.626</v>
      </c>
      <c r="IP40" s="863" t="n">
        <v>1467.109</v>
      </c>
      <c r="IQ40" s="863" t="n">
        <v>1496.317</v>
      </c>
      <c r="IR40" s="863" t="n">
        <v>1455.051</v>
      </c>
      <c r="IS40" s="863" t="n">
        <v>1475.946</v>
      </c>
      <c r="IT40" s="863" t="n">
        <v>1422.019</v>
      </c>
      <c r="IU40" s="863" t="n">
        <v>1048.778</v>
      </c>
      <c r="IV40" s="863" t="n">
        <v>960.6079999999999</v>
      </c>
      <c r="IW40" s="863" t="n">
        <v>811.393</v>
      </c>
      <c r="IX40" s="899" t="n">
        <v>913.775</v>
      </c>
      <c r="IY40" s="899" t="n">
        <v>799.987</v>
      </c>
      <c r="IZ40" s="899" t="n">
        <v>837.08</v>
      </c>
      <c r="JA40" s="899" t="n">
        <v>859.88</v>
      </c>
      <c r="JB40" s="899" t="n">
        <v>887.471</v>
      </c>
      <c r="JC40" s="899" t="n">
        <v>906.202</v>
      </c>
      <c r="JD40" s="899" t="n">
        <v>1057.366</v>
      </c>
      <c r="JE40" s="899" t="n">
        <v>1046.822</v>
      </c>
      <c r="JF40" s="899" t="n">
        <v>842.806</v>
      </c>
      <c r="JG40" s="899" t="n">
        <v>647.442</v>
      </c>
      <c r="JH40" s="899" t="n">
        <v>582.431</v>
      </c>
      <c r="JI40" s="899" t="n">
        <v>474.008</v>
      </c>
      <c r="JJ40" s="899" t="n">
        <v>689.47</v>
      </c>
      <c r="JK40" s="899" t="n">
        <v>821.73</v>
      </c>
      <c r="JL40" s="899" t="n">
        <v>921.492</v>
      </c>
      <c r="JM40" s="899" t="n">
        <v>1007.351</v>
      </c>
      <c r="JN40" s="899" t="n">
        <v>1033.34</v>
      </c>
      <c r="JO40" s="899" t="n">
        <v>1043.581</v>
      </c>
      <c r="JP40" s="899" t="n">
        <v>1039.477</v>
      </c>
      <c r="JQ40" s="899" t="n">
        <v>990.8630000000001</v>
      </c>
      <c r="JR40" s="899" t="n">
        <v>310.964</v>
      </c>
      <c r="JS40" s="899" t="n">
        <v>298.799</v>
      </c>
      <c r="JT40" s="899" t="n">
        <v>442.161</v>
      </c>
      <c r="JU40" s="899" t="n">
        <v>425.603</v>
      </c>
      <c r="JV40" s="899" t="n">
        <v>498.218</v>
      </c>
      <c r="JW40" s="899" t="n">
        <v>825.47</v>
      </c>
      <c r="JX40" s="899" t="n">
        <v>770.2430000000001</v>
      </c>
      <c r="JY40" s="899" t="n">
        <v>895.827</v>
      </c>
      <c r="JZ40" s="899" t="n">
        <v>888.8579999999999</v>
      </c>
      <c r="KA40" s="899" t="n">
        <v>940.044</v>
      </c>
      <c r="KB40" s="899" t="n">
        <v>925.4160000000001</v>
      </c>
      <c r="KC40" s="899" t="n">
        <v>959.454</v>
      </c>
      <c r="KD40" s="899" t="n">
        <v>922.817</v>
      </c>
      <c r="KE40" s="899" t="n">
        <v>914.691</v>
      </c>
      <c r="KF40" s="899" t="n">
        <v>1090.725</v>
      </c>
      <c r="KG40" s="899" t="n">
        <v>1037.376</v>
      </c>
      <c r="KH40" s="899" t="n">
        <v>1063.947</v>
      </c>
      <c r="KI40" s="899" t="n">
        <v>1064.963</v>
      </c>
      <c r="KJ40" s="899" t="n">
        <v>1138.895</v>
      </c>
      <c r="KK40" s="899" t="n">
        <v>1155.502</v>
      </c>
      <c r="KL40" s="899" t="n">
        <v>1128.196</v>
      </c>
      <c r="KM40" s="899" t="n">
        <v>1182.046</v>
      </c>
      <c r="KN40" s="899" t="n">
        <v>1157.726</v>
      </c>
      <c r="KO40" s="899" t="n">
        <v>1211.755</v>
      </c>
      <c r="KP40" s="899" t="n">
        <v>1091.387</v>
      </c>
      <c r="KQ40" s="899" t="n">
        <v>1069.447</v>
      </c>
      <c r="KR40" s="899" t="n">
        <v>1212.691</v>
      </c>
      <c r="KS40" s="899" t="n">
        <v>1105.37</v>
      </c>
      <c r="KT40" s="899" t="n">
        <v>1144.179</v>
      </c>
      <c r="KU40" s="899" t="n">
        <v>1164.55</v>
      </c>
      <c r="KV40" s="899" t="n">
        <v>1162.617</v>
      </c>
      <c r="KW40" s="899" t="n">
        <v>1179.81</v>
      </c>
      <c r="KX40" s="899" t="n">
        <v>1232.714</v>
      </c>
      <c r="KY40" s="899" t="n">
        <v>1281.055</v>
      </c>
      <c r="KZ40" s="899" t="n">
        <v>1271.215</v>
      </c>
      <c r="LA40" s="899" t="n">
        <v>1278.339</v>
      </c>
      <c r="LB40" s="899">
        <f>LB199/1000</f>
        <v/>
      </c>
      <c r="LC40" s="899">
        <f>LC199/1000</f>
        <v/>
      </c>
      <c r="LD40" s="899">
        <f>LD199/1000</f>
        <v/>
      </c>
      <c r="LE40" s="899">
        <f>LE199/1000</f>
        <v/>
      </c>
      <c r="LF40" s="899">
        <f>LF199/1000</f>
        <v/>
      </c>
      <c r="LG40" s="899">
        <f>LG199/1000</f>
        <v/>
      </c>
      <c r="LH40" s="899">
        <f>LH199/1000</f>
        <v/>
      </c>
      <c r="LI40" s="899">
        <f>LI199/1000</f>
        <v/>
      </c>
      <c r="LJ40" s="899">
        <f>LJ199/1000</f>
        <v/>
      </c>
      <c r="LK40" s="899">
        <f>LK199/1000</f>
        <v/>
      </c>
      <c r="LL40" s="899">
        <f>LL199/1000</f>
        <v/>
      </c>
      <c r="LM40" s="899">
        <f>LM199/1000</f>
        <v/>
      </c>
      <c r="LN40" s="899">
        <f>LN199/1000</f>
        <v/>
      </c>
      <c r="LO40" s="899">
        <f>LO199/1000</f>
        <v/>
      </c>
      <c r="LP40" s="899">
        <f>LP199/1000</f>
        <v/>
      </c>
      <c r="LQ40" s="899">
        <f>LQ199/1000</f>
        <v/>
      </c>
      <c r="LR40" s="899">
        <f>LR199/1000</f>
        <v/>
      </c>
      <c r="LS40" s="899">
        <f>LS199/1000</f>
        <v/>
      </c>
    </row>
    <row r="41">
      <c r="A41" s="885" t="inlineStr">
        <is>
          <t>m cg %</t>
        </is>
      </c>
      <c r="B41" s="1318" t="n"/>
      <c r="C41" s="1318">
        <f>C40/B40-1</f>
        <v/>
      </c>
      <c r="D41" s="1318">
        <f>D40/C40-1</f>
        <v/>
      </c>
      <c r="E41" s="1318">
        <f>E40/D40-1</f>
        <v/>
      </c>
      <c r="F41" s="1318">
        <f>F40/E40-1</f>
        <v/>
      </c>
      <c r="G41" s="1318">
        <f>G40/F40-1</f>
        <v/>
      </c>
      <c r="H41" s="1318">
        <f>H40/G40-1</f>
        <v/>
      </c>
      <c r="I41" s="1318">
        <f>I40/H40-1</f>
        <v/>
      </c>
      <c r="J41" s="1318">
        <f>J40/I40-1</f>
        <v/>
      </c>
      <c r="K41" s="1318">
        <f>K40/J40-1</f>
        <v/>
      </c>
      <c r="L41" s="1318">
        <f>L40/K40-1</f>
        <v/>
      </c>
      <c r="M41" s="1318">
        <f>M40/L40-1</f>
        <v/>
      </c>
      <c r="N41" s="1318">
        <f>N40/M40-1</f>
        <v/>
      </c>
      <c r="O41" s="1318">
        <f>O40/N40-1</f>
        <v/>
      </c>
      <c r="P41" s="1318">
        <f>P40/O40-1</f>
        <v/>
      </c>
      <c r="Q41" s="1318">
        <f>Q40/P40-1</f>
        <v/>
      </c>
      <c r="R41" s="1318">
        <f>R40/Q40-1</f>
        <v/>
      </c>
      <c r="S41" s="1318">
        <f>S40/R40-1</f>
        <v/>
      </c>
      <c r="T41" s="1318">
        <f>T40/S40-1</f>
        <v/>
      </c>
      <c r="U41" s="1318">
        <f>U40/T40-1</f>
        <v/>
      </c>
      <c r="V41" s="1318">
        <f>V40/U40-1</f>
        <v/>
      </c>
      <c r="W41" s="1318">
        <f>W40/V40-1</f>
        <v/>
      </c>
      <c r="X41" s="1318">
        <f>X40/W40-1</f>
        <v/>
      </c>
      <c r="Y41" s="1318">
        <f>Y40/X40-1</f>
        <v/>
      </c>
      <c r="Z41" s="1318">
        <f>Z40/Y40-1</f>
        <v/>
      </c>
      <c r="AA41" s="1318">
        <f>AA40/Z40-1</f>
        <v/>
      </c>
      <c r="AB41" s="1318">
        <f>AB40/AA40-1</f>
        <v/>
      </c>
      <c r="AC41" s="1318">
        <f>AC40/AB40-1</f>
        <v/>
      </c>
      <c r="AD41" s="1318">
        <f>AD40/AC40-1</f>
        <v/>
      </c>
      <c r="AE41" s="1318">
        <f>AE40/AD40-1</f>
        <v/>
      </c>
      <c r="AF41" s="1318">
        <f>AF40/AE40-1</f>
        <v/>
      </c>
      <c r="AG41" s="1318">
        <f>AG40/AF40-1</f>
        <v/>
      </c>
      <c r="AH41" s="1318">
        <f>AH40/AG40-1</f>
        <v/>
      </c>
      <c r="AI41" s="1318">
        <f>AI40/AH40-1</f>
        <v/>
      </c>
      <c r="AJ41" s="1318">
        <f>AJ40/AI40-1</f>
        <v/>
      </c>
      <c r="AK41" s="1318">
        <f>AK40/AJ40-1</f>
        <v/>
      </c>
      <c r="AL41" s="1318">
        <f>AL40/AK40-1</f>
        <v/>
      </c>
      <c r="AM41" s="1318">
        <f>AM40/AL40-1</f>
        <v/>
      </c>
      <c r="AN41" s="1318">
        <f>AN40/AM40-1</f>
        <v/>
      </c>
      <c r="AO41" s="1318">
        <f>AO40/AN40-1</f>
        <v/>
      </c>
      <c r="AP41" s="1318">
        <f>AP40/AO40-1</f>
        <v/>
      </c>
      <c r="AQ41" s="1318">
        <f>AQ40/AP40-1</f>
        <v/>
      </c>
      <c r="AR41" s="1318">
        <f>AR40/AQ40-1</f>
        <v/>
      </c>
      <c r="AS41" s="1318">
        <f>AS40/AR40-1</f>
        <v/>
      </c>
      <c r="AT41" s="1318">
        <f>AT40/AS40-1</f>
        <v/>
      </c>
      <c r="AU41" s="1318">
        <f>AU40/AT40-1</f>
        <v/>
      </c>
      <c r="AV41" s="1318">
        <f>AV40/AU40-1</f>
        <v/>
      </c>
      <c r="AW41" s="1318">
        <f>AW40/AV40-1</f>
        <v/>
      </c>
      <c r="AX41" s="1318">
        <f>AX40/AW40-1</f>
        <v/>
      </c>
      <c r="AY41" s="1318">
        <f>AY40/AX40-1</f>
        <v/>
      </c>
      <c r="AZ41" s="1318">
        <f>AZ40/AY40-1</f>
        <v/>
      </c>
      <c r="BA41" s="1318">
        <f>BA40/AZ40-1</f>
        <v/>
      </c>
      <c r="BB41" s="1318">
        <f>BB40/BA40-1</f>
        <v/>
      </c>
      <c r="BC41" s="1318">
        <f>BC40/BB40-1</f>
        <v/>
      </c>
      <c r="BD41" s="1318">
        <f>BD40/BC40-1</f>
        <v/>
      </c>
      <c r="BE41" s="1318">
        <f>BE40/BD40-1</f>
        <v/>
      </c>
      <c r="BF41" s="1318">
        <f>BF40/BE40-1</f>
        <v/>
      </c>
      <c r="BG41" s="1318">
        <f>BG40/BF40-1</f>
        <v/>
      </c>
      <c r="BH41" s="1318">
        <f>BH40/BG40-1</f>
        <v/>
      </c>
      <c r="BI41" s="1318">
        <f>BI40/BH40-1</f>
        <v/>
      </c>
      <c r="BJ41" s="1318">
        <f>BJ40/BI40-1</f>
        <v/>
      </c>
      <c r="BK41" s="1318">
        <f>BK40/BJ40-1</f>
        <v/>
      </c>
      <c r="BL41" s="1318">
        <f>BL40/BK40-1</f>
        <v/>
      </c>
      <c r="BM41" s="1318">
        <f>BM40/BL40-1</f>
        <v/>
      </c>
      <c r="BN41" s="1318">
        <f>BN40/BM40-1</f>
        <v/>
      </c>
      <c r="BO41" s="1318">
        <f>BO40/BN40-1</f>
        <v/>
      </c>
      <c r="BP41" s="1318">
        <f>BP40/BO40-1</f>
        <v/>
      </c>
      <c r="BQ41" s="1318">
        <f>BQ40/BP40-1</f>
        <v/>
      </c>
      <c r="BR41" s="1318">
        <f>BR40/BQ40-1</f>
        <v/>
      </c>
      <c r="BS41" s="1318">
        <f>BS40/BR40-1</f>
        <v/>
      </c>
      <c r="BT41" s="1318">
        <f>BT40/BS40-1</f>
        <v/>
      </c>
      <c r="BU41" s="1318">
        <f>BU40/BT40-1</f>
        <v/>
      </c>
      <c r="BV41" s="1318">
        <f>BV40/BU40-1</f>
        <v/>
      </c>
      <c r="BW41" s="1318">
        <f>BW40/BV40-1</f>
        <v/>
      </c>
      <c r="BX41" s="1318">
        <f>BX40/BW40-1</f>
        <v/>
      </c>
      <c r="BY41" s="1318">
        <f>BY40/BX40-1</f>
        <v/>
      </c>
      <c r="BZ41" s="1318">
        <f>BZ40/BY40-1</f>
        <v/>
      </c>
      <c r="CA41" s="1318">
        <f>CA40/BZ40-1</f>
        <v/>
      </c>
      <c r="CB41" s="1318">
        <f>CB40/CA40-1</f>
        <v/>
      </c>
      <c r="CC41" s="1318">
        <f>CC40/CB40-1</f>
        <v/>
      </c>
      <c r="CD41" s="1318">
        <f>CD40/CC40-1</f>
        <v/>
      </c>
      <c r="CE41" s="1318">
        <f>CE40/CD40-1</f>
        <v/>
      </c>
      <c r="CF41" s="1318">
        <f>CF40/CE40-1</f>
        <v/>
      </c>
      <c r="CG41" s="1318">
        <f>CG40/CF40-1</f>
        <v/>
      </c>
      <c r="CH41" s="1318">
        <f>CH40/CG40-1</f>
        <v/>
      </c>
      <c r="CI41" s="1318">
        <f>CI40/CH40-1</f>
        <v/>
      </c>
      <c r="CJ41" s="1318">
        <f>CJ40/CI40-1</f>
        <v/>
      </c>
      <c r="CK41" s="1318">
        <f>CK40/CJ40-1</f>
        <v/>
      </c>
      <c r="CL41" s="1318">
        <f>CL40/CK40-1</f>
        <v/>
      </c>
      <c r="CM41" s="1318">
        <f>CM40/CL40-1</f>
        <v/>
      </c>
      <c r="CN41" s="1318">
        <f>CN40/CM40-1</f>
        <v/>
      </c>
      <c r="CO41" s="1318">
        <f>CO40/CN40-1</f>
        <v/>
      </c>
      <c r="CP41" s="1318">
        <f>CP40/CO40-1</f>
        <v/>
      </c>
      <c r="CQ41" s="1318">
        <f>CQ40/CP40-1</f>
        <v/>
      </c>
      <c r="CR41" s="1318">
        <f>CR40/CQ40-1</f>
        <v/>
      </c>
      <c r="CS41" s="1318">
        <f>CS40/CR40-1</f>
        <v/>
      </c>
      <c r="CT41" s="1318">
        <f>CT40/CS40-1</f>
        <v/>
      </c>
      <c r="CU41" s="1318">
        <f>CU40/CT40-1</f>
        <v/>
      </c>
      <c r="CV41" s="1318">
        <f>CV40/CU40-1</f>
        <v/>
      </c>
      <c r="CW41" s="1318">
        <f>CW40/CV40-1</f>
        <v/>
      </c>
      <c r="CX41" s="1318">
        <f>CX40/CW40-1</f>
        <v/>
      </c>
      <c r="CY41" s="1318">
        <f>CY40/CX40-1</f>
        <v/>
      </c>
      <c r="CZ41" s="1318">
        <f>CZ40/CY40-1</f>
        <v/>
      </c>
      <c r="DA41" s="1318">
        <f>DA40/CZ40-1</f>
        <v/>
      </c>
      <c r="DB41" s="1318">
        <f>DB40/DA40-1</f>
        <v/>
      </c>
      <c r="DC41" s="1318">
        <f>DC40/DB40-1</f>
        <v/>
      </c>
      <c r="DD41" s="1318">
        <f>DD40/DC40-1</f>
        <v/>
      </c>
      <c r="DE41" s="1318">
        <f>DE40/DD40-1</f>
        <v/>
      </c>
      <c r="DF41" s="1318">
        <f>DF40/DE40-1</f>
        <v/>
      </c>
      <c r="DG41" s="1318">
        <f>DG40/DF40-1</f>
        <v/>
      </c>
      <c r="DH41" s="1318">
        <f>DH40/DG40-1</f>
        <v/>
      </c>
      <c r="DI41" s="1318">
        <f>DI40/DH40-1</f>
        <v/>
      </c>
      <c r="DJ41" s="1318">
        <f>DJ40/DI40-1</f>
        <v/>
      </c>
      <c r="DK41" s="1318">
        <f>DK40/DJ40-1</f>
        <v/>
      </c>
      <c r="DL41" s="1318">
        <f>DL40/DK40-1</f>
        <v/>
      </c>
      <c r="DM41" s="1318">
        <f>DM40/DL40-1</f>
        <v/>
      </c>
      <c r="DN41" s="1318">
        <f>DN40/DM40-1</f>
        <v/>
      </c>
      <c r="DO41" s="1318">
        <f>DO40/DN40-1</f>
        <v/>
      </c>
      <c r="DP41" s="1318">
        <f>DP40/DO40-1</f>
        <v/>
      </c>
      <c r="DQ41" s="1318">
        <f>DQ40/DP40-1</f>
        <v/>
      </c>
      <c r="DR41" s="1318">
        <f>DR40/DQ40-1</f>
        <v/>
      </c>
      <c r="DS41" s="1318">
        <f>DS40/DR40-1</f>
        <v/>
      </c>
      <c r="DT41" s="1318">
        <f>DT40/DS40-1</f>
        <v/>
      </c>
      <c r="DU41" s="1318">
        <f>DU40/DT40-1</f>
        <v/>
      </c>
      <c r="DV41" s="1318">
        <f>DV40/DU40-1</f>
        <v/>
      </c>
      <c r="DW41" s="1318">
        <f>DW40/DV40-1</f>
        <v/>
      </c>
      <c r="DX41" s="1318">
        <f>DX40/DW40-1</f>
        <v/>
      </c>
      <c r="DY41" s="1318">
        <f>DY40/DX40-1</f>
        <v/>
      </c>
      <c r="DZ41" s="1318">
        <f>DZ40/DY40-1</f>
        <v/>
      </c>
      <c r="EA41" s="1318">
        <f>EA40/DZ40-1</f>
        <v/>
      </c>
      <c r="EB41" s="1318">
        <f>EB40/EA40-1</f>
        <v/>
      </c>
      <c r="EC41" s="1318">
        <f>EC40/EB40-1</f>
        <v/>
      </c>
      <c r="ED41" s="1318">
        <f>ED40/EC40-1</f>
        <v/>
      </c>
      <c r="EE41" s="1318">
        <f>EE40/ED40-1</f>
        <v/>
      </c>
      <c r="EF41" s="1318">
        <f>EF40/EE40-1</f>
        <v/>
      </c>
      <c r="EG41" s="1318">
        <f>EG40/EF40-1</f>
        <v/>
      </c>
      <c r="EH41" s="1318">
        <f>EH40/EG40-1</f>
        <v/>
      </c>
      <c r="EI41" s="1318">
        <f>EI40/EH40-1</f>
        <v/>
      </c>
      <c r="EJ41" s="1318">
        <f>EJ40/EI40-1</f>
        <v/>
      </c>
      <c r="EK41" s="1318">
        <f>EK40/EJ40-1</f>
        <v/>
      </c>
      <c r="EL41" s="1318">
        <f>EL40/EK40-1</f>
        <v/>
      </c>
      <c r="EM41" s="1318">
        <f>EM40/EL40-1</f>
        <v/>
      </c>
      <c r="EN41" s="1318">
        <f>EN40/EM40-1</f>
        <v/>
      </c>
      <c r="EO41" s="1318">
        <f>EO40/EN40-1</f>
        <v/>
      </c>
      <c r="EP41" s="1318">
        <f>EP40/EO40-1</f>
        <v/>
      </c>
      <c r="EQ41" s="1318">
        <f>EQ40/EP40-1</f>
        <v/>
      </c>
      <c r="ER41" s="1318">
        <f>ER40/EQ40-1</f>
        <v/>
      </c>
      <c r="ES41" s="1318">
        <f>ES40/ER40-1</f>
        <v/>
      </c>
      <c r="ET41" s="1318">
        <f>ET40/ES40-1</f>
        <v/>
      </c>
      <c r="EU41" s="1318">
        <f>EU40/ET40-1</f>
        <v/>
      </c>
      <c r="EV41" s="1318">
        <f>EV40/EU40-1</f>
        <v/>
      </c>
      <c r="EW41" s="1318">
        <f>EW40/EV40-1</f>
        <v/>
      </c>
      <c r="EX41" s="1318">
        <f>EX40/EW40-1</f>
        <v/>
      </c>
      <c r="EY41" s="1318">
        <f>EY40/EX40-1</f>
        <v/>
      </c>
      <c r="EZ41" s="1318">
        <f>EZ40/EY40-1</f>
        <v/>
      </c>
      <c r="FA41" s="1318">
        <f>FA40/EZ40-1</f>
        <v/>
      </c>
      <c r="FB41" s="1318">
        <f>FB40/FA40-1</f>
        <v/>
      </c>
      <c r="FC41" s="1318">
        <f>FC40/FB40-1</f>
        <v/>
      </c>
      <c r="FD41" s="1318">
        <f>FD40/FC40-1</f>
        <v/>
      </c>
      <c r="FE41" s="1318">
        <f>FE40/FD40-1</f>
        <v/>
      </c>
      <c r="FF41" s="1318">
        <f>FF40/FE40-1</f>
        <v/>
      </c>
      <c r="FG41" s="1318">
        <f>FG40/FF40-1</f>
        <v/>
      </c>
      <c r="FH41" s="1318">
        <f>FH40/FG40-1</f>
        <v/>
      </c>
      <c r="FI41" s="1318">
        <f>FI40/FH40-1</f>
        <v/>
      </c>
      <c r="FJ41" s="1318">
        <f>FJ40/FI40-1</f>
        <v/>
      </c>
      <c r="FK41" s="1318">
        <f>FK40/FJ40-1</f>
        <v/>
      </c>
      <c r="FL41" s="1318">
        <f>FL40/FK40-1</f>
        <v/>
      </c>
      <c r="FM41" s="1318">
        <f>FM40/FL40-1</f>
        <v/>
      </c>
      <c r="FN41" s="1318">
        <f>FN40/FM40-1</f>
        <v/>
      </c>
      <c r="FO41" s="1318">
        <f>FO40/FN40-1</f>
        <v/>
      </c>
      <c r="FP41" s="1318">
        <f>FP40/FO40-1</f>
        <v/>
      </c>
      <c r="FQ41" s="1318">
        <f>FQ40/FP40-1</f>
        <v/>
      </c>
      <c r="FR41" s="1318">
        <f>FR40/FQ40-1</f>
        <v/>
      </c>
      <c r="FS41" s="1318">
        <f>FS40/FR40-1</f>
        <v/>
      </c>
      <c r="FT41" s="1318">
        <f>FT40/FS40-1</f>
        <v/>
      </c>
      <c r="FU41" s="1318">
        <f>FU40/FT40-1</f>
        <v/>
      </c>
      <c r="FV41" s="1318">
        <f>FV40/FU40-1</f>
        <v/>
      </c>
      <c r="FW41" s="1318">
        <f>FW40/FV40-1</f>
        <v/>
      </c>
      <c r="FX41" s="1318">
        <f>FX40/FW40-1</f>
        <v/>
      </c>
      <c r="FY41" s="1318">
        <f>FY40/FX40-1</f>
        <v/>
      </c>
      <c r="FZ41" s="1318">
        <f>FZ40/FY40-1</f>
        <v/>
      </c>
      <c r="GA41" s="1318">
        <f>GA40/FZ40-1</f>
        <v/>
      </c>
      <c r="GB41" s="1318">
        <f>GB40/GA40-1</f>
        <v/>
      </c>
      <c r="GC41" s="1318">
        <f>GC40/GB40-1</f>
        <v/>
      </c>
      <c r="GD41" s="1318">
        <f>GD40/GC40-1</f>
        <v/>
      </c>
      <c r="GE41" s="1318">
        <f>GE40/GD40-1</f>
        <v/>
      </c>
      <c r="GF41" s="1318">
        <f>GF40/GE40-1</f>
        <v/>
      </c>
      <c r="GG41" s="1318">
        <f>GG40/GF40-1</f>
        <v/>
      </c>
      <c r="GH41" s="1318">
        <f>GH40/GG40-1</f>
        <v/>
      </c>
      <c r="GI41" s="1318">
        <f>GI40/GH40-1</f>
        <v/>
      </c>
      <c r="GJ41" s="1318">
        <f>GJ40/GI40-1</f>
        <v/>
      </c>
      <c r="GK41" s="1318">
        <f>GK40/GJ40-1</f>
        <v/>
      </c>
      <c r="GL41" s="1318">
        <f>GL40/GK40-1</f>
        <v/>
      </c>
      <c r="GM41" s="1318">
        <f>GM40/GL40-1</f>
        <v/>
      </c>
      <c r="GN41" s="1318">
        <f>GN40/GM40-1</f>
        <v/>
      </c>
      <c r="GO41" s="1318">
        <f>GO40/GN40-1</f>
        <v/>
      </c>
      <c r="GP41" s="1318">
        <f>GP40/GO40-1</f>
        <v/>
      </c>
      <c r="GQ41" s="1318">
        <f>GQ40/GP40-1</f>
        <v/>
      </c>
      <c r="GR41" s="1318">
        <f>GR40/GQ40-1</f>
        <v/>
      </c>
      <c r="GS41" s="1318">
        <f>GS40/GR40-1</f>
        <v/>
      </c>
      <c r="GT41" s="1318">
        <f>GT40/GS40-1</f>
        <v/>
      </c>
      <c r="GU41" s="1318">
        <f>GU40/GT40-1</f>
        <v/>
      </c>
      <c r="GV41" s="1318">
        <f>GV40/GU40-1</f>
        <v/>
      </c>
      <c r="GW41" s="1318">
        <f>GW40/GV40-1</f>
        <v/>
      </c>
      <c r="GX41" s="1318">
        <f>GX40/GW40-1</f>
        <v/>
      </c>
      <c r="GY41" s="1318">
        <f>GY40/GX40-1</f>
        <v/>
      </c>
      <c r="GZ41" s="1318">
        <f>GZ40/GY40-1</f>
        <v/>
      </c>
      <c r="HA41" s="1318">
        <f>HA40/GZ40-1</f>
        <v/>
      </c>
      <c r="HB41" s="1318">
        <f>HB40/HA40-1</f>
        <v/>
      </c>
      <c r="HC41" s="1318">
        <f>HC40/HB40-1</f>
        <v/>
      </c>
      <c r="HD41" s="1318">
        <f>HD40/HC40-1</f>
        <v/>
      </c>
      <c r="HE41" s="1318">
        <f>HE40/HD40-1</f>
        <v/>
      </c>
      <c r="HF41" s="1318">
        <f>HF40/HE40-1</f>
        <v/>
      </c>
      <c r="HG41" s="1318">
        <f>HG40/HF40-1</f>
        <v/>
      </c>
      <c r="HH41" s="1318">
        <f>HH40/HG40-1</f>
        <v/>
      </c>
      <c r="HI41" s="1318">
        <f>HI40/HH40-1</f>
        <v/>
      </c>
      <c r="HJ41" s="1318">
        <f>HJ40/HI40-1</f>
        <v/>
      </c>
      <c r="HK41" s="1318">
        <f>HK40/HJ40-1</f>
        <v/>
      </c>
      <c r="HL41" s="1318">
        <f>HL40/HK40-1</f>
        <v/>
      </c>
      <c r="HM41" s="1318">
        <f>HM40/HL40-1</f>
        <v/>
      </c>
      <c r="HN41" s="1318">
        <f>HN40/HM40-1</f>
        <v/>
      </c>
      <c r="HO41" s="1318">
        <f>HO40/HN40-1</f>
        <v/>
      </c>
      <c r="HP41" s="1318">
        <f>HP40/HO40-1</f>
        <v/>
      </c>
      <c r="HQ41" s="1318">
        <f>HQ40/HP40-1</f>
        <v/>
      </c>
      <c r="HR41" s="1318">
        <f>HR40/HQ40-1</f>
        <v/>
      </c>
      <c r="HS41" s="1318">
        <f>HS40/HR40-1</f>
        <v/>
      </c>
      <c r="HT41" s="1318">
        <f>HT40/HS40-1</f>
        <v/>
      </c>
      <c r="HU41" s="1318">
        <f>HU40/HT40-1</f>
        <v/>
      </c>
      <c r="HV41" s="1318">
        <f>HV40/HU40-1</f>
        <v/>
      </c>
      <c r="HW41" s="1318">
        <f>HW40/HV40-1</f>
        <v/>
      </c>
      <c r="HX41" s="1318">
        <f>HX40/HW40-1</f>
        <v/>
      </c>
      <c r="HY41" s="1318">
        <f>HY40/HX40-1</f>
        <v/>
      </c>
      <c r="HZ41" s="1318">
        <f>HZ40/HY40-1</f>
        <v/>
      </c>
      <c r="IA41" s="1318">
        <f>IA40/HZ40-1</f>
        <v/>
      </c>
      <c r="IB41" s="1318">
        <f>IB40/IA40-1</f>
        <v/>
      </c>
      <c r="IC41" s="1318">
        <f>IC40/IB40-1</f>
        <v/>
      </c>
      <c r="ID41" s="1318">
        <f>ID40/IC40-1</f>
        <v/>
      </c>
      <c r="IE41" s="1318">
        <f>IE40/ID40-1</f>
        <v/>
      </c>
      <c r="IF41" s="1318">
        <f>IF40/IE40-1</f>
        <v/>
      </c>
      <c r="IG41" s="1318">
        <f>IG40/IF40-1</f>
        <v/>
      </c>
      <c r="IH41" s="1318">
        <f>IH40/IG40-1</f>
        <v/>
      </c>
      <c r="II41" s="1318">
        <f>II40/IH40-1</f>
        <v/>
      </c>
      <c r="IJ41" s="1318">
        <f>IJ40/II40-1</f>
        <v/>
      </c>
      <c r="IK41" s="1318">
        <f>IK40/IJ40-1</f>
        <v/>
      </c>
      <c r="IL41" s="1318">
        <f>IL40/IK40-1</f>
        <v/>
      </c>
      <c r="IM41" s="1318">
        <f>IM40/IL40-1</f>
        <v/>
      </c>
      <c r="IN41" s="1318">
        <f>IN40/IM40-1</f>
        <v/>
      </c>
      <c r="IO41" s="1318">
        <f>IO40/IN40-1</f>
        <v/>
      </c>
      <c r="IP41" s="1318">
        <f>IP40/IO40-1</f>
        <v/>
      </c>
      <c r="IQ41" s="1318">
        <f>IQ40/IP40-1</f>
        <v/>
      </c>
      <c r="IR41" s="1318">
        <f>IR40/IQ40-1</f>
        <v/>
      </c>
      <c r="IS41" s="1318">
        <f>IS40/IR40-1</f>
        <v/>
      </c>
      <c r="IT41" s="1318">
        <f>IT40/IS40-1</f>
        <v/>
      </c>
      <c r="IU41" s="1318">
        <f>IU40/IT40-1</f>
        <v/>
      </c>
      <c r="IV41" s="1318">
        <f>IV40/IU40-1</f>
        <v/>
      </c>
      <c r="IW41" s="1318">
        <f>IW40/IV40-1</f>
        <v/>
      </c>
      <c r="IX41" s="1318">
        <f>IX40/IW40-1</f>
        <v/>
      </c>
      <c r="IY41" s="1318">
        <f>IY40/IX40-1</f>
        <v/>
      </c>
      <c r="IZ41" s="1318">
        <f>IZ40/IY40-1</f>
        <v/>
      </c>
      <c r="JA41" s="1318">
        <f>JA40/IZ40-1</f>
        <v/>
      </c>
      <c r="JB41" s="1318">
        <f>JB40/JA40-1</f>
        <v/>
      </c>
      <c r="JC41" s="1318">
        <f>JC40/JB40-1</f>
        <v/>
      </c>
      <c r="JD41" s="1318">
        <f>JD40/JC40-1</f>
        <v/>
      </c>
      <c r="JE41" s="1318">
        <f>JE40/JD40-1</f>
        <v/>
      </c>
      <c r="JF41" s="1318">
        <f>JF40/JE40-1</f>
        <v/>
      </c>
      <c r="JG41" s="1318">
        <f>JG40/JF40-1</f>
        <v/>
      </c>
      <c r="JH41" s="1318">
        <f>JH40/JG40-1</f>
        <v/>
      </c>
      <c r="JI41" s="1318">
        <f>JI40/JH40-1</f>
        <v/>
      </c>
      <c r="JJ41" s="1318">
        <f>JJ40/JI40-1</f>
        <v/>
      </c>
      <c r="JK41" s="1318">
        <f>JK40/JJ40-1</f>
        <v/>
      </c>
      <c r="JL41" s="1318">
        <f>JL40/JK40-1</f>
        <v/>
      </c>
      <c r="JM41" s="1318">
        <f>JM40/JL40-1</f>
        <v/>
      </c>
      <c r="JN41" s="1318">
        <f>JN40/JM40-1</f>
        <v/>
      </c>
      <c r="JO41" s="1318">
        <f>JO40/JN40-1</f>
        <v/>
      </c>
      <c r="JP41" s="1318">
        <f>JP40/JO40-1</f>
        <v/>
      </c>
      <c r="JQ41" s="1318">
        <f>JQ40/JP40-1</f>
        <v/>
      </c>
      <c r="JR41" s="1318">
        <f>JR40/JQ40-1</f>
        <v/>
      </c>
      <c r="JS41" s="1318">
        <f>JS40/JR40-1</f>
        <v/>
      </c>
      <c r="JT41" s="1318">
        <f>JT40/JS40-1</f>
        <v/>
      </c>
      <c r="JU41" s="1318">
        <f>JU40/JT40-1</f>
        <v/>
      </c>
      <c r="JV41" s="1318">
        <f>JV40/JU40-1</f>
        <v/>
      </c>
      <c r="JW41" s="1318">
        <f>JW40/JV40-1</f>
        <v/>
      </c>
      <c r="JX41" s="1318">
        <f>JX40/JW40-1</f>
        <v/>
      </c>
      <c r="JY41" s="1318">
        <f>JY40/JX40-1</f>
        <v/>
      </c>
      <c r="JZ41" s="1318">
        <f>JZ40/JY40-1</f>
        <v/>
      </c>
      <c r="KA41" s="1318">
        <f>KA40/JZ40-1</f>
        <v/>
      </c>
      <c r="KB41" s="1318">
        <f>KB40/KA40-1</f>
        <v/>
      </c>
      <c r="KC41" s="1318">
        <f>KC40/KB40-1</f>
        <v/>
      </c>
      <c r="KD41" s="1318">
        <f>KD40/KC40-1</f>
        <v/>
      </c>
      <c r="KE41" s="1318">
        <f>KE40/KD40-1</f>
        <v/>
      </c>
      <c r="KF41" s="1318">
        <f>KF40/KE40-1</f>
        <v/>
      </c>
      <c r="KG41" s="1318">
        <f>KG40/KF40-1</f>
        <v/>
      </c>
      <c r="KH41" s="1318">
        <f>KH40/KG40-1</f>
        <v/>
      </c>
      <c r="KI41" s="1318">
        <f>KI40/KH40-1</f>
        <v/>
      </c>
      <c r="KJ41" s="1318">
        <f>KJ40/KI40-1</f>
        <v/>
      </c>
      <c r="KK41" s="1318">
        <f>KK40/KJ40-1</f>
        <v/>
      </c>
      <c r="KL41" s="1318">
        <f>KL40/KK40-1</f>
        <v/>
      </c>
      <c r="KM41" s="1318">
        <f>KM40/KL40-1</f>
        <v/>
      </c>
      <c r="KN41" s="1318">
        <f>KN40/KM40-1</f>
        <v/>
      </c>
      <c r="KO41" s="1318">
        <f>KO40/KN40-1</f>
        <v/>
      </c>
      <c r="KP41" s="1318">
        <f>KP40/KO40-1</f>
        <v/>
      </c>
      <c r="KQ41" s="1318">
        <f>KQ40/KP40-1</f>
        <v/>
      </c>
      <c r="KR41" s="1318">
        <f>KR40/KQ40-1</f>
        <v/>
      </c>
      <c r="KS41" s="1318">
        <f>KS40/KR40-1</f>
        <v/>
      </c>
      <c r="KT41" s="1318">
        <f>KT40/KS40-1</f>
        <v/>
      </c>
      <c r="KU41" s="1318">
        <f>KU40/KT40-1</f>
        <v/>
      </c>
      <c r="KV41" s="1318">
        <f>KV40/KU40-1</f>
        <v/>
      </c>
      <c r="KW41" s="1318">
        <f>KW40/KV40-1</f>
        <v/>
      </c>
      <c r="KX41" s="1318">
        <f>KX40/KW40-1</f>
        <v/>
      </c>
      <c r="KY41" s="1318">
        <f>KY40/KX40-1</f>
        <v/>
      </c>
      <c r="KZ41" s="1318">
        <f>KZ40/KY40-1</f>
        <v/>
      </c>
      <c r="LA41" s="1318">
        <f>LA40/KZ40-1</f>
        <v/>
      </c>
      <c r="LB41" s="1318">
        <f>LB40/LA40-1</f>
        <v/>
      </c>
      <c r="LC41" s="1318">
        <f>LC40/LB40-1</f>
        <v/>
      </c>
      <c r="LD41" s="1318">
        <f>LD40/LC40-1</f>
        <v/>
      </c>
      <c r="LE41" s="1318">
        <f>LE40/LD40-1</f>
        <v/>
      </c>
      <c r="LF41" s="1318">
        <f>LF40/LE40-1</f>
        <v/>
      </c>
      <c r="LG41" s="1318">
        <f>LG40/LF40-1</f>
        <v/>
      </c>
      <c r="LH41" s="1318">
        <f>LH40/LG40-1</f>
        <v/>
      </c>
      <c r="LI41" s="1318">
        <f>LI40/LH40-1</f>
        <v/>
      </c>
      <c r="LJ41" s="1318">
        <f>LJ40/LI40-1</f>
        <v/>
      </c>
      <c r="LK41" s="1318">
        <f>LK40/LJ40-1</f>
        <v/>
      </c>
      <c r="LL41" s="1318">
        <f>LL40/LK40-1</f>
        <v/>
      </c>
      <c r="LM41" s="1318">
        <f>LM40/LL40-1</f>
        <v/>
      </c>
      <c r="LN41" s="1318">
        <f>LN40/LM40-1</f>
        <v/>
      </c>
      <c r="LO41" s="1318">
        <f>LO40/LN40-1</f>
        <v/>
      </c>
      <c r="LP41" s="1318">
        <f>LP40/LO40-1</f>
        <v/>
      </c>
      <c r="LQ41" s="1318">
        <f>LQ40/LP40-1</f>
        <v/>
      </c>
      <c r="LR41" s="1318">
        <f>LR40/LQ40-1</f>
        <v/>
      </c>
      <c r="LS41" s="1318">
        <f>LS40/LR40-1</f>
        <v/>
      </c>
    </row>
    <row r="42">
      <c r="A42" s="885" t="inlineStr">
        <is>
          <t>YoY cg %</t>
        </is>
      </c>
      <c r="B42" s="1318" t="n"/>
      <c r="C42" s="1318" t="n"/>
      <c r="D42" s="1318" t="n"/>
      <c r="E42" s="1318" t="n"/>
      <c r="F42" s="1318" t="n"/>
      <c r="G42" s="1318" t="n"/>
      <c r="H42" s="1318" t="n"/>
      <c r="I42" s="1318" t="n"/>
      <c r="J42" s="1318" t="n"/>
      <c r="K42" s="1318" t="n"/>
      <c r="L42" s="1318" t="n"/>
      <c r="M42" s="1318" t="n"/>
      <c r="N42" s="1318">
        <f>N40/B40-1</f>
        <v/>
      </c>
      <c r="O42" s="1318">
        <f>O40/C40-1</f>
        <v/>
      </c>
      <c r="P42" s="1318">
        <f>P40/D40-1</f>
        <v/>
      </c>
      <c r="Q42" s="1318">
        <f>Q40/E40-1</f>
        <v/>
      </c>
      <c r="R42" s="1318">
        <f>R40/F40-1</f>
        <v/>
      </c>
      <c r="S42" s="1318">
        <f>S40/G40-1</f>
        <v/>
      </c>
      <c r="T42" s="1318">
        <f>T40/H40-1</f>
        <v/>
      </c>
      <c r="U42" s="1318">
        <f>U40/I40-1</f>
        <v/>
      </c>
      <c r="V42" s="1318">
        <f>V40/J40-1</f>
        <v/>
      </c>
      <c r="W42" s="1318">
        <f>W40/K40-1</f>
        <v/>
      </c>
      <c r="X42" s="1318">
        <f>X40/L40-1</f>
        <v/>
      </c>
      <c r="Y42" s="1318">
        <f>Y40/M40-1</f>
        <v/>
      </c>
      <c r="Z42" s="1318">
        <f>Z40/N40-1</f>
        <v/>
      </c>
      <c r="AA42" s="1318">
        <f>AA40/O40-1</f>
        <v/>
      </c>
      <c r="AB42" s="1318">
        <f>AB40/P40-1</f>
        <v/>
      </c>
      <c r="AC42" s="1318">
        <f>AC40/Q40-1</f>
        <v/>
      </c>
      <c r="AD42" s="1318">
        <f>AD40/R40-1</f>
        <v/>
      </c>
      <c r="AE42" s="1318">
        <f>AE40/S40-1</f>
        <v/>
      </c>
      <c r="AF42" s="1318">
        <f>AF40/T40-1</f>
        <v/>
      </c>
      <c r="AG42" s="1318">
        <f>AG40/U40-1</f>
        <v/>
      </c>
      <c r="AH42" s="1318">
        <f>AH40/V40-1</f>
        <v/>
      </c>
      <c r="AI42" s="1318">
        <f>AI40/W40-1</f>
        <v/>
      </c>
      <c r="AJ42" s="1318">
        <f>AJ40/X40-1</f>
        <v/>
      </c>
      <c r="AK42" s="1318">
        <f>AK40/Y40-1</f>
        <v/>
      </c>
      <c r="AL42" s="1318">
        <f>AL40/Z40-1</f>
        <v/>
      </c>
      <c r="AM42" s="1318">
        <f>AM40/AA40-1</f>
        <v/>
      </c>
      <c r="AN42" s="1318">
        <f>AN40/AB40-1</f>
        <v/>
      </c>
      <c r="AO42" s="1318">
        <f>AO40/AC40-1</f>
        <v/>
      </c>
      <c r="AP42" s="1318">
        <f>AP40/AD40-1</f>
        <v/>
      </c>
      <c r="AQ42" s="1318">
        <f>AQ40/AE40-1</f>
        <v/>
      </c>
      <c r="AR42" s="1318">
        <f>AR40/AF40-1</f>
        <v/>
      </c>
      <c r="AS42" s="1318">
        <f>AS40/AG40-1</f>
        <v/>
      </c>
      <c r="AT42" s="1318">
        <f>AT40/AH40-1</f>
        <v/>
      </c>
      <c r="AU42" s="1318">
        <f>AU40/AI40-1</f>
        <v/>
      </c>
      <c r="AV42" s="1318">
        <f>AV40/AJ40-1</f>
        <v/>
      </c>
      <c r="AW42" s="1318">
        <f>AW40/AK40-1</f>
        <v/>
      </c>
      <c r="AX42" s="1318">
        <f>AX40/AL40-1</f>
        <v/>
      </c>
      <c r="AY42" s="1318">
        <f>AY40/AM40-1</f>
        <v/>
      </c>
      <c r="AZ42" s="1318">
        <f>AZ40/AN40-1</f>
        <v/>
      </c>
      <c r="BA42" s="1318">
        <f>BA40/AO40-1</f>
        <v/>
      </c>
      <c r="BB42" s="1318">
        <f>BB40/AP40-1</f>
        <v/>
      </c>
      <c r="BC42" s="1318">
        <f>BC40/AQ40-1</f>
        <v/>
      </c>
      <c r="BD42" s="1318">
        <f>BD40/AR40-1</f>
        <v/>
      </c>
      <c r="BE42" s="1318">
        <f>BE40/AS40-1</f>
        <v/>
      </c>
      <c r="BF42" s="1318">
        <f>BF40/AT40-1</f>
        <v/>
      </c>
      <c r="BG42" s="1318">
        <f>BG40/AU40-1</f>
        <v/>
      </c>
      <c r="BH42" s="1318">
        <f>BH40/AV40-1</f>
        <v/>
      </c>
      <c r="BI42" s="1318">
        <f>BI40/AW40-1</f>
        <v/>
      </c>
      <c r="BJ42" s="1318">
        <f>BJ40/AX40-1</f>
        <v/>
      </c>
      <c r="BK42" s="1318">
        <f>BK40/AY40-1</f>
        <v/>
      </c>
      <c r="BL42" s="1318">
        <f>BL40/AZ40-1</f>
        <v/>
      </c>
      <c r="BM42" s="1318">
        <f>BM40/BA40-1</f>
        <v/>
      </c>
      <c r="BN42" s="1318">
        <f>BN40/BB40-1</f>
        <v/>
      </c>
      <c r="BO42" s="1318">
        <f>BO40/BC40-1</f>
        <v/>
      </c>
      <c r="BP42" s="1318">
        <f>BP40/BD40-1</f>
        <v/>
      </c>
      <c r="BQ42" s="1318">
        <f>BQ40/BE40-1</f>
        <v/>
      </c>
      <c r="BR42" s="1318">
        <f>BR40/BF40-1</f>
        <v/>
      </c>
      <c r="BS42" s="1318">
        <f>BS40/BG40-1</f>
        <v/>
      </c>
      <c r="BT42" s="1318">
        <f>BT40/BH40-1</f>
        <v/>
      </c>
      <c r="BU42" s="1318">
        <f>BU40/BI40-1</f>
        <v/>
      </c>
      <c r="BV42" s="1318">
        <f>BV40/BJ40-1</f>
        <v/>
      </c>
      <c r="BW42" s="1318">
        <f>BW40/BK40-1</f>
        <v/>
      </c>
      <c r="BX42" s="1318">
        <f>BX40/BL40-1</f>
        <v/>
      </c>
      <c r="BY42" s="1318">
        <f>BY40/BM40-1</f>
        <v/>
      </c>
      <c r="BZ42" s="1318">
        <f>BZ40/BN40-1</f>
        <v/>
      </c>
      <c r="CA42" s="1318">
        <f>CA40/BO40-1</f>
        <v/>
      </c>
      <c r="CB42" s="1318">
        <f>CB40/BP40-1</f>
        <v/>
      </c>
      <c r="CC42" s="1318">
        <f>CC40/BQ40-1</f>
        <v/>
      </c>
      <c r="CD42" s="1318">
        <f>CD40/BR40-1</f>
        <v/>
      </c>
      <c r="CE42" s="1318">
        <f>CE40/BS40-1</f>
        <v/>
      </c>
      <c r="CF42" s="1318">
        <f>CF40/BT40-1</f>
        <v/>
      </c>
      <c r="CG42" s="1318">
        <f>CG40/BU40-1</f>
        <v/>
      </c>
      <c r="CH42" s="1318">
        <f>CH40/BV40-1</f>
        <v/>
      </c>
      <c r="CI42" s="1318">
        <f>CI40/BW40-1</f>
        <v/>
      </c>
      <c r="CJ42" s="1318">
        <f>CJ40/BX40-1</f>
        <v/>
      </c>
      <c r="CK42" s="1318">
        <f>CK40/BY40-1</f>
        <v/>
      </c>
      <c r="CL42" s="1318">
        <f>CL40/BZ40-1</f>
        <v/>
      </c>
      <c r="CM42" s="1318">
        <f>CM40/CA40-1</f>
        <v/>
      </c>
      <c r="CN42" s="1318">
        <f>CN40/CB40-1</f>
        <v/>
      </c>
      <c r="CO42" s="1318">
        <f>CO40/CC40-1</f>
        <v/>
      </c>
      <c r="CP42" s="1318">
        <f>CP40/CD40-1</f>
        <v/>
      </c>
      <c r="CQ42" s="1318">
        <f>CQ40/CE40-1</f>
        <v/>
      </c>
      <c r="CR42" s="1318">
        <f>CR40/CF40-1</f>
        <v/>
      </c>
      <c r="CS42" s="1318">
        <f>CS40/CG40-1</f>
        <v/>
      </c>
      <c r="CT42" s="1318">
        <f>CT40/CH40-1</f>
        <v/>
      </c>
      <c r="CU42" s="1318">
        <f>CU40/CI40-1</f>
        <v/>
      </c>
      <c r="CV42" s="1318">
        <f>CV40/CJ40-1</f>
        <v/>
      </c>
      <c r="CW42" s="1318">
        <f>CW40/CK40-1</f>
        <v/>
      </c>
      <c r="CX42" s="1318">
        <f>CX40/CL40-1</f>
        <v/>
      </c>
      <c r="CY42" s="1318">
        <f>CY40/CM40-1</f>
        <v/>
      </c>
      <c r="CZ42" s="1318">
        <f>CZ40/CN40-1</f>
        <v/>
      </c>
      <c r="DA42" s="1318">
        <f>DA40/CO40-1</f>
        <v/>
      </c>
      <c r="DB42" s="1318">
        <f>DB40/CP40-1</f>
        <v/>
      </c>
      <c r="DC42" s="1318">
        <f>DC40/CQ40-1</f>
        <v/>
      </c>
      <c r="DD42" s="1318">
        <f>DD40/CR40-1</f>
        <v/>
      </c>
      <c r="DE42" s="1318">
        <f>DE40/CS40-1</f>
        <v/>
      </c>
      <c r="DF42" s="1318">
        <f>DF40/CT40-1</f>
        <v/>
      </c>
      <c r="DG42" s="1318">
        <f>DG40/CU40-1</f>
        <v/>
      </c>
      <c r="DH42" s="1318">
        <f>DH40/CV40-1</f>
        <v/>
      </c>
      <c r="DI42" s="1318">
        <f>DI40/CW40-1</f>
        <v/>
      </c>
      <c r="DJ42" s="1318">
        <f>DJ40/CX40-1</f>
        <v/>
      </c>
      <c r="DK42" s="1318">
        <f>DK40/CY40-1</f>
        <v/>
      </c>
      <c r="DL42" s="1318">
        <f>DL40/CZ40-1</f>
        <v/>
      </c>
      <c r="DM42" s="1318">
        <f>DM40/DA40-1</f>
        <v/>
      </c>
      <c r="DN42" s="1318">
        <f>DN40/DB40-1</f>
        <v/>
      </c>
      <c r="DO42" s="1318">
        <f>DO40/DC40-1</f>
        <v/>
      </c>
      <c r="DP42" s="1318">
        <f>DP40/DD40-1</f>
        <v/>
      </c>
      <c r="DQ42" s="1318">
        <f>DQ40/DE40-1</f>
        <v/>
      </c>
      <c r="DR42" s="1318">
        <f>DR40/DF40-1</f>
        <v/>
      </c>
      <c r="DS42" s="1318">
        <f>DS40/DG40-1</f>
        <v/>
      </c>
      <c r="DT42" s="1318">
        <f>DT40/DH40-1</f>
        <v/>
      </c>
      <c r="DU42" s="1318">
        <f>DU40/DI40-1</f>
        <v/>
      </c>
      <c r="DV42" s="1318">
        <f>DV40/DJ40-1</f>
        <v/>
      </c>
      <c r="DW42" s="1318">
        <f>DW40/DK40-1</f>
        <v/>
      </c>
      <c r="DX42" s="1318">
        <f>DX40/DL40-1</f>
        <v/>
      </c>
      <c r="DY42" s="1318">
        <f>DY40/DM40-1</f>
        <v/>
      </c>
      <c r="DZ42" s="1318">
        <f>DZ40/DN40-1</f>
        <v/>
      </c>
      <c r="EA42" s="1318">
        <f>EA40/DO40-1</f>
        <v/>
      </c>
      <c r="EB42" s="1318">
        <f>EB40/DP40-1</f>
        <v/>
      </c>
      <c r="EC42" s="1318">
        <f>EC40/DQ40-1</f>
        <v/>
      </c>
      <c r="ED42" s="1318">
        <f>ED40/DR40-1</f>
        <v/>
      </c>
      <c r="EE42" s="1318">
        <f>EE40/DS40-1</f>
        <v/>
      </c>
      <c r="EF42" s="1318">
        <f>EF40/DT40-1</f>
        <v/>
      </c>
      <c r="EG42" s="1318">
        <f>EG40/DU40-1</f>
        <v/>
      </c>
      <c r="EH42" s="1318">
        <f>EH40/DV40-1</f>
        <v/>
      </c>
      <c r="EI42" s="1318">
        <f>EI40/DW40-1</f>
        <v/>
      </c>
      <c r="EJ42" s="1318">
        <f>EJ40/DX40-1</f>
        <v/>
      </c>
      <c r="EK42" s="1318">
        <f>EK40/DY40-1</f>
        <v/>
      </c>
      <c r="EL42" s="1318">
        <f>EL40/DZ40-1</f>
        <v/>
      </c>
      <c r="EM42" s="1318">
        <f>EM40/EA40-1</f>
        <v/>
      </c>
      <c r="EN42" s="1318">
        <f>EN40/EB40-1</f>
        <v/>
      </c>
      <c r="EO42" s="1318">
        <f>EO40/EC40-1</f>
        <v/>
      </c>
      <c r="EP42" s="1318">
        <f>EP40/ED40-1</f>
        <v/>
      </c>
      <c r="EQ42" s="1318">
        <f>EQ40/EE40-1</f>
        <v/>
      </c>
      <c r="ER42" s="1318">
        <f>ER40/EF40-1</f>
        <v/>
      </c>
      <c r="ES42" s="1318">
        <f>ES40/EG40-1</f>
        <v/>
      </c>
      <c r="ET42" s="1318">
        <f>ET40/EH40-1</f>
        <v/>
      </c>
      <c r="EU42" s="1318">
        <f>EU40/EI40-1</f>
        <v/>
      </c>
      <c r="EV42" s="1318">
        <f>EV40/EJ40-1</f>
        <v/>
      </c>
      <c r="EW42" s="1318">
        <f>EW40/EK40-1</f>
        <v/>
      </c>
      <c r="EX42" s="1318">
        <f>EX40/EL40-1</f>
        <v/>
      </c>
      <c r="EY42" s="1318">
        <f>EY40/EM40-1</f>
        <v/>
      </c>
      <c r="EZ42" s="1318">
        <f>EZ40/EN40-1</f>
        <v/>
      </c>
      <c r="FA42" s="1318">
        <f>FA40/EO40-1</f>
        <v/>
      </c>
      <c r="FB42" s="1318">
        <f>FB40/EP40-1</f>
        <v/>
      </c>
      <c r="FC42" s="1318">
        <f>FC40/EQ40-1</f>
        <v/>
      </c>
      <c r="FD42" s="1318">
        <f>FD40/ER40-1</f>
        <v/>
      </c>
      <c r="FE42" s="1318">
        <f>FE40/ES40-1</f>
        <v/>
      </c>
      <c r="FF42" s="1318">
        <f>FF40/ET40-1</f>
        <v/>
      </c>
      <c r="FG42" s="1318">
        <f>FG40/EU40-1</f>
        <v/>
      </c>
      <c r="FH42" s="1318">
        <f>FH40/EV40-1</f>
        <v/>
      </c>
      <c r="FI42" s="1318">
        <f>FI40/EW40-1</f>
        <v/>
      </c>
      <c r="FJ42" s="1318">
        <f>FJ40/EX40-1</f>
        <v/>
      </c>
      <c r="FK42" s="1318">
        <f>FK40/EY40-1</f>
        <v/>
      </c>
      <c r="FL42" s="1318">
        <f>FL40/EZ40-1</f>
        <v/>
      </c>
      <c r="FM42" s="1318">
        <f>FM40/FA40-1</f>
        <v/>
      </c>
      <c r="FN42" s="1318">
        <f>FN40/FB40-1</f>
        <v/>
      </c>
      <c r="FO42" s="1318">
        <f>FO40/FC40-1</f>
        <v/>
      </c>
      <c r="FP42" s="1318">
        <f>FP40/FD40-1</f>
        <v/>
      </c>
      <c r="FQ42" s="1318">
        <f>FQ40/FE40-1</f>
        <v/>
      </c>
      <c r="FR42" s="1318">
        <f>FR40/FF40-1</f>
        <v/>
      </c>
      <c r="FS42" s="1318">
        <f>FS40/FG40-1</f>
        <v/>
      </c>
      <c r="FT42" s="1318">
        <f>FT40/FH40-1</f>
        <v/>
      </c>
      <c r="FU42" s="1318">
        <f>FU40/FI40-1</f>
        <v/>
      </c>
      <c r="FV42" s="1318">
        <f>FV40/FJ40-1</f>
        <v/>
      </c>
      <c r="FW42" s="1318">
        <f>FW40/FK40-1</f>
        <v/>
      </c>
      <c r="FX42" s="1318">
        <f>FX40/FL40-1</f>
        <v/>
      </c>
      <c r="FY42" s="1318">
        <f>FY40/FM40-1</f>
        <v/>
      </c>
      <c r="FZ42" s="1318">
        <f>FZ40/FN40-1</f>
        <v/>
      </c>
      <c r="GA42" s="1318">
        <f>GA40/FO40-1</f>
        <v/>
      </c>
      <c r="GB42" s="1318">
        <f>GB40/FP40-1</f>
        <v/>
      </c>
      <c r="GC42" s="1318">
        <f>GC40/FQ40-1</f>
        <v/>
      </c>
      <c r="GD42" s="1318">
        <f>GD40/FR40-1</f>
        <v/>
      </c>
      <c r="GE42" s="1318">
        <f>GE40/FS40-1</f>
        <v/>
      </c>
      <c r="GF42" s="1318">
        <f>GF40/FT40-1</f>
        <v/>
      </c>
      <c r="GG42" s="1318">
        <f>GG40/FU40-1</f>
        <v/>
      </c>
      <c r="GH42" s="1318">
        <f>GH40/FV40-1</f>
        <v/>
      </c>
      <c r="GI42" s="1318">
        <f>GI40/FW40-1</f>
        <v/>
      </c>
      <c r="GJ42" s="1318">
        <f>GJ40/FX40-1</f>
        <v/>
      </c>
      <c r="GK42" s="1318">
        <f>GK40/FY40-1</f>
        <v/>
      </c>
      <c r="GL42" s="1318">
        <f>GL40/FZ40-1</f>
        <v/>
      </c>
      <c r="GM42" s="1318">
        <f>GM40/GA40-1</f>
        <v/>
      </c>
      <c r="GN42" s="1318">
        <f>GN40/GB40-1</f>
        <v/>
      </c>
      <c r="GO42" s="1318">
        <f>GO40/GC40-1</f>
        <v/>
      </c>
      <c r="GP42" s="1318">
        <f>GP40/GD40-1</f>
        <v/>
      </c>
      <c r="GQ42" s="1318">
        <f>GQ40/GE40-1</f>
        <v/>
      </c>
      <c r="GR42" s="1318">
        <f>GR40/GF40-1</f>
        <v/>
      </c>
      <c r="GS42" s="1318">
        <f>GS40/GG40-1</f>
        <v/>
      </c>
      <c r="GT42" s="1318">
        <f>GT40/GH40-1</f>
        <v/>
      </c>
      <c r="GU42" s="1318">
        <f>GU40/GI40-1</f>
        <v/>
      </c>
      <c r="GV42" s="1318">
        <f>GV40/GJ40-1</f>
        <v/>
      </c>
      <c r="GW42" s="1318">
        <f>GW40/GK40-1</f>
        <v/>
      </c>
      <c r="GX42" s="1318">
        <f>GX40/GL40-1</f>
        <v/>
      </c>
      <c r="GY42" s="1318">
        <f>GY40/GM40-1</f>
        <v/>
      </c>
      <c r="GZ42" s="1318">
        <f>GZ40/GN40-1</f>
        <v/>
      </c>
      <c r="HA42" s="1318">
        <f>HA40/GO40-1</f>
        <v/>
      </c>
      <c r="HB42" s="1318">
        <f>HB40/GP40-1</f>
        <v/>
      </c>
      <c r="HC42" s="1318">
        <f>HC40/GQ40-1</f>
        <v/>
      </c>
      <c r="HD42" s="1318">
        <f>HD40/GR40-1</f>
        <v/>
      </c>
      <c r="HE42" s="1318">
        <f>HE40/GS40-1</f>
        <v/>
      </c>
      <c r="HF42" s="1318">
        <f>HF40/GT40-1</f>
        <v/>
      </c>
      <c r="HG42" s="1318">
        <f>HG40/GU40-1</f>
        <v/>
      </c>
      <c r="HH42" s="1318">
        <f>HH40/GV40-1</f>
        <v/>
      </c>
      <c r="HI42" s="1318">
        <f>HI40/GW40-1</f>
        <v/>
      </c>
      <c r="HJ42" s="1318">
        <f>HJ40/GX40-1</f>
        <v/>
      </c>
      <c r="HK42" s="1318">
        <f>HK40/GY40-1</f>
        <v/>
      </c>
      <c r="HL42" s="1318">
        <f>HL40/GZ40-1</f>
        <v/>
      </c>
      <c r="HM42" s="1318">
        <f>HM40/HA40-1</f>
        <v/>
      </c>
      <c r="HN42" s="1318">
        <f>HN40/HB40-1</f>
        <v/>
      </c>
      <c r="HO42" s="1318">
        <f>HO40/HC40-1</f>
        <v/>
      </c>
      <c r="HP42" s="1318">
        <f>HP40/HD40-1</f>
        <v/>
      </c>
      <c r="HQ42" s="1318">
        <f>HQ40/HE40-1</f>
        <v/>
      </c>
      <c r="HR42" s="1318">
        <f>HR40/HF40-1</f>
        <v/>
      </c>
      <c r="HS42" s="1318">
        <f>HS40/HG40-1</f>
        <v/>
      </c>
      <c r="HT42" s="1318">
        <f>HT40/HH40-1</f>
        <v/>
      </c>
      <c r="HU42" s="1318">
        <f>HU40/HI40-1</f>
        <v/>
      </c>
      <c r="HV42" s="1318">
        <f>HV40/HJ40-1</f>
        <v/>
      </c>
      <c r="HW42" s="1318">
        <f>HW40/HK40-1</f>
        <v/>
      </c>
      <c r="HX42" s="1318">
        <f>HX40/HL40-1</f>
        <v/>
      </c>
      <c r="HY42" s="1318">
        <f>HY40/HM40-1</f>
        <v/>
      </c>
      <c r="HZ42" s="1318">
        <f>HZ40/HN40-1</f>
        <v/>
      </c>
      <c r="IA42" s="1318">
        <f>IA40/HO40-1</f>
        <v/>
      </c>
      <c r="IB42" s="1318">
        <f>IB40/HP40-1</f>
        <v/>
      </c>
      <c r="IC42" s="1318">
        <f>IC40/HQ40-1</f>
        <v/>
      </c>
      <c r="ID42" s="1318">
        <f>ID40/HR40-1</f>
        <v/>
      </c>
      <c r="IE42" s="1318">
        <f>IE40/HS40-1</f>
        <v/>
      </c>
      <c r="IF42" s="1318">
        <f>IF40/HT40-1</f>
        <v/>
      </c>
      <c r="IG42" s="1318">
        <f>IG40/HU40-1</f>
        <v/>
      </c>
      <c r="IH42" s="1318">
        <f>IH40/HV40-1</f>
        <v/>
      </c>
      <c r="II42" s="1318">
        <f>II40/HW40-1</f>
        <v/>
      </c>
      <c r="IJ42" s="1318">
        <f>IJ40/HX40-1</f>
        <v/>
      </c>
      <c r="IK42" s="1318">
        <f>IK40/HY40-1</f>
        <v/>
      </c>
      <c r="IL42" s="1318">
        <f>IL40/HZ40-1</f>
        <v/>
      </c>
      <c r="IM42" s="1318">
        <f>IM40/IA40-1</f>
        <v/>
      </c>
      <c r="IN42" s="1318">
        <f>IN40/IB40-1</f>
        <v/>
      </c>
      <c r="IO42" s="1318">
        <f>IO40/IC40-1</f>
        <v/>
      </c>
      <c r="IP42" s="1318">
        <f>IP40/ID40-1</f>
        <v/>
      </c>
      <c r="IQ42" s="1318">
        <f>IQ40/IE40-1</f>
        <v/>
      </c>
      <c r="IR42" s="1318">
        <f>IR40/IF40-1</f>
        <v/>
      </c>
      <c r="IS42" s="1318">
        <f>IS40/IG40-1</f>
        <v/>
      </c>
      <c r="IT42" s="1318">
        <f>IT40/IH40-1</f>
        <v/>
      </c>
      <c r="IU42" s="1318">
        <f>IU40/II40-1</f>
        <v/>
      </c>
      <c r="IV42" s="1318">
        <f>IV40/IJ40-1</f>
        <v/>
      </c>
      <c r="IW42" s="1318">
        <f>IW40/IK40-1</f>
        <v/>
      </c>
      <c r="IX42" s="1318">
        <f>IX40/IL40-1</f>
        <v/>
      </c>
      <c r="IY42" s="1318">
        <f>IY40/IM40-1</f>
        <v/>
      </c>
      <c r="IZ42" s="1318">
        <f>IZ40/IN40-1</f>
        <v/>
      </c>
      <c r="JA42" s="1318">
        <f>JA40/IO40-1</f>
        <v/>
      </c>
      <c r="JB42" s="1318">
        <f>JB40/IP40-1</f>
        <v/>
      </c>
      <c r="JC42" s="1318">
        <f>JC40/IQ40-1</f>
        <v/>
      </c>
      <c r="JD42" s="1318">
        <f>JD40/IR40-1</f>
        <v/>
      </c>
      <c r="JE42" s="1318">
        <f>JE40/IS40-1</f>
        <v/>
      </c>
      <c r="JF42" s="1318">
        <f>JF40/IT40-1</f>
        <v/>
      </c>
      <c r="JG42" s="1318">
        <f>JG40/IU40-1</f>
        <v/>
      </c>
      <c r="JH42" s="1318">
        <f>JH40/IV40-1</f>
        <v/>
      </c>
      <c r="JI42" s="1318">
        <f>JI40/IW40-1</f>
        <v/>
      </c>
      <c r="JJ42" s="1318">
        <f>JJ40/IX40-1</f>
        <v/>
      </c>
      <c r="JK42" s="1318">
        <f>JK40/IY40-1</f>
        <v/>
      </c>
      <c r="JL42" s="1318">
        <f>JL40/IZ40-1</f>
        <v/>
      </c>
      <c r="JM42" s="1318">
        <f>JM40/JA40-1</f>
        <v/>
      </c>
      <c r="JN42" s="1318">
        <f>JN40/JB40-1</f>
        <v/>
      </c>
      <c r="JO42" s="1318">
        <f>JO40/JC40-1</f>
        <v/>
      </c>
      <c r="JP42" s="1318">
        <f>JP40/JD40-1</f>
        <v/>
      </c>
      <c r="JQ42" s="1318">
        <f>JQ40/JE40-1</f>
        <v/>
      </c>
      <c r="JR42" s="1318">
        <f>JR40/JF40-1</f>
        <v/>
      </c>
      <c r="JS42" s="1318">
        <f>JS40/JG40-1</f>
        <v/>
      </c>
      <c r="JT42" s="1318">
        <f>JT40/JH40-1</f>
        <v/>
      </c>
      <c r="JU42" s="1318">
        <f>JU40/JI40-1</f>
        <v/>
      </c>
      <c r="JV42" s="1318">
        <f>JV40/JJ40-1</f>
        <v/>
      </c>
      <c r="JW42" s="1318">
        <f>JW40/JK40-1</f>
        <v/>
      </c>
      <c r="JX42" s="1318">
        <f>JX40/JL40-1</f>
        <v/>
      </c>
      <c r="JY42" s="1318">
        <f>JY40/JM40-1</f>
        <v/>
      </c>
      <c r="JZ42" s="1318">
        <f>JZ40/JN40-1</f>
        <v/>
      </c>
      <c r="KA42" s="1318">
        <f>KA40/JO40-1</f>
        <v/>
      </c>
      <c r="KB42" s="1318">
        <f>KB40/JP40-1</f>
        <v/>
      </c>
      <c r="KC42" s="1318">
        <f>KC40/JQ40-1</f>
        <v/>
      </c>
      <c r="KD42" s="1318">
        <f>KD40/JR40-1</f>
        <v/>
      </c>
      <c r="KE42" s="1318">
        <f>KE40/JS40-1</f>
        <v/>
      </c>
      <c r="KF42" s="1318">
        <f>KF40/JT40-1</f>
        <v/>
      </c>
      <c r="KG42" s="1318">
        <f>KG40/JU40-1</f>
        <v/>
      </c>
      <c r="KH42" s="1318">
        <f>KH40/JV40-1</f>
        <v/>
      </c>
      <c r="KI42" s="1318">
        <f>KI40/JW40-1</f>
        <v/>
      </c>
      <c r="KJ42" s="1318">
        <f>KJ40/JX40-1</f>
        <v/>
      </c>
      <c r="KK42" s="1318">
        <f>KK40/JY40-1</f>
        <v/>
      </c>
      <c r="KL42" s="1318">
        <f>KL40/JZ40-1</f>
        <v/>
      </c>
      <c r="KM42" s="1318">
        <f>KM40/KA40-1</f>
        <v/>
      </c>
      <c r="KN42" s="1318">
        <f>KN40/KB40-1</f>
        <v/>
      </c>
      <c r="KO42" s="1318">
        <f>KO40/KC40-1</f>
        <v/>
      </c>
      <c r="KP42" s="1318">
        <f>KP40/KD40-1</f>
        <v/>
      </c>
      <c r="KQ42" s="1318">
        <f>KQ40/KE40-1</f>
        <v/>
      </c>
      <c r="KR42" s="1318">
        <f>KR40/KF40-1</f>
        <v/>
      </c>
      <c r="KS42" s="1318">
        <f>KS40/KG40-1</f>
        <v/>
      </c>
      <c r="KT42" s="1318">
        <f>KT40/KH40-1</f>
        <v/>
      </c>
      <c r="KU42" s="1318">
        <f>KU40/KI40-1</f>
        <v/>
      </c>
      <c r="KV42" s="1318">
        <f>KV40/KJ40-1</f>
        <v/>
      </c>
      <c r="KW42" s="1318">
        <f>KW40/KK40-1</f>
        <v/>
      </c>
      <c r="KX42" s="1318">
        <f>KX40/KL40-1</f>
        <v/>
      </c>
      <c r="KY42" s="1318">
        <f>KY40/KM40-1</f>
        <v/>
      </c>
      <c r="KZ42" s="1318">
        <f>KZ40/KN40-1</f>
        <v/>
      </c>
      <c r="LA42" s="1318">
        <f>LA40/KO40-1</f>
        <v/>
      </c>
      <c r="LB42" s="1318">
        <f>LB40/KP40-1</f>
        <v/>
      </c>
      <c r="LC42" s="1318">
        <f>LC40/KQ40-1</f>
        <v/>
      </c>
      <c r="LD42" s="1318">
        <f>LD40/KR40-1</f>
        <v/>
      </c>
      <c r="LE42" s="1318">
        <f>LE40/KS40-1</f>
        <v/>
      </c>
      <c r="LF42" s="1318">
        <f>LF40/KT40-1</f>
        <v/>
      </c>
      <c r="LG42" s="1318">
        <f>LG40/KU40-1</f>
        <v/>
      </c>
      <c r="LH42" s="1318">
        <f>LH40/KV40-1</f>
        <v/>
      </c>
      <c r="LI42" s="1318">
        <f>LI40/KW40-1</f>
        <v/>
      </c>
      <c r="LJ42" s="1318">
        <f>LJ40/KX40-1</f>
        <v/>
      </c>
      <c r="LK42" s="1318">
        <f>LK40/KY40-1</f>
        <v/>
      </c>
      <c r="LL42" s="1318">
        <f>LL40/KZ40-1</f>
        <v/>
      </c>
      <c r="LM42" s="1318">
        <f>LM40/LA40-1</f>
        <v/>
      </c>
      <c r="LN42" s="1318">
        <f>LN40/LB40-1</f>
        <v/>
      </c>
      <c r="LO42" s="1318">
        <f>LO40/LC40-1</f>
        <v/>
      </c>
      <c r="LP42" s="1318">
        <f>LP40/LD40-1</f>
        <v/>
      </c>
      <c r="LQ42" s="1318">
        <f>LQ40/LE40-1</f>
        <v/>
      </c>
      <c r="LR42" s="1318">
        <f>LR40/LF40-1</f>
        <v/>
      </c>
      <c r="LS42" s="1318">
        <f>LS40/LG40-1</f>
        <v/>
      </c>
    </row>
    <row r="43">
      <c r="A43" s="885" t="inlineStr">
        <is>
          <t>YTD cg %</t>
        </is>
      </c>
      <c r="B43" s="1318" t="n"/>
      <c r="C43" s="1318" t="n"/>
      <c r="D43" s="1318" t="n"/>
      <c r="E43" s="1318" t="n"/>
      <c r="F43" s="1318" t="n"/>
      <c r="G43" s="1318" t="n"/>
      <c r="H43" s="1318" t="n"/>
      <c r="I43" s="1318" t="n"/>
      <c r="J43" s="1318" t="n"/>
      <c r="K43" s="1318" t="n"/>
      <c r="L43" s="1318" t="n"/>
      <c r="M43" s="1318" t="n"/>
      <c r="N43" s="1318">
        <f>SUMIFS(40:40,$8:$8,"&gt;="&amp;DATE(YEAR(N$8),1,1),$8:$8,"&lt;="&amp;EOMONTH(N$8,0))/SUMIFS(40:40,$8:$8,"&gt;="&amp;DATE(YEAR(N$8)-1,1,1),$8:$8,"&lt;="&amp;EOMONTH(N$8,-12))-1</f>
        <v/>
      </c>
      <c r="O43" s="1318">
        <f>SUMIFS(40:40,$8:$8,"&gt;="&amp;DATE(YEAR(O$8),1,1),$8:$8,"&lt;="&amp;EOMONTH(O$8,0))/SUMIFS(40:40,$8:$8,"&gt;="&amp;DATE(YEAR(O$8)-1,1,1),$8:$8,"&lt;="&amp;EOMONTH(O$8,-12))-1</f>
        <v/>
      </c>
      <c r="P43" s="1318">
        <f>SUMIFS(40:40,$8:$8,"&gt;="&amp;DATE(YEAR(P$8),1,1),$8:$8,"&lt;="&amp;EOMONTH(P$8,0))/SUMIFS(40:40,$8:$8,"&gt;="&amp;DATE(YEAR(P$8)-1,1,1),$8:$8,"&lt;="&amp;EOMONTH(P$8,-12))-1</f>
        <v/>
      </c>
      <c r="Q43" s="1318">
        <f>SUMIFS(40:40,$8:$8,"&gt;="&amp;DATE(YEAR(Q$8),1,1),$8:$8,"&lt;="&amp;EOMONTH(Q$8,0))/SUMIFS(40:40,$8:$8,"&gt;="&amp;DATE(YEAR(Q$8)-1,1,1),$8:$8,"&lt;="&amp;EOMONTH(Q$8,-12))-1</f>
        <v/>
      </c>
      <c r="R43" s="1318">
        <f>SUMIFS(40:40,$8:$8,"&gt;="&amp;DATE(YEAR(R$8),1,1),$8:$8,"&lt;="&amp;EOMONTH(R$8,0))/SUMIFS(40:40,$8:$8,"&gt;="&amp;DATE(YEAR(R$8)-1,1,1),$8:$8,"&lt;="&amp;EOMONTH(R$8,-12))-1</f>
        <v/>
      </c>
      <c r="S43" s="1318">
        <f>SUMIFS(40:40,$8:$8,"&gt;="&amp;DATE(YEAR(S$8),1,1),$8:$8,"&lt;="&amp;EOMONTH(S$8,0))/SUMIFS(40:40,$8:$8,"&gt;="&amp;DATE(YEAR(S$8)-1,1,1),$8:$8,"&lt;="&amp;EOMONTH(S$8,-12))-1</f>
        <v/>
      </c>
      <c r="T43" s="1318">
        <f>SUMIFS(40:40,$8:$8,"&gt;="&amp;DATE(YEAR(T$8),1,1),$8:$8,"&lt;="&amp;EOMONTH(T$8,0))/SUMIFS(40:40,$8:$8,"&gt;="&amp;DATE(YEAR(T$8)-1,1,1),$8:$8,"&lt;="&amp;EOMONTH(T$8,-12))-1</f>
        <v/>
      </c>
      <c r="U43" s="1318">
        <f>SUMIFS(40:40,$8:$8,"&gt;="&amp;DATE(YEAR(U$8),1,1),$8:$8,"&lt;="&amp;EOMONTH(U$8,0))/SUMIFS(40:40,$8:$8,"&gt;="&amp;DATE(YEAR(U$8)-1,1,1),$8:$8,"&lt;="&amp;EOMONTH(U$8,-12))-1</f>
        <v/>
      </c>
      <c r="V43" s="1318">
        <f>SUMIFS(40:40,$8:$8,"&gt;="&amp;DATE(YEAR(V$8),1,1),$8:$8,"&lt;="&amp;EOMONTH(V$8,0))/SUMIFS(40:40,$8:$8,"&gt;="&amp;DATE(YEAR(V$8)-1,1,1),$8:$8,"&lt;="&amp;EOMONTH(V$8,-12))-1</f>
        <v/>
      </c>
      <c r="W43" s="1318">
        <f>SUMIFS(40:40,$8:$8,"&gt;="&amp;DATE(YEAR(W$8),1,1),$8:$8,"&lt;="&amp;EOMONTH(W$8,0))/SUMIFS(40:40,$8:$8,"&gt;="&amp;DATE(YEAR(W$8)-1,1,1),$8:$8,"&lt;="&amp;EOMONTH(W$8,-12))-1</f>
        <v/>
      </c>
      <c r="X43" s="1318">
        <f>SUMIFS(40:40,$8:$8,"&gt;="&amp;DATE(YEAR(X$8),1,1),$8:$8,"&lt;="&amp;EOMONTH(X$8,0))/SUMIFS(40:40,$8:$8,"&gt;="&amp;DATE(YEAR(X$8)-1,1,1),$8:$8,"&lt;="&amp;EOMONTH(X$8,-12))-1</f>
        <v/>
      </c>
      <c r="Y43" s="1318">
        <f>SUMIFS(40:40,$8:$8,"&gt;="&amp;DATE(YEAR(Y$8),1,1),$8:$8,"&lt;="&amp;EOMONTH(Y$8,0))/SUMIFS(40:40,$8:$8,"&gt;="&amp;DATE(YEAR(Y$8)-1,1,1),$8:$8,"&lt;="&amp;EOMONTH(Y$8,-12))-1</f>
        <v/>
      </c>
      <c r="Z43" s="1318">
        <f>SUMIFS(40:40,$8:$8,"&gt;="&amp;DATE(YEAR(Z$8),1,1),$8:$8,"&lt;="&amp;EOMONTH(Z$8,0))/SUMIFS(40:40,$8:$8,"&gt;="&amp;DATE(YEAR(Z$8)-1,1,1),$8:$8,"&lt;="&amp;EOMONTH(Z$8,-12))-1</f>
        <v/>
      </c>
      <c r="AA43" s="1318">
        <f>SUMIFS(40:40,$8:$8,"&gt;="&amp;DATE(YEAR(AA$8),1,1),$8:$8,"&lt;="&amp;EOMONTH(AA$8,0))/SUMIFS(40:40,$8:$8,"&gt;="&amp;DATE(YEAR(AA$8)-1,1,1),$8:$8,"&lt;="&amp;EOMONTH(AA$8,-12))-1</f>
        <v/>
      </c>
      <c r="AB43" s="1318">
        <f>SUMIFS(40:40,$8:$8,"&gt;="&amp;DATE(YEAR(AB$8),1,1),$8:$8,"&lt;="&amp;EOMONTH(AB$8,0))/SUMIFS(40:40,$8:$8,"&gt;="&amp;DATE(YEAR(AB$8)-1,1,1),$8:$8,"&lt;="&amp;EOMONTH(AB$8,-12))-1</f>
        <v/>
      </c>
      <c r="AC43" s="1318">
        <f>SUMIFS(40:40,$8:$8,"&gt;="&amp;DATE(YEAR(AC$8),1,1),$8:$8,"&lt;="&amp;EOMONTH(AC$8,0))/SUMIFS(40:40,$8:$8,"&gt;="&amp;DATE(YEAR(AC$8)-1,1,1),$8:$8,"&lt;="&amp;EOMONTH(AC$8,-12))-1</f>
        <v/>
      </c>
      <c r="AD43" s="1318">
        <f>SUMIFS(40:40,$8:$8,"&gt;="&amp;DATE(YEAR(AD$8),1,1),$8:$8,"&lt;="&amp;EOMONTH(AD$8,0))/SUMIFS(40:40,$8:$8,"&gt;="&amp;DATE(YEAR(AD$8)-1,1,1),$8:$8,"&lt;="&amp;EOMONTH(AD$8,-12))-1</f>
        <v/>
      </c>
      <c r="AE43" s="1318">
        <f>SUMIFS(40:40,$8:$8,"&gt;="&amp;DATE(YEAR(AE$8),1,1),$8:$8,"&lt;="&amp;EOMONTH(AE$8,0))/SUMIFS(40:40,$8:$8,"&gt;="&amp;DATE(YEAR(AE$8)-1,1,1),$8:$8,"&lt;="&amp;EOMONTH(AE$8,-12))-1</f>
        <v/>
      </c>
      <c r="AF43" s="1318">
        <f>SUMIFS(40:40,$8:$8,"&gt;="&amp;DATE(YEAR(AF$8),1,1),$8:$8,"&lt;="&amp;EOMONTH(AF$8,0))/SUMIFS(40:40,$8:$8,"&gt;="&amp;DATE(YEAR(AF$8)-1,1,1),$8:$8,"&lt;="&amp;EOMONTH(AF$8,-12))-1</f>
        <v/>
      </c>
      <c r="AG43" s="1318">
        <f>SUMIFS(40:40,$8:$8,"&gt;="&amp;DATE(YEAR(AG$8),1,1),$8:$8,"&lt;="&amp;EOMONTH(AG$8,0))/SUMIFS(40:40,$8:$8,"&gt;="&amp;DATE(YEAR(AG$8)-1,1,1),$8:$8,"&lt;="&amp;EOMONTH(AG$8,-12))-1</f>
        <v/>
      </c>
      <c r="AH43" s="1318">
        <f>SUMIFS(40:40,$8:$8,"&gt;="&amp;DATE(YEAR(AH$8),1,1),$8:$8,"&lt;="&amp;EOMONTH(AH$8,0))/SUMIFS(40:40,$8:$8,"&gt;="&amp;DATE(YEAR(AH$8)-1,1,1),$8:$8,"&lt;="&amp;EOMONTH(AH$8,-12))-1</f>
        <v/>
      </c>
      <c r="AI43" s="1318">
        <f>SUMIFS(40:40,$8:$8,"&gt;="&amp;DATE(YEAR(AI$8),1,1),$8:$8,"&lt;="&amp;EOMONTH(AI$8,0))/SUMIFS(40:40,$8:$8,"&gt;="&amp;DATE(YEAR(AI$8)-1,1,1),$8:$8,"&lt;="&amp;EOMONTH(AI$8,-12))-1</f>
        <v/>
      </c>
      <c r="AJ43" s="1318">
        <f>SUMIFS(40:40,$8:$8,"&gt;="&amp;DATE(YEAR(AJ$8),1,1),$8:$8,"&lt;="&amp;EOMONTH(AJ$8,0))/SUMIFS(40:40,$8:$8,"&gt;="&amp;DATE(YEAR(AJ$8)-1,1,1),$8:$8,"&lt;="&amp;EOMONTH(AJ$8,-12))-1</f>
        <v/>
      </c>
      <c r="AK43" s="1318">
        <f>SUMIFS(40:40,$8:$8,"&gt;="&amp;DATE(YEAR(AK$8),1,1),$8:$8,"&lt;="&amp;EOMONTH(AK$8,0))/SUMIFS(40:40,$8:$8,"&gt;="&amp;DATE(YEAR(AK$8)-1,1,1),$8:$8,"&lt;="&amp;EOMONTH(AK$8,-12))-1</f>
        <v/>
      </c>
      <c r="AL43" s="1318">
        <f>SUMIFS(40:40,$8:$8,"&gt;="&amp;DATE(YEAR(AL$8),1,1),$8:$8,"&lt;="&amp;EOMONTH(AL$8,0))/SUMIFS(40:40,$8:$8,"&gt;="&amp;DATE(YEAR(AL$8)-1,1,1),$8:$8,"&lt;="&amp;EOMONTH(AL$8,-12))-1</f>
        <v/>
      </c>
      <c r="AM43" s="1318">
        <f>SUMIFS(40:40,$8:$8,"&gt;="&amp;DATE(YEAR(AM$8),1,1),$8:$8,"&lt;="&amp;EOMONTH(AM$8,0))/SUMIFS(40:40,$8:$8,"&gt;="&amp;DATE(YEAR(AM$8)-1,1,1),$8:$8,"&lt;="&amp;EOMONTH(AM$8,-12))-1</f>
        <v/>
      </c>
      <c r="AN43" s="1318">
        <f>SUMIFS(40:40,$8:$8,"&gt;="&amp;DATE(YEAR(AN$8),1,1),$8:$8,"&lt;="&amp;EOMONTH(AN$8,0))/SUMIFS(40:40,$8:$8,"&gt;="&amp;DATE(YEAR(AN$8)-1,1,1),$8:$8,"&lt;="&amp;EOMONTH(AN$8,-12))-1</f>
        <v/>
      </c>
      <c r="AO43" s="1318">
        <f>SUMIFS(40:40,$8:$8,"&gt;="&amp;DATE(YEAR(AO$8),1,1),$8:$8,"&lt;="&amp;EOMONTH(AO$8,0))/SUMIFS(40:40,$8:$8,"&gt;="&amp;DATE(YEAR(AO$8)-1,1,1),$8:$8,"&lt;="&amp;EOMONTH(AO$8,-12))-1</f>
        <v/>
      </c>
      <c r="AP43" s="1318">
        <f>SUMIFS(40:40,$8:$8,"&gt;="&amp;DATE(YEAR(AP$8),1,1),$8:$8,"&lt;="&amp;EOMONTH(AP$8,0))/SUMIFS(40:40,$8:$8,"&gt;="&amp;DATE(YEAR(AP$8)-1,1,1),$8:$8,"&lt;="&amp;EOMONTH(AP$8,-12))-1</f>
        <v/>
      </c>
      <c r="AQ43" s="1318">
        <f>SUMIFS(40:40,$8:$8,"&gt;="&amp;DATE(YEAR(AQ$8),1,1),$8:$8,"&lt;="&amp;EOMONTH(AQ$8,0))/SUMIFS(40:40,$8:$8,"&gt;="&amp;DATE(YEAR(AQ$8)-1,1,1),$8:$8,"&lt;="&amp;EOMONTH(AQ$8,-12))-1</f>
        <v/>
      </c>
      <c r="AR43" s="1318">
        <f>SUMIFS(40:40,$8:$8,"&gt;="&amp;DATE(YEAR(AR$8),1,1),$8:$8,"&lt;="&amp;EOMONTH(AR$8,0))/SUMIFS(40:40,$8:$8,"&gt;="&amp;DATE(YEAR(AR$8)-1,1,1),$8:$8,"&lt;="&amp;EOMONTH(AR$8,-12))-1</f>
        <v/>
      </c>
      <c r="AS43" s="1318">
        <f>SUMIFS(40:40,$8:$8,"&gt;="&amp;DATE(YEAR(AS$8),1,1),$8:$8,"&lt;="&amp;EOMONTH(AS$8,0))/SUMIFS(40:40,$8:$8,"&gt;="&amp;DATE(YEAR(AS$8)-1,1,1),$8:$8,"&lt;="&amp;EOMONTH(AS$8,-12))-1</f>
        <v/>
      </c>
      <c r="AT43" s="1318">
        <f>SUMIFS(40:40,$8:$8,"&gt;="&amp;DATE(YEAR(AT$8),1,1),$8:$8,"&lt;="&amp;EOMONTH(AT$8,0))/SUMIFS(40:40,$8:$8,"&gt;="&amp;DATE(YEAR(AT$8)-1,1,1),$8:$8,"&lt;="&amp;EOMONTH(AT$8,-12))-1</f>
        <v/>
      </c>
      <c r="AU43" s="1318">
        <f>SUMIFS(40:40,$8:$8,"&gt;="&amp;DATE(YEAR(AU$8),1,1),$8:$8,"&lt;="&amp;EOMONTH(AU$8,0))/SUMIFS(40:40,$8:$8,"&gt;="&amp;DATE(YEAR(AU$8)-1,1,1),$8:$8,"&lt;="&amp;EOMONTH(AU$8,-12))-1</f>
        <v/>
      </c>
      <c r="AV43" s="1318">
        <f>SUMIFS(40:40,$8:$8,"&gt;="&amp;DATE(YEAR(AV$8),1,1),$8:$8,"&lt;="&amp;EOMONTH(AV$8,0))/SUMIFS(40:40,$8:$8,"&gt;="&amp;DATE(YEAR(AV$8)-1,1,1),$8:$8,"&lt;="&amp;EOMONTH(AV$8,-12))-1</f>
        <v/>
      </c>
      <c r="AW43" s="1318">
        <f>SUMIFS(40:40,$8:$8,"&gt;="&amp;DATE(YEAR(AW$8),1,1),$8:$8,"&lt;="&amp;EOMONTH(AW$8,0))/SUMIFS(40:40,$8:$8,"&gt;="&amp;DATE(YEAR(AW$8)-1,1,1),$8:$8,"&lt;="&amp;EOMONTH(AW$8,-12))-1</f>
        <v/>
      </c>
      <c r="AX43" s="1318">
        <f>SUMIFS(40:40,$8:$8,"&gt;="&amp;DATE(YEAR(AX$8),1,1),$8:$8,"&lt;="&amp;EOMONTH(AX$8,0))/SUMIFS(40:40,$8:$8,"&gt;="&amp;DATE(YEAR(AX$8)-1,1,1),$8:$8,"&lt;="&amp;EOMONTH(AX$8,-12))-1</f>
        <v/>
      </c>
      <c r="AY43" s="1318">
        <f>SUMIFS(40:40,$8:$8,"&gt;="&amp;DATE(YEAR(AY$8),1,1),$8:$8,"&lt;="&amp;EOMONTH(AY$8,0))/SUMIFS(40:40,$8:$8,"&gt;="&amp;DATE(YEAR(AY$8)-1,1,1),$8:$8,"&lt;="&amp;EOMONTH(AY$8,-12))-1</f>
        <v/>
      </c>
      <c r="AZ43" s="1318">
        <f>SUMIFS(40:40,$8:$8,"&gt;="&amp;DATE(YEAR(AZ$8),1,1),$8:$8,"&lt;="&amp;EOMONTH(AZ$8,0))/SUMIFS(40:40,$8:$8,"&gt;="&amp;DATE(YEAR(AZ$8)-1,1,1),$8:$8,"&lt;="&amp;EOMONTH(AZ$8,-12))-1</f>
        <v/>
      </c>
      <c r="BA43" s="1318">
        <f>SUMIFS(40:40,$8:$8,"&gt;="&amp;DATE(YEAR(BA$8),1,1),$8:$8,"&lt;="&amp;EOMONTH(BA$8,0))/SUMIFS(40:40,$8:$8,"&gt;="&amp;DATE(YEAR(BA$8)-1,1,1),$8:$8,"&lt;="&amp;EOMONTH(BA$8,-12))-1</f>
        <v/>
      </c>
      <c r="BB43" s="1318">
        <f>SUMIFS(40:40,$8:$8,"&gt;="&amp;DATE(YEAR(BB$8),1,1),$8:$8,"&lt;="&amp;EOMONTH(BB$8,0))/SUMIFS(40:40,$8:$8,"&gt;="&amp;DATE(YEAR(BB$8)-1,1,1),$8:$8,"&lt;="&amp;EOMONTH(BB$8,-12))-1</f>
        <v/>
      </c>
      <c r="BC43" s="1318">
        <f>SUMIFS(40:40,$8:$8,"&gt;="&amp;DATE(YEAR(BC$8),1,1),$8:$8,"&lt;="&amp;EOMONTH(BC$8,0))/SUMIFS(40:40,$8:$8,"&gt;="&amp;DATE(YEAR(BC$8)-1,1,1),$8:$8,"&lt;="&amp;EOMONTH(BC$8,-12))-1</f>
        <v/>
      </c>
      <c r="BD43" s="1318">
        <f>SUMIFS(40:40,$8:$8,"&gt;="&amp;DATE(YEAR(BD$8),1,1),$8:$8,"&lt;="&amp;EOMONTH(BD$8,0))/SUMIFS(40:40,$8:$8,"&gt;="&amp;DATE(YEAR(BD$8)-1,1,1),$8:$8,"&lt;="&amp;EOMONTH(BD$8,-12))-1</f>
        <v/>
      </c>
      <c r="BE43" s="1318">
        <f>SUMIFS(40:40,$8:$8,"&gt;="&amp;DATE(YEAR(BE$8),1,1),$8:$8,"&lt;="&amp;EOMONTH(BE$8,0))/SUMIFS(40:40,$8:$8,"&gt;="&amp;DATE(YEAR(BE$8)-1,1,1),$8:$8,"&lt;="&amp;EOMONTH(BE$8,-12))-1</f>
        <v/>
      </c>
      <c r="BF43" s="1318">
        <f>SUMIFS(40:40,$8:$8,"&gt;="&amp;DATE(YEAR(BF$8),1,1),$8:$8,"&lt;="&amp;EOMONTH(BF$8,0))/SUMIFS(40:40,$8:$8,"&gt;="&amp;DATE(YEAR(BF$8)-1,1,1),$8:$8,"&lt;="&amp;EOMONTH(BF$8,-12))-1</f>
        <v/>
      </c>
      <c r="BG43" s="1318">
        <f>SUMIFS(40:40,$8:$8,"&gt;="&amp;DATE(YEAR(BG$8),1,1),$8:$8,"&lt;="&amp;EOMONTH(BG$8,0))/SUMIFS(40:40,$8:$8,"&gt;="&amp;DATE(YEAR(BG$8)-1,1,1),$8:$8,"&lt;="&amp;EOMONTH(BG$8,-12))-1</f>
        <v/>
      </c>
      <c r="BH43" s="1318">
        <f>SUMIFS(40:40,$8:$8,"&gt;="&amp;DATE(YEAR(BH$8),1,1),$8:$8,"&lt;="&amp;EOMONTH(BH$8,0))/SUMIFS(40:40,$8:$8,"&gt;="&amp;DATE(YEAR(BH$8)-1,1,1),$8:$8,"&lt;="&amp;EOMONTH(BH$8,-12))-1</f>
        <v/>
      </c>
      <c r="BI43" s="1318">
        <f>SUMIFS(40:40,$8:$8,"&gt;="&amp;DATE(YEAR(BI$8),1,1),$8:$8,"&lt;="&amp;EOMONTH(BI$8,0))/SUMIFS(40:40,$8:$8,"&gt;="&amp;DATE(YEAR(BI$8)-1,1,1),$8:$8,"&lt;="&amp;EOMONTH(BI$8,-12))-1</f>
        <v/>
      </c>
      <c r="BJ43" s="1318">
        <f>SUMIFS(40:40,$8:$8,"&gt;="&amp;DATE(YEAR(BJ$8),1,1),$8:$8,"&lt;="&amp;EOMONTH(BJ$8,0))/SUMIFS(40:40,$8:$8,"&gt;="&amp;DATE(YEAR(BJ$8)-1,1,1),$8:$8,"&lt;="&amp;EOMONTH(BJ$8,-12))-1</f>
        <v/>
      </c>
      <c r="BK43" s="1318">
        <f>SUMIFS(40:40,$8:$8,"&gt;="&amp;DATE(YEAR(BK$8),1,1),$8:$8,"&lt;="&amp;EOMONTH(BK$8,0))/SUMIFS(40:40,$8:$8,"&gt;="&amp;DATE(YEAR(BK$8)-1,1,1),$8:$8,"&lt;="&amp;EOMONTH(BK$8,-12))-1</f>
        <v/>
      </c>
      <c r="BL43" s="1318">
        <f>SUMIFS(40:40,$8:$8,"&gt;="&amp;DATE(YEAR(BL$8),1,1),$8:$8,"&lt;="&amp;EOMONTH(BL$8,0))/SUMIFS(40:40,$8:$8,"&gt;="&amp;DATE(YEAR(BL$8)-1,1,1),$8:$8,"&lt;="&amp;EOMONTH(BL$8,-12))-1</f>
        <v/>
      </c>
      <c r="BM43" s="1318">
        <f>SUMIFS(40:40,$8:$8,"&gt;="&amp;DATE(YEAR(BM$8),1,1),$8:$8,"&lt;="&amp;EOMONTH(BM$8,0))/SUMIFS(40:40,$8:$8,"&gt;="&amp;DATE(YEAR(BM$8)-1,1,1),$8:$8,"&lt;="&amp;EOMONTH(BM$8,-12))-1</f>
        <v/>
      </c>
      <c r="BN43" s="1318">
        <f>SUMIFS(40:40,$8:$8,"&gt;="&amp;DATE(YEAR(BN$8),1,1),$8:$8,"&lt;="&amp;EOMONTH(BN$8,0))/SUMIFS(40:40,$8:$8,"&gt;="&amp;DATE(YEAR(BN$8)-1,1,1),$8:$8,"&lt;="&amp;EOMONTH(BN$8,-12))-1</f>
        <v/>
      </c>
      <c r="BO43" s="1318">
        <f>SUMIFS(40:40,$8:$8,"&gt;="&amp;DATE(YEAR(BO$8),1,1),$8:$8,"&lt;="&amp;EOMONTH(BO$8,0))/SUMIFS(40:40,$8:$8,"&gt;="&amp;DATE(YEAR(BO$8)-1,1,1),$8:$8,"&lt;="&amp;EOMONTH(BO$8,-12))-1</f>
        <v/>
      </c>
      <c r="BP43" s="1318">
        <f>SUMIFS(40:40,$8:$8,"&gt;="&amp;DATE(YEAR(BP$8),1,1),$8:$8,"&lt;="&amp;EOMONTH(BP$8,0))/SUMIFS(40:40,$8:$8,"&gt;="&amp;DATE(YEAR(BP$8)-1,1,1),$8:$8,"&lt;="&amp;EOMONTH(BP$8,-12))-1</f>
        <v/>
      </c>
      <c r="BQ43" s="1318">
        <f>SUMIFS(40:40,$8:$8,"&gt;="&amp;DATE(YEAR(BQ$8),1,1),$8:$8,"&lt;="&amp;EOMONTH(BQ$8,0))/SUMIFS(40:40,$8:$8,"&gt;="&amp;DATE(YEAR(BQ$8)-1,1,1),$8:$8,"&lt;="&amp;EOMONTH(BQ$8,-12))-1</f>
        <v/>
      </c>
      <c r="BR43" s="1318">
        <f>SUMIFS(40:40,$8:$8,"&gt;="&amp;DATE(YEAR(BR$8),1,1),$8:$8,"&lt;="&amp;EOMONTH(BR$8,0))/SUMIFS(40:40,$8:$8,"&gt;="&amp;DATE(YEAR(BR$8)-1,1,1),$8:$8,"&lt;="&amp;EOMONTH(BR$8,-12))-1</f>
        <v/>
      </c>
      <c r="BS43" s="1318">
        <f>SUMIFS(40:40,$8:$8,"&gt;="&amp;DATE(YEAR(BS$8),1,1),$8:$8,"&lt;="&amp;EOMONTH(BS$8,0))/SUMIFS(40:40,$8:$8,"&gt;="&amp;DATE(YEAR(BS$8)-1,1,1),$8:$8,"&lt;="&amp;EOMONTH(BS$8,-12))-1</f>
        <v/>
      </c>
      <c r="BT43" s="1318">
        <f>SUMIFS(40:40,$8:$8,"&gt;="&amp;DATE(YEAR(BT$8),1,1),$8:$8,"&lt;="&amp;EOMONTH(BT$8,0))/SUMIFS(40:40,$8:$8,"&gt;="&amp;DATE(YEAR(BT$8)-1,1,1),$8:$8,"&lt;="&amp;EOMONTH(BT$8,-12))-1</f>
        <v/>
      </c>
      <c r="BU43" s="1318">
        <f>SUMIFS(40:40,$8:$8,"&gt;="&amp;DATE(YEAR(BU$8),1,1),$8:$8,"&lt;="&amp;EOMONTH(BU$8,0))/SUMIFS(40:40,$8:$8,"&gt;="&amp;DATE(YEAR(BU$8)-1,1,1),$8:$8,"&lt;="&amp;EOMONTH(BU$8,-12))-1</f>
        <v/>
      </c>
      <c r="BV43" s="1318">
        <f>SUMIFS(40:40,$8:$8,"&gt;="&amp;DATE(YEAR(BV$8),1,1),$8:$8,"&lt;="&amp;EOMONTH(BV$8,0))/SUMIFS(40:40,$8:$8,"&gt;="&amp;DATE(YEAR(BV$8)-1,1,1),$8:$8,"&lt;="&amp;EOMONTH(BV$8,-12))-1</f>
        <v/>
      </c>
      <c r="BW43" s="1318">
        <f>SUMIFS(40:40,$8:$8,"&gt;="&amp;DATE(YEAR(BW$8),1,1),$8:$8,"&lt;="&amp;EOMONTH(BW$8,0))/SUMIFS(40:40,$8:$8,"&gt;="&amp;DATE(YEAR(BW$8)-1,1,1),$8:$8,"&lt;="&amp;EOMONTH(BW$8,-12))-1</f>
        <v/>
      </c>
      <c r="BX43" s="1318">
        <f>SUMIFS(40:40,$8:$8,"&gt;="&amp;DATE(YEAR(BX$8),1,1),$8:$8,"&lt;="&amp;EOMONTH(BX$8,0))/SUMIFS(40:40,$8:$8,"&gt;="&amp;DATE(YEAR(BX$8)-1,1,1),$8:$8,"&lt;="&amp;EOMONTH(BX$8,-12))-1</f>
        <v/>
      </c>
      <c r="BY43" s="1318">
        <f>SUMIFS(40:40,$8:$8,"&gt;="&amp;DATE(YEAR(BY$8),1,1),$8:$8,"&lt;="&amp;EOMONTH(BY$8,0))/SUMIFS(40:40,$8:$8,"&gt;="&amp;DATE(YEAR(BY$8)-1,1,1),$8:$8,"&lt;="&amp;EOMONTH(BY$8,-12))-1</f>
        <v/>
      </c>
      <c r="BZ43" s="1318">
        <f>SUMIFS(40:40,$8:$8,"&gt;="&amp;DATE(YEAR(BZ$8),1,1),$8:$8,"&lt;="&amp;EOMONTH(BZ$8,0))/SUMIFS(40:40,$8:$8,"&gt;="&amp;DATE(YEAR(BZ$8)-1,1,1),$8:$8,"&lt;="&amp;EOMONTH(BZ$8,-12))-1</f>
        <v/>
      </c>
      <c r="CA43" s="1318">
        <f>SUMIFS(40:40,$8:$8,"&gt;="&amp;DATE(YEAR(CA$8),1,1),$8:$8,"&lt;="&amp;EOMONTH(CA$8,0))/SUMIFS(40:40,$8:$8,"&gt;="&amp;DATE(YEAR(CA$8)-1,1,1),$8:$8,"&lt;="&amp;EOMONTH(CA$8,-12))-1</f>
        <v/>
      </c>
      <c r="CB43" s="1318">
        <f>SUMIFS(40:40,$8:$8,"&gt;="&amp;DATE(YEAR(CB$8),1,1),$8:$8,"&lt;="&amp;EOMONTH(CB$8,0))/SUMIFS(40:40,$8:$8,"&gt;="&amp;DATE(YEAR(CB$8)-1,1,1),$8:$8,"&lt;="&amp;EOMONTH(CB$8,-12))-1</f>
        <v/>
      </c>
      <c r="CC43" s="1318">
        <f>SUMIFS(40:40,$8:$8,"&gt;="&amp;DATE(YEAR(CC$8),1,1),$8:$8,"&lt;="&amp;EOMONTH(CC$8,0))/SUMIFS(40:40,$8:$8,"&gt;="&amp;DATE(YEAR(CC$8)-1,1,1),$8:$8,"&lt;="&amp;EOMONTH(CC$8,-12))-1</f>
        <v/>
      </c>
      <c r="CD43" s="1318">
        <f>SUMIFS(40:40,$8:$8,"&gt;="&amp;DATE(YEAR(CD$8),1,1),$8:$8,"&lt;="&amp;EOMONTH(CD$8,0))/SUMIFS(40:40,$8:$8,"&gt;="&amp;DATE(YEAR(CD$8)-1,1,1),$8:$8,"&lt;="&amp;EOMONTH(CD$8,-12))-1</f>
        <v/>
      </c>
      <c r="CE43" s="1318">
        <f>SUMIFS(40:40,$8:$8,"&gt;="&amp;DATE(YEAR(CE$8),1,1),$8:$8,"&lt;="&amp;EOMONTH(CE$8,0))/SUMIFS(40:40,$8:$8,"&gt;="&amp;DATE(YEAR(CE$8)-1,1,1),$8:$8,"&lt;="&amp;EOMONTH(CE$8,-12))-1</f>
        <v/>
      </c>
      <c r="CF43" s="1318">
        <f>SUMIFS(40:40,$8:$8,"&gt;="&amp;DATE(YEAR(CF$8),1,1),$8:$8,"&lt;="&amp;EOMONTH(CF$8,0))/SUMIFS(40:40,$8:$8,"&gt;="&amp;DATE(YEAR(CF$8)-1,1,1),$8:$8,"&lt;="&amp;EOMONTH(CF$8,-12))-1</f>
        <v/>
      </c>
      <c r="CG43" s="1318">
        <f>SUMIFS(40:40,$8:$8,"&gt;="&amp;DATE(YEAR(CG$8),1,1),$8:$8,"&lt;="&amp;EOMONTH(CG$8,0))/SUMIFS(40:40,$8:$8,"&gt;="&amp;DATE(YEAR(CG$8)-1,1,1),$8:$8,"&lt;="&amp;EOMONTH(CG$8,-12))-1</f>
        <v/>
      </c>
      <c r="CH43" s="1318">
        <f>SUMIFS(40:40,$8:$8,"&gt;="&amp;DATE(YEAR(CH$8),1,1),$8:$8,"&lt;="&amp;EOMONTH(CH$8,0))/SUMIFS(40:40,$8:$8,"&gt;="&amp;DATE(YEAR(CH$8)-1,1,1),$8:$8,"&lt;="&amp;EOMONTH(CH$8,-12))-1</f>
        <v/>
      </c>
      <c r="CI43" s="1318">
        <f>SUMIFS(40:40,$8:$8,"&gt;="&amp;DATE(YEAR(CI$8),1,1),$8:$8,"&lt;="&amp;EOMONTH(CI$8,0))/SUMIFS(40:40,$8:$8,"&gt;="&amp;DATE(YEAR(CI$8)-1,1,1),$8:$8,"&lt;="&amp;EOMONTH(CI$8,-12))-1</f>
        <v/>
      </c>
      <c r="CJ43" s="1318">
        <f>SUMIFS(40:40,$8:$8,"&gt;="&amp;DATE(YEAR(CJ$8),1,1),$8:$8,"&lt;="&amp;EOMONTH(CJ$8,0))/SUMIFS(40:40,$8:$8,"&gt;="&amp;DATE(YEAR(CJ$8)-1,1,1),$8:$8,"&lt;="&amp;EOMONTH(CJ$8,-12))-1</f>
        <v/>
      </c>
      <c r="CK43" s="1318">
        <f>SUMIFS(40:40,$8:$8,"&gt;="&amp;DATE(YEAR(CK$8),1,1),$8:$8,"&lt;="&amp;EOMONTH(CK$8,0))/SUMIFS(40:40,$8:$8,"&gt;="&amp;DATE(YEAR(CK$8)-1,1,1),$8:$8,"&lt;="&amp;EOMONTH(CK$8,-12))-1</f>
        <v/>
      </c>
      <c r="CL43" s="1318">
        <f>SUMIFS(40:40,$8:$8,"&gt;="&amp;DATE(YEAR(CL$8),1,1),$8:$8,"&lt;="&amp;EOMONTH(CL$8,0))/SUMIFS(40:40,$8:$8,"&gt;="&amp;DATE(YEAR(CL$8)-1,1,1),$8:$8,"&lt;="&amp;EOMONTH(CL$8,-12))-1</f>
        <v/>
      </c>
      <c r="CM43" s="1318">
        <f>SUMIFS(40:40,$8:$8,"&gt;="&amp;DATE(YEAR(CM$8),1,1),$8:$8,"&lt;="&amp;EOMONTH(CM$8,0))/SUMIFS(40:40,$8:$8,"&gt;="&amp;DATE(YEAR(CM$8)-1,1,1),$8:$8,"&lt;="&amp;EOMONTH(CM$8,-12))-1</f>
        <v/>
      </c>
      <c r="CN43" s="1318">
        <f>SUMIFS(40:40,$8:$8,"&gt;="&amp;DATE(YEAR(CN$8),1,1),$8:$8,"&lt;="&amp;EOMONTH(CN$8,0))/SUMIFS(40:40,$8:$8,"&gt;="&amp;DATE(YEAR(CN$8)-1,1,1),$8:$8,"&lt;="&amp;EOMONTH(CN$8,-12))-1</f>
        <v/>
      </c>
      <c r="CO43" s="1318">
        <f>SUMIFS(40:40,$8:$8,"&gt;="&amp;DATE(YEAR(CO$8),1,1),$8:$8,"&lt;="&amp;EOMONTH(CO$8,0))/SUMIFS(40:40,$8:$8,"&gt;="&amp;DATE(YEAR(CO$8)-1,1,1),$8:$8,"&lt;="&amp;EOMONTH(CO$8,-12))-1</f>
        <v/>
      </c>
      <c r="CP43" s="1318">
        <f>SUMIFS(40:40,$8:$8,"&gt;="&amp;DATE(YEAR(CP$8),1,1),$8:$8,"&lt;="&amp;EOMONTH(CP$8,0))/SUMIFS(40:40,$8:$8,"&gt;="&amp;DATE(YEAR(CP$8)-1,1,1),$8:$8,"&lt;="&amp;EOMONTH(CP$8,-12))-1</f>
        <v/>
      </c>
      <c r="CQ43" s="1318">
        <f>SUMIFS(40:40,$8:$8,"&gt;="&amp;DATE(YEAR(CQ$8),1,1),$8:$8,"&lt;="&amp;EOMONTH(CQ$8,0))/SUMIFS(40:40,$8:$8,"&gt;="&amp;DATE(YEAR(CQ$8)-1,1,1),$8:$8,"&lt;="&amp;EOMONTH(CQ$8,-12))-1</f>
        <v/>
      </c>
      <c r="CR43" s="1318">
        <f>SUMIFS(40:40,$8:$8,"&gt;="&amp;DATE(YEAR(CR$8),1,1),$8:$8,"&lt;="&amp;EOMONTH(CR$8,0))/SUMIFS(40:40,$8:$8,"&gt;="&amp;DATE(YEAR(CR$8)-1,1,1),$8:$8,"&lt;="&amp;EOMONTH(CR$8,-12))-1</f>
        <v/>
      </c>
      <c r="CS43" s="1318">
        <f>SUMIFS(40:40,$8:$8,"&gt;="&amp;DATE(YEAR(CS$8),1,1),$8:$8,"&lt;="&amp;EOMONTH(CS$8,0))/SUMIFS(40:40,$8:$8,"&gt;="&amp;DATE(YEAR(CS$8)-1,1,1),$8:$8,"&lt;="&amp;EOMONTH(CS$8,-12))-1</f>
        <v/>
      </c>
      <c r="CT43" s="1318">
        <f>SUMIFS(40:40,$8:$8,"&gt;="&amp;DATE(YEAR(CT$8),1,1),$8:$8,"&lt;="&amp;EOMONTH(CT$8,0))/SUMIFS(40:40,$8:$8,"&gt;="&amp;DATE(YEAR(CT$8)-1,1,1),$8:$8,"&lt;="&amp;EOMONTH(CT$8,-12))-1</f>
        <v/>
      </c>
      <c r="CU43" s="1318">
        <f>SUMIFS(40:40,$8:$8,"&gt;="&amp;DATE(YEAR(CU$8),1,1),$8:$8,"&lt;="&amp;EOMONTH(CU$8,0))/SUMIFS(40:40,$8:$8,"&gt;="&amp;DATE(YEAR(CU$8)-1,1,1),$8:$8,"&lt;="&amp;EOMONTH(CU$8,-12))-1</f>
        <v/>
      </c>
      <c r="CV43" s="1318">
        <f>SUMIFS(40:40,$8:$8,"&gt;="&amp;DATE(YEAR(CV$8),1,1),$8:$8,"&lt;="&amp;EOMONTH(CV$8,0))/SUMIFS(40:40,$8:$8,"&gt;="&amp;DATE(YEAR(CV$8)-1,1,1),$8:$8,"&lt;="&amp;EOMONTH(CV$8,-12))-1</f>
        <v/>
      </c>
      <c r="CW43" s="1318">
        <f>SUMIFS(40:40,$8:$8,"&gt;="&amp;DATE(YEAR(CW$8),1,1),$8:$8,"&lt;="&amp;EOMONTH(CW$8,0))/SUMIFS(40:40,$8:$8,"&gt;="&amp;DATE(YEAR(CW$8)-1,1,1),$8:$8,"&lt;="&amp;EOMONTH(CW$8,-12))-1</f>
        <v/>
      </c>
      <c r="CX43" s="1318">
        <f>SUMIFS(40:40,$8:$8,"&gt;="&amp;DATE(YEAR(CX$8),1,1),$8:$8,"&lt;="&amp;EOMONTH(CX$8,0))/SUMIFS(40:40,$8:$8,"&gt;="&amp;DATE(YEAR(CX$8)-1,1,1),$8:$8,"&lt;="&amp;EOMONTH(CX$8,-12))-1</f>
        <v/>
      </c>
      <c r="CY43" s="1318">
        <f>SUMIFS(40:40,$8:$8,"&gt;="&amp;DATE(YEAR(CY$8),1,1),$8:$8,"&lt;="&amp;EOMONTH(CY$8,0))/SUMIFS(40:40,$8:$8,"&gt;="&amp;DATE(YEAR(CY$8)-1,1,1),$8:$8,"&lt;="&amp;EOMONTH(CY$8,-12))-1</f>
        <v/>
      </c>
      <c r="CZ43" s="1318">
        <f>SUMIFS(40:40,$8:$8,"&gt;="&amp;DATE(YEAR(CZ$8),1,1),$8:$8,"&lt;="&amp;EOMONTH(CZ$8,0))/SUMIFS(40:40,$8:$8,"&gt;="&amp;DATE(YEAR(CZ$8)-1,1,1),$8:$8,"&lt;="&amp;EOMONTH(CZ$8,-12))-1</f>
        <v/>
      </c>
      <c r="DA43" s="1318">
        <f>SUMIFS(40:40,$8:$8,"&gt;="&amp;DATE(YEAR(DA$8),1,1),$8:$8,"&lt;="&amp;EOMONTH(DA$8,0))/SUMIFS(40:40,$8:$8,"&gt;="&amp;DATE(YEAR(DA$8)-1,1,1),$8:$8,"&lt;="&amp;EOMONTH(DA$8,-12))-1</f>
        <v/>
      </c>
      <c r="DB43" s="1318">
        <f>SUMIFS(40:40,$8:$8,"&gt;="&amp;DATE(YEAR(DB$8),1,1),$8:$8,"&lt;="&amp;EOMONTH(DB$8,0))/SUMIFS(40:40,$8:$8,"&gt;="&amp;DATE(YEAR(DB$8)-1,1,1),$8:$8,"&lt;="&amp;EOMONTH(DB$8,-12))-1</f>
        <v/>
      </c>
      <c r="DC43" s="1318">
        <f>SUMIFS(40:40,$8:$8,"&gt;="&amp;DATE(YEAR(DC$8),1,1),$8:$8,"&lt;="&amp;EOMONTH(DC$8,0))/SUMIFS(40:40,$8:$8,"&gt;="&amp;DATE(YEAR(DC$8)-1,1,1),$8:$8,"&lt;="&amp;EOMONTH(DC$8,-12))-1</f>
        <v/>
      </c>
      <c r="DD43" s="1318">
        <f>SUMIFS(40:40,$8:$8,"&gt;="&amp;DATE(YEAR(DD$8),1,1),$8:$8,"&lt;="&amp;EOMONTH(DD$8,0))/SUMIFS(40:40,$8:$8,"&gt;="&amp;DATE(YEAR(DD$8)-1,1,1),$8:$8,"&lt;="&amp;EOMONTH(DD$8,-12))-1</f>
        <v/>
      </c>
      <c r="DE43" s="1318">
        <f>SUMIFS(40:40,$8:$8,"&gt;="&amp;DATE(YEAR(DE$8),1,1),$8:$8,"&lt;="&amp;EOMONTH(DE$8,0))/SUMIFS(40:40,$8:$8,"&gt;="&amp;DATE(YEAR(DE$8)-1,1,1),$8:$8,"&lt;="&amp;EOMONTH(DE$8,-12))-1</f>
        <v/>
      </c>
      <c r="DF43" s="1318">
        <f>SUMIFS(40:40,$8:$8,"&gt;="&amp;DATE(YEAR(DF$8),1,1),$8:$8,"&lt;="&amp;EOMONTH(DF$8,0))/SUMIFS(40:40,$8:$8,"&gt;="&amp;DATE(YEAR(DF$8)-1,1,1),$8:$8,"&lt;="&amp;EOMONTH(DF$8,-12))-1</f>
        <v/>
      </c>
      <c r="DG43" s="1318">
        <f>SUMIFS(40:40,$8:$8,"&gt;="&amp;DATE(YEAR(DG$8),1,1),$8:$8,"&lt;="&amp;EOMONTH(DG$8,0))/SUMIFS(40:40,$8:$8,"&gt;="&amp;DATE(YEAR(DG$8)-1,1,1),$8:$8,"&lt;="&amp;EOMONTH(DG$8,-12))-1</f>
        <v/>
      </c>
      <c r="DH43" s="1318">
        <f>SUMIFS(40:40,$8:$8,"&gt;="&amp;DATE(YEAR(DH$8),1,1),$8:$8,"&lt;="&amp;EOMONTH(DH$8,0))/SUMIFS(40:40,$8:$8,"&gt;="&amp;DATE(YEAR(DH$8)-1,1,1),$8:$8,"&lt;="&amp;EOMONTH(DH$8,-12))-1</f>
        <v/>
      </c>
      <c r="DI43" s="1318">
        <f>SUMIFS(40:40,$8:$8,"&gt;="&amp;DATE(YEAR(DI$8),1,1),$8:$8,"&lt;="&amp;EOMONTH(DI$8,0))/SUMIFS(40:40,$8:$8,"&gt;="&amp;DATE(YEAR(DI$8)-1,1,1),$8:$8,"&lt;="&amp;EOMONTH(DI$8,-12))-1</f>
        <v/>
      </c>
      <c r="DJ43" s="1318">
        <f>SUMIFS(40:40,$8:$8,"&gt;="&amp;DATE(YEAR(DJ$8),1,1),$8:$8,"&lt;="&amp;EOMONTH(DJ$8,0))/SUMIFS(40:40,$8:$8,"&gt;="&amp;DATE(YEAR(DJ$8)-1,1,1),$8:$8,"&lt;="&amp;EOMONTH(DJ$8,-12))-1</f>
        <v/>
      </c>
      <c r="DK43" s="1318">
        <f>SUMIFS(40:40,$8:$8,"&gt;="&amp;DATE(YEAR(DK$8),1,1),$8:$8,"&lt;="&amp;EOMONTH(DK$8,0))/SUMIFS(40:40,$8:$8,"&gt;="&amp;DATE(YEAR(DK$8)-1,1,1),$8:$8,"&lt;="&amp;EOMONTH(DK$8,-12))-1</f>
        <v/>
      </c>
      <c r="DL43" s="1318">
        <f>SUMIFS(40:40,$8:$8,"&gt;="&amp;DATE(YEAR(DL$8),1,1),$8:$8,"&lt;="&amp;EOMONTH(DL$8,0))/SUMIFS(40:40,$8:$8,"&gt;="&amp;DATE(YEAR(DL$8)-1,1,1),$8:$8,"&lt;="&amp;EOMONTH(DL$8,-12))-1</f>
        <v/>
      </c>
      <c r="DM43" s="1318">
        <f>SUMIFS(40:40,$8:$8,"&gt;="&amp;DATE(YEAR(DM$8),1,1),$8:$8,"&lt;="&amp;EOMONTH(DM$8,0))/SUMIFS(40:40,$8:$8,"&gt;="&amp;DATE(YEAR(DM$8)-1,1,1),$8:$8,"&lt;="&amp;EOMONTH(DM$8,-12))-1</f>
        <v/>
      </c>
      <c r="DN43" s="1318">
        <f>SUMIFS(40:40,$8:$8,"&gt;="&amp;DATE(YEAR(DN$8),1,1),$8:$8,"&lt;="&amp;EOMONTH(DN$8,0))/SUMIFS(40:40,$8:$8,"&gt;="&amp;DATE(YEAR(DN$8)-1,1,1),$8:$8,"&lt;="&amp;EOMONTH(DN$8,-12))-1</f>
        <v/>
      </c>
      <c r="DO43" s="1318">
        <f>SUMIFS(40:40,$8:$8,"&gt;="&amp;DATE(YEAR(DO$8),1,1),$8:$8,"&lt;="&amp;EOMONTH(DO$8,0))/SUMIFS(40:40,$8:$8,"&gt;="&amp;DATE(YEAR(DO$8)-1,1,1),$8:$8,"&lt;="&amp;EOMONTH(DO$8,-12))-1</f>
        <v/>
      </c>
      <c r="DP43" s="1318">
        <f>SUMIFS(40:40,$8:$8,"&gt;="&amp;DATE(YEAR(DP$8),1,1),$8:$8,"&lt;="&amp;EOMONTH(DP$8,0))/SUMIFS(40:40,$8:$8,"&gt;="&amp;DATE(YEAR(DP$8)-1,1,1),$8:$8,"&lt;="&amp;EOMONTH(DP$8,-12))-1</f>
        <v/>
      </c>
      <c r="DQ43" s="1318">
        <f>SUMIFS(40:40,$8:$8,"&gt;="&amp;DATE(YEAR(DQ$8),1,1),$8:$8,"&lt;="&amp;EOMONTH(DQ$8,0))/SUMIFS(40:40,$8:$8,"&gt;="&amp;DATE(YEAR(DQ$8)-1,1,1),$8:$8,"&lt;="&amp;EOMONTH(DQ$8,-12))-1</f>
        <v/>
      </c>
      <c r="DR43" s="1318">
        <f>SUMIFS(40:40,$8:$8,"&gt;="&amp;DATE(YEAR(DR$8),1,1),$8:$8,"&lt;="&amp;EOMONTH(DR$8,0))/SUMIFS(40:40,$8:$8,"&gt;="&amp;DATE(YEAR(DR$8)-1,1,1),$8:$8,"&lt;="&amp;EOMONTH(DR$8,-12))-1</f>
        <v/>
      </c>
      <c r="DS43" s="1318">
        <f>SUMIFS(40:40,$8:$8,"&gt;="&amp;DATE(YEAR(DS$8),1,1),$8:$8,"&lt;="&amp;EOMONTH(DS$8,0))/SUMIFS(40:40,$8:$8,"&gt;="&amp;DATE(YEAR(DS$8)-1,1,1),$8:$8,"&lt;="&amp;EOMONTH(DS$8,-12))-1</f>
        <v/>
      </c>
      <c r="DT43" s="1318">
        <f>SUMIFS(40:40,$8:$8,"&gt;="&amp;DATE(YEAR(DT$8),1,1),$8:$8,"&lt;="&amp;EOMONTH(DT$8,0))/SUMIFS(40:40,$8:$8,"&gt;="&amp;DATE(YEAR(DT$8)-1,1,1),$8:$8,"&lt;="&amp;EOMONTH(DT$8,-12))-1</f>
        <v/>
      </c>
      <c r="DU43" s="1318">
        <f>SUMIFS(40:40,$8:$8,"&gt;="&amp;DATE(YEAR(DU$8),1,1),$8:$8,"&lt;="&amp;EOMONTH(DU$8,0))/SUMIFS(40:40,$8:$8,"&gt;="&amp;DATE(YEAR(DU$8)-1,1,1),$8:$8,"&lt;="&amp;EOMONTH(DU$8,-12))-1</f>
        <v/>
      </c>
      <c r="DV43" s="1318">
        <f>SUMIFS(40:40,$8:$8,"&gt;="&amp;DATE(YEAR(DV$8),1,1),$8:$8,"&lt;="&amp;EOMONTH(DV$8,0))/SUMIFS(40:40,$8:$8,"&gt;="&amp;DATE(YEAR(DV$8)-1,1,1),$8:$8,"&lt;="&amp;EOMONTH(DV$8,-12))-1</f>
        <v/>
      </c>
      <c r="DW43" s="1318">
        <f>SUMIFS(40:40,$8:$8,"&gt;="&amp;DATE(YEAR(DW$8),1,1),$8:$8,"&lt;="&amp;EOMONTH(DW$8,0))/SUMIFS(40:40,$8:$8,"&gt;="&amp;DATE(YEAR(DW$8)-1,1,1),$8:$8,"&lt;="&amp;EOMONTH(DW$8,-12))-1</f>
        <v/>
      </c>
      <c r="DX43" s="1318">
        <f>SUMIFS(40:40,$8:$8,"&gt;="&amp;DATE(YEAR(DX$8),1,1),$8:$8,"&lt;="&amp;EOMONTH(DX$8,0))/SUMIFS(40:40,$8:$8,"&gt;="&amp;DATE(YEAR(DX$8)-1,1,1),$8:$8,"&lt;="&amp;EOMONTH(DX$8,-12))-1</f>
        <v/>
      </c>
      <c r="DY43" s="1318">
        <f>SUMIFS(40:40,$8:$8,"&gt;="&amp;DATE(YEAR(DY$8),1,1),$8:$8,"&lt;="&amp;EOMONTH(DY$8,0))/SUMIFS(40:40,$8:$8,"&gt;="&amp;DATE(YEAR(DY$8)-1,1,1),$8:$8,"&lt;="&amp;EOMONTH(DY$8,-12))-1</f>
        <v/>
      </c>
      <c r="DZ43" s="1318">
        <f>SUMIFS(40:40,$8:$8,"&gt;="&amp;DATE(YEAR(DZ$8),1,1),$8:$8,"&lt;="&amp;EOMONTH(DZ$8,0))/SUMIFS(40:40,$8:$8,"&gt;="&amp;DATE(YEAR(DZ$8)-1,1,1),$8:$8,"&lt;="&amp;EOMONTH(DZ$8,-12))-1</f>
        <v/>
      </c>
      <c r="EA43" s="1318">
        <f>SUMIFS(40:40,$8:$8,"&gt;="&amp;DATE(YEAR(EA$8),1,1),$8:$8,"&lt;="&amp;EOMONTH(EA$8,0))/SUMIFS(40:40,$8:$8,"&gt;="&amp;DATE(YEAR(EA$8)-1,1,1),$8:$8,"&lt;="&amp;EOMONTH(EA$8,-12))-1</f>
        <v/>
      </c>
      <c r="EB43" s="1318">
        <f>SUMIFS(40:40,$8:$8,"&gt;="&amp;DATE(YEAR(EB$8),1,1),$8:$8,"&lt;="&amp;EOMONTH(EB$8,0))/SUMIFS(40:40,$8:$8,"&gt;="&amp;DATE(YEAR(EB$8)-1,1,1),$8:$8,"&lt;="&amp;EOMONTH(EB$8,-12))-1</f>
        <v/>
      </c>
      <c r="EC43" s="1318">
        <f>SUMIFS(40:40,$8:$8,"&gt;="&amp;DATE(YEAR(EC$8),1,1),$8:$8,"&lt;="&amp;EOMONTH(EC$8,0))/SUMIFS(40:40,$8:$8,"&gt;="&amp;DATE(YEAR(EC$8)-1,1,1),$8:$8,"&lt;="&amp;EOMONTH(EC$8,-12))-1</f>
        <v/>
      </c>
      <c r="ED43" s="1318">
        <f>SUMIFS(40:40,$8:$8,"&gt;="&amp;DATE(YEAR(ED$8),1,1),$8:$8,"&lt;="&amp;EOMONTH(ED$8,0))/SUMIFS(40:40,$8:$8,"&gt;="&amp;DATE(YEAR(ED$8)-1,1,1),$8:$8,"&lt;="&amp;EOMONTH(ED$8,-12))-1</f>
        <v/>
      </c>
      <c r="EE43" s="1318">
        <f>SUMIFS(40:40,$8:$8,"&gt;="&amp;DATE(YEAR(EE$8),1,1),$8:$8,"&lt;="&amp;EOMONTH(EE$8,0))/SUMIFS(40:40,$8:$8,"&gt;="&amp;DATE(YEAR(EE$8)-1,1,1),$8:$8,"&lt;="&amp;EOMONTH(EE$8,-12))-1</f>
        <v/>
      </c>
      <c r="EF43" s="1318">
        <f>SUMIFS(40:40,$8:$8,"&gt;="&amp;DATE(YEAR(EF$8),1,1),$8:$8,"&lt;="&amp;EOMONTH(EF$8,0))/SUMIFS(40:40,$8:$8,"&gt;="&amp;DATE(YEAR(EF$8)-1,1,1),$8:$8,"&lt;="&amp;EOMONTH(EF$8,-12))-1</f>
        <v/>
      </c>
      <c r="EG43" s="1318">
        <f>SUMIFS(40:40,$8:$8,"&gt;="&amp;DATE(YEAR(EG$8),1,1),$8:$8,"&lt;="&amp;EOMONTH(EG$8,0))/SUMIFS(40:40,$8:$8,"&gt;="&amp;DATE(YEAR(EG$8)-1,1,1),$8:$8,"&lt;="&amp;EOMONTH(EG$8,-12))-1</f>
        <v/>
      </c>
      <c r="EH43" s="1318">
        <f>SUMIFS(40:40,$8:$8,"&gt;="&amp;DATE(YEAR(EH$8),1,1),$8:$8,"&lt;="&amp;EOMONTH(EH$8,0))/SUMIFS(40:40,$8:$8,"&gt;="&amp;DATE(YEAR(EH$8)-1,1,1),$8:$8,"&lt;="&amp;EOMONTH(EH$8,-12))-1</f>
        <v/>
      </c>
      <c r="EI43" s="1318">
        <f>SUMIFS(40:40,$8:$8,"&gt;="&amp;DATE(YEAR(EI$8),1,1),$8:$8,"&lt;="&amp;EOMONTH(EI$8,0))/SUMIFS(40:40,$8:$8,"&gt;="&amp;DATE(YEAR(EI$8)-1,1,1),$8:$8,"&lt;="&amp;EOMONTH(EI$8,-12))-1</f>
        <v/>
      </c>
      <c r="EJ43" s="1318">
        <f>SUMIFS(40:40,$8:$8,"&gt;="&amp;DATE(YEAR(EJ$8),1,1),$8:$8,"&lt;="&amp;EOMONTH(EJ$8,0))/SUMIFS(40:40,$8:$8,"&gt;="&amp;DATE(YEAR(EJ$8)-1,1,1),$8:$8,"&lt;="&amp;EOMONTH(EJ$8,-12))-1</f>
        <v/>
      </c>
      <c r="EK43" s="1318">
        <f>SUMIFS(40:40,$8:$8,"&gt;="&amp;DATE(YEAR(EK$8),1,1),$8:$8,"&lt;="&amp;EOMONTH(EK$8,0))/SUMIFS(40:40,$8:$8,"&gt;="&amp;DATE(YEAR(EK$8)-1,1,1),$8:$8,"&lt;="&amp;EOMONTH(EK$8,-12))-1</f>
        <v/>
      </c>
      <c r="EL43" s="1318">
        <f>SUMIFS(40:40,$8:$8,"&gt;="&amp;DATE(YEAR(EL$8),1,1),$8:$8,"&lt;="&amp;EOMONTH(EL$8,0))/SUMIFS(40:40,$8:$8,"&gt;="&amp;DATE(YEAR(EL$8)-1,1,1),$8:$8,"&lt;="&amp;EOMONTH(EL$8,-12))-1</f>
        <v/>
      </c>
      <c r="EM43" s="1318">
        <f>SUMIFS(40:40,$8:$8,"&gt;="&amp;DATE(YEAR(EM$8),1,1),$8:$8,"&lt;="&amp;EOMONTH(EM$8,0))/SUMIFS(40:40,$8:$8,"&gt;="&amp;DATE(YEAR(EM$8)-1,1,1),$8:$8,"&lt;="&amp;EOMONTH(EM$8,-12))-1</f>
        <v/>
      </c>
      <c r="EN43" s="1318">
        <f>SUMIFS(40:40,$8:$8,"&gt;="&amp;DATE(YEAR(EN$8),1,1),$8:$8,"&lt;="&amp;EOMONTH(EN$8,0))/SUMIFS(40:40,$8:$8,"&gt;="&amp;DATE(YEAR(EN$8)-1,1,1),$8:$8,"&lt;="&amp;EOMONTH(EN$8,-12))-1</f>
        <v/>
      </c>
      <c r="EO43" s="1318">
        <f>SUMIFS(40:40,$8:$8,"&gt;="&amp;DATE(YEAR(EO$8),1,1),$8:$8,"&lt;="&amp;EOMONTH(EO$8,0))/SUMIFS(40:40,$8:$8,"&gt;="&amp;DATE(YEAR(EO$8)-1,1,1),$8:$8,"&lt;="&amp;EOMONTH(EO$8,-12))-1</f>
        <v/>
      </c>
      <c r="EP43" s="1318">
        <f>SUMIFS(40:40,$8:$8,"&gt;="&amp;DATE(YEAR(EP$8),1,1),$8:$8,"&lt;="&amp;EOMONTH(EP$8,0))/SUMIFS(40:40,$8:$8,"&gt;="&amp;DATE(YEAR(EP$8)-1,1,1),$8:$8,"&lt;="&amp;EOMONTH(EP$8,-12))-1</f>
        <v/>
      </c>
      <c r="EQ43" s="1318">
        <f>SUMIFS(40:40,$8:$8,"&gt;="&amp;DATE(YEAR(EQ$8),1,1),$8:$8,"&lt;="&amp;EOMONTH(EQ$8,0))/SUMIFS(40:40,$8:$8,"&gt;="&amp;DATE(YEAR(EQ$8)-1,1,1),$8:$8,"&lt;="&amp;EOMONTH(EQ$8,-12))-1</f>
        <v/>
      </c>
      <c r="ER43" s="1318">
        <f>SUMIFS(40:40,$8:$8,"&gt;="&amp;DATE(YEAR(ER$8),1,1),$8:$8,"&lt;="&amp;EOMONTH(ER$8,0))/SUMIFS(40:40,$8:$8,"&gt;="&amp;DATE(YEAR(ER$8)-1,1,1),$8:$8,"&lt;="&amp;EOMONTH(ER$8,-12))-1</f>
        <v/>
      </c>
      <c r="ES43" s="1318">
        <f>SUMIFS(40:40,$8:$8,"&gt;="&amp;DATE(YEAR(ES$8),1,1),$8:$8,"&lt;="&amp;EOMONTH(ES$8,0))/SUMIFS(40:40,$8:$8,"&gt;="&amp;DATE(YEAR(ES$8)-1,1,1),$8:$8,"&lt;="&amp;EOMONTH(ES$8,-12))-1</f>
        <v/>
      </c>
      <c r="ET43" s="1318">
        <f>SUMIFS(40:40,$8:$8,"&gt;="&amp;DATE(YEAR(ET$8),1,1),$8:$8,"&lt;="&amp;EOMONTH(ET$8,0))/SUMIFS(40:40,$8:$8,"&gt;="&amp;DATE(YEAR(ET$8)-1,1,1),$8:$8,"&lt;="&amp;EOMONTH(ET$8,-12))-1</f>
        <v/>
      </c>
      <c r="EU43" s="1318">
        <f>SUMIFS(40:40,$8:$8,"&gt;="&amp;DATE(YEAR(EU$8),1,1),$8:$8,"&lt;="&amp;EOMONTH(EU$8,0))/SUMIFS(40:40,$8:$8,"&gt;="&amp;DATE(YEAR(EU$8)-1,1,1),$8:$8,"&lt;="&amp;EOMONTH(EU$8,-12))-1</f>
        <v/>
      </c>
      <c r="EV43" s="1318">
        <f>SUMIFS(40:40,$8:$8,"&gt;="&amp;DATE(YEAR(EV$8),1,1),$8:$8,"&lt;="&amp;EOMONTH(EV$8,0))/SUMIFS(40:40,$8:$8,"&gt;="&amp;DATE(YEAR(EV$8)-1,1,1),$8:$8,"&lt;="&amp;EOMONTH(EV$8,-12))-1</f>
        <v/>
      </c>
      <c r="EW43" s="1318">
        <f>SUMIFS(40:40,$8:$8,"&gt;="&amp;DATE(YEAR(EW$8),1,1),$8:$8,"&lt;="&amp;EOMONTH(EW$8,0))/SUMIFS(40:40,$8:$8,"&gt;="&amp;DATE(YEAR(EW$8)-1,1,1),$8:$8,"&lt;="&amp;EOMONTH(EW$8,-12))-1</f>
        <v/>
      </c>
      <c r="EX43" s="1318">
        <f>SUMIFS(40:40,$8:$8,"&gt;="&amp;DATE(YEAR(EX$8),1,1),$8:$8,"&lt;="&amp;EOMONTH(EX$8,0))/SUMIFS(40:40,$8:$8,"&gt;="&amp;DATE(YEAR(EX$8)-1,1,1),$8:$8,"&lt;="&amp;EOMONTH(EX$8,-12))-1</f>
        <v/>
      </c>
      <c r="EY43" s="1318">
        <f>SUMIFS(40:40,$8:$8,"&gt;="&amp;DATE(YEAR(EY$8),1,1),$8:$8,"&lt;="&amp;EOMONTH(EY$8,0))/SUMIFS(40:40,$8:$8,"&gt;="&amp;DATE(YEAR(EY$8)-1,1,1),$8:$8,"&lt;="&amp;EOMONTH(EY$8,-12))-1</f>
        <v/>
      </c>
      <c r="EZ43" s="1318">
        <f>SUMIFS(40:40,$8:$8,"&gt;="&amp;DATE(YEAR(EZ$8),1,1),$8:$8,"&lt;="&amp;EOMONTH(EZ$8,0))/SUMIFS(40:40,$8:$8,"&gt;="&amp;DATE(YEAR(EZ$8)-1,1,1),$8:$8,"&lt;="&amp;EOMONTH(EZ$8,-12))-1</f>
        <v/>
      </c>
      <c r="FA43" s="1318">
        <f>SUMIFS(40:40,$8:$8,"&gt;="&amp;DATE(YEAR(FA$8),1,1),$8:$8,"&lt;="&amp;EOMONTH(FA$8,0))/SUMIFS(40:40,$8:$8,"&gt;="&amp;DATE(YEAR(FA$8)-1,1,1),$8:$8,"&lt;="&amp;EOMONTH(FA$8,-12))-1</f>
        <v/>
      </c>
      <c r="FB43" s="1318">
        <f>SUMIFS(40:40,$8:$8,"&gt;="&amp;DATE(YEAR(FB$8),1,1),$8:$8,"&lt;="&amp;EOMONTH(FB$8,0))/SUMIFS(40:40,$8:$8,"&gt;="&amp;DATE(YEAR(FB$8)-1,1,1),$8:$8,"&lt;="&amp;EOMONTH(FB$8,-12))-1</f>
        <v/>
      </c>
      <c r="FC43" s="1318">
        <f>SUMIFS(40:40,$8:$8,"&gt;="&amp;DATE(YEAR(FC$8),1,1),$8:$8,"&lt;="&amp;EOMONTH(FC$8,0))/SUMIFS(40:40,$8:$8,"&gt;="&amp;DATE(YEAR(FC$8)-1,1,1),$8:$8,"&lt;="&amp;EOMONTH(FC$8,-12))-1</f>
        <v/>
      </c>
      <c r="FD43" s="1318">
        <f>SUMIFS(40:40,$8:$8,"&gt;="&amp;DATE(YEAR(FD$8),1,1),$8:$8,"&lt;="&amp;EOMONTH(FD$8,0))/SUMIFS(40:40,$8:$8,"&gt;="&amp;DATE(YEAR(FD$8)-1,1,1),$8:$8,"&lt;="&amp;EOMONTH(FD$8,-12))-1</f>
        <v/>
      </c>
      <c r="FE43" s="1318">
        <f>SUMIFS(40:40,$8:$8,"&gt;="&amp;DATE(YEAR(FE$8),1,1),$8:$8,"&lt;="&amp;EOMONTH(FE$8,0))/SUMIFS(40:40,$8:$8,"&gt;="&amp;DATE(YEAR(FE$8)-1,1,1),$8:$8,"&lt;="&amp;EOMONTH(FE$8,-12))-1</f>
        <v/>
      </c>
      <c r="FF43" s="1318">
        <f>SUMIFS(40:40,$8:$8,"&gt;="&amp;DATE(YEAR(FF$8),1,1),$8:$8,"&lt;="&amp;EOMONTH(FF$8,0))/SUMIFS(40:40,$8:$8,"&gt;="&amp;DATE(YEAR(FF$8)-1,1,1),$8:$8,"&lt;="&amp;EOMONTH(FF$8,-12))-1</f>
        <v/>
      </c>
      <c r="FG43" s="1318">
        <f>SUMIFS(40:40,$8:$8,"&gt;="&amp;DATE(YEAR(FG$8),1,1),$8:$8,"&lt;="&amp;EOMONTH(FG$8,0))/SUMIFS(40:40,$8:$8,"&gt;="&amp;DATE(YEAR(FG$8)-1,1,1),$8:$8,"&lt;="&amp;EOMONTH(FG$8,-12))-1</f>
        <v/>
      </c>
      <c r="FH43" s="1318">
        <f>SUMIFS(40:40,$8:$8,"&gt;="&amp;DATE(YEAR(FH$8),1,1),$8:$8,"&lt;="&amp;EOMONTH(FH$8,0))/SUMIFS(40:40,$8:$8,"&gt;="&amp;DATE(YEAR(FH$8)-1,1,1),$8:$8,"&lt;="&amp;EOMONTH(FH$8,-12))-1</f>
        <v/>
      </c>
      <c r="FI43" s="1318">
        <f>SUMIFS(40:40,$8:$8,"&gt;="&amp;DATE(YEAR(FI$8),1,1),$8:$8,"&lt;="&amp;EOMONTH(FI$8,0))/SUMIFS(40:40,$8:$8,"&gt;="&amp;DATE(YEAR(FI$8)-1,1,1),$8:$8,"&lt;="&amp;EOMONTH(FI$8,-12))-1</f>
        <v/>
      </c>
      <c r="FJ43" s="1318">
        <f>SUMIFS(40:40,$8:$8,"&gt;="&amp;DATE(YEAR(FJ$8),1,1),$8:$8,"&lt;="&amp;EOMONTH(FJ$8,0))/SUMIFS(40:40,$8:$8,"&gt;="&amp;DATE(YEAR(FJ$8)-1,1,1),$8:$8,"&lt;="&amp;EOMONTH(FJ$8,-12))-1</f>
        <v/>
      </c>
      <c r="FK43" s="1318">
        <f>SUMIFS(40:40,$8:$8,"&gt;="&amp;DATE(YEAR(FK$8),1,1),$8:$8,"&lt;="&amp;EOMONTH(FK$8,0))/SUMIFS(40:40,$8:$8,"&gt;="&amp;DATE(YEAR(FK$8)-1,1,1),$8:$8,"&lt;="&amp;EOMONTH(FK$8,-12))-1</f>
        <v/>
      </c>
      <c r="FL43" s="1318">
        <f>SUMIFS(40:40,$8:$8,"&gt;="&amp;DATE(YEAR(FL$8),1,1),$8:$8,"&lt;="&amp;EOMONTH(FL$8,0))/SUMIFS(40:40,$8:$8,"&gt;="&amp;DATE(YEAR(FL$8)-1,1,1),$8:$8,"&lt;="&amp;EOMONTH(FL$8,-12))-1</f>
        <v/>
      </c>
      <c r="FM43" s="1318">
        <f>SUMIFS(40:40,$8:$8,"&gt;="&amp;DATE(YEAR(FM$8),1,1),$8:$8,"&lt;="&amp;EOMONTH(FM$8,0))/SUMIFS(40:40,$8:$8,"&gt;="&amp;DATE(YEAR(FM$8)-1,1,1),$8:$8,"&lt;="&amp;EOMONTH(FM$8,-12))-1</f>
        <v/>
      </c>
      <c r="FN43" s="1318">
        <f>SUMIFS(40:40,$8:$8,"&gt;="&amp;DATE(YEAR(FN$8),1,1),$8:$8,"&lt;="&amp;EOMONTH(FN$8,0))/SUMIFS(40:40,$8:$8,"&gt;="&amp;DATE(YEAR(FN$8)-1,1,1),$8:$8,"&lt;="&amp;EOMONTH(FN$8,-12))-1</f>
        <v/>
      </c>
      <c r="FO43" s="1318">
        <f>SUMIFS(40:40,$8:$8,"&gt;="&amp;DATE(YEAR(FO$8),1,1),$8:$8,"&lt;="&amp;EOMONTH(FO$8,0))/SUMIFS(40:40,$8:$8,"&gt;="&amp;DATE(YEAR(FO$8)-1,1,1),$8:$8,"&lt;="&amp;EOMONTH(FO$8,-12))-1</f>
        <v/>
      </c>
      <c r="FP43" s="1318">
        <f>SUMIFS(40:40,$8:$8,"&gt;="&amp;DATE(YEAR(FP$8),1,1),$8:$8,"&lt;="&amp;EOMONTH(FP$8,0))/SUMIFS(40:40,$8:$8,"&gt;="&amp;DATE(YEAR(FP$8)-1,1,1),$8:$8,"&lt;="&amp;EOMONTH(FP$8,-12))-1</f>
        <v/>
      </c>
      <c r="FQ43" s="1318">
        <f>SUMIFS(40:40,$8:$8,"&gt;="&amp;DATE(YEAR(FQ$8),1,1),$8:$8,"&lt;="&amp;EOMONTH(FQ$8,0))/SUMIFS(40:40,$8:$8,"&gt;="&amp;DATE(YEAR(FQ$8)-1,1,1),$8:$8,"&lt;="&amp;EOMONTH(FQ$8,-12))-1</f>
        <v/>
      </c>
      <c r="FR43" s="1318">
        <f>SUMIFS(40:40,$8:$8,"&gt;="&amp;DATE(YEAR(FR$8),1,1),$8:$8,"&lt;="&amp;EOMONTH(FR$8,0))/SUMIFS(40:40,$8:$8,"&gt;="&amp;DATE(YEAR(FR$8)-1,1,1),$8:$8,"&lt;="&amp;EOMONTH(FR$8,-12))-1</f>
        <v/>
      </c>
      <c r="FS43" s="1318">
        <f>SUMIFS(40:40,$8:$8,"&gt;="&amp;DATE(YEAR(FS$8),1,1),$8:$8,"&lt;="&amp;EOMONTH(FS$8,0))/SUMIFS(40:40,$8:$8,"&gt;="&amp;DATE(YEAR(FS$8)-1,1,1),$8:$8,"&lt;="&amp;EOMONTH(FS$8,-12))-1</f>
        <v/>
      </c>
      <c r="FT43" s="1318">
        <f>SUMIFS(40:40,$8:$8,"&gt;="&amp;DATE(YEAR(FT$8),1,1),$8:$8,"&lt;="&amp;EOMONTH(FT$8,0))/SUMIFS(40:40,$8:$8,"&gt;="&amp;DATE(YEAR(FT$8)-1,1,1),$8:$8,"&lt;="&amp;EOMONTH(FT$8,-12))-1</f>
        <v/>
      </c>
      <c r="FU43" s="1318">
        <f>SUMIFS(40:40,$8:$8,"&gt;="&amp;DATE(YEAR(FU$8),1,1),$8:$8,"&lt;="&amp;EOMONTH(FU$8,0))/SUMIFS(40:40,$8:$8,"&gt;="&amp;DATE(YEAR(FU$8)-1,1,1),$8:$8,"&lt;="&amp;EOMONTH(FU$8,-12))-1</f>
        <v/>
      </c>
      <c r="FV43" s="1318">
        <f>SUMIFS(40:40,$8:$8,"&gt;="&amp;DATE(YEAR(FV$8),1,1),$8:$8,"&lt;="&amp;EOMONTH(FV$8,0))/SUMIFS(40:40,$8:$8,"&gt;="&amp;DATE(YEAR(FV$8)-1,1,1),$8:$8,"&lt;="&amp;EOMONTH(FV$8,-12))-1</f>
        <v/>
      </c>
      <c r="FW43" s="1318">
        <f>SUMIFS(40:40,$8:$8,"&gt;="&amp;DATE(YEAR(FW$8),1,1),$8:$8,"&lt;="&amp;EOMONTH(FW$8,0))/SUMIFS(40:40,$8:$8,"&gt;="&amp;DATE(YEAR(FW$8)-1,1,1),$8:$8,"&lt;="&amp;EOMONTH(FW$8,-12))-1</f>
        <v/>
      </c>
      <c r="FX43" s="1318">
        <f>SUMIFS(40:40,$8:$8,"&gt;="&amp;DATE(YEAR(FX$8),1,1),$8:$8,"&lt;="&amp;EOMONTH(FX$8,0))/SUMIFS(40:40,$8:$8,"&gt;="&amp;DATE(YEAR(FX$8)-1,1,1),$8:$8,"&lt;="&amp;EOMONTH(FX$8,-12))-1</f>
        <v/>
      </c>
      <c r="FY43" s="1318">
        <f>SUMIFS(40:40,$8:$8,"&gt;="&amp;DATE(YEAR(FY$8),1,1),$8:$8,"&lt;="&amp;EOMONTH(FY$8,0))/SUMIFS(40:40,$8:$8,"&gt;="&amp;DATE(YEAR(FY$8)-1,1,1),$8:$8,"&lt;="&amp;EOMONTH(FY$8,-12))-1</f>
        <v/>
      </c>
      <c r="FZ43" s="1318">
        <f>SUMIFS(40:40,$8:$8,"&gt;="&amp;DATE(YEAR(FZ$8),1,1),$8:$8,"&lt;="&amp;EOMONTH(FZ$8,0))/SUMIFS(40:40,$8:$8,"&gt;="&amp;DATE(YEAR(FZ$8)-1,1,1),$8:$8,"&lt;="&amp;EOMONTH(FZ$8,-12))-1</f>
        <v/>
      </c>
      <c r="GA43" s="1318">
        <f>SUMIFS(40:40,$8:$8,"&gt;="&amp;DATE(YEAR(GA$8),1,1),$8:$8,"&lt;="&amp;EOMONTH(GA$8,0))/SUMIFS(40:40,$8:$8,"&gt;="&amp;DATE(YEAR(GA$8)-1,1,1),$8:$8,"&lt;="&amp;EOMONTH(GA$8,-12))-1</f>
        <v/>
      </c>
      <c r="GB43" s="1318">
        <f>SUMIFS(40:40,$8:$8,"&gt;="&amp;DATE(YEAR(GB$8),1,1),$8:$8,"&lt;="&amp;EOMONTH(GB$8,0))/SUMIFS(40:40,$8:$8,"&gt;="&amp;DATE(YEAR(GB$8)-1,1,1),$8:$8,"&lt;="&amp;EOMONTH(GB$8,-12))-1</f>
        <v/>
      </c>
      <c r="GC43" s="1318">
        <f>SUMIFS(40:40,$8:$8,"&gt;="&amp;DATE(YEAR(GC$8),1,1),$8:$8,"&lt;="&amp;EOMONTH(GC$8,0))/SUMIFS(40:40,$8:$8,"&gt;="&amp;DATE(YEAR(GC$8)-1,1,1),$8:$8,"&lt;="&amp;EOMONTH(GC$8,-12))-1</f>
        <v/>
      </c>
      <c r="GD43" s="1318">
        <f>SUMIFS(40:40,$8:$8,"&gt;="&amp;DATE(YEAR(GD$8),1,1),$8:$8,"&lt;="&amp;EOMONTH(GD$8,0))/SUMIFS(40:40,$8:$8,"&gt;="&amp;DATE(YEAR(GD$8)-1,1,1),$8:$8,"&lt;="&amp;EOMONTH(GD$8,-12))-1</f>
        <v/>
      </c>
      <c r="GE43" s="1318">
        <f>SUMIFS(40:40,$8:$8,"&gt;="&amp;DATE(YEAR(GE$8),1,1),$8:$8,"&lt;="&amp;EOMONTH(GE$8,0))/SUMIFS(40:40,$8:$8,"&gt;="&amp;DATE(YEAR(GE$8)-1,1,1),$8:$8,"&lt;="&amp;EOMONTH(GE$8,-12))-1</f>
        <v/>
      </c>
      <c r="GF43" s="1318">
        <f>SUMIFS(40:40,$8:$8,"&gt;="&amp;DATE(YEAR(GF$8),1,1),$8:$8,"&lt;="&amp;EOMONTH(GF$8,0))/SUMIFS(40:40,$8:$8,"&gt;="&amp;DATE(YEAR(GF$8)-1,1,1),$8:$8,"&lt;="&amp;EOMONTH(GF$8,-12))-1</f>
        <v/>
      </c>
      <c r="GG43" s="1318">
        <f>SUMIFS(40:40,$8:$8,"&gt;="&amp;DATE(YEAR(GG$8),1,1),$8:$8,"&lt;="&amp;EOMONTH(GG$8,0))/SUMIFS(40:40,$8:$8,"&gt;="&amp;DATE(YEAR(GG$8)-1,1,1),$8:$8,"&lt;="&amp;EOMONTH(GG$8,-12))-1</f>
        <v/>
      </c>
      <c r="GH43" s="1318">
        <f>SUMIFS(40:40,$8:$8,"&gt;="&amp;DATE(YEAR(GH$8),1,1),$8:$8,"&lt;="&amp;EOMONTH(GH$8,0))/SUMIFS(40:40,$8:$8,"&gt;="&amp;DATE(YEAR(GH$8)-1,1,1),$8:$8,"&lt;="&amp;EOMONTH(GH$8,-12))-1</f>
        <v/>
      </c>
      <c r="GI43" s="1318">
        <f>SUMIFS(40:40,$8:$8,"&gt;="&amp;DATE(YEAR(GI$8),1,1),$8:$8,"&lt;="&amp;EOMONTH(GI$8,0))/SUMIFS(40:40,$8:$8,"&gt;="&amp;DATE(YEAR(GI$8)-1,1,1),$8:$8,"&lt;="&amp;EOMONTH(GI$8,-12))-1</f>
        <v/>
      </c>
      <c r="GJ43" s="1318">
        <f>SUMIFS(40:40,$8:$8,"&gt;="&amp;DATE(YEAR(GJ$8),1,1),$8:$8,"&lt;="&amp;EOMONTH(GJ$8,0))/SUMIFS(40:40,$8:$8,"&gt;="&amp;DATE(YEAR(GJ$8)-1,1,1),$8:$8,"&lt;="&amp;EOMONTH(GJ$8,-12))-1</f>
        <v/>
      </c>
      <c r="GK43" s="1318">
        <f>SUMIFS(40:40,$8:$8,"&gt;="&amp;DATE(YEAR(GK$8),1,1),$8:$8,"&lt;="&amp;EOMONTH(GK$8,0))/SUMIFS(40:40,$8:$8,"&gt;="&amp;DATE(YEAR(GK$8)-1,1,1),$8:$8,"&lt;="&amp;EOMONTH(GK$8,-12))-1</f>
        <v/>
      </c>
      <c r="GL43" s="1318">
        <f>SUMIFS(40:40,$8:$8,"&gt;="&amp;DATE(YEAR(GL$8),1,1),$8:$8,"&lt;="&amp;EOMONTH(GL$8,0))/SUMIFS(40:40,$8:$8,"&gt;="&amp;DATE(YEAR(GL$8)-1,1,1),$8:$8,"&lt;="&amp;EOMONTH(GL$8,-12))-1</f>
        <v/>
      </c>
      <c r="GM43" s="1318">
        <f>SUMIFS(40:40,$8:$8,"&gt;="&amp;DATE(YEAR(GM$8),1,1),$8:$8,"&lt;="&amp;EOMONTH(GM$8,0))/SUMIFS(40:40,$8:$8,"&gt;="&amp;DATE(YEAR(GM$8)-1,1,1),$8:$8,"&lt;="&amp;EOMONTH(GM$8,-12))-1</f>
        <v/>
      </c>
      <c r="GN43" s="1318">
        <f>SUMIFS(40:40,$8:$8,"&gt;="&amp;DATE(YEAR(GN$8),1,1),$8:$8,"&lt;="&amp;EOMONTH(GN$8,0))/SUMIFS(40:40,$8:$8,"&gt;="&amp;DATE(YEAR(GN$8)-1,1,1),$8:$8,"&lt;="&amp;EOMONTH(GN$8,-12))-1</f>
        <v/>
      </c>
      <c r="GO43" s="1318">
        <f>SUMIFS(40:40,$8:$8,"&gt;="&amp;DATE(YEAR(GO$8),1,1),$8:$8,"&lt;="&amp;EOMONTH(GO$8,0))/SUMIFS(40:40,$8:$8,"&gt;="&amp;DATE(YEAR(GO$8)-1,1,1),$8:$8,"&lt;="&amp;EOMONTH(GO$8,-12))-1</f>
        <v/>
      </c>
      <c r="GP43" s="1318">
        <f>SUMIFS(40:40,$8:$8,"&gt;="&amp;DATE(YEAR(GP$8),1,1),$8:$8,"&lt;="&amp;EOMONTH(GP$8,0))/SUMIFS(40:40,$8:$8,"&gt;="&amp;DATE(YEAR(GP$8)-1,1,1),$8:$8,"&lt;="&amp;EOMONTH(GP$8,-12))-1</f>
        <v/>
      </c>
      <c r="GQ43" s="1318">
        <f>SUMIFS(40:40,$8:$8,"&gt;="&amp;DATE(YEAR(GQ$8),1,1),$8:$8,"&lt;="&amp;EOMONTH(GQ$8,0))/SUMIFS(40:40,$8:$8,"&gt;="&amp;DATE(YEAR(GQ$8)-1,1,1),$8:$8,"&lt;="&amp;EOMONTH(GQ$8,-12))-1</f>
        <v/>
      </c>
      <c r="GR43" s="1318">
        <f>SUMIFS(40:40,$8:$8,"&gt;="&amp;DATE(YEAR(GR$8),1,1),$8:$8,"&lt;="&amp;EOMONTH(GR$8,0))/SUMIFS(40:40,$8:$8,"&gt;="&amp;DATE(YEAR(GR$8)-1,1,1),$8:$8,"&lt;="&amp;EOMONTH(GR$8,-12))-1</f>
        <v/>
      </c>
      <c r="GS43" s="1318">
        <f>SUMIFS(40:40,$8:$8,"&gt;="&amp;DATE(YEAR(GS$8),1,1),$8:$8,"&lt;="&amp;EOMONTH(GS$8,0))/SUMIFS(40:40,$8:$8,"&gt;="&amp;DATE(YEAR(GS$8)-1,1,1),$8:$8,"&lt;="&amp;EOMONTH(GS$8,-12))-1</f>
        <v/>
      </c>
      <c r="GT43" s="1318">
        <f>SUMIFS(40:40,$8:$8,"&gt;="&amp;DATE(YEAR(GT$8),1,1),$8:$8,"&lt;="&amp;EOMONTH(GT$8,0))/SUMIFS(40:40,$8:$8,"&gt;="&amp;DATE(YEAR(GT$8)-1,1,1),$8:$8,"&lt;="&amp;EOMONTH(GT$8,-12))-1</f>
        <v/>
      </c>
      <c r="GU43" s="1318">
        <f>SUMIFS(40:40,$8:$8,"&gt;="&amp;DATE(YEAR(GU$8),1,1),$8:$8,"&lt;="&amp;EOMONTH(GU$8,0))/SUMIFS(40:40,$8:$8,"&gt;="&amp;DATE(YEAR(GU$8)-1,1,1),$8:$8,"&lt;="&amp;EOMONTH(GU$8,-12))-1</f>
        <v/>
      </c>
      <c r="GV43" s="1318">
        <f>SUMIFS(40:40,$8:$8,"&gt;="&amp;DATE(YEAR(GV$8),1,1),$8:$8,"&lt;="&amp;EOMONTH(GV$8,0))/SUMIFS(40:40,$8:$8,"&gt;="&amp;DATE(YEAR(GV$8)-1,1,1),$8:$8,"&lt;="&amp;EOMONTH(GV$8,-12))-1</f>
        <v/>
      </c>
      <c r="GW43" s="1318">
        <f>SUMIFS(40:40,$8:$8,"&gt;="&amp;DATE(YEAR(GW$8),1,1),$8:$8,"&lt;="&amp;EOMONTH(GW$8,0))/SUMIFS(40:40,$8:$8,"&gt;="&amp;DATE(YEAR(GW$8)-1,1,1),$8:$8,"&lt;="&amp;EOMONTH(GW$8,-12))-1</f>
        <v/>
      </c>
      <c r="GX43" s="1318">
        <f>SUMIFS(40:40,$8:$8,"&gt;="&amp;DATE(YEAR(GX$8),1,1),$8:$8,"&lt;="&amp;EOMONTH(GX$8,0))/SUMIFS(40:40,$8:$8,"&gt;="&amp;DATE(YEAR(GX$8)-1,1,1),$8:$8,"&lt;="&amp;EOMONTH(GX$8,-12))-1</f>
        <v/>
      </c>
      <c r="GY43" s="1318">
        <f>SUMIFS(40:40,$8:$8,"&gt;="&amp;DATE(YEAR(GY$8),1,1),$8:$8,"&lt;="&amp;EOMONTH(GY$8,0))/SUMIFS(40:40,$8:$8,"&gt;="&amp;DATE(YEAR(GY$8)-1,1,1),$8:$8,"&lt;="&amp;EOMONTH(GY$8,-12))-1</f>
        <v/>
      </c>
      <c r="GZ43" s="1318">
        <f>SUMIFS(40:40,$8:$8,"&gt;="&amp;DATE(YEAR(GZ$8),1,1),$8:$8,"&lt;="&amp;EOMONTH(GZ$8,0))/SUMIFS(40:40,$8:$8,"&gt;="&amp;DATE(YEAR(GZ$8)-1,1,1),$8:$8,"&lt;="&amp;EOMONTH(GZ$8,-12))-1</f>
        <v/>
      </c>
      <c r="HA43" s="1318">
        <f>SUMIFS(40:40,$8:$8,"&gt;="&amp;DATE(YEAR(HA$8),1,1),$8:$8,"&lt;="&amp;EOMONTH(HA$8,0))/SUMIFS(40:40,$8:$8,"&gt;="&amp;DATE(YEAR(HA$8)-1,1,1),$8:$8,"&lt;="&amp;EOMONTH(HA$8,-12))-1</f>
        <v/>
      </c>
      <c r="HB43" s="1318">
        <f>SUMIFS(40:40,$8:$8,"&gt;="&amp;DATE(YEAR(HB$8),1,1),$8:$8,"&lt;="&amp;EOMONTH(HB$8,0))/SUMIFS(40:40,$8:$8,"&gt;="&amp;DATE(YEAR(HB$8)-1,1,1),$8:$8,"&lt;="&amp;EOMONTH(HB$8,-12))-1</f>
        <v/>
      </c>
      <c r="HC43" s="1318">
        <f>SUMIFS(40:40,$8:$8,"&gt;="&amp;DATE(YEAR(HC$8),1,1),$8:$8,"&lt;="&amp;EOMONTH(HC$8,0))/SUMIFS(40:40,$8:$8,"&gt;="&amp;DATE(YEAR(HC$8)-1,1,1),$8:$8,"&lt;="&amp;EOMONTH(HC$8,-12))-1</f>
        <v/>
      </c>
      <c r="HD43" s="1318">
        <f>SUMIFS(40:40,$8:$8,"&gt;="&amp;DATE(YEAR(HD$8),1,1),$8:$8,"&lt;="&amp;EOMONTH(HD$8,0))/SUMIFS(40:40,$8:$8,"&gt;="&amp;DATE(YEAR(HD$8)-1,1,1),$8:$8,"&lt;="&amp;EOMONTH(HD$8,-12))-1</f>
        <v/>
      </c>
      <c r="HE43" s="1318">
        <f>SUMIFS(40:40,$8:$8,"&gt;="&amp;DATE(YEAR(HE$8),1,1),$8:$8,"&lt;="&amp;EOMONTH(HE$8,0))/SUMIFS(40:40,$8:$8,"&gt;="&amp;DATE(YEAR(HE$8)-1,1,1),$8:$8,"&lt;="&amp;EOMONTH(HE$8,-12))-1</f>
        <v/>
      </c>
      <c r="HF43" s="1318">
        <f>SUMIFS(40:40,$8:$8,"&gt;="&amp;DATE(YEAR(HF$8),1,1),$8:$8,"&lt;="&amp;EOMONTH(HF$8,0))/SUMIFS(40:40,$8:$8,"&gt;="&amp;DATE(YEAR(HF$8)-1,1,1),$8:$8,"&lt;="&amp;EOMONTH(HF$8,-12))-1</f>
        <v/>
      </c>
      <c r="HG43" s="1318">
        <f>SUMIFS(40:40,$8:$8,"&gt;="&amp;DATE(YEAR(HG$8),1,1),$8:$8,"&lt;="&amp;EOMONTH(HG$8,0))/SUMIFS(40:40,$8:$8,"&gt;="&amp;DATE(YEAR(HG$8)-1,1,1),$8:$8,"&lt;="&amp;EOMONTH(HG$8,-12))-1</f>
        <v/>
      </c>
      <c r="HH43" s="1318">
        <f>SUMIFS(40:40,$8:$8,"&gt;="&amp;DATE(YEAR(HH$8),1,1),$8:$8,"&lt;="&amp;EOMONTH(HH$8,0))/SUMIFS(40:40,$8:$8,"&gt;="&amp;DATE(YEAR(HH$8)-1,1,1),$8:$8,"&lt;="&amp;EOMONTH(HH$8,-12))-1</f>
        <v/>
      </c>
      <c r="HI43" s="1318">
        <f>SUMIFS(40:40,$8:$8,"&gt;="&amp;DATE(YEAR(HI$8),1,1),$8:$8,"&lt;="&amp;EOMONTH(HI$8,0))/SUMIFS(40:40,$8:$8,"&gt;="&amp;DATE(YEAR(HI$8)-1,1,1),$8:$8,"&lt;="&amp;EOMONTH(HI$8,-12))-1</f>
        <v/>
      </c>
      <c r="HJ43" s="1318">
        <f>SUMIFS(40:40,$8:$8,"&gt;="&amp;DATE(YEAR(HJ$8),1,1),$8:$8,"&lt;="&amp;EOMONTH(HJ$8,0))/SUMIFS(40:40,$8:$8,"&gt;="&amp;DATE(YEAR(HJ$8)-1,1,1),$8:$8,"&lt;="&amp;EOMONTH(HJ$8,-12))-1</f>
        <v/>
      </c>
      <c r="HK43" s="1318">
        <f>SUMIFS(40:40,$8:$8,"&gt;="&amp;DATE(YEAR(HK$8),1,1),$8:$8,"&lt;="&amp;EOMONTH(HK$8,0))/SUMIFS(40:40,$8:$8,"&gt;="&amp;DATE(YEAR(HK$8)-1,1,1),$8:$8,"&lt;="&amp;EOMONTH(HK$8,-12))-1</f>
        <v/>
      </c>
      <c r="HL43" s="1318">
        <f>SUMIFS(40:40,$8:$8,"&gt;="&amp;DATE(YEAR(HL$8),1,1),$8:$8,"&lt;="&amp;EOMONTH(HL$8,0))/SUMIFS(40:40,$8:$8,"&gt;="&amp;DATE(YEAR(HL$8)-1,1,1),$8:$8,"&lt;="&amp;EOMONTH(HL$8,-12))-1</f>
        <v/>
      </c>
      <c r="HM43" s="1318">
        <f>SUMIFS(40:40,$8:$8,"&gt;="&amp;DATE(YEAR(HM$8),1,1),$8:$8,"&lt;="&amp;EOMONTH(HM$8,0))/SUMIFS(40:40,$8:$8,"&gt;="&amp;DATE(YEAR(HM$8)-1,1,1),$8:$8,"&lt;="&amp;EOMONTH(HM$8,-12))-1</f>
        <v/>
      </c>
      <c r="HN43" s="1318">
        <f>SUMIFS(40:40,$8:$8,"&gt;="&amp;DATE(YEAR(HN$8),1,1),$8:$8,"&lt;="&amp;EOMONTH(HN$8,0))/SUMIFS(40:40,$8:$8,"&gt;="&amp;DATE(YEAR(HN$8)-1,1,1),$8:$8,"&lt;="&amp;EOMONTH(HN$8,-12))-1</f>
        <v/>
      </c>
      <c r="HO43" s="1318">
        <f>SUMIFS(40:40,$8:$8,"&gt;="&amp;DATE(YEAR(HO$8),1,1),$8:$8,"&lt;="&amp;EOMONTH(HO$8,0))/SUMIFS(40:40,$8:$8,"&gt;="&amp;DATE(YEAR(HO$8)-1,1,1),$8:$8,"&lt;="&amp;EOMONTH(HO$8,-12))-1</f>
        <v/>
      </c>
      <c r="HP43" s="1318">
        <f>SUMIFS(40:40,$8:$8,"&gt;="&amp;DATE(YEAR(HP$8),1,1),$8:$8,"&lt;="&amp;EOMONTH(HP$8,0))/SUMIFS(40:40,$8:$8,"&gt;="&amp;DATE(YEAR(HP$8)-1,1,1),$8:$8,"&lt;="&amp;EOMONTH(HP$8,-12))-1</f>
        <v/>
      </c>
      <c r="HQ43" s="1318">
        <f>SUMIFS(40:40,$8:$8,"&gt;="&amp;DATE(YEAR(HQ$8),1,1),$8:$8,"&lt;="&amp;EOMONTH(HQ$8,0))/SUMIFS(40:40,$8:$8,"&gt;="&amp;DATE(YEAR(HQ$8)-1,1,1),$8:$8,"&lt;="&amp;EOMONTH(HQ$8,-12))-1</f>
        <v/>
      </c>
      <c r="HR43" s="1318">
        <f>SUMIFS(40:40,$8:$8,"&gt;="&amp;DATE(YEAR(HR$8),1,1),$8:$8,"&lt;="&amp;EOMONTH(HR$8,0))/SUMIFS(40:40,$8:$8,"&gt;="&amp;DATE(YEAR(HR$8)-1,1,1),$8:$8,"&lt;="&amp;EOMONTH(HR$8,-12))-1</f>
        <v/>
      </c>
      <c r="HS43" s="1318">
        <f>SUMIFS(40:40,$8:$8,"&gt;="&amp;DATE(YEAR(HS$8),1,1),$8:$8,"&lt;="&amp;EOMONTH(HS$8,0))/SUMIFS(40:40,$8:$8,"&gt;="&amp;DATE(YEAR(HS$8)-1,1,1),$8:$8,"&lt;="&amp;EOMONTH(HS$8,-12))-1</f>
        <v/>
      </c>
      <c r="HT43" s="1318">
        <f>SUMIFS(40:40,$8:$8,"&gt;="&amp;DATE(YEAR(HT$8),1,1),$8:$8,"&lt;="&amp;EOMONTH(HT$8,0))/SUMIFS(40:40,$8:$8,"&gt;="&amp;DATE(YEAR(HT$8)-1,1,1),$8:$8,"&lt;="&amp;EOMONTH(HT$8,-12))-1</f>
        <v/>
      </c>
      <c r="HU43" s="1318">
        <f>SUMIFS(40:40,$8:$8,"&gt;="&amp;DATE(YEAR(HU$8),1,1),$8:$8,"&lt;="&amp;EOMONTH(HU$8,0))/SUMIFS(40:40,$8:$8,"&gt;="&amp;DATE(YEAR(HU$8)-1,1,1),$8:$8,"&lt;="&amp;EOMONTH(HU$8,-12))-1</f>
        <v/>
      </c>
      <c r="HV43" s="1318">
        <f>SUMIFS(40:40,$8:$8,"&gt;="&amp;DATE(YEAR(HV$8),1,1),$8:$8,"&lt;="&amp;EOMONTH(HV$8,0))/SUMIFS(40:40,$8:$8,"&gt;="&amp;DATE(YEAR(HV$8)-1,1,1),$8:$8,"&lt;="&amp;EOMONTH(HV$8,-12))-1</f>
        <v/>
      </c>
      <c r="HW43" s="1318">
        <f>SUMIFS(40:40,$8:$8,"&gt;="&amp;DATE(YEAR(HW$8),1,1),$8:$8,"&lt;="&amp;EOMONTH(HW$8,0))/SUMIFS(40:40,$8:$8,"&gt;="&amp;DATE(YEAR(HW$8)-1,1,1),$8:$8,"&lt;="&amp;EOMONTH(HW$8,-12))-1</f>
        <v/>
      </c>
      <c r="HX43" s="1318">
        <f>SUMIFS(40:40,$8:$8,"&gt;="&amp;DATE(YEAR(HX$8),1,1),$8:$8,"&lt;="&amp;EOMONTH(HX$8,0))/SUMIFS(40:40,$8:$8,"&gt;="&amp;DATE(YEAR(HX$8)-1,1,1),$8:$8,"&lt;="&amp;EOMONTH(HX$8,-12))-1</f>
        <v/>
      </c>
      <c r="HY43" s="1318">
        <f>SUMIFS(40:40,$8:$8,"&gt;="&amp;DATE(YEAR(HY$8),1,1),$8:$8,"&lt;="&amp;EOMONTH(HY$8,0))/SUMIFS(40:40,$8:$8,"&gt;="&amp;DATE(YEAR(HY$8)-1,1,1),$8:$8,"&lt;="&amp;EOMONTH(HY$8,-12))-1</f>
        <v/>
      </c>
      <c r="HZ43" s="1318">
        <f>SUMIFS(40:40,$8:$8,"&gt;="&amp;DATE(YEAR(HZ$8),1,1),$8:$8,"&lt;="&amp;EOMONTH(HZ$8,0))/SUMIFS(40:40,$8:$8,"&gt;="&amp;DATE(YEAR(HZ$8)-1,1,1),$8:$8,"&lt;="&amp;EOMONTH(HZ$8,-12))-1</f>
        <v/>
      </c>
      <c r="IA43" s="1318">
        <f>SUMIFS(40:40,$8:$8,"&gt;="&amp;DATE(YEAR(IA$8),1,1),$8:$8,"&lt;="&amp;EOMONTH(IA$8,0))/SUMIFS(40:40,$8:$8,"&gt;="&amp;DATE(YEAR(IA$8)-1,1,1),$8:$8,"&lt;="&amp;EOMONTH(IA$8,-12))-1</f>
        <v/>
      </c>
      <c r="IB43" s="1318">
        <f>SUMIFS(40:40,$8:$8,"&gt;="&amp;DATE(YEAR(IB$8),1,1),$8:$8,"&lt;="&amp;EOMONTH(IB$8,0))/SUMIFS(40:40,$8:$8,"&gt;="&amp;DATE(YEAR(IB$8)-1,1,1),$8:$8,"&lt;="&amp;EOMONTH(IB$8,-12))-1</f>
        <v/>
      </c>
      <c r="IC43" s="1318">
        <f>SUMIFS(40:40,$8:$8,"&gt;="&amp;DATE(YEAR(IC$8),1,1),$8:$8,"&lt;="&amp;EOMONTH(IC$8,0))/SUMIFS(40:40,$8:$8,"&gt;="&amp;DATE(YEAR(IC$8)-1,1,1),$8:$8,"&lt;="&amp;EOMONTH(IC$8,-12))-1</f>
        <v/>
      </c>
      <c r="ID43" s="1318">
        <f>SUMIFS(40:40,$8:$8,"&gt;="&amp;DATE(YEAR(ID$8),1,1),$8:$8,"&lt;="&amp;EOMONTH(ID$8,0))/SUMIFS(40:40,$8:$8,"&gt;="&amp;DATE(YEAR(ID$8)-1,1,1),$8:$8,"&lt;="&amp;EOMONTH(ID$8,-12))-1</f>
        <v/>
      </c>
      <c r="IE43" s="1318">
        <f>SUMIFS(40:40,$8:$8,"&gt;="&amp;DATE(YEAR(IE$8),1,1),$8:$8,"&lt;="&amp;EOMONTH(IE$8,0))/SUMIFS(40:40,$8:$8,"&gt;="&amp;DATE(YEAR(IE$8)-1,1,1),$8:$8,"&lt;="&amp;EOMONTH(IE$8,-12))-1</f>
        <v/>
      </c>
      <c r="IF43" s="1318">
        <f>SUMIFS(40:40,$8:$8,"&gt;="&amp;DATE(YEAR(IF$8),1,1),$8:$8,"&lt;="&amp;EOMONTH(IF$8,0))/SUMIFS(40:40,$8:$8,"&gt;="&amp;DATE(YEAR(IF$8)-1,1,1),$8:$8,"&lt;="&amp;EOMONTH(IF$8,-12))-1</f>
        <v/>
      </c>
      <c r="IG43" s="1318">
        <f>SUMIFS(40:40,$8:$8,"&gt;="&amp;DATE(YEAR(IG$8),1,1),$8:$8,"&lt;="&amp;EOMONTH(IG$8,0))/SUMIFS(40:40,$8:$8,"&gt;="&amp;DATE(YEAR(IG$8)-1,1,1),$8:$8,"&lt;="&amp;EOMONTH(IG$8,-12))-1</f>
        <v/>
      </c>
      <c r="IH43" s="1318">
        <f>SUMIFS(40:40,$8:$8,"&gt;="&amp;DATE(YEAR(IH$8),1,1),$8:$8,"&lt;="&amp;EOMONTH(IH$8,0))/SUMIFS(40:40,$8:$8,"&gt;="&amp;DATE(YEAR(IH$8)-1,1,1),$8:$8,"&lt;="&amp;EOMONTH(IH$8,-12))-1</f>
        <v/>
      </c>
      <c r="II43" s="1318">
        <f>SUMIFS(40:40,$8:$8,"&gt;="&amp;DATE(YEAR(II$8),1,1),$8:$8,"&lt;="&amp;EOMONTH(II$8,0))/SUMIFS(40:40,$8:$8,"&gt;="&amp;DATE(YEAR(II$8)-1,1,1),$8:$8,"&lt;="&amp;EOMONTH(II$8,-12))-1</f>
        <v/>
      </c>
      <c r="IJ43" s="1318">
        <f>SUMIFS(40:40,$8:$8,"&gt;="&amp;DATE(YEAR(IJ$8),1,1),$8:$8,"&lt;="&amp;EOMONTH(IJ$8,0))/SUMIFS(40:40,$8:$8,"&gt;="&amp;DATE(YEAR(IJ$8)-1,1,1),$8:$8,"&lt;="&amp;EOMONTH(IJ$8,-12))-1</f>
        <v/>
      </c>
      <c r="IK43" s="1318">
        <f>SUMIFS(40:40,$8:$8,"&gt;="&amp;DATE(YEAR(IK$8),1,1),$8:$8,"&lt;="&amp;EOMONTH(IK$8,0))/SUMIFS(40:40,$8:$8,"&gt;="&amp;DATE(YEAR(IK$8)-1,1,1),$8:$8,"&lt;="&amp;EOMONTH(IK$8,-12))-1</f>
        <v/>
      </c>
      <c r="IL43" s="1318">
        <f>SUMIFS(40:40,$8:$8,"&gt;="&amp;DATE(YEAR(IL$8),1,1),$8:$8,"&lt;="&amp;EOMONTH(IL$8,0))/SUMIFS(40:40,$8:$8,"&gt;="&amp;DATE(YEAR(IL$8)-1,1,1),$8:$8,"&lt;="&amp;EOMONTH(IL$8,-12))-1</f>
        <v/>
      </c>
      <c r="IM43" s="1318">
        <f>SUMIFS(40:40,$8:$8,"&gt;="&amp;DATE(YEAR(IM$8),1,1),$8:$8,"&lt;="&amp;EOMONTH(IM$8,0))/SUMIFS(40:40,$8:$8,"&gt;="&amp;DATE(YEAR(IM$8)-1,1,1),$8:$8,"&lt;="&amp;EOMONTH(IM$8,-12))-1</f>
        <v/>
      </c>
      <c r="IN43" s="1318">
        <f>SUMIFS(40:40,$8:$8,"&gt;="&amp;DATE(YEAR(IN$8),1,1),$8:$8,"&lt;="&amp;EOMONTH(IN$8,0))/SUMIFS(40:40,$8:$8,"&gt;="&amp;DATE(YEAR(IN$8)-1,1,1),$8:$8,"&lt;="&amp;EOMONTH(IN$8,-12))-1</f>
        <v/>
      </c>
      <c r="IO43" s="1318">
        <f>SUMIFS(40:40,$8:$8,"&gt;="&amp;DATE(YEAR(IO$8),1,1),$8:$8,"&lt;="&amp;EOMONTH(IO$8,0))/SUMIFS(40:40,$8:$8,"&gt;="&amp;DATE(YEAR(IO$8)-1,1,1),$8:$8,"&lt;="&amp;EOMONTH(IO$8,-12))-1</f>
        <v/>
      </c>
      <c r="IP43" s="1318">
        <f>SUMIFS(40:40,$8:$8,"&gt;="&amp;DATE(YEAR(IP$8),1,1),$8:$8,"&lt;="&amp;EOMONTH(IP$8,0))/SUMIFS(40:40,$8:$8,"&gt;="&amp;DATE(YEAR(IP$8)-1,1,1),$8:$8,"&lt;="&amp;EOMONTH(IP$8,-12))-1</f>
        <v/>
      </c>
      <c r="IQ43" s="1318">
        <f>SUMIFS(40:40,$8:$8,"&gt;="&amp;DATE(YEAR(IQ$8),1,1),$8:$8,"&lt;="&amp;EOMONTH(IQ$8,0))/SUMIFS(40:40,$8:$8,"&gt;="&amp;DATE(YEAR(IQ$8)-1,1,1),$8:$8,"&lt;="&amp;EOMONTH(IQ$8,-12))-1</f>
        <v/>
      </c>
      <c r="IR43" s="1318">
        <f>SUMIFS(40:40,$8:$8,"&gt;="&amp;DATE(YEAR(IR$8),1,1),$8:$8,"&lt;="&amp;EOMONTH(IR$8,0))/SUMIFS(40:40,$8:$8,"&gt;="&amp;DATE(YEAR(IR$8)-1,1,1),$8:$8,"&lt;="&amp;EOMONTH(IR$8,-12))-1</f>
        <v/>
      </c>
      <c r="IS43" s="1318">
        <f>SUMIFS(40:40,$8:$8,"&gt;="&amp;DATE(YEAR(IS$8),1,1),$8:$8,"&lt;="&amp;EOMONTH(IS$8,0))/SUMIFS(40:40,$8:$8,"&gt;="&amp;DATE(YEAR(IS$8)-1,1,1),$8:$8,"&lt;="&amp;EOMONTH(IS$8,-12))-1</f>
        <v/>
      </c>
      <c r="IT43" s="1318">
        <f>SUMIFS(40:40,$8:$8,"&gt;="&amp;DATE(YEAR(IT$8),1,1),$8:$8,"&lt;="&amp;EOMONTH(IT$8,0))/SUMIFS(40:40,$8:$8,"&gt;="&amp;DATE(YEAR(IT$8)-1,1,1),$8:$8,"&lt;="&amp;EOMONTH(IT$8,-12))-1</f>
        <v/>
      </c>
      <c r="IU43" s="1318">
        <f>SUMIFS(40:40,$8:$8,"&gt;="&amp;DATE(YEAR(IU$8),1,1),$8:$8,"&lt;="&amp;EOMONTH(IU$8,0))/SUMIFS(40:40,$8:$8,"&gt;="&amp;DATE(YEAR(IU$8)-1,1,1),$8:$8,"&lt;="&amp;EOMONTH(IU$8,-12))-1</f>
        <v/>
      </c>
      <c r="IV43" s="1318">
        <f>SUMIFS(40:40,$8:$8,"&gt;="&amp;DATE(YEAR(IV$8),1,1),$8:$8,"&lt;="&amp;EOMONTH(IV$8,0))/SUMIFS(40:40,$8:$8,"&gt;="&amp;DATE(YEAR(IV$8)-1,1,1),$8:$8,"&lt;="&amp;EOMONTH(IV$8,-12))-1</f>
        <v/>
      </c>
      <c r="IW43" s="1318">
        <f>SUMIFS(40:40,$8:$8,"&gt;="&amp;DATE(YEAR(IW$8),1,1),$8:$8,"&lt;="&amp;EOMONTH(IW$8,0))/SUMIFS(40:40,$8:$8,"&gt;="&amp;DATE(YEAR(IW$8)-1,1,1),$8:$8,"&lt;="&amp;EOMONTH(IW$8,-12))-1</f>
        <v/>
      </c>
      <c r="IX43" s="1318">
        <f>SUMIFS(40:40,$8:$8,"&gt;="&amp;DATE(YEAR(IX$8),1,1),$8:$8,"&lt;="&amp;EOMONTH(IX$8,0))/SUMIFS(40:40,$8:$8,"&gt;="&amp;DATE(YEAR(IX$8)-1,1,1),$8:$8,"&lt;="&amp;EOMONTH(IX$8,-12))-1</f>
        <v/>
      </c>
      <c r="IY43" s="1318">
        <f>SUMIFS(40:40,$8:$8,"&gt;="&amp;DATE(YEAR(IY$8),1,1),$8:$8,"&lt;="&amp;EOMONTH(IY$8,0))/SUMIFS(40:40,$8:$8,"&gt;="&amp;DATE(YEAR(IY$8)-1,1,1),$8:$8,"&lt;="&amp;EOMONTH(IY$8,-12))-1</f>
        <v/>
      </c>
      <c r="IZ43" s="1318">
        <f>SUMIFS(40:40,$8:$8,"&gt;="&amp;DATE(YEAR(IZ$8),1,1),$8:$8,"&lt;="&amp;EOMONTH(IZ$8,0))/SUMIFS(40:40,$8:$8,"&gt;="&amp;DATE(YEAR(IZ$8)-1,1,1),$8:$8,"&lt;="&amp;EOMONTH(IZ$8,-12))-1</f>
        <v/>
      </c>
      <c r="JA43" s="1318">
        <f>SUMIFS(40:40,$8:$8,"&gt;="&amp;DATE(YEAR(JA$8),1,1),$8:$8,"&lt;="&amp;EOMONTH(JA$8,0))/SUMIFS(40:40,$8:$8,"&gt;="&amp;DATE(YEAR(JA$8)-1,1,1),$8:$8,"&lt;="&amp;EOMONTH(JA$8,-12))-1</f>
        <v/>
      </c>
      <c r="JB43" s="1318">
        <f>SUMIFS(40:40,$8:$8,"&gt;="&amp;DATE(YEAR(JB$8),1,1),$8:$8,"&lt;="&amp;EOMONTH(JB$8,0))/SUMIFS(40:40,$8:$8,"&gt;="&amp;DATE(YEAR(JB$8)-1,1,1),$8:$8,"&lt;="&amp;EOMONTH(JB$8,-12))-1</f>
        <v/>
      </c>
      <c r="JC43" s="1318">
        <f>SUMIFS(40:40,$8:$8,"&gt;="&amp;DATE(YEAR(JC$8),1,1),$8:$8,"&lt;="&amp;EOMONTH(JC$8,0))/SUMIFS(40:40,$8:$8,"&gt;="&amp;DATE(YEAR(JC$8)-1,1,1),$8:$8,"&lt;="&amp;EOMONTH(JC$8,-12))-1</f>
        <v/>
      </c>
      <c r="JD43" s="1318">
        <f>SUMIFS(40:40,$8:$8,"&gt;="&amp;DATE(YEAR(JD$8),1,1),$8:$8,"&lt;="&amp;EOMONTH(JD$8,0))/SUMIFS(40:40,$8:$8,"&gt;="&amp;DATE(YEAR(JD$8)-1,1,1),$8:$8,"&lt;="&amp;EOMONTH(JD$8,-12))-1</f>
        <v/>
      </c>
      <c r="JE43" s="1318">
        <f>SUMIFS(40:40,$8:$8,"&gt;="&amp;DATE(YEAR(JE$8),1,1),$8:$8,"&lt;="&amp;EOMONTH(JE$8,0))/SUMIFS(40:40,$8:$8,"&gt;="&amp;DATE(YEAR(JE$8)-1,1,1),$8:$8,"&lt;="&amp;EOMONTH(JE$8,-12))-1</f>
        <v/>
      </c>
      <c r="JF43" s="1318">
        <f>SUMIFS(40:40,$8:$8,"&gt;="&amp;DATE(YEAR(JF$8),1,1),$8:$8,"&lt;="&amp;EOMONTH(JF$8,0))/SUMIFS(40:40,$8:$8,"&gt;="&amp;DATE(YEAR(JF$8)-1,1,1),$8:$8,"&lt;="&amp;EOMONTH(JF$8,-12))-1</f>
        <v/>
      </c>
      <c r="JG43" s="1318">
        <f>SUMIFS(40:40,$8:$8,"&gt;="&amp;DATE(YEAR(JG$8),1,1),$8:$8,"&lt;="&amp;EOMONTH(JG$8,0))/SUMIFS(40:40,$8:$8,"&gt;="&amp;DATE(YEAR(JG$8)-1,1,1),$8:$8,"&lt;="&amp;EOMONTH(JG$8,-12))-1</f>
        <v/>
      </c>
      <c r="JH43" s="1318">
        <f>SUMIFS(40:40,$8:$8,"&gt;="&amp;DATE(YEAR(JH$8),1,1),$8:$8,"&lt;="&amp;EOMONTH(JH$8,0))/SUMIFS(40:40,$8:$8,"&gt;="&amp;DATE(YEAR(JH$8)-1,1,1),$8:$8,"&lt;="&amp;EOMONTH(JH$8,-12))-1</f>
        <v/>
      </c>
      <c r="JI43" s="1318">
        <f>SUMIFS(40:40,$8:$8,"&gt;="&amp;DATE(YEAR(JI$8),1,1),$8:$8,"&lt;="&amp;EOMONTH(JI$8,0))/SUMIFS(40:40,$8:$8,"&gt;="&amp;DATE(YEAR(JI$8)-1,1,1),$8:$8,"&lt;="&amp;EOMONTH(JI$8,-12))-1</f>
        <v/>
      </c>
      <c r="JJ43" s="1318">
        <f>SUMIFS(40:40,$8:$8,"&gt;="&amp;DATE(YEAR(JJ$8),1,1),$8:$8,"&lt;="&amp;EOMONTH(JJ$8,0))/SUMIFS(40:40,$8:$8,"&gt;="&amp;DATE(YEAR(JJ$8)-1,1,1),$8:$8,"&lt;="&amp;EOMONTH(JJ$8,-12))-1</f>
        <v/>
      </c>
      <c r="JK43" s="1318">
        <f>SUMIFS(40:40,$8:$8,"&gt;="&amp;DATE(YEAR(JK$8),1,1),$8:$8,"&lt;="&amp;EOMONTH(JK$8,0))/SUMIFS(40:40,$8:$8,"&gt;="&amp;DATE(YEAR(JK$8)-1,1,1),$8:$8,"&lt;="&amp;EOMONTH(JK$8,-12))-1</f>
        <v/>
      </c>
      <c r="JL43" s="1318">
        <f>SUMIFS(40:40,$8:$8,"&gt;="&amp;DATE(YEAR(JL$8),1,1),$8:$8,"&lt;="&amp;EOMONTH(JL$8,0))/SUMIFS(40:40,$8:$8,"&gt;="&amp;DATE(YEAR(JL$8)-1,1,1),$8:$8,"&lt;="&amp;EOMONTH(JL$8,-12))-1</f>
        <v/>
      </c>
      <c r="JM43" s="1318">
        <f>SUMIFS(40:40,$8:$8,"&gt;="&amp;DATE(YEAR(JM$8),1,1),$8:$8,"&lt;="&amp;EOMONTH(JM$8,0))/SUMIFS(40:40,$8:$8,"&gt;="&amp;DATE(YEAR(JM$8)-1,1,1),$8:$8,"&lt;="&amp;EOMONTH(JM$8,-12))-1</f>
        <v/>
      </c>
      <c r="JN43" s="1318">
        <f>SUMIFS(40:40,$8:$8,"&gt;="&amp;DATE(YEAR(JN$8),1,1),$8:$8,"&lt;="&amp;EOMONTH(JN$8,0))/SUMIFS(40:40,$8:$8,"&gt;="&amp;DATE(YEAR(JN$8)-1,1,1),$8:$8,"&lt;="&amp;EOMONTH(JN$8,-12))-1</f>
        <v/>
      </c>
      <c r="JO43" s="1318">
        <f>SUMIFS(40:40,$8:$8,"&gt;="&amp;DATE(YEAR(JO$8),1,1),$8:$8,"&lt;="&amp;EOMONTH(JO$8,0))/SUMIFS(40:40,$8:$8,"&gt;="&amp;DATE(YEAR(JO$8)-1,1,1),$8:$8,"&lt;="&amp;EOMONTH(JO$8,-12))-1</f>
        <v/>
      </c>
      <c r="JP43" s="1318">
        <f>SUMIFS(40:40,$8:$8,"&gt;="&amp;DATE(YEAR(JP$8),1,1),$8:$8,"&lt;="&amp;EOMONTH(JP$8,0))/SUMIFS(40:40,$8:$8,"&gt;="&amp;DATE(YEAR(JP$8)-1,1,1),$8:$8,"&lt;="&amp;EOMONTH(JP$8,-12))-1</f>
        <v/>
      </c>
      <c r="JQ43" s="1318">
        <f>SUMIFS(40:40,$8:$8,"&gt;="&amp;DATE(YEAR(JQ$8),1,1),$8:$8,"&lt;="&amp;EOMONTH(JQ$8,0))/SUMIFS(40:40,$8:$8,"&gt;="&amp;DATE(YEAR(JQ$8)-1,1,1),$8:$8,"&lt;="&amp;EOMONTH(JQ$8,-12))-1</f>
        <v/>
      </c>
      <c r="JR43" s="1318">
        <f>SUMIFS(40:40,$8:$8,"&gt;="&amp;DATE(YEAR(JR$8),1,1),$8:$8,"&lt;="&amp;EOMONTH(JR$8,0))/SUMIFS(40:40,$8:$8,"&gt;="&amp;DATE(YEAR(JR$8)-1,1,1),$8:$8,"&lt;="&amp;EOMONTH(JR$8,-12))-1</f>
        <v/>
      </c>
      <c r="JS43" s="1318">
        <f>SUMIFS(40:40,$8:$8,"&gt;="&amp;DATE(YEAR(JS$8),1,1),$8:$8,"&lt;="&amp;EOMONTH(JS$8,0))/SUMIFS(40:40,$8:$8,"&gt;="&amp;DATE(YEAR(JS$8)-1,1,1),$8:$8,"&lt;="&amp;EOMONTH(JS$8,-12))-1</f>
        <v/>
      </c>
      <c r="JT43" s="1318">
        <f>SUMIFS(40:40,$8:$8,"&gt;="&amp;DATE(YEAR(JT$8),1,1),$8:$8,"&lt;="&amp;EOMONTH(JT$8,0))/SUMIFS(40:40,$8:$8,"&gt;="&amp;DATE(YEAR(JT$8)-1,1,1),$8:$8,"&lt;="&amp;EOMONTH(JT$8,-12))-1</f>
        <v/>
      </c>
      <c r="JU43" s="1318">
        <f>SUMIFS(40:40,$8:$8,"&gt;="&amp;DATE(YEAR(JU$8),1,1),$8:$8,"&lt;="&amp;EOMONTH(JU$8,0))/SUMIFS(40:40,$8:$8,"&gt;="&amp;DATE(YEAR(JU$8)-1,1,1),$8:$8,"&lt;="&amp;EOMONTH(JU$8,-12))-1</f>
        <v/>
      </c>
      <c r="JV43" s="1318">
        <f>SUMIFS(40:40,$8:$8,"&gt;="&amp;DATE(YEAR(JV$8),1,1),$8:$8,"&lt;="&amp;EOMONTH(JV$8,0))/SUMIFS(40:40,$8:$8,"&gt;="&amp;DATE(YEAR(JV$8)-1,1,1),$8:$8,"&lt;="&amp;EOMONTH(JV$8,-12))-1</f>
        <v/>
      </c>
      <c r="JW43" s="1318">
        <f>SUMIFS(40:40,$8:$8,"&gt;="&amp;DATE(YEAR(JW$8),1,1),$8:$8,"&lt;="&amp;EOMONTH(JW$8,0))/SUMIFS(40:40,$8:$8,"&gt;="&amp;DATE(YEAR(JW$8)-1,1,1),$8:$8,"&lt;="&amp;EOMONTH(JW$8,-12))-1</f>
        <v/>
      </c>
      <c r="JX43" s="1318">
        <f>SUMIFS(40:40,$8:$8,"&gt;="&amp;DATE(YEAR(JX$8),1,1),$8:$8,"&lt;="&amp;EOMONTH(JX$8,0))/SUMIFS(40:40,$8:$8,"&gt;="&amp;DATE(YEAR(JX$8)-1,1,1),$8:$8,"&lt;="&amp;EOMONTH(JX$8,-12))-1</f>
        <v/>
      </c>
      <c r="JY43" s="1318">
        <f>SUMIFS(40:40,$8:$8,"&gt;="&amp;DATE(YEAR(JY$8),1,1),$8:$8,"&lt;="&amp;EOMONTH(JY$8,0))/SUMIFS(40:40,$8:$8,"&gt;="&amp;DATE(YEAR(JY$8)-1,1,1),$8:$8,"&lt;="&amp;EOMONTH(JY$8,-12))-1</f>
        <v/>
      </c>
      <c r="JZ43" s="1318">
        <f>SUMIFS(40:40,$8:$8,"&gt;="&amp;DATE(YEAR(JZ$8),1,1),$8:$8,"&lt;="&amp;EOMONTH(JZ$8,0))/SUMIFS(40:40,$8:$8,"&gt;="&amp;DATE(YEAR(JZ$8)-1,1,1),$8:$8,"&lt;="&amp;EOMONTH(JZ$8,-12))-1</f>
        <v/>
      </c>
      <c r="KA43" s="1318">
        <f>SUMIFS(40:40,$8:$8,"&gt;="&amp;DATE(YEAR(KA$8),1,1),$8:$8,"&lt;="&amp;EOMONTH(KA$8,0))/SUMIFS(40:40,$8:$8,"&gt;="&amp;DATE(YEAR(KA$8)-1,1,1),$8:$8,"&lt;="&amp;EOMONTH(KA$8,-12))-1</f>
        <v/>
      </c>
      <c r="KB43" s="1318">
        <f>SUMIFS(40:40,$8:$8,"&gt;="&amp;DATE(YEAR(KB$8),1,1),$8:$8,"&lt;="&amp;EOMONTH(KB$8,0))/SUMIFS(40:40,$8:$8,"&gt;="&amp;DATE(YEAR(KB$8)-1,1,1),$8:$8,"&lt;="&amp;EOMONTH(KB$8,-12))-1</f>
        <v/>
      </c>
      <c r="KC43" s="1318">
        <f>SUMIFS(40:40,$8:$8,"&gt;="&amp;DATE(YEAR(KC$8),1,1),$8:$8,"&lt;="&amp;EOMONTH(KC$8,0))/SUMIFS(40:40,$8:$8,"&gt;="&amp;DATE(YEAR(KC$8)-1,1,1),$8:$8,"&lt;="&amp;EOMONTH(KC$8,-12))-1</f>
        <v/>
      </c>
      <c r="KD43" s="1318">
        <f>SUMIFS(40:40,$8:$8,"&gt;="&amp;DATE(YEAR(KD$8),1,1),$8:$8,"&lt;="&amp;EOMONTH(KD$8,0))/SUMIFS(40:40,$8:$8,"&gt;="&amp;DATE(YEAR(KD$8)-1,1,1),$8:$8,"&lt;="&amp;EOMONTH(KD$8,-12))-1</f>
        <v/>
      </c>
      <c r="KE43" s="1318">
        <f>SUMIFS(40:40,$8:$8,"&gt;="&amp;DATE(YEAR(KE$8),1,1),$8:$8,"&lt;="&amp;EOMONTH(KE$8,0))/SUMIFS(40:40,$8:$8,"&gt;="&amp;DATE(YEAR(KE$8)-1,1,1),$8:$8,"&lt;="&amp;EOMONTH(KE$8,-12))-1</f>
        <v/>
      </c>
      <c r="KF43" s="1318">
        <f>SUMIFS(40:40,$8:$8,"&gt;="&amp;DATE(YEAR(KF$8),1,1),$8:$8,"&lt;="&amp;EOMONTH(KF$8,0))/SUMIFS(40:40,$8:$8,"&gt;="&amp;DATE(YEAR(KF$8)-1,1,1),$8:$8,"&lt;="&amp;EOMONTH(KF$8,-12))-1</f>
        <v/>
      </c>
      <c r="KG43" s="1318">
        <f>SUMIFS(40:40,$8:$8,"&gt;="&amp;DATE(YEAR(KG$8),1,1),$8:$8,"&lt;="&amp;EOMONTH(KG$8,0))/SUMIFS(40:40,$8:$8,"&gt;="&amp;DATE(YEAR(KG$8)-1,1,1),$8:$8,"&lt;="&amp;EOMONTH(KG$8,-12))-1</f>
        <v/>
      </c>
      <c r="KH43" s="1318">
        <f>SUMIFS(40:40,$8:$8,"&gt;="&amp;DATE(YEAR(KH$8),1,1),$8:$8,"&lt;="&amp;EOMONTH(KH$8,0))/SUMIFS(40:40,$8:$8,"&gt;="&amp;DATE(YEAR(KH$8)-1,1,1),$8:$8,"&lt;="&amp;EOMONTH(KH$8,-12))-1</f>
        <v/>
      </c>
      <c r="KI43" s="1318">
        <f>SUMIFS(40:40,$8:$8,"&gt;="&amp;DATE(YEAR(KI$8),1,1),$8:$8,"&lt;="&amp;EOMONTH(KI$8,0))/SUMIFS(40:40,$8:$8,"&gt;="&amp;DATE(YEAR(KI$8)-1,1,1),$8:$8,"&lt;="&amp;EOMONTH(KI$8,-12))-1</f>
        <v/>
      </c>
      <c r="KJ43" s="1318">
        <f>SUMIFS(40:40,$8:$8,"&gt;="&amp;DATE(YEAR(KJ$8),1,1),$8:$8,"&lt;="&amp;EOMONTH(KJ$8,0))/SUMIFS(40:40,$8:$8,"&gt;="&amp;DATE(YEAR(KJ$8)-1,1,1),$8:$8,"&lt;="&amp;EOMONTH(KJ$8,-12))-1</f>
        <v/>
      </c>
      <c r="KK43" s="1318">
        <f>SUMIFS(40:40,$8:$8,"&gt;="&amp;DATE(YEAR(KK$8),1,1),$8:$8,"&lt;="&amp;EOMONTH(KK$8,0))/SUMIFS(40:40,$8:$8,"&gt;="&amp;DATE(YEAR(KK$8)-1,1,1),$8:$8,"&lt;="&amp;EOMONTH(KK$8,-12))-1</f>
        <v/>
      </c>
      <c r="KL43" s="1318">
        <f>SUMIFS(40:40,$8:$8,"&gt;="&amp;DATE(YEAR(KL$8),1,1),$8:$8,"&lt;="&amp;EOMONTH(KL$8,0))/SUMIFS(40:40,$8:$8,"&gt;="&amp;DATE(YEAR(KL$8)-1,1,1),$8:$8,"&lt;="&amp;EOMONTH(KL$8,-12))-1</f>
        <v/>
      </c>
      <c r="KM43" s="1318">
        <f>SUMIFS(40:40,$8:$8,"&gt;="&amp;DATE(YEAR(KM$8),1,1),$8:$8,"&lt;="&amp;EOMONTH(KM$8,0))/SUMIFS(40:40,$8:$8,"&gt;="&amp;DATE(YEAR(KM$8)-1,1,1),$8:$8,"&lt;="&amp;EOMONTH(KM$8,-12))-1</f>
        <v/>
      </c>
      <c r="KN43" s="1318">
        <f>SUMIFS(40:40,$8:$8,"&gt;="&amp;DATE(YEAR(KN$8),1,1),$8:$8,"&lt;="&amp;EOMONTH(KN$8,0))/SUMIFS(40:40,$8:$8,"&gt;="&amp;DATE(YEAR(KN$8)-1,1,1),$8:$8,"&lt;="&amp;EOMONTH(KN$8,-12))-1</f>
        <v/>
      </c>
      <c r="KO43" s="1318">
        <f>SUMIFS(40:40,$8:$8,"&gt;="&amp;DATE(YEAR(KO$8),1,1),$8:$8,"&lt;="&amp;EOMONTH(KO$8,0))/SUMIFS(40:40,$8:$8,"&gt;="&amp;DATE(YEAR(KO$8)-1,1,1),$8:$8,"&lt;="&amp;EOMONTH(KO$8,-12))-1</f>
        <v/>
      </c>
      <c r="KP43" s="1318">
        <f>SUMIFS(40:40,$8:$8,"&gt;="&amp;DATE(YEAR(KP$8),1,1),$8:$8,"&lt;="&amp;EOMONTH(KP$8,0))/SUMIFS(40:40,$8:$8,"&gt;="&amp;DATE(YEAR(KP$8)-1,1,1),$8:$8,"&lt;="&amp;EOMONTH(KP$8,-12))-1</f>
        <v/>
      </c>
      <c r="KQ43" s="1318">
        <f>SUMIFS(40:40,$8:$8,"&gt;="&amp;DATE(YEAR(KQ$8),1,1),$8:$8,"&lt;="&amp;EOMONTH(KQ$8,0))/SUMIFS(40:40,$8:$8,"&gt;="&amp;DATE(YEAR(KQ$8)-1,1,1),$8:$8,"&lt;="&amp;EOMONTH(KQ$8,-12))-1</f>
        <v/>
      </c>
      <c r="KR43" s="1318">
        <f>SUMIFS(40:40,$8:$8,"&gt;="&amp;DATE(YEAR(KR$8),1,1),$8:$8,"&lt;="&amp;EOMONTH(KR$8,0))/SUMIFS(40:40,$8:$8,"&gt;="&amp;DATE(YEAR(KR$8)-1,1,1),$8:$8,"&lt;="&amp;EOMONTH(KR$8,-12))-1</f>
        <v/>
      </c>
      <c r="KS43" s="1318">
        <f>SUMIFS(40:40,$8:$8,"&gt;="&amp;DATE(YEAR(KS$8),1,1),$8:$8,"&lt;="&amp;EOMONTH(KS$8,0))/SUMIFS(40:40,$8:$8,"&gt;="&amp;DATE(YEAR(KS$8)-1,1,1),$8:$8,"&lt;="&amp;EOMONTH(KS$8,-12))-1</f>
        <v/>
      </c>
      <c r="KT43" s="1318">
        <f>SUMIFS(40:40,$8:$8,"&gt;="&amp;DATE(YEAR(KT$8),1,1),$8:$8,"&lt;="&amp;EOMONTH(KT$8,0))/SUMIFS(40:40,$8:$8,"&gt;="&amp;DATE(YEAR(KT$8)-1,1,1),$8:$8,"&lt;="&amp;EOMONTH(KT$8,-12))-1</f>
        <v/>
      </c>
      <c r="KU43" s="1318">
        <f>SUMIFS(40:40,$8:$8,"&gt;="&amp;DATE(YEAR(KU$8),1,1),$8:$8,"&lt;="&amp;EOMONTH(KU$8,0))/SUMIFS(40:40,$8:$8,"&gt;="&amp;DATE(YEAR(KU$8)-1,1,1),$8:$8,"&lt;="&amp;EOMONTH(KU$8,-12))-1</f>
        <v/>
      </c>
      <c r="KV43" s="1318">
        <f>SUMIFS(40:40,$8:$8,"&gt;="&amp;DATE(YEAR(KV$8),1,1),$8:$8,"&lt;="&amp;EOMONTH(KV$8,0))/SUMIFS(40:40,$8:$8,"&gt;="&amp;DATE(YEAR(KV$8)-1,1,1),$8:$8,"&lt;="&amp;EOMONTH(KV$8,-12))-1</f>
        <v/>
      </c>
      <c r="KW43" s="1318">
        <f>SUMIFS(40:40,$8:$8,"&gt;="&amp;DATE(YEAR(KW$8),1,1),$8:$8,"&lt;="&amp;EOMONTH(KW$8,0))/SUMIFS(40:40,$8:$8,"&gt;="&amp;DATE(YEAR(KW$8)-1,1,1),$8:$8,"&lt;="&amp;EOMONTH(KW$8,-12))-1</f>
        <v/>
      </c>
      <c r="KX43" s="1318">
        <f>SUMIFS(40:40,$8:$8,"&gt;="&amp;DATE(YEAR(KX$8),1,1),$8:$8,"&lt;="&amp;EOMONTH(KX$8,0))/SUMIFS(40:40,$8:$8,"&gt;="&amp;DATE(YEAR(KX$8)-1,1,1),$8:$8,"&lt;="&amp;EOMONTH(KX$8,-12))-1</f>
        <v/>
      </c>
      <c r="KY43" s="1318">
        <f>SUMIFS(40:40,$8:$8,"&gt;="&amp;DATE(YEAR(KY$8),1,1),$8:$8,"&lt;="&amp;EOMONTH(KY$8,0))/SUMIFS(40:40,$8:$8,"&gt;="&amp;DATE(YEAR(KY$8)-1,1,1),$8:$8,"&lt;="&amp;EOMONTH(KY$8,-12))-1</f>
        <v/>
      </c>
      <c r="KZ43" s="1318">
        <f>SUMIFS(40:40,$8:$8,"&gt;="&amp;DATE(YEAR(KZ$8),1,1),$8:$8,"&lt;="&amp;EOMONTH(KZ$8,0))/SUMIFS(40:40,$8:$8,"&gt;="&amp;DATE(YEAR(KZ$8)-1,1,1),$8:$8,"&lt;="&amp;EOMONTH(KZ$8,-12))-1</f>
        <v/>
      </c>
      <c r="LA43" s="1318">
        <f>SUMIFS(40:40,$8:$8,"&gt;="&amp;DATE(YEAR(LA$8),1,1),$8:$8,"&lt;="&amp;EOMONTH(LA$8,0))/SUMIFS(40:40,$8:$8,"&gt;="&amp;DATE(YEAR(LA$8)-1,1,1),$8:$8,"&lt;="&amp;EOMONTH(LA$8,-12))-1</f>
        <v/>
      </c>
      <c r="LB43" s="1318">
        <f>SUMIFS(40:40,$8:$8,"&gt;="&amp;DATE(YEAR(LB$8),1,1),$8:$8,"&lt;="&amp;EOMONTH(LB$8,0))/SUMIFS(40:40,$8:$8,"&gt;="&amp;DATE(YEAR(LB$8)-1,1,1),$8:$8,"&lt;="&amp;EOMONTH(LB$8,-12))-1</f>
        <v/>
      </c>
      <c r="LC43" s="1318">
        <f>SUMIFS(40:40,$8:$8,"&gt;="&amp;DATE(YEAR(LC$8),1,1),$8:$8,"&lt;="&amp;EOMONTH(LC$8,0))/SUMIFS(40:40,$8:$8,"&gt;="&amp;DATE(YEAR(LC$8)-1,1,1),$8:$8,"&lt;="&amp;EOMONTH(LC$8,-12))-1</f>
        <v/>
      </c>
      <c r="LD43" s="1318">
        <f>SUMIFS(40:40,$8:$8,"&gt;="&amp;DATE(YEAR(LD$8),1,1),$8:$8,"&lt;="&amp;EOMONTH(LD$8,0))/SUMIFS(40:40,$8:$8,"&gt;="&amp;DATE(YEAR(LD$8)-1,1,1),$8:$8,"&lt;="&amp;EOMONTH(LD$8,-12))-1</f>
        <v/>
      </c>
      <c r="LE43" s="1318">
        <f>SUMIFS(40:40,$8:$8,"&gt;="&amp;DATE(YEAR(LE$8),1,1),$8:$8,"&lt;="&amp;EOMONTH(LE$8,0))/SUMIFS(40:40,$8:$8,"&gt;="&amp;DATE(YEAR(LE$8)-1,1,1),$8:$8,"&lt;="&amp;EOMONTH(LE$8,-12))-1</f>
        <v/>
      </c>
      <c r="LF43" s="1318">
        <f>SUMIFS(40:40,$8:$8,"&gt;="&amp;DATE(YEAR(LF$8),1,1),$8:$8,"&lt;="&amp;EOMONTH(LF$8,0))/SUMIFS(40:40,$8:$8,"&gt;="&amp;DATE(YEAR(LF$8)-1,1,1),$8:$8,"&lt;="&amp;EOMONTH(LF$8,-12))-1</f>
        <v/>
      </c>
      <c r="LG43" s="1318">
        <f>SUMIFS(40:40,$8:$8,"&gt;="&amp;DATE(YEAR(LG$8),1,1),$8:$8,"&lt;="&amp;EOMONTH(LG$8,0))/SUMIFS(40:40,$8:$8,"&gt;="&amp;DATE(YEAR(LG$8)-1,1,1),$8:$8,"&lt;="&amp;EOMONTH(LG$8,-12))-1</f>
        <v/>
      </c>
      <c r="LH43" s="1318">
        <f>SUMIFS(40:40,$8:$8,"&gt;="&amp;DATE(YEAR(LH$8),1,1),$8:$8,"&lt;="&amp;EOMONTH(LH$8,0))/SUMIFS(40:40,$8:$8,"&gt;="&amp;DATE(YEAR(LH$8)-1,1,1),$8:$8,"&lt;="&amp;EOMONTH(LH$8,-12))-1</f>
        <v/>
      </c>
      <c r="LI43" s="1318">
        <f>SUMIFS(40:40,$8:$8,"&gt;="&amp;DATE(YEAR(LI$8),1,1),$8:$8,"&lt;="&amp;EOMONTH(LI$8,0))/SUMIFS(40:40,$8:$8,"&gt;="&amp;DATE(YEAR(LI$8)-1,1,1),$8:$8,"&lt;="&amp;EOMONTH(LI$8,-12))-1</f>
        <v/>
      </c>
      <c r="LJ43" s="1318">
        <f>SUMIFS(40:40,$8:$8,"&gt;="&amp;DATE(YEAR(LJ$8),1,1),$8:$8,"&lt;="&amp;EOMONTH(LJ$8,0))/SUMIFS(40:40,$8:$8,"&gt;="&amp;DATE(YEAR(LJ$8)-1,1,1),$8:$8,"&lt;="&amp;EOMONTH(LJ$8,-12))-1</f>
        <v/>
      </c>
      <c r="LK43" s="1318">
        <f>SUMIFS(40:40,$8:$8,"&gt;="&amp;DATE(YEAR(LK$8),1,1),$8:$8,"&lt;="&amp;EOMONTH(LK$8,0))/SUMIFS(40:40,$8:$8,"&gt;="&amp;DATE(YEAR(LK$8)-1,1,1),$8:$8,"&lt;="&amp;EOMONTH(LK$8,-12))-1</f>
        <v/>
      </c>
      <c r="LL43" s="1318">
        <f>SUMIFS(40:40,$8:$8,"&gt;="&amp;DATE(YEAR(LL$8),1,1),$8:$8,"&lt;="&amp;EOMONTH(LL$8,0))/SUMIFS(40:40,$8:$8,"&gt;="&amp;DATE(YEAR(LL$8)-1,1,1),$8:$8,"&lt;="&amp;EOMONTH(LL$8,-12))-1</f>
        <v/>
      </c>
      <c r="LM43" s="1318">
        <f>SUMIFS(40:40,$8:$8,"&gt;="&amp;DATE(YEAR(LM$8),1,1),$8:$8,"&lt;="&amp;EOMONTH(LM$8,0))/SUMIFS(40:40,$8:$8,"&gt;="&amp;DATE(YEAR(LM$8)-1,1,1),$8:$8,"&lt;="&amp;EOMONTH(LM$8,-12))-1</f>
        <v/>
      </c>
      <c r="LN43" s="1318">
        <f>SUMIFS(40:40,$8:$8,"&gt;="&amp;DATE(YEAR(LN$8),1,1),$8:$8,"&lt;="&amp;EOMONTH(LN$8,0))/SUMIFS(40:40,$8:$8,"&gt;="&amp;DATE(YEAR(LN$8)-1,1,1),$8:$8,"&lt;="&amp;EOMONTH(LN$8,-12))-1</f>
        <v/>
      </c>
      <c r="LO43" s="1318">
        <f>SUMIFS(40:40,$8:$8,"&gt;="&amp;DATE(YEAR(LO$8),1,1),$8:$8,"&lt;="&amp;EOMONTH(LO$8,0))/SUMIFS(40:40,$8:$8,"&gt;="&amp;DATE(YEAR(LO$8)-1,1,1),$8:$8,"&lt;="&amp;EOMONTH(LO$8,-12))-1</f>
        <v/>
      </c>
      <c r="LP43" s="1318">
        <f>SUMIFS(40:40,$8:$8,"&gt;="&amp;DATE(YEAR(LP$8),1,1),$8:$8,"&lt;="&amp;EOMONTH(LP$8,0))/SUMIFS(40:40,$8:$8,"&gt;="&amp;DATE(YEAR(LP$8)-1,1,1),$8:$8,"&lt;="&amp;EOMONTH(LP$8,-12))-1</f>
        <v/>
      </c>
      <c r="LQ43" s="1318">
        <f>SUMIFS(40:40,$8:$8,"&gt;="&amp;DATE(YEAR(LQ$8),1,1),$8:$8,"&lt;="&amp;EOMONTH(LQ$8,0))/SUMIFS(40:40,$8:$8,"&gt;="&amp;DATE(YEAR(LQ$8)-1,1,1),$8:$8,"&lt;="&amp;EOMONTH(LQ$8,-12))-1</f>
        <v/>
      </c>
      <c r="LR43" s="1318">
        <f>SUMIFS(40:40,$8:$8,"&gt;="&amp;DATE(YEAR(LR$8),1,1),$8:$8,"&lt;="&amp;EOMONTH(LR$8,0))/SUMIFS(40:40,$8:$8,"&gt;="&amp;DATE(YEAR(LR$8)-1,1,1),$8:$8,"&lt;="&amp;EOMONTH(LR$8,-12))-1</f>
        <v/>
      </c>
      <c r="LS43" s="1318">
        <f>SUMIFS(40:40,$8:$8,"&gt;="&amp;DATE(YEAR(LS$8),1,1),$8:$8,"&lt;="&amp;EOMONTH(LS$8,0))/SUMIFS(40:40,$8:$8,"&gt;="&amp;DATE(YEAR(LS$8)-1,1,1),$8:$8,"&lt;="&amp;EOMONTH(LS$8,-12))-1</f>
        <v/>
      </c>
    </row>
    <row r="44">
      <c r="A44" s="885" t="n"/>
      <c r="B44" s="1318" t="n"/>
      <c r="C44" s="885" t="n"/>
      <c r="D44" s="885" t="n"/>
      <c r="E44" s="885" t="n"/>
      <c r="F44" s="885" t="n"/>
      <c r="G44" s="885" t="n"/>
      <c r="H44" s="885" t="n"/>
      <c r="I44" s="885" t="n"/>
      <c r="J44" s="885" t="n"/>
      <c r="K44" s="885" t="n"/>
      <c r="L44" s="885" t="n"/>
      <c r="M44" s="885" t="n"/>
      <c r="N44" s="1318" t="n"/>
      <c r="O44" s="885" t="n"/>
      <c r="P44" s="885" t="n"/>
      <c r="Q44" s="885" t="n"/>
      <c r="R44" s="885" t="n"/>
      <c r="S44" s="885" t="n"/>
      <c r="T44" s="885" t="n"/>
      <c r="U44" s="885" t="n"/>
      <c r="V44" s="885" t="n"/>
      <c r="W44" s="885" t="n"/>
      <c r="X44" s="885" t="n"/>
      <c r="Y44" s="885" t="n"/>
      <c r="Z44" s="1318" t="n"/>
      <c r="AA44" s="885" t="n"/>
      <c r="AB44" s="885" t="n"/>
      <c r="AC44" s="885" t="n"/>
      <c r="AD44" s="885" t="n"/>
      <c r="AE44" s="885" t="n"/>
      <c r="AF44" s="885" t="n"/>
      <c r="AG44" s="885" t="n"/>
      <c r="AH44" s="885" t="n"/>
      <c r="AI44" s="885" t="n"/>
      <c r="AJ44" s="885" t="n"/>
      <c r="AK44" s="885" t="n"/>
      <c r="AL44" s="1318" t="n"/>
      <c r="AM44" s="885" t="n"/>
      <c r="AN44" s="885" t="n"/>
      <c r="AO44" s="885" t="n"/>
      <c r="AP44" s="885" t="n"/>
      <c r="AQ44" s="885" t="n"/>
      <c r="AR44" s="885" t="n"/>
      <c r="AS44" s="885" t="n"/>
      <c r="AT44" s="885" t="n"/>
      <c r="AU44" s="885" t="n"/>
      <c r="AV44" s="885" t="n"/>
      <c r="AW44" s="885" t="n"/>
      <c r="AX44" s="1318" t="n"/>
      <c r="AY44" s="1329" t="n"/>
      <c r="AZ44" s="1329" t="n"/>
      <c r="BA44" s="1329" t="n"/>
      <c r="BB44" s="1329" t="n"/>
      <c r="BC44" s="1329" t="n"/>
      <c r="BD44" s="1329" t="n"/>
      <c r="BE44" s="1329" t="n"/>
      <c r="BF44" s="1329" t="n"/>
      <c r="BG44" s="1329" t="n"/>
      <c r="BH44" s="1329" t="n"/>
      <c r="BI44" s="1329" t="n"/>
      <c r="BJ44" s="1318" t="n"/>
      <c r="BK44" s="1318" t="n"/>
      <c r="BL44" s="1318" t="n"/>
      <c r="BM44" s="1318" t="n"/>
      <c r="BN44" s="1318" t="n"/>
      <c r="BO44" s="1318" t="n"/>
      <c r="BP44" s="1318" t="n"/>
      <c r="BQ44" s="1318" t="n"/>
      <c r="BR44" s="1318" t="n"/>
      <c r="BS44" s="1318" t="n"/>
      <c r="BT44" s="1318" t="n"/>
      <c r="BU44" s="1318" t="n"/>
      <c r="BV44" s="1318" t="n"/>
      <c r="BW44" s="1318" t="n"/>
      <c r="BX44" s="1318" t="n"/>
      <c r="BY44" s="1318" t="n"/>
      <c r="BZ44" s="1318" t="n"/>
      <c r="CA44" s="1318" t="n"/>
      <c r="CB44" s="1318" t="n"/>
      <c r="CC44" s="1318" t="n"/>
      <c r="CD44" s="1318" t="n"/>
      <c r="CE44" s="1318" t="n"/>
      <c r="CF44" s="1318" t="n"/>
      <c r="CG44" s="1318" t="n"/>
      <c r="CH44" s="1318" t="n"/>
      <c r="CI44" s="1318" t="n"/>
      <c r="CJ44" s="1318" t="n"/>
      <c r="CK44" s="1318" t="n"/>
      <c r="CL44" s="1330" t="n"/>
      <c r="CM44" s="1330" t="n"/>
      <c r="CN44" s="1318" t="n"/>
      <c r="CO44" s="1318" t="n"/>
      <c r="CP44" s="1318" t="n"/>
      <c r="CQ44" s="1318" t="n"/>
      <c r="CR44" s="1318" t="n"/>
      <c r="CS44" s="1318" t="n"/>
      <c r="CT44" s="1318" t="n"/>
      <c r="CU44" s="1318" t="n"/>
      <c r="CV44" s="1318" t="n"/>
      <c r="CW44" s="1318" t="n"/>
      <c r="CX44" s="1318" t="n"/>
      <c r="CY44" s="1318" t="n"/>
      <c r="CZ44" s="1318" t="n"/>
      <c r="DA44" s="1318" t="n"/>
      <c r="DB44" s="1318" t="n"/>
      <c r="DC44" s="1318" t="n"/>
      <c r="DD44" s="1318" t="n"/>
      <c r="DE44" s="1318" t="n"/>
      <c r="DF44" s="1318" t="n"/>
      <c r="DG44" s="1318" t="n"/>
      <c r="DH44" s="1318" t="n"/>
      <c r="DI44" s="1318" t="n"/>
      <c r="DJ44" s="1318" t="n"/>
      <c r="DK44" s="1318" t="n"/>
      <c r="DL44" s="1318" t="n"/>
      <c r="DM44" s="1318" t="n"/>
      <c r="DN44" s="1318" t="n"/>
      <c r="DO44" s="1318" t="n"/>
      <c r="DP44" s="1318" t="n"/>
      <c r="DQ44" s="1318" t="n"/>
      <c r="DR44" s="1318" t="n"/>
      <c r="DS44" s="1318" t="n"/>
      <c r="DT44" s="1318" t="n"/>
      <c r="DU44" s="1318" t="n"/>
      <c r="DV44" s="1318" t="n"/>
      <c r="DW44" s="1318" t="n"/>
      <c r="DX44" s="1318" t="n"/>
      <c r="DY44" s="1318" t="n"/>
      <c r="DZ44" s="1318" t="n"/>
      <c r="EA44" s="1318" t="n"/>
      <c r="EB44" s="1318" t="n"/>
      <c r="EC44" s="1318" t="n"/>
      <c r="ED44" s="1318" t="n"/>
      <c r="EE44" s="1318" t="n"/>
      <c r="EF44" s="1318" t="n"/>
      <c r="EG44" s="1318" t="n"/>
      <c r="EH44" s="1318" t="n"/>
      <c r="EI44" s="1318" t="n"/>
      <c r="EJ44" s="1318" t="n"/>
      <c r="EK44" s="1318" t="n"/>
      <c r="EL44" s="1318" t="n"/>
      <c r="EM44" s="1318" t="n"/>
      <c r="EN44" s="1318" t="n"/>
      <c r="EO44" s="1318" t="n"/>
      <c r="EP44" s="1318" t="n"/>
      <c r="EQ44" s="1318" t="n"/>
      <c r="ER44" s="1318" t="n"/>
      <c r="ES44" s="1318" t="n"/>
      <c r="ET44" s="1318" t="n"/>
      <c r="EU44" s="1318" t="n"/>
      <c r="EV44" s="1318" t="n"/>
      <c r="EW44" s="1318" t="n"/>
      <c r="EX44" s="1318" t="n"/>
      <c r="EY44" s="1318" t="n"/>
      <c r="EZ44" s="1318" t="n"/>
      <c r="FA44" s="1318" t="n"/>
      <c r="FB44" s="1318" t="n"/>
      <c r="FC44" s="1318" t="n"/>
      <c r="FD44" s="1318" t="n"/>
      <c r="FE44" s="1318" t="n"/>
      <c r="FF44" s="1318" t="n"/>
      <c r="FG44" s="1318" t="n"/>
      <c r="FH44" s="1318" t="n"/>
      <c r="FI44" s="1318" t="n"/>
      <c r="FJ44" s="1318" t="n"/>
      <c r="FK44" s="1318" t="n"/>
      <c r="FL44" s="1318" t="n"/>
      <c r="FM44" s="1318" t="n"/>
      <c r="FN44" s="902" t="n"/>
      <c r="FO44" s="902" t="n"/>
      <c r="FP44" s="902" t="n"/>
      <c r="FQ44" s="902" t="n"/>
      <c r="FR44" s="902" t="n"/>
      <c r="FS44" s="902" t="n"/>
      <c r="FT44" s="902" t="n"/>
      <c r="FU44" s="902" t="n"/>
      <c r="FV44" s="903" t="n"/>
      <c r="FW44" s="903" t="n"/>
      <c r="FX44" s="903" t="n"/>
      <c r="FY44" s="903" t="n"/>
      <c r="FZ44" s="1318" t="n"/>
      <c r="GA44" s="1318" t="n"/>
      <c r="GB44" s="1318" t="n"/>
      <c r="GC44" s="1318" t="n"/>
      <c r="GD44" s="1318" t="n"/>
      <c r="GE44" s="1318" t="n"/>
      <c r="GF44" s="1318" t="n"/>
      <c r="GG44" s="1318" t="n"/>
      <c r="GH44" s="1318" t="n"/>
      <c r="GI44" s="904" t="n"/>
      <c r="GJ44" s="904" t="n"/>
      <c r="GK44" s="903" t="n"/>
      <c r="GL44" s="904" t="n"/>
      <c r="GM44" s="904" t="n"/>
      <c r="GN44" s="904" t="n"/>
      <c r="GO44" s="904" t="n"/>
      <c r="GP44" s="904" t="n"/>
      <c r="GQ44" s="904" t="n"/>
      <c r="GR44" s="904" t="n"/>
      <c r="GS44" s="904" t="n"/>
      <c r="GT44" s="904" t="n"/>
      <c r="GU44" s="904" t="n"/>
      <c r="GV44" s="904" t="n"/>
      <c r="GW44" s="903" t="n"/>
      <c r="GX44" s="904" t="n"/>
      <c r="GY44" s="904" t="n"/>
      <c r="GZ44" s="904" t="n"/>
      <c r="HA44" s="904" t="n"/>
      <c r="HB44" s="904" t="n"/>
      <c r="HC44" s="904" t="n"/>
      <c r="HD44" s="904" t="n"/>
      <c r="HE44" s="904" t="n"/>
      <c r="HF44" s="904" t="n"/>
      <c r="HG44" s="904" t="n"/>
      <c r="HH44" s="904" t="n"/>
      <c r="HI44" s="904" t="n"/>
      <c r="HJ44" s="904" t="n"/>
      <c r="HK44" s="904" t="n"/>
      <c r="HL44" s="904" t="n"/>
      <c r="HM44" s="904" t="n"/>
      <c r="HN44" s="904" t="n"/>
      <c r="HO44" s="904" t="n"/>
      <c r="HP44" s="904" t="n"/>
      <c r="HQ44" s="904" t="n"/>
      <c r="HR44" s="904" t="n"/>
      <c r="HS44" s="904" t="n"/>
      <c r="HT44" s="904" t="n"/>
      <c r="HU44" s="904" t="n"/>
      <c r="HV44" s="904" t="n"/>
      <c r="HW44" s="904" t="n"/>
      <c r="HX44" s="904" t="n"/>
      <c r="HY44" s="904" t="n"/>
      <c r="HZ44" s="904" t="n"/>
      <c r="IA44" s="904" t="n"/>
      <c r="IB44" s="904" t="n"/>
      <c r="IC44" s="904" t="n"/>
      <c r="ID44" s="904" t="n"/>
      <c r="IE44" s="904" t="n"/>
      <c r="IF44" s="904" t="n"/>
      <c r="IG44" s="904" t="n"/>
      <c r="IH44" s="904" t="n"/>
      <c r="II44" s="904" t="n"/>
      <c r="IJ44" s="904" t="n"/>
      <c r="IK44" s="904" t="n"/>
      <c r="IL44" s="904" t="n"/>
      <c r="IM44" s="904" t="n"/>
      <c r="IN44" s="904" t="n"/>
      <c r="IO44" s="904" t="n"/>
      <c r="IP44" s="904" t="n"/>
      <c r="IQ44" s="904" t="n"/>
      <c r="IR44" s="904" t="n"/>
      <c r="IS44" s="904" t="n"/>
      <c r="IT44" s="904" t="n"/>
      <c r="IU44" s="904" t="n"/>
      <c r="IV44" s="904" t="n"/>
      <c r="IW44" s="904" t="n"/>
      <c r="IX44" s="904" t="n"/>
      <c r="IY44" s="904" t="n"/>
      <c r="IZ44" s="904" t="n"/>
      <c r="JA44" s="904" t="n"/>
      <c r="JB44" s="904" t="n"/>
      <c r="JC44" s="904" t="n"/>
      <c r="JD44" s="904" t="n"/>
      <c r="JE44" s="904" t="n"/>
      <c r="JF44" s="904" t="n"/>
      <c r="JG44" s="904" t="n"/>
      <c r="JH44" s="904" t="n"/>
      <c r="JI44" s="904" t="n"/>
      <c r="JJ44" s="904" t="n"/>
      <c r="JK44" s="904" t="n"/>
      <c r="JL44" s="904" t="n"/>
      <c r="JM44" s="904" t="n"/>
      <c r="JN44" s="904" t="n"/>
      <c r="JO44" s="904" t="n"/>
      <c r="JP44" s="904" t="n"/>
      <c r="JQ44" s="904" t="n"/>
      <c r="JR44" s="904" t="n"/>
      <c r="JS44" s="904" t="n"/>
      <c r="JT44" s="904" t="n"/>
      <c r="JU44" s="904" t="n"/>
      <c r="JV44" s="904" t="n"/>
      <c r="JW44" s="904" t="n"/>
      <c r="JX44" s="904" t="n"/>
      <c r="JY44" s="904" t="n"/>
      <c r="JZ44" s="904" t="n"/>
      <c r="KA44" s="904" t="n"/>
      <c r="KB44" s="904" t="n"/>
      <c r="KC44" s="904" t="n"/>
      <c r="KD44" s="904" t="n"/>
      <c r="KE44" s="904" t="n"/>
      <c r="KF44" s="904" t="n"/>
      <c r="KG44" s="904" t="n"/>
      <c r="KH44" s="904" t="n"/>
      <c r="KI44" s="904" t="n"/>
      <c r="KJ44" s="904" t="n"/>
      <c r="KK44" s="904" t="n"/>
      <c r="KL44" s="904" t="n"/>
      <c r="KM44" s="904" t="n"/>
      <c r="KN44" s="904" t="n"/>
      <c r="KO44" s="904" t="n"/>
      <c r="KP44" s="904" t="n"/>
      <c r="KQ44" s="904" t="n"/>
      <c r="KR44" s="904" t="n"/>
      <c r="KS44" s="904" t="n"/>
      <c r="KT44" s="904" t="n"/>
      <c r="KU44" s="904" t="n"/>
      <c r="KV44" s="904" t="n"/>
      <c r="KW44" s="904" t="n"/>
      <c r="KX44" s="904" t="n"/>
      <c r="KY44" s="904" t="n"/>
      <c r="KZ44" s="904" t="n"/>
      <c r="LA44" s="904" t="n"/>
      <c r="LB44" s="904" t="n"/>
      <c r="LC44" s="904" t="n"/>
      <c r="LD44" s="904" t="n"/>
      <c r="LE44" s="904" t="n"/>
      <c r="LF44" s="904" t="n"/>
      <c r="LG44" s="904" t="n"/>
      <c r="LH44" s="904" t="n"/>
      <c r="LI44" s="904" t="n"/>
      <c r="LJ44" s="904" t="n"/>
      <c r="LK44" s="904" t="n"/>
      <c r="LL44" s="904" t="n"/>
      <c r="LM44" s="904" t="n"/>
      <c r="LN44" s="904" t="n"/>
      <c r="LO44" s="904" t="n"/>
      <c r="LP44" s="904" t="n"/>
      <c r="LQ44" s="904" t="n"/>
      <c r="LR44" s="904" t="n"/>
      <c r="LS44" s="904" t="n"/>
    </row>
    <row r="45" ht="16.5" customFormat="1" customHeight="1" s="1310">
      <c r="A45" s="1315" t="inlineStr">
        <is>
          <t>Traffic</t>
        </is>
      </c>
      <c r="B45" s="1315" t="n"/>
      <c r="C45" s="1315" t="n"/>
      <c r="D45" s="1315" t="n"/>
      <c r="E45" s="1315" t="n"/>
      <c r="F45" s="1315" t="n"/>
      <c r="G45" s="1315" t="n"/>
      <c r="H45" s="1315" t="n"/>
      <c r="I45" s="1315" t="n"/>
      <c r="J45" s="1315" t="n"/>
      <c r="K45" s="1315" t="n"/>
      <c r="L45" s="1315" t="n"/>
      <c r="M45" s="1315" t="n"/>
      <c r="N45" s="1315" t="n"/>
      <c r="O45" s="1315" t="n"/>
      <c r="P45" s="1315" t="n"/>
      <c r="Q45" s="1315" t="n"/>
      <c r="R45" s="1315" t="n"/>
      <c r="S45" s="1315" t="n"/>
      <c r="T45" s="1315" t="n"/>
      <c r="U45" s="1315" t="n"/>
      <c r="V45" s="1315" t="n"/>
      <c r="W45" s="1316" t="n"/>
      <c r="X45" s="1316" t="n"/>
      <c r="Y45" s="1316" t="n"/>
      <c r="Z45" s="1316" t="n"/>
      <c r="AA45" s="1316" t="n"/>
      <c r="AB45" s="1316" t="n"/>
      <c r="AC45" s="1316" t="n"/>
      <c r="AD45" s="1316" t="n"/>
      <c r="AE45" s="1316" t="n"/>
      <c r="AF45" s="1316" t="n"/>
      <c r="AG45" s="1316" t="n"/>
      <c r="AH45" s="1316" t="n"/>
      <c r="AI45" s="1316" t="n"/>
      <c r="AJ45" s="1316" t="n"/>
      <c r="AK45" s="1316" t="n"/>
      <c r="AL45" s="1316" t="n"/>
      <c r="AM45" s="1316" t="n"/>
      <c r="AN45" s="1316" t="n"/>
      <c r="AO45" s="1316" t="n"/>
      <c r="AP45" s="1316" t="n"/>
      <c r="AQ45" s="1316" t="n"/>
      <c r="AR45" s="1316" t="n"/>
      <c r="AS45" s="1316" t="n"/>
      <c r="AT45" s="1316" t="n"/>
      <c r="AU45" s="1316" t="n"/>
      <c r="AV45" s="1316" t="n"/>
      <c r="AW45" s="1316" t="n"/>
      <c r="AX45" s="1316" t="n"/>
      <c r="AY45" s="1316" t="n"/>
      <c r="AZ45" s="1316" t="n"/>
      <c r="BA45" s="1316" t="n"/>
      <c r="BB45" s="1316" t="n"/>
      <c r="BC45" s="1316" t="n"/>
      <c r="BD45" s="1316" t="n"/>
      <c r="BE45" s="1316" t="n"/>
      <c r="BF45" s="1316" t="n"/>
      <c r="BG45" s="1316" t="n"/>
      <c r="BH45" s="1316" t="n"/>
      <c r="BI45" s="1316" t="n"/>
      <c r="BJ45" s="1316" t="n"/>
      <c r="BK45" s="1316" t="n"/>
      <c r="BL45" s="1316" t="n"/>
      <c r="BM45" s="1316" t="n"/>
      <c r="BN45" s="1316" t="n"/>
      <c r="BO45" s="1316" t="n"/>
      <c r="BP45" s="1316" t="n"/>
      <c r="BQ45" s="1316" t="n"/>
      <c r="BR45" s="1316" t="n"/>
      <c r="BS45" s="1316" t="n"/>
      <c r="BT45" s="1316" t="n"/>
      <c r="BU45" s="1316" t="n"/>
      <c r="BV45" s="1316" t="n"/>
      <c r="BW45" s="1316" t="n"/>
      <c r="BX45" s="1316" t="n"/>
      <c r="BY45" s="1316" t="n"/>
      <c r="BZ45" s="1316" t="n"/>
      <c r="CA45" s="1316" t="n"/>
      <c r="CB45" s="1316" t="n"/>
      <c r="CC45" s="1316" t="n"/>
      <c r="CD45" s="1316" t="n"/>
      <c r="CE45" s="1316" t="n"/>
      <c r="CF45" s="1316" t="n"/>
      <c r="CG45" s="1316" t="n"/>
      <c r="CH45" s="1316" t="n"/>
      <c r="CI45" s="1316" t="n"/>
      <c r="CJ45" s="1316" t="n"/>
      <c r="CK45" s="1316" t="n"/>
      <c r="CL45" s="1316" t="n"/>
      <c r="CM45" s="1316" t="n"/>
      <c r="CN45" s="1316" t="n"/>
      <c r="CO45" s="1316" t="n"/>
      <c r="CP45" s="1316" t="n"/>
      <c r="CQ45" s="1316" t="n"/>
      <c r="CR45" s="1316" t="n"/>
      <c r="CS45" s="1316" t="n"/>
      <c r="CT45" s="1316" t="n"/>
      <c r="CU45" s="1316" t="n"/>
      <c r="CV45" s="1316" t="n"/>
      <c r="CW45" s="1316" t="n"/>
      <c r="CX45" s="1316" t="n"/>
      <c r="CY45" s="1316" t="n"/>
      <c r="CZ45" s="1316" t="n"/>
      <c r="DA45" s="1316" t="n"/>
      <c r="DB45" s="1316" t="n"/>
      <c r="DC45" s="1316" t="n"/>
      <c r="DD45" s="1316" t="n"/>
      <c r="DE45" s="1316" t="n"/>
      <c r="DF45" s="1316" t="n"/>
      <c r="DG45" s="1316" t="n"/>
      <c r="DH45" s="1316" t="n"/>
      <c r="DI45" s="1316" t="n"/>
      <c r="DJ45" s="1316" t="n"/>
      <c r="DK45" s="1316" t="n"/>
      <c r="DL45" s="1316" t="n"/>
      <c r="DM45" s="1316" t="n"/>
      <c r="DN45" s="1316" t="n"/>
      <c r="DO45" s="880" t="n"/>
      <c r="DP45" s="1316" t="n"/>
      <c r="DQ45" s="1316" t="n"/>
      <c r="DR45" s="1316" t="n"/>
      <c r="DS45" s="1316" t="n"/>
      <c r="DT45" s="1316" t="n"/>
      <c r="DU45" s="1316" t="n"/>
      <c r="DV45" s="1316" t="n"/>
      <c r="DW45" s="1316" t="n"/>
      <c r="DX45" s="1316" t="n"/>
      <c r="DY45" s="1316" t="n"/>
      <c r="DZ45" s="881" t="n"/>
      <c r="EA45" s="881" t="n"/>
      <c r="EB45" s="881" t="n"/>
      <c r="EC45" s="881" t="n"/>
      <c r="ED45" s="881" t="n"/>
      <c r="EE45" s="881" t="n"/>
      <c r="EF45" s="881" t="n"/>
      <c r="EG45" s="881" t="n"/>
      <c r="EH45" s="881" t="n"/>
      <c r="EI45" s="881" t="n"/>
      <c r="EJ45" s="881" t="n"/>
      <c r="EK45" s="881" t="n"/>
      <c r="EL45" s="881" t="n"/>
      <c r="EM45" s="881" t="n"/>
      <c r="EN45" s="881" t="n"/>
      <c r="EO45" s="881" t="n"/>
      <c r="EP45" s="881" t="n"/>
      <c r="EQ45" s="881" t="n"/>
      <c r="ER45" s="881" t="n"/>
      <c r="ES45" s="881" t="n"/>
      <c r="ET45" s="881" t="n"/>
      <c r="EU45" s="881" t="n"/>
      <c r="EV45" s="881" t="n"/>
      <c r="EW45" s="881" t="n"/>
      <c r="EX45" s="881" t="n"/>
      <c r="EY45" s="881" t="n"/>
      <c r="EZ45" s="881" t="n"/>
      <c r="FA45" s="881" t="n"/>
      <c r="FB45" s="881" t="n"/>
      <c r="FC45" s="881" t="n"/>
      <c r="FD45" s="881" t="n"/>
      <c r="FE45" s="881" t="n"/>
      <c r="FF45" s="881" t="n"/>
      <c r="FG45" s="881" t="n"/>
      <c r="FH45" s="881" t="n"/>
      <c r="FI45" s="881" t="n"/>
      <c r="FJ45" s="881" t="n"/>
      <c r="FK45" s="881" t="n"/>
      <c r="FL45" s="881" t="n"/>
      <c r="FM45" s="881" t="n"/>
      <c r="FN45" s="881" t="n"/>
      <c r="FO45" s="881" t="n"/>
      <c r="FP45" s="881" t="n"/>
      <c r="FQ45" s="881" t="n"/>
      <c r="FR45" s="881" t="n"/>
      <c r="FS45" s="881" t="n"/>
      <c r="FT45" s="881" t="n"/>
      <c r="FU45" s="881" t="n"/>
      <c r="FV45" s="881" t="n"/>
      <c r="FW45" s="881" t="n"/>
      <c r="FX45" s="881" t="n"/>
      <c r="FY45" s="881" t="n"/>
      <c r="FZ45" s="881" t="n"/>
      <c r="GA45" s="881" t="n"/>
      <c r="GB45" s="881" t="n"/>
      <c r="GC45" s="881" t="n"/>
      <c r="GD45" s="881" t="n"/>
      <c r="GE45" s="881" t="n"/>
      <c r="GF45" s="881" t="n"/>
      <c r="GG45" s="881" t="n"/>
      <c r="GH45" s="881" t="n"/>
      <c r="GI45" s="881" t="n"/>
      <c r="GJ45" s="881" t="n"/>
      <c r="GK45" s="881" t="n"/>
      <c r="GL45" s="881" t="n"/>
      <c r="GM45" s="881" t="n"/>
      <c r="GN45" s="881" t="n"/>
      <c r="GO45" s="881" t="n"/>
      <c r="GP45" s="881" t="n"/>
      <c r="GQ45" s="881" t="n"/>
      <c r="GR45" s="881" t="n"/>
      <c r="GS45" s="881" t="n"/>
      <c r="GT45" s="881" t="n"/>
      <c r="GU45" s="881" t="n"/>
      <c r="GV45" s="881" t="n"/>
      <c r="GW45" s="881" t="n"/>
      <c r="GX45" s="881" t="n"/>
      <c r="GY45" s="881" t="n"/>
      <c r="GZ45" s="881" t="n"/>
      <c r="HA45" s="881" t="n"/>
      <c r="HB45" s="881" t="n"/>
      <c r="HC45" s="881" t="n"/>
      <c r="HD45" s="881" t="n"/>
      <c r="HE45" s="881" t="n"/>
      <c r="HF45" s="881" t="n"/>
      <c r="HG45" s="881" t="n"/>
      <c r="HH45" s="881" t="n"/>
      <c r="HI45" s="881" t="n"/>
      <c r="HJ45" s="881" t="n"/>
      <c r="HK45" s="881" t="n"/>
      <c r="HL45" s="881" t="n"/>
      <c r="HM45" s="881" t="n"/>
      <c r="HN45" s="881" t="n"/>
      <c r="HO45" s="881" t="n"/>
      <c r="HP45" s="881" t="n"/>
      <c r="HQ45" s="881" t="n"/>
      <c r="HR45" s="881" t="n"/>
      <c r="HS45" s="881" t="n"/>
      <c r="HT45" s="881" t="n"/>
      <c r="HU45" s="881" t="n"/>
      <c r="HV45" s="881" t="n"/>
      <c r="HW45" s="881" t="n"/>
      <c r="HX45" s="881" t="n"/>
      <c r="HY45" s="881" t="n"/>
      <c r="HZ45" s="881" t="n"/>
      <c r="IA45" s="881" t="n"/>
      <c r="IB45" s="881" t="n"/>
      <c r="IC45" s="881" t="n"/>
      <c r="ID45" s="881" t="n"/>
      <c r="IE45" s="881" t="n"/>
      <c r="IF45" s="881" t="n"/>
      <c r="IG45" s="881" t="n"/>
      <c r="IH45" s="881" t="n"/>
      <c r="II45" s="881" t="n"/>
      <c r="IJ45" s="881">
        <f>SUM(IH67:IS67)</f>
        <v/>
      </c>
      <c r="IK45" s="881">
        <f>SUM(IH46:IS46)</f>
        <v/>
      </c>
      <c r="IL45" s="881">
        <f>+IJ45/IK45</f>
        <v/>
      </c>
      <c r="IM45" s="881" t="n"/>
      <c r="IN45" s="881" t="n"/>
      <c r="IO45" s="881" t="n"/>
      <c r="IP45" s="881" t="n"/>
      <c r="IQ45" s="881" t="n"/>
      <c r="IR45" s="881" t="n"/>
      <c r="IS45" s="881" t="n"/>
      <c r="IT45" s="881" t="n"/>
      <c r="IU45" s="881" t="n"/>
      <c r="IV45" s="881" t="n"/>
      <c r="IW45" s="881" t="n"/>
      <c r="IX45" s="881" t="n"/>
      <c r="IY45" s="881" t="n"/>
      <c r="IZ45" s="881" t="n"/>
      <c r="JA45" s="881" t="n"/>
      <c r="JB45" s="881" t="n"/>
      <c r="JC45" s="881" t="n"/>
      <c r="JD45" s="881" t="n"/>
      <c r="JE45" s="881" t="n"/>
      <c r="JF45" s="881" t="n"/>
      <c r="JG45" s="881" t="n"/>
      <c r="JH45" s="881" t="n"/>
      <c r="JI45" s="881" t="n"/>
      <c r="JJ45" s="881" t="n"/>
      <c r="JK45" s="881" t="n"/>
      <c r="JL45" s="881" t="n"/>
      <c r="JM45" s="881" t="n"/>
      <c r="JN45" s="881" t="n"/>
      <c r="JO45" s="881" t="n"/>
      <c r="JP45" s="881" t="n"/>
      <c r="JQ45" s="881" t="n"/>
      <c r="JR45" s="881" t="n"/>
      <c r="JS45" s="881" t="n"/>
      <c r="JT45" s="881" t="n"/>
      <c r="JU45" s="881" t="n"/>
      <c r="JV45" s="881" t="n"/>
      <c r="JW45" s="881" t="n"/>
      <c r="JX45" s="881" t="n"/>
      <c r="JY45" s="881" t="n"/>
      <c r="JZ45" s="881" t="n"/>
      <c r="KA45" s="881" t="n"/>
      <c r="KB45" s="881" t="n"/>
      <c r="KC45" s="881" t="n"/>
      <c r="KD45" s="881" t="n"/>
      <c r="KE45" s="881" t="n"/>
      <c r="KF45" s="881" t="n"/>
      <c r="KG45" s="881" t="n"/>
      <c r="KH45" s="881" t="n"/>
      <c r="KI45" s="881" t="n"/>
      <c r="KJ45" s="881" t="n"/>
      <c r="KK45" s="881" t="n"/>
      <c r="KL45" s="881" t="n"/>
      <c r="KM45" s="881" t="n"/>
      <c r="KN45" s="881" t="n"/>
      <c r="KO45" s="881" t="n"/>
      <c r="KP45" s="881" t="n"/>
      <c r="KQ45" s="881" t="n"/>
      <c r="KR45" s="881" t="n"/>
      <c r="KS45" s="881" t="n"/>
      <c r="KT45" s="881" t="n"/>
      <c r="KU45" s="881" t="n"/>
      <c r="KV45" s="881" t="n"/>
      <c r="KW45" s="881" t="n"/>
      <c r="KX45" s="881" t="n"/>
      <c r="KY45" s="881" t="n"/>
      <c r="KZ45" s="881" t="n"/>
      <c r="LA45" s="881" t="n"/>
      <c r="LB45" s="881" t="n"/>
      <c r="LC45" s="881" t="n"/>
      <c r="LD45" s="881" t="n"/>
      <c r="LE45" s="881" t="n"/>
      <c r="LF45" s="881" t="n"/>
      <c r="LG45" s="881" t="n"/>
      <c r="LH45" s="881" t="n"/>
      <c r="LI45" s="881" t="n"/>
      <c r="LJ45" s="881" t="n"/>
      <c r="LK45" s="881" t="n"/>
      <c r="LL45" s="881" t="n"/>
      <c r="LM45" s="881" t="n"/>
      <c r="LN45" s="881" t="n"/>
      <c r="LO45" s="881" t="n"/>
      <c r="LP45" s="881" t="n"/>
      <c r="LQ45" s="881" t="n"/>
      <c r="LR45" s="881" t="n"/>
      <c r="LS45" s="881" t="n"/>
    </row>
    <row r="46" ht="15" customFormat="1" customHeight="1" s="561">
      <c r="A46" s="1317" t="inlineStr">
        <is>
          <t>RPK (Million)</t>
        </is>
      </c>
      <c r="B46" s="863">
        <f>B50+B54+B58+B62+B66+B72</f>
        <v/>
      </c>
      <c r="C46" s="883">
        <f>C50+C54+C58+C62+C66+C72</f>
        <v/>
      </c>
      <c r="D46" s="883">
        <f>D50+D54+D58+D62+D66+D72</f>
        <v/>
      </c>
      <c r="E46" s="883">
        <f>E50+E54+E58+E62+E66+E72</f>
        <v/>
      </c>
      <c r="F46" s="883">
        <f>F50+F54+F58+F62+F66+F72</f>
        <v/>
      </c>
      <c r="G46" s="883">
        <f>G50+G54+G58+G62+G66+G72</f>
        <v/>
      </c>
      <c r="H46" s="883">
        <f>H50+H54+H58+H62+H66+H72</f>
        <v/>
      </c>
      <c r="I46" s="883">
        <f>I50+I54+I58+I62+I66+I72</f>
        <v/>
      </c>
      <c r="J46" s="883">
        <f>J50+J54+J58+J62+J66+J72</f>
        <v/>
      </c>
      <c r="K46" s="883">
        <f>K50+K54+K58+K62+K66+K72</f>
        <v/>
      </c>
      <c r="L46" s="883">
        <f>L50+L54+L58+L62+L66+L72</f>
        <v/>
      </c>
      <c r="M46" s="883">
        <f>M50+M54+M58+M62+M66+M72</f>
        <v/>
      </c>
      <c r="N46" s="863">
        <f>N50+N54+N58+N62+N66+N72</f>
        <v/>
      </c>
      <c r="O46" s="883">
        <f>O50+O54+O58+O62+O66+O72</f>
        <v/>
      </c>
      <c r="P46" s="883">
        <f>P50+P54+P58+P62+P66+P72</f>
        <v/>
      </c>
      <c r="Q46" s="883">
        <f>Q50+Q54+Q58+Q62+Q66+Q72</f>
        <v/>
      </c>
      <c r="R46" s="883">
        <f>R50+R54+R58+R62+R66+R72</f>
        <v/>
      </c>
      <c r="S46" s="883">
        <f>S50+S54+S58+S62+S66+S72</f>
        <v/>
      </c>
      <c r="T46" s="883">
        <f>T50+T54+T58+T62+T66+T72</f>
        <v/>
      </c>
      <c r="U46" s="883">
        <f>U50+U54+U58+U62+U66+U72</f>
        <v/>
      </c>
      <c r="V46" s="883">
        <f>V50+V54+V58+V62+V66+V72</f>
        <v/>
      </c>
      <c r="W46" s="883">
        <f>W50+W54+W58+W62+W66+W72</f>
        <v/>
      </c>
      <c r="X46" s="883">
        <f>X50+X54+X58+X62+X66+X72</f>
        <v/>
      </c>
      <c r="Y46" s="883">
        <f>Y50+Y54+Y58+Y62+Y66+Y72</f>
        <v/>
      </c>
      <c r="Z46" s="863">
        <f>Z50+Z54+Z58+Z62+Z66+Z72</f>
        <v/>
      </c>
      <c r="AA46" s="883">
        <f>AA50+AA54+AA58+AA62+AA66+AA72</f>
        <v/>
      </c>
      <c r="AB46" s="883">
        <f>AB50+AB54+AB58+AB62+AB66+AB72</f>
        <v/>
      </c>
      <c r="AC46" s="883">
        <f>AC50+AC54+AC58+AC62+AC66+AC72</f>
        <v/>
      </c>
      <c r="AD46" s="883">
        <f>AD50+AD54+AD58+AD62+AD66+AD72</f>
        <v/>
      </c>
      <c r="AE46" s="883">
        <f>AE50+AE54+AE58+AE62+AE66+AE72</f>
        <v/>
      </c>
      <c r="AF46" s="883">
        <f>AF50+AF54+AF58+AF62+AF66+AF72</f>
        <v/>
      </c>
      <c r="AG46" s="883">
        <f>AG50+AG54+AG58+AG62+AG66+AG72</f>
        <v/>
      </c>
      <c r="AH46" s="883">
        <f>AH50+AH54+AH58+AH62+AH66+AH72</f>
        <v/>
      </c>
      <c r="AI46" s="883">
        <f>AI50+AI54+AI58+AI62+AI66+AI72</f>
        <v/>
      </c>
      <c r="AJ46" s="883">
        <f>AJ50+AJ54+AJ58+AJ62+AJ66+AJ72</f>
        <v/>
      </c>
      <c r="AK46" s="883">
        <f>AK50+AK54+AK58+AK62+AK66+AK72</f>
        <v/>
      </c>
      <c r="AL46" s="863">
        <f>AL50+AL54+AL58+AL62+AL66+AL72</f>
        <v/>
      </c>
      <c r="AM46" s="883">
        <f>AM50+AM54+AM58+AM62+AM66+AM72</f>
        <v/>
      </c>
      <c r="AN46" s="883">
        <f>AN50+AN54+AN58+AN62+AN66+AN72</f>
        <v/>
      </c>
      <c r="AO46" s="883">
        <f>AO50+AO54+AO58+AO62+AO66+AO72</f>
        <v/>
      </c>
      <c r="AP46" s="883">
        <f>AP50+AP54+AP58+AP62+AP66+AP72</f>
        <v/>
      </c>
      <c r="AQ46" s="883">
        <f>AQ50+AQ54+AQ58+AQ62+AQ66+AQ72</f>
        <v/>
      </c>
      <c r="AR46" s="883">
        <f>AR50+AR54+AR58+AR62+AR66+AR72</f>
        <v/>
      </c>
      <c r="AS46" s="883">
        <f>AS50+AS54+AS58+AS62+AS66+AS72</f>
        <v/>
      </c>
      <c r="AT46" s="883">
        <f>AT50+AT54+AT58+AT62+AT66+AT72</f>
        <v/>
      </c>
      <c r="AU46" s="883">
        <f>AU50+AU54+AU58+AU62+AU66+AU72</f>
        <v/>
      </c>
      <c r="AV46" s="883">
        <f>AV50+AV54+AV58+AV62+AV66+AV72</f>
        <v/>
      </c>
      <c r="AW46" s="883">
        <f>AW50+AW54+AW58+AW62+AW66+AW72</f>
        <v/>
      </c>
      <c r="AX46" s="863">
        <f>AX50+AX54+AX58+AX62+AX66+AX72</f>
        <v/>
      </c>
      <c r="AY46" s="863">
        <f>AY50+AY54+AY58+AY62+AY66+AY72</f>
        <v/>
      </c>
      <c r="AZ46" s="863">
        <f>AZ50+AZ54+AZ58+AZ62+AZ66+AZ72</f>
        <v/>
      </c>
      <c r="BA46" s="863">
        <f>BA50+BA54+BA58+BA62+BA66+BA72</f>
        <v/>
      </c>
      <c r="BB46" s="863">
        <f>BB50+BB54+BB58+BB62+BB66+BB72</f>
        <v/>
      </c>
      <c r="BC46" s="863">
        <f>BC50+BC54+BC58+BC62+BC66+BC72</f>
        <v/>
      </c>
      <c r="BD46" s="863">
        <f>BD50+BD54+BD58+BD62+BD66+BD72</f>
        <v/>
      </c>
      <c r="BE46" s="863">
        <f>BE50+BE54+BE58+BE62+BE66+BE72</f>
        <v/>
      </c>
      <c r="BF46" s="863">
        <f>BF50+BF54+BF58+BF62+BF66+BF72</f>
        <v/>
      </c>
      <c r="BG46" s="863">
        <f>BG50+BG54+BG58+BG62+BG66+BG72</f>
        <v/>
      </c>
      <c r="BH46" s="863">
        <f>BH50+BH54+BH58+BH62+BH66+BH72</f>
        <v/>
      </c>
      <c r="BI46" s="863">
        <f>BI50+BI54+BI58+BI62+BI66+BI72</f>
        <v/>
      </c>
      <c r="BJ46" s="863">
        <f>BJ50+BJ54+BJ58+BJ62+BJ66+BJ72</f>
        <v/>
      </c>
      <c r="BK46" s="863">
        <f>BK50+BK54+BK58+BK62+BK66+BK72</f>
        <v/>
      </c>
      <c r="BL46" s="863">
        <f>BL50+BL54+BL58+BL62+BL66+BL72</f>
        <v/>
      </c>
      <c r="BM46" s="863">
        <f>BM50+BM54+BM58+BM62+BM66+BM72</f>
        <v/>
      </c>
      <c r="BN46" s="863">
        <f>BN50+BN54+BN58+BN62+BN66+BN72</f>
        <v/>
      </c>
      <c r="BO46" s="863">
        <f>BO50+BO54+BO58+BO62+BO66+BO72</f>
        <v/>
      </c>
      <c r="BP46" s="863">
        <f>BP50+BP54+BP58+BP62+BP66+BP72</f>
        <v/>
      </c>
      <c r="BQ46" s="863">
        <f>BQ50+BQ54+BQ58+BQ62+BQ66+BQ72</f>
        <v/>
      </c>
      <c r="BR46" s="863">
        <f>BR50+BR54+BR58+BR62+BR66+BR72</f>
        <v/>
      </c>
      <c r="BS46" s="863">
        <f>BS50+BS54+BS58+BS62+BS66+BS72</f>
        <v/>
      </c>
      <c r="BT46" s="863">
        <f>BT50+BT54+BT58+BT62+BT66+BT72</f>
        <v/>
      </c>
      <c r="BU46" s="863">
        <f>BU50+BU54+BU58+BU62+BU66+BU72</f>
        <v/>
      </c>
      <c r="BV46" s="863">
        <f>BV50+BV54+BV58+BV62+BV66+BV72</f>
        <v/>
      </c>
      <c r="BW46" s="863">
        <f>BW50+BW54+BW58+BW62+BW66+BW72</f>
        <v/>
      </c>
      <c r="BX46" s="863">
        <f>BX50+BX54+BX58+BX62+BX66+BX72</f>
        <v/>
      </c>
      <c r="BY46" s="863">
        <f>BY50+BY54+BY58+BY62+BY66+BY72</f>
        <v/>
      </c>
      <c r="BZ46" s="863">
        <f>BZ50+BZ54+BZ58+BZ62+BZ66+BZ72</f>
        <v/>
      </c>
      <c r="CA46" s="863">
        <f>CA50+CA54+CA58+CA62+CA66+CA72</f>
        <v/>
      </c>
      <c r="CB46" s="863">
        <f>CB50+CB54+CB58+CB62+CB66+CB72</f>
        <v/>
      </c>
      <c r="CC46" s="863">
        <f>CC50+CC54+CC58+CC62+CC66+CC72</f>
        <v/>
      </c>
      <c r="CD46" s="863">
        <f>CD50+CD54+CD58+CD62+CD66+CD72</f>
        <v/>
      </c>
      <c r="CE46" s="863">
        <f>CE50+CE54+CE58+CE62+CE66+CE72</f>
        <v/>
      </c>
      <c r="CF46" s="863">
        <f>CF50+CF54+CF58+CF62+CF66+CF72</f>
        <v/>
      </c>
      <c r="CG46" s="863">
        <f>CG50+CG54+CG58+CG62+CG66+CG72</f>
        <v/>
      </c>
      <c r="CH46" s="863">
        <f>CH50+CH54+CH58+CH62+CH66+CH72</f>
        <v/>
      </c>
      <c r="CI46" s="863">
        <f>CI50+CI54+CI58+CI62+CI66+CI72</f>
        <v/>
      </c>
      <c r="CJ46" s="863">
        <f>CJ50+CJ54+CJ58+CJ62+CJ66+CJ72</f>
        <v/>
      </c>
      <c r="CK46" s="863">
        <f>CK50+CK54+CK58+CK62+CK66+CK72</f>
        <v/>
      </c>
      <c r="CL46" s="884">
        <f>CL50+CL54+CL58+CL62+CL66+CL72</f>
        <v/>
      </c>
      <c r="CM46" s="884">
        <f>CM50+CM54+CM58+CM62+CM66+CM72</f>
        <v/>
      </c>
      <c r="CN46" s="863">
        <f>CN50+CN54+CN58+CN62+CN66+CN72</f>
        <v/>
      </c>
      <c r="CO46" s="863">
        <f>CO50+CO54+CO58+CO62+CO66+CO72</f>
        <v/>
      </c>
      <c r="CP46" s="863">
        <f>CP50+CP54+CP58+CP62+CP66+CP72</f>
        <v/>
      </c>
      <c r="CQ46" s="883">
        <f>CQ50+CQ54+CQ58+CQ62+CQ66+CQ72</f>
        <v/>
      </c>
      <c r="CR46" s="883">
        <f>CR50+CR54+CR58+CR62+CR66+CR72</f>
        <v/>
      </c>
      <c r="CS46" s="883">
        <f>CS50+CS54+CS58+CS62+CS66+CS72</f>
        <v/>
      </c>
      <c r="CT46" s="883">
        <f>CT50+CT54+CT58+CT62+CT66+CT72</f>
        <v/>
      </c>
      <c r="CU46" s="883">
        <f>CU50+CU54+CU58+CU62+CU66+CU72</f>
        <v/>
      </c>
      <c r="CV46" s="883">
        <f>CV50+CV54+CV58+CV62+CV66+CV72</f>
        <v/>
      </c>
      <c r="CW46" s="863">
        <f>CW50+CW54+CW58+CW62+CW66+CW72</f>
        <v/>
      </c>
      <c r="CX46" s="863">
        <f>CX50+CX54+CX58+CX62+CX66+CX72</f>
        <v/>
      </c>
      <c r="CY46" s="883">
        <f>CY50+CY54+CY58+CY62+CY66+CY72</f>
        <v/>
      </c>
      <c r="CZ46" s="883">
        <f>CZ50+CZ54+CZ58+CZ62+CZ66+CZ72</f>
        <v/>
      </c>
      <c r="DA46" s="863">
        <f>DA50+DA54+DA58+DA62+DA66+DA72</f>
        <v/>
      </c>
      <c r="DB46" s="863">
        <f>DB50+DB54+DB58+DB62+DB66+DB72</f>
        <v/>
      </c>
      <c r="DC46" s="863">
        <f>DC50+DC54+DC58+DC62+DC66+DC72</f>
        <v/>
      </c>
      <c r="DD46" s="863">
        <f>DD50+DD54+DD58+DD62+DD66+DD72</f>
        <v/>
      </c>
      <c r="DE46" s="863">
        <f>DE50+DE54+DE58+DE62+DE66+DE72</f>
        <v/>
      </c>
      <c r="DF46" s="863">
        <f>DF50+DF54+DF58+DF62+DF66+DF72</f>
        <v/>
      </c>
      <c r="DG46" s="863">
        <f>DG50+DG54+DG58+DG62+DG66+DG72</f>
        <v/>
      </c>
      <c r="DH46" s="863">
        <f>DH50+DH54+DH58+DH62+DH66+DH72</f>
        <v/>
      </c>
      <c r="DI46" s="863">
        <f>DI50+DI54+DI58+DI62+DI66+DI72</f>
        <v/>
      </c>
      <c r="DJ46" s="863">
        <f>DJ50+DJ54+DJ58+DJ62+DJ66+DJ72</f>
        <v/>
      </c>
      <c r="DK46" s="863">
        <f>DK50+DK54+DK58+DK62+DK66+DK72</f>
        <v/>
      </c>
      <c r="DL46" s="863">
        <f>DL50+DL54+DL58+DL62+DL66+DL72</f>
        <v/>
      </c>
      <c r="DM46" s="863">
        <f>DM50+DM54+DM58+DM62+DM66+DM72</f>
        <v/>
      </c>
      <c r="DN46" s="863">
        <f>DN50+DN54+DN58+DN62+DN66+DN72</f>
        <v/>
      </c>
      <c r="DO46" s="863">
        <f>DO50+DO54+DO58+DO62+DO66+DO72</f>
        <v/>
      </c>
      <c r="DP46" s="863">
        <f>DP50+DP54+DP58+DP62+DP66+DP72</f>
        <v/>
      </c>
      <c r="DQ46" s="863">
        <f>DQ50+DQ54+DQ58+DQ62+DQ66+DQ72</f>
        <v/>
      </c>
      <c r="DR46" s="863">
        <f>DR50+DR54+DR58+DR62+DR66+DR72</f>
        <v/>
      </c>
      <c r="DS46" s="863">
        <f>DS50+DS54+DS58+DS62+DS66+DS72</f>
        <v/>
      </c>
      <c r="DT46" s="863">
        <f>DT50+DT54+DT58+DT62+DT66+DT72</f>
        <v/>
      </c>
      <c r="DU46" s="863">
        <f>DU50+DU54+DU58+DU62+DU66+DU72</f>
        <v/>
      </c>
      <c r="DV46" s="863">
        <f>DV50+DV54+DV58+DV62+DV66+DV72</f>
        <v/>
      </c>
      <c r="DW46" s="863">
        <f>DW50+DW54+DW58+DW62+DW66+DW72</f>
        <v/>
      </c>
      <c r="DX46" s="863">
        <f>DX50+DX54+DX58+DX62+DX66+DX72</f>
        <v/>
      </c>
      <c r="DY46" s="863">
        <f>DY50+DY54+DY58+DY62+DY66+DY72</f>
        <v/>
      </c>
      <c r="DZ46" s="863">
        <f>DZ50+DZ54+DZ58+DZ62+DZ66+DZ72</f>
        <v/>
      </c>
      <c r="EA46" s="863">
        <f>EA50+EA54+EA58+EA62+EA66+EA72</f>
        <v/>
      </c>
      <c r="EB46" s="863">
        <f>EB50+EB54+EB58+EB62+EB66+EB72</f>
        <v/>
      </c>
      <c r="EC46" s="863">
        <f>EC50+EC54+EC58+EC62+EC66+EC72</f>
        <v/>
      </c>
      <c r="ED46" s="863">
        <f>ED50+ED54+ED58+ED62+ED66+ED72</f>
        <v/>
      </c>
      <c r="EE46" s="863">
        <f>EE50+EE54+EE58+EE62+EE66+EE72</f>
        <v/>
      </c>
      <c r="EF46" s="863">
        <f>EF50+EF54+EF58+EF62+EF66+EF72</f>
        <v/>
      </c>
      <c r="EG46" s="863">
        <f>EG50+EG54+EG58+EG62+EG66+EG72</f>
        <v/>
      </c>
      <c r="EH46" s="863">
        <f>EH50+EH54+EH58+EH62+EH66+EH72</f>
        <v/>
      </c>
      <c r="EI46" s="863">
        <f>EI50+EI54+EI58+EI62+EI66+EI72</f>
        <v/>
      </c>
      <c r="EJ46" s="863">
        <f>EJ50+EJ54+EJ58+EJ62+EJ66+EJ72</f>
        <v/>
      </c>
      <c r="EK46" s="863">
        <f>EK50+EK54+EK58+EK62+EK66+EK72</f>
        <v/>
      </c>
      <c r="EL46" s="863">
        <f>EL50+EL54+EL58+EL62+EL66+EL72</f>
        <v/>
      </c>
      <c r="EM46" s="863">
        <f>EM50+EM54+EM58+EM62+EM66+EM72</f>
        <v/>
      </c>
      <c r="EN46" s="863">
        <f>EN50+EN54+EN58+EN62+EN66+EN72</f>
        <v/>
      </c>
      <c r="EO46" s="863">
        <f>EO50+EO54+EO58+EO62+EO66+EO72</f>
        <v/>
      </c>
      <c r="EP46" s="863">
        <f>EP50+EP54+EP58+EP62+EP66+EP72</f>
        <v/>
      </c>
      <c r="EQ46" s="863">
        <f>EQ50+EQ54+EQ58+EQ62+EQ66+EQ72</f>
        <v/>
      </c>
      <c r="ER46" s="863">
        <f>ER50+ER54+ER58+ER62+ER66+ER72</f>
        <v/>
      </c>
      <c r="ES46" s="863">
        <f>ES50+ES54+ES58+ES62+ES66+ES72</f>
        <v/>
      </c>
      <c r="ET46" s="863">
        <f>ET50+ET54+ET58+ET62+ET66+ET72</f>
        <v/>
      </c>
      <c r="EU46" s="863">
        <f>EU50+EU54+EU58+EU62+EU66+EU72</f>
        <v/>
      </c>
      <c r="EV46" s="863">
        <f>EV50+EV54+EV58+EV62+EV66+EV72</f>
        <v/>
      </c>
      <c r="EW46" s="863">
        <f>EW50+EW54+EW58+EW62+EW66+EW72</f>
        <v/>
      </c>
      <c r="EX46" s="863">
        <f>EX50+EX54+EX58+EX62+EX66+EX72</f>
        <v/>
      </c>
      <c r="EY46" s="863">
        <f>EY50+EY54+EY58+EY62+EY66+EY72</f>
        <v/>
      </c>
      <c r="EZ46" s="863">
        <f>EZ50+EZ54+EZ58+EZ62+EZ66+EZ72</f>
        <v/>
      </c>
      <c r="FA46" s="863">
        <f>FA50+FA54+FA58+FA62+FA66+FA72</f>
        <v/>
      </c>
      <c r="FB46" s="863">
        <f>FB50+FB54+FB58+FB62+FB66+FB72</f>
        <v/>
      </c>
      <c r="FC46" s="863">
        <f>FC50+FC54+FC58+FC62+FC66+FC72</f>
        <v/>
      </c>
      <c r="FD46" s="863">
        <f>FD50+FD54+FD58+FD62+FD66+FD72</f>
        <v/>
      </c>
      <c r="FE46" s="863">
        <f>FE50+FE54+FE58+FE62+FE66+FE72</f>
        <v/>
      </c>
      <c r="FF46" s="863">
        <f>FF50+FF54+FF58+FF62+FF66+FF72</f>
        <v/>
      </c>
      <c r="FG46" s="863">
        <f>FG50+FG54+FG58+FG62+FG66+FG72</f>
        <v/>
      </c>
      <c r="FH46" s="863">
        <f>FH50+FH54+FH58+FH62+FH66+FH72</f>
        <v/>
      </c>
      <c r="FI46" s="863">
        <f>FI50+FI54+FI58+FI62+FI66+FI72</f>
        <v/>
      </c>
      <c r="FJ46" s="863">
        <f>FJ50+FJ54+FJ58+FJ62+FJ66+FJ72</f>
        <v/>
      </c>
      <c r="FK46" s="863">
        <f>FK50+FK54+FK58+FK62+FK66+FK72</f>
        <v/>
      </c>
      <c r="FL46" s="863">
        <f>FL50+FL54+FL58+FL62+FL66+FL72</f>
        <v/>
      </c>
      <c r="FM46" s="863">
        <f>FM50+FM54+FM58+FM62+FM66+FM72</f>
        <v/>
      </c>
      <c r="FN46" s="863">
        <f>FN50+FN54+FN58+FN62+FN66+FN72</f>
        <v/>
      </c>
      <c r="FO46" s="863">
        <f>FO50+FO54+FO58+FO62+FO66+FO72</f>
        <v/>
      </c>
      <c r="FP46" s="863">
        <f>FP50+FP54+FP58+FP62+FP66+FP72</f>
        <v/>
      </c>
      <c r="FQ46" s="863">
        <f>FQ50+FQ54+FQ58+FQ62+FQ66+FQ72</f>
        <v/>
      </c>
      <c r="FR46" s="863">
        <f>FR50+FR54+FR58+FR62+FR66+FR72</f>
        <v/>
      </c>
      <c r="FS46" s="863">
        <f>FS50+FS54+FS58+FS62+FS66+FS72</f>
        <v/>
      </c>
      <c r="FT46" s="863">
        <f>FT50+FT54+FT58+FT62+FT66+FT72</f>
        <v/>
      </c>
      <c r="FU46" s="863">
        <f>FU50+FU54+FU58+FU62+FU66+FU72</f>
        <v/>
      </c>
      <c r="FV46" s="863">
        <f>FV50+FV54+FV58+FV62+FV66+FV72</f>
        <v/>
      </c>
      <c r="FW46" s="863">
        <f>FW50+FW54+FW58+FW62+FW66+FW72</f>
        <v/>
      </c>
      <c r="FX46" s="863">
        <f>FX50+FX54+FX58+FX62+FX66+FX72</f>
        <v/>
      </c>
      <c r="FY46" s="863">
        <f>FY50+FY54+FY58+FY62+FY66+FY72</f>
        <v/>
      </c>
      <c r="FZ46" s="863">
        <f>FZ50+FZ54+FZ58+FZ62+FZ66+FZ72</f>
        <v/>
      </c>
      <c r="GA46" s="863">
        <f>GA50+GA54+GA58+GA62+GA66+GA72</f>
        <v/>
      </c>
      <c r="GB46" s="863">
        <f>GB50+GB54+GB58+GB62+GB66+GB72</f>
        <v/>
      </c>
      <c r="GC46" s="863">
        <f>GC50+GC54+GC58+GC62+GC66+GC72</f>
        <v/>
      </c>
      <c r="GD46" s="863">
        <f>GD50+GD54+GD58+GD62+GD66+GD72</f>
        <v/>
      </c>
      <c r="GE46" s="863">
        <f>GE50+GE54+GE58+GE62+GE66+GE72</f>
        <v/>
      </c>
      <c r="GF46" s="863">
        <f>GF50+GF54+GF58+GF62+GF66+GF72</f>
        <v/>
      </c>
      <c r="GG46" s="863">
        <f>GG50+GG54+GG58+GG62+GG66+GG72</f>
        <v/>
      </c>
      <c r="GH46" s="863">
        <f>GH50+GH54+GH58+GH62+GH66+GH72</f>
        <v/>
      </c>
      <c r="GI46" s="863" t="n">
        <v>9365.246999999999</v>
      </c>
      <c r="GJ46" s="863" t="n">
        <v>8908.861000000001</v>
      </c>
      <c r="GK46" s="863" t="n">
        <v>9874.982</v>
      </c>
      <c r="GL46" s="863" t="n">
        <v>9816.683999999999</v>
      </c>
      <c r="GM46" s="863" t="n">
        <v>9169.869000000001</v>
      </c>
      <c r="GN46" s="863" t="n">
        <v>10192.125</v>
      </c>
      <c r="GO46" s="863" t="n">
        <v>10050.866</v>
      </c>
      <c r="GP46" s="863" t="n">
        <v>10359.105</v>
      </c>
      <c r="GQ46" s="863" t="n">
        <v>10246.771</v>
      </c>
      <c r="GR46" s="863" t="n">
        <v>10789.397</v>
      </c>
      <c r="GS46" s="863" t="n">
        <v>11130.977</v>
      </c>
      <c r="GT46" s="863" t="n">
        <v>9729.611000000001</v>
      </c>
      <c r="GU46" s="863" t="n">
        <v>10352.018</v>
      </c>
      <c r="GV46" s="863" t="n">
        <v>9844.913</v>
      </c>
      <c r="GW46" s="863" t="n">
        <v>10647.697</v>
      </c>
      <c r="GX46" s="863" t="n">
        <v>10811.995</v>
      </c>
      <c r="GY46" s="863" t="n">
        <v>9660.521000000001</v>
      </c>
      <c r="GZ46" s="863" t="n">
        <v>10318.339</v>
      </c>
      <c r="HA46" s="863" t="n">
        <v>10017.301</v>
      </c>
      <c r="HB46" s="863" t="n">
        <v>10177.766</v>
      </c>
      <c r="HC46" s="863" t="n">
        <v>10381.627</v>
      </c>
      <c r="HD46" s="863" t="n">
        <v>11067.866</v>
      </c>
      <c r="HE46" s="863" t="n">
        <v>10817.156</v>
      </c>
      <c r="HF46" s="863" t="n">
        <v>9915</v>
      </c>
      <c r="HG46" s="863" t="n">
        <v>10056.908</v>
      </c>
      <c r="HH46" s="863" t="n">
        <v>9459.449000000001</v>
      </c>
      <c r="HI46" s="863" t="n">
        <v>10793.824</v>
      </c>
      <c r="HJ46" s="863" t="n">
        <v>11018.892</v>
      </c>
      <c r="HK46" s="863" t="n">
        <v>9481.241</v>
      </c>
      <c r="HL46" s="863" t="n">
        <v>10214.609</v>
      </c>
      <c r="HM46" s="863" t="n">
        <v>10683.372</v>
      </c>
      <c r="HN46" s="863" t="n">
        <v>10356.585</v>
      </c>
      <c r="HO46" s="863" t="n">
        <v>10487.156</v>
      </c>
      <c r="HP46" s="863" t="n">
        <v>11536.787</v>
      </c>
      <c r="HQ46" s="863" t="n">
        <v>11264.978</v>
      </c>
      <c r="HR46" s="863" t="n">
        <v>9870.967000000001</v>
      </c>
      <c r="HS46" s="863" t="n">
        <v>10491.167</v>
      </c>
      <c r="HT46" s="863" t="n">
        <v>10080.889</v>
      </c>
      <c r="HU46" s="863" t="n">
        <v>11176.191</v>
      </c>
      <c r="HV46" s="863" t="n">
        <v>11007.372</v>
      </c>
      <c r="HW46" s="863" t="n">
        <v>10026.96</v>
      </c>
      <c r="HX46" s="863" t="n">
        <v>10932.831</v>
      </c>
      <c r="HY46" s="863" t="n">
        <v>10553.806</v>
      </c>
      <c r="HZ46" s="863" t="n">
        <v>10380.791</v>
      </c>
      <c r="IA46" s="863" t="n">
        <v>10908.153</v>
      </c>
      <c r="IB46" s="863" t="n">
        <v>11845.091</v>
      </c>
      <c r="IC46" s="863" t="n">
        <v>11924.629</v>
      </c>
      <c r="ID46" s="863" t="n">
        <v>9919.992</v>
      </c>
      <c r="IE46" s="863" t="n">
        <v>10923.474</v>
      </c>
      <c r="IF46" s="863" t="n">
        <v>10485.79</v>
      </c>
      <c r="IG46" s="863" t="n">
        <v>11720.855</v>
      </c>
      <c r="IH46" s="863" t="n">
        <v>12053.452</v>
      </c>
      <c r="II46" s="863" t="n">
        <v>10314.055</v>
      </c>
      <c r="IJ46" s="863" t="n">
        <v>11295.302</v>
      </c>
      <c r="IK46" s="863" t="n">
        <v>11324.591</v>
      </c>
      <c r="IL46" s="863" t="n">
        <v>11190.05</v>
      </c>
      <c r="IM46" s="863" t="n">
        <v>11900.997</v>
      </c>
      <c r="IN46" s="863" t="n">
        <v>12600.59</v>
      </c>
      <c r="IO46" s="863" t="n">
        <v>11501.041</v>
      </c>
      <c r="IP46" s="863" t="n">
        <v>9926.48</v>
      </c>
      <c r="IQ46" s="863" t="n">
        <v>10633.529</v>
      </c>
      <c r="IR46" s="863" t="n">
        <v>9934.989</v>
      </c>
      <c r="IS46" s="863" t="n">
        <v>11721.757</v>
      </c>
      <c r="IT46" s="863" t="n">
        <v>11830.575</v>
      </c>
      <c r="IU46" s="863" t="n">
        <v>4735.301</v>
      </c>
      <c r="IV46" s="863" t="n">
        <v>1776.537</v>
      </c>
      <c r="IW46" s="863">
        <f>IW50+IW54+IW58+IW62+IW66+IW72</f>
        <v/>
      </c>
      <c r="IX46" s="863">
        <f>IX50+IX54+IX58+IX62+IX66+IX72</f>
        <v/>
      </c>
      <c r="IY46" s="863">
        <f>IY50+IY54+IY58+IY62+IY66+IY72</f>
        <v/>
      </c>
      <c r="IZ46" s="863">
        <f>IZ50+IZ54+IZ58+IZ62+IZ66+IZ72</f>
        <v/>
      </c>
      <c r="JA46" s="863">
        <f>JA50+JA54+JA58+JA62+JA66+JA72</f>
        <v/>
      </c>
      <c r="JB46" s="863">
        <f>JB50+JB54+JB58+JB62+JB66+JB72</f>
        <v/>
      </c>
      <c r="JC46" s="863">
        <f>JC50+JC54+JC58+JC62+JC66+JC72</f>
        <v/>
      </c>
      <c r="JD46" s="863">
        <f>JD50+JD54+JD58+JD62+JD66+JD72</f>
        <v/>
      </c>
      <c r="JE46" s="863">
        <f>JE50+JE54+JE58+JE62+JE66+JE72</f>
        <v/>
      </c>
      <c r="JF46" s="863">
        <f>JF50+JF54+JF58+JF62+JF66+JF72</f>
        <v/>
      </c>
      <c r="JG46" s="863">
        <f>JG50+JG54+JG58+JG62+JG66+JG72</f>
        <v/>
      </c>
      <c r="JH46" s="863">
        <f>JH50+JH54+JH58+JH62+JH66+JH72</f>
        <v/>
      </c>
      <c r="JI46" s="863">
        <f>JI50+JI54+JI58+JI62+JI66+JI72</f>
        <v/>
      </c>
      <c r="JJ46" s="863">
        <f>JJ50+JJ54+JJ58+JJ62+JJ66+JJ72</f>
        <v/>
      </c>
      <c r="JK46" s="863">
        <f>JK50+JK54+JK58+JK62+JK66+JK72</f>
        <v/>
      </c>
      <c r="JL46" s="863">
        <f>JL50+JL54+JL58+JL62+JL66+JL72</f>
        <v/>
      </c>
      <c r="JM46" s="863">
        <f>JM50+JM54+JM58+JM62+JM66+JM72</f>
        <v/>
      </c>
      <c r="JN46" s="863">
        <f>JN50+JN54+JN58+JN62+JN66+JN72</f>
        <v/>
      </c>
      <c r="JO46" s="863">
        <f>JO50+JO54+JO58+JO62+JO66+JO72</f>
        <v/>
      </c>
      <c r="JP46" s="863">
        <f>JP50+JP54+JP58+JP62+JP66+JP72</f>
        <v/>
      </c>
      <c r="JQ46" s="863">
        <f>JQ50+JQ54+JQ58+JQ62+JQ66+JQ72</f>
        <v/>
      </c>
      <c r="JR46" s="863">
        <f>JR50+JR54+JR58+JR62+JR66+JR72</f>
        <v/>
      </c>
      <c r="JS46" s="863">
        <f>JS50+JS54+JS58+JS62+JS66+JS72</f>
        <v/>
      </c>
      <c r="JT46" s="863">
        <f>JT50+JT54+JT58+JT62+JT66+JT72</f>
        <v/>
      </c>
      <c r="JU46" s="863">
        <f>JU50+JU54+JU58+JU62+JU66+JU72</f>
        <v/>
      </c>
      <c r="JV46" s="863">
        <f>JV50+JV54+JV58+JV62+JV66+JV72</f>
        <v/>
      </c>
      <c r="JW46" s="863">
        <f>JW50+JW54+JW58+JW62+JW66+JW72</f>
        <v/>
      </c>
      <c r="JX46" s="863">
        <f>JX50+JX54+JX58+JX62+JX66+JX72</f>
        <v/>
      </c>
      <c r="JY46" s="863">
        <f>JY50+JY54+JY58+JY62+JY66+JY72</f>
        <v/>
      </c>
      <c r="JZ46" s="863">
        <f>JZ50+JZ54+JZ58+JZ62+JZ66+JZ72</f>
        <v/>
      </c>
      <c r="KA46" s="863">
        <f>KA50+KA54+KA58+KA62+KA66+KA72</f>
        <v/>
      </c>
      <c r="KB46" s="863">
        <f>KB50+KB54+KB58+KB62+KB66+KB72</f>
        <v/>
      </c>
      <c r="KC46" s="863">
        <f>KC50+KC54+KC58+KC62+KC66+KC72</f>
        <v/>
      </c>
      <c r="KD46" s="863">
        <f>KD50+KD54+KD58+KD62+KD66+KD72</f>
        <v/>
      </c>
      <c r="KE46" s="863">
        <f>KE50+KE54+KE58+KE62+KE66+KE72</f>
        <v/>
      </c>
      <c r="KF46" s="863">
        <f>KF50+KF54+KF58+KF62+KF66+KF72</f>
        <v/>
      </c>
      <c r="KG46" s="863">
        <f>KG50+KG54+KG58+KG62+KG66+KG72</f>
        <v/>
      </c>
      <c r="KH46" s="863">
        <f>KH50+KH54+KH58+KH62+KH66+KH72</f>
        <v/>
      </c>
      <c r="KI46" s="863">
        <f>KI50+KI54+KI58+KI62+KI66+KI72</f>
        <v/>
      </c>
      <c r="KJ46" s="863">
        <f>KJ50+KJ54+KJ58+KJ62+KJ66+KJ72</f>
        <v/>
      </c>
      <c r="KK46" s="863">
        <f>KK50+KK54+KK58+KK62+KK66+KK72</f>
        <v/>
      </c>
      <c r="KL46" s="863">
        <f>KL50+KL54+KL58+KL62+KL66+KL72</f>
        <v/>
      </c>
      <c r="KM46" s="863">
        <f>KM50+KM54+KM58+KM62+KM66+KM72</f>
        <v/>
      </c>
      <c r="KN46" s="863">
        <f>KN50+KN54+KN58+KN62+KN66+KN72</f>
        <v/>
      </c>
      <c r="KO46" s="863">
        <f>KO50+KO54+KO58+KO62+KO66+KO72</f>
        <v/>
      </c>
      <c r="KP46" s="863">
        <f>KP50+KP54+KP58+KP62+KP66+KP72</f>
        <v/>
      </c>
      <c r="KQ46" s="863">
        <f>KQ50+KQ54+KQ58+KQ62+KQ66+KQ72</f>
        <v/>
      </c>
      <c r="KR46" s="863">
        <f>KR50+KR54+KR58+KR62+KR66+KR72</f>
        <v/>
      </c>
      <c r="KS46" s="863">
        <f>KS50+KS54+KS58+KS62+KS66+KS72</f>
        <v/>
      </c>
      <c r="KT46" s="863">
        <f>KT50+KT54+KT58+KT62+KT66+KT72</f>
        <v/>
      </c>
      <c r="KU46" s="863">
        <f>KU50+KU54+KU58+KU62+KU66+KU72</f>
        <v/>
      </c>
      <c r="KV46" s="863">
        <f>KV50+KV54+KV58+KV62+KV66+KV72</f>
        <v/>
      </c>
      <c r="KW46" s="863">
        <f>KW50+KW54+KW58+KW62+KW66+KW72</f>
        <v/>
      </c>
      <c r="KX46" s="863">
        <f>KX50+KX54+KX58+KX62+KX66+KX72</f>
        <v/>
      </c>
      <c r="KY46" s="863">
        <f>KY50+KY54+KY58+KY62+KY66+KY72</f>
        <v/>
      </c>
      <c r="KZ46" s="863">
        <f>KZ50+KZ54+KZ58+KZ62+KZ66+KZ72</f>
        <v/>
      </c>
      <c r="LA46" s="863">
        <f>LA50+LA54+LA58+LA62+LA66+LA72</f>
        <v/>
      </c>
      <c r="LB46" s="863">
        <f>LB194/1000</f>
        <v/>
      </c>
      <c r="LC46" s="863">
        <f>LC194/1000</f>
        <v/>
      </c>
      <c r="LD46" s="863">
        <f>LD194/1000</f>
        <v/>
      </c>
      <c r="LE46" s="863">
        <f>LE194/1000</f>
        <v/>
      </c>
      <c r="LF46" s="863">
        <f>LF194/1000</f>
        <v/>
      </c>
      <c r="LG46" s="863">
        <f>LG194/1000</f>
        <v/>
      </c>
      <c r="LH46" s="863">
        <f>LH194/1000</f>
        <v/>
      </c>
      <c r="LI46" s="863">
        <f>LI194/1000</f>
        <v/>
      </c>
      <c r="LJ46" s="863">
        <f>LJ194/1000</f>
        <v/>
      </c>
      <c r="LK46" s="863">
        <f>LK194/1000</f>
        <v/>
      </c>
      <c r="LL46" s="863">
        <f>LL194/1000</f>
        <v/>
      </c>
      <c r="LM46" s="863">
        <f>LM194/1000</f>
        <v/>
      </c>
      <c r="LN46" s="863">
        <f>LN194/1000</f>
        <v/>
      </c>
      <c r="LO46" s="863">
        <f>LO194/1000</f>
        <v/>
      </c>
      <c r="LP46" s="863">
        <f>LP194/1000</f>
        <v/>
      </c>
      <c r="LQ46" s="863">
        <f>LQ194/1000</f>
        <v/>
      </c>
      <c r="LR46" s="863">
        <f>LR194/1000</f>
        <v/>
      </c>
      <c r="LS46" s="863">
        <f>LS194/1000</f>
        <v/>
      </c>
      <c r="LW46" s="1331" t="n"/>
    </row>
    <row r="47">
      <c r="A47" s="885" t="inlineStr">
        <is>
          <t>m cg %</t>
        </is>
      </c>
      <c r="B47" s="1318" t="n"/>
      <c r="C47" s="1318">
        <f>C46/B46-1</f>
        <v/>
      </c>
      <c r="D47" s="1318">
        <f>D46/C46-1</f>
        <v/>
      </c>
      <c r="E47" s="1318">
        <f>E46/D46-1</f>
        <v/>
      </c>
      <c r="F47" s="1318">
        <f>F46/E46-1</f>
        <v/>
      </c>
      <c r="G47" s="1318">
        <f>G46/F46-1</f>
        <v/>
      </c>
      <c r="H47" s="1318">
        <f>H46/G46-1</f>
        <v/>
      </c>
      <c r="I47" s="1318">
        <f>I46/H46-1</f>
        <v/>
      </c>
      <c r="J47" s="1318">
        <f>J46/I46-1</f>
        <v/>
      </c>
      <c r="K47" s="1318">
        <f>K46/J46-1</f>
        <v/>
      </c>
      <c r="L47" s="1318">
        <f>L46/K46-1</f>
        <v/>
      </c>
      <c r="M47" s="1318">
        <f>M46/L46-1</f>
        <v/>
      </c>
      <c r="N47" s="1318">
        <f>N46/M46-1</f>
        <v/>
      </c>
      <c r="O47" s="1318">
        <f>O46/N46-1</f>
        <v/>
      </c>
      <c r="P47" s="1318">
        <f>P46/O46-1</f>
        <v/>
      </c>
      <c r="Q47" s="1318">
        <f>Q46/P46-1</f>
        <v/>
      </c>
      <c r="R47" s="1318">
        <f>R46/Q46-1</f>
        <v/>
      </c>
      <c r="S47" s="1318">
        <f>S46/R46-1</f>
        <v/>
      </c>
      <c r="T47" s="1318">
        <f>T46/S46-1</f>
        <v/>
      </c>
      <c r="U47" s="1318">
        <f>U46/T46-1</f>
        <v/>
      </c>
      <c r="V47" s="1318">
        <f>V46/U46-1</f>
        <v/>
      </c>
      <c r="W47" s="1318">
        <f>W46/V46-1</f>
        <v/>
      </c>
      <c r="X47" s="1318">
        <f>X46/W46-1</f>
        <v/>
      </c>
      <c r="Y47" s="1318">
        <f>Y46/X46-1</f>
        <v/>
      </c>
      <c r="Z47" s="1318">
        <f>Z46/Y46-1</f>
        <v/>
      </c>
      <c r="AA47" s="1318">
        <f>AA46/Z46-1</f>
        <v/>
      </c>
      <c r="AB47" s="1318">
        <f>AB46/AA46-1</f>
        <v/>
      </c>
      <c r="AC47" s="1318">
        <f>AC46/AB46-1</f>
        <v/>
      </c>
      <c r="AD47" s="1318">
        <f>AD46/AC46-1</f>
        <v/>
      </c>
      <c r="AE47" s="1318">
        <f>AE46/AD46-1</f>
        <v/>
      </c>
      <c r="AF47" s="1318">
        <f>AF46/AE46-1</f>
        <v/>
      </c>
      <c r="AG47" s="1318">
        <f>AG46/AF46-1</f>
        <v/>
      </c>
      <c r="AH47" s="1318">
        <f>AH46/AG46-1</f>
        <v/>
      </c>
      <c r="AI47" s="1318">
        <f>AI46/AH46-1</f>
        <v/>
      </c>
      <c r="AJ47" s="1318">
        <f>AJ46/AI46-1</f>
        <v/>
      </c>
      <c r="AK47" s="1318">
        <f>AK46/AJ46-1</f>
        <v/>
      </c>
      <c r="AL47" s="1318">
        <f>AL46/AK46-1</f>
        <v/>
      </c>
      <c r="AM47" s="1318">
        <f>AM46/AL46-1</f>
        <v/>
      </c>
      <c r="AN47" s="1318">
        <f>AN46/AM46-1</f>
        <v/>
      </c>
      <c r="AO47" s="1318">
        <f>AO46/AN46-1</f>
        <v/>
      </c>
      <c r="AP47" s="1318">
        <f>AP46/AO46-1</f>
        <v/>
      </c>
      <c r="AQ47" s="1318">
        <f>AQ46/AP46-1</f>
        <v/>
      </c>
      <c r="AR47" s="1318">
        <f>AR46/AQ46-1</f>
        <v/>
      </c>
      <c r="AS47" s="1318">
        <f>AS46/AR46-1</f>
        <v/>
      </c>
      <c r="AT47" s="1318">
        <f>AT46/AS46-1</f>
        <v/>
      </c>
      <c r="AU47" s="1318">
        <f>AU46/AT46-1</f>
        <v/>
      </c>
      <c r="AV47" s="1318">
        <f>AV46/AU46-1</f>
        <v/>
      </c>
      <c r="AW47" s="1318">
        <f>AW46/AV46-1</f>
        <v/>
      </c>
      <c r="AX47" s="1318">
        <f>AX46/AW46-1</f>
        <v/>
      </c>
      <c r="AY47" s="1318">
        <f>AY46/AX46-1</f>
        <v/>
      </c>
      <c r="AZ47" s="1318">
        <f>AZ46/AY46-1</f>
        <v/>
      </c>
      <c r="BA47" s="1318">
        <f>BA46/AZ46-1</f>
        <v/>
      </c>
      <c r="BB47" s="1318">
        <f>BB46/BA46-1</f>
        <v/>
      </c>
      <c r="BC47" s="1318">
        <f>BC46/BB46-1</f>
        <v/>
      </c>
      <c r="BD47" s="1318">
        <f>BD46/BC46-1</f>
        <v/>
      </c>
      <c r="BE47" s="1318">
        <f>BE46/BD46-1</f>
        <v/>
      </c>
      <c r="BF47" s="1318">
        <f>BF46/BE46-1</f>
        <v/>
      </c>
      <c r="BG47" s="1318">
        <f>BG46/BF46-1</f>
        <v/>
      </c>
      <c r="BH47" s="1318">
        <f>BH46/BG46-1</f>
        <v/>
      </c>
      <c r="BI47" s="1318">
        <f>BI46/BH46-1</f>
        <v/>
      </c>
      <c r="BJ47" s="1318">
        <f>BJ46/BI46-1</f>
        <v/>
      </c>
      <c r="BK47" s="1318">
        <f>BK46/BJ46-1</f>
        <v/>
      </c>
      <c r="BL47" s="1318">
        <f>BL46/BK46-1</f>
        <v/>
      </c>
      <c r="BM47" s="1318">
        <f>BM46/BL46-1</f>
        <v/>
      </c>
      <c r="BN47" s="1318">
        <f>BN46/BM46-1</f>
        <v/>
      </c>
      <c r="BO47" s="1318">
        <f>BO46/BN46-1</f>
        <v/>
      </c>
      <c r="BP47" s="1318">
        <f>BP46/BO46-1</f>
        <v/>
      </c>
      <c r="BQ47" s="1318">
        <f>BQ46/BP46-1</f>
        <v/>
      </c>
      <c r="BR47" s="1318">
        <f>BR46/BQ46-1</f>
        <v/>
      </c>
      <c r="BS47" s="1318">
        <f>BS46/BR46-1</f>
        <v/>
      </c>
      <c r="BT47" s="1318">
        <f>BT46/BS46-1</f>
        <v/>
      </c>
      <c r="BU47" s="1318">
        <f>BU46/BT46-1</f>
        <v/>
      </c>
      <c r="BV47" s="1318">
        <f>BV46/BU46-1</f>
        <v/>
      </c>
      <c r="BW47" s="1318">
        <f>BW46/BV46-1</f>
        <v/>
      </c>
      <c r="BX47" s="1318">
        <f>BX46/BW46-1</f>
        <v/>
      </c>
      <c r="BY47" s="1318">
        <f>BY46/BX46-1</f>
        <v/>
      </c>
      <c r="BZ47" s="1318">
        <f>BZ46/BY46-1</f>
        <v/>
      </c>
      <c r="CA47" s="1318">
        <f>CA46/BZ46-1</f>
        <v/>
      </c>
      <c r="CB47" s="1318">
        <f>CB46/CA46-1</f>
        <v/>
      </c>
      <c r="CC47" s="1318">
        <f>CC46/CB46-1</f>
        <v/>
      </c>
      <c r="CD47" s="1318">
        <f>CD46/CC46-1</f>
        <v/>
      </c>
      <c r="CE47" s="1318">
        <f>CE46/CD46-1</f>
        <v/>
      </c>
      <c r="CF47" s="1318">
        <f>CF46/CE46-1</f>
        <v/>
      </c>
      <c r="CG47" s="1318">
        <f>CG46/CF46-1</f>
        <v/>
      </c>
      <c r="CH47" s="1318">
        <f>CH46/CG46-1</f>
        <v/>
      </c>
      <c r="CI47" s="1318">
        <f>CI46/CH46-1</f>
        <v/>
      </c>
      <c r="CJ47" s="1318">
        <f>CJ46/CI46-1</f>
        <v/>
      </c>
      <c r="CK47" s="1318">
        <f>CK46/CJ46-1</f>
        <v/>
      </c>
      <c r="CL47" s="1318">
        <f>CL46/CK46-1</f>
        <v/>
      </c>
      <c r="CM47" s="1318">
        <f>CM46/CL46-1</f>
        <v/>
      </c>
      <c r="CN47" s="1318">
        <f>CN46/CM46-1</f>
        <v/>
      </c>
      <c r="CO47" s="1318">
        <f>CO46/CN46-1</f>
        <v/>
      </c>
      <c r="CP47" s="1318">
        <f>CP46/CO46-1</f>
        <v/>
      </c>
      <c r="CQ47" s="1318">
        <f>CQ46/CP46-1</f>
        <v/>
      </c>
      <c r="CR47" s="1318">
        <f>CR46/CQ46-1</f>
        <v/>
      </c>
      <c r="CS47" s="1318">
        <f>CS46/CR46-1</f>
        <v/>
      </c>
      <c r="CT47" s="1318">
        <f>CT46/CS46-1</f>
        <v/>
      </c>
      <c r="CU47" s="1318">
        <f>CU46/CT46-1</f>
        <v/>
      </c>
      <c r="CV47" s="1318">
        <f>CV46/CU46-1</f>
        <v/>
      </c>
      <c r="CW47" s="1318">
        <f>CW46/CV46-1</f>
        <v/>
      </c>
      <c r="CX47" s="1318">
        <f>CX46/CW46-1</f>
        <v/>
      </c>
      <c r="CY47" s="1318">
        <f>CY46/CX46-1</f>
        <v/>
      </c>
      <c r="CZ47" s="1318">
        <f>CZ46/CY46-1</f>
        <v/>
      </c>
      <c r="DA47" s="1318">
        <f>DA46/CZ46-1</f>
        <v/>
      </c>
      <c r="DB47" s="1318">
        <f>DB46/DA46-1</f>
        <v/>
      </c>
      <c r="DC47" s="1318">
        <f>DC46/DB46-1</f>
        <v/>
      </c>
      <c r="DD47" s="1318">
        <f>DD46/DC46-1</f>
        <v/>
      </c>
      <c r="DE47" s="1318">
        <f>DE46/DD46-1</f>
        <v/>
      </c>
      <c r="DF47" s="1318">
        <f>DF46/DE46-1</f>
        <v/>
      </c>
      <c r="DG47" s="1318">
        <f>DG46/DF46-1</f>
        <v/>
      </c>
      <c r="DH47" s="1318">
        <f>DH46/DG46-1</f>
        <v/>
      </c>
      <c r="DI47" s="1318">
        <f>DI46/DH46-1</f>
        <v/>
      </c>
      <c r="DJ47" s="1318">
        <f>DJ46/DI46-1</f>
        <v/>
      </c>
      <c r="DK47" s="1318">
        <f>DK46/DJ46-1</f>
        <v/>
      </c>
      <c r="DL47" s="1318">
        <f>DL46/DK46-1</f>
        <v/>
      </c>
      <c r="DM47" s="1318">
        <f>DM46/DL46-1</f>
        <v/>
      </c>
      <c r="DN47" s="1318">
        <f>DN46/DM46-1</f>
        <v/>
      </c>
      <c r="DO47" s="1318">
        <f>DO46/DN46-1</f>
        <v/>
      </c>
      <c r="DP47" s="1318">
        <f>DP46/DO46-1</f>
        <v/>
      </c>
      <c r="DQ47" s="1318">
        <f>DQ46/DP46-1</f>
        <v/>
      </c>
      <c r="DR47" s="1318">
        <f>DR46/DQ46-1</f>
        <v/>
      </c>
      <c r="DS47" s="1318">
        <f>DS46/DR46-1</f>
        <v/>
      </c>
      <c r="DT47" s="1318">
        <f>DT46/DS46-1</f>
        <v/>
      </c>
      <c r="DU47" s="1318">
        <f>DU46/DT46-1</f>
        <v/>
      </c>
      <c r="DV47" s="1318">
        <f>DV46/DU46-1</f>
        <v/>
      </c>
      <c r="DW47" s="1318">
        <f>DW46/DV46-1</f>
        <v/>
      </c>
      <c r="DX47" s="1318">
        <f>DX46/DW46-1</f>
        <v/>
      </c>
      <c r="DY47" s="1318">
        <f>DY46/DX46-1</f>
        <v/>
      </c>
      <c r="DZ47" s="1318">
        <f>DZ46/DY46-1</f>
        <v/>
      </c>
      <c r="EA47" s="1318">
        <f>EA46/DZ46-1</f>
        <v/>
      </c>
      <c r="EB47" s="1318">
        <f>EB46/EA46-1</f>
        <v/>
      </c>
      <c r="EC47" s="1318">
        <f>EC46/EB46-1</f>
        <v/>
      </c>
      <c r="ED47" s="1318">
        <f>ED46/EC46-1</f>
        <v/>
      </c>
      <c r="EE47" s="1318">
        <f>EE46/ED46-1</f>
        <v/>
      </c>
      <c r="EF47" s="1318">
        <f>EF46/EE46-1</f>
        <v/>
      </c>
      <c r="EG47" s="1318">
        <f>EG46/EF46-1</f>
        <v/>
      </c>
      <c r="EH47" s="1318">
        <f>EH46/EG46-1</f>
        <v/>
      </c>
      <c r="EI47" s="1318">
        <f>EI46/EH46-1</f>
        <v/>
      </c>
      <c r="EJ47" s="1318">
        <f>EJ46/EI46-1</f>
        <v/>
      </c>
      <c r="EK47" s="1318">
        <f>EK46/EJ46-1</f>
        <v/>
      </c>
      <c r="EL47" s="1318">
        <f>EL46/EK46-1</f>
        <v/>
      </c>
      <c r="EM47" s="1318">
        <f>EM46/EL46-1</f>
        <v/>
      </c>
      <c r="EN47" s="1318">
        <f>EN46/EM46-1</f>
        <v/>
      </c>
      <c r="EO47" s="1318">
        <f>EO46/EN46-1</f>
        <v/>
      </c>
      <c r="EP47" s="1318">
        <f>EP46/EO46-1</f>
        <v/>
      </c>
      <c r="EQ47" s="1318">
        <f>EQ46/EP46-1</f>
        <v/>
      </c>
      <c r="ER47" s="1318">
        <f>ER46/EQ46-1</f>
        <v/>
      </c>
      <c r="ES47" s="1318">
        <f>ES46/ER46-1</f>
        <v/>
      </c>
      <c r="ET47" s="1318">
        <f>ET46/ES46-1</f>
        <v/>
      </c>
      <c r="EU47" s="1318">
        <f>EU46/ET46-1</f>
        <v/>
      </c>
      <c r="EV47" s="1318">
        <f>EV46/EU46-1</f>
        <v/>
      </c>
      <c r="EW47" s="1318">
        <f>EW46/EV46-1</f>
        <v/>
      </c>
      <c r="EX47" s="1318">
        <f>EX46/EW46-1</f>
        <v/>
      </c>
      <c r="EY47" s="1318">
        <f>EY46/EX46-1</f>
        <v/>
      </c>
      <c r="EZ47" s="1318">
        <f>EZ46/EY46-1</f>
        <v/>
      </c>
      <c r="FA47" s="1318">
        <f>FA46/EZ46-1</f>
        <v/>
      </c>
      <c r="FB47" s="1318">
        <f>FB46/FA46-1</f>
        <v/>
      </c>
      <c r="FC47" s="1318">
        <f>FC46/FB46-1</f>
        <v/>
      </c>
      <c r="FD47" s="1318">
        <f>FD46/FC46-1</f>
        <v/>
      </c>
      <c r="FE47" s="1318">
        <f>FE46/FD46-1</f>
        <v/>
      </c>
      <c r="FF47" s="1318">
        <f>FF46/FE46-1</f>
        <v/>
      </c>
      <c r="FG47" s="1318">
        <f>FG46/FF46-1</f>
        <v/>
      </c>
      <c r="FH47" s="1318">
        <f>FH46/FG46-1</f>
        <v/>
      </c>
      <c r="FI47" s="1318">
        <f>FI46/FH46-1</f>
        <v/>
      </c>
      <c r="FJ47" s="1318">
        <f>FJ46/FI46-1</f>
        <v/>
      </c>
      <c r="FK47" s="1318">
        <f>FK46/FJ46-1</f>
        <v/>
      </c>
      <c r="FL47" s="1318">
        <f>FL46/FK46-1</f>
        <v/>
      </c>
      <c r="FM47" s="1318">
        <f>FM46/FL46-1</f>
        <v/>
      </c>
      <c r="FN47" s="1318">
        <f>FN46/FM46-1</f>
        <v/>
      </c>
      <c r="FO47" s="1318">
        <f>FO46/FN46-1</f>
        <v/>
      </c>
      <c r="FP47" s="1318">
        <f>FP46/FO46-1</f>
        <v/>
      </c>
      <c r="FQ47" s="1318">
        <f>FQ46/FP46-1</f>
        <v/>
      </c>
      <c r="FR47" s="1318">
        <f>FR46/FQ46-1</f>
        <v/>
      </c>
      <c r="FS47" s="1318">
        <f>FS46/FR46-1</f>
        <v/>
      </c>
      <c r="FT47" s="1318">
        <f>FT46/FS46-1</f>
        <v/>
      </c>
      <c r="FU47" s="1318">
        <f>FU46/FT46-1</f>
        <v/>
      </c>
      <c r="FV47" s="1318">
        <f>FV46/FU46-1</f>
        <v/>
      </c>
      <c r="FW47" s="1318">
        <f>FW46/FV46-1</f>
        <v/>
      </c>
      <c r="FX47" s="1318">
        <f>FX46/FW46-1</f>
        <v/>
      </c>
      <c r="FY47" s="1318">
        <f>FY46/FX46-1</f>
        <v/>
      </c>
      <c r="FZ47" s="1318">
        <f>FZ46/FY46-1</f>
        <v/>
      </c>
      <c r="GA47" s="1318">
        <f>GA46/FZ46-1</f>
        <v/>
      </c>
      <c r="GB47" s="1318">
        <f>GB46/GA46-1</f>
        <v/>
      </c>
      <c r="GC47" s="1318">
        <f>GC46/GB46-1</f>
        <v/>
      </c>
      <c r="GD47" s="1318">
        <f>GD46/GC46-1</f>
        <v/>
      </c>
      <c r="GE47" s="1318">
        <f>GE46/GD46-1</f>
        <v/>
      </c>
      <c r="GF47" s="1318">
        <f>GF46/GE46-1</f>
        <v/>
      </c>
      <c r="GG47" s="1318">
        <f>GG46/GF46-1</f>
        <v/>
      </c>
      <c r="GH47" s="1318">
        <f>GH46/GG46-1</f>
        <v/>
      </c>
      <c r="GI47" s="1318">
        <f>GI46/GH46-1</f>
        <v/>
      </c>
      <c r="GJ47" s="1318">
        <f>GJ46/GI46-1</f>
        <v/>
      </c>
      <c r="GK47" s="1318">
        <f>GK46/GJ46-1</f>
        <v/>
      </c>
      <c r="GL47" s="1318">
        <f>GL46/GK46-1</f>
        <v/>
      </c>
      <c r="GM47" s="1318">
        <f>GM46/GL46-1</f>
        <v/>
      </c>
      <c r="GN47" s="1318">
        <f>GN46/GM46-1</f>
        <v/>
      </c>
      <c r="GO47" s="1318">
        <f>GO46/GN46-1</f>
        <v/>
      </c>
      <c r="GP47" s="1318">
        <f>GP46/GO46-1</f>
        <v/>
      </c>
      <c r="GQ47" s="1318">
        <f>GQ46/GP46-1</f>
        <v/>
      </c>
      <c r="GR47" s="1318">
        <f>GR46/GQ46-1</f>
        <v/>
      </c>
      <c r="GS47" s="1318">
        <f>GS46/GR46-1</f>
        <v/>
      </c>
      <c r="GT47" s="1318">
        <f>GT46/GS46-1</f>
        <v/>
      </c>
      <c r="GU47" s="1318">
        <f>GU46/GT46-1</f>
        <v/>
      </c>
      <c r="GV47" s="1318">
        <f>GV46/GU46-1</f>
        <v/>
      </c>
      <c r="GW47" s="1318">
        <f>GW46/GV46-1</f>
        <v/>
      </c>
      <c r="GX47" s="1318">
        <f>GX46/GW46-1</f>
        <v/>
      </c>
      <c r="GY47" s="1318">
        <f>GY46/GX46-1</f>
        <v/>
      </c>
      <c r="GZ47" s="1318">
        <f>GZ46/GY46-1</f>
        <v/>
      </c>
      <c r="HA47" s="1318">
        <f>HA46/GZ46-1</f>
        <v/>
      </c>
      <c r="HB47" s="1318">
        <f>HB46/HA46-1</f>
        <v/>
      </c>
      <c r="HC47" s="1318">
        <f>HC46/HB46-1</f>
        <v/>
      </c>
      <c r="HD47" s="1318">
        <f>HD46/HC46-1</f>
        <v/>
      </c>
      <c r="HE47" s="1318">
        <f>HE46/HD46-1</f>
        <v/>
      </c>
      <c r="HF47" s="1318">
        <f>HF46/HE46-1</f>
        <v/>
      </c>
      <c r="HG47" s="1318">
        <f>HG46/HF46-1</f>
        <v/>
      </c>
      <c r="HH47" s="1318">
        <f>HH46/HG46-1</f>
        <v/>
      </c>
      <c r="HI47" s="1318">
        <f>HI46/HH46-1</f>
        <v/>
      </c>
      <c r="HJ47" s="1318">
        <f>HJ46/HI46-1</f>
        <v/>
      </c>
      <c r="HK47" s="1318">
        <f>HK46/HJ46-1</f>
        <v/>
      </c>
      <c r="HL47" s="1318">
        <f>HL46/HK46-1</f>
        <v/>
      </c>
      <c r="HM47" s="1318">
        <f>HM46/HL46-1</f>
        <v/>
      </c>
      <c r="HN47" s="1318">
        <f>HN46/HM46-1</f>
        <v/>
      </c>
      <c r="HO47" s="1318">
        <f>HO46/HN46-1</f>
        <v/>
      </c>
      <c r="HP47" s="1318">
        <f>HP46/HO46-1</f>
        <v/>
      </c>
      <c r="HQ47" s="1318">
        <f>HQ46/HP46-1</f>
        <v/>
      </c>
      <c r="HR47" s="1318">
        <f>HR46/HQ46-1</f>
        <v/>
      </c>
      <c r="HS47" s="1318">
        <f>HS46/HR46-1</f>
        <v/>
      </c>
      <c r="HT47" s="1318">
        <f>HT46/HS46-1</f>
        <v/>
      </c>
      <c r="HU47" s="1318">
        <f>HU46/HT46-1</f>
        <v/>
      </c>
      <c r="HV47" s="1318">
        <f>HV46/HU46-1</f>
        <v/>
      </c>
      <c r="HW47" s="1318">
        <f>HW46/HV46-1</f>
        <v/>
      </c>
      <c r="HX47" s="1318">
        <f>HX46/HW46-1</f>
        <v/>
      </c>
      <c r="HY47" s="1318">
        <f>HY46/HX46-1</f>
        <v/>
      </c>
      <c r="HZ47" s="1318">
        <f>HZ46/HY46-1</f>
        <v/>
      </c>
      <c r="IA47" s="1318">
        <f>IA46/HZ46-1</f>
        <v/>
      </c>
      <c r="IB47" s="1318">
        <f>IB46/IA46-1</f>
        <v/>
      </c>
      <c r="IC47" s="1318">
        <f>IC46/IB46-1</f>
        <v/>
      </c>
      <c r="ID47" s="1318">
        <f>ID46/IC46-1</f>
        <v/>
      </c>
      <c r="IE47" s="1318">
        <f>IE46/ID46-1</f>
        <v/>
      </c>
      <c r="IF47" s="1318">
        <f>IF46/IE46-1</f>
        <v/>
      </c>
      <c r="IG47" s="1318">
        <f>IG46/IF46-1</f>
        <v/>
      </c>
      <c r="IH47" s="1318">
        <f>IH46/IG46-1</f>
        <v/>
      </c>
      <c r="II47" s="1318">
        <f>II46/IH46-1</f>
        <v/>
      </c>
      <c r="IJ47" s="1318">
        <f>IJ46/II46-1</f>
        <v/>
      </c>
      <c r="IK47" s="1318">
        <f>IK46/IJ46-1</f>
        <v/>
      </c>
      <c r="IL47" s="1318">
        <f>IL46/IK46-1</f>
        <v/>
      </c>
      <c r="IM47" s="1318">
        <f>IM46/IL46-1</f>
        <v/>
      </c>
      <c r="IN47" s="1318">
        <f>IN46/IM46-1</f>
        <v/>
      </c>
      <c r="IO47" s="1318">
        <f>IO46/IN46-1</f>
        <v/>
      </c>
      <c r="IP47" s="1318">
        <f>IP46/IO46-1</f>
        <v/>
      </c>
      <c r="IQ47" s="1318">
        <f>IQ46/IP46-1</f>
        <v/>
      </c>
      <c r="IR47" s="1318">
        <f>IR46/IQ46-1</f>
        <v/>
      </c>
      <c r="IS47" s="1318">
        <f>IS46/IR46-1</f>
        <v/>
      </c>
      <c r="IT47" s="1318">
        <f>IT46/IS46-1</f>
        <v/>
      </c>
      <c r="IU47" s="1318">
        <f>IU46/IT46-1</f>
        <v/>
      </c>
      <c r="IV47" s="1318">
        <f>IV46/IU46-1</f>
        <v/>
      </c>
      <c r="IW47" s="1318">
        <f>IW46/IV46-1</f>
        <v/>
      </c>
      <c r="IX47" s="1318">
        <f>IX46/IW46-1</f>
        <v/>
      </c>
      <c r="IY47" s="1318">
        <f>IY46/IX46-1</f>
        <v/>
      </c>
      <c r="IZ47" s="1318">
        <f>IZ46/IY46-1</f>
        <v/>
      </c>
      <c r="JA47" s="1318">
        <f>JA46/IZ46-1</f>
        <v/>
      </c>
      <c r="JB47" s="1318">
        <f>JB46/JA46-1</f>
        <v/>
      </c>
      <c r="JC47" s="1318">
        <f>JC46/JB46-1</f>
        <v/>
      </c>
      <c r="JD47" s="1318">
        <f>JD46/JC46-1</f>
        <v/>
      </c>
      <c r="JE47" s="1318">
        <f>JE46/JD46-1</f>
        <v/>
      </c>
      <c r="JF47" s="1318">
        <f>JF46/JE46-1</f>
        <v/>
      </c>
      <c r="JG47" s="1318">
        <f>JG46/JF46-1</f>
        <v/>
      </c>
      <c r="JH47" s="1318">
        <f>JH46/JG46-1</f>
        <v/>
      </c>
      <c r="JI47" s="1318">
        <f>JI46/JH46-1</f>
        <v/>
      </c>
      <c r="JJ47" s="1318">
        <f>JJ46/JI46-1</f>
        <v/>
      </c>
      <c r="JK47" s="1318">
        <f>JK46/JJ46-1</f>
        <v/>
      </c>
      <c r="JL47" s="1318">
        <f>JL46/JK46-1</f>
        <v/>
      </c>
      <c r="JM47" s="1318">
        <f>JM46/JL46-1</f>
        <v/>
      </c>
      <c r="JN47" s="1318">
        <f>JN46/JM46-1</f>
        <v/>
      </c>
      <c r="JO47" s="1318">
        <f>JO46/JN46-1</f>
        <v/>
      </c>
      <c r="JP47" s="1318">
        <f>JP46/JO46-1</f>
        <v/>
      </c>
      <c r="JQ47" s="1318">
        <f>JQ46/JP46-1</f>
        <v/>
      </c>
      <c r="JR47" s="1318">
        <f>JR46/JQ46-1</f>
        <v/>
      </c>
      <c r="JS47" s="1318">
        <f>JS46/JR46-1</f>
        <v/>
      </c>
      <c r="JT47" s="1318">
        <f>JT46/JS46-1</f>
        <v/>
      </c>
      <c r="JU47" s="1318">
        <f>JU46/JT46-1</f>
        <v/>
      </c>
      <c r="JV47" s="1318">
        <f>JV46/JU46-1</f>
        <v/>
      </c>
      <c r="JW47" s="1318">
        <f>JW46/JV46-1</f>
        <v/>
      </c>
      <c r="JX47" s="1318">
        <f>JX46/JW46-1</f>
        <v/>
      </c>
      <c r="JY47" s="1318">
        <f>JY46/JX46-1</f>
        <v/>
      </c>
      <c r="JZ47" s="1318">
        <f>JZ46/JY46-1</f>
        <v/>
      </c>
      <c r="KA47" s="1318">
        <f>KA46/JZ46-1</f>
        <v/>
      </c>
      <c r="KB47" s="1318">
        <f>KB46/KA46-1</f>
        <v/>
      </c>
      <c r="KC47" s="1318">
        <f>KC46/KB46-1</f>
        <v/>
      </c>
      <c r="KD47" s="1318">
        <f>KD46/KC46-1</f>
        <v/>
      </c>
      <c r="KE47" s="1318">
        <f>KE46/KD46-1</f>
        <v/>
      </c>
      <c r="KF47" s="1318">
        <f>KF46/KE46-1</f>
        <v/>
      </c>
      <c r="KG47" s="1318">
        <f>KG46/KF46-1</f>
        <v/>
      </c>
      <c r="KH47" s="1318">
        <f>KH46/KG46-1</f>
        <v/>
      </c>
      <c r="KI47" s="1318">
        <f>KI46/KH46-1</f>
        <v/>
      </c>
      <c r="KJ47" s="1318">
        <f>KJ46/KI46-1</f>
        <v/>
      </c>
      <c r="KK47" s="1318">
        <f>KK46/KJ46-1</f>
        <v/>
      </c>
      <c r="KL47" s="1318">
        <f>KL46/KK46-1</f>
        <v/>
      </c>
      <c r="KM47" s="1318">
        <f>KM46/KL46-1</f>
        <v/>
      </c>
      <c r="KN47" s="1318">
        <f>KN46/KM46-1</f>
        <v/>
      </c>
      <c r="KO47" s="1318">
        <f>KO46/KN46-1</f>
        <v/>
      </c>
      <c r="KP47" s="1318">
        <f>KP46/KO46-1</f>
        <v/>
      </c>
      <c r="KQ47" s="1318">
        <f>KQ46/KP46-1</f>
        <v/>
      </c>
      <c r="KR47" s="1318">
        <f>KR46/KQ46-1</f>
        <v/>
      </c>
      <c r="KS47" s="1318">
        <f>KS46/KR46-1</f>
        <v/>
      </c>
      <c r="KT47" s="1318">
        <f>KT46/KS46-1</f>
        <v/>
      </c>
      <c r="KU47" s="1318">
        <f>KU46/KT46-1</f>
        <v/>
      </c>
      <c r="KV47" s="1318">
        <f>KV46/KU46-1</f>
        <v/>
      </c>
      <c r="KW47" s="1318">
        <f>KW46/KV46-1</f>
        <v/>
      </c>
      <c r="KX47" s="1318">
        <f>KX46/KW46-1</f>
        <v/>
      </c>
      <c r="KY47" s="1318">
        <f>KY46/KX46-1</f>
        <v/>
      </c>
      <c r="KZ47" s="1318">
        <f>KZ46/KY46-1</f>
        <v/>
      </c>
      <c r="LA47" s="1318">
        <f>LA46/KZ46-1</f>
        <v/>
      </c>
      <c r="LB47" s="1318">
        <f>LB46/LA46-1</f>
        <v/>
      </c>
      <c r="LC47" s="1318">
        <f>LC46/LB46-1</f>
        <v/>
      </c>
      <c r="LD47" s="1318">
        <f>LD46/LC46-1</f>
        <v/>
      </c>
      <c r="LE47" s="1318">
        <f>LE46/LD46-1</f>
        <v/>
      </c>
      <c r="LF47" s="1318">
        <f>LF46/LE46-1</f>
        <v/>
      </c>
      <c r="LG47" s="1318">
        <f>LG46/LF46-1</f>
        <v/>
      </c>
      <c r="LH47" s="1318">
        <f>LH46/LG46-1</f>
        <v/>
      </c>
      <c r="LI47" s="1318">
        <f>LI46/LH46-1</f>
        <v/>
      </c>
      <c r="LJ47" s="1318">
        <f>LJ46/LI46-1</f>
        <v/>
      </c>
      <c r="LK47" s="1318">
        <f>LK46/LJ46-1</f>
        <v/>
      </c>
      <c r="LL47" s="1318">
        <f>LL46/LK46-1</f>
        <v/>
      </c>
      <c r="LM47" s="1318">
        <f>LM46/LL46-1</f>
        <v/>
      </c>
      <c r="LN47" s="1318">
        <f>LN46/LM46-1</f>
        <v/>
      </c>
      <c r="LO47" s="1318">
        <f>LO46/LN46-1</f>
        <v/>
      </c>
      <c r="LP47" s="1318">
        <f>LP46/LO46-1</f>
        <v/>
      </c>
      <c r="LQ47" s="1318">
        <f>LQ46/LP46-1</f>
        <v/>
      </c>
      <c r="LR47" s="1318">
        <f>LR46/LQ46-1</f>
        <v/>
      </c>
      <c r="LS47" s="1318">
        <f>LS46/LR46-1</f>
        <v/>
      </c>
    </row>
    <row r="48">
      <c r="A48" s="885" t="inlineStr">
        <is>
          <t>YoY cg %</t>
        </is>
      </c>
      <c r="B48" s="1318" t="n"/>
      <c r="C48" s="1318" t="n"/>
      <c r="D48" s="1318" t="n"/>
      <c r="E48" s="1318" t="n"/>
      <c r="F48" s="1318" t="n"/>
      <c r="G48" s="1318" t="n"/>
      <c r="H48" s="1318" t="n"/>
      <c r="I48" s="1318" t="n"/>
      <c r="J48" s="1318" t="n"/>
      <c r="K48" s="1318" t="n"/>
      <c r="L48" s="1318" t="n"/>
      <c r="M48" s="1318" t="n"/>
      <c r="N48" s="1318">
        <f>N46/B46-1</f>
        <v/>
      </c>
      <c r="O48" s="1318">
        <f>O46/C46-1</f>
        <v/>
      </c>
      <c r="P48" s="1318">
        <f>P46/D46-1</f>
        <v/>
      </c>
      <c r="Q48" s="1318">
        <f>Q46/E46-1</f>
        <v/>
      </c>
      <c r="R48" s="1318">
        <f>R46/F46-1</f>
        <v/>
      </c>
      <c r="S48" s="1318">
        <f>S46/G46-1</f>
        <v/>
      </c>
      <c r="T48" s="1318">
        <f>T46/H46-1</f>
        <v/>
      </c>
      <c r="U48" s="1318">
        <f>U46/I46-1</f>
        <v/>
      </c>
      <c r="V48" s="1318">
        <f>V46/J46-1</f>
        <v/>
      </c>
      <c r="W48" s="1318">
        <f>W46/K46-1</f>
        <v/>
      </c>
      <c r="X48" s="1318">
        <f>X46/L46-1</f>
        <v/>
      </c>
      <c r="Y48" s="1318">
        <f>Y46/M46-1</f>
        <v/>
      </c>
      <c r="Z48" s="1318">
        <f>Z46/N46-1</f>
        <v/>
      </c>
      <c r="AA48" s="1318">
        <f>AA46/O46-1</f>
        <v/>
      </c>
      <c r="AB48" s="1318">
        <f>AB46/P46-1</f>
        <v/>
      </c>
      <c r="AC48" s="1318">
        <f>AC46/Q46-1</f>
        <v/>
      </c>
      <c r="AD48" s="1318">
        <f>AD46/R46-1</f>
        <v/>
      </c>
      <c r="AE48" s="1318">
        <f>AE46/S46-1</f>
        <v/>
      </c>
      <c r="AF48" s="1318">
        <f>AF46/T46-1</f>
        <v/>
      </c>
      <c r="AG48" s="1318">
        <f>AG46/U46-1</f>
        <v/>
      </c>
      <c r="AH48" s="1318">
        <f>AH46/V46-1</f>
        <v/>
      </c>
      <c r="AI48" s="1318">
        <f>AI46/W46-1</f>
        <v/>
      </c>
      <c r="AJ48" s="1318">
        <f>AJ46/X46-1</f>
        <v/>
      </c>
      <c r="AK48" s="1318">
        <f>AK46/Y46-1</f>
        <v/>
      </c>
      <c r="AL48" s="1318">
        <f>AL46/Z46-1</f>
        <v/>
      </c>
      <c r="AM48" s="1318">
        <f>AM46/AA46-1</f>
        <v/>
      </c>
      <c r="AN48" s="1318">
        <f>AN46/AB46-1</f>
        <v/>
      </c>
      <c r="AO48" s="1318">
        <f>AO46/AC46-1</f>
        <v/>
      </c>
      <c r="AP48" s="1318">
        <f>AP46/AD46-1</f>
        <v/>
      </c>
      <c r="AQ48" s="1318">
        <f>AQ46/AE46-1</f>
        <v/>
      </c>
      <c r="AR48" s="1318">
        <f>AR46/AF46-1</f>
        <v/>
      </c>
      <c r="AS48" s="1318">
        <f>AS46/AG46-1</f>
        <v/>
      </c>
      <c r="AT48" s="1318">
        <f>AT46/AH46-1</f>
        <v/>
      </c>
      <c r="AU48" s="1318">
        <f>AU46/AI46-1</f>
        <v/>
      </c>
      <c r="AV48" s="1318">
        <f>AV46/AJ46-1</f>
        <v/>
      </c>
      <c r="AW48" s="1318">
        <f>AW46/AK46-1</f>
        <v/>
      </c>
      <c r="AX48" s="1318">
        <f>AX46/AL46-1</f>
        <v/>
      </c>
      <c r="AY48" s="1318">
        <f>AY46/AM46-1</f>
        <v/>
      </c>
      <c r="AZ48" s="1318">
        <f>AZ46/AN46-1</f>
        <v/>
      </c>
      <c r="BA48" s="1318">
        <f>BA46/AO46-1</f>
        <v/>
      </c>
      <c r="BB48" s="1318">
        <f>BB46/AP46-1</f>
        <v/>
      </c>
      <c r="BC48" s="1318">
        <f>BC46/AQ46-1</f>
        <v/>
      </c>
      <c r="BD48" s="1318">
        <f>BD46/AR46-1</f>
        <v/>
      </c>
      <c r="BE48" s="1318">
        <f>BE46/AS46-1</f>
        <v/>
      </c>
      <c r="BF48" s="1318">
        <f>BF46/AT46-1</f>
        <v/>
      </c>
      <c r="BG48" s="1318">
        <f>BG46/AU46-1</f>
        <v/>
      </c>
      <c r="BH48" s="1318">
        <f>BH46/AV46-1</f>
        <v/>
      </c>
      <c r="BI48" s="1318">
        <f>BI46/AW46-1</f>
        <v/>
      </c>
      <c r="BJ48" s="1318">
        <f>BJ46/AX46-1</f>
        <v/>
      </c>
      <c r="BK48" s="1318">
        <f>BK46/AY46-1</f>
        <v/>
      </c>
      <c r="BL48" s="1318">
        <f>BL46/AZ46-1</f>
        <v/>
      </c>
      <c r="BM48" s="1318">
        <f>BM46/BA46-1</f>
        <v/>
      </c>
      <c r="BN48" s="1318">
        <f>BN46/BB46-1</f>
        <v/>
      </c>
      <c r="BO48" s="1318">
        <f>BO46/BC46-1</f>
        <v/>
      </c>
      <c r="BP48" s="1318">
        <f>BP46/BD46-1</f>
        <v/>
      </c>
      <c r="BQ48" s="1318">
        <f>BQ46/BE46-1</f>
        <v/>
      </c>
      <c r="BR48" s="1318">
        <f>BR46/BF46-1</f>
        <v/>
      </c>
      <c r="BS48" s="1318">
        <f>BS46/BG46-1</f>
        <v/>
      </c>
      <c r="BT48" s="1318">
        <f>BT46/BH46-1</f>
        <v/>
      </c>
      <c r="BU48" s="1318">
        <f>BU46/BI46-1</f>
        <v/>
      </c>
      <c r="BV48" s="1318">
        <f>BV46/BJ46-1</f>
        <v/>
      </c>
      <c r="BW48" s="1318">
        <f>BW46/BK46-1</f>
        <v/>
      </c>
      <c r="BX48" s="1318">
        <f>BX46/BL46-1</f>
        <v/>
      </c>
      <c r="BY48" s="1318">
        <f>BY46/BM46-1</f>
        <v/>
      </c>
      <c r="BZ48" s="1318">
        <f>BZ46/BN46-1</f>
        <v/>
      </c>
      <c r="CA48" s="1318">
        <f>CA46/BO46-1</f>
        <v/>
      </c>
      <c r="CB48" s="1318">
        <f>CB46/BP46-1</f>
        <v/>
      </c>
      <c r="CC48" s="1318">
        <f>CC46/BQ46-1</f>
        <v/>
      </c>
      <c r="CD48" s="1318">
        <f>CD46/BR46-1</f>
        <v/>
      </c>
      <c r="CE48" s="1318">
        <f>CE46/BS46-1</f>
        <v/>
      </c>
      <c r="CF48" s="1318">
        <f>CF46/BT46-1</f>
        <v/>
      </c>
      <c r="CG48" s="1318">
        <f>CG46/BU46-1</f>
        <v/>
      </c>
      <c r="CH48" s="1318">
        <f>CH46/BV46-1</f>
        <v/>
      </c>
      <c r="CI48" s="1318">
        <f>CI46/BW46-1</f>
        <v/>
      </c>
      <c r="CJ48" s="1318">
        <f>CJ46/BX46-1</f>
        <v/>
      </c>
      <c r="CK48" s="1318">
        <f>CK46/BY46-1</f>
        <v/>
      </c>
      <c r="CL48" s="1318">
        <f>CL46/BZ46-1</f>
        <v/>
      </c>
      <c r="CM48" s="1318">
        <f>CM46/CA46-1</f>
        <v/>
      </c>
      <c r="CN48" s="1318">
        <f>CN46/CB46-1</f>
        <v/>
      </c>
      <c r="CO48" s="1318">
        <f>CO46/CC46-1</f>
        <v/>
      </c>
      <c r="CP48" s="1318">
        <f>CP46/CD46-1</f>
        <v/>
      </c>
      <c r="CQ48" s="1318">
        <f>CQ46/CE46-1</f>
        <v/>
      </c>
      <c r="CR48" s="1318">
        <f>CR46/CF46-1</f>
        <v/>
      </c>
      <c r="CS48" s="1318">
        <f>CS46/CG46-1</f>
        <v/>
      </c>
      <c r="CT48" s="1318">
        <f>CT46/CH46-1</f>
        <v/>
      </c>
      <c r="CU48" s="1318">
        <f>CU46/CI46-1</f>
        <v/>
      </c>
      <c r="CV48" s="1318">
        <f>CV46/CJ46-1</f>
        <v/>
      </c>
      <c r="CW48" s="1318">
        <f>CW46/CK46-1</f>
        <v/>
      </c>
      <c r="CX48" s="1318">
        <f>CX46/CL46-1</f>
        <v/>
      </c>
      <c r="CY48" s="1318">
        <f>CY46/CM46-1</f>
        <v/>
      </c>
      <c r="CZ48" s="1318">
        <f>CZ46/CN46-1</f>
        <v/>
      </c>
      <c r="DA48" s="1318">
        <f>DA46/CO46-1</f>
        <v/>
      </c>
      <c r="DB48" s="1318">
        <f>DB46/CP46-1</f>
        <v/>
      </c>
      <c r="DC48" s="1318">
        <f>DC46/CQ46-1</f>
        <v/>
      </c>
      <c r="DD48" s="1318">
        <f>DD46/CR46-1</f>
        <v/>
      </c>
      <c r="DE48" s="1318">
        <f>DE46/CS46-1</f>
        <v/>
      </c>
      <c r="DF48" s="1318">
        <f>DF46/CT46-1</f>
        <v/>
      </c>
      <c r="DG48" s="1318">
        <f>DG46/CU46-1</f>
        <v/>
      </c>
      <c r="DH48" s="1318">
        <f>DH46/CV46-1</f>
        <v/>
      </c>
      <c r="DI48" s="1318">
        <f>DI46/CW46-1</f>
        <v/>
      </c>
      <c r="DJ48" s="1318">
        <f>DJ46/CX46-1</f>
        <v/>
      </c>
      <c r="DK48" s="1318">
        <f>DK46/CY46-1</f>
        <v/>
      </c>
      <c r="DL48" s="1318">
        <f>DL46/CZ46-1</f>
        <v/>
      </c>
      <c r="DM48" s="1318">
        <f>DM46/DA46-1</f>
        <v/>
      </c>
      <c r="DN48" s="1318">
        <f>DN46/DB46-1</f>
        <v/>
      </c>
      <c r="DO48" s="1318">
        <f>DO46/DC46-1</f>
        <v/>
      </c>
      <c r="DP48" s="1318">
        <f>DP46/DD46-1</f>
        <v/>
      </c>
      <c r="DQ48" s="1318">
        <f>DQ46/DE46-1</f>
        <v/>
      </c>
      <c r="DR48" s="1318">
        <f>DR46/DF46-1</f>
        <v/>
      </c>
      <c r="DS48" s="1318">
        <f>DS46/DG46-1</f>
        <v/>
      </c>
      <c r="DT48" s="1318">
        <f>DT46/DH46-1</f>
        <v/>
      </c>
      <c r="DU48" s="1318">
        <f>DU46/DI46-1</f>
        <v/>
      </c>
      <c r="DV48" s="1318">
        <f>DV46/DJ46-1</f>
        <v/>
      </c>
      <c r="DW48" s="1318">
        <f>DW46/DK46-1</f>
        <v/>
      </c>
      <c r="DX48" s="1318">
        <f>DX46/DL46-1</f>
        <v/>
      </c>
      <c r="DY48" s="1318">
        <f>DY46/DM46-1</f>
        <v/>
      </c>
      <c r="DZ48" s="1318">
        <f>DZ46/DN46-1</f>
        <v/>
      </c>
      <c r="EA48" s="1318">
        <f>EA46/DO46-1</f>
        <v/>
      </c>
      <c r="EB48" s="1318">
        <f>EB46/DP46-1</f>
        <v/>
      </c>
      <c r="EC48" s="1318">
        <f>EC46/DQ46-1</f>
        <v/>
      </c>
      <c r="ED48" s="1318">
        <f>ED46/DR46-1</f>
        <v/>
      </c>
      <c r="EE48" s="1318">
        <f>EE46/DS46-1</f>
        <v/>
      </c>
      <c r="EF48" s="1318">
        <f>EF46/DT46-1</f>
        <v/>
      </c>
      <c r="EG48" s="1318">
        <f>EG46/DU46-1</f>
        <v/>
      </c>
      <c r="EH48" s="1318">
        <f>EH46/DV46-1</f>
        <v/>
      </c>
      <c r="EI48" s="1318">
        <f>EI46/DW46-1</f>
        <v/>
      </c>
      <c r="EJ48" s="1318">
        <f>EJ46/DX46-1</f>
        <v/>
      </c>
      <c r="EK48" s="1318">
        <f>EK46/DY46-1</f>
        <v/>
      </c>
      <c r="EL48" s="1318">
        <f>EL46/DZ46-1</f>
        <v/>
      </c>
      <c r="EM48" s="1318">
        <f>EM46/EA46-1</f>
        <v/>
      </c>
      <c r="EN48" s="1318">
        <f>EN46/EB46-1</f>
        <v/>
      </c>
      <c r="EO48" s="1318">
        <f>EO46/EC46-1</f>
        <v/>
      </c>
      <c r="EP48" s="1318">
        <f>EP46/ED46-1</f>
        <v/>
      </c>
      <c r="EQ48" s="1318">
        <f>EQ46/EE46-1</f>
        <v/>
      </c>
      <c r="ER48" s="1318">
        <f>ER46/EF46-1</f>
        <v/>
      </c>
      <c r="ES48" s="1318">
        <f>ES46/EG46-1</f>
        <v/>
      </c>
      <c r="ET48" s="1318">
        <f>ET46/EH46-1</f>
        <v/>
      </c>
      <c r="EU48" s="1318">
        <f>EU46/EI46-1</f>
        <v/>
      </c>
      <c r="EV48" s="1318">
        <f>EV46/EJ46-1</f>
        <v/>
      </c>
      <c r="EW48" s="1318">
        <f>EW46/EK46-1</f>
        <v/>
      </c>
      <c r="EX48" s="1318">
        <f>EX46/EL46-1</f>
        <v/>
      </c>
      <c r="EY48" s="1318">
        <f>EY46/EM46-1</f>
        <v/>
      </c>
      <c r="EZ48" s="1318">
        <f>EZ46/EN46-1</f>
        <v/>
      </c>
      <c r="FA48" s="1318">
        <f>FA46/EO46-1</f>
        <v/>
      </c>
      <c r="FB48" s="1318">
        <f>FB46/EP46-1</f>
        <v/>
      </c>
      <c r="FC48" s="1318">
        <f>FC46/EQ46-1</f>
        <v/>
      </c>
      <c r="FD48" s="1318">
        <f>FD46/ER46-1</f>
        <v/>
      </c>
      <c r="FE48" s="1318">
        <f>FE46/ES46-1</f>
        <v/>
      </c>
      <c r="FF48" s="1318">
        <f>FF46/ET46-1</f>
        <v/>
      </c>
      <c r="FG48" s="1318">
        <f>FG46/EU46-1</f>
        <v/>
      </c>
      <c r="FH48" s="1318">
        <f>FH46/EV46-1</f>
        <v/>
      </c>
      <c r="FI48" s="1318">
        <f>FI46/EW46-1</f>
        <v/>
      </c>
      <c r="FJ48" s="1318">
        <f>FJ46/EX46-1</f>
        <v/>
      </c>
      <c r="FK48" s="1318">
        <f>FK46/EY46-1</f>
        <v/>
      </c>
      <c r="FL48" s="1318">
        <f>FL46/EZ46-1</f>
        <v/>
      </c>
      <c r="FM48" s="1318">
        <f>FM46/FA46-1</f>
        <v/>
      </c>
      <c r="FN48" s="1318">
        <f>FN46/FB46-1</f>
        <v/>
      </c>
      <c r="FO48" s="1318">
        <f>FO46/FC46-1</f>
        <v/>
      </c>
      <c r="FP48" s="1318">
        <f>FP46/FD46-1</f>
        <v/>
      </c>
      <c r="FQ48" s="1318">
        <f>FQ46/FE46-1</f>
        <v/>
      </c>
      <c r="FR48" s="1318">
        <f>FR46/FF46-1</f>
        <v/>
      </c>
      <c r="FS48" s="1318">
        <f>FS46/FG46-1</f>
        <v/>
      </c>
      <c r="FT48" s="1318">
        <f>FT46/FH46-1</f>
        <v/>
      </c>
      <c r="FU48" s="1318">
        <f>FU46/FI46-1</f>
        <v/>
      </c>
      <c r="FV48" s="1318">
        <f>FV46/FJ46-1</f>
        <v/>
      </c>
      <c r="FW48" s="1318">
        <f>FW46/FK46-1</f>
        <v/>
      </c>
      <c r="FX48" s="1318">
        <f>FX46/FL46-1</f>
        <v/>
      </c>
      <c r="FY48" s="1318">
        <f>FY46/FM46-1</f>
        <v/>
      </c>
      <c r="FZ48" s="1318">
        <f>FZ46/FN46-1</f>
        <v/>
      </c>
      <c r="GA48" s="1318">
        <f>GA46/FO46-1</f>
        <v/>
      </c>
      <c r="GB48" s="1318">
        <f>GB46/FP46-1</f>
        <v/>
      </c>
      <c r="GC48" s="1318">
        <f>GC46/FQ46-1</f>
        <v/>
      </c>
      <c r="GD48" s="1318">
        <f>GD46/FR46-1</f>
        <v/>
      </c>
      <c r="GE48" s="1318">
        <f>GE46/FS46-1</f>
        <v/>
      </c>
      <c r="GF48" s="1318">
        <f>GF46/FT46-1</f>
        <v/>
      </c>
      <c r="GG48" s="1318">
        <f>GG46/FU46-1</f>
        <v/>
      </c>
      <c r="GH48" s="1318">
        <f>GH46/FV46-1</f>
        <v/>
      </c>
      <c r="GI48" s="1318">
        <f>GI46/FW46-1</f>
        <v/>
      </c>
      <c r="GJ48" s="1318">
        <f>GJ46/FX46-1</f>
        <v/>
      </c>
      <c r="GK48" s="1318">
        <f>GK46/FY46-1</f>
        <v/>
      </c>
      <c r="GL48" s="1318">
        <f>GL46/FZ46-1</f>
        <v/>
      </c>
      <c r="GM48" s="1318">
        <f>GM46/GA46-1</f>
        <v/>
      </c>
      <c r="GN48" s="1318">
        <f>GN46/GB46-1</f>
        <v/>
      </c>
      <c r="GO48" s="1318">
        <f>GO46/GC46-1</f>
        <v/>
      </c>
      <c r="GP48" s="1318">
        <f>GP46/GD46-1</f>
        <v/>
      </c>
      <c r="GQ48" s="1318">
        <f>GQ46/GE46-1</f>
        <v/>
      </c>
      <c r="GR48" s="1318">
        <f>GR46/GF46-1</f>
        <v/>
      </c>
      <c r="GS48" s="1318">
        <f>GS46/GG46-1</f>
        <v/>
      </c>
      <c r="GT48" s="1318">
        <f>GT46/GH46-1</f>
        <v/>
      </c>
      <c r="GU48" s="1318">
        <f>GU46/GI46-1</f>
        <v/>
      </c>
      <c r="GV48" s="1318">
        <f>GV46/GJ46-1</f>
        <v/>
      </c>
      <c r="GW48" s="1318">
        <f>GW46/GK46-1</f>
        <v/>
      </c>
      <c r="GX48" s="1318">
        <f>GX46/GL46-1</f>
        <v/>
      </c>
      <c r="GY48" s="1318">
        <f>GY46/GM46-1</f>
        <v/>
      </c>
      <c r="GZ48" s="1318">
        <f>GZ46/GN46-1</f>
        <v/>
      </c>
      <c r="HA48" s="1318">
        <f>HA46/GO46-1</f>
        <v/>
      </c>
      <c r="HB48" s="1318">
        <f>HB46/GP46-1</f>
        <v/>
      </c>
      <c r="HC48" s="1318">
        <f>HC46/GQ46-1</f>
        <v/>
      </c>
      <c r="HD48" s="1318">
        <f>HD46/GR46-1</f>
        <v/>
      </c>
      <c r="HE48" s="1318">
        <f>HE46/GS46-1</f>
        <v/>
      </c>
      <c r="HF48" s="1318">
        <f>HF46/GT46-1</f>
        <v/>
      </c>
      <c r="HG48" s="1318">
        <f>HG46/GU46-1</f>
        <v/>
      </c>
      <c r="HH48" s="1318">
        <f>HH46/GV46-1</f>
        <v/>
      </c>
      <c r="HI48" s="1318">
        <f>HI46/GW46-1</f>
        <v/>
      </c>
      <c r="HJ48" s="1318">
        <f>HJ46/GX46-1</f>
        <v/>
      </c>
      <c r="HK48" s="1318">
        <f>HK46/GY46-1</f>
        <v/>
      </c>
      <c r="HL48" s="1318">
        <f>HL46/GZ46-1</f>
        <v/>
      </c>
      <c r="HM48" s="1318">
        <f>HM46/HA46-1</f>
        <v/>
      </c>
      <c r="HN48" s="1318">
        <f>HN46/HB46-1</f>
        <v/>
      </c>
      <c r="HO48" s="1318">
        <f>HO46/HC46-1</f>
        <v/>
      </c>
      <c r="HP48" s="1318">
        <f>HP46/HD46-1</f>
        <v/>
      </c>
      <c r="HQ48" s="1318">
        <f>HQ46/HE46-1</f>
        <v/>
      </c>
      <c r="HR48" s="1318">
        <f>HR46/HF46-1</f>
        <v/>
      </c>
      <c r="HS48" s="1318">
        <f>HS46/HG46-1</f>
        <v/>
      </c>
      <c r="HT48" s="1318">
        <f>HT46/HH46-1</f>
        <v/>
      </c>
      <c r="HU48" s="1318">
        <f>HU46/HI46-1</f>
        <v/>
      </c>
      <c r="HV48" s="1318">
        <f>HV46/HJ46-1</f>
        <v/>
      </c>
      <c r="HW48" s="1318">
        <f>HW46/HK46-1</f>
        <v/>
      </c>
      <c r="HX48" s="1318">
        <f>HX46/HL46-1</f>
        <v/>
      </c>
      <c r="HY48" s="1318">
        <f>HY46/HM46-1</f>
        <v/>
      </c>
      <c r="HZ48" s="1318">
        <f>HZ46/HN46-1</f>
        <v/>
      </c>
      <c r="IA48" s="1318">
        <f>IA46/HO46-1</f>
        <v/>
      </c>
      <c r="IB48" s="1318">
        <f>IB46/HP46-1</f>
        <v/>
      </c>
      <c r="IC48" s="1318">
        <f>IC46/HQ46-1</f>
        <v/>
      </c>
      <c r="ID48" s="1318">
        <f>ID46/HR46-1</f>
        <v/>
      </c>
      <c r="IE48" s="1318">
        <f>IE46/HS46-1</f>
        <v/>
      </c>
      <c r="IF48" s="1318">
        <f>IF46/HT46-1</f>
        <v/>
      </c>
      <c r="IG48" s="1318">
        <f>IG46/HU46-1</f>
        <v/>
      </c>
      <c r="IH48" s="1318">
        <f>IH46/HV46-1</f>
        <v/>
      </c>
      <c r="II48" s="1318">
        <f>II46/HW46-1</f>
        <v/>
      </c>
      <c r="IJ48" s="1318">
        <f>IJ46/HX46-1</f>
        <v/>
      </c>
      <c r="IK48" s="1318">
        <f>IK46/HY46-1</f>
        <v/>
      </c>
      <c r="IL48" s="1318">
        <f>IL46/HZ46-1</f>
        <v/>
      </c>
      <c r="IM48" s="1318">
        <f>IM46/IA46-1</f>
        <v/>
      </c>
      <c r="IN48" s="1318">
        <f>IN46/IB46-1</f>
        <v/>
      </c>
      <c r="IO48" s="1318">
        <f>IO46/IC46-1</f>
        <v/>
      </c>
      <c r="IP48" s="1318">
        <f>IP46/ID46-1</f>
        <v/>
      </c>
      <c r="IQ48" s="1318">
        <f>IQ46/IE46-1</f>
        <v/>
      </c>
      <c r="IR48" s="1318">
        <f>IR46/IF46-1</f>
        <v/>
      </c>
      <c r="IS48" s="1318">
        <f>IS46/IG46-1</f>
        <v/>
      </c>
      <c r="IT48" s="1318">
        <f>IT46/IH46-1</f>
        <v/>
      </c>
      <c r="IU48" s="1318">
        <f>IU46/II46-1</f>
        <v/>
      </c>
      <c r="IV48" s="1318">
        <f>IV46/IJ46-1</f>
        <v/>
      </c>
      <c r="IW48" s="1318">
        <f>IW46/IK46-1</f>
        <v/>
      </c>
      <c r="IX48" s="1318">
        <f>IX46/IL46-1</f>
        <v/>
      </c>
      <c r="IY48" s="1318">
        <f>IY46/IM46-1</f>
        <v/>
      </c>
      <c r="IZ48" s="1318">
        <f>IZ46/IN46-1</f>
        <v/>
      </c>
      <c r="JA48" s="1318">
        <f>JA46/IO46-1</f>
        <v/>
      </c>
      <c r="JB48" s="1318">
        <f>JB46/IP46-1</f>
        <v/>
      </c>
      <c r="JC48" s="1318">
        <f>JC46/IQ46-1</f>
        <v/>
      </c>
      <c r="JD48" s="1318">
        <f>JD46/IR46-1</f>
        <v/>
      </c>
      <c r="JE48" s="1318">
        <f>JE46/IS46-1</f>
        <v/>
      </c>
      <c r="JF48" s="1318">
        <f>JF46/IT46-1</f>
        <v/>
      </c>
      <c r="JG48" s="1318">
        <f>JG46/IU46-1</f>
        <v/>
      </c>
      <c r="JH48" s="1318">
        <f>JH46/IV46-1</f>
        <v/>
      </c>
      <c r="JI48" s="1318">
        <f>JI46/IW46-1</f>
        <v/>
      </c>
      <c r="JJ48" s="1318">
        <f>JJ46/IX46-1</f>
        <v/>
      </c>
      <c r="JK48" s="1318">
        <f>JK46/IY46-1</f>
        <v/>
      </c>
      <c r="JL48" s="1318">
        <f>JL46/IZ46-1</f>
        <v/>
      </c>
      <c r="JM48" s="1318">
        <f>JM46/JA46-1</f>
        <v/>
      </c>
      <c r="JN48" s="1318">
        <f>JN46/JB46-1</f>
        <v/>
      </c>
      <c r="JO48" s="1318">
        <f>JO46/JC46-1</f>
        <v/>
      </c>
      <c r="JP48" s="1318">
        <f>JP46/JD46-1</f>
        <v/>
      </c>
      <c r="JQ48" s="1318">
        <f>JQ46/JE46-1</f>
        <v/>
      </c>
      <c r="JR48" s="1318">
        <f>JR46/JF46-1</f>
        <v/>
      </c>
      <c r="JS48" s="1318">
        <f>JS46/JG46-1</f>
        <v/>
      </c>
      <c r="JT48" s="1318">
        <f>JT46/JH46-1</f>
        <v/>
      </c>
      <c r="JU48" s="1318">
        <f>JU46/JI46-1</f>
        <v/>
      </c>
      <c r="JV48" s="1318">
        <f>JV46/JJ46-1</f>
        <v/>
      </c>
      <c r="JW48" s="1318">
        <f>JW46/JK46-1</f>
        <v/>
      </c>
      <c r="JX48" s="1318">
        <f>JX46/JL46-1</f>
        <v/>
      </c>
      <c r="JY48" s="1318">
        <f>JY46/JM46-1</f>
        <v/>
      </c>
      <c r="JZ48" s="1318">
        <f>JZ46/JN46-1</f>
        <v/>
      </c>
      <c r="KA48" s="1318">
        <f>KA46/JO46-1</f>
        <v/>
      </c>
      <c r="KB48" s="1318">
        <f>KB46/JP46-1</f>
        <v/>
      </c>
      <c r="KC48" s="1318">
        <f>KC46/JQ46-1</f>
        <v/>
      </c>
      <c r="KD48" s="1318">
        <f>KD46/JR46-1</f>
        <v/>
      </c>
      <c r="KE48" s="1318">
        <f>KE46/JS46-1</f>
        <v/>
      </c>
      <c r="KF48" s="1318">
        <f>KF46/JT46-1</f>
        <v/>
      </c>
      <c r="KG48" s="1318">
        <f>KG46/JU46-1</f>
        <v/>
      </c>
      <c r="KH48" s="1318">
        <f>KH46/JV46-1</f>
        <v/>
      </c>
      <c r="KI48" s="1318">
        <f>KI46/JW46-1</f>
        <v/>
      </c>
      <c r="KJ48" s="1318">
        <f>KJ46/JX46-1</f>
        <v/>
      </c>
      <c r="KK48" s="1318">
        <f>KK46/JY46-1</f>
        <v/>
      </c>
      <c r="KL48" s="1318">
        <f>KL46/JZ46-1</f>
        <v/>
      </c>
      <c r="KM48" s="1318">
        <f>KM46/KA46-1</f>
        <v/>
      </c>
      <c r="KN48" s="1318">
        <f>KN46/KB46-1</f>
        <v/>
      </c>
      <c r="KO48" s="1318">
        <f>KO46/KC46-1</f>
        <v/>
      </c>
      <c r="KP48" s="1318">
        <f>KP46/KD46-1</f>
        <v/>
      </c>
      <c r="KQ48" s="1318">
        <f>KQ46/KE46-1</f>
        <v/>
      </c>
      <c r="KR48" s="1318">
        <f>KR46/KF46-1</f>
        <v/>
      </c>
      <c r="KS48" s="1318">
        <f>KS46/KG46-1</f>
        <v/>
      </c>
      <c r="KT48" s="1318">
        <f>KT46/KH46-1</f>
        <v/>
      </c>
      <c r="KU48" s="1318">
        <f>KU46/KI46-1</f>
        <v/>
      </c>
      <c r="KV48" s="1318">
        <f>KV46/KJ46-1</f>
        <v/>
      </c>
      <c r="KW48" s="1318">
        <f>KW46/KK46-1</f>
        <v/>
      </c>
      <c r="KX48" s="1318">
        <f>KX46/KL46-1</f>
        <v/>
      </c>
      <c r="KY48" s="1318">
        <f>KY46/KM46-1</f>
        <v/>
      </c>
      <c r="KZ48" s="1318">
        <f>KZ46/KN46-1</f>
        <v/>
      </c>
      <c r="LA48" s="1318">
        <f>LA46/KO46-1</f>
        <v/>
      </c>
      <c r="LB48" s="1318">
        <f>LB46/KP46-1</f>
        <v/>
      </c>
      <c r="LC48" s="1318">
        <f>LC46/KQ46-1</f>
        <v/>
      </c>
      <c r="LD48" s="1318">
        <f>LD46/KR46-1</f>
        <v/>
      </c>
      <c r="LE48" s="1318">
        <f>LE46/KS46-1</f>
        <v/>
      </c>
      <c r="LF48" s="1318">
        <f>LF46/KT46-1</f>
        <v/>
      </c>
      <c r="LG48" s="1318">
        <f>LG46/KU46-1</f>
        <v/>
      </c>
      <c r="LH48" s="1318">
        <f>LH46/KV46-1</f>
        <v/>
      </c>
      <c r="LI48" s="1318">
        <f>LI46/KW46-1</f>
        <v/>
      </c>
      <c r="LJ48" s="1318">
        <f>LJ46/KX46-1</f>
        <v/>
      </c>
      <c r="LK48" s="1318">
        <f>LK46/KY46-1</f>
        <v/>
      </c>
      <c r="LL48" s="1318">
        <f>LL46/KZ46-1</f>
        <v/>
      </c>
      <c r="LM48" s="1318">
        <f>LM46/LA46-1</f>
        <v/>
      </c>
      <c r="LN48" s="1318">
        <f>LN46/LB46-1</f>
        <v/>
      </c>
      <c r="LO48" s="1318">
        <f>LO46/LC46-1</f>
        <v/>
      </c>
      <c r="LP48" s="1318">
        <f>LP46/LD46-1</f>
        <v/>
      </c>
      <c r="LQ48" s="1318">
        <f>LQ46/LE46-1</f>
        <v/>
      </c>
      <c r="LR48" s="1318">
        <f>LR46/LF46-1</f>
        <v/>
      </c>
      <c r="LS48" s="1318">
        <f>LS46/LG46-1</f>
        <v/>
      </c>
    </row>
    <row r="49">
      <c r="A49" s="885" t="inlineStr">
        <is>
          <t>YTD cg %</t>
        </is>
      </c>
      <c r="B49" s="1318" t="n"/>
      <c r="C49" s="1318" t="n"/>
      <c r="D49" s="1318" t="n"/>
      <c r="E49" s="1318" t="n"/>
      <c r="F49" s="1318" t="n"/>
      <c r="G49" s="1318" t="n"/>
      <c r="H49" s="1318" t="n"/>
      <c r="I49" s="1318" t="n"/>
      <c r="J49" s="1318" t="n"/>
      <c r="K49" s="1318" t="n"/>
      <c r="L49" s="1318" t="n"/>
      <c r="M49" s="1318" t="n"/>
      <c r="N49" s="1318">
        <f>SUMIFS(46:46,$8:$8,"&gt;="&amp;DATE(YEAR(N$8),1,1),$8:$8,"&lt;="&amp;EOMONTH(N$8,0))/SUMIFS(46:46,$8:$8,"&gt;="&amp;DATE(YEAR(N$8)-1,1,1),$8:$8,"&lt;="&amp;EOMONTH(N$8,-12))-1</f>
        <v/>
      </c>
      <c r="O49" s="1318">
        <f>SUMIFS(46:46,$8:$8,"&gt;="&amp;DATE(YEAR(O$8),1,1),$8:$8,"&lt;="&amp;EOMONTH(O$8,0))/SUMIFS(46:46,$8:$8,"&gt;="&amp;DATE(YEAR(O$8)-1,1,1),$8:$8,"&lt;="&amp;EOMONTH(O$8,-12))-1</f>
        <v/>
      </c>
      <c r="P49" s="1318">
        <f>SUMIFS(46:46,$8:$8,"&gt;="&amp;DATE(YEAR(P$8),1,1),$8:$8,"&lt;="&amp;EOMONTH(P$8,0))/SUMIFS(46:46,$8:$8,"&gt;="&amp;DATE(YEAR(P$8)-1,1,1),$8:$8,"&lt;="&amp;EOMONTH(P$8,-12))-1</f>
        <v/>
      </c>
      <c r="Q49" s="1318">
        <f>SUMIFS(46:46,$8:$8,"&gt;="&amp;DATE(YEAR(Q$8),1,1),$8:$8,"&lt;="&amp;EOMONTH(Q$8,0))/SUMIFS(46:46,$8:$8,"&gt;="&amp;DATE(YEAR(Q$8)-1,1,1),$8:$8,"&lt;="&amp;EOMONTH(Q$8,-12))-1</f>
        <v/>
      </c>
      <c r="R49" s="1318">
        <f>SUMIFS(46:46,$8:$8,"&gt;="&amp;DATE(YEAR(R$8),1,1),$8:$8,"&lt;="&amp;EOMONTH(R$8,0))/SUMIFS(46:46,$8:$8,"&gt;="&amp;DATE(YEAR(R$8)-1,1,1),$8:$8,"&lt;="&amp;EOMONTH(R$8,-12))-1</f>
        <v/>
      </c>
      <c r="S49" s="1318">
        <f>SUMIFS(46:46,$8:$8,"&gt;="&amp;DATE(YEAR(S$8),1,1),$8:$8,"&lt;="&amp;EOMONTH(S$8,0))/SUMIFS(46:46,$8:$8,"&gt;="&amp;DATE(YEAR(S$8)-1,1,1),$8:$8,"&lt;="&amp;EOMONTH(S$8,-12))-1</f>
        <v/>
      </c>
      <c r="T49" s="1318">
        <f>SUMIFS(46:46,$8:$8,"&gt;="&amp;DATE(YEAR(T$8),1,1),$8:$8,"&lt;="&amp;EOMONTH(T$8,0))/SUMIFS(46:46,$8:$8,"&gt;="&amp;DATE(YEAR(T$8)-1,1,1),$8:$8,"&lt;="&amp;EOMONTH(T$8,-12))-1</f>
        <v/>
      </c>
      <c r="U49" s="1318">
        <f>SUMIFS(46:46,$8:$8,"&gt;="&amp;DATE(YEAR(U$8),1,1),$8:$8,"&lt;="&amp;EOMONTH(U$8,0))/SUMIFS(46:46,$8:$8,"&gt;="&amp;DATE(YEAR(U$8)-1,1,1),$8:$8,"&lt;="&amp;EOMONTH(U$8,-12))-1</f>
        <v/>
      </c>
      <c r="V49" s="1318">
        <f>SUMIFS(46:46,$8:$8,"&gt;="&amp;DATE(YEAR(V$8),1,1),$8:$8,"&lt;="&amp;EOMONTH(V$8,0))/SUMIFS(46:46,$8:$8,"&gt;="&amp;DATE(YEAR(V$8)-1,1,1),$8:$8,"&lt;="&amp;EOMONTH(V$8,-12))-1</f>
        <v/>
      </c>
      <c r="W49" s="1318">
        <f>SUMIFS(46:46,$8:$8,"&gt;="&amp;DATE(YEAR(W$8),1,1),$8:$8,"&lt;="&amp;EOMONTH(W$8,0))/SUMIFS(46:46,$8:$8,"&gt;="&amp;DATE(YEAR(W$8)-1,1,1),$8:$8,"&lt;="&amp;EOMONTH(W$8,-12))-1</f>
        <v/>
      </c>
      <c r="X49" s="1318">
        <f>SUMIFS(46:46,$8:$8,"&gt;="&amp;DATE(YEAR(X$8),1,1),$8:$8,"&lt;="&amp;EOMONTH(X$8,0))/SUMIFS(46:46,$8:$8,"&gt;="&amp;DATE(YEAR(X$8)-1,1,1),$8:$8,"&lt;="&amp;EOMONTH(X$8,-12))-1</f>
        <v/>
      </c>
      <c r="Y49" s="1318">
        <f>SUMIFS(46:46,$8:$8,"&gt;="&amp;DATE(YEAR(Y$8),1,1),$8:$8,"&lt;="&amp;EOMONTH(Y$8,0))/SUMIFS(46:46,$8:$8,"&gt;="&amp;DATE(YEAR(Y$8)-1,1,1),$8:$8,"&lt;="&amp;EOMONTH(Y$8,-12))-1</f>
        <v/>
      </c>
      <c r="Z49" s="1318">
        <f>SUMIFS(46:46,$8:$8,"&gt;="&amp;DATE(YEAR(Z$8),1,1),$8:$8,"&lt;="&amp;EOMONTH(Z$8,0))/SUMIFS(46:46,$8:$8,"&gt;="&amp;DATE(YEAR(Z$8)-1,1,1),$8:$8,"&lt;="&amp;EOMONTH(Z$8,-12))-1</f>
        <v/>
      </c>
      <c r="AA49" s="1318">
        <f>SUMIFS(46:46,$8:$8,"&gt;="&amp;DATE(YEAR(AA$8),1,1),$8:$8,"&lt;="&amp;EOMONTH(AA$8,0))/SUMIFS(46:46,$8:$8,"&gt;="&amp;DATE(YEAR(AA$8)-1,1,1),$8:$8,"&lt;="&amp;EOMONTH(AA$8,-12))-1</f>
        <v/>
      </c>
      <c r="AB49" s="1318">
        <f>SUMIFS(46:46,$8:$8,"&gt;="&amp;DATE(YEAR(AB$8),1,1),$8:$8,"&lt;="&amp;EOMONTH(AB$8,0))/SUMIFS(46:46,$8:$8,"&gt;="&amp;DATE(YEAR(AB$8)-1,1,1),$8:$8,"&lt;="&amp;EOMONTH(AB$8,-12))-1</f>
        <v/>
      </c>
      <c r="AC49" s="1318">
        <f>SUMIFS(46:46,$8:$8,"&gt;="&amp;DATE(YEAR(AC$8),1,1),$8:$8,"&lt;="&amp;EOMONTH(AC$8,0))/SUMIFS(46:46,$8:$8,"&gt;="&amp;DATE(YEAR(AC$8)-1,1,1),$8:$8,"&lt;="&amp;EOMONTH(AC$8,-12))-1</f>
        <v/>
      </c>
      <c r="AD49" s="1318">
        <f>SUMIFS(46:46,$8:$8,"&gt;="&amp;DATE(YEAR(AD$8),1,1),$8:$8,"&lt;="&amp;EOMONTH(AD$8,0))/SUMIFS(46:46,$8:$8,"&gt;="&amp;DATE(YEAR(AD$8)-1,1,1),$8:$8,"&lt;="&amp;EOMONTH(AD$8,-12))-1</f>
        <v/>
      </c>
      <c r="AE49" s="1318">
        <f>SUMIFS(46:46,$8:$8,"&gt;="&amp;DATE(YEAR(AE$8),1,1),$8:$8,"&lt;="&amp;EOMONTH(AE$8,0))/SUMIFS(46:46,$8:$8,"&gt;="&amp;DATE(YEAR(AE$8)-1,1,1),$8:$8,"&lt;="&amp;EOMONTH(AE$8,-12))-1</f>
        <v/>
      </c>
      <c r="AF49" s="1318">
        <f>SUMIFS(46:46,$8:$8,"&gt;="&amp;DATE(YEAR(AF$8),1,1),$8:$8,"&lt;="&amp;EOMONTH(AF$8,0))/SUMIFS(46:46,$8:$8,"&gt;="&amp;DATE(YEAR(AF$8)-1,1,1),$8:$8,"&lt;="&amp;EOMONTH(AF$8,-12))-1</f>
        <v/>
      </c>
      <c r="AG49" s="1318">
        <f>SUMIFS(46:46,$8:$8,"&gt;="&amp;DATE(YEAR(AG$8),1,1),$8:$8,"&lt;="&amp;EOMONTH(AG$8,0))/SUMIFS(46:46,$8:$8,"&gt;="&amp;DATE(YEAR(AG$8)-1,1,1),$8:$8,"&lt;="&amp;EOMONTH(AG$8,-12))-1</f>
        <v/>
      </c>
      <c r="AH49" s="1318">
        <f>SUMIFS(46:46,$8:$8,"&gt;="&amp;DATE(YEAR(AH$8),1,1),$8:$8,"&lt;="&amp;EOMONTH(AH$8,0))/SUMIFS(46:46,$8:$8,"&gt;="&amp;DATE(YEAR(AH$8)-1,1,1),$8:$8,"&lt;="&amp;EOMONTH(AH$8,-12))-1</f>
        <v/>
      </c>
      <c r="AI49" s="1318">
        <f>SUMIFS(46:46,$8:$8,"&gt;="&amp;DATE(YEAR(AI$8),1,1),$8:$8,"&lt;="&amp;EOMONTH(AI$8,0))/SUMIFS(46:46,$8:$8,"&gt;="&amp;DATE(YEAR(AI$8)-1,1,1),$8:$8,"&lt;="&amp;EOMONTH(AI$8,-12))-1</f>
        <v/>
      </c>
      <c r="AJ49" s="1318">
        <f>SUMIFS(46:46,$8:$8,"&gt;="&amp;DATE(YEAR(AJ$8),1,1),$8:$8,"&lt;="&amp;EOMONTH(AJ$8,0))/SUMIFS(46:46,$8:$8,"&gt;="&amp;DATE(YEAR(AJ$8)-1,1,1),$8:$8,"&lt;="&amp;EOMONTH(AJ$8,-12))-1</f>
        <v/>
      </c>
      <c r="AK49" s="1318">
        <f>SUMIFS(46:46,$8:$8,"&gt;="&amp;DATE(YEAR(AK$8),1,1),$8:$8,"&lt;="&amp;EOMONTH(AK$8,0))/SUMIFS(46:46,$8:$8,"&gt;="&amp;DATE(YEAR(AK$8)-1,1,1),$8:$8,"&lt;="&amp;EOMONTH(AK$8,-12))-1</f>
        <v/>
      </c>
      <c r="AL49" s="1318">
        <f>SUMIFS(46:46,$8:$8,"&gt;="&amp;DATE(YEAR(AL$8),1,1),$8:$8,"&lt;="&amp;EOMONTH(AL$8,0))/SUMIFS(46:46,$8:$8,"&gt;="&amp;DATE(YEAR(AL$8)-1,1,1),$8:$8,"&lt;="&amp;EOMONTH(AL$8,-12))-1</f>
        <v/>
      </c>
      <c r="AM49" s="1318">
        <f>SUMIFS(46:46,$8:$8,"&gt;="&amp;DATE(YEAR(AM$8),1,1),$8:$8,"&lt;="&amp;EOMONTH(AM$8,0))/SUMIFS(46:46,$8:$8,"&gt;="&amp;DATE(YEAR(AM$8)-1,1,1),$8:$8,"&lt;="&amp;EOMONTH(AM$8,-12))-1</f>
        <v/>
      </c>
      <c r="AN49" s="1318">
        <f>SUMIFS(46:46,$8:$8,"&gt;="&amp;DATE(YEAR(AN$8),1,1),$8:$8,"&lt;="&amp;EOMONTH(AN$8,0))/SUMIFS(46:46,$8:$8,"&gt;="&amp;DATE(YEAR(AN$8)-1,1,1),$8:$8,"&lt;="&amp;EOMONTH(AN$8,-12))-1</f>
        <v/>
      </c>
      <c r="AO49" s="1318">
        <f>SUMIFS(46:46,$8:$8,"&gt;="&amp;DATE(YEAR(AO$8),1,1),$8:$8,"&lt;="&amp;EOMONTH(AO$8,0))/SUMIFS(46:46,$8:$8,"&gt;="&amp;DATE(YEAR(AO$8)-1,1,1),$8:$8,"&lt;="&amp;EOMONTH(AO$8,-12))-1</f>
        <v/>
      </c>
      <c r="AP49" s="1318">
        <f>SUMIFS(46:46,$8:$8,"&gt;="&amp;DATE(YEAR(AP$8),1,1),$8:$8,"&lt;="&amp;EOMONTH(AP$8,0))/SUMIFS(46:46,$8:$8,"&gt;="&amp;DATE(YEAR(AP$8)-1,1,1),$8:$8,"&lt;="&amp;EOMONTH(AP$8,-12))-1</f>
        <v/>
      </c>
      <c r="AQ49" s="1318">
        <f>SUMIFS(46:46,$8:$8,"&gt;="&amp;DATE(YEAR(AQ$8),1,1),$8:$8,"&lt;="&amp;EOMONTH(AQ$8,0))/SUMIFS(46:46,$8:$8,"&gt;="&amp;DATE(YEAR(AQ$8)-1,1,1),$8:$8,"&lt;="&amp;EOMONTH(AQ$8,-12))-1</f>
        <v/>
      </c>
      <c r="AR49" s="1318">
        <f>SUMIFS(46:46,$8:$8,"&gt;="&amp;DATE(YEAR(AR$8),1,1),$8:$8,"&lt;="&amp;EOMONTH(AR$8,0))/SUMIFS(46:46,$8:$8,"&gt;="&amp;DATE(YEAR(AR$8)-1,1,1),$8:$8,"&lt;="&amp;EOMONTH(AR$8,-12))-1</f>
        <v/>
      </c>
      <c r="AS49" s="1318">
        <f>SUMIFS(46:46,$8:$8,"&gt;="&amp;DATE(YEAR(AS$8),1,1),$8:$8,"&lt;="&amp;EOMONTH(AS$8,0))/SUMIFS(46:46,$8:$8,"&gt;="&amp;DATE(YEAR(AS$8)-1,1,1),$8:$8,"&lt;="&amp;EOMONTH(AS$8,-12))-1</f>
        <v/>
      </c>
      <c r="AT49" s="1318">
        <f>SUMIFS(46:46,$8:$8,"&gt;="&amp;DATE(YEAR(AT$8),1,1),$8:$8,"&lt;="&amp;EOMONTH(AT$8,0))/SUMIFS(46:46,$8:$8,"&gt;="&amp;DATE(YEAR(AT$8)-1,1,1),$8:$8,"&lt;="&amp;EOMONTH(AT$8,-12))-1</f>
        <v/>
      </c>
      <c r="AU49" s="1318">
        <f>SUMIFS(46:46,$8:$8,"&gt;="&amp;DATE(YEAR(AU$8),1,1),$8:$8,"&lt;="&amp;EOMONTH(AU$8,0))/SUMIFS(46:46,$8:$8,"&gt;="&amp;DATE(YEAR(AU$8)-1,1,1),$8:$8,"&lt;="&amp;EOMONTH(AU$8,-12))-1</f>
        <v/>
      </c>
      <c r="AV49" s="1318">
        <f>SUMIFS(46:46,$8:$8,"&gt;="&amp;DATE(YEAR(AV$8),1,1),$8:$8,"&lt;="&amp;EOMONTH(AV$8,0))/SUMIFS(46:46,$8:$8,"&gt;="&amp;DATE(YEAR(AV$8)-1,1,1),$8:$8,"&lt;="&amp;EOMONTH(AV$8,-12))-1</f>
        <v/>
      </c>
      <c r="AW49" s="1318">
        <f>SUMIFS(46:46,$8:$8,"&gt;="&amp;DATE(YEAR(AW$8),1,1),$8:$8,"&lt;="&amp;EOMONTH(AW$8,0))/SUMIFS(46:46,$8:$8,"&gt;="&amp;DATE(YEAR(AW$8)-1,1,1),$8:$8,"&lt;="&amp;EOMONTH(AW$8,-12))-1</f>
        <v/>
      </c>
      <c r="AX49" s="1318">
        <f>SUMIFS(46:46,$8:$8,"&gt;="&amp;DATE(YEAR(AX$8),1,1),$8:$8,"&lt;="&amp;EOMONTH(AX$8,0))/SUMIFS(46:46,$8:$8,"&gt;="&amp;DATE(YEAR(AX$8)-1,1,1),$8:$8,"&lt;="&amp;EOMONTH(AX$8,-12))-1</f>
        <v/>
      </c>
      <c r="AY49" s="1318">
        <f>SUMIFS(46:46,$8:$8,"&gt;="&amp;DATE(YEAR(AY$8),1,1),$8:$8,"&lt;="&amp;EOMONTH(AY$8,0))/SUMIFS(46:46,$8:$8,"&gt;="&amp;DATE(YEAR(AY$8)-1,1,1),$8:$8,"&lt;="&amp;EOMONTH(AY$8,-12))-1</f>
        <v/>
      </c>
      <c r="AZ49" s="1318">
        <f>SUMIFS(46:46,$8:$8,"&gt;="&amp;DATE(YEAR(AZ$8),1,1),$8:$8,"&lt;="&amp;EOMONTH(AZ$8,0))/SUMIFS(46:46,$8:$8,"&gt;="&amp;DATE(YEAR(AZ$8)-1,1,1),$8:$8,"&lt;="&amp;EOMONTH(AZ$8,-12))-1</f>
        <v/>
      </c>
      <c r="BA49" s="1318">
        <f>SUMIFS(46:46,$8:$8,"&gt;="&amp;DATE(YEAR(BA$8),1,1),$8:$8,"&lt;="&amp;EOMONTH(BA$8,0))/SUMIFS(46:46,$8:$8,"&gt;="&amp;DATE(YEAR(BA$8)-1,1,1),$8:$8,"&lt;="&amp;EOMONTH(BA$8,-12))-1</f>
        <v/>
      </c>
      <c r="BB49" s="1318">
        <f>SUMIFS(46:46,$8:$8,"&gt;="&amp;DATE(YEAR(BB$8),1,1),$8:$8,"&lt;="&amp;EOMONTH(BB$8,0))/SUMIFS(46:46,$8:$8,"&gt;="&amp;DATE(YEAR(BB$8)-1,1,1),$8:$8,"&lt;="&amp;EOMONTH(BB$8,-12))-1</f>
        <v/>
      </c>
      <c r="BC49" s="1318">
        <f>SUMIFS(46:46,$8:$8,"&gt;="&amp;DATE(YEAR(BC$8),1,1),$8:$8,"&lt;="&amp;EOMONTH(BC$8,0))/SUMIFS(46:46,$8:$8,"&gt;="&amp;DATE(YEAR(BC$8)-1,1,1),$8:$8,"&lt;="&amp;EOMONTH(BC$8,-12))-1</f>
        <v/>
      </c>
      <c r="BD49" s="1318">
        <f>SUMIFS(46:46,$8:$8,"&gt;="&amp;DATE(YEAR(BD$8),1,1),$8:$8,"&lt;="&amp;EOMONTH(BD$8,0))/SUMIFS(46:46,$8:$8,"&gt;="&amp;DATE(YEAR(BD$8)-1,1,1),$8:$8,"&lt;="&amp;EOMONTH(BD$8,-12))-1</f>
        <v/>
      </c>
      <c r="BE49" s="1318">
        <f>SUMIFS(46:46,$8:$8,"&gt;="&amp;DATE(YEAR(BE$8),1,1),$8:$8,"&lt;="&amp;EOMONTH(BE$8,0))/SUMIFS(46:46,$8:$8,"&gt;="&amp;DATE(YEAR(BE$8)-1,1,1),$8:$8,"&lt;="&amp;EOMONTH(BE$8,-12))-1</f>
        <v/>
      </c>
      <c r="BF49" s="1318">
        <f>SUMIFS(46:46,$8:$8,"&gt;="&amp;DATE(YEAR(BF$8),1,1),$8:$8,"&lt;="&amp;EOMONTH(BF$8,0))/SUMIFS(46:46,$8:$8,"&gt;="&amp;DATE(YEAR(BF$8)-1,1,1),$8:$8,"&lt;="&amp;EOMONTH(BF$8,-12))-1</f>
        <v/>
      </c>
      <c r="BG49" s="1318">
        <f>SUMIFS(46:46,$8:$8,"&gt;="&amp;DATE(YEAR(BG$8),1,1),$8:$8,"&lt;="&amp;EOMONTH(BG$8,0))/SUMIFS(46:46,$8:$8,"&gt;="&amp;DATE(YEAR(BG$8)-1,1,1),$8:$8,"&lt;="&amp;EOMONTH(BG$8,-12))-1</f>
        <v/>
      </c>
      <c r="BH49" s="1318">
        <f>SUMIFS(46:46,$8:$8,"&gt;="&amp;DATE(YEAR(BH$8),1,1),$8:$8,"&lt;="&amp;EOMONTH(BH$8,0))/SUMIFS(46:46,$8:$8,"&gt;="&amp;DATE(YEAR(BH$8)-1,1,1),$8:$8,"&lt;="&amp;EOMONTH(BH$8,-12))-1</f>
        <v/>
      </c>
      <c r="BI49" s="1318">
        <f>SUMIFS(46:46,$8:$8,"&gt;="&amp;DATE(YEAR(BI$8),1,1),$8:$8,"&lt;="&amp;EOMONTH(BI$8,0))/SUMIFS(46:46,$8:$8,"&gt;="&amp;DATE(YEAR(BI$8)-1,1,1),$8:$8,"&lt;="&amp;EOMONTH(BI$8,-12))-1</f>
        <v/>
      </c>
      <c r="BJ49" s="1318">
        <f>SUMIFS(46:46,$8:$8,"&gt;="&amp;DATE(YEAR(BJ$8),1,1),$8:$8,"&lt;="&amp;EOMONTH(BJ$8,0))/SUMIFS(46:46,$8:$8,"&gt;="&amp;DATE(YEAR(BJ$8)-1,1,1),$8:$8,"&lt;="&amp;EOMONTH(BJ$8,-12))-1</f>
        <v/>
      </c>
      <c r="BK49" s="1318">
        <f>SUMIFS(46:46,$8:$8,"&gt;="&amp;DATE(YEAR(BK$8),1,1),$8:$8,"&lt;="&amp;EOMONTH(BK$8,0))/SUMIFS(46:46,$8:$8,"&gt;="&amp;DATE(YEAR(BK$8)-1,1,1),$8:$8,"&lt;="&amp;EOMONTH(BK$8,-12))-1</f>
        <v/>
      </c>
      <c r="BL49" s="1318">
        <f>SUMIFS(46:46,$8:$8,"&gt;="&amp;DATE(YEAR(BL$8),1,1),$8:$8,"&lt;="&amp;EOMONTH(BL$8,0))/SUMIFS(46:46,$8:$8,"&gt;="&amp;DATE(YEAR(BL$8)-1,1,1),$8:$8,"&lt;="&amp;EOMONTH(BL$8,-12))-1</f>
        <v/>
      </c>
      <c r="BM49" s="1318">
        <f>SUMIFS(46:46,$8:$8,"&gt;="&amp;DATE(YEAR(BM$8),1,1),$8:$8,"&lt;="&amp;EOMONTH(BM$8,0))/SUMIFS(46:46,$8:$8,"&gt;="&amp;DATE(YEAR(BM$8)-1,1,1),$8:$8,"&lt;="&amp;EOMONTH(BM$8,-12))-1</f>
        <v/>
      </c>
      <c r="BN49" s="1318">
        <f>SUMIFS(46:46,$8:$8,"&gt;="&amp;DATE(YEAR(BN$8),1,1),$8:$8,"&lt;="&amp;EOMONTH(BN$8,0))/SUMIFS(46:46,$8:$8,"&gt;="&amp;DATE(YEAR(BN$8)-1,1,1),$8:$8,"&lt;="&amp;EOMONTH(BN$8,-12))-1</f>
        <v/>
      </c>
      <c r="BO49" s="1318">
        <f>SUMIFS(46:46,$8:$8,"&gt;="&amp;DATE(YEAR(BO$8),1,1),$8:$8,"&lt;="&amp;EOMONTH(BO$8,0))/SUMIFS(46:46,$8:$8,"&gt;="&amp;DATE(YEAR(BO$8)-1,1,1),$8:$8,"&lt;="&amp;EOMONTH(BO$8,-12))-1</f>
        <v/>
      </c>
      <c r="BP49" s="1318">
        <f>SUMIFS(46:46,$8:$8,"&gt;="&amp;DATE(YEAR(BP$8),1,1),$8:$8,"&lt;="&amp;EOMONTH(BP$8,0))/SUMIFS(46:46,$8:$8,"&gt;="&amp;DATE(YEAR(BP$8)-1,1,1),$8:$8,"&lt;="&amp;EOMONTH(BP$8,-12))-1</f>
        <v/>
      </c>
      <c r="BQ49" s="1318">
        <f>SUMIFS(46:46,$8:$8,"&gt;="&amp;DATE(YEAR(BQ$8),1,1),$8:$8,"&lt;="&amp;EOMONTH(BQ$8,0))/SUMIFS(46:46,$8:$8,"&gt;="&amp;DATE(YEAR(BQ$8)-1,1,1),$8:$8,"&lt;="&amp;EOMONTH(BQ$8,-12))-1</f>
        <v/>
      </c>
      <c r="BR49" s="1318">
        <f>SUMIFS(46:46,$8:$8,"&gt;="&amp;DATE(YEAR(BR$8),1,1),$8:$8,"&lt;="&amp;EOMONTH(BR$8,0))/SUMIFS(46:46,$8:$8,"&gt;="&amp;DATE(YEAR(BR$8)-1,1,1),$8:$8,"&lt;="&amp;EOMONTH(BR$8,-12))-1</f>
        <v/>
      </c>
      <c r="BS49" s="1318">
        <f>SUMIFS(46:46,$8:$8,"&gt;="&amp;DATE(YEAR(BS$8),1,1),$8:$8,"&lt;="&amp;EOMONTH(BS$8,0))/SUMIFS(46:46,$8:$8,"&gt;="&amp;DATE(YEAR(BS$8)-1,1,1),$8:$8,"&lt;="&amp;EOMONTH(BS$8,-12))-1</f>
        <v/>
      </c>
      <c r="BT49" s="1318">
        <f>SUMIFS(46:46,$8:$8,"&gt;="&amp;DATE(YEAR(BT$8),1,1),$8:$8,"&lt;="&amp;EOMONTH(BT$8,0))/SUMIFS(46:46,$8:$8,"&gt;="&amp;DATE(YEAR(BT$8)-1,1,1),$8:$8,"&lt;="&amp;EOMONTH(BT$8,-12))-1</f>
        <v/>
      </c>
      <c r="BU49" s="1318">
        <f>SUMIFS(46:46,$8:$8,"&gt;="&amp;DATE(YEAR(BU$8),1,1),$8:$8,"&lt;="&amp;EOMONTH(BU$8,0))/SUMIFS(46:46,$8:$8,"&gt;="&amp;DATE(YEAR(BU$8)-1,1,1),$8:$8,"&lt;="&amp;EOMONTH(BU$8,-12))-1</f>
        <v/>
      </c>
      <c r="BV49" s="1318">
        <f>SUMIFS(46:46,$8:$8,"&gt;="&amp;DATE(YEAR(BV$8),1,1),$8:$8,"&lt;="&amp;EOMONTH(BV$8,0))/SUMIFS(46:46,$8:$8,"&gt;="&amp;DATE(YEAR(BV$8)-1,1,1),$8:$8,"&lt;="&amp;EOMONTH(BV$8,-12))-1</f>
        <v/>
      </c>
      <c r="BW49" s="1318">
        <f>SUMIFS(46:46,$8:$8,"&gt;="&amp;DATE(YEAR(BW$8),1,1),$8:$8,"&lt;="&amp;EOMONTH(BW$8,0))/SUMIFS(46:46,$8:$8,"&gt;="&amp;DATE(YEAR(BW$8)-1,1,1),$8:$8,"&lt;="&amp;EOMONTH(BW$8,-12))-1</f>
        <v/>
      </c>
      <c r="BX49" s="1318">
        <f>SUMIFS(46:46,$8:$8,"&gt;="&amp;DATE(YEAR(BX$8),1,1),$8:$8,"&lt;="&amp;EOMONTH(BX$8,0))/SUMIFS(46:46,$8:$8,"&gt;="&amp;DATE(YEAR(BX$8)-1,1,1),$8:$8,"&lt;="&amp;EOMONTH(BX$8,-12))-1</f>
        <v/>
      </c>
      <c r="BY49" s="1318">
        <f>SUMIFS(46:46,$8:$8,"&gt;="&amp;DATE(YEAR(BY$8),1,1),$8:$8,"&lt;="&amp;EOMONTH(BY$8,0))/SUMIFS(46:46,$8:$8,"&gt;="&amp;DATE(YEAR(BY$8)-1,1,1),$8:$8,"&lt;="&amp;EOMONTH(BY$8,-12))-1</f>
        <v/>
      </c>
      <c r="BZ49" s="1318">
        <f>SUMIFS(46:46,$8:$8,"&gt;="&amp;DATE(YEAR(BZ$8),1,1),$8:$8,"&lt;="&amp;EOMONTH(BZ$8,0))/SUMIFS(46:46,$8:$8,"&gt;="&amp;DATE(YEAR(BZ$8)-1,1,1),$8:$8,"&lt;="&amp;EOMONTH(BZ$8,-12))-1</f>
        <v/>
      </c>
      <c r="CA49" s="1318">
        <f>SUMIFS(46:46,$8:$8,"&gt;="&amp;DATE(YEAR(CA$8),1,1),$8:$8,"&lt;="&amp;EOMONTH(CA$8,0))/SUMIFS(46:46,$8:$8,"&gt;="&amp;DATE(YEAR(CA$8)-1,1,1),$8:$8,"&lt;="&amp;EOMONTH(CA$8,-12))-1</f>
        <v/>
      </c>
      <c r="CB49" s="1318">
        <f>SUMIFS(46:46,$8:$8,"&gt;="&amp;DATE(YEAR(CB$8),1,1),$8:$8,"&lt;="&amp;EOMONTH(CB$8,0))/SUMIFS(46:46,$8:$8,"&gt;="&amp;DATE(YEAR(CB$8)-1,1,1),$8:$8,"&lt;="&amp;EOMONTH(CB$8,-12))-1</f>
        <v/>
      </c>
      <c r="CC49" s="1318">
        <f>SUMIFS(46:46,$8:$8,"&gt;="&amp;DATE(YEAR(CC$8),1,1),$8:$8,"&lt;="&amp;EOMONTH(CC$8,0))/SUMIFS(46:46,$8:$8,"&gt;="&amp;DATE(YEAR(CC$8)-1,1,1),$8:$8,"&lt;="&amp;EOMONTH(CC$8,-12))-1</f>
        <v/>
      </c>
      <c r="CD49" s="1318">
        <f>SUMIFS(46:46,$8:$8,"&gt;="&amp;DATE(YEAR(CD$8),1,1),$8:$8,"&lt;="&amp;EOMONTH(CD$8,0))/SUMIFS(46:46,$8:$8,"&gt;="&amp;DATE(YEAR(CD$8)-1,1,1),$8:$8,"&lt;="&amp;EOMONTH(CD$8,-12))-1</f>
        <v/>
      </c>
      <c r="CE49" s="1318">
        <f>SUMIFS(46:46,$8:$8,"&gt;="&amp;DATE(YEAR(CE$8),1,1),$8:$8,"&lt;="&amp;EOMONTH(CE$8,0))/SUMIFS(46:46,$8:$8,"&gt;="&amp;DATE(YEAR(CE$8)-1,1,1),$8:$8,"&lt;="&amp;EOMONTH(CE$8,-12))-1</f>
        <v/>
      </c>
      <c r="CF49" s="1318">
        <f>SUMIFS(46:46,$8:$8,"&gt;="&amp;DATE(YEAR(CF$8),1,1),$8:$8,"&lt;="&amp;EOMONTH(CF$8,0))/SUMIFS(46:46,$8:$8,"&gt;="&amp;DATE(YEAR(CF$8)-1,1,1),$8:$8,"&lt;="&amp;EOMONTH(CF$8,-12))-1</f>
        <v/>
      </c>
      <c r="CG49" s="1318">
        <f>SUMIFS(46:46,$8:$8,"&gt;="&amp;DATE(YEAR(CG$8),1,1),$8:$8,"&lt;="&amp;EOMONTH(CG$8,0))/SUMIFS(46:46,$8:$8,"&gt;="&amp;DATE(YEAR(CG$8)-1,1,1),$8:$8,"&lt;="&amp;EOMONTH(CG$8,-12))-1</f>
        <v/>
      </c>
      <c r="CH49" s="1318">
        <f>SUMIFS(46:46,$8:$8,"&gt;="&amp;DATE(YEAR(CH$8),1,1),$8:$8,"&lt;="&amp;EOMONTH(CH$8,0))/SUMIFS(46:46,$8:$8,"&gt;="&amp;DATE(YEAR(CH$8)-1,1,1),$8:$8,"&lt;="&amp;EOMONTH(CH$8,-12))-1</f>
        <v/>
      </c>
      <c r="CI49" s="1318">
        <f>SUMIFS(46:46,$8:$8,"&gt;="&amp;DATE(YEAR(CI$8),1,1),$8:$8,"&lt;="&amp;EOMONTH(CI$8,0))/SUMIFS(46:46,$8:$8,"&gt;="&amp;DATE(YEAR(CI$8)-1,1,1),$8:$8,"&lt;="&amp;EOMONTH(CI$8,-12))-1</f>
        <v/>
      </c>
      <c r="CJ49" s="1318">
        <f>SUMIFS(46:46,$8:$8,"&gt;="&amp;DATE(YEAR(CJ$8),1,1),$8:$8,"&lt;="&amp;EOMONTH(CJ$8,0))/SUMIFS(46:46,$8:$8,"&gt;="&amp;DATE(YEAR(CJ$8)-1,1,1),$8:$8,"&lt;="&amp;EOMONTH(CJ$8,-12))-1</f>
        <v/>
      </c>
      <c r="CK49" s="1318">
        <f>SUMIFS(46:46,$8:$8,"&gt;="&amp;DATE(YEAR(CK$8),1,1),$8:$8,"&lt;="&amp;EOMONTH(CK$8,0))/SUMIFS(46:46,$8:$8,"&gt;="&amp;DATE(YEAR(CK$8)-1,1,1),$8:$8,"&lt;="&amp;EOMONTH(CK$8,-12))-1</f>
        <v/>
      </c>
      <c r="CL49" s="1318">
        <f>SUMIFS(46:46,$8:$8,"&gt;="&amp;DATE(YEAR(CL$8),1,1),$8:$8,"&lt;="&amp;EOMONTH(CL$8,0))/SUMIFS(46:46,$8:$8,"&gt;="&amp;DATE(YEAR(CL$8)-1,1,1),$8:$8,"&lt;="&amp;EOMONTH(CL$8,-12))-1</f>
        <v/>
      </c>
      <c r="CM49" s="1318">
        <f>SUMIFS(46:46,$8:$8,"&gt;="&amp;DATE(YEAR(CM$8),1,1),$8:$8,"&lt;="&amp;EOMONTH(CM$8,0))/SUMIFS(46:46,$8:$8,"&gt;="&amp;DATE(YEAR(CM$8)-1,1,1),$8:$8,"&lt;="&amp;EOMONTH(CM$8,-12))-1</f>
        <v/>
      </c>
      <c r="CN49" s="1318">
        <f>SUMIFS(46:46,$8:$8,"&gt;="&amp;DATE(YEAR(CN$8),1,1),$8:$8,"&lt;="&amp;EOMONTH(CN$8,0))/SUMIFS(46:46,$8:$8,"&gt;="&amp;DATE(YEAR(CN$8)-1,1,1),$8:$8,"&lt;="&amp;EOMONTH(CN$8,-12))-1</f>
        <v/>
      </c>
      <c r="CO49" s="1318">
        <f>SUMIFS(46:46,$8:$8,"&gt;="&amp;DATE(YEAR(CO$8),1,1),$8:$8,"&lt;="&amp;EOMONTH(CO$8,0))/SUMIFS(46:46,$8:$8,"&gt;="&amp;DATE(YEAR(CO$8)-1,1,1),$8:$8,"&lt;="&amp;EOMONTH(CO$8,-12))-1</f>
        <v/>
      </c>
      <c r="CP49" s="1318">
        <f>SUMIFS(46:46,$8:$8,"&gt;="&amp;DATE(YEAR(CP$8),1,1),$8:$8,"&lt;="&amp;EOMONTH(CP$8,0))/SUMIFS(46:46,$8:$8,"&gt;="&amp;DATE(YEAR(CP$8)-1,1,1),$8:$8,"&lt;="&amp;EOMONTH(CP$8,-12))-1</f>
        <v/>
      </c>
      <c r="CQ49" s="1318">
        <f>SUMIFS(46:46,$8:$8,"&gt;="&amp;DATE(YEAR(CQ$8),1,1),$8:$8,"&lt;="&amp;EOMONTH(CQ$8,0))/SUMIFS(46:46,$8:$8,"&gt;="&amp;DATE(YEAR(CQ$8)-1,1,1),$8:$8,"&lt;="&amp;EOMONTH(CQ$8,-12))-1</f>
        <v/>
      </c>
      <c r="CR49" s="1318">
        <f>SUMIFS(46:46,$8:$8,"&gt;="&amp;DATE(YEAR(CR$8),1,1),$8:$8,"&lt;="&amp;EOMONTH(CR$8,0))/SUMIFS(46:46,$8:$8,"&gt;="&amp;DATE(YEAR(CR$8)-1,1,1),$8:$8,"&lt;="&amp;EOMONTH(CR$8,-12))-1</f>
        <v/>
      </c>
      <c r="CS49" s="1318">
        <f>SUMIFS(46:46,$8:$8,"&gt;="&amp;DATE(YEAR(CS$8),1,1),$8:$8,"&lt;="&amp;EOMONTH(CS$8,0))/SUMIFS(46:46,$8:$8,"&gt;="&amp;DATE(YEAR(CS$8)-1,1,1),$8:$8,"&lt;="&amp;EOMONTH(CS$8,-12))-1</f>
        <v/>
      </c>
      <c r="CT49" s="1318">
        <f>SUMIFS(46:46,$8:$8,"&gt;="&amp;DATE(YEAR(CT$8),1,1),$8:$8,"&lt;="&amp;EOMONTH(CT$8,0))/SUMIFS(46:46,$8:$8,"&gt;="&amp;DATE(YEAR(CT$8)-1,1,1),$8:$8,"&lt;="&amp;EOMONTH(CT$8,-12))-1</f>
        <v/>
      </c>
      <c r="CU49" s="1318">
        <f>SUMIFS(46:46,$8:$8,"&gt;="&amp;DATE(YEAR(CU$8),1,1),$8:$8,"&lt;="&amp;EOMONTH(CU$8,0))/SUMIFS(46:46,$8:$8,"&gt;="&amp;DATE(YEAR(CU$8)-1,1,1),$8:$8,"&lt;="&amp;EOMONTH(CU$8,-12))-1</f>
        <v/>
      </c>
      <c r="CV49" s="1318">
        <f>SUMIFS(46:46,$8:$8,"&gt;="&amp;DATE(YEAR(CV$8),1,1),$8:$8,"&lt;="&amp;EOMONTH(CV$8,0))/SUMIFS(46:46,$8:$8,"&gt;="&amp;DATE(YEAR(CV$8)-1,1,1),$8:$8,"&lt;="&amp;EOMONTH(CV$8,-12))-1</f>
        <v/>
      </c>
      <c r="CW49" s="1318">
        <f>SUMIFS(46:46,$8:$8,"&gt;="&amp;DATE(YEAR(CW$8),1,1),$8:$8,"&lt;="&amp;EOMONTH(CW$8,0))/SUMIFS(46:46,$8:$8,"&gt;="&amp;DATE(YEAR(CW$8)-1,1,1),$8:$8,"&lt;="&amp;EOMONTH(CW$8,-12))-1</f>
        <v/>
      </c>
      <c r="CX49" s="1318">
        <f>SUMIFS(46:46,$8:$8,"&gt;="&amp;DATE(YEAR(CX$8),1,1),$8:$8,"&lt;="&amp;EOMONTH(CX$8,0))/SUMIFS(46:46,$8:$8,"&gt;="&amp;DATE(YEAR(CX$8)-1,1,1),$8:$8,"&lt;="&amp;EOMONTH(CX$8,-12))-1</f>
        <v/>
      </c>
      <c r="CY49" s="1318">
        <f>SUMIFS(46:46,$8:$8,"&gt;="&amp;DATE(YEAR(CY$8),1,1),$8:$8,"&lt;="&amp;EOMONTH(CY$8,0))/SUMIFS(46:46,$8:$8,"&gt;="&amp;DATE(YEAR(CY$8)-1,1,1),$8:$8,"&lt;="&amp;EOMONTH(CY$8,-12))-1</f>
        <v/>
      </c>
      <c r="CZ49" s="1318">
        <f>SUMIFS(46:46,$8:$8,"&gt;="&amp;DATE(YEAR(CZ$8),1,1),$8:$8,"&lt;="&amp;EOMONTH(CZ$8,0))/SUMIFS(46:46,$8:$8,"&gt;="&amp;DATE(YEAR(CZ$8)-1,1,1),$8:$8,"&lt;="&amp;EOMONTH(CZ$8,-12))-1</f>
        <v/>
      </c>
      <c r="DA49" s="1318">
        <f>SUMIFS(46:46,$8:$8,"&gt;="&amp;DATE(YEAR(DA$8),1,1),$8:$8,"&lt;="&amp;EOMONTH(DA$8,0))/SUMIFS(46:46,$8:$8,"&gt;="&amp;DATE(YEAR(DA$8)-1,1,1),$8:$8,"&lt;="&amp;EOMONTH(DA$8,-12))-1</f>
        <v/>
      </c>
      <c r="DB49" s="1318">
        <f>SUMIFS(46:46,$8:$8,"&gt;="&amp;DATE(YEAR(DB$8),1,1),$8:$8,"&lt;="&amp;EOMONTH(DB$8,0))/SUMIFS(46:46,$8:$8,"&gt;="&amp;DATE(YEAR(DB$8)-1,1,1),$8:$8,"&lt;="&amp;EOMONTH(DB$8,-12))-1</f>
        <v/>
      </c>
      <c r="DC49" s="1318">
        <f>SUMIFS(46:46,$8:$8,"&gt;="&amp;DATE(YEAR(DC$8),1,1),$8:$8,"&lt;="&amp;EOMONTH(DC$8,0))/SUMIFS(46:46,$8:$8,"&gt;="&amp;DATE(YEAR(DC$8)-1,1,1),$8:$8,"&lt;="&amp;EOMONTH(DC$8,-12))-1</f>
        <v/>
      </c>
      <c r="DD49" s="1318">
        <f>SUMIFS(46:46,$8:$8,"&gt;="&amp;DATE(YEAR(DD$8),1,1),$8:$8,"&lt;="&amp;EOMONTH(DD$8,0))/SUMIFS(46:46,$8:$8,"&gt;="&amp;DATE(YEAR(DD$8)-1,1,1),$8:$8,"&lt;="&amp;EOMONTH(DD$8,-12))-1</f>
        <v/>
      </c>
      <c r="DE49" s="1318">
        <f>SUMIFS(46:46,$8:$8,"&gt;="&amp;DATE(YEAR(DE$8),1,1),$8:$8,"&lt;="&amp;EOMONTH(DE$8,0))/SUMIFS(46:46,$8:$8,"&gt;="&amp;DATE(YEAR(DE$8)-1,1,1),$8:$8,"&lt;="&amp;EOMONTH(DE$8,-12))-1</f>
        <v/>
      </c>
      <c r="DF49" s="1318">
        <f>SUMIFS(46:46,$8:$8,"&gt;="&amp;DATE(YEAR(DF$8),1,1),$8:$8,"&lt;="&amp;EOMONTH(DF$8,0))/SUMIFS(46:46,$8:$8,"&gt;="&amp;DATE(YEAR(DF$8)-1,1,1),$8:$8,"&lt;="&amp;EOMONTH(DF$8,-12))-1</f>
        <v/>
      </c>
      <c r="DG49" s="1318">
        <f>SUMIFS(46:46,$8:$8,"&gt;="&amp;DATE(YEAR(DG$8),1,1),$8:$8,"&lt;="&amp;EOMONTH(DG$8,0))/SUMIFS(46:46,$8:$8,"&gt;="&amp;DATE(YEAR(DG$8)-1,1,1),$8:$8,"&lt;="&amp;EOMONTH(DG$8,-12))-1</f>
        <v/>
      </c>
      <c r="DH49" s="1318">
        <f>SUMIFS(46:46,$8:$8,"&gt;="&amp;DATE(YEAR(DH$8),1,1),$8:$8,"&lt;="&amp;EOMONTH(DH$8,0))/SUMIFS(46:46,$8:$8,"&gt;="&amp;DATE(YEAR(DH$8)-1,1,1),$8:$8,"&lt;="&amp;EOMONTH(DH$8,-12))-1</f>
        <v/>
      </c>
      <c r="DI49" s="1318">
        <f>SUMIFS(46:46,$8:$8,"&gt;="&amp;DATE(YEAR(DI$8),1,1),$8:$8,"&lt;="&amp;EOMONTH(DI$8,0))/SUMIFS(46:46,$8:$8,"&gt;="&amp;DATE(YEAR(DI$8)-1,1,1),$8:$8,"&lt;="&amp;EOMONTH(DI$8,-12))-1</f>
        <v/>
      </c>
      <c r="DJ49" s="1318">
        <f>SUMIFS(46:46,$8:$8,"&gt;="&amp;DATE(YEAR(DJ$8),1,1),$8:$8,"&lt;="&amp;EOMONTH(DJ$8,0))/SUMIFS(46:46,$8:$8,"&gt;="&amp;DATE(YEAR(DJ$8)-1,1,1),$8:$8,"&lt;="&amp;EOMONTH(DJ$8,-12))-1</f>
        <v/>
      </c>
      <c r="DK49" s="1318">
        <f>SUMIFS(46:46,$8:$8,"&gt;="&amp;DATE(YEAR(DK$8),1,1),$8:$8,"&lt;="&amp;EOMONTH(DK$8,0))/SUMIFS(46:46,$8:$8,"&gt;="&amp;DATE(YEAR(DK$8)-1,1,1),$8:$8,"&lt;="&amp;EOMONTH(DK$8,-12))-1</f>
        <v/>
      </c>
      <c r="DL49" s="1318">
        <f>SUMIFS(46:46,$8:$8,"&gt;="&amp;DATE(YEAR(DL$8),1,1),$8:$8,"&lt;="&amp;EOMONTH(DL$8,0))/SUMIFS(46:46,$8:$8,"&gt;="&amp;DATE(YEAR(DL$8)-1,1,1),$8:$8,"&lt;="&amp;EOMONTH(DL$8,-12))-1</f>
        <v/>
      </c>
      <c r="DM49" s="1318">
        <f>SUMIFS(46:46,$8:$8,"&gt;="&amp;DATE(YEAR(DM$8),1,1),$8:$8,"&lt;="&amp;EOMONTH(DM$8,0))/SUMIFS(46:46,$8:$8,"&gt;="&amp;DATE(YEAR(DM$8)-1,1,1),$8:$8,"&lt;="&amp;EOMONTH(DM$8,-12))-1</f>
        <v/>
      </c>
      <c r="DN49" s="1318">
        <f>SUMIFS(46:46,$8:$8,"&gt;="&amp;DATE(YEAR(DN$8),1,1),$8:$8,"&lt;="&amp;EOMONTH(DN$8,0))/SUMIFS(46:46,$8:$8,"&gt;="&amp;DATE(YEAR(DN$8)-1,1,1),$8:$8,"&lt;="&amp;EOMONTH(DN$8,-12))-1</f>
        <v/>
      </c>
      <c r="DO49" s="1318">
        <f>SUMIFS(46:46,$8:$8,"&gt;="&amp;DATE(YEAR(DO$8),1,1),$8:$8,"&lt;="&amp;EOMONTH(DO$8,0))/SUMIFS(46:46,$8:$8,"&gt;="&amp;DATE(YEAR(DO$8)-1,1,1),$8:$8,"&lt;="&amp;EOMONTH(DO$8,-12))-1</f>
        <v/>
      </c>
      <c r="DP49" s="1318">
        <f>SUMIFS(46:46,$8:$8,"&gt;="&amp;DATE(YEAR(DP$8),1,1),$8:$8,"&lt;="&amp;EOMONTH(DP$8,0))/SUMIFS(46:46,$8:$8,"&gt;="&amp;DATE(YEAR(DP$8)-1,1,1),$8:$8,"&lt;="&amp;EOMONTH(DP$8,-12))-1</f>
        <v/>
      </c>
      <c r="DQ49" s="1318">
        <f>SUMIFS(46:46,$8:$8,"&gt;="&amp;DATE(YEAR(DQ$8),1,1),$8:$8,"&lt;="&amp;EOMONTH(DQ$8,0))/SUMIFS(46:46,$8:$8,"&gt;="&amp;DATE(YEAR(DQ$8)-1,1,1),$8:$8,"&lt;="&amp;EOMONTH(DQ$8,-12))-1</f>
        <v/>
      </c>
      <c r="DR49" s="1318">
        <f>SUMIFS(46:46,$8:$8,"&gt;="&amp;DATE(YEAR(DR$8),1,1),$8:$8,"&lt;="&amp;EOMONTH(DR$8,0))/SUMIFS(46:46,$8:$8,"&gt;="&amp;DATE(YEAR(DR$8)-1,1,1),$8:$8,"&lt;="&amp;EOMONTH(DR$8,-12))-1</f>
        <v/>
      </c>
      <c r="DS49" s="1318">
        <f>SUMIFS(46:46,$8:$8,"&gt;="&amp;DATE(YEAR(DS$8),1,1),$8:$8,"&lt;="&amp;EOMONTH(DS$8,0))/SUMIFS(46:46,$8:$8,"&gt;="&amp;DATE(YEAR(DS$8)-1,1,1),$8:$8,"&lt;="&amp;EOMONTH(DS$8,-12))-1</f>
        <v/>
      </c>
      <c r="DT49" s="1318">
        <f>SUMIFS(46:46,$8:$8,"&gt;="&amp;DATE(YEAR(DT$8),1,1),$8:$8,"&lt;="&amp;EOMONTH(DT$8,0))/SUMIFS(46:46,$8:$8,"&gt;="&amp;DATE(YEAR(DT$8)-1,1,1),$8:$8,"&lt;="&amp;EOMONTH(DT$8,-12))-1</f>
        <v/>
      </c>
      <c r="DU49" s="1318">
        <f>SUMIFS(46:46,$8:$8,"&gt;="&amp;DATE(YEAR(DU$8),1,1),$8:$8,"&lt;="&amp;EOMONTH(DU$8,0))/SUMIFS(46:46,$8:$8,"&gt;="&amp;DATE(YEAR(DU$8)-1,1,1),$8:$8,"&lt;="&amp;EOMONTH(DU$8,-12))-1</f>
        <v/>
      </c>
      <c r="DV49" s="1318">
        <f>SUMIFS(46:46,$8:$8,"&gt;="&amp;DATE(YEAR(DV$8),1,1),$8:$8,"&lt;="&amp;EOMONTH(DV$8,0))/SUMIFS(46:46,$8:$8,"&gt;="&amp;DATE(YEAR(DV$8)-1,1,1),$8:$8,"&lt;="&amp;EOMONTH(DV$8,-12))-1</f>
        <v/>
      </c>
      <c r="DW49" s="1318">
        <f>SUMIFS(46:46,$8:$8,"&gt;="&amp;DATE(YEAR(DW$8),1,1),$8:$8,"&lt;="&amp;EOMONTH(DW$8,0))/SUMIFS(46:46,$8:$8,"&gt;="&amp;DATE(YEAR(DW$8)-1,1,1),$8:$8,"&lt;="&amp;EOMONTH(DW$8,-12))-1</f>
        <v/>
      </c>
      <c r="DX49" s="1318">
        <f>SUMIFS(46:46,$8:$8,"&gt;="&amp;DATE(YEAR(DX$8),1,1),$8:$8,"&lt;="&amp;EOMONTH(DX$8,0))/SUMIFS(46:46,$8:$8,"&gt;="&amp;DATE(YEAR(DX$8)-1,1,1),$8:$8,"&lt;="&amp;EOMONTH(DX$8,-12))-1</f>
        <v/>
      </c>
      <c r="DY49" s="1318">
        <f>SUMIFS(46:46,$8:$8,"&gt;="&amp;DATE(YEAR(DY$8),1,1),$8:$8,"&lt;="&amp;EOMONTH(DY$8,0))/SUMIFS(46:46,$8:$8,"&gt;="&amp;DATE(YEAR(DY$8)-1,1,1),$8:$8,"&lt;="&amp;EOMONTH(DY$8,-12))-1</f>
        <v/>
      </c>
      <c r="DZ49" s="1318">
        <f>SUMIFS(46:46,$8:$8,"&gt;="&amp;DATE(YEAR(DZ$8),1,1),$8:$8,"&lt;="&amp;EOMONTH(DZ$8,0))/SUMIFS(46:46,$8:$8,"&gt;="&amp;DATE(YEAR(DZ$8)-1,1,1),$8:$8,"&lt;="&amp;EOMONTH(DZ$8,-12))-1</f>
        <v/>
      </c>
      <c r="EA49" s="1318">
        <f>SUMIFS(46:46,$8:$8,"&gt;="&amp;DATE(YEAR(EA$8),1,1),$8:$8,"&lt;="&amp;EOMONTH(EA$8,0))/SUMIFS(46:46,$8:$8,"&gt;="&amp;DATE(YEAR(EA$8)-1,1,1),$8:$8,"&lt;="&amp;EOMONTH(EA$8,-12))-1</f>
        <v/>
      </c>
      <c r="EB49" s="1318">
        <f>SUMIFS(46:46,$8:$8,"&gt;="&amp;DATE(YEAR(EB$8),1,1),$8:$8,"&lt;="&amp;EOMONTH(EB$8,0))/SUMIFS(46:46,$8:$8,"&gt;="&amp;DATE(YEAR(EB$8)-1,1,1),$8:$8,"&lt;="&amp;EOMONTH(EB$8,-12))-1</f>
        <v/>
      </c>
      <c r="EC49" s="1318">
        <f>SUMIFS(46:46,$8:$8,"&gt;="&amp;DATE(YEAR(EC$8),1,1),$8:$8,"&lt;="&amp;EOMONTH(EC$8,0))/SUMIFS(46:46,$8:$8,"&gt;="&amp;DATE(YEAR(EC$8)-1,1,1),$8:$8,"&lt;="&amp;EOMONTH(EC$8,-12))-1</f>
        <v/>
      </c>
      <c r="ED49" s="1318">
        <f>SUMIFS(46:46,$8:$8,"&gt;="&amp;DATE(YEAR(ED$8),1,1),$8:$8,"&lt;="&amp;EOMONTH(ED$8,0))/SUMIFS(46:46,$8:$8,"&gt;="&amp;DATE(YEAR(ED$8)-1,1,1),$8:$8,"&lt;="&amp;EOMONTH(ED$8,-12))-1</f>
        <v/>
      </c>
      <c r="EE49" s="1318">
        <f>SUMIFS(46:46,$8:$8,"&gt;="&amp;DATE(YEAR(EE$8),1,1),$8:$8,"&lt;="&amp;EOMONTH(EE$8,0))/SUMIFS(46:46,$8:$8,"&gt;="&amp;DATE(YEAR(EE$8)-1,1,1),$8:$8,"&lt;="&amp;EOMONTH(EE$8,-12))-1</f>
        <v/>
      </c>
      <c r="EF49" s="1318">
        <f>SUMIFS(46:46,$8:$8,"&gt;="&amp;DATE(YEAR(EF$8),1,1),$8:$8,"&lt;="&amp;EOMONTH(EF$8,0))/SUMIFS(46:46,$8:$8,"&gt;="&amp;DATE(YEAR(EF$8)-1,1,1),$8:$8,"&lt;="&amp;EOMONTH(EF$8,-12))-1</f>
        <v/>
      </c>
      <c r="EG49" s="1318">
        <f>SUMIFS(46:46,$8:$8,"&gt;="&amp;DATE(YEAR(EG$8),1,1),$8:$8,"&lt;="&amp;EOMONTH(EG$8,0))/SUMIFS(46:46,$8:$8,"&gt;="&amp;DATE(YEAR(EG$8)-1,1,1),$8:$8,"&lt;="&amp;EOMONTH(EG$8,-12))-1</f>
        <v/>
      </c>
      <c r="EH49" s="1318">
        <f>SUMIFS(46:46,$8:$8,"&gt;="&amp;DATE(YEAR(EH$8),1,1),$8:$8,"&lt;="&amp;EOMONTH(EH$8,0))/SUMIFS(46:46,$8:$8,"&gt;="&amp;DATE(YEAR(EH$8)-1,1,1),$8:$8,"&lt;="&amp;EOMONTH(EH$8,-12))-1</f>
        <v/>
      </c>
      <c r="EI49" s="1318">
        <f>SUMIFS(46:46,$8:$8,"&gt;="&amp;DATE(YEAR(EI$8),1,1),$8:$8,"&lt;="&amp;EOMONTH(EI$8,0))/SUMIFS(46:46,$8:$8,"&gt;="&amp;DATE(YEAR(EI$8)-1,1,1),$8:$8,"&lt;="&amp;EOMONTH(EI$8,-12))-1</f>
        <v/>
      </c>
      <c r="EJ49" s="1318">
        <f>SUMIFS(46:46,$8:$8,"&gt;="&amp;DATE(YEAR(EJ$8),1,1),$8:$8,"&lt;="&amp;EOMONTH(EJ$8,0))/SUMIFS(46:46,$8:$8,"&gt;="&amp;DATE(YEAR(EJ$8)-1,1,1),$8:$8,"&lt;="&amp;EOMONTH(EJ$8,-12))-1</f>
        <v/>
      </c>
      <c r="EK49" s="1318">
        <f>SUMIFS(46:46,$8:$8,"&gt;="&amp;DATE(YEAR(EK$8),1,1),$8:$8,"&lt;="&amp;EOMONTH(EK$8,0))/SUMIFS(46:46,$8:$8,"&gt;="&amp;DATE(YEAR(EK$8)-1,1,1),$8:$8,"&lt;="&amp;EOMONTH(EK$8,-12))-1</f>
        <v/>
      </c>
      <c r="EL49" s="1318">
        <f>SUMIFS(46:46,$8:$8,"&gt;="&amp;DATE(YEAR(EL$8),1,1),$8:$8,"&lt;="&amp;EOMONTH(EL$8,0))/SUMIFS(46:46,$8:$8,"&gt;="&amp;DATE(YEAR(EL$8)-1,1,1),$8:$8,"&lt;="&amp;EOMONTH(EL$8,-12))-1</f>
        <v/>
      </c>
      <c r="EM49" s="1318">
        <f>SUMIFS(46:46,$8:$8,"&gt;="&amp;DATE(YEAR(EM$8),1,1),$8:$8,"&lt;="&amp;EOMONTH(EM$8,0))/SUMIFS(46:46,$8:$8,"&gt;="&amp;DATE(YEAR(EM$8)-1,1,1),$8:$8,"&lt;="&amp;EOMONTH(EM$8,-12))-1</f>
        <v/>
      </c>
      <c r="EN49" s="1318">
        <f>SUMIFS(46:46,$8:$8,"&gt;="&amp;DATE(YEAR(EN$8),1,1),$8:$8,"&lt;="&amp;EOMONTH(EN$8,0))/SUMIFS(46:46,$8:$8,"&gt;="&amp;DATE(YEAR(EN$8)-1,1,1),$8:$8,"&lt;="&amp;EOMONTH(EN$8,-12))-1</f>
        <v/>
      </c>
      <c r="EO49" s="1318">
        <f>SUMIFS(46:46,$8:$8,"&gt;="&amp;DATE(YEAR(EO$8),1,1),$8:$8,"&lt;="&amp;EOMONTH(EO$8,0))/SUMIFS(46:46,$8:$8,"&gt;="&amp;DATE(YEAR(EO$8)-1,1,1),$8:$8,"&lt;="&amp;EOMONTH(EO$8,-12))-1</f>
        <v/>
      </c>
      <c r="EP49" s="1318">
        <f>SUMIFS(46:46,$8:$8,"&gt;="&amp;DATE(YEAR(EP$8),1,1),$8:$8,"&lt;="&amp;EOMONTH(EP$8,0))/SUMIFS(46:46,$8:$8,"&gt;="&amp;DATE(YEAR(EP$8)-1,1,1),$8:$8,"&lt;="&amp;EOMONTH(EP$8,-12))-1</f>
        <v/>
      </c>
      <c r="EQ49" s="1318">
        <f>SUMIFS(46:46,$8:$8,"&gt;="&amp;DATE(YEAR(EQ$8),1,1),$8:$8,"&lt;="&amp;EOMONTH(EQ$8,0))/SUMIFS(46:46,$8:$8,"&gt;="&amp;DATE(YEAR(EQ$8)-1,1,1),$8:$8,"&lt;="&amp;EOMONTH(EQ$8,-12))-1</f>
        <v/>
      </c>
      <c r="ER49" s="1318">
        <f>SUMIFS(46:46,$8:$8,"&gt;="&amp;DATE(YEAR(ER$8),1,1),$8:$8,"&lt;="&amp;EOMONTH(ER$8,0))/SUMIFS(46:46,$8:$8,"&gt;="&amp;DATE(YEAR(ER$8)-1,1,1),$8:$8,"&lt;="&amp;EOMONTH(ER$8,-12))-1</f>
        <v/>
      </c>
      <c r="ES49" s="1318">
        <f>SUMIFS(46:46,$8:$8,"&gt;="&amp;DATE(YEAR(ES$8),1,1),$8:$8,"&lt;="&amp;EOMONTH(ES$8,0))/SUMIFS(46:46,$8:$8,"&gt;="&amp;DATE(YEAR(ES$8)-1,1,1),$8:$8,"&lt;="&amp;EOMONTH(ES$8,-12))-1</f>
        <v/>
      </c>
      <c r="ET49" s="1318">
        <f>SUMIFS(46:46,$8:$8,"&gt;="&amp;DATE(YEAR(ET$8),1,1),$8:$8,"&lt;="&amp;EOMONTH(ET$8,0))/SUMIFS(46:46,$8:$8,"&gt;="&amp;DATE(YEAR(ET$8)-1,1,1),$8:$8,"&lt;="&amp;EOMONTH(ET$8,-12))-1</f>
        <v/>
      </c>
      <c r="EU49" s="1318">
        <f>SUMIFS(46:46,$8:$8,"&gt;="&amp;DATE(YEAR(EU$8),1,1),$8:$8,"&lt;="&amp;EOMONTH(EU$8,0))/SUMIFS(46:46,$8:$8,"&gt;="&amp;DATE(YEAR(EU$8)-1,1,1),$8:$8,"&lt;="&amp;EOMONTH(EU$8,-12))-1</f>
        <v/>
      </c>
      <c r="EV49" s="1318">
        <f>SUMIFS(46:46,$8:$8,"&gt;="&amp;DATE(YEAR(EV$8),1,1),$8:$8,"&lt;="&amp;EOMONTH(EV$8,0))/SUMIFS(46:46,$8:$8,"&gt;="&amp;DATE(YEAR(EV$8)-1,1,1),$8:$8,"&lt;="&amp;EOMONTH(EV$8,-12))-1</f>
        <v/>
      </c>
      <c r="EW49" s="1318">
        <f>SUMIFS(46:46,$8:$8,"&gt;="&amp;DATE(YEAR(EW$8),1,1),$8:$8,"&lt;="&amp;EOMONTH(EW$8,0))/SUMIFS(46:46,$8:$8,"&gt;="&amp;DATE(YEAR(EW$8)-1,1,1),$8:$8,"&lt;="&amp;EOMONTH(EW$8,-12))-1</f>
        <v/>
      </c>
      <c r="EX49" s="1318">
        <f>SUMIFS(46:46,$8:$8,"&gt;="&amp;DATE(YEAR(EX$8),1,1),$8:$8,"&lt;="&amp;EOMONTH(EX$8,0))/SUMIFS(46:46,$8:$8,"&gt;="&amp;DATE(YEAR(EX$8)-1,1,1),$8:$8,"&lt;="&amp;EOMONTH(EX$8,-12))-1</f>
        <v/>
      </c>
      <c r="EY49" s="1318">
        <f>SUMIFS(46:46,$8:$8,"&gt;="&amp;DATE(YEAR(EY$8),1,1),$8:$8,"&lt;="&amp;EOMONTH(EY$8,0))/SUMIFS(46:46,$8:$8,"&gt;="&amp;DATE(YEAR(EY$8)-1,1,1),$8:$8,"&lt;="&amp;EOMONTH(EY$8,-12))-1</f>
        <v/>
      </c>
      <c r="EZ49" s="1318">
        <f>SUMIFS(46:46,$8:$8,"&gt;="&amp;DATE(YEAR(EZ$8),1,1),$8:$8,"&lt;="&amp;EOMONTH(EZ$8,0))/SUMIFS(46:46,$8:$8,"&gt;="&amp;DATE(YEAR(EZ$8)-1,1,1),$8:$8,"&lt;="&amp;EOMONTH(EZ$8,-12))-1</f>
        <v/>
      </c>
      <c r="FA49" s="1318">
        <f>SUMIFS(46:46,$8:$8,"&gt;="&amp;DATE(YEAR(FA$8),1,1),$8:$8,"&lt;="&amp;EOMONTH(FA$8,0))/SUMIFS(46:46,$8:$8,"&gt;="&amp;DATE(YEAR(FA$8)-1,1,1),$8:$8,"&lt;="&amp;EOMONTH(FA$8,-12))-1</f>
        <v/>
      </c>
      <c r="FB49" s="1318">
        <f>SUMIFS(46:46,$8:$8,"&gt;="&amp;DATE(YEAR(FB$8),1,1),$8:$8,"&lt;="&amp;EOMONTH(FB$8,0))/SUMIFS(46:46,$8:$8,"&gt;="&amp;DATE(YEAR(FB$8)-1,1,1),$8:$8,"&lt;="&amp;EOMONTH(FB$8,-12))-1</f>
        <v/>
      </c>
      <c r="FC49" s="1318">
        <f>SUMIFS(46:46,$8:$8,"&gt;="&amp;DATE(YEAR(FC$8),1,1),$8:$8,"&lt;="&amp;EOMONTH(FC$8,0))/SUMIFS(46:46,$8:$8,"&gt;="&amp;DATE(YEAR(FC$8)-1,1,1),$8:$8,"&lt;="&amp;EOMONTH(FC$8,-12))-1</f>
        <v/>
      </c>
      <c r="FD49" s="1318">
        <f>SUMIFS(46:46,$8:$8,"&gt;="&amp;DATE(YEAR(FD$8),1,1),$8:$8,"&lt;="&amp;EOMONTH(FD$8,0))/SUMIFS(46:46,$8:$8,"&gt;="&amp;DATE(YEAR(FD$8)-1,1,1),$8:$8,"&lt;="&amp;EOMONTH(FD$8,-12))-1</f>
        <v/>
      </c>
      <c r="FE49" s="1318">
        <f>SUMIFS(46:46,$8:$8,"&gt;="&amp;DATE(YEAR(FE$8),1,1),$8:$8,"&lt;="&amp;EOMONTH(FE$8,0))/SUMIFS(46:46,$8:$8,"&gt;="&amp;DATE(YEAR(FE$8)-1,1,1),$8:$8,"&lt;="&amp;EOMONTH(FE$8,-12))-1</f>
        <v/>
      </c>
      <c r="FF49" s="1318">
        <f>SUMIFS(46:46,$8:$8,"&gt;="&amp;DATE(YEAR(FF$8),1,1),$8:$8,"&lt;="&amp;EOMONTH(FF$8,0))/SUMIFS(46:46,$8:$8,"&gt;="&amp;DATE(YEAR(FF$8)-1,1,1),$8:$8,"&lt;="&amp;EOMONTH(FF$8,-12))-1</f>
        <v/>
      </c>
      <c r="FG49" s="1318">
        <f>SUMIFS(46:46,$8:$8,"&gt;="&amp;DATE(YEAR(FG$8),1,1),$8:$8,"&lt;="&amp;EOMONTH(FG$8,0))/SUMIFS(46:46,$8:$8,"&gt;="&amp;DATE(YEAR(FG$8)-1,1,1),$8:$8,"&lt;="&amp;EOMONTH(FG$8,-12))-1</f>
        <v/>
      </c>
      <c r="FH49" s="1318">
        <f>SUMIFS(46:46,$8:$8,"&gt;="&amp;DATE(YEAR(FH$8),1,1),$8:$8,"&lt;="&amp;EOMONTH(FH$8,0))/SUMIFS(46:46,$8:$8,"&gt;="&amp;DATE(YEAR(FH$8)-1,1,1),$8:$8,"&lt;="&amp;EOMONTH(FH$8,-12))-1</f>
        <v/>
      </c>
      <c r="FI49" s="1318">
        <f>SUMIFS(46:46,$8:$8,"&gt;="&amp;DATE(YEAR(FI$8),1,1),$8:$8,"&lt;="&amp;EOMONTH(FI$8,0))/SUMIFS(46:46,$8:$8,"&gt;="&amp;DATE(YEAR(FI$8)-1,1,1),$8:$8,"&lt;="&amp;EOMONTH(FI$8,-12))-1</f>
        <v/>
      </c>
      <c r="FJ49" s="1318">
        <f>SUMIFS(46:46,$8:$8,"&gt;="&amp;DATE(YEAR(FJ$8),1,1),$8:$8,"&lt;="&amp;EOMONTH(FJ$8,0))/SUMIFS(46:46,$8:$8,"&gt;="&amp;DATE(YEAR(FJ$8)-1,1,1),$8:$8,"&lt;="&amp;EOMONTH(FJ$8,-12))-1</f>
        <v/>
      </c>
      <c r="FK49" s="1318">
        <f>SUMIFS(46:46,$8:$8,"&gt;="&amp;DATE(YEAR(FK$8),1,1),$8:$8,"&lt;="&amp;EOMONTH(FK$8,0))/SUMIFS(46:46,$8:$8,"&gt;="&amp;DATE(YEAR(FK$8)-1,1,1),$8:$8,"&lt;="&amp;EOMONTH(FK$8,-12))-1</f>
        <v/>
      </c>
      <c r="FL49" s="1318">
        <f>SUMIFS(46:46,$8:$8,"&gt;="&amp;DATE(YEAR(FL$8),1,1),$8:$8,"&lt;="&amp;EOMONTH(FL$8,0))/SUMIFS(46:46,$8:$8,"&gt;="&amp;DATE(YEAR(FL$8)-1,1,1),$8:$8,"&lt;="&amp;EOMONTH(FL$8,-12))-1</f>
        <v/>
      </c>
      <c r="FM49" s="1318">
        <f>SUMIFS(46:46,$8:$8,"&gt;="&amp;DATE(YEAR(FM$8),1,1),$8:$8,"&lt;="&amp;EOMONTH(FM$8,0))/SUMIFS(46:46,$8:$8,"&gt;="&amp;DATE(YEAR(FM$8)-1,1,1),$8:$8,"&lt;="&amp;EOMONTH(FM$8,-12))-1</f>
        <v/>
      </c>
      <c r="FN49" s="1318">
        <f>SUMIFS(46:46,$8:$8,"&gt;="&amp;DATE(YEAR(FN$8),1,1),$8:$8,"&lt;="&amp;EOMONTH(FN$8,0))/SUMIFS(46:46,$8:$8,"&gt;="&amp;DATE(YEAR(FN$8)-1,1,1),$8:$8,"&lt;="&amp;EOMONTH(FN$8,-12))-1</f>
        <v/>
      </c>
      <c r="FO49" s="1318">
        <f>SUMIFS(46:46,$8:$8,"&gt;="&amp;DATE(YEAR(FO$8),1,1),$8:$8,"&lt;="&amp;EOMONTH(FO$8,0))/SUMIFS(46:46,$8:$8,"&gt;="&amp;DATE(YEAR(FO$8)-1,1,1),$8:$8,"&lt;="&amp;EOMONTH(FO$8,-12))-1</f>
        <v/>
      </c>
      <c r="FP49" s="1318">
        <f>SUMIFS(46:46,$8:$8,"&gt;="&amp;DATE(YEAR(FP$8),1,1),$8:$8,"&lt;="&amp;EOMONTH(FP$8,0))/SUMIFS(46:46,$8:$8,"&gt;="&amp;DATE(YEAR(FP$8)-1,1,1),$8:$8,"&lt;="&amp;EOMONTH(FP$8,-12))-1</f>
        <v/>
      </c>
      <c r="FQ49" s="1318">
        <f>SUMIFS(46:46,$8:$8,"&gt;="&amp;DATE(YEAR(FQ$8),1,1),$8:$8,"&lt;="&amp;EOMONTH(FQ$8,0))/SUMIFS(46:46,$8:$8,"&gt;="&amp;DATE(YEAR(FQ$8)-1,1,1),$8:$8,"&lt;="&amp;EOMONTH(FQ$8,-12))-1</f>
        <v/>
      </c>
      <c r="FR49" s="1318">
        <f>SUMIFS(46:46,$8:$8,"&gt;="&amp;DATE(YEAR(FR$8),1,1),$8:$8,"&lt;="&amp;EOMONTH(FR$8,0))/SUMIFS(46:46,$8:$8,"&gt;="&amp;DATE(YEAR(FR$8)-1,1,1),$8:$8,"&lt;="&amp;EOMONTH(FR$8,-12))-1</f>
        <v/>
      </c>
      <c r="FS49" s="1318">
        <f>SUMIFS(46:46,$8:$8,"&gt;="&amp;DATE(YEAR(FS$8),1,1),$8:$8,"&lt;="&amp;EOMONTH(FS$8,0))/SUMIFS(46:46,$8:$8,"&gt;="&amp;DATE(YEAR(FS$8)-1,1,1),$8:$8,"&lt;="&amp;EOMONTH(FS$8,-12))-1</f>
        <v/>
      </c>
      <c r="FT49" s="1318">
        <f>SUMIFS(46:46,$8:$8,"&gt;="&amp;DATE(YEAR(FT$8),1,1),$8:$8,"&lt;="&amp;EOMONTH(FT$8,0))/SUMIFS(46:46,$8:$8,"&gt;="&amp;DATE(YEAR(FT$8)-1,1,1),$8:$8,"&lt;="&amp;EOMONTH(FT$8,-12))-1</f>
        <v/>
      </c>
      <c r="FU49" s="1318">
        <f>SUMIFS(46:46,$8:$8,"&gt;="&amp;DATE(YEAR(FU$8),1,1),$8:$8,"&lt;="&amp;EOMONTH(FU$8,0))/SUMIFS(46:46,$8:$8,"&gt;="&amp;DATE(YEAR(FU$8)-1,1,1),$8:$8,"&lt;="&amp;EOMONTH(FU$8,-12))-1</f>
        <v/>
      </c>
      <c r="FV49" s="1318">
        <f>SUMIFS(46:46,$8:$8,"&gt;="&amp;DATE(YEAR(FV$8),1,1),$8:$8,"&lt;="&amp;EOMONTH(FV$8,0))/SUMIFS(46:46,$8:$8,"&gt;="&amp;DATE(YEAR(FV$8)-1,1,1),$8:$8,"&lt;="&amp;EOMONTH(FV$8,-12))-1</f>
        <v/>
      </c>
      <c r="FW49" s="1318">
        <f>SUMIFS(46:46,$8:$8,"&gt;="&amp;DATE(YEAR(FW$8),1,1),$8:$8,"&lt;="&amp;EOMONTH(FW$8,0))/SUMIFS(46:46,$8:$8,"&gt;="&amp;DATE(YEAR(FW$8)-1,1,1),$8:$8,"&lt;="&amp;EOMONTH(FW$8,-12))-1</f>
        <v/>
      </c>
      <c r="FX49" s="1318">
        <f>SUMIFS(46:46,$8:$8,"&gt;="&amp;DATE(YEAR(FX$8),1,1),$8:$8,"&lt;="&amp;EOMONTH(FX$8,0))/SUMIFS(46:46,$8:$8,"&gt;="&amp;DATE(YEAR(FX$8)-1,1,1),$8:$8,"&lt;="&amp;EOMONTH(FX$8,-12))-1</f>
        <v/>
      </c>
      <c r="FY49" s="1318">
        <f>SUMIFS(46:46,$8:$8,"&gt;="&amp;DATE(YEAR(FY$8),1,1),$8:$8,"&lt;="&amp;EOMONTH(FY$8,0))/SUMIFS(46:46,$8:$8,"&gt;="&amp;DATE(YEAR(FY$8)-1,1,1),$8:$8,"&lt;="&amp;EOMONTH(FY$8,-12))-1</f>
        <v/>
      </c>
      <c r="FZ49" s="1318">
        <f>SUMIFS(46:46,$8:$8,"&gt;="&amp;DATE(YEAR(FZ$8),1,1),$8:$8,"&lt;="&amp;EOMONTH(FZ$8,0))/SUMIFS(46:46,$8:$8,"&gt;="&amp;DATE(YEAR(FZ$8)-1,1,1),$8:$8,"&lt;="&amp;EOMONTH(FZ$8,-12))-1</f>
        <v/>
      </c>
      <c r="GA49" s="1318">
        <f>SUMIFS(46:46,$8:$8,"&gt;="&amp;DATE(YEAR(GA$8),1,1),$8:$8,"&lt;="&amp;EOMONTH(GA$8,0))/SUMIFS(46:46,$8:$8,"&gt;="&amp;DATE(YEAR(GA$8)-1,1,1),$8:$8,"&lt;="&amp;EOMONTH(GA$8,-12))-1</f>
        <v/>
      </c>
      <c r="GB49" s="1318">
        <f>SUMIFS(46:46,$8:$8,"&gt;="&amp;DATE(YEAR(GB$8),1,1),$8:$8,"&lt;="&amp;EOMONTH(GB$8,0))/SUMIFS(46:46,$8:$8,"&gt;="&amp;DATE(YEAR(GB$8)-1,1,1),$8:$8,"&lt;="&amp;EOMONTH(GB$8,-12))-1</f>
        <v/>
      </c>
      <c r="GC49" s="1318">
        <f>SUMIFS(46:46,$8:$8,"&gt;="&amp;DATE(YEAR(GC$8),1,1),$8:$8,"&lt;="&amp;EOMONTH(GC$8,0))/SUMIFS(46:46,$8:$8,"&gt;="&amp;DATE(YEAR(GC$8)-1,1,1),$8:$8,"&lt;="&amp;EOMONTH(GC$8,-12))-1</f>
        <v/>
      </c>
      <c r="GD49" s="1318">
        <f>SUMIFS(46:46,$8:$8,"&gt;="&amp;DATE(YEAR(GD$8),1,1),$8:$8,"&lt;="&amp;EOMONTH(GD$8,0))/SUMIFS(46:46,$8:$8,"&gt;="&amp;DATE(YEAR(GD$8)-1,1,1),$8:$8,"&lt;="&amp;EOMONTH(GD$8,-12))-1</f>
        <v/>
      </c>
      <c r="GE49" s="1318">
        <f>SUMIFS(46:46,$8:$8,"&gt;="&amp;DATE(YEAR(GE$8),1,1),$8:$8,"&lt;="&amp;EOMONTH(GE$8,0))/SUMIFS(46:46,$8:$8,"&gt;="&amp;DATE(YEAR(GE$8)-1,1,1),$8:$8,"&lt;="&amp;EOMONTH(GE$8,-12))-1</f>
        <v/>
      </c>
      <c r="GF49" s="1318">
        <f>SUMIFS(46:46,$8:$8,"&gt;="&amp;DATE(YEAR(GF$8),1,1),$8:$8,"&lt;="&amp;EOMONTH(GF$8,0))/SUMIFS(46:46,$8:$8,"&gt;="&amp;DATE(YEAR(GF$8)-1,1,1),$8:$8,"&lt;="&amp;EOMONTH(GF$8,-12))-1</f>
        <v/>
      </c>
      <c r="GG49" s="1318">
        <f>SUMIFS(46:46,$8:$8,"&gt;="&amp;DATE(YEAR(GG$8),1,1),$8:$8,"&lt;="&amp;EOMONTH(GG$8,0))/SUMIFS(46:46,$8:$8,"&gt;="&amp;DATE(YEAR(GG$8)-1,1,1),$8:$8,"&lt;="&amp;EOMONTH(GG$8,-12))-1</f>
        <v/>
      </c>
      <c r="GH49" s="1318">
        <f>SUMIFS(46:46,$8:$8,"&gt;="&amp;DATE(YEAR(GH$8),1,1),$8:$8,"&lt;="&amp;EOMONTH(GH$8,0))/SUMIFS(46:46,$8:$8,"&gt;="&amp;DATE(YEAR(GH$8)-1,1,1),$8:$8,"&lt;="&amp;EOMONTH(GH$8,-12))-1</f>
        <v/>
      </c>
      <c r="GI49" s="1318">
        <f>SUMIFS(46:46,$8:$8,"&gt;="&amp;DATE(YEAR(GI$8),1,1),$8:$8,"&lt;="&amp;EOMONTH(GI$8,0))/SUMIFS(46:46,$8:$8,"&gt;="&amp;DATE(YEAR(GI$8)-1,1,1),$8:$8,"&lt;="&amp;EOMONTH(GI$8,-12))-1</f>
        <v/>
      </c>
      <c r="GJ49" s="1318">
        <f>SUMIFS(46:46,$8:$8,"&gt;="&amp;DATE(YEAR(GJ$8),1,1),$8:$8,"&lt;="&amp;EOMONTH(GJ$8,0))/SUMIFS(46:46,$8:$8,"&gt;="&amp;DATE(YEAR(GJ$8)-1,1,1),$8:$8,"&lt;="&amp;EOMONTH(GJ$8,-12))-1</f>
        <v/>
      </c>
      <c r="GK49" s="1318">
        <f>SUMIFS(46:46,$8:$8,"&gt;="&amp;DATE(YEAR(GK$8),1,1),$8:$8,"&lt;="&amp;EOMONTH(GK$8,0))/SUMIFS(46:46,$8:$8,"&gt;="&amp;DATE(YEAR(GK$8)-1,1,1),$8:$8,"&lt;="&amp;EOMONTH(GK$8,-12))-1</f>
        <v/>
      </c>
      <c r="GL49" s="1318">
        <f>SUMIFS(46:46,$8:$8,"&gt;="&amp;DATE(YEAR(GL$8),1,1),$8:$8,"&lt;="&amp;EOMONTH(GL$8,0))/SUMIFS(46:46,$8:$8,"&gt;="&amp;DATE(YEAR(GL$8)-1,1,1),$8:$8,"&lt;="&amp;EOMONTH(GL$8,-12))-1</f>
        <v/>
      </c>
      <c r="GM49" s="1318">
        <f>SUMIFS(46:46,$8:$8,"&gt;="&amp;DATE(YEAR(GM$8),1,1),$8:$8,"&lt;="&amp;EOMONTH(GM$8,0))/SUMIFS(46:46,$8:$8,"&gt;="&amp;DATE(YEAR(GM$8)-1,1,1),$8:$8,"&lt;="&amp;EOMONTH(GM$8,-12))-1</f>
        <v/>
      </c>
      <c r="GN49" s="1318">
        <f>SUMIFS(46:46,$8:$8,"&gt;="&amp;DATE(YEAR(GN$8),1,1),$8:$8,"&lt;="&amp;EOMONTH(GN$8,0))/SUMIFS(46:46,$8:$8,"&gt;="&amp;DATE(YEAR(GN$8)-1,1,1),$8:$8,"&lt;="&amp;EOMONTH(GN$8,-12))-1</f>
        <v/>
      </c>
      <c r="GO49" s="1318">
        <f>SUMIFS(46:46,$8:$8,"&gt;="&amp;DATE(YEAR(GO$8),1,1),$8:$8,"&lt;="&amp;EOMONTH(GO$8,0))/SUMIFS(46:46,$8:$8,"&gt;="&amp;DATE(YEAR(GO$8)-1,1,1),$8:$8,"&lt;="&amp;EOMONTH(GO$8,-12))-1</f>
        <v/>
      </c>
      <c r="GP49" s="1318">
        <f>SUMIFS(46:46,$8:$8,"&gt;="&amp;DATE(YEAR(GP$8),1,1),$8:$8,"&lt;="&amp;EOMONTH(GP$8,0))/SUMIFS(46:46,$8:$8,"&gt;="&amp;DATE(YEAR(GP$8)-1,1,1),$8:$8,"&lt;="&amp;EOMONTH(GP$8,-12))-1</f>
        <v/>
      </c>
      <c r="GQ49" s="1318">
        <f>SUMIFS(46:46,$8:$8,"&gt;="&amp;DATE(YEAR(GQ$8),1,1),$8:$8,"&lt;="&amp;EOMONTH(GQ$8,0))/SUMIFS(46:46,$8:$8,"&gt;="&amp;DATE(YEAR(GQ$8)-1,1,1),$8:$8,"&lt;="&amp;EOMONTH(GQ$8,-12))-1</f>
        <v/>
      </c>
      <c r="GR49" s="1318">
        <f>SUMIFS(46:46,$8:$8,"&gt;="&amp;DATE(YEAR(GR$8),1,1),$8:$8,"&lt;="&amp;EOMONTH(GR$8,0))/SUMIFS(46:46,$8:$8,"&gt;="&amp;DATE(YEAR(GR$8)-1,1,1),$8:$8,"&lt;="&amp;EOMONTH(GR$8,-12))-1</f>
        <v/>
      </c>
      <c r="GS49" s="1318">
        <f>SUMIFS(46:46,$8:$8,"&gt;="&amp;DATE(YEAR(GS$8),1,1),$8:$8,"&lt;="&amp;EOMONTH(GS$8,0))/SUMIFS(46:46,$8:$8,"&gt;="&amp;DATE(YEAR(GS$8)-1,1,1),$8:$8,"&lt;="&amp;EOMONTH(GS$8,-12))-1</f>
        <v/>
      </c>
      <c r="GT49" s="1318">
        <f>SUMIFS(46:46,$8:$8,"&gt;="&amp;DATE(YEAR(GT$8),1,1),$8:$8,"&lt;="&amp;EOMONTH(GT$8,0))/SUMIFS(46:46,$8:$8,"&gt;="&amp;DATE(YEAR(GT$8)-1,1,1),$8:$8,"&lt;="&amp;EOMONTH(GT$8,-12))-1</f>
        <v/>
      </c>
      <c r="GU49" s="1318">
        <f>SUMIFS(46:46,$8:$8,"&gt;="&amp;DATE(YEAR(GU$8),1,1),$8:$8,"&lt;="&amp;EOMONTH(GU$8,0))/SUMIFS(46:46,$8:$8,"&gt;="&amp;DATE(YEAR(GU$8)-1,1,1),$8:$8,"&lt;="&amp;EOMONTH(GU$8,-12))-1</f>
        <v/>
      </c>
      <c r="GV49" s="1318">
        <f>SUMIFS(46:46,$8:$8,"&gt;="&amp;DATE(YEAR(GV$8),1,1),$8:$8,"&lt;="&amp;EOMONTH(GV$8,0))/SUMIFS(46:46,$8:$8,"&gt;="&amp;DATE(YEAR(GV$8)-1,1,1),$8:$8,"&lt;="&amp;EOMONTH(GV$8,-12))-1</f>
        <v/>
      </c>
      <c r="GW49" s="1318">
        <f>SUMIFS(46:46,$8:$8,"&gt;="&amp;DATE(YEAR(GW$8),1,1),$8:$8,"&lt;="&amp;EOMONTH(GW$8,0))/SUMIFS(46:46,$8:$8,"&gt;="&amp;DATE(YEAR(GW$8)-1,1,1),$8:$8,"&lt;="&amp;EOMONTH(GW$8,-12))-1</f>
        <v/>
      </c>
      <c r="GX49" s="1318">
        <f>SUMIFS(46:46,$8:$8,"&gt;="&amp;DATE(YEAR(GX$8),1,1),$8:$8,"&lt;="&amp;EOMONTH(GX$8,0))/SUMIFS(46:46,$8:$8,"&gt;="&amp;DATE(YEAR(GX$8)-1,1,1),$8:$8,"&lt;="&amp;EOMONTH(GX$8,-12))-1</f>
        <v/>
      </c>
      <c r="GY49" s="1318">
        <f>SUMIFS(46:46,$8:$8,"&gt;="&amp;DATE(YEAR(GY$8),1,1),$8:$8,"&lt;="&amp;EOMONTH(GY$8,0))/SUMIFS(46:46,$8:$8,"&gt;="&amp;DATE(YEAR(GY$8)-1,1,1),$8:$8,"&lt;="&amp;EOMONTH(GY$8,-12))-1</f>
        <v/>
      </c>
      <c r="GZ49" s="1318">
        <f>SUMIFS(46:46,$8:$8,"&gt;="&amp;DATE(YEAR(GZ$8),1,1),$8:$8,"&lt;="&amp;EOMONTH(GZ$8,0))/SUMIFS(46:46,$8:$8,"&gt;="&amp;DATE(YEAR(GZ$8)-1,1,1),$8:$8,"&lt;="&amp;EOMONTH(GZ$8,-12))-1</f>
        <v/>
      </c>
      <c r="HA49" s="1318">
        <f>SUMIFS(46:46,$8:$8,"&gt;="&amp;DATE(YEAR(HA$8),1,1),$8:$8,"&lt;="&amp;EOMONTH(HA$8,0))/SUMIFS(46:46,$8:$8,"&gt;="&amp;DATE(YEAR(HA$8)-1,1,1),$8:$8,"&lt;="&amp;EOMONTH(HA$8,-12))-1</f>
        <v/>
      </c>
      <c r="HB49" s="1318">
        <f>SUMIFS(46:46,$8:$8,"&gt;="&amp;DATE(YEAR(HB$8),1,1),$8:$8,"&lt;="&amp;EOMONTH(HB$8,0))/SUMIFS(46:46,$8:$8,"&gt;="&amp;DATE(YEAR(HB$8)-1,1,1),$8:$8,"&lt;="&amp;EOMONTH(HB$8,-12))-1</f>
        <v/>
      </c>
      <c r="HC49" s="1318">
        <f>SUMIFS(46:46,$8:$8,"&gt;="&amp;DATE(YEAR(HC$8),1,1),$8:$8,"&lt;="&amp;EOMONTH(HC$8,0))/SUMIFS(46:46,$8:$8,"&gt;="&amp;DATE(YEAR(HC$8)-1,1,1),$8:$8,"&lt;="&amp;EOMONTH(HC$8,-12))-1</f>
        <v/>
      </c>
      <c r="HD49" s="1318">
        <f>SUMIFS(46:46,$8:$8,"&gt;="&amp;DATE(YEAR(HD$8),1,1),$8:$8,"&lt;="&amp;EOMONTH(HD$8,0))/SUMIFS(46:46,$8:$8,"&gt;="&amp;DATE(YEAR(HD$8)-1,1,1),$8:$8,"&lt;="&amp;EOMONTH(HD$8,-12))-1</f>
        <v/>
      </c>
      <c r="HE49" s="1318">
        <f>SUMIFS(46:46,$8:$8,"&gt;="&amp;DATE(YEAR(HE$8),1,1),$8:$8,"&lt;="&amp;EOMONTH(HE$8,0))/SUMIFS(46:46,$8:$8,"&gt;="&amp;DATE(YEAR(HE$8)-1,1,1),$8:$8,"&lt;="&amp;EOMONTH(HE$8,-12))-1</f>
        <v/>
      </c>
      <c r="HF49" s="1318">
        <f>SUMIFS(46:46,$8:$8,"&gt;="&amp;DATE(YEAR(HF$8),1,1),$8:$8,"&lt;="&amp;EOMONTH(HF$8,0))/SUMIFS(46:46,$8:$8,"&gt;="&amp;DATE(YEAR(HF$8)-1,1,1),$8:$8,"&lt;="&amp;EOMONTH(HF$8,-12))-1</f>
        <v/>
      </c>
      <c r="HG49" s="1318">
        <f>SUMIFS(46:46,$8:$8,"&gt;="&amp;DATE(YEAR(HG$8),1,1),$8:$8,"&lt;="&amp;EOMONTH(HG$8,0))/SUMIFS(46:46,$8:$8,"&gt;="&amp;DATE(YEAR(HG$8)-1,1,1),$8:$8,"&lt;="&amp;EOMONTH(HG$8,-12))-1</f>
        <v/>
      </c>
      <c r="HH49" s="1318">
        <f>SUMIFS(46:46,$8:$8,"&gt;="&amp;DATE(YEAR(HH$8),1,1),$8:$8,"&lt;="&amp;EOMONTH(HH$8,0))/SUMIFS(46:46,$8:$8,"&gt;="&amp;DATE(YEAR(HH$8)-1,1,1),$8:$8,"&lt;="&amp;EOMONTH(HH$8,-12))-1</f>
        <v/>
      </c>
      <c r="HI49" s="1318">
        <f>SUMIFS(46:46,$8:$8,"&gt;="&amp;DATE(YEAR(HI$8),1,1),$8:$8,"&lt;="&amp;EOMONTH(HI$8,0))/SUMIFS(46:46,$8:$8,"&gt;="&amp;DATE(YEAR(HI$8)-1,1,1),$8:$8,"&lt;="&amp;EOMONTH(HI$8,-12))-1</f>
        <v/>
      </c>
      <c r="HJ49" s="1318">
        <f>SUMIFS(46:46,$8:$8,"&gt;="&amp;DATE(YEAR(HJ$8),1,1),$8:$8,"&lt;="&amp;EOMONTH(HJ$8,0))/SUMIFS(46:46,$8:$8,"&gt;="&amp;DATE(YEAR(HJ$8)-1,1,1),$8:$8,"&lt;="&amp;EOMONTH(HJ$8,-12))-1</f>
        <v/>
      </c>
      <c r="HK49" s="1318">
        <f>SUMIFS(46:46,$8:$8,"&gt;="&amp;DATE(YEAR(HK$8),1,1),$8:$8,"&lt;="&amp;EOMONTH(HK$8,0))/SUMIFS(46:46,$8:$8,"&gt;="&amp;DATE(YEAR(HK$8)-1,1,1),$8:$8,"&lt;="&amp;EOMONTH(HK$8,-12))-1</f>
        <v/>
      </c>
      <c r="HL49" s="1318">
        <f>SUMIFS(46:46,$8:$8,"&gt;="&amp;DATE(YEAR(HL$8),1,1),$8:$8,"&lt;="&amp;EOMONTH(HL$8,0))/SUMIFS(46:46,$8:$8,"&gt;="&amp;DATE(YEAR(HL$8)-1,1,1),$8:$8,"&lt;="&amp;EOMONTH(HL$8,-12))-1</f>
        <v/>
      </c>
      <c r="HM49" s="1318">
        <f>SUMIFS(46:46,$8:$8,"&gt;="&amp;DATE(YEAR(HM$8),1,1),$8:$8,"&lt;="&amp;EOMONTH(HM$8,0))/SUMIFS(46:46,$8:$8,"&gt;="&amp;DATE(YEAR(HM$8)-1,1,1),$8:$8,"&lt;="&amp;EOMONTH(HM$8,-12))-1</f>
        <v/>
      </c>
      <c r="HN49" s="1318">
        <f>SUMIFS(46:46,$8:$8,"&gt;="&amp;DATE(YEAR(HN$8),1,1),$8:$8,"&lt;="&amp;EOMONTH(HN$8,0))/SUMIFS(46:46,$8:$8,"&gt;="&amp;DATE(YEAR(HN$8)-1,1,1),$8:$8,"&lt;="&amp;EOMONTH(HN$8,-12))-1</f>
        <v/>
      </c>
      <c r="HO49" s="1318">
        <f>SUMIFS(46:46,$8:$8,"&gt;="&amp;DATE(YEAR(HO$8),1,1),$8:$8,"&lt;="&amp;EOMONTH(HO$8,0))/SUMIFS(46:46,$8:$8,"&gt;="&amp;DATE(YEAR(HO$8)-1,1,1),$8:$8,"&lt;="&amp;EOMONTH(HO$8,-12))-1</f>
        <v/>
      </c>
      <c r="HP49" s="1318">
        <f>SUMIFS(46:46,$8:$8,"&gt;="&amp;DATE(YEAR(HP$8),1,1),$8:$8,"&lt;="&amp;EOMONTH(HP$8,0))/SUMIFS(46:46,$8:$8,"&gt;="&amp;DATE(YEAR(HP$8)-1,1,1),$8:$8,"&lt;="&amp;EOMONTH(HP$8,-12))-1</f>
        <v/>
      </c>
      <c r="HQ49" s="1318">
        <f>SUMIFS(46:46,$8:$8,"&gt;="&amp;DATE(YEAR(HQ$8),1,1),$8:$8,"&lt;="&amp;EOMONTH(HQ$8,0))/SUMIFS(46:46,$8:$8,"&gt;="&amp;DATE(YEAR(HQ$8)-1,1,1),$8:$8,"&lt;="&amp;EOMONTH(HQ$8,-12))-1</f>
        <v/>
      </c>
      <c r="HR49" s="1318">
        <f>SUMIFS(46:46,$8:$8,"&gt;="&amp;DATE(YEAR(HR$8),1,1),$8:$8,"&lt;="&amp;EOMONTH(HR$8,0))/SUMIFS(46:46,$8:$8,"&gt;="&amp;DATE(YEAR(HR$8)-1,1,1),$8:$8,"&lt;="&amp;EOMONTH(HR$8,-12))-1</f>
        <v/>
      </c>
      <c r="HS49" s="1318">
        <f>SUMIFS(46:46,$8:$8,"&gt;="&amp;DATE(YEAR(HS$8),1,1),$8:$8,"&lt;="&amp;EOMONTH(HS$8,0))/SUMIFS(46:46,$8:$8,"&gt;="&amp;DATE(YEAR(HS$8)-1,1,1),$8:$8,"&lt;="&amp;EOMONTH(HS$8,-12))-1</f>
        <v/>
      </c>
      <c r="HT49" s="1318">
        <f>SUMIFS(46:46,$8:$8,"&gt;="&amp;DATE(YEAR(HT$8),1,1),$8:$8,"&lt;="&amp;EOMONTH(HT$8,0))/SUMIFS(46:46,$8:$8,"&gt;="&amp;DATE(YEAR(HT$8)-1,1,1),$8:$8,"&lt;="&amp;EOMONTH(HT$8,-12))-1</f>
        <v/>
      </c>
      <c r="HU49" s="1318">
        <f>SUMIFS(46:46,$8:$8,"&gt;="&amp;DATE(YEAR(HU$8),1,1),$8:$8,"&lt;="&amp;EOMONTH(HU$8,0))/SUMIFS(46:46,$8:$8,"&gt;="&amp;DATE(YEAR(HU$8)-1,1,1),$8:$8,"&lt;="&amp;EOMONTH(HU$8,-12))-1</f>
        <v/>
      </c>
      <c r="HV49" s="1318">
        <f>SUMIFS(46:46,$8:$8,"&gt;="&amp;DATE(YEAR(HV$8),1,1),$8:$8,"&lt;="&amp;EOMONTH(HV$8,0))/SUMIFS(46:46,$8:$8,"&gt;="&amp;DATE(YEAR(HV$8)-1,1,1),$8:$8,"&lt;="&amp;EOMONTH(HV$8,-12))-1</f>
        <v/>
      </c>
      <c r="HW49" s="1318">
        <f>SUMIFS(46:46,$8:$8,"&gt;="&amp;DATE(YEAR(HW$8),1,1),$8:$8,"&lt;="&amp;EOMONTH(HW$8,0))/SUMIFS(46:46,$8:$8,"&gt;="&amp;DATE(YEAR(HW$8)-1,1,1),$8:$8,"&lt;="&amp;EOMONTH(HW$8,-12))-1</f>
        <v/>
      </c>
      <c r="HX49" s="1318">
        <f>SUMIFS(46:46,$8:$8,"&gt;="&amp;DATE(YEAR(HX$8),1,1),$8:$8,"&lt;="&amp;EOMONTH(HX$8,0))/SUMIFS(46:46,$8:$8,"&gt;="&amp;DATE(YEAR(HX$8)-1,1,1),$8:$8,"&lt;="&amp;EOMONTH(HX$8,-12))-1</f>
        <v/>
      </c>
      <c r="HY49" s="1318">
        <f>SUMIFS(46:46,$8:$8,"&gt;="&amp;DATE(YEAR(HY$8),1,1),$8:$8,"&lt;="&amp;EOMONTH(HY$8,0))/SUMIFS(46:46,$8:$8,"&gt;="&amp;DATE(YEAR(HY$8)-1,1,1),$8:$8,"&lt;="&amp;EOMONTH(HY$8,-12))-1</f>
        <v/>
      </c>
      <c r="HZ49" s="1318">
        <f>SUMIFS(46:46,$8:$8,"&gt;="&amp;DATE(YEAR(HZ$8),1,1),$8:$8,"&lt;="&amp;EOMONTH(HZ$8,0))/SUMIFS(46:46,$8:$8,"&gt;="&amp;DATE(YEAR(HZ$8)-1,1,1),$8:$8,"&lt;="&amp;EOMONTH(HZ$8,-12))-1</f>
        <v/>
      </c>
      <c r="IA49" s="1318">
        <f>SUMIFS(46:46,$8:$8,"&gt;="&amp;DATE(YEAR(IA$8),1,1),$8:$8,"&lt;="&amp;EOMONTH(IA$8,0))/SUMIFS(46:46,$8:$8,"&gt;="&amp;DATE(YEAR(IA$8)-1,1,1),$8:$8,"&lt;="&amp;EOMONTH(IA$8,-12))-1</f>
        <v/>
      </c>
      <c r="IB49" s="1318">
        <f>SUMIFS(46:46,$8:$8,"&gt;="&amp;DATE(YEAR(IB$8),1,1),$8:$8,"&lt;="&amp;EOMONTH(IB$8,0))/SUMIFS(46:46,$8:$8,"&gt;="&amp;DATE(YEAR(IB$8)-1,1,1),$8:$8,"&lt;="&amp;EOMONTH(IB$8,-12))-1</f>
        <v/>
      </c>
      <c r="IC49" s="1318">
        <f>SUMIFS(46:46,$8:$8,"&gt;="&amp;DATE(YEAR(IC$8),1,1),$8:$8,"&lt;="&amp;EOMONTH(IC$8,0))/SUMIFS(46:46,$8:$8,"&gt;="&amp;DATE(YEAR(IC$8)-1,1,1),$8:$8,"&lt;="&amp;EOMONTH(IC$8,-12))-1</f>
        <v/>
      </c>
      <c r="ID49" s="1318">
        <f>SUMIFS(46:46,$8:$8,"&gt;="&amp;DATE(YEAR(ID$8),1,1),$8:$8,"&lt;="&amp;EOMONTH(ID$8,0))/SUMIFS(46:46,$8:$8,"&gt;="&amp;DATE(YEAR(ID$8)-1,1,1),$8:$8,"&lt;="&amp;EOMONTH(ID$8,-12))-1</f>
        <v/>
      </c>
      <c r="IE49" s="1318">
        <f>SUMIFS(46:46,$8:$8,"&gt;="&amp;DATE(YEAR(IE$8),1,1),$8:$8,"&lt;="&amp;EOMONTH(IE$8,0))/SUMIFS(46:46,$8:$8,"&gt;="&amp;DATE(YEAR(IE$8)-1,1,1),$8:$8,"&lt;="&amp;EOMONTH(IE$8,-12))-1</f>
        <v/>
      </c>
      <c r="IF49" s="1318">
        <f>SUMIFS(46:46,$8:$8,"&gt;="&amp;DATE(YEAR(IF$8),1,1),$8:$8,"&lt;="&amp;EOMONTH(IF$8,0))/SUMIFS(46:46,$8:$8,"&gt;="&amp;DATE(YEAR(IF$8)-1,1,1),$8:$8,"&lt;="&amp;EOMONTH(IF$8,-12))-1</f>
        <v/>
      </c>
      <c r="IG49" s="1318">
        <f>SUMIFS(46:46,$8:$8,"&gt;="&amp;DATE(YEAR(IG$8),1,1),$8:$8,"&lt;="&amp;EOMONTH(IG$8,0))/SUMIFS(46:46,$8:$8,"&gt;="&amp;DATE(YEAR(IG$8)-1,1,1),$8:$8,"&lt;="&amp;EOMONTH(IG$8,-12))-1</f>
        <v/>
      </c>
      <c r="IH49" s="1318">
        <f>SUMIFS(46:46,$8:$8,"&gt;="&amp;DATE(YEAR(IH$8),1,1),$8:$8,"&lt;="&amp;EOMONTH(IH$8,0))/SUMIFS(46:46,$8:$8,"&gt;="&amp;DATE(YEAR(IH$8)-1,1,1),$8:$8,"&lt;="&amp;EOMONTH(IH$8,-12))-1</f>
        <v/>
      </c>
      <c r="II49" s="1318">
        <f>SUMIFS(46:46,$8:$8,"&gt;="&amp;DATE(YEAR(II$8),1,1),$8:$8,"&lt;="&amp;EOMONTH(II$8,0))/SUMIFS(46:46,$8:$8,"&gt;="&amp;DATE(YEAR(II$8)-1,1,1),$8:$8,"&lt;="&amp;EOMONTH(II$8,-12))-1</f>
        <v/>
      </c>
      <c r="IJ49" s="1318">
        <f>SUMIFS(46:46,$8:$8,"&gt;="&amp;DATE(YEAR(IJ$8),1,1),$8:$8,"&lt;="&amp;EOMONTH(IJ$8,0))/SUMIFS(46:46,$8:$8,"&gt;="&amp;DATE(YEAR(IJ$8)-1,1,1),$8:$8,"&lt;="&amp;EOMONTH(IJ$8,-12))-1</f>
        <v/>
      </c>
      <c r="IK49" s="1318">
        <f>SUMIFS(46:46,$8:$8,"&gt;="&amp;DATE(YEAR(IK$8),1,1),$8:$8,"&lt;="&amp;EOMONTH(IK$8,0))/SUMIFS(46:46,$8:$8,"&gt;="&amp;DATE(YEAR(IK$8)-1,1,1),$8:$8,"&lt;="&amp;EOMONTH(IK$8,-12))-1</f>
        <v/>
      </c>
      <c r="IL49" s="1318">
        <f>SUMIFS(46:46,$8:$8,"&gt;="&amp;DATE(YEAR(IL$8),1,1),$8:$8,"&lt;="&amp;EOMONTH(IL$8,0))/SUMIFS(46:46,$8:$8,"&gt;="&amp;DATE(YEAR(IL$8)-1,1,1),$8:$8,"&lt;="&amp;EOMONTH(IL$8,-12))-1</f>
        <v/>
      </c>
      <c r="IM49" s="1318">
        <f>SUMIFS(46:46,$8:$8,"&gt;="&amp;DATE(YEAR(IM$8),1,1),$8:$8,"&lt;="&amp;EOMONTH(IM$8,0))/SUMIFS(46:46,$8:$8,"&gt;="&amp;DATE(YEAR(IM$8)-1,1,1),$8:$8,"&lt;="&amp;EOMONTH(IM$8,-12))-1</f>
        <v/>
      </c>
      <c r="IN49" s="1318">
        <f>SUMIFS(46:46,$8:$8,"&gt;="&amp;DATE(YEAR(IN$8),1,1),$8:$8,"&lt;="&amp;EOMONTH(IN$8,0))/SUMIFS(46:46,$8:$8,"&gt;="&amp;DATE(YEAR(IN$8)-1,1,1),$8:$8,"&lt;="&amp;EOMONTH(IN$8,-12))-1</f>
        <v/>
      </c>
      <c r="IO49" s="1318">
        <f>SUMIFS(46:46,$8:$8,"&gt;="&amp;DATE(YEAR(IO$8),1,1),$8:$8,"&lt;="&amp;EOMONTH(IO$8,0))/SUMIFS(46:46,$8:$8,"&gt;="&amp;DATE(YEAR(IO$8)-1,1,1),$8:$8,"&lt;="&amp;EOMONTH(IO$8,-12))-1</f>
        <v/>
      </c>
      <c r="IP49" s="1318">
        <f>SUMIFS(46:46,$8:$8,"&gt;="&amp;DATE(YEAR(IP$8),1,1),$8:$8,"&lt;="&amp;EOMONTH(IP$8,0))/SUMIFS(46:46,$8:$8,"&gt;="&amp;DATE(YEAR(IP$8)-1,1,1),$8:$8,"&lt;="&amp;EOMONTH(IP$8,-12))-1</f>
        <v/>
      </c>
      <c r="IQ49" s="1318">
        <f>SUMIFS(46:46,$8:$8,"&gt;="&amp;DATE(YEAR(IQ$8),1,1),$8:$8,"&lt;="&amp;EOMONTH(IQ$8,0))/SUMIFS(46:46,$8:$8,"&gt;="&amp;DATE(YEAR(IQ$8)-1,1,1),$8:$8,"&lt;="&amp;EOMONTH(IQ$8,-12))-1</f>
        <v/>
      </c>
      <c r="IR49" s="1318">
        <f>SUMIFS(46:46,$8:$8,"&gt;="&amp;DATE(YEAR(IR$8),1,1),$8:$8,"&lt;="&amp;EOMONTH(IR$8,0))/SUMIFS(46:46,$8:$8,"&gt;="&amp;DATE(YEAR(IR$8)-1,1,1),$8:$8,"&lt;="&amp;EOMONTH(IR$8,-12))-1</f>
        <v/>
      </c>
      <c r="IS49" s="1318">
        <f>SUMIFS(46:46,$8:$8,"&gt;="&amp;DATE(YEAR(IS$8),1,1),$8:$8,"&lt;="&amp;EOMONTH(IS$8,0))/SUMIFS(46:46,$8:$8,"&gt;="&amp;DATE(YEAR(IS$8)-1,1,1),$8:$8,"&lt;="&amp;EOMONTH(IS$8,-12))-1</f>
        <v/>
      </c>
      <c r="IT49" s="1318">
        <f>SUMIFS(46:46,$8:$8,"&gt;="&amp;DATE(YEAR(IT$8),1,1),$8:$8,"&lt;="&amp;EOMONTH(IT$8,0))/SUMIFS(46:46,$8:$8,"&gt;="&amp;DATE(YEAR(IT$8)-1,1,1),$8:$8,"&lt;="&amp;EOMONTH(IT$8,-12))-1</f>
        <v/>
      </c>
      <c r="IU49" s="1318">
        <f>SUMIFS(46:46,$8:$8,"&gt;="&amp;DATE(YEAR(IU$8),1,1),$8:$8,"&lt;="&amp;EOMONTH(IU$8,0))/SUMIFS(46:46,$8:$8,"&gt;="&amp;DATE(YEAR(IU$8)-1,1,1),$8:$8,"&lt;="&amp;EOMONTH(IU$8,-12))-1</f>
        <v/>
      </c>
      <c r="IV49" s="1318">
        <f>SUMIFS(46:46,$8:$8,"&gt;="&amp;DATE(YEAR(IV$8),1,1),$8:$8,"&lt;="&amp;EOMONTH(IV$8,0))/SUMIFS(46:46,$8:$8,"&gt;="&amp;DATE(YEAR(IV$8)-1,1,1),$8:$8,"&lt;="&amp;EOMONTH(IV$8,-12))-1</f>
        <v/>
      </c>
      <c r="IW49" s="1318">
        <f>SUMIFS(46:46,$8:$8,"&gt;="&amp;DATE(YEAR(IW$8),1,1),$8:$8,"&lt;="&amp;EOMONTH(IW$8,0))/SUMIFS(46:46,$8:$8,"&gt;="&amp;DATE(YEAR(IW$8)-1,1,1),$8:$8,"&lt;="&amp;EOMONTH(IW$8,-12))-1</f>
        <v/>
      </c>
      <c r="IX49" s="1318">
        <f>SUMIFS(46:46,$8:$8,"&gt;="&amp;DATE(YEAR(IX$8),1,1),$8:$8,"&lt;="&amp;EOMONTH(IX$8,0))/SUMIFS(46:46,$8:$8,"&gt;="&amp;DATE(YEAR(IX$8)-1,1,1),$8:$8,"&lt;="&amp;EOMONTH(IX$8,-12))-1</f>
        <v/>
      </c>
      <c r="IY49" s="1318">
        <f>SUMIFS(46:46,$8:$8,"&gt;="&amp;DATE(YEAR(IY$8),1,1),$8:$8,"&lt;="&amp;EOMONTH(IY$8,0))/SUMIFS(46:46,$8:$8,"&gt;="&amp;DATE(YEAR(IY$8)-1,1,1),$8:$8,"&lt;="&amp;EOMONTH(IY$8,-12))-1</f>
        <v/>
      </c>
      <c r="IZ49" s="1318">
        <f>SUMIFS(46:46,$8:$8,"&gt;="&amp;DATE(YEAR(IZ$8),1,1),$8:$8,"&lt;="&amp;EOMONTH(IZ$8,0))/SUMIFS(46:46,$8:$8,"&gt;="&amp;DATE(YEAR(IZ$8)-1,1,1),$8:$8,"&lt;="&amp;EOMONTH(IZ$8,-12))-1</f>
        <v/>
      </c>
      <c r="JA49" s="1318">
        <f>SUMIFS(46:46,$8:$8,"&gt;="&amp;DATE(YEAR(JA$8),1,1),$8:$8,"&lt;="&amp;EOMONTH(JA$8,0))/SUMIFS(46:46,$8:$8,"&gt;="&amp;DATE(YEAR(JA$8)-1,1,1),$8:$8,"&lt;="&amp;EOMONTH(JA$8,-12))-1</f>
        <v/>
      </c>
      <c r="JB49" s="1318">
        <f>SUMIFS(46:46,$8:$8,"&gt;="&amp;DATE(YEAR(JB$8),1,1),$8:$8,"&lt;="&amp;EOMONTH(JB$8,0))/SUMIFS(46:46,$8:$8,"&gt;="&amp;DATE(YEAR(JB$8)-1,1,1),$8:$8,"&lt;="&amp;EOMONTH(JB$8,-12))-1</f>
        <v/>
      </c>
      <c r="JC49" s="1318">
        <f>SUMIFS(46:46,$8:$8,"&gt;="&amp;DATE(YEAR(JC$8),1,1),$8:$8,"&lt;="&amp;EOMONTH(JC$8,0))/SUMIFS(46:46,$8:$8,"&gt;="&amp;DATE(YEAR(JC$8)-1,1,1),$8:$8,"&lt;="&amp;EOMONTH(JC$8,-12))-1</f>
        <v/>
      </c>
      <c r="JD49" s="1318">
        <f>SUMIFS(46:46,$8:$8,"&gt;="&amp;DATE(YEAR(JD$8),1,1),$8:$8,"&lt;="&amp;EOMONTH(JD$8,0))/SUMIFS(46:46,$8:$8,"&gt;="&amp;DATE(YEAR(JD$8)-1,1,1),$8:$8,"&lt;="&amp;EOMONTH(JD$8,-12))-1</f>
        <v/>
      </c>
      <c r="JE49" s="1318">
        <f>SUMIFS(46:46,$8:$8,"&gt;="&amp;DATE(YEAR(JE$8),1,1),$8:$8,"&lt;="&amp;EOMONTH(JE$8,0))/SUMIFS(46:46,$8:$8,"&gt;="&amp;DATE(YEAR(JE$8)-1,1,1),$8:$8,"&lt;="&amp;EOMONTH(JE$8,-12))-1</f>
        <v/>
      </c>
      <c r="JF49" s="1318">
        <f>SUMIFS(46:46,$8:$8,"&gt;="&amp;DATE(YEAR(JF$8),1,1),$8:$8,"&lt;="&amp;EOMONTH(JF$8,0))/SUMIFS(46:46,$8:$8,"&gt;="&amp;DATE(YEAR(JF$8)-1,1,1),$8:$8,"&lt;="&amp;EOMONTH(JF$8,-12))-1</f>
        <v/>
      </c>
      <c r="JG49" s="1318">
        <f>SUMIFS(46:46,$8:$8,"&gt;="&amp;DATE(YEAR(JG$8),1,1),$8:$8,"&lt;="&amp;EOMONTH(JG$8,0))/SUMIFS(46:46,$8:$8,"&gt;="&amp;DATE(YEAR(JG$8)-1,1,1),$8:$8,"&lt;="&amp;EOMONTH(JG$8,-12))-1</f>
        <v/>
      </c>
      <c r="JH49" s="1318">
        <f>SUMIFS(46:46,$8:$8,"&gt;="&amp;DATE(YEAR(JH$8),1,1),$8:$8,"&lt;="&amp;EOMONTH(JH$8,0))/SUMIFS(46:46,$8:$8,"&gt;="&amp;DATE(YEAR(JH$8)-1,1,1),$8:$8,"&lt;="&amp;EOMONTH(JH$8,-12))-1</f>
        <v/>
      </c>
      <c r="JI49" s="1318">
        <f>SUMIFS(46:46,$8:$8,"&gt;="&amp;DATE(YEAR(JI$8),1,1),$8:$8,"&lt;="&amp;EOMONTH(JI$8,0))/SUMIFS(46:46,$8:$8,"&gt;="&amp;DATE(YEAR(JI$8)-1,1,1),$8:$8,"&lt;="&amp;EOMONTH(JI$8,-12))-1</f>
        <v/>
      </c>
      <c r="JJ49" s="1318">
        <f>SUMIFS(46:46,$8:$8,"&gt;="&amp;DATE(YEAR(JJ$8),1,1),$8:$8,"&lt;="&amp;EOMONTH(JJ$8,0))/SUMIFS(46:46,$8:$8,"&gt;="&amp;DATE(YEAR(JJ$8)-1,1,1),$8:$8,"&lt;="&amp;EOMONTH(JJ$8,-12))-1</f>
        <v/>
      </c>
      <c r="JK49" s="1318">
        <f>SUMIFS(46:46,$8:$8,"&gt;="&amp;DATE(YEAR(JK$8),1,1),$8:$8,"&lt;="&amp;EOMONTH(JK$8,0))/SUMIFS(46:46,$8:$8,"&gt;="&amp;DATE(YEAR(JK$8)-1,1,1),$8:$8,"&lt;="&amp;EOMONTH(JK$8,-12))-1</f>
        <v/>
      </c>
      <c r="JL49" s="1318">
        <f>SUMIFS(46:46,$8:$8,"&gt;="&amp;DATE(YEAR(JL$8),1,1),$8:$8,"&lt;="&amp;EOMONTH(JL$8,0))/SUMIFS(46:46,$8:$8,"&gt;="&amp;DATE(YEAR(JL$8)-1,1,1),$8:$8,"&lt;="&amp;EOMONTH(JL$8,-12))-1</f>
        <v/>
      </c>
      <c r="JM49" s="1318">
        <f>SUMIFS(46:46,$8:$8,"&gt;="&amp;DATE(YEAR(JM$8),1,1),$8:$8,"&lt;="&amp;EOMONTH(JM$8,0))/SUMIFS(46:46,$8:$8,"&gt;="&amp;DATE(YEAR(JM$8)-1,1,1),$8:$8,"&lt;="&amp;EOMONTH(JM$8,-12))-1</f>
        <v/>
      </c>
      <c r="JN49" s="1318">
        <f>SUMIFS(46:46,$8:$8,"&gt;="&amp;DATE(YEAR(JN$8),1,1),$8:$8,"&lt;="&amp;EOMONTH(JN$8,0))/SUMIFS(46:46,$8:$8,"&gt;="&amp;DATE(YEAR(JN$8)-1,1,1),$8:$8,"&lt;="&amp;EOMONTH(JN$8,-12))-1</f>
        <v/>
      </c>
      <c r="JO49" s="1318">
        <f>SUMIFS(46:46,$8:$8,"&gt;="&amp;DATE(YEAR(JO$8),1,1),$8:$8,"&lt;="&amp;EOMONTH(JO$8,0))/SUMIFS(46:46,$8:$8,"&gt;="&amp;DATE(YEAR(JO$8)-1,1,1),$8:$8,"&lt;="&amp;EOMONTH(JO$8,-12))-1</f>
        <v/>
      </c>
      <c r="JP49" s="1318">
        <f>SUMIFS(46:46,$8:$8,"&gt;="&amp;DATE(YEAR(JP$8),1,1),$8:$8,"&lt;="&amp;EOMONTH(JP$8,0))/SUMIFS(46:46,$8:$8,"&gt;="&amp;DATE(YEAR(JP$8)-1,1,1),$8:$8,"&lt;="&amp;EOMONTH(JP$8,-12))-1</f>
        <v/>
      </c>
      <c r="JQ49" s="1318">
        <f>SUMIFS(46:46,$8:$8,"&gt;="&amp;DATE(YEAR(JQ$8),1,1),$8:$8,"&lt;="&amp;EOMONTH(JQ$8,0))/SUMIFS(46:46,$8:$8,"&gt;="&amp;DATE(YEAR(JQ$8)-1,1,1),$8:$8,"&lt;="&amp;EOMONTH(JQ$8,-12))-1</f>
        <v/>
      </c>
      <c r="JR49" s="1318">
        <f>SUMIFS(46:46,$8:$8,"&gt;="&amp;DATE(YEAR(JR$8),1,1),$8:$8,"&lt;="&amp;EOMONTH(JR$8,0))/SUMIFS(46:46,$8:$8,"&gt;="&amp;DATE(YEAR(JR$8)-1,1,1),$8:$8,"&lt;="&amp;EOMONTH(JR$8,-12))-1</f>
        <v/>
      </c>
      <c r="JS49" s="1318">
        <f>SUMIFS(46:46,$8:$8,"&gt;="&amp;DATE(YEAR(JS$8),1,1),$8:$8,"&lt;="&amp;EOMONTH(JS$8,0))/SUMIFS(46:46,$8:$8,"&gt;="&amp;DATE(YEAR(JS$8)-1,1,1),$8:$8,"&lt;="&amp;EOMONTH(JS$8,-12))-1</f>
        <v/>
      </c>
      <c r="JT49" s="1318">
        <f>SUMIFS(46:46,$8:$8,"&gt;="&amp;DATE(YEAR(JT$8),1,1),$8:$8,"&lt;="&amp;EOMONTH(JT$8,0))/SUMIFS(46:46,$8:$8,"&gt;="&amp;DATE(YEAR(JT$8)-1,1,1),$8:$8,"&lt;="&amp;EOMONTH(JT$8,-12))-1</f>
        <v/>
      </c>
      <c r="JU49" s="1318">
        <f>SUMIFS(46:46,$8:$8,"&gt;="&amp;DATE(YEAR(JU$8),1,1),$8:$8,"&lt;="&amp;EOMONTH(JU$8,0))/SUMIFS(46:46,$8:$8,"&gt;="&amp;DATE(YEAR(JU$8)-1,1,1),$8:$8,"&lt;="&amp;EOMONTH(JU$8,-12))-1</f>
        <v/>
      </c>
      <c r="JV49" s="1318">
        <f>SUMIFS(46:46,$8:$8,"&gt;="&amp;DATE(YEAR(JV$8),1,1),$8:$8,"&lt;="&amp;EOMONTH(JV$8,0))/SUMIFS(46:46,$8:$8,"&gt;="&amp;DATE(YEAR(JV$8)-1,1,1),$8:$8,"&lt;="&amp;EOMONTH(JV$8,-12))-1</f>
        <v/>
      </c>
      <c r="JW49" s="1318">
        <f>SUMIFS(46:46,$8:$8,"&gt;="&amp;DATE(YEAR(JW$8),1,1),$8:$8,"&lt;="&amp;EOMONTH(JW$8,0))/SUMIFS(46:46,$8:$8,"&gt;="&amp;DATE(YEAR(JW$8)-1,1,1),$8:$8,"&lt;="&amp;EOMONTH(JW$8,-12))-1</f>
        <v/>
      </c>
      <c r="JX49" s="1318">
        <f>SUMIFS(46:46,$8:$8,"&gt;="&amp;DATE(YEAR(JX$8),1,1),$8:$8,"&lt;="&amp;EOMONTH(JX$8,0))/SUMIFS(46:46,$8:$8,"&gt;="&amp;DATE(YEAR(JX$8)-1,1,1),$8:$8,"&lt;="&amp;EOMONTH(JX$8,-12))-1</f>
        <v/>
      </c>
      <c r="JY49" s="1318">
        <f>SUMIFS(46:46,$8:$8,"&gt;="&amp;DATE(YEAR(JY$8),1,1),$8:$8,"&lt;="&amp;EOMONTH(JY$8,0))/SUMIFS(46:46,$8:$8,"&gt;="&amp;DATE(YEAR(JY$8)-1,1,1),$8:$8,"&lt;="&amp;EOMONTH(JY$8,-12))-1</f>
        <v/>
      </c>
      <c r="JZ49" s="1318">
        <f>SUMIFS(46:46,$8:$8,"&gt;="&amp;DATE(YEAR(JZ$8),1,1),$8:$8,"&lt;="&amp;EOMONTH(JZ$8,0))/SUMIFS(46:46,$8:$8,"&gt;="&amp;DATE(YEAR(JZ$8)-1,1,1),$8:$8,"&lt;="&amp;EOMONTH(JZ$8,-12))-1</f>
        <v/>
      </c>
      <c r="KA49" s="1318">
        <f>SUMIFS(46:46,$8:$8,"&gt;="&amp;DATE(YEAR(KA$8),1,1),$8:$8,"&lt;="&amp;EOMONTH(KA$8,0))/SUMIFS(46:46,$8:$8,"&gt;="&amp;DATE(YEAR(KA$8)-1,1,1),$8:$8,"&lt;="&amp;EOMONTH(KA$8,-12))-1</f>
        <v/>
      </c>
      <c r="KB49" s="1318">
        <f>SUMIFS(46:46,$8:$8,"&gt;="&amp;DATE(YEAR(KB$8),1,1),$8:$8,"&lt;="&amp;EOMONTH(KB$8,0))/SUMIFS(46:46,$8:$8,"&gt;="&amp;DATE(YEAR(KB$8)-1,1,1),$8:$8,"&lt;="&amp;EOMONTH(KB$8,-12))-1</f>
        <v/>
      </c>
      <c r="KC49" s="1318">
        <f>SUMIFS(46:46,$8:$8,"&gt;="&amp;DATE(YEAR(KC$8),1,1),$8:$8,"&lt;="&amp;EOMONTH(KC$8,0))/SUMIFS(46:46,$8:$8,"&gt;="&amp;DATE(YEAR(KC$8)-1,1,1),$8:$8,"&lt;="&amp;EOMONTH(KC$8,-12))-1</f>
        <v/>
      </c>
      <c r="KD49" s="1318">
        <f>SUMIFS(46:46,$8:$8,"&gt;="&amp;DATE(YEAR(KD$8),1,1),$8:$8,"&lt;="&amp;EOMONTH(KD$8,0))/SUMIFS(46:46,$8:$8,"&gt;="&amp;DATE(YEAR(KD$8)-1,1,1),$8:$8,"&lt;="&amp;EOMONTH(KD$8,-12))-1</f>
        <v/>
      </c>
      <c r="KE49" s="1318">
        <f>SUMIFS(46:46,$8:$8,"&gt;="&amp;DATE(YEAR(KE$8),1,1),$8:$8,"&lt;="&amp;EOMONTH(KE$8,0))/SUMIFS(46:46,$8:$8,"&gt;="&amp;DATE(YEAR(KE$8)-1,1,1),$8:$8,"&lt;="&amp;EOMONTH(KE$8,-12))-1</f>
        <v/>
      </c>
      <c r="KF49" s="1318">
        <f>SUMIFS(46:46,$8:$8,"&gt;="&amp;DATE(YEAR(KF$8),1,1),$8:$8,"&lt;="&amp;EOMONTH(KF$8,0))/SUMIFS(46:46,$8:$8,"&gt;="&amp;DATE(YEAR(KF$8)-1,1,1),$8:$8,"&lt;="&amp;EOMONTH(KF$8,-12))-1</f>
        <v/>
      </c>
      <c r="KG49" s="1318">
        <f>SUMIFS(46:46,$8:$8,"&gt;="&amp;DATE(YEAR(KG$8),1,1),$8:$8,"&lt;="&amp;EOMONTH(KG$8,0))/SUMIFS(46:46,$8:$8,"&gt;="&amp;DATE(YEAR(KG$8)-1,1,1),$8:$8,"&lt;="&amp;EOMONTH(KG$8,-12))-1</f>
        <v/>
      </c>
      <c r="KH49" s="1318">
        <f>SUMIFS(46:46,$8:$8,"&gt;="&amp;DATE(YEAR(KH$8),1,1),$8:$8,"&lt;="&amp;EOMONTH(KH$8,0))/SUMIFS(46:46,$8:$8,"&gt;="&amp;DATE(YEAR(KH$8)-1,1,1),$8:$8,"&lt;="&amp;EOMONTH(KH$8,-12))-1</f>
        <v/>
      </c>
      <c r="KI49" s="1318">
        <f>SUMIFS(46:46,$8:$8,"&gt;="&amp;DATE(YEAR(KI$8),1,1),$8:$8,"&lt;="&amp;EOMONTH(KI$8,0))/SUMIFS(46:46,$8:$8,"&gt;="&amp;DATE(YEAR(KI$8)-1,1,1),$8:$8,"&lt;="&amp;EOMONTH(KI$8,-12))-1</f>
        <v/>
      </c>
      <c r="KJ49" s="1318">
        <f>SUMIFS(46:46,$8:$8,"&gt;="&amp;DATE(YEAR(KJ$8),1,1),$8:$8,"&lt;="&amp;EOMONTH(KJ$8,0))/SUMIFS(46:46,$8:$8,"&gt;="&amp;DATE(YEAR(KJ$8)-1,1,1),$8:$8,"&lt;="&amp;EOMONTH(KJ$8,-12))-1</f>
        <v/>
      </c>
      <c r="KK49" s="1318">
        <f>SUMIFS(46:46,$8:$8,"&gt;="&amp;DATE(YEAR(KK$8),1,1),$8:$8,"&lt;="&amp;EOMONTH(KK$8,0))/SUMIFS(46:46,$8:$8,"&gt;="&amp;DATE(YEAR(KK$8)-1,1,1),$8:$8,"&lt;="&amp;EOMONTH(KK$8,-12))-1</f>
        <v/>
      </c>
      <c r="KL49" s="1318">
        <f>SUMIFS(46:46,$8:$8,"&gt;="&amp;DATE(YEAR(KL$8),1,1),$8:$8,"&lt;="&amp;EOMONTH(KL$8,0))/SUMIFS(46:46,$8:$8,"&gt;="&amp;DATE(YEAR(KL$8)-1,1,1),$8:$8,"&lt;="&amp;EOMONTH(KL$8,-12))-1</f>
        <v/>
      </c>
      <c r="KM49" s="1318">
        <f>SUMIFS(46:46,$8:$8,"&gt;="&amp;DATE(YEAR(KM$8),1,1),$8:$8,"&lt;="&amp;EOMONTH(KM$8,0))/SUMIFS(46:46,$8:$8,"&gt;="&amp;DATE(YEAR(KM$8)-1,1,1),$8:$8,"&lt;="&amp;EOMONTH(KM$8,-12))-1</f>
        <v/>
      </c>
      <c r="KN49" s="1318">
        <f>SUMIFS(46:46,$8:$8,"&gt;="&amp;DATE(YEAR(KN$8),1,1),$8:$8,"&lt;="&amp;EOMONTH(KN$8,0))/SUMIFS(46:46,$8:$8,"&gt;="&amp;DATE(YEAR(KN$8)-1,1,1),$8:$8,"&lt;="&amp;EOMONTH(KN$8,-12))-1</f>
        <v/>
      </c>
      <c r="KO49" s="1318">
        <f>SUMIFS(46:46,$8:$8,"&gt;="&amp;DATE(YEAR(KO$8),1,1),$8:$8,"&lt;="&amp;EOMONTH(KO$8,0))/SUMIFS(46:46,$8:$8,"&gt;="&amp;DATE(YEAR(KO$8)-1,1,1),$8:$8,"&lt;="&amp;EOMONTH(KO$8,-12))-1</f>
        <v/>
      </c>
      <c r="KP49" s="1318">
        <f>SUMIFS(46:46,$8:$8,"&gt;="&amp;DATE(YEAR(KP$8),1,1),$8:$8,"&lt;="&amp;EOMONTH(KP$8,0))/SUMIFS(46:46,$8:$8,"&gt;="&amp;DATE(YEAR(KP$8)-1,1,1),$8:$8,"&lt;="&amp;EOMONTH(KP$8,-12))-1</f>
        <v/>
      </c>
      <c r="KQ49" s="1318">
        <f>SUMIFS(46:46,$8:$8,"&gt;="&amp;DATE(YEAR(KQ$8),1,1),$8:$8,"&lt;="&amp;EOMONTH(KQ$8,0))/SUMIFS(46:46,$8:$8,"&gt;="&amp;DATE(YEAR(KQ$8)-1,1,1),$8:$8,"&lt;="&amp;EOMONTH(KQ$8,-12))-1</f>
        <v/>
      </c>
      <c r="KR49" s="1318">
        <f>SUMIFS(46:46,$8:$8,"&gt;="&amp;DATE(YEAR(KR$8),1,1),$8:$8,"&lt;="&amp;EOMONTH(KR$8,0))/SUMIFS(46:46,$8:$8,"&gt;="&amp;DATE(YEAR(KR$8)-1,1,1),$8:$8,"&lt;="&amp;EOMONTH(KR$8,-12))-1</f>
        <v/>
      </c>
      <c r="KS49" s="1318">
        <f>SUMIFS(46:46,$8:$8,"&gt;="&amp;DATE(YEAR(KS$8),1,1),$8:$8,"&lt;="&amp;EOMONTH(KS$8,0))/SUMIFS(46:46,$8:$8,"&gt;="&amp;DATE(YEAR(KS$8)-1,1,1),$8:$8,"&lt;="&amp;EOMONTH(KS$8,-12))-1</f>
        <v/>
      </c>
      <c r="KT49" s="1318">
        <f>SUMIFS(46:46,$8:$8,"&gt;="&amp;DATE(YEAR(KT$8),1,1),$8:$8,"&lt;="&amp;EOMONTH(KT$8,0))/SUMIFS(46:46,$8:$8,"&gt;="&amp;DATE(YEAR(KT$8)-1,1,1),$8:$8,"&lt;="&amp;EOMONTH(KT$8,-12))-1</f>
        <v/>
      </c>
      <c r="KU49" s="1318">
        <f>SUMIFS(46:46,$8:$8,"&gt;="&amp;DATE(YEAR(KU$8),1,1),$8:$8,"&lt;="&amp;EOMONTH(KU$8,0))/SUMIFS(46:46,$8:$8,"&gt;="&amp;DATE(YEAR(KU$8)-1,1,1),$8:$8,"&lt;="&amp;EOMONTH(KU$8,-12))-1</f>
        <v/>
      </c>
      <c r="KV49" s="1318">
        <f>SUMIFS(46:46,$8:$8,"&gt;="&amp;DATE(YEAR(KV$8),1,1),$8:$8,"&lt;="&amp;EOMONTH(KV$8,0))/SUMIFS(46:46,$8:$8,"&gt;="&amp;DATE(YEAR(KV$8)-1,1,1),$8:$8,"&lt;="&amp;EOMONTH(KV$8,-12))-1</f>
        <v/>
      </c>
      <c r="KW49" s="1318">
        <f>SUMIFS(46:46,$8:$8,"&gt;="&amp;DATE(YEAR(KW$8),1,1),$8:$8,"&lt;="&amp;EOMONTH(KW$8,0))/SUMIFS(46:46,$8:$8,"&gt;="&amp;DATE(YEAR(KW$8)-1,1,1),$8:$8,"&lt;="&amp;EOMONTH(KW$8,-12))-1</f>
        <v/>
      </c>
      <c r="KX49" s="1318">
        <f>SUMIFS(46:46,$8:$8,"&gt;="&amp;DATE(YEAR(KX$8),1,1),$8:$8,"&lt;="&amp;EOMONTH(KX$8,0))/SUMIFS(46:46,$8:$8,"&gt;="&amp;DATE(YEAR(KX$8)-1,1,1),$8:$8,"&lt;="&amp;EOMONTH(KX$8,-12))-1</f>
        <v/>
      </c>
      <c r="KY49" s="1318">
        <f>SUMIFS(46:46,$8:$8,"&gt;="&amp;DATE(YEAR(KY$8),1,1),$8:$8,"&lt;="&amp;EOMONTH(KY$8,0))/SUMIFS(46:46,$8:$8,"&gt;="&amp;DATE(YEAR(KY$8)-1,1,1),$8:$8,"&lt;="&amp;EOMONTH(KY$8,-12))-1</f>
        <v/>
      </c>
      <c r="KZ49" s="1318">
        <f>SUMIFS(46:46,$8:$8,"&gt;="&amp;DATE(YEAR(KZ$8),1,1),$8:$8,"&lt;="&amp;EOMONTH(KZ$8,0))/SUMIFS(46:46,$8:$8,"&gt;="&amp;DATE(YEAR(KZ$8)-1,1,1),$8:$8,"&lt;="&amp;EOMONTH(KZ$8,-12))-1</f>
        <v/>
      </c>
      <c r="LA49" s="1318">
        <f>SUMIFS(46:46,$8:$8,"&gt;="&amp;DATE(YEAR(LA$8),1,1),$8:$8,"&lt;="&amp;EOMONTH(LA$8,0))/SUMIFS(46:46,$8:$8,"&gt;="&amp;DATE(YEAR(LA$8)-1,1,1),$8:$8,"&lt;="&amp;EOMONTH(LA$8,-12))-1</f>
        <v/>
      </c>
      <c r="LB49" s="1318">
        <f>SUMIFS(46:46,$8:$8,"&gt;="&amp;DATE(YEAR(LB$8),1,1),$8:$8,"&lt;="&amp;EOMONTH(LB$8,0))/SUMIFS(46:46,$8:$8,"&gt;="&amp;DATE(YEAR(LB$8)-1,1,1),$8:$8,"&lt;="&amp;EOMONTH(LB$8,-12))-1</f>
        <v/>
      </c>
      <c r="LC49" s="1318">
        <f>SUMIFS(46:46,$8:$8,"&gt;="&amp;DATE(YEAR(LC$8),1,1),$8:$8,"&lt;="&amp;EOMONTH(LC$8,0))/SUMIFS(46:46,$8:$8,"&gt;="&amp;DATE(YEAR(LC$8)-1,1,1),$8:$8,"&lt;="&amp;EOMONTH(LC$8,-12))-1</f>
        <v/>
      </c>
      <c r="LD49" s="1318">
        <f>SUMIFS(46:46,$8:$8,"&gt;="&amp;DATE(YEAR(LD$8),1,1),$8:$8,"&lt;="&amp;EOMONTH(LD$8,0))/SUMIFS(46:46,$8:$8,"&gt;="&amp;DATE(YEAR(LD$8)-1,1,1),$8:$8,"&lt;="&amp;EOMONTH(LD$8,-12))-1</f>
        <v/>
      </c>
      <c r="LE49" s="1318">
        <f>SUMIFS(46:46,$8:$8,"&gt;="&amp;DATE(YEAR(LE$8),1,1),$8:$8,"&lt;="&amp;EOMONTH(LE$8,0))/SUMIFS(46:46,$8:$8,"&gt;="&amp;DATE(YEAR(LE$8)-1,1,1),$8:$8,"&lt;="&amp;EOMONTH(LE$8,-12))-1</f>
        <v/>
      </c>
      <c r="LF49" s="1318">
        <f>SUMIFS(46:46,$8:$8,"&gt;="&amp;DATE(YEAR(LF$8),1,1),$8:$8,"&lt;="&amp;EOMONTH(LF$8,0))/SUMIFS(46:46,$8:$8,"&gt;="&amp;DATE(YEAR(LF$8)-1,1,1),$8:$8,"&lt;="&amp;EOMONTH(LF$8,-12))-1</f>
        <v/>
      </c>
      <c r="LG49" s="1318">
        <f>SUMIFS(46:46,$8:$8,"&gt;="&amp;DATE(YEAR(LG$8),1,1),$8:$8,"&lt;="&amp;EOMONTH(LG$8,0))/SUMIFS(46:46,$8:$8,"&gt;="&amp;DATE(YEAR(LG$8)-1,1,1),$8:$8,"&lt;="&amp;EOMONTH(LG$8,-12))-1</f>
        <v/>
      </c>
      <c r="LH49" s="1318">
        <f>SUMIFS(46:46,$8:$8,"&gt;="&amp;DATE(YEAR(LH$8),1,1),$8:$8,"&lt;="&amp;EOMONTH(LH$8,0))/SUMIFS(46:46,$8:$8,"&gt;="&amp;DATE(YEAR(LH$8)-1,1,1),$8:$8,"&lt;="&amp;EOMONTH(LH$8,-12))-1</f>
        <v/>
      </c>
      <c r="LI49" s="1318">
        <f>SUMIFS(46:46,$8:$8,"&gt;="&amp;DATE(YEAR(LI$8),1,1),$8:$8,"&lt;="&amp;EOMONTH(LI$8,0))/SUMIFS(46:46,$8:$8,"&gt;="&amp;DATE(YEAR(LI$8)-1,1,1),$8:$8,"&lt;="&amp;EOMONTH(LI$8,-12))-1</f>
        <v/>
      </c>
      <c r="LJ49" s="1318">
        <f>SUMIFS(46:46,$8:$8,"&gt;="&amp;DATE(YEAR(LJ$8),1,1),$8:$8,"&lt;="&amp;EOMONTH(LJ$8,0))/SUMIFS(46:46,$8:$8,"&gt;="&amp;DATE(YEAR(LJ$8)-1,1,1),$8:$8,"&lt;="&amp;EOMONTH(LJ$8,-12))-1</f>
        <v/>
      </c>
      <c r="LK49" s="1318">
        <f>SUMIFS(46:46,$8:$8,"&gt;="&amp;DATE(YEAR(LK$8),1,1),$8:$8,"&lt;="&amp;EOMONTH(LK$8,0))/SUMIFS(46:46,$8:$8,"&gt;="&amp;DATE(YEAR(LK$8)-1,1,1),$8:$8,"&lt;="&amp;EOMONTH(LK$8,-12))-1</f>
        <v/>
      </c>
      <c r="LL49" s="1318">
        <f>SUMIFS(46:46,$8:$8,"&gt;="&amp;DATE(YEAR(LL$8),1,1),$8:$8,"&lt;="&amp;EOMONTH(LL$8,0))/SUMIFS(46:46,$8:$8,"&gt;="&amp;DATE(YEAR(LL$8)-1,1,1),$8:$8,"&lt;="&amp;EOMONTH(LL$8,-12))-1</f>
        <v/>
      </c>
      <c r="LM49" s="1318">
        <f>SUMIFS(46:46,$8:$8,"&gt;="&amp;DATE(YEAR(LM$8),1,1),$8:$8,"&lt;="&amp;EOMONTH(LM$8,0))/SUMIFS(46:46,$8:$8,"&gt;="&amp;DATE(YEAR(LM$8)-1,1,1),$8:$8,"&lt;="&amp;EOMONTH(LM$8,-12))-1</f>
        <v/>
      </c>
      <c r="LN49" s="1318">
        <f>SUMIFS(46:46,$8:$8,"&gt;="&amp;DATE(YEAR(LN$8),1,1),$8:$8,"&lt;="&amp;EOMONTH(LN$8,0))/SUMIFS(46:46,$8:$8,"&gt;="&amp;DATE(YEAR(LN$8)-1,1,1),$8:$8,"&lt;="&amp;EOMONTH(LN$8,-12))-1</f>
        <v/>
      </c>
      <c r="LO49" s="1318">
        <f>SUMIFS(46:46,$8:$8,"&gt;="&amp;DATE(YEAR(LO$8),1,1),$8:$8,"&lt;="&amp;EOMONTH(LO$8,0))/SUMIFS(46:46,$8:$8,"&gt;="&amp;DATE(YEAR(LO$8)-1,1,1),$8:$8,"&lt;="&amp;EOMONTH(LO$8,-12))-1</f>
        <v/>
      </c>
      <c r="LP49" s="1318">
        <f>SUMIFS(46:46,$8:$8,"&gt;="&amp;DATE(YEAR(LP$8),1,1),$8:$8,"&lt;="&amp;EOMONTH(LP$8,0))/SUMIFS(46:46,$8:$8,"&gt;="&amp;DATE(YEAR(LP$8)-1,1,1),$8:$8,"&lt;="&amp;EOMONTH(LP$8,-12))-1</f>
        <v/>
      </c>
      <c r="LQ49" s="1318">
        <f>SUMIFS(46:46,$8:$8,"&gt;="&amp;DATE(YEAR(LQ$8),1,1),$8:$8,"&lt;="&amp;EOMONTH(LQ$8,0))/SUMIFS(46:46,$8:$8,"&gt;="&amp;DATE(YEAR(LQ$8)-1,1,1),$8:$8,"&lt;="&amp;EOMONTH(LQ$8,-12))-1</f>
        <v/>
      </c>
      <c r="LR49" s="1318">
        <f>SUMIFS(46:46,$8:$8,"&gt;="&amp;DATE(YEAR(LR$8),1,1),$8:$8,"&lt;="&amp;EOMONTH(LR$8,0))/SUMIFS(46:46,$8:$8,"&gt;="&amp;DATE(YEAR(LR$8)-1,1,1),$8:$8,"&lt;="&amp;EOMONTH(LR$8,-12))-1</f>
        <v/>
      </c>
      <c r="LS49" s="1318">
        <f>SUMIFS(46:46,$8:$8,"&gt;="&amp;DATE(YEAR(LS$8),1,1),$8:$8,"&lt;="&amp;EOMONTH(LS$8,0))/SUMIFS(46:46,$8:$8,"&gt;="&amp;DATE(YEAR(LS$8)-1,1,1),$8:$8,"&lt;="&amp;EOMONTH(LS$8,-12))-1</f>
        <v/>
      </c>
    </row>
    <row r="50" ht="15" customHeight="1" s="239">
      <c r="A50" s="1319" t="inlineStr">
        <is>
          <t>Europe</t>
        </is>
      </c>
      <c r="B50" s="1320">
        <f>N50/1.0349</f>
        <v/>
      </c>
      <c r="C50" s="1319">
        <f>1542.891-B50</f>
        <v/>
      </c>
      <c r="D50" s="1319">
        <f>P50/1.09</f>
        <v/>
      </c>
      <c r="E50" s="1319" t="n">
        <v>884.3639834215293</v>
      </c>
      <c r="F50" s="1319" t="n">
        <v>715.2819615325993</v>
      </c>
      <c r="G50" s="1319">
        <f>4654.682-SUM(B50:F50)</f>
        <v/>
      </c>
      <c r="H50" s="1319">
        <f>5688.2664-SUM(B50:G50)</f>
        <v/>
      </c>
      <c r="I50" s="1319">
        <f>6717.365-SUM(B50:H50)</f>
        <v/>
      </c>
      <c r="J50" s="1319">
        <f>7684.575-SUM(B50:I50)</f>
        <v/>
      </c>
      <c r="K50" s="1319" t="n">
        <v>1036.881</v>
      </c>
      <c r="L50" s="1319" t="n">
        <v>881.441</v>
      </c>
      <c r="M50" s="1319">
        <f>Y50/1.175</f>
        <v/>
      </c>
      <c r="N50" s="1320" t="n">
        <v>883.396</v>
      </c>
      <c r="O50" s="1319" t="n">
        <v>811.6</v>
      </c>
      <c r="P50" s="1319" t="n">
        <v>973.551</v>
      </c>
      <c r="Q50" s="1319" t="n">
        <v>1003.873</v>
      </c>
      <c r="R50" s="1319" t="n">
        <v>911.2329999999999</v>
      </c>
      <c r="S50" s="1319" t="n">
        <v>942.711</v>
      </c>
      <c r="T50" s="1319" t="n">
        <v>1130.099</v>
      </c>
      <c r="U50" s="1319" t="n">
        <v>1127.185</v>
      </c>
      <c r="V50" s="1319" t="n">
        <v>1130.287</v>
      </c>
      <c r="W50" s="1319" t="n">
        <v>1085.438</v>
      </c>
      <c r="X50" s="1319" t="n">
        <v>877.638</v>
      </c>
      <c r="Y50" s="1319" t="n">
        <v>887.8630000000001</v>
      </c>
      <c r="Z50" s="1320" t="n">
        <v>937.684</v>
      </c>
      <c r="AA50" s="1319" t="n">
        <v>805.21</v>
      </c>
      <c r="AB50" s="1319" t="n">
        <v>999.3680000000001</v>
      </c>
      <c r="AC50" s="1319" t="n">
        <v>967.678</v>
      </c>
      <c r="AD50" s="1319" t="n">
        <v>839.186</v>
      </c>
      <c r="AE50" s="1319" t="n">
        <v>958.669</v>
      </c>
      <c r="AF50" s="1319" t="n">
        <v>908.151</v>
      </c>
      <c r="AG50" s="1319" t="n">
        <v>1021.834</v>
      </c>
      <c r="AH50" s="1319" t="n">
        <v>961.682</v>
      </c>
      <c r="AI50" s="1319" t="n">
        <v>879.819</v>
      </c>
      <c r="AJ50" s="1319" t="n">
        <v>759.131</v>
      </c>
      <c r="AK50" s="1319" t="n">
        <v>806.635</v>
      </c>
      <c r="AL50" s="1320" t="n">
        <v>847.461</v>
      </c>
      <c r="AM50" s="1319" t="n">
        <v>783.5650000000001</v>
      </c>
      <c r="AN50" s="1319" t="n">
        <v>1025.593</v>
      </c>
      <c r="AO50" s="1319" t="n">
        <v>927.1319999999999</v>
      </c>
      <c r="AP50" s="1319" t="n">
        <v>891.811</v>
      </c>
      <c r="AQ50" s="1319" t="n">
        <v>926.157</v>
      </c>
      <c r="AR50" s="1319" t="n">
        <v>1104.67</v>
      </c>
      <c r="AS50" s="1319" t="n">
        <v>1086.432</v>
      </c>
      <c r="AT50" s="1319" t="n">
        <v>1036.932</v>
      </c>
      <c r="AU50" s="1319" t="n">
        <v>1054.898</v>
      </c>
      <c r="AV50" s="1319" t="n">
        <v>913.692</v>
      </c>
      <c r="AW50" s="1319" t="n">
        <v>891.326</v>
      </c>
      <c r="AX50" s="1320" t="n">
        <v>973.304</v>
      </c>
      <c r="AY50" s="1320" t="n">
        <v>804.229</v>
      </c>
      <c r="AZ50" s="1320">
        <f>BL50/1.1655</f>
        <v/>
      </c>
      <c r="BA50" s="1320">
        <f>BM50/2.775</f>
        <v/>
      </c>
      <c r="BB50" s="1320">
        <f>BN50/3.669</f>
        <v/>
      </c>
      <c r="BC50" s="1320" t="n">
        <v>507.789</v>
      </c>
      <c r="BD50" s="1320" t="n">
        <v>938.064</v>
      </c>
      <c r="BE50" s="1320" t="n">
        <v>1093.557</v>
      </c>
      <c r="BF50" s="1320" t="n">
        <v>1106.345</v>
      </c>
      <c r="BG50" s="1320" t="n">
        <v>1066.349</v>
      </c>
      <c r="BH50" s="1320" t="n">
        <v>942.325</v>
      </c>
      <c r="BI50" s="1320" t="n">
        <v>975.627</v>
      </c>
      <c r="BJ50" s="1320" t="n">
        <v>1021.219</v>
      </c>
      <c r="BK50" s="1320" t="n">
        <v>934.561</v>
      </c>
      <c r="BL50" s="1320" t="n">
        <v>1034.014</v>
      </c>
      <c r="BM50" s="1320" t="n">
        <v>995.705</v>
      </c>
      <c r="BN50" s="1320" t="n">
        <v>1008.025</v>
      </c>
      <c r="BO50" s="1320" t="n">
        <v>1077.394</v>
      </c>
      <c r="BP50" s="1320" t="n">
        <v>1163.219</v>
      </c>
      <c r="BQ50" s="1320" t="n">
        <v>1125.064</v>
      </c>
      <c r="BR50" s="1320" t="n">
        <v>1127.034</v>
      </c>
      <c r="BS50" s="1320" t="n">
        <v>1162.541</v>
      </c>
      <c r="BT50" s="1320" t="n">
        <v>1035.526</v>
      </c>
      <c r="BU50" s="1320" t="n">
        <v>1035.657</v>
      </c>
      <c r="BV50" s="1320" t="n">
        <v>1153.795</v>
      </c>
      <c r="BW50" s="1320">
        <f>3253.827-BV50-BX50</f>
        <v/>
      </c>
      <c r="BX50" s="1320" t="n">
        <v>1122.933</v>
      </c>
      <c r="BY50" s="1320" t="n">
        <v>1104.867</v>
      </c>
      <c r="BZ50" s="1320" t="n">
        <v>1095.803</v>
      </c>
      <c r="CA50" s="1320" t="n">
        <v>1175.53</v>
      </c>
      <c r="CB50" s="1320" t="n">
        <v>1335.842</v>
      </c>
      <c r="CC50" s="1320" t="n">
        <v>1286.53</v>
      </c>
      <c r="CD50" s="1320" t="n">
        <v>1302.964</v>
      </c>
      <c r="CE50" s="1320" t="n">
        <v>1268.08</v>
      </c>
      <c r="CF50" s="1320" t="n">
        <v>1118.746</v>
      </c>
      <c r="CG50" s="1320" t="n">
        <v>1189.177</v>
      </c>
      <c r="CH50" s="1320" t="n">
        <v>1258.969</v>
      </c>
      <c r="CI50" s="1320" t="n">
        <v>1075.492</v>
      </c>
      <c r="CJ50" s="1321" t="n">
        <v>1239.877</v>
      </c>
      <c r="CK50" s="1321" t="n">
        <v>1324.2</v>
      </c>
      <c r="CL50" s="1322" t="n">
        <v>1264.5</v>
      </c>
      <c r="CM50" s="1322" t="n">
        <v>1417.068</v>
      </c>
      <c r="CN50" s="1319" t="n">
        <v>1529.966</v>
      </c>
      <c r="CO50" s="1319" t="n">
        <v>1435.059</v>
      </c>
      <c r="CP50" s="1319" t="n">
        <v>1459.259</v>
      </c>
      <c r="CQ50" s="1319" t="n">
        <v>1447</v>
      </c>
      <c r="CR50" s="1319" t="n">
        <v>1208.287</v>
      </c>
      <c r="CS50" s="1319" t="n">
        <v>1245.748</v>
      </c>
      <c r="CT50" s="1319" t="n">
        <v>1301.264</v>
      </c>
      <c r="CU50" s="1319" t="n">
        <v>1119.93</v>
      </c>
      <c r="CV50" s="1319" t="n">
        <v>1387</v>
      </c>
      <c r="CW50" s="1320" t="n">
        <v>1381.693</v>
      </c>
      <c r="CX50" s="1320" t="n">
        <v>1256.266</v>
      </c>
      <c r="CY50" s="1320" t="n">
        <v>1384.928</v>
      </c>
      <c r="CZ50" s="1320" t="n">
        <v>1522.725</v>
      </c>
      <c r="DA50" s="1320" t="n">
        <v>1444.274</v>
      </c>
      <c r="DB50" s="1320" t="n">
        <v>1444.517</v>
      </c>
      <c r="DC50" s="1320" t="n">
        <v>1496.806</v>
      </c>
      <c r="DD50" s="1320" t="n">
        <v>1317.495</v>
      </c>
      <c r="DE50" s="1320" t="n">
        <v>1366.489</v>
      </c>
      <c r="DF50" s="1320" t="n">
        <v>1502.829</v>
      </c>
      <c r="DG50" s="1320" t="n">
        <v>1308.684</v>
      </c>
      <c r="DH50" s="1320" t="n">
        <v>1479.315</v>
      </c>
      <c r="DI50" s="1320" t="n">
        <v>1448.164</v>
      </c>
      <c r="DJ50" s="1320" t="n">
        <v>1329.82</v>
      </c>
      <c r="DK50" s="1320" t="n">
        <v>1409.541</v>
      </c>
      <c r="DL50" s="1320" t="n">
        <v>1533.601</v>
      </c>
      <c r="DM50" s="1320" t="n">
        <v>1414.651</v>
      </c>
      <c r="DN50" s="1320" t="n">
        <v>1346.835</v>
      </c>
      <c r="DO50" s="1320" t="n">
        <v>1411.537</v>
      </c>
      <c r="DP50" s="1320" t="n">
        <v>1299.988</v>
      </c>
      <c r="DQ50" s="1320" t="n">
        <v>1409.456</v>
      </c>
      <c r="DR50" s="1320" t="n">
        <v>1491.536</v>
      </c>
      <c r="DS50" s="1320" t="n">
        <v>1263.192</v>
      </c>
      <c r="DT50" s="1320" t="n">
        <v>1530.143</v>
      </c>
      <c r="DU50" s="1320" t="n">
        <v>1565.455</v>
      </c>
      <c r="DV50" s="1320" t="n">
        <v>1438.913</v>
      </c>
      <c r="DW50" s="1320" t="n">
        <v>1396.896</v>
      </c>
      <c r="DX50" s="1320" t="n">
        <v>1594.748</v>
      </c>
      <c r="DY50" s="1320" t="n">
        <v>1584.088</v>
      </c>
      <c r="DZ50" s="1320" t="n">
        <v>1366.291</v>
      </c>
      <c r="EA50" s="1320" t="n">
        <v>1359.619</v>
      </c>
      <c r="EB50" s="1320" t="n">
        <v>1276.342</v>
      </c>
      <c r="EC50" s="1320" t="n">
        <v>1376.905</v>
      </c>
      <c r="ED50" s="1320" t="n">
        <v>1471.73</v>
      </c>
      <c r="EE50" s="1320" t="n">
        <v>1305.063</v>
      </c>
      <c r="EF50" s="1320" t="n">
        <v>1527.037</v>
      </c>
      <c r="EG50" s="1320" t="n">
        <v>1222.8</v>
      </c>
      <c r="EH50" s="1320" t="n">
        <v>1417.572</v>
      </c>
      <c r="EI50" s="1320" t="n">
        <v>1495.568</v>
      </c>
      <c r="EJ50" s="1320" t="n">
        <v>1775.156</v>
      </c>
      <c r="EK50" s="1320" t="n">
        <v>1703.074</v>
      </c>
      <c r="EL50" s="1320" t="n">
        <v>1628.428</v>
      </c>
      <c r="EM50" s="1320" t="n">
        <v>1610.006</v>
      </c>
      <c r="EN50" s="1320" t="n">
        <v>1424.121</v>
      </c>
      <c r="EO50" s="1320" t="n">
        <v>1447.129</v>
      </c>
      <c r="EP50" s="1320" t="n">
        <v>1597.754</v>
      </c>
      <c r="EQ50" s="1320" t="n">
        <v>1301.402</v>
      </c>
      <c r="ER50" s="1320" t="n">
        <v>1498.871</v>
      </c>
      <c r="ES50" s="1320" t="n">
        <v>1540.574</v>
      </c>
      <c r="ET50" s="1320" t="n">
        <v>1551.626</v>
      </c>
      <c r="EU50" s="1320" t="n">
        <v>1566.117</v>
      </c>
      <c r="EV50" s="1320" t="n">
        <v>1828.02</v>
      </c>
      <c r="EW50" s="1320" t="n">
        <v>1774.602</v>
      </c>
      <c r="EX50" s="1320" t="n">
        <v>1709.968</v>
      </c>
      <c r="EY50" s="1320" t="n">
        <v>1667.753</v>
      </c>
      <c r="EZ50" s="1320" t="n">
        <v>1414.189</v>
      </c>
      <c r="FA50" s="1320" t="n">
        <v>1415.618</v>
      </c>
      <c r="FB50" s="1320" t="n">
        <v>1552.637</v>
      </c>
      <c r="FC50" s="1320" t="n">
        <v>1312.258</v>
      </c>
      <c r="FD50" s="1320" t="n">
        <v>1550.543</v>
      </c>
      <c r="FE50" s="1320" t="n">
        <v>1540.425</v>
      </c>
      <c r="FF50" s="1320" t="n">
        <v>1522.483</v>
      </c>
      <c r="FG50" s="1320" t="n">
        <v>1605.937</v>
      </c>
      <c r="FH50" s="1320" t="n">
        <v>1690.097</v>
      </c>
      <c r="FI50" s="1320" t="n">
        <v>1640.699</v>
      </c>
      <c r="FJ50" s="1320" t="n">
        <v>1620.192</v>
      </c>
      <c r="FK50" s="1320" t="n">
        <v>1518.431</v>
      </c>
      <c r="FL50" s="1320" t="n">
        <v>1351.379</v>
      </c>
      <c r="FM50" s="1320" t="n">
        <v>1368.876</v>
      </c>
      <c r="FN50" s="1320" t="n">
        <v>1485.44</v>
      </c>
      <c r="FO50" s="1320" t="n">
        <v>1291.205</v>
      </c>
      <c r="FP50" s="1320" t="n">
        <v>1564.499</v>
      </c>
      <c r="FQ50" s="1320" t="n">
        <v>1462.409</v>
      </c>
      <c r="FR50" s="1320" t="n">
        <v>1504.715</v>
      </c>
      <c r="FS50" s="1320" t="n">
        <v>1645.986</v>
      </c>
      <c r="FT50" s="1320" t="n">
        <v>1886.418</v>
      </c>
      <c r="FU50" s="1320" t="n">
        <v>1826.657</v>
      </c>
      <c r="FV50" s="1320" t="n">
        <v>1675.594</v>
      </c>
      <c r="FW50" s="1320" t="n">
        <v>1554.106</v>
      </c>
      <c r="FX50" s="1320" t="n">
        <v>1441.597</v>
      </c>
      <c r="FY50" s="1320" t="n">
        <v>1470.991</v>
      </c>
      <c r="FZ50" s="1320" t="n">
        <v>1595.911</v>
      </c>
      <c r="GA50" s="1320" t="n">
        <v>1321.313</v>
      </c>
      <c r="GB50" s="1320" t="n">
        <v>1486.44</v>
      </c>
      <c r="GC50" s="1320" t="n">
        <v>1526.499</v>
      </c>
      <c r="GD50" s="1320" t="n">
        <v>1527.185</v>
      </c>
      <c r="GE50" s="1320" t="n">
        <v>1650.439</v>
      </c>
      <c r="GF50" s="1320" t="n">
        <v>1753.584</v>
      </c>
      <c r="GG50" s="1320" t="n">
        <v>1751.652</v>
      </c>
      <c r="GH50" s="1320" t="n">
        <v>1664.923</v>
      </c>
      <c r="GI50" s="1320" t="n">
        <v>1480.843</v>
      </c>
      <c r="GJ50" s="1320" t="n">
        <v>1331.22</v>
      </c>
      <c r="GK50" s="1320" t="n">
        <v>1434.664</v>
      </c>
      <c r="GL50" s="1320" t="n">
        <v>1648.589</v>
      </c>
      <c r="GM50" s="1320" t="n">
        <v>1429.072</v>
      </c>
      <c r="GN50" s="1320" t="n">
        <v>1668.262</v>
      </c>
      <c r="GO50" s="1320" t="n">
        <v>1734.647</v>
      </c>
      <c r="GP50" s="1320" t="n">
        <v>1681.05</v>
      </c>
      <c r="GQ50" s="1320" t="n">
        <v>1872.032</v>
      </c>
      <c r="GR50" s="1320" t="n">
        <v>2010.723</v>
      </c>
      <c r="GS50" s="1320" t="n">
        <v>1998.098</v>
      </c>
      <c r="GT50" s="1320" t="n">
        <v>1899.735</v>
      </c>
      <c r="GU50" s="1320" t="n">
        <v>1877.654</v>
      </c>
      <c r="GV50" s="1320" t="n">
        <v>1638.132</v>
      </c>
      <c r="GW50" s="1320" t="n">
        <v>1750.062</v>
      </c>
      <c r="GX50" s="1320" t="n">
        <v>1920.354</v>
      </c>
      <c r="GY50" s="1320" t="n">
        <v>1631.075</v>
      </c>
      <c r="GZ50" s="1320" t="n">
        <v>1762.032</v>
      </c>
      <c r="HA50" s="1320" t="n">
        <v>1707.744</v>
      </c>
      <c r="HB50" s="1320" t="n">
        <v>1626.751</v>
      </c>
      <c r="HC50" s="1320" t="n">
        <v>1981.477</v>
      </c>
      <c r="HD50" s="1320" t="n">
        <v>2114.022</v>
      </c>
      <c r="HE50" s="1320" t="n">
        <v>2002.698</v>
      </c>
      <c r="HF50" s="1320" t="n">
        <v>2088.662</v>
      </c>
      <c r="HG50" s="1320" t="n">
        <v>1978.215</v>
      </c>
      <c r="HH50" s="1320" t="n">
        <v>1724.578</v>
      </c>
      <c r="HI50" s="1320" t="n">
        <v>1949.868</v>
      </c>
      <c r="HJ50" s="892" t="n">
        <v>2127.006</v>
      </c>
      <c r="HK50" s="892" t="n">
        <v>1748.381</v>
      </c>
      <c r="HL50" s="892" t="n">
        <v>1979.898</v>
      </c>
      <c r="HM50" s="892" t="n">
        <v>2033.502</v>
      </c>
      <c r="HN50" s="892" t="n">
        <v>1958.596</v>
      </c>
      <c r="HO50" s="892" t="n">
        <v>2216.813</v>
      </c>
      <c r="HP50" s="892" t="n">
        <v>2496.009</v>
      </c>
      <c r="HQ50" s="892" t="n">
        <v>2330.979</v>
      </c>
      <c r="HR50" s="892" t="n">
        <v>2257.846</v>
      </c>
      <c r="HS50" s="892" t="n">
        <v>2165.895</v>
      </c>
      <c r="HT50" s="892" t="n">
        <v>1942.865</v>
      </c>
      <c r="HU50" s="892" t="n">
        <v>2088.392</v>
      </c>
      <c r="HV50" s="892" t="n">
        <v>2124.853</v>
      </c>
      <c r="HW50" s="892" t="n">
        <v>1961.545</v>
      </c>
      <c r="HX50" s="892" t="n">
        <v>2245.798</v>
      </c>
      <c r="HY50" s="892" t="n">
        <v>2114.545</v>
      </c>
      <c r="HZ50" s="892" t="n">
        <v>2120.585</v>
      </c>
      <c r="IA50" s="892" t="n">
        <v>2487.575</v>
      </c>
      <c r="IB50" s="892" t="n">
        <v>2743.153</v>
      </c>
      <c r="IC50" s="892" t="n">
        <v>2690.101</v>
      </c>
      <c r="ID50" s="892" t="n">
        <v>2456.809</v>
      </c>
      <c r="IE50" s="892" t="n">
        <v>2412.673</v>
      </c>
      <c r="IF50" s="892" t="n">
        <v>2021.834</v>
      </c>
      <c r="IG50" s="892" t="n">
        <v>2288.639</v>
      </c>
      <c r="IH50" s="892" t="n">
        <v>2386.276</v>
      </c>
      <c r="II50" s="892" t="n">
        <v>2007.947</v>
      </c>
      <c r="IJ50" s="892" t="n">
        <v>2374.688</v>
      </c>
      <c r="IK50" s="892" t="n">
        <v>2453.53</v>
      </c>
      <c r="IL50" s="892" t="n">
        <v>2424.484</v>
      </c>
      <c r="IM50" s="892" t="n">
        <v>2816.557</v>
      </c>
      <c r="IN50" s="892" t="n">
        <v>2986.041</v>
      </c>
      <c r="IO50" s="892" t="n">
        <v>2779.936</v>
      </c>
      <c r="IP50" s="892" t="n">
        <v>2747.305</v>
      </c>
      <c r="IQ50" s="892" t="n">
        <v>2543.805</v>
      </c>
      <c r="IR50" s="892" t="n">
        <v>2047.448</v>
      </c>
      <c r="IS50" s="892" t="n">
        <v>2243.306</v>
      </c>
      <c r="IT50" s="892" t="n">
        <v>2295.604</v>
      </c>
      <c r="IU50" s="892" t="n">
        <v>954.5839999999999</v>
      </c>
      <c r="IV50" s="892" t="n">
        <v>449.046</v>
      </c>
      <c r="IW50" s="892" t="n">
        <v>23.133</v>
      </c>
      <c r="IX50" s="893" t="n">
        <v>18.173</v>
      </c>
      <c r="IY50" s="893" t="n">
        <v>26.053</v>
      </c>
      <c r="IZ50" s="893" t="n">
        <v>47.419</v>
      </c>
      <c r="JA50" s="893" t="n">
        <v>79.349</v>
      </c>
      <c r="JB50" s="893" t="n">
        <v>157.768</v>
      </c>
      <c r="JC50" s="893" t="n">
        <v>73.873</v>
      </c>
      <c r="JD50" s="893" t="n">
        <v>60.099</v>
      </c>
      <c r="JE50" s="893" t="n">
        <v>69.176</v>
      </c>
      <c r="JF50" s="893" t="n">
        <v>14.723</v>
      </c>
      <c r="JG50" s="893" t="n">
        <v>10.914</v>
      </c>
      <c r="JH50" s="893" t="n">
        <v>15.245</v>
      </c>
      <c r="JI50" s="893" t="n">
        <v>33.254</v>
      </c>
      <c r="JJ50" s="893" t="n">
        <v>39.485</v>
      </c>
      <c r="JK50" s="893" t="n">
        <v>65.77800000000001</v>
      </c>
      <c r="JL50" s="893" t="n">
        <v>68.377</v>
      </c>
      <c r="JM50" s="893" t="n">
        <v>140.598</v>
      </c>
      <c r="JN50" s="893" t="n">
        <v>352.521</v>
      </c>
      <c r="JO50" s="893" t="n">
        <v>187.478</v>
      </c>
      <c r="JP50" s="893" t="n">
        <v>109.178</v>
      </c>
      <c r="JQ50" s="893" t="n">
        <v>173.906</v>
      </c>
      <c r="JR50" s="893" t="n">
        <v>30.276</v>
      </c>
      <c r="JS50" s="893" t="n">
        <v>21.97</v>
      </c>
      <c r="JT50" s="893" t="n">
        <v>36.825</v>
      </c>
      <c r="JU50" s="893" t="n">
        <v>43.276</v>
      </c>
      <c r="JV50" s="893" t="n">
        <v>107.771</v>
      </c>
      <c r="JW50" s="893" t="n">
        <v>352.7</v>
      </c>
      <c r="JX50" s="893" t="n">
        <v>434.402</v>
      </c>
      <c r="JY50" s="893" t="n">
        <v>436.049</v>
      </c>
      <c r="JZ50" s="893" t="n">
        <v>505.965</v>
      </c>
      <c r="KA50" s="893" t="n">
        <v>584.352</v>
      </c>
      <c r="KB50" s="893" t="n">
        <v>743.1369999999999</v>
      </c>
      <c r="KC50" s="893" t="n">
        <v>853.8</v>
      </c>
      <c r="KD50" s="893" t="n">
        <v>1099.461</v>
      </c>
      <c r="KE50" s="893" t="n">
        <v>1171.913</v>
      </c>
      <c r="KF50" s="893" t="n">
        <v>1471.931</v>
      </c>
      <c r="KG50" s="893" t="n">
        <v>1440.498</v>
      </c>
      <c r="KH50" s="893" t="n">
        <v>1412.752</v>
      </c>
      <c r="KI50" s="893" t="n">
        <v>1543.986</v>
      </c>
      <c r="KJ50" s="893" t="n">
        <v>1816.065</v>
      </c>
      <c r="KK50" s="893" t="n">
        <v>1736.188</v>
      </c>
      <c r="KL50" s="893" t="n">
        <v>1692.958</v>
      </c>
      <c r="KM50" s="893" t="n">
        <v>1570.763</v>
      </c>
      <c r="KN50" s="893" t="n">
        <v>1315.787</v>
      </c>
      <c r="KO50" s="893" t="n">
        <v>1339.963</v>
      </c>
      <c r="KP50" s="893" t="n">
        <v>1366.821</v>
      </c>
      <c r="KQ50" s="893" t="n">
        <v>1411.42</v>
      </c>
      <c r="KR50" s="893" t="n">
        <v>1506.807</v>
      </c>
      <c r="KS50" s="893" t="n">
        <v>1329.092</v>
      </c>
      <c r="KT50" s="893" t="n">
        <v>1350.809</v>
      </c>
      <c r="KU50" s="893" t="n">
        <v>1599.205</v>
      </c>
      <c r="KV50" s="893" t="n">
        <v>1634.227</v>
      </c>
      <c r="KW50" s="893" t="n">
        <v>1658.148</v>
      </c>
      <c r="KX50" s="893" t="n">
        <v>1711.489</v>
      </c>
      <c r="KY50" s="893" t="n">
        <v>1647.509</v>
      </c>
      <c r="KZ50" s="893" t="n">
        <v>1527.635</v>
      </c>
      <c r="LA50" s="893" t="n">
        <v>1553.47</v>
      </c>
      <c r="LB50" s="893" t="n"/>
      <c r="LC50" s="893" t="n"/>
      <c r="LD50" s="893" t="n"/>
      <c r="LE50" s="893" t="n"/>
      <c r="LF50" s="893" t="n"/>
      <c r="LG50" s="893" t="n"/>
      <c r="LH50" s="893" t="n"/>
      <c r="LI50" s="893" t="n"/>
      <c r="LJ50" s="893" t="n"/>
      <c r="LK50" s="893" t="n"/>
      <c r="LL50" s="893" t="n"/>
      <c r="LM50" s="893" t="n"/>
      <c r="LN50" s="893" t="n"/>
      <c r="LO50" s="893" t="n"/>
      <c r="LP50" s="893" t="n"/>
      <c r="LQ50" s="893" t="n"/>
      <c r="LR50" s="893" t="n"/>
      <c r="LS50" s="893" t="n"/>
    </row>
    <row r="51">
      <c r="A51" s="885" t="inlineStr">
        <is>
          <t>m cg %</t>
        </is>
      </c>
      <c r="B51" s="1318" t="n"/>
      <c r="C51" s="1318">
        <f>C50/B50-1</f>
        <v/>
      </c>
      <c r="D51" s="1318">
        <f>D50/C50-1</f>
        <v/>
      </c>
      <c r="E51" s="1318">
        <f>E50/D50-1</f>
        <v/>
      </c>
      <c r="F51" s="1318">
        <f>F50/E50-1</f>
        <v/>
      </c>
      <c r="G51" s="1318">
        <f>G50/F50-1</f>
        <v/>
      </c>
      <c r="H51" s="1318">
        <f>H50/G50-1</f>
        <v/>
      </c>
      <c r="I51" s="1318">
        <f>I50/H50-1</f>
        <v/>
      </c>
      <c r="J51" s="1318">
        <f>J50/I50-1</f>
        <v/>
      </c>
      <c r="K51" s="1318">
        <f>K50/J50-1</f>
        <v/>
      </c>
      <c r="L51" s="1318">
        <f>L50/K50-1</f>
        <v/>
      </c>
      <c r="M51" s="1318">
        <f>M50/L50-1</f>
        <v/>
      </c>
      <c r="N51" s="1318">
        <f>N50/M50-1</f>
        <v/>
      </c>
      <c r="O51" s="1318">
        <f>O50/N50-1</f>
        <v/>
      </c>
      <c r="P51" s="1318">
        <f>P50/O50-1</f>
        <v/>
      </c>
      <c r="Q51" s="1318">
        <f>Q50/P50-1</f>
        <v/>
      </c>
      <c r="R51" s="1318">
        <f>R50/Q50-1</f>
        <v/>
      </c>
      <c r="S51" s="1318">
        <f>S50/R50-1</f>
        <v/>
      </c>
      <c r="T51" s="1318">
        <f>T50/S50-1</f>
        <v/>
      </c>
      <c r="U51" s="1318">
        <f>U50/T50-1</f>
        <v/>
      </c>
      <c r="V51" s="1318">
        <f>V50/U50-1</f>
        <v/>
      </c>
      <c r="W51" s="1318">
        <f>W50/V50-1</f>
        <v/>
      </c>
      <c r="X51" s="1318">
        <f>X50/W50-1</f>
        <v/>
      </c>
      <c r="Y51" s="1318">
        <f>Y50/X50-1</f>
        <v/>
      </c>
      <c r="Z51" s="1318">
        <f>Z50/Y50-1</f>
        <v/>
      </c>
      <c r="AA51" s="1318">
        <f>AA50/Z50-1</f>
        <v/>
      </c>
      <c r="AB51" s="1318">
        <f>AB50/AA50-1</f>
        <v/>
      </c>
      <c r="AC51" s="1318">
        <f>AC50/AB50-1</f>
        <v/>
      </c>
      <c r="AD51" s="1318">
        <f>AD50/AC50-1</f>
        <v/>
      </c>
      <c r="AE51" s="1318">
        <f>AE50/AD50-1</f>
        <v/>
      </c>
      <c r="AF51" s="1318">
        <f>AF50/AE50-1</f>
        <v/>
      </c>
      <c r="AG51" s="1318">
        <f>AG50/AF50-1</f>
        <v/>
      </c>
      <c r="AH51" s="1318">
        <f>AH50/AG50-1</f>
        <v/>
      </c>
      <c r="AI51" s="1318">
        <f>AI50/AH50-1</f>
        <v/>
      </c>
      <c r="AJ51" s="1318">
        <f>AJ50/AI50-1</f>
        <v/>
      </c>
      <c r="AK51" s="1318">
        <f>AK50/AJ50-1</f>
        <v/>
      </c>
      <c r="AL51" s="1318">
        <f>AL50/AK50-1</f>
        <v/>
      </c>
      <c r="AM51" s="1318">
        <f>AM50/AL50-1</f>
        <v/>
      </c>
      <c r="AN51" s="1318">
        <f>AN50/AM50-1</f>
        <v/>
      </c>
      <c r="AO51" s="1318">
        <f>AO50/AN50-1</f>
        <v/>
      </c>
      <c r="AP51" s="1318">
        <f>AP50/AO50-1</f>
        <v/>
      </c>
      <c r="AQ51" s="1318">
        <f>AQ50/AP50-1</f>
        <v/>
      </c>
      <c r="AR51" s="1318">
        <f>AR50/AQ50-1</f>
        <v/>
      </c>
      <c r="AS51" s="1318">
        <f>AS50/AR50-1</f>
        <v/>
      </c>
      <c r="AT51" s="1318">
        <f>AT50/AS50-1</f>
        <v/>
      </c>
      <c r="AU51" s="1318">
        <f>AU50/AT50-1</f>
        <v/>
      </c>
      <c r="AV51" s="1318">
        <f>AV50/AU50-1</f>
        <v/>
      </c>
      <c r="AW51" s="1318">
        <f>AW50/AV50-1</f>
        <v/>
      </c>
      <c r="AX51" s="1318">
        <f>AX50/AW50-1</f>
        <v/>
      </c>
      <c r="AY51" s="1318">
        <f>AY50/AX50-1</f>
        <v/>
      </c>
      <c r="AZ51" s="1318">
        <f>AZ50/AY50-1</f>
        <v/>
      </c>
      <c r="BA51" s="1318">
        <f>BA50/AZ50-1</f>
        <v/>
      </c>
      <c r="BB51" s="1318">
        <f>BB50/BA50-1</f>
        <v/>
      </c>
      <c r="BC51" s="1318">
        <f>BC50/BB50-1</f>
        <v/>
      </c>
      <c r="BD51" s="1318">
        <f>BD50/BC50-1</f>
        <v/>
      </c>
      <c r="BE51" s="1318">
        <f>BE50/BD50-1</f>
        <v/>
      </c>
      <c r="BF51" s="1318">
        <f>BF50/BE50-1</f>
        <v/>
      </c>
      <c r="BG51" s="1318">
        <f>BG50/BF50-1</f>
        <v/>
      </c>
      <c r="BH51" s="1318">
        <f>BH50/BG50-1</f>
        <v/>
      </c>
      <c r="BI51" s="1318">
        <f>BI50/BH50-1</f>
        <v/>
      </c>
      <c r="BJ51" s="1318">
        <f>BJ50/BI50-1</f>
        <v/>
      </c>
      <c r="BK51" s="1318">
        <f>BK50/BJ50-1</f>
        <v/>
      </c>
      <c r="BL51" s="1318">
        <f>BL50/BK50-1</f>
        <v/>
      </c>
      <c r="BM51" s="1318">
        <f>BM50/BL50-1</f>
        <v/>
      </c>
      <c r="BN51" s="1318">
        <f>BN50/BM50-1</f>
        <v/>
      </c>
      <c r="BO51" s="1318">
        <f>BO50/BN50-1</f>
        <v/>
      </c>
      <c r="BP51" s="1318">
        <f>BP50/BO50-1</f>
        <v/>
      </c>
      <c r="BQ51" s="1318">
        <f>BQ50/BP50-1</f>
        <v/>
      </c>
      <c r="BR51" s="1318">
        <f>BR50/BQ50-1</f>
        <v/>
      </c>
      <c r="BS51" s="1318">
        <f>BS50/BR50-1</f>
        <v/>
      </c>
      <c r="BT51" s="1318">
        <f>BT50/BS50-1</f>
        <v/>
      </c>
      <c r="BU51" s="1318">
        <f>BU50/BT50-1</f>
        <v/>
      </c>
      <c r="BV51" s="1318">
        <f>BV50/BU50-1</f>
        <v/>
      </c>
      <c r="BW51" s="1318">
        <f>BW50/BV50-1</f>
        <v/>
      </c>
      <c r="BX51" s="1318">
        <f>BX50/BW50-1</f>
        <v/>
      </c>
      <c r="BY51" s="1318">
        <f>BY50/BX50-1</f>
        <v/>
      </c>
      <c r="BZ51" s="1318">
        <f>BZ50/BY50-1</f>
        <v/>
      </c>
      <c r="CA51" s="1318">
        <f>CA50/BZ50-1</f>
        <v/>
      </c>
      <c r="CB51" s="1318">
        <f>CB50/CA50-1</f>
        <v/>
      </c>
      <c r="CC51" s="1318">
        <f>CC50/CB50-1</f>
        <v/>
      </c>
      <c r="CD51" s="1318">
        <f>CD50/CC50-1</f>
        <v/>
      </c>
      <c r="CE51" s="1318">
        <f>CE50/CD50-1</f>
        <v/>
      </c>
      <c r="CF51" s="1318">
        <f>CF50/CE50-1</f>
        <v/>
      </c>
      <c r="CG51" s="1318">
        <f>CG50/CF50-1</f>
        <v/>
      </c>
      <c r="CH51" s="1318">
        <f>CH50/CG50-1</f>
        <v/>
      </c>
      <c r="CI51" s="1318">
        <f>CI50/CH50-1</f>
        <v/>
      </c>
      <c r="CJ51" s="1318">
        <f>CJ50/CI50-1</f>
        <v/>
      </c>
      <c r="CK51" s="1318">
        <f>CK50/CJ50-1</f>
        <v/>
      </c>
      <c r="CL51" s="1318">
        <f>CL50/CK50-1</f>
        <v/>
      </c>
      <c r="CM51" s="1318">
        <f>CM50/CL50-1</f>
        <v/>
      </c>
      <c r="CN51" s="1318">
        <f>CN50/CM50-1</f>
        <v/>
      </c>
      <c r="CO51" s="1318">
        <f>CO50/CN50-1</f>
        <v/>
      </c>
      <c r="CP51" s="1318">
        <f>CP50/CO50-1</f>
        <v/>
      </c>
      <c r="CQ51" s="1318">
        <f>CQ50/CP50-1</f>
        <v/>
      </c>
      <c r="CR51" s="1318">
        <f>CR50/CQ50-1</f>
        <v/>
      </c>
      <c r="CS51" s="1318">
        <f>CS50/CR50-1</f>
        <v/>
      </c>
      <c r="CT51" s="1318">
        <f>CT50/CS50-1</f>
        <v/>
      </c>
      <c r="CU51" s="1318">
        <f>CU50/CT50-1</f>
        <v/>
      </c>
      <c r="CV51" s="1318">
        <f>CV50/CU50-1</f>
        <v/>
      </c>
      <c r="CW51" s="1318">
        <f>CW50/CV50-1</f>
        <v/>
      </c>
      <c r="CX51" s="1318">
        <f>CX50/CW50-1</f>
        <v/>
      </c>
      <c r="CY51" s="1318">
        <f>CY50/CX50-1</f>
        <v/>
      </c>
      <c r="CZ51" s="1318">
        <f>CZ50/CY50-1</f>
        <v/>
      </c>
      <c r="DA51" s="1318">
        <f>DA50/CZ50-1</f>
        <v/>
      </c>
      <c r="DB51" s="1318">
        <f>DB50/DA50-1</f>
        <v/>
      </c>
      <c r="DC51" s="1318">
        <f>DC50/DB50-1</f>
        <v/>
      </c>
      <c r="DD51" s="1318">
        <f>DD50/DC50-1</f>
        <v/>
      </c>
      <c r="DE51" s="1318">
        <f>DE50/DD50-1</f>
        <v/>
      </c>
      <c r="DF51" s="1318">
        <f>DF50/DE50-1</f>
        <v/>
      </c>
      <c r="DG51" s="1318">
        <f>DG50/DF50-1</f>
        <v/>
      </c>
      <c r="DH51" s="1318">
        <f>DH50/DG50-1</f>
        <v/>
      </c>
      <c r="DI51" s="1318">
        <f>DI50/DH50-1</f>
        <v/>
      </c>
      <c r="DJ51" s="1318">
        <f>DJ50/DI50-1</f>
        <v/>
      </c>
      <c r="DK51" s="1318">
        <f>DK50/DJ50-1</f>
        <v/>
      </c>
      <c r="DL51" s="1318">
        <f>DL50/DK50-1</f>
        <v/>
      </c>
      <c r="DM51" s="1318">
        <f>DM50/DL50-1</f>
        <v/>
      </c>
      <c r="DN51" s="1318">
        <f>DN50/DM50-1</f>
        <v/>
      </c>
      <c r="DO51" s="1318">
        <f>DO50/DN50-1</f>
        <v/>
      </c>
      <c r="DP51" s="1318">
        <f>DP50/DO50-1</f>
        <v/>
      </c>
      <c r="DQ51" s="1318">
        <f>DQ50/DP50-1</f>
        <v/>
      </c>
      <c r="DR51" s="1318">
        <f>DR50/DQ50-1</f>
        <v/>
      </c>
      <c r="DS51" s="1318">
        <f>DS50/DR50-1</f>
        <v/>
      </c>
      <c r="DT51" s="1318">
        <f>DT50/DS50-1</f>
        <v/>
      </c>
      <c r="DU51" s="1318">
        <f>DU50/DT50-1</f>
        <v/>
      </c>
      <c r="DV51" s="1318">
        <f>DV50/DU50-1</f>
        <v/>
      </c>
      <c r="DW51" s="1318">
        <f>DW50/DV50-1</f>
        <v/>
      </c>
      <c r="DX51" s="1318">
        <f>DX50/DW50-1</f>
        <v/>
      </c>
      <c r="DY51" s="1318">
        <f>DY50/DX50-1</f>
        <v/>
      </c>
      <c r="DZ51" s="1318">
        <f>DZ50/DY50-1</f>
        <v/>
      </c>
      <c r="EA51" s="1318">
        <f>EA50/DZ50-1</f>
        <v/>
      </c>
      <c r="EB51" s="1318">
        <f>EB50/EA50-1</f>
        <v/>
      </c>
      <c r="EC51" s="1318">
        <f>EC50/EB50-1</f>
        <v/>
      </c>
      <c r="ED51" s="1318">
        <f>ED50/EC50-1</f>
        <v/>
      </c>
      <c r="EE51" s="1318">
        <f>EE50/ED50-1</f>
        <v/>
      </c>
      <c r="EF51" s="1318">
        <f>EF50/EE50-1</f>
        <v/>
      </c>
      <c r="EG51" s="1318">
        <f>EG50/EF50-1</f>
        <v/>
      </c>
      <c r="EH51" s="1318">
        <f>EH50/EG50-1</f>
        <v/>
      </c>
      <c r="EI51" s="1318">
        <f>EI50/EH50-1</f>
        <v/>
      </c>
      <c r="EJ51" s="1318">
        <f>EJ50/EI50-1</f>
        <v/>
      </c>
      <c r="EK51" s="1318">
        <f>EK50/EJ50-1</f>
        <v/>
      </c>
      <c r="EL51" s="1318">
        <f>EL50/EK50-1</f>
        <v/>
      </c>
      <c r="EM51" s="1318">
        <f>EM50/EL50-1</f>
        <v/>
      </c>
      <c r="EN51" s="1318">
        <f>EN50/EM50-1</f>
        <v/>
      </c>
      <c r="EO51" s="1318">
        <f>EO50/EN50-1</f>
        <v/>
      </c>
      <c r="EP51" s="1318">
        <f>EP50/EO50-1</f>
        <v/>
      </c>
      <c r="EQ51" s="1318">
        <f>EQ50/EP50-1</f>
        <v/>
      </c>
      <c r="ER51" s="1318">
        <f>ER50/EQ50-1</f>
        <v/>
      </c>
      <c r="ES51" s="1318">
        <f>ES50/ER50-1</f>
        <v/>
      </c>
      <c r="ET51" s="1318">
        <f>ET50/ES50-1</f>
        <v/>
      </c>
      <c r="EU51" s="1318">
        <f>EU50/ET50-1</f>
        <v/>
      </c>
      <c r="EV51" s="1318">
        <f>EV50/EU50-1</f>
        <v/>
      </c>
      <c r="EW51" s="1318">
        <f>EW50/EV50-1</f>
        <v/>
      </c>
      <c r="EX51" s="1318">
        <f>EX50/EW50-1</f>
        <v/>
      </c>
      <c r="EY51" s="1318">
        <f>EY50/EX50-1</f>
        <v/>
      </c>
      <c r="EZ51" s="1318">
        <f>EZ50/EY50-1</f>
        <v/>
      </c>
      <c r="FA51" s="1318">
        <f>FA50/EZ50-1</f>
        <v/>
      </c>
      <c r="FB51" s="1318">
        <f>FB50/FA50-1</f>
        <v/>
      </c>
      <c r="FC51" s="1318">
        <f>FC50/FB50-1</f>
        <v/>
      </c>
      <c r="FD51" s="1318">
        <f>FD50/FC50-1</f>
        <v/>
      </c>
      <c r="FE51" s="1318">
        <f>FE50/FD50-1</f>
        <v/>
      </c>
      <c r="FF51" s="1318">
        <f>FF50/FE50-1</f>
        <v/>
      </c>
      <c r="FG51" s="1318">
        <f>FG50/FF50-1</f>
        <v/>
      </c>
      <c r="FH51" s="1318">
        <f>FH50/FG50-1</f>
        <v/>
      </c>
      <c r="FI51" s="1318">
        <f>FI50/FH50-1</f>
        <v/>
      </c>
      <c r="FJ51" s="1318">
        <f>FJ50/FI50-1</f>
        <v/>
      </c>
      <c r="FK51" s="1318">
        <f>FK50/FJ50-1</f>
        <v/>
      </c>
      <c r="FL51" s="1318">
        <f>FL50/FK50-1</f>
        <v/>
      </c>
      <c r="FM51" s="1318">
        <f>FM50/FL50-1</f>
        <v/>
      </c>
      <c r="FN51" s="1318">
        <f>FN50/FM50-1</f>
        <v/>
      </c>
      <c r="FO51" s="1318">
        <f>FO50/FN50-1</f>
        <v/>
      </c>
      <c r="FP51" s="1318">
        <f>FP50/FO50-1</f>
        <v/>
      </c>
      <c r="FQ51" s="1318">
        <f>FQ50/FP50-1</f>
        <v/>
      </c>
      <c r="FR51" s="1318">
        <f>FR50/FQ50-1</f>
        <v/>
      </c>
      <c r="FS51" s="1318">
        <f>FS50/FR50-1</f>
        <v/>
      </c>
      <c r="FT51" s="1318">
        <f>FT50/FS50-1</f>
        <v/>
      </c>
      <c r="FU51" s="1318">
        <f>FU50/FT50-1</f>
        <v/>
      </c>
      <c r="FV51" s="1318">
        <f>FV50/FU50-1</f>
        <v/>
      </c>
      <c r="FW51" s="1318">
        <f>FW50/FV50-1</f>
        <v/>
      </c>
      <c r="FX51" s="1318">
        <f>FX50/FW50-1</f>
        <v/>
      </c>
      <c r="FY51" s="1318">
        <f>FY50/FX50-1</f>
        <v/>
      </c>
      <c r="FZ51" s="1318">
        <f>FZ50/FY50-1</f>
        <v/>
      </c>
      <c r="GA51" s="1318">
        <f>GA50/FZ50-1</f>
        <v/>
      </c>
      <c r="GB51" s="1318">
        <f>GB50/GA50-1</f>
        <v/>
      </c>
      <c r="GC51" s="1318">
        <f>GC50/GB50-1</f>
        <v/>
      </c>
      <c r="GD51" s="1318">
        <f>GD50/GC50-1</f>
        <v/>
      </c>
      <c r="GE51" s="1318">
        <f>GE50/GD50-1</f>
        <v/>
      </c>
      <c r="GF51" s="1318">
        <f>GF50/GE50-1</f>
        <v/>
      </c>
      <c r="GG51" s="1318">
        <f>GG50/GF50-1</f>
        <v/>
      </c>
      <c r="GH51" s="1318">
        <f>GH50/GG50-1</f>
        <v/>
      </c>
      <c r="GI51" s="1318">
        <f>GI50/GH50-1</f>
        <v/>
      </c>
      <c r="GJ51" s="1318">
        <f>GJ50/GI50-1</f>
        <v/>
      </c>
      <c r="GK51" s="1318">
        <f>GK50/GJ50-1</f>
        <v/>
      </c>
      <c r="GL51" s="1318">
        <f>GL50/GK50-1</f>
        <v/>
      </c>
      <c r="GM51" s="1318">
        <f>GM50/GL50-1</f>
        <v/>
      </c>
      <c r="GN51" s="1318">
        <f>GN50/GM50-1</f>
        <v/>
      </c>
      <c r="GO51" s="1318">
        <f>GO50/GN50-1</f>
        <v/>
      </c>
      <c r="GP51" s="1318">
        <f>GP50/GO50-1</f>
        <v/>
      </c>
      <c r="GQ51" s="1318">
        <f>GQ50/GP50-1</f>
        <v/>
      </c>
      <c r="GR51" s="1318">
        <f>GR50/GQ50-1</f>
        <v/>
      </c>
      <c r="GS51" s="1318">
        <f>GS50/GR50-1</f>
        <v/>
      </c>
      <c r="GT51" s="1318">
        <f>GT50/GS50-1</f>
        <v/>
      </c>
      <c r="GU51" s="1318">
        <f>GU50/GT50-1</f>
        <v/>
      </c>
      <c r="GV51" s="1318">
        <f>GV50/GU50-1</f>
        <v/>
      </c>
      <c r="GW51" s="1318">
        <f>GW50/GV50-1</f>
        <v/>
      </c>
      <c r="GX51" s="1318">
        <f>GX50/GW50-1</f>
        <v/>
      </c>
      <c r="GY51" s="1318">
        <f>GY50/GX50-1</f>
        <v/>
      </c>
      <c r="GZ51" s="1318">
        <f>GZ50/GY50-1</f>
        <v/>
      </c>
      <c r="HA51" s="1318">
        <f>HA50/GZ50-1</f>
        <v/>
      </c>
      <c r="HB51" s="1318">
        <f>HB50/HA50-1</f>
        <v/>
      </c>
      <c r="HC51" s="1318">
        <f>HC50/HB50-1</f>
        <v/>
      </c>
      <c r="HD51" s="1318">
        <f>HD50/HC50-1</f>
        <v/>
      </c>
      <c r="HE51" s="1318">
        <f>HE50/HD50-1</f>
        <v/>
      </c>
      <c r="HF51" s="1318">
        <f>HF50/HE50-1</f>
        <v/>
      </c>
      <c r="HG51" s="1318">
        <f>HG50/HF50-1</f>
        <v/>
      </c>
      <c r="HH51" s="1318">
        <f>HH50/HG50-1</f>
        <v/>
      </c>
      <c r="HI51" s="1318">
        <f>HI50/HH50-1</f>
        <v/>
      </c>
      <c r="HJ51" s="1318">
        <f>HJ50/HI50-1</f>
        <v/>
      </c>
      <c r="HK51" s="1318">
        <f>HK50/HJ50-1</f>
        <v/>
      </c>
      <c r="HL51" s="1318">
        <f>HL50/HK50-1</f>
        <v/>
      </c>
      <c r="HM51" s="1318">
        <f>HM50/HL50-1</f>
        <v/>
      </c>
      <c r="HN51" s="1318">
        <f>HN50/HM50-1</f>
        <v/>
      </c>
      <c r="HO51" s="1318">
        <f>HO50/HN50-1</f>
        <v/>
      </c>
      <c r="HP51" s="1318">
        <f>HP50/HO50-1</f>
        <v/>
      </c>
      <c r="HQ51" s="1318">
        <f>HQ50/HP50-1</f>
        <v/>
      </c>
      <c r="HR51" s="1318">
        <f>HR50/HQ50-1</f>
        <v/>
      </c>
      <c r="HS51" s="1318">
        <f>HS50/HR50-1</f>
        <v/>
      </c>
      <c r="HT51" s="1318">
        <f>HT50/HS50-1</f>
        <v/>
      </c>
      <c r="HU51" s="1318">
        <f>HU50/HT50-1</f>
        <v/>
      </c>
      <c r="HV51" s="1318">
        <f>HV50/HU50-1</f>
        <v/>
      </c>
      <c r="HW51" s="1318">
        <f>HW50/HV50-1</f>
        <v/>
      </c>
      <c r="HX51" s="1318">
        <f>HX50/HW50-1</f>
        <v/>
      </c>
      <c r="HY51" s="1318">
        <f>HY50/HX50-1</f>
        <v/>
      </c>
      <c r="HZ51" s="1318">
        <f>HZ50/HY50-1</f>
        <v/>
      </c>
      <c r="IA51" s="1318">
        <f>IA50/HZ50-1</f>
        <v/>
      </c>
      <c r="IB51" s="1318">
        <f>IB50/IA50-1</f>
        <v/>
      </c>
      <c r="IC51" s="1318">
        <f>IC50/IB50-1</f>
        <v/>
      </c>
      <c r="ID51" s="1318">
        <f>ID50/IC50-1</f>
        <v/>
      </c>
      <c r="IE51" s="1318">
        <f>IE50/ID50-1</f>
        <v/>
      </c>
      <c r="IF51" s="1318">
        <f>IF50/IE50-1</f>
        <v/>
      </c>
      <c r="IG51" s="1318">
        <f>IG50/IF50-1</f>
        <v/>
      </c>
      <c r="IH51" s="1318">
        <f>IH50/IG50-1</f>
        <v/>
      </c>
      <c r="II51" s="1318">
        <f>II50/IH50-1</f>
        <v/>
      </c>
      <c r="IJ51" s="1318">
        <f>IJ50/II50-1</f>
        <v/>
      </c>
      <c r="IK51" s="1318">
        <f>IK50/IJ50-1</f>
        <v/>
      </c>
      <c r="IL51" s="1318">
        <f>IL50/IK50-1</f>
        <v/>
      </c>
      <c r="IM51" s="1318">
        <f>IM50/IL50-1</f>
        <v/>
      </c>
      <c r="IN51" s="1318">
        <f>IN50/IM50-1</f>
        <v/>
      </c>
      <c r="IO51" s="1318">
        <f>IO50/IN50-1</f>
        <v/>
      </c>
      <c r="IP51" s="1318">
        <f>IP50/IO50-1</f>
        <v/>
      </c>
      <c r="IQ51" s="1318">
        <f>IQ50/IP50-1</f>
        <v/>
      </c>
      <c r="IR51" s="1318">
        <f>IR50/IQ50-1</f>
        <v/>
      </c>
      <c r="IS51" s="1318">
        <f>IS50/IR50-1</f>
        <v/>
      </c>
      <c r="IT51" s="1318">
        <f>IT50/IS50-1</f>
        <v/>
      </c>
      <c r="IU51" s="1318">
        <f>IU50/IT50-1</f>
        <v/>
      </c>
      <c r="IV51" s="1318">
        <f>IV50/IU50-1</f>
        <v/>
      </c>
      <c r="IW51" s="1318">
        <f>IW50/IV50-1</f>
        <v/>
      </c>
      <c r="IX51" s="1318">
        <f>IX50/IW50-1</f>
        <v/>
      </c>
      <c r="IY51" s="1318">
        <f>IY50/IX50-1</f>
        <v/>
      </c>
      <c r="IZ51" s="1318">
        <f>IZ50/IY50-1</f>
        <v/>
      </c>
      <c r="JA51" s="1318">
        <f>JA50/IZ50-1</f>
        <v/>
      </c>
      <c r="JB51" s="1318">
        <f>JB50/JA50-1</f>
        <v/>
      </c>
      <c r="JC51" s="1318">
        <f>JC50/JB50-1</f>
        <v/>
      </c>
      <c r="JD51" s="1318">
        <f>JD50/JC50-1</f>
        <v/>
      </c>
      <c r="JE51" s="1318">
        <f>JE50/JD50-1</f>
        <v/>
      </c>
      <c r="JF51" s="1318">
        <f>JF50/JE50-1</f>
        <v/>
      </c>
      <c r="JG51" s="1318">
        <f>JG50/JF50-1</f>
        <v/>
      </c>
      <c r="JH51" s="1318">
        <f>JH50/JG50-1</f>
        <v/>
      </c>
      <c r="JI51" s="1318">
        <f>JI50/JH50-1</f>
        <v/>
      </c>
      <c r="JJ51" s="1318">
        <f>JJ50/JI50-1</f>
        <v/>
      </c>
      <c r="JK51" s="1318">
        <f>JK50/JJ50-1</f>
        <v/>
      </c>
      <c r="JL51" s="1318">
        <f>JL50/JK50-1</f>
        <v/>
      </c>
      <c r="JM51" s="1318">
        <f>JM50/JL50-1</f>
        <v/>
      </c>
      <c r="JN51" s="1318">
        <f>JN50/JM50-1</f>
        <v/>
      </c>
      <c r="JO51" s="1318">
        <f>JO50/JN50-1</f>
        <v/>
      </c>
      <c r="JP51" s="1318">
        <f>JP50/JO50-1</f>
        <v/>
      </c>
      <c r="JQ51" s="1318">
        <f>JQ50/JP50-1</f>
        <v/>
      </c>
      <c r="JR51" s="1318">
        <f>JR50/JQ50-1</f>
        <v/>
      </c>
      <c r="JS51" s="1318">
        <f>JS50/JR50-1</f>
        <v/>
      </c>
      <c r="JT51" s="1318">
        <f>JT50/JS50-1</f>
        <v/>
      </c>
      <c r="JU51" s="1318">
        <f>JU50/JT50-1</f>
        <v/>
      </c>
      <c r="JV51" s="1318">
        <f>JV50/JU50-1</f>
        <v/>
      </c>
      <c r="JW51" s="1318">
        <f>JW50/JV50-1</f>
        <v/>
      </c>
      <c r="JX51" s="1318">
        <f>JX50/JW50-1</f>
        <v/>
      </c>
      <c r="JY51" s="1318">
        <f>JY50/JX50-1</f>
        <v/>
      </c>
      <c r="JZ51" s="1318">
        <f>JZ50/JY50-1</f>
        <v/>
      </c>
      <c r="KA51" s="1318">
        <f>KA50/JZ50-1</f>
        <v/>
      </c>
      <c r="KB51" s="1318">
        <f>KB50/KA50-1</f>
        <v/>
      </c>
      <c r="KC51" s="1318">
        <f>KC50/KB50-1</f>
        <v/>
      </c>
      <c r="KD51" s="1318">
        <f>KD50/KC50-1</f>
        <v/>
      </c>
      <c r="KE51" s="1318">
        <f>KE50/KD50-1</f>
        <v/>
      </c>
      <c r="KF51" s="1318">
        <f>KF50/KE50-1</f>
        <v/>
      </c>
      <c r="KG51" s="1318">
        <f>KG50/KF50-1</f>
        <v/>
      </c>
      <c r="KH51" s="1318">
        <f>KH50/KG50-1</f>
        <v/>
      </c>
      <c r="KI51" s="1318">
        <f>KI50/KH50-1</f>
        <v/>
      </c>
      <c r="KJ51" s="1318">
        <f>KJ50/KI50-1</f>
        <v/>
      </c>
      <c r="KK51" s="1318">
        <f>KK50/KJ50-1</f>
        <v/>
      </c>
      <c r="KL51" s="1318">
        <f>KL50/KK50-1</f>
        <v/>
      </c>
      <c r="KM51" s="1318">
        <f>KM50/KL50-1</f>
        <v/>
      </c>
      <c r="KN51" s="1318">
        <f>KN50/KM50-1</f>
        <v/>
      </c>
      <c r="KO51" s="1318">
        <f>KO50/KN50-1</f>
        <v/>
      </c>
      <c r="KP51" s="1318">
        <f>KP50/KO50-1</f>
        <v/>
      </c>
      <c r="KQ51" s="1318">
        <f>KQ50/KP50-1</f>
        <v/>
      </c>
      <c r="KR51" s="1318">
        <f>KR50/KQ50-1</f>
        <v/>
      </c>
      <c r="KS51" s="1318">
        <f>KS50/KR50-1</f>
        <v/>
      </c>
      <c r="KT51" s="1318">
        <f>KT50/KS50-1</f>
        <v/>
      </c>
      <c r="KU51" s="1318">
        <f>KU50/KT50-1</f>
        <v/>
      </c>
      <c r="KV51" s="1318">
        <f>KV50/KU50-1</f>
        <v/>
      </c>
      <c r="KW51" s="1318">
        <f>KW50/KV50-1</f>
        <v/>
      </c>
      <c r="KX51" s="1318">
        <f>KX50/KW50-1</f>
        <v/>
      </c>
      <c r="KY51" s="1318">
        <f>KY50/KX50-1</f>
        <v/>
      </c>
      <c r="KZ51" s="1318">
        <f>KZ50/KY50-1</f>
        <v/>
      </c>
      <c r="LA51" s="1318">
        <f>LA50/KZ50-1</f>
        <v/>
      </c>
      <c r="LB51" s="1318" t="n"/>
      <c r="LC51" s="1318" t="n"/>
      <c r="LD51" s="1318" t="n"/>
      <c r="LE51" s="1318" t="n"/>
      <c r="LF51" s="1318" t="n"/>
      <c r="LG51" s="1318" t="n"/>
      <c r="LH51" s="1318" t="n"/>
      <c r="LI51" s="1318" t="n"/>
      <c r="LJ51" s="1318" t="n"/>
      <c r="LK51" s="1318" t="n"/>
      <c r="LL51" s="1318" t="n"/>
      <c r="LM51" s="1318" t="n"/>
      <c r="LN51" s="1318" t="n"/>
      <c r="LO51" s="1318" t="n"/>
      <c r="LP51" s="1318" t="n"/>
      <c r="LQ51" s="1318" t="n"/>
      <c r="LR51" s="1318" t="n"/>
      <c r="LS51" s="1318" t="n"/>
    </row>
    <row r="52">
      <c r="A52" s="885" t="inlineStr">
        <is>
          <t>YoY cg %</t>
        </is>
      </c>
      <c r="B52" s="1318" t="n"/>
      <c r="C52" s="1318" t="n"/>
      <c r="D52" s="1318" t="n"/>
      <c r="E52" s="1318" t="n"/>
      <c r="F52" s="1318" t="n"/>
      <c r="G52" s="1318" t="n"/>
      <c r="H52" s="1318" t="n"/>
      <c r="I52" s="1318" t="n"/>
      <c r="J52" s="1318" t="n"/>
      <c r="K52" s="1318" t="n"/>
      <c r="L52" s="1318" t="n"/>
      <c r="M52" s="1318" t="n"/>
      <c r="N52" s="1318">
        <f>N50/B50-1</f>
        <v/>
      </c>
      <c r="O52" s="1318">
        <f>O50/C50-1</f>
        <v/>
      </c>
      <c r="P52" s="1318">
        <f>P50/D50-1</f>
        <v/>
      </c>
      <c r="Q52" s="1318">
        <f>Q50/E50-1</f>
        <v/>
      </c>
      <c r="R52" s="1318">
        <f>R50/F50-1</f>
        <v/>
      </c>
      <c r="S52" s="1318">
        <f>S50/G50-1</f>
        <v/>
      </c>
      <c r="T52" s="1318">
        <f>T50/H50-1</f>
        <v/>
      </c>
      <c r="U52" s="1318">
        <f>U50/I50-1</f>
        <v/>
      </c>
      <c r="V52" s="1318">
        <f>V50/J50-1</f>
        <v/>
      </c>
      <c r="W52" s="1318">
        <f>W50/K50-1</f>
        <v/>
      </c>
      <c r="X52" s="1318">
        <f>X50/L50-1</f>
        <v/>
      </c>
      <c r="Y52" s="1318">
        <f>Y50/M50-1</f>
        <v/>
      </c>
      <c r="Z52" s="1318">
        <f>Z50/N50-1</f>
        <v/>
      </c>
      <c r="AA52" s="1318">
        <f>AA50/O50-1</f>
        <v/>
      </c>
      <c r="AB52" s="1318">
        <f>AB50/P50-1</f>
        <v/>
      </c>
      <c r="AC52" s="1318">
        <f>AC50/Q50-1</f>
        <v/>
      </c>
      <c r="AD52" s="1318">
        <f>AD50/R50-1</f>
        <v/>
      </c>
      <c r="AE52" s="1318">
        <f>AE50/S50-1</f>
        <v/>
      </c>
      <c r="AF52" s="1318">
        <f>AF50/T50-1</f>
        <v/>
      </c>
      <c r="AG52" s="1318">
        <f>AG50/U50-1</f>
        <v/>
      </c>
      <c r="AH52" s="1318">
        <f>AH50/V50-1</f>
        <v/>
      </c>
      <c r="AI52" s="1318">
        <f>AI50/W50-1</f>
        <v/>
      </c>
      <c r="AJ52" s="1318">
        <f>AJ50/X50-1</f>
        <v/>
      </c>
      <c r="AK52" s="1318">
        <f>AK50/Y50-1</f>
        <v/>
      </c>
      <c r="AL52" s="1318">
        <f>AL50/Z50-1</f>
        <v/>
      </c>
      <c r="AM52" s="1318">
        <f>AM50/AA50-1</f>
        <v/>
      </c>
      <c r="AN52" s="1318">
        <f>AN50/AB50-1</f>
        <v/>
      </c>
      <c r="AO52" s="1318">
        <f>AO50/AC50-1</f>
        <v/>
      </c>
      <c r="AP52" s="1318">
        <f>AP50/AD50-1</f>
        <v/>
      </c>
      <c r="AQ52" s="1318">
        <f>AQ50/AE50-1</f>
        <v/>
      </c>
      <c r="AR52" s="1318">
        <f>AR50/AF50-1</f>
        <v/>
      </c>
      <c r="AS52" s="1318">
        <f>AS50/AG50-1</f>
        <v/>
      </c>
      <c r="AT52" s="1318">
        <f>AT50/AH50-1</f>
        <v/>
      </c>
      <c r="AU52" s="1318">
        <f>AU50/AI50-1</f>
        <v/>
      </c>
      <c r="AV52" s="1318">
        <f>AV50/AJ50-1</f>
        <v/>
      </c>
      <c r="AW52" s="1318">
        <f>AW50/AK50-1</f>
        <v/>
      </c>
      <c r="AX52" s="1318">
        <f>AX50/AL50-1</f>
        <v/>
      </c>
      <c r="AY52" s="1318">
        <f>AY50/AM50-1</f>
        <v/>
      </c>
      <c r="AZ52" s="1318">
        <f>AZ50/AN50-1</f>
        <v/>
      </c>
      <c r="BA52" s="1318">
        <f>BA50/AO50-1</f>
        <v/>
      </c>
      <c r="BB52" s="1318">
        <f>BB50/AP50-1</f>
        <v/>
      </c>
      <c r="BC52" s="1318">
        <f>BC50/AQ50-1</f>
        <v/>
      </c>
      <c r="BD52" s="1318">
        <f>BD50/AR50-1</f>
        <v/>
      </c>
      <c r="BE52" s="1318">
        <f>BE50/AS50-1</f>
        <v/>
      </c>
      <c r="BF52" s="1318">
        <f>BF50/AT50-1</f>
        <v/>
      </c>
      <c r="BG52" s="1318">
        <f>BG50/AU50-1</f>
        <v/>
      </c>
      <c r="BH52" s="1318">
        <f>BH50/AV50-1</f>
        <v/>
      </c>
      <c r="BI52" s="1318">
        <f>BI50/AW50-1</f>
        <v/>
      </c>
      <c r="BJ52" s="1318">
        <f>BJ50/AX50-1</f>
        <v/>
      </c>
      <c r="BK52" s="1318">
        <f>BK50/AY50-1</f>
        <v/>
      </c>
      <c r="BL52" s="1318">
        <f>BL50/AZ50-1</f>
        <v/>
      </c>
      <c r="BM52" s="1318">
        <f>BM50/BA50-1</f>
        <v/>
      </c>
      <c r="BN52" s="1318">
        <f>BN50/BB50-1</f>
        <v/>
      </c>
      <c r="BO52" s="1318">
        <f>BO50/BC50-1</f>
        <v/>
      </c>
      <c r="BP52" s="1318">
        <f>BP50/BD50-1</f>
        <v/>
      </c>
      <c r="BQ52" s="1318">
        <f>BQ50/BE50-1</f>
        <v/>
      </c>
      <c r="BR52" s="1318">
        <f>BR50/BF50-1</f>
        <v/>
      </c>
      <c r="BS52" s="1318">
        <f>BS50/BG50-1</f>
        <v/>
      </c>
      <c r="BT52" s="1318">
        <f>BT50/BH50-1</f>
        <v/>
      </c>
      <c r="BU52" s="1318">
        <f>BU50/BI50-1</f>
        <v/>
      </c>
      <c r="BV52" s="1318">
        <f>BV50/BJ50-1</f>
        <v/>
      </c>
      <c r="BW52" s="1318">
        <f>BW50/BK50-1</f>
        <v/>
      </c>
      <c r="BX52" s="1318">
        <f>BX50/BL50-1</f>
        <v/>
      </c>
      <c r="BY52" s="1318">
        <f>BY50/BM50-1</f>
        <v/>
      </c>
      <c r="BZ52" s="1318">
        <f>BZ50/BN50-1</f>
        <v/>
      </c>
      <c r="CA52" s="1318">
        <f>CA50/BO50-1</f>
        <v/>
      </c>
      <c r="CB52" s="1318">
        <f>CB50/BP50-1</f>
        <v/>
      </c>
      <c r="CC52" s="1318">
        <f>CC50/BQ50-1</f>
        <v/>
      </c>
      <c r="CD52" s="1318">
        <f>CD50/BR50-1</f>
        <v/>
      </c>
      <c r="CE52" s="1318">
        <f>CE50/BS50-1</f>
        <v/>
      </c>
      <c r="CF52" s="1318">
        <f>CF50/BT50-1</f>
        <v/>
      </c>
      <c r="CG52" s="1318">
        <f>CG50/BU50-1</f>
        <v/>
      </c>
      <c r="CH52" s="1318">
        <f>CH50/BV50-1</f>
        <v/>
      </c>
      <c r="CI52" s="1318">
        <f>CI50/BW50-1</f>
        <v/>
      </c>
      <c r="CJ52" s="1318">
        <f>CJ50/BX50-1</f>
        <v/>
      </c>
      <c r="CK52" s="1318">
        <f>CK50/BY50-1</f>
        <v/>
      </c>
      <c r="CL52" s="1318">
        <f>CL50/BZ50-1</f>
        <v/>
      </c>
      <c r="CM52" s="1318">
        <f>CM50/CA50-1</f>
        <v/>
      </c>
      <c r="CN52" s="1318">
        <f>CN50/CB50-1</f>
        <v/>
      </c>
      <c r="CO52" s="1318">
        <f>CO50/CC50-1</f>
        <v/>
      </c>
      <c r="CP52" s="1318">
        <f>CP50/CD50-1</f>
        <v/>
      </c>
      <c r="CQ52" s="1318">
        <f>CQ50/CE50-1</f>
        <v/>
      </c>
      <c r="CR52" s="1318">
        <f>CR50/CF50-1</f>
        <v/>
      </c>
      <c r="CS52" s="1318">
        <f>CS50/CG50-1</f>
        <v/>
      </c>
      <c r="CT52" s="1318">
        <f>CT50/CH50-1</f>
        <v/>
      </c>
      <c r="CU52" s="1318">
        <f>CU50/CI50-1</f>
        <v/>
      </c>
      <c r="CV52" s="1318">
        <f>CV50/CJ50-1</f>
        <v/>
      </c>
      <c r="CW52" s="1318">
        <f>CW50/CK50-1</f>
        <v/>
      </c>
      <c r="CX52" s="1318">
        <f>CX50/CL50-1</f>
        <v/>
      </c>
      <c r="CY52" s="1318">
        <f>CY50/CM50-1</f>
        <v/>
      </c>
      <c r="CZ52" s="1318">
        <f>CZ50/CN50-1</f>
        <v/>
      </c>
      <c r="DA52" s="1318">
        <f>DA50/CO50-1</f>
        <v/>
      </c>
      <c r="DB52" s="1318">
        <f>DB50/CP50-1</f>
        <v/>
      </c>
      <c r="DC52" s="1318">
        <f>DC50/CQ50-1</f>
        <v/>
      </c>
      <c r="DD52" s="1318">
        <f>DD50/CR50-1</f>
        <v/>
      </c>
      <c r="DE52" s="1318">
        <f>DE50/CS50-1</f>
        <v/>
      </c>
      <c r="DF52" s="1318">
        <f>DF50/CT50-1</f>
        <v/>
      </c>
      <c r="DG52" s="1318">
        <f>DG50/CU50-1</f>
        <v/>
      </c>
      <c r="DH52" s="1318">
        <f>DH50/CV50-1</f>
        <v/>
      </c>
      <c r="DI52" s="1318">
        <f>DI50/CW50-1</f>
        <v/>
      </c>
      <c r="DJ52" s="1318">
        <f>DJ50/CX50-1</f>
        <v/>
      </c>
      <c r="DK52" s="1318">
        <f>DK50/CY50-1</f>
        <v/>
      </c>
      <c r="DL52" s="1318">
        <f>DL50/CZ50-1</f>
        <v/>
      </c>
      <c r="DM52" s="1318">
        <f>DM50/DA50-1</f>
        <v/>
      </c>
      <c r="DN52" s="1318">
        <f>DN50/DB50-1</f>
        <v/>
      </c>
      <c r="DO52" s="1318">
        <f>DO50/DC50-1</f>
        <v/>
      </c>
      <c r="DP52" s="1318">
        <f>DP50/DD50-1</f>
        <v/>
      </c>
      <c r="DQ52" s="1318">
        <f>DQ50/DE50-1</f>
        <v/>
      </c>
      <c r="DR52" s="1318">
        <f>DR50/DF50-1</f>
        <v/>
      </c>
      <c r="DS52" s="1318">
        <f>DS50/DG50-1</f>
        <v/>
      </c>
      <c r="DT52" s="1318">
        <f>DT50/DH50-1</f>
        <v/>
      </c>
      <c r="DU52" s="1318">
        <f>DU50/DI50-1</f>
        <v/>
      </c>
      <c r="DV52" s="1318">
        <f>DV50/DJ50-1</f>
        <v/>
      </c>
      <c r="DW52" s="1318">
        <f>DW50/DK50-1</f>
        <v/>
      </c>
      <c r="DX52" s="1318">
        <f>DX50/DL50-1</f>
        <v/>
      </c>
      <c r="DY52" s="1318">
        <f>DY50/DM50-1</f>
        <v/>
      </c>
      <c r="DZ52" s="1318">
        <f>DZ50/DN50-1</f>
        <v/>
      </c>
      <c r="EA52" s="1318">
        <f>EA50/DO50-1</f>
        <v/>
      </c>
      <c r="EB52" s="1318">
        <f>EB50/DP50-1</f>
        <v/>
      </c>
      <c r="EC52" s="1318">
        <f>EC50/DQ50-1</f>
        <v/>
      </c>
      <c r="ED52" s="1318">
        <f>ED50/DR50-1</f>
        <v/>
      </c>
      <c r="EE52" s="1318">
        <f>EE50/DS50-1</f>
        <v/>
      </c>
      <c r="EF52" s="1318">
        <f>EF50/DT50-1</f>
        <v/>
      </c>
      <c r="EG52" s="1318">
        <f>EG50/DU50-1</f>
        <v/>
      </c>
      <c r="EH52" s="1318">
        <f>EH50/DV50-1</f>
        <v/>
      </c>
      <c r="EI52" s="1318">
        <f>EI50/DW50-1</f>
        <v/>
      </c>
      <c r="EJ52" s="1318">
        <f>EJ50/DX50-1</f>
        <v/>
      </c>
      <c r="EK52" s="1318">
        <f>EK50/DY50-1</f>
        <v/>
      </c>
      <c r="EL52" s="1318">
        <f>EL50/DZ50-1</f>
        <v/>
      </c>
      <c r="EM52" s="1318">
        <f>EM50/EA50-1</f>
        <v/>
      </c>
      <c r="EN52" s="1318">
        <f>EN50/EB50-1</f>
        <v/>
      </c>
      <c r="EO52" s="1318">
        <f>EO50/EC50-1</f>
        <v/>
      </c>
      <c r="EP52" s="1318">
        <f>EP50/ED50-1</f>
        <v/>
      </c>
      <c r="EQ52" s="1318">
        <f>EQ50/EE50-1</f>
        <v/>
      </c>
      <c r="ER52" s="1318">
        <f>ER50/EF50-1</f>
        <v/>
      </c>
      <c r="ES52" s="1318">
        <f>ES50/EG50-1</f>
        <v/>
      </c>
      <c r="ET52" s="1318">
        <f>ET50/EH50-1</f>
        <v/>
      </c>
      <c r="EU52" s="1318">
        <f>EU50/EI50-1</f>
        <v/>
      </c>
      <c r="EV52" s="1318">
        <f>EV50/EJ50-1</f>
        <v/>
      </c>
      <c r="EW52" s="1318">
        <f>EW50/EK50-1</f>
        <v/>
      </c>
      <c r="EX52" s="1318">
        <f>EX50/EL50-1</f>
        <v/>
      </c>
      <c r="EY52" s="1318">
        <f>EY50/EM50-1</f>
        <v/>
      </c>
      <c r="EZ52" s="1318">
        <f>EZ50/EN50-1</f>
        <v/>
      </c>
      <c r="FA52" s="1318">
        <f>FA50/EO50-1</f>
        <v/>
      </c>
      <c r="FB52" s="1318">
        <f>FB50/EP50-1</f>
        <v/>
      </c>
      <c r="FC52" s="1318">
        <f>FC50/EQ50-1</f>
        <v/>
      </c>
      <c r="FD52" s="1318">
        <f>FD50/ER50-1</f>
        <v/>
      </c>
      <c r="FE52" s="1318">
        <f>FE50/ES50-1</f>
        <v/>
      </c>
      <c r="FF52" s="1318">
        <f>FF50/ET50-1</f>
        <v/>
      </c>
      <c r="FG52" s="1318">
        <f>FG50/EU50-1</f>
        <v/>
      </c>
      <c r="FH52" s="1318">
        <f>FH50/EV50-1</f>
        <v/>
      </c>
      <c r="FI52" s="1318">
        <f>FI50/EW50-1</f>
        <v/>
      </c>
      <c r="FJ52" s="1318">
        <f>FJ50/EX50-1</f>
        <v/>
      </c>
      <c r="FK52" s="1318">
        <f>FK50/EY50-1</f>
        <v/>
      </c>
      <c r="FL52" s="1318">
        <f>FL50/EZ50-1</f>
        <v/>
      </c>
      <c r="FM52" s="1318">
        <f>FM50/FA50-1</f>
        <v/>
      </c>
      <c r="FN52" s="1318">
        <f>FN50/FB50-1</f>
        <v/>
      </c>
      <c r="FO52" s="1318">
        <f>FO50/FC50-1</f>
        <v/>
      </c>
      <c r="FP52" s="1318">
        <f>FP50/FD50-1</f>
        <v/>
      </c>
      <c r="FQ52" s="1318">
        <f>FQ50/FE50-1</f>
        <v/>
      </c>
      <c r="FR52" s="1318">
        <f>FR50/FF50-1</f>
        <v/>
      </c>
      <c r="FS52" s="1318">
        <f>FS50/FG50-1</f>
        <v/>
      </c>
      <c r="FT52" s="1318">
        <f>FT50/FH50-1</f>
        <v/>
      </c>
      <c r="FU52" s="1318">
        <f>FU50/FI50-1</f>
        <v/>
      </c>
      <c r="FV52" s="1318">
        <f>FV50/FJ50-1</f>
        <v/>
      </c>
      <c r="FW52" s="1318">
        <f>FW50/FK50-1</f>
        <v/>
      </c>
      <c r="FX52" s="1318">
        <f>FX50/FL50-1</f>
        <v/>
      </c>
      <c r="FY52" s="1318">
        <f>FY50/FM50-1</f>
        <v/>
      </c>
      <c r="FZ52" s="1318">
        <f>FZ50/FN50-1</f>
        <v/>
      </c>
      <c r="GA52" s="1318">
        <f>GA50/FO50-1</f>
        <v/>
      </c>
      <c r="GB52" s="1318">
        <f>GB50/FP50-1</f>
        <v/>
      </c>
      <c r="GC52" s="1318">
        <f>GC50/FQ50-1</f>
        <v/>
      </c>
      <c r="GD52" s="1318">
        <f>GD50/FR50-1</f>
        <v/>
      </c>
      <c r="GE52" s="1318">
        <f>GE50/FS50-1</f>
        <v/>
      </c>
      <c r="GF52" s="1318">
        <f>GF50/FT50-1</f>
        <v/>
      </c>
      <c r="GG52" s="1318">
        <f>GG50/FU50-1</f>
        <v/>
      </c>
      <c r="GH52" s="1318">
        <f>GH50/FV50-1</f>
        <v/>
      </c>
      <c r="GI52" s="1318">
        <f>GI50/FW50-1</f>
        <v/>
      </c>
      <c r="GJ52" s="1318">
        <f>GJ50/FX50-1</f>
        <v/>
      </c>
      <c r="GK52" s="1318">
        <f>GK50/FY50-1</f>
        <v/>
      </c>
      <c r="GL52" s="1318">
        <f>GL50/FZ50-1</f>
        <v/>
      </c>
      <c r="GM52" s="1318">
        <f>GM50/GA50-1</f>
        <v/>
      </c>
      <c r="GN52" s="1318">
        <f>GN50/GB50-1</f>
        <v/>
      </c>
      <c r="GO52" s="1318">
        <f>GO50/GC50-1</f>
        <v/>
      </c>
      <c r="GP52" s="1318">
        <f>GP50/GD50-1</f>
        <v/>
      </c>
      <c r="GQ52" s="1318">
        <f>GQ50/GE50-1</f>
        <v/>
      </c>
      <c r="GR52" s="1318">
        <f>GR50/GF50-1</f>
        <v/>
      </c>
      <c r="GS52" s="1318">
        <f>GS50/GG50-1</f>
        <v/>
      </c>
      <c r="GT52" s="1318">
        <f>GT50/GH50-1</f>
        <v/>
      </c>
      <c r="GU52" s="1318">
        <f>GU50/GI50-1</f>
        <v/>
      </c>
      <c r="GV52" s="1318">
        <f>GV50/GJ50-1</f>
        <v/>
      </c>
      <c r="GW52" s="1318">
        <f>GW50/GK50-1</f>
        <v/>
      </c>
      <c r="GX52" s="1318">
        <f>GX50/GL50-1</f>
        <v/>
      </c>
      <c r="GY52" s="1318">
        <f>GY50/GM50-1</f>
        <v/>
      </c>
      <c r="GZ52" s="1318">
        <f>GZ50/GN50-1</f>
        <v/>
      </c>
      <c r="HA52" s="1318">
        <f>HA50/GO50-1</f>
        <v/>
      </c>
      <c r="HB52" s="1318">
        <f>HB50/GP50-1</f>
        <v/>
      </c>
      <c r="HC52" s="1318">
        <f>HC50/GQ50-1</f>
        <v/>
      </c>
      <c r="HD52" s="1318">
        <f>HD50/GR50-1</f>
        <v/>
      </c>
      <c r="HE52" s="1318">
        <f>HE50/GS50-1</f>
        <v/>
      </c>
      <c r="HF52" s="1318">
        <f>HF50/GT50-1</f>
        <v/>
      </c>
      <c r="HG52" s="1318">
        <f>HG50/GU50-1</f>
        <v/>
      </c>
      <c r="HH52" s="1318">
        <f>HH50/GV50-1</f>
        <v/>
      </c>
      <c r="HI52" s="1318">
        <f>HI50/GW50-1</f>
        <v/>
      </c>
      <c r="HJ52" s="1318">
        <f>HJ50/GX50-1</f>
        <v/>
      </c>
      <c r="HK52" s="1318">
        <f>HK50/GY50-1</f>
        <v/>
      </c>
      <c r="HL52" s="1318">
        <f>HL50/GZ50-1</f>
        <v/>
      </c>
      <c r="HM52" s="1318">
        <f>HM50/HA50-1</f>
        <v/>
      </c>
      <c r="HN52" s="1318">
        <f>HN50/HB50-1</f>
        <v/>
      </c>
      <c r="HO52" s="1318">
        <f>HO50/HC50-1</f>
        <v/>
      </c>
      <c r="HP52" s="1318">
        <f>HP50/HD50-1</f>
        <v/>
      </c>
      <c r="HQ52" s="1318">
        <f>HQ50/HE50-1</f>
        <v/>
      </c>
      <c r="HR52" s="1318">
        <f>HR50/HF50-1</f>
        <v/>
      </c>
      <c r="HS52" s="1318">
        <f>HS50/HG50-1</f>
        <v/>
      </c>
      <c r="HT52" s="1318">
        <f>HT50/HH50-1</f>
        <v/>
      </c>
      <c r="HU52" s="1318">
        <f>HU50/HI50-1</f>
        <v/>
      </c>
      <c r="HV52" s="1318">
        <f>HV50/HJ50-1</f>
        <v/>
      </c>
      <c r="HW52" s="1318">
        <f>HW50/HK50-1</f>
        <v/>
      </c>
      <c r="HX52" s="1318">
        <f>HX50/HL50-1</f>
        <v/>
      </c>
      <c r="HY52" s="1318">
        <f>HY50/HM50-1</f>
        <v/>
      </c>
      <c r="HZ52" s="1318">
        <f>HZ50/HN50-1</f>
        <v/>
      </c>
      <c r="IA52" s="1318">
        <f>IA50/HO50-1</f>
        <v/>
      </c>
      <c r="IB52" s="1318">
        <f>IB50/HP50-1</f>
        <v/>
      </c>
      <c r="IC52" s="1318">
        <f>IC50/HQ50-1</f>
        <v/>
      </c>
      <c r="ID52" s="1318">
        <f>ID50/HR50-1</f>
        <v/>
      </c>
      <c r="IE52" s="1318">
        <f>IE50/HS50-1</f>
        <v/>
      </c>
      <c r="IF52" s="1318">
        <f>IF50/HT50-1</f>
        <v/>
      </c>
      <c r="IG52" s="1318">
        <f>IG50/HU50-1</f>
        <v/>
      </c>
      <c r="IH52" s="1318">
        <f>IH50/HV50-1</f>
        <v/>
      </c>
      <c r="II52" s="1318">
        <f>II50/HW50-1</f>
        <v/>
      </c>
      <c r="IJ52" s="1318">
        <f>IJ50/HX50-1</f>
        <v/>
      </c>
      <c r="IK52" s="1318">
        <f>IK50/HY50-1</f>
        <v/>
      </c>
      <c r="IL52" s="1318">
        <f>IL50/HZ50-1</f>
        <v/>
      </c>
      <c r="IM52" s="1318">
        <f>IM50/IA50-1</f>
        <v/>
      </c>
      <c r="IN52" s="1318">
        <f>IN50/IB50-1</f>
        <v/>
      </c>
      <c r="IO52" s="1318">
        <f>IO50/IC50-1</f>
        <v/>
      </c>
      <c r="IP52" s="1318">
        <f>IP50/ID50-1</f>
        <v/>
      </c>
      <c r="IQ52" s="1318">
        <f>IQ50/IE50-1</f>
        <v/>
      </c>
      <c r="IR52" s="1318">
        <f>IR50/IF50-1</f>
        <v/>
      </c>
      <c r="IS52" s="1318">
        <f>IS50/IG50-1</f>
        <v/>
      </c>
      <c r="IT52" s="1318">
        <f>IT50/IH50-1</f>
        <v/>
      </c>
      <c r="IU52" s="1318">
        <f>IU50/II50-1</f>
        <v/>
      </c>
      <c r="IV52" s="1318">
        <f>IV50/IJ50-1</f>
        <v/>
      </c>
      <c r="IW52" s="1318">
        <f>IW50/IK50-1</f>
        <v/>
      </c>
      <c r="IX52" s="1318">
        <f>IX50/IL50-1</f>
        <v/>
      </c>
      <c r="IY52" s="1318">
        <f>IY50/IM50-1</f>
        <v/>
      </c>
      <c r="IZ52" s="1318">
        <f>IZ50/IN50-1</f>
        <v/>
      </c>
      <c r="JA52" s="1318">
        <f>JA50/IO50-1</f>
        <v/>
      </c>
      <c r="JB52" s="1318">
        <f>JB50/IP50-1</f>
        <v/>
      </c>
      <c r="JC52" s="1318">
        <f>JC50/IQ50-1</f>
        <v/>
      </c>
      <c r="JD52" s="1318">
        <f>JD50/IR50-1</f>
        <v/>
      </c>
      <c r="JE52" s="1318">
        <f>JE50/IS50-1</f>
        <v/>
      </c>
      <c r="JF52" s="1318">
        <f>JF50/IT50-1</f>
        <v/>
      </c>
      <c r="JG52" s="1318">
        <f>JG50/IU50-1</f>
        <v/>
      </c>
      <c r="JH52" s="1318">
        <f>JH50/IV50-1</f>
        <v/>
      </c>
      <c r="JI52" s="1318">
        <f>JI50/IW50-1</f>
        <v/>
      </c>
      <c r="JJ52" s="1318">
        <f>JJ50/IX50-1</f>
        <v/>
      </c>
      <c r="JK52" s="1318">
        <f>JK50/IY50-1</f>
        <v/>
      </c>
      <c r="JL52" s="1318">
        <f>JL50/IZ50-1</f>
        <v/>
      </c>
      <c r="JM52" s="1318">
        <f>JM50/JA50-1</f>
        <v/>
      </c>
      <c r="JN52" s="1318">
        <f>JN50/JB50-1</f>
        <v/>
      </c>
      <c r="JO52" s="1318">
        <f>JO50/JC50-1</f>
        <v/>
      </c>
      <c r="JP52" s="1318">
        <f>JP50/JD50-1</f>
        <v/>
      </c>
      <c r="JQ52" s="1318">
        <f>JQ50/JE50-1</f>
        <v/>
      </c>
      <c r="JR52" s="1318">
        <f>JR50/JF50-1</f>
        <v/>
      </c>
      <c r="JS52" s="1318">
        <f>JS50/JG50-1</f>
        <v/>
      </c>
      <c r="JT52" s="1318">
        <f>JT50/JH50-1</f>
        <v/>
      </c>
      <c r="JU52" s="1318">
        <f>JU50/JI50-1</f>
        <v/>
      </c>
      <c r="JV52" s="1318">
        <f>JV50/JJ50-1</f>
        <v/>
      </c>
      <c r="JW52" s="1318">
        <f>JW50/JK50-1</f>
        <v/>
      </c>
      <c r="JX52" s="1318">
        <f>JX50/JL50-1</f>
        <v/>
      </c>
      <c r="JY52" s="1318">
        <f>JY50/JM50-1</f>
        <v/>
      </c>
      <c r="JZ52" s="1318">
        <f>JZ50/JN50-1</f>
        <v/>
      </c>
      <c r="KA52" s="1318">
        <f>KA50/JO50-1</f>
        <v/>
      </c>
      <c r="KB52" s="1318">
        <f>KB50/JP50-1</f>
        <v/>
      </c>
      <c r="KC52" s="1318">
        <f>KC50/JQ50-1</f>
        <v/>
      </c>
      <c r="KD52" s="1318">
        <f>KD50/JR50-1</f>
        <v/>
      </c>
      <c r="KE52" s="1318">
        <f>KE50/JS50-1</f>
        <v/>
      </c>
      <c r="KF52" s="1318">
        <f>KF50/JT50-1</f>
        <v/>
      </c>
      <c r="KG52" s="1318">
        <f>KG50/JU50-1</f>
        <v/>
      </c>
      <c r="KH52" s="1318">
        <f>KH50/JV50-1</f>
        <v/>
      </c>
      <c r="KI52" s="1318">
        <f>KI50/JW50-1</f>
        <v/>
      </c>
      <c r="KJ52" s="1318">
        <f>KJ50/JX50-1</f>
        <v/>
      </c>
      <c r="KK52" s="1318">
        <f>KK50/JY50-1</f>
        <v/>
      </c>
      <c r="KL52" s="1318">
        <f>KL50/JZ50-1</f>
        <v/>
      </c>
      <c r="KM52" s="1318">
        <f>KM50/KA50-1</f>
        <v/>
      </c>
      <c r="KN52" s="1318">
        <f>KN50/KB50-1</f>
        <v/>
      </c>
      <c r="KO52" s="1318">
        <f>KO50/KC50-1</f>
        <v/>
      </c>
      <c r="KP52" s="1318">
        <f>KP50/KD50-1</f>
        <v/>
      </c>
      <c r="KQ52" s="1318">
        <f>KQ50/KE50-1</f>
        <v/>
      </c>
      <c r="KR52" s="1318">
        <f>KR50/KF50-1</f>
        <v/>
      </c>
      <c r="KS52" s="1318">
        <f>KS50/KG50-1</f>
        <v/>
      </c>
      <c r="KT52" s="1318">
        <f>KT50/KH50-1</f>
        <v/>
      </c>
      <c r="KU52" s="1318">
        <f>KU50/KI50-1</f>
        <v/>
      </c>
      <c r="KV52" s="1318">
        <f>KV50/KJ50-1</f>
        <v/>
      </c>
      <c r="KW52" s="1318">
        <f>KW50/KK50-1</f>
        <v/>
      </c>
      <c r="KX52" s="1318">
        <f>KX50/KL50-1</f>
        <v/>
      </c>
      <c r="KY52" s="1318">
        <f>KY50/KM50-1</f>
        <v/>
      </c>
      <c r="KZ52" s="1318">
        <f>KZ50/KN50-1</f>
        <v/>
      </c>
      <c r="LA52" s="1318">
        <f>LA50/KO50-1</f>
        <v/>
      </c>
      <c r="LB52" s="1318" t="n"/>
      <c r="LC52" s="1318" t="n"/>
      <c r="LD52" s="1318" t="n"/>
      <c r="LE52" s="1318" t="n"/>
      <c r="LF52" s="1318" t="n"/>
      <c r="LG52" s="1318" t="n"/>
      <c r="LH52" s="1318" t="n"/>
      <c r="LI52" s="1318" t="n"/>
      <c r="LJ52" s="1318" t="n"/>
      <c r="LK52" s="1318" t="n"/>
      <c r="LL52" s="1318" t="n"/>
      <c r="LM52" s="1318" t="n"/>
      <c r="LN52" s="1318" t="n"/>
      <c r="LO52" s="1318" t="n"/>
      <c r="LP52" s="1318" t="n"/>
      <c r="LQ52" s="1318" t="n"/>
      <c r="LR52" s="1318" t="n"/>
      <c r="LS52" s="1318" t="n"/>
    </row>
    <row r="53">
      <c r="A53" s="885" t="inlineStr">
        <is>
          <t>YTD cg %</t>
        </is>
      </c>
      <c r="B53" s="1318" t="n"/>
      <c r="C53" s="1318" t="n"/>
      <c r="D53" s="1318" t="n"/>
      <c r="E53" s="1318" t="n"/>
      <c r="F53" s="1318" t="n"/>
      <c r="G53" s="1318" t="n"/>
      <c r="H53" s="1318" t="n"/>
      <c r="I53" s="1318" t="n"/>
      <c r="J53" s="1318" t="n"/>
      <c r="K53" s="1318" t="n"/>
      <c r="L53" s="1318" t="n"/>
      <c r="M53" s="1318" t="n"/>
      <c r="N53" s="1318">
        <f>SUMIFS(50:50,$8:$8,"&gt;="&amp;DATE(YEAR(N$8),1,1),$8:$8,"&lt;="&amp;EOMONTH(N$8,0))/SUMIFS(50:50,$8:$8,"&gt;="&amp;DATE(YEAR(N$8)-1,1,1),$8:$8,"&lt;="&amp;EOMONTH(N$8,-12))-1</f>
        <v/>
      </c>
      <c r="O53" s="1318">
        <f>SUMIFS(50:50,$8:$8,"&gt;="&amp;DATE(YEAR(O$8),1,1),$8:$8,"&lt;="&amp;EOMONTH(O$8,0))/SUMIFS(50:50,$8:$8,"&gt;="&amp;DATE(YEAR(O$8)-1,1,1),$8:$8,"&lt;="&amp;EOMONTH(O$8,-12))-1</f>
        <v/>
      </c>
      <c r="P53" s="1318">
        <f>SUMIFS(50:50,$8:$8,"&gt;="&amp;DATE(YEAR(P$8),1,1),$8:$8,"&lt;="&amp;EOMONTH(P$8,0))/SUMIFS(50:50,$8:$8,"&gt;="&amp;DATE(YEAR(P$8)-1,1,1),$8:$8,"&lt;="&amp;EOMONTH(P$8,-12))-1</f>
        <v/>
      </c>
      <c r="Q53" s="1318">
        <f>SUMIFS(50:50,$8:$8,"&gt;="&amp;DATE(YEAR(Q$8),1,1),$8:$8,"&lt;="&amp;EOMONTH(Q$8,0))/SUMIFS(50:50,$8:$8,"&gt;="&amp;DATE(YEAR(Q$8)-1,1,1),$8:$8,"&lt;="&amp;EOMONTH(Q$8,-12))-1</f>
        <v/>
      </c>
      <c r="R53" s="1318">
        <f>SUMIFS(50:50,$8:$8,"&gt;="&amp;DATE(YEAR(R$8),1,1),$8:$8,"&lt;="&amp;EOMONTH(R$8,0))/SUMIFS(50:50,$8:$8,"&gt;="&amp;DATE(YEAR(R$8)-1,1,1),$8:$8,"&lt;="&amp;EOMONTH(R$8,-12))-1</f>
        <v/>
      </c>
      <c r="S53" s="1318">
        <f>SUMIFS(50:50,$8:$8,"&gt;="&amp;DATE(YEAR(S$8),1,1),$8:$8,"&lt;="&amp;EOMONTH(S$8,0))/SUMIFS(50:50,$8:$8,"&gt;="&amp;DATE(YEAR(S$8)-1,1,1),$8:$8,"&lt;="&amp;EOMONTH(S$8,-12))-1</f>
        <v/>
      </c>
      <c r="T53" s="1318">
        <f>SUMIFS(50:50,$8:$8,"&gt;="&amp;DATE(YEAR(T$8),1,1),$8:$8,"&lt;="&amp;EOMONTH(T$8,0))/SUMIFS(50:50,$8:$8,"&gt;="&amp;DATE(YEAR(T$8)-1,1,1),$8:$8,"&lt;="&amp;EOMONTH(T$8,-12))-1</f>
        <v/>
      </c>
      <c r="U53" s="1318">
        <f>SUMIFS(50:50,$8:$8,"&gt;="&amp;DATE(YEAR(U$8),1,1),$8:$8,"&lt;="&amp;EOMONTH(U$8,0))/SUMIFS(50:50,$8:$8,"&gt;="&amp;DATE(YEAR(U$8)-1,1,1),$8:$8,"&lt;="&amp;EOMONTH(U$8,-12))-1</f>
        <v/>
      </c>
      <c r="V53" s="1318">
        <f>SUMIFS(50:50,$8:$8,"&gt;="&amp;DATE(YEAR(V$8),1,1),$8:$8,"&lt;="&amp;EOMONTH(V$8,0))/SUMIFS(50:50,$8:$8,"&gt;="&amp;DATE(YEAR(V$8)-1,1,1),$8:$8,"&lt;="&amp;EOMONTH(V$8,-12))-1</f>
        <v/>
      </c>
      <c r="W53" s="1318">
        <f>SUMIFS(50:50,$8:$8,"&gt;="&amp;DATE(YEAR(W$8),1,1),$8:$8,"&lt;="&amp;EOMONTH(W$8,0))/SUMIFS(50:50,$8:$8,"&gt;="&amp;DATE(YEAR(W$8)-1,1,1),$8:$8,"&lt;="&amp;EOMONTH(W$8,-12))-1</f>
        <v/>
      </c>
      <c r="X53" s="1318">
        <f>SUMIFS(50:50,$8:$8,"&gt;="&amp;DATE(YEAR(X$8),1,1),$8:$8,"&lt;="&amp;EOMONTH(X$8,0))/SUMIFS(50:50,$8:$8,"&gt;="&amp;DATE(YEAR(X$8)-1,1,1),$8:$8,"&lt;="&amp;EOMONTH(X$8,-12))-1</f>
        <v/>
      </c>
      <c r="Y53" s="1318">
        <f>SUMIFS(50:50,$8:$8,"&gt;="&amp;DATE(YEAR(Y$8),1,1),$8:$8,"&lt;="&amp;EOMONTH(Y$8,0))/SUMIFS(50:50,$8:$8,"&gt;="&amp;DATE(YEAR(Y$8)-1,1,1),$8:$8,"&lt;="&amp;EOMONTH(Y$8,-12))-1</f>
        <v/>
      </c>
      <c r="Z53" s="1318">
        <f>SUMIFS(50:50,$8:$8,"&gt;="&amp;DATE(YEAR(Z$8),1,1),$8:$8,"&lt;="&amp;EOMONTH(Z$8,0))/SUMIFS(50:50,$8:$8,"&gt;="&amp;DATE(YEAR(Z$8)-1,1,1),$8:$8,"&lt;="&amp;EOMONTH(Z$8,-12))-1</f>
        <v/>
      </c>
      <c r="AA53" s="1318">
        <f>SUMIFS(50:50,$8:$8,"&gt;="&amp;DATE(YEAR(AA$8),1,1),$8:$8,"&lt;="&amp;EOMONTH(AA$8,0))/SUMIFS(50:50,$8:$8,"&gt;="&amp;DATE(YEAR(AA$8)-1,1,1),$8:$8,"&lt;="&amp;EOMONTH(AA$8,-12))-1</f>
        <v/>
      </c>
      <c r="AB53" s="1318">
        <f>SUMIFS(50:50,$8:$8,"&gt;="&amp;DATE(YEAR(AB$8),1,1),$8:$8,"&lt;="&amp;EOMONTH(AB$8,0))/SUMIFS(50:50,$8:$8,"&gt;="&amp;DATE(YEAR(AB$8)-1,1,1),$8:$8,"&lt;="&amp;EOMONTH(AB$8,-12))-1</f>
        <v/>
      </c>
      <c r="AC53" s="1318">
        <f>SUMIFS(50:50,$8:$8,"&gt;="&amp;DATE(YEAR(AC$8),1,1),$8:$8,"&lt;="&amp;EOMONTH(AC$8,0))/SUMIFS(50:50,$8:$8,"&gt;="&amp;DATE(YEAR(AC$8)-1,1,1),$8:$8,"&lt;="&amp;EOMONTH(AC$8,-12))-1</f>
        <v/>
      </c>
      <c r="AD53" s="1318">
        <f>SUMIFS(50:50,$8:$8,"&gt;="&amp;DATE(YEAR(AD$8),1,1),$8:$8,"&lt;="&amp;EOMONTH(AD$8,0))/SUMIFS(50:50,$8:$8,"&gt;="&amp;DATE(YEAR(AD$8)-1,1,1),$8:$8,"&lt;="&amp;EOMONTH(AD$8,-12))-1</f>
        <v/>
      </c>
      <c r="AE53" s="1318">
        <f>SUMIFS(50:50,$8:$8,"&gt;="&amp;DATE(YEAR(AE$8),1,1),$8:$8,"&lt;="&amp;EOMONTH(AE$8,0))/SUMIFS(50:50,$8:$8,"&gt;="&amp;DATE(YEAR(AE$8)-1,1,1),$8:$8,"&lt;="&amp;EOMONTH(AE$8,-12))-1</f>
        <v/>
      </c>
      <c r="AF53" s="1318">
        <f>SUMIFS(50:50,$8:$8,"&gt;="&amp;DATE(YEAR(AF$8),1,1),$8:$8,"&lt;="&amp;EOMONTH(AF$8,0))/SUMIFS(50:50,$8:$8,"&gt;="&amp;DATE(YEAR(AF$8)-1,1,1),$8:$8,"&lt;="&amp;EOMONTH(AF$8,-12))-1</f>
        <v/>
      </c>
      <c r="AG53" s="1318">
        <f>SUMIFS(50:50,$8:$8,"&gt;="&amp;DATE(YEAR(AG$8),1,1),$8:$8,"&lt;="&amp;EOMONTH(AG$8,0))/SUMIFS(50:50,$8:$8,"&gt;="&amp;DATE(YEAR(AG$8)-1,1,1),$8:$8,"&lt;="&amp;EOMONTH(AG$8,-12))-1</f>
        <v/>
      </c>
      <c r="AH53" s="1318">
        <f>SUMIFS(50:50,$8:$8,"&gt;="&amp;DATE(YEAR(AH$8),1,1),$8:$8,"&lt;="&amp;EOMONTH(AH$8,0))/SUMIFS(50:50,$8:$8,"&gt;="&amp;DATE(YEAR(AH$8)-1,1,1),$8:$8,"&lt;="&amp;EOMONTH(AH$8,-12))-1</f>
        <v/>
      </c>
      <c r="AI53" s="1318">
        <f>SUMIFS(50:50,$8:$8,"&gt;="&amp;DATE(YEAR(AI$8),1,1),$8:$8,"&lt;="&amp;EOMONTH(AI$8,0))/SUMIFS(50:50,$8:$8,"&gt;="&amp;DATE(YEAR(AI$8)-1,1,1),$8:$8,"&lt;="&amp;EOMONTH(AI$8,-12))-1</f>
        <v/>
      </c>
      <c r="AJ53" s="1318">
        <f>SUMIFS(50:50,$8:$8,"&gt;="&amp;DATE(YEAR(AJ$8),1,1),$8:$8,"&lt;="&amp;EOMONTH(AJ$8,0))/SUMIFS(50:50,$8:$8,"&gt;="&amp;DATE(YEAR(AJ$8)-1,1,1),$8:$8,"&lt;="&amp;EOMONTH(AJ$8,-12))-1</f>
        <v/>
      </c>
      <c r="AK53" s="1318">
        <f>SUMIFS(50:50,$8:$8,"&gt;="&amp;DATE(YEAR(AK$8),1,1),$8:$8,"&lt;="&amp;EOMONTH(AK$8,0))/SUMIFS(50:50,$8:$8,"&gt;="&amp;DATE(YEAR(AK$8)-1,1,1),$8:$8,"&lt;="&amp;EOMONTH(AK$8,-12))-1</f>
        <v/>
      </c>
      <c r="AL53" s="1318">
        <f>SUMIFS(50:50,$8:$8,"&gt;="&amp;DATE(YEAR(AL$8),1,1),$8:$8,"&lt;="&amp;EOMONTH(AL$8,0))/SUMIFS(50:50,$8:$8,"&gt;="&amp;DATE(YEAR(AL$8)-1,1,1),$8:$8,"&lt;="&amp;EOMONTH(AL$8,-12))-1</f>
        <v/>
      </c>
      <c r="AM53" s="1318">
        <f>SUMIFS(50:50,$8:$8,"&gt;="&amp;DATE(YEAR(AM$8),1,1),$8:$8,"&lt;="&amp;EOMONTH(AM$8,0))/SUMIFS(50:50,$8:$8,"&gt;="&amp;DATE(YEAR(AM$8)-1,1,1),$8:$8,"&lt;="&amp;EOMONTH(AM$8,-12))-1</f>
        <v/>
      </c>
      <c r="AN53" s="1318">
        <f>SUMIFS(50:50,$8:$8,"&gt;="&amp;DATE(YEAR(AN$8),1,1),$8:$8,"&lt;="&amp;EOMONTH(AN$8,0))/SUMIFS(50:50,$8:$8,"&gt;="&amp;DATE(YEAR(AN$8)-1,1,1),$8:$8,"&lt;="&amp;EOMONTH(AN$8,-12))-1</f>
        <v/>
      </c>
      <c r="AO53" s="1318">
        <f>SUMIFS(50:50,$8:$8,"&gt;="&amp;DATE(YEAR(AO$8),1,1),$8:$8,"&lt;="&amp;EOMONTH(AO$8,0))/SUMIFS(50:50,$8:$8,"&gt;="&amp;DATE(YEAR(AO$8)-1,1,1),$8:$8,"&lt;="&amp;EOMONTH(AO$8,-12))-1</f>
        <v/>
      </c>
      <c r="AP53" s="1318">
        <f>SUMIFS(50:50,$8:$8,"&gt;="&amp;DATE(YEAR(AP$8),1,1),$8:$8,"&lt;="&amp;EOMONTH(AP$8,0))/SUMIFS(50:50,$8:$8,"&gt;="&amp;DATE(YEAR(AP$8)-1,1,1),$8:$8,"&lt;="&amp;EOMONTH(AP$8,-12))-1</f>
        <v/>
      </c>
      <c r="AQ53" s="1318">
        <f>SUMIFS(50:50,$8:$8,"&gt;="&amp;DATE(YEAR(AQ$8),1,1),$8:$8,"&lt;="&amp;EOMONTH(AQ$8,0))/SUMIFS(50:50,$8:$8,"&gt;="&amp;DATE(YEAR(AQ$8)-1,1,1),$8:$8,"&lt;="&amp;EOMONTH(AQ$8,-12))-1</f>
        <v/>
      </c>
      <c r="AR53" s="1318">
        <f>SUMIFS(50:50,$8:$8,"&gt;="&amp;DATE(YEAR(AR$8),1,1),$8:$8,"&lt;="&amp;EOMONTH(AR$8,0))/SUMIFS(50:50,$8:$8,"&gt;="&amp;DATE(YEAR(AR$8)-1,1,1),$8:$8,"&lt;="&amp;EOMONTH(AR$8,-12))-1</f>
        <v/>
      </c>
      <c r="AS53" s="1318">
        <f>SUMIFS(50:50,$8:$8,"&gt;="&amp;DATE(YEAR(AS$8),1,1),$8:$8,"&lt;="&amp;EOMONTH(AS$8,0))/SUMIFS(50:50,$8:$8,"&gt;="&amp;DATE(YEAR(AS$8)-1,1,1),$8:$8,"&lt;="&amp;EOMONTH(AS$8,-12))-1</f>
        <v/>
      </c>
      <c r="AT53" s="1318">
        <f>SUMIFS(50:50,$8:$8,"&gt;="&amp;DATE(YEAR(AT$8),1,1),$8:$8,"&lt;="&amp;EOMONTH(AT$8,0))/SUMIFS(50:50,$8:$8,"&gt;="&amp;DATE(YEAR(AT$8)-1,1,1),$8:$8,"&lt;="&amp;EOMONTH(AT$8,-12))-1</f>
        <v/>
      </c>
      <c r="AU53" s="1318">
        <f>SUMIFS(50:50,$8:$8,"&gt;="&amp;DATE(YEAR(AU$8),1,1),$8:$8,"&lt;="&amp;EOMONTH(AU$8,0))/SUMIFS(50:50,$8:$8,"&gt;="&amp;DATE(YEAR(AU$8)-1,1,1),$8:$8,"&lt;="&amp;EOMONTH(AU$8,-12))-1</f>
        <v/>
      </c>
      <c r="AV53" s="1318">
        <f>SUMIFS(50:50,$8:$8,"&gt;="&amp;DATE(YEAR(AV$8),1,1),$8:$8,"&lt;="&amp;EOMONTH(AV$8,0))/SUMIFS(50:50,$8:$8,"&gt;="&amp;DATE(YEAR(AV$8)-1,1,1),$8:$8,"&lt;="&amp;EOMONTH(AV$8,-12))-1</f>
        <v/>
      </c>
      <c r="AW53" s="1318">
        <f>SUMIFS(50:50,$8:$8,"&gt;="&amp;DATE(YEAR(AW$8),1,1),$8:$8,"&lt;="&amp;EOMONTH(AW$8,0))/SUMIFS(50:50,$8:$8,"&gt;="&amp;DATE(YEAR(AW$8)-1,1,1),$8:$8,"&lt;="&amp;EOMONTH(AW$8,-12))-1</f>
        <v/>
      </c>
      <c r="AX53" s="1318">
        <f>SUMIFS(50:50,$8:$8,"&gt;="&amp;DATE(YEAR(AX$8),1,1),$8:$8,"&lt;="&amp;EOMONTH(AX$8,0))/SUMIFS(50:50,$8:$8,"&gt;="&amp;DATE(YEAR(AX$8)-1,1,1),$8:$8,"&lt;="&amp;EOMONTH(AX$8,-12))-1</f>
        <v/>
      </c>
      <c r="AY53" s="1318">
        <f>SUMIFS(50:50,$8:$8,"&gt;="&amp;DATE(YEAR(AY$8),1,1),$8:$8,"&lt;="&amp;EOMONTH(AY$8,0))/SUMIFS(50:50,$8:$8,"&gt;="&amp;DATE(YEAR(AY$8)-1,1,1),$8:$8,"&lt;="&amp;EOMONTH(AY$8,-12))-1</f>
        <v/>
      </c>
      <c r="AZ53" s="1318">
        <f>SUMIFS(50:50,$8:$8,"&gt;="&amp;DATE(YEAR(AZ$8),1,1),$8:$8,"&lt;="&amp;EOMONTH(AZ$8,0))/SUMIFS(50:50,$8:$8,"&gt;="&amp;DATE(YEAR(AZ$8)-1,1,1),$8:$8,"&lt;="&amp;EOMONTH(AZ$8,-12))-1</f>
        <v/>
      </c>
      <c r="BA53" s="1318">
        <f>SUMIFS(50:50,$8:$8,"&gt;="&amp;DATE(YEAR(BA$8),1,1),$8:$8,"&lt;="&amp;EOMONTH(BA$8,0))/SUMIFS(50:50,$8:$8,"&gt;="&amp;DATE(YEAR(BA$8)-1,1,1),$8:$8,"&lt;="&amp;EOMONTH(BA$8,-12))-1</f>
        <v/>
      </c>
      <c r="BB53" s="1318">
        <f>SUMIFS(50:50,$8:$8,"&gt;="&amp;DATE(YEAR(BB$8),1,1),$8:$8,"&lt;="&amp;EOMONTH(BB$8,0))/SUMIFS(50:50,$8:$8,"&gt;="&amp;DATE(YEAR(BB$8)-1,1,1),$8:$8,"&lt;="&amp;EOMONTH(BB$8,-12))-1</f>
        <v/>
      </c>
      <c r="BC53" s="1318">
        <f>SUMIFS(50:50,$8:$8,"&gt;="&amp;DATE(YEAR(BC$8),1,1),$8:$8,"&lt;="&amp;EOMONTH(BC$8,0))/SUMIFS(50:50,$8:$8,"&gt;="&amp;DATE(YEAR(BC$8)-1,1,1),$8:$8,"&lt;="&amp;EOMONTH(BC$8,-12))-1</f>
        <v/>
      </c>
      <c r="BD53" s="1318">
        <f>SUMIFS(50:50,$8:$8,"&gt;="&amp;DATE(YEAR(BD$8),1,1),$8:$8,"&lt;="&amp;EOMONTH(BD$8,0))/SUMIFS(50:50,$8:$8,"&gt;="&amp;DATE(YEAR(BD$8)-1,1,1),$8:$8,"&lt;="&amp;EOMONTH(BD$8,-12))-1</f>
        <v/>
      </c>
      <c r="BE53" s="1318">
        <f>SUMIFS(50:50,$8:$8,"&gt;="&amp;DATE(YEAR(BE$8),1,1),$8:$8,"&lt;="&amp;EOMONTH(BE$8,0))/SUMIFS(50:50,$8:$8,"&gt;="&amp;DATE(YEAR(BE$8)-1,1,1),$8:$8,"&lt;="&amp;EOMONTH(BE$8,-12))-1</f>
        <v/>
      </c>
      <c r="BF53" s="1318">
        <f>SUMIFS(50:50,$8:$8,"&gt;="&amp;DATE(YEAR(BF$8),1,1),$8:$8,"&lt;="&amp;EOMONTH(BF$8,0))/SUMIFS(50:50,$8:$8,"&gt;="&amp;DATE(YEAR(BF$8)-1,1,1),$8:$8,"&lt;="&amp;EOMONTH(BF$8,-12))-1</f>
        <v/>
      </c>
      <c r="BG53" s="1318">
        <f>SUMIFS(50:50,$8:$8,"&gt;="&amp;DATE(YEAR(BG$8),1,1),$8:$8,"&lt;="&amp;EOMONTH(BG$8,0))/SUMIFS(50:50,$8:$8,"&gt;="&amp;DATE(YEAR(BG$8)-1,1,1),$8:$8,"&lt;="&amp;EOMONTH(BG$8,-12))-1</f>
        <v/>
      </c>
      <c r="BH53" s="1318">
        <f>SUMIFS(50:50,$8:$8,"&gt;="&amp;DATE(YEAR(BH$8),1,1),$8:$8,"&lt;="&amp;EOMONTH(BH$8,0))/SUMIFS(50:50,$8:$8,"&gt;="&amp;DATE(YEAR(BH$8)-1,1,1),$8:$8,"&lt;="&amp;EOMONTH(BH$8,-12))-1</f>
        <v/>
      </c>
      <c r="BI53" s="1318">
        <f>SUMIFS(50:50,$8:$8,"&gt;="&amp;DATE(YEAR(BI$8),1,1),$8:$8,"&lt;="&amp;EOMONTH(BI$8,0))/SUMIFS(50:50,$8:$8,"&gt;="&amp;DATE(YEAR(BI$8)-1,1,1),$8:$8,"&lt;="&amp;EOMONTH(BI$8,-12))-1</f>
        <v/>
      </c>
      <c r="BJ53" s="1318">
        <f>SUMIFS(50:50,$8:$8,"&gt;="&amp;DATE(YEAR(BJ$8),1,1),$8:$8,"&lt;="&amp;EOMONTH(BJ$8,0))/SUMIFS(50:50,$8:$8,"&gt;="&amp;DATE(YEAR(BJ$8)-1,1,1),$8:$8,"&lt;="&amp;EOMONTH(BJ$8,-12))-1</f>
        <v/>
      </c>
      <c r="BK53" s="1318">
        <f>SUMIFS(50:50,$8:$8,"&gt;="&amp;DATE(YEAR(BK$8),1,1),$8:$8,"&lt;="&amp;EOMONTH(BK$8,0))/SUMIFS(50:50,$8:$8,"&gt;="&amp;DATE(YEAR(BK$8)-1,1,1),$8:$8,"&lt;="&amp;EOMONTH(BK$8,-12))-1</f>
        <v/>
      </c>
      <c r="BL53" s="1318">
        <f>SUMIFS(50:50,$8:$8,"&gt;="&amp;DATE(YEAR(BL$8),1,1),$8:$8,"&lt;="&amp;EOMONTH(BL$8,0))/SUMIFS(50:50,$8:$8,"&gt;="&amp;DATE(YEAR(BL$8)-1,1,1),$8:$8,"&lt;="&amp;EOMONTH(BL$8,-12))-1</f>
        <v/>
      </c>
      <c r="BM53" s="1318">
        <f>SUMIFS(50:50,$8:$8,"&gt;="&amp;DATE(YEAR(BM$8),1,1),$8:$8,"&lt;="&amp;EOMONTH(BM$8,0))/SUMIFS(50:50,$8:$8,"&gt;="&amp;DATE(YEAR(BM$8)-1,1,1),$8:$8,"&lt;="&amp;EOMONTH(BM$8,-12))-1</f>
        <v/>
      </c>
      <c r="BN53" s="1318">
        <f>SUMIFS(50:50,$8:$8,"&gt;="&amp;DATE(YEAR(BN$8),1,1),$8:$8,"&lt;="&amp;EOMONTH(BN$8,0))/SUMIFS(50:50,$8:$8,"&gt;="&amp;DATE(YEAR(BN$8)-1,1,1),$8:$8,"&lt;="&amp;EOMONTH(BN$8,-12))-1</f>
        <v/>
      </c>
      <c r="BO53" s="1318">
        <f>SUMIFS(50:50,$8:$8,"&gt;="&amp;DATE(YEAR(BO$8),1,1),$8:$8,"&lt;="&amp;EOMONTH(BO$8,0))/SUMIFS(50:50,$8:$8,"&gt;="&amp;DATE(YEAR(BO$8)-1,1,1),$8:$8,"&lt;="&amp;EOMONTH(BO$8,-12))-1</f>
        <v/>
      </c>
      <c r="BP53" s="1318">
        <f>SUMIFS(50:50,$8:$8,"&gt;="&amp;DATE(YEAR(BP$8),1,1),$8:$8,"&lt;="&amp;EOMONTH(BP$8,0))/SUMIFS(50:50,$8:$8,"&gt;="&amp;DATE(YEAR(BP$8)-1,1,1),$8:$8,"&lt;="&amp;EOMONTH(BP$8,-12))-1</f>
        <v/>
      </c>
      <c r="BQ53" s="1318">
        <f>SUMIFS(50:50,$8:$8,"&gt;="&amp;DATE(YEAR(BQ$8),1,1),$8:$8,"&lt;="&amp;EOMONTH(BQ$8,0))/SUMIFS(50:50,$8:$8,"&gt;="&amp;DATE(YEAR(BQ$8)-1,1,1),$8:$8,"&lt;="&amp;EOMONTH(BQ$8,-12))-1</f>
        <v/>
      </c>
      <c r="BR53" s="1318">
        <f>SUMIFS(50:50,$8:$8,"&gt;="&amp;DATE(YEAR(BR$8),1,1),$8:$8,"&lt;="&amp;EOMONTH(BR$8,0))/SUMIFS(50:50,$8:$8,"&gt;="&amp;DATE(YEAR(BR$8)-1,1,1),$8:$8,"&lt;="&amp;EOMONTH(BR$8,-12))-1</f>
        <v/>
      </c>
      <c r="BS53" s="1318">
        <f>SUMIFS(50:50,$8:$8,"&gt;="&amp;DATE(YEAR(BS$8),1,1),$8:$8,"&lt;="&amp;EOMONTH(BS$8,0))/SUMIFS(50:50,$8:$8,"&gt;="&amp;DATE(YEAR(BS$8)-1,1,1),$8:$8,"&lt;="&amp;EOMONTH(BS$8,-12))-1</f>
        <v/>
      </c>
      <c r="BT53" s="1318">
        <f>SUMIFS(50:50,$8:$8,"&gt;="&amp;DATE(YEAR(BT$8),1,1),$8:$8,"&lt;="&amp;EOMONTH(BT$8,0))/SUMIFS(50:50,$8:$8,"&gt;="&amp;DATE(YEAR(BT$8)-1,1,1),$8:$8,"&lt;="&amp;EOMONTH(BT$8,-12))-1</f>
        <v/>
      </c>
      <c r="BU53" s="1318">
        <f>SUMIFS(50:50,$8:$8,"&gt;="&amp;DATE(YEAR(BU$8),1,1),$8:$8,"&lt;="&amp;EOMONTH(BU$8,0))/SUMIFS(50:50,$8:$8,"&gt;="&amp;DATE(YEAR(BU$8)-1,1,1),$8:$8,"&lt;="&amp;EOMONTH(BU$8,-12))-1</f>
        <v/>
      </c>
      <c r="BV53" s="1318">
        <f>SUMIFS(50:50,$8:$8,"&gt;="&amp;DATE(YEAR(BV$8),1,1),$8:$8,"&lt;="&amp;EOMONTH(BV$8,0))/SUMIFS(50:50,$8:$8,"&gt;="&amp;DATE(YEAR(BV$8)-1,1,1),$8:$8,"&lt;="&amp;EOMONTH(BV$8,-12))-1</f>
        <v/>
      </c>
      <c r="BW53" s="1318">
        <f>SUMIFS(50:50,$8:$8,"&gt;="&amp;DATE(YEAR(BW$8),1,1),$8:$8,"&lt;="&amp;EOMONTH(BW$8,0))/SUMIFS(50:50,$8:$8,"&gt;="&amp;DATE(YEAR(BW$8)-1,1,1),$8:$8,"&lt;="&amp;EOMONTH(BW$8,-12))-1</f>
        <v/>
      </c>
      <c r="BX53" s="1318">
        <f>SUMIFS(50:50,$8:$8,"&gt;="&amp;DATE(YEAR(BX$8),1,1),$8:$8,"&lt;="&amp;EOMONTH(BX$8,0))/SUMIFS(50:50,$8:$8,"&gt;="&amp;DATE(YEAR(BX$8)-1,1,1),$8:$8,"&lt;="&amp;EOMONTH(BX$8,-12))-1</f>
        <v/>
      </c>
      <c r="BY53" s="1318">
        <f>SUMIFS(50:50,$8:$8,"&gt;="&amp;DATE(YEAR(BY$8),1,1),$8:$8,"&lt;="&amp;EOMONTH(BY$8,0))/SUMIFS(50:50,$8:$8,"&gt;="&amp;DATE(YEAR(BY$8)-1,1,1),$8:$8,"&lt;="&amp;EOMONTH(BY$8,-12))-1</f>
        <v/>
      </c>
      <c r="BZ53" s="1318">
        <f>SUMIFS(50:50,$8:$8,"&gt;="&amp;DATE(YEAR(BZ$8),1,1),$8:$8,"&lt;="&amp;EOMONTH(BZ$8,0))/SUMIFS(50:50,$8:$8,"&gt;="&amp;DATE(YEAR(BZ$8)-1,1,1),$8:$8,"&lt;="&amp;EOMONTH(BZ$8,-12))-1</f>
        <v/>
      </c>
      <c r="CA53" s="1318">
        <f>SUMIFS(50:50,$8:$8,"&gt;="&amp;DATE(YEAR(CA$8),1,1),$8:$8,"&lt;="&amp;EOMONTH(CA$8,0))/SUMIFS(50:50,$8:$8,"&gt;="&amp;DATE(YEAR(CA$8)-1,1,1),$8:$8,"&lt;="&amp;EOMONTH(CA$8,-12))-1</f>
        <v/>
      </c>
      <c r="CB53" s="1318">
        <f>SUMIFS(50:50,$8:$8,"&gt;="&amp;DATE(YEAR(CB$8),1,1),$8:$8,"&lt;="&amp;EOMONTH(CB$8,0))/SUMIFS(50:50,$8:$8,"&gt;="&amp;DATE(YEAR(CB$8)-1,1,1),$8:$8,"&lt;="&amp;EOMONTH(CB$8,-12))-1</f>
        <v/>
      </c>
      <c r="CC53" s="1318">
        <f>SUMIFS(50:50,$8:$8,"&gt;="&amp;DATE(YEAR(CC$8),1,1),$8:$8,"&lt;="&amp;EOMONTH(CC$8,0))/SUMIFS(50:50,$8:$8,"&gt;="&amp;DATE(YEAR(CC$8)-1,1,1),$8:$8,"&lt;="&amp;EOMONTH(CC$8,-12))-1</f>
        <v/>
      </c>
      <c r="CD53" s="1318">
        <f>SUMIFS(50:50,$8:$8,"&gt;="&amp;DATE(YEAR(CD$8),1,1),$8:$8,"&lt;="&amp;EOMONTH(CD$8,0))/SUMIFS(50:50,$8:$8,"&gt;="&amp;DATE(YEAR(CD$8)-1,1,1),$8:$8,"&lt;="&amp;EOMONTH(CD$8,-12))-1</f>
        <v/>
      </c>
      <c r="CE53" s="1318">
        <f>SUMIFS(50:50,$8:$8,"&gt;="&amp;DATE(YEAR(CE$8),1,1),$8:$8,"&lt;="&amp;EOMONTH(CE$8,0))/SUMIFS(50:50,$8:$8,"&gt;="&amp;DATE(YEAR(CE$8)-1,1,1),$8:$8,"&lt;="&amp;EOMONTH(CE$8,-12))-1</f>
        <v/>
      </c>
      <c r="CF53" s="1318">
        <f>SUMIFS(50:50,$8:$8,"&gt;="&amp;DATE(YEAR(CF$8),1,1),$8:$8,"&lt;="&amp;EOMONTH(CF$8,0))/SUMIFS(50:50,$8:$8,"&gt;="&amp;DATE(YEAR(CF$8)-1,1,1),$8:$8,"&lt;="&amp;EOMONTH(CF$8,-12))-1</f>
        <v/>
      </c>
      <c r="CG53" s="1318">
        <f>SUMIFS(50:50,$8:$8,"&gt;="&amp;DATE(YEAR(CG$8),1,1),$8:$8,"&lt;="&amp;EOMONTH(CG$8,0))/SUMIFS(50:50,$8:$8,"&gt;="&amp;DATE(YEAR(CG$8)-1,1,1),$8:$8,"&lt;="&amp;EOMONTH(CG$8,-12))-1</f>
        <v/>
      </c>
      <c r="CH53" s="1318">
        <f>SUMIFS(50:50,$8:$8,"&gt;="&amp;DATE(YEAR(CH$8),1,1),$8:$8,"&lt;="&amp;EOMONTH(CH$8,0))/SUMIFS(50:50,$8:$8,"&gt;="&amp;DATE(YEAR(CH$8)-1,1,1),$8:$8,"&lt;="&amp;EOMONTH(CH$8,-12))-1</f>
        <v/>
      </c>
      <c r="CI53" s="1318">
        <f>SUMIFS(50:50,$8:$8,"&gt;="&amp;DATE(YEAR(CI$8),1,1),$8:$8,"&lt;="&amp;EOMONTH(CI$8,0))/SUMIFS(50:50,$8:$8,"&gt;="&amp;DATE(YEAR(CI$8)-1,1,1),$8:$8,"&lt;="&amp;EOMONTH(CI$8,-12))-1</f>
        <v/>
      </c>
      <c r="CJ53" s="1318">
        <f>SUMIFS(50:50,$8:$8,"&gt;="&amp;DATE(YEAR(CJ$8),1,1),$8:$8,"&lt;="&amp;EOMONTH(CJ$8,0))/SUMIFS(50:50,$8:$8,"&gt;="&amp;DATE(YEAR(CJ$8)-1,1,1),$8:$8,"&lt;="&amp;EOMONTH(CJ$8,-12))-1</f>
        <v/>
      </c>
      <c r="CK53" s="1318">
        <f>SUMIFS(50:50,$8:$8,"&gt;="&amp;DATE(YEAR(CK$8),1,1),$8:$8,"&lt;="&amp;EOMONTH(CK$8,0))/SUMIFS(50:50,$8:$8,"&gt;="&amp;DATE(YEAR(CK$8)-1,1,1),$8:$8,"&lt;="&amp;EOMONTH(CK$8,-12))-1</f>
        <v/>
      </c>
      <c r="CL53" s="1318">
        <f>SUMIFS(50:50,$8:$8,"&gt;="&amp;DATE(YEAR(CL$8),1,1),$8:$8,"&lt;="&amp;EOMONTH(CL$8,0))/SUMIFS(50:50,$8:$8,"&gt;="&amp;DATE(YEAR(CL$8)-1,1,1),$8:$8,"&lt;="&amp;EOMONTH(CL$8,-12))-1</f>
        <v/>
      </c>
      <c r="CM53" s="1318">
        <f>SUMIFS(50:50,$8:$8,"&gt;="&amp;DATE(YEAR(CM$8),1,1),$8:$8,"&lt;="&amp;EOMONTH(CM$8,0))/SUMIFS(50:50,$8:$8,"&gt;="&amp;DATE(YEAR(CM$8)-1,1,1),$8:$8,"&lt;="&amp;EOMONTH(CM$8,-12))-1</f>
        <v/>
      </c>
      <c r="CN53" s="1318">
        <f>SUMIFS(50:50,$8:$8,"&gt;="&amp;DATE(YEAR(CN$8),1,1),$8:$8,"&lt;="&amp;EOMONTH(CN$8,0))/SUMIFS(50:50,$8:$8,"&gt;="&amp;DATE(YEAR(CN$8)-1,1,1),$8:$8,"&lt;="&amp;EOMONTH(CN$8,-12))-1</f>
        <v/>
      </c>
      <c r="CO53" s="1318">
        <f>SUMIFS(50:50,$8:$8,"&gt;="&amp;DATE(YEAR(CO$8),1,1),$8:$8,"&lt;="&amp;EOMONTH(CO$8,0))/SUMIFS(50:50,$8:$8,"&gt;="&amp;DATE(YEAR(CO$8)-1,1,1),$8:$8,"&lt;="&amp;EOMONTH(CO$8,-12))-1</f>
        <v/>
      </c>
      <c r="CP53" s="1318">
        <f>SUMIFS(50:50,$8:$8,"&gt;="&amp;DATE(YEAR(CP$8),1,1),$8:$8,"&lt;="&amp;EOMONTH(CP$8,0))/SUMIFS(50:50,$8:$8,"&gt;="&amp;DATE(YEAR(CP$8)-1,1,1),$8:$8,"&lt;="&amp;EOMONTH(CP$8,-12))-1</f>
        <v/>
      </c>
      <c r="CQ53" s="1318">
        <f>SUMIFS(50:50,$8:$8,"&gt;="&amp;DATE(YEAR(CQ$8),1,1),$8:$8,"&lt;="&amp;EOMONTH(CQ$8,0))/SUMIFS(50:50,$8:$8,"&gt;="&amp;DATE(YEAR(CQ$8)-1,1,1),$8:$8,"&lt;="&amp;EOMONTH(CQ$8,-12))-1</f>
        <v/>
      </c>
      <c r="CR53" s="1318">
        <f>SUMIFS(50:50,$8:$8,"&gt;="&amp;DATE(YEAR(CR$8),1,1),$8:$8,"&lt;="&amp;EOMONTH(CR$8,0))/SUMIFS(50:50,$8:$8,"&gt;="&amp;DATE(YEAR(CR$8)-1,1,1),$8:$8,"&lt;="&amp;EOMONTH(CR$8,-12))-1</f>
        <v/>
      </c>
      <c r="CS53" s="1318">
        <f>SUMIFS(50:50,$8:$8,"&gt;="&amp;DATE(YEAR(CS$8),1,1),$8:$8,"&lt;="&amp;EOMONTH(CS$8,0))/SUMIFS(50:50,$8:$8,"&gt;="&amp;DATE(YEAR(CS$8)-1,1,1),$8:$8,"&lt;="&amp;EOMONTH(CS$8,-12))-1</f>
        <v/>
      </c>
      <c r="CT53" s="1318">
        <f>SUMIFS(50:50,$8:$8,"&gt;="&amp;DATE(YEAR(CT$8),1,1),$8:$8,"&lt;="&amp;EOMONTH(CT$8,0))/SUMIFS(50:50,$8:$8,"&gt;="&amp;DATE(YEAR(CT$8)-1,1,1),$8:$8,"&lt;="&amp;EOMONTH(CT$8,-12))-1</f>
        <v/>
      </c>
      <c r="CU53" s="1318">
        <f>SUMIFS(50:50,$8:$8,"&gt;="&amp;DATE(YEAR(CU$8),1,1),$8:$8,"&lt;="&amp;EOMONTH(CU$8,0))/SUMIFS(50:50,$8:$8,"&gt;="&amp;DATE(YEAR(CU$8)-1,1,1),$8:$8,"&lt;="&amp;EOMONTH(CU$8,-12))-1</f>
        <v/>
      </c>
      <c r="CV53" s="1318">
        <f>SUMIFS(50:50,$8:$8,"&gt;="&amp;DATE(YEAR(CV$8),1,1),$8:$8,"&lt;="&amp;EOMONTH(CV$8,0))/SUMIFS(50:50,$8:$8,"&gt;="&amp;DATE(YEAR(CV$8)-1,1,1),$8:$8,"&lt;="&amp;EOMONTH(CV$8,-12))-1</f>
        <v/>
      </c>
      <c r="CW53" s="1318">
        <f>SUMIFS(50:50,$8:$8,"&gt;="&amp;DATE(YEAR(CW$8),1,1),$8:$8,"&lt;="&amp;EOMONTH(CW$8,0))/SUMIFS(50:50,$8:$8,"&gt;="&amp;DATE(YEAR(CW$8)-1,1,1),$8:$8,"&lt;="&amp;EOMONTH(CW$8,-12))-1</f>
        <v/>
      </c>
      <c r="CX53" s="1318">
        <f>SUMIFS(50:50,$8:$8,"&gt;="&amp;DATE(YEAR(CX$8),1,1),$8:$8,"&lt;="&amp;EOMONTH(CX$8,0))/SUMIFS(50:50,$8:$8,"&gt;="&amp;DATE(YEAR(CX$8)-1,1,1),$8:$8,"&lt;="&amp;EOMONTH(CX$8,-12))-1</f>
        <v/>
      </c>
      <c r="CY53" s="1318">
        <f>SUMIFS(50:50,$8:$8,"&gt;="&amp;DATE(YEAR(CY$8),1,1),$8:$8,"&lt;="&amp;EOMONTH(CY$8,0))/SUMIFS(50:50,$8:$8,"&gt;="&amp;DATE(YEAR(CY$8)-1,1,1),$8:$8,"&lt;="&amp;EOMONTH(CY$8,-12))-1</f>
        <v/>
      </c>
      <c r="CZ53" s="1318">
        <f>SUMIFS(50:50,$8:$8,"&gt;="&amp;DATE(YEAR(CZ$8),1,1),$8:$8,"&lt;="&amp;EOMONTH(CZ$8,0))/SUMIFS(50:50,$8:$8,"&gt;="&amp;DATE(YEAR(CZ$8)-1,1,1),$8:$8,"&lt;="&amp;EOMONTH(CZ$8,-12))-1</f>
        <v/>
      </c>
      <c r="DA53" s="1318">
        <f>SUMIFS(50:50,$8:$8,"&gt;="&amp;DATE(YEAR(DA$8),1,1),$8:$8,"&lt;="&amp;EOMONTH(DA$8,0))/SUMIFS(50:50,$8:$8,"&gt;="&amp;DATE(YEAR(DA$8)-1,1,1),$8:$8,"&lt;="&amp;EOMONTH(DA$8,-12))-1</f>
        <v/>
      </c>
      <c r="DB53" s="1318">
        <f>SUMIFS(50:50,$8:$8,"&gt;="&amp;DATE(YEAR(DB$8),1,1),$8:$8,"&lt;="&amp;EOMONTH(DB$8,0))/SUMIFS(50:50,$8:$8,"&gt;="&amp;DATE(YEAR(DB$8)-1,1,1),$8:$8,"&lt;="&amp;EOMONTH(DB$8,-12))-1</f>
        <v/>
      </c>
      <c r="DC53" s="1318">
        <f>SUMIFS(50:50,$8:$8,"&gt;="&amp;DATE(YEAR(DC$8),1,1),$8:$8,"&lt;="&amp;EOMONTH(DC$8,0))/SUMIFS(50:50,$8:$8,"&gt;="&amp;DATE(YEAR(DC$8)-1,1,1),$8:$8,"&lt;="&amp;EOMONTH(DC$8,-12))-1</f>
        <v/>
      </c>
      <c r="DD53" s="1318">
        <f>SUMIFS(50:50,$8:$8,"&gt;="&amp;DATE(YEAR(DD$8),1,1),$8:$8,"&lt;="&amp;EOMONTH(DD$8,0))/SUMIFS(50:50,$8:$8,"&gt;="&amp;DATE(YEAR(DD$8)-1,1,1),$8:$8,"&lt;="&amp;EOMONTH(DD$8,-12))-1</f>
        <v/>
      </c>
      <c r="DE53" s="1318">
        <f>SUMIFS(50:50,$8:$8,"&gt;="&amp;DATE(YEAR(DE$8),1,1),$8:$8,"&lt;="&amp;EOMONTH(DE$8,0))/SUMIFS(50:50,$8:$8,"&gt;="&amp;DATE(YEAR(DE$8)-1,1,1),$8:$8,"&lt;="&amp;EOMONTH(DE$8,-12))-1</f>
        <v/>
      </c>
      <c r="DF53" s="1318">
        <f>SUMIFS(50:50,$8:$8,"&gt;="&amp;DATE(YEAR(DF$8),1,1),$8:$8,"&lt;="&amp;EOMONTH(DF$8,0))/SUMIFS(50:50,$8:$8,"&gt;="&amp;DATE(YEAR(DF$8)-1,1,1),$8:$8,"&lt;="&amp;EOMONTH(DF$8,-12))-1</f>
        <v/>
      </c>
      <c r="DG53" s="1318">
        <f>SUMIFS(50:50,$8:$8,"&gt;="&amp;DATE(YEAR(DG$8),1,1),$8:$8,"&lt;="&amp;EOMONTH(DG$8,0))/SUMIFS(50:50,$8:$8,"&gt;="&amp;DATE(YEAR(DG$8)-1,1,1),$8:$8,"&lt;="&amp;EOMONTH(DG$8,-12))-1</f>
        <v/>
      </c>
      <c r="DH53" s="1318">
        <f>SUMIFS(50:50,$8:$8,"&gt;="&amp;DATE(YEAR(DH$8),1,1),$8:$8,"&lt;="&amp;EOMONTH(DH$8,0))/SUMIFS(50:50,$8:$8,"&gt;="&amp;DATE(YEAR(DH$8)-1,1,1),$8:$8,"&lt;="&amp;EOMONTH(DH$8,-12))-1</f>
        <v/>
      </c>
      <c r="DI53" s="1318">
        <f>SUMIFS(50:50,$8:$8,"&gt;="&amp;DATE(YEAR(DI$8),1,1),$8:$8,"&lt;="&amp;EOMONTH(DI$8,0))/SUMIFS(50:50,$8:$8,"&gt;="&amp;DATE(YEAR(DI$8)-1,1,1),$8:$8,"&lt;="&amp;EOMONTH(DI$8,-12))-1</f>
        <v/>
      </c>
      <c r="DJ53" s="1318">
        <f>SUMIFS(50:50,$8:$8,"&gt;="&amp;DATE(YEAR(DJ$8),1,1),$8:$8,"&lt;="&amp;EOMONTH(DJ$8,0))/SUMIFS(50:50,$8:$8,"&gt;="&amp;DATE(YEAR(DJ$8)-1,1,1),$8:$8,"&lt;="&amp;EOMONTH(DJ$8,-12))-1</f>
        <v/>
      </c>
      <c r="DK53" s="1318">
        <f>SUMIFS(50:50,$8:$8,"&gt;="&amp;DATE(YEAR(DK$8),1,1),$8:$8,"&lt;="&amp;EOMONTH(DK$8,0))/SUMIFS(50:50,$8:$8,"&gt;="&amp;DATE(YEAR(DK$8)-1,1,1),$8:$8,"&lt;="&amp;EOMONTH(DK$8,-12))-1</f>
        <v/>
      </c>
      <c r="DL53" s="1318">
        <f>SUMIFS(50:50,$8:$8,"&gt;="&amp;DATE(YEAR(DL$8),1,1),$8:$8,"&lt;="&amp;EOMONTH(DL$8,0))/SUMIFS(50:50,$8:$8,"&gt;="&amp;DATE(YEAR(DL$8)-1,1,1),$8:$8,"&lt;="&amp;EOMONTH(DL$8,-12))-1</f>
        <v/>
      </c>
      <c r="DM53" s="1318">
        <f>SUMIFS(50:50,$8:$8,"&gt;="&amp;DATE(YEAR(DM$8),1,1),$8:$8,"&lt;="&amp;EOMONTH(DM$8,0))/SUMIFS(50:50,$8:$8,"&gt;="&amp;DATE(YEAR(DM$8)-1,1,1),$8:$8,"&lt;="&amp;EOMONTH(DM$8,-12))-1</f>
        <v/>
      </c>
      <c r="DN53" s="1318">
        <f>SUMIFS(50:50,$8:$8,"&gt;="&amp;DATE(YEAR(DN$8),1,1),$8:$8,"&lt;="&amp;EOMONTH(DN$8,0))/SUMIFS(50:50,$8:$8,"&gt;="&amp;DATE(YEAR(DN$8)-1,1,1),$8:$8,"&lt;="&amp;EOMONTH(DN$8,-12))-1</f>
        <v/>
      </c>
      <c r="DO53" s="1318">
        <f>SUMIFS(50:50,$8:$8,"&gt;="&amp;DATE(YEAR(DO$8),1,1),$8:$8,"&lt;="&amp;EOMONTH(DO$8,0))/SUMIFS(50:50,$8:$8,"&gt;="&amp;DATE(YEAR(DO$8)-1,1,1),$8:$8,"&lt;="&amp;EOMONTH(DO$8,-12))-1</f>
        <v/>
      </c>
      <c r="DP53" s="1318">
        <f>SUMIFS(50:50,$8:$8,"&gt;="&amp;DATE(YEAR(DP$8),1,1),$8:$8,"&lt;="&amp;EOMONTH(DP$8,0))/SUMIFS(50:50,$8:$8,"&gt;="&amp;DATE(YEAR(DP$8)-1,1,1),$8:$8,"&lt;="&amp;EOMONTH(DP$8,-12))-1</f>
        <v/>
      </c>
      <c r="DQ53" s="1318">
        <f>SUMIFS(50:50,$8:$8,"&gt;="&amp;DATE(YEAR(DQ$8),1,1),$8:$8,"&lt;="&amp;EOMONTH(DQ$8,0))/SUMIFS(50:50,$8:$8,"&gt;="&amp;DATE(YEAR(DQ$8)-1,1,1),$8:$8,"&lt;="&amp;EOMONTH(DQ$8,-12))-1</f>
        <v/>
      </c>
      <c r="DR53" s="1318">
        <f>SUMIFS(50:50,$8:$8,"&gt;="&amp;DATE(YEAR(DR$8),1,1),$8:$8,"&lt;="&amp;EOMONTH(DR$8,0))/SUMIFS(50:50,$8:$8,"&gt;="&amp;DATE(YEAR(DR$8)-1,1,1),$8:$8,"&lt;="&amp;EOMONTH(DR$8,-12))-1</f>
        <v/>
      </c>
      <c r="DS53" s="1318">
        <f>SUMIFS(50:50,$8:$8,"&gt;="&amp;DATE(YEAR(DS$8),1,1),$8:$8,"&lt;="&amp;EOMONTH(DS$8,0))/SUMIFS(50:50,$8:$8,"&gt;="&amp;DATE(YEAR(DS$8)-1,1,1),$8:$8,"&lt;="&amp;EOMONTH(DS$8,-12))-1</f>
        <v/>
      </c>
      <c r="DT53" s="1318">
        <f>SUMIFS(50:50,$8:$8,"&gt;="&amp;DATE(YEAR(DT$8),1,1),$8:$8,"&lt;="&amp;EOMONTH(DT$8,0))/SUMIFS(50:50,$8:$8,"&gt;="&amp;DATE(YEAR(DT$8)-1,1,1),$8:$8,"&lt;="&amp;EOMONTH(DT$8,-12))-1</f>
        <v/>
      </c>
      <c r="DU53" s="1318">
        <f>SUMIFS(50:50,$8:$8,"&gt;="&amp;DATE(YEAR(DU$8),1,1),$8:$8,"&lt;="&amp;EOMONTH(DU$8,0))/SUMIFS(50:50,$8:$8,"&gt;="&amp;DATE(YEAR(DU$8)-1,1,1),$8:$8,"&lt;="&amp;EOMONTH(DU$8,-12))-1</f>
        <v/>
      </c>
      <c r="DV53" s="1318">
        <f>SUMIFS(50:50,$8:$8,"&gt;="&amp;DATE(YEAR(DV$8),1,1),$8:$8,"&lt;="&amp;EOMONTH(DV$8,0))/SUMIFS(50:50,$8:$8,"&gt;="&amp;DATE(YEAR(DV$8)-1,1,1),$8:$8,"&lt;="&amp;EOMONTH(DV$8,-12))-1</f>
        <v/>
      </c>
      <c r="DW53" s="1318">
        <f>SUMIFS(50:50,$8:$8,"&gt;="&amp;DATE(YEAR(DW$8),1,1),$8:$8,"&lt;="&amp;EOMONTH(DW$8,0))/SUMIFS(50:50,$8:$8,"&gt;="&amp;DATE(YEAR(DW$8)-1,1,1),$8:$8,"&lt;="&amp;EOMONTH(DW$8,-12))-1</f>
        <v/>
      </c>
      <c r="DX53" s="1318">
        <f>SUMIFS(50:50,$8:$8,"&gt;="&amp;DATE(YEAR(DX$8),1,1),$8:$8,"&lt;="&amp;EOMONTH(DX$8,0))/SUMIFS(50:50,$8:$8,"&gt;="&amp;DATE(YEAR(DX$8)-1,1,1),$8:$8,"&lt;="&amp;EOMONTH(DX$8,-12))-1</f>
        <v/>
      </c>
      <c r="DY53" s="1318">
        <f>SUMIFS(50:50,$8:$8,"&gt;="&amp;DATE(YEAR(DY$8),1,1),$8:$8,"&lt;="&amp;EOMONTH(DY$8,0))/SUMIFS(50:50,$8:$8,"&gt;="&amp;DATE(YEAR(DY$8)-1,1,1),$8:$8,"&lt;="&amp;EOMONTH(DY$8,-12))-1</f>
        <v/>
      </c>
      <c r="DZ53" s="1318">
        <f>SUMIFS(50:50,$8:$8,"&gt;="&amp;DATE(YEAR(DZ$8),1,1),$8:$8,"&lt;="&amp;EOMONTH(DZ$8,0))/SUMIFS(50:50,$8:$8,"&gt;="&amp;DATE(YEAR(DZ$8)-1,1,1),$8:$8,"&lt;="&amp;EOMONTH(DZ$8,-12))-1</f>
        <v/>
      </c>
      <c r="EA53" s="1318">
        <f>SUMIFS(50:50,$8:$8,"&gt;="&amp;DATE(YEAR(EA$8),1,1),$8:$8,"&lt;="&amp;EOMONTH(EA$8,0))/SUMIFS(50:50,$8:$8,"&gt;="&amp;DATE(YEAR(EA$8)-1,1,1),$8:$8,"&lt;="&amp;EOMONTH(EA$8,-12))-1</f>
        <v/>
      </c>
      <c r="EB53" s="1318">
        <f>SUMIFS(50:50,$8:$8,"&gt;="&amp;DATE(YEAR(EB$8),1,1),$8:$8,"&lt;="&amp;EOMONTH(EB$8,0))/SUMIFS(50:50,$8:$8,"&gt;="&amp;DATE(YEAR(EB$8)-1,1,1),$8:$8,"&lt;="&amp;EOMONTH(EB$8,-12))-1</f>
        <v/>
      </c>
      <c r="EC53" s="1318">
        <f>SUMIFS(50:50,$8:$8,"&gt;="&amp;DATE(YEAR(EC$8),1,1),$8:$8,"&lt;="&amp;EOMONTH(EC$8,0))/SUMIFS(50:50,$8:$8,"&gt;="&amp;DATE(YEAR(EC$8)-1,1,1),$8:$8,"&lt;="&amp;EOMONTH(EC$8,-12))-1</f>
        <v/>
      </c>
      <c r="ED53" s="1318">
        <f>SUMIFS(50:50,$8:$8,"&gt;="&amp;DATE(YEAR(ED$8),1,1),$8:$8,"&lt;="&amp;EOMONTH(ED$8,0))/SUMIFS(50:50,$8:$8,"&gt;="&amp;DATE(YEAR(ED$8)-1,1,1),$8:$8,"&lt;="&amp;EOMONTH(ED$8,-12))-1</f>
        <v/>
      </c>
      <c r="EE53" s="1318">
        <f>SUMIFS(50:50,$8:$8,"&gt;="&amp;DATE(YEAR(EE$8),1,1),$8:$8,"&lt;="&amp;EOMONTH(EE$8,0))/SUMIFS(50:50,$8:$8,"&gt;="&amp;DATE(YEAR(EE$8)-1,1,1),$8:$8,"&lt;="&amp;EOMONTH(EE$8,-12))-1</f>
        <v/>
      </c>
      <c r="EF53" s="1318">
        <f>SUMIFS(50:50,$8:$8,"&gt;="&amp;DATE(YEAR(EF$8),1,1),$8:$8,"&lt;="&amp;EOMONTH(EF$8,0))/SUMIFS(50:50,$8:$8,"&gt;="&amp;DATE(YEAR(EF$8)-1,1,1),$8:$8,"&lt;="&amp;EOMONTH(EF$8,-12))-1</f>
        <v/>
      </c>
      <c r="EG53" s="1318">
        <f>SUMIFS(50:50,$8:$8,"&gt;="&amp;DATE(YEAR(EG$8),1,1),$8:$8,"&lt;="&amp;EOMONTH(EG$8,0))/SUMIFS(50:50,$8:$8,"&gt;="&amp;DATE(YEAR(EG$8)-1,1,1),$8:$8,"&lt;="&amp;EOMONTH(EG$8,-12))-1</f>
        <v/>
      </c>
      <c r="EH53" s="1318">
        <f>SUMIFS(50:50,$8:$8,"&gt;="&amp;DATE(YEAR(EH$8),1,1),$8:$8,"&lt;="&amp;EOMONTH(EH$8,0))/SUMIFS(50:50,$8:$8,"&gt;="&amp;DATE(YEAR(EH$8)-1,1,1),$8:$8,"&lt;="&amp;EOMONTH(EH$8,-12))-1</f>
        <v/>
      </c>
      <c r="EI53" s="1318">
        <f>SUMIFS(50:50,$8:$8,"&gt;="&amp;DATE(YEAR(EI$8),1,1),$8:$8,"&lt;="&amp;EOMONTH(EI$8,0))/SUMIFS(50:50,$8:$8,"&gt;="&amp;DATE(YEAR(EI$8)-1,1,1),$8:$8,"&lt;="&amp;EOMONTH(EI$8,-12))-1</f>
        <v/>
      </c>
      <c r="EJ53" s="1318">
        <f>SUMIFS(50:50,$8:$8,"&gt;="&amp;DATE(YEAR(EJ$8),1,1),$8:$8,"&lt;="&amp;EOMONTH(EJ$8,0))/SUMIFS(50:50,$8:$8,"&gt;="&amp;DATE(YEAR(EJ$8)-1,1,1),$8:$8,"&lt;="&amp;EOMONTH(EJ$8,-12))-1</f>
        <v/>
      </c>
      <c r="EK53" s="1318">
        <f>SUMIFS(50:50,$8:$8,"&gt;="&amp;DATE(YEAR(EK$8),1,1),$8:$8,"&lt;="&amp;EOMONTH(EK$8,0))/SUMIFS(50:50,$8:$8,"&gt;="&amp;DATE(YEAR(EK$8)-1,1,1),$8:$8,"&lt;="&amp;EOMONTH(EK$8,-12))-1</f>
        <v/>
      </c>
      <c r="EL53" s="1318">
        <f>SUMIFS(50:50,$8:$8,"&gt;="&amp;DATE(YEAR(EL$8),1,1),$8:$8,"&lt;="&amp;EOMONTH(EL$8,0))/SUMIFS(50:50,$8:$8,"&gt;="&amp;DATE(YEAR(EL$8)-1,1,1),$8:$8,"&lt;="&amp;EOMONTH(EL$8,-12))-1</f>
        <v/>
      </c>
      <c r="EM53" s="1318">
        <f>SUMIFS(50:50,$8:$8,"&gt;="&amp;DATE(YEAR(EM$8),1,1),$8:$8,"&lt;="&amp;EOMONTH(EM$8,0))/SUMIFS(50:50,$8:$8,"&gt;="&amp;DATE(YEAR(EM$8)-1,1,1),$8:$8,"&lt;="&amp;EOMONTH(EM$8,-12))-1</f>
        <v/>
      </c>
      <c r="EN53" s="1318">
        <f>SUMIFS(50:50,$8:$8,"&gt;="&amp;DATE(YEAR(EN$8),1,1),$8:$8,"&lt;="&amp;EOMONTH(EN$8,0))/SUMIFS(50:50,$8:$8,"&gt;="&amp;DATE(YEAR(EN$8)-1,1,1),$8:$8,"&lt;="&amp;EOMONTH(EN$8,-12))-1</f>
        <v/>
      </c>
      <c r="EO53" s="1318">
        <f>SUMIFS(50:50,$8:$8,"&gt;="&amp;DATE(YEAR(EO$8),1,1),$8:$8,"&lt;="&amp;EOMONTH(EO$8,0))/SUMIFS(50:50,$8:$8,"&gt;="&amp;DATE(YEAR(EO$8)-1,1,1),$8:$8,"&lt;="&amp;EOMONTH(EO$8,-12))-1</f>
        <v/>
      </c>
      <c r="EP53" s="1318">
        <f>SUMIFS(50:50,$8:$8,"&gt;="&amp;DATE(YEAR(EP$8),1,1),$8:$8,"&lt;="&amp;EOMONTH(EP$8,0))/SUMIFS(50:50,$8:$8,"&gt;="&amp;DATE(YEAR(EP$8)-1,1,1),$8:$8,"&lt;="&amp;EOMONTH(EP$8,-12))-1</f>
        <v/>
      </c>
      <c r="EQ53" s="1318">
        <f>SUMIFS(50:50,$8:$8,"&gt;="&amp;DATE(YEAR(EQ$8),1,1),$8:$8,"&lt;="&amp;EOMONTH(EQ$8,0))/SUMIFS(50:50,$8:$8,"&gt;="&amp;DATE(YEAR(EQ$8)-1,1,1),$8:$8,"&lt;="&amp;EOMONTH(EQ$8,-12))-1</f>
        <v/>
      </c>
      <c r="ER53" s="1318">
        <f>SUMIFS(50:50,$8:$8,"&gt;="&amp;DATE(YEAR(ER$8),1,1),$8:$8,"&lt;="&amp;EOMONTH(ER$8,0))/SUMIFS(50:50,$8:$8,"&gt;="&amp;DATE(YEAR(ER$8)-1,1,1),$8:$8,"&lt;="&amp;EOMONTH(ER$8,-12))-1</f>
        <v/>
      </c>
      <c r="ES53" s="1318">
        <f>SUMIFS(50:50,$8:$8,"&gt;="&amp;DATE(YEAR(ES$8),1,1),$8:$8,"&lt;="&amp;EOMONTH(ES$8,0))/SUMIFS(50:50,$8:$8,"&gt;="&amp;DATE(YEAR(ES$8)-1,1,1),$8:$8,"&lt;="&amp;EOMONTH(ES$8,-12))-1</f>
        <v/>
      </c>
      <c r="ET53" s="1318">
        <f>SUMIFS(50:50,$8:$8,"&gt;="&amp;DATE(YEAR(ET$8),1,1),$8:$8,"&lt;="&amp;EOMONTH(ET$8,0))/SUMIFS(50:50,$8:$8,"&gt;="&amp;DATE(YEAR(ET$8)-1,1,1),$8:$8,"&lt;="&amp;EOMONTH(ET$8,-12))-1</f>
        <v/>
      </c>
      <c r="EU53" s="1318">
        <f>SUMIFS(50:50,$8:$8,"&gt;="&amp;DATE(YEAR(EU$8),1,1),$8:$8,"&lt;="&amp;EOMONTH(EU$8,0))/SUMIFS(50:50,$8:$8,"&gt;="&amp;DATE(YEAR(EU$8)-1,1,1),$8:$8,"&lt;="&amp;EOMONTH(EU$8,-12))-1</f>
        <v/>
      </c>
      <c r="EV53" s="1318">
        <f>SUMIFS(50:50,$8:$8,"&gt;="&amp;DATE(YEAR(EV$8),1,1),$8:$8,"&lt;="&amp;EOMONTH(EV$8,0))/SUMIFS(50:50,$8:$8,"&gt;="&amp;DATE(YEAR(EV$8)-1,1,1),$8:$8,"&lt;="&amp;EOMONTH(EV$8,-12))-1</f>
        <v/>
      </c>
      <c r="EW53" s="1318">
        <f>SUMIFS(50:50,$8:$8,"&gt;="&amp;DATE(YEAR(EW$8),1,1),$8:$8,"&lt;="&amp;EOMONTH(EW$8,0))/SUMIFS(50:50,$8:$8,"&gt;="&amp;DATE(YEAR(EW$8)-1,1,1),$8:$8,"&lt;="&amp;EOMONTH(EW$8,-12))-1</f>
        <v/>
      </c>
      <c r="EX53" s="1318">
        <f>SUMIFS(50:50,$8:$8,"&gt;="&amp;DATE(YEAR(EX$8),1,1),$8:$8,"&lt;="&amp;EOMONTH(EX$8,0))/SUMIFS(50:50,$8:$8,"&gt;="&amp;DATE(YEAR(EX$8)-1,1,1),$8:$8,"&lt;="&amp;EOMONTH(EX$8,-12))-1</f>
        <v/>
      </c>
      <c r="EY53" s="1318">
        <f>SUMIFS(50:50,$8:$8,"&gt;="&amp;DATE(YEAR(EY$8),1,1),$8:$8,"&lt;="&amp;EOMONTH(EY$8,0))/SUMIFS(50:50,$8:$8,"&gt;="&amp;DATE(YEAR(EY$8)-1,1,1),$8:$8,"&lt;="&amp;EOMONTH(EY$8,-12))-1</f>
        <v/>
      </c>
      <c r="EZ53" s="1318">
        <f>SUMIFS(50:50,$8:$8,"&gt;="&amp;DATE(YEAR(EZ$8),1,1),$8:$8,"&lt;="&amp;EOMONTH(EZ$8,0))/SUMIFS(50:50,$8:$8,"&gt;="&amp;DATE(YEAR(EZ$8)-1,1,1),$8:$8,"&lt;="&amp;EOMONTH(EZ$8,-12))-1</f>
        <v/>
      </c>
      <c r="FA53" s="1318">
        <f>SUMIFS(50:50,$8:$8,"&gt;="&amp;DATE(YEAR(FA$8),1,1),$8:$8,"&lt;="&amp;EOMONTH(FA$8,0))/SUMIFS(50:50,$8:$8,"&gt;="&amp;DATE(YEAR(FA$8)-1,1,1),$8:$8,"&lt;="&amp;EOMONTH(FA$8,-12))-1</f>
        <v/>
      </c>
      <c r="FB53" s="1318">
        <f>SUMIFS(50:50,$8:$8,"&gt;="&amp;DATE(YEAR(FB$8),1,1),$8:$8,"&lt;="&amp;EOMONTH(FB$8,0))/SUMIFS(50:50,$8:$8,"&gt;="&amp;DATE(YEAR(FB$8)-1,1,1),$8:$8,"&lt;="&amp;EOMONTH(FB$8,-12))-1</f>
        <v/>
      </c>
      <c r="FC53" s="1318">
        <f>SUMIFS(50:50,$8:$8,"&gt;="&amp;DATE(YEAR(FC$8),1,1),$8:$8,"&lt;="&amp;EOMONTH(FC$8,0))/SUMIFS(50:50,$8:$8,"&gt;="&amp;DATE(YEAR(FC$8)-1,1,1),$8:$8,"&lt;="&amp;EOMONTH(FC$8,-12))-1</f>
        <v/>
      </c>
      <c r="FD53" s="1318">
        <f>SUMIFS(50:50,$8:$8,"&gt;="&amp;DATE(YEAR(FD$8),1,1),$8:$8,"&lt;="&amp;EOMONTH(FD$8,0))/SUMIFS(50:50,$8:$8,"&gt;="&amp;DATE(YEAR(FD$8)-1,1,1),$8:$8,"&lt;="&amp;EOMONTH(FD$8,-12))-1</f>
        <v/>
      </c>
      <c r="FE53" s="1318">
        <f>SUMIFS(50:50,$8:$8,"&gt;="&amp;DATE(YEAR(FE$8),1,1),$8:$8,"&lt;="&amp;EOMONTH(FE$8,0))/SUMIFS(50:50,$8:$8,"&gt;="&amp;DATE(YEAR(FE$8)-1,1,1),$8:$8,"&lt;="&amp;EOMONTH(FE$8,-12))-1</f>
        <v/>
      </c>
      <c r="FF53" s="1318">
        <f>SUMIFS(50:50,$8:$8,"&gt;="&amp;DATE(YEAR(FF$8),1,1),$8:$8,"&lt;="&amp;EOMONTH(FF$8,0))/SUMIFS(50:50,$8:$8,"&gt;="&amp;DATE(YEAR(FF$8)-1,1,1),$8:$8,"&lt;="&amp;EOMONTH(FF$8,-12))-1</f>
        <v/>
      </c>
      <c r="FG53" s="1318">
        <f>SUMIFS(50:50,$8:$8,"&gt;="&amp;DATE(YEAR(FG$8),1,1),$8:$8,"&lt;="&amp;EOMONTH(FG$8,0))/SUMIFS(50:50,$8:$8,"&gt;="&amp;DATE(YEAR(FG$8)-1,1,1),$8:$8,"&lt;="&amp;EOMONTH(FG$8,-12))-1</f>
        <v/>
      </c>
      <c r="FH53" s="1318">
        <f>SUMIFS(50:50,$8:$8,"&gt;="&amp;DATE(YEAR(FH$8),1,1),$8:$8,"&lt;="&amp;EOMONTH(FH$8,0))/SUMIFS(50:50,$8:$8,"&gt;="&amp;DATE(YEAR(FH$8)-1,1,1),$8:$8,"&lt;="&amp;EOMONTH(FH$8,-12))-1</f>
        <v/>
      </c>
      <c r="FI53" s="1318">
        <f>SUMIFS(50:50,$8:$8,"&gt;="&amp;DATE(YEAR(FI$8),1,1),$8:$8,"&lt;="&amp;EOMONTH(FI$8,0))/SUMIFS(50:50,$8:$8,"&gt;="&amp;DATE(YEAR(FI$8)-1,1,1),$8:$8,"&lt;="&amp;EOMONTH(FI$8,-12))-1</f>
        <v/>
      </c>
      <c r="FJ53" s="1318">
        <f>SUMIFS(50:50,$8:$8,"&gt;="&amp;DATE(YEAR(FJ$8),1,1),$8:$8,"&lt;="&amp;EOMONTH(FJ$8,0))/SUMIFS(50:50,$8:$8,"&gt;="&amp;DATE(YEAR(FJ$8)-1,1,1),$8:$8,"&lt;="&amp;EOMONTH(FJ$8,-12))-1</f>
        <v/>
      </c>
      <c r="FK53" s="1318">
        <f>SUMIFS(50:50,$8:$8,"&gt;="&amp;DATE(YEAR(FK$8),1,1),$8:$8,"&lt;="&amp;EOMONTH(FK$8,0))/SUMIFS(50:50,$8:$8,"&gt;="&amp;DATE(YEAR(FK$8)-1,1,1),$8:$8,"&lt;="&amp;EOMONTH(FK$8,-12))-1</f>
        <v/>
      </c>
      <c r="FL53" s="1318">
        <f>SUMIFS(50:50,$8:$8,"&gt;="&amp;DATE(YEAR(FL$8),1,1),$8:$8,"&lt;="&amp;EOMONTH(FL$8,0))/SUMIFS(50:50,$8:$8,"&gt;="&amp;DATE(YEAR(FL$8)-1,1,1),$8:$8,"&lt;="&amp;EOMONTH(FL$8,-12))-1</f>
        <v/>
      </c>
      <c r="FM53" s="1318">
        <f>SUMIFS(50:50,$8:$8,"&gt;="&amp;DATE(YEAR(FM$8),1,1),$8:$8,"&lt;="&amp;EOMONTH(FM$8,0))/SUMIFS(50:50,$8:$8,"&gt;="&amp;DATE(YEAR(FM$8)-1,1,1),$8:$8,"&lt;="&amp;EOMONTH(FM$8,-12))-1</f>
        <v/>
      </c>
      <c r="FN53" s="1318">
        <f>SUMIFS(50:50,$8:$8,"&gt;="&amp;DATE(YEAR(FN$8),1,1),$8:$8,"&lt;="&amp;EOMONTH(FN$8,0))/SUMIFS(50:50,$8:$8,"&gt;="&amp;DATE(YEAR(FN$8)-1,1,1),$8:$8,"&lt;="&amp;EOMONTH(FN$8,-12))-1</f>
        <v/>
      </c>
      <c r="FO53" s="1318">
        <f>SUMIFS(50:50,$8:$8,"&gt;="&amp;DATE(YEAR(FO$8),1,1),$8:$8,"&lt;="&amp;EOMONTH(FO$8,0))/SUMIFS(50:50,$8:$8,"&gt;="&amp;DATE(YEAR(FO$8)-1,1,1),$8:$8,"&lt;="&amp;EOMONTH(FO$8,-12))-1</f>
        <v/>
      </c>
      <c r="FP53" s="1318">
        <f>SUMIFS(50:50,$8:$8,"&gt;="&amp;DATE(YEAR(FP$8),1,1),$8:$8,"&lt;="&amp;EOMONTH(FP$8,0))/SUMIFS(50:50,$8:$8,"&gt;="&amp;DATE(YEAR(FP$8)-1,1,1),$8:$8,"&lt;="&amp;EOMONTH(FP$8,-12))-1</f>
        <v/>
      </c>
      <c r="FQ53" s="1318">
        <f>SUMIFS(50:50,$8:$8,"&gt;="&amp;DATE(YEAR(FQ$8),1,1),$8:$8,"&lt;="&amp;EOMONTH(FQ$8,0))/SUMIFS(50:50,$8:$8,"&gt;="&amp;DATE(YEAR(FQ$8)-1,1,1),$8:$8,"&lt;="&amp;EOMONTH(FQ$8,-12))-1</f>
        <v/>
      </c>
      <c r="FR53" s="1318">
        <f>SUMIFS(50:50,$8:$8,"&gt;="&amp;DATE(YEAR(FR$8),1,1),$8:$8,"&lt;="&amp;EOMONTH(FR$8,0))/SUMIFS(50:50,$8:$8,"&gt;="&amp;DATE(YEAR(FR$8)-1,1,1),$8:$8,"&lt;="&amp;EOMONTH(FR$8,-12))-1</f>
        <v/>
      </c>
      <c r="FS53" s="1318">
        <f>SUMIFS(50:50,$8:$8,"&gt;="&amp;DATE(YEAR(FS$8),1,1),$8:$8,"&lt;="&amp;EOMONTH(FS$8,0))/SUMIFS(50:50,$8:$8,"&gt;="&amp;DATE(YEAR(FS$8)-1,1,1),$8:$8,"&lt;="&amp;EOMONTH(FS$8,-12))-1</f>
        <v/>
      </c>
      <c r="FT53" s="1318">
        <f>SUMIFS(50:50,$8:$8,"&gt;="&amp;DATE(YEAR(FT$8),1,1),$8:$8,"&lt;="&amp;EOMONTH(FT$8,0))/SUMIFS(50:50,$8:$8,"&gt;="&amp;DATE(YEAR(FT$8)-1,1,1),$8:$8,"&lt;="&amp;EOMONTH(FT$8,-12))-1</f>
        <v/>
      </c>
      <c r="FU53" s="1318">
        <f>SUMIFS(50:50,$8:$8,"&gt;="&amp;DATE(YEAR(FU$8),1,1),$8:$8,"&lt;="&amp;EOMONTH(FU$8,0))/SUMIFS(50:50,$8:$8,"&gt;="&amp;DATE(YEAR(FU$8)-1,1,1),$8:$8,"&lt;="&amp;EOMONTH(FU$8,-12))-1</f>
        <v/>
      </c>
      <c r="FV53" s="1318">
        <f>SUMIFS(50:50,$8:$8,"&gt;="&amp;DATE(YEAR(FV$8),1,1),$8:$8,"&lt;="&amp;EOMONTH(FV$8,0))/SUMIFS(50:50,$8:$8,"&gt;="&amp;DATE(YEAR(FV$8)-1,1,1),$8:$8,"&lt;="&amp;EOMONTH(FV$8,-12))-1</f>
        <v/>
      </c>
      <c r="FW53" s="1318">
        <f>SUMIFS(50:50,$8:$8,"&gt;="&amp;DATE(YEAR(FW$8),1,1),$8:$8,"&lt;="&amp;EOMONTH(FW$8,0))/SUMIFS(50:50,$8:$8,"&gt;="&amp;DATE(YEAR(FW$8)-1,1,1),$8:$8,"&lt;="&amp;EOMONTH(FW$8,-12))-1</f>
        <v/>
      </c>
      <c r="FX53" s="1318">
        <f>SUMIFS(50:50,$8:$8,"&gt;="&amp;DATE(YEAR(FX$8),1,1),$8:$8,"&lt;="&amp;EOMONTH(FX$8,0))/SUMIFS(50:50,$8:$8,"&gt;="&amp;DATE(YEAR(FX$8)-1,1,1),$8:$8,"&lt;="&amp;EOMONTH(FX$8,-12))-1</f>
        <v/>
      </c>
      <c r="FY53" s="1318">
        <f>SUMIFS(50:50,$8:$8,"&gt;="&amp;DATE(YEAR(FY$8),1,1),$8:$8,"&lt;="&amp;EOMONTH(FY$8,0))/SUMIFS(50:50,$8:$8,"&gt;="&amp;DATE(YEAR(FY$8)-1,1,1),$8:$8,"&lt;="&amp;EOMONTH(FY$8,-12))-1</f>
        <v/>
      </c>
      <c r="FZ53" s="1318">
        <f>SUMIFS(50:50,$8:$8,"&gt;="&amp;DATE(YEAR(FZ$8),1,1),$8:$8,"&lt;="&amp;EOMONTH(FZ$8,0))/SUMIFS(50:50,$8:$8,"&gt;="&amp;DATE(YEAR(FZ$8)-1,1,1),$8:$8,"&lt;="&amp;EOMONTH(FZ$8,-12))-1</f>
        <v/>
      </c>
      <c r="GA53" s="1318">
        <f>SUMIFS(50:50,$8:$8,"&gt;="&amp;DATE(YEAR(GA$8),1,1),$8:$8,"&lt;="&amp;EOMONTH(GA$8,0))/SUMIFS(50:50,$8:$8,"&gt;="&amp;DATE(YEAR(GA$8)-1,1,1),$8:$8,"&lt;="&amp;EOMONTH(GA$8,-12))-1</f>
        <v/>
      </c>
      <c r="GB53" s="1318">
        <f>SUMIFS(50:50,$8:$8,"&gt;="&amp;DATE(YEAR(GB$8),1,1),$8:$8,"&lt;="&amp;EOMONTH(GB$8,0))/SUMIFS(50:50,$8:$8,"&gt;="&amp;DATE(YEAR(GB$8)-1,1,1),$8:$8,"&lt;="&amp;EOMONTH(GB$8,-12))-1</f>
        <v/>
      </c>
      <c r="GC53" s="1318">
        <f>SUMIFS(50:50,$8:$8,"&gt;="&amp;DATE(YEAR(GC$8),1,1),$8:$8,"&lt;="&amp;EOMONTH(GC$8,0))/SUMIFS(50:50,$8:$8,"&gt;="&amp;DATE(YEAR(GC$8)-1,1,1),$8:$8,"&lt;="&amp;EOMONTH(GC$8,-12))-1</f>
        <v/>
      </c>
      <c r="GD53" s="1318">
        <f>SUMIFS(50:50,$8:$8,"&gt;="&amp;DATE(YEAR(GD$8),1,1),$8:$8,"&lt;="&amp;EOMONTH(GD$8,0))/SUMIFS(50:50,$8:$8,"&gt;="&amp;DATE(YEAR(GD$8)-1,1,1),$8:$8,"&lt;="&amp;EOMONTH(GD$8,-12))-1</f>
        <v/>
      </c>
      <c r="GE53" s="1318">
        <f>SUMIFS(50:50,$8:$8,"&gt;="&amp;DATE(YEAR(GE$8),1,1),$8:$8,"&lt;="&amp;EOMONTH(GE$8,0))/SUMIFS(50:50,$8:$8,"&gt;="&amp;DATE(YEAR(GE$8)-1,1,1),$8:$8,"&lt;="&amp;EOMONTH(GE$8,-12))-1</f>
        <v/>
      </c>
      <c r="GF53" s="1318">
        <f>SUMIFS(50:50,$8:$8,"&gt;="&amp;DATE(YEAR(GF$8),1,1),$8:$8,"&lt;="&amp;EOMONTH(GF$8,0))/SUMIFS(50:50,$8:$8,"&gt;="&amp;DATE(YEAR(GF$8)-1,1,1),$8:$8,"&lt;="&amp;EOMONTH(GF$8,-12))-1</f>
        <v/>
      </c>
      <c r="GG53" s="1318">
        <f>SUMIFS(50:50,$8:$8,"&gt;="&amp;DATE(YEAR(GG$8),1,1),$8:$8,"&lt;="&amp;EOMONTH(GG$8,0))/SUMIFS(50:50,$8:$8,"&gt;="&amp;DATE(YEAR(GG$8)-1,1,1),$8:$8,"&lt;="&amp;EOMONTH(GG$8,-12))-1</f>
        <v/>
      </c>
      <c r="GH53" s="1318">
        <f>SUMIFS(50:50,$8:$8,"&gt;="&amp;DATE(YEAR(GH$8),1,1),$8:$8,"&lt;="&amp;EOMONTH(GH$8,0))/SUMIFS(50:50,$8:$8,"&gt;="&amp;DATE(YEAR(GH$8)-1,1,1),$8:$8,"&lt;="&amp;EOMONTH(GH$8,-12))-1</f>
        <v/>
      </c>
      <c r="GI53" s="1318">
        <f>SUMIFS(50:50,$8:$8,"&gt;="&amp;DATE(YEAR(GI$8),1,1),$8:$8,"&lt;="&amp;EOMONTH(GI$8,0))/SUMIFS(50:50,$8:$8,"&gt;="&amp;DATE(YEAR(GI$8)-1,1,1),$8:$8,"&lt;="&amp;EOMONTH(GI$8,-12))-1</f>
        <v/>
      </c>
      <c r="GJ53" s="1318">
        <f>SUMIFS(50:50,$8:$8,"&gt;="&amp;DATE(YEAR(GJ$8),1,1),$8:$8,"&lt;="&amp;EOMONTH(GJ$8,0))/SUMIFS(50:50,$8:$8,"&gt;="&amp;DATE(YEAR(GJ$8)-1,1,1),$8:$8,"&lt;="&amp;EOMONTH(GJ$8,-12))-1</f>
        <v/>
      </c>
      <c r="GK53" s="1318">
        <f>SUMIFS(50:50,$8:$8,"&gt;="&amp;DATE(YEAR(GK$8),1,1),$8:$8,"&lt;="&amp;EOMONTH(GK$8,0))/SUMIFS(50:50,$8:$8,"&gt;="&amp;DATE(YEAR(GK$8)-1,1,1),$8:$8,"&lt;="&amp;EOMONTH(GK$8,-12))-1</f>
        <v/>
      </c>
      <c r="GL53" s="1318">
        <f>SUMIFS(50:50,$8:$8,"&gt;="&amp;DATE(YEAR(GL$8),1,1),$8:$8,"&lt;="&amp;EOMONTH(GL$8,0))/SUMIFS(50:50,$8:$8,"&gt;="&amp;DATE(YEAR(GL$8)-1,1,1),$8:$8,"&lt;="&amp;EOMONTH(GL$8,-12))-1</f>
        <v/>
      </c>
      <c r="GM53" s="1318">
        <f>SUMIFS(50:50,$8:$8,"&gt;="&amp;DATE(YEAR(GM$8),1,1),$8:$8,"&lt;="&amp;EOMONTH(GM$8,0))/SUMIFS(50:50,$8:$8,"&gt;="&amp;DATE(YEAR(GM$8)-1,1,1),$8:$8,"&lt;="&amp;EOMONTH(GM$8,-12))-1</f>
        <v/>
      </c>
      <c r="GN53" s="1318">
        <f>SUMIFS(50:50,$8:$8,"&gt;="&amp;DATE(YEAR(GN$8),1,1),$8:$8,"&lt;="&amp;EOMONTH(GN$8,0))/SUMIFS(50:50,$8:$8,"&gt;="&amp;DATE(YEAR(GN$8)-1,1,1),$8:$8,"&lt;="&amp;EOMONTH(GN$8,-12))-1</f>
        <v/>
      </c>
      <c r="GO53" s="1318">
        <f>SUMIFS(50:50,$8:$8,"&gt;="&amp;DATE(YEAR(GO$8),1,1),$8:$8,"&lt;="&amp;EOMONTH(GO$8,0))/SUMIFS(50:50,$8:$8,"&gt;="&amp;DATE(YEAR(GO$8)-1,1,1),$8:$8,"&lt;="&amp;EOMONTH(GO$8,-12))-1</f>
        <v/>
      </c>
      <c r="GP53" s="1318">
        <f>SUMIFS(50:50,$8:$8,"&gt;="&amp;DATE(YEAR(GP$8),1,1),$8:$8,"&lt;="&amp;EOMONTH(GP$8,0))/SUMIFS(50:50,$8:$8,"&gt;="&amp;DATE(YEAR(GP$8)-1,1,1),$8:$8,"&lt;="&amp;EOMONTH(GP$8,-12))-1</f>
        <v/>
      </c>
      <c r="GQ53" s="1318">
        <f>SUMIFS(50:50,$8:$8,"&gt;="&amp;DATE(YEAR(GQ$8),1,1),$8:$8,"&lt;="&amp;EOMONTH(GQ$8,0))/SUMIFS(50:50,$8:$8,"&gt;="&amp;DATE(YEAR(GQ$8)-1,1,1),$8:$8,"&lt;="&amp;EOMONTH(GQ$8,-12))-1</f>
        <v/>
      </c>
      <c r="GR53" s="1318">
        <f>SUMIFS(50:50,$8:$8,"&gt;="&amp;DATE(YEAR(GR$8),1,1),$8:$8,"&lt;="&amp;EOMONTH(GR$8,0))/SUMIFS(50:50,$8:$8,"&gt;="&amp;DATE(YEAR(GR$8)-1,1,1),$8:$8,"&lt;="&amp;EOMONTH(GR$8,-12))-1</f>
        <v/>
      </c>
      <c r="GS53" s="1318">
        <f>SUMIFS(50:50,$8:$8,"&gt;="&amp;DATE(YEAR(GS$8),1,1),$8:$8,"&lt;="&amp;EOMONTH(GS$8,0))/SUMIFS(50:50,$8:$8,"&gt;="&amp;DATE(YEAR(GS$8)-1,1,1),$8:$8,"&lt;="&amp;EOMONTH(GS$8,-12))-1</f>
        <v/>
      </c>
      <c r="GT53" s="1318">
        <f>SUMIFS(50:50,$8:$8,"&gt;="&amp;DATE(YEAR(GT$8),1,1),$8:$8,"&lt;="&amp;EOMONTH(GT$8,0))/SUMIFS(50:50,$8:$8,"&gt;="&amp;DATE(YEAR(GT$8)-1,1,1),$8:$8,"&lt;="&amp;EOMONTH(GT$8,-12))-1</f>
        <v/>
      </c>
      <c r="GU53" s="1318">
        <f>SUMIFS(50:50,$8:$8,"&gt;="&amp;DATE(YEAR(GU$8),1,1),$8:$8,"&lt;="&amp;EOMONTH(GU$8,0))/SUMIFS(50:50,$8:$8,"&gt;="&amp;DATE(YEAR(GU$8)-1,1,1),$8:$8,"&lt;="&amp;EOMONTH(GU$8,-12))-1</f>
        <v/>
      </c>
      <c r="GV53" s="1318">
        <f>SUMIFS(50:50,$8:$8,"&gt;="&amp;DATE(YEAR(GV$8),1,1),$8:$8,"&lt;="&amp;EOMONTH(GV$8,0))/SUMIFS(50:50,$8:$8,"&gt;="&amp;DATE(YEAR(GV$8)-1,1,1),$8:$8,"&lt;="&amp;EOMONTH(GV$8,-12))-1</f>
        <v/>
      </c>
      <c r="GW53" s="1318">
        <f>SUMIFS(50:50,$8:$8,"&gt;="&amp;DATE(YEAR(GW$8),1,1),$8:$8,"&lt;="&amp;EOMONTH(GW$8,0))/SUMIFS(50:50,$8:$8,"&gt;="&amp;DATE(YEAR(GW$8)-1,1,1),$8:$8,"&lt;="&amp;EOMONTH(GW$8,-12))-1</f>
        <v/>
      </c>
      <c r="GX53" s="1318">
        <f>SUMIFS(50:50,$8:$8,"&gt;="&amp;DATE(YEAR(GX$8),1,1),$8:$8,"&lt;="&amp;EOMONTH(GX$8,0))/SUMIFS(50:50,$8:$8,"&gt;="&amp;DATE(YEAR(GX$8)-1,1,1),$8:$8,"&lt;="&amp;EOMONTH(GX$8,-12))-1</f>
        <v/>
      </c>
      <c r="GY53" s="1318">
        <f>SUMIFS(50:50,$8:$8,"&gt;="&amp;DATE(YEAR(GY$8),1,1),$8:$8,"&lt;="&amp;EOMONTH(GY$8,0))/SUMIFS(50:50,$8:$8,"&gt;="&amp;DATE(YEAR(GY$8)-1,1,1),$8:$8,"&lt;="&amp;EOMONTH(GY$8,-12))-1</f>
        <v/>
      </c>
      <c r="GZ53" s="1318">
        <f>SUMIFS(50:50,$8:$8,"&gt;="&amp;DATE(YEAR(GZ$8),1,1),$8:$8,"&lt;="&amp;EOMONTH(GZ$8,0))/SUMIFS(50:50,$8:$8,"&gt;="&amp;DATE(YEAR(GZ$8)-1,1,1),$8:$8,"&lt;="&amp;EOMONTH(GZ$8,-12))-1</f>
        <v/>
      </c>
      <c r="HA53" s="1318">
        <f>SUMIFS(50:50,$8:$8,"&gt;="&amp;DATE(YEAR(HA$8),1,1),$8:$8,"&lt;="&amp;EOMONTH(HA$8,0))/SUMIFS(50:50,$8:$8,"&gt;="&amp;DATE(YEAR(HA$8)-1,1,1),$8:$8,"&lt;="&amp;EOMONTH(HA$8,-12))-1</f>
        <v/>
      </c>
      <c r="HB53" s="1318">
        <f>SUMIFS(50:50,$8:$8,"&gt;="&amp;DATE(YEAR(HB$8),1,1),$8:$8,"&lt;="&amp;EOMONTH(HB$8,0))/SUMIFS(50:50,$8:$8,"&gt;="&amp;DATE(YEAR(HB$8)-1,1,1),$8:$8,"&lt;="&amp;EOMONTH(HB$8,-12))-1</f>
        <v/>
      </c>
      <c r="HC53" s="1318">
        <f>SUMIFS(50:50,$8:$8,"&gt;="&amp;DATE(YEAR(HC$8),1,1),$8:$8,"&lt;="&amp;EOMONTH(HC$8,0))/SUMIFS(50:50,$8:$8,"&gt;="&amp;DATE(YEAR(HC$8)-1,1,1),$8:$8,"&lt;="&amp;EOMONTH(HC$8,-12))-1</f>
        <v/>
      </c>
      <c r="HD53" s="1318">
        <f>SUMIFS(50:50,$8:$8,"&gt;="&amp;DATE(YEAR(HD$8),1,1),$8:$8,"&lt;="&amp;EOMONTH(HD$8,0))/SUMIFS(50:50,$8:$8,"&gt;="&amp;DATE(YEAR(HD$8)-1,1,1),$8:$8,"&lt;="&amp;EOMONTH(HD$8,-12))-1</f>
        <v/>
      </c>
      <c r="HE53" s="1318">
        <f>SUMIFS(50:50,$8:$8,"&gt;="&amp;DATE(YEAR(HE$8),1,1),$8:$8,"&lt;="&amp;EOMONTH(HE$8,0))/SUMIFS(50:50,$8:$8,"&gt;="&amp;DATE(YEAR(HE$8)-1,1,1),$8:$8,"&lt;="&amp;EOMONTH(HE$8,-12))-1</f>
        <v/>
      </c>
      <c r="HF53" s="1318">
        <f>SUMIFS(50:50,$8:$8,"&gt;="&amp;DATE(YEAR(HF$8),1,1),$8:$8,"&lt;="&amp;EOMONTH(HF$8,0))/SUMIFS(50:50,$8:$8,"&gt;="&amp;DATE(YEAR(HF$8)-1,1,1),$8:$8,"&lt;="&amp;EOMONTH(HF$8,-12))-1</f>
        <v/>
      </c>
      <c r="HG53" s="1318">
        <f>SUMIFS(50:50,$8:$8,"&gt;="&amp;DATE(YEAR(HG$8),1,1),$8:$8,"&lt;="&amp;EOMONTH(HG$8,0))/SUMIFS(50:50,$8:$8,"&gt;="&amp;DATE(YEAR(HG$8)-1,1,1),$8:$8,"&lt;="&amp;EOMONTH(HG$8,-12))-1</f>
        <v/>
      </c>
      <c r="HH53" s="1318">
        <f>SUMIFS(50:50,$8:$8,"&gt;="&amp;DATE(YEAR(HH$8),1,1),$8:$8,"&lt;="&amp;EOMONTH(HH$8,0))/SUMIFS(50:50,$8:$8,"&gt;="&amp;DATE(YEAR(HH$8)-1,1,1),$8:$8,"&lt;="&amp;EOMONTH(HH$8,-12))-1</f>
        <v/>
      </c>
      <c r="HI53" s="1318">
        <f>SUMIFS(50:50,$8:$8,"&gt;="&amp;DATE(YEAR(HI$8),1,1),$8:$8,"&lt;="&amp;EOMONTH(HI$8,0))/SUMIFS(50:50,$8:$8,"&gt;="&amp;DATE(YEAR(HI$8)-1,1,1),$8:$8,"&lt;="&amp;EOMONTH(HI$8,-12))-1</f>
        <v/>
      </c>
      <c r="HJ53" s="1318">
        <f>SUMIFS(50:50,$8:$8,"&gt;="&amp;DATE(YEAR(HJ$8),1,1),$8:$8,"&lt;="&amp;EOMONTH(HJ$8,0))/SUMIFS(50:50,$8:$8,"&gt;="&amp;DATE(YEAR(HJ$8)-1,1,1),$8:$8,"&lt;="&amp;EOMONTH(HJ$8,-12))-1</f>
        <v/>
      </c>
      <c r="HK53" s="1318">
        <f>SUMIFS(50:50,$8:$8,"&gt;="&amp;DATE(YEAR(HK$8),1,1),$8:$8,"&lt;="&amp;EOMONTH(HK$8,0))/SUMIFS(50:50,$8:$8,"&gt;="&amp;DATE(YEAR(HK$8)-1,1,1),$8:$8,"&lt;="&amp;EOMONTH(HK$8,-12))-1</f>
        <v/>
      </c>
      <c r="HL53" s="1318">
        <f>SUMIFS(50:50,$8:$8,"&gt;="&amp;DATE(YEAR(HL$8),1,1),$8:$8,"&lt;="&amp;EOMONTH(HL$8,0))/SUMIFS(50:50,$8:$8,"&gt;="&amp;DATE(YEAR(HL$8)-1,1,1),$8:$8,"&lt;="&amp;EOMONTH(HL$8,-12))-1</f>
        <v/>
      </c>
      <c r="HM53" s="1318">
        <f>SUMIFS(50:50,$8:$8,"&gt;="&amp;DATE(YEAR(HM$8),1,1),$8:$8,"&lt;="&amp;EOMONTH(HM$8,0))/SUMIFS(50:50,$8:$8,"&gt;="&amp;DATE(YEAR(HM$8)-1,1,1),$8:$8,"&lt;="&amp;EOMONTH(HM$8,-12))-1</f>
        <v/>
      </c>
      <c r="HN53" s="1318">
        <f>SUMIFS(50:50,$8:$8,"&gt;="&amp;DATE(YEAR(HN$8),1,1),$8:$8,"&lt;="&amp;EOMONTH(HN$8,0))/SUMIFS(50:50,$8:$8,"&gt;="&amp;DATE(YEAR(HN$8)-1,1,1),$8:$8,"&lt;="&amp;EOMONTH(HN$8,-12))-1</f>
        <v/>
      </c>
      <c r="HO53" s="1318">
        <f>SUMIFS(50:50,$8:$8,"&gt;="&amp;DATE(YEAR(HO$8),1,1),$8:$8,"&lt;="&amp;EOMONTH(HO$8,0))/SUMIFS(50:50,$8:$8,"&gt;="&amp;DATE(YEAR(HO$8)-1,1,1),$8:$8,"&lt;="&amp;EOMONTH(HO$8,-12))-1</f>
        <v/>
      </c>
      <c r="HP53" s="1318">
        <f>SUMIFS(50:50,$8:$8,"&gt;="&amp;DATE(YEAR(HP$8),1,1),$8:$8,"&lt;="&amp;EOMONTH(HP$8,0))/SUMIFS(50:50,$8:$8,"&gt;="&amp;DATE(YEAR(HP$8)-1,1,1),$8:$8,"&lt;="&amp;EOMONTH(HP$8,-12))-1</f>
        <v/>
      </c>
      <c r="HQ53" s="1318">
        <f>SUMIFS(50:50,$8:$8,"&gt;="&amp;DATE(YEAR(HQ$8),1,1),$8:$8,"&lt;="&amp;EOMONTH(HQ$8,0))/SUMIFS(50:50,$8:$8,"&gt;="&amp;DATE(YEAR(HQ$8)-1,1,1),$8:$8,"&lt;="&amp;EOMONTH(HQ$8,-12))-1</f>
        <v/>
      </c>
      <c r="HR53" s="1318">
        <f>SUMIFS(50:50,$8:$8,"&gt;="&amp;DATE(YEAR(HR$8),1,1),$8:$8,"&lt;="&amp;EOMONTH(HR$8,0))/SUMIFS(50:50,$8:$8,"&gt;="&amp;DATE(YEAR(HR$8)-1,1,1),$8:$8,"&lt;="&amp;EOMONTH(HR$8,-12))-1</f>
        <v/>
      </c>
      <c r="HS53" s="1318">
        <f>SUMIFS(50:50,$8:$8,"&gt;="&amp;DATE(YEAR(HS$8),1,1),$8:$8,"&lt;="&amp;EOMONTH(HS$8,0))/SUMIFS(50:50,$8:$8,"&gt;="&amp;DATE(YEAR(HS$8)-1,1,1),$8:$8,"&lt;="&amp;EOMONTH(HS$8,-12))-1</f>
        <v/>
      </c>
      <c r="HT53" s="1318">
        <f>SUMIFS(50:50,$8:$8,"&gt;="&amp;DATE(YEAR(HT$8),1,1),$8:$8,"&lt;="&amp;EOMONTH(HT$8,0))/SUMIFS(50:50,$8:$8,"&gt;="&amp;DATE(YEAR(HT$8)-1,1,1),$8:$8,"&lt;="&amp;EOMONTH(HT$8,-12))-1</f>
        <v/>
      </c>
      <c r="HU53" s="1318">
        <f>SUMIFS(50:50,$8:$8,"&gt;="&amp;DATE(YEAR(HU$8),1,1),$8:$8,"&lt;="&amp;EOMONTH(HU$8,0))/SUMIFS(50:50,$8:$8,"&gt;="&amp;DATE(YEAR(HU$8)-1,1,1),$8:$8,"&lt;="&amp;EOMONTH(HU$8,-12))-1</f>
        <v/>
      </c>
      <c r="HV53" s="1318">
        <f>SUMIFS(50:50,$8:$8,"&gt;="&amp;DATE(YEAR(HV$8),1,1),$8:$8,"&lt;="&amp;EOMONTH(HV$8,0))/SUMIFS(50:50,$8:$8,"&gt;="&amp;DATE(YEAR(HV$8)-1,1,1),$8:$8,"&lt;="&amp;EOMONTH(HV$8,-12))-1</f>
        <v/>
      </c>
      <c r="HW53" s="1318">
        <f>SUMIFS(50:50,$8:$8,"&gt;="&amp;DATE(YEAR(HW$8),1,1),$8:$8,"&lt;="&amp;EOMONTH(HW$8,0))/SUMIFS(50:50,$8:$8,"&gt;="&amp;DATE(YEAR(HW$8)-1,1,1),$8:$8,"&lt;="&amp;EOMONTH(HW$8,-12))-1</f>
        <v/>
      </c>
      <c r="HX53" s="1318">
        <f>SUMIFS(50:50,$8:$8,"&gt;="&amp;DATE(YEAR(HX$8),1,1),$8:$8,"&lt;="&amp;EOMONTH(HX$8,0))/SUMIFS(50:50,$8:$8,"&gt;="&amp;DATE(YEAR(HX$8)-1,1,1),$8:$8,"&lt;="&amp;EOMONTH(HX$8,-12))-1</f>
        <v/>
      </c>
      <c r="HY53" s="1318">
        <f>SUMIFS(50:50,$8:$8,"&gt;="&amp;DATE(YEAR(HY$8),1,1),$8:$8,"&lt;="&amp;EOMONTH(HY$8,0))/SUMIFS(50:50,$8:$8,"&gt;="&amp;DATE(YEAR(HY$8)-1,1,1),$8:$8,"&lt;="&amp;EOMONTH(HY$8,-12))-1</f>
        <v/>
      </c>
      <c r="HZ53" s="1318">
        <f>SUMIFS(50:50,$8:$8,"&gt;="&amp;DATE(YEAR(HZ$8),1,1),$8:$8,"&lt;="&amp;EOMONTH(HZ$8,0))/SUMIFS(50:50,$8:$8,"&gt;="&amp;DATE(YEAR(HZ$8)-1,1,1),$8:$8,"&lt;="&amp;EOMONTH(HZ$8,-12))-1</f>
        <v/>
      </c>
      <c r="IA53" s="1318">
        <f>SUMIFS(50:50,$8:$8,"&gt;="&amp;DATE(YEAR(IA$8),1,1),$8:$8,"&lt;="&amp;EOMONTH(IA$8,0))/SUMIFS(50:50,$8:$8,"&gt;="&amp;DATE(YEAR(IA$8)-1,1,1),$8:$8,"&lt;="&amp;EOMONTH(IA$8,-12))-1</f>
        <v/>
      </c>
      <c r="IB53" s="1318">
        <f>SUMIFS(50:50,$8:$8,"&gt;="&amp;DATE(YEAR(IB$8),1,1),$8:$8,"&lt;="&amp;EOMONTH(IB$8,0))/SUMIFS(50:50,$8:$8,"&gt;="&amp;DATE(YEAR(IB$8)-1,1,1),$8:$8,"&lt;="&amp;EOMONTH(IB$8,-12))-1</f>
        <v/>
      </c>
      <c r="IC53" s="1318">
        <f>SUMIFS(50:50,$8:$8,"&gt;="&amp;DATE(YEAR(IC$8),1,1),$8:$8,"&lt;="&amp;EOMONTH(IC$8,0))/SUMIFS(50:50,$8:$8,"&gt;="&amp;DATE(YEAR(IC$8)-1,1,1),$8:$8,"&lt;="&amp;EOMONTH(IC$8,-12))-1</f>
        <v/>
      </c>
      <c r="ID53" s="1318">
        <f>SUMIFS(50:50,$8:$8,"&gt;="&amp;DATE(YEAR(ID$8),1,1),$8:$8,"&lt;="&amp;EOMONTH(ID$8,0))/SUMIFS(50:50,$8:$8,"&gt;="&amp;DATE(YEAR(ID$8)-1,1,1),$8:$8,"&lt;="&amp;EOMONTH(ID$8,-12))-1</f>
        <v/>
      </c>
      <c r="IE53" s="1318">
        <f>SUMIFS(50:50,$8:$8,"&gt;="&amp;DATE(YEAR(IE$8),1,1),$8:$8,"&lt;="&amp;EOMONTH(IE$8,0))/SUMIFS(50:50,$8:$8,"&gt;="&amp;DATE(YEAR(IE$8)-1,1,1),$8:$8,"&lt;="&amp;EOMONTH(IE$8,-12))-1</f>
        <v/>
      </c>
      <c r="IF53" s="1318">
        <f>SUMIFS(50:50,$8:$8,"&gt;="&amp;DATE(YEAR(IF$8),1,1),$8:$8,"&lt;="&amp;EOMONTH(IF$8,0))/SUMIFS(50:50,$8:$8,"&gt;="&amp;DATE(YEAR(IF$8)-1,1,1),$8:$8,"&lt;="&amp;EOMONTH(IF$8,-12))-1</f>
        <v/>
      </c>
      <c r="IG53" s="1318">
        <f>SUMIFS(50:50,$8:$8,"&gt;="&amp;DATE(YEAR(IG$8),1,1),$8:$8,"&lt;="&amp;EOMONTH(IG$8,0))/SUMIFS(50:50,$8:$8,"&gt;="&amp;DATE(YEAR(IG$8)-1,1,1),$8:$8,"&lt;="&amp;EOMONTH(IG$8,-12))-1</f>
        <v/>
      </c>
      <c r="IH53" s="1318">
        <f>SUMIFS(50:50,$8:$8,"&gt;="&amp;DATE(YEAR(IH$8),1,1),$8:$8,"&lt;="&amp;EOMONTH(IH$8,0))/SUMIFS(50:50,$8:$8,"&gt;="&amp;DATE(YEAR(IH$8)-1,1,1),$8:$8,"&lt;="&amp;EOMONTH(IH$8,-12))-1</f>
        <v/>
      </c>
      <c r="II53" s="1318">
        <f>SUMIFS(50:50,$8:$8,"&gt;="&amp;DATE(YEAR(II$8),1,1),$8:$8,"&lt;="&amp;EOMONTH(II$8,0))/SUMIFS(50:50,$8:$8,"&gt;="&amp;DATE(YEAR(II$8)-1,1,1),$8:$8,"&lt;="&amp;EOMONTH(II$8,-12))-1</f>
        <v/>
      </c>
      <c r="IJ53" s="1318">
        <f>SUMIFS(50:50,$8:$8,"&gt;="&amp;DATE(YEAR(IJ$8),1,1),$8:$8,"&lt;="&amp;EOMONTH(IJ$8,0))/SUMIFS(50:50,$8:$8,"&gt;="&amp;DATE(YEAR(IJ$8)-1,1,1),$8:$8,"&lt;="&amp;EOMONTH(IJ$8,-12))-1</f>
        <v/>
      </c>
      <c r="IK53" s="1318">
        <f>SUMIFS(50:50,$8:$8,"&gt;="&amp;DATE(YEAR(IK$8),1,1),$8:$8,"&lt;="&amp;EOMONTH(IK$8,0))/SUMIFS(50:50,$8:$8,"&gt;="&amp;DATE(YEAR(IK$8)-1,1,1),$8:$8,"&lt;="&amp;EOMONTH(IK$8,-12))-1</f>
        <v/>
      </c>
      <c r="IL53" s="1318">
        <f>SUMIFS(50:50,$8:$8,"&gt;="&amp;DATE(YEAR(IL$8),1,1),$8:$8,"&lt;="&amp;EOMONTH(IL$8,0))/SUMIFS(50:50,$8:$8,"&gt;="&amp;DATE(YEAR(IL$8)-1,1,1),$8:$8,"&lt;="&amp;EOMONTH(IL$8,-12))-1</f>
        <v/>
      </c>
      <c r="IM53" s="1318">
        <f>SUMIFS(50:50,$8:$8,"&gt;="&amp;DATE(YEAR(IM$8),1,1),$8:$8,"&lt;="&amp;EOMONTH(IM$8,0))/SUMIFS(50:50,$8:$8,"&gt;="&amp;DATE(YEAR(IM$8)-1,1,1),$8:$8,"&lt;="&amp;EOMONTH(IM$8,-12))-1</f>
        <v/>
      </c>
      <c r="IN53" s="1318">
        <f>SUMIFS(50:50,$8:$8,"&gt;="&amp;DATE(YEAR(IN$8),1,1),$8:$8,"&lt;="&amp;EOMONTH(IN$8,0))/SUMIFS(50:50,$8:$8,"&gt;="&amp;DATE(YEAR(IN$8)-1,1,1),$8:$8,"&lt;="&amp;EOMONTH(IN$8,-12))-1</f>
        <v/>
      </c>
      <c r="IO53" s="1318">
        <f>SUMIFS(50:50,$8:$8,"&gt;="&amp;DATE(YEAR(IO$8),1,1),$8:$8,"&lt;="&amp;EOMONTH(IO$8,0))/SUMIFS(50:50,$8:$8,"&gt;="&amp;DATE(YEAR(IO$8)-1,1,1),$8:$8,"&lt;="&amp;EOMONTH(IO$8,-12))-1</f>
        <v/>
      </c>
      <c r="IP53" s="1318">
        <f>SUMIFS(50:50,$8:$8,"&gt;="&amp;DATE(YEAR(IP$8),1,1),$8:$8,"&lt;="&amp;EOMONTH(IP$8,0))/SUMIFS(50:50,$8:$8,"&gt;="&amp;DATE(YEAR(IP$8)-1,1,1),$8:$8,"&lt;="&amp;EOMONTH(IP$8,-12))-1</f>
        <v/>
      </c>
      <c r="IQ53" s="1318">
        <f>SUMIFS(50:50,$8:$8,"&gt;="&amp;DATE(YEAR(IQ$8),1,1),$8:$8,"&lt;="&amp;EOMONTH(IQ$8,0))/SUMIFS(50:50,$8:$8,"&gt;="&amp;DATE(YEAR(IQ$8)-1,1,1),$8:$8,"&lt;="&amp;EOMONTH(IQ$8,-12))-1</f>
        <v/>
      </c>
      <c r="IR53" s="1318">
        <f>SUMIFS(50:50,$8:$8,"&gt;="&amp;DATE(YEAR(IR$8),1,1),$8:$8,"&lt;="&amp;EOMONTH(IR$8,0))/SUMIFS(50:50,$8:$8,"&gt;="&amp;DATE(YEAR(IR$8)-1,1,1),$8:$8,"&lt;="&amp;EOMONTH(IR$8,-12))-1</f>
        <v/>
      </c>
      <c r="IS53" s="1318">
        <f>SUMIFS(50:50,$8:$8,"&gt;="&amp;DATE(YEAR(IS$8),1,1),$8:$8,"&lt;="&amp;EOMONTH(IS$8,0))/SUMIFS(50:50,$8:$8,"&gt;="&amp;DATE(YEAR(IS$8)-1,1,1),$8:$8,"&lt;="&amp;EOMONTH(IS$8,-12))-1</f>
        <v/>
      </c>
      <c r="IT53" s="1318">
        <f>SUMIFS(50:50,$8:$8,"&gt;="&amp;DATE(YEAR(IT$8),1,1),$8:$8,"&lt;="&amp;EOMONTH(IT$8,0))/SUMIFS(50:50,$8:$8,"&gt;="&amp;DATE(YEAR(IT$8)-1,1,1),$8:$8,"&lt;="&amp;EOMONTH(IT$8,-12))-1</f>
        <v/>
      </c>
      <c r="IU53" s="1318">
        <f>SUMIFS(50:50,$8:$8,"&gt;="&amp;DATE(YEAR(IU$8),1,1),$8:$8,"&lt;="&amp;EOMONTH(IU$8,0))/SUMIFS(50:50,$8:$8,"&gt;="&amp;DATE(YEAR(IU$8)-1,1,1),$8:$8,"&lt;="&amp;EOMONTH(IU$8,-12))-1</f>
        <v/>
      </c>
      <c r="IV53" s="1318">
        <f>SUMIFS(50:50,$8:$8,"&gt;="&amp;DATE(YEAR(IV$8),1,1),$8:$8,"&lt;="&amp;EOMONTH(IV$8,0))/SUMIFS(50:50,$8:$8,"&gt;="&amp;DATE(YEAR(IV$8)-1,1,1),$8:$8,"&lt;="&amp;EOMONTH(IV$8,-12))-1</f>
        <v/>
      </c>
      <c r="IW53" s="1318">
        <f>SUMIFS(50:50,$8:$8,"&gt;="&amp;DATE(YEAR(IW$8),1,1),$8:$8,"&lt;="&amp;EOMONTH(IW$8,0))/SUMIFS(50:50,$8:$8,"&gt;="&amp;DATE(YEAR(IW$8)-1,1,1),$8:$8,"&lt;="&amp;EOMONTH(IW$8,-12))-1</f>
        <v/>
      </c>
      <c r="IX53" s="1318">
        <f>SUMIFS(50:50,$8:$8,"&gt;="&amp;DATE(YEAR(IX$8),1,1),$8:$8,"&lt;="&amp;EOMONTH(IX$8,0))/SUMIFS(50:50,$8:$8,"&gt;="&amp;DATE(YEAR(IX$8)-1,1,1),$8:$8,"&lt;="&amp;EOMONTH(IX$8,-12))-1</f>
        <v/>
      </c>
      <c r="IY53" s="1318">
        <f>SUMIFS(50:50,$8:$8,"&gt;="&amp;DATE(YEAR(IY$8),1,1),$8:$8,"&lt;="&amp;EOMONTH(IY$8,0))/SUMIFS(50:50,$8:$8,"&gt;="&amp;DATE(YEAR(IY$8)-1,1,1),$8:$8,"&lt;="&amp;EOMONTH(IY$8,-12))-1</f>
        <v/>
      </c>
      <c r="IZ53" s="1318">
        <f>SUMIFS(50:50,$8:$8,"&gt;="&amp;DATE(YEAR(IZ$8),1,1),$8:$8,"&lt;="&amp;EOMONTH(IZ$8,0))/SUMIFS(50:50,$8:$8,"&gt;="&amp;DATE(YEAR(IZ$8)-1,1,1),$8:$8,"&lt;="&amp;EOMONTH(IZ$8,-12))-1</f>
        <v/>
      </c>
      <c r="JA53" s="1318">
        <f>SUMIFS(50:50,$8:$8,"&gt;="&amp;DATE(YEAR(JA$8),1,1),$8:$8,"&lt;="&amp;EOMONTH(JA$8,0))/SUMIFS(50:50,$8:$8,"&gt;="&amp;DATE(YEAR(JA$8)-1,1,1),$8:$8,"&lt;="&amp;EOMONTH(JA$8,-12))-1</f>
        <v/>
      </c>
      <c r="JB53" s="1318">
        <f>SUMIFS(50:50,$8:$8,"&gt;="&amp;DATE(YEAR(JB$8),1,1),$8:$8,"&lt;="&amp;EOMONTH(JB$8,0))/SUMIFS(50:50,$8:$8,"&gt;="&amp;DATE(YEAR(JB$8)-1,1,1),$8:$8,"&lt;="&amp;EOMONTH(JB$8,-12))-1</f>
        <v/>
      </c>
      <c r="JC53" s="1318">
        <f>SUMIFS(50:50,$8:$8,"&gt;="&amp;DATE(YEAR(JC$8),1,1),$8:$8,"&lt;="&amp;EOMONTH(JC$8,0))/SUMIFS(50:50,$8:$8,"&gt;="&amp;DATE(YEAR(JC$8)-1,1,1),$8:$8,"&lt;="&amp;EOMONTH(JC$8,-12))-1</f>
        <v/>
      </c>
      <c r="JD53" s="1318">
        <f>SUMIFS(50:50,$8:$8,"&gt;="&amp;DATE(YEAR(JD$8),1,1),$8:$8,"&lt;="&amp;EOMONTH(JD$8,0))/SUMIFS(50:50,$8:$8,"&gt;="&amp;DATE(YEAR(JD$8)-1,1,1),$8:$8,"&lt;="&amp;EOMONTH(JD$8,-12))-1</f>
        <v/>
      </c>
      <c r="JE53" s="1318">
        <f>SUMIFS(50:50,$8:$8,"&gt;="&amp;DATE(YEAR(JE$8),1,1),$8:$8,"&lt;="&amp;EOMONTH(JE$8,0))/SUMIFS(50:50,$8:$8,"&gt;="&amp;DATE(YEAR(JE$8)-1,1,1),$8:$8,"&lt;="&amp;EOMONTH(JE$8,-12))-1</f>
        <v/>
      </c>
      <c r="JF53" s="1318">
        <f>SUMIFS(50:50,$8:$8,"&gt;="&amp;DATE(YEAR(JF$8),1,1),$8:$8,"&lt;="&amp;EOMONTH(JF$8,0))/SUMIFS(50:50,$8:$8,"&gt;="&amp;DATE(YEAR(JF$8)-1,1,1),$8:$8,"&lt;="&amp;EOMONTH(JF$8,-12))-1</f>
        <v/>
      </c>
      <c r="JG53" s="1318">
        <f>SUMIFS(50:50,$8:$8,"&gt;="&amp;DATE(YEAR(JG$8),1,1),$8:$8,"&lt;="&amp;EOMONTH(JG$8,0))/SUMIFS(50:50,$8:$8,"&gt;="&amp;DATE(YEAR(JG$8)-1,1,1),$8:$8,"&lt;="&amp;EOMONTH(JG$8,-12))-1</f>
        <v/>
      </c>
      <c r="JH53" s="1318">
        <f>SUMIFS(50:50,$8:$8,"&gt;="&amp;DATE(YEAR(JH$8),1,1),$8:$8,"&lt;="&amp;EOMONTH(JH$8,0))/SUMIFS(50:50,$8:$8,"&gt;="&amp;DATE(YEAR(JH$8)-1,1,1),$8:$8,"&lt;="&amp;EOMONTH(JH$8,-12))-1</f>
        <v/>
      </c>
      <c r="JI53" s="1318">
        <f>SUMIFS(50:50,$8:$8,"&gt;="&amp;DATE(YEAR(JI$8),1,1),$8:$8,"&lt;="&amp;EOMONTH(JI$8,0))/SUMIFS(50:50,$8:$8,"&gt;="&amp;DATE(YEAR(JI$8)-1,1,1),$8:$8,"&lt;="&amp;EOMONTH(JI$8,-12))-1</f>
        <v/>
      </c>
      <c r="JJ53" s="1318">
        <f>SUMIFS(50:50,$8:$8,"&gt;="&amp;DATE(YEAR(JJ$8),1,1),$8:$8,"&lt;="&amp;EOMONTH(JJ$8,0))/SUMIFS(50:50,$8:$8,"&gt;="&amp;DATE(YEAR(JJ$8)-1,1,1),$8:$8,"&lt;="&amp;EOMONTH(JJ$8,-12))-1</f>
        <v/>
      </c>
      <c r="JK53" s="1318">
        <f>SUMIFS(50:50,$8:$8,"&gt;="&amp;DATE(YEAR(JK$8),1,1),$8:$8,"&lt;="&amp;EOMONTH(JK$8,0))/SUMIFS(50:50,$8:$8,"&gt;="&amp;DATE(YEAR(JK$8)-1,1,1),$8:$8,"&lt;="&amp;EOMONTH(JK$8,-12))-1</f>
        <v/>
      </c>
      <c r="JL53" s="1318">
        <f>SUMIFS(50:50,$8:$8,"&gt;="&amp;DATE(YEAR(JL$8),1,1),$8:$8,"&lt;="&amp;EOMONTH(JL$8,0))/SUMIFS(50:50,$8:$8,"&gt;="&amp;DATE(YEAR(JL$8)-1,1,1),$8:$8,"&lt;="&amp;EOMONTH(JL$8,-12))-1</f>
        <v/>
      </c>
      <c r="JM53" s="1318">
        <f>SUMIFS(50:50,$8:$8,"&gt;="&amp;DATE(YEAR(JM$8),1,1),$8:$8,"&lt;="&amp;EOMONTH(JM$8,0))/SUMIFS(50:50,$8:$8,"&gt;="&amp;DATE(YEAR(JM$8)-1,1,1),$8:$8,"&lt;="&amp;EOMONTH(JM$8,-12))-1</f>
        <v/>
      </c>
      <c r="JN53" s="1318">
        <f>SUMIFS(50:50,$8:$8,"&gt;="&amp;DATE(YEAR(JN$8),1,1),$8:$8,"&lt;="&amp;EOMONTH(JN$8,0))/SUMIFS(50:50,$8:$8,"&gt;="&amp;DATE(YEAR(JN$8)-1,1,1),$8:$8,"&lt;="&amp;EOMONTH(JN$8,-12))-1</f>
        <v/>
      </c>
      <c r="JO53" s="1318">
        <f>SUMIFS(50:50,$8:$8,"&gt;="&amp;DATE(YEAR(JO$8),1,1),$8:$8,"&lt;="&amp;EOMONTH(JO$8,0))/SUMIFS(50:50,$8:$8,"&gt;="&amp;DATE(YEAR(JO$8)-1,1,1),$8:$8,"&lt;="&amp;EOMONTH(JO$8,-12))-1</f>
        <v/>
      </c>
      <c r="JP53" s="1318">
        <f>SUMIFS(50:50,$8:$8,"&gt;="&amp;DATE(YEAR(JP$8),1,1),$8:$8,"&lt;="&amp;EOMONTH(JP$8,0))/SUMIFS(50:50,$8:$8,"&gt;="&amp;DATE(YEAR(JP$8)-1,1,1),$8:$8,"&lt;="&amp;EOMONTH(JP$8,-12))-1</f>
        <v/>
      </c>
      <c r="JQ53" s="1318">
        <f>SUMIFS(50:50,$8:$8,"&gt;="&amp;DATE(YEAR(JQ$8),1,1),$8:$8,"&lt;="&amp;EOMONTH(JQ$8,0))/SUMIFS(50:50,$8:$8,"&gt;="&amp;DATE(YEAR(JQ$8)-1,1,1),$8:$8,"&lt;="&amp;EOMONTH(JQ$8,-12))-1</f>
        <v/>
      </c>
      <c r="JR53" s="1318">
        <f>SUMIFS(50:50,$8:$8,"&gt;="&amp;DATE(YEAR(JR$8),1,1),$8:$8,"&lt;="&amp;EOMONTH(JR$8,0))/SUMIFS(50:50,$8:$8,"&gt;="&amp;DATE(YEAR(JR$8)-1,1,1),$8:$8,"&lt;="&amp;EOMONTH(JR$8,-12))-1</f>
        <v/>
      </c>
      <c r="JS53" s="1318">
        <f>SUMIFS(50:50,$8:$8,"&gt;="&amp;DATE(YEAR(JS$8),1,1),$8:$8,"&lt;="&amp;EOMONTH(JS$8,0))/SUMIFS(50:50,$8:$8,"&gt;="&amp;DATE(YEAR(JS$8)-1,1,1),$8:$8,"&lt;="&amp;EOMONTH(JS$8,-12))-1</f>
        <v/>
      </c>
      <c r="JT53" s="1318">
        <f>SUMIFS(50:50,$8:$8,"&gt;="&amp;DATE(YEAR(JT$8),1,1),$8:$8,"&lt;="&amp;EOMONTH(JT$8,0))/SUMIFS(50:50,$8:$8,"&gt;="&amp;DATE(YEAR(JT$8)-1,1,1),$8:$8,"&lt;="&amp;EOMONTH(JT$8,-12))-1</f>
        <v/>
      </c>
      <c r="JU53" s="1318">
        <f>SUMIFS(50:50,$8:$8,"&gt;="&amp;DATE(YEAR(JU$8),1,1),$8:$8,"&lt;="&amp;EOMONTH(JU$8,0))/SUMIFS(50:50,$8:$8,"&gt;="&amp;DATE(YEAR(JU$8)-1,1,1),$8:$8,"&lt;="&amp;EOMONTH(JU$8,-12))-1</f>
        <v/>
      </c>
      <c r="JV53" s="1318">
        <f>SUMIFS(50:50,$8:$8,"&gt;="&amp;DATE(YEAR(JV$8),1,1),$8:$8,"&lt;="&amp;EOMONTH(JV$8,0))/SUMIFS(50:50,$8:$8,"&gt;="&amp;DATE(YEAR(JV$8)-1,1,1),$8:$8,"&lt;="&amp;EOMONTH(JV$8,-12))-1</f>
        <v/>
      </c>
      <c r="JW53" s="1318">
        <f>SUMIFS(50:50,$8:$8,"&gt;="&amp;DATE(YEAR(JW$8),1,1),$8:$8,"&lt;="&amp;EOMONTH(JW$8,0))/SUMIFS(50:50,$8:$8,"&gt;="&amp;DATE(YEAR(JW$8)-1,1,1),$8:$8,"&lt;="&amp;EOMONTH(JW$8,-12))-1</f>
        <v/>
      </c>
      <c r="JX53" s="1318">
        <f>SUMIFS(50:50,$8:$8,"&gt;="&amp;DATE(YEAR(JX$8),1,1),$8:$8,"&lt;="&amp;EOMONTH(JX$8,0))/SUMIFS(50:50,$8:$8,"&gt;="&amp;DATE(YEAR(JX$8)-1,1,1),$8:$8,"&lt;="&amp;EOMONTH(JX$8,-12))-1</f>
        <v/>
      </c>
      <c r="JY53" s="1318">
        <f>SUMIFS(50:50,$8:$8,"&gt;="&amp;DATE(YEAR(JY$8),1,1),$8:$8,"&lt;="&amp;EOMONTH(JY$8,0))/SUMIFS(50:50,$8:$8,"&gt;="&amp;DATE(YEAR(JY$8)-1,1,1),$8:$8,"&lt;="&amp;EOMONTH(JY$8,-12))-1</f>
        <v/>
      </c>
      <c r="JZ53" s="1318">
        <f>SUMIFS(50:50,$8:$8,"&gt;="&amp;DATE(YEAR(JZ$8),1,1),$8:$8,"&lt;="&amp;EOMONTH(JZ$8,0))/SUMIFS(50:50,$8:$8,"&gt;="&amp;DATE(YEAR(JZ$8)-1,1,1),$8:$8,"&lt;="&amp;EOMONTH(JZ$8,-12))-1</f>
        <v/>
      </c>
      <c r="KA53" s="1318">
        <f>SUMIFS(50:50,$8:$8,"&gt;="&amp;DATE(YEAR(KA$8),1,1),$8:$8,"&lt;="&amp;EOMONTH(KA$8,0))/SUMIFS(50:50,$8:$8,"&gt;="&amp;DATE(YEAR(KA$8)-1,1,1),$8:$8,"&lt;="&amp;EOMONTH(KA$8,-12))-1</f>
        <v/>
      </c>
      <c r="KB53" s="1318">
        <f>SUMIFS(50:50,$8:$8,"&gt;="&amp;DATE(YEAR(KB$8),1,1),$8:$8,"&lt;="&amp;EOMONTH(KB$8,0))/SUMIFS(50:50,$8:$8,"&gt;="&amp;DATE(YEAR(KB$8)-1,1,1),$8:$8,"&lt;="&amp;EOMONTH(KB$8,-12))-1</f>
        <v/>
      </c>
      <c r="KC53" s="1318">
        <f>SUMIFS(50:50,$8:$8,"&gt;="&amp;DATE(YEAR(KC$8),1,1),$8:$8,"&lt;="&amp;EOMONTH(KC$8,0))/SUMIFS(50:50,$8:$8,"&gt;="&amp;DATE(YEAR(KC$8)-1,1,1),$8:$8,"&lt;="&amp;EOMONTH(KC$8,-12))-1</f>
        <v/>
      </c>
      <c r="KD53" s="1318">
        <f>SUMIFS(50:50,$8:$8,"&gt;="&amp;DATE(YEAR(KD$8),1,1),$8:$8,"&lt;="&amp;EOMONTH(KD$8,0))/SUMIFS(50:50,$8:$8,"&gt;="&amp;DATE(YEAR(KD$8)-1,1,1),$8:$8,"&lt;="&amp;EOMONTH(KD$8,-12))-1</f>
        <v/>
      </c>
      <c r="KE53" s="1318">
        <f>SUMIFS(50:50,$8:$8,"&gt;="&amp;DATE(YEAR(KE$8),1,1),$8:$8,"&lt;="&amp;EOMONTH(KE$8,0))/SUMIFS(50:50,$8:$8,"&gt;="&amp;DATE(YEAR(KE$8)-1,1,1),$8:$8,"&lt;="&amp;EOMONTH(KE$8,-12))-1</f>
        <v/>
      </c>
      <c r="KF53" s="1318">
        <f>SUMIFS(50:50,$8:$8,"&gt;="&amp;DATE(YEAR(KF$8),1,1),$8:$8,"&lt;="&amp;EOMONTH(KF$8,0))/SUMIFS(50:50,$8:$8,"&gt;="&amp;DATE(YEAR(KF$8)-1,1,1),$8:$8,"&lt;="&amp;EOMONTH(KF$8,-12))-1</f>
        <v/>
      </c>
      <c r="KG53" s="1318">
        <f>SUMIFS(50:50,$8:$8,"&gt;="&amp;DATE(YEAR(KG$8),1,1),$8:$8,"&lt;="&amp;EOMONTH(KG$8,0))/SUMIFS(50:50,$8:$8,"&gt;="&amp;DATE(YEAR(KG$8)-1,1,1),$8:$8,"&lt;="&amp;EOMONTH(KG$8,-12))-1</f>
        <v/>
      </c>
      <c r="KH53" s="1318">
        <f>SUMIFS(50:50,$8:$8,"&gt;="&amp;DATE(YEAR(KH$8),1,1),$8:$8,"&lt;="&amp;EOMONTH(KH$8,0))/SUMIFS(50:50,$8:$8,"&gt;="&amp;DATE(YEAR(KH$8)-1,1,1),$8:$8,"&lt;="&amp;EOMONTH(KH$8,-12))-1</f>
        <v/>
      </c>
      <c r="KI53" s="1318">
        <f>SUMIFS(50:50,$8:$8,"&gt;="&amp;DATE(YEAR(KI$8),1,1),$8:$8,"&lt;="&amp;EOMONTH(KI$8,0))/SUMIFS(50:50,$8:$8,"&gt;="&amp;DATE(YEAR(KI$8)-1,1,1),$8:$8,"&lt;="&amp;EOMONTH(KI$8,-12))-1</f>
        <v/>
      </c>
      <c r="KJ53" s="1318">
        <f>SUMIFS(50:50,$8:$8,"&gt;="&amp;DATE(YEAR(KJ$8),1,1),$8:$8,"&lt;="&amp;EOMONTH(KJ$8,0))/SUMIFS(50:50,$8:$8,"&gt;="&amp;DATE(YEAR(KJ$8)-1,1,1),$8:$8,"&lt;="&amp;EOMONTH(KJ$8,-12))-1</f>
        <v/>
      </c>
      <c r="KK53" s="1318">
        <f>SUMIFS(50:50,$8:$8,"&gt;="&amp;DATE(YEAR(KK$8),1,1),$8:$8,"&lt;="&amp;EOMONTH(KK$8,0))/SUMIFS(50:50,$8:$8,"&gt;="&amp;DATE(YEAR(KK$8)-1,1,1),$8:$8,"&lt;="&amp;EOMONTH(KK$8,-12))-1</f>
        <v/>
      </c>
      <c r="KL53" s="1318">
        <f>SUMIFS(50:50,$8:$8,"&gt;="&amp;DATE(YEAR(KL$8),1,1),$8:$8,"&lt;="&amp;EOMONTH(KL$8,0))/SUMIFS(50:50,$8:$8,"&gt;="&amp;DATE(YEAR(KL$8)-1,1,1),$8:$8,"&lt;="&amp;EOMONTH(KL$8,-12))-1</f>
        <v/>
      </c>
      <c r="KM53" s="1318">
        <f>SUMIFS(50:50,$8:$8,"&gt;="&amp;DATE(YEAR(KM$8),1,1),$8:$8,"&lt;="&amp;EOMONTH(KM$8,0))/SUMIFS(50:50,$8:$8,"&gt;="&amp;DATE(YEAR(KM$8)-1,1,1),$8:$8,"&lt;="&amp;EOMONTH(KM$8,-12))-1</f>
        <v/>
      </c>
      <c r="KN53" s="1318">
        <f>SUMIFS(50:50,$8:$8,"&gt;="&amp;DATE(YEAR(KN$8),1,1),$8:$8,"&lt;="&amp;EOMONTH(KN$8,0))/SUMIFS(50:50,$8:$8,"&gt;="&amp;DATE(YEAR(KN$8)-1,1,1),$8:$8,"&lt;="&amp;EOMONTH(KN$8,-12))-1</f>
        <v/>
      </c>
      <c r="KO53" s="1318">
        <f>SUMIFS(50:50,$8:$8,"&gt;="&amp;DATE(YEAR(KO$8),1,1),$8:$8,"&lt;="&amp;EOMONTH(KO$8,0))/SUMIFS(50:50,$8:$8,"&gt;="&amp;DATE(YEAR(KO$8)-1,1,1),$8:$8,"&lt;="&amp;EOMONTH(KO$8,-12))-1</f>
        <v/>
      </c>
      <c r="KP53" s="1318">
        <f>SUMIFS(50:50,$8:$8,"&gt;="&amp;DATE(YEAR(KP$8),1,1),$8:$8,"&lt;="&amp;EOMONTH(KP$8,0))/SUMIFS(50:50,$8:$8,"&gt;="&amp;DATE(YEAR(KP$8)-1,1,1),$8:$8,"&lt;="&amp;EOMONTH(KP$8,-12))-1</f>
        <v/>
      </c>
      <c r="KQ53" s="1318">
        <f>SUMIFS(50:50,$8:$8,"&gt;="&amp;DATE(YEAR(KQ$8),1,1),$8:$8,"&lt;="&amp;EOMONTH(KQ$8,0))/SUMIFS(50:50,$8:$8,"&gt;="&amp;DATE(YEAR(KQ$8)-1,1,1),$8:$8,"&lt;="&amp;EOMONTH(KQ$8,-12))-1</f>
        <v/>
      </c>
      <c r="KR53" s="1318">
        <f>SUMIFS(50:50,$8:$8,"&gt;="&amp;DATE(YEAR(KR$8),1,1),$8:$8,"&lt;="&amp;EOMONTH(KR$8,0))/SUMIFS(50:50,$8:$8,"&gt;="&amp;DATE(YEAR(KR$8)-1,1,1),$8:$8,"&lt;="&amp;EOMONTH(KR$8,-12))-1</f>
        <v/>
      </c>
      <c r="KS53" s="1318">
        <f>SUMIFS(50:50,$8:$8,"&gt;="&amp;DATE(YEAR(KS$8),1,1),$8:$8,"&lt;="&amp;EOMONTH(KS$8,0))/SUMIFS(50:50,$8:$8,"&gt;="&amp;DATE(YEAR(KS$8)-1,1,1),$8:$8,"&lt;="&amp;EOMONTH(KS$8,-12))-1</f>
        <v/>
      </c>
      <c r="KT53" s="1318">
        <f>SUMIFS(50:50,$8:$8,"&gt;="&amp;DATE(YEAR(KT$8),1,1),$8:$8,"&lt;="&amp;EOMONTH(KT$8,0))/SUMIFS(50:50,$8:$8,"&gt;="&amp;DATE(YEAR(KT$8)-1,1,1),$8:$8,"&lt;="&amp;EOMONTH(KT$8,-12))-1</f>
        <v/>
      </c>
      <c r="KU53" s="1318">
        <f>SUMIFS(50:50,$8:$8,"&gt;="&amp;DATE(YEAR(KU$8),1,1),$8:$8,"&lt;="&amp;EOMONTH(KU$8,0))/SUMIFS(50:50,$8:$8,"&gt;="&amp;DATE(YEAR(KU$8)-1,1,1),$8:$8,"&lt;="&amp;EOMONTH(KU$8,-12))-1</f>
        <v/>
      </c>
      <c r="KV53" s="1318">
        <f>SUMIFS(50:50,$8:$8,"&gt;="&amp;DATE(YEAR(KV$8),1,1),$8:$8,"&lt;="&amp;EOMONTH(KV$8,0))/SUMIFS(50:50,$8:$8,"&gt;="&amp;DATE(YEAR(KV$8)-1,1,1),$8:$8,"&lt;="&amp;EOMONTH(KV$8,-12))-1</f>
        <v/>
      </c>
      <c r="KW53" s="1318">
        <f>SUMIFS(50:50,$8:$8,"&gt;="&amp;DATE(YEAR(KW$8),1,1),$8:$8,"&lt;="&amp;EOMONTH(KW$8,0))/SUMIFS(50:50,$8:$8,"&gt;="&amp;DATE(YEAR(KW$8)-1,1,1),$8:$8,"&lt;="&amp;EOMONTH(KW$8,-12))-1</f>
        <v/>
      </c>
      <c r="KX53" s="1318">
        <f>SUMIFS(50:50,$8:$8,"&gt;="&amp;DATE(YEAR(KX$8),1,1),$8:$8,"&lt;="&amp;EOMONTH(KX$8,0))/SUMIFS(50:50,$8:$8,"&gt;="&amp;DATE(YEAR(KX$8)-1,1,1),$8:$8,"&lt;="&amp;EOMONTH(KX$8,-12))-1</f>
        <v/>
      </c>
      <c r="KY53" s="1318">
        <f>SUMIFS(50:50,$8:$8,"&gt;="&amp;DATE(YEAR(KY$8),1,1),$8:$8,"&lt;="&amp;EOMONTH(KY$8,0))/SUMIFS(50:50,$8:$8,"&gt;="&amp;DATE(YEAR(KY$8)-1,1,1),$8:$8,"&lt;="&amp;EOMONTH(KY$8,-12))-1</f>
        <v/>
      </c>
      <c r="KZ53" s="1318">
        <f>SUMIFS(50:50,$8:$8,"&gt;="&amp;DATE(YEAR(KZ$8),1,1),$8:$8,"&lt;="&amp;EOMONTH(KZ$8,0))/SUMIFS(50:50,$8:$8,"&gt;="&amp;DATE(YEAR(KZ$8)-1,1,1),$8:$8,"&lt;="&amp;EOMONTH(KZ$8,-12))-1</f>
        <v/>
      </c>
      <c r="LA53" s="1318">
        <f>SUMIFS(50:50,$8:$8,"&gt;="&amp;DATE(YEAR(LA$8),1,1),$8:$8,"&lt;="&amp;EOMONTH(LA$8,0))/SUMIFS(50:50,$8:$8,"&gt;="&amp;DATE(YEAR(LA$8)-1,1,1),$8:$8,"&lt;="&amp;EOMONTH(LA$8,-12))-1</f>
        <v/>
      </c>
      <c r="LB53" s="1318" t="n"/>
      <c r="LC53" s="1318" t="n"/>
      <c r="LD53" s="1318" t="n"/>
      <c r="LE53" s="1318" t="n"/>
      <c r="LF53" s="1318" t="n"/>
      <c r="LG53" s="1318" t="n"/>
      <c r="LH53" s="1318" t="n"/>
      <c r="LI53" s="1318" t="n"/>
      <c r="LJ53" s="1318" t="n"/>
      <c r="LK53" s="1318" t="n"/>
      <c r="LL53" s="1318" t="n"/>
      <c r="LM53" s="1318" t="n"/>
      <c r="LN53" s="1318" t="n"/>
      <c r="LO53" s="1318" t="n"/>
      <c r="LP53" s="1318" t="n"/>
      <c r="LQ53" s="1318" t="n"/>
      <c r="LR53" s="1318" t="n"/>
      <c r="LS53" s="1318" t="n"/>
    </row>
    <row r="54" ht="15" customHeight="1" s="239">
      <c r="A54" s="1319" t="inlineStr">
        <is>
          <t>SW Pacific</t>
        </is>
      </c>
      <c r="B54" s="1320">
        <f>N54/0.9868</f>
        <v/>
      </c>
      <c r="C54" s="1319">
        <f>3064.024-B54</f>
        <v/>
      </c>
      <c r="D54" s="1319">
        <f>P54/1.027</f>
        <v/>
      </c>
      <c r="E54" s="1319" t="n">
        <v>1335</v>
      </c>
      <c r="F54" s="1319" t="n">
        <v>1246.368735150925</v>
      </c>
      <c r="G54" s="1319">
        <f>8037.784-SUM(B54:F54)</f>
        <v/>
      </c>
      <c r="H54" s="1319">
        <f>9561.568-SUM(B54:G54)</f>
        <v/>
      </c>
      <c r="I54" s="1319">
        <f>11106.034-SUM(B54:H54)</f>
        <v/>
      </c>
      <c r="J54" s="1319">
        <f>12412.858-SUM(B54:I54)</f>
        <v/>
      </c>
      <c r="K54" s="1319" t="n">
        <v>1428.909</v>
      </c>
      <c r="L54" s="1319" t="n">
        <v>1468.005</v>
      </c>
      <c r="M54" s="1319">
        <f>Y54/1.136</f>
        <v/>
      </c>
      <c r="N54" s="1320" t="n">
        <v>1654.509</v>
      </c>
      <c r="O54" s="1319" t="n">
        <v>1452.785</v>
      </c>
      <c r="P54" s="1319" t="n">
        <v>1504.621</v>
      </c>
      <c r="Q54" s="1319" t="n">
        <v>1603.775</v>
      </c>
      <c r="R54" s="1319" t="n">
        <v>1560.634</v>
      </c>
      <c r="S54" s="1319" t="n">
        <v>1556.112</v>
      </c>
      <c r="T54" s="1319" t="n">
        <v>1720.352</v>
      </c>
      <c r="U54" s="1319" t="n">
        <v>1683.384</v>
      </c>
      <c r="V54" s="1319" t="n">
        <v>1570.304</v>
      </c>
      <c r="W54" s="1319" t="n">
        <v>1619.302</v>
      </c>
      <c r="X54" s="1319" t="n">
        <v>1586.992</v>
      </c>
      <c r="Y54" s="1319" t="n">
        <v>1752.49</v>
      </c>
      <c r="Z54" s="1320" t="n">
        <v>1762.977</v>
      </c>
      <c r="AA54" s="1319" t="n">
        <v>1345.375</v>
      </c>
      <c r="AB54" s="1319" t="n">
        <v>1595.794</v>
      </c>
      <c r="AC54" s="1319" t="n">
        <v>1637.013</v>
      </c>
      <c r="AD54" s="1319" t="n">
        <v>1557.415</v>
      </c>
      <c r="AE54" s="1319" t="n">
        <v>1656.488</v>
      </c>
      <c r="AF54" s="1319" t="n">
        <v>1382.755</v>
      </c>
      <c r="AG54" s="1319" t="n">
        <v>1588.583</v>
      </c>
      <c r="AH54" s="1319" t="n">
        <v>1294.235</v>
      </c>
      <c r="AI54" s="1319" t="n">
        <v>1325.715</v>
      </c>
      <c r="AJ54" s="1319" t="n">
        <v>1325.893</v>
      </c>
      <c r="AK54" s="1319" t="n">
        <v>1695.845</v>
      </c>
      <c r="AL54" s="1320" t="n">
        <v>1750.85</v>
      </c>
      <c r="AM54" s="1319" t="n">
        <v>1460.267</v>
      </c>
      <c r="AN54" s="1319" t="n">
        <v>1596.622</v>
      </c>
      <c r="AO54" s="1319" t="n">
        <v>1410.314</v>
      </c>
      <c r="AP54" s="1319" t="n">
        <v>1412.938</v>
      </c>
      <c r="AQ54" s="1319" t="n">
        <v>1519.195</v>
      </c>
      <c r="AR54" s="1319" t="n">
        <v>1758.771</v>
      </c>
      <c r="AS54" s="1319" t="n">
        <v>1845.331</v>
      </c>
      <c r="AT54" s="1319" t="n">
        <v>1536.738</v>
      </c>
      <c r="AU54" s="1319" t="n">
        <v>1735.504</v>
      </c>
      <c r="AV54" s="1319" t="n">
        <v>1785.696</v>
      </c>
      <c r="AW54" s="1319" t="n">
        <v>2013.595</v>
      </c>
      <c r="AX54" s="1320" t="n">
        <v>873.121</v>
      </c>
      <c r="AY54" s="1320" t="n">
        <v>714</v>
      </c>
      <c r="AZ54" s="1320">
        <f>BL54/1.065</f>
        <v/>
      </c>
      <c r="BA54" s="1320">
        <f>BM54/2.08</f>
        <v/>
      </c>
      <c r="BB54" s="1320">
        <f>BN54/2.624</f>
        <v/>
      </c>
      <c r="BC54" s="1320" t="n">
        <v>369.2780622330035</v>
      </c>
      <c r="BD54" s="1320" t="n">
        <v>615.1196161779617</v>
      </c>
      <c r="BE54" s="1320" t="n">
        <v>673.3128039409978</v>
      </c>
      <c r="BF54" s="1320" t="n">
        <v>628.8709999999995</v>
      </c>
      <c r="BG54" s="1320" t="n">
        <v>684</v>
      </c>
      <c r="BH54" s="1320" t="n">
        <v>740</v>
      </c>
      <c r="BI54" s="1320" t="n">
        <v>861.5</v>
      </c>
      <c r="BJ54" s="1320">
        <f>899.627</f>
        <v/>
      </c>
      <c r="BK54" s="1320" t="n">
        <v>726.7190000000001</v>
      </c>
      <c r="BL54" s="1320" t="n">
        <v>674.218</v>
      </c>
      <c r="BM54" s="1320" t="n">
        <v>666.795</v>
      </c>
      <c r="BN54" s="1320" t="n">
        <v>610.17</v>
      </c>
      <c r="BO54" s="1320" t="n">
        <v>668.869</v>
      </c>
      <c r="BP54" s="1320" t="n">
        <v>718.701</v>
      </c>
      <c r="BQ54" s="1320" t="n">
        <v>643.486</v>
      </c>
      <c r="BR54" s="1320" t="n">
        <v>652.542</v>
      </c>
      <c r="BS54" s="1320" t="n">
        <v>770.989</v>
      </c>
      <c r="BT54" s="1320" t="n">
        <v>887.235</v>
      </c>
      <c r="BU54" s="1320" t="n">
        <v>1084.714</v>
      </c>
      <c r="BV54" s="1320" t="n">
        <v>1116.384</v>
      </c>
      <c r="BW54" s="1320">
        <f>2965.86-BV54-BX54</f>
        <v/>
      </c>
      <c r="BX54" s="1320" t="n">
        <v>914.61</v>
      </c>
      <c r="BY54" s="1320" t="n">
        <v>826.179</v>
      </c>
      <c r="BZ54" s="1320" t="n">
        <v>728.635</v>
      </c>
      <c r="CA54" s="1320" t="n">
        <v>788.607</v>
      </c>
      <c r="CB54" s="1320" t="n">
        <v>946.5309999999999</v>
      </c>
      <c r="CC54" s="1320" t="n">
        <v>871.197</v>
      </c>
      <c r="CD54" s="1320" t="n">
        <v>813.173</v>
      </c>
      <c r="CE54" s="1320" t="n">
        <v>892.546</v>
      </c>
      <c r="CF54" s="1320" t="n">
        <v>949.6369999999999</v>
      </c>
      <c r="CG54" s="1320" t="n">
        <v>1149.339</v>
      </c>
      <c r="CH54" s="1320" t="n">
        <v>1117.621</v>
      </c>
      <c r="CI54" s="1320" t="n">
        <v>965.8680000000001</v>
      </c>
      <c r="CJ54" s="1321" t="n">
        <v>926.585</v>
      </c>
      <c r="CK54" s="1321" t="n">
        <v>890.9</v>
      </c>
      <c r="CL54" s="1322" t="n">
        <v>770.9</v>
      </c>
      <c r="CM54" s="1322" t="n">
        <v>856.756</v>
      </c>
      <c r="CN54" s="1319" t="n">
        <v>915.932</v>
      </c>
      <c r="CO54" s="1319" t="n">
        <v>871.869</v>
      </c>
      <c r="CP54" s="1319" t="n">
        <v>845</v>
      </c>
      <c r="CQ54" s="1319" t="n">
        <v>958</v>
      </c>
      <c r="CR54" s="1319" t="n">
        <v>1055.146</v>
      </c>
      <c r="CS54" s="1319" t="n">
        <v>1224.985</v>
      </c>
      <c r="CT54" s="1319" t="n">
        <v>1163.242</v>
      </c>
      <c r="CU54" s="1319" t="n">
        <v>963.04</v>
      </c>
      <c r="CV54" s="1319" t="n">
        <v>1017</v>
      </c>
      <c r="CW54" s="1320" t="n">
        <v>947.534</v>
      </c>
      <c r="CX54" s="1320" t="n">
        <v>808.309</v>
      </c>
      <c r="CY54" s="1320" t="n">
        <v>881.626</v>
      </c>
      <c r="CZ54" s="1320" t="n">
        <v>931.336</v>
      </c>
      <c r="DA54" s="1320" t="n">
        <v>937.562</v>
      </c>
      <c r="DB54" s="1320" t="n">
        <v>920.491</v>
      </c>
      <c r="DC54" s="1320" t="n">
        <v>1038.085</v>
      </c>
      <c r="DD54" s="1320" t="n">
        <v>1033.508</v>
      </c>
      <c r="DE54" s="1320" t="n">
        <v>1278.436</v>
      </c>
      <c r="DF54" s="1320" t="n">
        <v>1271.304</v>
      </c>
      <c r="DG54" s="1320" t="n">
        <v>1131.295</v>
      </c>
      <c r="DH54" s="1320" t="n">
        <v>1157.502</v>
      </c>
      <c r="DI54" s="1320" t="n">
        <v>1057.544</v>
      </c>
      <c r="DJ54" s="1320" t="n">
        <v>946.198</v>
      </c>
      <c r="DK54" s="1320" t="n">
        <v>1009.026</v>
      </c>
      <c r="DL54" s="1320" t="n">
        <v>1162.626</v>
      </c>
      <c r="DM54" s="1320" t="n">
        <v>993.2809999999999</v>
      </c>
      <c r="DN54" s="1320" t="n">
        <v>1019.085</v>
      </c>
      <c r="DO54" s="1320" t="n">
        <v>1167.607</v>
      </c>
      <c r="DP54" s="1320" t="n">
        <v>1210.644</v>
      </c>
      <c r="DQ54" s="1320" t="n">
        <v>1486.315</v>
      </c>
      <c r="DR54" s="1320" t="n">
        <v>1495.024</v>
      </c>
      <c r="DS54" s="1320" t="n">
        <v>1217.035</v>
      </c>
      <c r="DT54" s="1320" t="n">
        <v>1219.047</v>
      </c>
      <c r="DU54" s="1320" t="n">
        <v>1278.469</v>
      </c>
      <c r="DV54" s="1320" t="n">
        <v>1009.721</v>
      </c>
      <c r="DW54" s="1320" t="n">
        <v>1022.59</v>
      </c>
      <c r="DX54" s="1320" t="n">
        <v>1162.175</v>
      </c>
      <c r="DY54" s="1320" t="n">
        <v>1138.27</v>
      </c>
      <c r="DZ54" s="1320" t="n">
        <v>1089.271</v>
      </c>
      <c r="EA54" s="1320" t="n">
        <v>1169.087</v>
      </c>
      <c r="EB54" s="1320" t="n">
        <v>1210.849</v>
      </c>
      <c r="EC54" s="1320" t="n">
        <v>1491.321</v>
      </c>
      <c r="ED54" s="1320" t="n">
        <v>1498.314</v>
      </c>
      <c r="EE54" s="1320" t="n">
        <v>1337.776</v>
      </c>
      <c r="EF54" s="1320" t="n">
        <v>1306.458</v>
      </c>
      <c r="EG54" s="1320" t="n">
        <v>1138.621</v>
      </c>
      <c r="EH54" s="1320" t="n">
        <v>1005.74</v>
      </c>
      <c r="EI54" s="1320" t="n">
        <v>1104.947</v>
      </c>
      <c r="EJ54" s="1320" t="n">
        <v>1187.561</v>
      </c>
      <c r="EK54" s="1320" t="n">
        <v>1111.606</v>
      </c>
      <c r="EL54" s="1320" t="n">
        <v>1117.544</v>
      </c>
      <c r="EM54" s="1320" t="n">
        <v>1234.22</v>
      </c>
      <c r="EN54" s="1320" t="n">
        <v>1216.178</v>
      </c>
      <c r="EO54" s="1320" t="n">
        <v>1447.656</v>
      </c>
      <c r="EP54" s="1320" t="n">
        <v>1466.493</v>
      </c>
      <c r="EQ54" s="1320" t="n">
        <v>1216.394</v>
      </c>
      <c r="ER54" s="1320" t="n">
        <v>1046.573</v>
      </c>
      <c r="ES54" s="1320" t="n">
        <v>1139.067</v>
      </c>
      <c r="ET54" s="1320" t="n">
        <v>1005.383</v>
      </c>
      <c r="EU54" s="1320" t="n">
        <v>1048.117</v>
      </c>
      <c r="EV54" s="1320" t="n">
        <v>1260.351</v>
      </c>
      <c r="EW54" s="1320" t="n">
        <v>1174.73</v>
      </c>
      <c r="EX54" s="1320" t="n">
        <v>1178.236</v>
      </c>
      <c r="EY54" s="1320" t="n">
        <v>1284.814</v>
      </c>
      <c r="EZ54" s="1320" t="n">
        <v>1259.311</v>
      </c>
      <c r="FA54" s="1320" t="n">
        <v>1485.659</v>
      </c>
      <c r="FB54" s="1320" t="n">
        <v>1602.942</v>
      </c>
      <c r="FC54" s="1320" t="n">
        <v>1182.816</v>
      </c>
      <c r="FD54" s="1320" t="n">
        <v>1173.541</v>
      </c>
      <c r="FE54" s="1320" t="n">
        <v>1194.525</v>
      </c>
      <c r="FF54" s="1320" t="n">
        <v>923.931</v>
      </c>
      <c r="FG54" s="1320" t="n">
        <v>1055.105</v>
      </c>
      <c r="FH54" s="1320" t="n">
        <v>1111.007</v>
      </c>
      <c r="FI54" s="1320" t="n">
        <v>1116.25</v>
      </c>
      <c r="FJ54" s="1320" t="n">
        <v>1130.45</v>
      </c>
      <c r="FK54" s="1320" t="n">
        <v>1166.675</v>
      </c>
      <c r="FL54" s="1320" t="n">
        <v>1091.188</v>
      </c>
      <c r="FM54" s="1320" t="n">
        <v>1403.397</v>
      </c>
      <c r="FN54" s="1320" t="n">
        <v>1346.273</v>
      </c>
      <c r="FO54" s="1320" t="n">
        <v>1214.581</v>
      </c>
      <c r="FP54" s="1320" t="n">
        <v>1142.074</v>
      </c>
      <c r="FQ54" s="1320" t="n">
        <v>1106.216</v>
      </c>
      <c r="FR54" s="1320" t="n">
        <v>994.982</v>
      </c>
      <c r="FS54" s="1320" t="n">
        <v>1087.461</v>
      </c>
      <c r="FT54" s="1320" t="n">
        <v>1182.343</v>
      </c>
      <c r="FU54" s="1320" t="n">
        <v>1177.948</v>
      </c>
      <c r="FV54" s="1320" t="n">
        <v>1129.651</v>
      </c>
      <c r="FW54" s="1320" t="n">
        <v>1204.772</v>
      </c>
      <c r="FX54" s="1320" t="n">
        <v>1133.518</v>
      </c>
      <c r="FY54" s="1320" t="n">
        <v>1402.663</v>
      </c>
      <c r="FZ54" s="1320" t="n">
        <v>1387.702</v>
      </c>
      <c r="GA54" s="1320" t="n">
        <v>1250.635</v>
      </c>
      <c r="GB54" s="1320" t="n">
        <v>1164.19</v>
      </c>
      <c r="GC54" s="1320" t="n">
        <v>1298.538</v>
      </c>
      <c r="GD54" s="1320" t="n">
        <v>1186.613</v>
      </c>
      <c r="GE54" s="1320" t="n">
        <v>1216.039</v>
      </c>
      <c r="GF54" s="1320" t="n">
        <v>1283.284</v>
      </c>
      <c r="GG54" s="1320" t="n">
        <v>1294.351</v>
      </c>
      <c r="GH54" s="1320" t="n">
        <v>1242.594</v>
      </c>
      <c r="GI54" s="1320" t="n">
        <v>1286.071</v>
      </c>
      <c r="GJ54" s="1320" t="n">
        <v>1223.492</v>
      </c>
      <c r="GK54" s="1320" t="n">
        <v>1508.023</v>
      </c>
      <c r="GL54" s="1320" t="n">
        <v>1502.885</v>
      </c>
      <c r="GM54" s="1320" t="n">
        <v>1374.818</v>
      </c>
      <c r="GN54" s="1320" t="n">
        <v>1507.998</v>
      </c>
      <c r="GO54" s="1320" t="n">
        <v>1432.377</v>
      </c>
      <c r="GP54" s="1320" t="n">
        <v>1367.088</v>
      </c>
      <c r="GQ54" s="1320" t="n">
        <v>1335.177</v>
      </c>
      <c r="GR54" s="1320" t="n">
        <v>1340.77</v>
      </c>
      <c r="GS54" s="1320" t="n">
        <v>1405.15</v>
      </c>
      <c r="GT54" s="1320" t="n">
        <v>1372.273</v>
      </c>
      <c r="GU54" s="1320" t="n">
        <v>1487.695</v>
      </c>
      <c r="GV54" s="1320" t="n">
        <v>1442.011</v>
      </c>
      <c r="GW54" s="1320" t="n">
        <v>1709.817</v>
      </c>
      <c r="GX54" s="1320" t="n">
        <v>1671.585</v>
      </c>
      <c r="GY54" s="1320" t="n">
        <v>1543.474</v>
      </c>
      <c r="GZ54" s="1320" t="n">
        <v>1471.15</v>
      </c>
      <c r="HA54" s="1320" t="n">
        <v>1427.722</v>
      </c>
      <c r="HB54" s="1320" t="n">
        <v>1328.202</v>
      </c>
      <c r="HC54" s="1320" t="n">
        <v>1302.021</v>
      </c>
      <c r="HD54" s="1320" t="n">
        <v>1371.856</v>
      </c>
      <c r="HE54" s="1320" t="n">
        <v>1347.605</v>
      </c>
      <c r="HF54" s="1320" t="n">
        <v>1364.209</v>
      </c>
      <c r="HG54" s="1320" t="n">
        <v>1417.237</v>
      </c>
      <c r="HH54" s="1320" t="n">
        <v>1384.18</v>
      </c>
      <c r="HI54" s="1320" t="n">
        <v>1672.954</v>
      </c>
      <c r="HJ54" s="892" t="n">
        <v>1606.768</v>
      </c>
      <c r="HK54" s="892" t="n">
        <v>1505.617</v>
      </c>
      <c r="HL54" s="892" t="n">
        <v>1426.973</v>
      </c>
      <c r="HM54" s="892" t="n">
        <v>1508.53</v>
      </c>
      <c r="HN54" s="892" t="n">
        <v>1234.991</v>
      </c>
      <c r="HO54" s="892" t="n">
        <v>1293.453</v>
      </c>
      <c r="HP54" s="892" t="n">
        <v>1421.22</v>
      </c>
      <c r="HQ54" s="892" t="n">
        <v>1393.739</v>
      </c>
      <c r="HR54" s="892" t="n">
        <v>1378.008</v>
      </c>
      <c r="HS54" s="892" t="n">
        <v>1461.969</v>
      </c>
      <c r="HT54" s="892" t="n">
        <v>1353.484</v>
      </c>
      <c r="HU54" s="892" t="n">
        <v>1795.087</v>
      </c>
      <c r="HV54" s="892" t="n">
        <v>1753.585</v>
      </c>
      <c r="HW54" s="892" t="n">
        <v>1542.982</v>
      </c>
      <c r="HX54" s="892" t="n">
        <v>1472.637</v>
      </c>
      <c r="HY54" s="892" t="n">
        <v>1427.002</v>
      </c>
      <c r="HZ54" s="892" t="n">
        <v>1175.59</v>
      </c>
      <c r="IA54" s="892" t="n">
        <v>1267.118</v>
      </c>
      <c r="IB54" s="892" t="n">
        <v>1419.184</v>
      </c>
      <c r="IC54" s="892" t="n">
        <v>1407.467</v>
      </c>
      <c r="ID54" s="892" t="n">
        <v>1149.871</v>
      </c>
      <c r="IE54" s="892" t="n">
        <v>1299.753</v>
      </c>
      <c r="IF54" s="892" t="n">
        <v>1237.434</v>
      </c>
      <c r="IG54" s="892" t="n">
        <v>1662.128</v>
      </c>
      <c r="IH54" s="892" t="n">
        <v>1611.688</v>
      </c>
      <c r="II54" s="892" t="n">
        <v>1457.708</v>
      </c>
      <c r="IJ54" s="892" t="n">
        <v>1455.546</v>
      </c>
      <c r="IK54" s="892" t="n">
        <v>1358.013</v>
      </c>
      <c r="IL54" s="892" t="n">
        <v>1182.25</v>
      </c>
      <c r="IM54" s="892" t="n">
        <v>1209.012</v>
      </c>
      <c r="IN54" s="892" t="n">
        <v>1309.922</v>
      </c>
      <c r="IO54" s="892" t="n">
        <v>1246.964</v>
      </c>
      <c r="IP54" s="892" t="n">
        <v>1230.288</v>
      </c>
      <c r="IQ54" s="892" t="n">
        <v>1318.133</v>
      </c>
      <c r="IR54" s="892" t="n">
        <v>1208.388</v>
      </c>
      <c r="IS54" s="892" t="n">
        <v>1719.668</v>
      </c>
      <c r="IT54" s="892" t="n">
        <v>1765.853</v>
      </c>
      <c r="IU54" s="892" t="n">
        <v>957.91</v>
      </c>
      <c r="IV54" s="892" t="n">
        <v>333.471</v>
      </c>
      <c r="IW54" s="892" t="n">
        <v>8.926</v>
      </c>
      <c r="IX54" s="893" t="n">
        <v>14.45</v>
      </c>
      <c r="IY54" s="893" t="n">
        <v>21.713</v>
      </c>
      <c r="IZ54" s="893" t="n">
        <v>28.337</v>
      </c>
      <c r="JA54" s="893" t="n">
        <v>23.465</v>
      </c>
      <c r="JB54" s="893" t="n">
        <v>22.819</v>
      </c>
      <c r="JC54" s="893" t="n">
        <v>20.36</v>
      </c>
      <c r="JD54" s="893" t="n">
        <v>20.568</v>
      </c>
      <c r="JE54" s="893" t="n">
        <v>24.934</v>
      </c>
      <c r="JF54" s="893" t="n">
        <v>21.55</v>
      </c>
      <c r="JG54" s="893" t="n">
        <v>10.814</v>
      </c>
      <c r="JH54" s="893" t="n">
        <v>2.914</v>
      </c>
      <c r="JI54" s="893" t="n">
        <v>6.832</v>
      </c>
      <c r="JJ54" s="893" t="n">
        <v>9.098000000000001</v>
      </c>
      <c r="JK54" s="893" t="n">
        <v>16.718</v>
      </c>
      <c r="JL54" s="893" t="n">
        <v>19.564</v>
      </c>
      <c r="JM54" s="893" t="n">
        <v>18.479</v>
      </c>
      <c r="JN54" s="893" t="n">
        <v>15.951</v>
      </c>
      <c r="JO54" s="893" t="n">
        <v>16.677</v>
      </c>
      <c r="JP54" s="893" t="n">
        <v>49.981</v>
      </c>
      <c r="JQ54" s="893" t="n">
        <v>99.11799999999999</v>
      </c>
      <c r="JR54" s="893" t="n">
        <v>13.037</v>
      </c>
      <c r="JS54" s="893" t="n">
        <v>21.277</v>
      </c>
      <c r="JT54" s="893" t="n">
        <v>17.281</v>
      </c>
      <c r="JU54" s="893" t="n">
        <v>25.688</v>
      </c>
      <c r="JV54" s="893" t="n">
        <v>35.753</v>
      </c>
      <c r="JW54" s="893" t="n">
        <v>131.388</v>
      </c>
      <c r="JX54" s="893" t="n">
        <v>174.524</v>
      </c>
      <c r="JY54" s="893" t="n">
        <v>135.153</v>
      </c>
      <c r="JZ54" s="893" t="n">
        <v>136.645</v>
      </c>
      <c r="KA54" s="893" t="n">
        <v>333.689</v>
      </c>
      <c r="KB54" s="893" t="n">
        <v>394.953</v>
      </c>
      <c r="KC54" s="893" t="n">
        <v>581.7190000000001</v>
      </c>
      <c r="KD54" s="893" t="n">
        <v>741.495</v>
      </c>
      <c r="KE54" s="893" t="n">
        <v>703.612</v>
      </c>
      <c r="KF54" s="893" t="n">
        <v>645.581</v>
      </c>
      <c r="KG54" s="893" t="n">
        <v>694.386</v>
      </c>
      <c r="KH54" s="893" t="n">
        <v>741.213</v>
      </c>
      <c r="KI54" s="893" t="n">
        <v>745.224</v>
      </c>
      <c r="KJ54" s="893" t="n">
        <v>728.872</v>
      </c>
      <c r="KK54" s="893" t="n">
        <v>779.751</v>
      </c>
      <c r="KL54" s="893" t="n">
        <v>813.649</v>
      </c>
      <c r="KM54" s="893" t="n">
        <v>846.849</v>
      </c>
      <c r="KN54" s="893" t="n">
        <v>867.178</v>
      </c>
      <c r="KO54" s="893" t="n">
        <v>1057.295</v>
      </c>
      <c r="KP54" s="893" t="n">
        <v>1143.573</v>
      </c>
      <c r="KQ54" s="893" t="n">
        <v>1110.831</v>
      </c>
      <c r="KR54" s="893" t="n">
        <v>1019.602</v>
      </c>
      <c r="KS54" s="893" t="n">
        <v>894.763</v>
      </c>
      <c r="KT54" s="893" t="n">
        <v>766.0119999999999</v>
      </c>
      <c r="KU54" s="893" t="n">
        <v>908.425</v>
      </c>
      <c r="KV54" s="893" t="n">
        <v>922.484</v>
      </c>
      <c r="KW54" s="893" t="n">
        <v>1002.219</v>
      </c>
      <c r="KX54" s="893" t="n">
        <v>1109.612</v>
      </c>
      <c r="KY54" s="893" t="n">
        <v>1209.295</v>
      </c>
      <c r="KZ54" s="893" t="n">
        <v>1184.644</v>
      </c>
      <c r="LA54" s="893" t="n">
        <v>1409.93</v>
      </c>
      <c r="LB54" s="893" t="n"/>
      <c r="LC54" s="893" t="n"/>
      <c r="LD54" s="893" t="n"/>
      <c r="LE54" s="893" t="n"/>
      <c r="LF54" s="893" t="n"/>
      <c r="LG54" s="893" t="n"/>
      <c r="LH54" s="893" t="n"/>
      <c r="LI54" s="893" t="n"/>
      <c r="LJ54" s="893" t="n"/>
      <c r="LK54" s="893" t="n"/>
      <c r="LL54" s="893" t="n"/>
      <c r="LM54" s="893" t="n"/>
      <c r="LN54" s="893" t="n"/>
      <c r="LO54" s="893" t="n"/>
      <c r="LP54" s="893" t="n"/>
      <c r="LQ54" s="893" t="n"/>
      <c r="LR54" s="893" t="n"/>
      <c r="LS54" s="893" t="n"/>
    </row>
    <row r="55">
      <c r="A55" s="885" t="inlineStr">
        <is>
          <t>m cg %</t>
        </is>
      </c>
      <c r="B55" s="1318" t="n"/>
      <c r="C55" s="1318">
        <f>C54/B54-1</f>
        <v/>
      </c>
      <c r="D55" s="1318">
        <f>D54/C54-1</f>
        <v/>
      </c>
      <c r="E55" s="1318">
        <f>E54/D54-1</f>
        <v/>
      </c>
      <c r="F55" s="1318">
        <f>F54/E54-1</f>
        <v/>
      </c>
      <c r="G55" s="1318">
        <f>G54/F54-1</f>
        <v/>
      </c>
      <c r="H55" s="1318">
        <f>H54/G54-1</f>
        <v/>
      </c>
      <c r="I55" s="1318">
        <f>I54/H54-1</f>
        <v/>
      </c>
      <c r="J55" s="1318">
        <f>J54/I54-1</f>
        <v/>
      </c>
      <c r="K55" s="1318">
        <f>K54/J54-1</f>
        <v/>
      </c>
      <c r="L55" s="1318">
        <f>L54/K54-1</f>
        <v/>
      </c>
      <c r="M55" s="1318">
        <f>M54/L54-1</f>
        <v/>
      </c>
      <c r="N55" s="1318">
        <f>N54/M54-1</f>
        <v/>
      </c>
      <c r="O55" s="1318">
        <f>O54/N54-1</f>
        <v/>
      </c>
      <c r="P55" s="1318">
        <f>P54/O54-1</f>
        <v/>
      </c>
      <c r="Q55" s="1318">
        <f>Q54/P54-1</f>
        <v/>
      </c>
      <c r="R55" s="1318">
        <f>R54/Q54-1</f>
        <v/>
      </c>
      <c r="S55" s="1318">
        <f>S54/R54-1</f>
        <v/>
      </c>
      <c r="T55" s="1318">
        <f>T54/S54-1</f>
        <v/>
      </c>
      <c r="U55" s="1318">
        <f>U54/T54-1</f>
        <v/>
      </c>
      <c r="V55" s="1318">
        <f>V54/U54-1</f>
        <v/>
      </c>
      <c r="W55" s="1318">
        <f>W54/V54-1</f>
        <v/>
      </c>
      <c r="X55" s="1318">
        <f>X54/W54-1</f>
        <v/>
      </c>
      <c r="Y55" s="1318">
        <f>Y54/X54-1</f>
        <v/>
      </c>
      <c r="Z55" s="1318">
        <f>Z54/Y54-1</f>
        <v/>
      </c>
      <c r="AA55" s="1318">
        <f>AA54/Z54-1</f>
        <v/>
      </c>
      <c r="AB55" s="1318">
        <f>AB54/AA54-1</f>
        <v/>
      </c>
      <c r="AC55" s="1318">
        <f>AC54/AB54-1</f>
        <v/>
      </c>
      <c r="AD55" s="1318">
        <f>AD54/AC54-1</f>
        <v/>
      </c>
      <c r="AE55" s="1318">
        <f>AE54/AD54-1</f>
        <v/>
      </c>
      <c r="AF55" s="1318">
        <f>AF54/AE54-1</f>
        <v/>
      </c>
      <c r="AG55" s="1318">
        <f>AG54/AF54-1</f>
        <v/>
      </c>
      <c r="AH55" s="1318">
        <f>AH54/AG54-1</f>
        <v/>
      </c>
      <c r="AI55" s="1318">
        <f>AI54/AH54-1</f>
        <v/>
      </c>
      <c r="AJ55" s="1318">
        <f>AJ54/AI54-1</f>
        <v/>
      </c>
      <c r="AK55" s="1318">
        <f>AK54/AJ54-1</f>
        <v/>
      </c>
      <c r="AL55" s="1318">
        <f>AL54/AK54-1</f>
        <v/>
      </c>
      <c r="AM55" s="1318">
        <f>AM54/AL54-1</f>
        <v/>
      </c>
      <c r="AN55" s="1318">
        <f>AN54/AM54-1</f>
        <v/>
      </c>
      <c r="AO55" s="1318">
        <f>AO54/AN54-1</f>
        <v/>
      </c>
      <c r="AP55" s="1318">
        <f>AP54/AO54-1</f>
        <v/>
      </c>
      <c r="AQ55" s="1318">
        <f>AQ54/AP54-1</f>
        <v/>
      </c>
      <c r="AR55" s="1318">
        <f>AR54/AQ54-1</f>
        <v/>
      </c>
      <c r="AS55" s="1318">
        <f>AS54/AR54-1</f>
        <v/>
      </c>
      <c r="AT55" s="1318">
        <f>AT54/AS54-1</f>
        <v/>
      </c>
      <c r="AU55" s="1318">
        <f>AU54/AT54-1</f>
        <v/>
      </c>
      <c r="AV55" s="1318">
        <f>AV54/AU54-1</f>
        <v/>
      </c>
      <c r="AW55" s="1318">
        <f>AW54/AV54-1</f>
        <v/>
      </c>
      <c r="AX55" s="1318">
        <f>AX54/AW54-1</f>
        <v/>
      </c>
      <c r="AY55" s="1318">
        <f>AY54/AX54-1</f>
        <v/>
      </c>
      <c r="AZ55" s="1318">
        <f>AZ54/AY54-1</f>
        <v/>
      </c>
      <c r="BA55" s="1318">
        <f>BA54/AZ54-1</f>
        <v/>
      </c>
      <c r="BB55" s="1318">
        <f>BB54/BA54-1</f>
        <v/>
      </c>
      <c r="BC55" s="1318">
        <f>BC54/BB54-1</f>
        <v/>
      </c>
      <c r="BD55" s="1318">
        <f>BD54/BC54-1</f>
        <v/>
      </c>
      <c r="BE55" s="1318">
        <f>BE54/BD54-1</f>
        <v/>
      </c>
      <c r="BF55" s="1318">
        <f>BF54/BE54-1</f>
        <v/>
      </c>
      <c r="BG55" s="1318">
        <f>BG54/BF54-1</f>
        <v/>
      </c>
      <c r="BH55" s="1318">
        <f>BH54/BG54-1</f>
        <v/>
      </c>
      <c r="BI55" s="1318">
        <f>BI54/BH54-1</f>
        <v/>
      </c>
      <c r="BJ55" s="1318">
        <f>BJ54/BI54-1</f>
        <v/>
      </c>
      <c r="BK55" s="1318">
        <f>BK54/BJ54-1</f>
        <v/>
      </c>
      <c r="BL55" s="1318">
        <f>BL54/BK54-1</f>
        <v/>
      </c>
      <c r="BM55" s="1318">
        <f>BM54/BL54-1</f>
        <v/>
      </c>
      <c r="BN55" s="1318">
        <f>BN54/BM54-1</f>
        <v/>
      </c>
      <c r="BO55" s="1318">
        <f>BO54/BN54-1</f>
        <v/>
      </c>
      <c r="BP55" s="1318">
        <f>BP54/BO54-1</f>
        <v/>
      </c>
      <c r="BQ55" s="1318">
        <f>BQ54/BP54-1</f>
        <v/>
      </c>
      <c r="BR55" s="1318">
        <f>BR54/BQ54-1</f>
        <v/>
      </c>
      <c r="BS55" s="1318">
        <f>BS54/BR54-1</f>
        <v/>
      </c>
      <c r="BT55" s="1318">
        <f>BT54/BS54-1</f>
        <v/>
      </c>
      <c r="BU55" s="1318">
        <f>BU54/BT54-1</f>
        <v/>
      </c>
      <c r="BV55" s="1318">
        <f>BV54/BU54-1</f>
        <v/>
      </c>
      <c r="BW55" s="1318">
        <f>BW54/BV54-1</f>
        <v/>
      </c>
      <c r="BX55" s="1318">
        <f>BX54/BW54-1</f>
        <v/>
      </c>
      <c r="BY55" s="1318">
        <f>BY54/BX54-1</f>
        <v/>
      </c>
      <c r="BZ55" s="1318">
        <f>BZ54/BY54-1</f>
        <v/>
      </c>
      <c r="CA55" s="1318">
        <f>CA54/BZ54-1</f>
        <v/>
      </c>
      <c r="CB55" s="1318">
        <f>CB54/CA54-1</f>
        <v/>
      </c>
      <c r="CC55" s="1318">
        <f>CC54/CB54-1</f>
        <v/>
      </c>
      <c r="CD55" s="1318">
        <f>CD54/CC54-1</f>
        <v/>
      </c>
      <c r="CE55" s="1318">
        <f>CE54/CD54-1</f>
        <v/>
      </c>
      <c r="CF55" s="1318">
        <f>CF54/CE54-1</f>
        <v/>
      </c>
      <c r="CG55" s="1318">
        <f>CG54/CF54-1</f>
        <v/>
      </c>
      <c r="CH55" s="1318">
        <f>CH54/CG54-1</f>
        <v/>
      </c>
      <c r="CI55" s="1318">
        <f>CI54/CH54-1</f>
        <v/>
      </c>
      <c r="CJ55" s="1318">
        <f>CJ54/CI54-1</f>
        <v/>
      </c>
      <c r="CK55" s="1318">
        <f>CK54/CJ54-1</f>
        <v/>
      </c>
      <c r="CL55" s="1318">
        <f>CL54/CK54-1</f>
        <v/>
      </c>
      <c r="CM55" s="1318">
        <f>CM54/CL54-1</f>
        <v/>
      </c>
      <c r="CN55" s="1318">
        <f>CN54/CM54-1</f>
        <v/>
      </c>
      <c r="CO55" s="1318">
        <f>CO54/CN54-1</f>
        <v/>
      </c>
      <c r="CP55" s="1318">
        <f>CP54/CO54-1</f>
        <v/>
      </c>
      <c r="CQ55" s="1318">
        <f>CQ54/CP54-1</f>
        <v/>
      </c>
      <c r="CR55" s="1318">
        <f>CR54/CQ54-1</f>
        <v/>
      </c>
      <c r="CS55" s="1318">
        <f>CS54/CR54-1</f>
        <v/>
      </c>
      <c r="CT55" s="1318">
        <f>CT54/CS54-1</f>
        <v/>
      </c>
      <c r="CU55" s="1318">
        <f>CU54/CT54-1</f>
        <v/>
      </c>
      <c r="CV55" s="1318">
        <f>CV54/CU54-1</f>
        <v/>
      </c>
      <c r="CW55" s="1318">
        <f>CW54/CV54-1</f>
        <v/>
      </c>
      <c r="CX55" s="1318">
        <f>CX54/CW54-1</f>
        <v/>
      </c>
      <c r="CY55" s="1318">
        <f>CY54/CX54-1</f>
        <v/>
      </c>
      <c r="CZ55" s="1318">
        <f>CZ54/CY54-1</f>
        <v/>
      </c>
      <c r="DA55" s="1318">
        <f>DA54/CZ54-1</f>
        <v/>
      </c>
      <c r="DB55" s="1318">
        <f>DB54/DA54-1</f>
        <v/>
      </c>
      <c r="DC55" s="1318">
        <f>DC54/DB54-1</f>
        <v/>
      </c>
      <c r="DD55" s="1318">
        <f>DD54/DC54-1</f>
        <v/>
      </c>
      <c r="DE55" s="1318">
        <f>DE54/DD54-1</f>
        <v/>
      </c>
      <c r="DF55" s="1318">
        <f>DF54/DE54-1</f>
        <v/>
      </c>
      <c r="DG55" s="1318">
        <f>DG54/DF54-1</f>
        <v/>
      </c>
      <c r="DH55" s="1318">
        <f>DH54/DG54-1</f>
        <v/>
      </c>
      <c r="DI55" s="1318">
        <f>DI54/DH54-1</f>
        <v/>
      </c>
      <c r="DJ55" s="1318">
        <f>DJ54/DI54-1</f>
        <v/>
      </c>
      <c r="DK55" s="1318">
        <f>DK54/DJ54-1</f>
        <v/>
      </c>
      <c r="DL55" s="1318">
        <f>DL54/DK54-1</f>
        <v/>
      </c>
      <c r="DM55" s="1318">
        <f>DM54/DL54-1</f>
        <v/>
      </c>
      <c r="DN55" s="1318">
        <f>DN54/DM54-1</f>
        <v/>
      </c>
      <c r="DO55" s="1318">
        <f>DO54/DN54-1</f>
        <v/>
      </c>
      <c r="DP55" s="1318">
        <f>DP54/DO54-1</f>
        <v/>
      </c>
      <c r="DQ55" s="1318">
        <f>DQ54/DP54-1</f>
        <v/>
      </c>
      <c r="DR55" s="1318">
        <f>DR54/DQ54-1</f>
        <v/>
      </c>
      <c r="DS55" s="1318">
        <f>DS54/DR54-1</f>
        <v/>
      </c>
      <c r="DT55" s="1318">
        <f>DT54/DS54-1</f>
        <v/>
      </c>
      <c r="DU55" s="1318">
        <f>DU54/DT54-1</f>
        <v/>
      </c>
      <c r="DV55" s="1318">
        <f>DV54/DU54-1</f>
        <v/>
      </c>
      <c r="DW55" s="1318">
        <f>DW54/DV54-1</f>
        <v/>
      </c>
      <c r="DX55" s="1318">
        <f>DX54/DW54-1</f>
        <v/>
      </c>
      <c r="DY55" s="1318">
        <f>DY54/DX54-1</f>
        <v/>
      </c>
      <c r="DZ55" s="1318">
        <f>DZ54/DY54-1</f>
        <v/>
      </c>
      <c r="EA55" s="1318">
        <f>EA54/DZ54-1</f>
        <v/>
      </c>
      <c r="EB55" s="1318">
        <f>EB54/EA54-1</f>
        <v/>
      </c>
      <c r="EC55" s="1318">
        <f>EC54/EB54-1</f>
        <v/>
      </c>
      <c r="ED55" s="1318">
        <f>ED54/EC54-1</f>
        <v/>
      </c>
      <c r="EE55" s="1318">
        <f>EE54/ED54-1</f>
        <v/>
      </c>
      <c r="EF55" s="1318">
        <f>EF54/EE54-1</f>
        <v/>
      </c>
      <c r="EG55" s="1318">
        <f>EG54/EF54-1</f>
        <v/>
      </c>
      <c r="EH55" s="1318">
        <f>EH54/EG54-1</f>
        <v/>
      </c>
      <c r="EI55" s="1318">
        <f>EI54/EH54-1</f>
        <v/>
      </c>
      <c r="EJ55" s="1318">
        <f>EJ54/EI54-1</f>
        <v/>
      </c>
      <c r="EK55" s="1318">
        <f>EK54/EJ54-1</f>
        <v/>
      </c>
      <c r="EL55" s="1318">
        <f>EL54/EK54-1</f>
        <v/>
      </c>
      <c r="EM55" s="1318">
        <f>EM54/EL54-1</f>
        <v/>
      </c>
      <c r="EN55" s="1318">
        <f>EN54/EM54-1</f>
        <v/>
      </c>
      <c r="EO55" s="1318">
        <f>EO54/EN54-1</f>
        <v/>
      </c>
      <c r="EP55" s="1318">
        <f>EP54/EO54-1</f>
        <v/>
      </c>
      <c r="EQ55" s="1318">
        <f>EQ54/EP54-1</f>
        <v/>
      </c>
      <c r="ER55" s="1318">
        <f>ER54/EQ54-1</f>
        <v/>
      </c>
      <c r="ES55" s="1318">
        <f>ES54/ER54-1</f>
        <v/>
      </c>
      <c r="ET55" s="1318">
        <f>ET54/ES54-1</f>
        <v/>
      </c>
      <c r="EU55" s="1318">
        <f>EU54/ET54-1</f>
        <v/>
      </c>
      <c r="EV55" s="1318">
        <f>EV54/EU54-1</f>
        <v/>
      </c>
      <c r="EW55" s="1318">
        <f>EW54/EV54-1</f>
        <v/>
      </c>
      <c r="EX55" s="1318">
        <f>EX54/EW54-1</f>
        <v/>
      </c>
      <c r="EY55" s="1318">
        <f>EY54/EX54-1</f>
        <v/>
      </c>
      <c r="EZ55" s="1318">
        <f>EZ54/EY54-1</f>
        <v/>
      </c>
      <c r="FA55" s="1318">
        <f>FA54/EZ54-1</f>
        <v/>
      </c>
      <c r="FB55" s="1318">
        <f>FB54/FA54-1</f>
        <v/>
      </c>
      <c r="FC55" s="1318">
        <f>FC54/FB54-1</f>
        <v/>
      </c>
      <c r="FD55" s="1318">
        <f>FD54/FC54-1</f>
        <v/>
      </c>
      <c r="FE55" s="1318">
        <f>FE54/FD54-1</f>
        <v/>
      </c>
      <c r="FF55" s="1318">
        <f>FF54/FE54-1</f>
        <v/>
      </c>
      <c r="FG55" s="1318">
        <f>FG54/FF54-1</f>
        <v/>
      </c>
      <c r="FH55" s="1318">
        <f>FH54/FG54-1</f>
        <v/>
      </c>
      <c r="FI55" s="1318">
        <f>FI54/FH54-1</f>
        <v/>
      </c>
      <c r="FJ55" s="1318">
        <f>FJ54/FI54-1</f>
        <v/>
      </c>
      <c r="FK55" s="1318">
        <f>FK54/FJ54-1</f>
        <v/>
      </c>
      <c r="FL55" s="1318">
        <f>FL54/FK54-1</f>
        <v/>
      </c>
      <c r="FM55" s="1318">
        <f>FM54/FL54-1</f>
        <v/>
      </c>
      <c r="FN55" s="1318">
        <f>FN54/FM54-1</f>
        <v/>
      </c>
      <c r="FO55" s="1318">
        <f>FO54/FN54-1</f>
        <v/>
      </c>
      <c r="FP55" s="1318">
        <f>FP54/FO54-1</f>
        <v/>
      </c>
      <c r="FQ55" s="1318">
        <f>FQ54/FP54-1</f>
        <v/>
      </c>
      <c r="FR55" s="1318">
        <f>FR54/FQ54-1</f>
        <v/>
      </c>
      <c r="FS55" s="1318">
        <f>FS54/FR54-1</f>
        <v/>
      </c>
      <c r="FT55" s="1318">
        <f>FT54/FS54-1</f>
        <v/>
      </c>
      <c r="FU55" s="1318">
        <f>FU54/FT54-1</f>
        <v/>
      </c>
      <c r="FV55" s="1318">
        <f>FV54/FU54-1</f>
        <v/>
      </c>
      <c r="FW55" s="1318">
        <f>FW54/FV54-1</f>
        <v/>
      </c>
      <c r="FX55" s="1318">
        <f>FX54/FW54-1</f>
        <v/>
      </c>
      <c r="FY55" s="1318">
        <f>FY54/FX54-1</f>
        <v/>
      </c>
      <c r="FZ55" s="1318">
        <f>FZ54/FY54-1</f>
        <v/>
      </c>
      <c r="GA55" s="1318">
        <f>GA54/FZ54-1</f>
        <v/>
      </c>
      <c r="GB55" s="1318">
        <f>GB54/GA54-1</f>
        <v/>
      </c>
      <c r="GC55" s="1318">
        <f>GC54/GB54-1</f>
        <v/>
      </c>
      <c r="GD55" s="1318">
        <f>GD54/GC54-1</f>
        <v/>
      </c>
      <c r="GE55" s="1318">
        <f>GE54/GD54-1</f>
        <v/>
      </c>
      <c r="GF55" s="1318">
        <f>GF54/GE54-1</f>
        <v/>
      </c>
      <c r="GG55" s="1318">
        <f>GG54/GF54-1</f>
        <v/>
      </c>
      <c r="GH55" s="1318">
        <f>GH54/GG54-1</f>
        <v/>
      </c>
      <c r="GI55" s="1318">
        <f>GI54/GH54-1</f>
        <v/>
      </c>
      <c r="GJ55" s="1318">
        <f>GJ54/GI54-1</f>
        <v/>
      </c>
      <c r="GK55" s="1318">
        <f>GK54/GJ54-1</f>
        <v/>
      </c>
      <c r="GL55" s="1318">
        <f>GL54/GK54-1</f>
        <v/>
      </c>
      <c r="GM55" s="1318">
        <f>GM54/GL54-1</f>
        <v/>
      </c>
      <c r="GN55" s="1318">
        <f>GN54/GM54-1</f>
        <v/>
      </c>
      <c r="GO55" s="1318">
        <f>GO54/GN54-1</f>
        <v/>
      </c>
      <c r="GP55" s="1318">
        <f>GP54/GO54-1</f>
        <v/>
      </c>
      <c r="GQ55" s="1318">
        <f>GQ54/GP54-1</f>
        <v/>
      </c>
      <c r="GR55" s="1318">
        <f>GR54/GQ54-1</f>
        <v/>
      </c>
      <c r="GS55" s="1318">
        <f>GS54/GR54-1</f>
        <v/>
      </c>
      <c r="GT55" s="1318">
        <f>GT54/GS54-1</f>
        <v/>
      </c>
      <c r="GU55" s="1318">
        <f>GU54/GT54-1</f>
        <v/>
      </c>
      <c r="GV55" s="1318">
        <f>GV54/GU54-1</f>
        <v/>
      </c>
      <c r="GW55" s="1318">
        <f>GW54/GV54-1</f>
        <v/>
      </c>
      <c r="GX55" s="1318">
        <f>GX54/GW54-1</f>
        <v/>
      </c>
      <c r="GY55" s="1318">
        <f>GY54/GX54-1</f>
        <v/>
      </c>
      <c r="GZ55" s="1318">
        <f>GZ54/GY54-1</f>
        <v/>
      </c>
      <c r="HA55" s="1318">
        <f>HA54/GZ54-1</f>
        <v/>
      </c>
      <c r="HB55" s="1318">
        <f>HB54/HA54-1</f>
        <v/>
      </c>
      <c r="HC55" s="1318">
        <f>HC54/HB54-1</f>
        <v/>
      </c>
      <c r="HD55" s="1318">
        <f>HD54/HC54-1</f>
        <v/>
      </c>
      <c r="HE55" s="1318">
        <f>HE54/HD54-1</f>
        <v/>
      </c>
      <c r="HF55" s="1318">
        <f>HF54/HE54-1</f>
        <v/>
      </c>
      <c r="HG55" s="1318">
        <f>HG54/HF54-1</f>
        <v/>
      </c>
      <c r="HH55" s="1318">
        <f>HH54/HG54-1</f>
        <v/>
      </c>
      <c r="HI55" s="1318">
        <f>HI54/HH54-1</f>
        <v/>
      </c>
      <c r="HJ55" s="1318">
        <f>HJ54/HI54-1</f>
        <v/>
      </c>
      <c r="HK55" s="1318">
        <f>HK54/HJ54-1</f>
        <v/>
      </c>
      <c r="HL55" s="1318">
        <f>HL54/HK54-1</f>
        <v/>
      </c>
      <c r="HM55" s="1318">
        <f>HM54/HL54-1</f>
        <v/>
      </c>
      <c r="HN55" s="1318">
        <f>HN54/HM54-1</f>
        <v/>
      </c>
      <c r="HO55" s="1318">
        <f>HO54/HN54-1</f>
        <v/>
      </c>
      <c r="HP55" s="1318">
        <f>HP54/HO54-1</f>
        <v/>
      </c>
      <c r="HQ55" s="1318">
        <f>HQ54/HP54-1</f>
        <v/>
      </c>
      <c r="HR55" s="1318">
        <f>HR54/HQ54-1</f>
        <v/>
      </c>
      <c r="HS55" s="1318">
        <f>HS54/HR54-1</f>
        <v/>
      </c>
      <c r="HT55" s="1318">
        <f>HT54/HS54-1</f>
        <v/>
      </c>
      <c r="HU55" s="1318">
        <f>HU54/HT54-1</f>
        <v/>
      </c>
      <c r="HV55" s="1318">
        <f>HV54/HU54-1</f>
        <v/>
      </c>
      <c r="HW55" s="1318">
        <f>HW54/HV54-1</f>
        <v/>
      </c>
      <c r="HX55" s="1318">
        <f>HX54/HW54-1</f>
        <v/>
      </c>
      <c r="HY55" s="1318">
        <f>HY54/HX54-1</f>
        <v/>
      </c>
      <c r="HZ55" s="1318">
        <f>HZ54/HY54-1</f>
        <v/>
      </c>
      <c r="IA55" s="1318">
        <f>IA54/HZ54-1</f>
        <v/>
      </c>
      <c r="IB55" s="1318">
        <f>IB54/IA54-1</f>
        <v/>
      </c>
      <c r="IC55" s="1318">
        <f>IC54/IB54-1</f>
        <v/>
      </c>
      <c r="ID55" s="1318">
        <f>ID54/IC54-1</f>
        <v/>
      </c>
      <c r="IE55" s="1318">
        <f>IE54/ID54-1</f>
        <v/>
      </c>
      <c r="IF55" s="1318">
        <f>IF54/IE54-1</f>
        <v/>
      </c>
      <c r="IG55" s="1318">
        <f>IG54/IF54-1</f>
        <v/>
      </c>
      <c r="IH55" s="1318">
        <f>IH54/IG54-1</f>
        <v/>
      </c>
      <c r="II55" s="1318">
        <f>II54/IH54-1</f>
        <v/>
      </c>
      <c r="IJ55" s="1318">
        <f>IJ54/II54-1</f>
        <v/>
      </c>
      <c r="IK55" s="1318">
        <f>IK54/IJ54-1</f>
        <v/>
      </c>
      <c r="IL55" s="1318">
        <f>IL54/IK54-1</f>
        <v/>
      </c>
      <c r="IM55" s="1318">
        <f>IM54/IL54-1</f>
        <v/>
      </c>
      <c r="IN55" s="1318">
        <f>IN54/IM54-1</f>
        <v/>
      </c>
      <c r="IO55" s="1318">
        <f>IO54/IN54-1</f>
        <v/>
      </c>
      <c r="IP55" s="1318">
        <f>IP54/IO54-1</f>
        <v/>
      </c>
      <c r="IQ55" s="1318">
        <f>IQ54/IP54-1</f>
        <v/>
      </c>
      <c r="IR55" s="1318">
        <f>IR54/IQ54-1</f>
        <v/>
      </c>
      <c r="IS55" s="1318">
        <f>IS54/IR54-1</f>
        <v/>
      </c>
      <c r="IT55" s="1318">
        <f>IT54/IS54-1</f>
        <v/>
      </c>
      <c r="IU55" s="1318">
        <f>IU54/IT54-1</f>
        <v/>
      </c>
      <c r="IV55" s="1318">
        <f>IV54/IU54-1</f>
        <v/>
      </c>
      <c r="IW55" s="1318">
        <f>IW54/IV54-1</f>
        <v/>
      </c>
      <c r="IX55" s="1318">
        <f>IX54/IW54-1</f>
        <v/>
      </c>
      <c r="IY55" s="1318">
        <f>IY54/IX54-1</f>
        <v/>
      </c>
      <c r="IZ55" s="1318">
        <f>IZ54/IY54-1</f>
        <v/>
      </c>
      <c r="JA55" s="1318">
        <f>JA54/IZ54-1</f>
        <v/>
      </c>
      <c r="JB55" s="1318">
        <f>JB54/JA54-1</f>
        <v/>
      </c>
      <c r="JC55" s="1318">
        <f>JC54/JB54-1</f>
        <v/>
      </c>
      <c r="JD55" s="1318">
        <f>JD54/JC54-1</f>
        <v/>
      </c>
      <c r="JE55" s="1318">
        <f>JE54/JD54-1</f>
        <v/>
      </c>
      <c r="JF55" s="1318">
        <f>JF54/JE54-1</f>
        <v/>
      </c>
      <c r="JG55" s="1318">
        <f>JG54/JF54-1</f>
        <v/>
      </c>
      <c r="JH55" s="1318">
        <f>JH54/JG54-1</f>
        <v/>
      </c>
      <c r="JI55" s="1318">
        <f>JI54/JH54-1</f>
        <v/>
      </c>
      <c r="JJ55" s="1318">
        <f>JJ54/JI54-1</f>
        <v/>
      </c>
      <c r="JK55" s="1318">
        <f>JK54/JJ54-1</f>
        <v/>
      </c>
      <c r="JL55" s="1318">
        <f>JL54/JK54-1</f>
        <v/>
      </c>
      <c r="JM55" s="1318">
        <f>JM54/JL54-1</f>
        <v/>
      </c>
      <c r="JN55" s="1318">
        <f>JN54/JM54-1</f>
        <v/>
      </c>
      <c r="JO55" s="1318">
        <f>JO54/JN54-1</f>
        <v/>
      </c>
      <c r="JP55" s="1318">
        <f>JP54/JO54-1</f>
        <v/>
      </c>
      <c r="JQ55" s="1318">
        <f>JQ54/JP54-1</f>
        <v/>
      </c>
      <c r="JR55" s="1318">
        <f>JR54/JQ54-1</f>
        <v/>
      </c>
      <c r="JS55" s="1318">
        <f>JS54/JR54-1</f>
        <v/>
      </c>
      <c r="JT55" s="1318">
        <f>JT54/JS54-1</f>
        <v/>
      </c>
      <c r="JU55" s="1318">
        <f>JU54/JT54-1</f>
        <v/>
      </c>
      <c r="JV55" s="1318">
        <f>JV54/JU54-1</f>
        <v/>
      </c>
      <c r="JW55" s="1318">
        <f>JW54/JV54-1</f>
        <v/>
      </c>
      <c r="JX55" s="1318">
        <f>JX54/JW54-1</f>
        <v/>
      </c>
      <c r="JY55" s="1318">
        <f>JY54/JX54-1</f>
        <v/>
      </c>
      <c r="JZ55" s="1318">
        <f>JZ54/JY54-1</f>
        <v/>
      </c>
      <c r="KA55" s="1318">
        <f>KA54/JZ54-1</f>
        <v/>
      </c>
      <c r="KB55" s="1318">
        <f>KB54/KA54-1</f>
        <v/>
      </c>
      <c r="KC55" s="1318">
        <f>KC54/KB54-1</f>
        <v/>
      </c>
      <c r="KD55" s="1318">
        <f>KD54/KC54-1</f>
        <v/>
      </c>
      <c r="KE55" s="1318">
        <f>KE54/KD54-1</f>
        <v/>
      </c>
      <c r="KF55" s="1318">
        <f>KF54/KE54-1</f>
        <v/>
      </c>
      <c r="KG55" s="1318">
        <f>KG54/KF54-1</f>
        <v/>
      </c>
      <c r="KH55" s="1318">
        <f>KH54/KG54-1</f>
        <v/>
      </c>
      <c r="KI55" s="1318">
        <f>KI54/KH54-1</f>
        <v/>
      </c>
      <c r="KJ55" s="1318">
        <f>KJ54/KI54-1</f>
        <v/>
      </c>
      <c r="KK55" s="1318">
        <f>KK54/KJ54-1</f>
        <v/>
      </c>
      <c r="KL55" s="1318">
        <f>KL54/KK54-1</f>
        <v/>
      </c>
      <c r="KM55" s="1318">
        <f>KM54/KL54-1</f>
        <v/>
      </c>
      <c r="KN55" s="1318">
        <f>KN54/KM54-1</f>
        <v/>
      </c>
      <c r="KO55" s="1318">
        <f>KO54/KN54-1</f>
        <v/>
      </c>
      <c r="KP55" s="1318">
        <f>KP54/KO54-1</f>
        <v/>
      </c>
      <c r="KQ55" s="1318">
        <f>KQ54/KP54-1</f>
        <v/>
      </c>
      <c r="KR55" s="1318">
        <f>KR54/KQ54-1</f>
        <v/>
      </c>
      <c r="KS55" s="1318">
        <f>KS54/KR54-1</f>
        <v/>
      </c>
      <c r="KT55" s="1318">
        <f>KT54/KS54-1</f>
        <v/>
      </c>
      <c r="KU55" s="1318">
        <f>KU54/KT54-1</f>
        <v/>
      </c>
      <c r="KV55" s="1318">
        <f>KV54/KU54-1</f>
        <v/>
      </c>
      <c r="KW55" s="1318">
        <f>KW54/KV54-1</f>
        <v/>
      </c>
      <c r="KX55" s="1318">
        <f>KX54/KW54-1</f>
        <v/>
      </c>
      <c r="KY55" s="1318">
        <f>KY54/KX54-1</f>
        <v/>
      </c>
      <c r="KZ55" s="1318">
        <f>KZ54/KY54-1</f>
        <v/>
      </c>
      <c r="LA55" s="1318">
        <f>LA54/KZ54-1</f>
        <v/>
      </c>
      <c r="LB55" s="1318" t="n"/>
      <c r="LC55" s="1318" t="n"/>
      <c r="LD55" s="1318" t="n"/>
      <c r="LE55" s="1318" t="n"/>
      <c r="LF55" s="1318" t="n"/>
      <c r="LG55" s="1318" t="n"/>
      <c r="LH55" s="1318" t="n"/>
      <c r="LI55" s="1318" t="n"/>
      <c r="LJ55" s="1318" t="n"/>
      <c r="LK55" s="1318" t="n"/>
      <c r="LL55" s="1318" t="n"/>
      <c r="LM55" s="1318" t="n"/>
      <c r="LN55" s="1318" t="n"/>
      <c r="LO55" s="1318" t="n"/>
      <c r="LP55" s="1318" t="n"/>
      <c r="LQ55" s="1318" t="n"/>
      <c r="LR55" s="1318" t="n"/>
      <c r="LS55" s="1318" t="n"/>
    </row>
    <row r="56">
      <c r="A56" s="885" t="inlineStr">
        <is>
          <t>YoY cg %</t>
        </is>
      </c>
      <c r="B56" s="1318" t="n"/>
      <c r="C56" s="1318" t="n"/>
      <c r="D56" s="1318" t="n"/>
      <c r="E56" s="1318" t="n"/>
      <c r="F56" s="1318" t="n"/>
      <c r="G56" s="1318" t="n"/>
      <c r="H56" s="1318" t="n"/>
      <c r="I56" s="1318" t="n"/>
      <c r="J56" s="1318" t="n"/>
      <c r="K56" s="1318" t="n"/>
      <c r="L56" s="1318" t="n"/>
      <c r="M56" s="1318" t="n"/>
      <c r="N56" s="1318">
        <f>N54/B54-1</f>
        <v/>
      </c>
      <c r="O56" s="1318">
        <f>O54/C54-1</f>
        <v/>
      </c>
      <c r="P56" s="1318">
        <f>P54/D54-1</f>
        <v/>
      </c>
      <c r="Q56" s="1318">
        <f>Q54/E54-1</f>
        <v/>
      </c>
      <c r="R56" s="1318">
        <f>R54/F54-1</f>
        <v/>
      </c>
      <c r="S56" s="1318">
        <f>S54/G54-1</f>
        <v/>
      </c>
      <c r="T56" s="1318">
        <f>T54/H54-1</f>
        <v/>
      </c>
      <c r="U56" s="1318">
        <f>U54/I54-1</f>
        <v/>
      </c>
      <c r="V56" s="1318">
        <f>V54/J54-1</f>
        <v/>
      </c>
      <c r="W56" s="1318">
        <f>W54/K54-1</f>
        <v/>
      </c>
      <c r="X56" s="1318">
        <f>X54/L54-1</f>
        <v/>
      </c>
      <c r="Y56" s="1318">
        <f>Y54/M54-1</f>
        <v/>
      </c>
      <c r="Z56" s="1318">
        <f>Z54/N54-1</f>
        <v/>
      </c>
      <c r="AA56" s="1318">
        <f>AA54/O54-1</f>
        <v/>
      </c>
      <c r="AB56" s="1318">
        <f>AB54/P54-1</f>
        <v/>
      </c>
      <c r="AC56" s="1318">
        <f>AC54/Q54-1</f>
        <v/>
      </c>
      <c r="AD56" s="1318">
        <f>AD54/R54-1</f>
        <v/>
      </c>
      <c r="AE56" s="1318">
        <f>AE54/S54-1</f>
        <v/>
      </c>
      <c r="AF56" s="1318">
        <f>AF54/T54-1</f>
        <v/>
      </c>
      <c r="AG56" s="1318">
        <f>AG54/U54-1</f>
        <v/>
      </c>
      <c r="AH56" s="1318">
        <f>AH54/V54-1</f>
        <v/>
      </c>
      <c r="AI56" s="1318">
        <f>AI54/W54-1</f>
        <v/>
      </c>
      <c r="AJ56" s="1318">
        <f>AJ54/X54-1</f>
        <v/>
      </c>
      <c r="AK56" s="1318">
        <f>AK54/Y54-1</f>
        <v/>
      </c>
      <c r="AL56" s="1318">
        <f>AL54/Z54-1</f>
        <v/>
      </c>
      <c r="AM56" s="1318">
        <f>AM54/AA54-1</f>
        <v/>
      </c>
      <c r="AN56" s="1318">
        <f>AN54/AB54-1</f>
        <v/>
      </c>
      <c r="AO56" s="1318">
        <f>AO54/AC54-1</f>
        <v/>
      </c>
      <c r="AP56" s="1318">
        <f>AP54/AD54-1</f>
        <v/>
      </c>
      <c r="AQ56" s="1318">
        <f>AQ54/AE54-1</f>
        <v/>
      </c>
      <c r="AR56" s="1318">
        <f>AR54/AF54-1</f>
        <v/>
      </c>
      <c r="AS56" s="1318">
        <f>AS54/AG54-1</f>
        <v/>
      </c>
      <c r="AT56" s="1318">
        <f>AT54/AH54-1</f>
        <v/>
      </c>
      <c r="AU56" s="1318">
        <f>AU54/AI54-1</f>
        <v/>
      </c>
      <c r="AV56" s="1318">
        <f>AV54/AJ54-1</f>
        <v/>
      </c>
      <c r="AW56" s="1318">
        <f>AW54/AK54-1</f>
        <v/>
      </c>
      <c r="AX56" s="1318">
        <f>AX54/AL54-1</f>
        <v/>
      </c>
      <c r="AY56" s="1318">
        <f>AY54/AM54-1</f>
        <v/>
      </c>
      <c r="AZ56" s="1318">
        <f>AZ54/AN54-1</f>
        <v/>
      </c>
      <c r="BA56" s="1318">
        <f>BA54/AO54-1</f>
        <v/>
      </c>
      <c r="BB56" s="1318">
        <f>BB54/AP54-1</f>
        <v/>
      </c>
      <c r="BC56" s="1318">
        <f>BC54/AQ54-1</f>
        <v/>
      </c>
      <c r="BD56" s="1318">
        <f>BD54/AR54-1</f>
        <v/>
      </c>
      <c r="BE56" s="1318">
        <f>BE54/AS54-1</f>
        <v/>
      </c>
      <c r="BF56" s="1318">
        <f>BF54/AT54-1</f>
        <v/>
      </c>
      <c r="BG56" s="1318">
        <f>BG54/AU54-1</f>
        <v/>
      </c>
      <c r="BH56" s="1318">
        <f>BH54/AV54-1</f>
        <v/>
      </c>
      <c r="BI56" s="1318">
        <f>BI54/AW54-1</f>
        <v/>
      </c>
      <c r="BJ56" s="1318">
        <f>BJ54/AX54-1</f>
        <v/>
      </c>
      <c r="BK56" s="1318">
        <f>BK54/AY54-1</f>
        <v/>
      </c>
      <c r="BL56" s="1318">
        <f>BL54/AZ54-1</f>
        <v/>
      </c>
      <c r="BM56" s="1318">
        <f>BM54/BA54-1</f>
        <v/>
      </c>
      <c r="BN56" s="1318">
        <f>BN54/BB54-1</f>
        <v/>
      </c>
      <c r="BO56" s="1318">
        <f>BO54/BC54-1</f>
        <v/>
      </c>
      <c r="BP56" s="1318">
        <f>BP54/BD54-1</f>
        <v/>
      </c>
      <c r="BQ56" s="1318">
        <f>BQ54/BE54-1</f>
        <v/>
      </c>
      <c r="BR56" s="1318">
        <f>BR54/BF54-1</f>
        <v/>
      </c>
      <c r="BS56" s="1318">
        <f>BS54/BG54-1</f>
        <v/>
      </c>
      <c r="BT56" s="1318">
        <f>BT54/BH54-1</f>
        <v/>
      </c>
      <c r="BU56" s="1318">
        <f>BU54/BI54-1</f>
        <v/>
      </c>
      <c r="BV56" s="1318">
        <f>BV54/BJ54-1</f>
        <v/>
      </c>
      <c r="BW56" s="1318">
        <f>BW54/BK54-1</f>
        <v/>
      </c>
      <c r="BX56" s="1318">
        <f>BX54/BL54-1</f>
        <v/>
      </c>
      <c r="BY56" s="1318">
        <f>BY54/BM54-1</f>
        <v/>
      </c>
      <c r="BZ56" s="1318">
        <f>BZ54/BN54-1</f>
        <v/>
      </c>
      <c r="CA56" s="1318">
        <f>CA54/BO54-1</f>
        <v/>
      </c>
      <c r="CB56" s="1318">
        <f>CB54/BP54-1</f>
        <v/>
      </c>
      <c r="CC56" s="1318">
        <f>CC54/BQ54-1</f>
        <v/>
      </c>
      <c r="CD56" s="1318">
        <f>CD54/BR54-1</f>
        <v/>
      </c>
      <c r="CE56" s="1318">
        <f>CE54/BS54-1</f>
        <v/>
      </c>
      <c r="CF56" s="1318">
        <f>CF54/BT54-1</f>
        <v/>
      </c>
      <c r="CG56" s="1318">
        <f>CG54/BU54-1</f>
        <v/>
      </c>
      <c r="CH56" s="1318">
        <f>CH54/BV54-1</f>
        <v/>
      </c>
      <c r="CI56" s="1318">
        <f>CI54/BW54-1</f>
        <v/>
      </c>
      <c r="CJ56" s="1318">
        <f>CJ54/BX54-1</f>
        <v/>
      </c>
      <c r="CK56" s="1318">
        <f>CK54/BY54-1</f>
        <v/>
      </c>
      <c r="CL56" s="1318">
        <f>CL54/BZ54-1</f>
        <v/>
      </c>
      <c r="CM56" s="1318">
        <f>CM54/CA54-1</f>
        <v/>
      </c>
      <c r="CN56" s="1318">
        <f>CN54/CB54-1</f>
        <v/>
      </c>
      <c r="CO56" s="1318">
        <f>CO54/CC54-1</f>
        <v/>
      </c>
      <c r="CP56" s="1318">
        <f>CP54/CD54-1</f>
        <v/>
      </c>
      <c r="CQ56" s="1318">
        <f>CQ54/CE54-1</f>
        <v/>
      </c>
      <c r="CR56" s="1318">
        <f>CR54/CF54-1</f>
        <v/>
      </c>
      <c r="CS56" s="1318">
        <f>CS54/CG54-1</f>
        <v/>
      </c>
      <c r="CT56" s="1318">
        <f>CT54/CH54-1</f>
        <v/>
      </c>
      <c r="CU56" s="1318">
        <f>CU54/CI54-1</f>
        <v/>
      </c>
      <c r="CV56" s="1318">
        <f>CV54/CJ54-1</f>
        <v/>
      </c>
      <c r="CW56" s="1318">
        <f>CW54/CK54-1</f>
        <v/>
      </c>
      <c r="CX56" s="1318">
        <f>CX54/CL54-1</f>
        <v/>
      </c>
      <c r="CY56" s="1318">
        <f>CY54/CM54-1</f>
        <v/>
      </c>
      <c r="CZ56" s="1318">
        <f>CZ54/CN54-1</f>
        <v/>
      </c>
      <c r="DA56" s="1318">
        <f>DA54/CO54-1</f>
        <v/>
      </c>
      <c r="DB56" s="1318">
        <f>DB54/CP54-1</f>
        <v/>
      </c>
      <c r="DC56" s="1318">
        <f>DC54/CQ54-1</f>
        <v/>
      </c>
      <c r="DD56" s="1318">
        <f>DD54/CR54-1</f>
        <v/>
      </c>
      <c r="DE56" s="1318">
        <f>DE54/CS54-1</f>
        <v/>
      </c>
      <c r="DF56" s="1318">
        <f>DF54/CT54-1</f>
        <v/>
      </c>
      <c r="DG56" s="1318">
        <f>DG54/CU54-1</f>
        <v/>
      </c>
      <c r="DH56" s="1318">
        <f>DH54/CV54-1</f>
        <v/>
      </c>
      <c r="DI56" s="1318">
        <f>DI54/CW54-1</f>
        <v/>
      </c>
      <c r="DJ56" s="1318">
        <f>DJ54/CX54-1</f>
        <v/>
      </c>
      <c r="DK56" s="1318">
        <f>DK54/CY54-1</f>
        <v/>
      </c>
      <c r="DL56" s="1318">
        <f>DL54/CZ54-1</f>
        <v/>
      </c>
      <c r="DM56" s="1318">
        <f>DM54/DA54-1</f>
        <v/>
      </c>
      <c r="DN56" s="1318">
        <f>DN54/DB54-1</f>
        <v/>
      </c>
      <c r="DO56" s="1318">
        <f>DO54/DC54-1</f>
        <v/>
      </c>
      <c r="DP56" s="1318">
        <f>DP54/DD54-1</f>
        <v/>
      </c>
      <c r="DQ56" s="1318">
        <f>DQ54/DE54-1</f>
        <v/>
      </c>
      <c r="DR56" s="1318">
        <f>DR54/DF54-1</f>
        <v/>
      </c>
      <c r="DS56" s="1318">
        <f>DS54/DG54-1</f>
        <v/>
      </c>
      <c r="DT56" s="1318">
        <f>DT54/DH54-1</f>
        <v/>
      </c>
      <c r="DU56" s="1318">
        <f>DU54/DI54-1</f>
        <v/>
      </c>
      <c r="DV56" s="1318">
        <f>DV54/DJ54-1</f>
        <v/>
      </c>
      <c r="DW56" s="1318">
        <f>DW54/DK54-1</f>
        <v/>
      </c>
      <c r="DX56" s="1318">
        <f>DX54/DL54-1</f>
        <v/>
      </c>
      <c r="DY56" s="1318">
        <f>DY54/DM54-1</f>
        <v/>
      </c>
      <c r="DZ56" s="1318">
        <f>DZ54/DN54-1</f>
        <v/>
      </c>
      <c r="EA56" s="1318">
        <f>EA54/DO54-1</f>
        <v/>
      </c>
      <c r="EB56" s="1318">
        <f>EB54/DP54-1</f>
        <v/>
      </c>
      <c r="EC56" s="1318">
        <f>EC54/DQ54-1</f>
        <v/>
      </c>
      <c r="ED56" s="1318">
        <f>ED54/DR54-1</f>
        <v/>
      </c>
      <c r="EE56" s="1318">
        <f>EE54/DS54-1</f>
        <v/>
      </c>
      <c r="EF56" s="1318">
        <f>EF54/DT54-1</f>
        <v/>
      </c>
      <c r="EG56" s="1318">
        <f>EG54/DU54-1</f>
        <v/>
      </c>
      <c r="EH56" s="1318">
        <f>EH54/DV54-1</f>
        <v/>
      </c>
      <c r="EI56" s="1318">
        <f>EI54/DW54-1</f>
        <v/>
      </c>
      <c r="EJ56" s="1318">
        <f>EJ54/DX54-1</f>
        <v/>
      </c>
      <c r="EK56" s="1318">
        <f>EK54/DY54-1</f>
        <v/>
      </c>
      <c r="EL56" s="1318">
        <f>EL54/DZ54-1</f>
        <v/>
      </c>
      <c r="EM56" s="1318">
        <f>EM54/EA54-1</f>
        <v/>
      </c>
      <c r="EN56" s="1318">
        <f>EN54/EB54-1</f>
        <v/>
      </c>
      <c r="EO56" s="1318">
        <f>EO54/EC54-1</f>
        <v/>
      </c>
      <c r="EP56" s="1318">
        <f>EP54/ED54-1</f>
        <v/>
      </c>
      <c r="EQ56" s="1318">
        <f>EQ54/EE54-1</f>
        <v/>
      </c>
      <c r="ER56" s="1318">
        <f>ER54/EF54-1</f>
        <v/>
      </c>
      <c r="ES56" s="1318">
        <f>ES54/EG54-1</f>
        <v/>
      </c>
      <c r="ET56" s="1318">
        <f>ET54/EH54-1</f>
        <v/>
      </c>
      <c r="EU56" s="1318">
        <f>EU54/EI54-1</f>
        <v/>
      </c>
      <c r="EV56" s="1318">
        <f>EV54/EJ54-1</f>
        <v/>
      </c>
      <c r="EW56" s="1318">
        <f>EW54/EK54-1</f>
        <v/>
      </c>
      <c r="EX56" s="1318">
        <f>EX54/EL54-1</f>
        <v/>
      </c>
      <c r="EY56" s="1318">
        <f>EY54/EM54-1</f>
        <v/>
      </c>
      <c r="EZ56" s="1318">
        <f>EZ54/EN54-1</f>
        <v/>
      </c>
      <c r="FA56" s="1318">
        <f>FA54/EO54-1</f>
        <v/>
      </c>
      <c r="FB56" s="1318">
        <f>FB54/EP54-1</f>
        <v/>
      </c>
      <c r="FC56" s="1318">
        <f>FC54/EQ54-1</f>
        <v/>
      </c>
      <c r="FD56" s="1318">
        <f>FD54/ER54-1</f>
        <v/>
      </c>
      <c r="FE56" s="1318">
        <f>FE54/ES54-1</f>
        <v/>
      </c>
      <c r="FF56" s="1318">
        <f>FF54/ET54-1</f>
        <v/>
      </c>
      <c r="FG56" s="1318">
        <f>FG54/EU54-1</f>
        <v/>
      </c>
      <c r="FH56" s="1318">
        <f>FH54/EV54-1</f>
        <v/>
      </c>
      <c r="FI56" s="1318">
        <f>FI54/EW54-1</f>
        <v/>
      </c>
      <c r="FJ56" s="1318">
        <f>FJ54/EX54-1</f>
        <v/>
      </c>
      <c r="FK56" s="1318">
        <f>FK54/EY54-1</f>
        <v/>
      </c>
      <c r="FL56" s="1318">
        <f>FL54/EZ54-1</f>
        <v/>
      </c>
      <c r="FM56" s="1318">
        <f>FM54/FA54-1</f>
        <v/>
      </c>
      <c r="FN56" s="1318">
        <f>FN54/FB54-1</f>
        <v/>
      </c>
      <c r="FO56" s="1318">
        <f>FO54/FC54-1</f>
        <v/>
      </c>
      <c r="FP56" s="1318">
        <f>FP54/FD54-1</f>
        <v/>
      </c>
      <c r="FQ56" s="1318">
        <f>FQ54/FE54-1</f>
        <v/>
      </c>
      <c r="FR56" s="1318">
        <f>FR54/FF54-1</f>
        <v/>
      </c>
      <c r="FS56" s="1318">
        <f>FS54/FG54-1</f>
        <v/>
      </c>
      <c r="FT56" s="1318">
        <f>FT54/FH54-1</f>
        <v/>
      </c>
      <c r="FU56" s="1318">
        <f>FU54/FI54-1</f>
        <v/>
      </c>
      <c r="FV56" s="1318">
        <f>FV54/FJ54-1</f>
        <v/>
      </c>
      <c r="FW56" s="1318">
        <f>FW54/FK54-1</f>
        <v/>
      </c>
      <c r="FX56" s="1318">
        <f>FX54/FL54-1</f>
        <v/>
      </c>
      <c r="FY56" s="1318">
        <f>FY54/FM54-1</f>
        <v/>
      </c>
      <c r="FZ56" s="1318">
        <f>FZ54/FN54-1</f>
        <v/>
      </c>
      <c r="GA56" s="1318">
        <f>GA54/FO54-1</f>
        <v/>
      </c>
      <c r="GB56" s="1318">
        <f>GB54/FP54-1</f>
        <v/>
      </c>
      <c r="GC56" s="1318">
        <f>GC54/FQ54-1</f>
        <v/>
      </c>
      <c r="GD56" s="1318">
        <f>GD54/FR54-1</f>
        <v/>
      </c>
      <c r="GE56" s="1318">
        <f>GE54/FS54-1</f>
        <v/>
      </c>
      <c r="GF56" s="1318">
        <f>GF54/FT54-1</f>
        <v/>
      </c>
      <c r="GG56" s="1318">
        <f>GG54/FU54-1</f>
        <v/>
      </c>
      <c r="GH56" s="1318">
        <f>GH54/FV54-1</f>
        <v/>
      </c>
      <c r="GI56" s="1318">
        <f>GI54/FW54-1</f>
        <v/>
      </c>
      <c r="GJ56" s="1318">
        <f>GJ54/FX54-1</f>
        <v/>
      </c>
      <c r="GK56" s="1318">
        <f>GK54/FY54-1</f>
        <v/>
      </c>
      <c r="GL56" s="1318">
        <f>GL54/FZ54-1</f>
        <v/>
      </c>
      <c r="GM56" s="1318">
        <f>GM54/GA54-1</f>
        <v/>
      </c>
      <c r="GN56" s="1318">
        <f>GN54/GB54-1</f>
        <v/>
      </c>
      <c r="GO56" s="1318">
        <f>GO54/GC54-1</f>
        <v/>
      </c>
      <c r="GP56" s="1318">
        <f>GP54/GD54-1</f>
        <v/>
      </c>
      <c r="GQ56" s="1318">
        <f>GQ54/GE54-1</f>
        <v/>
      </c>
      <c r="GR56" s="1318">
        <f>GR54/GF54-1</f>
        <v/>
      </c>
      <c r="GS56" s="1318">
        <f>GS54/GG54-1</f>
        <v/>
      </c>
      <c r="GT56" s="1318">
        <f>GT54/GH54-1</f>
        <v/>
      </c>
      <c r="GU56" s="1318">
        <f>GU54/GI54-1</f>
        <v/>
      </c>
      <c r="GV56" s="1318">
        <f>GV54/GJ54-1</f>
        <v/>
      </c>
      <c r="GW56" s="1318">
        <f>GW54/GK54-1</f>
        <v/>
      </c>
      <c r="GX56" s="1318">
        <f>GX54/GL54-1</f>
        <v/>
      </c>
      <c r="GY56" s="1318">
        <f>GY54/GM54-1</f>
        <v/>
      </c>
      <c r="GZ56" s="1318">
        <f>GZ54/GN54-1</f>
        <v/>
      </c>
      <c r="HA56" s="1318">
        <f>HA54/GO54-1</f>
        <v/>
      </c>
      <c r="HB56" s="1318">
        <f>HB54/GP54-1</f>
        <v/>
      </c>
      <c r="HC56" s="1318">
        <f>HC54/GQ54-1</f>
        <v/>
      </c>
      <c r="HD56" s="1318">
        <f>HD54/GR54-1</f>
        <v/>
      </c>
      <c r="HE56" s="1318">
        <f>HE54/GS54-1</f>
        <v/>
      </c>
      <c r="HF56" s="1318">
        <f>HF54/GT54-1</f>
        <v/>
      </c>
      <c r="HG56" s="1318">
        <f>HG54/GU54-1</f>
        <v/>
      </c>
      <c r="HH56" s="1318">
        <f>HH54/GV54-1</f>
        <v/>
      </c>
      <c r="HI56" s="1318">
        <f>HI54/GW54-1</f>
        <v/>
      </c>
      <c r="HJ56" s="1318">
        <f>HJ54/GX54-1</f>
        <v/>
      </c>
      <c r="HK56" s="1318">
        <f>HK54/GY54-1</f>
        <v/>
      </c>
      <c r="HL56" s="1318">
        <f>HL54/GZ54-1</f>
        <v/>
      </c>
      <c r="HM56" s="1318">
        <f>HM54/HA54-1</f>
        <v/>
      </c>
      <c r="HN56" s="1318">
        <f>HN54/HB54-1</f>
        <v/>
      </c>
      <c r="HO56" s="1318">
        <f>HO54/HC54-1</f>
        <v/>
      </c>
      <c r="HP56" s="1318">
        <f>HP54/HD54-1</f>
        <v/>
      </c>
      <c r="HQ56" s="1318">
        <f>HQ54/HE54-1</f>
        <v/>
      </c>
      <c r="HR56" s="1318">
        <f>HR54/HF54-1</f>
        <v/>
      </c>
      <c r="HS56" s="1318">
        <f>HS54/HG54-1</f>
        <v/>
      </c>
      <c r="HT56" s="1318">
        <f>HT54/HH54-1</f>
        <v/>
      </c>
      <c r="HU56" s="1318">
        <f>HU54/HI54-1</f>
        <v/>
      </c>
      <c r="HV56" s="1318">
        <f>HV54/HJ54-1</f>
        <v/>
      </c>
      <c r="HW56" s="1318">
        <f>HW54/HK54-1</f>
        <v/>
      </c>
      <c r="HX56" s="1318">
        <f>HX54/HL54-1</f>
        <v/>
      </c>
      <c r="HY56" s="1318">
        <f>HY54/HM54-1</f>
        <v/>
      </c>
      <c r="HZ56" s="1318">
        <f>HZ54/HN54-1</f>
        <v/>
      </c>
      <c r="IA56" s="1318">
        <f>IA54/HO54-1</f>
        <v/>
      </c>
      <c r="IB56" s="1318">
        <f>IB54/HP54-1</f>
        <v/>
      </c>
      <c r="IC56" s="1318">
        <f>IC54/HQ54-1</f>
        <v/>
      </c>
      <c r="ID56" s="1318">
        <f>ID54/HR54-1</f>
        <v/>
      </c>
      <c r="IE56" s="1318">
        <f>IE54/HS54-1</f>
        <v/>
      </c>
      <c r="IF56" s="1318">
        <f>IF54/HT54-1</f>
        <v/>
      </c>
      <c r="IG56" s="1318">
        <f>IG54/HU54-1</f>
        <v/>
      </c>
      <c r="IH56" s="1318">
        <f>IH54/HV54-1</f>
        <v/>
      </c>
      <c r="II56" s="1318">
        <f>II54/HW54-1</f>
        <v/>
      </c>
      <c r="IJ56" s="1318">
        <f>IJ54/HX54-1</f>
        <v/>
      </c>
      <c r="IK56" s="1318">
        <f>IK54/HY54-1</f>
        <v/>
      </c>
      <c r="IL56" s="1318">
        <f>IL54/HZ54-1</f>
        <v/>
      </c>
      <c r="IM56" s="1318">
        <f>IM54/IA54-1</f>
        <v/>
      </c>
      <c r="IN56" s="1318">
        <f>IN54/IB54-1</f>
        <v/>
      </c>
      <c r="IO56" s="1318">
        <f>IO54/IC54-1</f>
        <v/>
      </c>
      <c r="IP56" s="1318">
        <f>IP54/ID54-1</f>
        <v/>
      </c>
      <c r="IQ56" s="1318">
        <f>IQ54/IE54-1</f>
        <v/>
      </c>
      <c r="IR56" s="1318">
        <f>IR54/IF54-1</f>
        <v/>
      </c>
      <c r="IS56" s="1318">
        <f>IS54/IG54-1</f>
        <v/>
      </c>
      <c r="IT56" s="1318">
        <f>IT54/IH54-1</f>
        <v/>
      </c>
      <c r="IU56" s="1318">
        <f>IU54/II54-1</f>
        <v/>
      </c>
      <c r="IV56" s="1318">
        <f>IV54/IJ54-1</f>
        <v/>
      </c>
      <c r="IW56" s="1318">
        <f>IW54/IK54-1</f>
        <v/>
      </c>
      <c r="IX56" s="1318">
        <f>IX54/IL54-1</f>
        <v/>
      </c>
      <c r="IY56" s="1318">
        <f>IY54/IM54-1</f>
        <v/>
      </c>
      <c r="IZ56" s="1318">
        <f>IZ54/IN54-1</f>
        <v/>
      </c>
      <c r="JA56" s="1318">
        <f>JA54/IO54-1</f>
        <v/>
      </c>
      <c r="JB56" s="1318">
        <f>JB54/IP54-1</f>
        <v/>
      </c>
      <c r="JC56" s="1318">
        <f>JC54/IQ54-1</f>
        <v/>
      </c>
      <c r="JD56" s="1318">
        <f>JD54/IR54-1</f>
        <v/>
      </c>
      <c r="JE56" s="1318">
        <f>JE54/IS54-1</f>
        <v/>
      </c>
      <c r="JF56" s="1318">
        <f>JF54/IT54-1</f>
        <v/>
      </c>
      <c r="JG56" s="1318">
        <f>JG54/IU54-1</f>
        <v/>
      </c>
      <c r="JH56" s="1318">
        <f>JH54/IV54-1</f>
        <v/>
      </c>
      <c r="JI56" s="1318">
        <f>JI54/IW54-1</f>
        <v/>
      </c>
      <c r="JJ56" s="1318">
        <f>JJ54/IX54-1</f>
        <v/>
      </c>
      <c r="JK56" s="1318">
        <f>JK54/IY54-1</f>
        <v/>
      </c>
      <c r="JL56" s="1318">
        <f>JL54/IZ54-1</f>
        <v/>
      </c>
      <c r="JM56" s="1318">
        <f>JM54/JA54-1</f>
        <v/>
      </c>
      <c r="JN56" s="1318">
        <f>JN54/JB54-1</f>
        <v/>
      </c>
      <c r="JO56" s="1318">
        <f>JO54/JC54-1</f>
        <v/>
      </c>
      <c r="JP56" s="1318">
        <f>JP54/JD54-1</f>
        <v/>
      </c>
      <c r="JQ56" s="1318">
        <f>JQ54/JE54-1</f>
        <v/>
      </c>
      <c r="JR56" s="1318">
        <f>JR54/JF54-1</f>
        <v/>
      </c>
      <c r="JS56" s="1318">
        <f>JS54/JG54-1</f>
        <v/>
      </c>
      <c r="JT56" s="1318">
        <f>JT54/JH54-1</f>
        <v/>
      </c>
      <c r="JU56" s="1318">
        <f>JU54/JI54-1</f>
        <v/>
      </c>
      <c r="JV56" s="1318">
        <f>JV54/JJ54-1</f>
        <v/>
      </c>
      <c r="JW56" s="1318">
        <f>JW54/JK54-1</f>
        <v/>
      </c>
      <c r="JX56" s="1318">
        <f>JX54/JL54-1</f>
        <v/>
      </c>
      <c r="JY56" s="1318">
        <f>JY54/JM54-1</f>
        <v/>
      </c>
      <c r="JZ56" s="1318">
        <f>JZ54/JN54-1</f>
        <v/>
      </c>
      <c r="KA56" s="1318">
        <f>KA54/JO54-1</f>
        <v/>
      </c>
      <c r="KB56" s="1318">
        <f>KB54/JP54-1</f>
        <v/>
      </c>
      <c r="KC56" s="1318">
        <f>KC54/JQ54-1</f>
        <v/>
      </c>
      <c r="KD56" s="1318">
        <f>KD54/JR54-1</f>
        <v/>
      </c>
      <c r="KE56" s="1318">
        <f>KE54/JS54-1</f>
        <v/>
      </c>
      <c r="KF56" s="1318">
        <f>KF54/JT54-1</f>
        <v/>
      </c>
      <c r="KG56" s="1318">
        <f>KG54/JU54-1</f>
        <v/>
      </c>
      <c r="KH56" s="1318">
        <f>KH54/JV54-1</f>
        <v/>
      </c>
      <c r="KI56" s="1318">
        <f>KI54/JW54-1</f>
        <v/>
      </c>
      <c r="KJ56" s="1318">
        <f>KJ54/JX54-1</f>
        <v/>
      </c>
      <c r="KK56" s="1318">
        <f>KK54/JY54-1</f>
        <v/>
      </c>
      <c r="KL56" s="1318">
        <f>KL54/JZ54-1</f>
        <v/>
      </c>
      <c r="KM56" s="1318">
        <f>KM54/KA54-1</f>
        <v/>
      </c>
      <c r="KN56" s="1318">
        <f>KN54/KB54-1</f>
        <v/>
      </c>
      <c r="KO56" s="1318">
        <f>KO54/KC54-1</f>
        <v/>
      </c>
      <c r="KP56" s="1318">
        <f>KP54/KD54-1</f>
        <v/>
      </c>
      <c r="KQ56" s="1318">
        <f>KQ54/KE54-1</f>
        <v/>
      </c>
      <c r="KR56" s="1318">
        <f>KR54/KF54-1</f>
        <v/>
      </c>
      <c r="KS56" s="1318">
        <f>KS54/KG54-1</f>
        <v/>
      </c>
      <c r="KT56" s="1318">
        <f>KT54/KH54-1</f>
        <v/>
      </c>
      <c r="KU56" s="1318">
        <f>KU54/KI54-1</f>
        <v/>
      </c>
      <c r="KV56" s="1318">
        <f>KV54/KJ54-1</f>
        <v/>
      </c>
      <c r="KW56" s="1318">
        <f>KW54/KK54-1</f>
        <v/>
      </c>
      <c r="KX56" s="1318">
        <f>KX54/KL54-1</f>
        <v/>
      </c>
      <c r="KY56" s="1318">
        <f>KY54/KM54-1</f>
        <v/>
      </c>
      <c r="KZ56" s="1318">
        <f>KZ54/KN54-1</f>
        <v/>
      </c>
      <c r="LA56" s="1318">
        <f>LA54/KO54-1</f>
        <v/>
      </c>
      <c r="LB56" s="1318" t="n"/>
      <c r="LC56" s="1318" t="n"/>
      <c r="LD56" s="1318" t="n"/>
      <c r="LE56" s="1318" t="n"/>
      <c r="LF56" s="1318" t="n"/>
      <c r="LG56" s="1318" t="n"/>
      <c r="LH56" s="1318" t="n"/>
      <c r="LI56" s="1318" t="n"/>
      <c r="LJ56" s="1318" t="n"/>
      <c r="LK56" s="1318" t="n"/>
      <c r="LL56" s="1318" t="n"/>
      <c r="LM56" s="1318" t="n"/>
      <c r="LN56" s="1318" t="n"/>
      <c r="LO56" s="1318" t="n"/>
      <c r="LP56" s="1318" t="n"/>
      <c r="LQ56" s="1318" t="n"/>
      <c r="LR56" s="1318" t="n"/>
      <c r="LS56" s="1318" t="n"/>
    </row>
    <row r="57">
      <c r="A57" s="885" t="inlineStr">
        <is>
          <t>YTD cg %</t>
        </is>
      </c>
      <c r="B57" s="1318" t="n"/>
      <c r="C57" s="1318" t="n"/>
      <c r="D57" s="1318" t="n"/>
      <c r="E57" s="1318" t="n"/>
      <c r="F57" s="1318" t="n"/>
      <c r="G57" s="1318" t="n"/>
      <c r="H57" s="1318" t="n"/>
      <c r="I57" s="1318" t="n"/>
      <c r="J57" s="1318" t="n"/>
      <c r="K57" s="1318" t="n"/>
      <c r="L57" s="1318" t="n"/>
      <c r="M57" s="1318" t="n"/>
      <c r="N57" s="1318">
        <f>SUMIFS(54:54,$8:$8,"&gt;="&amp;DATE(YEAR(N$8),1,1),$8:$8,"&lt;="&amp;EOMONTH(N$8,0))/SUMIFS(54:54,$8:$8,"&gt;="&amp;DATE(YEAR(N$8)-1,1,1),$8:$8,"&lt;="&amp;EOMONTH(N$8,-12))-1</f>
        <v/>
      </c>
      <c r="O57" s="1318">
        <f>SUMIFS(54:54,$8:$8,"&gt;="&amp;DATE(YEAR(O$8),1,1),$8:$8,"&lt;="&amp;EOMONTH(O$8,0))/SUMIFS(54:54,$8:$8,"&gt;="&amp;DATE(YEAR(O$8)-1,1,1),$8:$8,"&lt;="&amp;EOMONTH(O$8,-12))-1</f>
        <v/>
      </c>
      <c r="P57" s="1318">
        <f>SUMIFS(54:54,$8:$8,"&gt;="&amp;DATE(YEAR(P$8),1,1),$8:$8,"&lt;="&amp;EOMONTH(P$8,0))/SUMIFS(54:54,$8:$8,"&gt;="&amp;DATE(YEAR(P$8)-1,1,1),$8:$8,"&lt;="&amp;EOMONTH(P$8,-12))-1</f>
        <v/>
      </c>
      <c r="Q57" s="1318">
        <f>SUMIFS(54:54,$8:$8,"&gt;="&amp;DATE(YEAR(Q$8),1,1),$8:$8,"&lt;="&amp;EOMONTH(Q$8,0))/SUMIFS(54:54,$8:$8,"&gt;="&amp;DATE(YEAR(Q$8)-1,1,1),$8:$8,"&lt;="&amp;EOMONTH(Q$8,-12))-1</f>
        <v/>
      </c>
      <c r="R57" s="1318">
        <f>SUMIFS(54:54,$8:$8,"&gt;="&amp;DATE(YEAR(R$8),1,1),$8:$8,"&lt;="&amp;EOMONTH(R$8,0))/SUMIFS(54:54,$8:$8,"&gt;="&amp;DATE(YEAR(R$8)-1,1,1),$8:$8,"&lt;="&amp;EOMONTH(R$8,-12))-1</f>
        <v/>
      </c>
      <c r="S57" s="1318">
        <f>SUMIFS(54:54,$8:$8,"&gt;="&amp;DATE(YEAR(S$8),1,1),$8:$8,"&lt;="&amp;EOMONTH(S$8,0))/SUMIFS(54:54,$8:$8,"&gt;="&amp;DATE(YEAR(S$8)-1,1,1),$8:$8,"&lt;="&amp;EOMONTH(S$8,-12))-1</f>
        <v/>
      </c>
      <c r="T57" s="1318">
        <f>SUMIFS(54:54,$8:$8,"&gt;="&amp;DATE(YEAR(T$8),1,1),$8:$8,"&lt;="&amp;EOMONTH(T$8,0))/SUMIFS(54:54,$8:$8,"&gt;="&amp;DATE(YEAR(T$8)-1,1,1),$8:$8,"&lt;="&amp;EOMONTH(T$8,-12))-1</f>
        <v/>
      </c>
      <c r="U57" s="1318">
        <f>SUMIFS(54:54,$8:$8,"&gt;="&amp;DATE(YEAR(U$8),1,1),$8:$8,"&lt;="&amp;EOMONTH(U$8,0))/SUMIFS(54:54,$8:$8,"&gt;="&amp;DATE(YEAR(U$8)-1,1,1),$8:$8,"&lt;="&amp;EOMONTH(U$8,-12))-1</f>
        <v/>
      </c>
      <c r="V57" s="1318">
        <f>SUMIFS(54:54,$8:$8,"&gt;="&amp;DATE(YEAR(V$8),1,1),$8:$8,"&lt;="&amp;EOMONTH(V$8,0))/SUMIFS(54:54,$8:$8,"&gt;="&amp;DATE(YEAR(V$8)-1,1,1),$8:$8,"&lt;="&amp;EOMONTH(V$8,-12))-1</f>
        <v/>
      </c>
      <c r="W57" s="1318">
        <f>SUMIFS(54:54,$8:$8,"&gt;="&amp;DATE(YEAR(W$8),1,1),$8:$8,"&lt;="&amp;EOMONTH(W$8,0))/SUMIFS(54:54,$8:$8,"&gt;="&amp;DATE(YEAR(W$8)-1,1,1),$8:$8,"&lt;="&amp;EOMONTH(W$8,-12))-1</f>
        <v/>
      </c>
      <c r="X57" s="1318">
        <f>SUMIFS(54:54,$8:$8,"&gt;="&amp;DATE(YEAR(X$8),1,1),$8:$8,"&lt;="&amp;EOMONTH(X$8,0))/SUMIFS(54:54,$8:$8,"&gt;="&amp;DATE(YEAR(X$8)-1,1,1),$8:$8,"&lt;="&amp;EOMONTH(X$8,-12))-1</f>
        <v/>
      </c>
      <c r="Y57" s="1318">
        <f>SUMIFS(54:54,$8:$8,"&gt;="&amp;DATE(YEAR(Y$8),1,1),$8:$8,"&lt;="&amp;EOMONTH(Y$8,0))/SUMIFS(54:54,$8:$8,"&gt;="&amp;DATE(YEAR(Y$8)-1,1,1),$8:$8,"&lt;="&amp;EOMONTH(Y$8,-12))-1</f>
        <v/>
      </c>
      <c r="Z57" s="1318">
        <f>SUMIFS(54:54,$8:$8,"&gt;="&amp;DATE(YEAR(Z$8),1,1),$8:$8,"&lt;="&amp;EOMONTH(Z$8,0))/SUMIFS(54:54,$8:$8,"&gt;="&amp;DATE(YEAR(Z$8)-1,1,1),$8:$8,"&lt;="&amp;EOMONTH(Z$8,-12))-1</f>
        <v/>
      </c>
      <c r="AA57" s="1318">
        <f>SUMIFS(54:54,$8:$8,"&gt;="&amp;DATE(YEAR(AA$8),1,1),$8:$8,"&lt;="&amp;EOMONTH(AA$8,0))/SUMIFS(54:54,$8:$8,"&gt;="&amp;DATE(YEAR(AA$8)-1,1,1),$8:$8,"&lt;="&amp;EOMONTH(AA$8,-12))-1</f>
        <v/>
      </c>
      <c r="AB57" s="1318">
        <f>SUMIFS(54:54,$8:$8,"&gt;="&amp;DATE(YEAR(AB$8),1,1),$8:$8,"&lt;="&amp;EOMONTH(AB$8,0))/SUMIFS(54:54,$8:$8,"&gt;="&amp;DATE(YEAR(AB$8)-1,1,1),$8:$8,"&lt;="&amp;EOMONTH(AB$8,-12))-1</f>
        <v/>
      </c>
      <c r="AC57" s="1318">
        <f>SUMIFS(54:54,$8:$8,"&gt;="&amp;DATE(YEAR(AC$8),1,1),$8:$8,"&lt;="&amp;EOMONTH(AC$8,0))/SUMIFS(54:54,$8:$8,"&gt;="&amp;DATE(YEAR(AC$8)-1,1,1),$8:$8,"&lt;="&amp;EOMONTH(AC$8,-12))-1</f>
        <v/>
      </c>
      <c r="AD57" s="1318">
        <f>SUMIFS(54:54,$8:$8,"&gt;="&amp;DATE(YEAR(AD$8),1,1),$8:$8,"&lt;="&amp;EOMONTH(AD$8,0))/SUMIFS(54:54,$8:$8,"&gt;="&amp;DATE(YEAR(AD$8)-1,1,1),$8:$8,"&lt;="&amp;EOMONTH(AD$8,-12))-1</f>
        <v/>
      </c>
      <c r="AE57" s="1318">
        <f>SUMIFS(54:54,$8:$8,"&gt;="&amp;DATE(YEAR(AE$8),1,1),$8:$8,"&lt;="&amp;EOMONTH(AE$8,0))/SUMIFS(54:54,$8:$8,"&gt;="&amp;DATE(YEAR(AE$8)-1,1,1),$8:$8,"&lt;="&amp;EOMONTH(AE$8,-12))-1</f>
        <v/>
      </c>
      <c r="AF57" s="1318">
        <f>SUMIFS(54:54,$8:$8,"&gt;="&amp;DATE(YEAR(AF$8),1,1),$8:$8,"&lt;="&amp;EOMONTH(AF$8,0))/SUMIFS(54:54,$8:$8,"&gt;="&amp;DATE(YEAR(AF$8)-1,1,1),$8:$8,"&lt;="&amp;EOMONTH(AF$8,-12))-1</f>
        <v/>
      </c>
      <c r="AG57" s="1318">
        <f>SUMIFS(54:54,$8:$8,"&gt;="&amp;DATE(YEAR(AG$8),1,1),$8:$8,"&lt;="&amp;EOMONTH(AG$8,0))/SUMIFS(54:54,$8:$8,"&gt;="&amp;DATE(YEAR(AG$8)-1,1,1),$8:$8,"&lt;="&amp;EOMONTH(AG$8,-12))-1</f>
        <v/>
      </c>
      <c r="AH57" s="1318">
        <f>SUMIFS(54:54,$8:$8,"&gt;="&amp;DATE(YEAR(AH$8),1,1),$8:$8,"&lt;="&amp;EOMONTH(AH$8,0))/SUMIFS(54:54,$8:$8,"&gt;="&amp;DATE(YEAR(AH$8)-1,1,1),$8:$8,"&lt;="&amp;EOMONTH(AH$8,-12))-1</f>
        <v/>
      </c>
      <c r="AI57" s="1318">
        <f>SUMIFS(54:54,$8:$8,"&gt;="&amp;DATE(YEAR(AI$8),1,1),$8:$8,"&lt;="&amp;EOMONTH(AI$8,0))/SUMIFS(54:54,$8:$8,"&gt;="&amp;DATE(YEAR(AI$8)-1,1,1),$8:$8,"&lt;="&amp;EOMONTH(AI$8,-12))-1</f>
        <v/>
      </c>
      <c r="AJ57" s="1318">
        <f>SUMIFS(54:54,$8:$8,"&gt;="&amp;DATE(YEAR(AJ$8),1,1),$8:$8,"&lt;="&amp;EOMONTH(AJ$8,0))/SUMIFS(54:54,$8:$8,"&gt;="&amp;DATE(YEAR(AJ$8)-1,1,1),$8:$8,"&lt;="&amp;EOMONTH(AJ$8,-12))-1</f>
        <v/>
      </c>
      <c r="AK57" s="1318">
        <f>SUMIFS(54:54,$8:$8,"&gt;="&amp;DATE(YEAR(AK$8),1,1),$8:$8,"&lt;="&amp;EOMONTH(AK$8,0))/SUMIFS(54:54,$8:$8,"&gt;="&amp;DATE(YEAR(AK$8)-1,1,1),$8:$8,"&lt;="&amp;EOMONTH(AK$8,-12))-1</f>
        <v/>
      </c>
      <c r="AL57" s="1318">
        <f>SUMIFS(54:54,$8:$8,"&gt;="&amp;DATE(YEAR(AL$8),1,1),$8:$8,"&lt;="&amp;EOMONTH(AL$8,0))/SUMIFS(54:54,$8:$8,"&gt;="&amp;DATE(YEAR(AL$8)-1,1,1),$8:$8,"&lt;="&amp;EOMONTH(AL$8,-12))-1</f>
        <v/>
      </c>
      <c r="AM57" s="1318">
        <f>SUMIFS(54:54,$8:$8,"&gt;="&amp;DATE(YEAR(AM$8),1,1),$8:$8,"&lt;="&amp;EOMONTH(AM$8,0))/SUMIFS(54:54,$8:$8,"&gt;="&amp;DATE(YEAR(AM$8)-1,1,1),$8:$8,"&lt;="&amp;EOMONTH(AM$8,-12))-1</f>
        <v/>
      </c>
      <c r="AN57" s="1318">
        <f>SUMIFS(54:54,$8:$8,"&gt;="&amp;DATE(YEAR(AN$8),1,1),$8:$8,"&lt;="&amp;EOMONTH(AN$8,0))/SUMIFS(54:54,$8:$8,"&gt;="&amp;DATE(YEAR(AN$8)-1,1,1),$8:$8,"&lt;="&amp;EOMONTH(AN$8,-12))-1</f>
        <v/>
      </c>
      <c r="AO57" s="1318">
        <f>SUMIFS(54:54,$8:$8,"&gt;="&amp;DATE(YEAR(AO$8),1,1),$8:$8,"&lt;="&amp;EOMONTH(AO$8,0))/SUMIFS(54:54,$8:$8,"&gt;="&amp;DATE(YEAR(AO$8)-1,1,1),$8:$8,"&lt;="&amp;EOMONTH(AO$8,-12))-1</f>
        <v/>
      </c>
      <c r="AP57" s="1318">
        <f>SUMIFS(54:54,$8:$8,"&gt;="&amp;DATE(YEAR(AP$8),1,1),$8:$8,"&lt;="&amp;EOMONTH(AP$8,0))/SUMIFS(54:54,$8:$8,"&gt;="&amp;DATE(YEAR(AP$8)-1,1,1),$8:$8,"&lt;="&amp;EOMONTH(AP$8,-12))-1</f>
        <v/>
      </c>
      <c r="AQ57" s="1318">
        <f>SUMIFS(54:54,$8:$8,"&gt;="&amp;DATE(YEAR(AQ$8),1,1),$8:$8,"&lt;="&amp;EOMONTH(AQ$8,0))/SUMIFS(54:54,$8:$8,"&gt;="&amp;DATE(YEAR(AQ$8)-1,1,1),$8:$8,"&lt;="&amp;EOMONTH(AQ$8,-12))-1</f>
        <v/>
      </c>
      <c r="AR57" s="1318">
        <f>SUMIFS(54:54,$8:$8,"&gt;="&amp;DATE(YEAR(AR$8),1,1),$8:$8,"&lt;="&amp;EOMONTH(AR$8,0))/SUMIFS(54:54,$8:$8,"&gt;="&amp;DATE(YEAR(AR$8)-1,1,1),$8:$8,"&lt;="&amp;EOMONTH(AR$8,-12))-1</f>
        <v/>
      </c>
      <c r="AS57" s="1318">
        <f>SUMIFS(54:54,$8:$8,"&gt;="&amp;DATE(YEAR(AS$8),1,1),$8:$8,"&lt;="&amp;EOMONTH(AS$8,0))/SUMIFS(54:54,$8:$8,"&gt;="&amp;DATE(YEAR(AS$8)-1,1,1),$8:$8,"&lt;="&amp;EOMONTH(AS$8,-12))-1</f>
        <v/>
      </c>
      <c r="AT57" s="1318">
        <f>SUMIFS(54:54,$8:$8,"&gt;="&amp;DATE(YEAR(AT$8),1,1),$8:$8,"&lt;="&amp;EOMONTH(AT$8,0))/SUMIFS(54:54,$8:$8,"&gt;="&amp;DATE(YEAR(AT$8)-1,1,1),$8:$8,"&lt;="&amp;EOMONTH(AT$8,-12))-1</f>
        <v/>
      </c>
      <c r="AU57" s="1318">
        <f>SUMIFS(54:54,$8:$8,"&gt;="&amp;DATE(YEAR(AU$8),1,1),$8:$8,"&lt;="&amp;EOMONTH(AU$8,0))/SUMIFS(54:54,$8:$8,"&gt;="&amp;DATE(YEAR(AU$8)-1,1,1),$8:$8,"&lt;="&amp;EOMONTH(AU$8,-12))-1</f>
        <v/>
      </c>
      <c r="AV57" s="1318">
        <f>SUMIFS(54:54,$8:$8,"&gt;="&amp;DATE(YEAR(AV$8),1,1),$8:$8,"&lt;="&amp;EOMONTH(AV$8,0))/SUMIFS(54:54,$8:$8,"&gt;="&amp;DATE(YEAR(AV$8)-1,1,1),$8:$8,"&lt;="&amp;EOMONTH(AV$8,-12))-1</f>
        <v/>
      </c>
      <c r="AW57" s="1318">
        <f>SUMIFS(54:54,$8:$8,"&gt;="&amp;DATE(YEAR(AW$8),1,1),$8:$8,"&lt;="&amp;EOMONTH(AW$8,0))/SUMIFS(54:54,$8:$8,"&gt;="&amp;DATE(YEAR(AW$8)-1,1,1),$8:$8,"&lt;="&amp;EOMONTH(AW$8,-12))-1</f>
        <v/>
      </c>
      <c r="AX57" s="1318">
        <f>SUMIFS(54:54,$8:$8,"&gt;="&amp;DATE(YEAR(AX$8),1,1),$8:$8,"&lt;="&amp;EOMONTH(AX$8,0))/SUMIFS(54:54,$8:$8,"&gt;="&amp;DATE(YEAR(AX$8)-1,1,1),$8:$8,"&lt;="&amp;EOMONTH(AX$8,-12))-1</f>
        <v/>
      </c>
      <c r="AY57" s="1318">
        <f>SUMIFS(54:54,$8:$8,"&gt;="&amp;DATE(YEAR(AY$8),1,1),$8:$8,"&lt;="&amp;EOMONTH(AY$8,0))/SUMIFS(54:54,$8:$8,"&gt;="&amp;DATE(YEAR(AY$8)-1,1,1),$8:$8,"&lt;="&amp;EOMONTH(AY$8,-12))-1</f>
        <v/>
      </c>
      <c r="AZ57" s="1318">
        <f>SUMIFS(54:54,$8:$8,"&gt;="&amp;DATE(YEAR(AZ$8),1,1),$8:$8,"&lt;="&amp;EOMONTH(AZ$8,0))/SUMIFS(54:54,$8:$8,"&gt;="&amp;DATE(YEAR(AZ$8)-1,1,1),$8:$8,"&lt;="&amp;EOMONTH(AZ$8,-12))-1</f>
        <v/>
      </c>
      <c r="BA57" s="1318">
        <f>SUMIFS(54:54,$8:$8,"&gt;="&amp;DATE(YEAR(BA$8),1,1),$8:$8,"&lt;="&amp;EOMONTH(BA$8,0))/SUMIFS(54:54,$8:$8,"&gt;="&amp;DATE(YEAR(BA$8)-1,1,1),$8:$8,"&lt;="&amp;EOMONTH(BA$8,-12))-1</f>
        <v/>
      </c>
      <c r="BB57" s="1318">
        <f>SUMIFS(54:54,$8:$8,"&gt;="&amp;DATE(YEAR(BB$8),1,1),$8:$8,"&lt;="&amp;EOMONTH(BB$8,0))/SUMIFS(54:54,$8:$8,"&gt;="&amp;DATE(YEAR(BB$8)-1,1,1),$8:$8,"&lt;="&amp;EOMONTH(BB$8,-12))-1</f>
        <v/>
      </c>
      <c r="BC57" s="1318">
        <f>SUMIFS(54:54,$8:$8,"&gt;="&amp;DATE(YEAR(BC$8),1,1),$8:$8,"&lt;="&amp;EOMONTH(BC$8,0))/SUMIFS(54:54,$8:$8,"&gt;="&amp;DATE(YEAR(BC$8)-1,1,1),$8:$8,"&lt;="&amp;EOMONTH(BC$8,-12))-1</f>
        <v/>
      </c>
      <c r="BD57" s="1318">
        <f>SUMIFS(54:54,$8:$8,"&gt;="&amp;DATE(YEAR(BD$8),1,1),$8:$8,"&lt;="&amp;EOMONTH(BD$8,0))/SUMIFS(54:54,$8:$8,"&gt;="&amp;DATE(YEAR(BD$8)-1,1,1),$8:$8,"&lt;="&amp;EOMONTH(BD$8,-12))-1</f>
        <v/>
      </c>
      <c r="BE57" s="1318">
        <f>SUMIFS(54:54,$8:$8,"&gt;="&amp;DATE(YEAR(BE$8),1,1),$8:$8,"&lt;="&amp;EOMONTH(BE$8,0))/SUMIFS(54:54,$8:$8,"&gt;="&amp;DATE(YEAR(BE$8)-1,1,1),$8:$8,"&lt;="&amp;EOMONTH(BE$8,-12))-1</f>
        <v/>
      </c>
      <c r="BF57" s="1318">
        <f>SUMIFS(54:54,$8:$8,"&gt;="&amp;DATE(YEAR(BF$8),1,1),$8:$8,"&lt;="&amp;EOMONTH(BF$8,0))/SUMIFS(54:54,$8:$8,"&gt;="&amp;DATE(YEAR(BF$8)-1,1,1),$8:$8,"&lt;="&amp;EOMONTH(BF$8,-12))-1</f>
        <v/>
      </c>
      <c r="BG57" s="1318">
        <f>SUMIFS(54:54,$8:$8,"&gt;="&amp;DATE(YEAR(BG$8),1,1),$8:$8,"&lt;="&amp;EOMONTH(BG$8,0))/SUMIFS(54:54,$8:$8,"&gt;="&amp;DATE(YEAR(BG$8)-1,1,1),$8:$8,"&lt;="&amp;EOMONTH(BG$8,-12))-1</f>
        <v/>
      </c>
      <c r="BH57" s="1318">
        <f>SUMIFS(54:54,$8:$8,"&gt;="&amp;DATE(YEAR(BH$8),1,1),$8:$8,"&lt;="&amp;EOMONTH(BH$8,0))/SUMIFS(54:54,$8:$8,"&gt;="&amp;DATE(YEAR(BH$8)-1,1,1),$8:$8,"&lt;="&amp;EOMONTH(BH$8,-12))-1</f>
        <v/>
      </c>
      <c r="BI57" s="1318">
        <f>SUMIFS(54:54,$8:$8,"&gt;="&amp;DATE(YEAR(BI$8),1,1),$8:$8,"&lt;="&amp;EOMONTH(BI$8,0))/SUMIFS(54:54,$8:$8,"&gt;="&amp;DATE(YEAR(BI$8)-1,1,1),$8:$8,"&lt;="&amp;EOMONTH(BI$8,-12))-1</f>
        <v/>
      </c>
      <c r="BJ57" s="1318">
        <f>SUMIFS(54:54,$8:$8,"&gt;="&amp;DATE(YEAR(BJ$8),1,1),$8:$8,"&lt;="&amp;EOMONTH(BJ$8,0))/SUMIFS(54:54,$8:$8,"&gt;="&amp;DATE(YEAR(BJ$8)-1,1,1),$8:$8,"&lt;="&amp;EOMONTH(BJ$8,-12))-1</f>
        <v/>
      </c>
      <c r="BK57" s="1318">
        <f>SUMIFS(54:54,$8:$8,"&gt;="&amp;DATE(YEAR(BK$8),1,1),$8:$8,"&lt;="&amp;EOMONTH(BK$8,0))/SUMIFS(54:54,$8:$8,"&gt;="&amp;DATE(YEAR(BK$8)-1,1,1),$8:$8,"&lt;="&amp;EOMONTH(BK$8,-12))-1</f>
        <v/>
      </c>
      <c r="BL57" s="1318">
        <f>SUMIFS(54:54,$8:$8,"&gt;="&amp;DATE(YEAR(BL$8),1,1),$8:$8,"&lt;="&amp;EOMONTH(BL$8,0))/SUMIFS(54:54,$8:$8,"&gt;="&amp;DATE(YEAR(BL$8)-1,1,1),$8:$8,"&lt;="&amp;EOMONTH(BL$8,-12))-1</f>
        <v/>
      </c>
      <c r="BM57" s="1318">
        <f>SUMIFS(54:54,$8:$8,"&gt;="&amp;DATE(YEAR(BM$8),1,1),$8:$8,"&lt;="&amp;EOMONTH(BM$8,0))/SUMIFS(54:54,$8:$8,"&gt;="&amp;DATE(YEAR(BM$8)-1,1,1),$8:$8,"&lt;="&amp;EOMONTH(BM$8,-12))-1</f>
        <v/>
      </c>
      <c r="BN57" s="1318">
        <f>SUMIFS(54:54,$8:$8,"&gt;="&amp;DATE(YEAR(BN$8),1,1),$8:$8,"&lt;="&amp;EOMONTH(BN$8,0))/SUMIFS(54:54,$8:$8,"&gt;="&amp;DATE(YEAR(BN$8)-1,1,1),$8:$8,"&lt;="&amp;EOMONTH(BN$8,-12))-1</f>
        <v/>
      </c>
      <c r="BO57" s="1318">
        <f>SUMIFS(54:54,$8:$8,"&gt;="&amp;DATE(YEAR(BO$8),1,1),$8:$8,"&lt;="&amp;EOMONTH(BO$8,0))/SUMIFS(54:54,$8:$8,"&gt;="&amp;DATE(YEAR(BO$8)-1,1,1),$8:$8,"&lt;="&amp;EOMONTH(BO$8,-12))-1</f>
        <v/>
      </c>
      <c r="BP57" s="1318">
        <f>SUMIFS(54:54,$8:$8,"&gt;="&amp;DATE(YEAR(BP$8),1,1),$8:$8,"&lt;="&amp;EOMONTH(BP$8,0))/SUMIFS(54:54,$8:$8,"&gt;="&amp;DATE(YEAR(BP$8)-1,1,1),$8:$8,"&lt;="&amp;EOMONTH(BP$8,-12))-1</f>
        <v/>
      </c>
      <c r="BQ57" s="1318">
        <f>SUMIFS(54:54,$8:$8,"&gt;="&amp;DATE(YEAR(BQ$8),1,1),$8:$8,"&lt;="&amp;EOMONTH(BQ$8,0))/SUMIFS(54:54,$8:$8,"&gt;="&amp;DATE(YEAR(BQ$8)-1,1,1),$8:$8,"&lt;="&amp;EOMONTH(BQ$8,-12))-1</f>
        <v/>
      </c>
      <c r="BR57" s="1318">
        <f>SUMIFS(54:54,$8:$8,"&gt;="&amp;DATE(YEAR(BR$8),1,1),$8:$8,"&lt;="&amp;EOMONTH(BR$8,0))/SUMIFS(54:54,$8:$8,"&gt;="&amp;DATE(YEAR(BR$8)-1,1,1),$8:$8,"&lt;="&amp;EOMONTH(BR$8,-12))-1</f>
        <v/>
      </c>
      <c r="BS57" s="1318">
        <f>SUMIFS(54:54,$8:$8,"&gt;="&amp;DATE(YEAR(BS$8),1,1),$8:$8,"&lt;="&amp;EOMONTH(BS$8,0))/SUMIFS(54:54,$8:$8,"&gt;="&amp;DATE(YEAR(BS$8)-1,1,1),$8:$8,"&lt;="&amp;EOMONTH(BS$8,-12))-1</f>
        <v/>
      </c>
      <c r="BT57" s="1318">
        <f>SUMIFS(54:54,$8:$8,"&gt;="&amp;DATE(YEAR(BT$8),1,1),$8:$8,"&lt;="&amp;EOMONTH(BT$8,0))/SUMIFS(54:54,$8:$8,"&gt;="&amp;DATE(YEAR(BT$8)-1,1,1),$8:$8,"&lt;="&amp;EOMONTH(BT$8,-12))-1</f>
        <v/>
      </c>
      <c r="BU57" s="1318">
        <f>SUMIFS(54:54,$8:$8,"&gt;="&amp;DATE(YEAR(BU$8),1,1),$8:$8,"&lt;="&amp;EOMONTH(BU$8,0))/SUMIFS(54:54,$8:$8,"&gt;="&amp;DATE(YEAR(BU$8)-1,1,1),$8:$8,"&lt;="&amp;EOMONTH(BU$8,-12))-1</f>
        <v/>
      </c>
      <c r="BV57" s="1318">
        <f>SUMIFS(54:54,$8:$8,"&gt;="&amp;DATE(YEAR(BV$8),1,1),$8:$8,"&lt;="&amp;EOMONTH(BV$8,0))/SUMIFS(54:54,$8:$8,"&gt;="&amp;DATE(YEAR(BV$8)-1,1,1),$8:$8,"&lt;="&amp;EOMONTH(BV$8,-12))-1</f>
        <v/>
      </c>
      <c r="BW57" s="1318">
        <f>SUMIFS(54:54,$8:$8,"&gt;="&amp;DATE(YEAR(BW$8),1,1),$8:$8,"&lt;="&amp;EOMONTH(BW$8,0))/SUMIFS(54:54,$8:$8,"&gt;="&amp;DATE(YEAR(BW$8)-1,1,1),$8:$8,"&lt;="&amp;EOMONTH(BW$8,-12))-1</f>
        <v/>
      </c>
      <c r="BX57" s="1318">
        <f>SUMIFS(54:54,$8:$8,"&gt;="&amp;DATE(YEAR(BX$8),1,1),$8:$8,"&lt;="&amp;EOMONTH(BX$8,0))/SUMIFS(54:54,$8:$8,"&gt;="&amp;DATE(YEAR(BX$8)-1,1,1),$8:$8,"&lt;="&amp;EOMONTH(BX$8,-12))-1</f>
        <v/>
      </c>
      <c r="BY57" s="1318">
        <f>SUMIFS(54:54,$8:$8,"&gt;="&amp;DATE(YEAR(BY$8),1,1),$8:$8,"&lt;="&amp;EOMONTH(BY$8,0))/SUMIFS(54:54,$8:$8,"&gt;="&amp;DATE(YEAR(BY$8)-1,1,1),$8:$8,"&lt;="&amp;EOMONTH(BY$8,-12))-1</f>
        <v/>
      </c>
      <c r="BZ57" s="1318">
        <f>SUMIFS(54:54,$8:$8,"&gt;="&amp;DATE(YEAR(BZ$8),1,1),$8:$8,"&lt;="&amp;EOMONTH(BZ$8,0))/SUMIFS(54:54,$8:$8,"&gt;="&amp;DATE(YEAR(BZ$8)-1,1,1),$8:$8,"&lt;="&amp;EOMONTH(BZ$8,-12))-1</f>
        <v/>
      </c>
      <c r="CA57" s="1318">
        <f>SUMIFS(54:54,$8:$8,"&gt;="&amp;DATE(YEAR(CA$8),1,1),$8:$8,"&lt;="&amp;EOMONTH(CA$8,0))/SUMIFS(54:54,$8:$8,"&gt;="&amp;DATE(YEAR(CA$8)-1,1,1),$8:$8,"&lt;="&amp;EOMONTH(CA$8,-12))-1</f>
        <v/>
      </c>
      <c r="CB57" s="1318">
        <f>SUMIFS(54:54,$8:$8,"&gt;="&amp;DATE(YEAR(CB$8),1,1),$8:$8,"&lt;="&amp;EOMONTH(CB$8,0))/SUMIFS(54:54,$8:$8,"&gt;="&amp;DATE(YEAR(CB$8)-1,1,1),$8:$8,"&lt;="&amp;EOMONTH(CB$8,-12))-1</f>
        <v/>
      </c>
      <c r="CC57" s="1318">
        <f>SUMIFS(54:54,$8:$8,"&gt;="&amp;DATE(YEAR(CC$8),1,1),$8:$8,"&lt;="&amp;EOMONTH(CC$8,0))/SUMIFS(54:54,$8:$8,"&gt;="&amp;DATE(YEAR(CC$8)-1,1,1),$8:$8,"&lt;="&amp;EOMONTH(CC$8,-12))-1</f>
        <v/>
      </c>
      <c r="CD57" s="1318">
        <f>SUMIFS(54:54,$8:$8,"&gt;="&amp;DATE(YEAR(CD$8),1,1),$8:$8,"&lt;="&amp;EOMONTH(CD$8,0))/SUMIFS(54:54,$8:$8,"&gt;="&amp;DATE(YEAR(CD$8)-1,1,1),$8:$8,"&lt;="&amp;EOMONTH(CD$8,-12))-1</f>
        <v/>
      </c>
      <c r="CE57" s="1318">
        <f>SUMIFS(54:54,$8:$8,"&gt;="&amp;DATE(YEAR(CE$8),1,1),$8:$8,"&lt;="&amp;EOMONTH(CE$8,0))/SUMIFS(54:54,$8:$8,"&gt;="&amp;DATE(YEAR(CE$8)-1,1,1),$8:$8,"&lt;="&amp;EOMONTH(CE$8,-12))-1</f>
        <v/>
      </c>
      <c r="CF57" s="1318">
        <f>SUMIFS(54:54,$8:$8,"&gt;="&amp;DATE(YEAR(CF$8),1,1),$8:$8,"&lt;="&amp;EOMONTH(CF$8,0))/SUMIFS(54:54,$8:$8,"&gt;="&amp;DATE(YEAR(CF$8)-1,1,1),$8:$8,"&lt;="&amp;EOMONTH(CF$8,-12))-1</f>
        <v/>
      </c>
      <c r="CG57" s="1318">
        <f>SUMIFS(54:54,$8:$8,"&gt;="&amp;DATE(YEAR(CG$8),1,1),$8:$8,"&lt;="&amp;EOMONTH(CG$8,0))/SUMIFS(54:54,$8:$8,"&gt;="&amp;DATE(YEAR(CG$8)-1,1,1),$8:$8,"&lt;="&amp;EOMONTH(CG$8,-12))-1</f>
        <v/>
      </c>
      <c r="CH57" s="1318">
        <f>SUMIFS(54:54,$8:$8,"&gt;="&amp;DATE(YEAR(CH$8),1,1),$8:$8,"&lt;="&amp;EOMONTH(CH$8,0))/SUMIFS(54:54,$8:$8,"&gt;="&amp;DATE(YEAR(CH$8)-1,1,1),$8:$8,"&lt;="&amp;EOMONTH(CH$8,-12))-1</f>
        <v/>
      </c>
      <c r="CI57" s="1318">
        <f>SUMIFS(54:54,$8:$8,"&gt;="&amp;DATE(YEAR(CI$8),1,1),$8:$8,"&lt;="&amp;EOMONTH(CI$8,0))/SUMIFS(54:54,$8:$8,"&gt;="&amp;DATE(YEAR(CI$8)-1,1,1),$8:$8,"&lt;="&amp;EOMONTH(CI$8,-12))-1</f>
        <v/>
      </c>
      <c r="CJ57" s="1318">
        <f>SUMIFS(54:54,$8:$8,"&gt;="&amp;DATE(YEAR(CJ$8),1,1),$8:$8,"&lt;="&amp;EOMONTH(CJ$8,0))/SUMIFS(54:54,$8:$8,"&gt;="&amp;DATE(YEAR(CJ$8)-1,1,1),$8:$8,"&lt;="&amp;EOMONTH(CJ$8,-12))-1</f>
        <v/>
      </c>
      <c r="CK57" s="1318">
        <f>SUMIFS(54:54,$8:$8,"&gt;="&amp;DATE(YEAR(CK$8),1,1),$8:$8,"&lt;="&amp;EOMONTH(CK$8,0))/SUMIFS(54:54,$8:$8,"&gt;="&amp;DATE(YEAR(CK$8)-1,1,1),$8:$8,"&lt;="&amp;EOMONTH(CK$8,-12))-1</f>
        <v/>
      </c>
      <c r="CL57" s="1318">
        <f>SUMIFS(54:54,$8:$8,"&gt;="&amp;DATE(YEAR(CL$8),1,1),$8:$8,"&lt;="&amp;EOMONTH(CL$8,0))/SUMIFS(54:54,$8:$8,"&gt;="&amp;DATE(YEAR(CL$8)-1,1,1),$8:$8,"&lt;="&amp;EOMONTH(CL$8,-12))-1</f>
        <v/>
      </c>
      <c r="CM57" s="1318">
        <f>SUMIFS(54:54,$8:$8,"&gt;="&amp;DATE(YEAR(CM$8),1,1),$8:$8,"&lt;="&amp;EOMONTH(CM$8,0))/SUMIFS(54:54,$8:$8,"&gt;="&amp;DATE(YEAR(CM$8)-1,1,1),$8:$8,"&lt;="&amp;EOMONTH(CM$8,-12))-1</f>
        <v/>
      </c>
      <c r="CN57" s="1318">
        <f>SUMIFS(54:54,$8:$8,"&gt;="&amp;DATE(YEAR(CN$8),1,1),$8:$8,"&lt;="&amp;EOMONTH(CN$8,0))/SUMIFS(54:54,$8:$8,"&gt;="&amp;DATE(YEAR(CN$8)-1,1,1),$8:$8,"&lt;="&amp;EOMONTH(CN$8,-12))-1</f>
        <v/>
      </c>
      <c r="CO57" s="1318">
        <f>SUMIFS(54:54,$8:$8,"&gt;="&amp;DATE(YEAR(CO$8),1,1),$8:$8,"&lt;="&amp;EOMONTH(CO$8,0))/SUMIFS(54:54,$8:$8,"&gt;="&amp;DATE(YEAR(CO$8)-1,1,1),$8:$8,"&lt;="&amp;EOMONTH(CO$8,-12))-1</f>
        <v/>
      </c>
      <c r="CP57" s="1318">
        <f>SUMIFS(54:54,$8:$8,"&gt;="&amp;DATE(YEAR(CP$8),1,1),$8:$8,"&lt;="&amp;EOMONTH(CP$8,0))/SUMIFS(54:54,$8:$8,"&gt;="&amp;DATE(YEAR(CP$8)-1,1,1),$8:$8,"&lt;="&amp;EOMONTH(CP$8,-12))-1</f>
        <v/>
      </c>
      <c r="CQ57" s="1318">
        <f>SUMIFS(54:54,$8:$8,"&gt;="&amp;DATE(YEAR(CQ$8),1,1),$8:$8,"&lt;="&amp;EOMONTH(CQ$8,0))/SUMIFS(54:54,$8:$8,"&gt;="&amp;DATE(YEAR(CQ$8)-1,1,1),$8:$8,"&lt;="&amp;EOMONTH(CQ$8,-12))-1</f>
        <v/>
      </c>
      <c r="CR57" s="1318">
        <f>SUMIFS(54:54,$8:$8,"&gt;="&amp;DATE(YEAR(CR$8),1,1),$8:$8,"&lt;="&amp;EOMONTH(CR$8,0))/SUMIFS(54:54,$8:$8,"&gt;="&amp;DATE(YEAR(CR$8)-1,1,1),$8:$8,"&lt;="&amp;EOMONTH(CR$8,-12))-1</f>
        <v/>
      </c>
      <c r="CS57" s="1318">
        <f>SUMIFS(54:54,$8:$8,"&gt;="&amp;DATE(YEAR(CS$8),1,1),$8:$8,"&lt;="&amp;EOMONTH(CS$8,0))/SUMIFS(54:54,$8:$8,"&gt;="&amp;DATE(YEAR(CS$8)-1,1,1),$8:$8,"&lt;="&amp;EOMONTH(CS$8,-12))-1</f>
        <v/>
      </c>
      <c r="CT57" s="1318">
        <f>SUMIFS(54:54,$8:$8,"&gt;="&amp;DATE(YEAR(CT$8),1,1),$8:$8,"&lt;="&amp;EOMONTH(CT$8,0))/SUMIFS(54:54,$8:$8,"&gt;="&amp;DATE(YEAR(CT$8)-1,1,1),$8:$8,"&lt;="&amp;EOMONTH(CT$8,-12))-1</f>
        <v/>
      </c>
      <c r="CU57" s="1318">
        <f>SUMIFS(54:54,$8:$8,"&gt;="&amp;DATE(YEAR(CU$8),1,1),$8:$8,"&lt;="&amp;EOMONTH(CU$8,0))/SUMIFS(54:54,$8:$8,"&gt;="&amp;DATE(YEAR(CU$8)-1,1,1),$8:$8,"&lt;="&amp;EOMONTH(CU$8,-12))-1</f>
        <v/>
      </c>
      <c r="CV57" s="1318">
        <f>SUMIFS(54:54,$8:$8,"&gt;="&amp;DATE(YEAR(CV$8),1,1),$8:$8,"&lt;="&amp;EOMONTH(CV$8,0))/SUMIFS(54:54,$8:$8,"&gt;="&amp;DATE(YEAR(CV$8)-1,1,1),$8:$8,"&lt;="&amp;EOMONTH(CV$8,-12))-1</f>
        <v/>
      </c>
      <c r="CW57" s="1318">
        <f>SUMIFS(54:54,$8:$8,"&gt;="&amp;DATE(YEAR(CW$8),1,1),$8:$8,"&lt;="&amp;EOMONTH(CW$8,0))/SUMIFS(54:54,$8:$8,"&gt;="&amp;DATE(YEAR(CW$8)-1,1,1),$8:$8,"&lt;="&amp;EOMONTH(CW$8,-12))-1</f>
        <v/>
      </c>
      <c r="CX57" s="1318">
        <f>SUMIFS(54:54,$8:$8,"&gt;="&amp;DATE(YEAR(CX$8),1,1),$8:$8,"&lt;="&amp;EOMONTH(CX$8,0))/SUMIFS(54:54,$8:$8,"&gt;="&amp;DATE(YEAR(CX$8)-1,1,1),$8:$8,"&lt;="&amp;EOMONTH(CX$8,-12))-1</f>
        <v/>
      </c>
      <c r="CY57" s="1318">
        <f>SUMIFS(54:54,$8:$8,"&gt;="&amp;DATE(YEAR(CY$8),1,1),$8:$8,"&lt;="&amp;EOMONTH(CY$8,0))/SUMIFS(54:54,$8:$8,"&gt;="&amp;DATE(YEAR(CY$8)-1,1,1),$8:$8,"&lt;="&amp;EOMONTH(CY$8,-12))-1</f>
        <v/>
      </c>
      <c r="CZ57" s="1318">
        <f>SUMIFS(54:54,$8:$8,"&gt;="&amp;DATE(YEAR(CZ$8),1,1),$8:$8,"&lt;="&amp;EOMONTH(CZ$8,0))/SUMIFS(54:54,$8:$8,"&gt;="&amp;DATE(YEAR(CZ$8)-1,1,1),$8:$8,"&lt;="&amp;EOMONTH(CZ$8,-12))-1</f>
        <v/>
      </c>
      <c r="DA57" s="1318">
        <f>SUMIFS(54:54,$8:$8,"&gt;="&amp;DATE(YEAR(DA$8),1,1),$8:$8,"&lt;="&amp;EOMONTH(DA$8,0))/SUMIFS(54:54,$8:$8,"&gt;="&amp;DATE(YEAR(DA$8)-1,1,1),$8:$8,"&lt;="&amp;EOMONTH(DA$8,-12))-1</f>
        <v/>
      </c>
      <c r="DB57" s="1318">
        <f>SUMIFS(54:54,$8:$8,"&gt;="&amp;DATE(YEAR(DB$8),1,1),$8:$8,"&lt;="&amp;EOMONTH(DB$8,0))/SUMIFS(54:54,$8:$8,"&gt;="&amp;DATE(YEAR(DB$8)-1,1,1),$8:$8,"&lt;="&amp;EOMONTH(DB$8,-12))-1</f>
        <v/>
      </c>
      <c r="DC57" s="1318">
        <f>SUMIFS(54:54,$8:$8,"&gt;="&amp;DATE(YEAR(DC$8),1,1),$8:$8,"&lt;="&amp;EOMONTH(DC$8,0))/SUMIFS(54:54,$8:$8,"&gt;="&amp;DATE(YEAR(DC$8)-1,1,1),$8:$8,"&lt;="&amp;EOMONTH(DC$8,-12))-1</f>
        <v/>
      </c>
      <c r="DD57" s="1318">
        <f>SUMIFS(54:54,$8:$8,"&gt;="&amp;DATE(YEAR(DD$8),1,1),$8:$8,"&lt;="&amp;EOMONTH(DD$8,0))/SUMIFS(54:54,$8:$8,"&gt;="&amp;DATE(YEAR(DD$8)-1,1,1),$8:$8,"&lt;="&amp;EOMONTH(DD$8,-12))-1</f>
        <v/>
      </c>
      <c r="DE57" s="1318">
        <f>SUMIFS(54:54,$8:$8,"&gt;="&amp;DATE(YEAR(DE$8),1,1),$8:$8,"&lt;="&amp;EOMONTH(DE$8,0))/SUMIFS(54:54,$8:$8,"&gt;="&amp;DATE(YEAR(DE$8)-1,1,1),$8:$8,"&lt;="&amp;EOMONTH(DE$8,-12))-1</f>
        <v/>
      </c>
      <c r="DF57" s="1318">
        <f>SUMIFS(54:54,$8:$8,"&gt;="&amp;DATE(YEAR(DF$8),1,1),$8:$8,"&lt;="&amp;EOMONTH(DF$8,0))/SUMIFS(54:54,$8:$8,"&gt;="&amp;DATE(YEAR(DF$8)-1,1,1),$8:$8,"&lt;="&amp;EOMONTH(DF$8,-12))-1</f>
        <v/>
      </c>
      <c r="DG57" s="1318">
        <f>SUMIFS(54:54,$8:$8,"&gt;="&amp;DATE(YEAR(DG$8),1,1),$8:$8,"&lt;="&amp;EOMONTH(DG$8,0))/SUMIFS(54:54,$8:$8,"&gt;="&amp;DATE(YEAR(DG$8)-1,1,1),$8:$8,"&lt;="&amp;EOMONTH(DG$8,-12))-1</f>
        <v/>
      </c>
      <c r="DH57" s="1318">
        <f>SUMIFS(54:54,$8:$8,"&gt;="&amp;DATE(YEAR(DH$8),1,1),$8:$8,"&lt;="&amp;EOMONTH(DH$8,0))/SUMIFS(54:54,$8:$8,"&gt;="&amp;DATE(YEAR(DH$8)-1,1,1),$8:$8,"&lt;="&amp;EOMONTH(DH$8,-12))-1</f>
        <v/>
      </c>
      <c r="DI57" s="1318">
        <f>SUMIFS(54:54,$8:$8,"&gt;="&amp;DATE(YEAR(DI$8),1,1),$8:$8,"&lt;="&amp;EOMONTH(DI$8,0))/SUMIFS(54:54,$8:$8,"&gt;="&amp;DATE(YEAR(DI$8)-1,1,1),$8:$8,"&lt;="&amp;EOMONTH(DI$8,-12))-1</f>
        <v/>
      </c>
      <c r="DJ57" s="1318">
        <f>SUMIFS(54:54,$8:$8,"&gt;="&amp;DATE(YEAR(DJ$8),1,1),$8:$8,"&lt;="&amp;EOMONTH(DJ$8,0))/SUMIFS(54:54,$8:$8,"&gt;="&amp;DATE(YEAR(DJ$8)-1,1,1),$8:$8,"&lt;="&amp;EOMONTH(DJ$8,-12))-1</f>
        <v/>
      </c>
      <c r="DK57" s="1318">
        <f>SUMIFS(54:54,$8:$8,"&gt;="&amp;DATE(YEAR(DK$8),1,1),$8:$8,"&lt;="&amp;EOMONTH(DK$8,0))/SUMIFS(54:54,$8:$8,"&gt;="&amp;DATE(YEAR(DK$8)-1,1,1),$8:$8,"&lt;="&amp;EOMONTH(DK$8,-12))-1</f>
        <v/>
      </c>
      <c r="DL57" s="1318">
        <f>SUMIFS(54:54,$8:$8,"&gt;="&amp;DATE(YEAR(DL$8),1,1),$8:$8,"&lt;="&amp;EOMONTH(DL$8,0))/SUMIFS(54:54,$8:$8,"&gt;="&amp;DATE(YEAR(DL$8)-1,1,1),$8:$8,"&lt;="&amp;EOMONTH(DL$8,-12))-1</f>
        <v/>
      </c>
      <c r="DM57" s="1318">
        <f>SUMIFS(54:54,$8:$8,"&gt;="&amp;DATE(YEAR(DM$8),1,1),$8:$8,"&lt;="&amp;EOMONTH(DM$8,0))/SUMIFS(54:54,$8:$8,"&gt;="&amp;DATE(YEAR(DM$8)-1,1,1),$8:$8,"&lt;="&amp;EOMONTH(DM$8,-12))-1</f>
        <v/>
      </c>
      <c r="DN57" s="1318">
        <f>SUMIFS(54:54,$8:$8,"&gt;="&amp;DATE(YEAR(DN$8),1,1),$8:$8,"&lt;="&amp;EOMONTH(DN$8,0))/SUMIFS(54:54,$8:$8,"&gt;="&amp;DATE(YEAR(DN$8)-1,1,1),$8:$8,"&lt;="&amp;EOMONTH(DN$8,-12))-1</f>
        <v/>
      </c>
      <c r="DO57" s="1318">
        <f>SUMIFS(54:54,$8:$8,"&gt;="&amp;DATE(YEAR(DO$8),1,1),$8:$8,"&lt;="&amp;EOMONTH(DO$8,0))/SUMIFS(54:54,$8:$8,"&gt;="&amp;DATE(YEAR(DO$8)-1,1,1),$8:$8,"&lt;="&amp;EOMONTH(DO$8,-12))-1</f>
        <v/>
      </c>
      <c r="DP57" s="1318">
        <f>SUMIFS(54:54,$8:$8,"&gt;="&amp;DATE(YEAR(DP$8),1,1),$8:$8,"&lt;="&amp;EOMONTH(DP$8,0))/SUMIFS(54:54,$8:$8,"&gt;="&amp;DATE(YEAR(DP$8)-1,1,1),$8:$8,"&lt;="&amp;EOMONTH(DP$8,-12))-1</f>
        <v/>
      </c>
      <c r="DQ57" s="1318">
        <f>SUMIFS(54:54,$8:$8,"&gt;="&amp;DATE(YEAR(DQ$8),1,1),$8:$8,"&lt;="&amp;EOMONTH(DQ$8,0))/SUMIFS(54:54,$8:$8,"&gt;="&amp;DATE(YEAR(DQ$8)-1,1,1),$8:$8,"&lt;="&amp;EOMONTH(DQ$8,-12))-1</f>
        <v/>
      </c>
      <c r="DR57" s="1318">
        <f>SUMIFS(54:54,$8:$8,"&gt;="&amp;DATE(YEAR(DR$8),1,1),$8:$8,"&lt;="&amp;EOMONTH(DR$8,0))/SUMIFS(54:54,$8:$8,"&gt;="&amp;DATE(YEAR(DR$8)-1,1,1),$8:$8,"&lt;="&amp;EOMONTH(DR$8,-12))-1</f>
        <v/>
      </c>
      <c r="DS57" s="1318">
        <f>SUMIFS(54:54,$8:$8,"&gt;="&amp;DATE(YEAR(DS$8),1,1),$8:$8,"&lt;="&amp;EOMONTH(DS$8,0))/SUMIFS(54:54,$8:$8,"&gt;="&amp;DATE(YEAR(DS$8)-1,1,1),$8:$8,"&lt;="&amp;EOMONTH(DS$8,-12))-1</f>
        <v/>
      </c>
      <c r="DT57" s="1318">
        <f>SUMIFS(54:54,$8:$8,"&gt;="&amp;DATE(YEAR(DT$8),1,1),$8:$8,"&lt;="&amp;EOMONTH(DT$8,0))/SUMIFS(54:54,$8:$8,"&gt;="&amp;DATE(YEAR(DT$8)-1,1,1),$8:$8,"&lt;="&amp;EOMONTH(DT$8,-12))-1</f>
        <v/>
      </c>
      <c r="DU57" s="1318">
        <f>SUMIFS(54:54,$8:$8,"&gt;="&amp;DATE(YEAR(DU$8),1,1),$8:$8,"&lt;="&amp;EOMONTH(DU$8,0))/SUMIFS(54:54,$8:$8,"&gt;="&amp;DATE(YEAR(DU$8)-1,1,1),$8:$8,"&lt;="&amp;EOMONTH(DU$8,-12))-1</f>
        <v/>
      </c>
      <c r="DV57" s="1318">
        <f>SUMIFS(54:54,$8:$8,"&gt;="&amp;DATE(YEAR(DV$8),1,1),$8:$8,"&lt;="&amp;EOMONTH(DV$8,0))/SUMIFS(54:54,$8:$8,"&gt;="&amp;DATE(YEAR(DV$8)-1,1,1),$8:$8,"&lt;="&amp;EOMONTH(DV$8,-12))-1</f>
        <v/>
      </c>
      <c r="DW57" s="1318">
        <f>SUMIFS(54:54,$8:$8,"&gt;="&amp;DATE(YEAR(DW$8),1,1),$8:$8,"&lt;="&amp;EOMONTH(DW$8,0))/SUMIFS(54:54,$8:$8,"&gt;="&amp;DATE(YEAR(DW$8)-1,1,1),$8:$8,"&lt;="&amp;EOMONTH(DW$8,-12))-1</f>
        <v/>
      </c>
      <c r="DX57" s="1318">
        <f>SUMIFS(54:54,$8:$8,"&gt;="&amp;DATE(YEAR(DX$8),1,1),$8:$8,"&lt;="&amp;EOMONTH(DX$8,0))/SUMIFS(54:54,$8:$8,"&gt;="&amp;DATE(YEAR(DX$8)-1,1,1),$8:$8,"&lt;="&amp;EOMONTH(DX$8,-12))-1</f>
        <v/>
      </c>
      <c r="DY57" s="1318">
        <f>SUMIFS(54:54,$8:$8,"&gt;="&amp;DATE(YEAR(DY$8),1,1),$8:$8,"&lt;="&amp;EOMONTH(DY$8,0))/SUMIFS(54:54,$8:$8,"&gt;="&amp;DATE(YEAR(DY$8)-1,1,1),$8:$8,"&lt;="&amp;EOMONTH(DY$8,-12))-1</f>
        <v/>
      </c>
      <c r="DZ57" s="1318">
        <f>SUMIFS(54:54,$8:$8,"&gt;="&amp;DATE(YEAR(DZ$8),1,1),$8:$8,"&lt;="&amp;EOMONTH(DZ$8,0))/SUMIFS(54:54,$8:$8,"&gt;="&amp;DATE(YEAR(DZ$8)-1,1,1),$8:$8,"&lt;="&amp;EOMONTH(DZ$8,-12))-1</f>
        <v/>
      </c>
      <c r="EA57" s="1318">
        <f>SUMIFS(54:54,$8:$8,"&gt;="&amp;DATE(YEAR(EA$8),1,1),$8:$8,"&lt;="&amp;EOMONTH(EA$8,0))/SUMIFS(54:54,$8:$8,"&gt;="&amp;DATE(YEAR(EA$8)-1,1,1),$8:$8,"&lt;="&amp;EOMONTH(EA$8,-12))-1</f>
        <v/>
      </c>
      <c r="EB57" s="1318">
        <f>SUMIFS(54:54,$8:$8,"&gt;="&amp;DATE(YEAR(EB$8),1,1),$8:$8,"&lt;="&amp;EOMONTH(EB$8,0))/SUMIFS(54:54,$8:$8,"&gt;="&amp;DATE(YEAR(EB$8)-1,1,1),$8:$8,"&lt;="&amp;EOMONTH(EB$8,-12))-1</f>
        <v/>
      </c>
      <c r="EC57" s="1318">
        <f>SUMIFS(54:54,$8:$8,"&gt;="&amp;DATE(YEAR(EC$8),1,1),$8:$8,"&lt;="&amp;EOMONTH(EC$8,0))/SUMIFS(54:54,$8:$8,"&gt;="&amp;DATE(YEAR(EC$8)-1,1,1),$8:$8,"&lt;="&amp;EOMONTH(EC$8,-12))-1</f>
        <v/>
      </c>
      <c r="ED57" s="1318">
        <f>SUMIFS(54:54,$8:$8,"&gt;="&amp;DATE(YEAR(ED$8),1,1),$8:$8,"&lt;="&amp;EOMONTH(ED$8,0))/SUMIFS(54:54,$8:$8,"&gt;="&amp;DATE(YEAR(ED$8)-1,1,1),$8:$8,"&lt;="&amp;EOMONTH(ED$8,-12))-1</f>
        <v/>
      </c>
      <c r="EE57" s="1318">
        <f>SUMIFS(54:54,$8:$8,"&gt;="&amp;DATE(YEAR(EE$8),1,1),$8:$8,"&lt;="&amp;EOMONTH(EE$8,0))/SUMIFS(54:54,$8:$8,"&gt;="&amp;DATE(YEAR(EE$8)-1,1,1),$8:$8,"&lt;="&amp;EOMONTH(EE$8,-12))-1</f>
        <v/>
      </c>
      <c r="EF57" s="1318">
        <f>SUMIFS(54:54,$8:$8,"&gt;="&amp;DATE(YEAR(EF$8),1,1),$8:$8,"&lt;="&amp;EOMONTH(EF$8,0))/SUMIFS(54:54,$8:$8,"&gt;="&amp;DATE(YEAR(EF$8)-1,1,1),$8:$8,"&lt;="&amp;EOMONTH(EF$8,-12))-1</f>
        <v/>
      </c>
      <c r="EG57" s="1318">
        <f>SUMIFS(54:54,$8:$8,"&gt;="&amp;DATE(YEAR(EG$8),1,1),$8:$8,"&lt;="&amp;EOMONTH(EG$8,0))/SUMIFS(54:54,$8:$8,"&gt;="&amp;DATE(YEAR(EG$8)-1,1,1),$8:$8,"&lt;="&amp;EOMONTH(EG$8,-12))-1</f>
        <v/>
      </c>
      <c r="EH57" s="1318">
        <f>SUMIFS(54:54,$8:$8,"&gt;="&amp;DATE(YEAR(EH$8),1,1),$8:$8,"&lt;="&amp;EOMONTH(EH$8,0))/SUMIFS(54:54,$8:$8,"&gt;="&amp;DATE(YEAR(EH$8)-1,1,1),$8:$8,"&lt;="&amp;EOMONTH(EH$8,-12))-1</f>
        <v/>
      </c>
      <c r="EI57" s="1318">
        <f>SUMIFS(54:54,$8:$8,"&gt;="&amp;DATE(YEAR(EI$8),1,1),$8:$8,"&lt;="&amp;EOMONTH(EI$8,0))/SUMIFS(54:54,$8:$8,"&gt;="&amp;DATE(YEAR(EI$8)-1,1,1),$8:$8,"&lt;="&amp;EOMONTH(EI$8,-12))-1</f>
        <v/>
      </c>
      <c r="EJ57" s="1318">
        <f>SUMIFS(54:54,$8:$8,"&gt;="&amp;DATE(YEAR(EJ$8),1,1),$8:$8,"&lt;="&amp;EOMONTH(EJ$8,0))/SUMIFS(54:54,$8:$8,"&gt;="&amp;DATE(YEAR(EJ$8)-1,1,1),$8:$8,"&lt;="&amp;EOMONTH(EJ$8,-12))-1</f>
        <v/>
      </c>
      <c r="EK57" s="1318">
        <f>SUMIFS(54:54,$8:$8,"&gt;="&amp;DATE(YEAR(EK$8),1,1),$8:$8,"&lt;="&amp;EOMONTH(EK$8,0))/SUMIFS(54:54,$8:$8,"&gt;="&amp;DATE(YEAR(EK$8)-1,1,1),$8:$8,"&lt;="&amp;EOMONTH(EK$8,-12))-1</f>
        <v/>
      </c>
      <c r="EL57" s="1318">
        <f>SUMIFS(54:54,$8:$8,"&gt;="&amp;DATE(YEAR(EL$8),1,1),$8:$8,"&lt;="&amp;EOMONTH(EL$8,0))/SUMIFS(54:54,$8:$8,"&gt;="&amp;DATE(YEAR(EL$8)-1,1,1),$8:$8,"&lt;="&amp;EOMONTH(EL$8,-12))-1</f>
        <v/>
      </c>
      <c r="EM57" s="1318">
        <f>SUMIFS(54:54,$8:$8,"&gt;="&amp;DATE(YEAR(EM$8),1,1),$8:$8,"&lt;="&amp;EOMONTH(EM$8,0))/SUMIFS(54:54,$8:$8,"&gt;="&amp;DATE(YEAR(EM$8)-1,1,1),$8:$8,"&lt;="&amp;EOMONTH(EM$8,-12))-1</f>
        <v/>
      </c>
      <c r="EN57" s="1318">
        <f>SUMIFS(54:54,$8:$8,"&gt;="&amp;DATE(YEAR(EN$8),1,1),$8:$8,"&lt;="&amp;EOMONTH(EN$8,0))/SUMIFS(54:54,$8:$8,"&gt;="&amp;DATE(YEAR(EN$8)-1,1,1),$8:$8,"&lt;="&amp;EOMONTH(EN$8,-12))-1</f>
        <v/>
      </c>
      <c r="EO57" s="1318">
        <f>SUMIFS(54:54,$8:$8,"&gt;="&amp;DATE(YEAR(EO$8),1,1),$8:$8,"&lt;="&amp;EOMONTH(EO$8,0))/SUMIFS(54:54,$8:$8,"&gt;="&amp;DATE(YEAR(EO$8)-1,1,1),$8:$8,"&lt;="&amp;EOMONTH(EO$8,-12))-1</f>
        <v/>
      </c>
      <c r="EP57" s="1318">
        <f>SUMIFS(54:54,$8:$8,"&gt;="&amp;DATE(YEAR(EP$8),1,1),$8:$8,"&lt;="&amp;EOMONTH(EP$8,0))/SUMIFS(54:54,$8:$8,"&gt;="&amp;DATE(YEAR(EP$8)-1,1,1),$8:$8,"&lt;="&amp;EOMONTH(EP$8,-12))-1</f>
        <v/>
      </c>
      <c r="EQ57" s="1318">
        <f>SUMIFS(54:54,$8:$8,"&gt;="&amp;DATE(YEAR(EQ$8),1,1),$8:$8,"&lt;="&amp;EOMONTH(EQ$8,0))/SUMIFS(54:54,$8:$8,"&gt;="&amp;DATE(YEAR(EQ$8)-1,1,1),$8:$8,"&lt;="&amp;EOMONTH(EQ$8,-12))-1</f>
        <v/>
      </c>
      <c r="ER57" s="1318">
        <f>SUMIFS(54:54,$8:$8,"&gt;="&amp;DATE(YEAR(ER$8),1,1),$8:$8,"&lt;="&amp;EOMONTH(ER$8,0))/SUMIFS(54:54,$8:$8,"&gt;="&amp;DATE(YEAR(ER$8)-1,1,1),$8:$8,"&lt;="&amp;EOMONTH(ER$8,-12))-1</f>
        <v/>
      </c>
      <c r="ES57" s="1318">
        <f>SUMIFS(54:54,$8:$8,"&gt;="&amp;DATE(YEAR(ES$8),1,1),$8:$8,"&lt;="&amp;EOMONTH(ES$8,0))/SUMIFS(54:54,$8:$8,"&gt;="&amp;DATE(YEAR(ES$8)-1,1,1),$8:$8,"&lt;="&amp;EOMONTH(ES$8,-12))-1</f>
        <v/>
      </c>
      <c r="ET57" s="1318">
        <f>SUMIFS(54:54,$8:$8,"&gt;="&amp;DATE(YEAR(ET$8),1,1),$8:$8,"&lt;="&amp;EOMONTH(ET$8,0))/SUMIFS(54:54,$8:$8,"&gt;="&amp;DATE(YEAR(ET$8)-1,1,1),$8:$8,"&lt;="&amp;EOMONTH(ET$8,-12))-1</f>
        <v/>
      </c>
      <c r="EU57" s="1318">
        <f>SUMIFS(54:54,$8:$8,"&gt;="&amp;DATE(YEAR(EU$8),1,1),$8:$8,"&lt;="&amp;EOMONTH(EU$8,0))/SUMIFS(54:54,$8:$8,"&gt;="&amp;DATE(YEAR(EU$8)-1,1,1),$8:$8,"&lt;="&amp;EOMONTH(EU$8,-12))-1</f>
        <v/>
      </c>
      <c r="EV57" s="1318">
        <f>SUMIFS(54:54,$8:$8,"&gt;="&amp;DATE(YEAR(EV$8),1,1),$8:$8,"&lt;="&amp;EOMONTH(EV$8,0))/SUMIFS(54:54,$8:$8,"&gt;="&amp;DATE(YEAR(EV$8)-1,1,1),$8:$8,"&lt;="&amp;EOMONTH(EV$8,-12))-1</f>
        <v/>
      </c>
      <c r="EW57" s="1318">
        <f>SUMIFS(54:54,$8:$8,"&gt;="&amp;DATE(YEAR(EW$8),1,1),$8:$8,"&lt;="&amp;EOMONTH(EW$8,0))/SUMIFS(54:54,$8:$8,"&gt;="&amp;DATE(YEAR(EW$8)-1,1,1),$8:$8,"&lt;="&amp;EOMONTH(EW$8,-12))-1</f>
        <v/>
      </c>
      <c r="EX57" s="1318">
        <f>SUMIFS(54:54,$8:$8,"&gt;="&amp;DATE(YEAR(EX$8),1,1),$8:$8,"&lt;="&amp;EOMONTH(EX$8,0))/SUMIFS(54:54,$8:$8,"&gt;="&amp;DATE(YEAR(EX$8)-1,1,1),$8:$8,"&lt;="&amp;EOMONTH(EX$8,-12))-1</f>
        <v/>
      </c>
      <c r="EY57" s="1318">
        <f>SUMIFS(54:54,$8:$8,"&gt;="&amp;DATE(YEAR(EY$8),1,1),$8:$8,"&lt;="&amp;EOMONTH(EY$8,0))/SUMIFS(54:54,$8:$8,"&gt;="&amp;DATE(YEAR(EY$8)-1,1,1),$8:$8,"&lt;="&amp;EOMONTH(EY$8,-12))-1</f>
        <v/>
      </c>
      <c r="EZ57" s="1318">
        <f>SUMIFS(54:54,$8:$8,"&gt;="&amp;DATE(YEAR(EZ$8),1,1),$8:$8,"&lt;="&amp;EOMONTH(EZ$8,0))/SUMIFS(54:54,$8:$8,"&gt;="&amp;DATE(YEAR(EZ$8)-1,1,1),$8:$8,"&lt;="&amp;EOMONTH(EZ$8,-12))-1</f>
        <v/>
      </c>
      <c r="FA57" s="1318">
        <f>SUMIFS(54:54,$8:$8,"&gt;="&amp;DATE(YEAR(FA$8),1,1),$8:$8,"&lt;="&amp;EOMONTH(FA$8,0))/SUMIFS(54:54,$8:$8,"&gt;="&amp;DATE(YEAR(FA$8)-1,1,1),$8:$8,"&lt;="&amp;EOMONTH(FA$8,-12))-1</f>
        <v/>
      </c>
      <c r="FB57" s="1318">
        <f>SUMIFS(54:54,$8:$8,"&gt;="&amp;DATE(YEAR(FB$8),1,1),$8:$8,"&lt;="&amp;EOMONTH(FB$8,0))/SUMIFS(54:54,$8:$8,"&gt;="&amp;DATE(YEAR(FB$8)-1,1,1),$8:$8,"&lt;="&amp;EOMONTH(FB$8,-12))-1</f>
        <v/>
      </c>
      <c r="FC57" s="1318">
        <f>SUMIFS(54:54,$8:$8,"&gt;="&amp;DATE(YEAR(FC$8),1,1),$8:$8,"&lt;="&amp;EOMONTH(FC$8,0))/SUMIFS(54:54,$8:$8,"&gt;="&amp;DATE(YEAR(FC$8)-1,1,1),$8:$8,"&lt;="&amp;EOMONTH(FC$8,-12))-1</f>
        <v/>
      </c>
      <c r="FD57" s="1318">
        <f>SUMIFS(54:54,$8:$8,"&gt;="&amp;DATE(YEAR(FD$8),1,1),$8:$8,"&lt;="&amp;EOMONTH(FD$8,0))/SUMIFS(54:54,$8:$8,"&gt;="&amp;DATE(YEAR(FD$8)-1,1,1),$8:$8,"&lt;="&amp;EOMONTH(FD$8,-12))-1</f>
        <v/>
      </c>
      <c r="FE57" s="1318">
        <f>SUMIFS(54:54,$8:$8,"&gt;="&amp;DATE(YEAR(FE$8),1,1),$8:$8,"&lt;="&amp;EOMONTH(FE$8,0))/SUMIFS(54:54,$8:$8,"&gt;="&amp;DATE(YEAR(FE$8)-1,1,1),$8:$8,"&lt;="&amp;EOMONTH(FE$8,-12))-1</f>
        <v/>
      </c>
      <c r="FF57" s="1318">
        <f>SUMIFS(54:54,$8:$8,"&gt;="&amp;DATE(YEAR(FF$8),1,1),$8:$8,"&lt;="&amp;EOMONTH(FF$8,0))/SUMIFS(54:54,$8:$8,"&gt;="&amp;DATE(YEAR(FF$8)-1,1,1),$8:$8,"&lt;="&amp;EOMONTH(FF$8,-12))-1</f>
        <v/>
      </c>
      <c r="FG57" s="1318">
        <f>SUMIFS(54:54,$8:$8,"&gt;="&amp;DATE(YEAR(FG$8),1,1),$8:$8,"&lt;="&amp;EOMONTH(FG$8,0))/SUMIFS(54:54,$8:$8,"&gt;="&amp;DATE(YEAR(FG$8)-1,1,1),$8:$8,"&lt;="&amp;EOMONTH(FG$8,-12))-1</f>
        <v/>
      </c>
      <c r="FH57" s="1318">
        <f>SUMIFS(54:54,$8:$8,"&gt;="&amp;DATE(YEAR(FH$8),1,1),$8:$8,"&lt;="&amp;EOMONTH(FH$8,0))/SUMIFS(54:54,$8:$8,"&gt;="&amp;DATE(YEAR(FH$8)-1,1,1),$8:$8,"&lt;="&amp;EOMONTH(FH$8,-12))-1</f>
        <v/>
      </c>
      <c r="FI57" s="1318">
        <f>SUMIFS(54:54,$8:$8,"&gt;="&amp;DATE(YEAR(FI$8),1,1),$8:$8,"&lt;="&amp;EOMONTH(FI$8,0))/SUMIFS(54:54,$8:$8,"&gt;="&amp;DATE(YEAR(FI$8)-1,1,1),$8:$8,"&lt;="&amp;EOMONTH(FI$8,-12))-1</f>
        <v/>
      </c>
      <c r="FJ57" s="1318">
        <f>SUMIFS(54:54,$8:$8,"&gt;="&amp;DATE(YEAR(FJ$8),1,1),$8:$8,"&lt;="&amp;EOMONTH(FJ$8,0))/SUMIFS(54:54,$8:$8,"&gt;="&amp;DATE(YEAR(FJ$8)-1,1,1),$8:$8,"&lt;="&amp;EOMONTH(FJ$8,-12))-1</f>
        <v/>
      </c>
      <c r="FK57" s="1318">
        <f>SUMIFS(54:54,$8:$8,"&gt;="&amp;DATE(YEAR(FK$8),1,1),$8:$8,"&lt;="&amp;EOMONTH(FK$8,0))/SUMIFS(54:54,$8:$8,"&gt;="&amp;DATE(YEAR(FK$8)-1,1,1),$8:$8,"&lt;="&amp;EOMONTH(FK$8,-12))-1</f>
        <v/>
      </c>
      <c r="FL57" s="1318">
        <f>SUMIFS(54:54,$8:$8,"&gt;="&amp;DATE(YEAR(FL$8),1,1),$8:$8,"&lt;="&amp;EOMONTH(FL$8,0))/SUMIFS(54:54,$8:$8,"&gt;="&amp;DATE(YEAR(FL$8)-1,1,1),$8:$8,"&lt;="&amp;EOMONTH(FL$8,-12))-1</f>
        <v/>
      </c>
      <c r="FM57" s="1318">
        <f>SUMIFS(54:54,$8:$8,"&gt;="&amp;DATE(YEAR(FM$8),1,1),$8:$8,"&lt;="&amp;EOMONTH(FM$8,0))/SUMIFS(54:54,$8:$8,"&gt;="&amp;DATE(YEAR(FM$8)-1,1,1),$8:$8,"&lt;="&amp;EOMONTH(FM$8,-12))-1</f>
        <v/>
      </c>
      <c r="FN57" s="1318">
        <f>SUMIFS(54:54,$8:$8,"&gt;="&amp;DATE(YEAR(FN$8),1,1),$8:$8,"&lt;="&amp;EOMONTH(FN$8,0))/SUMIFS(54:54,$8:$8,"&gt;="&amp;DATE(YEAR(FN$8)-1,1,1),$8:$8,"&lt;="&amp;EOMONTH(FN$8,-12))-1</f>
        <v/>
      </c>
      <c r="FO57" s="1318">
        <f>SUMIFS(54:54,$8:$8,"&gt;="&amp;DATE(YEAR(FO$8),1,1),$8:$8,"&lt;="&amp;EOMONTH(FO$8,0))/SUMIFS(54:54,$8:$8,"&gt;="&amp;DATE(YEAR(FO$8)-1,1,1),$8:$8,"&lt;="&amp;EOMONTH(FO$8,-12))-1</f>
        <v/>
      </c>
      <c r="FP57" s="1318">
        <f>SUMIFS(54:54,$8:$8,"&gt;="&amp;DATE(YEAR(FP$8),1,1),$8:$8,"&lt;="&amp;EOMONTH(FP$8,0))/SUMIFS(54:54,$8:$8,"&gt;="&amp;DATE(YEAR(FP$8)-1,1,1),$8:$8,"&lt;="&amp;EOMONTH(FP$8,-12))-1</f>
        <v/>
      </c>
      <c r="FQ57" s="1318">
        <f>SUMIFS(54:54,$8:$8,"&gt;="&amp;DATE(YEAR(FQ$8),1,1),$8:$8,"&lt;="&amp;EOMONTH(FQ$8,0))/SUMIFS(54:54,$8:$8,"&gt;="&amp;DATE(YEAR(FQ$8)-1,1,1),$8:$8,"&lt;="&amp;EOMONTH(FQ$8,-12))-1</f>
        <v/>
      </c>
      <c r="FR57" s="1318">
        <f>SUMIFS(54:54,$8:$8,"&gt;="&amp;DATE(YEAR(FR$8),1,1),$8:$8,"&lt;="&amp;EOMONTH(FR$8,0))/SUMIFS(54:54,$8:$8,"&gt;="&amp;DATE(YEAR(FR$8)-1,1,1),$8:$8,"&lt;="&amp;EOMONTH(FR$8,-12))-1</f>
        <v/>
      </c>
      <c r="FS57" s="1318">
        <f>SUMIFS(54:54,$8:$8,"&gt;="&amp;DATE(YEAR(FS$8),1,1),$8:$8,"&lt;="&amp;EOMONTH(FS$8,0))/SUMIFS(54:54,$8:$8,"&gt;="&amp;DATE(YEAR(FS$8)-1,1,1),$8:$8,"&lt;="&amp;EOMONTH(FS$8,-12))-1</f>
        <v/>
      </c>
      <c r="FT57" s="1318">
        <f>SUMIFS(54:54,$8:$8,"&gt;="&amp;DATE(YEAR(FT$8),1,1),$8:$8,"&lt;="&amp;EOMONTH(FT$8,0))/SUMIFS(54:54,$8:$8,"&gt;="&amp;DATE(YEAR(FT$8)-1,1,1),$8:$8,"&lt;="&amp;EOMONTH(FT$8,-12))-1</f>
        <v/>
      </c>
      <c r="FU57" s="1318">
        <f>SUMIFS(54:54,$8:$8,"&gt;="&amp;DATE(YEAR(FU$8),1,1),$8:$8,"&lt;="&amp;EOMONTH(FU$8,0))/SUMIFS(54:54,$8:$8,"&gt;="&amp;DATE(YEAR(FU$8)-1,1,1),$8:$8,"&lt;="&amp;EOMONTH(FU$8,-12))-1</f>
        <v/>
      </c>
      <c r="FV57" s="1318">
        <f>SUMIFS(54:54,$8:$8,"&gt;="&amp;DATE(YEAR(FV$8),1,1),$8:$8,"&lt;="&amp;EOMONTH(FV$8,0))/SUMIFS(54:54,$8:$8,"&gt;="&amp;DATE(YEAR(FV$8)-1,1,1),$8:$8,"&lt;="&amp;EOMONTH(FV$8,-12))-1</f>
        <v/>
      </c>
      <c r="FW57" s="1318">
        <f>SUMIFS(54:54,$8:$8,"&gt;="&amp;DATE(YEAR(FW$8),1,1),$8:$8,"&lt;="&amp;EOMONTH(FW$8,0))/SUMIFS(54:54,$8:$8,"&gt;="&amp;DATE(YEAR(FW$8)-1,1,1),$8:$8,"&lt;="&amp;EOMONTH(FW$8,-12))-1</f>
        <v/>
      </c>
      <c r="FX57" s="1318">
        <f>SUMIFS(54:54,$8:$8,"&gt;="&amp;DATE(YEAR(FX$8),1,1),$8:$8,"&lt;="&amp;EOMONTH(FX$8,0))/SUMIFS(54:54,$8:$8,"&gt;="&amp;DATE(YEAR(FX$8)-1,1,1),$8:$8,"&lt;="&amp;EOMONTH(FX$8,-12))-1</f>
        <v/>
      </c>
      <c r="FY57" s="1318">
        <f>SUMIFS(54:54,$8:$8,"&gt;="&amp;DATE(YEAR(FY$8),1,1),$8:$8,"&lt;="&amp;EOMONTH(FY$8,0))/SUMIFS(54:54,$8:$8,"&gt;="&amp;DATE(YEAR(FY$8)-1,1,1),$8:$8,"&lt;="&amp;EOMONTH(FY$8,-12))-1</f>
        <v/>
      </c>
      <c r="FZ57" s="1318">
        <f>SUMIFS(54:54,$8:$8,"&gt;="&amp;DATE(YEAR(FZ$8),1,1),$8:$8,"&lt;="&amp;EOMONTH(FZ$8,0))/SUMIFS(54:54,$8:$8,"&gt;="&amp;DATE(YEAR(FZ$8)-1,1,1),$8:$8,"&lt;="&amp;EOMONTH(FZ$8,-12))-1</f>
        <v/>
      </c>
      <c r="GA57" s="1318">
        <f>SUMIFS(54:54,$8:$8,"&gt;="&amp;DATE(YEAR(GA$8),1,1),$8:$8,"&lt;="&amp;EOMONTH(GA$8,0))/SUMIFS(54:54,$8:$8,"&gt;="&amp;DATE(YEAR(GA$8)-1,1,1),$8:$8,"&lt;="&amp;EOMONTH(GA$8,-12))-1</f>
        <v/>
      </c>
      <c r="GB57" s="1318">
        <f>SUMIFS(54:54,$8:$8,"&gt;="&amp;DATE(YEAR(GB$8),1,1),$8:$8,"&lt;="&amp;EOMONTH(GB$8,0))/SUMIFS(54:54,$8:$8,"&gt;="&amp;DATE(YEAR(GB$8)-1,1,1),$8:$8,"&lt;="&amp;EOMONTH(GB$8,-12))-1</f>
        <v/>
      </c>
      <c r="GC57" s="1318">
        <f>SUMIFS(54:54,$8:$8,"&gt;="&amp;DATE(YEAR(GC$8),1,1),$8:$8,"&lt;="&amp;EOMONTH(GC$8,0))/SUMIFS(54:54,$8:$8,"&gt;="&amp;DATE(YEAR(GC$8)-1,1,1),$8:$8,"&lt;="&amp;EOMONTH(GC$8,-12))-1</f>
        <v/>
      </c>
      <c r="GD57" s="1318">
        <f>SUMIFS(54:54,$8:$8,"&gt;="&amp;DATE(YEAR(GD$8),1,1),$8:$8,"&lt;="&amp;EOMONTH(GD$8,0))/SUMIFS(54:54,$8:$8,"&gt;="&amp;DATE(YEAR(GD$8)-1,1,1),$8:$8,"&lt;="&amp;EOMONTH(GD$8,-12))-1</f>
        <v/>
      </c>
      <c r="GE57" s="1318">
        <f>SUMIFS(54:54,$8:$8,"&gt;="&amp;DATE(YEAR(GE$8),1,1),$8:$8,"&lt;="&amp;EOMONTH(GE$8,0))/SUMIFS(54:54,$8:$8,"&gt;="&amp;DATE(YEAR(GE$8)-1,1,1),$8:$8,"&lt;="&amp;EOMONTH(GE$8,-12))-1</f>
        <v/>
      </c>
      <c r="GF57" s="1318">
        <f>SUMIFS(54:54,$8:$8,"&gt;="&amp;DATE(YEAR(GF$8),1,1),$8:$8,"&lt;="&amp;EOMONTH(GF$8,0))/SUMIFS(54:54,$8:$8,"&gt;="&amp;DATE(YEAR(GF$8)-1,1,1),$8:$8,"&lt;="&amp;EOMONTH(GF$8,-12))-1</f>
        <v/>
      </c>
      <c r="GG57" s="1318">
        <f>SUMIFS(54:54,$8:$8,"&gt;="&amp;DATE(YEAR(GG$8),1,1),$8:$8,"&lt;="&amp;EOMONTH(GG$8,0))/SUMIFS(54:54,$8:$8,"&gt;="&amp;DATE(YEAR(GG$8)-1,1,1),$8:$8,"&lt;="&amp;EOMONTH(GG$8,-12))-1</f>
        <v/>
      </c>
      <c r="GH57" s="1318">
        <f>SUMIFS(54:54,$8:$8,"&gt;="&amp;DATE(YEAR(GH$8),1,1),$8:$8,"&lt;="&amp;EOMONTH(GH$8,0))/SUMIFS(54:54,$8:$8,"&gt;="&amp;DATE(YEAR(GH$8)-1,1,1),$8:$8,"&lt;="&amp;EOMONTH(GH$8,-12))-1</f>
        <v/>
      </c>
      <c r="GI57" s="1318">
        <f>SUMIFS(54:54,$8:$8,"&gt;="&amp;DATE(YEAR(GI$8),1,1),$8:$8,"&lt;="&amp;EOMONTH(GI$8,0))/SUMIFS(54:54,$8:$8,"&gt;="&amp;DATE(YEAR(GI$8)-1,1,1),$8:$8,"&lt;="&amp;EOMONTH(GI$8,-12))-1</f>
        <v/>
      </c>
      <c r="GJ57" s="1318">
        <f>SUMIFS(54:54,$8:$8,"&gt;="&amp;DATE(YEAR(GJ$8),1,1),$8:$8,"&lt;="&amp;EOMONTH(GJ$8,0))/SUMIFS(54:54,$8:$8,"&gt;="&amp;DATE(YEAR(GJ$8)-1,1,1),$8:$8,"&lt;="&amp;EOMONTH(GJ$8,-12))-1</f>
        <v/>
      </c>
      <c r="GK57" s="1318">
        <f>SUMIFS(54:54,$8:$8,"&gt;="&amp;DATE(YEAR(GK$8),1,1),$8:$8,"&lt;="&amp;EOMONTH(GK$8,0))/SUMIFS(54:54,$8:$8,"&gt;="&amp;DATE(YEAR(GK$8)-1,1,1),$8:$8,"&lt;="&amp;EOMONTH(GK$8,-12))-1</f>
        <v/>
      </c>
      <c r="GL57" s="1318">
        <f>SUMIFS(54:54,$8:$8,"&gt;="&amp;DATE(YEAR(GL$8),1,1),$8:$8,"&lt;="&amp;EOMONTH(GL$8,0))/SUMIFS(54:54,$8:$8,"&gt;="&amp;DATE(YEAR(GL$8)-1,1,1),$8:$8,"&lt;="&amp;EOMONTH(GL$8,-12))-1</f>
        <v/>
      </c>
      <c r="GM57" s="1318">
        <f>SUMIFS(54:54,$8:$8,"&gt;="&amp;DATE(YEAR(GM$8),1,1),$8:$8,"&lt;="&amp;EOMONTH(GM$8,0))/SUMIFS(54:54,$8:$8,"&gt;="&amp;DATE(YEAR(GM$8)-1,1,1),$8:$8,"&lt;="&amp;EOMONTH(GM$8,-12))-1</f>
        <v/>
      </c>
      <c r="GN57" s="1318">
        <f>SUMIFS(54:54,$8:$8,"&gt;="&amp;DATE(YEAR(GN$8),1,1),$8:$8,"&lt;="&amp;EOMONTH(GN$8,0))/SUMIFS(54:54,$8:$8,"&gt;="&amp;DATE(YEAR(GN$8)-1,1,1),$8:$8,"&lt;="&amp;EOMONTH(GN$8,-12))-1</f>
        <v/>
      </c>
      <c r="GO57" s="1318">
        <f>SUMIFS(54:54,$8:$8,"&gt;="&amp;DATE(YEAR(GO$8),1,1),$8:$8,"&lt;="&amp;EOMONTH(GO$8,0))/SUMIFS(54:54,$8:$8,"&gt;="&amp;DATE(YEAR(GO$8)-1,1,1),$8:$8,"&lt;="&amp;EOMONTH(GO$8,-12))-1</f>
        <v/>
      </c>
      <c r="GP57" s="1318">
        <f>SUMIFS(54:54,$8:$8,"&gt;="&amp;DATE(YEAR(GP$8),1,1),$8:$8,"&lt;="&amp;EOMONTH(GP$8,0))/SUMIFS(54:54,$8:$8,"&gt;="&amp;DATE(YEAR(GP$8)-1,1,1),$8:$8,"&lt;="&amp;EOMONTH(GP$8,-12))-1</f>
        <v/>
      </c>
      <c r="GQ57" s="1318">
        <f>SUMIFS(54:54,$8:$8,"&gt;="&amp;DATE(YEAR(GQ$8),1,1),$8:$8,"&lt;="&amp;EOMONTH(GQ$8,0))/SUMIFS(54:54,$8:$8,"&gt;="&amp;DATE(YEAR(GQ$8)-1,1,1),$8:$8,"&lt;="&amp;EOMONTH(GQ$8,-12))-1</f>
        <v/>
      </c>
      <c r="GR57" s="1318">
        <f>SUMIFS(54:54,$8:$8,"&gt;="&amp;DATE(YEAR(GR$8),1,1),$8:$8,"&lt;="&amp;EOMONTH(GR$8,0))/SUMIFS(54:54,$8:$8,"&gt;="&amp;DATE(YEAR(GR$8)-1,1,1),$8:$8,"&lt;="&amp;EOMONTH(GR$8,-12))-1</f>
        <v/>
      </c>
      <c r="GS57" s="1318">
        <f>SUMIFS(54:54,$8:$8,"&gt;="&amp;DATE(YEAR(GS$8),1,1),$8:$8,"&lt;="&amp;EOMONTH(GS$8,0))/SUMIFS(54:54,$8:$8,"&gt;="&amp;DATE(YEAR(GS$8)-1,1,1),$8:$8,"&lt;="&amp;EOMONTH(GS$8,-12))-1</f>
        <v/>
      </c>
      <c r="GT57" s="1318">
        <f>SUMIFS(54:54,$8:$8,"&gt;="&amp;DATE(YEAR(GT$8),1,1),$8:$8,"&lt;="&amp;EOMONTH(GT$8,0))/SUMIFS(54:54,$8:$8,"&gt;="&amp;DATE(YEAR(GT$8)-1,1,1),$8:$8,"&lt;="&amp;EOMONTH(GT$8,-12))-1</f>
        <v/>
      </c>
      <c r="GU57" s="1318">
        <f>SUMIFS(54:54,$8:$8,"&gt;="&amp;DATE(YEAR(GU$8),1,1),$8:$8,"&lt;="&amp;EOMONTH(GU$8,0))/SUMIFS(54:54,$8:$8,"&gt;="&amp;DATE(YEAR(GU$8)-1,1,1),$8:$8,"&lt;="&amp;EOMONTH(GU$8,-12))-1</f>
        <v/>
      </c>
      <c r="GV57" s="1318">
        <f>SUMIFS(54:54,$8:$8,"&gt;="&amp;DATE(YEAR(GV$8),1,1),$8:$8,"&lt;="&amp;EOMONTH(GV$8,0))/SUMIFS(54:54,$8:$8,"&gt;="&amp;DATE(YEAR(GV$8)-1,1,1),$8:$8,"&lt;="&amp;EOMONTH(GV$8,-12))-1</f>
        <v/>
      </c>
      <c r="GW57" s="1318">
        <f>SUMIFS(54:54,$8:$8,"&gt;="&amp;DATE(YEAR(GW$8),1,1),$8:$8,"&lt;="&amp;EOMONTH(GW$8,0))/SUMIFS(54:54,$8:$8,"&gt;="&amp;DATE(YEAR(GW$8)-1,1,1),$8:$8,"&lt;="&amp;EOMONTH(GW$8,-12))-1</f>
        <v/>
      </c>
      <c r="GX57" s="1318">
        <f>SUMIFS(54:54,$8:$8,"&gt;="&amp;DATE(YEAR(GX$8),1,1),$8:$8,"&lt;="&amp;EOMONTH(GX$8,0))/SUMIFS(54:54,$8:$8,"&gt;="&amp;DATE(YEAR(GX$8)-1,1,1),$8:$8,"&lt;="&amp;EOMONTH(GX$8,-12))-1</f>
        <v/>
      </c>
      <c r="GY57" s="1318">
        <f>SUMIFS(54:54,$8:$8,"&gt;="&amp;DATE(YEAR(GY$8),1,1),$8:$8,"&lt;="&amp;EOMONTH(GY$8,0))/SUMIFS(54:54,$8:$8,"&gt;="&amp;DATE(YEAR(GY$8)-1,1,1),$8:$8,"&lt;="&amp;EOMONTH(GY$8,-12))-1</f>
        <v/>
      </c>
      <c r="GZ57" s="1318">
        <f>SUMIFS(54:54,$8:$8,"&gt;="&amp;DATE(YEAR(GZ$8),1,1),$8:$8,"&lt;="&amp;EOMONTH(GZ$8,0))/SUMIFS(54:54,$8:$8,"&gt;="&amp;DATE(YEAR(GZ$8)-1,1,1),$8:$8,"&lt;="&amp;EOMONTH(GZ$8,-12))-1</f>
        <v/>
      </c>
      <c r="HA57" s="1318">
        <f>SUMIFS(54:54,$8:$8,"&gt;="&amp;DATE(YEAR(HA$8),1,1),$8:$8,"&lt;="&amp;EOMONTH(HA$8,0))/SUMIFS(54:54,$8:$8,"&gt;="&amp;DATE(YEAR(HA$8)-1,1,1),$8:$8,"&lt;="&amp;EOMONTH(HA$8,-12))-1</f>
        <v/>
      </c>
      <c r="HB57" s="1318">
        <f>SUMIFS(54:54,$8:$8,"&gt;="&amp;DATE(YEAR(HB$8),1,1),$8:$8,"&lt;="&amp;EOMONTH(HB$8,0))/SUMIFS(54:54,$8:$8,"&gt;="&amp;DATE(YEAR(HB$8)-1,1,1),$8:$8,"&lt;="&amp;EOMONTH(HB$8,-12))-1</f>
        <v/>
      </c>
      <c r="HC57" s="1318">
        <f>SUMIFS(54:54,$8:$8,"&gt;="&amp;DATE(YEAR(HC$8),1,1),$8:$8,"&lt;="&amp;EOMONTH(HC$8,0))/SUMIFS(54:54,$8:$8,"&gt;="&amp;DATE(YEAR(HC$8)-1,1,1),$8:$8,"&lt;="&amp;EOMONTH(HC$8,-12))-1</f>
        <v/>
      </c>
      <c r="HD57" s="1318">
        <f>SUMIFS(54:54,$8:$8,"&gt;="&amp;DATE(YEAR(HD$8),1,1),$8:$8,"&lt;="&amp;EOMONTH(HD$8,0))/SUMIFS(54:54,$8:$8,"&gt;="&amp;DATE(YEAR(HD$8)-1,1,1),$8:$8,"&lt;="&amp;EOMONTH(HD$8,-12))-1</f>
        <v/>
      </c>
      <c r="HE57" s="1318">
        <f>SUMIFS(54:54,$8:$8,"&gt;="&amp;DATE(YEAR(HE$8),1,1),$8:$8,"&lt;="&amp;EOMONTH(HE$8,0))/SUMIFS(54:54,$8:$8,"&gt;="&amp;DATE(YEAR(HE$8)-1,1,1),$8:$8,"&lt;="&amp;EOMONTH(HE$8,-12))-1</f>
        <v/>
      </c>
      <c r="HF57" s="1318">
        <f>SUMIFS(54:54,$8:$8,"&gt;="&amp;DATE(YEAR(HF$8),1,1),$8:$8,"&lt;="&amp;EOMONTH(HF$8,0))/SUMIFS(54:54,$8:$8,"&gt;="&amp;DATE(YEAR(HF$8)-1,1,1),$8:$8,"&lt;="&amp;EOMONTH(HF$8,-12))-1</f>
        <v/>
      </c>
      <c r="HG57" s="1318">
        <f>SUMIFS(54:54,$8:$8,"&gt;="&amp;DATE(YEAR(HG$8),1,1),$8:$8,"&lt;="&amp;EOMONTH(HG$8,0))/SUMIFS(54:54,$8:$8,"&gt;="&amp;DATE(YEAR(HG$8)-1,1,1),$8:$8,"&lt;="&amp;EOMONTH(HG$8,-12))-1</f>
        <v/>
      </c>
      <c r="HH57" s="1318">
        <f>SUMIFS(54:54,$8:$8,"&gt;="&amp;DATE(YEAR(HH$8),1,1),$8:$8,"&lt;="&amp;EOMONTH(HH$8,0))/SUMIFS(54:54,$8:$8,"&gt;="&amp;DATE(YEAR(HH$8)-1,1,1),$8:$8,"&lt;="&amp;EOMONTH(HH$8,-12))-1</f>
        <v/>
      </c>
      <c r="HI57" s="1318">
        <f>SUMIFS(54:54,$8:$8,"&gt;="&amp;DATE(YEAR(HI$8),1,1),$8:$8,"&lt;="&amp;EOMONTH(HI$8,0))/SUMIFS(54:54,$8:$8,"&gt;="&amp;DATE(YEAR(HI$8)-1,1,1),$8:$8,"&lt;="&amp;EOMONTH(HI$8,-12))-1</f>
        <v/>
      </c>
      <c r="HJ57" s="1318">
        <f>SUMIFS(54:54,$8:$8,"&gt;="&amp;DATE(YEAR(HJ$8),1,1),$8:$8,"&lt;="&amp;EOMONTH(HJ$8,0))/SUMIFS(54:54,$8:$8,"&gt;="&amp;DATE(YEAR(HJ$8)-1,1,1),$8:$8,"&lt;="&amp;EOMONTH(HJ$8,-12))-1</f>
        <v/>
      </c>
      <c r="HK57" s="1318">
        <f>SUMIFS(54:54,$8:$8,"&gt;="&amp;DATE(YEAR(HK$8),1,1),$8:$8,"&lt;="&amp;EOMONTH(HK$8,0))/SUMIFS(54:54,$8:$8,"&gt;="&amp;DATE(YEAR(HK$8)-1,1,1),$8:$8,"&lt;="&amp;EOMONTH(HK$8,-12))-1</f>
        <v/>
      </c>
      <c r="HL57" s="1318">
        <f>SUMIFS(54:54,$8:$8,"&gt;="&amp;DATE(YEAR(HL$8),1,1),$8:$8,"&lt;="&amp;EOMONTH(HL$8,0))/SUMIFS(54:54,$8:$8,"&gt;="&amp;DATE(YEAR(HL$8)-1,1,1),$8:$8,"&lt;="&amp;EOMONTH(HL$8,-12))-1</f>
        <v/>
      </c>
      <c r="HM57" s="1318">
        <f>SUMIFS(54:54,$8:$8,"&gt;="&amp;DATE(YEAR(HM$8),1,1),$8:$8,"&lt;="&amp;EOMONTH(HM$8,0))/SUMIFS(54:54,$8:$8,"&gt;="&amp;DATE(YEAR(HM$8)-1,1,1),$8:$8,"&lt;="&amp;EOMONTH(HM$8,-12))-1</f>
        <v/>
      </c>
      <c r="HN57" s="1318">
        <f>SUMIFS(54:54,$8:$8,"&gt;="&amp;DATE(YEAR(HN$8),1,1),$8:$8,"&lt;="&amp;EOMONTH(HN$8,0))/SUMIFS(54:54,$8:$8,"&gt;="&amp;DATE(YEAR(HN$8)-1,1,1),$8:$8,"&lt;="&amp;EOMONTH(HN$8,-12))-1</f>
        <v/>
      </c>
      <c r="HO57" s="1318">
        <f>SUMIFS(54:54,$8:$8,"&gt;="&amp;DATE(YEAR(HO$8),1,1),$8:$8,"&lt;="&amp;EOMONTH(HO$8,0))/SUMIFS(54:54,$8:$8,"&gt;="&amp;DATE(YEAR(HO$8)-1,1,1),$8:$8,"&lt;="&amp;EOMONTH(HO$8,-12))-1</f>
        <v/>
      </c>
      <c r="HP57" s="1318">
        <f>SUMIFS(54:54,$8:$8,"&gt;="&amp;DATE(YEAR(HP$8),1,1),$8:$8,"&lt;="&amp;EOMONTH(HP$8,0))/SUMIFS(54:54,$8:$8,"&gt;="&amp;DATE(YEAR(HP$8)-1,1,1),$8:$8,"&lt;="&amp;EOMONTH(HP$8,-12))-1</f>
        <v/>
      </c>
      <c r="HQ57" s="1318">
        <f>SUMIFS(54:54,$8:$8,"&gt;="&amp;DATE(YEAR(HQ$8),1,1),$8:$8,"&lt;="&amp;EOMONTH(HQ$8,0))/SUMIFS(54:54,$8:$8,"&gt;="&amp;DATE(YEAR(HQ$8)-1,1,1),$8:$8,"&lt;="&amp;EOMONTH(HQ$8,-12))-1</f>
        <v/>
      </c>
      <c r="HR57" s="1318">
        <f>SUMIFS(54:54,$8:$8,"&gt;="&amp;DATE(YEAR(HR$8),1,1),$8:$8,"&lt;="&amp;EOMONTH(HR$8,0))/SUMIFS(54:54,$8:$8,"&gt;="&amp;DATE(YEAR(HR$8)-1,1,1),$8:$8,"&lt;="&amp;EOMONTH(HR$8,-12))-1</f>
        <v/>
      </c>
      <c r="HS57" s="1318">
        <f>SUMIFS(54:54,$8:$8,"&gt;="&amp;DATE(YEAR(HS$8),1,1),$8:$8,"&lt;="&amp;EOMONTH(HS$8,0))/SUMIFS(54:54,$8:$8,"&gt;="&amp;DATE(YEAR(HS$8)-1,1,1),$8:$8,"&lt;="&amp;EOMONTH(HS$8,-12))-1</f>
        <v/>
      </c>
      <c r="HT57" s="1318">
        <f>SUMIFS(54:54,$8:$8,"&gt;="&amp;DATE(YEAR(HT$8),1,1),$8:$8,"&lt;="&amp;EOMONTH(HT$8,0))/SUMIFS(54:54,$8:$8,"&gt;="&amp;DATE(YEAR(HT$8)-1,1,1),$8:$8,"&lt;="&amp;EOMONTH(HT$8,-12))-1</f>
        <v/>
      </c>
      <c r="HU57" s="1318">
        <f>SUMIFS(54:54,$8:$8,"&gt;="&amp;DATE(YEAR(HU$8),1,1),$8:$8,"&lt;="&amp;EOMONTH(HU$8,0))/SUMIFS(54:54,$8:$8,"&gt;="&amp;DATE(YEAR(HU$8)-1,1,1),$8:$8,"&lt;="&amp;EOMONTH(HU$8,-12))-1</f>
        <v/>
      </c>
      <c r="HV57" s="1318">
        <f>SUMIFS(54:54,$8:$8,"&gt;="&amp;DATE(YEAR(HV$8),1,1),$8:$8,"&lt;="&amp;EOMONTH(HV$8,0))/SUMIFS(54:54,$8:$8,"&gt;="&amp;DATE(YEAR(HV$8)-1,1,1),$8:$8,"&lt;="&amp;EOMONTH(HV$8,-12))-1</f>
        <v/>
      </c>
      <c r="HW57" s="1318">
        <f>SUMIFS(54:54,$8:$8,"&gt;="&amp;DATE(YEAR(HW$8),1,1),$8:$8,"&lt;="&amp;EOMONTH(HW$8,0))/SUMIFS(54:54,$8:$8,"&gt;="&amp;DATE(YEAR(HW$8)-1,1,1),$8:$8,"&lt;="&amp;EOMONTH(HW$8,-12))-1</f>
        <v/>
      </c>
      <c r="HX57" s="1318">
        <f>SUMIFS(54:54,$8:$8,"&gt;="&amp;DATE(YEAR(HX$8),1,1),$8:$8,"&lt;="&amp;EOMONTH(HX$8,0))/SUMIFS(54:54,$8:$8,"&gt;="&amp;DATE(YEAR(HX$8)-1,1,1),$8:$8,"&lt;="&amp;EOMONTH(HX$8,-12))-1</f>
        <v/>
      </c>
      <c r="HY57" s="1318">
        <f>SUMIFS(54:54,$8:$8,"&gt;="&amp;DATE(YEAR(HY$8),1,1),$8:$8,"&lt;="&amp;EOMONTH(HY$8,0))/SUMIFS(54:54,$8:$8,"&gt;="&amp;DATE(YEAR(HY$8)-1,1,1),$8:$8,"&lt;="&amp;EOMONTH(HY$8,-12))-1</f>
        <v/>
      </c>
      <c r="HZ57" s="1318">
        <f>SUMIFS(54:54,$8:$8,"&gt;="&amp;DATE(YEAR(HZ$8),1,1),$8:$8,"&lt;="&amp;EOMONTH(HZ$8,0))/SUMIFS(54:54,$8:$8,"&gt;="&amp;DATE(YEAR(HZ$8)-1,1,1),$8:$8,"&lt;="&amp;EOMONTH(HZ$8,-12))-1</f>
        <v/>
      </c>
      <c r="IA57" s="1318">
        <f>SUMIFS(54:54,$8:$8,"&gt;="&amp;DATE(YEAR(IA$8),1,1),$8:$8,"&lt;="&amp;EOMONTH(IA$8,0))/SUMIFS(54:54,$8:$8,"&gt;="&amp;DATE(YEAR(IA$8)-1,1,1),$8:$8,"&lt;="&amp;EOMONTH(IA$8,-12))-1</f>
        <v/>
      </c>
      <c r="IB57" s="1318">
        <f>SUMIFS(54:54,$8:$8,"&gt;="&amp;DATE(YEAR(IB$8),1,1),$8:$8,"&lt;="&amp;EOMONTH(IB$8,0))/SUMIFS(54:54,$8:$8,"&gt;="&amp;DATE(YEAR(IB$8)-1,1,1),$8:$8,"&lt;="&amp;EOMONTH(IB$8,-12))-1</f>
        <v/>
      </c>
      <c r="IC57" s="1318">
        <f>SUMIFS(54:54,$8:$8,"&gt;="&amp;DATE(YEAR(IC$8),1,1),$8:$8,"&lt;="&amp;EOMONTH(IC$8,0))/SUMIFS(54:54,$8:$8,"&gt;="&amp;DATE(YEAR(IC$8)-1,1,1),$8:$8,"&lt;="&amp;EOMONTH(IC$8,-12))-1</f>
        <v/>
      </c>
      <c r="ID57" s="1318">
        <f>SUMIFS(54:54,$8:$8,"&gt;="&amp;DATE(YEAR(ID$8),1,1),$8:$8,"&lt;="&amp;EOMONTH(ID$8,0))/SUMIFS(54:54,$8:$8,"&gt;="&amp;DATE(YEAR(ID$8)-1,1,1),$8:$8,"&lt;="&amp;EOMONTH(ID$8,-12))-1</f>
        <v/>
      </c>
      <c r="IE57" s="1318">
        <f>SUMIFS(54:54,$8:$8,"&gt;="&amp;DATE(YEAR(IE$8),1,1),$8:$8,"&lt;="&amp;EOMONTH(IE$8,0))/SUMIFS(54:54,$8:$8,"&gt;="&amp;DATE(YEAR(IE$8)-1,1,1),$8:$8,"&lt;="&amp;EOMONTH(IE$8,-12))-1</f>
        <v/>
      </c>
      <c r="IF57" s="1318">
        <f>SUMIFS(54:54,$8:$8,"&gt;="&amp;DATE(YEAR(IF$8),1,1),$8:$8,"&lt;="&amp;EOMONTH(IF$8,0))/SUMIFS(54:54,$8:$8,"&gt;="&amp;DATE(YEAR(IF$8)-1,1,1),$8:$8,"&lt;="&amp;EOMONTH(IF$8,-12))-1</f>
        <v/>
      </c>
      <c r="IG57" s="1318">
        <f>SUMIFS(54:54,$8:$8,"&gt;="&amp;DATE(YEAR(IG$8),1,1),$8:$8,"&lt;="&amp;EOMONTH(IG$8,0))/SUMIFS(54:54,$8:$8,"&gt;="&amp;DATE(YEAR(IG$8)-1,1,1),$8:$8,"&lt;="&amp;EOMONTH(IG$8,-12))-1</f>
        <v/>
      </c>
      <c r="IH57" s="1318">
        <f>SUMIFS(54:54,$8:$8,"&gt;="&amp;DATE(YEAR(IH$8),1,1),$8:$8,"&lt;="&amp;EOMONTH(IH$8,0))/SUMIFS(54:54,$8:$8,"&gt;="&amp;DATE(YEAR(IH$8)-1,1,1),$8:$8,"&lt;="&amp;EOMONTH(IH$8,-12))-1</f>
        <v/>
      </c>
      <c r="II57" s="1318">
        <f>SUMIFS(54:54,$8:$8,"&gt;="&amp;DATE(YEAR(II$8),1,1),$8:$8,"&lt;="&amp;EOMONTH(II$8,0))/SUMIFS(54:54,$8:$8,"&gt;="&amp;DATE(YEAR(II$8)-1,1,1),$8:$8,"&lt;="&amp;EOMONTH(II$8,-12))-1</f>
        <v/>
      </c>
      <c r="IJ57" s="1318">
        <f>SUMIFS(54:54,$8:$8,"&gt;="&amp;DATE(YEAR(IJ$8),1,1),$8:$8,"&lt;="&amp;EOMONTH(IJ$8,0))/SUMIFS(54:54,$8:$8,"&gt;="&amp;DATE(YEAR(IJ$8)-1,1,1),$8:$8,"&lt;="&amp;EOMONTH(IJ$8,-12))-1</f>
        <v/>
      </c>
      <c r="IK57" s="1318">
        <f>SUMIFS(54:54,$8:$8,"&gt;="&amp;DATE(YEAR(IK$8),1,1),$8:$8,"&lt;="&amp;EOMONTH(IK$8,0))/SUMIFS(54:54,$8:$8,"&gt;="&amp;DATE(YEAR(IK$8)-1,1,1),$8:$8,"&lt;="&amp;EOMONTH(IK$8,-12))-1</f>
        <v/>
      </c>
      <c r="IL57" s="1318">
        <f>SUMIFS(54:54,$8:$8,"&gt;="&amp;DATE(YEAR(IL$8),1,1),$8:$8,"&lt;="&amp;EOMONTH(IL$8,0))/SUMIFS(54:54,$8:$8,"&gt;="&amp;DATE(YEAR(IL$8)-1,1,1),$8:$8,"&lt;="&amp;EOMONTH(IL$8,-12))-1</f>
        <v/>
      </c>
      <c r="IM57" s="1318">
        <f>SUMIFS(54:54,$8:$8,"&gt;="&amp;DATE(YEAR(IM$8),1,1),$8:$8,"&lt;="&amp;EOMONTH(IM$8,0))/SUMIFS(54:54,$8:$8,"&gt;="&amp;DATE(YEAR(IM$8)-1,1,1),$8:$8,"&lt;="&amp;EOMONTH(IM$8,-12))-1</f>
        <v/>
      </c>
      <c r="IN57" s="1318">
        <f>SUMIFS(54:54,$8:$8,"&gt;="&amp;DATE(YEAR(IN$8),1,1),$8:$8,"&lt;="&amp;EOMONTH(IN$8,0))/SUMIFS(54:54,$8:$8,"&gt;="&amp;DATE(YEAR(IN$8)-1,1,1),$8:$8,"&lt;="&amp;EOMONTH(IN$8,-12))-1</f>
        <v/>
      </c>
      <c r="IO57" s="1318">
        <f>SUMIFS(54:54,$8:$8,"&gt;="&amp;DATE(YEAR(IO$8),1,1),$8:$8,"&lt;="&amp;EOMONTH(IO$8,0))/SUMIFS(54:54,$8:$8,"&gt;="&amp;DATE(YEAR(IO$8)-1,1,1),$8:$8,"&lt;="&amp;EOMONTH(IO$8,-12))-1</f>
        <v/>
      </c>
      <c r="IP57" s="1318">
        <f>SUMIFS(54:54,$8:$8,"&gt;="&amp;DATE(YEAR(IP$8),1,1),$8:$8,"&lt;="&amp;EOMONTH(IP$8,0))/SUMIFS(54:54,$8:$8,"&gt;="&amp;DATE(YEAR(IP$8)-1,1,1),$8:$8,"&lt;="&amp;EOMONTH(IP$8,-12))-1</f>
        <v/>
      </c>
      <c r="IQ57" s="1318">
        <f>SUMIFS(54:54,$8:$8,"&gt;="&amp;DATE(YEAR(IQ$8),1,1),$8:$8,"&lt;="&amp;EOMONTH(IQ$8,0))/SUMIFS(54:54,$8:$8,"&gt;="&amp;DATE(YEAR(IQ$8)-1,1,1),$8:$8,"&lt;="&amp;EOMONTH(IQ$8,-12))-1</f>
        <v/>
      </c>
      <c r="IR57" s="1318">
        <f>SUMIFS(54:54,$8:$8,"&gt;="&amp;DATE(YEAR(IR$8),1,1),$8:$8,"&lt;="&amp;EOMONTH(IR$8,0))/SUMIFS(54:54,$8:$8,"&gt;="&amp;DATE(YEAR(IR$8)-1,1,1),$8:$8,"&lt;="&amp;EOMONTH(IR$8,-12))-1</f>
        <v/>
      </c>
      <c r="IS57" s="1318">
        <f>SUMIFS(54:54,$8:$8,"&gt;="&amp;DATE(YEAR(IS$8),1,1),$8:$8,"&lt;="&amp;EOMONTH(IS$8,0))/SUMIFS(54:54,$8:$8,"&gt;="&amp;DATE(YEAR(IS$8)-1,1,1),$8:$8,"&lt;="&amp;EOMONTH(IS$8,-12))-1</f>
        <v/>
      </c>
      <c r="IT57" s="1318">
        <f>SUMIFS(54:54,$8:$8,"&gt;="&amp;DATE(YEAR(IT$8),1,1),$8:$8,"&lt;="&amp;EOMONTH(IT$8,0))/SUMIFS(54:54,$8:$8,"&gt;="&amp;DATE(YEAR(IT$8)-1,1,1),$8:$8,"&lt;="&amp;EOMONTH(IT$8,-12))-1</f>
        <v/>
      </c>
      <c r="IU57" s="1318">
        <f>SUMIFS(54:54,$8:$8,"&gt;="&amp;DATE(YEAR(IU$8),1,1),$8:$8,"&lt;="&amp;EOMONTH(IU$8,0))/SUMIFS(54:54,$8:$8,"&gt;="&amp;DATE(YEAR(IU$8)-1,1,1),$8:$8,"&lt;="&amp;EOMONTH(IU$8,-12))-1</f>
        <v/>
      </c>
      <c r="IV57" s="1318">
        <f>SUMIFS(54:54,$8:$8,"&gt;="&amp;DATE(YEAR(IV$8),1,1),$8:$8,"&lt;="&amp;EOMONTH(IV$8,0))/SUMIFS(54:54,$8:$8,"&gt;="&amp;DATE(YEAR(IV$8)-1,1,1),$8:$8,"&lt;="&amp;EOMONTH(IV$8,-12))-1</f>
        <v/>
      </c>
      <c r="IW57" s="1318">
        <f>SUMIFS(54:54,$8:$8,"&gt;="&amp;DATE(YEAR(IW$8),1,1),$8:$8,"&lt;="&amp;EOMONTH(IW$8,0))/SUMIFS(54:54,$8:$8,"&gt;="&amp;DATE(YEAR(IW$8)-1,1,1),$8:$8,"&lt;="&amp;EOMONTH(IW$8,-12))-1</f>
        <v/>
      </c>
      <c r="IX57" s="1318">
        <f>SUMIFS(54:54,$8:$8,"&gt;="&amp;DATE(YEAR(IX$8),1,1),$8:$8,"&lt;="&amp;EOMONTH(IX$8,0))/SUMIFS(54:54,$8:$8,"&gt;="&amp;DATE(YEAR(IX$8)-1,1,1),$8:$8,"&lt;="&amp;EOMONTH(IX$8,-12))-1</f>
        <v/>
      </c>
      <c r="IY57" s="1318">
        <f>SUMIFS(54:54,$8:$8,"&gt;="&amp;DATE(YEAR(IY$8),1,1),$8:$8,"&lt;="&amp;EOMONTH(IY$8,0))/SUMIFS(54:54,$8:$8,"&gt;="&amp;DATE(YEAR(IY$8)-1,1,1),$8:$8,"&lt;="&amp;EOMONTH(IY$8,-12))-1</f>
        <v/>
      </c>
      <c r="IZ57" s="1318">
        <f>SUMIFS(54:54,$8:$8,"&gt;="&amp;DATE(YEAR(IZ$8),1,1),$8:$8,"&lt;="&amp;EOMONTH(IZ$8,0))/SUMIFS(54:54,$8:$8,"&gt;="&amp;DATE(YEAR(IZ$8)-1,1,1),$8:$8,"&lt;="&amp;EOMONTH(IZ$8,-12))-1</f>
        <v/>
      </c>
      <c r="JA57" s="1318">
        <f>SUMIFS(54:54,$8:$8,"&gt;="&amp;DATE(YEAR(JA$8),1,1),$8:$8,"&lt;="&amp;EOMONTH(JA$8,0))/SUMIFS(54:54,$8:$8,"&gt;="&amp;DATE(YEAR(JA$8)-1,1,1),$8:$8,"&lt;="&amp;EOMONTH(JA$8,-12))-1</f>
        <v/>
      </c>
      <c r="JB57" s="1318">
        <f>SUMIFS(54:54,$8:$8,"&gt;="&amp;DATE(YEAR(JB$8),1,1),$8:$8,"&lt;="&amp;EOMONTH(JB$8,0))/SUMIFS(54:54,$8:$8,"&gt;="&amp;DATE(YEAR(JB$8)-1,1,1),$8:$8,"&lt;="&amp;EOMONTH(JB$8,-12))-1</f>
        <v/>
      </c>
      <c r="JC57" s="1318">
        <f>SUMIFS(54:54,$8:$8,"&gt;="&amp;DATE(YEAR(JC$8),1,1),$8:$8,"&lt;="&amp;EOMONTH(JC$8,0))/SUMIFS(54:54,$8:$8,"&gt;="&amp;DATE(YEAR(JC$8)-1,1,1),$8:$8,"&lt;="&amp;EOMONTH(JC$8,-12))-1</f>
        <v/>
      </c>
      <c r="JD57" s="1318">
        <f>SUMIFS(54:54,$8:$8,"&gt;="&amp;DATE(YEAR(JD$8),1,1),$8:$8,"&lt;="&amp;EOMONTH(JD$8,0))/SUMIFS(54:54,$8:$8,"&gt;="&amp;DATE(YEAR(JD$8)-1,1,1),$8:$8,"&lt;="&amp;EOMONTH(JD$8,-12))-1</f>
        <v/>
      </c>
      <c r="JE57" s="1318">
        <f>SUMIFS(54:54,$8:$8,"&gt;="&amp;DATE(YEAR(JE$8),1,1),$8:$8,"&lt;="&amp;EOMONTH(JE$8,0))/SUMIFS(54:54,$8:$8,"&gt;="&amp;DATE(YEAR(JE$8)-1,1,1),$8:$8,"&lt;="&amp;EOMONTH(JE$8,-12))-1</f>
        <v/>
      </c>
      <c r="JF57" s="1318">
        <f>SUMIFS(54:54,$8:$8,"&gt;="&amp;DATE(YEAR(JF$8),1,1),$8:$8,"&lt;="&amp;EOMONTH(JF$8,0))/SUMIFS(54:54,$8:$8,"&gt;="&amp;DATE(YEAR(JF$8)-1,1,1),$8:$8,"&lt;="&amp;EOMONTH(JF$8,-12))-1</f>
        <v/>
      </c>
      <c r="JG57" s="1318">
        <f>SUMIFS(54:54,$8:$8,"&gt;="&amp;DATE(YEAR(JG$8),1,1),$8:$8,"&lt;="&amp;EOMONTH(JG$8,0))/SUMIFS(54:54,$8:$8,"&gt;="&amp;DATE(YEAR(JG$8)-1,1,1),$8:$8,"&lt;="&amp;EOMONTH(JG$8,-12))-1</f>
        <v/>
      </c>
      <c r="JH57" s="1318">
        <f>SUMIFS(54:54,$8:$8,"&gt;="&amp;DATE(YEAR(JH$8),1,1),$8:$8,"&lt;="&amp;EOMONTH(JH$8,0))/SUMIFS(54:54,$8:$8,"&gt;="&amp;DATE(YEAR(JH$8)-1,1,1),$8:$8,"&lt;="&amp;EOMONTH(JH$8,-12))-1</f>
        <v/>
      </c>
      <c r="JI57" s="1318">
        <f>SUMIFS(54:54,$8:$8,"&gt;="&amp;DATE(YEAR(JI$8),1,1),$8:$8,"&lt;="&amp;EOMONTH(JI$8,0))/SUMIFS(54:54,$8:$8,"&gt;="&amp;DATE(YEAR(JI$8)-1,1,1),$8:$8,"&lt;="&amp;EOMONTH(JI$8,-12))-1</f>
        <v/>
      </c>
      <c r="JJ57" s="1318">
        <f>SUMIFS(54:54,$8:$8,"&gt;="&amp;DATE(YEAR(JJ$8),1,1),$8:$8,"&lt;="&amp;EOMONTH(JJ$8,0))/SUMIFS(54:54,$8:$8,"&gt;="&amp;DATE(YEAR(JJ$8)-1,1,1),$8:$8,"&lt;="&amp;EOMONTH(JJ$8,-12))-1</f>
        <v/>
      </c>
      <c r="JK57" s="1318">
        <f>SUMIFS(54:54,$8:$8,"&gt;="&amp;DATE(YEAR(JK$8),1,1),$8:$8,"&lt;="&amp;EOMONTH(JK$8,0))/SUMIFS(54:54,$8:$8,"&gt;="&amp;DATE(YEAR(JK$8)-1,1,1),$8:$8,"&lt;="&amp;EOMONTH(JK$8,-12))-1</f>
        <v/>
      </c>
      <c r="JL57" s="1318">
        <f>SUMIFS(54:54,$8:$8,"&gt;="&amp;DATE(YEAR(JL$8),1,1),$8:$8,"&lt;="&amp;EOMONTH(JL$8,0))/SUMIFS(54:54,$8:$8,"&gt;="&amp;DATE(YEAR(JL$8)-1,1,1),$8:$8,"&lt;="&amp;EOMONTH(JL$8,-12))-1</f>
        <v/>
      </c>
      <c r="JM57" s="1318">
        <f>SUMIFS(54:54,$8:$8,"&gt;="&amp;DATE(YEAR(JM$8),1,1),$8:$8,"&lt;="&amp;EOMONTH(JM$8,0))/SUMIFS(54:54,$8:$8,"&gt;="&amp;DATE(YEAR(JM$8)-1,1,1),$8:$8,"&lt;="&amp;EOMONTH(JM$8,-12))-1</f>
        <v/>
      </c>
      <c r="JN57" s="1318">
        <f>SUMIFS(54:54,$8:$8,"&gt;="&amp;DATE(YEAR(JN$8),1,1),$8:$8,"&lt;="&amp;EOMONTH(JN$8,0))/SUMIFS(54:54,$8:$8,"&gt;="&amp;DATE(YEAR(JN$8)-1,1,1),$8:$8,"&lt;="&amp;EOMONTH(JN$8,-12))-1</f>
        <v/>
      </c>
      <c r="JO57" s="1318">
        <f>SUMIFS(54:54,$8:$8,"&gt;="&amp;DATE(YEAR(JO$8),1,1),$8:$8,"&lt;="&amp;EOMONTH(JO$8,0))/SUMIFS(54:54,$8:$8,"&gt;="&amp;DATE(YEAR(JO$8)-1,1,1),$8:$8,"&lt;="&amp;EOMONTH(JO$8,-12))-1</f>
        <v/>
      </c>
      <c r="JP57" s="1318">
        <f>SUMIFS(54:54,$8:$8,"&gt;="&amp;DATE(YEAR(JP$8),1,1),$8:$8,"&lt;="&amp;EOMONTH(JP$8,0))/SUMIFS(54:54,$8:$8,"&gt;="&amp;DATE(YEAR(JP$8)-1,1,1),$8:$8,"&lt;="&amp;EOMONTH(JP$8,-12))-1</f>
        <v/>
      </c>
      <c r="JQ57" s="1318">
        <f>SUMIFS(54:54,$8:$8,"&gt;="&amp;DATE(YEAR(JQ$8),1,1),$8:$8,"&lt;="&amp;EOMONTH(JQ$8,0))/SUMIFS(54:54,$8:$8,"&gt;="&amp;DATE(YEAR(JQ$8)-1,1,1),$8:$8,"&lt;="&amp;EOMONTH(JQ$8,-12))-1</f>
        <v/>
      </c>
      <c r="JR57" s="1318">
        <f>SUMIFS(54:54,$8:$8,"&gt;="&amp;DATE(YEAR(JR$8),1,1),$8:$8,"&lt;="&amp;EOMONTH(JR$8,0))/SUMIFS(54:54,$8:$8,"&gt;="&amp;DATE(YEAR(JR$8)-1,1,1),$8:$8,"&lt;="&amp;EOMONTH(JR$8,-12))-1</f>
        <v/>
      </c>
      <c r="JS57" s="1318">
        <f>SUMIFS(54:54,$8:$8,"&gt;="&amp;DATE(YEAR(JS$8),1,1),$8:$8,"&lt;="&amp;EOMONTH(JS$8,0))/SUMIFS(54:54,$8:$8,"&gt;="&amp;DATE(YEAR(JS$8)-1,1,1),$8:$8,"&lt;="&amp;EOMONTH(JS$8,-12))-1</f>
        <v/>
      </c>
      <c r="JT57" s="1318">
        <f>SUMIFS(54:54,$8:$8,"&gt;="&amp;DATE(YEAR(JT$8),1,1),$8:$8,"&lt;="&amp;EOMONTH(JT$8,0))/SUMIFS(54:54,$8:$8,"&gt;="&amp;DATE(YEAR(JT$8)-1,1,1),$8:$8,"&lt;="&amp;EOMONTH(JT$8,-12))-1</f>
        <v/>
      </c>
      <c r="JU57" s="1318">
        <f>SUMIFS(54:54,$8:$8,"&gt;="&amp;DATE(YEAR(JU$8),1,1),$8:$8,"&lt;="&amp;EOMONTH(JU$8,0))/SUMIFS(54:54,$8:$8,"&gt;="&amp;DATE(YEAR(JU$8)-1,1,1),$8:$8,"&lt;="&amp;EOMONTH(JU$8,-12))-1</f>
        <v/>
      </c>
      <c r="JV57" s="1318">
        <f>SUMIFS(54:54,$8:$8,"&gt;="&amp;DATE(YEAR(JV$8),1,1),$8:$8,"&lt;="&amp;EOMONTH(JV$8,0))/SUMIFS(54:54,$8:$8,"&gt;="&amp;DATE(YEAR(JV$8)-1,1,1),$8:$8,"&lt;="&amp;EOMONTH(JV$8,-12))-1</f>
        <v/>
      </c>
      <c r="JW57" s="1318">
        <f>SUMIFS(54:54,$8:$8,"&gt;="&amp;DATE(YEAR(JW$8),1,1),$8:$8,"&lt;="&amp;EOMONTH(JW$8,0))/SUMIFS(54:54,$8:$8,"&gt;="&amp;DATE(YEAR(JW$8)-1,1,1),$8:$8,"&lt;="&amp;EOMONTH(JW$8,-12))-1</f>
        <v/>
      </c>
      <c r="JX57" s="1318">
        <f>SUMIFS(54:54,$8:$8,"&gt;="&amp;DATE(YEAR(JX$8),1,1),$8:$8,"&lt;="&amp;EOMONTH(JX$8,0))/SUMIFS(54:54,$8:$8,"&gt;="&amp;DATE(YEAR(JX$8)-1,1,1),$8:$8,"&lt;="&amp;EOMONTH(JX$8,-12))-1</f>
        <v/>
      </c>
      <c r="JY57" s="1318">
        <f>SUMIFS(54:54,$8:$8,"&gt;="&amp;DATE(YEAR(JY$8),1,1),$8:$8,"&lt;="&amp;EOMONTH(JY$8,0))/SUMIFS(54:54,$8:$8,"&gt;="&amp;DATE(YEAR(JY$8)-1,1,1),$8:$8,"&lt;="&amp;EOMONTH(JY$8,-12))-1</f>
        <v/>
      </c>
      <c r="JZ57" s="1318">
        <f>SUMIFS(54:54,$8:$8,"&gt;="&amp;DATE(YEAR(JZ$8),1,1),$8:$8,"&lt;="&amp;EOMONTH(JZ$8,0))/SUMIFS(54:54,$8:$8,"&gt;="&amp;DATE(YEAR(JZ$8)-1,1,1),$8:$8,"&lt;="&amp;EOMONTH(JZ$8,-12))-1</f>
        <v/>
      </c>
      <c r="KA57" s="1318">
        <f>SUMIFS(54:54,$8:$8,"&gt;="&amp;DATE(YEAR(KA$8),1,1),$8:$8,"&lt;="&amp;EOMONTH(KA$8,0))/SUMIFS(54:54,$8:$8,"&gt;="&amp;DATE(YEAR(KA$8)-1,1,1),$8:$8,"&lt;="&amp;EOMONTH(KA$8,-12))-1</f>
        <v/>
      </c>
      <c r="KB57" s="1318">
        <f>SUMIFS(54:54,$8:$8,"&gt;="&amp;DATE(YEAR(KB$8),1,1),$8:$8,"&lt;="&amp;EOMONTH(KB$8,0))/SUMIFS(54:54,$8:$8,"&gt;="&amp;DATE(YEAR(KB$8)-1,1,1),$8:$8,"&lt;="&amp;EOMONTH(KB$8,-12))-1</f>
        <v/>
      </c>
      <c r="KC57" s="1318">
        <f>SUMIFS(54:54,$8:$8,"&gt;="&amp;DATE(YEAR(KC$8),1,1),$8:$8,"&lt;="&amp;EOMONTH(KC$8,0))/SUMIFS(54:54,$8:$8,"&gt;="&amp;DATE(YEAR(KC$8)-1,1,1),$8:$8,"&lt;="&amp;EOMONTH(KC$8,-12))-1</f>
        <v/>
      </c>
      <c r="KD57" s="1318">
        <f>SUMIFS(54:54,$8:$8,"&gt;="&amp;DATE(YEAR(KD$8),1,1),$8:$8,"&lt;="&amp;EOMONTH(KD$8,0))/SUMIFS(54:54,$8:$8,"&gt;="&amp;DATE(YEAR(KD$8)-1,1,1),$8:$8,"&lt;="&amp;EOMONTH(KD$8,-12))-1</f>
        <v/>
      </c>
      <c r="KE57" s="1318">
        <f>SUMIFS(54:54,$8:$8,"&gt;="&amp;DATE(YEAR(KE$8),1,1),$8:$8,"&lt;="&amp;EOMONTH(KE$8,0))/SUMIFS(54:54,$8:$8,"&gt;="&amp;DATE(YEAR(KE$8)-1,1,1),$8:$8,"&lt;="&amp;EOMONTH(KE$8,-12))-1</f>
        <v/>
      </c>
      <c r="KF57" s="1318">
        <f>SUMIFS(54:54,$8:$8,"&gt;="&amp;DATE(YEAR(KF$8),1,1),$8:$8,"&lt;="&amp;EOMONTH(KF$8,0))/SUMIFS(54:54,$8:$8,"&gt;="&amp;DATE(YEAR(KF$8)-1,1,1),$8:$8,"&lt;="&amp;EOMONTH(KF$8,-12))-1</f>
        <v/>
      </c>
      <c r="KG57" s="1318">
        <f>SUMIFS(54:54,$8:$8,"&gt;="&amp;DATE(YEAR(KG$8),1,1),$8:$8,"&lt;="&amp;EOMONTH(KG$8,0))/SUMIFS(54:54,$8:$8,"&gt;="&amp;DATE(YEAR(KG$8)-1,1,1),$8:$8,"&lt;="&amp;EOMONTH(KG$8,-12))-1</f>
        <v/>
      </c>
      <c r="KH57" s="1318">
        <f>SUMIFS(54:54,$8:$8,"&gt;="&amp;DATE(YEAR(KH$8),1,1),$8:$8,"&lt;="&amp;EOMONTH(KH$8,0))/SUMIFS(54:54,$8:$8,"&gt;="&amp;DATE(YEAR(KH$8)-1,1,1),$8:$8,"&lt;="&amp;EOMONTH(KH$8,-12))-1</f>
        <v/>
      </c>
      <c r="KI57" s="1318">
        <f>SUMIFS(54:54,$8:$8,"&gt;="&amp;DATE(YEAR(KI$8),1,1),$8:$8,"&lt;="&amp;EOMONTH(KI$8,0))/SUMIFS(54:54,$8:$8,"&gt;="&amp;DATE(YEAR(KI$8)-1,1,1),$8:$8,"&lt;="&amp;EOMONTH(KI$8,-12))-1</f>
        <v/>
      </c>
      <c r="KJ57" s="1318">
        <f>SUMIFS(54:54,$8:$8,"&gt;="&amp;DATE(YEAR(KJ$8),1,1),$8:$8,"&lt;="&amp;EOMONTH(KJ$8,0))/SUMIFS(54:54,$8:$8,"&gt;="&amp;DATE(YEAR(KJ$8)-1,1,1),$8:$8,"&lt;="&amp;EOMONTH(KJ$8,-12))-1</f>
        <v/>
      </c>
      <c r="KK57" s="1318">
        <f>SUMIFS(54:54,$8:$8,"&gt;="&amp;DATE(YEAR(KK$8),1,1),$8:$8,"&lt;="&amp;EOMONTH(KK$8,0))/SUMIFS(54:54,$8:$8,"&gt;="&amp;DATE(YEAR(KK$8)-1,1,1),$8:$8,"&lt;="&amp;EOMONTH(KK$8,-12))-1</f>
        <v/>
      </c>
      <c r="KL57" s="1318">
        <f>SUMIFS(54:54,$8:$8,"&gt;="&amp;DATE(YEAR(KL$8),1,1),$8:$8,"&lt;="&amp;EOMONTH(KL$8,0))/SUMIFS(54:54,$8:$8,"&gt;="&amp;DATE(YEAR(KL$8)-1,1,1),$8:$8,"&lt;="&amp;EOMONTH(KL$8,-12))-1</f>
        <v/>
      </c>
      <c r="KM57" s="1318">
        <f>SUMIFS(54:54,$8:$8,"&gt;="&amp;DATE(YEAR(KM$8),1,1),$8:$8,"&lt;="&amp;EOMONTH(KM$8,0))/SUMIFS(54:54,$8:$8,"&gt;="&amp;DATE(YEAR(KM$8)-1,1,1),$8:$8,"&lt;="&amp;EOMONTH(KM$8,-12))-1</f>
        <v/>
      </c>
      <c r="KN57" s="1318">
        <f>SUMIFS(54:54,$8:$8,"&gt;="&amp;DATE(YEAR(KN$8),1,1),$8:$8,"&lt;="&amp;EOMONTH(KN$8,0))/SUMIFS(54:54,$8:$8,"&gt;="&amp;DATE(YEAR(KN$8)-1,1,1),$8:$8,"&lt;="&amp;EOMONTH(KN$8,-12))-1</f>
        <v/>
      </c>
      <c r="KO57" s="1318">
        <f>SUMIFS(54:54,$8:$8,"&gt;="&amp;DATE(YEAR(KO$8),1,1),$8:$8,"&lt;="&amp;EOMONTH(KO$8,0))/SUMIFS(54:54,$8:$8,"&gt;="&amp;DATE(YEAR(KO$8)-1,1,1),$8:$8,"&lt;="&amp;EOMONTH(KO$8,-12))-1</f>
        <v/>
      </c>
      <c r="KP57" s="1318">
        <f>SUMIFS(54:54,$8:$8,"&gt;="&amp;DATE(YEAR(KP$8),1,1),$8:$8,"&lt;="&amp;EOMONTH(KP$8,0))/SUMIFS(54:54,$8:$8,"&gt;="&amp;DATE(YEAR(KP$8)-1,1,1),$8:$8,"&lt;="&amp;EOMONTH(KP$8,-12))-1</f>
        <v/>
      </c>
      <c r="KQ57" s="1318">
        <f>SUMIFS(54:54,$8:$8,"&gt;="&amp;DATE(YEAR(KQ$8),1,1),$8:$8,"&lt;="&amp;EOMONTH(KQ$8,0))/SUMIFS(54:54,$8:$8,"&gt;="&amp;DATE(YEAR(KQ$8)-1,1,1),$8:$8,"&lt;="&amp;EOMONTH(KQ$8,-12))-1</f>
        <v/>
      </c>
      <c r="KR57" s="1318">
        <f>SUMIFS(54:54,$8:$8,"&gt;="&amp;DATE(YEAR(KR$8),1,1),$8:$8,"&lt;="&amp;EOMONTH(KR$8,0))/SUMIFS(54:54,$8:$8,"&gt;="&amp;DATE(YEAR(KR$8)-1,1,1),$8:$8,"&lt;="&amp;EOMONTH(KR$8,-12))-1</f>
        <v/>
      </c>
      <c r="KS57" s="1318">
        <f>SUMIFS(54:54,$8:$8,"&gt;="&amp;DATE(YEAR(KS$8),1,1),$8:$8,"&lt;="&amp;EOMONTH(KS$8,0))/SUMIFS(54:54,$8:$8,"&gt;="&amp;DATE(YEAR(KS$8)-1,1,1),$8:$8,"&lt;="&amp;EOMONTH(KS$8,-12))-1</f>
        <v/>
      </c>
      <c r="KT57" s="1318">
        <f>SUMIFS(54:54,$8:$8,"&gt;="&amp;DATE(YEAR(KT$8),1,1),$8:$8,"&lt;="&amp;EOMONTH(KT$8,0))/SUMIFS(54:54,$8:$8,"&gt;="&amp;DATE(YEAR(KT$8)-1,1,1),$8:$8,"&lt;="&amp;EOMONTH(KT$8,-12))-1</f>
        <v/>
      </c>
      <c r="KU57" s="1318">
        <f>SUMIFS(54:54,$8:$8,"&gt;="&amp;DATE(YEAR(KU$8),1,1),$8:$8,"&lt;="&amp;EOMONTH(KU$8,0))/SUMIFS(54:54,$8:$8,"&gt;="&amp;DATE(YEAR(KU$8)-1,1,1),$8:$8,"&lt;="&amp;EOMONTH(KU$8,-12))-1</f>
        <v/>
      </c>
      <c r="KV57" s="1318">
        <f>SUMIFS(54:54,$8:$8,"&gt;="&amp;DATE(YEAR(KV$8),1,1),$8:$8,"&lt;="&amp;EOMONTH(KV$8,0))/SUMIFS(54:54,$8:$8,"&gt;="&amp;DATE(YEAR(KV$8)-1,1,1),$8:$8,"&lt;="&amp;EOMONTH(KV$8,-12))-1</f>
        <v/>
      </c>
      <c r="KW57" s="1318">
        <f>SUMIFS(54:54,$8:$8,"&gt;="&amp;DATE(YEAR(KW$8),1,1),$8:$8,"&lt;="&amp;EOMONTH(KW$8,0))/SUMIFS(54:54,$8:$8,"&gt;="&amp;DATE(YEAR(KW$8)-1,1,1),$8:$8,"&lt;="&amp;EOMONTH(KW$8,-12))-1</f>
        <v/>
      </c>
      <c r="KX57" s="1318">
        <f>SUMIFS(54:54,$8:$8,"&gt;="&amp;DATE(YEAR(KX$8),1,1),$8:$8,"&lt;="&amp;EOMONTH(KX$8,0))/SUMIFS(54:54,$8:$8,"&gt;="&amp;DATE(YEAR(KX$8)-1,1,1),$8:$8,"&lt;="&amp;EOMONTH(KX$8,-12))-1</f>
        <v/>
      </c>
      <c r="KY57" s="1318">
        <f>SUMIFS(54:54,$8:$8,"&gt;="&amp;DATE(YEAR(KY$8),1,1),$8:$8,"&lt;="&amp;EOMONTH(KY$8,0))/SUMIFS(54:54,$8:$8,"&gt;="&amp;DATE(YEAR(KY$8)-1,1,1),$8:$8,"&lt;="&amp;EOMONTH(KY$8,-12))-1</f>
        <v/>
      </c>
      <c r="KZ57" s="1318">
        <f>SUMIFS(54:54,$8:$8,"&gt;="&amp;DATE(YEAR(KZ$8),1,1),$8:$8,"&lt;="&amp;EOMONTH(KZ$8,0))/SUMIFS(54:54,$8:$8,"&gt;="&amp;DATE(YEAR(KZ$8)-1,1,1),$8:$8,"&lt;="&amp;EOMONTH(KZ$8,-12))-1</f>
        <v/>
      </c>
      <c r="LA57" s="1318">
        <f>SUMIFS(54:54,$8:$8,"&gt;="&amp;DATE(YEAR(LA$8),1,1),$8:$8,"&lt;="&amp;EOMONTH(LA$8,0))/SUMIFS(54:54,$8:$8,"&gt;="&amp;DATE(YEAR(LA$8)-1,1,1),$8:$8,"&lt;="&amp;EOMONTH(LA$8,-12))-1</f>
        <v/>
      </c>
      <c r="LB57" s="1318" t="n"/>
      <c r="LC57" s="1318" t="n"/>
      <c r="LD57" s="1318" t="n"/>
      <c r="LE57" s="1318" t="n"/>
      <c r="LF57" s="1318" t="n"/>
      <c r="LG57" s="1318" t="n"/>
      <c r="LH57" s="1318" t="n"/>
      <c r="LI57" s="1318" t="n"/>
      <c r="LJ57" s="1318" t="n"/>
      <c r="LK57" s="1318" t="n"/>
      <c r="LL57" s="1318" t="n"/>
      <c r="LM57" s="1318" t="n"/>
      <c r="LN57" s="1318" t="n"/>
      <c r="LO57" s="1318" t="n"/>
      <c r="LP57" s="1318" t="n"/>
      <c r="LQ57" s="1318" t="n"/>
      <c r="LR57" s="1318" t="n"/>
      <c r="LS57" s="1318" t="n"/>
    </row>
    <row r="58" ht="15" customHeight="1" s="239">
      <c r="A58" s="1319" t="inlineStr">
        <is>
          <t>Nth America</t>
        </is>
      </c>
      <c r="B58" s="1320" t="n"/>
      <c r="C58" s="1319" t="n"/>
      <c r="D58" s="1319" t="n"/>
      <c r="E58" s="1319" t="n"/>
      <c r="F58" s="1319" t="n"/>
      <c r="G58" s="1319" t="n"/>
      <c r="H58" s="1319" t="n"/>
      <c r="I58" s="1319" t="n"/>
      <c r="J58" s="1319" t="n"/>
      <c r="K58" s="1319" t="n"/>
      <c r="L58" s="1319" t="n"/>
      <c r="M58" s="1319" t="n"/>
      <c r="N58" s="1320" t="n"/>
      <c r="O58" s="1319" t="n"/>
      <c r="P58" s="1319" t="n"/>
      <c r="Q58" s="1319" t="n"/>
      <c r="R58" s="1319" t="n"/>
      <c r="S58" s="1319" t="n"/>
      <c r="T58" s="1319" t="n"/>
      <c r="U58" s="1319" t="n"/>
      <c r="V58" s="1319" t="n"/>
      <c r="W58" s="1319" t="n"/>
      <c r="X58" s="1319" t="n"/>
      <c r="Y58" s="1319" t="n"/>
      <c r="Z58" s="1320" t="n"/>
      <c r="AA58" s="1319" t="n"/>
      <c r="AB58" s="1319" t="n"/>
      <c r="AC58" s="1319" t="n"/>
      <c r="AD58" s="1319" t="n"/>
      <c r="AE58" s="1319" t="n"/>
      <c r="AF58" s="1319" t="n"/>
      <c r="AG58" s="1319" t="n"/>
      <c r="AH58" s="1319" t="n"/>
      <c r="AI58" s="1319" t="n"/>
      <c r="AJ58" s="1319" t="n"/>
      <c r="AK58" s="1319" t="n"/>
      <c r="AL58" s="1320" t="n"/>
      <c r="AM58" s="1319" t="n"/>
      <c r="AN58" s="1319" t="n"/>
      <c r="AO58" s="1319" t="n"/>
      <c r="AP58" s="1319" t="n"/>
      <c r="AQ58" s="1319" t="n"/>
      <c r="AR58" s="1319" t="n"/>
      <c r="AS58" s="1319" t="n"/>
      <c r="AT58" s="1319" t="n"/>
      <c r="AU58" s="1319" t="n"/>
      <c r="AV58" s="1319" t="n"/>
      <c r="AW58" s="1319" t="n"/>
      <c r="AX58" s="1320" t="n">
        <v>1231.074</v>
      </c>
      <c r="AY58" s="1320" t="n">
        <v>992.7480895526132</v>
      </c>
      <c r="AZ58" s="1320">
        <f>BL58/1.1815</f>
        <v/>
      </c>
      <c r="BA58" s="1320">
        <f>BM58/2.836</f>
        <v/>
      </c>
      <c r="BB58" s="1320">
        <f>BN58/3.904</f>
        <v/>
      </c>
      <c r="BC58" s="1320" t="n">
        <v>605.1641286810354</v>
      </c>
      <c r="BD58" s="1320" t="n">
        <v>954.8826115841258</v>
      </c>
      <c r="BE58" s="1320" t="n">
        <v>1142.395324985843</v>
      </c>
      <c r="BF58" s="1320" t="n">
        <v>977.9</v>
      </c>
      <c r="BG58" s="1320" t="n">
        <v>1088.661117039195</v>
      </c>
      <c r="BH58" s="1320" t="n">
        <v>1122.113749706827</v>
      </c>
      <c r="BI58" s="1320" t="n">
        <v>1177.471260673955</v>
      </c>
      <c r="BJ58" s="1320" t="n">
        <v>1242.505</v>
      </c>
      <c r="BK58" s="1320" t="n">
        <v>1074.142</v>
      </c>
      <c r="BL58" s="1320" t="n">
        <v>1197.209</v>
      </c>
      <c r="BM58" s="1320" t="n">
        <v>1196.745</v>
      </c>
      <c r="BN58" s="1320" t="n">
        <v>1293.769</v>
      </c>
      <c r="BO58" s="1320" t="n">
        <v>1307.139</v>
      </c>
      <c r="BP58" s="1320" t="n">
        <v>1484.086</v>
      </c>
      <c r="BQ58" s="1320" t="n">
        <v>1475.992</v>
      </c>
      <c r="BR58" s="1320" t="n">
        <v>1276.595</v>
      </c>
      <c r="BS58" s="1320" t="n">
        <v>1369.697</v>
      </c>
      <c r="BT58" s="1320" t="n">
        <v>1325.232</v>
      </c>
      <c r="BU58" s="1320" t="n">
        <v>1336.713</v>
      </c>
      <c r="BV58" s="1320" t="n">
        <v>1444.295</v>
      </c>
      <c r="BW58" s="1320">
        <f>4089.398-BV58-BX58</f>
        <v/>
      </c>
      <c r="BX58" s="1320" t="n">
        <v>1451.044</v>
      </c>
      <c r="BY58" s="1320" t="n">
        <v>1376.966</v>
      </c>
      <c r="BZ58" s="1320" t="n">
        <v>1498.268</v>
      </c>
      <c r="CA58" s="1320" t="n">
        <v>1484.768</v>
      </c>
      <c r="CB58" s="1320" t="n">
        <v>1593.998</v>
      </c>
      <c r="CC58" s="1320" t="n">
        <v>1669.464</v>
      </c>
      <c r="CD58" s="1320" t="n">
        <v>1417.785</v>
      </c>
      <c r="CE58" s="1320" t="n">
        <v>1521.93</v>
      </c>
      <c r="CF58" s="1320" t="n">
        <v>1493.545</v>
      </c>
      <c r="CG58" s="1320" t="n">
        <v>1636.096</v>
      </c>
      <c r="CH58" s="1320" t="n">
        <v>1754.949</v>
      </c>
      <c r="CI58" s="1320" t="n">
        <v>1411.152</v>
      </c>
      <c r="CJ58" s="1321" t="n">
        <v>1660.452</v>
      </c>
      <c r="CK58" s="1321" t="n">
        <v>1671</v>
      </c>
      <c r="CL58" s="1322" t="n">
        <v>1762</v>
      </c>
      <c r="CM58" s="1322" t="n">
        <v>1757.562</v>
      </c>
      <c r="CN58" s="1319" t="n">
        <v>1804.371</v>
      </c>
      <c r="CO58" s="1319" t="n">
        <v>1778.51</v>
      </c>
      <c r="CP58" s="1319" t="n">
        <v>1513.19</v>
      </c>
      <c r="CQ58" s="1319" t="n">
        <v>1608</v>
      </c>
      <c r="CR58" s="1319" t="n">
        <v>1561.629</v>
      </c>
      <c r="CS58" s="1319" t="n">
        <v>1614.401</v>
      </c>
      <c r="CT58" s="1319" t="n">
        <v>1722.83</v>
      </c>
      <c r="CU58" s="1319" t="n">
        <v>1398.165</v>
      </c>
      <c r="CV58" s="1319" t="n">
        <v>1766</v>
      </c>
      <c r="CW58" s="1320" t="n">
        <v>1656.105</v>
      </c>
      <c r="CX58" s="1320" t="n">
        <v>1743.809</v>
      </c>
      <c r="CY58" s="1320" t="n">
        <v>1782.223</v>
      </c>
      <c r="CZ58" s="1320" t="n">
        <v>1854.707</v>
      </c>
      <c r="DA58" s="1320" t="n">
        <v>1800.755</v>
      </c>
      <c r="DB58" s="1320" t="n">
        <v>1621.789</v>
      </c>
      <c r="DC58" s="1320" t="n">
        <v>1804.587</v>
      </c>
      <c r="DD58" s="1320" t="n">
        <v>1927.985</v>
      </c>
      <c r="DE58" s="1320" t="n">
        <v>2019.736</v>
      </c>
      <c r="DF58" s="1320" t="n">
        <v>2295.531</v>
      </c>
      <c r="DG58" s="1320" t="n">
        <v>1873.704</v>
      </c>
      <c r="DH58" s="1320" t="n">
        <v>2312.081</v>
      </c>
      <c r="DI58" s="1320" t="n">
        <v>2144.485</v>
      </c>
      <c r="DJ58" s="1320" t="n">
        <v>2386.217</v>
      </c>
      <c r="DK58" s="1320" t="n">
        <v>2375.46</v>
      </c>
      <c r="DL58" s="1320" t="n">
        <v>2452.73</v>
      </c>
      <c r="DM58" s="1320" t="n">
        <v>2307.683</v>
      </c>
      <c r="DN58" s="1320" t="n">
        <v>1871.931</v>
      </c>
      <c r="DO58" s="1320" t="n">
        <v>1890.89</v>
      </c>
      <c r="DP58" s="1320" t="n">
        <v>1773.804</v>
      </c>
      <c r="DQ58" s="1320" t="n">
        <v>1806.267</v>
      </c>
      <c r="DR58" s="1320" t="n">
        <v>1930.09</v>
      </c>
      <c r="DS58" s="1320" t="n">
        <v>1612.032</v>
      </c>
      <c r="DT58" s="1320" t="n">
        <v>1860.32</v>
      </c>
      <c r="DU58" s="1320" t="n">
        <v>1879.769</v>
      </c>
      <c r="DV58" s="1320" t="n">
        <v>1895.158</v>
      </c>
      <c r="DW58" s="1320" t="n">
        <v>1759.991</v>
      </c>
      <c r="DX58" s="1320" t="n">
        <v>1916.681</v>
      </c>
      <c r="DY58" s="1320" t="n">
        <v>1888.729</v>
      </c>
      <c r="DZ58" s="1320" t="n">
        <v>1693.377</v>
      </c>
      <c r="EA58" s="1320" t="n">
        <v>1793.257</v>
      </c>
      <c r="EB58" s="1320" t="n">
        <v>1806.541</v>
      </c>
      <c r="EC58" s="1320" t="n">
        <v>1861.061</v>
      </c>
      <c r="ED58" s="1320" t="n">
        <v>1945.587</v>
      </c>
      <c r="EE58" s="1320" t="n">
        <v>1667.079</v>
      </c>
      <c r="EF58" s="1320" t="n">
        <v>1939.782</v>
      </c>
      <c r="EG58" s="1320" t="n">
        <v>1938.139</v>
      </c>
      <c r="EH58" s="1320" t="n">
        <v>2177.846</v>
      </c>
      <c r="EI58" s="1320" t="n">
        <v>2104.652</v>
      </c>
      <c r="EJ58" s="1320" t="n">
        <v>2164.401</v>
      </c>
      <c r="EK58" s="1320" t="n">
        <v>2094.642</v>
      </c>
      <c r="EL58" s="1320" t="n">
        <v>1942.325</v>
      </c>
      <c r="EM58" s="1320" t="n">
        <v>2097.384</v>
      </c>
      <c r="EN58" s="1320" t="n">
        <v>2033.975</v>
      </c>
      <c r="EO58" s="1320" t="n">
        <v>1997.321</v>
      </c>
      <c r="EP58" s="1320" t="n">
        <v>2193.327</v>
      </c>
      <c r="EQ58" s="1320" t="n">
        <v>1793.732</v>
      </c>
      <c r="ER58" s="1320" t="n">
        <v>2189.28</v>
      </c>
      <c r="ES58" s="1320" t="n">
        <v>2190.147</v>
      </c>
      <c r="ET58" s="1320" t="n">
        <v>2493.515</v>
      </c>
      <c r="EU58" s="1320" t="n">
        <v>2379.914</v>
      </c>
      <c r="EV58" s="1320" t="n">
        <v>2498.413</v>
      </c>
      <c r="EW58" s="1320" t="n">
        <v>2436.977</v>
      </c>
      <c r="EX58" s="1320" t="n">
        <v>2317.578</v>
      </c>
      <c r="EY58" s="1320" t="n">
        <v>2449.629</v>
      </c>
      <c r="EZ58" s="1320" t="n">
        <v>2363.319</v>
      </c>
      <c r="FA58" s="1320" t="n">
        <v>2417.897</v>
      </c>
      <c r="FB58" s="1320" t="n">
        <v>2540.339</v>
      </c>
      <c r="FC58" s="1320" t="n">
        <v>2086.936</v>
      </c>
      <c r="FD58" s="1320" t="n">
        <v>2583.108</v>
      </c>
      <c r="FE58" s="1320" t="n">
        <v>2619.413</v>
      </c>
      <c r="FF58" s="1320" t="n">
        <v>2656.692</v>
      </c>
      <c r="FG58" s="1320" t="n">
        <v>2564.447</v>
      </c>
      <c r="FH58" s="1320" t="n">
        <v>2483.155</v>
      </c>
      <c r="FI58" s="1320" t="n">
        <v>2551.041</v>
      </c>
      <c r="FJ58" s="1320" t="n">
        <v>2126.059</v>
      </c>
      <c r="FK58" s="1320" t="n">
        <v>2128.423</v>
      </c>
      <c r="FL58" s="1320" t="n">
        <v>2142.198</v>
      </c>
      <c r="FM58" s="1320" t="n">
        <v>2166.513</v>
      </c>
      <c r="FN58" s="1320" t="n">
        <v>2161.753</v>
      </c>
      <c r="FO58" s="1320" t="n">
        <v>1861.67</v>
      </c>
      <c r="FP58" s="1320" t="n">
        <v>2194.927</v>
      </c>
      <c r="FQ58" s="1320" t="n">
        <v>2205.347</v>
      </c>
      <c r="FR58" s="1320" t="n">
        <v>2389.811</v>
      </c>
      <c r="FS58" s="1320" t="n">
        <v>2360.239</v>
      </c>
      <c r="FT58" s="1320" t="n">
        <v>2378.062</v>
      </c>
      <c r="FU58" s="1320" t="n">
        <v>2459.504</v>
      </c>
      <c r="FV58" s="1320" t="n">
        <v>2194.078</v>
      </c>
      <c r="FW58" s="1320" t="n">
        <v>2384.082</v>
      </c>
      <c r="FX58" s="1320" t="n">
        <v>2319.881</v>
      </c>
      <c r="FY58" s="1320" t="n">
        <v>2431.12</v>
      </c>
      <c r="FZ58" s="1320" t="n">
        <v>2513.892</v>
      </c>
      <c r="GA58" s="1320" t="n">
        <v>2114.522</v>
      </c>
      <c r="GB58" s="1320" t="n">
        <v>2561.665</v>
      </c>
      <c r="GC58" s="1320" t="n">
        <v>2561.365</v>
      </c>
      <c r="GD58" s="1320" t="n">
        <v>2773.696</v>
      </c>
      <c r="GE58" s="1320" t="n">
        <v>2814.344</v>
      </c>
      <c r="GF58" s="1320" t="n">
        <v>2865.025</v>
      </c>
      <c r="GG58" s="1320" t="n">
        <v>3059.322</v>
      </c>
      <c r="GH58" s="1320" t="n">
        <v>2511.653</v>
      </c>
      <c r="GI58" s="1320" t="n">
        <v>2619.561</v>
      </c>
      <c r="GJ58" s="1320" t="n">
        <v>2443.969</v>
      </c>
      <c r="GK58" s="1320" t="n">
        <v>2747.405</v>
      </c>
      <c r="GL58" s="1320" t="n">
        <v>2797.711</v>
      </c>
      <c r="GM58" s="1320" t="n">
        <v>2383.734</v>
      </c>
      <c r="GN58" s="1320" t="n">
        <v>2754.971</v>
      </c>
      <c r="GO58" s="1320" t="n">
        <v>2589.238</v>
      </c>
      <c r="GP58" s="1320" t="n">
        <v>3044.739</v>
      </c>
      <c r="GQ58" s="1320" t="n">
        <v>2984.053</v>
      </c>
      <c r="GR58" s="1320" t="n">
        <v>3050.269</v>
      </c>
      <c r="GS58" s="1320" t="n">
        <v>3198.504</v>
      </c>
      <c r="GT58" s="1320" t="n">
        <v>2646.382</v>
      </c>
      <c r="GU58" s="1320" t="n">
        <v>2859.933</v>
      </c>
      <c r="GV58" s="1320" t="n">
        <v>2704.298</v>
      </c>
      <c r="GW58" s="1320" t="n">
        <v>2848.987</v>
      </c>
      <c r="GX58" s="1320" t="n">
        <v>2998.067</v>
      </c>
      <c r="GY58" s="1320" t="n">
        <v>2481.175</v>
      </c>
      <c r="GZ58" s="1320" t="n">
        <v>2746.213</v>
      </c>
      <c r="HA58" s="1320" t="n">
        <v>2623.348</v>
      </c>
      <c r="HB58" s="1320" t="n">
        <v>3063.579</v>
      </c>
      <c r="HC58" s="1320" t="n">
        <v>3040.284</v>
      </c>
      <c r="HD58" s="1320" t="n">
        <v>3162.759</v>
      </c>
      <c r="HE58" s="1320" t="n">
        <v>3176.372</v>
      </c>
      <c r="HF58" s="1320" t="n">
        <v>2672.791</v>
      </c>
      <c r="HG58" s="1320" t="n">
        <v>2739.422</v>
      </c>
      <c r="HH58" s="1320" t="n">
        <v>2562.439</v>
      </c>
      <c r="HI58" s="1320" t="n">
        <v>2859.527</v>
      </c>
      <c r="HJ58" s="892" t="n">
        <v>2992.782</v>
      </c>
      <c r="HK58" s="892" t="n">
        <v>2325.064</v>
      </c>
      <c r="HL58" s="892" t="n">
        <v>2671.697</v>
      </c>
      <c r="HM58" s="892" t="n">
        <v>2839.164</v>
      </c>
      <c r="HN58" s="892" t="n">
        <v>3120.448</v>
      </c>
      <c r="HO58" s="892" t="n">
        <v>3050.85</v>
      </c>
      <c r="HP58" s="892" t="n">
        <v>3239.558</v>
      </c>
      <c r="HQ58" s="892" t="n">
        <v>3212.839</v>
      </c>
      <c r="HR58" s="892" t="n">
        <v>2536.634</v>
      </c>
      <c r="HS58" s="892" t="n">
        <v>2756.427</v>
      </c>
      <c r="HT58" s="892" t="n">
        <v>2691.246</v>
      </c>
      <c r="HU58" s="892" t="n">
        <v>2912.992</v>
      </c>
      <c r="HV58" s="892" t="n">
        <v>2980.76</v>
      </c>
      <c r="HW58" s="892" t="n">
        <v>2522.071</v>
      </c>
      <c r="HX58" s="892" t="n">
        <v>2857.817</v>
      </c>
      <c r="HY58" s="892" t="n">
        <v>2720.79</v>
      </c>
      <c r="HZ58" s="892" t="n">
        <v>3064.409</v>
      </c>
      <c r="IA58" s="892" t="n">
        <v>3051.557</v>
      </c>
      <c r="IB58" s="892" t="n">
        <v>3282.499</v>
      </c>
      <c r="IC58" s="892" t="n">
        <v>3191.334</v>
      </c>
      <c r="ID58" s="892" t="n">
        <v>2500.791</v>
      </c>
      <c r="IE58" s="892" t="n">
        <v>2839.86</v>
      </c>
      <c r="IF58" s="892" t="n">
        <v>2840.973</v>
      </c>
      <c r="IG58" s="892" t="n">
        <v>3006.175</v>
      </c>
      <c r="IH58" s="892" t="n">
        <v>3327.729</v>
      </c>
      <c r="II58" s="892" t="n">
        <v>2582.178</v>
      </c>
      <c r="IJ58" s="892" t="n">
        <v>3037.032</v>
      </c>
      <c r="IK58" s="892" t="n">
        <v>2854.374</v>
      </c>
      <c r="IL58" s="892" t="n">
        <v>3298.202</v>
      </c>
      <c r="IM58" s="892" t="n">
        <v>3345.222</v>
      </c>
      <c r="IN58" s="892" t="n">
        <v>3547.894</v>
      </c>
      <c r="IO58" s="892" t="n">
        <v>3223.621</v>
      </c>
      <c r="IP58" s="892" t="n">
        <v>2426.919</v>
      </c>
      <c r="IQ58" s="892" t="n">
        <v>2709.009</v>
      </c>
      <c r="IR58" s="892" t="n">
        <v>2630.637</v>
      </c>
      <c r="IS58" s="892" t="n">
        <v>3107.668</v>
      </c>
      <c r="IT58" s="892" t="n">
        <v>3222.357</v>
      </c>
      <c r="IU58" s="892" t="n">
        <v>1310.951</v>
      </c>
      <c r="IV58" s="892" t="n">
        <v>588.562</v>
      </c>
      <c r="IW58" s="892" t="n">
        <v>33.883</v>
      </c>
      <c r="IX58" s="893" t="n">
        <v>49.542</v>
      </c>
      <c r="IY58" s="893" t="n">
        <v>71.01000000000001</v>
      </c>
      <c r="IZ58" s="893" t="n">
        <v>128.526</v>
      </c>
      <c r="JA58" s="893" t="n">
        <v>91.90900000000001</v>
      </c>
      <c r="JB58" s="893" t="n">
        <v>88.55800000000001</v>
      </c>
      <c r="JC58" s="893" t="n">
        <v>78.67100000000001</v>
      </c>
      <c r="JD58" s="893" t="n">
        <v>88.51900000000001</v>
      </c>
      <c r="JE58" s="893" t="n">
        <v>87.69799999999999</v>
      </c>
      <c r="JF58" s="893" t="n">
        <v>80.88800000000001</v>
      </c>
      <c r="JG58" s="893" t="n">
        <v>46.534</v>
      </c>
      <c r="JH58" s="893" t="n">
        <v>34.146</v>
      </c>
      <c r="JI58" s="893" t="n">
        <v>36.19</v>
      </c>
      <c r="JJ58" s="893" t="n">
        <v>48.721</v>
      </c>
      <c r="JK58" s="893" t="n">
        <v>112.329</v>
      </c>
      <c r="JL58" s="893" t="n">
        <v>155.418</v>
      </c>
      <c r="JM58" s="893" t="n">
        <v>609.751</v>
      </c>
      <c r="JN58" s="893" t="n">
        <v>307.143</v>
      </c>
      <c r="JO58" s="893" t="n">
        <v>132.776</v>
      </c>
      <c r="JP58" s="893" t="n">
        <v>170.127</v>
      </c>
      <c r="JQ58" s="893" t="n">
        <v>237.206</v>
      </c>
      <c r="JR58" s="893" t="n">
        <v>49.775</v>
      </c>
      <c r="JS58" s="893" t="n">
        <v>21.041</v>
      </c>
      <c r="JT58" s="893" t="n">
        <v>24.363</v>
      </c>
      <c r="JU58" s="893" t="n">
        <v>59.596</v>
      </c>
      <c r="JV58" s="893" t="n">
        <v>137.509</v>
      </c>
      <c r="JW58" s="893" t="n">
        <v>387.083</v>
      </c>
      <c r="JX58" s="893" t="n">
        <v>537.162</v>
      </c>
      <c r="JY58" s="893" t="n">
        <v>825.314</v>
      </c>
      <c r="JZ58" s="893" t="n">
        <v>704.054</v>
      </c>
      <c r="KA58" s="893" t="n">
        <v>714.975</v>
      </c>
      <c r="KB58" s="893" t="n">
        <v>781.0309999999999</v>
      </c>
      <c r="KC58" s="893" t="n">
        <v>1041.959</v>
      </c>
      <c r="KD58" s="893" t="n">
        <v>1211.978</v>
      </c>
      <c r="KE58" s="893" t="n">
        <v>1287.604</v>
      </c>
      <c r="KF58" s="893" t="n">
        <v>1454.777</v>
      </c>
      <c r="KG58" s="893" t="n">
        <v>1372.094</v>
      </c>
      <c r="KH58" s="893" t="n">
        <v>1585.741</v>
      </c>
      <c r="KI58" s="893" t="n">
        <v>1606.86</v>
      </c>
      <c r="KJ58" s="893" t="n">
        <v>1855.67</v>
      </c>
      <c r="KK58" s="893" t="n">
        <v>1921.066</v>
      </c>
      <c r="KL58" s="893" t="n">
        <v>1837.682</v>
      </c>
      <c r="KM58" s="893" t="n">
        <v>1961.441</v>
      </c>
      <c r="KN58" s="893" t="n">
        <v>1825.779</v>
      </c>
      <c r="KO58" s="893" t="n">
        <v>1862.265</v>
      </c>
      <c r="KP58" s="893" t="n">
        <v>2054.845</v>
      </c>
      <c r="KQ58" s="893" t="n">
        <v>1967.838</v>
      </c>
      <c r="KR58" s="893" t="n">
        <v>2200.702</v>
      </c>
      <c r="KS58" s="893" t="n">
        <v>2156.241</v>
      </c>
      <c r="KT58" s="893" t="n">
        <v>2356.016</v>
      </c>
      <c r="KU58" s="893" t="n">
        <v>2364.048</v>
      </c>
      <c r="KV58" s="893" t="n">
        <v>2454.96</v>
      </c>
      <c r="KW58" s="893" t="n">
        <v>2393.662</v>
      </c>
      <c r="KX58" s="893" t="n">
        <v>2269.56</v>
      </c>
      <c r="KY58" s="893" t="n">
        <v>2296.795</v>
      </c>
      <c r="KZ58" s="893" t="n">
        <v>2350.667</v>
      </c>
      <c r="LA58" s="893" t="n">
        <v>2524.171</v>
      </c>
      <c r="LB58" s="893" t="n"/>
      <c r="LC58" s="893" t="n"/>
      <c r="LD58" s="893" t="n"/>
      <c r="LE58" s="893" t="n"/>
      <c r="LF58" s="893" t="n"/>
      <c r="LG58" s="893" t="n"/>
      <c r="LH58" s="893" t="n"/>
      <c r="LI58" s="893" t="n"/>
      <c r="LJ58" s="893" t="n"/>
      <c r="LK58" s="893" t="n"/>
      <c r="LL58" s="893" t="n"/>
      <c r="LM58" s="893" t="n"/>
      <c r="LN58" s="893" t="n"/>
      <c r="LO58" s="893" t="n"/>
      <c r="LP58" s="893" t="n"/>
      <c r="LQ58" s="893" t="n"/>
      <c r="LR58" s="893" t="n"/>
      <c r="LS58" s="893" t="n"/>
    </row>
    <row r="59">
      <c r="A59" s="885" t="inlineStr">
        <is>
          <t>m cg %</t>
        </is>
      </c>
      <c r="B59" s="1318" t="n"/>
      <c r="C59" s="1318" t="n"/>
      <c r="D59" s="1318" t="n"/>
      <c r="E59" s="1318" t="n"/>
      <c r="F59" s="1318" t="n"/>
      <c r="G59" s="1318" t="n"/>
      <c r="H59" s="1318" t="n"/>
      <c r="I59" s="1318" t="n"/>
      <c r="J59" s="1318" t="n"/>
      <c r="K59" s="1318" t="n"/>
      <c r="L59" s="1318" t="n"/>
      <c r="M59" s="1318" t="n"/>
      <c r="N59" s="1318" t="n"/>
      <c r="O59" s="1318" t="n"/>
      <c r="P59" s="1318" t="n"/>
      <c r="Q59" s="1318" t="n"/>
      <c r="R59" s="1318" t="n"/>
      <c r="S59" s="1318" t="n"/>
      <c r="T59" s="1318" t="n"/>
      <c r="U59" s="1318" t="n"/>
      <c r="V59" s="1318" t="n"/>
      <c r="W59" s="1318" t="n"/>
      <c r="X59" s="1318" t="n"/>
      <c r="Y59" s="1318" t="n"/>
      <c r="Z59" s="1318" t="n"/>
      <c r="AA59" s="1318" t="n"/>
      <c r="AB59" s="1318" t="n"/>
      <c r="AC59" s="1318" t="n"/>
      <c r="AD59" s="1318" t="n"/>
      <c r="AE59" s="1318" t="n"/>
      <c r="AF59" s="1318" t="n"/>
      <c r="AG59" s="1318" t="n"/>
      <c r="AH59" s="1318" t="n"/>
      <c r="AI59" s="1318" t="n"/>
      <c r="AJ59" s="1318" t="n"/>
      <c r="AK59" s="1318" t="n"/>
      <c r="AL59" s="1318" t="n"/>
      <c r="AM59" s="1318" t="n"/>
      <c r="AN59" s="1318" t="n"/>
      <c r="AO59" s="1318" t="n"/>
      <c r="AP59" s="1318" t="n"/>
      <c r="AQ59" s="1318" t="n"/>
      <c r="AR59" s="1318" t="n"/>
      <c r="AS59" s="1318" t="n"/>
      <c r="AT59" s="1318" t="n"/>
      <c r="AU59" s="1318" t="n"/>
      <c r="AV59" s="1318" t="n"/>
      <c r="AW59" s="1318" t="n"/>
      <c r="AX59" s="1318" t="n"/>
      <c r="AY59" s="1318" t="n"/>
      <c r="AZ59" s="1318" t="n"/>
      <c r="BA59" s="1318" t="n"/>
      <c r="BB59" s="1318" t="n"/>
      <c r="BC59" s="1318" t="n"/>
      <c r="BD59" s="1318" t="n"/>
      <c r="BE59" s="1318" t="n"/>
      <c r="BF59" s="1318" t="n"/>
      <c r="BG59" s="1318" t="n"/>
      <c r="BH59" s="1318" t="n"/>
      <c r="BI59" s="1318" t="n"/>
      <c r="BJ59" s="1318">
        <f>BJ58/BI58-1</f>
        <v/>
      </c>
      <c r="BK59" s="1318">
        <f>BK58/BJ58-1</f>
        <v/>
      </c>
      <c r="BL59" s="1318">
        <f>BL58/BK58-1</f>
        <v/>
      </c>
      <c r="BM59" s="1318">
        <f>BM58/BL58-1</f>
        <v/>
      </c>
      <c r="BN59" s="1318">
        <f>BN58/BM58-1</f>
        <v/>
      </c>
      <c r="BO59" s="1318">
        <f>BO58/BN58-1</f>
        <v/>
      </c>
      <c r="BP59" s="1318">
        <f>BP58/BO58-1</f>
        <v/>
      </c>
      <c r="BQ59" s="1318">
        <f>BQ58/BP58-1</f>
        <v/>
      </c>
      <c r="BR59" s="1318">
        <f>BR58/BQ58-1</f>
        <v/>
      </c>
      <c r="BS59" s="1318">
        <f>BS58/BR58-1</f>
        <v/>
      </c>
      <c r="BT59" s="1318">
        <f>BT58/BS58-1</f>
        <v/>
      </c>
      <c r="BU59" s="1318">
        <f>BU58/BT58-1</f>
        <v/>
      </c>
      <c r="BV59" s="1318">
        <f>BV58/BU58-1</f>
        <v/>
      </c>
      <c r="BW59" s="1318">
        <f>BW58/BV58-1</f>
        <v/>
      </c>
      <c r="BX59" s="1318">
        <f>BX58/BW58-1</f>
        <v/>
      </c>
      <c r="BY59" s="1318">
        <f>BY58/BX58-1</f>
        <v/>
      </c>
      <c r="BZ59" s="1318">
        <f>BZ58/BY58-1</f>
        <v/>
      </c>
      <c r="CA59" s="1318">
        <f>CA58/BZ58-1</f>
        <v/>
      </c>
      <c r="CB59" s="1318">
        <f>CB58/CA58-1</f>
        <v/>
      </c>
      <c r="CC59" s="1318">
        <f>CC58/CB58-1</f>
        <v/>
      </c>
      <c r="CD59" s="1318">
        <f>CD58/CC58-1</f>
        <v/>
      </c>
      <c r="CE59" s="1318">
        <f>CE58/CD58-1</f>
        <v/>
      </c>
      <c r="CF59" s="1318">
        <f>CF58/CE58-1</f>
        <v/>
      </c>
      <c r="CG59" s="1318">
        <f>CG58/CF58-1</f>
        <v/>
      </c>
      <c r="CH59" s="1318">
        <f>CH58/CG58-1</f>
        <v/>
      </c>
      <c r="CI59" s="1318">
        <f>CI58/CH58-1</f>
        <v/>
      </c>
      <c r="CJ59" s="1318">
        <f>CJ58/CI58-1</f>
        <v/>
      </c>
      <c r="CK59" s="1318">
        <f>CK58/CJ58-1</f>
        <v/>
      </c>
      <c r="CL59" s="1318">
        <f>CL58/CK58-1</f>
        <v/>
      </c>
      <c r="CM59" s="1318">
        <f>CM58/CL58-1</f>
        <v/>
      </c>
      <c r="CN59" s="1318">
        <f>CN58/CM58-1</f>
        <v/>
      </c>
      <c r="CO59" s="1318">
        <f>CO58/CN58-1</f>
        <v/>
      </c>
      <c r="CP59" s="1318">
        <f>CP58/CO58-1</f>
        <v/>
      </c>
      <c r="CQ59" s="1318">
        <f>CQ58/CP58-1</f>
        <v/>
      </c>
      <c r="CR59" s="1318">
        <f>CR58/CQ58-1</f>
        <v/>
      </c>
      <c r="CS59" s="1318">
        <f>CS58/CR58-1</f>
        <v/>
      </c>
      <c r="CT59" s="1318">
        <f>CT58/CS58-1</f>
        <v/>
      </c>
      <c r="CU59" s="1318">
        <f>CU58/CT58-1</f>
        <v/>
      </c>
      <c r="CV59" s="1318">
        <f>CV58/CU58-1</f>
        <v/>
      </c>
      <c r="CW59" s="1318">
        <f>CW58/CV58-1</f>
        <v/>
      </c>
      <c r="CX59" s="1318">
        <f>CX58/CW58-1</f>
        <v/>
      </c>
      <c r="CY59" s="1318">
        <f>CY58/CX58-1</f>
        <v/>
      </c>
      <c r="CZ59" s="1318">
        <f>CZ58/CY58-1</f>
        <v/>
      </c>
      <c r="DA59" s="1318">
        <f>DA58/CZ58-1</f>
        <v/>
      </c>
      <c r="DB59" s="1318">
        <f>DB58/DA58-1</f>
        <v/>
      </c>
      <c r="DC59" s="1318">
        <f>DC58/DB58-1</f>
        <v/>
      </c>
      <c r="DD59" s="1318">
        <f>DD58/DC58-1</f>
        <v/>
      </c>
      <c r="DE59" s="1318">
        <f>DE58/DD58-1</f>
        <v/>
      </c>
      <c r="DF59" s="1318">
        <f>DF58/DE58-1</f>
        <v/>
      </c>
      <c r="DG59" s="1318">
        <f>DG58/DF58-1</f>
        <v/>
      </c>
      <c r="DH59" s="1318">
        <f>DH58/DG58-1</f>
        <v/>
      </c>
      <c r="DI59" s="1318">
        <f>DI58/DH58-1</f>
        <v/>
      </c>
      <c r="DJ59" s="1318">
        <f>DJ58/DI58-1</f>
        <v/>
      </c>
      <c r="DK59" s="1318">
        <f>DK58/DJ58-1</f>
        <v/>
      </c>
      <c r="DL59" s="1318">
        <f>DL58/DK58-1</f>
        <v/>
      </c>
      <c r="DM59" s="1318">
        <f>DM58/DL58-1</f>
        <v/>
      </c>
      <c r="DN59" s="1318">
        <f>DN58/DM58-1</f>
        <v/>
      </c>
      <c r="DO59" s="1318">
        <f>DO58/DN58-1</f>
        <v/>
      </c>
      <c r="DP59" s="1318">
        <f>DP58/DO58-1</f>
        <v/>
      </c>
      <c r="DQ59" s="1318">
        <f>DQ58/DP58-1</f>
        <v/>
      </c>
      <c r="DR59" s="1318">
        <f>DR58/DQ58-1</f>
        <v/>
      </c>
      <c r="DS59" s="1318">
        <f>DS58/DR58-1</f>
        <v/>
      </c>
      <c r="DT59" s="1318">
        <f>DT58/DS58-1</f>
        <v/>
      </c>
      <c r="DU59" s="1318">
        <f>DU58/DT58-1</f>
        <v/>
      </c>
      <c r="DV59" s="1318">
        <f>DV58/DU58-1</f>
        <v/>
      </c>
      <c r="DW59" s="1318">
        <f>DW58/DV58-1</f>
        <v/>
      </c>
      <c r="DX59" s="1318">
        <f>DX58/DW58-1</f>
        <v/>
      </c>
      <c r="DY59" s="1318">
        <f>DY58/DX58-1</f>
        <v/>
      </c>
      <c r="DZ59" s="1318">
        <f>DZ58/DY58-1</f>
        <v/>
      </c>
      <c r="EA59" s="1318">
        <f>EA58/DZ58-1</f>
        <v/>
      </c>
      <c r="EB59" s="1318">
        <f>EB58/EA58-1</f>
        <v/>
      </c>
      <c r="EC59" s="1318">
        <f>EC58/EB58-1</f>
        <v/>
      </c>
      <c r="ED59" s="1318">
        <f>ED58/EC58-1</f>
        <v/>
      </c>
      <c r="EE59" s="1318">
        <f>EE58/ED58-1</f>
        <v/>
      </c>
      <c r="EF59" s="1318">
        <f>EF58/EE58-1</f>
        <v/>
      </c>
      <c r="EG59" s="1318">
        <f>EG58/EF58-1</f>
        <v/>
      </c>
      <c r="EH59" s="1318">
        <f>EH58/EG58-1</f>
        <v/>
      </c>
      <c r="EI59" s="1318">
        <f>EI58/EH58-1</f>
        <v/>
      </c>
      <c r="EJ59" s="1318">
        <f>EJ58/EI58-1</f>
        <v/>
      </c>
      <c r="EK59" s="1318">
        <f>EK58/EJ58-1</f>
        <v/>
      </c>
      <c r="EL59" s="1318">
        <f>EL58/EK58-1</f>
        <v/>
      </c>
      <c r="EM59" s="1318">
        <f>EM58/EL58-1</f>
        <v/>
      </c>
      <c r="EN59" s="1318">
        <f>EN58/EM58-1</f>
        <v/>
      </c>
      <c r="EO59" s="1318">
        <f>EO58/EN58-1</f>
        <v/>
      </c>
      <c r="EP59" s="1318">
        <f>EP58/EO58-1</f>
        <v/>
      </c>
      <c r="EQ59" s="1318">
        <f>EQ58/EP58-1</f>
        <v/>
      </c>
      <c r="ER59" s="1318">
        <f>ER58/EQ58-1</f>
        <v/>
      </c>
      <c r="ES59" s="1318">
        <f>ES58/ER58-1</f>
        <v/>
      </c>
      <c r="ET59" s="1318">
        <f>ET58/ES58-1</f>
        <v/>
      </c>
      <c r="EU59" s="1318">
        <f>EU58/ET58-1</f>
        <v/>
      </c>
      <c r="EV59" s="1318">
        <f>EV58/EU58-1</f>
        <v/>
      </c>
      <c r="EW59" s="1318">
        <f>EW58/EV58-1</f>
        <v/>
      </c>
      <c r="EX59" s="1318">
        <f>EX58/EW58-1</f>
        <v/>
      </c>
      <c r="EY59" s="1318">
        <f>EY58/EX58-1</f>
        <v/>
      </c>
      <c r="EZ59" s="1318">
        <f>EZ58/EY58-1</f>
        <v/>
      </c>
      <c r="FA59" s="1318">
        <f>FA58/EZ58-1</f>
        <v/>
      </c>
      <c r="FB59" s="1318">
        <f>FB58/FA58-1</f>
        <v/>
      </c>
      <c r="FC59" s="1318">
        <f>FC58/FB58-1</f>
        <v/>
      </c>
      <c r="FD59" s="1318">
        <f>FD58/FC58-1</f>
        <v/>
      </c>
      <c r="FE59" s="1318">
        <f>FE58/FD58-1</f>
        <v/>
      </c>
      <c r="FF59" s="1318">
        <f>FF58/FE58-1</f>
        <v/>
      </c>
      <c r="FG59" s="1318">
        <f>FG58/FF58-1</f>
        <v/>
      </c>
      <c r="FH59" s="1318">
        <f>FH58/FG58-1</f>
        <v/>
      </c>
      <c r="FI59" s="1318">
        <f>FI58/FH58-1</f>
        <v/>
      </c>
      <c r="FJ59" s="1318">
        <f>FJ58/FI58-1</f>
        <v/>
      </c>
      <c r="FK59" s="1318">
        <f>FK58/FJ58-1</f>
        <v/>
      </c>
      <c r="FL59" s="1318">
        <f>FL58/FK58-1</f>
        <v/>
      </c>
      <c r="FM59" s="1318">
        <f>FM58/FL58-1</f>
        <v/>
      </c>
      <c r="FN59" s="1318">
        <f>FN58/FM58-1</f>
        <v/>
      </c>
      <c r="FO59" s="1318">
        <f>FO58/FN58-1</f>
        <v/>
      </c>
      <c r="FP59" s="1318">
        <f>FP58/FO58-1</f>
        <v/>
      </c>
      <c r="FQ59" s="1318">
        <f>FQ58/FP58-1</f>
        <v/>
      </c>
      <c r="FR59" s="1318">
        <f>FR58/FQ58-1</f>
        <v/>
      </c>
      <c r="FS59" s="1318">
        <f>FS58/FR58-1</f>
        <v/>
      </c>
      <c r="FT59" s="1318">
        <f>FT58/FS58-1</f>
        <v/>
      </c>
      <c r="FU59" s="1318">
        <f>FU58/FT58-1</f>
        <v/>
      </c>
      <c r="FV59" s="1318">
        <f>FV58/FU58-1</f>
        <v/>
      </c>
      <c r="FW59" s="1318">
        <f>FW58/FV58-1</f>
        <v/>
      </c>
      <c r="FX59" s="1318">
        <f>FX58/FW58-1</f>
        <v/>
      </c>
      <c r="FY59" s="1318">
        <f>FY58/FX58-1</f>
        <v/>
      </c>
      <c r="FZ59" s="1318">
        <f>FZ58/FY58-1</f>
        <v/>
      </c>
      <c r="GA59" s="1318">
        <f>GA58/FZ58-1</f>
        <v/>
      </c>
      <c r="GB59" s="1318">
        <f>GB58/GA58-1</f>
        <v/>
      </c>
      <c r="GC59" s="1318">
        <f>GC58/GB58-1</f>
        <v/>
      </c>
      <c r="GD59" s="1318">
        <f>GD58/GC58-1</f>
        <v/>
      </c>
      <c r="GE59" s="1318">
        <f>GE58/GD58-1</f>
        <v/>
      </c>
      <c r="GF59" s="1318">
        <f>GF58/GE58-1</f>
        <v/>
      </c>
      <c r="GG59" s="1318">
        <f>GG58/GF58-1</f>
        <v/>
      </c>
      <c r="GH59" s="1318">
        <f>GH58/GG58-1</f>
        <v/>
      </c>
      <c r="GI59" s="1318">
        <f>GI58/GH58-1</f>
        <v/>
      </c>
      <c r="GJ59" s="1318">
        <f>GJ58/GI58-1</f>
        <v/>
      </c>
      <c r="GK59" s="1318">
        <f>GK58/GJ58-1</f>
        <v/>
      </c>
      <c r="GL59" s="1318">
        <f>GL58/GK58-1</f>
        <v/>
      </c>
      <c r="GM59" s="1318">
        <f>GM58/GL58-1</f>
        <v/>
      </c>
      <c r="GN59" s="1318">
        <f>GN58/GM58-1</f>
        <v/>
      </c>
      <c r="GO59" s="1318">
        <f>GO58/GN58-1</f>
        <v/>
      </c>
      <c r="GP59" s="1318">
        <f>GP58/GO58-1</f>
        <v/>
      </c>
      <c r="GQ59" s="1318">
        <f>GQ58/GP58-1</f>
        <v/>
      </c>
      <c r="GR59" s="1318">
        <f>GR58/GQ58-1</f>
        <v/>
      </c>
      <c r="GS59" s="1318">
        <f>GS58/GR58-1</f>
        <v/>
      </c>
      <c r="GT59" s="1318">
        <f>GT58/GS58-1</f>
        <v/>
      </c>
      <c r="GU59" s="1318">
        <f>GU58/GT58-1</f>
        <v/>
      </c>
      <c r="GV59" s="1318">
        <f>GV58/GU58-1</f>
        <v/>
      </c>
      <c r="GW59" s="1318">
        <f>GW58/GV58-1</f>
        <v/>
      </c>
      <c r="GX59" s="1318">
        <f>GX58/GW58-1</f>
        <v/>
      </c>
      <c r="GY59" s="1318">
        <f>GY58/GX58-1</f>
        <v/>
      </c>
      <c r="GZ59" s="1318">
        <f>GZ58/GY58-1</f>
        <v/>
      </c>
      <c r="HA59" s="1318">
        <f>HA58/GZ58-1</f>
        <v/>
      </c>
      <c r="HB59" s="1318">
        <f>HB58/HA58-1</f>
        <v/>
      </c>
      <c r="HC59" s="1318">
        <f>HC58/HB58-1</f>
        <v/>
      </c>
      <c r="HD59" s="1318">
        <f>HD58/HC58-1</f>
        <v/>
      </c>
      <c r="HE59" s="1318">
        <f>HE58/HD58-1</f>
        <v/>
      </c>
      <c r="HF59" s="1318">
        <f>HF58/HE58-1</f>
        <v/>
      </c>
      <c r="HG59" s="1318">
        <f>HG58/HF58-1</f>
        <v/>
      </c>
      <c r="HH59" s="1318">
        <f>HH58/HG58-1</f>
        <v/>
      </c>
      <c r="HI59" s="1318">
        <f>HI58/HH58-1</f>
        <v/>
      </c>
      <c r="HJ59" s="1318">
        <f>HJ58/HI58-1</f>
        <v/>
      </c>
      <c r="HK59" s="1318">
        <f>HK58/HJ58-1</f>
        <v/>
      </c>
      <c r="HL59" s="1318">
        <f>HL58/HK58-1</f>
        <v/>
      </c>
      <c r="HM59" s="1318">
        <f>HM58/HL58-1</f>
        <v/>
      </c>
      <c r="HN59" s="1318">
        <f>HN58/HM58-1</f>
        <v/>
      </c>
      <c r="HO59" s="1318">
        <f>HO58/HN58-1</f>
        <v/>
      </c>
      <c r="HP59" s="1318">
        <f>HP58/HO58-1</f>
        <v/>
      </c>
      <c r="HQ59" s="1318">
        <f>HQ58/HP58-1</f>
        <v/>
      </c>
      <c r="HR59" s="1318">
        <f>HR58/HQ58-1</f>
        <v/>
      </c>
      <c r="HS59" s="1318">
        <f>HS58/HR58-1</f>
        <v/>
      </c>
      <c r="HT59" s="1318">
        <f>HT58/HS58-1</f>
        <v/>
      </c>
      <c r="HU59" s="1318">
        <f>HU58/HT58-1</f>
        <v/>
      </c>
      <c r="HV59" s="1318">
        <f>HV58/HU58-1</f>
        <v/>
      </c>
      <c r="HW59" s="1318">
        <f>HW58/HV58-1</f>
        <v/>
      </c>
      <c r="HX59" s="1318">
        <f>HX58/HW58-1</f>
        <v/>
      </c>
      <c r="HY59" s="1318">
        <f>HY58/HX58-1</f>
        <v/>
      </c>
      <c r="HZ59" s="1318">
        <f>HZ58/HY58-1</f>
        <v/>
      </c>
      <c r="IA59" s="1318">
        <f>IA58/HZ58-1</f>
        <v/>
      </c>
      <c r="IB59" s="1318">
        <f>IB58/IA58-1</f>
        <v/>
      </c>
      <c r="IC59" s="1318">
        <f>IC58/IB58-1</f>
        <v/>
      </c>
      <c r="ID59" s="1318">
        <f>ID58/IC58-1</f>
        <v/>
      </c>
      <c r="IE59" s="1318">
        <f>IE58/ID58-1</f>
        <v/>
      </c>
      <c r="IF59" s="1318">
        <f>IF58/IE58-1</f>
        <v/>
      </c>
      <c r="IG59" s="1318">
        <f>IG58/IF58-1</f>
        <v/>
      </c>
      <c r="IH59" s="1318">
        <f>IH58/IG58-1</f>
        <v/>
      </c>
      <c r="II59" s="1318">
        <f>II58/IH58-1</f>
        <v/>
      </c>
      <c r="IJ59" s="1318">
        <f>IJ58/II58-1</f>
        <v/>
      </c>
      <c r="IK59" s="1318">
        <f>IK58/IJ58-1</f>
        <v/>
      </c>
      <c r="IL59" s="1318">
        <f>IL58/IK58-1</f>
        <v/>
      </c>
      <c r="IM59" s="1318">
        <f>IM58/IL58-1</f>
        <v/>
      </c>
      <c r="IN59" s="1318">
        <f>IN58/IM58-1</f>
        <v/>
      </c>
      <c r="IO59" s="1318">
        <f>IO58/IN58-1</f>
        <v/>
      </c>
      <c r="IP59" s="1318">
        <f>IP58/IO58-1</f>
        <v/>
      </c>
      <c r="IQ59" s="1318">
        <f>IQ58/IP58-1</f>
        <v/>
      </c>
      <c r="IR59" s="1318">
        <f>IR58/IQ58-1</f>
        <v/>
      </c>
      <c r="IS59" s="1318">
        <f>IS58/IR58-1</f>
        <v/>
      </c>
      <c r="IT59" s="1318">
        <f>IT58/IS58-1</f>
        <v/>
      </c>
      <c r="IU59" s="1318">
        <f>IU58/IT58-1</f>
        <v/>
      </c>
      <c r="IV59" s="1318">
        <f>IV58/IU58-1</f>
        <v/>
      </c>
      <c r="IW59" s="1318">
        <f>IW58/IV58-1</f>
        <v/>
      </c>
      <c r="IX59" s="1318">
        <f>IX58/IW58-1</f>
        <v/>
      </c>
      <c r="IY59" s="1318">
        <f>IY58/IX58-1</f>
        <v/>
      </c>
      <c r="IZ59" s="1318">
        <f>IZ58/IY58-1</f>
        <v/>
      </c>
      <c r="JA59" s="1318">
        <f>JA58/IZ58-1</f>
        <v/>
      </c>
      <c r="JB59" s="1318">
        <f>JB58/JA58-1</f>
        <v/>
      </c>
      <c r="JC59" s="1318">
        <f>JC58/JB58-1</f>
        <v/>
      </c>
      <c r="JD59" s="1318">
        <f>JD58/JC58-1</f>
        <v/>
      </c>
      <c r="JE59" s="1318">
        <f>JE58/JD58-1</f>
        <v/>
      </c>
      <c r="JF59" s="1318">
        <f>JF58/JE58-1</f>
        <v/>
      </c>
      <c r="JG59" s="1318">
        <f>JG58/JF58-1</f>
        <v/>
      </c>
      <c r="JH59" s="1318">
        <f>JH58/JG58-1</f>
        <v/>
      </c>
      <c r="JI59" s="1318">
        <f>JI58/JH58-1</f>
        <v/>
      </c>
      <c r="JJ59" s="1318">
        <f>JJ58/JI58-1</f>
        <v/>
      </c>
      <c r="JK59" s="1318">
        <f>JK58/JJ58-1</f>
        <v/>
      </c>
      <c r="JL59" s="1318">
        <f>JL58/JK58-1</f>
        <v/>
      </c>
      <c r="JM59" s="1318">
        <f>JM58/JL58-1</f>
        <v/>
      </c>
      <c r="JN59" s="1318">
        <f>JN58/JM58-1</f>
        <v/>
      </c>
      <c r="JO59" s="1318">
        <f>JO58/JN58-1</f>
        <v/>
      </c>
      <c r="JP59" s="1318">
        <f>JP58/JO58-1</f>
        <v/>
      </c>
      <c r="JQ59" s="1318">
        <f>JQ58/JP58-1</f>
        <v/>
      </c>
      <c r="JR59" s="1318">
        <f>JR58/JQ58-1</f>
        <v/>
      </c>
      <c r="JS59" s="1318">
        <f>JS58/JR58-1</f>
        <v/>
      </c>
      <c r="JT59" s="1318">
        <f>JT58/JS58-1</f>
        <v/>
      </c>
      <c r="JU59" s="1318">
        <f>JU58/JT58-1</f>
        <v/>
      </c>
      <c r="JV59" s="1318">
        <f>JV58/JU58-1</f>
        <v/>
      </c>
      <c r="JW59" s="1318">
        <f>JW58/JV58-1</f>
        <v/>
      </c>
      <c r="JX59" s="1318">
        <f>JX58/JW58-1</f>
        <v/>
      </c>
      <c r="JY59" s="1318">
        <f>JY58/JX58-1</f>
        <v/>
      </c>
      <c r="JZ59" s="1318">
        <f>JZ58/JY58-1</f>
        <v/>
      </c>
      <c r="KA59" s="1318">
        <f>KA58/JZ58-1</f>
        <v/>
      </c>
      <c r="KB59" s="1318">
        <f>KB58/KA58-1</f>
        <v/>
      </c>
      <c r="KC59" s="1318">
        <f>KC58/KB58-1</f>
        <v/>
      </c>
      <c r="KD59" s="1318">
        <f>KD58/KC58-1</f>
        <v/>
      </c>
      <c r="KE59" s="1318">
        <f>KE58/KD58-1</f>
        <v/>
      </c>
      <c r="KF59" s="1318">
        <f>KF58/KE58-1</f>
        <v/>
      </c>
      <c r="KG59" s="1318">
        <f>KG58/KF58-1</f>
        <v/>
      </c>
      <c r="KH59" s="1318">
        <f>KH58/KG58-1</f>
        <v/>
      </c>
      <c r="KI59" s="1318">
        <f>KI58/KH58-1</f>
        <v/>
      </c>
      <c r="KJ59" s="1318">
        <f>KJ58/KI58-1</f>
        <v/>
      </c>
      <c r="KK59" s="1318">
        <f>KK58/KJ58-1</f>
        <v/>
      </c>
      <c r="KL59" s="1318">
        <f>KL58/KK58-1</f>
        <v/>
      </c>
      <c r="KM59" s="1318">
        <f>KM58/KL58-1</f>
        <v/>
      </c>
      <c r="KN59" s="1318">
        <f>KN58/KM58-1</f>
        <v/>
      </c>
      <c r="KO59" s="1318">
        <f>KO58/KN58-1</f>
        <v/>
      </c>
      <c r="KP59" s="1318">
        <f>KP58/KO58-1</f>
        <v/>
      </c>
      <c r="KQ59" s="1318">
        <f>KQ58/KP58-1</f>
        <v/>
      </c>
      <c r="KR59" s="1318">
        <f>KR58/KQ58-1</f>
        <v/>
      </c>
      <c r="KS59" s="1318">
        <f>KS58/KR58-1</f>
        <v/>
      </c>
      <c r="KT59" s="1318">
        <f>KT58/KS58-1</f>
        <v/>
      </c>
      <c r="KU59" s="1318">
        <f>KU58/KT58-1</f>
        <v/>
      </c>
      <c r="KV59" s="1318">
        <f>KV58/KU58-1</f>
        <v/>
      </c>
      <c r="KW59" s="1318">
        <f>KW58/KV58-1</f>
        <v/>
      </c>
      <c r="KX59" s="1318">
        <f>KX58/KW58-1</f>
        <v/>
      </c>
      <c r="KY59" s="1318">
        <f>KY58/KX58-1</f>
        <v/>
      </c>
      <c r="KZ59" s="1318">
        <f>KZ58/KY58-1</f>
        <v/>
      </c>
      <c r="LA59" s="1318">
        <f>LA58/KZ58-1</f>
        <v/>
      </c>
      <c r="LB59" s="1318" t="n"/>
      <c r="LC59" s="1318" t="n"/>
      <c r="LD59" s="1318" t="n"/>
      <c r="LE59" s="1318" t="n"/>
      <c r="LF59" s="1318" t="n"/>
      <c r="LG59" s="1318" t="n"/>
      <c r="LH59" s="1318" t="n"/>
      <c r="LI59" s="1318" t="n"/>
      <c r="LJ59" s="1318" t="n"/>
      <c r="LK59" s="1318" t="n"/>
      <c r="LL59" s="1318" t="n"/>
      <c r="LM59" s="1318" t="n"/>
      <c r="LN59" s="1318" t="n"/>
      <c r="LO59" s="1318" t="n"/>
      <c r="LP59" s="1318" t="n"/>
      <c r="LQ59" s="1318" t="n"/>
      <c r="LR59" s="1318" t="n"/>
      <c r="LS59" s="1318" t="n"/>
    </row>
    <row r="60">
      <c r="A60" s="885" t="inlineStr">
        <is>
          <t>YoY cg %</t>
        </is>
      </c>
      <c r="B60" s="1318" t="n"/>
      <c r="C60" s="1318" t="n"/>
      <c r="D60" s="1318" t="n"/>
      <c r="E60" s="1318" t="n"/>
      <c r="F60" s="1318" t="n"/>
      <c r="G60" s="1318" t="n"/>
      <c r="H60" s="1318" t="n"/>
      <c r="I60" s="1318" t="n"/>
      <c r="J60" s="1318" t="n"/>
      <c r="K60" s="1318" t="n"/>
      <c r="L60" s="1318" t="n"/>
      <c r="M60" s="1318" t="n"/>
      <c r="N60" s="1318" t="n"/>
      <c r="O60" s="1318" t="n"/>
      <c r="P60" s="1318" t="n"/>
      <c r="Q60" s="1318" t="n"/>
      <c r="R60" s="1318" t="n"/>
      <c r="S60" s="1318" t="n"/>
      <c r="T60" s="1318" t="n"/>
      <c r="U60" s="1318" t="n"/>
      <c r="V60" s="1318" t="n"/>
      <c r="W60" s="1318" t="n"/>
      <c r="X60" s="1318" t="n"/>
      <c r="Y60" s="1318" t="n"/>
      <c r="Z60" s="1318" t="n"/>
      <c r="AA60" s="1318" t="n"/>
      <c r="AB60" s="1318" t="n"/>
      <c r="AC60" s="1318" t="n"/>
      <c r="AD60" s="1318" t="n"/>
      <c r="AE60" s="1318" t="n"/>
      <c r="AF60" s="1318" t="n"/>
      <c r="AG60" s="1318" t="n"/>
      <c r="AH60" s="1318" t="n"/>
      <c r="AI60" s="1318" t="n"/>
      <c r="AJ60" s="1318" t="n"/>
      <c r="AK60" s="1318" t="n"/>
      <c r="AL60" s="1318" t="n"/>
      <c r="AM60" s="1318" t="n"/>
      <c r="AN60" s="1318" t="n"/>
      <c r="AO60" s="1318" t="n"/>
      <c r="AP60" s="1318" t="n"/>
      <c r="AQ60" s="1318" t="n"/>
      <c r="AR60" s="1318" t="n"/>
      <c r="AS60" s="1318" t="n"/>
      <c r="AT60" s="1318" t="n"/>
      <c r="AU60" s="1318" t="n"/>
      <c r="AV60" s="1318" t="n"/>
      <c r="AW60" s="1318" t="n"/>
      <c r="AX60" s="1318" t="n"/>
      <c r="AY60" s="1318" t="n"/>
      <c r="AZ60" s="1318" t="n"/>
      <c r="BA60" s="1318" t="n"/>
      <c r="BB60" s="1318" t="n"/>
      <c r="BC60" s="1318" t="n"/>
      <c r="BD60" s="1318" t="n"/>
      <c r="BE60" s="1318" t="n"/>
      <c r="BF60" s="1318" t="n"/>
      <c r="BG60" s="1318" t="n"/>
      <c r="BH60" s="1318" t="n"/>
      <c r="BI60" s="1318" t="n"/>
      <c r="BJ60" s="1318">
        <f>BJ58/AX58-1</f>
        <v/>
      </c>
      <c r="BK60" s="1318">
        <f>BK58/AY58-1</f>
        <v/>
      </c>
      <c r="BL60" s="1318">
        <f>BL58/AZ58-1</f>
        <v/>
      </c>
      <c r="BM60" s="1318">
        <f>BM58/BA58-1</f>
        <v/>
      </c>
      <c r="BN60" s="1318">
        <f>BN58/BB58-1</f>
        <v/>
      </c>
      <c r="BO60" s="1318">
        <f>BO58/BC58-1</f>
        <v/>
      </c>
      <c r="BP60" s="1318">
        <f>BP58/BD58-1</f>
        <v/>
      </c>
      <c r="BQ60" s="1318">
        <f>BQ58/BE58-1</f>
        <v/>
      </c>
      <c r="BR60" s="1318">
        <f>BR58/BF58-1</f>
        <v/>
      </c>
      <c r="BS60" s="1318">
        <f>BS58/BG58-1</f>
        <v/>
      </c>
      <c r="BT60" s="1318">
        <f>BT58/BH58-1</f>
        <v/>
      </c>
      <c r="BU60" s="1318">
        <f>BU58/BI58-1</f>
        <v/>
      </c>
      <c r="BV60" s="1318">
        <f>BV58/BJ58-1</f>
        <v/>
      </c>
      <c r="BW60" s="1318">
        <f>BW58/BK58-1</f>
        <v/>
      </c>
      <c r="BX60" s="1318">
        <f>BX58/BL58-1</f>
        <v/>
      </c>
      <c r="BY60" s="1318">
        <f>BY58/BM58-1</f>
        <v/>
      </c>
      <c r="BZ60" s="1318">
        <f>BZ58/BN58-1</f>
        <v/>
      </c>
      <c r="CA60" s="1318">
        <f>CA58/BO58-1</f>
        <v/>
      </c>
      <c r="CB60" s="1318">
        <f>CB58/BP58-1</f>
        <v/>
      </c>
      <c r="CC60" s="1318">
        <f>CC58/BQ58-1</f>
        <v/>
      </c>
      <c r="CD60" s="1318">
        <f>CD58/BR58-1</f>
        <v/>
      </c>
      <c r="CE60" s="1318">
        <f>CE58/BS58-1</f>
        <v/>
      </c>
      <c r="CF60" s="1318">
        <f>CF58/BT58-1</f>
        <v/>
      </c>
      <c r="CG60" s="1318">
        <f>CG58/BU58-1</f>
        <v/>
      </c>
      <c r="CH60" s="1318">
        <f>CH58/BV58-1</f>
        <v/>
      </c>
      <c r="CI60" s="1318">
        <f>CI58/BW58-1</f>
        <v/>
      </c>
      <c r="CJ60" s="1318">
        <f>CJ58/BX58-1</f>
        <v/>
      </c>
      <c r="CK60" s="1318">
        <f>CK58/BY58-1</f>
        <v/>
      </c>
      <c r="CL60" s="1318">
        <f>CL58/BZ58-1</f>
        <v/>
      </c>
      <c r="CM60" s="1318">
        <f>CM58/CA58-1</f>
        <v/>
      </c>
      <c r="CN60" s="1318">
        <f>CN58/CB58-1</f>
        <v/>
      </c>
      <c r="CO60" s="1318">
        <f>CO58/CC58-1</f>
        <v/>
      </c>
      <c r="CP60" s="1318">
        <f>CP58/CD58-1</f>
        <v/>
      </c>
      <c r="CQ60" s="1318">
        <f>CQ58/CE58-1</f>
        <v/>
      </c>
      <c r="CR60" s="1318">
        <f>CR58/CF58-1</f>
        <v/>
      </c>
      <c r="CS60" s="1318">
        <f>CS58/CG58-1</f>
        <v/>
      </c>
      <c r="CT60" s="1318">
        <f>CT58/CH58-1</f>
        <v/>
      </c>
      <c r="CU60" s="1318">
        <f>CU58/CI58-1</f>
        <v/>
      </c>
      <c r="CV60" s="1318">
        <f>CV58/CJ58-1</f>
        <v/>
      </c>
      <c r="CW60" s="1318">
        <f>CW58/CK58-1</f>
        <v/>
      </c>
      <c r="CX60" s="1318">
        <f>CX58/CL58-1</f>
        <v/>
      </c>
      <c r="CY60" s="1318">
        <f>CY58/CM58-1</f>
        <v/>
      </c>
      <c r="CZ60" s="1318">
        <f>CZ58/CN58-1</f>
        <v/>
      </c>
      <c r="DA60" s="1318">
        <f>DA58/CO58-1</f>
        <v/>
      </c>
      <c r="DB60" s="1318">
        <f>DB58/CP58-1</f>
        <v/>
      </c>
      <c r="DC60" s="1318">
        <f>DC58/CQ58-1</f>
        <v/>
      </c>
      <c r="DD60" s="1318">
        <f>DD58/CR58-1</f>
        <v/>
      </c>
      <c r="DE60" s="1318">
        <f>DE58/CS58-1</f>
        <v/>
      </c>
      <c r="DF60" s="1318">
        <f>DF58/CT58-1</f>
        <v/>
      </c>
      <c r="DG60" s="1318">
        <f>DG58/CU58-1</f>
        <v/>
      </c>
      <c r="DH60" s="1318">
        <f>DH58/CV58-1</f>
        <v/>
      </c>
      <c r="DI60" s="1318">
        <f>DI58/CW58-1</f>
        <v/>
      </c>
      <c r="DJ60" s="1318">
        <f>DJ58/CX58-1</f>
        <v/>
      </c>
      <c r="DK60" s="1318">
        <f>DK58/CY58-1</f>
        <v/>
      </c>
      <c r="DL60" s="1318">
        <f>DL58/CZ58-1</f>
        <v/>
      </c>
      <c r="DM60" s="1318">
        <f>DM58/DA58-1</f>
        <v/>
      </c>
      <c r="DN60" s="1318">
        <f>DN58/DB58-1</f>
        <v/>
      </c>
      <c r="DO60" s="1318">
        <f>DO58/DC58-1</f>
        <v/>
      </c>
      <c r="DP60" s="1318">
        <f>DP58/DD58-1</f>
        <v/>
      </c>
      <c r="DQ60" s="1318">
        <f>DQ58/DE58-1</f>
        <v/>
      </c>
      <c r="DR60" s="1318">
        <f>DR58/DF58-1</f>
        <v/>
      </c>
      <c r="DS60" s="1318">
        <f>DS58/DG58-1</f>
        <v/>
      </c>
      <c r="DT60" s="1318">
        <f>DT58/DH58-1</f>
        <v/>
      </c>
      <c r="DU60" s="1318">
        <f>DU58/DI58-1</f>
        <v/>
      </c>
      <c r="DV60" s="1318">
        <f>DV58/DJ58-1</f>
        <v/>
      </c>
      <c r="DW60" s="1318">
        <f>DW58/DK58-1</f>
        <v/>
      </c>
      <c r="DX60" s="1318">
        <f>DX58/DL58-1</f>
        <v/>
      </c>
      <c r="DY60" s="1318">
        <f>DY58/DM58-1</f>
        <v/>
      </c>
      <c r="DZ60" s="1318">
        <f>DZ58/DN58-1</f>
        <v/>
      </c>
      <c r="EA60" s="1318">
        <f>EA58/DO58-1</f>
        <v/>
      </c>
      <c r="EB60" s="1318">
        <f>EB58/DP58-1</f>
        <v/>
      </c>
      <c r="EC60" s="1318">
        <f>EC58/DQ58-1</f>
        <v/>
      </c>
      <c r="ED60" s="1318">
        <f>ED58/DR58-1</f>
        <v/>
      </c>
      <c r="EE60" s="1318">
        <f>EE58/DS58-1</f>
        <v/>
      </c>
      <c r="EF60" s="1318">
        <f>EF58/DT58-1</f>
        <v/>
      </c>
      <c r="EG60" s="1318">
        <f>EG58/DU58-1</f>
        <v/>
      </c>
      <c r="EH60" s="1318">
        <f>EH58/DV58-1</f>
        <v/>
      </c>
      <c r="EI60" s="1318">
        <f>EI58/DW58-1</f>
        <v/>
      </c>
      <c r="EJ60" s="1318">
        <f>EJ58/DX58-1</f>
        <v/>
      </c>
      <c r="EK60" s="1318">
        <f>EK58/DY58-1</f>
        <v/>
      </c>
      <c r="EL60" s="1318">
        <f>EL58/DZ58-1</f>
        <v/>
      </c>
      <c r="EM60" s="1318">
        <f>EM58/EA58-1</f>
        <v/>
      </c>
      <c r="EN60" s="1318">
        <f>EN58/EB58-1</f>
        <v/>
      </c>
      <c r="EO60" s="1318">
        <f>EO58/EC58-1</f>
        <v/>
      </c>
      <c r="EP60" s="1318">
        <f>EP58/ED58-1</f>
        <v/>
      </c>
      <c r="EQ60" s="1318">
        <f>EQ58/EE58-1</f>
        <v/>
      </c>
      <c r="ER60" s="1318">
        <f>ER58/EF58-1</f>
        <v/>
      </c>
      <c r="ES60" s="1318">
        <f>ES58/EG58-1</f>
        <v/>
      </c>
      <c r="ET60" s="1318">
        <f>ET58/EH58-1</f>
        <v/>
      </c>
      <c r="EU60" s="1318">
        <f>EU58/EI58-1</f>
        <v/>
      </c>
      <c r="EV60" s="1318">
        <f>EV58/EJ58-1</f>
        <v/>
      </c>
      <c r="EW60" s="1318">
        <f>EW58/EK58-1</f>
        <v/>
      </c>
      <c r="EX60" s="1318">
        <f>EX58/EL58-1</f>
        <v/>
      </c>
      <c r="EY60" s="1318">
        <f>EY58/EM58-1</f>
        <v/>
      </c>
      <c r="EZ60" s="1318">
        <f>EZ58/EN58-1</f>
        <v/>
      </c>
      <c r="FA60" s="1318">
        <f>FA58/EO58-1</f>
        <v/>
      </c>
      <c r="FB60" s="1318">
        <f>FB58/EP58-1</f>
        <v/>
      </c>
      <c r="FC60" s="1318">
        <f>FC58/EQ58-1</f>
        <v/>
      </c>
      <c r="FD60" s="1318">
        <f>FD58/ER58-1</f>
        <v/>
      </c>
      <c r="FE60" s="1318">
        <f>FE58/ES58-1</f>
        <v/>
      </c>
      <c r="FF60" s="1318">
        <f>FF58/ET58-1</f>
        <v/>
      </c>
      <c r="FG60" s="1318">
        <f>FG58/EU58-1</f>
        <v/>
      </c>
      <c r="FH60" s="1318">
        <f>FH58/EV58-1</f>
        <v/>
      </c>
      <c r="FI60" s="1318">
        <f>FI58/EW58-1</f>
        <v/>
      </c>
      <c r="FJ60" s="1318">
        <f>FJ58/EX58-1</f>
        <v/>
      </c>
      <c r="FK60" s="1318">
        <f>FK58/EY58-1</f>
        <v/>
      </c>
      <c r="FL60" s="1318">
        <f>FL58/EZ58-1</f>
        <v/>
      </c>
      <c r="FM60" s="1318">
        <f>FM58/FA58-1</f>
        <v/>
      </c>
      <c r="FN60" s="1318">
        <f>FN58/FB58-1</f>
        <v/>
      </c>
      <c r="FO60" s="1318">
        <f>FO58/FC58-1</f>
        <v/>
      </c>
      <c r="FP60" s="1318">
        <f>FP58/FD58-1</f>
        <v/>
      </c>
      <c r="FQ60" s="1318">
        <f>FQ58/FE58-1</f>
        <v/>
      </c>
      <c r="FR60" s="1318">
        <f>FR58/FF58-1</f>
        <v/>
      </c>
      <c r="FS60" s="1318">
        <f>FS58/FG58-1</f>
        <v/>
      </c>
      <c r="FT60" s="1318">
        <f>FT58/FH58-1</f>
        <v/>
      </c>
      <c r="FU60" s="1318">
        <f>FU58/FI58-1</f>
        <v/>
      </c>
      <c r="FV60" s="1318">
        <f>FV58/FJ58-1</f>
        <v/>
      </c>
      <c r="FW60" s="1318">
        <f>FW58/FK58-1</f>
        <v/>
      </c>
      <c r="FX60" s="1318">
        <f>FX58/FL58-1</f>
        <v/>
      </c>
      <c r="FY60" s="1318">
        <f>FY58/FM58-1</f>
        <v/>
      </c>
      <c r="FZ60" s="1318">
        <f>FZ58/FN58-1</f>
        <v/>
      </c>
      <c r="GA60" s="1318">
        <f>GA58/FO58-1</f>
        <v/>
      </c>
      <c r="GB60" s="1318">
        <f>GB58/FP58-1</f>
        <v/>
      </c>
      <c r="GC60" s="1318">
        <f>GC58/FQ58-1</f>
        <v/>
      </c>
      <c r="GD60" s="1318">
        <f>GD58/FR58-1</f>
        <v/>
      </c>
      <c r="GE60" s="1318">
        <f>GE58/FS58-1</f>
        <v/>
      </c>
      <c r="GF60" s="1318">
        <f>GF58/FT58-1</f>
        <v/>
      </c>
      <c r="GG60" s="1318">
        <f>GG58/FU58-1</f>
        <v/>
      </c>
      <c r="GH60" s="1318">
        <f>GH58/FV58-1</f>
        <v/>
      </c>
      <c r="GI60" s="1318">
        <f>GI58/FW58-1</f>
        <v/>
      </c>
      <c r="GJ60" s="1318">
        <f>GJ58/FX58-1</f>
        <v/>
      </c>
      <c r="GK60" s="1318">
        <f>GK58/FY58-1</f>
        <v/>
      </c>
      <c r="GL60" s="1318">
        <f>GL58/FZ58-1</f>
        <v/>
      </c>
      <c r="GM60" s="1318">
        <f>GM58/GA58-1</f>
        <v/>
      </c>
      <c r="GN60" s="1318">
        <f>GN58/GB58-1</f>
        <v/>
      </c>
      <c r="GO60" s="1318">
        <f>GO58/GC58-1</f>
        <v/>
      </c>
      <c r="GP60" s="1318">
        <f>GP58/GD58-1</f>
        <v/>
      </c>
      <c r="GQ60" s="1318">
        <f>GQ58/GE58-1</f>
        <v/>
      </c>
      <c r="GR60" s="1318">
        <f>GR58/GF58-1</f>
        <v/>
      </c>
      <c r="GS60" s="1318">
        <f>GS58/GG58-1</f>
        <v/>
      </c>
      <c r="GT60" s="1318">
        <f>GT58/GH58-1</f>
        <v/>
      </c>
      <c r="GU60" s="1318">
        <f>GU58/GI58-1</f>
        <v/>
      </c>
      <c r="GV60" s="1318">
        <f>GV58/GJ58-1</f>
        <v/>
      </c>
      <c r="GW60" s="1318">
        <f>GW58/GK58-1</f>
        <v/>
      </c>
      <c r="GX60" s="1318">
        <f>GX58/GL58-1</f>
        <v/>
      </c>
      <c r="GY60" s="1318">
        <f>GY58/GM58-1</f>
        <v/>
      </c>
      <c r="GZ60" s="1318">
        <f>GZ58/GN58-1</f>
        <v/>
      </c>
      <c r="HA60" s="1318">
        <f>HA58/GO58-1</f>
        <v/>
      </c>
      <c r="HB60" s="1318">
        <f>HB58/GP58-1</f>
        <v/>
      </c>
      <c r="HC60" s="1318">
        <f>HC58/GQ58-1</f>
        <v/>
      </c>
      <c r="HD60" s="1318">
        <f>HD58/GR58-1</f>
        <v/>
      </c>
      <c r="HE60" s="1318">
        <f>HE58/GS58-1</f>
        <v/>
      </c>
      <c r="HF60" s="1318">
        <f>HF58/GT58-1</f>
        <v/>
      </c>
      <c r="HG60" s="1318">
        <f>HG58/GU58-1</f>
        <v/>
      </c>
      <c r="HH60" s="1318">
        <f>HH58/GV58-1</f>
        <v/>
      </c>
      <c r="HI60" s="1318">
        <f>HI58/GW58-1</f>
        <v/>
      </c>
      <c r="HJ60" s="1318">
        <f>HJ58/GX58-1</f>
        <v/>
      </c>
      <c r="HK60" s="1318">
        <f>HK58/GY58-1</f>
        <v/>
      </c>
      <c r="HL60" s="1318">
        <f>HL58/GZ58-1</f>
        <v/>
      </c>
      <c r="HM60" s="1318">
        <f>HM58/HA58-1</f>
        <v/>
      </c>
      <c r="HN60" s="1318">
        <f>HN58/HB58-1</f>
        <v/>
      </c>
      <c r="HO60" s="1318">
        <f>HO58/HC58-1</f>
        <v/>
      </c>
      <c r="HP60" s="1318">
        <f>HP58/HD58-1</f>
        <v/>
      </c>
      <c r="HQ60" s="1318">
        <f>HQ58/HE58-1</f>
        <v/>
      </c>
      <c r="HR60" s="1318">
        <f>HR58/HF58-1</f>
        <v/>
      </c>
      <c r="HS60" s="1318">
        <f>HS58/HG58-1</f>
        <v/>
      </c>
      <c r="HT60" s="1318">
        <f>HT58/HH58-1</f>
        <v/>
      </c>
      <c r="HU60" s="1318">
        <f>HU58/HI58-1</f>
        <v/>
      </c>
      <c r="HV60" s="1318">
        <f>HV58/HJ58-1</f>
        <v/>
      </c>
      <c r="HW60" s="1318">
        <f>HW58/HK58-1</f>
        <v/>
      </c>
      <c r="HX60" s="1318">
        <f>HX58/HL58-1</f>
        <v/>
      </c>
      <c r="HY60" s="1318">
        <f>HY58/HM58-1</f>
        <v/>
      </c>
      <c r="HZ60" s="1318">
        <f>HZ58/HN58-1</f>
        <v/>
      </c>
      <c r="IA60" s="1318">
        <f>IA58/HO58-1</f>
        <v/>
      </c>
      <c r="IB60" s="1318">
        <f>IB58/HP58-1</f>
        <v/>
      </c>
      <c r="IC60" s="1318">
        <f>IC58/HQ58-1</f>
        <v/>
      </c>
      <c r="ID60" s="1318">
        <f>ID58/HR58-1</f>
        <v/>
      </c>
      <c r="IE60" s="1318">
        <f>IE58/HS58-1</f>
        <v/>
      </c>
      <c r="IF60" s="1318">
        <f>IF58/HT58-1</f>
        <v/>
      </c>
      <c r="IG60" s="1318">
        <f>IG58/HU58-1</f>
        <v/>
      </c>
      <c r="IH60" s="1318">
        <f>IH58/HV58-1</f>
        <v/>
      </c>
      <c r="II60" s="1318">
        <f>II58/HW58-1</f>
        <v/>
      </c>
      <c r="IJ60" s="1318">
        <f>IJ58/HX58-1</f>
        <v/>
      </c>
      <c r="IK60" s="1318">
        <f>IK58/HY58-1</f>
        <v/>
      </c>
      <c r="IL60" s="1318">
        <f>IL58/HZ58-1</f>
        <v/>
      </c>
      <c r="IM60" s="1318">
        <f>IM58/IA58-1</f>
        <v/>
      </c>
      <c r="IN60" s="1318">
        <f>IN58/IB58-1</f>
        <v/>
      </c>
      <c r="IO60" s="1318">
        <f>IO58/IC58-1</f>
        <v/>
      </c>
      <c r="IP60" s="1318">
        <f>IP58/ID58-1</f>
        <v/>
      </c>
      <c r="IQ60" s="1318">
        <f>IQ58/IE58-1</f>
        <v/>
      </c>
      <c r="IR60" s="1318">
        <f>IR58/IF58-1</f>
        <v/>
      </c>
      <c r="IS60" s="1318">
        <f>IS58/IG58-1</f>
        <v/>
      </c>
      <c r="IT60" s="1318">
        <f>IT58/IH58-1</f>
        <v/>
      </c>
      <c r="IU60" s="1318">
        <f>IU58/II58-1</f>
        <v/>
      </c>
      <c r="IV60" s="1318">
        <f>IV58/IJ58-1</f>
        <v/>
      </c>
      <c r="IW60" s="1318">
        <f>IW58/IK58-1</f>
        <v/>
      </c>
      <c r="IX60" s="1318">
        <f>IX58/IL58-1</f>
        <v/>
      </c>
      <c r="IY60" s="1318">
        <f>IY58/IM58-1</f>
        <v/>
      </c>
      <c r="IZ60" s="1318">
        <f>IZ58/IN58-1</f>
        <v/>
      </c>
      <c r="JA60" s="1318">
        <f>JA58/IO58-1</f>
        <v/>
      </c>
      <c r="JB60" s="1318">
        <f>JB58/IP58-1</f>
        <v/>
      </c>
      <c r="JC60" s="1318">
        <f>JC58/IQ58-1</f>
        <v/>
      </c>
      <c r="JD60" s="1318">
        <f>JD58/IR58-1</f>
        <v/>
      </c>
      <c r="JE60" s="1318">
        <f>JE58/IS58-1</f>
        <v/>
      </c>
      <c r="JF60" s="1318">
        <f>JF58/IT58-1</f>
        <v/>
      </c>
      <c r="JG60" s="1318">
        <f>JG58/IU58-1</f>
        <v/>
      </c>
      <c r="JH60" s="1318">
        <f>JH58/IV58-1</f>
        <v/>
      </c>
      <c r="JI60" s="1318">
        <f>JI58/IW58-1</f>
        <v/>
      </c>
      <c r="JJ60" s="1318">
        <f>JJ58/IX58-1</f>
        <v/>
      </c>
      <c r="JK60" s="1318">
        <f>JK58/IY58-1</f>
        <v/>
      </c>
      <c r="JL60" s="1318">
        <f>JL58/IZ58-1</f>
        <v/>
      </c>
      <c r="JM60" s="1318">
        <f>JM58/JA58-1</f>
        <v/>
      </c>
      <c r="JN60" s="1318">
        <f>JN58/JB58-1</f>
        <v/>
      </c>
      <c r="JO60" s="1318">
        <f>JO58/JC58-1</f>
        <v/>
      </c>
      <c r="JP60" s="1318">
        <f>JP58/JD58-1</f>
        <v/>
      </c>
      <c r="JQ60" s="1318">
        <f>JQ58/JE58-1</f>
        <v/>
      </c>
      <c r="JR60" s="1318">
        <f>JR58/JF58-1</f>
        <v/>
      </c>
      <c r="JS60" s="1318">
        <f>JS58/JG58-1</f>
        <v/>
      </c>
      <c r="JT60" s="1318">
        <f>JT58/JH58-1</f>
        <v/>
      </c>
      <c r="JU60" s="1318">
        <f>JU58/JI58-1</f>
        <v/>
      </c>
      <c r="JV60" s="1318">
        <f>JV58/JJ58-1</f>
        <v/>
      </c>
      <c r="JW60" s="1318">
        <f>JW58/JK58-1</f>
        <v/>
      </c>
      <c r="JX60" s="1318">
        <f>JX58/JL58-1</f>
        <v/>
      </c>
      <c r="JY60" s="1318">
        <f>JY58/JM58-1</f>
        <v/>
      </c>
      <c r="JZ60" s="1318">
        <f>JZ58/JN58-1</f>
        <v/>
      </c>
      <c r="KA60" s="1318">
        <f>KA58/JO58-1</f>
        <v/>
      </c>
      <c r="KB60" s="1318">
        <f>KB58/JP58-1</f>
        <v/>
      </c>
      <c r="KC60" s="1318">
        <f>KC58/JQ58-1</f>
        <v/>
      </c>
      <c r="KD60" s="1318">
        <f>KD58/JR58-1</f>
        <v/>
      </c>
      <c r="KE60" s="1318">
        <f>KE58/JS58-1</f>
        <v/>
      </c>
      <c r="KF60" s="1318">
        <f>KF58/JT58-1</f>
        <v/>
      </c>
      <c r="KG60" s="1318">
        <f>KG58/JU58-1</f>
        <v/>
      </c>
      <c r="KH60" s="1318">
        <f>KH58/JV58-1</f>
        <v/>
      </c>
      <c r="KI60" s="1318">
        <f>KI58/JW58-1</f>
        <v/>
      </c>
      <c r="KJ60" s="1318">
        <f>KJ58/JX58-1</f>
        <v/>
      </c>
      <c r="KK60" s="1318">
        <f>KK58/JY58-1</f>
        <v/>
      </c>
      <c r="KL60" s="1318">
        <f>KL58/JZ58-1</f>
        <v/>
      </c>
      <c r="KM60" s="1318">
        <f>KM58/KA58-1</f>
        <v/>
      </c>
      <c r="KN60" s="1318">
        <f>KN58/KB58-1</f>
        <v/>
      </c>
      <c r="KO60" s="1318">
        <f>KO58/KC58-1</f>
        <v/>
      </c>
      <c r="KP60" s="1318">
        <f>KP58/KD58-1</f>
        <v/>
      </c>
      <c r="KQ60" s="1318">
        <f>KQ58/KE58-1</f>
        <v/>
      </c>
      <c r="KR60" s="1318">
        <f>KR58/KF58-1</f>
        <v/>
      </c>
      <c r="KS60" s="1318">
        <f>KS58/KG58-1</f>
        <v/>
      </c>
      <c r="KT60" s="1318">
        <f>KT58/KH58-1</f>
        <v/>
      </c>
      <c r="KU60" s="1318">
        <f>KU58/KI58-1</f>
        <v/>
      </c>
      <c r="KV60" s="1318">
        <f>KV58/KJ58-1</f>
        <v/>
      </c>
      <c r="KW60" s="1318">
        <f>KW58/KK58-1</f>
        <v/>
      </c>
      <c r="KX60" s="1318">
        <f>KX58/KL58-1</f>
        <v/>
      </c>
      <c r="KY60" s="1318">
        <f>KY58/KM58-1</f>
        <v/>
      </c>
      <c r="KZ60" s="1318">
        <f>KZ58/KN58-1</f>
        <v/>
      </c>
      <c r="LA60" s="1318">
        <f>LA58/KO58-1</f>
        <v/>
      </c>
      <c r="LB60" s="1318" t="n"/>
      <c r="LC60" s="1318" t="n"/>
      <c r="LD60" s="1318" t="n"/>
      <c r="LE60" s="1318" t="n"/>
      <c r="LF60" s="1318" t="n"/>
      <c r="LG60" s="1318" t="n"/>
      <c r="LH60" s="1318" t="n"/>
      <c r="LI60" s="1318" t="n"/>
      <c r="LJ60" s="1318" t="n"/>
      <c r="LK60" s="1318" t="n"/>
      <c r="LL60" s="1318" t="n"/>
      <c r="LM60" s="1318" t="n"/>
      <c r="LN60" s="1318" t="n"/>
      <c r="LO60" s="1318" t="n"/>
      <c r="LP60" s="1318" t="n"/>
      <c r="LQ60" s="1318" t="n"/>
      <c r="LR60" s="1318" t="n"/>
      <c r="LS60" s="1318" t="n"/>
    </row>
    <row r="61">
      <c r="A61" s="885" t="inlineStr">
        <is>
          <t>YTD cg %</t>
        </is>
      </c>
      <c r="B61" s="1318" t="n"/>
      <c r="C61" s="1318" t="n"/>
      <c r="D61" s="1318" t="n"/>
      <c r="E61" s="1318" t="n"/>
      <c r="F61" s="1318" t="n"/>
      <c r="G61" s="1318" t="n"/>
      <c r="H61" s="1318" t="n"/>
      <c r="I61" s="1318" t="n"/>
      <c r="J61" s="1318" t="n"/>
      <c r="K61" s="1318" t="n"/>
      <c r="L61" s="1318" t="n"/>
      <c r="M61" s="1318" t="n"/>
      <c r="N61" s="1318" t="n"/>
      <c r="O61" s="1318" t="n"/>
      <c r="P61" s="1318" t="n"/>
      <c r="Q61" s="1318" t="n"/>
      <c r="R61" s="1318" t="n"/>
      <c r="S61" s="1318" t="n"/>
      <c r="T61" s="1318" t="n"/>
      <c r="U61" s="1318" t="n"/>
      <c r="V61" s="1318" t="n"/>
      <c r="W61" s="1318" t="n"/>
      <c r="X61" s="1318" t="n"/>
      <c r="Y61" s="1318" t="n"/>
      <c r="Z61" s="1318" t="n"/>
      <c r="AA61" s="1318" t="n"/>
      <c r="AB61" s="1318" t="n"/>
      <c r="AC61" s="1318" t="n"/>
      <c r="AD61" s="1318" t="n"/>
      <c r="AE61" s="1318" t="n"/>
      <c r="AF61" s="1318" t="n"/>
      <c r="AG61" s="1318" t="n"/>
      <c r="AH61" s="1318" t="n"/>
      <c r="AI61" s="1318" t="n"/>
      <c r="AJ61" s="1318" t="n"/>
      <c r="AK61" s="1318" t="n"/>
      <c r="AL61" s="1318" t="n"/>
      <c r="AM61" s="1318" t="n"/>
      <c r="AN61" s="1318" t="n"/>
      <c r="AO61" s="1318" t="n"/>
      <c r="AP61" s="1318" t="n"/>
      <c r="AQ61" s="1318" t="n"/>
      <c r="AR61" s="1318" t="n"/>
      <c r="AS61" s="1318" t="n"/>
      <c r="AT61" s="1318" t="n"/>
      <c r="AU61" s="1318" t="n"/>
      <c r="AV61" s="1318" t="n"/>
      <c r="AW61" s="1318" t="n"/>
      <c r="AX61" s="1318" t="n"/>
      <c r="AY61" s="1318" t="n"/>
      <c r="AZ61" s="1318" t="n"/>
      <c r="BA61" s="1318" t="n"/>
      <c r="BB61" s="1318" t="n"/>
      <c r="BC61" s="1318" t="n"/>
      <c r="BD61" s="1318" t="n"/>
      <c r="BE61" s="1318" t="n"/>
      <c r="BF61" s="1318" t="n"/>
      <c r="BG61" s="1318" t="n"/>
      <c r="BH61" s="1318" t="n"/>
      <c r="BI61" s="1318" t="n"/>
      <c r="BJ61" s="1318">
        <f>SUMIFS(58:58,$8:$8,"&gt;="&amp;DATE(YEAR(BJ$8),1,1),$8:$8,"&lt;="&amp;EOMONTH(BJ$8,0))/SUMIFS(58:58,$8:$8,"&gt;="&amp;DATE(YEAR(BJ$8)-1,1,1),$8:$8,"&lt;="&amp;EOMONTH(BJ$8,-12))-1</f>
        <v/>
      </c>
      <c r="BK61" s="1318">
        <f>SUMIFS(58:58,$8:$8,"&gt;="&amp;DATE(YEAR(BK$8),1,1),$8:$8,"&lt;="&amp;EOMONTH(BK$8,0))/SUMIFS(58:58,$8:$8,"&gt;="&amp;DATE(YEAR(BK$8)-1,1,1),$8:$8,"&lt;="&amp;EOMONTH(BK$8,-12))-1</f>
        <v/>
      </c>
      <c r="BL61" s="1318">
        <f>SUMIFS(58:58,$8:$8,"&gt;="&amp;DATE(YEAR(BL$8),1,1),$8:$8,"&lt;="&amp;EOMONTH(BL$8,0))/SUMIFS(58:58,$8:$8,"&gt;="&amp;DATE(YEAR(BL$8)-1,1,1),$8:$8,"&lt;="&amp;EOMONTH(BL$8,-12))-1</f>
        <v/>
      </c>
      <c r="BM61" s="1318">
        <f>SUMIFS(58:58,$8:$8,"&gt;="&amp;DATE(YEAR(BM$8),1,1),$8:$8,"&lt;="&amp;EOMONTH(BM$8,0))/SUMIFS(58:58,$8:$8,"&gt;="&amp;DATE(YEAR(BM$8)-1,1,1),$8:$8,"&lt;="&amp;EOMONTH(BM$8,-12))-1</f>
        <v/>
      </c>
      <c r="BN61" s="1318">
        <f>SUMIFS(58:58,$8:$8,"&gt;="&amp;DATE(YEAR(BN$8),1,1),$8:$8,"&lt;="&amp;EOMONTH(BN$8,0))/SUMIFS(58:58,$8:$8,"&gt;="&amp;DATE(YEAR(BN$8)-1,1,1),$8:$8,"&lt;="&amp;EOMONTH(BN$8,-12))-1</f>
        <v/>
      </c>
      <c r="BO61" s="1318">
        <f>SUMIFS(58:58,$8:$8,"&gt;="&amp;DATE(YEAR(BO$8),1,1),$8:$8,"&lt;="&amp;EOMONTH(BO$8,0))/SUMIFS(58:58,$8:$8,"&gt;="&amp;DATE(YEAR(BO$8)-1,1,1),$8:$8,"&lt;="&amp;EOMONTH(BO$8,-12))-1</f>
        <v/>
      </c>
      <c r="BP61" s="1318">
        <f>SUMIFS(58:58,$8:$8,"&gt;="&amp;DATE(YEAR(BP$8),1,1),$8:$8,"&lt;="&amp;EOMONTH(BP$8,0))/SUMIFS(58:58,$8:$8,"&gt;="&amp;DATE(YEAR(BP$8)-1,1,1),$8:$8,"&lt;="&amp;EOMONTH(BP$8,-12))-1</f>
        <v/>
      </c>
      <c r="BQ61" s="1318">
        <f>SUMIFS(58:58,$8:$8,"&gt;="&amp;DATE(YEAR(BQ$8),1,1),$8:$8,"&lt;="&amp;EOMONTH(BQ$8,0))/SUMIFS(58:58,$8:$8,"&gt;="&amp;DATE(YEAR(BQ$8)-1,1,1),$8:$8,"&lt;="&amp;EOMONTH(BQ$8,-12))-1</f>
        <v/>
      </c>
      <c r="BR61" s="1318">
        <f>SUMIFS(58:58,$8:$8,"&gt;="&amp;DATE(YEAR(BR$8),1,1),$8:$8,"&lt;="&amp;EOMONTH(BR$8,0))/SUMIFS(58:58,$8:$8,"&gt;="&amp;DATE(YEAR(BR$8)-1,1,1),$8:$8,"&lt;="&amp;EOMONTH(BR$8,-12))-1</f>
        <v/>
      </c>
      <c r="BS61" s="1318">
        <f>SUMIFS(58:58,$8:$8,"&gt;="&amp;DATE(YEAR(BS$8),1,1),$8:$8,"&lt;="&amp;EOMONTH(BS$8,0))/SUMIFS(58:58,$8:$8,"&gt;="&amp;DATE(YEAR(BS$8)-1,1,1),$8:$8,"&lt;="&amp;EOMONTH(BS$8,-12))-1</f>
        <v/>
      </c>
      <c r="BT61" s="1318">
        <f>SUMIFS(58:58,$8:$8,"&gt;="&amp;DATE(YEAR(BT$8),1,1),$8:$8,"&lt;="&amp;EOMONTH(BT$8,0))/SUMIFS(58:58,$8:$8,"&gt;="&amp;DATE(YEAR(BT$8)-1,1,1),$8:$8,"&lt;="&amp;EOMONTH(BT$8,-12))-1</f>
        <v/>
      </c>
      <c r="BU61" s="1318">
        <f>SUMIFS(58:58,$8:$8,"&gt;="&amp;DATE(YEAR(BU$8),1,1),$8:$8,"&lt;="&amp;EOMONTH(BU$8,0))/SUMIFS(58:58,$8:$8,"&gt;="&amp;DATE(YEAR(BU$8)-1,1,1),$8:$8,"&lt;="&amp;EOMONTH(BU$8,-12))-1</f>
        <v/>
      </c>
      <c r="BV61" s="1318">
        <f>SUMIFS(58:58,$8:$8,"&gt;="&amp;DATE(YEAR(BV$8),1,1),$8:$8,"&lt;="&amp;EOMONTH(BV$8,0))/SUMIFS(58:58,$8:$8,"&gt;="&amp;DATE(YEAR(BV$8)-1,1,1),$8:$8,"&lt;="&amp;EOMONTH(BV$8,-12))-1</f>
        <v/>
      </c>
      <c r="BW61" s="1318">
        <f>SUMIFS(58:58,$8:$8,"&gt;="&amp;DATE(YEAR(BW$8),1,1),$8:$8,"&lt;="&amp;EOMONTH(BW$8,0))/SUMIFS(58:58,$8:$8,"&gt;="&amp;DATE(YEAR(BW$8)-1,1,1),$8:$8,"&lt;="&amp;EOMONTH(BW$8,-12))-1</f>
        <v/>
      </c>
      <c r="BX61" s="1318">
        <f>SUMIFS(58:58,$8:$8,"&gt;="&amp;DATE(YEAR(BX$8),1,1),$8:$8,"&lt;="&amp;EOMONTH(BX$8,0))/SUMIFS(58:58,$8:$8,"&gt;="&amp;DATE(YEAR(BX$8)-1,1,1),$8:$8,"&lt;="&amp;EOMONTH(BX$8,-12))-1</f>
        <v/>
      </c>
      <c r="BY61" s="1318">
        <f>SUMIFS(58:58,$8:$8,"&gt;="&amp;DATE(YEAR(BY$8),1,1),$8:$8,"&lt;="&amp;EOMONTH(BY$8,0))/SUMIFS(58:58,$8:$8,"&gt;="&amp;DATE(YEAR(BY$8)-1,1,1),$8:$8,"&lt;="&amp;EOMONTH(BY$8,-12))-1</f>
        <v/>
      </c>
      <c r="BZ61" s="1318">
        <f>SUMIFS(58:58,$8:$8,"&gt;="&amp;DATE(YEAR(BZ$8),1,1),$8:$8,"&lt;="&amp;EOMONTH(BZ$8,0))/SUMIFS(58:58,$8:$8,"&gt;="&amp;DATE(YEAR(BZ$8)-1,1,1),$8:$8,"&lt;="&amp;EOMONTH(BZ$8,-12))-1</f>
        <v/>
      </c>
      <c r="CA61" s="1318">
        <f>SUMIFS(58:58,$8:$8,"&gt;="&amp;DATE(YEAR(CA$8),1,1),$8:$8,"&lt;="&amp;EOMONTH(CA$8,0))/SUMIFS(58:58,$8:$8,"&gt;="&amp;DATE(YEAR(CA$8)-1,1,1),$8:$8,"&lt;="&amp;EOMONTH(CA$8,-12))-1</f>
        <v/>
      </c>
      <c r="CB61" s="1318">
        <f>SUMIFS(58:58,$8:$8,"&gt;="&amp;DATE(YEAR(CB$8),1,1),$8:$8,"&lt;="&amp;EOMONTH(CB$8,0))/SUMIFS(58:58,$8:$8,"&gt;="&amp;DATE(YEAR(CB$8)-1,1,1),$8:$8,"&lt;="&amp;EOMONTH(CB$8,-12))-1</f>
        <v/>
      </c>
      <c r="CC61" s="1318">
        <f>SUMIFS(58:58,$8:$8,"&gt;="&amp;DATE(YEAR(CC$8),1,1),$8:$8,"&lt;="&amp;EOMONTH(CC$8,0))/SUMIFS(58:58,$8:$8,"&gt;="&amp;DATE(YEAR(CC$8)-1,1,1),$8:$8,"&lt;="&amp;EOMONTH(CC$8,-12))-1</f>
        <v/>
      </c>
      <c r="CD61" s="1318">
        <f>SUMIFS(58:58,$8:$8,"&gt;="&amp;DATE(YEAR(CD$8),1,1),$8:$8,"&lt;="&amp;EOMONTH(CD$8,0))/SUMIFS(58:58,$8:$8,"&gt;="&amp;DATE(YEAR(CD$8)-1,1,1),$8:$8,"&lt;="&amp;EOMONTH(CD$8,-12))-1</f>
        <v/>
      </c>
      <c r="CE61" s="1318">
        <f>SUMIFS(58:58,$8:$8,"&gt;="&amp;DATE(YEAR(CE$8),1,1),$8:$8,"&lt;="&amp;EOMONTH(CE$8,0))/SUMIFS(58:58,$8:$8,"&gt;="&amp;DATE(YEAR(CE$8)-1,1,1),$8:$8,"&lt;="&amp;EOMONTH(CE$8,-12))-1</f>
        <v/>
      </c>
      <c r="CF61" s="1318">
        <f>SUMIFS(58:58,$8:$8,"&gt;="&amp;DATE(YEAR(CF$8),1,1),$8:$8,"&lt;="&amp;EOMONTH(CF$8,0))/SUMIFS(58:58,$8:$8,"&gt;="&amp;DATE(YEAR(CF$8)-1,1,1),$8:$8,"&lt;="&amp;EOMONTH(CF$8,-12))-1</f>
        <v/>
      </c>
      <c r="CG61" s="1318">
        <f>SUMIFS(58:58,$8:$8,"&gt;="&amp;DATE(YEAR(CG$8),1,1),$8:$8,"&lt;="&amp;EOMONTH(CG$8,0))/SUMIFS(58:58,$8:$8,"&gt;="&amp;DATE(YEAR(CG$8)-1,1,1),$8:$8,"&lt;="&amp;EOMONTH(CG$8,-12))-1</f>
        <v/>
      </c>
      <c r="CH61" s="1318">
        <f>SUMIFS(58:58,$8:$8,"&gt;="&amp;DATE(YEAR(CH$8),1,1),$8:$8,"&lt;="&amp;EOMONTH(CH$8,0))/SUMIFS(58:58,$8:$8,"&gt;="&amp;DATE(YEAR(CH$8)-1,1,1),$8:$8,"&lt;="&amp;EOMONTH(CH$8,-12))-1</f>
        <v/>
      </c>
      <c r="CI61" s="1318">
        <f>SUMIFS(58:58,$8:$8,"&gt;="&amp;DATE(YEAR(CI$8),1,1),$8:$8,"&lt;="&amp;EOMONTH(CI$8,0))/SUMIFS(58:58,$8:$8,"&gt;="&amp;DATE(YEAR(CI$8)-1,1,1),$8:$8,"&lt;="&amp;EOMONTH(CI$8,-12))-1</f>
        <v/>
      </c>
      <c r="CJ61" s="1318">
        <f>SUMIFS(58:58,$8:$8,"&gt;="&amp;DATE(YEAR(CJ$8),1,1),$8:$8,"&lt;="&amp;EOMONTH(CJ$8,0))/SUMIFS(58:58,$8:$8,"&gt;="&amp;DATE(YEAR(CJ$8)-1,1,1),$8:$8,"&lt;="&amp;EOMONTH(CJ$8,-12))-1</f>
        <v/>
      </c>
      <c r="CK61" s="1318">
        <f>SUMIFS(58:58,$8:$8,"&gt;="&amp;DATE(YEAR(CK$8),1,1),$8:$8,"&lt;="&amp;EOMONTH(CK$8,0))/SUMIFS(58:58,$8:$8,"&gt;="&amp;DATE(YEAR(CK$8)-1,1,1),$8:$8,"&lt;="&amp;EOMONTH(CK$8,-12))-1</f>
        <v/>
      </c>
      <c r="CL61" s="1318">
        <f>SUMIFS(58:58,$8:$8,"&gt;="&amp;DATE(YEAR(CL$8),1,1),$8:$8,"&lt;="&amp;EOMONTH(CL$8,0))/SUMIFS(58:58,$8:$8,"&gt;="&amp;DATE(YEAR(CL$8)-1,1,1),$8:$8,"&lt;="&amp;EOMONTH(CL$8,-12))-1</f>
        <v/>
      </c>
      <c r="CM61" s="1318">
        <f>SUMIFS(58:58,$8:$8,"&gt;="&amp;DATE(YEAR(CM$8),1,1),$8:$8,"&lt;="&amp;EOMONTH(CM$8,0))/SUMIFS(58:58,$8:$8,"&gt;="&amp;DATE(YEAR(CM$8)-1,1,1),$8:$8,"&lt;="&amp;EOMONTH(CM$8,-12))-1</f>
        <v/>
      </c>
      <c r="CN61" s="1318">
        <f>SUMIFS(58:58,$8:$8,"&gt;="&amp;DATE(YEAR(CN$8),1,1),$8:$8,"&lt;="&amp;EOMONTH(CN$8,0))/SUMIFS(58:58,$8:$8,"&gt;="&amp;DATE(YEAR(CN$8)-1,1,1),$8:$8,"&lt;="&amp;EOMONTH(CN$8,-12))-1</f>
        <v/>
      </c>
      <c r="CO61" s="1318">
        <f>SUMIFS(58:58,$8:$8,"&gt;="&amp;DATE(YEAR(CO$8),1,1),$8:$8,"&lt;="&amp;EOMONTH(CO$8,0))/SUMIFS(58:58,$8:$8,"&gt;="&amp;DATE(YEAR(CO$8)-1,1,1),$8:$8,"&lt;="&amp;EOMONTH(CO$8,-12))-1</f>
        <v/>
      </c>
      <c r="CP61" s="1318">
        <f>SUMIFS(58:58,$8:$8,"&gt;="&amp;DATE(YEAR(CP$8),1,1),$8:$8,"&lt;="&amp;EOMONTH(CP$8,0))/SUMIFS(58:58,$8:$8,"&gt;="&amp;DATE(YEAR(CP$8)-1,1,1),$8:$8,"&lt;="&amp;EOMONTH(CP$8,-12))-1</f>
        <v/>
      </c>
      <c r="CQ61" s="1318">
        <f>SUMIFS(58:58,$8:$8,"&gt;="&amp;DATE(YEAR(CQ$8),1,1),$8:$8,"&lt;="&amp;EOMONTH(CQ$8,0))/SUMIFS(58:58,$8:$8,"&gt;="&amp;DATE(YEAR(CQ$8)-1,1,1),$8:$8,"&lt;="&amp;EOMONTH(CQ$8,-12))-1</f>
        <v/>
      </c>
      <c r="CR61" s="1318">
        <f>SUMIFS(58:58,$8:$8,"&gt;="&amp;DATE(YEAR(CR$8),1,1),$8:$8,"&lt;="&amp;EOMONTH(CR$8,0))/SUMIFS(58:58,$8:$8,"&gt;="&amp;DATE(YEAR(CR$8)-1,1,1),$8:$8,"&lt;="&amp;EOMONTH(CR$8,-12))-1</f>
        <v/>
      </c>
      <c r="CS61" s="1318">
        <f>SUMIFS(58:58,$8:$8,"&gt;="&amp;DATE(YEAR(CS$8),1,1),$8:$8,"&lt;="&amp;EOMONTH(CS$8,0))/SUMIFS(58:58,$8:$8,"&gt;="&amp;DATE(YEAR(CS$8)-1,1,1),$8:$8,"&lt;="&amp;EOMONTH(CS$8,-12))-1</f>
        <v/>
      </c>
      <c r="CT61" s="1318">
        <f>SUMIFS(58:58,$8:$8,"&gt;="&amp;DATE(YEAR(CT$8),1,1),$8:$8,"&lt;="&amp;EOMONTH(CT$8,0))/SUMIFS(58:58,$8:$8,"&gt;="&amp;DATE(YEAR(CT$8)-1,1,1),$8:$8,"&lt;="&amp;EOMONTH(CT$8,-12))-1</f>
        <v/>
      </c>
      <c r="CU61" s="1318">
        <f>SUMIFS(58:58,$8:$8,"&gt;="&amp;DATE(YEAR(CU$8),1,1),$8:$8,"&lt;="&amp;EOMONTH(CU$8,0))/SUMIFS(58:58,$8:$8,"&gt;="&amp;DATE(YEAR(CU$8)-1,1,1),$8:$8,"&lt;="&amp;EOMONTH(CU$8,-12))-1</f>
        <v/>
      </c>
      <c r="CV61" s="1318">
        <f>SUMIFS(58:58,$8:$8,"&gt;="&amp;DATE(YEAR(CV$8),1,1),$8:$8,"&lt;="&amp;EOMONTH(CV$8,0))/SUMIFS(58:58,$8:$8,"&gt;="&amp;DATE(YEAR(CV$8)-1,1,1),$8:$8,"&lt;="&amp;EOMONTH(CV$8,-12))-1</f>
        <v/>
      </c>
      <c r="CW61" s="1318">
        <f>SUMIFS(58:58,$8:$8,"&gt;="&amp;DATE(YEAR(CW$8),1,1),$8:$8,"&lt;="&amp;EOMONTH(CW$8,0))/SUMIFS(58:58,$8:$8,"&gt;="&amp;DATE(YEAR(CW$8)-1,1,1),$8:$8,"&lt;="&amp;EOMONTH(CW$8,-12))-1</f>
        <v/>
      </c>
      <c r="CX61" s="1318">
        <f>SUMIFS(58:58,$8:$8,"&gt;="&amp;DATE(YEAR(CX$8),1,1),$8:$8,"&lt;="&amp;EOMONTH(CX$8,0))/SUMIFS(58:58,$8:$8,"&gt;="&amp;DATE(YEAR(CX$8)-1,1,1),$8:$8,"&lt;="&amp;EOMONTH(CX$8,-12))-1</f>
        <v/>
      </c>
      <c r="CY61" s="1318">
        <f>SUMIFS(58:58,$8:$8,"&gt;="&amp;DATE(YEAR(CY$8),1,1),$8:$8,"&lt;="&amp;EOMONTH(CY$8,0))/SUMIFS(58:58,$8:$8,"&gt;="&amp;DATE(YEAR(CY$8)-1,1,1),$8:$8,"&lt;="&amp;EOMONTH(CY$8,-12))-1</f>
        <v/>
      </c>
      <c r="CZ61" s="1318">
        <f>SUMIFS(58:58,$8:$8,"&gt;="&amp;DATE(YEAR(CZ$8),1,1),$8:$8,"&lt;="&amp;EOMONTH(CZ$8,0))/SUMIFS(58:58,$8:$8,"&gt;="&amp;DATE(YEAR(CZ$8)-1,1,1),$8:$8,"&lt;="&amp;EOMONTH(CZ$8,-12))-1</f>
        <v/>
      </c>
      <c r="DA61" s="1318">
        <f>SUMIFS(58:58,$8:$8,"&gt;="&amp;DATE(YEAR(DA$8),1,1),$8:$8,"&lt;="&amp;EOMONTH(DA$8,0))/SUMIFS(58:58,$8:$8,"&gt;="&amp;DATE(YEAR(DA$8)-1,1,1),$8:$8,"&lt;="&amp;EOMONTH(DA$8,-12))-1</f>
        <v/>
      </c>
      <c r="DB61" s="1318">
        <f>SUMIFS(58:58,$8:$8,"&gt;="&amp;DATE(YEAR(DB$8),1,1),$8:$8,"&lt;="&amp;EOMONTH(DB$8,0))/SUMIFS(58:58,$8:$8,"&gt;="&amp;DATE(YEAR(DB$8)-1,1,1),$8:$8,"&lt;="&amp;EOMONTH(DB$8,-12))-1</f>
        <v/>
      </c>
      <c r="DC61" s="1318">
        <f>SUMIFS(58:58,$8:$8,"&gt;="&amp;DATE(YEAR(DC$8),1,1),$8:$8,"&lt;="&amp;EOMONTH(DC$8,0))/SUMIFS(58:58,$8:$8,"&gt;="&amp;DATE(YEAR(DC$8)-1,1,1),$8:$8,"&lt;="&amp;EOMONTH(DC$8,-12))-1</f>
        <v/>
      </c>
      <c r="DD61" s="1318">
        <f>SUMIFS(58:58,$8:$8,"&gt;="&amp;DATE(YEAR(DD$8),1,1),$8:$8,"&lt;="&amp;EOMONTH(DD$8,0))/SUMIFS(58:58,$8:$8,"&gt;="&amp;DATE(YEAR(DD$8)-1,1,1),$8:$8,"&lt;="&amp;EOMONTH(DD$8,-12))-1</f>
        <v/>
      </c>
      <c r="DE61" s="1318">
        <f>SUMIFS(58:58,$8:$8,"&gt;="&amp;DATE(YEAR(DE$8),1,1),$8:$8,"&lt;="&amp;EOMONTH(DE$8,0))/SUMIFS(58:58,$8:$8,"&gt;="&amp;DATE(YEAR(DE$8)-1,1,1),$8:$8,"&lt;="&amp;EOMONTH(DE$8,-12))-1</f>
        <v/>
      </c>
      <c r="DF61" s="1318">
        <f>SUMIFS(58:58,$8:$8,"&gt;="&amp;DATE(YEAR(DF$8),1,1),$8:$8,"&lt;="&amp;EOMONTH(DF$8,0))/SUMIFS(58:58,$8:$8,"&gt;="&amp;DATE(YEAR(DF$8)-1,1,1),$8:$8,"&lt;="&amp;EOMONTH(DF$8,-12))-1</f>
        <v/>
      </c>
      <c r="DG61" s="1318">
        <f>SUMIFS(58:58,$8:$8,"&gt;="&amp;DATE(YEAR(DG$8),1,1),$8:$8,"&lt;="&amp;EOMONTH(DG$8,0))/SUMIFS(58:58,$8:$8,"&gt;="&amp;DATE(YEAR(DG$8)-1,1,1),$8:$8,"&lt;="&amp;EOMONTH(DG$8,-12))-1</f>
        <v/>
      </c>
      <c r="DH61" s="1318">
        <f>SUMIFS(58:58,$8:$8,"&gt;="&amp;DATE(YEAR(DH$8),1,1),$8:$8,"&lt;="&amp;EOMONTH(DH$8,0))/SUMIFS(58:58,$8:$8,"&gt;="&amp;DATE(YEAR(DH$8)-1,1,1),$8:$8,"&lt;="&amp;EOMONTH(DH$8,-12))-1</f>
        <v/>
      </c>
      <c r="DI61" s="1318">
        <f>SUMIFS(58:58,$8:$8,"&gt;="&amp;DATE(YEAR(DI$8),1,1),$8:$8,"&lt;="&amp;EOMONTH(DI$8,0))/SUMIFS(58:58,$8:$8,"&gt;="&amp;DATE(YEAR(DI$8)-1,1,1),$8:$8,"&lt;="&amp;EOMONTH(DI$8,-12))-1</f>
        <v/>
      </c>
      <c r="DJ61" s="1318">
        <f>SUMIFS(58:58,$8:$8,"&gt;="&amp;DATE(YEAR(DJ$8),1,1),$8:$8,"&lt;="&amp;EOMONTH(DJ$8,0))/SUMIFS(58:58,$8:$8,"&gt;="&amp;DATE(YEAR(DJ$8)-1,1,1),$8:$8,"&lt;="&amp;EOMONTH(DJ$8,-12))-1</f>
        <v/>
      </c>
      <c r="DK61" s="1318">
        <f>SUMIFS(58:58,$8:$8,"&gt;="&amp;DATE(YEAR(DK$8),1,1),$8:$8,"&lt;="&amp;EOMONTH(DK$8,0))/SUMIFS(58:58,$8:$8,"&gt;="&amp;DATE(YEAR(DK$8)-1,1,1),$8:$8,"&lt;="&amp;EOMONTH(DK$8,-12))-1</f>
        <v/>
      </c>
      <c r="DL61" s="1318">
        <f>SUMIFS(58:58,$8:$8,"&gt;="&amp;DATE(YEAR(DL$8),1,1),$8:$8,"&lt;="&amp;EOMONTH(DL$8,0))/SUMIFS(58:58,$8:$8,"&gt;="&amp;DATE(YEAR(DL$8)-1,1,1),$8:$8,"&lt;="&amp;EOMONTH(DL$8,-12))-1</f>
        <v/>
      </c>
      <c r="DM61" s="1318">
        <f>SUMIFS(58:58,$8:$8,"&gt;="&amp;DATE(YEAR(DM$8),1,1),$8:$8,"&lt;="&amp;EOMONTH(DM$8,0))/SUMIFS(58:58,$8:$8,"&gt;="&amp;DATE(YEAR(DM$8)-1,1,1),$8:$8,"&lt;="&amp;EOMONTH(DM$8,-12))-1</f>
        <v/>
      </c>
      <c r="DN61" s="1318">
        <f>SUMIFS(58:58,$8:$8,"&gt;="&amp;DATE(YEAR(DN$8),1,1),$8:$8,"&lt;="&amp;EOMONTH(DN$8,0))/SUMIFS(58:58,$8:$8,"&gt;="&amp;DATE(YEAR(DN$8)-1,1,1),$8:$8,"&lt;="&amp;EOMONTH(DN$8,-12))-1</f>
        <v/>
      </c>
      <c r="DO61" s="1318">
        <f>SUMIFS(58:58,$8:$8,"&gt;="&amp;DATE(YEAR(DO$8),1,1),$8:$8,"&lt;="&amp;EOMONTH(DO$8,0))/SUMIFS(58:58,$8:$8,"&gt;="&amp;DATE(YEAR(DO$8)-1,1,1),$8:$8,"&lt;="&amp;EOMONTH(DO$8,-12))-1</f>
        <v/>
      </c>
      <c r="DP61" s="1318">
        <f>SUMIFS(58:58,$8:$8,"&gt;="&amp;DATE(YEAR(DP$8),1,1),$8:$8,"&lt;="&amp;EOMONTH(DP$8,0))/SUMIFS(58:58,$8:$8,"&gt;="&amp;DATE(YEAR(DP$8)-1,1,1),$8:$8,"&lt;="&amp;EOMONTH(DP$8,-12))-1</f>
        <v/>
      </c>
      <c r="DQ61" s="1318">
        <f>SUMIFS(58:58,$8:$8,"&gt;="&amp;DATE(YEAR(DQ$8),1,1),$8:$8,"&lt;="&amp;EOMONTH(DQ$8,0))/SUMIFS(58:58,$8:$8,"&gt;="&amp;DATE(YEAR(DQ$8)-1,1,1),$8:$8,"&lt;="&amp;EOMONTH(DQ$8,-12))-1</f>
        <v/>
      </c>
      <c r="DR61" s="1318">
        <f>SUMIFS(58:58,$8:$8,"&gt;="&amp;DATE(YEAR(DR$8),1,1),$8:$8,"&lt;="&amp;EOMONTH(DR$8,0))/SUMIFS(58:58,$8:$8,"&gt;="&amp;DATE(YEAR(DR$8)-1,1,1),$8:$8,"&lt;="&amp;EOMONTH(DR$8,-12))-1</f>
        <v/>
      </c>
      <c r="DS61" s="1318">
        <f>SUMIFS(58:58,$8:$8,"&gt;="&amp;DATE(YEAR(DS$8),1,1),$8:$8,"&lt;="&amp;EOMONTH(DS$8,0))/SUMIFS(58:58,$8:$8,"&gt;="&amp;DATE(YEAR(DS$8)-1,1,1),$8:$8,"&lt;="&amp;EOMONTH(DS$8,-12))-1</f>
        <v/>
      </c>
      <c r="DT61" s="1318">
        <f>SUMIFS(58:58,$8:$8,"&gt;="&amp;DATE(YEAR(DT$8),1,1),$8:$8,"&lt;="&amp;EOMONTH(DT$8,0))/SUMIFS(58:58,$8:$8,"&gt;="&amp;DATE(YEAR(DT$8)-1,1,1),$8:$8,"&lt;="&amp;EOMONTH(DT$8,-12))-1</f>
        <v/>
      </c>
      <c r="DU61" s="1318">
        <f>SUMIFS(58:58,$8:$8,"&gt;="&amp;DATE(YEAR(DU$8),1,1),$8:$8,"&lt;="&amp;EOMONTH(DU$8,0))/SUMIFS(58:58,$8:$8,"&gt;="&amp;DATE(YEAR(DU$8)-1,1,1),$8:$8,"&lt;="&amp;EOMONTH(DU$8,-12))-1</f>
        <v/>
      </c>
      <c r="DV61" s="1318">
        <f>SUMIFS(58:58,$8:$8,"&gt;="&amp;DATE(YEAR(DV$8),1,1),$8:$8,"&lt;="&amp;EOMONTH(DV$8,0))/SUMIFS(58:58,$8:$8,"&gt;="&amp;DATE(YEAR(DV$8)-1,1,1),$8:$8,"&lt;="&amp;EOMONTH(DV$8,-12))-1</f>
        <v/>
      </c>
      <c r="DW61" s="1318">
        <f>SUMIFS(58:58,$8:$8,"&gt;="&amp;DATE(YEAR(DW$8),1,1),$8:$8,"&lt;="&amp;EOMONTH(DW$8,0))/SUMIFS(58:58,$8:$8,"&gt;="&amp;DATE(YEAR(DW$8)-1,1,1),$8:$8,"&lt;="&amp;EOMONTH(DW$8,-12))-1</f>
        <v/>
      </c>
      <c r="DX61" s="1318">
        <f>SUMIFS(58:58,$8:$8,"&gt;="&amp;DATE(YEAR(DX$8),1,1),$8:$8,"&lt;="&amp;EOMONTH(DX$8,0))/SUMIFS(58:58,$8:$8,"&gt;="&amp;DATE(YEAR(DX$8)-1,1,1),$8:$8,"&lt;="&amp;EOMONTH(DX$8,-12))-1</f>
        <v/>
      </c>
      <c r="DY61" s="1318">
        <f>SUMIFS(58:58,$8:$8,"&gt;="&amp;DATE(YEAR(DY$8),1,1),$8:$8,"&lt;="&amp;EOMONTH(DY$8,0))/SUMIFS(58:58,$8:$8,"&gt;="&amp;DATE(YEAR(DY$8)-1,1,1),$8:$8,"&lt;="&amp;EOMONTH(DY$8,-12))-1</f>
        <v/>
      </c>
      <c r="DZ61" s="1318">
        <f>SUMIFS(58:58,$8:$8,"&gt;="&amp;DATE(YEAR(DZ$8),1,1),$8:$8,"&lt;="&amp;EOMONTH(DZ$8,0))/SUMIFS(58:58,$8:$8,"&gt;="&amp;DATE(YEAR(DZ$8)-1,1,1),$8:$8,"&lt;="&amp;EOMONTH(DZ$8,-12))-1</f>
        <v/>
      </c>
      <c r="EA61" s="1318">
        <f>SUMIFS(58:58,$8:$8,"&gt;="&amp;DATE(YEAR(EA$8),1,1),$8:$8,"&lt;="&amp;EOMONTH(EA$8,0))/SUMIFS(58:58,$8:$8,"&gt;="&amp;DATE(YEAR(EA$8)-1,1,1),$8:$8,"&lt;="&amp;EOMONTH(EA$8,-12))-1</f>
        <v/>
      </c>
      <c r="EB61" s="1318">
        <f>SUMIFS(58:58,$8:$8,"&gt;="&amp;DATE(YEAR(EB$8),1,1),$8:$8,"&lt;="&amp;EOMONTH(EB$8,0))/SUMIFS(58:58,$8:$8,"&gt;="&amp;DATE(YEAR(EB$8)-1,1,1),$8:$8,"&lt;="&amp;EOMONTH(EB$8,-12))-1</f>
        <v/>
      </c>
      <c r="EC61" s="1318">
        <f>SUMIFS(58:58,$8:$8,"&gt;="&amp;DATE(YEAR(EC$8),1,1),$8:$8,"&lt;="&amp;EOMONTH(EC$8,0))/SUMIFS(58:58,$8:$8,"&gt;="&amp;DATE(YEAR(EC$8)-1,1,1),$8:$8,"&lt;="&amp;EOMONTH(EC$8,-12))-1</f>
        <v/>
      </c>
      <c r="ED61" s="1318">
        <f>SUMIFS(58:58,$8:$8,"&gt;="&amp;DATE(YEAR(ED$8),1,1),$8:$8,"&lt;="&amp;EOMONTH(ED$8,0))/SUMIFS(58:58,$8:$8,"&gt;="&amp;DATE(YEAR(ED$8)-1,1,1),$8:$8,"&lt;="&amp;EOMONTH(ED$8,-12))-1</f>
        <v/>
      </c>
      <c r="EE61" s="1318">
        <f>SUMIFS(58:58,$8:$8,"&gt;="&amp;DATE(YEAR(EE$8),1,1),$8:$8,"&lt;="&amp;EOMONTH(EE$8,0))/SUMIFS(58:58,$8:$8,"&gt;="&amp;DATE(YEAR(EE$8)-1,1,1),$8:$8,"&lt;="&amp;EOMONTH(EE$8,-12))-1</f>
        <v/>
      </c>
      <c r="EF61" s="1318">
        <f>SUMIFS(58:58,$8:$8,"&gt;="&amp;DATE(YEAR(EF$8),1,1),$8:$8,"&lt;="&amp;EOMONTH(EF$8,0))/SUMIFS(58:58,$8:$8,"&gt;="&amp;DATE(YEAR(EF$8)-1,1,1),$8:$8,"&lt;="&amp;EOMONTH(EF$8,-12))-1</f>
        <v/>
      </c>
      <c r="EG61" s="1318">
        <f>SUMIFS(58:58,$8:$8,"&gt;="&amp;DATE(YEAR(EG$8),1,1),$8:$8,"&lt;="&amp;EOMONTH(EG$8,0))/SUMIFS(58:58,$8:$8,"&gt;="&amp;DATE(YEAR(EG$8)-1,1,1),$8:$8,"&lt;="&amp;EOMONTH(EG$8,-12))-1</f>
        <v/>
      </c>
      <c r="EH61" s="1318">
        <f>SUMIFS(58:58,$8:$8,"&gt;="&amp;DATE(YEAR(EH$8),1,1),$8:$8,"&lt;="&amp;EOMONTH(EH$8,0))/SUMIFS(58:58,$8:$8,"&gt;="&amp;DATE(YEAR(EH$8)-1,1,1),$8:$8,"&lt;="&amp;EOMONTH(EH$8,-12))-1</f>
        <v/>
      </c>
      <c r="EI61" s="1318">
        <f>SUMIFS(58:58,$8:$8,"&gt;="&amp;DATE(YEAR(EI$8),1,1),$8:$8,"&lt;="&amp;EOMONTH(EI$8,0))/SUMIFS(58:58,$8:$8,"&gt;="&amp;DATE(YEAR(EI$8)-1,1,1),$8:$8,"&lt;="&amp;EOMONTH(EI$8,-12))-1</f>
        <v/>
      </c>
      <c r="EJ61" s="1318">
        <f>SUMIFS(58:58,$8:$8,"&gt;="&amp;DATE(YEAR(EJ$8),1,1),$8:$8,"&lt;="&amp;EOMONTH(EJ$8,0))/SUMIFS(58:58,$8:$8,"&gt;="&amp;DATE(YEAR(EJ$8)-1,1,1),$8:$8,"&lt;="&amp;EOMONTH(EJ$8,-12))-1</f>
        <v/>
      </c>
      <c r="EK61" s="1318">
        <f>SUMIFS(58:58,$8:$8,"&gt;="&amp;DATE(YEAR(EK$8),1,1),$8:$8,"&lt;="&amp;EOMONTH(EK$8,0))/SUMIFS(58:58,$8:$8,"&gt;="&amp;DATE(YEAR(EK$8)-1,1,1),$8:$8,"&lt;="&amp;EOMONTH(EK$8,-12))-1</f>
        <v/>
      </c>
      <c r="EL61" s="1318">
        <f>SUMIFS(58:58,$8:$8,"&gt;="&amp;DATE(YEAR(EL$8),1,1),$8:$8,"&lt;="&amp;EOMONTH(EL$8,0))/SUMIFS(58:58,$8:$8,"&gt;="&amp;DATE(YEAR(EL$8)-1,1,1),$8:$8,"&lt;="&amp;EOMONTH(EL$8,-12))-1</f>
        <v/>
      </c>
      <c r="EM61" s="1318">
        <f>SUMIFS(58:58,$8:$8,"&gt;="&amp;DATE(YEAR(EM$8),1,1),$8:$8,"&lt;="&amp;EOMONTH(EM$8,0))/SUMIFS(58:58,$8:$8,"&gt;="&amp;DATE(YEAR(EM$8)-1,1,1),$8:$8,"&lt;="&amp;EOMONTH(EM$8,-12))-1</f>
        <v/>
      </c>
      <c r="EN61" s="1318">
        <f>SUMIFS(58:58,$8:$8,"&gt;="&amp;DATE(YEAR(EN$8),1,1),$8:$8,"&lt;="&amp;EOMONTH(EN$8,0))/SUMIFS(58:58,$8:$8,"&gt;="&amp;DATE(YEAR(EN$8)-1,1,1),$8:$8,"&lt;="&amp;EOMONTH(EN$8,-12))-1</f>
        <v/>
      </c>
      <c r="EO61" s="1318">
        <f>SUMIFS(58:58,$8:$8,"&gt;="&amp;DATE(YEAR(EO$8),1,1),$8:$8,"&lt;="&amp;EOMONTH(EO$8,0))/SUMIFS(58:58,$8:$8,"&gt;="&amp;DATE(YEAR(EO$8)-1,1,1),$8:$8,"&lt;="&amp;EOMONTH(EO$8,-12))-1</f>
        <v/>
      </c>
      <c r="EP61" s="1318">
        <f>SUMIFS(58:58,$8:$8,"&gt;="&amp;DATE(YEAR(EP$8),1,1),$8:$8,"&lt;="&amp;EOMONTH(EP$8,0))/SUMIFS(58:58,$8:$8,"&gt;="&amp;DATE(YEAR(EP$8)-1,1,1),$8:$8,"&lt;="&amp;EOMONTH(EP$8,-12))-1</f>
        <v/>
      </c>
      <c r="EQ61" s="1318">
        <f>SUMIFS(58:58,$8:$8,"&gt;="&amp;DATE(YEAR(EQ$8),1,1),$8:$8,"&lt;="&amp;EOMONTH(EQ$8,0))/SUMIFS(58:58,$8:$8,"&gt;="&amp;DATE(YEAR(EQ$8)-1,1,1),$8:$8,"&lt;="&amp;EOMONTH(EQ$8,-12))-1</f>
        <v/>
      </c>
      <c r="ER61" s="1318">
        <f>SUMIFS(58:58,$8:$8,"&gt;="&amp;DATE(YEAR(ER$8),1,1),$8:$8,"&lt;="&amp;EOMONTH(ER$8,0))/SUMIFS(58:58,$8:$8,"&gt;="&amp;DATE(YEAR(ER$8)-1,1,1),$8:$8,"&lt;="&amp;EOMONTH(ER$8,-12))-1</f>
        <v/>
      </c>
      <c r="ES61" s="1318">
        <f>SUMIFS(58:58,$8:$8,"&gt;="&amp;DATE(YEAR(ES$8),1,1),$8:$8,"&lt;="&amp;EOMONTH(ES$8,0))/SUMIFS(58:58,$8:$8,"&gt;="&amp;DATE(YEAR(ES$8)-1,1,1),$8:$8,"&lt;="&amp;EOMONTH(ES$8,-12))-1</f>
        <v/>
      </c>
      <c r="ET61" s="1318">
        <f>SUMIFS(58:58,$8:$8,"&gt;="&amp;DATE(YEAR(ET$8),1,1),$8:$8,"&lt;="&amp;EOMONTH(ET$8,0))/SUMIFS(58:58,$8:$8,"&gt;="&amp;DATE(YEAR(ET$8)-1,1,1),$8:$8,"&lt;="&amp;EOMONTH(ET$8,-12))-1</f>
        <v/>
      </c>
      <c r="EU61" s="1318">
        <f>SUMIFS(58:58,$8:$8,"&gt;="&amp;DATE(YEAR(EU$8),1,1),$8:$8,"&lt;="&amp;EOMONTH(EU$8,0))/SUMIFS(58:58,$8:$8,"&gt;="&amp;DATE(YEAR(EU$8)-1,1,1),$8:$8,"&lt;="&amp;EOMONTH(EU$8,-12))-1</f>
        <v/>
      </c>
      <c r="EV61" s="1318">
        <f>SUMIFS(58:58,$8:$8,"&gt;="&amp;DATE(YEAR(EV$8),1,1),$8:$8,"&lt;="&amp;EOMONTH(EV$8,0))/SUMIFS(58:58,$8:$8,"&gt;="&amp;DATE(YEAR(EV$8)-1,1,1),$8:$8,"&lt;="&amp;EOMONTH(EV$8,-12))-1</f>
        <v/>
      </c>
      <c r="EW61" s="1318">
        <f>SUMIFS(58:58,$8:$8,"&gt;="&amp;DATE(YEAR(EW$8),1,1),$8:$8,"&lt;="&amp;EOMONTH(EW$8,0))/SUMIFS(58:58,$8:$8,"&gt;="&amp;DATE(YEAR(EW$8)-1,1,1),$8:$8,"&lt;="&amp;EOMONTH(EW$8,-12))-1</f>
        <v/>
      </c>
      <c r="EX61" s="1318">
        <f>SUMIFS(58:58,$8:$8,"&gt;="&amp;DATE(YEAR(EX$8),1,1),$8:$8,"&lt;="&amp;EOMONTH(EX$8,0))/SUMIFS(58:58,$8:$8,"&gt;="&amp;DATE(YEAR(EX$8)-1,1,1),$8:$8,"&lt;="&amp;EOMONTH(EX$8,-12))-1</f>
        <v/>
      </c>
      <c r="EY61" s="1318">
        <f>SUMIFS(58:58,$8:$8,"&gt;="&amp;DATE(YEAR(EY$8),1,1),$8:$8,"&lt;="&amp;EOMONTH(EY$8,0))/SUMIFS(58:58,$8:$8,"&gt;="&amp;DATE(YEAR(EY$8)-1,1,1),$8:$8,"&lt;="&amp;EOMONTH(EY$8,-12))-1</f>
        <v/>
      </c>
      <c r="EZ61" s="1318">
        <f>SUMIFS(58:58,$8:$8,"&gt;="&amp;DATE(YEAR(EZ$8),1,1),$8:$8,"&lt;="&amp;EOMONTH(EZ$8,0))/SUMIFS(58:58,$8:$8,"&gt;="&amp;DATE(YEAR(EZ$8)-1,1,1),$8:$8,"&lt;="&amp;EOMONTH(EZ$8,-12))-1</f>
        <v/>
      </c>
      <c r="FA61" s="1318">
        <f>SUMIFS(58:58,$8:$8,"&gt;="&amp;DATE(YEAR(FA$8),1,1),$8:$8,"&lt;="&amp;EOMONTH(FA$8,0))/SUMIFS(58:58,$8:$8,"&gt;="&amp;DATE(YEAR(FA$8)-1,1,1),$8:$8,"&lt;="&amp;EOMONTH(FA$8,-12))-1</f>
        <v/>
      </c>
      <c r="FB61" s="1318">
        <f>SUMIFS(58:58,$8:$8,"&gt;="&amp;DATE(YEAR(FB$8),1,1),$8:$8,"&lt;="&amp;EOMONTH(FB$8,0))/SUMIFS(58:58,$8:$8,"&gt;="&amp;DATE(YEAR(FB$8)-1,1,1),$8:$8,"&lt;="&amp;EOMONTH(FB$8,-12))-1</f>
        <v/>
      </c>
      <c r="FC61" s="1318">
        <f>SUMIFS(58:58,$8:$8,"&gt;="&amp;DATE(YEAR(FC$8),1,1),$8:$8,"&lt;="&amp;EOMONTH(FC$8,0))/SUMIFS(58:58,$8:$8,"&gt;="&amp;DATE(YEAR(FC$8)-1,1,1),$8:$8,"&lt;="&amp;EOMONTH(FC$8,-12))-1</f>
        <v/>
      </c>
      <c r="FD61" s="1318">
        <f>SUMIFS(58:58,$8:$8,"&gt;="&amp;DATE(YEAR(FD$8),1,1),$8:$8,"&lt;="&amp;EOMONTH(FD$8,0))/SUMIFS(58:58,$8:$8,"&gt;="&amp;DATE(YEAR(FD$8)-1,1,1),$8:$8,"&lt;="&amp;EOMONTH(FD$8,-12))-1</f>
        <v/>
      </c>
      <c r="FE61" s="1318">
        <f>SUMIFS(58:58,$8:$8,"&gt;="&amp;DATE(YEAR(FE$8),1,1),$8:$8,"&lt;="&amp;EOMONTH(FE$8,0))/SUMIFS(58:58,$8:$8,"&gt;="&amp;DATE(YEAR(FE$8)-1,1,1),$8:$8,"&lt;="&amp;EOMONTH(FE$8,-12))-1</f>
        <v/>
      </c>
      <c r="FF61" s="1318">
        <f>SUMIFS(58:58,$8:$8,"&gt;="&amp;DATE(YEAR(FF$8),1,1),$8:$8,"&lt;="&amp;EOMONTH(FF$8,0))/SUMIFS(58:58,$8:$8,"&gt;="&amp;DATE(YEAR(FF$8)-1,1,1),$8:$8,"&lt;="&amp;EOMONTH(FF$8,-12))-1</f>
        <v/>
      </c>
      <c r="FG61" s="1318">
        <f>SUMIFS(58:58,$8:$8,"&gt;="&amp;DATE(YEAR(FG$8),1,1),$8:$8,"&lt;="&amp;EOMONTH(FG$8,0))/SUMIFS(58:58,$8:$8,"&gt;="&amp;DATE(YEAR(FG$8)-1,1,1),$8:$8,"&lt;="&amp;EOMONTH(FG$8,-12))-1</f>
        <v/>
      </c>
      <c r="FH61" s="1318">
        <f>SUMIFS(58:58,$8:$8,"&gt;="&amp;DATE(YEAR(FH$8),1,1),$8:$8,"&lt;="&amp;EOMONTH(FH$8,0))/SUMIFS(58:58,$8:$8,"&gt;="&amp;DATE(YEAR(FH$8)-1,1,1),$8:$8,"&lt;="&amp;EOMONTH(FH$8,-12))-1</f>
        <v/>
      </c>
      <c r="FI61" s="1318">
        <f>SUMIFS(58:58,$8:$8,"&gt;="&amp;DATE(YEAR(FI$8),1,1),$8:$8,"&lt;="&amp;EOMONTH(FI$8,0))/SUMIFS(58:58,$8:$8,"&gt;="&amp;DATE(YEAR(FI$8)-1,1,1),$8:$8,"&lt;="&amp;EOMONTH(FI$8,-12))-1</f>
        <v/>
      </c>
      <c r="FJ61" s="1318">
        <f>SUMIFS(58:58,$8:$8,"&gt;="&amp;DATE(YEAR(FJ$8),1,1),$8:$8,"&lt;="&amp;EOMONTH(FJ$8,0))/SUMIFS(58:58,$8:$8,"&gt;="&amp;DATE(YEAR(FJ$8)-1,1,1),$8:$8,"&lt;="&amp;EOMONTH(FJ$8,-12))-1</f>
        <v/>
      </c>
      <c r="FK61" s="1318">
        <f>SUMIFS(58:58,$8:$8,"&gt;="&amp;DATE(YEAR(FK$8),1,1),$8:$8,"&lt;="&amp;EOMONTH(FK$8,0))/SUMIFS(58:58,$8:$8,"&gt;="&amp;DATE(YEAR(FK$8)-1,1,1),$8:$8,"&lt;="&amp;EOMONTH(FK$8,-12))-1</f>
        <v/>
      </c>
      <c r="FL61" s="1318">
        <f>SUMIFS(58:58,$8:$8,"&gt;="&amp;DATE(YEAR(FL$8),1,1),$8:$8,"&lt;="&amp;EOMONTH(FL$8,0))/SUMIFS(58:58,$8:$8,"&gt;="&amp;DATE(YEAR(FL$8)-1,1,1),$8:$8,"&lt;="&amp;EOMONTH(FL$8,-12))-1</f>
        <v/>
      </c>
      <c r="FM61" s="1318">
        <f>SUMIFS(58:58,$8:$8,"&gt;="&amp;DATE(YEAR(FM$8),1,1),$8:$8,"&lt;="&amp;EOMONTH(FM$8,0))/SUMIFS(58:58,$8:$8,"&gt;="&amp;DATE(YEAR(FM$8)-1,1,1),$8:$8,"&lt;="&amp;EOMONTH(FM$8,-12))-1</f>
        <v/>
      </c>
      <c r="FN61" s="1318">
        <f>SUMIFS(58:58,$8:$8,"&gt;="&amp;DATE(YEAR(FN$8),1,1),$8:$8,"&lt;="&amp;EOMONTH(FN$8,0))/SUMIFS(58:58,$8:$8,"&gt;="&amp;DATE(YEAR(FN$8)-1,1,1),$8:$8,"&lt;="&amp;EOMONTH(FN$8,-12))-1</f>
        <v/>
      </c>
      <c r="FO61" s="1318">
        <f>SUMIFS(58:58,$8:$8,"&gt;="&amp;DATE(YEAR(FO$8),1,1),$8:$8,"&lt;="&amp;EOMONTH(FO$8,0))/SUMIFS(58:58,$8:$8,"&gt;="&amp;DATE(YEAR(FO$8)-1,1,1),$8:$8,"&lt;="&amp;EOMONTH(FO$8,-12))-1</f>
        <v/>
      </c>
      <c r="FP61" s="1318">
        <f>SUMIFS(58:58,$8:$8,"&gt;="&amp;DATE(YEAR(FP$8),1,1),$8:$8,"&lt;="&amp;EOMONTH(FP$8,0))/SUMIFS(58:58,$8:$8,"&gt;="&amp;DATE(YEAR(FP$8)-1,1,1),$8:$8,"&lt;="&amp;EOMONTH(FP$8,-12))-1</f>
        <v/>
      </c>
      <c r="FQ61" s="1318">
        <f>SUMIFS(58:58,$8:$8,"&gt;="&amp;DATE(YEAR(FQ$8),1,1),$8:$8,"&lt;="&amp;EOMONTH(FQ$8,0))/SUMIFS(58:58,$8:$8,"&gt;="&amp;DATE(YEAR(FQ$8)-1,1,1),$8:$8,"&lt;="&amp;EOMONTH(FQ$8,-12))-1</f>
        <v/>
      </c>
      <c r="FR61" s="1318">
        <f>SUMIFS(58:58,$8:$8,"&gt;="&amp;DATE(YEAR(FR$8),1,1),$8:$8,"&lt;="&amp;EOMONTH(FR$8,0))/SUMIFS(58:58,$8:$8,"&gt;="&amp;DATE(YEAR(FR$8)-1,1,1),$8:$8,"&lt;="&amp;EOMONTH(FR$8,-12))-1</f>
        <v/>
      </c>
      <c r="FS61" s="1318">
        <f>SUMIFS(58:58,$8:$8,"&gt;="&amp;DATE(YEAR(FS$8),1,1),$8:$8,"&lt;="&amp;EOMONTH(FS$8,0))/SUMIFS(58:58,$8:$8,"&gt;="&amp;DATE(YEAR(FS$8)-1,1,1),$8:$8,"&lt;="&amp;EOMONTH(FS$8,-12))-1</f>
        <v/>
      </c>
      <c r="FT61" s="1318">
        <f>SUMIFS(58:58,$8:$8,"&gt;="&amp;DATE(YEAR(FT$8),1,1),$8:$8,"&lt;="&amp;EOMONTH(FT$8,0))/SUMIFS(58:58,$8:$8,"&gt;="&amp;DATE(YEAR(FT$8)-1,1,1),$8:$8,"&lt;="&amp;EOMONTH(FT$8,-12))-1</f>
        <v/>
      </c>
      <c r="FU61" s="1318">
        <f>SUMIFS(58:58,$8:$8,"&gt;="&amp;DATE(YEAR(FU$8),1,1),$8:$8,"&lt;="&amp;EOMONTH(FU$8,0))/SUMIFS(58:58,$8:$8,"&gt;="&amp;DATE(YEAR(FU$8)-1,1,1),$8:$8,"&lt;="&amp;EOMONTH(FU$8,-12))-1</f>
        <v/>
      </c>
      <c r="FV61" s="1318">
        <f>SUMIFS(58:58,$8:$8,"&gt;="&amp;DATE(YEAR(FV$8),1,1),$8:$8,"&lt;="&amp;EOMONTH(FV$8,0))/SUMIFS(58:58,$8:$8,"&gt;="&amp;DATE(YEAR(FV$8)-1,1,1),$8:$8,"&lt;="&amp;EOMONTH(FV$8,-12))-1</f>
        <v/>
      </c>
      <c r="FW61" s="1318">
        <f>SUMIFS(58:58,$8:$8,"&gt;="&amp;DATE(YEAR(FW$8),1,1),$8:$8,"&lt;="&amp;EOMONTH(FW$8,0))/SUMIFS(58:58,$8:$8,"&gt;="&amp;DATE(YEAR(FW$8)-1,1,1),$8:$8,"&lt;="&amp;EOMONTH(FW$8,-12))-1</f>
        <v/>
      </c>
      <c r="FX61" s="1318">
        <f>SUMIFS(58:58,$8:$8,"&gt;="&amp;DATE(YEAR(FX$8),1,1),$8:$8,"&lt;="&amp;EOMONTH(FX$8,0))/SUMIFS(58:58,$8:$8,"&gt;="&amp;DATE(YEAR(FX$8)-1,1,1),$8:$8,"&lt;="&amp;EOMONTH(FX$8,-12))-1</f>
        <v/>
      </c>
      <c r="FY61" s="1318">
        <f>SUMIFS(58:58,$8:$8,"&gt;="&amp;DATE(YEAR(FY$8),1,1),$8:$8,"&lt;="&amp;EOMONTH(FY$8,0))/SUMIFS(58:58,$8:$8,"&gt;="&amp;DATE(YEAR(FY$8)-1,1,1),$8:$8,"&lt;="&amp;EOMONTH(FY$8,-12))-1</f>
        <v/>
      </c>
      <c r="FZ61" s="1318">
        <f>SUMIFS(58:58,$8:$8,"&gt;="&amp;DATE(YEAR(FZ$8),1,1),$8:$8,"&lt;="&amp;EOMONTH(FZ$8,0))/SUMIFS(58:58,$8:$8,"&gt;="&amp;DATE(YEAR(FZ$8)-1,1,1),$8:$8,"&lt;="&amp;EOMONTH(FZ$8,-12))-1</f>
        <v/>
      </c>
      <c r="GA61" s="1318">
        <f>SUMIFS(58:58,$8:$8,"&gt;="&amp;DATE(YEAR(GA$8),1,1),$8:$8,"&lt;="&amp;EOMONTH(GA$8,0))/SUMIFS(58:58,$8:$8,"&gt;="&amp;DATE(YEAR(GA$8)-1,1,1),$8:$8,"&lt;="&amp;EOMONTH(GA$8,-12))-1</f>
        <v/>
      </c>
      <c r="GB61" s="1318">
        <f>SUMIFS(58:58,$8:$8,"&gt;="&amp;DATE(YEAR(GB$8),1,1),$8:$8,"&lt;="&amp;EOMONTH(GB$8,0))/SUMIFS(58:58,$8:$8,"&gt;="&amp;DATE(YEAR(GB$8)-1,1,1),$8:$8,"&lt;="&amp;EOMONTH(GB$8,-12))-1</f>
        <v/>
      </c>
      <c r="GC61" s="1318">
        <f>SUMIFS(58:58,$8:$8,"&gt;="&amp;DATE(YEAR(GC$8),1,1),$8:$8,"&lt;="&amp;EOMONTH(GC$8,0))/SUMIFS(58:58,$8:$8,"&gt;="&amp;DATE(YEAR(GC$8)-1,1,1),$8:$8,"&lt;="&amp;EOMONTH(GC$8,-12))-1</f>
        <v/>
      </c>
      <c r="GD61" s="1318">
        <f>SUMIFS(58:58,$8:$8,"&gt;="&amp;DATE(YEAR(GD$8),1,1),$8:$8,"&lt;="&amp;EOMONTH(GD$8,0))/SUMIFS(58:58,$8:$8,"&gt;="&amp;DATE(YEAR(GD$8)-1,1,1),$8:$8,"&lt;="&amp;EOMONTH(GD$8,-12))-1</f>
        <v/>
      </c>
      <c r="GE61" s="1318">
        <f>SUMIFS(58:58,$8:$8,"&gt;="&amp;DATE(YEAR(GE$8),1,1),$8:$8,"&lt;="&amp;EOMONTH(GE$8,0))/SUMIFS(58:58,$8:$8,"&gt;="&amp;DATE(YEAR(GE$8)-1,1,1),$8:$8,"&lt;="&amp;EOMONTH(GE$8,-12))-1</f>
        <v/>
      </c>
      <c r="GF61" s="1318">
        <f>SUMIFS(58:58,$8:$8,"&gt;="&amp;DATE(YEAR(GF$8),1,1),$8:$8,"&lt;="&amp;EOMONTH(GF$8,0))/SUMIFS(58:58,$8:$8,"&gt;="&amp;DATE(YEAR(GF$8)-1,1,1),$8:$8,"&lt;="&amp;EOMONTH(GF$8,-12))-1</f>
        <v/>
      </c>
      <c r="GG61" s="1318">
        <f>SUMIFS(58:58,$8:$8,"&gt;="&amp;DATE(YEAR(GG$8),1,1),$8:$8,"&lt;="&amp;EOMONTH(GG$8,0))/SUMIFS(58:58,$8:$8,"&gt;="&amp;DATE(YEAR(GG$8)-1,1,1),$8:$8,"&lt;="&amp;EOMONTH(GG$8,-12))-1</f>
        <v/>
      </c>
      <c r="GH61" s="1318">
        <f>SUMIFS(58:58,$8:$8,"&gt;="&amp;DATE(YEAR(GH$8),1,1),$8:$8,"&lt;="&amp;EOMONTH(GH$8,0))/SUMIFS(58:58,$8:$8,"&gt;="&amp;DATE(YEAR(GH$8)-1,1,1),$8:$8,"&lt;="&amp;EOMONTH(GH$8,-12))-1</f>
        <v/>
      </c>
      <c r="GI61" s="1318">
        <f>SUMIFS(58:58,$8:$8,"&gt;="&amp;DATE(YEAR(GI$8),1,1),$8:$8,"&lt;="&amp;EOMONTH(GI$8,0))/SUMIFS(58:58,$8:$8,"&gt;="&amp;DATE(YEAR(GI$8)-1,1,1),$8:$8,"&lt;="&amp;EOMONTH(GI$8,-12))-1</f>
        <v/>
      </c>
      <c r="GJ61" s="1318">
        <f>SUMIFS(58:58,$8:$8,"&gt;="&amp;DATE(YEAR(GJ$8),1,1),$8:$8,"&lt;="&amp;EOMONTH(GJ$8,0))/SUMIFS(58:58,$8:$8,"&gt;="&amp;DATE(YEAR(GJ$8)-1,1,1),$8:$8,"&lt;="&amp;EOMONTH(GJ$8,-12))-1</f>
        <v/>
      </c>
      <c r="GK61" s="1318">
        <f>SUMIFS(58:58,$8:$8,"&gt;="&amp;DATE(YEAR(GK$8),1,1),$8:$8,"&lt;="&amp;EOMONTH(GK$8,0))/SUMIFS(58:58,$8:$8,"&gt;="&amp;DATE(YEAR(GK$8)-1,1,1),$8:$8,"&lt;="&amp;EOMONTH(GK$8,-12))-1</f>
        <v/>
      </c>
      <c r="GL61" s="1318">
        <f>SUMIFS(58:58,$8:$8,"&gt;="&amp;DATE(YEAR(GL$8),1,1),$8:$8,"&lt;="&amp;EOMONTH(GL$8,0))/SUMIFS(58:58,$8:$8,"&gt;="&amp;DATE(YEAR(GL$8)-1,1,1),$8:$8,"&lt;="&amp;EOMONTH(GL$8,-12))-1</f>
        <v/>
      </c>
      <c r="GM61" s="1318">
        <f>SUMIFS(58:58,$8:$8,"&gt;="&amp;DATE(YEAR(GM$8),1,1),$8:$8,"&lt;="&amp;EOMONTH(GM$8,0))/SUMIFS(58:58,$8:$8,"&gt;="&amp;DATE(YEAR(GM$8)-1,1,1),$8:$8,"&lt;="&amp;EOMONTH(GM$8,-12))-1</f>
        <v/>
      </c>
      <c r="GN61" s="1318">
        <f>SUMIFS(58:58,$8:$8,"&gt;="&amp;DATE(YEAR(GN$8),1,1),$8:$8,"&lt;="&amp;EOMONTH(GN$8,0))/SUMIFS(58:58,$8:$8,"&gt;="&amp;DATE(YEAR(GN$8)-1,1,1),$8:$8,"&lt;="&amp;EOMONTH(GN$8,-12))-1</f>
        <v/>
      </c>
      <c r="GO61" s="1318">
        <f>SUMIFS(58:58,$8:$8,"&gt;="&amp;DATE(YEAR(GO$8),1,1),$8:$8,"&lt;="&amp;EOMONTH(GO$8,0))/SUMIFS(58:58,$8:$8,"&gt;="&amp;DATE(YEAR(GO$8)-1,1,1),$8:$8,"&lt;="&amp;EOMONTH(GO$8,-12))-1</f>
        <v/>
      </c>
      <c r="GP61" s="1318">
        <f>SUMIFS(58:58,$8:$8,"&gt;="&amp;DATE(YEAR(GP$8),1,1),$8:$8,"&lt;="&amp;EOMONTH(GP$8,0))/SUMIFS(58:58,$8:$8,"&gt;="&amp;DATE(YEAR(GP$8)-1,1,1),$8:$8,"&lt;="&amp;EOMONTH(GP$8,-12))-1</f>
        <v/>
      </c>
      <c r="GQ61" s="1318">
        <f>SUMIFS(58:58,$8:$8,"&gt;="&amp;DATE(YEAR(GQ$8),1,1),$8:$8,"&lt;="&amp;EOMONTH(GQ$8,0))/SUMIFS(58:58,$8:$8,"&gt;="&amp;DATE(YEAR(GQ$8)-1,1,1),$8:$8,"&lt;="&amp;EOMONTH(GQ$8,-12))-1</f>
        <v/>
      </c>
      <c r="GR61" s="1318">
        <f>SUMIFS(58:58,$8:$8,"&gt;="&amp;DATE(YEAR(GR$8),1,1),$8:$8,"&lt;="&amp;EOMONTH(GR$8,0))/SUMIFS(58:58,$8:$8,"&gt;="&amp;DATE(YEAR(GR$8)-1,1,1),$8:$8,"&lt;="&amp;EOMONTH(GR$8,-12))-1</f>
        <v/>
      </c>
      <c r="GS61" s="1318">
        <f>SUMIFS(58:58,$8:$8,"&gt;="&amp;DATE(YEAR(GS$8),1,1),$8:$8,"&lt;="&amp;EOMONTH(GS$8,0))/SUMIFS(58:58,$8:$8,"&gt;="&amp;DATE(YEAR(GS$8)-1,1,1),$8:$8,"&lt;="&amp;EOMONTH(GS$8,-12))-1</f>
        <v/>
      </c>
      <c r="GT61" s="1318">
        <f>SUMIFS(58:58,$8:$8,"&gt;="&amp;DATE(YEAR(GT$8),1,1),$8:$8,"&lt;="&amp;EOMONTH(GT$8,0))/SUMIFS(58:58,$8:$8,"&gt;="&amp;DATE(YEAR(GT$8)-1,1,1),$8:$8,"&lt;="&amp;EOMONTH(GT$8,-12))-1</f>
        <v/>
      </c>
      <c r="GU61" s="1318">
        <f>SUMIFS(58:58,$8:$8,"&gt;="&amp;DATE(YEAR(GU$8),1,1),$8:$8,"&lt;="&amp;EOMONTH(GU$8,0))/SUMIFS(58:58,$8:$8,"&gt;="&amp;DATE(YEAR(GU$8)-1,1,1),$8:$8,"&lt;="&amp;EOMONTH(GU$8,-12))-1</f>
        <v/>
      </c>
      <c r="GV61" s="1318">
        <f>SUMIFS(58:58,$8:$8,"&gt;="&amp;DATE(YEAR(GV$8),1,1),$8:$8,"&lt;="&amp;EOMONTH(GV$8,0))/SUMIFS(58:58,$8:$8,"&gt;="&amp;DATE(YEAR(GV$8)-1,1,1),$8:$8,"&lt;="&amp;EOMONTH(GV$8,-12))-1</f>
        <v/>
      </c>
      <c r="GW61" s="1318">
        <f>SUMIFS(58:58,$8:$8,"&gt;="&amp;DATE(YEAR(GW$8),1,1),$8:$8,"&lt;="&amp;EOMONTH(GW$8,0))/SUMIFS(58:58,$8:$8,"&gt;="&amp;DATE(YEAR(GW$8)-1,1,1),$8:$8,"&lt;="&amp;EOMONTH(GW$8,-12))-1</f>
        <v/>
      </c>
      <c r="GX61" s="1318">
        <f>SUMIFS(58:58,$8:$8,"&gt;="&amp;DATE(YEAR(GX$8),1,1),$8:$8,"&lt;="&amp;EOMONTH(GX$8,0))/SUMIFS(58:58,$8:$8,"&gt;="&amp;DATE(YEAR(GX$8)-1,1,1),$8:$8,"&lt;="&amp;EOMONTH(GX$8,-12))-1</f>
        <v/>
      </c>
      <c r="GY61" s="1318">
        <f>SUMIFS(58:58,$8:$8,"&gt;="&amp;DATE(YEAR(GY$8),1,1),$8:$8,"&lt;="&amp;EOMONTH(GY$8,0))/SUMIFS(58:58,$8:$8,"&gt;="&amp;DATE(YEAR(GY$8)-1,1,1),$8:$8,"&lt;="&amp;EOMONTH(GY$8,-12))-1</f>
        <v/>
      </c>
      <c r="GZ61" s="1318">
        <f>SUMIFS(58:58,$8:$8,"&gt;="&amp;DATE(YEAR(GZ$8),1,1),$8:$8,"&lt;="&amp;EOMONTH(GZ$8,0))/SUMIFS(58:58,$8:$8,"&gt;="&amp;DATE(YEAR(GZ$8)-1,1,1),$8:$8,"&lt;="&amp;EOMONTH(GZ$8,-12))-1</f>
        <v/>
      </c>
      <c r="HA61" s="1318">
        <f>SUMIFS(58:58,$8:$8,"&gt;="&amp;DATE(YEAR(HA$8),1,1),$8:$8,"&lt;="&amp;EOMONTH(HA$8,0))/SUMIFS(58:58,$8:$8,"&gt;="&amp;DATE(YEAR(HA$8)-1,1,1),$8:$8,"&lt;="&amp;EOMONTH(HA$8,-12))-1</f>
        <v/>
      </c>
      <c r="HB61" s="1318">
        <f>SUMIFS(58:58,$8:$8,"&gt;="&amp;DATE(YEAR(HB$8),1,1),$8:$8,"&lt;="&amp;EOMONTH(HB$8,0))/SUMIFS(58:58,$8:$8,"&gt;="&amp;DATE(YEAR(HB$8)-1,1,1),$8:$8,"&lt;="&amp;EOMONTH(HB$8,-12))-1</f>
        <v/>
      </c>
      <c r="HC61" s="1318">
        <f>SUMIFS(58:58,$8:$8,"&gt;="&amp;DATE(YEAR(HC$8),1,1),$8:$8,"&lt;="&amp;EOMONTH(HC$8,0))/SUMIFS(58:58,$8:$8,"&gt;="&amp;DATE(YEAR(HC$8)-1,1,1),$8:$8,"&lt;="&amp;EOMONTH(HC$8,-12))-1</f>
        <v/>
      </c>
      <c r="HD61" s="1318">
        <f>SUMIFS(58:58,$8:$8,"&gt;="&amp;DATE(YEAR(HD$8),1,1),$8:$8,"&lt;="&amp;EOMONTH(HD$8,0))/SUMIFS(58:58,$8:$8,"&gt;="&amp;DATE(YEAR(HD$8)-1,1,1),$8:$8,"&lt;="&amp;EOMONTH(HD$8,-12))-1</f>
        <v/>
      </c>
      <c r="HE61" s="1318">
        <f>SUMIFS(58:58,$8:$8,"&gt;="&amp;DATE(YEAR(HE$8),1,1),$8:$8,"&lt;="&amp;EOMONTH(HE$8,0))/SUMIFS(58:58,$8:$8,"&gt;="&amp;DATE(YEAR(HE$8)-1,1,1),$8:$8,"&lt;="&amp;EOMONTH(HE$8,-12))-1</f>
        <v/>
      </c>
      <c r="HF61" s="1318">
        <f>SUMIFS(58:58,$8:$8,"&gt;="&amp;DATE(YEAR(HF$8),1,1),$8:$8,"&lt;="&amp;EOMONTH(HF$8,0))/SUMIFS(58:58,$8:$8,"&gt;="&amp;DATE(YEAR(HF$8)-1,1,1),$8:$8,"&lt;="&amp;EOMONTH(HF$8,-12))-1</f>
        <v/>
      </c>
      <c r="HG61" s="1318">
        <f>SUMIFS(58:58,$8:$8,"&gt;="&amp;DATE(YEAR(HG$8),1,1),$8:$8,"&lt;="&amp;EOMONTH(HG$8,0))/SUMIFS(58:58,$8:$8,"&gt;="&amp;DATE(YEAR(HG$8)-1,1,1),$8:$8,"&lt;="&amp;EOMONTH(HG$8,-12))-1</f>
        <v/>
      </c>
      <c r="HH61" s="1318">
        <f>SUMIFS(58:58,$8:$8,"&gt;="&amp;DATE(YEAR(HH$8),1,1),$8:$8,"&lt;="&amp;EOMONTH(HH$8,0))/SUMIFS(58:58,$8:$8,"&gt;="&amp;DATE(YEAR(HH$8)-1,1,1),$8:$8,"&lt;="&amp;EOMONTH(HH$8,-12))-1</f>
        <v/>
      </c>
      <c r="HI61" s="1318">
        <f>SUMIFS(58:58,$8:$8,"&gt;="&amp;DATE(YEAR(HI$8),1,1),$8:$8,"&lt;="&amp;EOMONTH(HI$8,0))/SUMIFS(58:58,$8:$8,"&gt;="&amp;DATE(YEAR(HI$8)-1,1,1),$8:$8,"&lt;="&amp;EOMONTH(HI$8,-12))-1</f>
        <v/>
      </c>
      <c r="HJ61" s="1318">
        <f>SUMIFS(58:58,$8:$8,"&gt;="&amp;DATE(YEAR(HJ$8),1,1),$8:$8,"&lt;="&amp;EOMONTH(HJ$8,0))/SUMIFS(58:58,$8:$8,"&gt;="&amp;DATE(YEAR(HJ$8)-1,1,1),$8:$8,"&lt;="&amp;EOMONTH(HJ$8,-12))-1</f>
        <v/>
      </c>
      <c r="HK61" s="1318">
        <f>SUMIFS(58:58,$8:$8,"&gt;="&amp;DATE(YEAR(HK$8),1,1),$8:$8,"&lt;="&amp;EOMONTH(HK$8,0))/SUMIFS(58:58,$8:$8,"&gt;="&amp;DATE(YEAR(HK$8)-1,1,1),$8:$8,"&lt;="&amp;EOMONTH(HK$8,-12))-1</f>
        <v/>
      </c>
      <c r="HL61" s="1318">
        <f>SUMIFS(58:58,$8:$8,"&gt;="&amp;DATE(YEAR(HL$8),1,1),$8:$8,"&lt;="&amp;EOMONTH(HL$8,0))/SUMIFS(58:58,$8:$8,"&gt;="&amp;DATE(YEAR(HL$8)-1,1,1),$8:$8,"&lt;="&amp;EOMONTH(HL$8,-12))-1</f>
        <v/>
      </c>
      <c r="HM61" s="1318">
        <f>SUMIFS(58:58,$8:$8,"&gt;="&amp;DATE(YEAR(HM$8),1,1),$8:$8,"&lt;="&amp;EOMONTH(HM$8,0))/SUMIFS(58:58,$8:$8,"&gt;="&amp;DATE(YEAR(HM$8)-1,1,1),$8:$8,"&lt;="&amp;EOMONTH(HM$8,-12))-1</f>
        <v/>
      </c>
      <c r="HN61" s="1318">
        <f>SUMIFS(58:58,$8:$8,"&gt;="&amp;DATE(YEAR(HN$8),1,1),$8:$8,"&lt;="&amp;EOMONTH(HN$8,0))/SUMIFS(58:58,$8:$8,"&gt;="&amp;DATE(YEAR(HN$8)-1,1,1),$8:$8,"&lt;="&amp;EOMONTH(HN$8,-12))-1</f>
        <v/>
      </c>
      <c r="HO61" s="1318">
        <f>SUMIFS(58:58,$8:$8,"&gt;="&amp;DATE(YEAR(HO$8),1,1),$8:$8,"&lt;="&amp;EOMONTH(HO$8,0))/SUMIFS(58:58,$8:$8,"&gt;="&amp;DATE(YEAR(HO$8)-1,1,1),$8:$8,"&lt;="&amp;EOMONTH(HO$8,-12))-1</f>
        <v/>
      </c>
      <c r="HP61" s="1318">
        <f>SUMIFS(58:58,$8:$8,"&gt;="&amp;DATE(YEAR(HP$8),1,1),$8:$8,"&lt;="&amp;EOMONTH(HP$8,0))/SUMIFS(58:58,$8:$8,"&gt;="&amp;DATE(YEAR(HP$8)-1,1,1),$8:$8,"&lt;="&amp;EOMONTH(HP$8,-12))-1</f>
        <v/>
      </c>
      <c r="HQ61" s="1318">
        <f>SUMIFS(58:58,$8:$8,"&gt;="&amp;DATE(YEAR(HQ$8),1,1),$8:$8,"&lt;="&amp;EOMONTH(HQ$8,0))/SUMIFS(58:58,$8:$8,"&gt;="&amp;DATE(YEAR(HQ$8)-1,1,1),$8:$8,"&lt;="&amp;EOMONTH(HQ$8,-12))-1</f>
        <v/>
      </c>
      <c r="HR61" s="1318">
        <f>SUMIFS(58:58,$8:$8,"&gt;="&amp;DATE(YEAR(HR$8),1,1),$8:$8,"&lt;="&amp;EOMONTH(HR$8,0))/SUMIFS(58:58,$8:$8,"&gt;="&amp;DATE(YEAR(HR$8)-1,1,1),$8:$8,"&lt;="&amp;EOMONTH(HR$8,-12))-1</f>
        <v/>
      </c>
      <c r="HS61" s="1318">
        <f>SUMIFS(58:58,$8:$8,"&gt;="&amp;DATE(YEAR(HS$8),1,1),$8:$8,"&lt;="&amp;EOMONTH(HS$8,0))/SUMIFS(58:58,$8:$8,"&gt;="&amp;DATE(YEAR(HS$8)-1,1,1),$8:$8,"&lt;="&amp;EOMONTH(HS$8,-12))-1</f>
        <v/>
      </c>
      <c r="HT61" s="1318">
        <f>SUMIFS(58:58,$8:$8,"&gt;="&amp;DATE(YEAR(HT$8),1,1),$8:$8,"&lt;="&amp;EOMONTH(HT$8,0))/SUMIFS(58:58,$8:$8,"&gt;="&amp;DATE(YEAR(HT$8)-1,1,1),$8:$8,"&lt;="&amp;EOMONTH(HT$8,-12))-1</f>
        <v/>
      </c>
      <c r="HU61" s="1318">
        <f>SUMIFS(58:58,$8:$8,"&gt;="&amp;DATE(YEAR(HU$8),1,1),$8:$8,"&lt;="&amp;EOMONTH(HU$8,0))/SUMIFS(58:58,$8:$8,"&gt;="&amp;DATE(YEAR(HU$8)-1,1,1),$8:$8,"&lt;="&amp;EOMONTH(HU$8,-12))-1</f>
        <v/>
      </c>
      <c r="HV61" s="1318">
        <f>SUMIFS(58:58,$8:$8,"&gt;="&amp;DATE(YEAR(HV$8),1,1),$8:$8,"&lt;="&amp;EOMONTH(HV$8,0))/SUMIFS(58:58,$8:$8,"&gt;="&amp;DATE(YEAR(HV$8)-1,1,1),$8:$8,"&lt;="&amp;EOMONTH(HV$8,-12))-1</f>
        <v/>
      </c>
      <c r="HW61" s="1318">
        <f>SUMIFS(58:58,$8:$8,"&gt;="&amp;DATE(YEAR(HW$8),1,1),$8:$8,"&lt;="&amp;EOMONTH(HW$8,0))/SUMIFS(58:58,$8:$8,"&gt;="&amp;DATE(YEAR(HW$8)-1,1,1),$8:$8,"&lt;="&amp;EOMONTH(HW$8,-12))-1</f>
        <v/>
      </c>
      <c r="HX61" s="1318">
        <f>SUMIFS(58:58,$8:$8,"&gt;="&amp;DATE(YEAR(HX$8),1,1),$8:$8,"&lt;="&amp;EOMONTH(HX$8,0))/SUMIFS(58:58,$8:$8,"&gt;="&amp;DATE(YEAR(HX$8)-1,1,1),$8:$8,"&lt;="&amp;EOMONTH(HX$8,-12))-1</f>
        <v/>
      </c>
      <c r="HY61" s="1318">
        <f>SUMIFS(58:58,$8:$8,"&gt;="&amp;DATE(YEAR(HY$8),1,1),$8:$8,"&lt;="&amp;EOMONTH(HY$8,0))/SUMIFS(58:58,$8:$8,"&gt;="&amp;DATE(YEAR(HY$8)-1,1,1),$8:$8,"&lt;="&amp;EOMONTH(HY$8,-12))-1</f>
        <v/>
      </c>
      <c r="HZ61" s="1318">
        <f>SUMIFS(58:58,$8:$8,"&gt;="&amp;DATE(YEAR(HZ$8),1,1),$8:$8,"&lt;="&amp;EOMONTH(HZ$8,0))/SUMIFS(58:58,$8:$8,"&gt;="&amp;DATE(YEAR(HZ$8)-1,1,1),$8:$8,"&lt;="&amp;EOMONTH(HZ$8,-12))-1</f>
        <v/>
      </c>
      <c r="IA61" s="1318">
        <f>SUMIFS(58:58,$8:$8,"&gt;="&amp;DATE(YEAR(IA$8),1,1),$8:$8,"&lt;="&amp;EOMONTH(IA$8,0))/SUMIFS(58:58,$8:$8,"&gt;="&amp;DATE(YEAR(IA$8)-1,1,1),$8:$8,"&lt;="&amp;EOMONTH(IA$8,-12))-1</f>
        <v/>
      </c>
      <c r="IB61" s="1318">
        <f>SUMIFS(58:58,$8:$8,"&gt;="&amp;DATE(YEAR(IB$8),1,1),$8:$8,"&lt;="&amp;EOMONTH(IB$8,0))/SUMIFS(58:58,$8:$8,"&gt;="&amp;DATE(YEAR(IB$8)-1,1,1),$8:$8,"&lt;="&amp;EOMONTH(IB$8,-12))-1</f>
        <v/>
      </c>
      <c r="IC61" s="1318">
        <f>SUMIFS(58:58,$8:$8,"&gt;="&amp;DATE(YEAR(IC$8),1,1),$8:$8,"&lt;="&amp;EOMONTH(IC$8,0))/SUMIFS(58:58,$8:$8,"&gt;="&amp;DATE(YEAR(IC$8)-1,1,1),$8:$8,"&lt;="&amp;EOMONTH(IC$8,-12))-1</f>
        <v/>
      </c>
      <c r="ID61" s="1318">
        <f>SUMIFS(58:58,$8:$8,"&gt;="&amp;DATE(YEAR(ID$8),1,1),$8:$8,"&lt;="&amp;EOMONTH(ID$8,0))/SUMIFS(58:58,$8:$8,"&gt;="&amp;DATE(YEAR(ID$8)-1,1,1),$8:$8,"&lt;="&amp;EOMONTH(ID$8,-12))-1</f>
        <v/>
      </c>
      <c r="IE61" s="1318">
        <f>SUMIFS(58:58,$8:$8,"&gt;="&amp;DATE(YEAR(IE$8),1,1),$8:$8,"&lt;="&amp;EOMONTH(IE$8,0))/SUMIFS(58:58,$8:$8,"&gt;="&amp;DATE(YEAR(IE$8)-1,1,1),$8:$8,"&lt;="&amp;EOMONTH(IE$8,-12))-1</f>
        <v/>
      </c>
      <c r="IF61" s="1318">
        <f>SUMIFS(58:58,$8:$8,"&gt;="&amp;DATE(YEAR(IF$8),1,1),$8:$8,"&lt;="&amp;EOMONTH(IF$8,0))/SUMIFS(58:58,$8:$8,"&gt;="&amp;DATE(YEAR(IF$8)-1,1,1),$8:$8,"&lt;="&amp;EOMONTH(IF$8,-12))-1</f>
        <v/>
      </c>
      <c r="IG61" s="1318">
        <f>SUMIFS(58:58,$8:$8,"&gt;="&amp;DATE(YEAR(IG$8),1,1),$8:$8,"&lt;="&amp;EOMONTH(IG$8,0))/SUMIFS(58:58,$8:$8,"&gt;="&amp;DATE(YEAR(IG$8)-1,1,1),$8:$8,"&lt;="&amp;EOMONTH(IG$8,-12))-1</f>
        <v/>
      </c>
      <c r="IH61" s="1318">
        <f>SUMIFS(58:58,$8:$8,"&gt;="&amp;DATE(YEAR(IH$8),1,1),$8:$8,"&lt;="&amp;EOMONTH(IH$8,0))/SUMIFS(58:58,$8:$8,"&gt;="&amp;DATE(YEAR(IH$8)-1,1,1),$8:$8,"&lt;="&amp;EOMONTH(IH$8,-12))-1</f>
        <v/>
      </c>
      <c r="II61" s="1318">
        <f>SUMIFS(58:58,$8:$8,"&gt;="&amp;DATE(YEAR(II$8),1,1),$8:$8,"&lt;="&amp;EOMONTH(II$8,0))/SUMIFS(58:58,$8:$8,"&gt;="&amp;DATE(YEAR(II$8)-1,1,1),$8:$8,"&lt;="&amp;EOMONTH(II$8,-12))-1</f>
        <v/>
      </c>
      <c r="IJ61" s="1318">
        <f>SUMIFS(58:58,$8:$8,"&gt;="&amp;DATE(YEAR(IJ$8),1,1),$8:$8,"&lt;="&amp;EOMONTH(IJ$8,0))/SUMIFS(58:58,$8:$8,"&gt;="&amp;DATE(YEAR(IJ$8)-1,1,1),$8:$8,"&lt;="&amp;EOMONTH(IJ$8,-12))-1</f>
        <v/>
      </c>
      <c r="IK61" s="1318">
        <f>SUMIFS(58:58,$8:$8,"&gt;="&amp;DATE(YEAR(IK$8),1,1),$8:$8,"&lt;="&amp;EOMONTH(IK$8,0))/SUMIFS(58:58,$8:$8,"&gt;="&amp;DATE(YEAR(IK$8)-1,1,1),$8:$8,"&lt;="&amp;EOMONTH(IK$8,-12))-1</f>
        <v/>
      </c>
      <c r="IL61" s="1318">
        <f>SUMIFS(58:58,$8:$8,"&gt;="&amp;DATE(YEAR(IL$8),1,1),$8:$8,"&lt;="&amp;EOMONTH(IL$8,0))/SUMIFS(58:58,$8:$8,"&gt;="&amp;DATE(YEAR(IL$8)-1,1,1),$8:$8,"&lt;="&amp;EOMONTH(IL$8,-12))-1</f>
        <v/>
      </c>
      <c r="IM61" s="1318">
        <f>SUMIFS(58:58,$8:$8,"&gt;="&amp;DATE(YEAR(IM$8),1,1),$8:$8,"&lt;="&amp;EOMONTH(IM$8,0))/SUMIFS(58:58,$8:$8,"&gt;="&amp;DATE(YEAR(IM$8)-1,1,1),$8:$8,"&lt;="&amp;EOMONTH(IM$8,-12))-1</f>
        <v/>
      </c>
      <c r="IN61" s="1318">
        <f>SUMIFS(58:58,$8:$8,"&gt;="&amp;DATE(YEAR(IN$8),1,1),$8:$8,"&lt;="&amp;EOMONTH(IN$8,0))/SUMIFS(58:58,$8:$8,"&gt;="&amp;DATE(YEAR(IN$8)-1,1,1),$8:$8,"&lt;="&amp;EOMONTH(IN$8,-12))-1</f>
        <v/>
      </c>
      <c r="IO61" s="1318">
        <f>SUMIFS(58:58,$8:$8,"&gt;="&amp;DATE(YEAR(IO$8),1,1),$8:$8,"&lt;="&amp;EOMONTH(IO$8,0))/SUMIFS(58:58,$8:$8,"&gt;="&amp;DATE(YEAR(IO$8)-1,1,1),$8:$8,"&lt;="&amp;EOMONTH(IO$8,-12))-1</f>
        <v/>
      </c>
      <c r="IP61" s="1318">
        <f>SUMIFS(58:58,$8:$8,"&gt;="&amp;DATE(YEAR(IP$8),1,1),$8:$8,"&lt;="&amp;EOMONTH(IP$8,0))/SUMIFS(58:58,$8:$8,"&gt;="&amp;DATE(YEAR(IP$8)-1,1,1),$8:$8,"&lt;="&amp;EOMONTH(IP$8,-12))-1</f>
        <v/>
      </c>
      <c r="IQ61" s="1318">
        <f>SUMIFS(58:58,$8:$8,"&gt;="&amp;DATE(YEAR(IQ$8),1,1),$8:$8,"&lt;="&amp;EOMONTH(IQ$8,0))/SUMIFS(58:58,$8:$8,"&gt;="&amp;DATE(YEAR(IQ$8)-1,1,1),$8:$8,"&lt;="&amp;EOMONTH(IQ$8,-12))-1</f>
        <v/>
      </c>
      <c r="IR61" s="1318">
        <f>SUMIFS(58:58,$8:$8,"&gt;="&amp;DATE(YEAR(IR$8),1,1),$8:$8,"&lt;="&amp;EOMONTH(IR$8,0))/SUMIFS(58:58,$8:$8,"&gt;="&amp;DATE(YEAR(IR$8)-1,1,1),$8:$8,"&lt;="&amp;EOMONTH(IR$8,-12))-1</f>
        <v/>
      </c>
      <c r="IS61" s="1318">
        <f>SUMIFS(58:58,$8:$8,"&gt;="&amp;DATE(YEAR(IS$8),1,1),$8:$8,"&lt;="&amp;EOMONTH(IS$8,0))/SUMIFS(58:58,$8:$8,"&gt;="&amp;DATE(YEAR(IS$8)-1,1,1),$8:$8,"&lt;="&amp;EOMONTH(IS$8,-12))-1</f>
        <v/>
      </c>
      <c r="IT61" s="1318">
        <f>SUMIFS(58:58,$8:$8,"&gt;="&amp;DATE(YEAR(IT$8),1,1),$8:$8,"&lt;="&amp;EOMONTH(IT$8,0))/SUMIFS(58:58,$8:$8,"&gt;="&amp;DATE(YEAR(IT$8)-1,1,1),$8:$8,"&lt;="&amp;EOMONTH(IT$8,-12))-1</f>
        <v/>
      </c>
      <c r="IU61" s="1318">
        <f>SUMIFS(58:58,$8:$8,"&gt;="&amp;DATE(YEAR(IU$8),1,1),$8:$8,"&lt;="&amp;EOMONTH(IU$8,0))/SUMIFS(58:58,$8:$8,"&gt;="&amp;DATE(YEAR(IU$8)-1,1,1),$8:$8,"&lt;="&amp;EOMONTH(IU$8,-12))-1</f>
        <v/>
      </c>
      <c r="IV61" s="1318">
        <f>SUMIFS(58:58,$8:$8,"&gt;="&amp;DATE(YEAR(IV$8),1,1),$8:$8,"&lt;="&amp;EOMONTH(IV$8,0))/SUMIFS(58:58,$8:$8,"&gt;="&amp;DATE(YEAR(IV$8)-1,1,1),$8:$8,"&lt;="&amp;EOMONTH(IV$8,-12))-1</f>
        <v/>
      </c>
      <c r="IW61" s="1318">
        <f>SUMIFS(58:58,$8:$8,"&gt;="&amp;DATE(YEAR(IW$8),1,1),$8:$8,"&lt;="&amp;EOMONTH(IW$8,0))/SUMIFS(58:58,$8:$8,"&gt;="&amp;DATE(YEAR(IW$8)-1,1,1),$8:$8,"&lt;="&amp;EOMONTH(IW$8,-12))-1</f>
        <v/>
      </c>
      <c r="IX61" s="1318">
        <f>SUMIFS(58:58,$8:$8,"&gt;="&amp;DATE(YEAR(IX$8),1,1),$8:$8,"&lt;="&amp;EOMONTH(IX$8,0))/SUMIFS(58:58,$8:$8,"&gt;="&amp;DATE(YEAR(IX$8)-1,1,1),$8:$8,"&lt;="&amp;EOMONTH(IX$8,-12))-1</f>
        <v/>
      </c>
      <c r="IY61" s="1318">
        <f>SUMIFS(58:58,$8:$8,"&gt;="&amp;DATE(YEAR(IY$8),1,1),$8:$8,"&lt;="&amp;EOMONTH(IY$8,0))/SUMIFS(58:58,$8:$8,"&gt;="&amp;DATE(YEAR(IY$8)-1,1,1),$8:$8,"&lt;="&amp;EOMONTH(IY$8,-12))-1</f>
        <v/>
      </c>
      <c r="IZ61" s="1318">
        <f>SUMIFS(58:58,$8:$8,"&gt;="&amp;DATE(YEAR(IZ$8),1,1),$8:$8,"&lt;="&amp;EOMONTH(IZ$8,0))/SUMIFS(58:58,$8:$8,"&gt;="&amp;DATE(YEAR(IZ$8)-1,1,1),$8:$8,"&lt;="&amp;EOMONTH(IZ$8,-12))-1</f>
        <v/>
      </c>
      <c r="JA61" s="1318">
        <f>SUMIFS(58:58,$8:$8,"&gt;="&amp;DATE(YEAR(JA$8),1,1),$8:$8,"&lt;="&amp;EOMONTH(JA$8,0))/SUMIFS(58:58,$8:$8,"&gt;="&amp;DATE(YEAR(JA$8)-1,1,1),$8:$8,"&lt;="&amp;EOMONTH(JA$8,-12))-1</f>
        <v/>
      </c>
      <c r="JB61" s="1318">
        <f>SUMIFS(58:58,$8:$8,"&gt;="&amp;DATE(YEAR(JB$8),1,1),$8:$8,"&lt;="&amp;EOMONTH(JB$8,0))/SUMIFS(58:58,$8:$8,"&gt;="&amp;DATE(YEAR(JB$8)-1,1,1),$8:$8,"&lt;="&amp;EOMONTH(JB$8,-12))-1</f>
        <v/>
      </c>
      <c r="JC61" s="1318">
        <f>SUMIFS(58:58,$8:$8,"&gt;="&amp;DATE(YEAR(JC$8),1,1),$8:$8,"&lt;="&amp;EOMONTH(JC$8,0))/SUMIFS(58:58,$8:$8,"&gt;="&amp;DATE(YEAR(JC$8)-1,1,1),$8:$8,"&lt;="&amp;EOMONTH(JC$8,-12))-1</f>
        <v/>
      </c>
      <c r="JD61" s="1318">
        <f>SUMIFS(58:58,$8:$8,"&gt;="&amp;DATE(YEAR(JD$8),1,1),$8:$8,"&lt;="&amp;EOMONTH(JD$8,0))/SUMIFS(58:58,$8:$8,"&gt;="&amp;DATE(YEAR(JD$8)-1,1,1),$8:$8,"&lt;="&amp;EOMONTH(JD$8,-12))-1</f>
        <v/>
      </c>
      <c r="JE61" s="1318">
        <f>SUMIFS(58:58,$8:$8,"&gt;="&amp;DATE(YEAR(JE$8),1,1),$8:$8,"&lt;="&amp;EOMONTH(JE$8,0))/SUMIFS(58:58,$8:$8,"&gt;="&amp;DATE(YEAR(JE$8)-1,1,1),$8:$8,"&lt;="&amp;EOMONTH(JE$8,-12))-1</f>
        <v/>
      </c>
      <c r="JF61" s="1318">
        <f>SUMIFS(58:58,$8:$8,"&gt;="&amp;DATE(YEAR(JF$8),1,1),$8:$8,"&lt;="&amp;EOMONTH(JF$8,0))/SUMIFS(58:58,$8:$8,"&gt;="&amp;DATE(YEAR(JF$8)-1,1,1),$8:$8,"&lt;="&amp;EOMONTH(JF$8,-12))-1</f>
        <v/>
      </c>
      <c r="JG61" s="1318">
        <f>SUMIFS(58:58,$8:$8,"&gt;="&amp;DATE(YEAR(JG$8),1,1),$8:$8,"&lt;="&amp;EOMONTH(JG$8,0))/SUMIFS(58:58,$8:$8,"&gt;="&amp;DATE(YEAR(JG$8)-1,1,1),$8:$8,"&lt;="&amp;EOMONTH(JG$8,-12))-1</f>
        <v/>
      </c>
      <c r="JH61" s="1318">
        <f>SUMIFS(58:58,$8:$8,"&gt;="&amp;DATE(YEAR(JH$8),1,1),$8:$8,"&lt;="&amp;EOMONTH(JH$8,0))/SUMIFS(58:58,$8:$8,"&gt;="&amp;DATE(YEAR(JH$8)-1,1,1),$8:$8,"&lt;="&amp;EOMONTH(JH$8,-12))-1</f>
        <v/>
      </c>
      <c r="JI61" s="1318">
        <f>SUMIFS(58:58,$8:$8,"&gt;="&amp;DATE(YEAR(JI$8),1,1),$8:$8,"&lt;="&amp;EOMONTH(JI$8,0))/SUMIFS(58:58,$8:$8,"&gt;="&amp;DATE(YEAR(JI$8)-1,1,1),$8:$8,"&lt;="&amp;EOMONTH(JI$8,-12))-1</f>
        <v/>
      </c>
      <c r="JJ61" s="1318">
        <f>SUMIFS(58:58,$8:$8,"&gt;="&amp;DATE(YEAR(JJ$8),1,1),$8:$8,"&lt;="&amp;EOMONTH(JJ$8,0))/SUMIFS(58:58,$8:$8,"&gt;="&amp;DATE(YEAR(JJ$8)-1,1,1),$8:$8,"&lt;="&amp;EOMONTH(JJ$8,-12))-1</f>
        <v/>
      </c>
      <c r="JK61" s="1318">
        <f>SUMIFS(58:58,$8:$8,"&gt;="&amp;DATE(YEAR(JK$8),1,1),$8:$8,"&lt;="&amp;EOMONTH(JK$8,0))/SUMIFS(58:58,$8:$8,"&gt;="&amp;DATE(YEAR(JK$8)-1,1,1),$8:$8,"&lt;="&amp;EOMONTH(JK$8,-12))-1</f>
        <v/>
      </c>
      <c r="JL61" s="1318">
        <f>SUMIFS(58:58,$8:$8,"&gt;="&amp;DATE(YEAR(JL$8),1,1),$8:$8,"&lt;="&amp;EOMONTH(JL$8,0))/SUMIFS(58:58,$8:$8,"&gt;="&amp;DATE(YEAR(JL$8)-1,1,1),$8:$8,"&lt;="&amp;EOMONTH(JL$8,-12))-1</f>
        <v/>
      </c>
      <c r="JM61" s="1318">
        <f>SUMIFS(58:58,$8:$8,"&gt;="&amp;DATE(YEAR(JM$8),1,1),$8:$8,"&lt;="&amp;EOMONTH(JM$8,0))/SUMIFS(58:58,$8:$8,"&gt;="&amp;DATE(YEAR(JM$8)-1,1,1),$8:$8,"&lt;="&amp;EOMONTH(JM$8,-12))-1</f>
        <v/>
      </c>
      <c r="JN61" s="1318">
        <f>SUMIFS(58:58,$8:$8,"&gt;="&amp;DATE(YEAR(JN$8),1,1),$8:$8,"&lt;="&amp;EOMONTH(JN$8,0))/SUMIFS(58:58,$8:$8,"&gt;="&amp;DATE(YEAR(JN$8)-1,1,1),$8:$8,"&lt;="&amp;EOMONTH(JN$8,-12))-1</f>
        <v/>
      </c>
      <c r="JO61" s="1318">
        <f>SUMIFS(58:58,$8:$8,"&gt;="&amp;DATE(YEAR(JO$8),1,1),$8:$8,"&lt;="&amp;EOMONTH(JO$8,0))/SUMIFS(58:58,$8:$8,"&gt;="&amp;DATE(YEAR(JO$8)-1,1,1),$8:$8,"&lt;="&amp;EOMONTH(JO$8,-12))-1</f>
        <v/>
      </c>
      <c r="JP61" s="1318">
        <f>SUMIFS(58:58,$8:$8,"&gt;="&amp;DATE(YEAR(JP$8),1,1),$8:$8,"&lt;="&amp;EOMONTH(JP$8,0))/SUMIFS(58:58,$8:$8,"&gt;="&amp;DATE(YEAR(JP$8)-1,1,1),$8:$8,"&lt;="&amp;EOMONTH(JP$8,-12))-1</f>
        <v/>
      </c>
      <c r="JQ61" s="1318">
        <f>SUMIFS(58:58,$8:$8,"&gt;="&amp;DATE(YEAR(JQ$8),1,1),$8:$8,"&lt;="&amp;EOMONTH(JQ$8,0))/SUMIFS(58:58,$8:$8,"&gt;="&amp;DATE(YEAR(JQ$8)-1,1,1),$8:$8,"&lt;="&amp;EOMONTH(JQ$8,-12))-1</f>
        <v/>
      </c>
      <c r="JR61" s="1318">
        <f>SUMIFS(58:58,$8:$8,"&gt;="&amp;DATE(YEAR(JR$8),1,1),$8:$8,"&lt;="&amp;EOMONTH(JR$8,0))/SUMIFS(58:58,$8:$8,"&gt;="&amp;DATE(YEAR(JR$8)-1,1,1),$8:$8,"&lt;="&amp;EOMONTH(JR$8,-12))-1</f>
        <v/>
      </c>
      <c r="JS61" s="1318">
        <f>SUMIFS(58:58,$8:$8,"&gt;="&amp;DATE(YEAR(JS$8),1,1),$8:$8,"&lt;="&amp;EOMONTH(JS$8,0))/SUMIFS(58:58,$8:$8,"&gt;="&amp;DATE(YEAR(JS$8)-1,1,1),$8:$8,"&lt;="&amp;EOMONTH(JS$8,-12))-1</f>
        <v/>
      </c>
      <c r="JT61" s="1318">
        <f>SUMIFS(58:58,$8:$8,"&gt;="&amp;DATE(YEAR(JT$8),1,1),$8:$8,"&lt;="&amp;EOMONTH(JT$8,0))/SUMIFS(58:58,$8:$8,"&gt;="&amp;DATE(YEAR(JT$8)-1,1,1),$8:$8,"&lt;="&amp;EOMONTH(JT$8,-12))-1</f>
        <v/>
      </c>
      <c r="JU61" s="1318">
        <f>SUMIFS(58:58,$8:$8,"&gt;="&amp;DATE(YEAR(JU$8),1,1),$8:$8,"&lt;="&amp;EOMONTH(JU$8,0))/SUMIFS(58:58,$8:$8,"&gt;="&amp;DATE(YEAR(JU$8)-1,1,1),$8:$8,"&lt;="&amp;EOMONTH(JU$8,-12))-1</f>
        <v/>
      </c>
      <c r="JV61" s="1318">
        <f>SUMIFS(58:58,$8:$8,"&gt;="&amp;DATE(YEAR(JV$8),1,1),$8:$8,"&lt;="&amp;EOMONTH(JV$8,0))/SUMIFS(58:58,$8:$8,"&gt;="&amp;DATE(YEAR(JV$8)-1,1,1),$8:$8,"&lt;="&amp;EOMONTH(JV$8,-12))-1</f>
        <v/>
      </c>
      <c r="JW61" s="1318">
        <f>SUMIFS(58:58,$8:$8,"&gt;="&amp;DATE(YEAR(JW$8),1,1),$8:$8,"&lt;="&amp;EOMONTH(JW$8,0))/SUMIFS(58:58,$8:$8,"&gt;="&amp;DATE(YEAR(JW$8)-1,1,1),$8:$8,"&lt;="&amp;EOMONTH(JW$8,-12))-1</f>
        <v/>
      </c>
      <c r="JX61" s="1318">
        <f>SUMIFS(58:58,$8:$8,"&gt;="&amp;DATE(YEAR(JX$8),1,1),$8:$8,"&lt;="&amp;EOMONTH(JX$8,0))/SUMIFS(58:58,$8:$8,"&gt;="&amp;DATE(YEAR(JX$8)-1,1,1),$8:$8,"&lt;="&amp;EOMONTH(JX$8,-12))-1</f>
        <v/>
      </c>
      <c r="JY61" s="1318">
        <f>SUMIFS(58:58,$8:$8,"&gt;="&amp;DATE(YEAR(JY$8),1,1),$8:$8,"&lt;="&amp;EOMONTH(JY$8,0))/SUMIFS(58:58,$8:$8,"&gt;="&amp;DATE(YEAR(JY$8)-1,1,1),$8:$8,"&lt;="&amp;EOMONTH(JY$8,-12))-1</f>
        <v/>
      </c>
      <c r="JZ61" s="1318">
        <f>SUMIFS(58:58,$8:$8,"&gt;="&amp;DATE(YEAR(JZ$8),1,1),$8:$8,"&lt;="&amp;EOMONTH(JZ$8,0))/SUMIFS(58:58,$8:$8,"&gt;="&amp;DATE(YEAR(JZ$8)-1,1,1),$8:$8,"&lt;="&amp;EOMONTH(JZ$8,-12))-1</f>
        <v/>
      </c>
      <c r="KA61" s="1318">
        <f>SUMIFS(58:58,$8:$8,"&gt;="&amp;DATE(YEAR(KA$8),1,1),$8:$8,"&lt;="&amp;EOMONTH(KA$8,0))/SUMIFS(58:58,$8:$8,"&gt;="&amp;DATE(YEAR(KA$8)-1,1,1),$8:$8,"&lt;="&amp;EOMONTH(KA$8,-12))-1</f>
        <v/>
      </c>
      <c r="KB61" s="1318">
        <f>SUMIFS(58:58,$8:$8,"&gt;="&amp;DATE(YEAR(KB$8),1,1),$8:$8,"&lt;="&amp;EOMONTH(KB$8,0))/SUMIFS(58:58,$8:$8,"&gt;="&amp;DATE(YEAR(KB$8)-1,1,1),$8:$8,"&lt;="&amp;EOMONTH(KB$8,-12))-1</f>
        <v/>
      </c>
      <c r="KC61" s="1318">
        <f>SUMIFS(58:58,$8:$8,"&gt;="&amp;DATE(YEAR(KC$8),1,1),$8:$8,"&lt;="&amp;EOMONTH(KC$8,0))/SUMIFS(58:58,$8:$8,"&gt;="&amp;DATE(YEAR(KC$8)-1,1,1),$8:$8,"&lt;="&amp;EOMONTH(KC$8,-12))-1</f>
        <v/>
      </c>
      <c r="KD61" s="1318">
        <f>SUMIFS(58:58,$8:$8,"&gt;="&amp;DATE(YEAR(KD$8),1,1),$8:$8,"&lt;="&amp;EOMONTH(KD$8,0))/SUMIFS(58:58,$8:$8,"&gt;="&amp;DATE(YEAR(KD$8)-1,1,1),$8:$8,"&lt;="&amp;EOMONTH(KD$8,-12))-1</f>
        <v/>
      </c>
      <c r="KE61" s="1318">
        <f>SUMIFS(58:58,$8:$8,"&gt;="&amp;DATE(YEAR(KE$8),1,1),$8:$8,"&lt;="&amp;EOMONTH(KE$8,0))/SUMIFS(58:58,$8:$8,"&gt;="&amp;DATE(YEAR(KE$8)-1,1,1),$8:$8,"&lt;="&amp;EOMONTH(KE$8,-12))-1</f>
        <v/>
      </c>
      <c r="KF61" s="1318">
        <f>SUMIFS(58:58,$8:$8,"&gt;="&amp;DATE(YEAR(KF$8),1,1),$8:$8,"&lt;="&amp;EOMONTH(KF$8,0))/SUMIFS(58:58,$8:$8,"&gt;="&amp;DATE(YEAR(KF$8)-1,1,1),$8:$8,"&lt;="&amp;EOMONTH(KF$8,-12))-1</f>
        <v/>
      </c>
      <c r="KG61" s="1318">
        <f>SUMIFS(58:58,$8:$8,"&gt;="&amp;DATE(YEAR(KG$8),1,1),$8:$8,"&lt;="&amp;EOMONTH(KG$8,0))/SUMIFS(58:58,$8:$8,"&gt;="&amp;DATE(YEAR(KG$8)-1,1,1),$8:$8,"&lt;="&amp;EOMONTH(KG$8,-12))-1</f>
        <v/>
      </c>
      <c r="KH61" s="1318">
        <f>SUMIFS(58:58,$8:$8,"&gt;="&amp;DATE(YEAR(KH$8),1,1),$8:$8,"&lt;="&amp;EOMONTH(KH$8,0))/SUMIFS(58:58,$8:$8,"&gt;="&amp;DATE(YEAR(KH$8)-1,1,1),$8:$8,"&lt;="&amp;EOMONTH(KH$8,-12))-1</f>
        <v/>
      </c>
      <c r="KI61" s="1318">
        <f>SUMIFS(58:58,$8:$8,"&gt;="&amp;DATE(YEAR(KI$8),1,1),$8:$8,"&lt;="&amp;EOMONTH(KI$8,0))/SUMIFS(58:58,$8:$8,"&gt;="&amp;DATE(YEAR(KI$8)-1,1,1),$8:$8,"&lt;="&amp;EOMONTH(KI$8,-12))-1</f>
        <v/>
      </c>
      <c r="KJ61" s="1318">
        <f>SUMIFS(58:58,$8:$8,"&gt;="&amp;DATE(YEAR(KJ$8),1,1),$8:$8,"&lt;="&amp;EOMONTH(KJ$8,0))/SUMIFS(58:58,$8:$8,"&gt;="&amp;DATE(YEAR(KJ$8)-1,1,1),$8:$8,"&lt;="&amp;EOMONTH(KJ$8,-12))-1</f>
        <v/>
      </c>
      <c r="KK61" s="1318">
        <f>SUMIFS(58:58,$8:$8,"&gt;="&amp;DATE(YEAR(KK$8),1,1),$8:$8,"&lt;="&amp;EOMONTH(KK$8,0))/SUMIFS(58:58,$8:$8,"&gt;="&amp;DATE(YEAR(KK$8)-1,1,1),$8:$8,"&lt;="&amp;EOMONTH(KK$8,-12))-1</f>
        <v/>
      </c>
      <c r="KL61" s="1318">
        <f>SUMIFS(58:58,$8:$8,"&gt;="&amp;DATE(YEAR(KL$8),1,1),$8:$8,"&lt;="&amp;EOMONTH(KL$8,0))/SUMIFS(58:58,$8:$8,"&gt;="&amp;DATE(YEAR(KL$8)-1,1,1),$8:$8,"&lt;="&amp;EOMONTH(KL$8,-12))-1</f>
        <v/>
      </c>
      <c r="KM61" s="1318">
        <f>SUMIFS(58:58,$8:$8,"&gt;="&amp;DATE(YEAR(KM$8),1,1),$8:$8,"&lt;="&amp;EOMONTH(KM$8,0))/SUMIFS(58:58,$8:$8,"&gt;="&amp;DATE(YEAR(KM$8)-1,1,1),$8:$8,"&lt;="&amp;EOMONTH(KM$8,-12))-1</f>
        <v/>
      </c>
      <c r="KN61" s="1318">
        <f>SUMIFS(58:58,$8:$8,"&gt;="&amp;DATE(YEAR(KN$8),1,1),$8:$8,"&lt;="&amp;EOMONTH(KN$8,0))/SUMIFS(58:58,$8:$8,"&gt;="&amp;DATE(YEAR(KN$8)-1,1,1),$8:$8,"&lt;="&amp;EOMONTH(KN$8,-12))-1</f>
        <v/>
      </c>
      <c r="KO61" s="1318">
        <f>SUMIFS(58:58,$8:$8,"&gt;="&amp;DATE(YEAR(KO$8),1,1),$8:$8,"&lt;="&amp;EOMONTH(KO$8,0))/SUMIFS(58:58,$8:$8,"&gt;="&amp;DATE(YEAR(KO$8)-1,1,1),$8:$8,"&lt;="&amp;EOMONTH(KO$8,-12))-1</f>
        <v/>
      </c>
      <c r="KP61" s="1318">
        <f>SUMIFS(58:58,$8:$8,"&gt;="&amp;DATE(YEAR(KP$8),1,1),$8:$8,"&lt;="&amp;EOMONTH(KP$8,0))/SUMIFS(58:58,$8:$8,"&gt;="&amp;DATE(YEAR(KP$8)-1,1,1),$8:$8,"&lt;="&amp;EOMONTH(KP$8,-12))-1</f>
        <v/>
      </c>
      <c r="KQ61" s="1318">
        <f>SUMIFS(58:58,$8:$8,"&gt;="&amp;DATE(YEAR(KQ$8),1,1),$8:$8,"&lt;="&amp;EOMONTH(KQ$8,0))/SUMIFS(58:58,$8:$8,"&gt;="&amp;DATE(YEAR(KQ$8)-1,1,1),$8:$8,"&lt;="&amp;EOMONTH(KQ$8,-12))-1</f>
        <v/>
      </c>
      <c r="KR61" s="1318">
        <f>SUMIFS(58:58,$8:$8,"&gt;="&amp;DATE(YEAR(KR$8),1,1),$8:$8,"&lt;="&amp;EOMONTH(KR$8,0))/SUMIFS(58:58,$8:$8,"&gt;="&amp;DATE(YEAR(KR$8)-1,1,1),$8:$8,"&lt;="&amp;EOMONTH(KR$8,-12))-1</f>
        <v/>
      </c>
      <c r="KS61" s="1318">
        <f>SUMIFS(58:58,$8:$8,"&gt;="&amp;DATE(YEAR(KS$8),1,1),$8:$8,"&lt;="&amp;EOMONTH(KS$8,0))/SUMIFS(58:58,$8:$8,"&gt;="&amp;DATE(YEAR(KS$8)-1,1,1),$8:$8,"&lt;="&amp;EOMONTH(KS$8,-12))-1</f>
        <v/>
      </c>
      <c r="KT61" s="1318">
        <f>SUMIFS(58:58,$8:$8,"&gt;="&amp;DATE(YEAR(KT$8),1,1),$8:$8,"&lt;="&amp;EOMONTH(KT$8,0))/SUMIFS(58:58,$8:$8,"&gt;="&amp;DATE(YEAR(KT$8)-1,1,1),$8:$8,"&lt;="&amp;EOMONTH(KT$8,-12))-1</f>
        <v/>
      </c>
      <c r="KU61" s="1318">
        <f>SUMIFS(58:58,$8:$8,"&gt;="&amp;DATE(YEAR(KU$8),1,1),$8:$8,"&lt;="&amp;EOMONTH(KU$8,0))/SUMIFS(58:58,$8:$8,"&gt;="&amp;DATE(YEAR(KU$8)-1,1,1),$8:$8,"&lt;="&amp;EOMONTH(KU$8,-12))-1</f>
        <v/>
      </c>
      <c r="KV61" s="1318">
        <f>SUMIFS(58:58,$8:$8,"&gt;="&amp;DATE(YEAR(KV$8),1,1),$8:$8,"&lt;="&amp;EOMONTH(KV$8,0))/SUMIFS(58:58,$8:$8,"&gt;="&amp;DATE(YEAR(KV$8)-1,1,1),$8:$8,"&lt;="&amp;EOMONTH(KV$8,-12))-1</f>
        <v/>
      </c>
      <c r="KW61" s="1318">
        <f>SUMIFS(58:58,$8:$8,"&gt;="&amp;DATE(YEAR(KW$8),1,1),$8:$8,"&lt;="&amp;EOMONTH(KW$8,0))/SUMIFS(58:58,$8:$8,"&gt;="&amp;DATE(YEAR(KW$8)-1,1,1),$8:$8,"&lt;="&amp;EOMONTH(KW$8,-12))-1</f>
        <v/>
      </c>
      <c r="KX61" s="1318">
        <f>SUMIFS(58:58,$8:$8,"&gt;="&amp;DATE(YEAR(KX$8),1,1),$8:$8,"&lt;="&amp;EOMONTH(KX$8,0))/SUMIFS(58:58,$8:$8,"&gt;="&amp;DATE(YEAR(KX$8)-1,1,1),$8:$8,"&lt;="&amp;EOMONTH(KX$8,-12))-1</f>
        <v/>
      </c>
      <c r="KY61" s="1318">
        <f>SUMIFS(58:58,$8:$8,"&gt;="&amp;DATE(YEAR(KY$8),1,1),$8:$8,"&lt;="&amp;EOMONTH(KY$8,0))/SUMIFS(58:58,$8:$8,"&gt;="&amp;DATE(YEAR(KY$8)-1,1,1),$8:$8,"&lt;="&amp;EOMONTH(KY$8,-12))-1</f>
        <v/>
      </c>
      <c r="KZ61" s="1318">
        <f>SUMIFS(58:58,$8:$8,"&gt;="&amp;DATE(YEAR(KZ$8),1,1),$8:$8,"&lt;="&amp;EOMONTH(KZ$8,0))/SUMIFS(58:58,$8:$8,"&gt;="&amp;DATE(YEAR(KZ$8)-1,1,1),$8:$8,"&lt;="&amp;EOMONTH(KZ$8,-12))-1</f>
        <v/>
      </c>
      <c r="LA61" s="1318">
        <f>SUMIFS(58:58,$8:$8,"&gt;="&amp;DATE(YEAR(LA$8),1,1),$8:$8,"&lt;="&amp;EOMONTH(LA$8,0))/SUMIFS(58:58,$8:$8,"&gt;="&amp;DATE(YEAR(LA$8)-1,1,1),$8:$8,"&lt;="&amp;EOMONTH(LA$8,-12))-1</f>
        <v/>
      </c>
      <c r="LB61" s="1318" t="n"/>
      <c r="LC61" s="1318" t="n"/>
      <c r="LD61" s="1318" t="n"/>
      <c r="LE61" s="1318" t="n"/>
      <c r="LF61" s="1318" t="n"/>
      <c r="LG61" s="1318" t="n"/>
      <c r="LH61" s="1318" t="n"/>
      <c r="LI61" s="1318" t="n"/>
      <c r="LJ61" s="1318" t="n"/>
      <c r="LK61" s="1318" t="n"/>
      <c r="LL61" s="1318" t="n"/>
      <c r="LM61" s="1318" t="n"/>
      <c r="LN61" s="1318" t="n"/>
      <c r="LO61" s="1318" t="n"/>
      <c r="LP61" s="1318" t="n"/>
      <c r="LQ61" s="1318" t="n"/>
      <c r="LR61" s="1318" t="n"/>
      <c r="LS61" s="1318" t="n"/>
    </row>
    <row r="62" ht="15" customHeight="1" s="239">
      <c r="A62" s="1319" t="inlineStr">
        <is>
          <t>Nth Asia</t>
        </is>
      </c>
      <c r="B62" s="1320">
        <f>N62/1.08</f>
        <v/>
      </c>
      <c r="C62" s="1319">
        <f>962.832-B62</f>
        <v/>
      </c>
      <c r="D62" s="1319">
        <f>P62/1.134</f>
        <v/>
      </c>
      <c r="E62" s="1319" t="n">
        <v>535.5046944103709</v>
      </c>
      <c r="F62" s="1319" t="n">
        <v>491.2315260481828</v>
      </c>
      <c r="G62" s="1319">
        <f>2884.649-SUM(B62:F62)</f>
        <v/>
      </c>
      <c r="H62" s="1319">
        <f>3491.513-SUM(B62:G62)</f>
        <v/>
      </c>
      <c r="I62" s="1319">
        <f>4145.909-SUM(B62:H62)</f>
        <v/>
      </c>
      <c r="J62" s="1319">
        <f>4700.519-SUM(B62:I62)</f>
        <v/>
      </c>
      <c r="K62" s="1319" t="n">
        <v>551.667</v>
      </c>
      <c r="L62" s="1319" t="n">
        <v>548.347</v>
      </c>
      <c r="M62" s="1319">
        <f>Y62/1.145</f>
        <v/>
      </c>
      <c r="N62" s="1320" t="n">
        <v>503.505</v>
      </c>
      <c r="O62" s="1319" t="n">
        <v>588.244</v>
      </c>
      <c r="P62" s="1319" t="n">
        <v>599.744</v>
      </c>
      <c r="Q62" s="1319" t="n">
        <v>599.88</v>
      </c>
      <c r="R62" s="1319" t="n">
        <v>569.855</v>
      </c>
      <c r="S62" s="1319" t="n">
        <v>590.296</v>
      </c>
      <c r="T62" s="1319" t="n">
        <v>684.95</v>
      </c>
      <c r="U62" s="1319" t="n">
        <v>710.191</v>
      </c>
      <c r="V62" s="1319" t="n">
        <v>644.408</v>
      </c>
      <c r="W62" s="1319" t="n">
        <v>631.006</v>
      </c>
      <c r="X62" s="1319" t="n">
        <v>598.033</v>
      </c>
      <c r="Y62" s="1319" t="n">
        <v>622.621</v>
      </c>
      <c r="Z62" s="1320" t="n">
        <v>615.583</v>
      </c>
      <c r="AA62" s="1319" t="n">
        <v>594.246</v>
      </c>
      <c r="AB62" s="1319" t="n">
        <v>671.375</v>
      </c>
      <c r="AC62" s="1319" t="n">
        <v>621.399</v>
      </c>
      <c r="AD62" s="1319" t="n">
        <v>582.224</v>
      </c>
      <c r="AE62" s="1319" t="n">
        <v>609.2430000000001</v>
      </c>
      <c r="AF62" s="1319" t="n">
        <v>553.292</v>
      </c>
      <c r="AG62" s="1319" t="n">
        <v>705.918</v>
      </c>
      <c r="AH62" s="1319" t="n">
        <v>575.283</v>
      </c>
      <c r="AI62" s="1319" t="n">
        <v>501.2</v>
      </c>
      <c r="AJ62" s="1319" t="n">
        <v>465.618</v>
      </c>
      <c r="AK62" s="1319" t="n">
        <v>576.684</v>
      </c>
      <c r="AL62" s="1320" t="n">
        <v>571.734</v>
      </c>
      <c r="AM62" s="1319" t="n">
        <v>624.188</v>
      </c>
      <c r="AN62" s="1319" t="n">
        <v>663</v>
      </c>
      <c r="AO62" s="1319" t="n">
        <v>622.967</v>
      </c>
      <c r="AP62" s="1319" t="n">
        <v>586.199</v>
      </c>
      <c r="AQ62" s="1319" t="n">
        <v>608.3049999999999</v>
      </c>
      <c r="AR62" s="1319" t="n">
        <v>674.895</v>
      </c>
      <c r="AS62" s="1319" t="n">
        <v>739.271</v>
      </c>
      <c r="AT62" s="1319" t="n">
        <v>625.76</v>
      </c>
      <c r="AU62" s="1319" t="n">
        <v>632.812</v>
      </c>
      <c r="AV62" s="1319" t="n">
        <v>605.0940000000001</v>
      </c>
      <c r="AW62" s="1319" t="n">
        <v>675.228</v>
      </c>
      <c r="AX62" s="1320" t="n">
        <v>675.248</v>
      </c>
      <c r="AY62" s="1320" t="n">
        <v>620.408</v>
      </c>
      <c r="AZ62" s="1320">
        <f>BL62/1.0465</f>
        <v/>
      </c>
      <c r="BA62" s="1320">
        <f>BM62/3.954</f>
        <v/>
      </c>
      <c r="BB62" s="1320">
        <f>BN62/8.372</f>
        <v/>
      </c>
      <c r="BC62" s="1320" t="n">
        <v>176.374</v>
      </c>
      <c r="BD62" s="1320" t="n">
        <v>472.858</v>
      </c>
      <c r="BE62" s="1320" t="n">
        <v>677.9829999999999</v>
      </c>
      <c r="BF62" s="1320" t="n">
        <v>576.47</v>
      </c>
      <c r="BG62" s="1320" t="n">
        <v>594.134</v>
      </c>
      <c r="BH62" s="1320" t="n">
        <v>563.282</v>
      </c>
      <c r="BI62" s="1320" t="n">
        <v>633.079</v>
      </c>
      <c r="BJ62" s="1320" t="n">
        <v>665.576</v>
      </c>
      <c r="BK62" s="1320" t="n">
        <v>511.763</v>
      </c>
      <c r="BL62" s="1320" t="n">
        <v>581.076</v>
      </c>
      <c r="BM62" s="1320" t="n">
        <v>656.5410000000001</v>
      </c>
      <c r="BN62" s="1320" t="n">
        <v>613.462</v>
      </c>
      <c r="BO62" s="1320" t="n">
        <v>668.644</v>
      </c>
      <c r="BP62" s="1320" t="n">
        <v>820.038</v>
      </c>
      <c r="BQ62" s="1320" t="n">
        <v>855.89</v>
      </c>
      <c r="BR62" s="1320" t="n">
        <v>714.062</v>
      </c>
      <c r="BS62" s="1320" t="n">
        <v>727.3440000000001</v>
      </c>
      <c r="BT62" s="1320" t="n">
        <v>693.147</v>
      </c>
      <c r="BU62" s="1320" t="n">
        <v>756.557</v>
      </c>
      <c r="BV62" s="1320" t="n">
        <v>717.206</v>
      </c>
      <c r="BW62" s="1320">
        <f>2236.625-BV62-BX62</f>
        <v/>
      </c>
      <c r="BX62" s="1320" t="n">
        <v>756.875</v>
      </c>
      <c r="BY62" s="1320" t="n">
        <v>710.765</v>
      </c>
      <c r="BZ62" s="1320" t="n">
        <v>720.308</v>
      </c>
      <c r="CA62" s="1320" t="n">
        <v>757.475</v>
      </c>
      <c r="CB62" s="1320" t="n">
        <v>870.123</v>
      </c>
      <c r="CC62" s="1320" t="n">
        <v>873.152</v>
      </c>
      <c r="CD62" s="1320" t="n">
        <v>768.29</v>
      </c>
      <c r="CE62" s="1320" t="n">
        <v>754.001</v>
      </c>
      <c r="CF62" s="1320" t="n">
        <v>736.1</v>
      </c>
      <c r="CG62" s="1320" t="n">
        <v>808.482</v>
      </c>
      <c r="CH62" s="1320" t="n">
        <v>800.547</v>
      </c>
      <c r="CI62" s="1320" t="n">
        <v>778.359</v>
      </c>
      <c r="CJ62" s="1321" t="n">
        <v>815.716</v>
      </c>
      <c r="CK62" s="1321" t="n">
        <v>805.8</v>
      </c>
      <c r="CL62" s="1322" t="n">
        <v>770.9</v>
      </c>
      <c r="CM62" s="1322" t="n">
        <v>799.966</v>
      </c>
      <c r="CN62" s="1319" t="n">
        <v>889.663</v>
      </c>
      <c r="CO62" s="1319" t="n">
        <v>950.688</v>
      </c>
      <c r="CP62" s="1319" t="n">
        <v>818</v>
      </c>
      <c r="CQ62" s="1319" t="n">
        <v>858</v>
      </c>
      <c r="CR62" s="1319" t="n">
        <v>827.353</v>
      </c>
      <c r="CS62" s="1319" t="n">
        <v>861.644</v>
      </c>
      <c r="CT62" s="1319" t="n">
        <v>845.9829999999999</v>
      </c>
      <c r="CU62" s="1319" t="n">
        <v>881.356</v>
      </c>
      <c r="CV62" s="1319" t="n">
        <v>932</v>
      </c>
      <c r="CW62" s="1320" t="n">
        <v>899.9640000000001</v>
      </c>
      <c r="CX62" s="1320" t="n">
        <v>854.376</v>
      </c>
      <c r="CY62" s="1320" t="n">
        <v>914.099</v>
      </c>
      <c r="CZ62" s="1320" t="n">
        <v>1051.945</v>
      </c>
      <c r="DA62" s="1320" t="n">
        <v>1062.174</v>
      </c>
      <c r="DB62" s="1320" t="n">
        <v>933.6559999999999</v>
      </c>
      <c r="DC62" s="1320" t="n">
        <v>937.29</v>
      </c>
      <c r="DD62" s="1320" t="n">
        <v>946.826</v>
      </c>
      <c r="DE62" s="1320" t="n">
        <v>1031.447</v>
      </c>
      <c r="DF62" s="1320" t="n">
        <v>965.699</v>
      </c>
      <c r="DG62" s="1320" t="n">
        <v>997.49</v>
      </c>
      <c r="DH62" s="1320" t="n">
        <v>1022.691</v>
      </c>
      <c r="DI62" s="1320" t="n">
        <v>898.599</v>
      </c>
      <c r="DJ62" s="1320" t="n">
        <v>933.3680000000001</v>
      </c>
      <c r="DK62" s="1320" t="n">
        <v>973.187</v>
      </c>
      <c r="DL62" s="1320" t="n">
        <v>1090.636</v>
      </c>
      <c r="DM62" s="1320" t="n">
        <v>1045.75</v>
      </c>
      <c r="DN62" s="1320" t="n">
        <v>867.2859999999999</v>
      </c>
      <c r="DO62" s="1320" t="n">
        <v>958.357</v>
      </c>
      <c r="DP62" s="1320" t="n">
        <v>870.783</v>
      </c>
      <c r="DQ62" s="1320" t="n">
        <v>941.562</v>
      </c>
      <c r="DR62" s="1320" t="n">
        <v>903.4400000000001</v>
      </c>
      <c r="DS62" s="1320" t="n">
        <v>786.073</v>
      </c>
      <c r="DT62" s="1320" t="n">
        <v>886.644</v>
      </c>
      <c r="DU62" s="1320" t="n">
        <v>951.673</v>
      </c>
      <c r="DV62" s="1320" t="n">
        <v>774.082</v>
      </c>
      <c r="DW62" s="1320" t="n">
        <v>623.505</v>
      </c>
      <c r="DX62" s="1320" t="n">
        <v>931.2910000000001</v>
      </c>
      <c r="DY62" s="1320" t="n">
        <v>1058.891</v>
      </c>
      <c r="DZ62" s="1320" t="n">
        <v>820.646</v>
      </c>
      <c r="EA62" s="1320" t="n">
        <v>856.224</v>
      </c>
      <c r="EB62" s="1320" t="n">
        <v>825.614</v>
      </c>
      <c r="EC62" s="1320" t="n">
        <v>974.106</v>
      </c>
      <c r="ED62" s="1320" t="n">
        <v>894.035</v>
      </c>
      <c r="EE62" s="1320" t="n">
        <v>936.572</v>
      </c>
      <c r="EF62" s="1320" t="n">
        <v>976.653</v>
      </c>
      <c r="EG62" s="1320" t="n">
        <v>962.826</v>
      </c>
      <c r="EH62" s="1320" t="n">
        <v>957.6660000000001</v>
      </c>
      <c r="EI62" s="1320" t="n">
        <v>951.957</v>
      </c>
      <c r="EJ62" s="1320" t="n">
        <v>1136.903</v>
      </c>
      <c r="EK62" s="1320" t="n">
        <v>1137.75</v>
      </c>
      <c r="EL62" s="1320" t="n">
        <v>949.896</v>
      </c>
      <c r="EM62" s="1320" t="n">
        <v>1006.599</v>
      </c>
      <c r="EN62" s="1320" t="n">
        <v>960.202</v>
      </c>
      <c r="EO62" s="1320" t="n">
        <v>1057.26</v>
      </c>
      <c r="EP62" s="1320" t="n">
        <v>1006.709</v>
      </c>
      <c r="EQ62" s="1320" t="n">
        <v>991.997</v>
      </c>
      <c r="ER62" s="1320" t="n">
        <v>863.359</v>
      </c>
      <c r="ES62" s="1320" t="n">
        <v>723.657</v>
      </c>
      <c r="ET62" s="1320" t="n">
        <v>746.698</v>
      </c>
      <c r="EU62" s="1320" t="n">
        <v>833.578</v>
      </c>
      <c r="EV62" s="1320" t="n">
        <v>952.702</v>
      </c>
      <c r="EW62" s="1320" t="n">
        <v>1052.08</v>
      </c>
      <c r="EX62" s="1320" t="n">
        <v>908.909</v>
      </c>
      <c r="EY62" s="1320" t="n">
        <v>992.051</v>
      </c>
      <c r="EZ62" s="1320" t="n">
        <v>986.016</v>
      </c>
      <c r="FA62" s="1320" t="n">
        <v>1084.749</v>
      </c>
      <c r="FB62" s="1320" t="n">
        <v>1107.559</v>
      </c>
      <c r="FC62" s="1320" t="n">
        <v>934.152</v>
      </c>
      <c r="FD62" s="1320" t="n">
        <v>998.639</v>
      </c>
      <c r="FE62" s="1320" t="n">
        <v>1031.14</v>
      </c>
      <c r="FF62" s="1320" t="n">
        <v>919.475</v>
      </c>
      <c r="FG62" s="1320" t="n">
        <v>976.5170000000001</v>
      </c>
      <c r="FH62" s="1320" t="n">
        <v>1069.159</v>
      </c>
      <c r="FI62" s="1320" t="n">
        <v>1174.062</v>
      </c>
      <c r="FJ62" s="1320" t="n">
        <v>933.532</v>
      </c>
      <c r="FK62" s="1320" t="n">
        <v>994.371</v>
      </c>
      <c r="FL62" s="1320" t="n">
        <v>953.268</v>
      </c>
      <c r="FM62" s="1320" t="n">
        <v>1074.418</v>
      </c>
      <c r="FN62" s="1320" t="n">
        <v>977.577</v>
      </c>
      <c r="FO62" s="1320" t="n">
        <v>1050</v>
      </c>
      <c r="FP62" s="1320" t="n">
        <v>1145.043</v>
      </c>
      <c r="FQ62" s="1320" t="n">
        <v>1082.578</v>
      </c>
      <c r="FR62" s="1320" t="n">
        <v>975.946</v>
      </c>
      <c r="FS62" s="1320" t="n">
        <v>1102.003</v>
      </c>
      <c r="FT62" s="1320" t="n">
        <v>1206.578</v>
      </c>
      <c r="FU62" s="1320" t="n">
        <v>1266.605</v>
      </c>
      <c r="FV62" s="1320" t="n">
        <v>1040.137</v>
      </c>
      <c r="FW62" s="1320" t="n">
        <v>1165.098</v>
      </c>
      <c r="FX62" s="1320" t="n">
        <v>1116.741</v>
      </c>
      <c r="FY62" s="1320" t="n">
        <v>1196.652</v>
      </c>
      <c r="FZ62" s="1320" t="n">
        <v>1098.335</v>
      </c>
      <c r="GA62" s="1320" t="n">
        <v>1125.355</v>
      </c>
      <c r="GB62" s="1320" t="n">
        <v>1199.774</v>
      </c>
      <c r="GC62" s="1320" t="n">
        <v>1261.126</v>
      </c>
      <c r="GD62" s="1320" t="n">
        <v>1163.254</v>
      </c>
      <c r="GE62" s="1320" t="n">
        <v>1227.221</v>
      </c>
      <c r="GF62" s="1320" t="n">
        <v>1342.765</v>
      </c>
      <c r="GG62" s="1320" t="n">
        <v>1372.409</v>
      </c>
      <c r="GH62" s="1320" t="n">
        <v>1114.48</v>
      </c>
      <c r="GI62" s="1320" t="n">
        <v>1247.589</v>
      </c>
      <c r="GJ62" s="1320" t="n">
        <v>1212.325</v>
      </c>
      <c r="GK62" s="1320" t="n">
        <v>1317.826</v>
      </c>
      <c r="GL62" s="1320" t="n">
        <v>1191.584</v>
      </c>
      <c r="GM62" s="1320" t="n">
        <v>1308.65</v>
      </c>
      <c r="GN62" s="1320" t="n">
        <v>1316.337</v>
      </c>
      <c r="GO62" s="1320" t="n">
        <v>1354.863</v>
      </c>
      <c r="GP62" s="1320" t="n">
        <v>1304.881</v>
      </c>
      <c r="GQ62" s="1320" t="n">
        <v>1190.17</v>
      </c>
      <c r="GR62" s="1320" t="n">
        <v>1291.443</v>
      </c>
      <c r="GS62" s="1320" t="n">
        <v>1366.5</v>
      </c>
      <c r="GT62" s="1320" t="n">
        <v>1163.113</v>
      </c>
      <c r="GU62" s="1320" t="n">
        <v>1293.049</v>
      </c>
      <c r="GV62" s="1320" t="n">
        <v>1263.824</v>
      </c>
      <c r="GW62" s="1320" t="n">
        <v>1361.825</v>
      </c>
      <c r="GX62" s="1320" t="n">
        <v>1272.571</v>
      </c>
      <c r="GY62" s="1320" t="n">
        <v>1261.094</v>
      </c>
      <c r="GZ62" s="1320" t="n">
        <v>1352.32</v>
      </c>
      <c r="HA62" s="1320" t="n">
        <v>1317.383</v>
      </c>
      <c r="HB62" s="1320" t="n">
        <v>1211.288</v>
      </c>
      <c r="HC62" s="1320" t="n">
        <v>1264.468</v>
      </c>
      <c r="HD62" s="1320" t="n">
        <v>1397.213</v>
      </c>
      <c r="HE62" s="1320" t="n">
        <v>1380.096</v>
      </c>
      <c r="HF62" s="1320" t="n">
        <v>1144.978</v>
      </c>
      <c r="HG62" s="1320" t="n">
        <v>1309.132</v>
      </c>
      <c r="HH62" s="1320" t="n">
        <v>1225.701</v>
      </c>
      <c r="HI62" s="1320" t="n">
        <v>1398.363</v>
      </c>
      <c r="HJ62" s="892" t="n">
        <v>1391.894</v>
      </c>
      <c r="HK62" s="892" t="n">
        <v>1255.504</v>
      </c>
      <c r="HL62" s="892" t="n">
        <v>1331.843</v>
      </c>
      <c r="HM62" s="892" t="n">
        <v>1415.497</v>
      </c>
      <c r="HN62" s="892" t="n">
        <v>1231.334</v>
      </c>
      <c r="HO62" s="892" t="n">
        <v>1197.075</v>
      </c>
      <c r="HP62" s="892" t="n">
        <v>1380.483</v>
      </c>
      <c r="HQ62" s="892" t="n">
        <v>1424.557</v>
      </c>
      <c r="HR62" s="892" t="n">
        <v>1130.351</v>
      </c>
      <c r="HS62" s="892" t="n">
        <v>1367.581</v>
      </c>
      <c r="HT62" s="892" t="n">
        <v>1331.895</v>
      </c>
      <c r="HU62" s="892" t="n">
        <v>1391.782</v>
      </c>
      <c r="HV62" s="892" t="n">
        <v>1319.417</v>
      </c>
      <c r="HW62" s="892" t="n">
        <v>1317.33</v>
      </c>
      <c r="HX62" s="892" t="n">
        <v>1398.409</v>
      </c>
      <c r="HY62" s="892" t="n">
        <v>1402.98</v>
      </c>
      <c r="HZ62" s="892" t="n">
        <v>1237.894</v>
      </c>
      <c r="IA62" s="892" t="n">
        <v>1266.676</v>
      </c>
      <c r="IB62" s="892" t="n">
        <v>1390.486</v>
      </c>
      <c r="IC62" s="892" t="n">
        <v>1560.429</v>
      </c>
      <c r="ID62" s="892" t="n">
        <v>1149.91</v>
      </c>
      <c r="IE62" s="892" t="n">
        <v>1386.023</v>
      </c>
      <c r="IF62" s="892" t="n">
        <v>1322.58</v>
      </c>
      <c r="IG62" s="892" t="n">
        <v>1468.47</v>
      </c>
      <c r="IH62" s="892" t="n">
        <v>1424.008</v>
      </c>
      <c r="II62" s="892" t="n">
        <v>1355.848</v>
      </c>
      <c r="IJ62" s="892" t="n">
        <v>1455.546</v>
      </c>
      <c r="IK62" s="892" t="n">
        <v>1465.214</v>
      </c>
      <c r="IL62" s="892" t="n">
        <v>1322.845</v>
      </c>
      <c r="IM62" s="892" t="n">
        <v>1368.515</v>
      </c>
      <c r="IN62" s="892" t="n">
        <v>1458.719</v>
      </c>
      <c r="IO62" s="892" t="n">
        <v>1376.135</v>
      </c>
      <c r="IP62" s="892" t="n">
        <v>1070.848</v>
      </c>
      <c r="IQ62" s="892" t="n">
        <v>1310.436</v>
      </c>
      <c r="IR62" s="892" t="n">
        <v>1202.937</v>
      </c>
      <c r="IS62" s="892" t="n">
        <v>1418.022</v>
      </c>
      <c r="IT62" s="892" t="n">
        <v>1379.13</v>
      </c>
      <c r="IU62" s="892" t="n">
        <v>564.736</v>
      </c>
      <c r="IV62" s="892" t="n">
        <v>49.317</v>
      </c>
      <c r="IW62" s="892" t="n">
        <v>2.973</v>
      </c>
      <c r="IX62" s="893" t="n">
        <v>5.173</v>
      </c>
      <c r="IY62" s="893" t="n">
        <v>5.791</v>
      </c>
      <c r="IZ62" s="893" t="n">
        <v>7.056</v>
      </c>
      <c r="JA62" s="893" t="n">
        <v>5.472</v>
      </c>
      <c r="JB62" s="893" t="n">
        <v>5.276</v>
      </c>
      <c r="JC62" s="893" t="n">
        <v>5.688</v>
      </c>
      <c r="JD62" s="893" t="n">
        <v>9.597</v>
      </c>
      <c r="JE62" s="893" t="n">
        <v>8.711</v>
      </c>
      <c r="JF62" s="893" t="n">
        <v>7.014</v>
      </c>
      <c r="JG62" s="893" t="n">
        <v>3.571</v>
      </c>
      <c r="JH62" s="893" t="n">
        <v>3.466</v>
      </c>
      <c r="JI62" s="893" t="n">
        <v>3.308</v>
      </c>
      <c r="JJ62" s="893" t="n">
        <v>3.82</v>
      </c>
      <c r="JK62" s="893" t="n">
        <v>5.048</v>
      </c>
      <c r="JL62" s="893" t="n">
        <v>8.874000000000001</v>
      </c>
      <c r="JM62" s="893" t="n">
        <v>10.67</v>
      </c>
      <c r="JN62" s="893" t="n">
        <v>7.649</v>
      </c>
      <c r="JO62" s="893" t="n">
        <v>6.061</v>
      </c>
      <c r="JP62" s="893" t="n">
        <v>6.455</v>
      </c>
      <c r="JQ62" s="893" t="n">
        <v>4.745</v>
      </c>
      <c r="JR62" s="893" t="n">
        <v>1.792</v>
      </c>
      <c r="JS62" s="893" t="n">
        <v>1.761</v>
      </c>
      <c r="JT62" s="893" t="n">
        <v>1.939</v>
      </c>
      <c r="JU62" s="893" t="n">
        <v>5.954</v>
      </c>
      <c r="JV62" s="893" t="n">
        <v>3.764</v>
      </c>
      <c r="JW62" s="893" t="n">
        <v>11.96</v>
      </c>
      <c r="JX62" s="893" t="n">
        <v>21.024</v>
      </c>
      <c r="JY62" s="893" t="n">
        <v>23.618</v>
      </c>
      <c r="JZ62" s="893" t="n">
        <v>26.38</v>
      </c>
      <c r="KA62" s="893" t="n">
        <v>134.651</v>
      </c>
      <c r="KB62" s="893" t="n">
        <v>245.551</v>
      </c>
      <c r="KC62" s="893" t="n">
        <v>507.924</v>
      </c>
      <c r="KD62" s="893" t="n">
        <v>613.297</v>
      </c>
      <c r="KE62" s="893" t="n">
        <v>546.611</v>
      </c>
      <c r="KF62" s="893" t="n">
        <v>691.9111</v>
      </c>
      <c r="KG62" s="893" t="n">
        <v>704.242</v>
      </c>
      <c r="KH62" s="893" t="n">
        <v>757.504</v>
      </c>
      <c r="KI62" s="893" t="n">
        <v>901.981</v>
      </c>
      <c r="KJ62" s="893" t="n">
        <v>1037.867</v>
      </c>
      <c r="KK62" s="893" t="n">
        <v>1085.513</v>
      </c>
      <c r="KL62" s="893" t="n">
        <v>794.901</v>
      </c>
      <c r="KM62" s="893" t="n">
        <v>928.909</v>
      </c>
      <c r="KN62" s="893" t="n">
        <v>950.3150000000001</v>
      </c>
      <c r="KO62" s="893" t="n">
        <v>1049.071</v>
      </c>
      <c r="KP62" s="893" t="n">
        <v>969.677</v>
      </c>
      <c r="KQ62" s="893" t="n">
        <v>1009.928</v>
      </c>
      <c r="KR62" s="893" t="n">
        <v>1034.193</v>
      </c>
      <c r="KS62" s="893" t="n">
        <v>924.623</v>
      </c>
      <c r="KT62" s="893" t="n">
        <v>895.064</v>
      </c>
      <c r="KU62" s="893" t="n">
        <v>963.922</v>
      </c>
      <c r="KV62" s="893" t="n">
        <v>1087.078</v>
      </c>
      <c r="KW62" s="893" t="n">
        <v>1089.037</v>
      </c>
      <c r="KX62" s="893" t="n">
        <v>866.575</v>
      </c>
      <c r="KY62" s="893" t="n">
        <v>1052.451</v>
      </c>
      <c r="KZ62" s="893" t="n">
        <v>1069.544</v>
      </c>
      <c r="LA62" s="893" t="n">
        <v>1210.616</v>
      </c>
      <c r="LB62" s="893" t="n"/>
      <c r="LC62" s="893" t="n"/>
      <c r="LD62" s="893" t="n"/>
      <c r="LE62" s="893" t="n"/>
      <c r="LF62" s="893" t="n"/>
      <c r="LG62" s="893" t="n"/>
      <c r="LH62" s="893" t="n"/>
      <c r="LI62" s="893" t="n"/>
      <c r="LJ62" s="893" t="n"/>
      <c r="LK62" s="893" t="n"/>
      <c r="LL62" s="893" t="n"/>
      <c r="LM62" s="893" t="n"/>
      <c r="LN62" s="893" t="n"/>
      <c r="LO62" s="893" t="n"/>
      <c r="LP62" s="893" t="n"/>
      <c r="LQ62" s="893" t="n"/>
      <c r="LR62" s="893" t="n"/>
      <c r="LS62" s="893" t="n"/>
    </row>
    <row r="63">
      <c r="A63" s="885" t="inlineStr">
        <is>
          <t>m cg %</t>
        </is>
      </c>
      <c r="B63" s="1318" t="n"/>
      <c r="C63" s="1318">
        <f>C62/B62-1</f>
        <v/>
      </c>
      <c r="D63" s="1318">
        <f>D62/C62-1</f>
        <v/>
      </c>
      <c r="E63" s="1318">
        <f>E62/D62-1</f>
        <v/>
      </c>
      <c r="F63" s="1318">
        <f>F62/E62-1</f>
        <v/>
      </c>
      <c r="G63" s="1318">
        <f>G62/F62-1</f>
        <v/>
      </c>
      <c r="H63" s="1318">
        <f>H62/G62-1</f>
        <v/>
      </c>
      <c r="I63" s="1318">
        <f>I62/H62-1</f>
        <v/>
      </c>
      <c r="J63" s="1318">
        <f>J62/I62-1</f>
        <v/>
      </c>
      <c r="K63" s="1318">
        <f>K62/J62-1</f>
        <v/>
      </c>
      <c r="L63" s="1318">
        <f>L62/K62-1</f>
        <v/>
      </c>
      <c r="M63" s="1318">
        <f>M62/L62-1</f>
        <v/>
      </c>
      <c r="N63" s="1318">
        <f>N62/M62-1</f>
        <v/>
      </c>
      <c r="O63" s="1318">
        <f>O62/N62-1</f>
        <v/>
      </c>
      <c r="P63" s="1318">
        <f>P62/O62-1</f>
        <v/>
      </c>
      <c r="Q63" s="1318">
        <f>Q62/P62-1</f>
        <v/>
      </c>
      <c r="R63" s="1318">
        <f>R62/Q62-1</f>
        <v/>
      </c>
      <c r="S63" s="1318">
        <f>S62/R62-1</f>
        <v/>
      </c>
      <c r="T63" s="1318">
        <f>T62/S62-1</f>
        <v/>
      </c>
      <c r="U63" s="1318">
        <f>U62/T62-1</f>
        <v/>
      </c>
      <c r="V63" s="1318">
        <f>V62/U62-1</f>
        <v/>
      </c>
      <c r="W63" s="1318">
        <f>W62/V62-1</f>
        <v/>
      </c>
      <c r="X63" s="1318">
        <f>X62/W62-1</f>
        <v/>
      </c>
      <c r="Y63" s="1318">
        <f>Y62/X62-1</f>
        <v/>
      </c>
      <c r="Z63" s="1318">
        <f>Z62/Y62-1</f>
        <v/>
      </c>
      <c r="AA63" s="1318">
        <f>AA62/Z62-1</f>
        <v/>
      </c>
      <c r="AB63" s="1318">
        <f>AB62/AA62-1</f>
        <v/>
      </c>
      <c r="AC63" s="1318">
        <f>AC62/AB62-1</f>
        <v/>
      </c>
      <c r="AD63" s="1318">
        <f>AD62/AC62-1</f>
        <v/>
      </c>
      <c r="AE63" s="1318">
        <f>AE62/AD62-1</f>
        <v/>
      </c>
      <c r="AF63" s="1318">
        <f>AF62/AE62-1</f>
        <v/>
      </c>
      <c r="AG63" s="1318">
        <f>AG62/AF62-1</f>
        <v/>
      </c>
      <c r="AH63" s="1318">
        <f>AH62/AG62-1</f>
        <v/>
      </c>
      <c r="AI63" s="1318">
        <f>AI62/AH62-1</f>
        <v/>
      </c>
      <c r="AJ63" s="1318">
        <f>AJ62/AI62-1</f>
        <v/>
      </c>
      <c r="AK63" s="1318">
        <f>AK62/AJ62-1</f>
        <v/>
      </c>
      <c r="AL63" s="1318">
        <f>AL62/AK62-1</f>
        <v/>
      </c>
      <c r="AM63" s="1318">
        <f>AM62/AL62-1</f>
        <v/>
      </c>
      <c r="AN63" s="1318">
        <f>AN62/AM62-1</f>
        <v/>
      </c>
      <c r="AO63" s="1318">
        <f>AO62/AN62-1</f>
        <v/>
      </c>
      <c r="AP63" s="1318">
        <f>AP62/AO62-1</f>
        <v/>
      </c>
      <c r="AQ63" s="1318">
        <f>AQ62/AP62-1</f>
        <v/>
      </c>
      <c r="AR63" s="1318">
        <f>AR62/AQ62-1</f>
        <v/>
      </c>
      <c r="AS63" s="1318">
        <f>AS62/AR62-1</f>
        <v/>
      </c>
      <c r="AT63" s="1318">
        <f>AT62/AS62-1</f>
        <v/>
      </c>
      <c r="AU63" s="1318">
        <f>AU62/AT62-1</f>
        <v/>
      </c>
      <c r="AV63" s="1318">
        <f>AV62/AU62-1</f>
        <v/>
      </c>
      <c r="AW63" s="1318">
        <f>AW62/AV62-1</f>
        <v/>
      </c>
      <c r="AX63" s="1318">
        <f>AX62/AW62-1</f>
        <v/>
      </c>
      <c r="AY63" s="1318">
        <f>AY62/AX62-1</f>
        <v/>
      </c>
      <c r="AZ63" s="1318">
        <f>AZ62/AY62-1</f>
        <v/>
      </c>
      <c r="BA63" s="1318">
        <f>BA62/AZ62-1</f>
        <v/>
      </c>
      <c r="BB63" s="1318">
        <f>BB62/BA62-1</f>
        <v/>
      </c>
      <c r="BC63" s="1318">
        <f>BC62/BB62-1</f>
        <v/>
      </c>
      <c r="BD63" s="1318">
        <f>BD62/BC62-1</f>
        <v/>
      </c>
      <c r="BE63" s="1318">
        <f>BE62/BD62-1</f>
        <v/>
      </c>
      <c r="BF63" s="1318">
        <f>BF62/BE62-1</f>
        <v/>
      </c>
      <c r="BG63" s="1318">
        <f>BG62/BF62-1</f>
        <v/>
      </c>
      <c r="BH63" s="1318">
        <f>BH62/BG62-1</f>
        <v/>
      </c>
      <c r="BI63" s="1318">
        <f>BI62/BH62-1</f>
        <v/>
      </c>
      <c r="BJ63" s="1318">
        <f>BJ62/BI62-1</f>
        <v/>
      </c>
      <c r="BK63" s="1318">
        <f>BK62/BJ62-1</f>
        <v/>
      </c>
      <c r="BL63" s="1318">
        <f>BL62/BK62-1</f>
        <v/>
      </c>
      <c r="BM63" s="1318">
        <f>BM62/BL62-1</f>
        <v/>
      </c>
      <c r="BN63" s="1318">
        <f>BN62/BM62-1</f>
        <v/>
      </c>
      <c r="BO63" s="1318">
        <f>BO62/BN62-1</f>
        <v/>
      </c>
      <c r="BP63" s="1318">
        <f>BP62/BO62-1</f>
        <v/>
      </c>
      <c r="BQ63" s="1318">
        <f>BQ62/BP62-1</f>
        <v/>
      </c>
      <c r="BR63" s="1318">
        <f>BR62/BQ62-1</f>
        <v/>
      </c>
      <c r="BS63" s="1318">
        <f>BS62/BR62-1</f>
        <v/>
      </c>
      <c r="BT63" s="1318">
        <f>BT62/BS62-1</f>
        <v/>
      </c>
      <c r="BU63" s="1318">
        <f>BU62/BT62-1</f>
        <v/>
      </c>
      <c r="BV63" s="1318">
        <f>BV62/BU62-1</f>
        <v/>
      </c>
      <c r="BW63" s="1318">
        <f>BW62/BV62-1</f>
        <v/>
      </c>
      <c r="BX63" s="1318">
        <f>BX62/BW62-1</f>
        <v/>
      </c>
      <c r="BY63" s="1318">
        <f>BY62/BX62-1</f>
        <v/>
      </c>
      <c r="BZ63" s="1318">
        <f>BZ62/BY62-1</f>
        <v/>
      </c>
      <c r="CA63" s="1318">
        <f>CA62/BZ62-1</f>
        <v/>
      </c>
      <c r="CB63" s="1318">
        <f>CB62/CA62-1</f>
        <v/>
      </c>
      <c r="CC63" s="1318">
        <f>CC62/CB62-1</f>
        <v/>
      </c>
      <c r="CD63" s="1318">
        <f>CD62/CC62-1</f>
        <v/>
      </c>
      <c r="CE63" s="1318">
        <f>CE62/CD62-1</f>
        <v/>
      </c>
      <c r="CF63" s="1318">
        <f>CF62/CE62-1</f>
        <v/>
      </c>
      <c r="CG63" s="1318">
        <f>CG62/CF62-1</f>
        <v/>
      </c>
      <c r="CH63" s="1318">
        <f>CH62/CG62-1</f>
        <v/>
      </c>
      <c r="CI63" s="1318">
        <f>CI62/CH62-1</f>
        <v/>
      </c>
      <c r="CJ63" s="1318">
        <f>CJ62/CI62-1</f>
        <v/>
      </c>
      <c r="CK63" s="1318">
        <f>CK62/CJ62-1</f>
        <v/>
      </c>
      <c r="CL63" s="1318">
        <f>CL62/CK62-1</f>
        <v/>
      </c>
      <c r="CM63" s="1318">
        <f>CM62/CL62-1</f>
        <v/>
      </c>
      <c r="CN63" s="1318">
        <f>CN62/CM62-1</f>
        <v/>
      </c>
      <c r="CO63" s="1318">
        <f>CO62/CN62-1</f>
        <v/>
      </c>
      <c r="CP63" s="1318">
        <f>CP62/CO62-1</f>
        <v/>
      </c>
      <c r="CQ63" s="1318">
        <f>CQ62/CP62-1</f>
        <v/>
      </c>
      <c r="CR63" s="1318">
        <f>CR62/CQ62-1</f>
        <v/>
      </c>
      <c r="CS63" s="1318">
        <f>CS62/CR62-1</f>
        <v/>
      </c>
      <c r="CT63" s="1318">
        <f>CT62/CS62-1</f>
        <v/>
      </c>
      <c r="CU63" s="1318">
        <f>CU62/CT62-1</f>
        <v/>
      </c>
      <c r="CV63" s="1318">
        <f>CV62/CU62-1</f>
        <v/>
      </c>
      <c r="CW63" s="1318">
        <f>CW62/CV62-1</f>
        <v/>
      </c>
      <c r="CX63" s="1318">
        <f>CX62/CW62-1</f>
        <v/>
      </c>
      <c r="CY63" s="1318">
        <f>CY62/CX62-1</f>
        <v/>
      </c>
      <c r="CZ63" s="1318">
        <f>CZ62/CY62-1</f>
        <v/>
      </c>
      <c r="DA63" s="1318">
        <f>DA62/CZ62-1</f>
        <v/>
      </c>
      <c r="DB63" s="1318">
        <f>DB62/DA62-1</f>
        <v/>
      </c>
      <c r="DC63" s="1318">
        <f>DC62/DB62-1</f>
        <v/>
      </c>
      <c r="DD63" s="1318">
        <f>DD62/DC62-1</f>
        <v/>
      </c>
      <c r="DE63" s="1318">
        <f>DE62/DD62-1</f>
        <v/>
      </c>
      <c r="DF63" s="1318">
        <f>DF62/DE62-1</f>
        <v/>
      </c>
      <c r="DG63" s="1318">
        <f>DG62/DF62-1</f>
        <v/>
      </c>
      <c r="DH63" s="1318">
        <f>DH62/DG62-1</f>
        <v/>
      </c>
      <c r="DI63" s="1318">
        <f>DI62/DH62-1</f>
        <v/>
      </c>
      <c r="DJ63" s="1318">
        <f>DJ62/DI62-1</f>
        <v/>
      </c>
      <c r="DK63" s="1318">
        <f>DK62/DJ62-1</f>
        <v/>
      </c>
      <c r="DL63" s="1318">
        <f>DL62/DK62-1</f>
        <v/>
      </c>
      <c r="DM63" s="1318">
        <f>DM62/DL62-1</f>
        <v/>
      </c>
      <c r="DN63" s="1318">
        <f>DN62/DM62-1</f>
        <v/>
      </c>
      <c r="DO63" s="1318">
        <f>DO62/DN62-1</f>
        <v/>
      </c>
      <c r="DP63" s="1318">
        <f>DP62/DO62-1</f>
        <v/>
      </c>
      <c r="DQ63" s="1318">
        <f>DQ62/DP62-1</f>
        <v/>
      </c>
      <c r="DR63" s="1318">
        <f>DR62/DQ62-1</f>
        <v/>
      </c>
      <c r="DS63" s="1318">
        <f>DS62/DR62-1</f>
        <v/>
      </c>
      <c r="DT63" s="1318">
        <f>DT62/DS62-1</f>
        <v/>
      </c>
      <c r="DU63" s="1318">
        <f>DU62/DT62-1</f>
        <v/>
      </c>
      <c r="DV63" s="1318">
        <f>DV62/DU62-1</f>
        <v/>
      </c>
      <c r="DW63" s="1318">
        <f>DW62/DV62-1</f>
        <v/>
      </c>
      <c r="DX63" s="1318">
        <f>DX62/DW62-1</f>
        <v/>
      </c>
      <c r="DY63" s="1318">
        <f>DY62/DX62-1</f>
        <v/>
      </c>
      <c r="DZ63" s="1318">
        <f>DZ62/DY62-1</f>
        <v/>
      </c>
      <c r="EA63" s="1318">
        <f>EA62/DZ62-1</f>
        <v/>
      </c>
      <c r="EB63" s="1318">
        <f>EB62/EA62-1</f>
        <v/>
      </c>
      <c r="EC63" s="1318">
        <f>EC62/EB62-1</f>
        <v/>
      </c>
      <c r="ED63" s="1318">
        <f>ED62/EC62-1</f>
        <v/>
      </c>
      <c r="EE63" s="1318">
        <f>EE62/ED62-1</f>
        <v/>
      </c>
      <c r="EF63" s="1318">
        <f>EF62/EE62-1</f>
        <v/>
      </c>
      <c r="EG63" s="1318">
        <f>EG62/EF62-1</f>
        <v/>
      </c>
      <c r="EH63" s="1318">
        <f>EH62/EG62-1</f>
        <v/>
      </c>
      <c r="EI63" s="1318">
        <f>EI62/EH62-1</f>
        <v/>
      </c>
      <c r="EJ63" s="1318">
        <f>EJ62/EI62-1</f>
        <v/>
      </c>
      <c r="EK63" s="1318">
        <f>EK62/EJ62-1</f>
        <v/>
      </c>
      <c r="EL63" s="1318">
        <f>EL62/EK62-1</f>
        <v/>
      </c>
      <c r="EM63" s="1318">
        <f>EM62/EL62-1</f>
        <v/>
      </c>
      <c r="EN63" s="1318">
        <f>EN62/EM62-1</f>
        <v/>
      </c>
      <c r="EO63" s="1318">
        <f>EO62/EN62-1</f>
        <v/>
      </c>
      <c r="EP63" s="1318">
        <f>EP62/EO62-1</f>
        <v/>
      </c>
      <c r="EQ63" s="1318">
        <f>EQ62/EP62-1</f>
        <v/>
      </c>
      <c r="ER63" s="1318">
        <f>ER62/EQ62-1</f>
        <v/>
      </c>
      <c r="ES63" s="1318">
        <f>ES62/ER62-1</f>
        <v/>
      </c>
      <c r="ET63" s="1318">
        <f>ET62/ES62-1</f>
        <v/>
      </c>
      <c r="EU63" s="1318">
        <f>EU62/ET62-1</f>
        <v/>
      </c>
      <c r="EV63" s="1318">
        <f>EV62/EU62-1</f>
        <v/>
      </c>
      <c r="EW63" s="1318">
        <f>EW62/EV62-1</f>
        <v/>
      </c>
      <c r="EX63" s="1318">
        <f>EX62/EW62-1</f>
        <v/>
      </c>
      <c r="EY63" s="1318">
        <f>EY62/EX62-1</f>
        <v/>
      </c>
      <c r="EZ63" s="1318">
        <f>EZ62/EY62-1</f>
        <v/>
      </c>
      <c r="FA63" s="1318">
        <f>FA62/EZ62-1</f>
        <v/>
      </c>
      <c r="FB63" s="1318">
        <f>FB62/FA62-1</f>
        <v/>
      </c>
      <c r="FC63" s="1318">
        <f>FC62/FB62-1</f>
        <v/>
      </c>
      <c r="FD63" s="1318">
        <f>FD62/FC62-1</f>
        <v/>
      </c>
      <c r="FE63" s="1318">
        <f>FE62/FD62-1</f>
        <v/>
      </c>
      <c r="FF63" s="1318">
        <f>FF62/FE62-1</f>
        <v/>
      </c>
      <c r="FG63" s="1318">
        <f>FG62/FF62-1</f>
        <v/>
      </c>
      <c r="FH63" s="1318">
        <f>FH62/FG62-1</f>
        <v/>
      </c>
      <c r="FI63" s="1318">
        <f>FI62/FH62-1</f>
        <v/>
      </c>
      <c r="FJ63" s="1318">
        <f>FJ62/FI62-1</f>
        <v/>
      </c>
      <c r="FK63" s="1318">
        <f>FK62/FJ62-1</f>
        <v/>
      </c>
      <c r="FL63" s="1318">
        <f>FL62/FK62-1</f>
        <v/>
      </c>
      <c r="FM63" s="1318">
        <f>FM62/FL62-1</f>
        <v/>
      </c>
      <c r="FN63" s="1318">
        <f>FN62/FM62-1</f>
        <v/>
      </c>
      <c r="FO63" s="1318">
        <f>FO62/FN62-1</f>
        <v/>
      </c>
      <c r="FP63" s="1318">
        <f>FP62/FO62-1</f>
        <v/>
      </c>
      <c r="FQ63" s="1318">
        <f>FQ62/FP62-1</f>
        <v/>
      </c>
      <c r="FR63" s="1318">
        <f>FR62/FQ62-1</f>
        <v/>
      </c>
      <c r="FS63" s="1318">
        <f>FS62/FR62-1</f>
        <v/>
      </c>
      <c r="FT63" s="1318">
        <f>FT62/FS62-1</f>
        <v/>
      </c>
      <c r="FU63" s="1318">
        <f>FU62/FT62-1</f>
        <v/>
      </c>
      <c r="FV63" s="1318">
        <f>FV62/FU62-1</f>
        <v/>
      </c>
      <c r="FW63" s="1318">
        <f>FW62/FV62-1</f>
        <v/>
      </c>
      <c r="FX63" s="1318">
        <f>FX62/FW62-1</f>
        <v/>
      </c>
      <c r="FY63" s="1318">
        <f>FY62/FX62-1</f>
        <v/>
      </c>
      <c r="FZ63" s="1318">
        <f>FZ62/FY62-1</f>
        <v/>
      </c>
      <c r="GA63" s="1318">
        <f>GA62/FZ62-1</f>
        <v/>
      </c>
      <c r="GB63" s="1318">
        <f>GB62/GA62-1</f>
        <v/>
      </c>
      <c r="GC63" s="1318">
        <f>GC62/GB62-1</f>
        <v/>
      </c>
      <c r="GD63" s="1318">
        <f>GD62/GC62-1</f>
        <v/>
      </c>
      <c r="GE63" s="1318">
        <f>GE62/GD62-1</f>
        <v/>
      </c>
      <c r="GF63" s="1318">
        <f>GF62/GE62-1</f>
        <v/>
      </c>
      <c r="GG63" s="1318">
        <f>GG62/GF62-1</f>
        <v/>
      </c>
      <c r="GH63" s="1318">
        <f>GH62/GG62-1</f>
        <v/>
      </c>
      <c r="GI63" s="1318">
        <f>GI62/GH62-1</f>
        <v/>
      </c>
      <c r="GJ63" s="1318">
        <f>GJ62/GI62-1</f>
        <v/>
      </c>
      <c r="GK63" s="1318">
        <f>GK62/GJ62-1</f>
        <v/>
      </c>
      <c r="GL63" s="1318">
        <f>GL62/GK62-1</f>
        <v/>
      </c>
      <c r="GM63" s="1318">
        <f>GM62/GL62-1</f>
        <v/>
      </c>
      <c r="GN63" s="1318">
        <f>GN62/GM62-1</f>
        <v/>
      </c>
      <c r="GO63" s="1318">
        <f>GO62/GN62-1</f>
        <v/>
      </c>
      <c r="GP63" s="1318">
        <f>GP62/GO62-1</f>
        <v/>
      </c>
      <c r="GQ63" s="1318">
        <f>GQ62/GP62-1</f>
        <v/>
      </c>
      <c r="GR63" s="1318">
        <f>GR62/GQ62-1</f>
        <v/>
      </c>
      <c r="GS63" s="1318">
        <f>GS62/GR62-1</f>
        <v/>
      </c>
      <c r="GT63" s="1318">
        <f>GT62/GS62-1</f>
        <v/>
      </c>
      <c r="GU63" s="1318">
        <f>GU62/GT62-1</f>
        <v/>
      </c>
      <c r="GV63" s="1318">
        <f>GV62/GU62-1</f>
        <v/>
      </c>
      <c r="GW63" s="1318">
        <f>GW62/GV62-1</f>
        <v/>
      </c>
      <c r="GX63" s="1318">
        <f>GX62/GW62-1</f>
        <v/>
      </c>
      <c r="GY63" s="1318">
        <f>GY62/GX62-1</f>
        <v/>
      </c>
      <c r="GZ63" s="1318">
        <f>GZ62/GY62-1</f>
        <v/>
      </c>
      <c r="HA63" s="1318">
        <f>HA62/GZ62-1</f>
        <v/>
      </c>
      <c r="HB63" s="1318">
        <f>HB62/HA62-1</f>
        <v/>
      </c>
      <c r="HC63" s="1318">
        <f>HC62/HB62-1</f>
        <v/>
      </c>
      <c r="HD63" s="1318">
        <f>HD62/HC62-1</f>
        <v/>
      </c>
      <c r="HE63" s="1318">
        <f>HE62/HD62-1</f>
        <v/>
      </c>
      <c r="HF63" s="1318">
        <f>HF62/HE62-1</f>
        <v/>
      </c>
      <c r="HG63" s="1318">
        <f>HG62/HF62-1</f>
        <v/>
      </c>
      <c r="HH63" s="1318">
        <f>HH62/HG62-1</f>
        <v/>
      </c>
      <c r="HI63" s="1318">
        <f>HI62/HH62-1</f>
        <v/>
      </c>
      <c r="HJ63" s="1318">
        <f>HJ62/HI62-1</f>
        <v/>
      </c>
      <c r="HK63" s="1318">
        <f>HK62/HJ62-1</f>
        <v/>
      </c>
      <c r="HL63" s="1318">
        <f>HL62/HK62-1</f>
        <v/>
      </c>
      <c r="HM63" s="1318">
        <f>HM62/HL62-1</f>
        <v/>
      </c>
      <c r="HN63" s="1318">
        <f>HN62/HM62-1</f>
        <v/>
      </c>
      <c r="HO63" s="1318">
        <f>HO62/HN62-1</f>
        <v/>
      </c>
      <c r="HP63" s="1318">
        <f>HP62/HO62-1</f>
        <v/>
      </c>
      <c r="HQ63" s="1318">
        <f>HQ62/HP62-1</f>
        <v/>
      </c>
      <c r="HR63" s="1318">
        <f>HR62/HQ62-1</f>
        <v/>
      </c>
      <c r="HS63" s="1318">
        <f>HS62/HR62-1</f>
        <v/>
      </c>
      <c r="HT63" s="1318">
        <f>HT62/HS62-1</f>
        <v/>
      </c>
      <c r="HU63" s="1318">
        <f>HU62/HT62-1</f>
        <v/>
      </c>
      <c r="HV63" s="1318">
        <f>HV62/HU62-1</f>
        <v/>
      </c>
      <c r="HW63" s="1318">
        <f>HW62/HV62-1</f>
        <v/>
      </c>
      <c r="HX63" s="1318">
        <f>HX62/HW62-1</f>
        <v/>
      </c>
      <c r="HY63" s="1318">
        <f>HY62/HX62-1</f>
        <v/>
      </c>
      <c r="HZ63" s="1318">
        <f>HZ62/HY62-1</f>
        <v/>
      </c>
      <c r="IA63" s="1318">
        <f>IA62/HZ62-1</f>
        <v/>
      </c>
      <c r="IB63" s="1318">
        <f>IB62/IA62-1</f>
        <v/>
      </c>
      <c r="IC63" s="1318">
        <f>IC62/IB62-1</f>
        <v/>
      </c>
      <c r="ID63" s="1318">
        <f>ID62/IC62-1</f>
        <v/>
      </c>
      <c r="IE63" s="1318">
        <f>IE62/ID62-1</f>
        <v/>
      </c>
      <c r="IF63" s="1318">
        <f>IF62/IE62-1</f>
        <v/>
      </c>
      <c r="IG63" s="1318">
        <f>IG62/IF62-1</f>
        <v/>
      </c>
      <c r="IH63" s="1318">
        <f>IH62/IG62-1</f>
        <v/>
      </c>
      <c r="II63" s="1318">
        <f>II62/IH62-1</f>
        <v/>
      </c>
      <c r="IJ63" s="1318">
        <f>IJ62/II62-1</f>
        <v/>
      </c>
      <c r="IK63" s="1318">
        <f>IK62/IJ62-1</f>
        <v/>
      </c>
      <c r="IL63" s="1318">
        <f>IL62/IK62-1</f>
        <v/>
      </c>
      <c r="IM63" s="1318">
        <f>IM62/IL62-1</f>
        <v/>
      </c>
      <c r="IN63" s="1318">
        <f>IN62/IM62-1</f>
        <v/>
      </c>
      <c r="IO63" s="1318">
        <f>IO62/IN62-1</f>
        <v/>
      </c>
      <c r="IP63" s="1318">
        <f>IP62/IO62-1</f>
        <v/>
      </c>
      <c r="IQ63" s="1318">
        <f>IQ62/IP62-1</f>
        <v/>
      </c>
      <c r="IR63" s="1318">
        <f>IR62/IQ62-1</f>
        <v/>
      </c>
      <c r="IS63" s="1318">
        <f>IS62/IR62-1</f>
        <v/>
      </c>
      <c r="IT63" s="1318">
        <f>IT62/IS62-1</f>
        <v/>
      </c>
      <c r="IU63" s="1318">
        <f>IU62/IT62-1</f>
        <v/>
      </c>
      <c r="IV63" s="1318">
        <f>IV62/IU62-1</f>
        <v/>
      </c>
      <c r="IW63" s="1318">
        <f>IW62/IV62-1</f>
        <v/>
      </c>
      <c r="IX63" s="1318">
        <f>IX62/IW62-1</f>
        <v/>
      </c>
      <c r="IY63" s="1318">
        <f>IY62/IX62-1</f>
        <v/>
      </c>
      <c r="IZ63" s="1318">
        <f>IZ62/IY62-1</f>
        <v/>
      </c>
      <c r="JA63" s="1318">
        <f>JA62/IZ62-1</f>
        <v/>
      </c>
      <c r="JB63" s="1318">
        <f>JB62/JA62-1</f>
        <v/>
      </c>
      <c r="JC63" s="1318">
        <f>JC62/JB62-1</f>
        <v/>
      </c>
      <c r="JD63" s="1318">
        <f>JD62/JC62-1</f>
        <v/>
      </c>
      <c r="JE63" s="1318">
        <f>JE62/JD62-1</f>
        <v/>
      </c>
      <c r="JF63" s="1318">
        <f>JF62/JE62-1</f>
        <v/>
      </c>
      <c r="JG63" s="1318">
        <f>JG62/JF62-1</f>
        <v/>
      </c>
      <c r="JH63" s="1318">
        <f>JH62/JG62-1</f>
        <v/>
      </c>
      <c r="JI63" s="1318">
        <f>JI62/JH62-1</f>
        <v/>
      </c>
      <c r="JJ63" s="1318">
        <f>JJ62/JI62-1</f>
        <v/>
      </c>
      <c r="JK63" s="1318">
        <f>JK62/JJ62-1</f>
        <v/>
      </c>
      <c r="JL63" s="1318">
        <f>JL62/JK62-1</f>
        <v/>
      </c>
      <c r="JM63" s="1318">
        <f>JM62/JL62-1</f>
        <v/>
      </c>
      <c r="JN63" s="1318">
        <f>JN62/JM62-1</f>
        <v/>
      </c>
      <c r="JO63" s="1318">
        <f>JO62/JN62-1</f>
        <v/>
      </c>
      <c r="JP63" s="1318">
        <f>JP62/JO62-1</f>
        <v/>
      </c>
      <c r="JQ63" s="1318">
        <f>JQ62/JP62-1</f>
        <v/>
      </c>
      <c r="JR63" s="1318">
        <f>JR62/JQ62-1</f>
        <v/>
      </c>
      <c r="JS63" s="1318">
        <f>JS62/JR62-1</f>
        <v/>
      </c>
      <c r="JT63" s="1318">
        <f>JT62/JS62-1</f>
        <v/>
      </c>
      <c r="JU63" s="1318">
        <f>JU62/JT62-1</f>
        <v/>
      </c>
      <c r="JV63" s="1318">
        <f>JV62/JU62-1</f>
        <v/>
      </c>
      <c r="JW63" s="1318">
        <f>JW62/JV62-1</f>
        <v/>
      </c>
      <c r="JX63" s="1318">
        <f>JX62/JW62-1</f>
        <v/>
      </c>
      <c r="JY63" s="1318">
        <f>JY62/JX62-1</f>
        <v/>
      </c>
      <c r="JZ63" s="1318">
        <f>JZ62/JY62-1</f>
        <v/>
      </c>
      <c r="KA63" s="1318">
        <f>KA62/JZ62-1</f>
        <v/>
      </c>
      <c r="KB63" s="1318">
        <f>KB62/KA62-1</f>
        <v/>
      </c>
      <c r="KC63" s="1318">
        <f>KC62/KB62-1</f>
        <v/>
      </c>
      <c r="KD63" s="1318">
        <f>KD62/KC62-1</f>
        <v/>
      </c>
      <c r="KE63" s="1318">
        <f>KE62/KD62-1</f>
        <v/>
      </c>
      <c r="KF63" s="1318">
        <f>KF62/KE62-1</f>
        <v/>
      </c>
      <c r="KG63" s="1318">
        <f>KG62/KF62-1</f>
        <v/>
      </c>
      <c r="KH63" s="1318">
        <f>KH62/KG62-1</f>
        <v/>
      </c>
      <c r="KI63" s="1318">
        <f>KI62/KH62-1</f>
        <v/>
      </c>
      <c r="KJ63" s="1318">
        <f>KJ62/KI62-1</f>
        <v/>
      </c>
      <c r="KK63" s="1318">
        <f>KK62/KJ62-1</f>
        <v/>
      </c>
      <c r="KL63" s="1318">
        <f>KL62/KK62-1</f>
        <v/>
      </c>
      <c r="KM63" s="1318">
        <f>KM62/KL62-1</f>
        <v/>
      </c>
      <c r="KN63" s="1318">
        <f>KN62/KM62-1</f>
        <v/>
      </c>
      <c r="KO63" s="1318">
        <f>KO62/KN62-1</f>
        <v/>
      </c>
      <c r="KP63" s="1318">
        <f>KP62/KO62-1</f>
        <v/>
      </c>
      <c r="KQ63" s="1318">
        <f>KQ62/KP62-1</f>
        <v/>
      </c>
      <c r="KR63" s="1318">
        <f>KR62/KQ62-1</f>
        <v/>
      </c>
      <c r="KS63" s="1318">
        <f>KS62/KR62-1</f>
        <v/>
      </c>
      <c r="KT63" s="1318">
        <f>KT62/KS62-1</f>
        <v/>
      </c>
      <c r="KU63" s="1318">
        <f>KU62/KT62-1</f>
        <v/>
      </c>
      <c r="KV63" s="1318">
        <f>KV62/KU62-1</f>
        <v/>
      </c>
      <c r="KW63" s="1318">
        <f>KW62/KV62-1</f>
        <v/>
      </c>
      <c r="KX63" s="1318">
        <f>KX62/KW62-1</f>
        <v/>
      </c>
      <c r="KY63" s="1318">
        <f>KY62/KX62-1</f>
        <v/>
      </c>
      <c r="KZ63" s="1318">
        <f>KZ62/KY62-1</f>
        <v/>
      </c>
      <c r="LA63" s="1318">
        <f>LA62/KZ62-1</f>
        <v/>
      </c>
      <c r="LB63" s="1318" t="n"/>
      <c r="LC63" s="1318" t="n"/>
      <c r="LD63" s="1318" t="n"/>
      <c r="LE63" s="1318" t="n"/>
      <c r="LF63" s="1318" t="n"/>
      <c r="LG63" s="1318" t="n"/>
      <c r="LH63" s="1318" t="n"/>
      <c r="LI63" s="1318" t="n"/>
      <c r="LJ63" s="1318" t="n"/>
      <c r="LK63" s="1318" t="n"/>
      <c r="LL63" s="1318" t="n"/>
      <c r="LM63" s="1318" t="n"/>
      <c r="LN63" s="1318" t="n"/>
      <c r="LO63" s="1318" t="n"/>
      <c r="LP63" s="1318" t="n"/>
      <c r="LQ63" s="1318" t="n"/>
      <c r="LR63" s="1318" t="n"/>
      <c r="LS63" s="1318" t="n"/>
    </row>
    <row r="64">
      <c r="A64" s="885" t="inlineStr">
        <is>
          <t>YoY cg %</t>
        </is>
      </c>
      <c r="B64" s="1318" t="n"/>
      <c r="C64" s="1318" t="n"/>
      <c r="D64" s="1318" t="n"/>
      <c r="E64" s="1318" t="n"/>
      <c r="F64" s="1318" t="n"/>
      <c r="G64" s="1318" t="n"/>
      <c r="H64" s="1318" t="n"/>
      <c r="I64" s="1318" t="n"/>
      <c r="J64" s="1318" t="n"/>
      <c r="K64" s="1318" t="n"/>
      <c r="L64" s="1318" t="n"/>
      <c r="M64" s="1318" t="n"/>
      <c r="N64" s="1318">
        <f>N62/B62-1</f>
        <v/>
      </c>
      <c r="O64" s="1318">
        <f>O62/C62-1</f>
        <v/>
      </c>
      <c r="P64" s="1318">
        <f>P62/D62-1</f>
        <v/>
      </c>
      <c r="Q64" s="1318">
        <f>Q62/E62-1</f>
        <v/>
      </c>
      <c r="R64" s="1318">
        <f>R62/F62-1</f>
        <v/>
      </c>
      <c r="S64" s="1318">
        <f>S62/G62-1</f>
        <v/>
      </c>
      <c r="T64" s="1318">
        <f>T62/H62-1</f>
        <v/>
      </c>
      <c r="U64" s="1318">
        <f>U62/I62-1</f>
        <v/>
      </c>
      <c r="V64" s="1318">
        <f>V62/J62-1</f>
        <v/>
      </c>
      <c r="W64" s="1318">
        <f>W62/K62-1</f>
        <v/>
      </c>
      <c r="X64" s="1318">
        <f>X62/L62-1</f>
        <v/>
      </c>
      <c r="Y64" s="1318">
        <f>Y62/M62-1</f>
        <v/>
      </c>
      <c r="Z64" s="1318">
        <f>Z62/N62-1</f>
        <v/>
      </c>
      <c r="AA64" s="1318">
        <f>AA62/O62-1</f>
        <v/>
      </c>
      <c r="AB64" s="1318">
        <f>AB62/P62-1</f>
        <v/>
      </c>
      <c r="AC64" s="1318">
        <f>AC62/Q62-1</f>
        <v/>
      </c>
      <c r="AD64" s="1318">
        <f>AD62/R62-1</f>
        <v/>
      </c>
      <c r="AE64" s="1318">
        <f>AE62/S62-1</f>
        <v/>
      </c>
      <c r="AF64" s="1318">
        <f>AF62/T62-1</f>
        <v/>
      </c>
      <c r="AG64" s="1318">
        <f>AG62/U62-1</f>
        <v/>
      </c>
      <c r="AH64" s="1318">
        <f>AH62/V62-1</f>
        <v/>
      </c>
      <c r="AI64" s="1318">
        <f>AI62/W62-1</f>
        <v/>
      </c>
      <c r="AJ64" s="1318">
        <f>AJ62/X62-1</f>
        <v/>
      </c>
      <c r="AK64" s="1318">
        <f>AK62/Y62-1</f>
        <v/>
      </c>
      <c r="AL64" s="1318">
        <f>AL62/Z62-1</f>
        <v/>
      </c>
      <c r="AM64" s="1318">
        <f>AM62/AA62-1</f>
        <v/>
      </c>
      <c r="AN64" s="1318">
        <f>AN62/AB62-1</f>
        <v/>
      </c>
      <c r="AO64" s="1318">
        <f>AO62/AC62-1</f>
        <v/>
      </c>
      <c r="AP64" s="1318">
        <f>AP62/AD62-1</f>
        <v/>
      </c>
      <c r="AQ64" s="1318">
        <f>AQ62/AE62-1</f>
        <v/>
      </c>
      <c r="AR64" s="1318">
        <f>AR62/AF62-1</f>
        <v/>
      </c>
      <c r="AS64" s="1318">
        <f>AS62/AG62-1</f>
        <v/>
      </c>
      <c r="AT64" s="1318">
        <f>AT62/AH62-1</f>
        <v/>
      </c>
      <c r="AU64" s="1318">
        <f>AU62/AI62-1</f>
        <v/>
      </c>
      <c r="AV64" s="1318">
        <f>AV62/AJ62-1</f>
        <v/>
      </c>
      <c r="AW64" s="1318">
        <f>AW62/AK62-1</f>
        <v/>
      </c>
      <c r="AX64" s="1318">
        <f>AX62/AL62-1</f>
        <v/>
      </c>
      <c r="AY64" s="1318">
        <f>AY62/AM62-1</f>
        <v/>
      </c>
      <c r="AZ64" s="1318">
        <f>AZ62/AN62-1</f>
        <v/>
      </c>
      <c r="BA64" s="1318">
        <f>BA62/AO62-1</f>
        <v/>
      </c>
      <c r="BB64" s="1318">
        <f>BB62/AP62-1</f>
        <v/>
      </c>
      <c r="BC64" s="1318">
        <f>BC62/AQ62-1</f>
        <v/>
      </c>
      <c r="BD64" s="1318">
        <f>BD62/AR62-1</f>
        <v/>
      </c>
      <c r="BE64" s="1318">
        <f>BE62/AS62-1</f>
        <v/>
      </c>
      <c r="BF64" s="1318">
        <f>BF62/AT62-1</f>
        <v/>
      </c>
      <c r="BG64" s="1318">
        <f>BG62/AU62-1</f>
        <v/>
      </c>
      <c r="BH64" s="1318">
        <f>BH62/AV62-1</f>
        <v/>
      </c>
      <c r="BI64" s="1318">
        <f>BI62/AW62-1</f>
        <v/>
      </c>
      <c r="BJ64" s="1318">
        <f>BJ62/AX62-1</f>
        <v/>
      </c>
      <c r="BK64" s="1318">
        <f>BK62/AY62-1</f>
        <v/>
      </c>
      <c r="BL64" s="1318">
        <f>BL62/AZ62-1</f>
        <v/>
      </c>
      <c r="BM64" s="1318">
        <f>BM62/BA62-1</f>
        <v/>
      </c>
      <c r="BN64" s="1318">
        <f>BN62/BB62-1</f>
        <v/>
      </c>
      <c r="BO64" s="1318">
        <f>BO62/BC62-1</f>
        <v/>
      </c>
      <c r="BP64" s="1318">
        <f>BP62/BD62-1</f>
        <v/>
      </c>
      <c r="BQ64" s="1318">
        <f>BQ62/BE62-1</f>
        <v/>
      </c>
      <c r="BR64" s="1318">
        <f>BR62/BF62-1</f>
        <v/>
      </c>
      <c r="BS64" s="1318">
        <f>BS62/BG62-1</f>
        <v/>
      </c>
      <c r="BT64" s="1318">
        <f>BT62/BH62-1</f>
        <v/>
      </c>
      <c r="BU64" s="1318">
        <f>BU62/BI62-1</f>
        <v/>
      </c>
      <c r="BV64" s="1318">
        <f>BV62/BJ62-1</f>
        <v/>
      </c>
      <c r="BW64" s="1318">
        <f>BW62/BK62-1</f>
        <v/>
      </c>
      <c r="BX64" s="1318">
        <f>BX62/BL62-1</f>
        <v/>
      </c>
      <c r="BY64" s="1318">
        <f>BY62/BM62-1</f>
        <v/>
      </c>
      <c r="BZ64" s="1318">
        <f>BZ62/BN62-1</f>
        <v/>
      </c>
      <c r="CA64" s="1318">
        <f>CA62/BO62-1</f>
        <v/>
      </c>
      <c r="CB64" s="1318">
        <f>CB62/BP62-1</f>
        <v/>
      </c>
      <c r="CC64" s="1318">
        <f>CC62/BQ62-1</f>
        <v/>
      </c>
      <c r="CD64" s="1318">
        <f>CD62/BR62-1</f>
        <v/>
      </c>
      <c r="CE64" s="1318">
        <f>CE62/BS62-1</f>
        <v/>
      </c>
      <c r="CF64" s="1318">
        <f>CF62/BT62-1</f>
        <v/>
      </c>
      <c r="CG64" s="1318">
        <f>CG62/BU62-1</f>
        <v/>
      </c>
      <c r="CH64" s="1318">
        <f>CH62/BV62-1</f>
        <v/>
      </c>
      <c r="CI64" s="1318">
        <f>CI62/BW62-1</f>
        <v/>
      </c>
      <c r="CJ64" s="1318">
        <f>CJ62/BX62-1</f>
        <v/>
      </c>
      <c r="CK64" s="1318">
        <f>CK62/BY62-1</f>
        <v/>
      </c>
      <c r="CL64" s="1318">
        <f>CL62/BZ62-1</f>
        <v/>
      </c>
      <c r="CM64" s="1318">
        <f>CM62/CA62-1</f>
        <v/>
      </c>
      <c r="CN64" s="1318">
        <f>CN62/CB62-1</f>
        <v/>
      </c>
      <c r="CO64" s="1318">
        <f>CO62/CC62-1</f>
        <v/>
      </c>
      <c r="CP64" s="1318">
        <f>CP62/CD62-1</f>
        <v/>
      </c>
      <c r="CQ64" s="1318">
        <f>CQ62/CE62-1</f>
        <v/>
      </c>
      <c r="CR64" s="1318">
        <f>CR62/CF62-1</f>
        <v/>
      </c>
      <c r="CS64" s="1318">
        <f>CS62/CG62-1</f>
        <v/>
      </c>
      <c r="CT64" s="1318">
        <f>CT62/CH62-1</f>
        <v/>
      </c>
      <c r="CU64" s="1318">
        <f>CU62/CI62-1</f>
        <v/>
      </c>
      <c r="CV64" s="1318">
        <f>CV62/CJ62-1</f>
        <v/>
      </c>
      <c r="CW64" s="1318">
        <f>CW62/CK62-1</f>
        <v/>
      </c>
      <c r="CX64" s="1318">
        <f>CX62/CL62-1</f>
        <v/>
      </c>
      <c r="CY64" s="1318">
        <f>CY62/CM62-1</f>
        <v/>
      </c>
      <c r="CZ64" s="1318">
        <f>CZ62/CN62-1</f>
        <v/>
      </c>
      <c r="DA64" s="1318">
        <f>DA62/CO62-1</f>
        <v/>
      </c>
      <c r="DB64" s="1318">
        <f>DB62/CP62-1</f>
        <v/>
      </c>
      <c r="DC64" s="1318">
        <f>DC62/CQ62-1</f>
        <v/>
      </c>
      <c r="DD64" s="1318">
        <f>DD62/CR62-1</f>
        <v/>
      </c>
      <c r="DE64" s="1318">
        <f>DE62/CS62-1</f>
        <v/>
      </c>
      <c r="DF64" s="1318">
        <f>DF62/CT62-1</f>
        <v/>
      </c>
      <c r="DG64" s="1318">
        <f>DG62/CU62-1</f>
        <v/>
      </c>
      <c r="DH64" s="1318">
        <f>DH62/CV62-1</f>
        <v/>
      </c>
      <c r="DI64" s="1318">
        <f>DI62/CW62-1</f>
        <v/>
      </c>
      <c r="DJ64" s="1318">
        <f>DJ62/CX62-1</f>
        <v/>
      </c>
      <c r="DK64" s="1318">
        <f>DK62/CY62-1</f>
        <v/>
      </c>
      <c r="DL64" s="1318">
        <f>DL62/CZ62-1</f>
        <v/>
      </c>
      <c r="DM64" s="1318">
        <f>DM62/DA62-1</f>
        <v/>
      </c>
      <c r="DN64" s="1318">
        <f>DN62/DB62-1</f>
        <v/>
      </c>
      <c r="DO64" s="1318">
        <f>DO62/DC62-1</f>
        <v/>
      </c>
      <c r="DP64" s="1318">
        <f>DP62/DD62-1</f>
        <v/>
      </c>
      <c r="DQ64" s="1318">
        <f>DQ62/DE62-1</f>
        <v/>
      </c>
      <c r="DR64" s="1318">
        <f>DR62/DF62-1</f>
        <v/>
      </c>
      <c r="DS64" s="1318">
        <f>DS62/DG62-1</f>
        <v/>
      </c>
      <c r="DT64" s="1318">
        <f>DT62/DH62-1</f>
        <v/>
      </c>
      <c r="DU64" s="1318">
        <f>DU62/DI62-1</f>
        <v/>
      </c>
      <c r="DV64" s="1318">
        <f>DV62/DJ62-1</f>
        <v/>
      </c>
      <c r="DW64" s="1318">
        <f>DW62/DK62-1</f>
        <v/>
      </c>
      <c r="DX64" s="1318">
        <f>DX62/DL62-1</f>
        <v/>
      </c>
      <c r="DY64" s="1318">
        <f>DY62/DM62-1</f>
        <v/>
      </c>
      <c r="DZ64" s="1318">
        <f>DZ62/DN62-1</f>
        <v/>
      </c>
      <c r="EA64" s="1318">
        <f>EA62/DO62-1</f>
        <v/>
      </c>
      <c r="EB64" s="1318">
        <f>EB62/DP62-1</f>
        <v/>
      </c>
      <c r="EC64" s="1318">
        <f>EC62/DQ62-1</f>
        <v/>
      </c>
      <c r="ED64" s="1318">
        <f>ED62/DR62-1</f>
        <v/>
      </c>
      <c r="EE64" s="1318">
        <f>EE62/DS62-1</f>
        <v/>
      </c>
      <c r="EF64" s="1318">
        <f>EF62/DT62-1</f>
        <v/>
      </c>
      <c r="EG64" s="1318">
        <f>EG62/DU62-1</f>
        <v/>
      </c>
      <c r="EH64" s="1318">
        <f>EH62/DV62-1</f>
        <v/>
      </c>
      <c r="EI64" s="1318">
        <f>EI62/DW62-1</f>
        <v/>
      </c>
      <c r="EJ64" s="1318">
        <f>EJ62/DX62-1</f>
        <v/>
      </c>
      <c r="EK64" s="1318">
        <f>EK62/DY62-1</f>
        <v/>
      </c>
      <c r="EL64" s="1318">
        <f>EL62/DZ62-1</f>
        <v/>
      </c>
      <c r="EM64" s="1318">
        <f>EM62/EA62-1</f>
        <v/>
      </c>
      <c r="EN64" s="1318">
        <f>EN62/EB62-1</f>
        <v/>
      </c>
      <c r="EO64" s="1318">
        <f>EO62/EC62-1</f>
        <v/>
      </c>
      <c r="EP64" s="1318">
        <f>EP62/ED62-1</f>
        <v/>
      </c>
      <c r="EQ64" s="1318">
        <f>EQ62/EE62-1</f>
        <v/>
      </c>
      <c r="ER64" s="1318">
        <f>ER62/EF62-1</f>
        <v/>
      </c>
      <c r="ES64" s="1318">
        <f>ES62/EG62-1</f>
        <v/>
      </c>
      <c r="ET64" s="1318">
        <f>ET62/EH62-1</f>
        <v/>
      </c>
      <c r="EU64" s="1318">
        <f>EU62/EI62-1</f>
        <v/>
      </c>
      <c r="EV64" s="1318">
        <f>EV62/EJ62-1</f>
        <v/>
      </c>
      <c r="EW64" s="1318">
        <f>EW62/EK62-1</f>
        <v/>
      </c>
      <c r="EX64" s="1318">
        <f>EX62/EL62-1</f>
        <v/>
      </c>
      <c r="EY64" s="1318">
        <f>EY62/EM62-1</f>
        <v/>
      </c>
      <c r="EZ64" s="1318">
        <f>EZ62/EN62-1</f>
        <v/>
      </c>
      <c r="FA64" s="1318">
        <f>FA62/EO62-1</f>
        <v/>
      </c>
      <c r="FB64" s="1318">
        <f>FB62/EP62-1</f>
        <v/>
      </c>
      <c r="FC64" s="1318">
        <f>FC62/EQ62-1</f>
        <v/>
      </c>
      <c r="FD64" s="1318">
        <f>FD62/ER62-1</f>
        <v/>
      </c>
      <c r="FE64" s="1318">
        <f>FE62/ES62-1</f>
        <v/>
      </c>
      <c r="FF64" s="1318">
        <f>FF62/ET62-1</f>
        <v/>
      </c>
      <c r="FG64" s="1318">
        <f>FG62/EU62-1</f>
        <v/>
      </c>
      <c r="FH64" s="1318">
        <f>FH62/EV62-1</f>
        <v/>
      </c>
      <c r="FI64" s="1318">
        <f>FI62/EW62-1</f>
        <v/>
      </c>
      <c r="FJ64" s="1318">
        <f>FJ62/EX62-1</f>
        <v/>
      </c>
      <c r="FK64" s="1318">
        <f>FK62/EY62-1</f>
        <v/>
      </c>
      <c r="FL64" s="1318">
        <f>FL62/EZ62-1</f>
        <v/>
      </c>
      <c r="FM64" s="1318">
        <f>FM62/FA62-1</f>
        <v/>
      </c>
      <c r="FN64" s="1318">
        <f>FN62/FB62-1</f>
        <v/>
      </c>
      <c r="FO64" s="1318">
        <f>FO62/FC62-1</f>
        <v/>
      </c>
      <c r="FP64" s="1318">
        <f>FP62/FD62-1</f>
        <v/>
      </c>
      <c r="FQ64" s="1318">
        <f>FQ62/FE62-1</f>
        <v/>
      </c>
      <c r="FR64" s="1318">
        <f>FR62/FF62-1</f>
        <v/>
      </c>
      <c r="FS64" s="1318">
        <f>FS62/FG62-1</f>
        <v/>
      </c>
      <c r="FT64" s="1318">
        <f>FT62/FH62-1</f>
        <v/>
      </c>
      <c r="FU64" s="1318">
        <f>FU62/FI62-1</f>
        <v/>
      </c>
      <c r="FV64" s="1318">
        <f>FV62/FJ62-1</f>
        <v/>
      </c>
      <c r="FW64" s="1318">
        <f>FW62/FK62-1</f>
        <v/>
      </c>
      <c r="FX64" s="1318">
        <f>FX62/FL62-1</f>
        <v/>
      </c>
      <c r="FY64" s="1318">
        <f>FY62/FM62-1</f>
        <v/>
      </c>
      <c r="FZ64" s="1318">
        <f>FZ62/FN62-1</f>
        <v/>
      </c>
      <c r="GA64" s="1318">
        <f>GA62/FO62-1</f>
        <v/>
      </c>
      <c r="GB64" s="1318">
        <f>GB62/FP62-1</f>
        <v/>
      </c>
      <c r="GC64" s="1318">
        <f>GC62/FQ62-1</f>
        <v/>
      </c>
      <c r="GD64" s="1318">
        <f>GD62/FR62-1</f>
        <v/>
      </c>
      <c r="GE64" s="1318">
        <f>GE62/FS62-1</f>
        <v/>
      </c>
      <c r="GF64" s="1318">
        <f>GF62/FT62-1</f>
        <v/>
      </c>
      <c r="GG64" s="1318">
        <f>GG62/FU62-1</f>
        <v/>
      </c>
      <c r="GH64" s="1318">
        <f>GH62/FV62-1</f>
        <v/>
      </c>
      <c r="GI64" s="1318">
        <f>GI62/FW62-1</f>
        <v/>
      </c>
      <c r="GJ64" s="1318">
        <f>GJ62/FX62-1</f>
        <v/>
      </c>
      <c r="GK64" s="1318">
        <f>GK62/FY62-1</f>
        <v/>
      </c>
      <c r="GL64" s="1318">
        <f>GL62/FZ62-1</f>
        <v/>
      </c>
      <c r="GM64" s="1318">
        <f>GM62/GA62-1</f>
        <v/>
      </c>
      <c r="GN64" s="1318">
        <f>GN62/GB62-1</f>
        <v/>
      </c>
      <c r="GO64" s="1318">
        <f>GO62/GC62-1</f>
        <v/>
      </c>
      <c r="GP64" s="1318">
        <f>GP62/GD62-1</f>
        <v/>
      </c>
      <c r="GQ64" s="1318">
        <f>GQ62/GE62-1</f>
        <v/>
      </c>
      <c r="GR64" s="1318">
        <f>GR62/GF62-1</f>
        <v/>
      </c>
      <c r="GS64" s="1318">
        <f>GS62/GG62-1</f>
        <v/>
      </c>
      <c r="GT64" s="1318">
        <f>GT62/GH62-1</f>
        <v/>
      </c>
      <c r="GU64" s="1318">
        <f>GU62/GI62-1</f>
        <v/>
      </c>
      <c r="GV64" s="1318">
        <f>GV62/GJ62-1</f>
        <v/>
      </c>
      <c r="GW64" s="1318">
        <f>GW62/GK62-1</f>
        <v/>
      </c>
      <c r="GX64" s="1318">
        <f>GX62/GL62-1</f>
        <v/>
      </c>
      <c r="GY64" s="1318">
        <f>GY62/GM62-1</f>
        <v/>
      </c>
      <c r="GZ64" s="1318">
        <f>GZ62/GN62-1</f>
        <v/>
      </c>
      <c r="HA64" s="1318">
        <f>HA62/GO62-1</f>
        <v/>
      </c>
      <c r="HB64" s="1318">
        <f>HB62/GP62-1</f>
        <v/>
      </c>
      <c r="HC64" s="1318">
        <f>HC62/GQ62-1</f>
        <v/>
      </c>
      <c r="HD64" s="1318">
        <f>HD62/GR62-1</f>
        <v/>
      </c>
      <c r="HE64" s="1318">
        <f>HE62/GS62-1</f>
        <v/>
      </c>
      <c r="HF64" s="1318">
        <f>HF62/GT62-1</f>
        <v/>
      </c>
      <c r="HG64" s="1318">
        <f>HG62/GU62-1</f>
        <v/>
      </c>
      <c r="HH64" s="1318">
        <f>HH62/GV62-1</f>
        <v/>
      </c>
      <c r="HI64" s="1318">
        <f>HI62/GW62-1</f>
        <v/>
      </c>
      <c r="HJ64" s="1318">
        <f>HJ62/GX62-1</f>
        <v/>
      </c>
      <c r="HK64" s="1318">
        <f>HK62/GY62-1</f>
        <v/>
      </c>
      <c r="HL64" s="1318">
        <f>HL62/GZ62-1</f>
        <v/>
      </c>
      <c r="HM64" s="1318">
        <f>HM62/HA62-1</f>
        <v/>
      </c>
      <c r="HN64" s="1318">
        <f>HN62/HB62-1</f>
        <v/>
      </c>
      <c r="HO64" s="1318">
        <f>HO62/HC62-1</f>
        <v/>
      </c>
      <c r="HP64" s="1318">
        <f>HP62/HD62-1</f>
        <v/>
      </c>
      <c r="HQ64" s="1318">
        <f>HQ62/HE62-1</f>
        <v/>
      </c>
      <c r="HR64" s="1318">
        <f>HR62/HF62-1</f>
        <v/>
      </c>
      <c r="HS64" s="1318">
        <f>HS62/HG62-1</f>
        <v/>
      </c>
      <c r="HT64" s="1318">
        <f>HT62/HH62-1</f>
        <v/>
      </c>
      <c r="HU64" s="1318">
        <f>HU62/HI62-1</f>
        <v/>
      </c>
      <c r="HV64" s="1318">
        <f>HV62/HJ62-1</f>
        <v/>
      </c>
      <c r="HW64" s="1318">
        <f>HW62/HK62-1</f>
        <v/>
      </c>
      <c r="HX64" s="1318">
        <f>HX62/HL62-1</f>
        <v/>
      </c>
      <c r="HY64" s="1318">
        <f>HY62/HM62-1</f>
        <v/>
      </c>
      <c r="HZ64" s="1318">
        <f>HZ62/HN62-1</f>
        <v/>
      </c>
      <c r="IA64" s="1318">
        <f>IA62/HO62-1</f>
        <v/>
      </c>
      <c r="IB64" s="1318">
        <f>IB62/HP62-1</f>
        <v/>
      </c>
      <c r="IC64" s="1318">
        <f>IC62/HQ62-1</f>
        <v/>
      </c>
      <c r="ID64" s="1318">
        <f>ID62/HR62-1</f>
        <v/>
      </c>
      <c r="IE64" s="1318">
        <f>IE62/HS62-1</f>
        <v/>
      </c>
      <c r="IF64" s="1318">
        <f>IF62/HT62-1</f>
        <v/>
      </c>
      <c r="IG64" s="1318">
        <f>IG62/HU62-1</f>
        <v/>
      </c>
      <c r="IH64" s="1318">
        <f>IH62/HV62-1</f>
        <v/>
      </c>
      <c r="II64" s="1318">
        <f>II62/HW62-1</f>
        <v/>
      </c>
      <c r="IJ64" s="1318">
        <f>IJ62/HX62-1</f>
        <v/>
      </c>
      <c r="IK64" s="1318">
        <f>IK62/HY62-1</f>
        <v/>
      </c>
      <c r="IL64" s="1318">
        <f>IL62/HZ62-1</f>
        <v/>
      </c>
      <c r="IM64" s="1318">
        <f>IM62/IA62-1</f>
        <v/>
      </c>
      <c r="IN64" s="1318">
        <f>IN62/IB62-1</f>
        <v/>
      </c>
      <c r="IO64" s="1318">
        <f>IO62/IC62-1</f>
        <v/>
      </c>
      <c r="IP64" s="1318">
        <f>IP62/ID62-1</f>
        <v/>
      </c>
      <c r="IQ64" s="1318">
        <f>IQ62/IE62-1</f>
        <v/>
      </c>
      <c r="IR64" s="1318">
        <f>IR62/IF62-1</f>
        <v/>
      </c>
      <c r="IS64" s="1318">
        <f>IS62/IG62-1</f>
        <v/>
      </c>
      <c r="IT64" s="1318">
        <f>IT62/IH62-1</f>
        <v/>
      </c>
      <c r="IU64" s="1318">
        <f>IU62/II62-1</f>
        <v/>
      </c>
      <c r="IV64" s="1318">
        <f>IV62/IJ62-1</f>
        <v/>
      </c>
      <c r="IW64" s="1318">
        <f>IW62/IK62-1</f>
        <v/>
      </c>
      <c r="IX64" s="1318">
        <f>IX62/IL62-1</f>
        <v/>
      </c>
      <c r="IY64" s="1318">
        <f>IY62/IM62-1</f>
        <v/>
      </c>
      <c r="IZ64" s="1318">
        <f>IZ62/IN62-1</f>
        <v/>
      </c>
      <c r="JA64" s="1318">
        <f>JA62/IO62-1</f>
        <v/>
      </c>
      <c r="JB64" s="1318">
        <f>JB62/IP62-1</f>
        <v/>
      </c>
      <c r="JC64" s="1318">
        <f>JC62/IQ62-1</f>
        <v/>
      </c>
      <c r="JD64" s="1318">
        <f>JD62/IR62-1</f>
        <v/>
      </c>
      <c r="JE64" s="1318">
        <f>JE62/IS62-1</f>
        <v/>
      </c>
      <c r="JF64" s="1318">
        <f>JF62/IT62-1</f>
        <v/>
      </c>
      <c r="JG64" s="1318">
        <f>JG62/IU62-1</f>
        <v/>
      </c>
      <c r="JH64" s="1318">
        <f>JH62/IV62-1</f>
        <v/>
      </c>
      <c r="JI64" s="1318">
        <f>JI62/IW62-1</f>
        <v/>
      </c>
      <c r="JJ64" s="1318">
        <f>JJ62/IX62-1</f>
        <v/>
      </c>
      <c r="JK64" s="1318">
        <f>JK62/IY62-1</f>
        <v/>
      </c>
      <c r="JL64" s="1318">
        <f>JL62/IZ62-1</f>
        <v/>
      </c>
      <c r="JM64" s="1318">
        <f>JM62/JA62-1</f>
        <v/>
      </c>
      <c r="JN64" s="1318">
        <f>JN62/JB62-1</f>
        <v/>
      </c>
      <c r="JO64" s="1318">
        <f>JO62/JC62-1</f>
        <v/>
      </c>
      <c r="JP64" s="1318">
        <f>JP62/JD62-1</f>
        <v/>
      </c>
      <c r="JQ64" s="1318">
        <f>JQ62/JE62-1</f>
        <v/>
      </c>
      <c r="JR64" s="1318">
        <f>JR62/JF62-1</f>
        <v/>
      </c>
      <c r="JS64" s="1318">
        <f>JS62/JG62-1</f>
        <v/>
      </c>
      <c r="JT64" s="1318">
        <f>JT62/JH62-1</f>
        <v/>
      </c>
      <c r="JU64" s="1318">
        <f>JU62/JI62-1</f>
        <v/>
      </c>
      <c r="JV64" s="1318">
        <f>JV62/JJ62-1</f>
        <v/>
      </c>
      <c r="JW64" s="1318">
        <f>JW62/JK62-1</f>
        <v/>
      </c>
      <c r="JX64" s="1318">
        <f>JX62/JL62-1</f>
        <v/>
      </c>
      <c r="JY64" s="1318">
        <f>JY62/JM62-1</f>
        <v/>
      </c>
      <c r="JZ64" s="1318">
        <f>JZ62/JN62-1</f>
        <v/>
      </c>
      <c r="KA64" s="1318">
        <f>KA62/JO62-1</f>
        <v/>
      </c>
      <c r="KB64" s="1318">
        <f>KB62/JP62-1</f>
        <v/>
      </c>
      <c r="KC64" s="1318">
        <f>KC62/JQ62-1</f>
        <v/>
      </c>
      <c r="KD64" s="1318">
        <f>KD62/JR62-1</f>
        <v/>
      </c>
      <c r="KE64" s="1318">
        <f>KE62/JS62-1</f>
        <v/>
      </c>
      <c r="KF64" s="1318">
        <f>KF62/JT62-1</f>
        <v/>
      </c>
      <c r="KG64" s="1318">
        <f>KG62/JU62-1</f>
        <v/>
      </c>
      <c r="KH64" s="1318">
        <f>KH62/JV62-1</f>
        <v/>
      </c>
      <c r="KI64" s="1318">
        <f>KI62/JW62-1</f>
        <v/>
      </c>
      <c r="KJ64" s="1318">
        <f>KJ62/JX62-1</f>
        <v/>
      </c>
      <c r="KK64" s="1318">
        <f>KK62/JY62-1</f>
        <v/>
      </c>
      <c r="KL64" s="1318">
        <f>KL62/JZ62-1</f>
        <v/>
      </c>
      <c r="KM64" s="1318">
        <f>KM62/KA62-1</f>
        <v/>
      </c>
      <c r="KN64" s="1318">
        <f>KN62/KB62-1</f>
        <v/>
      </c>
      <c r="KO64" s="1318">
        <f>KO62/KC62-1</f>
        <v/>
      </c>
      <c r="KP64" s="1318">
        <f>KP62/KD62-1</f>
        <v/>
      </c>
      <c r="KQ64" s="1318">
        <f>KQ62/KE62-1</f>
        <v/>
      </c>
      <c r="KR64" s="1318">
        <f>KR62/KF62-1</f>
        <v/>
      </c>
      <c r="KS64" s="1318">
        <f>KS62/KG62-1</f>
        <v/>
      </c>
      <c r="KT64" s="1318">
        <f>KT62/KH62-1</f>
        <v/>
      </c>
      <c r="KU64" s="1318">
        <f>KU62/KI62-1</f>
        <v/>
      </c>
      <c r="KV64" s="1318">
        <f>KV62/KJ62-1</f>
        <v/>
      </c>
      <c r="KW64" s="1318">
        <f>KW62/KK62-1</f>
        <v/>
      </c>
      <c r="KX64" s="1318">
        <f>KX62/KL62-1</f>
        <v/>
      </c>
      <c r="KY64" s="1318">
        <f>KY62/KM62-1</f>
        <v/>
      </c>
      <c r="KZ64" s="1318">
        <f>KZ62/KN62-1</f>
        <v/>
      </c>
      <c r="LA64" s="1318">
        <f>LA62/KO62-1</f>
        <v/>
      </c>
      <c r="LB64" s="1318" t="n"/>
      <c r="LC64" s="1318" t="n"/>
      <c r="LD64" s="1318" t="n"/>
      <c r="LE64" s="1318" t="n"/>
      <c r="LF64" s="1318" t="n"/>
      <c r="LG64" s="1318" t="n"/>
      <c r="LH64" s="1318" t="n"/>
      <c r="LI64" s="1318" t="n"/>
      <c r="LJ64" s="1318" t="n"/>
      <c r="LK64" s="1318" t="n"/>
      <c r="LL64" s="1318" t="n"/>
      <c r="LM64" s="1318" t="n"/>
      <c r="LN64" s="1318" t="n"/>
      <c r="LO64" s="1318" t="n"/>
      <c r="LP64" s="1318" t="n"/>
      <c r="LQ64" s="1318" t="n"/>
      <c r="LR64" s="1318" t="n"/>
      <c r="LS64" s="1318" t="n"/>
    </row>
    <row r="65">
      <c r="A65" s="885" t="inlineStr">
        <is>
          <t>YTD cg %</t>
        </is>
      </c>
      <c r="B65" s="1318" t="n"/>
      <c r="C65" s="1318" t="n"/>
      <c r="D65" s="1318" t="n"/>
      <c r="E65" s="1318" t="n"/>
      <c r="F65" s="1318" t="n"/>
      <c r="G65" s="1318" t="n"/>
      <c r="H65" s="1318" t="n"/>
      <c r="I65" s="1318" t="n"/>
      <c r="J65" s="1318" t="n"/>
      <c r="K65" s="1318" t="n"/>
      <c r="L65" s="1318" t="n"/>
      <c r="M65" s="1318" t="n"/>
      <c r="N65" s="1318">
        <f>SUMIFS(62:62,$8:$8,"&gt;="&amp;DATE(YEAR(N$8),1,1),$8:$8,"&lt;="&amp;EOMONTH(N$8,0))/SUMIFS(62:62,$8:$8,"&gt;="&amp;DATE(YEAR(N$8)-1,1,1),$8:$8,"&lt;="&amp;EOMONTH(N$8,-12))-1</f>
        <v/>
      </c>
      <c r="O65" s="1318">
        <f>SUMIFS(62:62,$8:$8,"&gt;="&amp;DATE(YEAR(O$8),1,1),$8:$8,"&lt;="&amp;EOMONTH(O$8,0))/SUMIFS(62:62,$8:$8,"&gt;="&amp;DATE(YEAR(O$8)-1,1,1),$8:$8,"&lt;="&amp;EOMONTH(O$8,-12))-1</f>
        <v/>
      </c>
      <c r="P65" s="1318">
        <f>SUMIFS(62:62,$8:$8,"&gt;="&amp;DATE(YEAR(P$8),1,1),$8:$8,"&lt;="&amp;EOMONTH(P$8,0))/SUMIFS(62:62,$8:$8,"&gt;="&amp;DATE(YEAR(P$8)-1,1,1),$8:$8,"&lt;="&amp;EOMONTH(P$8,-12))-1</f>
        <v/>
      </c>
      <c r="Q65" s="1318">
        <f>SUMIFS(62:62,$8:$8,"&gt;="&amp;DATE(YEAR(Q$8),1,1),$8:$8,"&lt;="&amp;EOMONTH(Q$8,0))/SUMIFS(62:62,$8:$8,"&gt;="&amp;DATE(YEAR(Q$8)-1,1,1),$8:$8,"&lt;="&amp;EOMONTH(Q$8,-12))-1</f>
        <v/>
      </c>
      <c r="R65" s="1318">
        <f>SUMIFS(62:62,$8:$8,"&gt;="&amp;DATE(YEAR(R$8),1,1),$8:$8,"&lt;="&amp;EOMONTH(R$8,0))/SUMIFS(62:62,$8:$8,"&gt;="&amp;DATE(YEAR(R$8)-1,1,1),$8:$8,"&lt;="&amp;EOMONTH(R$8,-12))-1</f>
        <v/>
      </c>
      <c r="S65" s="1318">
        <f>SUMIFS(62:62,$8:$8,"&gt;="&amp;DATE(YEAR(S$8),1,1),$8:$8,"&lt;="&amp;EOMONTH(S$8,0))/SUMIFS(62:62,$8:$8,"&gt;="&amp;DATE(YEAR(S$8)-1,1,1),$8:$8,"&lt;="&amp;EOMONTH(S$8,-12))-1</f>
        <v/>
      </c>
      <c r="T65" s="1318">
        <f>SUMIFS(62:62,$8:$8,"&gt;="&amp;DATE(YEAR(T$8),1,1),$8:$8,"&lt;="&amp;EOMONTH(T$8,0))/SUMIFS(62:62,$8:$8,"&gt;="&amp;DATE(YEAR(T$8)-1,1,1),$8:$8,"&lt;="&amp;EOMONTH(T$8,-12))-1</f>
        <v/>
      </c>
      <c r="U65" s="1318">
        <f>SUMIFS(62:62,$8:$8,"&gt;="&amp;DATE(YEAR(U$8),1,1),$8:$8,"&lt;="&amp;EOMONTH(U$8,0))/SUMIFS(62:62,$8:$8,"&gt;="&amp;DATE(YEAR(U$8)-1,1,1),$8:$8,"&lt;="&amp;EOMONTH(U$8,-12))-1</f>
        <v/>
      </c>
      <c r="V65" s="1318">
        <f>SUMIFS(62:62,$8:$8,"&gt;="&amp;DATE(YEAR(V$8),1,1),$8:$8,"&lt;="&amp;EOMONTH(V$8,0))/SUMIFS(62:62,$8:$8,"&gt;="&amp;DATE(YEAR(V$8)-1,1,1),$8:$8,"&lt;="&amp;EOMONTH(V$8,-12))-1</f>
        <v/>
      </c>
      <c r="W65" s="1318">
        <f>SUMIFS(62:62,$8:$8,"&gt;="&amp;DATE(YEAR(W$8),1,1),$8:$8,"&lt;="&amp;EOMONTH(W$8,0))/SUMIFS(62:62,$8:$8,"&gt;="&amp;DATE(YEAR(W$8)-1,1,1),$8:$8,"&lt;="&amp;EOMONTH(W$8,-12))-1</f>
        <v/>
      </c>
      <c r="X65" s="1318">
        <f>SUMIFS(62:62,$8:$8,"&gt;="&amp;DATE(YEAR(X$8),1,1),$8:$8,"&lt;="&amp;EOMONTH(X$8,0))/SUMIFS(62:62,$8:$8,"&gt;="&amp;DATE(YEAR(X$8)-1,1,1),$8:$8,"&lt;="&amp;EOMONTH(X$8,-12))-1</f>
        <v/>
      </c>
      <c r="Y65" s="1318">
        <f>SUMIFS(62:62,$8:$8,"&gt;="&amp;DATE(YEAR(Y$8),1,1),$8:$8,"&lt;="&amp;EOMONTH(Y$8,0))/SUMIFS(62:62,$8:$8,"&gt;="&amp;DATE(YEAR(Y$8)-1,1,1),$8:$8,"&lt;="&amp;EOMONTH(Y$8,-12))-1</f>
        <v/>
      </c>
      <c r="Z65" s="1318">
        <f>SUMIFS(62:62,$8:$8,"&gt;="&amp;DATE(YEAR(Z$8),1,1),$8:$8,"&lt;="&amp;EOMONTH(Z$8,0))/SUMIFS(62:62,$8:$8,"&gt;="&amp;DATE(YEAR(Z$8)-1,1,1),$8:$8,"&lt;="&amp;EOMONTH(Z$8,-12))-1</f>
        <v/>
      </c>
      <c r="AA65" s="1318">
        <f>SUMIFS(62:62,$8:$8,"&gt;="&amp;DATE(YEAR(AA$8),1,1),$8:$8,"&lt;="&amp;EOMONTH(AA$8,0))/SUMIFS(62:62,$8:$8,"&gt;="&amp;DATE(YEAR(AA$8)-1,1,1),$8:$8,"&lt;="&amp;EOMONTH(AA$8,-12))-1</f>
        <v/>
      </c>
      <c r="AB65" s="1318">
        <f>SUMIFS(62:62,$8:$8,"&gt;="&amp;DATE(YEAR(AB$8),1,1),$8:$8,"&lt;="&amp;EOMONTH(AB$8,0))/SUMIFS(62:62,$8:$8,"&gt;="&amp;DATE(YEAR(AB$8)-1,1,1),$8:$8,"&lt;="&amp;EOMONTH(AB$8,-12))-1</f>
        <v/>
      </c>
      <c r="AC65" s="1318">
        <f>SUMIFS(62:62,$8:$8,"&gt;="&amp;DATE(YEAR(AC$8),1,1),$8:$8,"&lt;="&amp;EOMONTH(AC$8,0))/SUMIFS(62:62,$8:$8,"&gt;="&amp;DATE(YEAR(AC$8)-1,1,1),$8:$8,"&lt;="&amp;EOMONTH(AC$8,-12))-1</f>
        <v/>
      </c>
      <c r="AD65" s="1318">
        <f>SUMIFS(62:62,$8:$8,"&gt;="&amp;DATE(YEAR(AD$8),1,1),$8:$8,"&lt;="&amp;EOMONTH(AD$8,0))/SUMIFS(62:62,$8:$8,"&gt;="&amp;DATE(YEAR(AD$8)-1,1,1),$8:$8,"&lt;="&amp;EOMONTH(AD$8,-12))-1</f>
        <v/>
      </c>
      <c r="AE65" s="1318">
        <f>SUMIFS(62:62,$8:$8,"&gt;="&amp;DATE(YEAR(AE$8),1,1),$8:$8,"&lt;="&amp;EOMONTH(AE$8,0))/SUMIFS(62:62,$8:$8,"&gt;="&amp;DATE(YEAR(AE$8)-1,1,1),$8:$8,"&lt;="&amp;EOMONTH(AE$8,-12))-1</f>
        <v/>
      </c>
      <c r="AF65" s="1318">
        <f>SUMIFS(62:62,$8:$8,"&gt;="&amp;DATE(YEAR(AF$8),1,1),$8:$8,"&lt;="&amp;EOMONTH(AF$8,0))/SUMIFS(62:62,$8:$8,"&gt;="&amp;DATE(YEAR(AF$8)-1,1,1),$8:$8,"&lt;="&amp;EOMONTH(AF$8,-12))-1</f>
        <v/>
      </c>
      <c r="AG65" s="1318">
        <f>SUMIFS(62:62,$8:$8,"&gt;="&amp;DATE(YEAR(AG$8),1,1),$8:$8,"&lt;="&amp;EOMONTH(AG$8,0))/SUMIFS(62:62,$8:$8,"&gt;="&amp;DATE(YEAR(AG$8)-1,1,1),$8:$8,"&lt;="&amp;EOMONTH(AG$8,-12))-1</f>
        <v/>
      </c>
      <c r="AH65" s="1318">
        <f>SUMIFS(62:62,$8:$8,"&gt;="&amp;DATE(YEAR(AH$8),1,1),$8:$8,"&lt;="&amp;EOMONTH(AH$8,0))/SUMIFS(62:62,$8:$8,"&gt;="&amp;DATE(YEAR(AH$8)-1,1,1),$8:$8,"&lt;="&amp;EOMONTH(AH$8,-12))-1</f>
        <v/>
      </c>
      <c r="AI65" s="1318">
        <f>SUMIFS(62:62,$8:$8,"&gt;="&amp;DATE(YEAR(AI$8),1,1),$8:$8,"&lt;="&amp;EOMONTH(AI$8,0))/SUMIFS(62:62,$8:$8,"&gt;="&amp;DATE(YEAR(AI$8)-1,1,1),$8:$8,"&lt;="&amp;EOMONTH(AI$8,-12))-1</f>
        <v/>
      </c>
      <c r="AJ65" s="1318">
        <f>SUMIFS(62:62,$8:$8,"&gt;="&amp;DATE(YEAR(AJ$8),1,1),$8:$8,"&lt;="&amp;EOMONTH(AJ$8,0))/SUMIFS(62:62,$8:$8,"&gt;="&amp;DATE(YEAR(AJ$8)-1,1,1),$8:$8,"&lt;="&amp;EOMONTH(AJ$8,-12))-1</f>
        <v/>
      </c>
      <c r="AK65" s="1318">
        <f>SUMIFS(62:62,$8:$8,"&gt;="&amp;DATE(YEAR(AK$8),1,1),$8:$8,"&lt;="&amp;EOMONTH(AK$8,0))/SUMIFS(62:62,$8:$8,"&gt;="&amp;DATE(YEAR(AK$8)-1,1,1),$8:$8,"&lt;="&amp;EOMONTH(AK$8,-12))-1</f>
        <v/>
      </c>
      <c r="AL65" s="1318">
        <f>SUMIFS(62:62,$8:$8,"&gt;="&amp;DATE(YEAR(AL$8),1,1),$8:$8,"&lt;="&amp;EOMONTH(AL$8,0))/SUMIFS(62:62,$8:$8,"&gt;="&amp;DATE(YEAR(AL$8)-1,1,1),$8:$8,"&lt;="&amp;EOMONTH(AL$8,-12))-1</f>
        <v/>
      </c>
      <c r="AM65" s="1318">
        <f>SUMIFS(62:62,$8:$8,"&gt;="&amp;DATE(YEAR(AM$8),1,1),$8:$8,"&lt;="&amp;EOMONTH(AM$8,0))/SUMIFS(62:62,$8:$8,"&gt;="&amp;DATE(YEAR(AM$8)-1,1,1),$8:$8,"&lt;="&amp;EOMONTH(AM$8,-12))-1</f>
        <v/>
      </c>
      <c r="AN65" s="1318">
        <f>SUMIFS(62:62,$8:$8,"&gt;="&amp;DATE(YEAR(AN$8),1,1),$8:$8,"&lt;="&amp;EOMONTH(AN$8,0))/SUMIFS(62:62,$8:$8,"&gt;="&amp;DATE(YEAR(AN$8)-1,1,1),$8:$8,"&lt;="&amp;EOMONTH(AN$8,-12))-1</f>
        <v/>
      </c>
      <c r="AO65" s="1318">
        <f>SUMIFS(62:62,$8:$8,"&gt;="&amp;DATE(YEAR(AO$8),1,1),$8:$8,"&lt;="&amp;EOMONTH(AO$8,0))/SUMIFS(62:62,$8:$8,"&gt;="&amp;DATE(YEAR(AO$8)-1,1,1),$8:$8,"&lt;="&amp;EOMONTH(AO$8,-12))-1</f>
        <v/>
      </c>
      <c r="AP65" s="1318">
        <f>SUMIFS(62:62,$8:$8,"&gt;="&amp;DATE(YEAR(AP$8),1,1),$8:$8,"&lt;="&amp;EOMONTH(AP$8,0))/SUMIFS(62:62,$8:$8,"&gt;="&amp;DATE(YEAR(AP$8)-1,1,1),$8:$8,"&lt;="&amp;EOMONTH(AP$8,-12))-1</f>
        <v/>
      </c>
      <c r="AQ65" s="1318">
        <f>SUMIFS(62:62,$8:$8,"&gt;="&amp;DATE(YEAR(AQ$8),1,1),$8:$8,"&lt;="&amp;EOMONTH(AQ$8,0))/SUMIFS(62:62,$8:$8,"&gt;="&amp;DATE(YEAR(AQ$8)-1,1,1),$8:$8,"&lt;="&amp;EOMONTH(AQ$8,-12))-1</f>
        <v/>
      </c>
      <c r="AR65" s="1318">
        <f>SUMIFS(62:62,$8:$8,"&gt;="&amp;DATE(YEAR(AR$8),1,1),$8:$8,"&lt;="&amp;EOMONTH(AR$8,0))/SUMIFS(62:62,$8:$8,"&gt;="&amp;DATE(YEAR(AR$8)-1,1,1),$8:$8,"&lt;="&amp;EOMONTH(AR$8,-12))-1</f>
        <v/>
      </c>
      <c r="AS65" s="1318">
        <f>SUMIFS(62:62,$8:$8,"&gt;="&amp;DATE(YEAR(AS$8),1,1),$8:$8,"&lt;="&amp;EOMONTH(AS$8,0))/SUMIFS(62:62,$8:$8,"&gt;="&amp;DATE(YEAR(AS$8)-1,1,1),$8:$8,"&lt;="&amp;EOMONTH(AS$8,-12))-1</f>
        <v/>
      </c>
      <c r="AT65" s="1318">
        <f>SUMIFS(62:62,$8:$8,"&gt;="&amp;DATE(YEAR(AT$8),1,1),$8:$8,"&lt;="&amp;EOMONTH(AT$8,0))/SUMIFS(62:62,$8:$8,"&gt;="&amp;DATE(YEAR(AT$8)-1,1,1),$8:$8,"&lt;="&amp;EOMONTH(AT$8,-12))-1</f>
        <v/>
      </c>
      <c r="AU65" s="1318">
        <f>SUMIFS(62:62,$8:$8,"&gt;="&amp;DATE(YEAR(AU$8),1,1),$8:$8,"&lt;="&amp;EOMONTH(AU$8,0))/SUMIFS(62:62,$8:$8,"&gt;="&amp;DATE(YEAR(AU$8)-1,1,1),$8:$8,"&lt;="&amp;EOMONTH(AU$8,-12))-1</f>
        <v/>
      </c>
      <c r="AV65" s="1318">
        <f>SUMIFS(62:62,$8:$8,"&gt;="&amp;DATE(YEAR(AV$8),1,1),$8:$8,"&lt;="&amp;EOMONTH(AV$8,0))/SUMIFS(62:62,$8:$8,"&gt;="&amp;DATE(YEAR(AV$8)-1,1,1),$8:$8,"&lt;="&amp;EOMONTH(AV$8,-12))-1</f>
        <v/>
      </c>
      <c r="AW65" s="1318">
        <f>SUMIFS(62:62,$8:$8,"&gt;="&amp;DATE(YEAR(AW$8),1,1),$8:$8,"&lt;="&amp;EOMONTH(AW$8,0))/SUMIFS(62:62,$8:$8,"&gt;="&amp;DATE(YEAR(AW$8)-1,1,1),$8:$8,"&lt;="&amp;EOMONTH(AW$8,-12))-1</f>
        <v/>
      </c>
      <c r="AX65" s="1318">
        <f>SUMIFS(62:62,$8:$8,"&gt;="&amp;DATE(YEAR(AX$8),1,1),$8:$8,"&lt;="&amp;EOMONTH(AX$8,0))/SUMIFS(62:62,$8:$8,"&gt;="&amp;DATE(YEAR(AX$8)-1,1,1),$8:$8,"&lt;="&amp;EOMONTH(AX$8,-12))-1</f>
        <v/>
      </c>
      <c r="AY65" s="1318">
        <f>SUMIFS(62:62,$8:$8,"&gt;="&amp;DATE(YEAR(AY$8),1,1),$8:$8,"&lt;="&amp;EOMONTH(AY$8,0))/SUMIFS(62:62,$8:$8,"&gt;="&amp;DATE(YEAR(AY$8)-1,1,1),$8:$8,"&lt;="&amp;EOMONTH(AY$8,-12))-1</f>
        <v/>
      </c>
      <c r="AZ65" s="1318">
        <f>SUMIFS(62:62,$8:$8,"&gt;="&amp;DATE(YEAR(AZ$8),1,1),$8:$8,"&lt;="&amp;EOMONTH(AZ$8,0))/SUMIFS(62:62,$8:$8,"&gt;="&amp;DATE(YEAR(AZ$8)-1,1,1),$8:$8,"&lt;="&amp;EOMONTH(AZ$8,-12))-1</f>
        <v/>
      </c>
      <c r="BA65" s="1318">
        <f>SUMIFS(62:62,$8:$8,"&gt;="&amp;DATE(YEAR(BA$8),1,1),$8:$8,"&lt;="&amp;EOMONTH(BA$8,0))/SUMIFS(62:62,$8:$8,"&gt;="&amp;DATE(YEAR(BA$8)-1,1,1),$8:$8,"&lt;="&amp;EOMONTH(BA$8,-12))-1</f>
        <v/>
      </c>
      <c r="BB65" s="1318">
        <f>SUMIFS(62:62,$8:$8,"&gt;="&amp;DATE(YEAR(BB$8),1,1),$8:$8,"&lt;="&amp;EOMONTH(BB$8,0))/SUMIFS(62:62,$8:$8,"&gt;="&amp;DATE(YEAR(BB$8)-1,1,1),$8:$8,"&lt;="&amp;EOMONTH(BB$8,-12))-1</f>
        <v/>
      </c>
      <c r="BC65" s="1318">
        <f>SUMIFS(62:62,$8:$8,"&gt;="&amp;DATE(YEAR(BC$8),1,1),$8:$8,"&lt;="&amp;EOMONTH(BC$8,0))/SUMIFS(62:62,$8:$8,"&gt;="&amp;DATE(YEAR(BC$8)-1,1,1),$8:$8,"&lt;="&amp;EOMONTH(BC$8,-12))-1</f>
        <v/>
      </c>
      <c r="BD65" s="1318">
        <f>SUMIFS(62:62,$8:$8,"&gt;="&amp;DATE(YEAR(BD$8),1,1),$8:$8,"&lt;="&amp;EOMONTH(BD$8,0))/SUMIFS(62:62,$8:$8,"&gt;="&amp;DATE(YEAR(BD$8)-1,1,1),$8:$8,"&lt;="&amp;EOMONTH(BD$8,-12))-1</f>
        <v/>
      </c>
      <c r="BE65" s="1318">
        <f>SUMIFS(62:62,$8:$8,"&gt;="&amp;DATE(YEAR(BE$8),1,1),$8:$8,"&lt;="&amp;EOMONTH(BE$8,0))/SUMIFS(62:62,$8:$8,"&gt;="&amp;DATE(YEAR(BE$8)-1,1,1),$8:$8,"&lt;="&amp;EOMONTH(BE$8,-12))-1</f>
        <v/>
      </c>
      <c r="BF65" s="1318">
        <f>SUMIFS(62:62,$8:$8,"&gt;="&amp;DATE(YEAR(BF$8),1,1),$8:$8,"&lt;="&amp;EOMONTH(BF$8,0))/SUMIFS(62:62,$8:$8,"&gt;="&amp;DATE(YEAR(BF$8)-1,1,1),$8:$8,"&lt;="&amp;EOMONTH(BF$8,-12))-1</f>
        <v/>
      </c>
      <c r="BG65" s="1318">
        <f>SUMIFS(62:62,$8:$8,"&gt;="&amp;DATE(YEAR(BG$8),1,1),$8:$8,"&lt;="&amp;EOMONTH(BG$8,0))/SUMIFS(62:62,$8:$8,"&gt;="&amp;DATE(YEAR(BG$8)-1,1,1),$8:$8,"&lt;="&amp;EOMONTH(BG$8,-12))-1</f>
        <v/>
      </c>
      <c r="BH65" s="1318">
        <f>SUMIFS(62:62,$8:$8,"&gt;="&amp;DATE(YEAR(BH$8),1,1),$8:$8,"&lt;="&amp;EOMONTH(BH$8,0))/SUMIFS(62:62,$8:$8,"&gt;="&amp;DATE(YEAR(BH$8)-1,1,1),$8:$8,"&lt;="&amp;EOMONTH(BH$8,-12))-1</f>
        <v/>
      </c>
      <c r="BI65" s="1318">
        <f>SUMIFS(62:62,$8:$8,"&gt;="&amp;DATE(YEAR(BI$8),1,1),$8:$8,"&lt;="&amp;EOMONTH(BI$8,0))/SUMIFS(62:62,$8:$8,"&gt;="&amp;DATE(YEAR(BI$8)-1,1,1),$8:$8,"&lt;="&amp;EOMONTH(BI$8,-12))-1</f>
        <v/>
      </c>
      <c r="BJ65" s="1318">
        <f>SUMIFS(62:62,$8:$8,"&gt;="&amp;DATE(YEAR(BJ$8),1,1),$8:$8,"&lt;="&amp;EOMONTH(BJ$8,0))/SUMIFS(62:62,$8:$8,"&gt;="&amp;DATE(YEAR(BJ$8)-1,1,1),$8:$8,"&lt;="&amp;EOMONTH(BJ$8,-12))-1</f>
        <v/>
      </c>
      <c r="BK65" s="1318">
        <f>SUMIFS(62:62,$8:$8,"&gt;="&amp;DATE(YEAR(BK$8),1,1),$8:$8,"&lt;="&amp;EOMONTH(BK$8,0))/SUMIFS(62:62,$8:$8,"&gt;="&amp;DATE(YEAR(BK$8)-1,1,1),$8:$8,"&lt;="&amp;EOMONTH(BK$8,-12))-1</f>
        <v/>
      </c>
      <c r="BL65" s="1318">
        <f>SUMIFS(62:62,$8:$8,"&gt;="&amp;DATE(YEAR(BL$8),1,1),$8:$8,"&lt;="&amp;EOMONTH(BL$8,0))/SUMIFS(62:62,$8:$8,"&gt;="&amp;DATE(YEAR(BL$8)-1,1,1),$8:$8,"&lt;="&amp;EOMONTH(BL$8,-12))-1</f>
        <v/>
      </c>
      <c r="BM65" s="1318">
        <f>SUMIFS(62:62,$8:$8,"&gt;="&amp;DATE(YEAR(BM$8),1,1),$8:$8,"&lt;="&amp;EOMONTH(BM$8,0))/SUMIFS(62:62,$8:$8,"&gt;="&amp;DATE(YEAR(BM$8)-1,1,1),$8:$8,"&lt;="&amp;EOMONTH(BM$8,-12))-1</f>
        <v/>
      </c>
      <c r="BN65" s="1318">
        <f>SUMIFS(62:62,$8:$8,"&gt;="&amp;DATE(YEAR(BN$8),1,1),$8:$8,"&lt;="&amp;EOMONTH(BN$8,0))/SUMIFS(62:62,$8:$8,"&gt;="&amp;DATE(YEAR(BN$8)-1,1,1),$8:$8,"&lt;="&amp;EOMONTH(BN$8,-12))-1</f>
        <v/>
      </c>
      <c r="BO65" s="1318">
        <f>SUMIFS(62:62,$8:$8,"&gt;="&amp;DATE(YEAR(BO$8),1,1),$8:$8,"&lt;="&amp;EOMONTH(BO$8,0))/SUMIFS(62:62,$8:$8,"&gt;="&amp;DATE(YEAR(BO$8)-1,1,1),$8:$8,"&lt;="&amp;EOMONTH(BO$8,-12))-1</f>
        <v/>
      </c>
      <c r="BP65" s="1318">
        <f>SUMIFS(62:62,$8:$8,"&gt;="&amp;DATE(YEAR(BP$8),1,1),$8:$8,"&lt;="&amp;EOMONTH(BP$8,0))/SUMIFS(62:62,$8:$8,"&gt;="&amp;DATE(YEAR(BP$8)-1,1,1),$8:$8,"&lt;="&amp;EOMONTH(BP$8,-12))-1</f>
        <v/>
      </c>
      <c r="BQ65" s="1318">
        <f>SUMIFS(62:62,$8:$8,"&gt;="&amp;DATE(YEAR(BQ$8),1,1),$8:$8,"&lt;="&amp;EOMONTH(BQ$8,0))/SUMIFS(62:62,$8:$8,"&gt;="&amp;DATE(YEAR(BQ$8)-1,1,1),$8:$8,"&lt;="&amp;EOMONTH(BQ$8,-12))-1</f>
        <v/>
      </c>
      <c r="BR65" s="1318">
        <f>SUMIFS(62:62,$8:$8,"&gt;="&amp;DATE(YEAR(BR$8),1,1),$8:$8,"&lt;="&amp;EOMONTH(BR$8,0))/SUMIFS(62:62,$8:$8,"&gt;="&amp;DATE(YEAR(BR$8)-1,1,1),$8:$8,"&lt;="&amp;EOMONTH(BR$8,-12))-1</f>
        <v/>
      </c>
      <c r="BS65" s="1318">
        <f>SUMIFS(62:62,$8:$8,"&gt;="&amp;DATE(YEAR(BS$8),1,1),$8:$8,"&lt;="&amp;EOMONTH(BS$8,0))/SUMIFS(62:62,$8:$8,"&gt;="&amp;DATE(YEAR(BS$8)-1,1,1),$8:$8,"&lt;="&amp;EOMONTH(BS$8,-12))-1</f>
        <v/>
      </c>
      <c r="BT65" s="1318">
        <f>SUMIFS(62:62,$8:$8,"&gt;="&amp;DATE(YEAR(BT$8),1,1),$8:$8,"&lt;="&amp;EOMONTH(BT$8,0))/SUMIFS(62:62,$8:$8,"&gt;="&amp;DATE(YEAR(BT$8)-1,1,1),$8:$8,"&lt;="&amp;EOMONTH(BT$8,-12))-1</f>
        <v/>
      </c>
      <c r="BU65" s="1318">
        <f>SUMIFS(62:62,$8:$8,"&gt;="&amp;DATE(YEAR(BU$8),1,1),$8:$8,"&lt;="&amp;EOMONTH(BU$8,0))/SUMIFS(62:62,$8:$8,"&gt;="&amp;DATE(YEAR(BU$8)-1,1,1),$8:$8,"&lt;="&amp;EOMONTH(BU$8,-12))-1</f>
        <v/>
      </c>
      <c r="BV65" s="1318">
        <f>SUMIFS(62:62,$8:$8,"&gt;="&amp;DATE(YEAR(BV$8),1,1),$8:$8,"&lt;="&amp;EOMONTH(BV$8,0))/SUMIFS(62:62,$8:$8,"&gt;="&amp;DATE(YEAR(BV$8)-1,1,1),$8:$8,"&lt;="&amp;EOMONTH(BV$8,-12))-1</f>
        <v/>
      </c>
      <c r="BW65" s="1318">
        <f>SUMIFS(62:62,$8:$8,"&gt;="&amp;DATE(YEAR(BW$8),1,1),$8:$8,"&lt;="&amp;EOMONTH(BW$8,0))/SUMIFS(62:62,$8:$8,"&gt;="&amp;DATE(YEAR(BW$8)-1,1,1),$8:$8,"&lt;="&amp;EOMONTH(BW$8,-12))-1</f>
        <v/>
      </c>
      <c r="BX65" s="1318">
        <f>SUMIFS(62:62,$8:$8,"&gt;="&amp;DATE(YEAR(BX$8),1,1),$8:$8,"&lt;="&amp;EOMONTH(BX$8,0))/SUMIFS(62:62,$8:$8,"&gt;="&amp;DATE(YEAR(BX$8)-1,1,1),$8:$8,"&lt;="&amp;EOMONTH(BX$8,-12))-1</f>
        <v/>
      </c>
      <c r="BY65" s="1318">
        <f>SUMIFS(62:62,$8:$8,"&gt;="&amp;DATE(YEAR(BY$8),1,1),$8:$8,"&lt;="&amp;EOMONTH(BY$8,0))/SUMIFS(62:62,$8:$8,"&gt;="&amp;DATE(YEAR(BY$8)-1,1,1),$8:$8,"&lt;="&amp;EOMONTH(BY$8,-12))-1</f>
        <v/>
      </c>
      <c r="BZ65" s="1318">
        <f>SUMIFS(62:62,$8:$8,"&gt;="&amp;DATE(YEAR(BZ$8),1,1),$8:$8,"&lt;="&amp;EOMONTH(BZ$8,0))/SUMIFS(62:62,$8:$8,"&gt;="&amp;DATE(YEAR(BZ$8)-1,1,1),$8:$8,"&lt;="&amp;EOMONTH(BZ$8,-12))-1</f>
        <v/>
      </c>
      <c r="CA65" s="1318">
        <f>SUMIFS(62:62,$8:$8,"&gt;="&amp;DATE(YEAR(CA$8),1,1),$8:$8,"&lt;="&amp;EOMONTH(CA$8,0))/SUMIFS(62:62,$8:$8,"&gt;="&amp;DATE(YEAR(CA$8)-1,1,1),$8:$8,"&lt;="&amp;EOMONTH(CA$8,-12))-1</f>
        <v/>
      </c>
      <c r="CB65" s="1318">
        <f>SUMIFS(62:62,$8:$8,"&gt;="&amp;DATE(YEAR(CB$8),1,1),$8:$8,"&lt;="&amp;EOMONTH(CB$8,0))/SUMIFS(62:62,$8:$8,"&gt;="&amp;DATE(YEAR(CB$8)-1,1,1),$8:$8,"&lt;="&amp;EOMONTH(CB$8,-12))-1</f>
        <v/>
      </c>
      <c r="CC65" s="1318">
        <f>SUMIFS(62:62,$8:$8,"&gt;="&amp;DATE(YEAR(CC$8),1,1),$8:$8,"&lt;="&amp;EOMONTH(CC$8,0))/SUMIFS(62:62,$8:$8,"&gt;="&amp;DATE(YEAR(CC$8)-1,1,1),$8:$8,"&lt;="&amp;EOMONTH(CC$8,-12))-1</f>
        <v/>
      </c>
      <c r="CD65" s="1318">
        <f>SUMIFS(62:62,$8:$8,"&gt;="&amp;DATE(YEAR(CD$8),1,1),$8:$8,"&lt;="&amp;EOMONTH(CD$8,0))/SUMIFS(62:62,$8:$8,"&gt;="&amp;DATE(YEAR(CD$8)-1,1,1),$8:$8,"&lt;="&amp;EOMONTH(CD$8,-12))-1</f>
        <v/>
      </c>
      <c r="CE65" s="1318">
        <f>SUMIFS(62:62,$8:$8,"&gt;="&amp;DATE(YEAR(CE$8),1,1),$8:$8,"&lt;="&amp;EOMONTH(CE$8,0))/SUMIFS(62:62,$8:$8,"&gt;="&amp;DATE(YEAR(CE$8)-1,1,1),$8:$8,"&lt;="&amp;EOMONTH(CE$8,-12))-1</f>
        <v/>
      </c>
      <c r="CF65" s="1318">
        <f>SUMIFS(62:62,$8:$8,"&gt;="&amp;DATE(YEAR(CF$8),1,1),$8:$8,"&lt;="&amp;EOMONTH(CF$8,0))/SUMIFS(62:62,$8:$8,"&gt;="&amp;DATE(YEAR(CF$8)-1,1,1),$8:$8,"&lt;="&amp;EOMONTH(CF$8,-12))-1</f>
        <v/>
      </c>
      <c r="CG65" s="1318">
        <f>SUMIFS(62:62,$8:$8,"&gt;="&amp;DATE(YEAR(CG$8),1,1),$8:$8,"&lt;="&amp;EOMONTH(CG$8,0))/SUMIFS(62:62,$8:$8,"&gt;="&amp;DATE(YEAR(CG$8)-1,1,1),$8:$8,"&lt;="&amp;EOMONTH(CG$8,-12))-1</f>
        <v/>
      </c>
      <c r="CH65" s="1318">
        <f>SUMIFS(62:62,$8:$8,"&gt;="&amp;DATE(YEAR(CH$8),1,1),$8:$8,"&lt;="&amp;EOMONTH(CH$8,0))/SUMIFS(62:62,$8:$8,"&gt;="&amp;DATE(YEAR(CH$8)-1,1,1),$8:$8,"&lt;="&amp;EOMONTH(CH$8,-12))-1</f>
        <v/>
      </c>
      <c r="CI65" s="1318">
        <f>SUMIFS(62:62,$8:$8,"&gt;="&amp;DATE(YEAR(CI$8),1,1),$8:$8,"&lt;="&amp;EOMONTH(CI$8,0))/SUMIFS(62:62,$8:$8,"&gt;="&amp;DATE(YEAR(CI$8)-1,1,1),$8:$8,"&lt;="&amp;EOMONTH(CI$8,-12))-1</f>
        <v/>
      </c>
      <c r="CJ65" s="1318">
        <f>SUMIFS(62:62,$8:$8,"&gt;="&amp;DATE(YEAR(CJ$8),1,1),$8:$8,"&lt;="&amp;EOMONTH(CJ$8,0))/SUMIFS(62:62,$8:$8,"&gt;="&amp;DATE(YEAR(CJ$8)-1,1,1),$8:$8,"&lt;="&amp;EOMONTH(CJ$8,-12))-1</f>
        <v/>
      </c>
      <c r="CK65" s="1318">
        <f>SUMIFS(62:62,$8:$8,"&gt;="&amp;DATE(YEAR(CK$8),1,1),$8:$8,"&lt;="&amp;EOMONTH(CK$8,0))/SUMIFS(62:62,$8:$8,"&gt;="&amp;DATE(YEAR(CK$8)-1,1,1),$8:$8,"&lt;="&amp;EOMONTH(CK$8,-12))-1</f>
        <v/>
      </c>
      <c r="CL65" s="1318">
        <f>SUMIFS(62:62,$8:$8,"&gt;="&amp;DATE(YEAR(CL$8),1,1),$8:$8,"&lt;="&amp;EOMONTH(CL$8,0))/SUMIFS(62:62,$8:$8,"&gt;="&amp;DATE(YEAR(CL$8)-1,1,1),$8:$8,"&lt;="&amp;EOMONTH(CL$8,-12))-1</f>
        <v/>
      </c>
      <c r="CM65" s="1318">
        <f>SUMIFS(62:62,$8:$8,"&gt;="&amp;DATE(YEAR(CM$8),1,1),$8:$8,"&lt;="&amp;EOMONTH(CM$8,0))/SUMIFS(62:62,$8:$8,"&gt;="&amp;DATE(YEAR(CM$8)-1,1,1),$8:$8,"&lt;="&amp;EOMONTH(CM$8,-12))-1</f>
        <v/>
      </c>
      <c r="CN65" s="1318">
        <f>SUMIFS(62:62,$8:$8,"&gt;="&amp;DATE(YEAR(CN$8),1,1),$8:$8,"&lt;="&amp;EOMONTH(CN$8,0))/SUMIFS(62:62,$8:$8,"&gt;="&amp;DATE(YEAR(CN$8)-1,1,1),$8:$8,"&lt;="&amp;EOMONTH(CN$8,-12))-1</f>
        <v/>
      </c>
      <c r="CO65" s="1318">
        <f>SUMIFS(62:62,$8:$8,"&gt;="&amp;DATE(YEAR(CO$8),1,1),$8:$8,"&lt;="&amp;EOMONTH(CO$8,0))/SUMIFS(62:62,$8:$8,"&gt;="&amp;DATE(YEAR(CO$8)-1,1,1),$8:$8,"&lt;="&amp;EOMONTH(CO$8,-12))-1</f>
        <v/>
      </c>
      <c r="CP65" s="1318">
        <f>SUMIFS(62:62,$8:$8,"&gt;="&amp;DATE(YEAR(CP$8),1,1),$8:$8,"&lt;="&amp;EOMONTH(CP$8,0))/SUMIFS(62:62,$8:$8,"&gt;="&amp;DATE(YEAR(CP$8)-1,1,1),$8:$8,"&lt;="&amp;EOMONTH(CP$8,-12))-1</f>
        <v/>
      </c>
      <c r="CQ65" s="1318">
        <f>SUMIFS(62:62,$8:$8,"&gt;="&amp;DATE(YEAR(CQ$8),1,1),$8:$8,"&lt;="&amp;EOMONTH(CQ$8,0))/SUMIFS(62:62,$8:$8,"&gt;="&amp;DATE(YEAR(CQ$8)-1,1,1),$8:$8,"&lt;="&amp;EOMONTH(CQ$8,-12))-1</f>
        <v/>
      </c>
      <c r="CR65" s="1318">
        <f>SUMIFS(62:62,$8:$8,"&gt;="&amp;DATE(YEAR(CR$8),1,1),$8:$8,"&lt;="&amp;EOMONTH(CR$8,0))/SUMIFS(62:62,$8:$8,"&gt;="&amp;DATE(YEAR(CR$8)-1,1,1),$8:$8,"&lt;="&amp;EOMONTH(CR$8,-12))-1</f>
        <v/>
      </c>
      <c r="CS65" s="1318">
        <f>SUMIFS(62:62,$8:$8,"&gt;="&amp;DATE(YEAR(CS$8),1,1),$8:$8,"&lt;="&amp;EOMONTH(CS$8,0))/SUMIFS(62:62,$8:$8,"&gt;="&amp;DATE(YEAR(CS$8)-1,1,1),$8:$8,"&lt;="&amp;EOMONTH(CS$8,-12))-1</f>
        <v/>
      </c>
      <c r="CT65" s="1318">
        <f>SUMIFS(62:62,$8:$8,"&gt;="&amp;DATE(YEAR(CT$8),1,1),$8:$8,"&lt;="&amp;EOMONTH(CT$8,0))/SUMIFS(62:62,$8:$8,"&gt;="&amp;DATE(YEAR(CT$8)-1,1,1),$8:$8,"&lt;="&amp;EOMONTH(CT$8,-12))-1</f>
        <v/>
      </c>
      <c r="CU65" s="1318">
        <f>SUMIFS(62:62,$8:$8,"&gt;="&amp;DATE(YEAR(CU$8),1,1),$8:$8,"&lt;="&amp;EOMONTH(CU$8,0))/SUMIFS(62:62,$8:$8,"&gt;="&amp;DATE(YEAR(CU$8)-1,1,1),$8:$8,"&lt;="&amp;EOMONTH(CU$8,-12))-1</f>
        <v/>
      </c>
      <c r="CV65" s="1318">
        <f>SUMIFS(62:62,$8:$8,"&gt;="&amp;DATE(YEAR(CV$8),1,1),$8:$8,"&lt;="&amp;EOMONTH(CV$8,0))/SUMIFS(62:62,$8:$8,"&gt;="&amp;DATE(YEAR(CV$8)-1,1,1),$8:$8,"&lt;="&amp;EOMONTH(CV$8,-12))-1</f>
        <v/>
      </c>
      <c r="CW65" s="1318">
        <f>SUMIFS(62:62,$8:$8,"&gt;="&amp;DATE(YEAR(CW$8),1,1),$8:$8,"&lt;="&amp;EOMONTH(CW$8,0))/SUMIFS(62:62,$8:$8,"&gt;="&amp;DATE(YEAR(CW$8)-1,1,1),$8:$8,"&lt;="&amp;EOMONTH(CW$8,-12))-1</f>
        <v/>
      </c>
      <c r="CX65" s="1318">
        <f>SUMIFS(62:62,$8:$8,"&gt;="&amp;DATE(YEAR(CX$8),1,1),$8:$8,"&lt;="&amp;EOMONTH(CX$8,0))/SUMIFS(62:62,$8:$8,"&gt;="&amp;DATE(YEAR(CX$8)-1,1,1),$8:$8,"&lt;="&amp;EOMONTH(CX$8,-12))-1</f>
        <v/>
      </c>
      <c r="CY65" s="1318">
        <f>SUMIFS(62:62,$8:$8,"&gt;="&amp;DATE(YEAR(CY$8),1,1),$8:$8,"&lt;="&amp;EOMONTH(CY$8,0))/SUMIFS(62:62,$8:$8,"&gt;="&amp;DATE(YEAR(CY$8)-1,1,1),$8:$8,"&lt;="&amp;EOMONTH(CY$8,-12))-1</f>
        <v/>
      </c>
      <c r="CZ65" s="1318">
        <f>SUMIFS(62:62,$8:$8,"&gt;="&amp;DATE(YEAR(CZ$8),1,1),$8:$8,"&lt;="&amp;EOMONTH(CZ$8,0))/SUMIFS(62:62,$8:$8,"&gt;="&amp;DATE(YEAR(CZ$8)-1,1,1),$8:$8,"&lt;="&amp;EOMONTH(CZ$8,-12))-1</f>
        <v/>
      </c>
      <c r="DA65" s="1318">
        <f>SUMIFS(62:62,$8:$8,"&gt;="&amp;DATE(YEAR(DA$8),1,1),$8:$8,"&lt;="&amp;EOMONTH(DA$8,0))/SUMIFS(62:62,$8:$8,"&gt;="&amp;DATE(YEAR(DA$8)-1,1,1),$8:$8,"&lt;="&amp;EOMONTH(DA$8,-12))-1</f>
        <v/>
      </c>
      <c r="DB65" s="1318">
        <f>SUMIFS(62:62,$8:$8,"&gt;="&amp;DATE(YEAR(DB$8),1,1),$8:$8,"&lt;="&amp;EOMONTH(DB$8,0))/SUMIFS(62:62,$8:$8,"&gt;="&amp;DATE(YEAR(DB$8)-1,1,1),$8:$8,"&lt;="&amp;EOMONTH(DB$8,-12))-1</f>
        <v/>
      </c>
      <c r="DC65" s="1318">
        <f>SUMIFS(62:62,$8:$8,"&gt;="&amp;DATE(YEAR(DC$8),1,1),$8:$8,"&lt;="&amp;EOMONTH(DC$8,0))/SUMIFS(62:62,$8:$8,"&gt;="&amp;DATE(YEAR(DC$8)-1,1,1),$8:$8,"&lt;="&amp;EOMONTH(DC$8,-12))-1</f>
        <v/>
      </c>
      <c r="DD65" s="1318">
        <f>SUMIFS(62:62,$8:$8,"&gt;="&amp;DATE(YEAR(DD$8),1,1),$8:$8,"&lt;="&amp;EOMONTH(DD$8,0))/SUMIFS(62:62,$8:$8,"&gt;="&amp;DATE(YEAR(DD$8)-1,1,1),$8:$8,"&lt;="&amp;EOMONTH(DD$8,-12))-1</f>
        <v/>
      </c>
      <c r="DE65" s="1318">
        <f>SUMIFS(62:62,$8:$8,"&gt;="&amp;DATE(YEAR(DE$8),1,1),$8:$8,"&lt;="&amp;EOMONTH(DE$8,0))/SUMIFS(62:62,$8:$8,"&gt;="&amp;DATE(YEAR(DE$8)-1,1,1),$8:$8,"&lt;="&amp;EOMONTH(DE$8,-12))-1</f>
        <v/>
      </c>
      <c r="DF65" s="1318">
        <f>SUMIFS(62:62,$8:$8,"&gt;="&amp;DATE(YEAR(DF$8),1,1),$8:$8,"&lt;="&amp;EOMONTH(DF$8,0))/SUMIFS(62:62,$8:$8,"&gt;="&amp;DATE(YEAR(DF$8)-1,1,1),$8:$8,"&lt;="&amp;EOMONTH(DF$8,-12))-1</f>
        <v/>
      </c>
      <c r="DG65" s="1318">
        <f>SUMIFS(62:62,$8:$8,"&gt;="&amp;DATE(YEAR(DG$8),1,1),$8:$8,"&lt;="&amp;EOMONTH(DG$8,0))/SUMIFS(62:62,$8:$8,"&gt;="&amp;DATE(YEAR(DG$8)-1,1,1),$8:$8,"&lt;="&amp;EOMONTH(DG$8,-12))-1</f>
        <v/>
      </c>
      <c r="DH65" s="1318">
        <f>SUMIFS(62:62,$8:$8,"&gt;="&amp;DATE(YEAR(DH$8),1,1),$8:$8,"&lt;="&amp;EOMONTH(DH$8,0))/SUMIFS(62:62,$8:$8,"&gt;="&amp;DATE(YEAR(DH$8)-1,1,1),$8:$8,"&lt;="&amp;EOMONTH(DH$8,-12))-1</f>
        <v/>
      </c>
      <c r="DI65" s="1318">
        <f>SUMIFS(62:62,$8:$8,"&gt;="&amp;DATE(YEAR(DI$8),1,1),$8:$8,"&lt;="&amp;EOMONTH(DI$8,0))/SUMIFS(62:62,$8:$8,"&gt;="&amp;DATE(YEAR(DI$8)-1,1,1),$8:$8,"&lt;="&amp;EOMONTH(DI$8,-12))-1</f>
        <v/>
      </c>
      <c r="DJ65" s="1318">
        <f>SUMIFS(62:62,$8:$8,"&gt;="&amp;DATE(YEAR(DJ$8),1,1),$8:$8,"&lt;="&amp;EOMONTH(DJ$8,0))/SUMIFS(62:62,$8:$8,"&gt;="&amp;DATE(YEAR(DJ$8)-1,1,1),$8:$8,"&lt;="&amp;EOMONTH(DJ$8,-12))-1</f>
        <v/>
      </c>
      <c r="DK65" s="1318">
        <f>SUMIFS(62:62,$8:$8,"&gt;="&amp;DATE(YEAR(DK$8),1,1),$8:$8,"&lt;="&amp;EOMONTH(DK$8,0))/SUMIFS(62:62,$8:$8,"&gt;="&amp;DATE(YEAR(DK$8)-1,1,1),$8:$8,"&lt;="&amp;EOMONTH(DK$8,-12))-1</f>
        <v/>
      </c>
      <c r="DL65" s="1318">
        <f>SUMIFS(62:62,$8:$8,"&gt;="&amp;DATE(YEAR(DL$8),1,1),$8:$8,"&lt;="&amp;EOMONTH(DL$8,0))/SUMIFS(62:62,$8:$8,"&gt;="&amp;DATE(YEAR(DL$8)-1,1,1),$8:$8,"&lt;="&amp;EOMONTH(DL$8,-12))-1</f>
        <v/>
      </c>
      <c r="DM65" s="1318">
        <f>SUMIFS(62:62,$8:$8,"&gt;="&amp;DATE(YEAR(DM$8),1,1),$8:$8,"&lt;="&amp;EOMONTH(DM$8,0))/SUMIFS(62:62,$8:$8,"&gt;="&amp;DATE(YEAR(DM$8)-1,1,1),$8:$8,"&lt;="&amp;EOMONTH(DM$8,-12))-1</f>
        <v/>
      </c>
      <c r="DN65" s="1318">
        <f>SUMIFS(62:62,$8:$8,"&gt;="&amp;DATE(YEAR(DN$8),1,1),$8:$8,"&lt;="&amp;EOMONTH(DN$8,0))/SUMIFS(62:62,$8:$8,"&gt;="&amp;DATE(YEAR(DN$8)-1,1,1),$8:$8,"&lt;="&amp;EOMONTH(DN$8,-12))-1</f>
        <v/>
      </c>
      <c r="DO65" s="1318">
        <f>SUMIFS(62:62,$8:$8,"&gt;="&amp;DATE(YEAR(DO$8),1,1),$8:$8,"&lt;="&amp;EOMONTH(DO$8,0))/SUMIFS(62:62,$8:$8,"&gt;="&amp;DATE(YEAR(DO$8)-1,1,1),$8:$8,"&lt;="&amp;EOMONTH(DO$8,-12))-1</f>
        <v/>
      </c>
      <c r="DP65" s="1318">
        <f>SUMIFS(62:62,$8:$8,"&gt;="&amp;DATE(YEAR(DP$8),1,1),$8:$8,"&lt;="&amp;EOMONTH(DP$8,0))/SUMIFS(62:62,$8:$8,"&gt;="&amp;DATE(YEAR(DP$8)-1,1,1),$8:$8,"&lt;="&amp;EOMONTH(DP$8,-12))-1</f>
        <v/>
      </c>
      <c r="DQ65" s="1318">
        <f>SUMIFS(62:62,$8:$8,"&gt;="&amp;DATE(YEAR(DQ$8),1,1),$8:$8,"&lt;="&amp;EOMONTH(DQ$8,0))/SUMIFS(62:62,$8:$8,"&gt;="&amp;DATE(YEAR(DQ$8)-1,1,1),$8:$8,"&lt;="&amp;EOMONTH(DQ$8,-12))-1</f>
        <v/>
      </c>
      <c r="DR65" s="1318">
        <f>SUMIFS(62:62,$8:$8,"&gt;="&amp;DATE(YEAR(DR$8),1,1),$8:$8,"&lt;="&amp;EOMONTH(DR$8,0))/SUMIFS(62:62,$8:$8,"&gt;="&amp;DATE(YEAR(DR$8)-1,1,1),$8:$8,"&lt;="&amp;EOMONTH(DR$8,-12))-1</f>
        <v/>
      </c>
      <c r="DS65" s="1318">
        <f>SUMIFS(62:62,$8:$8,"&gt;="&amp;DATE(YEAR(DS$8),1,1),$8:$8,"&lt;="&amp;EOMONTH(DS$8,0))/SUMIFS(62:62,$8:$8,"&gt;="&amp;DATE(YEAR(DS$8)-1,1,1),$8:$8,"&lt;="&amp;EOMONTH(DS$8,-12))-1</f>
        <v/>
      </c>
      <c r="DT65" s="1318">
        <f>SUMIFS(62:62,$8:$8,"&gt;="&amp;DATE(YEAR(DT$8),1,1),$8:$8,"&lt;="&amp;EOMONTH(DT$8,0))/SUMIFS(62:62,$8:$8,"&gt;="&amp;DATE(YEAR(DT$8)-1,1,1),$8:$8,"&lt;="&amp;EOMONTH(DT$8,-12))-1</f>
        <v/>
      </c>
      <c r="DU65" s="1318">
        <f>SUMIFS(62:62,$8:$8,"&gt;="&amp;DATE(YEAR(DU$8),1,1),$8:$8,"&lt;="&amp;EOMONTH(DU$8,0))/SUMIFS(62:62,$8:$8,"&gt;="&amp;DATE(YEAR(DU$8)-1,1,1),$8:$8,"&lt;="&amp;EOMONTH(DU$8,-12))-1</f>
        <v/>
      </c>
      <c r="DV65" s="1318">
        <f>SUMIFS(62:62,$8:$8,"&gt;="&amp;DATE(YEAR(DV$8),1,1),$8:$8,"&lt;="&amp;EOMONTH(DV$8,0))/SUMIFS(62:62,$8:$8,"&gt;="&amp;DATE(YEAR(DV$8)-1,1,1),$8:$8,"&lt;="&amp;EOMONTH(DV$8,-12))-1</f>
        <v/>
      </c>
      <c r="DW65" s="1318">
        <f>SUMIFS(62:62,$8:$8,"&gt;="&amp;DATE(YEAR(DW$8),1,1),$8:$8,"&lt;="&amp;EOMONTH(DW$8,0))/SUMIFS(62:62,$8:$8,"&gt;="&amp;DATE(YEAR(DW$8)-1,1,1),$8:$8,"&lt;="&amp;EOMONTH(DW$8,-12))-1</f>
        <v/>
      </c>
      <c r="DX65" s="1318">
        <f>SUMIFS(62:62,$8:$8,"&gt;="&amp;DATE(YEAR(DX$8),1,1),$8:$8,"&lt;="&amp;EOMONTH(DX$8,0))/SUMIFS(62:62,$8:$8,"&gt;="&amp;DATE(YEAR(DX$8)-1,1,1),$8:$8,"&lt;="&amp;EOMONTH(DX$8,-12))-1</f>
        <v/>
      </c>
      <c r="DY65" s="1318">
        <f>SUMIFS(62:62,$8:$8,"&gt;="&amp;DATE(YEAR(DY$8),1,1),$8:$8,"&lt;="&amp;EOMONTH(DY$8,0))/SUMIFS(62:62,$8:$8,"&gt;="&amp;DATE(YEAR(DY$8)-1,1,1),$8:$8,"&lt;="&amp;EOMONTH(DY$8,-12))-1</f>
        <v/>
      </c>
      <c r="DZ65" s="1318">
        <f>SUMIFS(62:62,$8:$8,"&gt;="&amp;DATE(YEAR(DZ$8),1,1),$8:$8,"&lt;="&amp;EOMONTH(DZ$8,0))/SUMIFS(62:62,$8:$8,"&gt;="&amp;DATE(YEAR(DZ$8)-1,1,1),$8:$8,"&lt;="&amp;EOMONTH(DZ$8,-12))-1</f>
        <v/>
      </c>
      <c r="EA65" s="1318">
        <f>SUMIFS(62:62,$8:$8,"&gt;="&amp;DATE(YEAR(EA$8),1,1),$8:$8,"&lt;="&amp;EOMONTH(EA$8,0))/SUMIFS(62:62,$8:$8,"&gt;="&amp;DATE(YEAR(EA$8)-1,1,1),$8:$8,"&lt;="&amp;EOMONTH(EA$8,-12))-1</f>
        <v/>
      </c>
      <c r="EB65" s="1318">
        <f>SUMIFS(62:62,$8:$8,"&gt;="&amp;DATE(YEAR(EB$8),1,1),$8:$8,"&lt;="&amp;EOMONTH(EB$8,0))/SUMIFS(62:62,$8:$8,"&gt;="&amp;DATE(YEAR(EB$8)-1,1,1),$8:$8,"&lt;="&amp;EOMONTH(EB$8,-12))-1</f>
        <v/>
      </c>
      <c r="EC65" s="1318">
        <f>SUMIFS(62:62,$8:$8,"&gt;="&amp;DATE(YEAR(EC$8),1,1),$8:$8,"&lt;="&amp;EOMONTH(EC$8,0))/SUMIFS(62:62,$8:$8,"&gt;="&amp;DATE(YEAR(EC$8)-1,1,1),$8:$8,"&lt;="&amp;EOMONTH(EC$8,-12))-1</f>
        <v/>
      </c>
      <c r="ED65" s="1318">
        <f>SUMIFS(62:62,$8:$8,"&gt;="&amp;DATE(YEAR(ED$8),1,1),$8:$8,"&lt;="&amp;EOMONTH(ED$8,0))/SUMIFS(62:62,$8:$8,"&gt;="&amp;DATE(YEAR(ED$8)-1,1,1),$8:$8,"&lt;="&amp;EOMONTH(ED$8,-12))-1</f>
        <v/>
      </c>
      <c r="EE65" s="1318">
        <f>SUMIFS(62:62,$8:$8,"&gt;="&amp;DATE(YEAR(EE$8),1,1),$8:$8,"&lt;="&amp;EOMONTH(EE$8,0))/SUMIFS(62:62,$8:$8,"&gt;="&amp;DATE(YEAR(EE$8)-1,1,1),$8:$8,"&lt;="&amp;EOMONTH(EE$8,-12))-1</f>
        <v/>
      </c>
      <c r="EF65" s="1318">
        <f>SUMIFS(62:62,$8:$8,"&gt;="&amp;DATE(YEAR(EF$8),1,1),$8:$8,"&lt;="&amp;EOMONTH(EF$8,0))/SUMIFS(62:62,$8:$8,"&gt;="&amp;DATE(YEAR(EF$8)-1,1,1),$8:$8,"&lt;="&amp;EOMONTH(EF$8,-12))-1</f>
        <v/>
      </c>
      <c r="EG65" s="1318">
        <f>SUMIFS(62:62,$8:$8,"&gt;="&amp;DATE(YEAR(EG$8),1,1),$8:$8,"&lt;="&amp;EOMONTH(EG$8,0))/SUMIFS(62:62,$8:$8,"&gt;="&amp;DATE(YEAR(EG$8)-1,1,1),$8:$8,"&lt;="&amp;EOMONTH(EG$8,-12))-1</f>
        <v/>
      </c>
      <c r="EH65" s="1318">
        <f>SUMIFS(62:62,$8:$8,"&gt;="&amp;DATE(YEAR(EH$8),1,1),$8:$8,"&lt;="&amp;EOMONTH(EH$8,0))/SUMIFS(62:62,$8:$8,"&gt;="&amp;DATE(YEAR(EH$8)-1,1,1),$8:$8,"&lt;="&amp;EOMONTH(EH$8,-12))-1</f>
        <v/>
      </c>
      <c r="EI65" s="1318">
        <f>SUMIFS(62:62,$8:$8,"&gt;="&amp;DATE(YEAR(EI$8),1,1),$8:$8,"&lt;="&amp;EOMONTH(EI$8,0))/SUMIFS(62:62,$8:$8,"&gt;="&amp;DATE(YEAR(EI$8)-1,1,1),$8:$8,"&lt;="&amp;EOMONTH(EI$8,-12))-1</f>
        <v/>
      </c>
      <c r="EJ65" s="1318">
        <f>SUMIFS(62:62,$8:$8,"&gt;="&amp;DATE(YEAR(EJ$8),1,1),$8:$8,"&lt;="&amp;EOMONTH(EJ$8,0))/SUMIFS(62:62,$8:$8,"&gt;="&amp;DATE(YEAR(EJ$8)-1,1,1),$8:$8,"&lt;="&amp;EOMONTH(EJ$8,-12))-1</f>
        <v/>
      </c>
      <c r="EK65" s="1318">
        <f>SUMIFS(62:62,$8:$8,"&gt;="&amp;DATE(YEAR(EK$8),1,1),$8:$8,"&lt;="&amp;EOMONTH(EK$8,0))/SUMIFS(62:62,$8:$8,"&gt;="&amp;DATE(YEAR(EK$8)-1,1,1),$8:$8,"&lt;="&amp;EOMONTH(EK$8,-12))-1</f>
        <v/>
      </c>
      <c r="EL65" s="1318">
        <f>SUMIFS(62:62,$8:$8,"&gt;="&amp;DATE(YEAR(EL$8),1,1),$8:$8,"&lt;="&amp;EOMONTH(EL$8,0))/SUMIFS(62:62,$8:$8,"&gt;="&amp;DATE(YEAR(EL$8)-1,1,1),$8:$8,"&lt;="&amp;EOMONTH(EL$8,-12))-1</f>
        <v/>
      </c>
      <c r="EM65" s="1318">
        <f>SUMIFS(62:62,$8:$8,"&gt;="&amp;DATE(YEAR(EM$8),1,1),$8:$8,"&lt;="&amp;EOMONTH(EM$8,0))/SUMIFS(62:62,$8:$8,"&gt;="&amp;DATE(YEAR(EM$8)-1,1,1),$8:$8,"&lt;="&amp;EOMONTH(EM$8,-12))-1</f>
        <v/>
      </c>
      <c r="EN65" s="1318">
        <f>SUMIFS(62:62,$8:$8,"&gt;="&amp;DATE(YEAR(EN$8),1,1),$8:$8,"&lt;="&amp;EOMONTH(EN$8,0))/SUMIFS(62:62,$8:$8,"&gt;="&amp;DATE(YEAR(EN$8)-1,1,1),$8:$8,"&lt;="&amp;EOMONTH(EN$8,-12))-1</f>
        <v/>
      </c>
      <c r="EO65" s="1318">
        <f>SUMIFS(62:62,$8:$8,"&gt;="&amp;DATE(YEAR(EO$8),1,1),$8:$8,"&lt;="&amp;EOMONTH(EO$8,0))/SUMIFS(62:62,$8:$8,"&gt;="&amp;DATE(YEAR(EO$8)-1,1,1),$8:$8,"&lt;="&amp;EOMONTH(EO$8,-12))-1</f>
        <v/>
      </c>
      <c r="EP65" s="1318">
        <f>SUMIFS(62:62,$8:$8,"&gt;="&amp;DATE(YEAR(EP$8),1,1),$8:$8,"&lt;="&amp;EOMONTH(EP$8,0))/SUMIFS(62:62,$8:$8,"&gt;="&amp;DATE(YEAR(EP$8)-1,1,1),$8:$8,"&lt;="&amp;EOMONTH(EP$8,-12))-1</f>
        <v/>
      </c>
      <c r="EQ65" s="1318">
        <f>SUMIFS(62:62,$8:$8,"&gt;="&amp;DATE(YEAR(EQ$8),1,1),$8:$8,"&lt;="&amp;EOMONTH(EQ$8,0))/SUMIFS(62:62,$8:$8,"&gt;="&amp;DATE(YEAR(EQ$8)-1,1,1),$8:$8,"&lt;="&amp;EOMONTH(EQ$8,-12))-1</f>
        <v/>
      </c>
      <c r="ER65" s="1318">
        <f>SUMIFS(62:62,$8:$8,"&gt;="&amp;DATE(YEAR(ER$8),1,1),$8:$8,"&lt;="&amp;EOMONTH(ER$8,0))/SUMIFS(62:62,$8:$8,"&gt;="&amp;DATE(YEAR(ER$8)-1,1,1),$8:$8,"&lt;="&amp;EOMONTH(ER$8,-12))-1</f>
        <v/>
      </c>
      <c r="ES65" s="1318">
        <f>SUMIFS(62:62,$8:$8,"&gt;="&amp;DATE(YEAR(ES$8),1,1),$8:$8,"&lt;="&amp;EOMONTH(ES$8,0))/SUMIFS(62:62,$8:$8,"&gt;="&amp;DATE(YEAR(ES$8)-1,1,1),$8:$8,"&lt;="&amp;EOMONTH(ES$8,-12))-1</f>
        <v/>
      </c>
      <c r="ET65" s="1318">
        <f>SUMIFS(62:62,$8:$8,"&gt;="&amp;DATE(YEAR(ET$8),1,1),$8:$8,"&lt;="&amp;EOMONTH(ET$8,0))/SUMIFS(62:62,$8:$8,"&gt;="&amp;DATE(YEAR(ET$8)-1,1,1),$8:$8,"&lt;="&amp;EOMONTH(ET$8,-12))-1</f>
        <v/>
      </c>
      <c r="EU65" s="1318">
        <f>SUMIFS(62:62,$8:$8,"&gt;="&amp;DATE(YEAR(EU$8),1,1),$8:$8,"&lt;="&amp;EOMONTH(EU$8,0))/SUMIFS(62:62,$8:$8,"&gt;="&amp;DATE(YEAR(EU$8)-1,1,1),$8:$8,"&lt;="&amp;EOMONTH(EU$8,-12))-1</f>
        <v/>
      </c>
      <c r="EV65" s="1318">
        <f>SUMIFS(62:62,$8:$8,"&gt;="&amp;DATE(YEAR(EV$8),1,1),$8:$8,"&lt;="&amp;EOMONTH(EV$8,0))/SUMIFS(62:62,$8:$8,"&gt;="&amp;DATE(YEAR(EV$8)-1,1,1),$8:$8,"&lt;="&amp;EOMONTH(EV$8,-12))-1</f>
        <v/>
      </c>
      <c r="EW65" s="1318">
        <f>SUMIFS(62:62,$8:$8,"&gt;="&amp;DATE(YEAR(EW$8),1,1),$8:$8,"&lt;="&amp;EOMONTH(EW$8,0))/SUMIFS(62:62,$8:$8,"&gt;="&amp;DATE(YEAR(EW$8)-1,1,1),$8:$8,"&lt;="&amp;EOMONTH(EW$8,-12))-1</f>
        <v/>
      </c>
      <c r="EX65" s="1318">
        <f>SUMIFS(62:62,$8:$8,"&gt;="&amp;DATE(YEAR(EX$8),1,1),$8:$8,"&lt;="&amp;EOMONTH(EX$8,0))/SUMIFS(62:62,$8:$8,"&gt;="&amp;DATE(YEAR(EX$8)-1,1,1),$8:$8,"&lt;="&amp;EOMONTH(EX$8,-12))-1</f>
        <v/>
      </c>
      <c r="EY65" s="1318">
        <f>SUMIFS(62:62,$8:$8,"&gt;="&amp;DATE(YEAR(EY$8),1,1),$8:$8,"&lt;="&amp;EOMONTH(EY$8,0))/SUMIFS(62:62,$8:$8,"&gt;="&amp;DATE(YEAR(EY$8)-1,1,1),$8:$8,"&lt;="&amp;EOMONTH(EY$8,-12))-1</f>
        <v/>
      </c>
      <c r="EZ65" s="1318">
        <f>SUMIFS(62:62,$8:$8,"&gt;="&amp;DATE(YEAR(EZ$8),1,1),$8:$8,"&lt;="&amp;EOMONTH(EZ$8,0))/SUMIFS(62:62,$8:$8,"&gt;="&amp;DATE(YEAR(EZ$8)-1,1,1),$8:$8,"&lt;="&amp;EOMONTH(EZ$8,-12))-1</f>
        <v/>
      </c>
      <c r="FA65" s="1318">
        <f>SUMIFS(62:62,$8:$8,"&gt;="&amp;DATE(YEAR(FA$8),1,1),$8:$8,"&lt;="&amp;EOMONTH(FA$8,0))/SUMIFS(62:62,$8:$8,"&gt;="&amp;DATE(YEAR(FA$8)-1,1,1),$8:$8,"&lt;="&amp;EOMONTH(FA$8,-12))-1</f>
        <v/>
      </c>
      <c r="FB65" s="1318">
        <f>SUMIFS(62:62,$8:$8,"&gt;="&amp;DATE(YEAR(FB$8),1,1),$8:$8,"&lt;="&amp;EOMONTH(FB$8,0))/SUMIFS(62:62,$8:$8,"&gt;="&amp;DATE(YEAR(FB$8)-1,1,1),$8:$8,"&lt;="&amp;EOMONTH(FB$8,-12))-1</f>
        <v/>
      </c>
      <c r="FC65" s="1318">
        <f>SUMIFS(62:62,$8:$8,"&gt;="&amp;DATE(YEAR(FC$8),1,1),$8:$8,"&lt;="&amp;EOMONTH(FC$8,0))/SUMIFS(62:62,$8:$8,"&gt;="&amp;DATE(YEAR(FC$8)-1,1,1),$8:$8,"&lt;="&amp;EOMONTH(FC$8,-12))-1</f>
        <v/>
      </c>
      <c r="FD65" s="1318">
        <f>SUMIFS(62:62,$8:$8,"&gt;="&amp;DATE(YEAR(FD$8),1,1),$8:$8,"&lt;="&amp;EOMONTH(FD$8,0))/SUMIFS(62:62,$8:$8,"&gt;="&amp;DATE(YEAR(FD$8)-1,1,1),$8:$8,"&lt;="&amp;EOMONTH(FD$8,-12))-1</f>
        <v/>
      </c>
      <c r="FE65" s="1318">
        <f>SUMIFS(62:62,$8:$8,"&gt;="&amp;DATE(YEAR(FE$8),1,1),$8:$8,"&lt;="&amp;EOMONTH(FE$8,0))/SUMIFS(62:62,$8:$8,"&gt;="&amp;DATE(YEAR(FE$8)-1,1,1),$8:$8,"&lt;="&amp;EOMONTH(FE$8,-12))-1</f>
        <v/>
      </c>
      <c r="FF65" s="1318">
        <f>SUMIFS(62:62,$8:$8,"&gt;="&amp;DATE(YEAR(FF$8),1,1),$8:$8,"&lt;="&amp;EOMONTH(FF$8,0))/SUMIFS(62:62,$8:$8,"&gt;="&amp;DATE(YEAR(FF$8)-1,1,1),$8:$8,"&lt;="&amp;EOMONTH(FF$8,-12))-1</f>
        <v/>
      </c>
      <c r="FG65" s="1318">
        <f>SUMIFS(62:62,$8:$8,"&gt;="&amp;DATE(YEAR(FG$8),1,1),$8:$8,"&lt;="&amp;EOMONTH(FG$8,0))/SUMIFS(62:62,$8:$8,"&gt;="&amp;DATE(YEAR(FG$8)-1,1,1),$8:$8,"&lt;="&amp;EOMONTH(FG$8,-12))-1</f>
        <v/>
      </c>
      <c r="FH65" s="1318">
        <f>SUMIFS(62:62,$8:$8,"&gt;="&amp;DATE(YEAR(FH$8),1,1),$8:$8,"&lt;="&amp;EOMONTH(FH$8,0))/SUMIFS(62:62,$8:$8,"&gt;="&amp;DATE(YEAR(FH$8)-1,1,1),$8:$8,"&lt;="&amp;EOMONTH(FH$8,-12))-1</f>
        <v/>
      </c>
      <c r="FI65" s="1318">
        <f>SUMIFS(62:62,$8:$8,"&gt;="&amp;DATE(YEAR(FI$8),1,1),$8:$8,"&lt;="&amp;EOMONTH(FI$8,0))/SUMIFS(62:62,$8:$8,"&gt;="&amp;DATE(YEAR(FI$8)-1,1,1),$8:$8,"&lt;="&amp;EOMONTH(FI$8,-12))-1</f>
        <v/>
      </c>
      <c r="FJ65" s="1318">
        <f>SUMIFS(62:62,$8:$8,"&gt;="&amp;DATE(YEAR(FJ$8),1,1),$8:$8,"&lt;="&amp;EOMONTH(FJ$8,0))/SUMIFS(62:62,$8:$8,"&gt;="&amp;DATE(YEAR(FJ$8)-1,1,1),$8:$8,"&lt;="&amp;EOMONTH(FJ$8,-12))-1</f>
        <v/>
      </c>
      <c r="FK65" s="1318">
        <f>SUMIFS(62:62,$8:$8,"&gt;="&amp;DATE(YEAR(FK$8),1,1),$8:$8,"&lt;="&amp;EOMONTH(FK$8,0))/SUMIFS(62:62,$8:$8,"&gt;="&amp;DATE(YEAR(FK$8)-1,1,1),$8:$8,"&lt;="&amp;EOMONTH(FK$8,-12))-1</f>
        <v/>
      </c>
      <c r="FL65" s="1318">
        <f>SUMIFS(62:62,$8:$8,"&gt;="&amp;DATE(YEAR(FL$8),1,1),$8:$8,"&lt;="&amp;EOMONTH(FL$8,0))/SUMIFS(62:62,$8:$8,"&gt;="&amp;DATE(YEAR(FL$8)-1,1,1),$8:$8,"&lt;="&amp;EOMONTH(FL$8,-12))-1</f>
        <v/>
      </c>
      <c r="FM65" s="1318">
        <f>SUMIFS(62:62,$8:$8,"&gt;="&amp;DATE(YEAR(FM$8),1,1),$8:$8,"&lt;="&amp;EOMONTH(FM$8,0))/SUMIFS(62:62,$8:$8,"&gt;="&amp;DATE(YEAR(FM$8)-1,1,1),$8:$8,"&lt;="&amp;EOMONTH(FM$8,-12))-1</f>
        <v/>
      </c>
      <c r="FN65" s="1318">
        <f>SUMIFS(62:62,$8:$8,"&gt;="&amp;DATE(YEAR(FN$8),1,1),$8:$8,"&lt;="&amp;EOMONTH(FN$8,0))/SUMIFS(62:62,$8:$8,"&gt;="&amp;DATE(YEAR(FN$8)-1,1,1),$8:$8,"&lt;="&amp;EOMONTH(FN$8,-12))-1</f>
        <v/>
      </c>
      <c r="FO65" s="1318">
        <f>SUMIFS(62:62,$8:$8,"&gt;="&amp;DATE(YEAR(FO$8),1,1),$8:$8,"&lt;="&amp;EOMONTH(FO$8,0))/SUMIFS(62:62,$8:$8,"&gt;="&amp;DATE(YEAR(FO$8)-1,1,1),$8:$8,"&lt;="&amp;EOMONTH(FO$8,-12))-1</f>
        <v/>
      </c>
      <c r="FP65" s="1318">
        <f>SUMIFS(62:62,$8:$8,"&gt;="&amp;DATE(YEAR(FP$8),1,1),$8:$8,"&lt;="&amp;EOMONTH(FP$8,0))/SUMIFS(62:62,$8:$8,"&gt;="&amp;DATE(YEAR(FP$8)-1,1,1),$8:$8,"&lt;="&amp;EOMONTH(FP$8,-12))-1</f>
        <v/>
      </c>
      <c r="FQ65" s="1318">
        <f>SUMIFS(62:62,$8:$8,"&gt;="&amp;DATE(YEAR(FQ$8),1,1),$8:$8,"&lt;="&amp;EOMONTH(FQ$8,0))/SUMIFS(62:62,$8:$8,"&gt;="&amp;DATE(YEAR(FQ$8)-1,1,1),$8:$8,"&lt;="&amp;EOMONTH(FQ$8,-12))-1</f>
        <v/>
      </c>
      <c r="FR65" s="1318">
        <f>SUMIFS(62:62,$8:$8,"&gt;="&amp;DATE(YEAR(FR$8),1,1),$8:$8,"&lt;="&amp;EOMONTH(FR$8,0))/SUMIFS(62:62,$8:$8,"&gt;="&amp;DATE(YEAR(FR$8)-1,1,1),$8:$8,"&lt;="&amp;EOMONTH(FR$8,-12))-1</f>
        <v/>
      </c>
      <c r="FS65" s="1318">
        <f>SUMIFS(62:62,$8:$8,"&gt;="&amp;DATE(YEAR(FS$8),1,1),$8:$8,"&lt;="&amp;EOMONTH(FS$8,0))/SUMIFS(62:62,$8:$8,"&gt;="&amp;DATE(YEAR(FS$8)-1,1,1),$8:$8,"&lt;="&amp;EOMONTH(FS$8,-12))-1</f>
        <v/>
      </c>
      <c r="FT65" s="1318">
        <f>SUMIFS(62:62,$8:$8,"&gt;="&amp;DATE(YEAR(FT$8),1,1),$8:$8,"&lt;="&amp;EOMONTH(FT$8,0))/SUMIFS(62:62,$8:$8,"&gt;="&amp;DATE(YEAR(FT$8)-1,1,1),$8:$8,"&lt;="&amp;EOMONTH(FT$8,-12))-1</f>
        <v/>
      </c>
      <c r="FU65" s="1318">
        <f>SUMIFS(62:62,$8:$8,"&gt;="&amp;DATE(YEAR(FU$8),1,1),$8:$8,"&lt;="&amp;EOMONTH(FU$8,0))/SUMIFS(62:62,$8:$8,"&gt;="&amp;DATE(YEAR(FU$8)-1,1,1),$8:$8,"&lt;="&amp;EOMONTH(FU$8,-12))-1</f>
        <v/>
      </c>
      <c r="FV65" s="1318">
        <f>SUMIFS(62:62,$8:$8,"&gt;="&amp;DATE(YEAR(FV$8),1,1),$8:$8,"&lt;="&amp;EOMONTH(FV$8,0))/SUMIFS(62:62,$8:$8,"&gt;="&amp;DATE(YEAR(FV$8)-1,1,1),$8:$8,"&lt;="&amp;EOMONTH(FV$8,-12))-1</f>
        <v/>
      </c>
      <c r="FW65" s="1318">
        <f>SUMIFS(62:62,$8:$8,"&gt;="&amp;DATE(YEAR(FW$8),1,1),$8:$8,"&lt;="&amp;EOMONTH(FW$8,0))/SUMIFS(62:62,$8:$8,"&gt;="&amp;DATE(YEAR(FW$8)-1,1,1),$8:$8,"&lt;="&amp;EOMONTH(FW$8,-12))-1</f>
        <v/>
      </c>
      <c r="FX65" s="1318">
        <f>SUMIFS(62:62,$8:$8,"&gt;="&amp;DATE(YEAR(FX$8),1,1),$8:$8,"&lt;="&amp;EOMONTH(FX$8,0))/SUMIFS(62:62,$8:$8,"&gt;="&amp;DATE(YEAR(FX$8)-1,1,1),$8:$8,"&lt;="&amp;EOMONTH(FX$8,-12))-1</f>
        <v/>
      </c>
      <c r="FY65" s="1318">
        <f>SUMIFS(62:62,$8:$8,"&gt;="&amp;DATE(YEAR(FY$8),1,1),$8:$8,"&lt;="&amp;EOMONTH(FY$8,0))/SUMIFS(62:62,$8:$8,"&gt;="&amp;DATE(YEAR(FY$8)-1,1,1),$8:$8,"&lt;="&amp;EOMONTH(FY$8,-12))-1</f>
        <v/>
      </c>
      <c r="FZ65" s="1318">
        <f>SUMIFS(62:62,$8:$8,"&gt;="&amp;DATE(YEAR(FZ$8),1,1),$8:$8,"&lt;="&amp;EOMONTH(FZ$8,0))/SUMIFS(62:62,$8:$8,"&gt;="&amp;DATE(YEAR(FZ$8)-1,1,1),$8:$8,"&lt;="&amp;EOMONTH(FZ$8,-12))-1</f>
        <v/>
      </c>
      <c r="GA65" s="1318">
        <f>SUMIFS(62:62,$8:$8,"&gt;="&amp;DATE(YEAR(GA$8),1,1),$8:$8,"&lt;="&amp;EOMONTH(GA$8,0))/SUMIFS(62:62,$8:$8,"&gt;="&amp;DATE(YEAR(GA$8)-1,1,1),$8:$8,"&lt;="&amp;EOMONTH(GA$8,-12))-1</f>
        <v/>
      </c>
      <c r="GB65" s="1318">
        <f>SUMIFS(62:62,$8:$8,"&gt;="&amp;DATE(YEAR(GB$8),1,1),$8:$8,"&lt;="&amp;EOMONTH(GB$8,0))/SUMIFS(62:62,$8:$8,"&gt;="&amp;DATE(YEAR(GB$8)-1,1,1),$8:$8,"&lt;="&amp;EOMONTH(GB$8,-12))-1</f>
        <v/>
      </c>
      <c r="GC65" s="1318">
        <f>SUMIFS(62:62,$8:$8,"&gt;="&amp;DATE(YEAR(GC$8),1,1),$8:$8,"&lt;="&amp;EOMONTH(GC$8,0))/SUMIFS(62:62,$8:$8,"&gt;="&amp;DATE(YEAR(GC$8)-1,1,1),$8:$8,"&lt;="&amp;EOMONTH(GC$8,-12))-1</f>
        <v/>
      </c>
      <c r="GD65" s="1318">
        <f>SUMIFS(62:62,$8:$8,"&gt;="&amp;DATE(YEAR(GD$8),1,1),$8:$8,"&lt;="&amp;EOMONTH(GD$8,0))/SUMIFS(62:62,$8:$8,"&gt;="&amp;DATE(YEAR(GD$8)-1,1,1),$8:$8,"&lt;="&amp;EOMONTH(GD$8,-12))-1</f>
        <v/>
      </c>
      <c r="GE65" s="1318">
        <f>SUMIFS(62:62,$8:$8,"&gt;="&amp;DATE(YEAR(GE$8),1,1),$8:$8,"&lt;="&amp;EOMONTH(GE$8,0))/SUMIFS(62:62,$8:$8,"&gt;="&amp;DATE(YEAR(GE$8)-1,1,1),$8:$8,"&lt;="&amp;EOMONTH(GE$8,-12))-1</f>
        <v/>
      </c>
      <c r="GF65" s="1318">
        <f>SUMIFS(62:62,$8:$8,"&gt;="&amp;DATE(YEAR(GF$8),1,1),$8:$8,"&lt;="&amp;EOMONTH(GF$8,0))/SUMIFS(62:62,$8:$8,"&gt;="&amp;DATE(YEAR(GF$8)-1,1,1),$8:$8,"&lt;="&amp;EOMONTH(GF$8,-12))-1</f>
        <v/>
      </c>
      <c r="GG65" s="1318">
        <f>SUMIFS(62:62,$8:$8,"&gt;="&amp;DATE(YEAR(GG$8),1,1),$8:$8,"&lt;="&amp;EOMONTH(GG$8,0))/SUMIFS(62:62,$8:$8,"&gt;="&amp;DATE(YEAR(GG$8)-1,1,1),$8:$8,"&lt;="&amp;EOMONTH(GG$8,-12))-1</f>
        <v/>
      </c>
      <c r="GH65" s="1318">
        <f>SUMIFS(62:62,$8:$8,"&gt;="&amp;DATE(YEAR(GH$8),1,1),$8:$8,"&lt;="&amp;EOMONTH(GH$8,0))/SUMIFS(62:62,$8:$8,"&gt;="&amp;DATE(YEAR(GH$8)-1,1,1),$8:$8,"&lt;="&amp;EOMONTH(GH$8,-12))-1</f>
        <v/>
      </c>
      <c r="GI65" s="1318">
        <f>SUMIFS(62:62,$8:$8,"&gt;="&amp;DATE(YEAR(GI$8),1,1),$8:$8,"&lt;="&amp;EOMONTH(GI$8,0))/SUMIFS(62:62,$8:$8,"&gt;="&amp;DATE(YEAR(GI$8)-1,1,1),$8:$8,"&lt;="&amp;EOMONTH(GI$8,-12))-1</f>
        <v/>
      </c>
      <c r="GJ65" s="1318">
        <f>SUMIFS(62:62,$8:$8,"&gt;="&amp;DATE(YEAR(GJ$8),1,1),$8:$8,"&lt;="&amp;EOMONTH(GJ$8,0))/SUMIFS(62:62,$8:$8,"&gt;="&amp;DATE(YEAR(GJ$8)-1,1,1),$8:$8,"&lt;="&amp;EOMONTH(GJ$8,-12))-1</f>
        <v/>
      </c>
      <c r="GK65" s="1318">
        <f>SUMIFS(62:62,$8:$8,"&gt;="&amp;DATE(YEAR(GK$8),1,1),$8:$8,"&lt;="&amp;EOMONTH(GK$8,0))/SUMIFS(62:62,$8:$8,"&gt;="&amp;DATE(YEAR(GK$8)-1,1,1),$8:$8,"&lt;="&amp;EOMONTH(GK$8,-12))-1</f>
        <v/>
      </c>
      <c r="GL65" s="1318">
        <f>SUMIFS(62:62,$8:$8,"&gt;="&amp;DATE(YEAR(GL$8),1,1),$8:$8,"&lt;="&amp;EOMONTH(GL$8,0))/SUMIFS(62:62,$8:$8,"&gt;="&amp;DATE(YEAR(GL$8)-1,1,1),$8:$8,"&lt;="&amp;EOMONTH(GL$8,-12))-1</f>
        <v/>
      </c>
      <c r="GM65" s="1318">
        <f>SUMIFS(62:62,$8:$8,"&gt;="&amp;DATE(YEAR(GM$8),1,1),$8:$8,"&lt;="&amp;EOMONTH(GM$8,0))/SUMIFS(62:62,$8:$8,"&gt;="&amp;DATE(YEAR(GM$8)-1,1,1),$8:$8,"&lt;="&amp;EOMONTH(GM$8,-12))-1</f>
        <v/>
      </c>
      <c r="GN65" s="1318">
        <f>SUMIFS(62:62,$8:$8,"&gt;="&amp;DATE(YEAR(GN$8),1,1),$8:$8,"&lt;="&amp;EOMONTH(GN$8,0))/SUMIFS(62:62,$8:$8,"&gt;="&amp;DATE(YEAR(GN$8)-1,1,1),$8:$8,"&lt;="&amp;EOMONTH(GN$8,-12))-1</f>
        <v/>
      </c>
      <c r="GO65" s="1318">
        <f>SUMIFS(62:62,$8:$8,"&gt;="&amp;DATE(YEAR(GO$8),1,1),$8:$8,"&lt;="&amp;EOMONTH(GO$8,0))/SUMIFS(62:62,$8:$8,"&gt;="&amp;DATE(YEAR(GO$8)-1,1,1),$8:$8,"&lt;="&amp;EOMONTH(GO$8,-12))-1</f>
        <v/>
      </c>
      <c r="GP65" s="1318">
        <f>SUMIFS(62:62,$8:$8,"&gt;="&amp;DATE(YEAR(GP$8),1,1),$8:$8,"&lt;="&amp;EOMONTH(GP$8,0))/SUMIFS(62:62,$8:$8,"&gt;="&amp;DATE(YEAR(GP$8)-1,1,1),$8:$8,"&lt;="&amp;EOMONTH(GP$8,-12))-1</f>
        <v/>
      </c>
      <c r="GQ65" s="1318">
        <f>SUMIFS(62:62,$8:$8,"&gt;="&amp;DATE(YEAR(GQ$8),1,1),$8:$8,"&lt;="&amp;EOMONTH(GQ$8,0))/SUMIFS(62:62,$8:$8,"&gt;="&amp;DATE(YEAR(GQ$8)-1,1,1),$8:$8,"&lt;="&amp;EOMONTH(GQ$8,-12))-1</f>
        <v/>
      </c>
      <c r="GR65" s="1318">
        <f>SUMIFS(62:62,$8:$8,"&gt;="&amp;DATE(YEAR(GR$8),1,1),$8:$8,"&lt;="&amp;EOMONTH(GR$8,0))/SUMIFS(62:62,$8:$8,"&gt;="&amp;DATE(YEAR(GR$8)-1,1,1),$8:$8,"&lt;="&amp;EOMONTH(GR$8,-12))-1</f>
        <v/>
      </c>
      <c r="GS65" s="1318">
        <f>SUMIFS(62:62,$8:$8,"&gt;="&amp;DATE(YEAR(GS$8),1,1),$8:$8,"&lt;="&amp;EOMONTH(GS$8,0))/SUMIFS(62:62,$8:$8,"&gt;="&amp;DATE(YEAR(GS$8)-1,1,1),$8:$8,"&lt;="&amp;EOMONTH(GS$8,-12))-1</f>
        <v/>
      </c>
      <c r="GT65" s="1318">
        <f>SUMIFS(62:62,$8:$8,"&gt;="&amp;DATE(YEAR(GT$8),1,1),$8:$8,"&lt;="&amp;EOMONTH(GT$8,0))/SUMIFS(62:62,$8:$8,"&gt;="&amp;DATE(YEAR(GT$8)-1,1,1),$8:$8,"&lt;="&amp;EOMONTH(GT$8,-12))-1</f>
        <v/>
      </c>
      <c r="GU65" s="1318">
        <f>SUMIFS(62:62,$8:$8,"&gt;="&amp;DATE(YEAR(GU$8),1,1),$8:$8,"&lt;="&amp;EOMONTH(GU$8,0))/SUMIFS(62:62,$8:$8,"&gt;="&amp;DATE(YEAR(GU$8)-1,1,1),$8:$8,"&lt;="&amp;EOMONTH(GU$8,-12))-1</f>
        <v/>
      </c>
      <c r="GV65" s="1318">
        <f>SUMIFS(62:62,$8:$8,"&gt;="&amp;DATE(YEAR(GV$8),1,1),$8:$8,"&lt;="&amp;EOMONTH(GV$8,0))/SUMIFS(62:62,$8:$8,"&gt;="&amp;DATE(YEAR(GV$8)-1,1,1),$8:$8,"&lt;="&amp;EOMONTH(GV$8,-12))-1</f>
        <v/>
      </c>
      <c r="GW65" s="1318">
        <f>SUMIFS(62:62,$8:$8,"&gt;="&amp;DATE(YEAR(GW$8),1,1),$8:$8,"&lt;="&amp;EOMONTH(GW$8,0))/SUMIFS(62:62,$8:$8,"&gt;="&amp;DATE(YEAR(GW$8)-1,1,1),$8:$8,"&lt;="&amp;EOMONTH(GW$8,-12))-1</f>
        <v/>
      </c>
      <c r="GX65" s="1318">
        <f>SUMIFS(62:62,$8:$8,"&gt;="&amp;DATE(YEAR(GX$8),1,1),$8:$8,"&lt;="&amp;EOMONTH(GX$8,0))/SUMIFS(62:62,$8:$8,"&gt;="&amp;DATE(YEAR(GX$8)-1,1,1),$8:$8,"&lt;="&amp;EOMONTH(GX$8,-12))-1</f>
        <v/>
      </c>
      <c r="GY65" s="1318">
        <f>SUMIFS(62:62,$8:$8,"&gt;="&amp;DATE(YEAR(GY$8),1,1),$8:$8,"&lt;="&amp;EOMONTH(GY$8,0))/SUMIFS(62:62,$8:$8,"&gt;="&amp;DATE(YEAR(GY$8)-1,1,1),$8:$8,"&lt;="&amp;EOMONTH(GY$8,-12))-1</f>
        <v/>
      </c>
      <c r="GZ65" s="1318">
        <f>SUMIFS(62:62,$8:$8,"&gt;="&amp;DATE(YEAR(GZ$8),1,1),$8:$8,"&lt;="&amp;EOMONTH(GZ$8,0))/SUMIFS(62:62,$8:$8,"&gt;="&amp;DATE(YEAR(GZ$8)-1,1,1),$8:$8,"&lt;="&amp;EOMONTH(GZ$8,-12))-1</f>
        <v/>
      </c>
      <c r="HA65" s="1318">
        <f>SUMIFS(62:62,$8:$8,"&gt;="&amp;DATE(YEAR(HA$8),1,1),$8:$8,"&lt;="&amp;EOMONTH(HA$8,0))/SUMIFS(62:62,$8:$8,"&gt;="&amp;DATE(YEAR(HA$8)-1,1,1),$8:$8,"&lt;="&amp;EOMONTH(HA$8,-12))-1</f>
        <v/>
      </c>
      <c r="HB65" s="1318">
        <f>SUMIFS(62:62,$8:$8,"&gt;="&amp;DATE(YEAR(HB$8),1,1),$8:$8,"&lt;="&amp;EOMONTH(HB$8,0))/SUMIFS(62:62,$8:$8,"&gt;="&amp;DATE(YEAR(HB$8)-1,1,1),$8:$8,"&lt;="&amp;EOMONTH(HB$8,-12))-1</f>
        <v/>
      </c>
      <c r="HC65" s="1318">
        <f>SUMIFS(62:62,$8:$8,"&gt;="&amp;DATE(YEAR(HC$8),1,1),$8:$8,"&lt;="&amp;EOMONTH(HC$8,0))/SUMIFS(62:62,$8:$8,"&gt;="&amp;DATE(YEAR(HC$8)-1,1,1),$8:$8,"&lt;="&amp;EOMONTH(HC$8,-12))-1</f>
        <v/>
      </c>
      <c r="HD65" s="1318">
        <f>SUMIFS(62:62,$8:$8,"&gt;="&amp;DATE(YEAR(HD$8),1,1),$8:$8,"&lt;="&amp;EOMONTH(HD$8,0))/SUMIFS(62:62,$8:$8,"&gt;="&amp;DATE(YEAR(HD$8)-1,1,1),$8:$8,"&lt;="&amp;EOMONTH(HD$8,-12))-1</f>
        <v/>
      </c>
      <c r="HE65" s="1318">
        <f>SUMIFS(62:62,$8:$8,"&gt;="&amp;DATE(YEAR(HE$8),1,1),$8:$8,"&lt;="&amp;EOMONTH(HE$8,0))/SUMIFS(62:62,$8:$8,"&gt;="&amp;DATE(YEAR(HE$8)-1,1,1),$8:$8,"&lt;="&amp;EOMONTH(HE$8,-12))-1</f>
        <v/>
      </c>
      <c r="HF65" s="1318">
        <f>SUMIFS(62:62,$8:$8,"&gt;="&amp;DATE(YEAR(HF$8),1,1),$8:$8,"&lt;="&amp;EOMONTH(HF$8,0))/SUMIFS(62:62,$8:$8,"&gt;="&amp;DATE(YEAR(HF$8)-1,1,1),$8:$8,"&lt;="&amp;EOMONTH(HF$8,-12))-1</f>
        <v/>
      </c>
      <c r="HG65" s="1318">
        <f>SUMIFS(62:62,$8:$8,"&gt;="&amp;DATE(YEAR(HG$8),1,1),$8:$8,"&lt;="&amp;EOMONTH(HG$8,0))/SUMIFS(62:62,$8:$8,"&gt;="&amp;DATE(YEAR(HG$8)-1,1,1),$8:$8,"&lt;="&amp;EOMONTH(HG$8,-12))-1</f>
        <v/>
      </c>
      <c r="HH65" s="1318">
        <f>SUMIFS(62:62,$8:$8,"&gt;="&amp;DATE(YEAR(HH$8),1,1),$8:$8,"&lt;="&amp;EOMONTH(HH$8,0))/SUMIFS(62:62,$8:$8,"&gt;="&amp;DATE(YEAR(HH$8)-1,1,1),$8:$8,"&lt;="&amp;EOMONTH(HH$8,-12))-1</f>
        <v/>
      </c>
      <c r="HI65" s="1318">
        <f>SUMIFS(62:62,$8:$8,"&gt;="&amp;DATE(YEAR(HI$8),1,1),$8:$8,"&lt;="&amp;EOMONTH(HI$8,0))/SUMIFS(62:62,$8:$8,"&gt;="&amp;DATE(YEAR(HI$8)-1,1,1),$8:$8,"&lt;="&amp;EOMONTH(HI$8,-12))-1</f>
        <v/>
      </c>
      <c r="HJ65" s="1318">
        <f>SUMIFS(62:62,$8:$8,"&gt;="&amp;DATE(YEAR(HJ$8),1,1),$8:$8,"&lt;="&amp;EOMONTH(HJ$8,0))/SUMIFS(62:62,$8:$8,"&gt;="&amp;DATE(YEAR(HJ$8)-1,1,1),$8:$8,"&lt;="&amp;EOMONTH(HJ$8,-12))-1</f>
        <v/>
      </c>
      <c r="HK65" s="1318">
        <f>SUMIFS(62:62,$8:$8,"&gt;="&amp;DATE(YEAR(HK$8),1,1),$8:$8,"&lt;="&amp;EOMONTH(HK$8,0))/SUMIFS(62:62,$8:$8,"&gt;="&amp;DATE(YEAR(HK$8)-1,1,1),$8:$8,"&lt;="&amp;EOMONTH(HK$8,-12))-1</f>
        <v/>
      </c>
      <c r="HL65" s="1318">
        <f>SUMIFS(62:62,$8:$8,"&gt;="&amp;DATE(YEAR(HL$8),1,1),$8:$8,"&lt;="&amp;EOMONTH(HL$8,0))/SUMIFS(62:62,$8:$8,"&gt;="&amp;DATE(YEAR(HL$8)-1,1,1),$8:$8,"&lt;="&amp;EOMONTH(HL$8,-12))-1</f>
        <v/>
      </c>
      <c r="HM65" s="1318">
        <f>SUMIFS(62:62,$8:$8,"&gt;="&amp;DATE(YEAR(HM$8),1,1),$8:$8,"&lt;="&amp;EOMONTH(HM$8,0))/SUMIFS(62:62,$8:$8,"&gt;="&amp;DATE(YEAR(HM$8)-1,1,1),$8:$8,"&lt;="&amp;EOMONTH(HM$8,-12))-1</f>
        <v/>
      </c>
      <c r="HN65" s="1318">
        <f>SUMIFS(62:62,$8:$8,"&gt;="&amp;DATE(YEAR(HN$8),1,1),$8:$8,"&lt;="&amp;EOMONTH(HN$8,0))/SUMIFS(62:62,$8:$8,"&gt;="&amp;DATE(YEAR(HN$8)-1,1,1),$8:$8,"&lt;="&amp;EOMONTH(HN$8,-12))-1</f>
        <v/>
      </c>
      <c r="HO65" s="1318">
        <f>SUMIFS(62:62,$8:$8,"&gt;="&amp;DATE(YEAR(HO$8),1,1),$8:$8,"&lt;="&amp;EOMONTH(HO$8,0))/SUMIFS(62:62,$8:$8,"&gt;="&amp;DATE(YEAR(HO$8)-1,1,1),$8:$8,"&lt;="&amp;EOMONTH(HO$8,-12))-1</f>
        <v/>
      </c>
      <c r="HP65" s="1318">
        <f>SUMIFS(62:62,$8:$8,"&gt;="&amp;DATE(YEAR(HP$8),1,1),$8:$8,"&lt;="&amp;EOMONTH(HP$8,0))/SUMIFS(62:62,$8:$8,"&gt;="&amp;DATE(YEAR(HP$8)-1,1,1),$8:$8,"&lt;="&amp;EOMONTH(HP$8,-12))-1</f>
        <v/>
      </c>
      <c r="HQ65" s="1318">
        <f>SUMIFS(62:62,$8:$8,"&gt;="&amp;DATE(YEAR(HQ$8),1,1),$8:$8,"&lt;="&amp;EOMONTH(HQ$8,0))/SUMIFS(62:62,$8:$8,"&gt;="&amp;DATE(YEAR(HQ$8)-1,1,1),$8:$8,"&lt;="&amp;EOMONTH(HQ$8,-12))-1</f>
        <v/>
      </c>
      <c r="HR65" s="1318">
        <f>SUMIFS(62:62,$8:$8,"&gt;="&amp;DATE(YEAR(HR$8),1,1),$8:$8,"&lt;="&amp;EOMONTH(HR$8,0))/SUMIFS(62:62,$8:$8,"&gt;="&amp;DATE(YEAR(HR$8)-1,1,1),$8:$8,"&lt;="&amp;EOMONTH(HR$8,-12))-1</f>
        <v/>
      </c>
      <c r="HS65" s="1318">
        <f>SUMIFS(62:62,$8:$8,"&gt;="&amp;DATE(YEAR(HS$8),1,1),$8:$8,"&lt;="&amp;EOMONTH(HS$8,0))/SUMIFS(62:62,$8:$8,"&gt;="&amp;DATE(YEAR(HS$8)-1,1,1),$8:$8,"&lt;="&amp;EOMONTH(HS$8,-12))-1</f>
        <v/>
      </c>
      <c r="HT65" s="1318">
        <f>SUMIFS(62:62,$8:$8,"&gt;="&amp;DATE(YEAR(HT$8),1,1),$8:$8,"&lt;="&amp;EOMONTH(HT$8,0))/SUMIFS(62:62,$8:$8,"&gt;="&amp;DATE(YEAR(HT$8)-1,1,1),$8:$8,"&lt;="&amp;EOMONTH(HT$8,-12))-1</f>
        <v/>
      </c>
      <c r="HU65" s="1318">
        <f>SUMIFS(62:62,$8:$8,"&gt;="&amp;DATE(YEAR(HU$8),1,1),$8:$8,"&lt;="&amp;EOMONTH(HU$8,0))/SUMIFS(62:62,$8:$8,"&gt;="&amp;DATE(YEAR(HU$8)-1,1,1),$8:$8,"&lt;="&amp;EOMONTH(HU$8,-12))-1</f>
        <v/>
      </c>
      <c r="HV65" s="1318">
        <f>SUMIFS(62:62,$8:$8,"&gt;="&amp;DATE(YEAR(HV$8),1,1),$8:$8,"&lt;="&amp;EOMONTH(HV$8,0))/SUMIFS(62:62,$8:$8,"&gt;="&amp;DATE(YEAR(HV$8)-1,1,1),$8:$8,"&lt;="&amp;EOMONTH(HV$8,-12))-1</f>
        <v/>
      </c>
      <c r="HW65" s="1318">
        <f>SUMIFS(62:62,$8:$8,"&gt;="&amp;DATE(YEAR(HW$8),1,1),$8:$8,"&lt;="&amp;EOMONTH(HW$8,0))/SUMIFS(62:62,$8:$8,"&gt;="&amp;DATE(YEAR(HW$8)-1,1,1),$8:$8,"&lt;="&amp;EOMONTH(HW$8,-12))-1</f>
        <v/>
      </c>
      <c r="HX65" s="1318">
        <f>SUMIFS(62:62,$8:$8,"&gt;="&amp;DATE(YEAR(HX$8),1,1),$8:$8,"&lt;="&amp;EOMONTH(HX$8,0))/SUMIFS(62:62,$8:$8,"&gt;="&amp;DATE(YEAR(HX$8)-1,1,1),$8:$8,"&lt;="&amp;EOMONTH(HX$8,-12))-1</f>
        <v/>
      </c>
      <c r="HY65" s="1318">
        <f>SUMIFS(62:62,$8:$8,"&gt;="&amp;DATE(YEAR(HY$8),1,1),$8:$8,"&lt;="&amp;EOMONTH(HY$8,0))/SUMIFS(62:62,$8:$8,"&gt;="&amp;DATE(YEAR(HY$8)-1,1,1),$8:$8,"&lt;="&amp;EOMONTH(HY$8,-12))-1</f>
        <v/>
      </c>
      <c r="HZ65" s="1318">
        <f>SUMIFS(62:62,$8:$8,"&gt;="&amp;DATE(YEAR(HZ$8),1,1),$8:$8,"&lt;="&amp;EOMONTH(HZ$8,0))/SUMIFS(62:62,$8:$8,"&gt;="&amp;DATE(YEAR(HZ$8)-1,1,1),$8:$8,"&lt;="&amp;EOMONTH(HZ$8,-12))-1</f>
        <v/>
      </c>
      <c r="IA65" s="1318">
        <f>SUMIFS(62:62,$8:$8,"&gt;="&amp;DATE(YEAR(IA$8),1,1),$8:$8,"&lt;="&amp;EOMONTH(IA$8,0))/SUMIFS(62:62,$8:$8,"&gt;="&amp;DATE(YEAR(IA$8)-1,1,1),$8:$8,"&lt;="&amp;EOMONTH(IA$8,-12))-1</f>
        <v/>
      </c>
      <c r="IB65" s="1318">
        <f>SUMIFS(62:62,$8:$8,"&gt;="&amp;DATE(YEAR(IB$8),1,1),$8:$8,"&lt;="&amp;EOMONTH(IB$8,0))/SUMIFS(62:62,$8:$8,"&gt;="&amp;DATE(YEAR(IB$8)-1,1,1),$8:$8,"&lt;="&amp;EOMONTH(IB$8,-12))-1</f>
        <v/>
      </c>
      <c r="IC65" s="1318">
        <f>SUMIFS(62:62,$8:$8,"&gt;="&amp;DATE(YEAR(IC$8),1,1),$8:$8,"&lt;="&amp;EOMONTH(IC$8,0))/SUMIFS(62:62,$8:$8,"&gt;="&amp;DATE(YEAR(IC$8)-1,1,1),$8:$8,"&lt;="&amp;EOMONTH(IC$8,-12))-1</f>
        <v/>
      </c>
      <c r="ID65" s="1318">
        <f>SUMIFS(62:62,$8:$8,"&gt;="&amp;DATE(YEAR(ID$8),1,1),$8:$8,"&lt;="&amp;EOMONTH(ID$8,0))/SUMIFS(62:62,$8:$8,"&gt;="&amp;DATE(YEAR(ID$8)-1,1,1),$8:$8,"&lt;="&amp;EOMONTH(ID$8,-12))-1</f>
        <v/>
      </c>
      <c r="IE65" s="1318">
        <f>SUMIFS(62:62,$8:$8,"&gt;="&amp;DATE(YEAR(IE$8),1,1),$8:$8,"&lt;="&amp;EOMONTH(IE$8,0))/SUMIFS(62:62,$8:$8,"&gt;="&amp;DATE(YEAR(IE$8)-1,1,1),$8:$8,"&lt;="&amp;EOMONTH(IE$8,-12))-1</f>
        <v/>
      </c>
      <c r="IF65" s="1318">
        <f>SUMIFS(62:62,$8:$8,"&gt;="&amp;DATE(YEAR(IF$8),1,1),$8:$8,"&lt;="&amp;EOMONTH(IF$8,0))/SUMIFS(62:62,$8:$8,"&gt;="&amp;DATE(YEAR(IF$8)-1,1,1),$8:$8,"&lt;="&amp;EOMONTH(IF$8,-12))-1</f>
        <v/>
      </c>
      <c r="IG65" s="1318">
        <f>SUMIFS(62:62,$8:$8,"&gt;="&amp;DATE(YEAR(IG$8),1,1),$8:$8,"&lt;="&amp;EOMONTH(IG$8,0))/SUMIFS(62:62,$8:$8,"&gt;="&amp;DATE(YEAR(IG$8)-1,1,1),$8:$8,"&lt;="&amp;EOMONTH(IG$8,-12))-1</f>
        <v/>
      </c>
      <c r="IH65" s="1318">
        <f>SUMIFS(62:62,$8:$8,"&gt;="&amp;DATE(YEAR(IH$8),1,1),$8:$8,"&lt;="&amp;EOMONTH(IH$8,0))/SUMIFS(62:62,$8:$8,"&gt;="&amp;DATE(YEAR(IH$8)-1,1,1),$8:$8,"&lt;="&amp;EOMONTH(IH$8,-12))-1</f>
        <v/>
      </c>
      <c r="II65" s="1318">
        <f>SUMIFS(62:62,$8:$8,"&gt;="&amp;DATE(YEAR(II$8),1,1),$8:$8,"&lt;="&amp;EOMONTH(II$8,0))/SUMIFS(62:62,$8:$8,"&gt;="&amp;DATE(YEAR(II$8)-1,1,1),$8:$8,"&lt;="&amp;EOMONTH(II$8,-12))-1</f>
        <v/>
      </c>
      <c r="IJ65" s="1318">
        <f>SUMIFS(62:62,$8:$8,"&gt;="&amp;DATE(YEAR(IJ$8),1,1),$8:$8,"&lt;="&amp;EOMONTH(IJ$8,0))/SUMIFS(62:62,$8:$8,"&gt;="&amp;DATE(YEAR(IJ$8)-1,1,1),$8:$8,"&lt;="&amp;EOMONTH(IJ$8,-12))-1</f>
        <v/>
      </c>
      <c r="IK65" s="1318">
        <f>SUMIFS(62:62,$8:$8,"&gt;="&amp;DATE(YEAR(IK$8),1,1),$8:$8,"&lt;="&amp;EOMONTH(IK$8,0))/SUMIFS(62:62,$8:$8,"&gt;="&amp;DATE(YEAR(IK$8)-1,1,1),$8:$8,"&lt;="&amp;EOMONTH(IK$8,-12))-1</f>
        <v/>
      </c>
      <c r="IL65" s="1318">
        <f>SUMIFS(62:62,$8:$8,"&gt;="&amp;DATE(YEAR(IL$8),1,1),$8:$8,"&lt;="&amp;EOMONTH(IL$8,0))/SUMIFS(62:62,$8:$8,"&gt;="&amp;DATE(YEAR(IL$8)-1,1,1),$8:$8,"&lt;="&amp;EOMONTH(IL$8,-12))-1</f>
        <v/>
      </c>
      <c r="IM65" s="1318">
        <f>SUMIFS(62:62,$8:$8,"&gt;="&amp;DATE(YEAR(IM$8),1,1),$8:$8,"&lt;="&amp;EOMONTH(IM$8,0))/SUMIFS(62:62,$8:$8,"&gt;="&amp;DATE(YEAR(IM$8)-1,1,1),$8:$8,"&lt;="&amp;EOMONTH(IM$8,-12))-1</f>
        <v/>
      </c>
      <c r="IN65" s="1318">
        <f>SUMIFS(62:62,$8:$8,"&gt;="&amp;DATE(YEAR(IN$8),1,1),$8:$8,"&lt;="&amp;EOMONTH(IN$8,0))/SUMIFS(62:62,$8:$8,"&gt;="&amp;DATE(YEAR(IN$8)-1,1,1),$8:$8,"&lt;="&amp;EOMONTH(IN$8,-12))-1</f>
        <v/>
      </c>
      <c r="IO65" s="1318">
        <f>SUMIFS(62:62,$8:$8,"&gt;="&amp;DATE(YEAR(IO$8),1,1),$8:$8,"&lt;="&amp;EOMONTH(IO$8,0))/SUMIFS(62:62,$8:$8,"&gt;="&amp;DATE(YEAR(IO$8)-1,1,1),$8:$8,"&lt;="&amp;EOMONTH(IO$8,-12))-1</f>
        <v/>
      </c>
      <c r="IP65" s="1318">
        <f>SUMIFS(62:62,$8:$8,"&gt;="&amp;DATE(YEAR(IP$8),1,1),$8:$8,"&lt;="&amp;EOMONTH(IP$8,0))/SUMIFS(62:62,$8:$8,"&gt;="&amp;DATE(YEAR(IP$8)-1,1,1),$8:$8,"&lt;="&amp;EOMONTH(IP$8,-12))-1</f>
        <v/>
      </c>
      <c r="IQ65" s="1318">
        <f>SUMIFS(62:62,$8:$8,"&gt;="&amp;DATE(YEAR(IQ$8),1,1),$8:$8,"&lt;="&amp;EOMONTH(IQ$8,0))/SUMIFS(62:62,$8:$8,"&gt;="&amp;DATE(YEAR(IQ$8)-1,1,1),$8:$8,"&lt;="&amp;EOMONTH(IQ$8,-12))-1</f>
        <v/>
      </c>
      <c r="IR65" s="1318">
        <f>SUMIFS(62:62,$8:$8,"&gt;="&amp;DATE(YEAR(IR$8),1,1),$8:$8,"&lt;="&amp;EOMONTH(IR$8,0))/SUMIFS(62:62,$8:$8,"&gt;="&amp;DATE(YEAR(IR$8)-1,1,1),$8:$8,"&lt;="&amp;EOMONTH(IR$8,-12))-1</f>
        <v/>
      </c>
      <c r="IS65" s="1318">
        <f>SUMIFS(62:62,$8:$8,"&gt;="&amp;DATE(YEAR(IS$8),1,1),$8:$8,"&lt;="&amp;EOMONTH(IS$8,0))/SUMIFS(62:62,$8:$8,"&gt;="&amp;DATE(YEAR(IS$8)-1,1,1),$8:$8,"&lt;="&amp;EOMONTH(IS$8,-12))-1</f>
        <v/>
      </c>
      <c r="IT65" s="1318">
        <f>SUMIFS(62:62,$8:$8,"&gt;="&amp;DATE(YEAR(IT$8),1,1),$8:$8,"&lt;="&amp;EOMONTH(IT$8,0))/SUMIFS(62:62,$8:$8,"&gt;="&amp;DATE(YEAR(IT$8)-1,1,1),$8:$8,"&lt;="&amp;EOMONTH(IT$8,-12))-1</f>
        <v/>
      </c>
      <c r="IU65" s="1318">
        <f>SUMIFS(62:62,$8:$8,"&gt;="&amp;DATE(YEAR(IU$8),1,1),$8:$8,"&lt;="&amp;EOMONTH(IU$8,0))/SUMIFS(62:62,$8:$8,"&gt;="&amp;DATE(YEAR(IU$8)-1,1,1),$8:$8,"&lt;="&amp;EOMONTH(IU$8,-12))-1</f>
        <v/>
      </c>
      <c r="IV65" s="1318">
        <f>SUMIFS(62:62,$8:$8,"&gt;="&amp;DATE(YEAR(IV$8),1,1),$8:$8,"&lt;="&amp;EOMONTH(IV$8,0))/SUMIFS(62:62,$8:$8,"&gt;="&amp;DATE(YEAR(IV$8)-1,1,1),$8:$8,"&lt;="&amp;EOMONTH(IV$8,-12))-1</f>
        <v/>
      </c>
      <c r="IW65" s="1318">
        <f>SUMIFS(62:62,$8:$8,"&gt;="&amp;DATE(YEAR(IW$8),1,1),$8:$8,"&lt;="&amp;EOMONTH(IW$8,0))/SUMIFS(62:62,$8:$8,"&gt;="&amp;DATE(YEAR(IW$8)-1,1,1),$8:$8,"&lt;="&amp;EOMONTH(IW$8,-12))-1</f>
        <v/>
      </c>
      <c r="IX65" s="1318">
        <f>SUMIFS(62:62,$8:$8,"&gt;="&amp;DATE(YEAR(IX$8),1,1),$8:$8,"&lt;="&amp;EOMONTH(IX$8,0))/SUMIFS(62:62,$8:$8,"&gt;="&amp;DATE(YEAR(IX$8)-1,1,1),$8:$8,"&lt;="&amp;EOMONTH(IX$8,-12))-1</f>
        <v/>
      </c>
      <c r="IY65" s="1318">
        <f>SUMIFS(62:62,$8:$8,"&gt;="&amp;DATE(YEAR(IY$8),1,1),$8:$8,"&lt;="&amp;EOMONTH(IY$8,0))/SUMIFS(62:62,$8:$8,"&gt;="&amp;DATE(YEAR(IY$8)-1,1,1),$8:$8,"&lt;="&amp;EOMONTH(IY$8,-12))-1</f>
        <v/>
      </c>
      <c r="IZ65" s="1318">
        <f>SUMIFS(62:62,$8:$8,"&gt;="&amp;DATE(YEAR(IZ$8),1,1),$8:$8,"&lt;="&amp;EOMONTH(IZ$8,0))/SUMIFS(62:62,$8:$8,"&gt;="&amp;DATE(YEAR(IZ$8)-1,1,1),$8:$8,"&lt;="&amp;EOMONTH(IZ$8,-12))-1</f>
        <v/>
      </c>
      <c r="JA65" s="1318">
        <f>SUMIFS(62:62,$8:$8,"&gt;="&amp;DATE(YEAR(JA$8),1,1),$8:$8,"&lt;="&amp;EOMONTH(JA$8,0))/SUMIFS(62:62,$8:$8,"&gt;="&amp;DATE(YEAR(JA$8)-1,1,1),$8:$8,"&lt;="&amp;EOMONTH(JA$8,-12))-1</f>
        <v/>
      </c>
      <c r="JB65" s="1318">
        <f>SUMIFS(62:62,$8:$8,"&gt;="&amp;DATE(YEAR(JB$8),1,1),$8:$8,"&lt;="&amp;EOMONTH(JB$8,0))/SUMIFS(62:62,$8:$8,"&gt;="&amp;DATE(YEAR(JB$8)-1,1,1),$8:$8,"&lt;="&amp;EOMONTH(JB$8,-12))-1</f>
        <v/>
      </c>
      <c r="JC65" s="1318">
        <f>SUMIFS(62:62,$8:$8,"&gt;="&amp;DATE(YEAR(JC$8),1,1),$8:$8,"&lt;="&amp;EOMONTH(JC$8,0))/SUMIFS(62:62,$8:$8,"&gt;="&amp;DATE(YEAR(JC$8)-1,1,1),$8:$8,"&lt;="&amp;EOMONTH(JC$8,-12))-1</f>
        <v/>
      </c>
      <c r="JD65" s="1318">
        <f>SUMIFS(62:62,$8:$8,"&gt;="&amp;DATE(YEAR(JD$8),1,1),$8:$8,"&lt;="&amp;EOMONTH(JD$8,0))/SUMIFS(62:62,$8:$8,"&gt;="&amp;DATE(YEAR(JD$8)-1,1,1),$8:$8,"&lt;="&amp;EOMONTH(JD$8,-12))-1</f>
        <v/>
      </c>
      <c r="JE65" s="1318">
        <f>SUMIFS(62:62,$8:$8,"&gt;="&amp;DATE(YEAR(JE$8),1,1),$8:$8,"&lt;="&amp;EOMONTH(JE$8,0))/SUMIFS(62:62,$8:$8,"&gt;="&amp;DATE(YEAR(JE$8)-1,1,1),$8:$8,"&lt;="&amp;EOMONTH(JE$8,-12))-1</f>
        <v/>
      </c>
      <c r="JF65" s="1318">
        <f>SUMIFS(62:62,$8:$8,"&gt;="&amp;DATE(YEAR(JF$8),1,1),$8:$8,"&lt;="&amp;EOMONTH(JF$8,0))/SUMIFS(62:62,$8:$8,"&gt;="&amp;DATE(YEAR(JF$8)-1,1,1),$8:$8,"&lt;="&amp;EOMONTH(JF$8,-12))-1</f>
        <v/>
      </c>
      <c r="JG65" s="1318">
        <f>SUMIFS(62:62,$8:$8,"&gt;="&amp;DATE(YEAR(JG$8),1,1),$8:$8,"&lt;="&amp;EOMONTH(JG$8,0))/SUMIFS(62:62,$8:$8,"&gt;="&amp;DATE(YEAR(JG$8)-1,1,1),$8:$8,"&lt;="&amp;EOMONTH(JG$8,-12))-1</f>
        <v/>
      </c>
      <c r="JH65" s="1318">
        <f>SUMIFS(62:62,$8:$8,"&gt;="&amp;DATE(YEAR(JH$8),1,1),$8:$8,"&lt;="&amp;EOMONTH(JH$8,0))/SUMIFS(62:62,$8:$8,"&gt;="&amp;DATE(YEAR(JH$8)-1,1,1),$8:$8,"&lt;="&amp;EOMONTH(JH$8,-12))-1</f>
        <v/>
      </c>
      <c r="JI65" s="1318">
        <f>SUMIFS(62:62,$8:$8,"&gt;="&amp;DATE(YEAR(JI$8),1,1),$8:$8,"&lt;="&amp;EOMONTH(JI$8,0))/SUMIFS(62:62,$8:$8,"&gt;="&amp;DATE(YEAR(JI$8)-1,1,1),$8:$8,"&lt;="&amp;EOMONTH(JI$8,-12))-1</f>
        <v/>
      </c>
      <c r="JJ65" s="1318">
        <f>SUMIFS(62:62,$8:$8,"&gt;="&amp;DATE(YEAR(JJ$8),1,1),$8:$8,"&lt;="&amp;EOMONTH(JJ$8,0))/SUMIFS(62:62,$8:$8,"&gt;="&amp;DATE(YEAR(JJ$8)-1,1,1),$8:$8,"&lt;="&amp;EOMONTH(JJ$8,-12))-1</f>
        <v/>
      </c>
      <c r="JK65" s="1318">
        <f>SUMIFS(62:62,$8:$8,"&gt;="&amp;DATE(YEAR(JK$8),1,1),$8:$8,"&lt;="&amp;EOMONTH(JK$8,0))/SUMIFS(62:62,$8:$8,"&gt;="&amp;DATE(YEAR(JK$8)-1,1,1),$8:$8,"&lt;="&amp;EOMONTH(JK$8,-12))-1</f>
        <v/>
      </c>
      <c r="JL65" s="1318">
        <f>SUMIFS(62:62,$8:$8,"&gt;="&amp;DATE(YEAR(JL$8),1,1),$8:$8,"&lt;="&amp;EOMONTH(JL$8,0))/SUMIFS(62:62,$8:$8,"&gt;="&amp;DATE(YEAR(JL$8)-1,1,1),$8:$8,"&lt;="&amp;EOMONTH(JL$8,-12))-1</f>
        <v/>
      </c>
      <c r="JM65" s="1318">
        <f>SUMIFS(62:62,$8:$8,"&gt;="&amp;DATE(YEAR(JM$8),1,1),$8:$8,"&lt;="&amp;EOMONTH(JM$8,0))/SUMIFS(62:62,$8:$8,"&gt;="&amp;DATE(YEAR(JM$8)-1,1,1),$8:$8,"&lt;="&amp;EOMONTH(JM$8,-12))-1</f>
        <v/>
      </c>
      <c r="JN65" s="1318">
        <f>SUMIFS(62:62,$8:$8,"&gt;="&amp;DATE(YEAR(JN$8),1,1),$8:$8,"&lt;="&amp;EOMONTH(JN$8,0))/SUMIFS(62:62,$8:$8,"&gt;="&amp;DATE(YEAR(JN$8)-1,1,1),$8:$8,"&lt;="&amp;EOMONTH(JN$8,-12))-1</f>
        <v/>
      </c>
      <c r="JO65" s="1318">
        <f>SUMIFS(62:62,$8:$8,"&gt;="&amp;DATE(YEAR(JO$8),1,1),$8:$8,"&lt;="&amp;EOMONTH(JO$8,0))/SUMIFS(62:62,$8:$8,"&gt;="&amp;DATE(YEAR(JO$8)-1,1,1),$8:$8,"&lt;="&amp;EOMONTH(JO$8,-12))-1</f>
        <v/>
      </c>
      <c r="JP65" s="1318">
        <f>SUMIFS(62:62,$8:$8,"&gt;="&amp;DATE(YEAR(JP$8),1,1),$8:$8,"&lt;="&amp;EOMONTH(JP$8,0))/SUMIFS(62:62,$8:$8,"&gt;="&amp;DATE(YEAR(JP$8)-1,1,1),$8:$8,"&lt;="&amp;EOMONTH(JP$8,-12))-1</f>
        <v/>
      </c>
      <c r="JQ65" s="1318">
        <f>SUMIFS(62:62,$8:$8,"&gt;="&amp;DATE(YEAR(JQ$8),1,1),$8:$8,"&lt;="&amp;EOMONTH(JQ$8,0))/SUMIFS(62:62,$8:$8,"&gt;="&amp;DATE(YEAR(JQ$8)-1,1,1),$8:$8,"&lt;="&amp;EOMONTH(JQ$8,-12))-1</f>
        <v/>
      </c>
      <c r="JR65" s="1318">
        <f>SUMIFS(62:62,$8:$8,"&gt;="&amp;DATE(YEAR(JR$8),1,1),$8:$8,"&lt;="&amp;EOMONTH(JR$8,0))/SUMIFS(62:62,$8:$8,"&gt;="&amp;DATE(YEAR(JR$8)-1,1,1),$8:$8,"&lt;="&amp;EOMONTH(JR$8,-12))-1</f>
        <v/>
      </c>
      <c r="JS65" s="1318">
        <f>SUMIFS(62:62,$8:$8,"&gt;="&amp;DATE(YEAR(JS$8),1,1),$8:$8,"&lt;="&amp;EOMONTH(JS$8,0))/SUMIFS(62:62,$8:$8,"&gt;="&amp;DATE(YEAR(JS$8)-1,1,1),$8:$8,"&lt;="&amp;EOMONTH(JS$8,-12))-1</f>
        <v/>
      </c>
      <c r="JT65" s="1318">
        <f>SUMIFS(62:62,$8:$8,"&gt;="&amp;DATE(YEAR(JT$8),1,1),$8:$8,"&lt;="&amp;EOMONTH(JT$8,0))/SUMIFS(62:62,$8:$8,"&gt;="&amp;DATE(YEAR(JT$8)-1,1,1),$8:$8,"&lt;="&amp;EOMONTH(JT$8,-12))-1</f>
        <v/>
      </c>
      <c r="JU65" s="1318">
        <f>SUMIFS(62:62,$8:$8,"&gt;="&amp;DATE(YEAR(JU$8),1,1),$8:$8,"&lt;="&amp;EOMONTH(JU$8,0))/SUMIFS(62:62,$8:$8,"&gt;="&amp;DATE(YEAR(JU$8)-1,1,1),$8:$8,"&lt;="&amp;EOMONTH(JU$8,-12))-1</f>
        <v/>
      </c>
      <c r="JV65" s="1318">
        <f>SUMIFS(62:62,$8:$8,"&gt;="&amp;DATE(YEAR(JV$8),1,1),$8:$8,"&lt;="&amp;EOMONTH(JV$8,0))/SUMIFS(62:62,$8:$8,"&gt;="&amp;DATE(YEAR(JV$8)-1,1,1),$8:$8,"&lt;="&amp;EOMONTH(JV$8,-12))-1</f>
        <v/>
      </c>
      <c r="JW65" s="1318">
        <f>SUMIFS(62:62,$8:$8,"&gt;="&amp;DATE(YEAR(JW$8),1,1),$8:$8,"&lt;="&amp;EOMONTH(JW$8,0))/SUMIFS(62:62,$8:$8,"&gt;="&amp;DATE(YEAR(JW$8)-1,1,1),$8:$8,"&lt;="&amp;EOMONTH(JW$8,-12))-1</f>
        <v/>
      </c>
      <c r="JX65" s="1318">
        <f>SUMIFS(62:62,$8:$8,"&gt;="&amp;DATE(YEAR(JX$8),1,1),$8:$8,"&lt;="&amp;EOMONTH(JX$8,0))/SUMIFS(62:62,$8:$8,"&gt;="&amp;DATE(YEAR(JX$8)-1,1,1),$8:$8,"&lt;="&amp;EOMONTH(JX$8,-12))-1</f>
        <v/>
      </c>
      <c r="JY65" s="1318">
        <f>SUMIFS(62:62,$8:$8,"&gt;="&amp;DATE(YEAR(JY$8),1,1),$8:$8,"&lt;="&amp;EOMONTH(JY$8,0))/SUMIFS(62:62,$8:$8,"&gt;="&amp;DATE(YEAR(JY$8)-1,1,1),$8:$8,"&lt;="&amp;EOMONTH(JY$8,-12))-1</f>
        <v/>
      </c>
      <c r="JZ65" s="1318">
        <f>SUMIFS(62:62,$8:$8,"&gt;="&amp;DATE(YEAR(JZ$8),1,1),$8:$8,"&lt;="&amp;EOMONTH(JZ$8,0))/SUMIFS(62:62,$8:$8,"&gt;="&amp;DATE(YEAR(JZ$8)-1,1,1),$8:$8,"&lt;="&amp;EOMONTH(JZ$8,-12))-1</f>
        <v/>
      </c>
      <c r="KA65" s="1318">
        <f>SUMIFS(62:62,$8:$8,"&gt;="&amp;DATE(YEAR(KA$8),1,1),$8:$8,"&lt;="&amp;EOMONTH(KA$8,0))/SUMIFS(62:62,$8:$8,"&gt;="&amp;DATE(YEAR(KA$8)-1,1,1),$8:$8,"&lt;="&amp;EOMONTH(KA$8,-12))-1</f>
        <v/>
      </c>
      <c r="KB65" s="1318">
        <f>SUMIFS(62:62,$8:$8,"&gt;="&amp;DATE(YEAR(KB$8),1,1),$8:$8,"&lt;="&amp;EOMONTH(KB$8,0))/SUMIFS(62:62,$8:$8,"&gt;="&amp;DATE(YEAR(KB$8)-1,1,1),$8:$8,"&lt;="&amp;EOMONTH(KB$8,-12))-1</f>
        <v/>
      </c>
      <c r="KC65" s="1318">
        <f>SUMIFS(62:62,$8:$8,"&gt;="&amp;DATE(YEAR(KC$8),1,1),$8:$8,"&lt;="&amp;EOMONTH(KC$8,0))/SUMIFS(62:62,$8:$8,"&gt;="&amp;DATE(YEAR(KC$8)-1,1,1),$8:$8,"&lt;="&amp;EOMONTH(KC$8,-12))-1</f>
        <v/>
      </c>
      <c r="KD65" s="1318">
        <f>SUMIFS(62:62,$8:$8,"&gt;="&amp;DATE(YEAR(KD$8),1,1),$8:$8,"&lt;="&amp;EOMONTH(KD$8,0))/SUMIFS(62:62,$8:$8,"&gt;="&amp;DATE(YEAR(KD$8)-1,1,1),$8:$8,"&lt;="&amp;EOMONTH(KD$8,-12))-1</f>
        <v/>
      </c>
      <c r="KE65" s="1318">
        <f>SUMIFS(62:62,$8:$8,"&gt;="&amp;DATE(YEAR(KE$8),1,1),$8:$8,"&lt;="&amp;EOMONTH(KE$8,0))/SUMIFS(62:62,$8:$8,"&gt;="&amp;DATE(YEAR(KE$8)-1,1,1),$8:$8,"&lt;="&amp;EOMONTH(KE$8,-12))-1</f>
        <v/>
      </c>
      <c r="KF65" s="1318">
        <f>SUMIFS(62:62,$8:$8,"&gt;="&amp;DATE(YEAR(KF$8),1,1),$8:$8,"&lt;="&amp;EOMONTH(KF$8,0))/SUMIFS(62:62,$8:$8,"&gt;="&amp;DATE(YEAR(KF$8)-1,1,1),$8:$8,"&lt;="&amp;EOMONTH(KF$8,-12))-1</f>
        <v/>
      </c>
      <c r="KG65" s="1318">
        <f>SUMIFS(62:62,$8:$8,"&gt;="&amp;DATE(YEAR(KG$8),1,1),$8:$8,"&lt;="&amp;EOMONTH(KG$8,0))/SUMIFS(62:62,$8:$8,"&gt;="&amp;DATE(YEAR(KG$8)-1,1,1),$8:$8,"&lt;="&amp;EOMONTH(KG$8,-12))-1</f>
        <v/>
      </c>
      <c r="KH65" s="1318">
        <f>SUMIFS(62:62,$8:$8,"&gt;="&amp;DATE(YEAR(KH$8),1,1),$8:$8,"&lt;="&amp;EOMONTH(KH$8,0))/SUMIFS(62:62,$8:$8,"&gt;="&amp;DATE(YEAR(KH$8)-1,1,1),$8:$8,"&lt;="&amp;EOMONTH(KH$8,-12))-1</f>
        <v/>
      </c>
      <c r="KI65" s="1318">
        <f>SUMIFS(62:62,$8:$8,"&gt;="&amp;DATE(YEAR(KI$8),1,1),$8:$8,"&lt;="&amp;EOMONTH(KI$8,0))/SUMIFS(62:62,$8:$8,"&gt;="&amp;DATE(YEAR(KI$8)-1,1,1),$8:$8,"&lt;="&amp;EOMONTH(KI$8,-12))-1</f>
        <v/>
      </c>
      <c r="KJ65" s="1318">
        <f>SUMIFS(62:62,$8:$8,"&gt;="&amp;DATE(YEAR(KJ$8),1,1),$8:$8,"&lt;="&amp;EOMONTH(KJ$8,0))/SUMIFS(62:62,$8:$8,"&gt;="&amp;DATE(YEAR(KJ$8)-1,1,1),$8:$8,"&lt;="&amp;EOMONTH(KJ$8,-12))-1</f>
        <v/>
      </c>
      <c r="KK65" s="1318">
        <f>SUMIFS(62:62,$8:$8,"&gt;="&amp;DATE(YEAR(KK$8),1,1),$8:$8,"&lt;="&amp;EOMONTH(KK$8,0))/SUMIFS(62:62,$8:$8,"&gt;="&amp;DATE(YEAR(KK$8)-1,1,1),$8:$8,"&lt;="&amp;EOMONTH(KK$8,-12))-1</f>
        <v/>
      </c>
      <c r="KL65" s="1318">
        <f>SUMIFS(62:62,$8:$8,"&gt;="&amp;DATE(YEAR(KL$8),1,1),$8:$8,"&lt;="&amp;EOMONTH(KL$8,0))/SUMIFS(62:62,$8:$8,"&gt;="&amp;DATE(YEAR(KL$8)-1,1,1),$8:$8,"&lt;="&amp;EOMONTH(KL$8,-12))-1</f>
        <v/>
      </c>
      <c r="KM65" s="1318">
        <f>SUMIFS(62:62,$8:$8,"&gt;="&amp;DATE(YEAR(KM$8),1,1),$8:$8,"&lt;="&amp;EOMONTH(KM$8,0))/SUMIFS(62:62,$8:$8,"&gt;="&amp;DATE(YEAR(KM$8)-1,1,1),$8:$8,"&lt;="&amp;EOMONTH(KM$8,-12))-1</f>
        <v/>
      </c>
      <c r="KN65" s="1318">
        <f>SUMIFS(62:62,$8:$8,"&gt;="&amp;DATE(YEAR(KN$8),1,1),$8:$8,"&lt;="&amp;EOMONTH(KN$8,0))/SUMIFS(62:62,$8:$8,"&gt;="&amp;DATE(YEAR(KN$8)-1,1,1),$8:$8,"&lt;="&amp;EOMONTH(KN$8,-12))-1</f>
        <v/>
      </c>
      <c r="KO65" s="1318">
        <f>SUMIFS(62:62,$8:$8,"&gt;="&amp;DATE(YEAR(KO$8),1,1),$8:$8,"&lt;="&amp;EOMONTH(KO$8,0))/SUMIFS(62:62,$8:$8,"&gt;="&amp;DATE(YEAR(KO$8)-1,1,1),$8:$8,"&lt;="&amp;EOMONTH(KO$8,-12))-1</f>
        <v/>
      </c>
      <c r="KP65" s="1318">
        <f>SUMIFS(62:62,$8:$8,"&gt;="&amp;DATE(YEAR(KP$8),1,1),$8:$8,"&lt;="&amp;EOMONTH(KP$8,0))/SUMIFS(62:62,$8:$8,"&gt;="&amp;DATE(YEAR(KP$8)-1,1,1),$8:$8,"&lt;="&amp;EOMONTH(KP$8,-12))-1</f>
        <v/>
      </c>
      <c r="KQ65" s="1318">
        <f>SUMIFS(62:62,$8:$8,"&gt;="&amp;DATE(YEAR(KQ$8),1,1),$8:$8,"&lt;="&amp;EOMONTH(KQ$8,0))/SUMIFS(62:62,$8:$8,"&gt;="&amp;DATE(YEAR(KQ$8)-1,1,1),$8:$8,"&lt;="&amp;EOMONTH(KQ$8,-12))-1</f>
        <v/>
      </c>
      <c r="KR65" s="1318">
        <f>SUMIFS(62:62,$8:$8,"&gt;="&amp;DATE(YEAR(KR$8),1,1),$8:$8,"&lt;="&amp;EOMONTH(KR$8,0))/SUMIFS(62:62,$8:$8,"&gt;="&amp;DATE(YEAR(KR$8)-1,1,1),$8:$8,"&lt;="&amp;EOMONTH(KR$8,-12))-1</f>
        <v/>
      </c>
      <c r="KS65" s="1318">
        <f>SUMIFS(62:62,$8:$8,"&gt;="&amp;DATE(YEAR(KS$8),1,1),$8:$8,"&lt;="&amp;EOMONTH(KS$8,0))/SUMIFS(62:62,$8:$8,"&gt;="&amp;DATE(YEAR(KS$8)-1,1,1),$8:$8,"&lt;="&amp;EOMONTH(KS$8,-12))-1</f>
        <v/>
      </c>
      <c r="KT65" s="1318">
        <f>SUMIFS(62:62,$8:$8,"&gt;="&amp;DATE(YEAR(KT$8),1,1),$8:$8,"&lt;="&amp;EOMONTH(KT$8,0))/SUMIFS(62:62,$8:$8,"&gt;="&amp;DATE(YEAR(KT$8)-1,1,1),$8:$8,"&lt;="&amp;EOMONTH(KT$8,-12))-1</f>
        <v/>
      </c>
      <c r="KU65" s="1318">
        <f>SUMIFS(62:62,$8:$8,"&gt;="&amp;DATE(YEAR(KU$8),1,1),$8:$8,"&lt;="&amp;EOMONTH(KU$8,0))/SUMIFS(62:62,$8:$8,"&gt;="&amp;DATE(YEAR(KU$8)-1,1,1),$8:$8,"&lt;="&amp;EOMONTH(KU$8,-12))-1</f>
        <v/>
      </c>
      <c r="KV65" s="1318">
        <f>SUMIFS(62:62,$8:$8,"&gt;="&amp;DATE(YEAR(KV$8),1,1),$8:$8,"&lt;="&amp;EOMONTH(KV$8,0))/SUMIFS(62:62,$8:$8,"&gt;="&amp;DATE(YEAR(KV$8)-1,1,1),$8:$8,"&lt;="&amp;EOMONTH(KV$8,-12))-1</f>
        <v/>
      </c>
      <c r="KW65" s="1318">
        <f>SUMIFS(62:62,$8:$8,"&gt;="&amp;DATE(YEAR(KW$8),1,1),$8:$8,"&lt;="&amp;EOMONTH(KW$8,0))/SUMIFS(62:62,$8:$8,"&gt;="&amp;DATE(YEAR(KW$8)-1,1,1),$8:$8,"&lt;="&amp;EOMONTH(KW$8,-12))-1</f>
        <v/>
      </c>
      <c r="KX65" s="1318">
        <f>SUMIFS(62:62,$8:$8,"&gt;="&amp;DATE(YEAR(KX$8),1,1),$8:$8,"&lt;="&amp;EOMONTH(KX$8,0))/SUMIFS(62:62,$8:$8,"&gt;="&amp;DATE(YEAR(KX$8)-1,1,1),$8:$8,"&lt;="&amp;EOMONTH(KX$8,-12))-1</f>
        <v/>
      </c>
      <c r="KY65" s="1318">
        <f>SUMIFS(62:62,$8:$8,"&gt;="&amp;DATE(YEAR(KY$8),1,1),$8:$8,"&lt;="&amp;EOMONTH(KY$8,0))/SUMIFS(62:62,$8:$8,"&gt;="&amp;DATE(YEAR(KY$8)-1,1,1),$8:$8,"&lt;="&amp;EOMONTH(KY$8,-12))-1</f>
        <v/>
      </c>
      <c r="KZ65" s="1318">
        <f>SUMIFS(62:62,$8:$8,"&gt;="&amp;DATE(YEAR(KZ$8),1,1),$8:$8,"&lt;="&amp;EOMONTH(KZ$8,0))/SUMIFS(62:62,$8:$8,"&gt;="&amp;DATE(YEAR(KZ$8)-1,1,1),$8:$8,"&lt;="&amp;EOMONTH(KZ$8,-12))-1</f>
        <v/>
      </c>
      <c r="LA65" s="1318">
        <f>SUMIFS(62:62,$8:$8,"&gt;="&amp;DATE(YEAR(LA$8),1,1),$8:$8,"&lt;="&amp;EOMONTH(LA$8,0))/SUMIFS(62:62,$8:$8,"&gt;="&amp;DATE(YEAR(LA$8)-1,1,1),$8:$8,"&lt;="&amp;EOMONTH(LA$8,-12))-1</f>
        <v/>
      </c>
      <c r="LB65" s="1318" t="n"/>
      <c r="LC65" s="1318" t="n"/>
      <c r="LD65" s="1318" t="n"/>
      <c r="LE65" s="1318" t="n"/>
      <c r="LF65" s="1318" t="n"/>
      <c r="LG65" s="1318" t="n"/>
      <c r="LH65" s="1318" t="n"/>
      <c r="LI65" s="1318" t="n"/>
      <c r="LJ65" s="1318" t="n"/>
      <c r="LK65" s="1318" t="n"/>
      <c r="LL65" s="1318" t="n"/>
      <c r="LM65" s="1318" t="n"/>
      <c r="LN65" s="1318" t="n"/>
      <c r="LO65" s="1318" t="n"/>
      <c r="LP65" s="1318" t="n"/>
      <c r="LQ65" s="1318" t="n"/>
      <c r="LR65" s="1318" t="n"/>
      <c r="LS65" s="1318" t="n"/>
    </row>
    <row r="66" ht="15" customHeight="1" s="239">
      <c r="A66" s="1319" t="inlineStr">
        <is>
          <t>SE Asia</t>
        </is>
      </c>
      <c r="B66" s="1320">
        <f>B67+B68</f>
        <v/>
      </c>
      <c r="C66" s="1319">
        <f>C67+C68</f>
        <v/>
      </c>
      <c r="D66" s="1319">
        <f>D67+D68</f>
        <v/>
      </c>
      <c r="E66" s="1319">
        <f>E67+E68</f>
        <v/>
      </c>
      <c r="F66" s="1319">
        <f>F67+F68</f>
        <v/>
      </c>
      <c r="G66" s="1319">
        <f>G67+G68</f>
        <v/>
      </c>
      <c r="H66" s="1319">
        <f>H67+H68</f>
        <v/>
      </c>
      <c r="I66" s="1319">
        <f>I67+I68</f>
        <v/>
      </c>
      <c r="J66" s="1319">
        <f>J67+J68</f>
        <v/>
      </c>
      <c r="K66" s="1319">
        <f>K67+K68</f>
        <v/>
      </c>
      <c r="L66" s="1319">
        <f>L67+L68</f>
        <v/>
      </c>
      <c r="M66" s="1319">
        <f>M67+M68</f>
        <v/>
      </c>
      <c r="N66" s="1320">
        <f>N67+N68</f>
        <v/>
      </c>
      <c r="O66" s="1319">
        <f>O67+O68</f>
        <v/>
      </c>
      <c r="P66" s="1319">
        <f>P67+P68</f>
        <v/>
      </c>
      <c r="Q66" s="1319">
        <f>Q67+Q68</f>
        <v/>
      </c>
      <c r="R66" s="1319">
        <f>R67+R68</f>
        <v/>
      </c>
      <c r="S66" s="1319">
        <f>S67+S68</f>
        <v/>
      </c>
      <c r="T66" s="1319">
        <f>T67+T68</f>
        <v/>
      </c>
      <c r="U66" s="1319">
        <f>U67+U68</f>
        <v/>
      </c>
      <c r="V66" s="1319">
        <f>V67+V68</f>
        <v/>
      </c>
      <c r="W66" s="1319">
        <f>W67+W68</f>
        <v/>
      </c>
      <c r="X66" s="1319">
        <f>X67+X68</f>
        <v/>
      </c>
      <c r="Y66" s="1319">
        <f>Y67+Y68</f>
        <v/>
      </c>
      <c r="Z66" s="1320">
        <f>Z67+Z68</f>
        <v/>
      </c>
      <c r="AA66" s="1319">
        <f>AA67+AA68</f>
        <v/>
      </c>
      <c r="AB66" s="1319">
        <f>AB67+AB68</f>
        <v/>
      </c>
      <c r="AC66" s="1319">
        <f>AC67+AC68</f>
        <v/>
      </c>
      <c r="AD66" s="1319">
        <f>AD67+AD68</f>
        <v/>
      </c>
      <c r="AE66" s="1319">
        <f>AE67+AE68</f>
        <v/>
      </c>
      <c r="AF66" s="1319">
        <f>AF67+AF68</f>
        <v/>
      </c>
      <c r="AG66" s="1319">
        <f>AG67+AG68</f>
        <v/>
      </c>
      <c r="AH66" s="1319">
        <f>AH67+AH68</f>
        <v/>
      </c>
      <c r="AI66" s="1319">
        <f>AI67+AI68</f>
        <v/>
      </c>
      <c r="AJ66" s="1319">
        <f>AJ67+AJ68</f>
        <v/>
      </c>
      <c r="AK66" s="1319">
        <f>AK67+AK68</f>
        <v/>
      </c>
      <c r="AL66" s="1320">
        <f>AL67+AL68</f>
        <v/>
      </c>
      <c r="AM66" s="1319">
        <f>AM67+AM68</f>
        <v/>
      </c>
      <c r="AN66" s="1319">
        <f>AN67+AN68</f>
        <v/>
      </c>
      <c r="AO66" s="1319">
        <f>AO67+AO68</f>
        <v/>
      </c>
      <c r="AP66" s="1319">
        <f>AP67+AP68</f>
        <v/>
      </c>
      <c r="AQ66" s="1319">
        <f>AQ67+AQ68</f>
        <v/>
      </c>
      <c r="AR66" s="1319">
        <f>AR67+AR68</f>
        <v/>
      </c>
      <c r="AS66" s="1319">
        <f>AS67+AS68</f>
        <v/>
      </c>
      <c r="AT66" s="1319">
        <f>AT67+AT68</f>
        <v/>
      </c>
      <c r="AU66" s="1319">
        <f>AU67+AU68</f>
        <v/>
      </c>
      <c r="AV66" s="1319">
        <f>AV67+AV68</f>
        <v/>
      </c>
      <c r="AW66" s="1319">
        <f>AW67+AW68</f>
        <v/>
      </c>
      <c r="AX66" s="1320">
        <f>AX67+AX68</f>
        <v/>
      </c>
      <c r="AY66" s="1320">
        <f>AY67+AY68</f>
        <v/>
      </c>
      <c r="AZ66" s="1320">
        <f>AZ67+AZ68</f>
        <v/>
      </c>
      <c r="BA66" s="1320">
        <f>BA67+BA68</f>
        <v/>
      </c>
      <c r="BB66" s="1320">
        <f>BB67+BB68</f>
        <v/>
      </c>
      <c r="BC66" s="1320">
        <f>BC67+BC68</f>
        <v/>
      </c>
      <c r="BD66" s="1320">
        <f>BD67+BD68</f>
        <v/>
      </c>
      <c r="BE66" s="1320">
        <f>BE67+BE68</f>
        <v/>
      </c>
      <c r="BF66" s="1320">
        <f>BF67+BF68</f>
        <v/>
      </c>
      <c r="BG66" s="1320">
        <f>BG67+BG68</f>
        <v/>
      </c>
      <c r="BH66" s="1320">
        <f>BH67+BH68</f>
        <v/>
      </c>
      <c r="BI66" s="1320">
        <f>BI67+BI68</f>
        <v/>
      </c>
      <c r="BJ66" s="1320">
        <f>BJ67+BJ68</f>
        <v/>
      </c>
      <c r="BK66" s="1320">
        <f>BK67+BK68</f>
        <v/>
      </c>
      <c r="BL66" s="1320">
        <f>BL67+BL68</f>
        <v/>
      </c>
      <c r="BM66" s="1320">
        <f>BM67+BM68</f>
        <v/>
      </c>
      <c r="BN66" s="1320">
        <f>BN67+BN68</f>
        <v/>
      </c>
      <c r="BO66" s="1320">
        <f>BO67+BO68</f>
        <v/>
      </c>
      <c r="BP66" s="1320">
        <f>BP67+BP68</f>
        <v/>
      </c>
      <c r="BQ66" s="1320">
        <f>BQ67+BQ68</f>
        <v/>
      </c>
      <c r="BR66" s="1320">
        <f>BR67+BR68</f>
        <v/>
      </c>
      <c r="BS66" s="1320">
        <f>BS67+BS68</f>
        <v/>
      </c>
      <c r="BT66" s="1320">
        <f>BT67+BT68</f>
        <v/>
      </c>
      <c r="BU66" s="1320">
        <f>BU67+BU68</f>
        <v/>
      </c>
      <c r="BV66" s="1320">
        <f>BV67+BV68</f>
        <v/>
      </c>
      <c r="BW66" s="1320">
        <f>BW67+BW68</f>
        <v/>
      </c>
      <c r="BX66" s="1320">
        <f>BX67+BX68</f>
        <v/>
      </c>
      <c r="BY66" s="1320">
        <f>BY67+BY68</f>
        <v/>
      </c>
      <c r="BZ66" s="1320">
        <f>BZ67+BZ68</f>
        <v/>
      </c>
      <c r="CA66" s="1320">
        <f>CA67+CA68</f>
        <v/>
      </c>
      <c r="CB66" s="1320">
        <f>CB67+CB68</f>
        <v/>
      </c>
      <c r="CC66" s="1320">
        <f>CC67+CC68</f>
        <v/>
      </c>
      <c r="CD66" s="1320">
        <f>CD67+CD68</f>
        <v/>
      </c>
      <c r="CE66" s="1320">
        <f>CE67+CE68</f>
        <v/>
      </c>
      <c r="CF66" s="1320">
        <f>CF67+CF68</f>
        <v/>
      </c>
      <c r="CG66" s="1320">
        <f>CG67+CG68</f>
        <v/>
      </c>
      <c r="CH66" s="1320">
        <f>CH67+CH68</f>
        <v/>
      </c>
      <c r="CI66" s="1320">
        <f>CI67+CI68</f>
        <v/>
      </c>
      <c r="CJ66" s="1321">
        <f>CJ67+CJ68</f>
        <v/>
      </c>
      <c r="CK66" s="1321">
        <f>CK67+CK68</f>
        <v/>
      </c>
      <c r="CL66" s="1322">
        <f>CL67+CL68</f>
        <v/>
      </c>
      <c r="CM66" s="1322">
        <f>CM67+CM68</f>
        <v/>
      </c>
      <c r="CN66" s="1319">
        <f>CN67+CN68</f>
        <v/>
      </c>
      <c r="CO66" s="1319">
        <f>CO67+CO68</f>
        <v/>
      </c>
      <c r="CP66" s="1319">
        <f>CP67+CP68</f>
        <v/>
      </c>
      <c r="CQ66" s="1319">
        <f>CQ67+CQ68</f>
        <v/>
      </c>
      <c r="CR66" s="1319">
        <f>CR67+CR68</f>
        <v/>
      </c>
      <c r="CS66" s="1319">
        <f>CS67+CS68</f>
        <v/>
      </c>
      <c r="CT66" s="1319">
        <f>CT67+CT68</f>
        <v/>
      </c>
      <c r="CU66" s="1319">
        <f>CU67+CU68</f>
        <v/>
      </c>
      <c r="CV66" s="1319">
        <f>CV67+CV68</f>
        <v/>
      </c>
      <c r="CW66" s="1320">
        <f>CW67+CW68</f>
        <v/>
      </c>
      <c r="CX66" s="1320">
        <f>CX67+CX68</f>
        <v/>
      </c>
      <c r="CY66" s="1320">
        <f>CY67+CY68</f>
        <v/>
      </c>
      <c r="CZ66" s="1320">
        <f>CZ67+CZ68</f>
        <v/>
      </c>
      <c r="DA66" s="1320">
        <f>DA67+DA68</f>
        <v/>
      </c>
      <c r="DB66" s="1320">
        <f>DB67+DB68</f>
        <v/>
      </c>
      <c r="DC66" s="1320">
        <f>DC67+DC68</f>
        <v/>
      </c>
      <c r="DD66" s="1320">
        <f>DD67+DD68</f>
        <v/>
      </c>
      <c r="DE66" s="1320">
        <f>DE67+DE68</f>
        <v/>
      </c>
      <c r="DF66" s="1320">
        <f>DF67+DF68</f>
        <v/>
      </c>
      <c r="DG66" s="1320">
        <f>DG67+DG68</f>
        <v/>
      </c>
      <c r="DH66" s="1320">
        <f>DH67+DH68</f>
        <v/>
      </c>
      <c r="DI66" s="1320">
        <f>DI67+DI68</f>
        <v/>
      </c>
      <c r="DJ66" s="1320">
        <f>DJ67+DJ68</f>
        <v/>
      </c>
      <c r="DK66" s="1320">
        <f>DK67+DK68</f>
        <v/>
      </c>
      <c r="DL66" s="1320">
        <f>DL67+DL68</f>
        <v/>
      </c>
      <c r="DM66" s="1320">
        <f>DM67+DM68</f>
        <v/>
      </c>
      <c r="DN66" s="1320">
        <f>DN67+DN68</f>
        <v/>
      </c>
      <c r="DO66" s="1320">
        <f>DO67+DO68</f>
        <v/>
      </c>
      <c r="DP66" s="1320">
        <f>DP67+DP68</f>
        <v/>
      </c>
      <c r="DQ66" s="1320">
        <f>DQ67+DQ68</f>
        <v/>
      </c>
      <c r="DR66" s="1320">
        <f>DR67+DR68</f>
        <v/>
      </c>
      <c r="DS66" s="1320">
        <f>DS67+DS68</f>
        <v/>
      </c>
      <c r="DT66" s="1320">
        <f>DT67+DT68</f>
        <v/>
      </c>
      <c r="DU66" s="1320">
        <f>DU67+DU68</f>
        <v/>
      </c>
      <c r="DV66" s="1320">
        <f>DV67+DV68</f>
        <v/>
      </c>
      <c r="DW66" s="1320">
        <f>DW67+DW68</f>
        <v/>
      </c>
      <c r="DX66" s="1320">
        <f>DX67+DX68</f>
        <v/>
      </c>
      <c r="DY66" s="1320">
        <f>DY67+DY68</f>
        <v/>
      </c>
      <c r="DZ66" s="1320">
        <f>DZ67+DZ68</f>
        <v/>
      </c>
      <c r="EA66" s="1320">
        <f>EA67+EA68</f>
        <v/>
      </c>
      <c r="EB66" s="1320">
        <f>EB67+EB68</f>
        <v/>
      </c>
      <c r="EC66" s="1320">
        <f>EC67+EC68</f>
        <v/>
      </c>
      <c r="ED66" s="1320">
        <f>ED67+ED68</f>
        <v/>
      </c>
      <c r="EE66" s="1320">
        <f>EE67+EE68</f>
        <v/>
      </c>
      <c r="EF66" s="1320">
        <f>EF67+EF68</f>
        <v/>
      </c>
      <c r="EG66" s="1320">
        <f>EG67+EG68</f>
        <v/>
      </c>
      <c r="EH66" s="1320">
        <f>EH67+EH68</f>
        <v/>
      </c>
      <c r="EI66" s="1320">
        <f>EI67+EI68</f>
        <v/>
      </c>
      <c r="EJ66" s="1320">
        <f>EJ67+EJ68</f>
        <v/>
      </c>
      <c r="EK66" s="1320">
        <f>EK67+EK68</f>
        <v/>
      </c>
      <c r="EL66" s="1320">
        <f>EL67+EL68</f>
        <v/>
      </c>
      <c r="EM66" s="1320">
        <f>EM67+EM68</f>
        <v/>
      </c>
      <c r="EN66" s="1320">
        <f>EN67+EN68</f>
        <v/>
      </c>
      <c r="EO66" s="1320">
        <f>EO67+EO68</f>
        <v/>
      </c>
      <c r="EP66" s="1320">
        <f>EP67+EP68</f>
        <v/>
      </c>
      <c r="EQ66" s="1320">
        <f>EQ67+EQ68</f>
        <v/>
      </c>
      <c r="ER66" s="1320">
        <f>ER67+ER68</f>
        <v/>
      </c>
      <c r="ES66" s="1320">
        <f>ES67+ES68</f>
        <v/>
      </c>
      <c r="ET66" s="1320">
        <f>ET67+ET68</f>
        <v/>
      </c>
      <c r="EU66" s="1320">
        <f>EU67+EU68</f>
        <v/>
      </c>
      <c r="EV66" s="1320">
        <f>EV67+EV68</f>
        <v/>
      </c>
      <c r="EW66" s="1320">
        <f>EW67+EW68</f>
        <v/>
      </c>
      <c r="EX66" s="1320">
        <f>EX67+EX68</f>
        <v/>
      </c>
      <c r="EY66" s="1320">
        <f>EY67+EY68</f>
        <v/>
      </c>
      <c r="EZ66" s="1320">
        <f>EZ67+EZ68</f>
        <v/>
      </c>
      <c r="FA66" s="1320">
        <f>FA67+FA68</f>
        <v/>
      </c>
      <c r="FB66" s="1320">
        <f>FB67+FB68</f>
        <v/>
      </c>
      <c r="FC66" s="1320">
        <f>FC67+FC68</f>
        <v/>
      </c>
      <c r="FD66" s="1320">
        <f>FD67+FD68</f>
        <v/>
      </c>
      <c r="FE66" s="1320">
        <f>FE67+FE68</f>
        <v/>
      </c>
      <c r="FF66" s="1320">
        <f>FF67+FF68</f>
        <v/>
      </c>
      <c r="FG66" s="1320">
        <f>FG67+FG68</f>
        <v/>
      </c>
      <c r="FH66" s="1320">
        <f>FH67+FH68</f>
        <v/>
      </c>
      <c r="FI66" s="1320">
        <f>FI67+FI68</f>
        <v/>
      </c>
      <c r="FJ66" s="1320">
        <f>FJ67+FJ68</f>
        <v/>
      </c>
      <c r="FK66" s="1320">
        <f>FK67+FK68</f>
        <v/>
      </c>
      <c r="FL66" s="1320">
        <f>FL67+FL68</f>
        <v/>
      </c>
      <c r="FM66" s="1320">
        <f>FM67+FM68</f>
        <v/>
      </c>
      <c r="FN66" s="1320">
        <f>FN67+FN68</f>
        <v/>
      </c>
      <c r="FO66" s="1320">
        <f>FO67+FO68</f>
        <v/>
      </c>
      <c r="FP66" s="1320">
        <f>FP67+FP68</f>
        <v/>
      </c>
      <c r="FQ66" s="1320">
        <f>FQ67+FQ68</f>
        <v/>
      </c>
      <c r="FR66" s="1320">
        <f>FR67+FR68</f>
        <v/>
      </c>
      <c r="FS66" s="1320">
        <f>FS67+FS68</f>
        <v/>
      </c>
      <c r="FT66" s="1320">
        <f>FT67+FT68</f>
        <v/>
      </c>
      <c r="FU66" s="1320">
        <f>FU67+FU68</f>
        <v/>
      </c>
      <c r="FV66" s="1320">
        <f>FV67+FV68</f>
        <v/>
      </c>
      <c r="FW66" s="1320">
        <f>FW67+FW68</f>
        <v/>
      </c>
      <c r="FX66" s="1320">
        <f>FX67+FX68</f>
        <v/>
      </c>
      <c r="FY66" s="1320">
        <f>FY67+FY68</f>
        <v/>
      </c>
      <c r="FZ66" s="1320">
        <f>FZ67+FZ68</f>
        <v/>
      </c>
      <c r="GA66" s="1320">
        <f>GA67+GA68</f>
        <v/>
      </c>
      <c r="GB66" s="1320">
        <f>GB67+GB68</f>
        <v/>
      </c>
      <c r="GC66" s="1320">
        <f>GC67+GC68</f>
        <v/>
      </c>
      <c r="GD66" s="1320">
        <f>GD67+GD68</f>
        <v/>
      </c>
      <c r="GE66" s="1320">
        <f>GE67+GE68</f>
        <v/>
      </c>
      <c r="GF66" s="1320">
        <f>GF67+GF68</f>
        <v/>
      </c>
      <c r="GG66" s="1320">
        <f>GG67+GG68</f>
        <v/>
      </c>
      <c r="GH66" s="1320">
        <f>GH67+GH68</f>
        <v/>
      </c>
      <c r="GI66" s="1320">
        <f>GI67+GI68</f>
        <v/>
      </c>
      <c r="GJ66" s="1320">
        <f>GJ67+GJ68</f>
        <v/>
      </c>
      <c r="GK66" s="1320">
        <f>GK67+GK68</f>
        <v/>
      </c>
      <c r="GL66" s="1320">
        <f>GL67+GL68</f>
        <v/>
      </c>
      <c r="GM66" s="1320">
        <f>GM67+GM68</f>
        <v/>
      </c>
      <c r="GN66" s="1320">
        <f>GN67+GN68</f>
        <v/>
      </c>
      <c r="GO66" s="1320">
        <f>GO67+GO68</f>
        <v/>
      </c>
      <c r="GP66" s="1320">
        <f>GP67+GP68</f>
        <v/>
      </c>
      <c r="GQ66" s="1320">
        <f>GQ67+GQ68</f>
        <v/>
      </c>
      <c r="GR66" s="1320">
        <f>GR67+GR68</f>
        <v/>
      </c>
      <c r="GS66" s="1320">
        <f>GS67+GS68</f>
        <v/>
      </c>
      <c r="GT66" s="1320">
        <f>GT67+GT68</f>
        <v/>
      </c>
      <c r="GU66" s="1320">
        <f>GU67+GU68</f>
        <v/>
      </c>
      <c r="GV66" s="1320">
        <f>GV67+GV68</f>
        <v/>
      </c>
      <c r="GW66" s="1320">
        <f>GW67+GW68</f>
        <v/>
      </c>
      <c r="GX66" s="1320">
        <f>GX67+GX68</f>
        <v/>
      </c>
      <c r="GY66" s="1320">
        <f>GY67+GY68</f>
        <v/>
      </c>
      <c r="GZ66" s="1320">
        <f>GZ67+GZ68</f>
        <v/>
      </c>
      <c r="HA66" s="1320">
        <f>HA67+HA68</f>
        <v/>
      </c>
      <c r="HB66" s="1320">
        <f>HB67+HB68</f>
        <v/>
      </c>
      <c r="HC66" s="1320">
        <f>HC67+HC68</f>
        <v/>
      </c>
      <c r="HD66" s="1320">
        <f>HD67+HD68</f>
        <v/>
      </c>
      <c r="HE66" s="1320">
        <f>HE67+HE68</f>
        <v/>
      </c>
      <c r="HF66" s="1320">
        <f>HF67+HF68</f>
        <v/>
      </c>
      <c r="HG66" s="1320">
        <f>HG67+HG68</f>
        <v/>
      </c>
      <c r="HH66" s="1320">
        <f>HH67+HH68</f>
        <v/>
      </c>
      <c r="HI66" s="1320">
        <f>HI67+HI68</f>
        <v/>
      </c>
      <c r="HJ66" s="1320">
        <f>HJ67+HJ68</f>
        <v/>
      </c>
      <c r="HK66" s="1320">
        <f>HK67+HK68</f>
        <v/>
      </c>
      <c r="HL66" s="1320">
        <f>HL67+HL68</f>
        <v/>
      </c>
      <c r="HM66" s="1320">
        <f>HM67+HM68</f>
        <v/>
      </c>
      <c r="HN66" s="1320">
        <f>HN67+HN68</f>
        <v/>
      </c>
      <c r="HO66" s="1320">
        <f>HO67+HO68</f>
        <v/>
      </c>
      <c r="HP66" s="1320">
        <f>HP67+HP68</f>
        <v/>
      </c>
      <c r="HQ66" s="1320">
        <f>HQ67+HQ68</f>
        <v/>
      </c>
      <c r="HR66" s="1320">
        <f>HR67+HR68</f>
        <v/>
      </c>
      <c r="HS66" s="1320">
        <f>HS67+HS68</f>
        <v/>
      </c>
      <c r="HT66" s="1320">
        <f>HT67+HT68</f>
        <v/>
      </c>
      <c r="HU66" s="1320">
        <f>HU67+HU68</f>
        <v/>
      </c>
      <c r="HV66" s="1320">
        <f>HV67+HV68</f>
        <v/>
      </c>
      <c r="HW66" s="1320">
        <f>HW67+HW68</f>
        <v/>
      </c>
      <c r="HX66" s="1320">
        <f>HX67+HX68</f>
        <v/>
      </c>
      <c r="HY66" s="1320">
        <f>HY67+HY68</f>
        <v/>
      </c>
      <c r="HZ66" s="1320">
        <f>HZ67+HZ68</f>
        <v/>
      </c>
      <c r="IA66" s="1320">
        <f>IA67+IA68</f>
        <v/>
      </c>
      <c r="IB66" s="1320">
        <f>IB67+IB68</f>
        <v/>
      </c>
      <c r="IC66" s="1320">
        <f>IC67+IC68</f>
        <v/>
      </c>
      <c r="ID66" s="1320">
        <f>ID67+ID68</f>
        <v/>
      </c>
      <c r="IE66" s="1320">
        <f>IE67+IE68</f>
        <v/>
      </c>
      <c r="IF66" s="1320">
        <f>IF67+IF68</f>
        <v/>
      </c>
      <c r="IG66" s="1320">
        <f>IG67+IG68</f>
        <v/>
      </c>
      <c r="IH66" s="1320">
        <f>IH67+IH68</f>
        <v/>
      </c>
      <c r="II66" s="1320">
        <f>II67+II68</f>
        <v/>
      </c>
      <c r="IJ66" s="1320">
        <f>IJ67+IJ68</f>
        <v/>
      </c>
      <c r="IK66" s="1320">
        <f>IK67+IK68</f>
        <v/>
      </c>
      <c r="IL66" s="1320">
        <f>IL67+IL68</f>
        <v/>
      </c>
      <c r="IM66" s="1320">
        <f>IM67+IM68</f>
        <v/>
      </c>
      <c r="IN66" s="1320">
        <f>IN67+IN68</f>
        <v/>
      </c>
      <c r="IO66" s="1320">
        <f>+IO67+IO68</f>
        <v/>
      </c>
      <c r="IP66" s="1320">
        <f>IP67+IP68</f>
        <v/>
      </c>
      <c r="IQ66" s="1320">
        <f>IQ67+IQ68</f>
        <v/>
      </c>
      <c r="IR66" s="1320">
        <f>IR67+IR68</f>
        <v/>
      </c>
      <c r="IS66" s="1320">
        <f>IS67+IS68</f>
        <v/>
      </c>
      <c r="IT66" s="1320">
        <f>IT67+IT68</f>
        <v/>
      </c>
      <c r="IU66" s="1320">
        <f>IU67+IU68</f>
        <v/>
      </c>
      <c r="IV66" s="1320">
        <f>IV67+IV68</f>
        <v/>
      </c>
      <c r="IW66" s="1320">
        <f>IW67+IW68</f>
        <v/>
      </c>
      <c r="IX66" s="1320">
        <f>IX67+IX68</f>
        <v/>
      </c>
      <c r="IY66" s="1320">
        <f>IY67+IY68</f>
        <v/>
      </c>
      <c r="IZ66" s="1320">
        <f>IZ67+IZ68</f>
        <v/>
      </c>
      <c r="JA66" s="1320">
        <f>JA67+JA68</f>
        <v/>
      </c>
      <c r="JB66" s="1320">
        <f>JB67+JB68</f>
        <v/>
      </c>
      <c r="JC66" s="1320">
        <f>JC67+JC68</f>
        <v/>
      </c>
      <c r="JD66" s="1320">
        <f>JD67+JD68</f>
        <v/>
      </c>
      <c r="JE66" s="1320">
        <f>JE67+JE68</f>
        <v/>
      </c>
      <c r="JF66" s="1320">
        <f>JF67+JF68</f>
        <v/>
      </c>
      <c r="JG66" s="1320">
        <f>JG67+JG68</f>
        <v/>
      </c>
      <c r="JH66" s="1320">
        <f>JH67+JH68</f>
        <v/>
      </c>
      <c r="JI66" s="1320">
        <f>JI67+JI68</f>
        <v/>
      </c>
      <c r="JJ66" s="1320">
        <f>JJ67+JJ68</f>
        <v/>
      </c>
      <c r="JK66" s="1320">
        <f>JK67+JK68</f>
        <v/>
      </c>
      <c r="JL66" s="1320">
        <f>JL67+JL68</f>
        <v/>
      </c>
      <c r="JM66" s="1320">
        <f>JM67+JM68</f>
        <v/>
      </c>
      <c r="JN66" s="1320">
        <f>JN67+JN68</f>
        <v/>
      </c>
      <c r="JO66" s="1320">
        <f>JO67+JO68</f>
        <v/>
      </c>
      <c r="JP66" s="1320">
        <f>JP67+JP68</f>
        <v/>
      </c>
      <c r="JQ66" s="1320">
        <f>JQ67+JQ68</f>
        <v/>
      </c>
      <c r="JR66" s="1320">
        <f>JR67+JR68</f>
        <v/>
      </c>
      <c r="JS66" s="1320">
        <f>JS67+JS68</f>
        <v/>
      </c>
      <c r="JT66" s="1320">
        <f>JT67+JT68</f>
        <v/>
      </c>
      <c r="JU66" s="1320">
        <f>JU67+JU68</f>
        <v/>
      </c>
      <c r="JV66" s="1320">
        <f>JV67+JV68</f>
        <v/>
      </c>
      <c r="JW66" s="1320">
        <f>JW67+JW68</f>
        <v/>
      </c>
      <c r="JX66" s="1320">
        <f>JX67+JX68</f>
        <v/>
      </c>
      <c r="JY66" s="1320">
        <f>JY67+JY68</f>
        <v/>
      </c>
      <c r="JZ66" s="1320">
        <f>JZ67+JZ68</f>
        <v/>
      </c>
      <c r="KA66" s="1320">
        <f>KA67+KA68</f>
        <v/>
      </c>
      <c r="KB66" s="1320">
        <f>KB67+KB68</f>
        <v/>
      </c>
      <c r="KC66" s="1320">
        <f>KC67+KC68</f>
        <v/>
      </c>
      <c r="KD66" s="1320">
        <f>KD67+KD68</f>
        <v/>
      </c>
      <c r="KE66" s="1320">
        <f>KE67+KE68</f>
        <v/>
      </c>
      <c r="KF66" s="1320">
        <f>KF67+KF68</f>
        <v/>
      </c>
      <c r="KG66" s="1320">
        <f>KG67+KG68</f>
        <v/>
      </c>
      <c r="KH66" s="1320">
        <f>KH67+KH68</f>
        <v/>
      </c>
      <c r="KI66" s="1320">
        <f>KI67+KI68</f>
        <v/>
      </c>
      <c r="KJ66" s="1320">
        <f>KJ67+KJ68</f>
        <v/>
      </c>
      <c r="KK66" s="1320">
        <f>KK67+KK68</f>
        <v/>
      </c>
      <c r="KL66" s="1320">
        <f>KL67+KL68</f>
        <v/>
      </c>
      <c r="KM66" s="1320">
        <f>KM67+KM68</f>
        <v/>
      </c>
      <c r="KN66" s="1320">
        <f>KN67+KN68</f>
        <v/>
      </c>
      <c r="KO66" s="1320">
        <f>KO67+KO68</f>
        <v/>
      </c>
      <c r="KP66" s="1320">
        <f>KP67+KP68</f>
        <v/>
      </c>
      <c r="KQ66" s="1320">
        <f>KQ67+KQ68</f>
        <v/>
      </c>
      <c r="KR66" s="1320">
        <f>KR67+KR68</f>
        <v/>
      </c>
      <c r="KS66" s="1320">
        <f>KS67+KS68</f>
        <v/>
      </c>
      <c r="KT66" s="1320">
        <f>KT67+KT68</f>
        <v/>
      </c>
      <c r="KU66" s="1320">
        <f>KU67+KU68</f>
        <v/>
      </c>
      <c r="KV66" s="1320">
        <f>KV67+KV68</f>
        <v/>
      </c>
      <c r="KW66" s="1320">
        <f>KW67+KW68</f>
        <v/>
      </c>
      <c r="KX66" s="1320">
        <f>KX67+KX68</f>
        <v/>
      </c>
      <c r="KY66" s="1320">
        <f>KY67+KY68</f>
        <v/>
      </c>
      <c r="KZ66" s="1320">
        <f>KZ67+KZ68</f>
        <v/>
      </c>
      <c r="LA66" s="1320">
        <f>LA67+LA68</f>
        <v/>
      </c>
      <c r="LB66" s="1320" t="n"/>
      <c r="LC66" s="1320" t="n"/>
      <c r="LD66" s="1320" t="n"/>
      <c r="LE66" s="1320" t="n"/>
      <c r="LF66" s="1320" t="n"/>
      <c r="LG66" s="1320" t="n"/>
      <c r="LH66" s="1320" t="n"/>
      <c r="LI66" s="1320" t="n"/>
      <c r="LJ66" s="1320" t="n"/>
      <c r="LK66" s="1320" t="n"/>
      <c r="LL66" s="1320" t="n"/>
      <c r="LM66" s="1320" t="n"/>
      <c r="LN66" s="1320" t="n"/>
      <c r="LO66" s="1320" t="n"/>
      <c r="LP66" s="1320" t="n"/>
      <c r="LQ66" s="1320" t="n"/>
      <c r="LR66" s="1320" t="n"/>
      <c r="LS66" s="1320" t="n"/>
    </row>
    <row r="67" outlineLevel="1" s="239">
      <c r="A67" s="1324" t="inlineStr">
        <is>
          <t>ASEAN</t>
        </is>
      </c>
      <c r="B67" s="1325" t="n">
        <v>638.0973867268283</v>
      </c>
      <c r="C67" s="1326" t="n">
        <v>642.2546132731718</v>
      </c>
      <c r="D67" s="1326" t="n">
        <v>668.7731092436975</v>
      </c>
      <c r="E67" s="1326" t="n">
        <v>670.8301582483992</v>
      </c>
      <c r="F67" s="1326" t="n">
        <v>637.7557325079028</v>
      </c>
      <c r="G67" s="1326" t="n">
        <v>479.5490000000004</v>
      </c>
      <c r="H67" s="1326" t="n">
        <v>736.482</v>
      </c>
      <c r="I67" s="1326" t="n">
        <v>738.6509999999998</v>
      </c>
      <c r="J67" s="1326" t="n">
        <v>595.9200000000001</v>
      </c>
      <c r="K67" s="1326" t="n">
        <v>712.1130000000001</v>
      </c>
      <c r="L67" s="1326" t="n">
        <v>710.005</v>
      </c>
      <c r="M67" s="1326" t="n">
        <v>718.2292418772563</v>
      </c>
      <c r="N67" s="1325" t="n">
        <v>678.808</v>
      </c>
      <c r="O67" s="1326" t="n">
        <v>685.381</v>
      </c>
      <c r="P67" s="1326" t="n">
        <v>716.256</v>
      </c>
      <c r="Q67" s="1326" t="n">
        <v>772.8200000000001</v>
      </c>
      <c r="R67" s="1326" t="n">
        <v>710.896</v>
      </c>
      <c r="S67" s="1326" t="n">
        <v>704.946</v>
      </c>
      <c r="T67" s="1326" t="n">
        <v>771.2329999999999</v>
      </c>
      <c r="U67" s="1326" t="n">
        <v>799.207</v>
      </c>
      <c r="V67" s="1326" t="n">
        <v>707.926</v>
      </c>
      <c r="W67" s="1326" t="n">
        <v>727.424</v>
      </c>
      <c r="X67" s="1326" t="n">
        <v>709.189</v>
      </c>
      <c r="Y67" s="1326" t="n">
        <v>795.798</v>
      </c>
      <c r="Z67" s="1325" t="n">
        <v>754.044</v>
      </c>
      <c r="AA67" s="1326" t="n">
        <v>637.097</v>
      </c>
      <c r="AB67" s="1326" t="n">
        <v>812.782</v>
      </c>
      <c r="AC67" s="1326" t="n">
        <v>801.8339999999999</v>
      </c>
      <c r="AD67" s="1326" t="n">
        <v>752.946</v>
      </c>
      <c r="AE67" s="1326" t="n">
        <v>779.832</v>
      </c>
      <c r="AF67" s="1326" t="n">
        <v>619.285</v>
      </c>
      <c r="AG67" s="1326" t="n">
        <v>759.871</v>
      </c>
      <c r="AH67" s="1326" t="n">
        <v>673.511</v>
      </c>
      <c r="AI67" s="1326" t="n">
        <v>625.931</v>
      </c>
      <c r="AJ67" s="1326" t="n">
        <v>643.082</v>
      </c>
      <c r="AK67" s="1326" t="n">
        <v>846.803</v>
      </c>
      <c r="AL67" s="1325" t="n">
        <v>766.66</v>
      </c>
      <c r="AM67" s="1326" t="n">
        <v>756.22</v>
      </c>
      <c r="AN67" s="1326" t="n">
        <v>866.3869999999999</v>
      </c>
      <c r="AO67" s="1326" t="n">
        <v>806.6849999999999</v>
      </c>
      <c r="AP67" s="1326" t="n">
        <v>812.495</v>
      </c>
      <c r="AQ67" s="1326" t="n">
        <v>834.418</v>
      </c>
      <c r="AR67" s="1326" t="n">
        <v>901.904</v>
      </c>
      <c r="AS67" s="1326" t="n">
        <v>937.518</v>
      </c>
      <c r="AT67" s="1326" t="n">
        <v>815.7670000000001</v>
      </c>
      <c r="AU67" s="1326" t="n">
        <v>868.287</v>
      </c>
      <c r="AV67" s="1326" t="n">
        <v>781.014</v>
      </c>
      <c r="AW67" s="1326" t="n">
        <v>947.987</v>
      </c>
      <c r="AX67" s="1325" t="n">
        <v>848.354</v>
      </c>
      <c r="AY67" s="1325" t="n">
        <v>781.175</v>
      </c>
      <c r="AZ67" s="1325" t="n">
        <v>729.985815602837</v>
      </c>
      <c r="BA67" s="1325" t="n">
        <v>308.3413935730194</v>
      </c>
      <c r="BB67" s="1325" t="n">
        <v>292.5094867807154</v>
      </c>
      <c r="BC67" s="1325" t="n">
        <v>501.204</v>
      </c>
      <c r="BD67" s="1325" t="n">
        <v>776.2190000000001</v>
      </c>
      <c r="BE67" s="1325" t="n">
        <v>902.573</v>
      </c>
      <c r="BF67" s="1325" t="n">
        <v>780.407</v>
      </c>
      <c r="BG67" s="1325" t="n">
        <v>868.958</v>
      </c>
      <c r="BH67" s="1325" t="n">
        <v>857.501</v>
      </c>
      <c r="BI67" s="1325" t="n">
        <v>1003.566</v>
      </c>
      <c r="BJ67" s="1325" t="n">
        <v>949.6900000000001</v>
      </c>
      <c r="BK67" s="1325" t="n">
        <v>785.277</v>
      </c>
      <c r="BL67" s="1325" t="n">
        <v>874.888</v>
      </c>
      <c r="BM67" s="1325" t="n">
        <v>969.117</v>
      </c>
      <c r="BN67" s="1325" t="n">
        <v>940.418</v>
      </c>
      <c r="BO67" s="1325" t="n">
        <v>988.324</v>
      </c>
      <c r="BP67" s="1325" t="n">
        <v>1068.546</v>
      </c>
      <c r="BQ67" s="1325" t="n">
        <v>1100.002</v>
      </c>
      <c r="BR67" s="1325" t="n">
        <v>883.288</v>
      </c>
      <c r="BS67" s="1325" t="n">
        <v>945.776</v>
      </c>
      <c r="BT67" s="1325" t="n">
        <v>1053.794</v>
      </c>
      <c r="BU67" s="1325" t="n">
        <v>1155.228</v>
      </c>
      <c r="BV67" s="1325" t="n">
        <v>971.217</v>
      </c>
      <c r="BW67" s="1325" t="n">
        <v>913.827</v>
      </c>
      <c r="BX67" s="1325" t="n">
        <v>1079.727</v>
      </c>
      <c r="BY67" s="1325" t="n">
        <v>1019.791</v>
      </c>
      <c r="BZ67" s="1325" t="n">
        <v>1036.074</v>
      </c>
      <c r="CA67" s="1325" t="n">
        <v>1047.77</v>
      </c>
      <c r="CB67" s="1325" t="n">
        <v>1234.484</v>
      </c>
      <c r="CC67" s="1325" t="n">
        <v>1229.347</v>
      </c>
      <c r="CD67" s="1325" t="n">
        <v>1026.04</v>
      </c>
      <c r="CE67" s="1325" t="n">
        <v>1078.63</v>
      </c>
      <c r="CF67" s="1325" t="n">
        <v>1124.806</v>
      </c>
      <c r="CG67" s="1325" t="n">
        <v>1267.181</v>
      </c>
      <c r="CH67" s="1325" t="n">
        <v>1147.288</v>
      </c>
      <c r="CI67" s="1325" t="n">
        <v>989.035</v>
      </c>
      <c r="CJ67" s="1327" t="n">
        <v>1138.778</v>
      </c>
      <c r="CK67" s="1327" t="n">
        <v>1170.5</v>
      </c>
      <c r="CL67" s="1328" t="n">
        <v>1124.4</v>
      </c>
      <c r="CM67" s="1328" t="n">
        <v>1164.697</v>
      </c>
      <c r="CN67" s="1326" t="n">
        <v>1285.2</v>
      </c>
      <c r="CO67" s="1326" t="n">
        <v>1227.343</v>
      </c>
      <c r="CP67" s="1326" t="n">
        <v>1021.814</v>
      </c>
      <c r="CQ67" s="1326" t="n">
        <v>1148</v>
      </c>
      <c r="CR67" s="1326" t="n">
        <v>1190.55</v>
      </c>
      <c r="CS67" s="1326" t="n">
        <v>1384.069</v>
      </c>
      <c r="CT67" s="1326" t="n">
        <v>1225.698</v>
      </c>
      <c r="CU67" s="1326" t="n">
        <v>1090.436</v>
      </c>
      <c r="CV67" s="1326" t="n">
        <v>1249</v>
      </c>
      <c r="CW67" s="1325" t="n">
        <v>1259.451</v>
      </c>
      <c r="CX67" s="1325" t="n">
        <v>1222.085</v>
      </c>
      <c r="CY67" s="1325" t="n">
        <v>1257.28</v>
      </c>
      <c r="CZ67" s="1325" t="n">
        <v>1373.557</v>
      </c>
      <c r="DA67" s="1325" t="n">
        <v>1389.192</v>
      </c>
      <c r="DB67" s="1325" t="n">
        <v>1150.907</v>
      </c>
      <c r="DC67" s="1325" t="n">
        <v>1320.174</v>
      </c>
      <c r="DD67" s="1325" t="n">
        <v>1303.429</v>
      </c>
      <c r="DE67" s="1325" t="n">
        <v>1422.282</v>
      </c>
      <c r="DF67" s="1325" t="n">
        <v>1291.274</v>
      </c>
      <c r="DG67" s="1325" t="n">
        <v>1222.431</v>
      </c>
      <c r="DH67" s="1325" t="n">
        <v>1466.391</v>
      </c>
      <c r="DI67" s="1325" t="n">
        <v>1436.663</v>
      </c>
      <c r="DJ67" s="1325" t="n">
        <v>1495.922</v>
      </c>
      <c r="DK67" s="1325" t="n">
        <v>1510.085</v>
      </c>
      <c r="DL67" s="1325" t="n">
        <v>1638.475</v>
      </c>
      <c r="DM67" s="1325" t="n">
        <v>1502.736</v>
      </c>
      <c r="DN67" s="1325" t="n">
        <v>1283.676</v>
      </c>
      <c r="DO67" s="1325" t="n">
        <v>1454.138</v>
      </c>
      <c r="DP67" s="1325" t="n">
        <v>1460.9</v>
      </c>
      <c r="DQ67" s="1325" t="n">
        <v>1668.995</v>
      </c>
      <c r="DR67" s="1325" t="n">
        <v>1571.837</v>
      </c>
      <c r="DS67" s="1325" t="n">
        <v>1339.357</v>
      </c>
      <c r="DT67" s="1325" t="n">
        <v>1586.145</v>
      </c>
      <c r="DU67" s="1325" t="n">
        <v>1636.767</v>
      </c>
      <c r="DV67" s="1325" t="n">
        <v>1495.793</v>
      </c>
      <c r="DW67" s="1325" t="n">
        <v>1471.651</v>
      </c>
      <c r="DX67" s="1325" t="n">
        <v>1636.489</v>
      </c>
      <c r="DY67" s="1325" t="n">
        <v>1689.72</v>
      </c>
      <c r="DZ67" s="1325" t="n">
        <v>1447.796</v>
      </c>
      <c r="EA67" s="1325" t="n">
        <v>1586.417</v>
      </c>
      <c r="EB67" s="1325" t="n">
        <v>1624.358</v>
      </c>
      <c r="EC67" s="1325" t="n">
        <v>1851.373</v>
      </c>
      <c r="ED67" s="1325" t="n">
        <v>1682.062</v>
      </c>
      <c r="EE67" s="1325" t="n">
        <v>1533.391</v>
      </c>
      <c r="EF67" s="1325" t="n">
        <v>980.009</v>
      </c>
      <c r="EG67" s="1325" t="n">
        <v>948.502</v>
      </c>
      <c r="EH67" s="1325" t="n">
        <v>934.6079999999999</v>
      </c>
      <c r="EI67" s="1325" t="n">
        <v>959.901</v>
      </c>
      <c r="EJ67" s="1325" t="n">
        <v>1049.83</v>
      </c>
      <c r="EK67" s="1325" t="n">
        <v>1054.352</v>
      </c>
      <c r="EL67" s="1325" t="n">
        <v>990.249</v>
      </c>
      <c r="EM67" s="1325" t="n">
        <v>1000.748</v>
      </c>
      <c r="EN67" s="1325" t="n">
        <v>1036.788</v>
      </c>
      <c r="EO67" s="1325" t="n">
        <v>1109.195</v>
      </c>
      <c r="EP67" s="1325" t="n">
        <v>1034.782</v>
      </c>
      <c r="EQ67" s="1325" t="n">
        <v>948.672</v>
      </c>
      <c r="ER67" s="1325" t="n">
        <v>1070.862</v>
      </c>
      <c r="ES67" s="1325" t="n">
        <v>1099.29</v>
      </c>
      <c r="ET67" s="1325" t="n">
        <v>1086.295</v>
      </c>
      <c r="EU67" s="1325" t="n">
        <v>1137.655</v>
      </c>
      <c r="EV67" s="1325" t="n">
        <v>1223.316</v>
      </c>
      <c r="EW67" s="1325" t="n">
        <v>1196.764</v>
      </c>
      <c r="EX67" s="1325" t="n">
        <v>1056.949</v>
      </c>
      <c r="EY67" s="1325" t="n">
        <v>1074.389</v>
      </c>
      <c r="EZ67" s="1325" t="n">
        <v>1088.054</v>
      </c>
      <c r="FA67" s="1325" t="n">
        <v>1215.176</v>
      </c>
      <c r="FB67" s="1325" t="n">
        <v>1185.61</v>
      </c>
      <c r="FC67" s="1325" t="n">
        <v>993.79</v>
      </c>
      <c r="FD67" s="1325" t="n">
        <v>1173.99</v>
      </c>
      <c r="FE67" s="1325" t="n">
        <v>1216.812</v>
      </c>
      <c r="FF67" s="1325" t="n">
        <v>1160.042</v>
      </c>
      <c r="FG67" s="1325" t="n">
        <v>1182.614</v>
      </c>
      <c r="FH67" s="1325" t="n">
        <v>1206.754</v>
      </c>
      <c r="FI67" s="1325" t="n">
        <v>1335.767</v>
      </c>
      <c r="FJ67" s="1325" t="n">
        <v>1058.499</v>
      </c>
      <c r="FK67" s="1325" t="n">
        <v>1196.953</v>
      </c>
      <c r="FL67" s="1325" t="n">
        <v>1226.18</v>
      </c>
      <c r="FM67" s="1325" t="n">
        <v>1366.369</v>
      </c>
      <c r="FN67" s="1325" t="n">
        <v>1154.828</v>
      </c>
      <c r="FO67" s="1325" t="n">
        <v>1159.604</v>
      </c>
      <c r="FP67" s="1325" t="n">
        <v>1246.686</v>
      </c>
      <c r="FQ67" s="1325" t="n">
        <v>1185.868</v>
      </c>
      <c r="FR67" s="1325" t="n">
        <v>1195.263</v>
      </c>
      <c r="FS67" s="1325" t="n">
        <v>1215.227</v>
      </c>
      <c r="FT67" s="1325" t="n">
        <v>1279.559</v>
      </c>
      <c r="FU67" s="1325" t="n">
        <v>1346.332</v>
      </c>
      <c r="FV67" s="1325" t="n">
        <v>1099.146</v>
      </c>
      <c r="FW67" s="1325" t="n">
        <v>1187.027</v>
      </c>
      <c r="FX67" s="1325" t="n">
        <v>1263.823</v>
      </c>
      <c r="FY67" s="1325" t="n">
        <v>1326.578</v>
      </c>
      <c r="FZ67" s="1325" t="n">
        <v>1218.133</v>
      </c>
      <c r="GA67" s="1325" t="n">
        <v>1129.125</v>
      </c>
      <c r="GB67" s="1325" t="n">
        <v>1242.632</v>
      </c>
      <c r="GC67" s="1325" t="n">
        <v>1256.717</v>
      </c>
      <c r="GD67" s="1325" t="n">
        <v>1207.77</v>
      </c>
      <c r="GE67" s="1325" t="n">
        <v>1159.011</v>
      </c>
      <c r="GF67" s="1325" t="n">
        <v>1292.146</v>
      </c>
      <c r="GG67" s="1325" t="n">
        <v>1325.355</v>
      </c>
      <c r="GH67" s="1325" t="n">
        <v>1147.102</v>
      </c>
      <c r="GI67" s="1325" t="n">
        <v>1295.598</v>
      </c>
      <c r="GJ67" s="1325" t="n">
        <v>1349.605</v>
      </c>
      <c r="GK67" s="1325" t="n">
        <v>1521.048</v>
      </c>
      <c r="GL67" s="1325" t="n">
        <v>1351.21</v>
      </c>
      <c r="GM67" s="1325" t="n">
        <v>1335.623</v>
      </c>
      <c r="GN67" s="1325" t="n">
        <v>1476.581</v>
      </c>
      <c r="GO67" s="1325" t="n">
        <v>1476.861</v>
      </c>
      <c r="GP67" s="1325" t="n">
        <v>1441.175</v>
      </c>
      <c r="GQ67" s="1325" t="n">
        <v>1413.307</v>
      </c>
      <c r="GR67" s="1325" t="n">
        <v>1574.654</v>
      </c>
      <c r="GS67" s="1325" t="n">
        <v>1570.527</v>
      </c>
      <c r="GT67" s="1325" t="n">
        <v>1212.425</v>
      </c>
      <c r="GU67" s="1325" t="n">
        <v>1350.368</v>
      </c>
      <c r="GV67" s="1325" t="n">
        <v>1414.003</v>
      </c>
      <c r="GW67" s="1325" t="n">
        <v>1563.416</v>
      </c>
      <c r="GX67" s="1325" t="n">
        <v>1482.877</v>
      </c>
      <c r="GY67" s="1325" t="n">
        <v>1456.547</v>
      </c>
      <c r="GZ67" s="1325" t="n">
        <v>1605.37</v>
      </c>
      <c r="HA67" s="1325" t="n">
        <v>1533.069</v>
      </c>
      <c r="HB67" s="1325" t="n">
        <v>1524.795</v>
      </c>
      <c r="HC67" s="1325" t="n">
        <v>1467.484</v>
      </c>
      <c r="HD67" s="1325" t="n">
        <v>1583.704</v>
      </c>
      <c r="HE67" s="1325" t="n">
        <v>1501.932</v>
      </c>
      <c r="HF67" s="1325" t="n">
        <v>1334.085</v>
      </c>
      <c r="HG67" s="1325" t="n">
        <v>1356.742</v>
      </c>
      <c r="HH67" s="1325" t="n">
        <v>1374.681</v>
      </c>
      <c r="HI67" s="1325" t="n">
        <v>1588.909</v>
      </c>
      <c r="HJ67" s="892" t="n">
        <v>1504.432</v>
      </c>
      <c r="HK67" s="892" t="n">
        <v>1381.22</v>
      </c>
      <c r="HL67" s="892" t="n">
        <v>1514.479</v>
      </c>
      <c r="HM67" s="892" t="n">
        <v>1525.052</v>
      </c>
      <c r="HN67" s="892" t="n">
        <v>1441.411</v>
      </c>
      <c r="HO67" s="892" t="n">
        <v>1414.292</v>
      </c>
      <c r="HP67" s="892" t="n">
        <v>1551.118</v>
      </c>
      <c r="HQ67" s="892" t="n">
        <v>1508.861</v>
      </c>
      <c r="HR67" s="892" t="n">
        <v>1301.189</v>
      </c>
      <c r="HS67" s="892" t="n">
        <v>1430.378</v>
      </c>
      <c r="HT67" s="892" t="n">
        <v>1490.839</v>
      </c>
      <c r="HU67" s="892" t="n">
        <v>1613.46</v>
      </c>
      <c r="HV67" s="892" t="n">
        <v>1480.361</v>
      </c>
      <c r="HW67" s="892" t="n">
        <v>1372</v>
      </c>
      <c r="HX67" s="892" t="n">
        <v>1590.331</v>
      </c>
      <c r="HY67" s="892" t="n">
        <v>1530.052</v>
      </c>
      <c r="HZ67" s="892" t="n">
        <v>1429.593</v>
      </c>
      <c r="IA67" s="892" t="n">
        <v>1494.52</v>
      </c>
      <c r="IB67" s="892" t="n">
        <v>1563.909</v>
      </c>
      <c r="IC67" s="892" t="n">
        <v>1578.293</v>
      </c>
      <c r="ID67" s="892" t="n">
        <v>1218.925</v>
      </c>
      <c r="IE67" s="892" t="n">
        <v>1399.885</v>
      </c>
      <c r="IF67" s="892" t="n">
        <v>1494</v>
      </c>
      <c r="IG67" s="892" t="n">
        <v>1598.533</v>
      </c>
      <c r="IH67" s="892" t="n">
        <v>1519.896</v>
      </c>
      <c r="II67" s="892" t="n">
        <v>1519.896</v>
      </c>
      <c r="IJ67" s="892" t="n">
        <v>1565.191</v>
      </c>
      <c r="IK67" s="892" t="n">
        <v>1533.175</v>
      </c>
      <c r="IL67" s="892" t="n">
        <v>1411.11</v>
      </c>
      <c r="IM67" s="892" t="n">
        <v>1522.427</v>
      </c>
      <c r="IN67" s="892" t="n">
        <v>1582.898</v>
      </c>
      <c r="IO67" s="892" t="n">
        <v>1414.548</v>
      </c>
      <c r="IP67" s="892" t="n">
        <v>1135.015</v>
      </c>
      <c r="IQ67" s="892" t="n">
        <v>1341.552</v>
      </c>
      <c r="IR67" s="892" t="n">
        <v>1423.413</v>
      </c>
      <c r="IS67" s="892" t="n">
        <v>1647.081</v>
      </c>
      <c r="IT67" s="892" t="n">
        <v>1537.014</v>
      </c>
      <c r="IU67" s="892" t="n">
        <v>516.079</v>
      </c>
      <c r="IV67" s="892" t="n">
        <v>219.27</v>
      </c>
      <c r="IW67" s="892" t="n">
        <v>9.061999999999999</v>
      </c>
      <c r="IX67" s="893" t="n">
        <v>8.984</v>
      </c>
      <c r="IY67" s="893" t="n">
        <v>17.796</v>
      </c>
      <c r="IZ67" s="893" t="n">
        <v>25.049</v>
      </c>
      <c r="JA67" s="893" t="n">
        <v>16.696</v>
      </c>
      <c r="JB67" s="893" t="n">
        <v>17.796</v>
      </c>
      <c r="JC67" s="893" t="n">
        <v>20.172</v>
      </c>
      <c r="JD67" s="893" t="n">
        <v>20.994</v>
      </c>
      <c r="JE67" s="893" t="n">
        <v>21.953</v>
      </c>
      <c r="JF67" s="893" t="n">
        <v>19.217</v>
      </c>
      <c r="JG67" s="893" t="n">
        <v>15.925</v>
      </c>
      <c r="JH67" s="893" t="n">
        <v>11.501</v>
      </c>
      <c r="JI67" s="893" t="n">
        <v>16.79</v>
      </c>
      <c r="JJ67" s="893" t="n">
        <v>12.846</v>
      </c>
      <c r="JK67" s="893" t="n">
        <v>15.606</v>
      </c>
      <c r="JL67" s="893" t="n">
        <v>19.094</v>
      </c>
      <c r="JM67" s="893" t="n">
        <v>17.596</v>
      </c>
      <c r="JN67" s="893" t="n">
        <v>21.914</v>
      </c>
      <c r="JO67" s="893" t="n">
        <v>26.253</v>
      </c>
      <c r="JP67" s="893" t="n">
        <v>28.231</v>
      </c>
      <c r="JQ67" s="893" t="n">
        <v>20.682</v>
      </c>
      <c r="JR67" s="893" t="n">
        <v>7.274</v>
      </c>
      <c r="JS67" s="893" t="n">
        <v>7.676</v>
      </c>
      <c r="JT67" s="893" t="n">
        <v>9.996</v>
      </c>
      <c r="JU67" s="893" t="n">
        <v>15.263</v>
      </c>
      <c r="JV67" s="893" t="n">
        <v>15.68</v>
      </c>
      <c r="JW67" s="893" t="n">
        <v>46.25</v>
      </c>
      <c r="JX67" s="893" t="n">
        <v>91.744</v>
      </c>
      <c r="JY67" s="893" t="n">
        <v>77.827</v>
      </c>
      <c r="JZ67" s="893" t="n">
        <v>95.25700000000001</v>
      </c>
      <c r="KA67" s="893" t="n">
        <v>197.555</v>
      </c>
      <c r="KB67" s="893" t="n">
        <v>270.586</v>
      </c>
      <c r="KC67" s="893" t="n">
        <v>455.008</v>
      </c>
      <c r="KD67" s="893" t="n">
        <v>557.877</v>
      </c>
      <c r="KE67" s="893" t="n">
        <v>653.772</v>
      </c>
      <c r="KF67" s="893" t="n">
        <v>726.353</v>
      </c>
      <c r="KG67" s="893" t="n">
        <v>776.3920000000001</v>
      </c>
      <c r="KH67" s="893" t="n">
        <v>767.816</v>
      </c>
      <c r="KI67" s="893" t="n">
        <v>788.095</v>
      </c>
      <c r="KJ67" s="893" t="n">
        <v>870.069</v>
      </c>
      <c r="KK67" s="893" t="n">
        <v>835.623</v>
      </c>
      <c r="KL67" s="893" t="n">
        <v>705.5650000000001</v>
      </c>
      <c r="KM67" s="893" t="n">
        <v>801.84</v>
      </c>
      <c r="KN67" s="893" t="n">
        <v>792.979</v>
      </c>
      <c r="KO67" s="893" t="n">
        <v>929.9160000000001</v>
      </c>
      <c r="KP67" s="893" t="n">
        <v>849.056</v>
      </c>
      <c r="KQ67" s="893" t="n">
        <v>898.263</v>
      </c>
      <c r="KR67" s="893" t="n">
        <v>960.926</v>
      </c>
      <c r="KS67" s="893" t="n">
        <v>881.793</v>
      </c>
      <c r="KT67" s="893" t="n">
        <v>796.933</v>
      </c>
      <c r="KU67" s="893" t="n">
        <v>941.069</v>
      </c>
      <c r="KV67" s="893" t="n">
        <v>1074.758</v>
      </c>
      <c r="KW67" s="893" t="n">
        <v>1132.803</v>
      </c>
      <c r="KX67" s="893" t="n">
        <v>932.504</v>
      </c>
      <c r="KY67" s="893" t="n">
        <v>1033.114</v>
      </c>
      <c r="KZ67" s="893" t="n">
        <v>1006.061</v>
      </c>
      <c r="LA67" s="893" t="n">
        <v>1166.58</v>
      </c>
      <c r="LB67" s="893" t="n"/>
      <c r="LC67" s="893" t="n"/>
      <c r="LD67" s="893" t="n"/>
      <c r="LE67" s="893" t="n"/>
      <c r="LF67" s="893" t="n"/>
      <c r="LG67" s="893" t="n"/>
      <c r="LH67" s="893" t="n"/>
      <c r="LI67" s="893" t="n"/>
      <c r="LJ67" s="893" t="n"/>
      <c r="LK67" s="893" t="n"/>
      <c r="LL67" s="893" t="n"/>
      <c r="LM67" s="893" t="n"/>
      <c r="LN67" s="893" t="n"/>
      <c r="LO67" s="893" t="n"/>
      <c r="LP67" s="893" t="n"/>
      <c r="LQ67" s="893" t="n"/>
      <c r="LR67" s="893" t="n"/>
      <c r="LS67" s="893" t="n"/>
    </row>
    <row r="68" outlineLevel="1" ht="15" customHeight="1" s="239">
      <c r="A68" s="1324" t="inlineStr">
        <is>
          <t>India, Middle East, Pakistan</t>
        </is>
      </c>
      <c r="B68" s="1320" t="n"/>
      <c r="C68" s="1319" t="n"/>
      <c r="D68" s="1319" t="n"/>
      <c r="E68" s="1319" t="n"/>
      <c r="F68" s="1319" t="n"/>
      <c r="G68" s="1319" t="n"/>
      <c r="H68" s="1319" t="n"/>
      <c r="I68" s="1319" t="n"/>
      <c r="J68" s="1319" t="n"/>
      <c r="K68" s="1319" t="n"/>
      <c r="L68" s="1319" t="n"/>
      <c r="M68" s="1319" t="n"/>
      <c r="N68" s="1320" t="n"/>
      <c r="O68" s="1319" t="n"/>
      <c r="P68" s="1319" t="n"/>
      <c r="Q68" s="1319" t="n"/>
      <c r="R68" s="1319" t="n"/>
      <c r="S68" s="1319" t="n"/>
      <c r="T68" s="1319" t="n"/>
      <c r="U68" s="1319" t="n"/>
      <c r="V68" s="1319" t="n"/>
      <c r="W68" s="1319" t="n"/>
      <c r="X68" s="1319" t="n"/>
      <c r="Y68" s="1319" t="n"/>
      <c r="Z68" s="1320" t="n"/>
      <c r="AA68" s="1319" t="n"/>
      <c r="AB68" s="1319" t="n"/>
      <c r="AC68" s="1319" t="n"/>
      <c r="AD68" s="1319" t="n"/>
      <c r="AE68" s="1319" t="n"/>
      <c r="AF68" s="1319" t="n"/>
      <c r="AG68" s="1319" t="n"/>
      <c r="AH68" s="1319" t="n"/>
      <c r="AI68" s="1319" t="n"/>
      <c r="AJ68" s="1319" t="n"/>
      <c r="AK68" s="1319" t="n"/>
      <c r="AL68" s="1320" t="n"/>
      <c r="AM68" s="1319" t="n"/>
      <c r="AN68" s="1319" t="n"/>
      <c r="AO68" s="1319" t="n"/>
      <c r="AP68" s="1319" t="n"/>
      <c r="AQ68" s="1319" t="n"/>
      <c r="AR68" s="1319" t="n"/>
      <c r="AS68" s="1319" t="n"/>
      <c r="AT68" s="1319" t="n"/>
      <c r="AU68" s="1319" t="n"/>
      <c r="AV68" s="1319" t="n"/>
      <c r="AW68" s="1319" t="n"/>
      <c r="AX68" s="1320" t="n"/>
      <c r="AY68" s="1320" t="n"/>
      <c r="AZ68" s="1320" t="n"/>
      <c r="BA68" s="1320" t="n"/>
      <c r="BB68" s="1320" t="n"/>
      <c r="BC68" s="1320" t="n"/>
      <c r="BD68" s="1320" t="n"/>
      <c r="BE68" s="1320" t="n"/>
      <c r="BF68" s="1320" t="n"/>
      <c r="BG68" s="1320" t="n"/>
      <c r="BH68" s="1320" t="n"/>
      <c r="BI68" s="1320" t="n"/>
      <c r="BJ68" s="1320" t="n"/>
      <c r="BK68" s="1320" t="n"/>
      <c r="BL68" s="1320" t="n"/>
      <c r="BM68" s="1320" t="n"/>
      <c r="BN68" s="1320" t="n"/>
      <c r="BO68" s="1320" t="n"/>
      <c r="BP68" s="1320" t="n"/>
      <c r="BQ68" s="1320" t="n"/>
      <c r="BR68" s="1320" t="n"/>
      <c r="BS68" s="1320" t="n"/>
      <c r="BT68" s="1320" t="n"/>
      <c r="BU68" s="1320" t="n"/>
      <c r="BV68" s="1320" t="n"/>
      <c r="BW68" s="1320" t="n"/>
      <c r="BX68" s="1320" t="n"/>
      <c r="BY68" s="1320" t="n"/>
      <c r="BZ68" s="1320" t="n"/>
      <c r="CA68" s="1320" t="n"/>
      <c r="CB68" s="1320" t="n"/>
      <c r="CC68" s="1320" t="n"/>
      <c r="CD68" s="1320" t="n"/>
      <c r="CE68" s="1320" t="n"/>
      <c r="CF68" s="1320" t="n"/>
      <c r="CG68" s="1320" t="n"/>
      <c r="CH68" s="1320" t="n"/>
      <c r="CI68" s="1320" t="n"/>
      <c r="CJ68" s="1321" t="n"/>
      <c r="CK68" s="1321" t="n"/>
      <c r="CL68" s="1322" t="n"/>
      <c r="CM68" s="1322" t="n"/>
      <c r="CN68" s="1319" t="n"/>
      <c r="CO68" s="1319" t="n"/>
      <c r="CP68" s="1319" t="n"/>
      <c r="CQ68" s="1319" t="n"/>
      <c r="CR68" s="1319" t="n"/>
      <c r="CS68" s="1319" t="n"/>
      <c r="CT68" s="1319" t="n"/>
      <c r="CU68" s="1319" t="n"/>
      <c r="CV68" s="1319" t="n"/>
      <c r="CW68" s="1320" t="n"/>
      <c r="CX68" s="1320" t="n"/>
      <c r="CY68" s="1320" t="n"/>
      <c r="CZ68" s="1320" t="n"/>
      <c r="DA68" s="1320" t="n"/>
      <c r="DB68" s="1320" t="n"/>
      <c r="DC68" s="1320" t="n"/>
      <c r="DD68" s="1320" t="n"/>
      <c r="DE68" s="1320" t="n"/>
      <c r="DF68" s="1320" t="n"/>
      <c r="DG68" s="1320" t="n"/>
      <c r="DH68" s="1320" t="n"/>
      <c r="DI68" s="1320" t="n"/>
      <c r="DJ68" s="1320" t="n"/>
      <c r="DK68" s="1320" t="n"/>
      <c r="DL68" s="1320" t="n"/>
      <c r="DM68" s="1320" t="n"/>
      <c r="DN68" s="1320" t="n"/>
      <c r="DO68" s="1320" t="n"/>
      <c r="DP68" s="1320" t="n"/>
      <c r="DQ68" s="1320" t="n"/>
      <c r="DR68" s="1320" t="n"/>
      <c r="DS68" s="1320" t="n"/>
      <c r="DT68" s="1320" t="n"/>
      <c r="DU68" s="1320" t="n"/>
      <c r="DV68" s="1320" t="n"/>
      <c r="DW68" s="1320" t="n"/>
      <c r="DX68" s="1320" t="n"/>
      <c r="DY68" s="1320" t="n"/>
      <c r="DZ68" s="1320" t="n"/>
      <c r="EA68" s="1320" t="n"/>
      <c r="EB68" s="1320" t="n"/>
      <c r="EC68" s="1320" t="n"/>
      <c r="ED68" s="1320" t="n"/>
      <c r="EE68" s="1320" t="n"/>
      <c r="EF68" s="1325" t="n">
        <v>762.284</v>
      </c>
      <c r="EG68" s="1325" t="n">
        <v>703.426</v>
      </c>
      <c r="EH68" s="1325" t="n">
        <v>689.552</v>
      </c>
      <c r="EI68" s="1325" t="n">
        <v>710.192</v>
      </c>
      <c r="EJ68" s="1325" t="n">
        <v>745.78</v>
      </c>
      <c r="EK68" s="1325" t="n">
        <v>679.427</v>
      </c>
      <c r="EL68" s="1325" t="n">
        <v>647.86</v>
      </c>
      <c r="EM68" s="1325" t="n">
        <v>701.506</v>
      </c>
      <c r="EN68" s="1325" t="n">
        <v>693.12</v>
      </c>
      <c r="EO68" s="1325" t="n">
        <v>752.627</v>
      </c>
      <c r="EP68" s="1325" t="n">
        <v>712.711</v>
      </c>
      <c r="EQ68" s="1325" t="n">
        <v>597.8819999999999</v>
      </c>
      <c r="ER68" s="1325" t="n">
        <v>730.038</v>
      </c>
      <c r="ES68" s="1325" t="n">
        <v>716.092</v>
      </c>
      <c r="ET68" s="1325" t="n">
        <v>711.418</v>
      </c>
      <c r="EU68" s="1325" t="n">
        <v>740.718</v>
      </c>
      <c r="EV68" s="1325" t="n">
        <v>810.62</v>
      </c>
      <c r="EW68" s="1325" t="n">
        <v>713.591</v>
      </c>
      <c r="EX68" s="1325" t="n">
        <v>671.401</v>
      </c>
      <c r="EY68" s="1325" t="n">
        <v>679.393</v>
      </c>
      <c r="EZ68" s="1325" t="n">
        <v>666.1849999999999</v>
      </c>
      <c r="FA68" s="1325" t="n">
        <v>756.932</v>
      </c>
      <c r="FB68" s="1325" t="n">
        <v>711.4690000000001</v>
      </c>
      <c r="FC68" s="1325" t="n">
        <v>647.448</v>
      </c>
      <c r="FD68" s="1325" t="n">
        <v>782.03</v>
      </c>
      <c r="FE68" s="1325" t="n">
        <v>719.474</v>
      </c>
      <c r="FF68" s="1325" t="n">
        <v>736.552</v>
      </c>
      <c r="FG68" s="1325" t="n">
        <v>734.287</v>
      </c>
      <c r="FH68" s="1325" t="n">
        <v>669.171</v>
      </c>
      <c r="FI68" s="1325" t="n">
        <v>663.429</v>
      </c>
      <c r="FJ68" s="1325" t="n">
        <v>634.543</v>
      </c>
      <c r="FK68" s="1325" t="n">
        <v>659.465</v>
      </c>
      <c r="FL68" s="1325" t="n">
        <v>677.352</v>
      </c>
      <c r="FM68" s="1325" t="n">
        <v>702.691</v>
      </c>
      <c r="FN68" s="1325" t="n">
        <v>647.998</v>
      </c>
      <c r="FO68" s="1325" t="n">
        <v>594.236</v>
      </c>
      <c r="FP68" s="1325" t="n">
        <v>719.229</v>
      </c>
      <c r="FQ68" s="1325" t="n">
        <v>673.494</v>
      </c>
      <c r="FR68" s="1325" t="n">
        <v>697.356</v>
      </c>
      <c r="FS68" s="1325" t="n">
        <v>712.809</v>
      </c>
      <c r="FT68" s="1325" t="n">
        <v>666.415</v>
      </c>
      <c r="FU68" s="1325" t="n">
        <v>711.504</v>
      </c>
      <c r="FV68" s="1325" t="n">
        <v>612.1900000000001</v>
      </c>
      <c r="FW68" s="1325" t="n">
        <v>657.491</v>
      </c>
      <c r="FX68" s="1325" t="n">
        <v>659.619</v>
      </c>
      <c r="FY68" s="1325" t="n">
        <v>723.928</v>
      </c>
      <c r="FZ68" s="1325" t="n">
        <v>712.454</v>
      </c>
      <c r="GA68" s="1325" t="n">
        <v>599.836</v>
      </c>
      <c r="GB68" s="1325" t="n">
        <v>725.529</v>
      </c>
      <c r="GC68" s="1325" t="n">
        <v>739.638</v>
      </c>
      <c r="GD68" s="1325" t="n">
        <v>773.186</v>
      </c>
      <c r="GE68" s="1325" t="n">
        <v>758.682</v>
      </c>
      <c r="GF68" s="1325" t="n">
        <v>714.948</v>
      </c>
      <c r="GG68" s="1325" t="n">
        <v>758.062</v>
      </c>
      <c r="GH68" s="1325" t="n">
        <v>705.025</v>
      </c>
      <c r="GI68" s="1325" t="n">
        <v>713.2569999999999</v>
      </c>
      <c r="GJ68" s="1325" t="n">
        <v>660.798</v>
      </c>
      <c r="GK68" s="1325" t="n">
        <v>698.17</v>
      </c>
      <c r="GL68" s="1325" t="n">
        <v>694.1</v>
      </c>
      <c r="GM68" s="1325" t="n">
        <v>592.5069999999999</v>
      </c>
      <c r="GN68" s="1325" t="n">
        <v>711.372</v>
      </c>
      <c r="GO68" s="1325" t="n">
        <v>696.1660000000001</v>
      </c>
      <c r="GP68" s="1325" t="n">
        <v>747.912</v>
      </c>
      <c r="GQ68" s="1325" t="n">
        <v>706.356</v>
      </c>
      <c r="GR68" s="1325" t="n">
        <v>706.356</v>
      </c>
      <c r="GS68" s="1325" t="n">
        <v>740.3579999999999</v>
      </c>
      <c r="GT68" s="1325" t="n">
        <v>740.3579999999999</v>
      </c>
      <c r="GU68" s="1325" t="n">
        <v>717.556</v>
      </c>
      <c r="GV68" s="1325" t="n">
        <v>649.778</v>
      </c>
      <c r="GW68" s="1325" t="n">
        <v>722.8819999999999</v>
      </c>
      <c r="GX68" s="1325" t="n">
        <v>732.152</v>
      </c>
      <c r="GY68" s="1325" t="n">
        <v>563.736</v>
      </c>
      <c r="GZ68" s="1325" t="n">
        <v>621.191</v>
      </c>
      <c r="HA68" s="1325" t="n">
        <v>618.534</v>
      </c>
      <c r="HB68" s="1325" t="n">
        <v>652.525</v>
      </c>
      <c r="HC68" s="1325" t="n">
        <v>585.566</v>
      </c>
      <c r="HD68" s="1325" t="n">
        <v>627.23</v>
      </c>
      <c r="HE68" s="1325" t="n">
        <v>604.663</v>
      </c>
      <c r="HF68" s="1325" t="n">
        <v>581.554</v>
      </c>
      <c r="HG68" s="1325" t="n">
        <v>535.21</v>
      </c>
      <c r="HH68" s="1325" t="n">
        <v>517.245</v>
      </c>
      <c r="HI68" s="1325" t="n">
        <v>629.91</v>
      </c>
      <c r="HJ68" s="892" t="n">
        <v>626.6799999999999</v>
      </c>
      <c r="HK68" s="892" t="n">
        <v>544.86</v>
      </c>
      <c r="HL68" s="892" t="n">
        <v>574.684</v>
      </c>
      <c r="HM68" s="892" t="n">
        <v>596.355</v>
      </c>
      <c r="HN68" s="892" t="n">
        <v>612.297</v>
      </c>
      <c r="HO68" s="892" t="n">
        <v>590.932</v>
      </c>
      <c r="HP68" s="892" t="n">
        <v>602.284</v>
      </c>
      <c r="HQ68" s="892" t="n">
        <v>558.768</v>
      </c>
      <c r="HR68" s="892" t="n">
        <v>550.861</v>
      </c>
      <c r="HS68" s="892" t="n">
        <v>545.9880000000001</v>
      </c>
      <c r="HT68" s="892" t="n">
        <v>549.752</v>
      </c>
      <c r="HU68" s="892" t="n">
        <v>647.289</v>
      </c>
      <c r="HV68" s="892" t="n">
        <v>629.545</v>
      </c>
      <c r="HW68" s="892" t="n">
        <v>517.292</v>
      </c>
      <c r="HX68" s="892" t="n">
        <v>584.052</v>
      </c>
      <c r="HY68" s="892" t="n">
        <v>576.455</v>
      </c>
      <c r="HZ68" s="892" t="n">
        <v>596.297</v>
      </c>
      <c r="IA68" s="892" t="n">
        <v>585.649</v>
      </c>
      <c r="IB68" s="892" t="n">
        <v>603.703</v>
      </c>
      <c r="IC68" s="892" t="n">
        <v>588.226</v>
      </c>
      <c r="ID68" s="892" t="n">
        <v>749.24</v>
      </c>
      <c r="IE68" s="892" t="n">
        <v>828.511</v>
      </c>
      <c r="IF68" s="892" t="n">
        <v>851.698</v>
      </c>
      <c r="IG68" s="892" t="n">
        <v>988.42</v>
      </c>
      <c r="IH68" s="892" t="n">
        <v>1014.734</v>
      </c>
      <c r="II68" s="892" t="n">
        <v>1367.463</v>
      </c>
      <c r="IJ68" s="892" t="n">
        <v>894.7430000000001</v>
      </c>
      <c r="IK68" s="892" t="n">
        <v>877.457</v>
      </c>
      <c r="IL68" s="892" t="n">
        <v>800.223</v>
      </c>
      <c r="IM68" s="892" t="n">
        <v>901.622</v>
      </c>
      <c r="IN68" s="892" t="n">
        <v>896.774</v>
      </c>
      <c r="IO68" s="892" t="n">
        <v>806.8659999999993</v>
      </c>
      <c r="IP68" s="892" t="n">
        <v>782.625</v>
      </c>
      <c r="IQ68" s="892" t="n">
        <v>819.59</v>
      </c>
      <c r="IR68" s="892" t="n">
        <v>892.478</v>
      </c>
      <c r="IS68" s="892" t="n">
        <v>1046.372</v>
      </c>
      <c r="IT68" s="892" t="n">
        <v>1006.997</v>
      </c>
      <c r="IU68" s="892" t="n">
        <v>337.678</v>
      </c>
      <c r="IV68" s="892" t="n">
        <v>105.199</v>
      </c>
      <c r="IW68" s="892" t="n">
        <v>0</v>
      </c>
      <c r="IX68" s="893" t="n">
        <v>0</v>
      </c>
      <c r="IY68" s="893" t="n">
        <v>0</v>
      </c>
      <c r="IZ68" s="893" t="n">
        <v>0</v>
      </c>
      <c r="JA68" s="893" t="n">
        <v>0</v>
      </c>
      <c r="JB68" s="893" t="n">
        <v>0</v>
      </c>
      <c r="JC68" s="893" t="n">
        <v>0</v>
      </c>
      <c r="JD68" s="893" t="n">
        <v>0</v>
      </c>
      <c r="JE68" s="893" t="n">
        <v>0</v>
      </c>
      <c r="JF68" s="893" t="n">
        <v>0</v>
      </c>
      <c r="JG68" s="893" t="n">
        <v>0</v>
      </c>
      <c r="JH68" s="893" t="n">
        <v>0</v>
      </c>
      <c r="JI68" s="893" t="n">
        <v>0</v>
      </c>
      <c r="JJ68" s="893" t="n">
        <v>0.5639999999999999</v>
      </c>
      <c r="JK68" s="893" t="n">
        <v>2.487</v>
      </c>
      <c r="JL68" s="893" t="n">
        <v>5.757</v>
      </c>
      <c r="JM68" s="893" t="n">
        <v>7.638</v>
      </c>
      <c r="JN68" s="893" t="n">
        <v>7.359</v>
      </c>
      <c r="JO68" s="893" t="n">
        <v>7.128</v>
      </c>
      <c r="JP68" s="893" t="n">
        <v>7.68</v>
      </c>
      <c r="JQ68" s="893" t="n">
        <v>7.901</v>
      </c>
      <c r="JR68" s="893" t="n">
        <v>0.219</v>
      </c>
      <c r="JS68" s="893" t="n">
        <v>0</v>
      </c>
      <c r="JT68" s="893" t="n">
        <v>0</v>
      </c>
      <c r="JU68" s="893" t="n">
        <v>0</v>
      </c>
      <c r="JV68" s="893" t="n">
        <v>5.327</v>
      </c>
      <c r="JW68" s="893" t="n">
        <v>20.676</v>
      </c>
      <c r="JX68" s="893" t="n">
        <v>32.241</v>
      </c>
      <c r="JY68" s="893" t="n">
        <v>31.583</v>
      </c>
      <c r="JZ68" s="893" t="n">
        <v>35.038</v>
      </c>
      <c r="KA68" s="893" t="n">
        <v>106.416</v>
      </c>
      <c r="KB68" s="893" t="n">
        <v>127.425</v>
      </c>
      <c r="KC68" s="893" t="n">
        <v>195.431</v>
      </c>
      <c r="KD68" s="893" t="n">
        <v>187.106</v>
      </c>
      <c r="KE68" s="893" t="n">
        <v>208.889</v>
      </c>
      <c r="KF68" s="893" t="n">
        <v>242.44</v>
      </c>
      <c r="KG68" s="893" t="n">
        <v>252.554</v>
      </c>
      <c r="KH68" s="893" t="n">
        <v>283.087</v>
      </c>
      <c r="KI68" s="893" t="n">
        <v>310.146</v>
      </c>
      <c r="KJ68" s="893" t="n">
        <v>334.826</v>
      </c>
      <c r="KK68" s="893" t="n">
        <v>389.584</v>
      </c>
      <c r="KL68" s="893" t="n">
        <v>386.76</v>
      </c>
      <c r="KM68" s="893" t="n">
        <v>434.76</v>
      </c>
      <c r="KN68" s="893" t="n">
        <v>424.387</v>
      </c>
      <c r="KO68" s="893" t="n">
        <v>448.752</v>
      </c>
      <c r="KP68" s="893" t="n">
        <v>419.96</v>
      </c>
      <c r="KQ68" s="893" t="n">
        <v>408.79</v>
      </c>
      <c r="KR68" s="893" t="n">
        <v>513.135</v>
      </c>
      <c r="KS68" s="893" t="n">
        <v>466.718</v>
      </c>
      <c r="KT68" s="893" t="n">
        <v>467.11</v>
      </c>
      <c r="KU68" s="893" t="n">
        <v>487.309</v>
      </c>
      <c r="KV68" s="893" t="n">
        <v>472.216</v>
      </c>
      <c r="KW68" s="893" t="n">
        <v>487.925</v>
      </c>
      <c r="KX68" s="893" t="n">
        <v>483.109</v>
      </c>
      <c r="KY68" s="893" t="n">
        <v>533.39</v>
      </c>
      <c r="KZ68" s="893" t="n">
        <v>618.386</v>
      </c>
      <c r="LA68" s="893" t="n">
        <v>656.6609999999999</v>
      </c>
      <c r="LB68" s="893" t="n"/>
      <c r="LC68" s="893" t="n"/>
      <c r="LD68" s="893" t="n"/>
      <c r="LE68" s="893" t="n"/>
      <c r="LF68" s="893" t="n"/>
      <c r="LG68" s="893" t="n"/>
      <c r="LH68" s="893" t="n"/>
      <c r="LI68" s="893" t="n"/>
      <c r="LJ68" s="893" t="n"/>
      <c r="LK68" s="893" t="n"/>
      <c r="LL68" s="893" t="n"/>
      <c r="LM68" s="893" t="n"/>
      <c r="LN68" s="893" t="n"/>
      <c r="LO68" s="893" t="n"/>
      <c r="LP68" s="893" t="n"/>
      <c r="LQ68" s="893" t="n"/>
      <c r="LR68" s="893" t="n"/>
      <c r="LS68" s="893" t="n"/>
    </row>
    <row r="69">
      <c r="A69" s="885" t="inlineStr">
        <is>
          <t>m cg %</t>
        </is>
      </c>
      <c r="B69" s="1318" t="n"/>
      <c r="C69" s="1318">
        <f>C66/B66-1</f>
        <v/>
      </c>
      <c r="D69" s="1318">
        <f>D66/C66-1</f>
        <v/>
      </c>
      <c r="E69" s="1318">
        <f>E66/D66-1</f>
        <v/>
      </c>
      <c r="F69" s="1318">
        <f>F66/E66-1</f>
        <v/>
      </c>
      <c r="G69" s="1318">
        <f>G66/F66-1</f>
        <v/>
      </c>
      <c r="H69" s="1318">
        <f>H66/G66-1</f>
        <v/>
      </c>
      <c r="I69" s="1318">
        <f>I66/H66-1</f>
        <v/>
      </c>
      <c r="J69" s="1318">
        <f>J66/I66-1</f>
        <v/>
      </c>
      <c r="K69" s="1318">
        <f>K66/J66-1</f>
        <v/>
      </c>
      <c r="L69" s="1318">
        <f>L66/K66-1</f>
        <v/>
      </c>
      <c r="M69" s="1318">
        <f>M66/L66-1</f>
        <v/>
      </c>
      <c r="N69" s="1318">
        <f>N66/M66-1</f>
        <v/>
      </c>
      <c r="O69" s="1318">
        <f>O66/N66-1</f>
        <v/>
      </c>
      <c r="P69" s="1318">
        <f>P66/O66-1</f>
        <v/>
      </c>
      <c r="Q69" s="1318">
        <f>Q66/P66-1</f>
        <v/>
      </c>
      <c r="R69" s="1318">
        <f>R66/Q66-1</f>
        <v/>
      </c>
      <c r="S69" s="1318">
        <f>S66/R66-1</f>
        <v/>
      </c>
      <c r="T69" s="1318">
        <f>T66/S66-1</f>
        <v/>
      </c>
      <c r="U69" s="1318">
        <f>U66/T66-1</f>
        <v/>
      </c>
      <c r="V69" s="1318">
        <f>V66/U66-1</f>
        <v/>
      </c>
      <c r="W69" s="1318">
        <f>W66/V66-1</f>
        <v/>
      </c>
      <c r="X69" s="1318">
        <f>X66/W66-1</f>
        <v/>
      </c>
      <c r="Y69" s="1318">
        <f>Y66/X66-1</f>
        <v/>
      </c>
      <c r="Z69" s="1318">
        <f>Z66/Y66-1</f>
        <v/>
      </c>
      <c r="AA69" s="1318">
        <f>AA66/Z66-1</f>
        <v/>
      </c>
      <c r="AB69" s="1318">
        <f>AB66/AA66-1</f>
        <v/>
      </c>
      <c r="AC69" s="1318">
        <f>AC66/AB66-1</f>
        <v/>
      </c>
      <c r="AD69" s="1318">
        <f>AD66/AC66-1</f>
        <v/>
      </c>
      <c r="AE69" s="1318">
        <f>AE66/AD66-1</f>
        <v/>
      </c>
      <c r="AF69" s="1318">
        <f>AF66/AE66-1</f>
        <v/>
      </c>
      <c r="AG69" s="1318">
        <f>AG66/AF66-1</f>
        <v/>
      </c>
      <c r="AH69" s="1318">
        <f>AH66/AG66-1</f>
        <v/>
      </c>
      <c r="AI69" s="1318">
        <f>AI66/AH66-1</f>
        <v/>
      </c>
      <c r="AJ69" s="1318">
        <f>AJ66/AI66-1</f>
        <v/>
      </c>
      <c r="AK69" s="1318">
        <f>AK66/AJ66-1</f>
        <v/>
      </c>
      <c r="AL69" s="1318">
        <f>AL66/AK66-1</f>
        <v/>
      </c>
      <c r="AM69" s="1318">
        <f>AM66/AL66-1</f>
        <v/>
      </c>
      <c r="AN69" s="1318">
        <f>AN66/AM66-1</f>
        <v/>
      </c>
      <c r="AO69" s="1318">
        <f>AO66/AN66-1</f>
        <v/>
      </c>
      <c r="AP69" s="1318">
        <f>AP66/AO66-1</f>
        <v/>
      </c>
      <c r="AQ69" s="1318">
        <f>AQ66/AP66-1</f>
        <v/>
      </c>
      <c r="AR69" s="1318">
        <f>AR66/AQ66-1</f>
        <v/>
      </c>
      <c r="AS69" s="1318">
        <f>AS66/AR66-1</f>
        <v/>
      </c>
      <c r="AT69" s="1318">
        <f>AT66/AS66-1</f>
        <v/>
      </c>
      <c r="AU69" s="1318">
        <f>AU66/AT66-1</f>
        <v/>
      </c>
      <c r="AV69" s="1318">
        <f>AV66/AU66-1</f>
        <v/>
      </c>
      <c r="AW69" s="1318">
        <f>AW66/AV66-1</f>
        <v/>
      </c>
      <c r="AX69" s="1318">
        <f>AX66/AW66-1</f>
        <v/>
      </c>
      <c r="AY69" s="1318">
        <f>AY66/AX66-1</f>
        <v/>
      </c>
      <c r="AZ69" s="1318">
        <f>AZ66/AY66-1</f>
        <v/>
      </c>
      <c r="BA69" s="1318">
        <f>BA66/AZ66-1</f>
        <v/>
      </c>
      <c r="BB69" s="1318">
        <f>BB66/BA66-1</f>
        <v/>
      </c>
      <c r="BC69" s="1318">
        <f>BC66/BB66-1</f>
        <v/>
      </c>
      <c r="BD69" s="1318">
        <f>BD66/BC66-1</f>
        <v/>
      </c>
      <c r="BE69" s="1318">
        <f>BE66/BD66-1</f>
        <v/>
      </c>
      <c r="BF69" s="1318">
        <f>BF66/BE66-1</f>
        <v/>
      </c>
      <c r="BG69" s="1318">
        <f>BG66/BF66-1</f>
        <v/>
      </c>
      <c r="BH69" s="1318">
        <f>BH66/BG66-1</f>
        <v/>
      </c>
      <c r="BI69" s="1318">
        <f>BI66/BH66-1</f>
        <v/>
      </c>
      <c r="BJ69" s="1318">
        <f>BJ66/BI66-1</f>
        <v/>
      </c>
      <c r="BK69" s="1318">
        <f>BK66/BJ66-1</f>
        <v/>
      </c>
      <c r="BL69" s="1318">
        <f>BL66/BK66-1</f>
        <v/>
      </c>
      <c r="BM69" s="1318">
        <f>BM66/BL66-1</f>
        <v/>
      </c>
      <c r="BN69" s="1318">
        <f>BN66/BM66-1</f>
        <v/>
      </c>
      <c r="BO69" s="1318">
        <f>BO66/BN66-1</f>
        <v/>
      </c>
      <c r="BP69" s="1318">
        <f>BP66/BO66-1</f>
        <v/>
      </c>
      <c r="BQ69" s="1318">
        <f>BQ66/BP66-1</f>
        <v/>
      </c>
      <c r="BR69" s="1318">
        <f>BR66/BQ66-1</f>
        <v/>
      </c>
      <c r="BS69" s="1318">
        <f>BS66/BR66-1</f>
        <v/>
      </c>
      <c r="BT69" s="1318">
        <f>BT66/BS66-1</f>
        <v/>
      </c>
      <c r="BU69" s="1318">
        <f>BU66/BT66-1</f>
        <v/>
      </c>
      <c r="BV69" s="1318">
        <f>BV66/BU66-1</f>
        <v/>
      </c>
      <c r="BW69" s="1318">
        <f>BW66/BV66-1</f>
        <v/>
      </c>
      <c r="BX69" s="1318">
        <f>BX66/BW66-1</f>
        <v/>
      </c>
      <c r="BY69" s="1318">
        <f>BY66/BX66-1</f>
        <v/>
      </c>
      <c r="BZ69" s="1318">
        <f>BZ66/BY66-1</f>
        <v/>
      </c>
      <c r="CA69" s="1318">
        <f>CA66/BZ66-1</f>
        <v/>
      </c>
      <c r="CB69" s="1318">
        <f>CB66/CA66-1</f>
        <v/>
      </c>
      <c r="CC69" s="1318">
        <f>CC66/CB66-1</f>
        <v/>
      </c>
      <c r="CD69" s="1318">
        <f>CD66/CC66-1</f>
        <v/>
      </c>
      <c r="CE69" s="1318">
        <f>CE66/CD66-1</f>
        <v/>
      </c>
      <c r="CF69" s="1318">
        <f>CF66/CE66-1</f>
        <v/>
      </c>
      <c r="CG69" s="1318">
        <f>CG66/CF66-1</f>
        <v/>
      </c>
      <c r="CH69" s="1318">
        <f>CH66/CG66-1</f>
        <v/>
      </c>
      <c r="CI69" s="1318">
        <f>CI66/CH66-1</f>
        <v/>
      </c>
      <c r="CJ69" s="1318">
        <f>CJ66/CI66-1</f>
        <v/>
      </c>
      <c r="CK69" s="1318">
        <f>CK66/CJ66-1</f>
        <v/>
      </c>
      <c r="CL69" s="1318">
        <f>CL66/CK66-1</f>
        <v/>
      </c>
      <c r="CM69" s="1318">
        <f>CM66/CL66-1</f>
        <v/>
      </c>
      <c r="CN69" s="1318">
        <f>CN66/CM66-1</f>
        <v/>
      </c>
      <c r="CO69" s="1318">
        <f>CO66/CN66-1</f>
        <v/>
      </c>
      <c r="CP69" s="1318">
        <f>CP66/CO66-1</f>
        <v/>
      </c>
      <c r="CQ69" s="1318">
        <f>CQ66/CP66-1</f>
        <v/>
      </c>
      <c r="CR69" s="1318">
        <f>CR66/CQ66-1</f>
        <v/>
      </c>
      <c r="CS69" s="1318">
        <f>CS66/CR66-1</f>
        <v/>
      </c>
      <c r="CT69" s="1318">
        <f>CT66/CS66-1</f>
        <v/>
      </c>
      <c r="CU69" s="1318">
        <f>CU66/CT66-1</f>
        <v/>
      </c>
      <c r="CV69" s="1318">
        <f>CV66/CU66-1</f>
        <v/>
      </c>
      <c r="CW69" s="1318">
        <f>CW66/CV66-1</f>
        <v/>
      </c>
      <c r="CX69" s="1318">
        <f>CX66/CW66-1</f>
        <v/>
      </c>
      <c r="CY69" s="1318">
        <f>CY66/CX66-1</f>
        <v/>
      </c>
      <c r="CZ69" s="1318">
        <f>CZ66/CY66-1</f>
        <v/>
      </c>
      <c r="DA69" s="1318">
        <f>DA66/CZ66-1</f>
        <v/>
      </c>
      <c r="DB69" s="1318">
        <f>DB66/DA66-1</f>
        <v/>
      </c>
      <c r="DC69" s="1318">
        <f>DC66/DB66-1</f>
        <v/>
      </c>
      <c r="DD69" s="1318">
        <f>DD66/DC66-1</f>
        <v/>
      </c>
      <c r="DE69" s="1318">
        <f>DE66/DD66-1</f>
        <v/>
      </c>
      <c r="DF69" s="1318">
        <f>DF66/DE66-1</f>
        <v/>
      </c>
      <c r="DG69" s="1318">
        <f>DG66/DF66-1</f>
        <v/>
      </c>
      <c r="DH69" s="1318">
        <f>DH66/DG66-1</f>
        <v/>
      </c>
      <c r="DI69" s="1318">
        <f>DI66/DH66-1</f>
        <v/>
      </c>
      <c r="DJ69" s="1318">
        <f>DJ66/DI66-1</f>
        <v/>
      </c>
      <c r="DK69" s="1318">
        <f>DK66/DJ66-1</f>
        <v/>
      </c>
      <c r="DL69" s="1318">
        <f>DL66/DK66-1</f>
        <v/>
      </c>
      <c r="DM69" s="1318">
        <f>DM66/DL66-1</f>
        <v/>
      </c>
      <c r="DN69" s="1318">
        <f>DN66/DM66-1</f>
        <v/>
      </c>
      <c r="DO69" s="1318">
        <f>DO66/DN66-1</f>
        <v/>
      </c>
      <c r="DP69" s="1318">
        <f>DP66/DO66-1</f>
        <v/>
      </c>
      <c r="DQ69" s="1318">
        <f>DQ66/DP66-1</f>
        <v/>
      </c>
      <c r="DR69" s="1318">
        <f>DR66/DQ66-1</f>
        <v/>
      </c>
      <c r="DS69" s="1318">
        <f>DS66/DR66-1</f>
        <v/>
      </c>
      <c r="DT69" s="1318">
        <f>DT66/DS66-1</f>
        <v/>
      </c>
      <c r="DU69" s="1318">
        <f>DU66/DT66-1</f>
        <v/>
      </c>
      <c r="DV69" s="1318">
        <f>DV66/DU66-1</f>
        <v/>
      </c>
      <c r="DW69" s="1318">
        <f>DW66/DV66-1</f>
        <v/>
      </c>
      <c r="DX69" s="1318">
        <f>DX66/DW66-1</f>
        <v/>
      </c>
      <c r="DY69" s="1318">
        <f>DY66/DX66-1</f>
        <v/>
      </c>
      <c r="DZ69" s="1318">
        <f>DZ66/DY66-1</f>
        <v/>
      </c>
      <c r="EA69" s="1318">
        <f>EA66/DZ66-1</f>
        <v/>
      </c>
      <c r="EB69" s="1318">
        <f>EB66/EA66-1</f>
        <v/>
      </c>
      <c r="EC69" s="1318">
        <f>EC66/EB66-1</f>
        <v/>
      </c>
      <c r="ED69" s="1318">
        <f>ED66/EC66-1</f>
        <v/>
      </c>
      <c r="EE69" s="1318">
        <f>EE66/ED66-1</f>
        <v/>
      </c>
      <c r="EF69" s="1318">
        <f>EF66/EE66-1</f>
        <v/>
      </c>
      <c r="EG69" s="1318">
        <f>EG66/EF66-1</f>
        <v/>
      </c>
      <c r="EH69" s="1318">
        <f>EH66/EG66-1</f>
        <v/>
      </c>
      <c r="EI69" s="1318">
        <f>EI66/EH66-1</f>
        <v/>
      </c>
      <c r="EJ69" s="1318">
        <f>EJ66/EI66-1</f>
        <v/>
      </c>
      <c r="EK69" s="1318">
        <f>EK66/EJ66-1</f>
        <v/>
      </c>
      <c r="EL69" s="1318">
        <f>EL66/EK66-1</f>
        <v/>
      </c>
      <c r="EM69" s="1318">
        <f>EM66/EL66-1</f>
        <v/>
      </c>
      <c r="EN69" s="1318">
        <f>EN66/EM66-1</f>
        <v/>
      </c>
      <c r="EO69" s="1318">
        <f>EO66/EN66-1</f>
        <v/>
      </c>
      <c r="EP69" s="1318">
        <f>EP66/EO66-1</f>
        <v/>
      </c>
      <c r="EQ69" s="1318">
        <f>EQ66/EP66-1</f>
        <v/>
      </c>
      <c r="ER69" s="1318">
        <f>ER66/EQ66-1</f>
        <v/>
      </c>
      <c r="ES69" s="1318">
        <f>ES66/ER66-1</f>
        <v/>
      </c>
      <c r="ET69" s="1318">
        <f>ET66/ES66-1</f>
        <v/>
      </c>
      <c r="EU69" s="1318">
        <f>EU66/ET66-1</f>
        <v/>
      </c>
      <c r="EV69" s="1318">
        <f>EV66/EU66-1</f>
        <v/>
      </c>
      <c r="EW69" s="1318">
        <f>EW66/EV66-1</f>
        <v/>
      </c>
      <c r="EX69" s="1318">
        <f>EX66/EW66-1</f>
        <v/>
      </c>
      <c r="EY69" s="1318">
        <f>EY66/EX66-1</f>
        <v/>
      </c>
      <c r="EZ69" s="1318">
        <f>EZ66/EY66-1</f>
        <v/>
      </c>
      <c r="FA69" s="1318">
        <f>FA66/EZ66-1</f>
        <v/>
      </c>
      <c r="FB69" s="1318">
        <f>FB66/FA66-1</f>
        <v/>
      </c>
      <c r="FC69" s="1318">
        <f>FC66/FB66-1</f>
        <v/>
      </c>
      <c r="FD69" s="1318">
        <f>FD66/FC66-1</f>
        <v/>
      </c>
      <c r="FE69" s="1318">
        <f>FE66/FD66-1</f>
        <v/>
      </c>
      <c r="FF69" s="1318">
        <f>FF66/FE66-1</f>
        <v/>
      </c>
      <c r="FG69" s="1318">
        <f>FG66/FF66-1</f>
        <v/>
      </c>
      <c r="FH69" s="1318">
        <f>FH66/FG66-1</f>
        <v/>
      </c>
      <c r="FI69" s="1318">
        <f>FI66/FH66-1</f>
        <v/>
      </c>
      <c r="FJ69" s="1318">
        <f>FJ66/FI66-1</f>
        <v/>
      </c>
      <c r="FK69" s="1318">
        <f>FK66/FJ66-1</f>
        <v/>
      </c>
      <c r="FL69" s="1318">
        <f>FL66/FK66-1</f>
        <v/>
      </c>
      <c r="FM69" s="1318">
        <f>FM66/FL66-1</f>
        <v/>
      </c>
      <c r="FN69" s="1318">
        <f>FN66/FM66-1</f>
        <v/>
      </c>
      <c r="FO69" s="1318">
        <f>FO66/FN66-1</f>
        <v/>
      </c>
      <c r="FP69" s="1318">
        <f>FP66/FO66-1</f>
        <v/>
      </c>
      <c r="FQ69" s="1318">
        <f>FQ66/FP66-1</f>
        <v/>
      </c>
      <c r="FR69" s="1318">
        <f>FR66/FQ66-1</f>
        <v/>
      </c>
      <c r="FS69" s="1318">
        <f>FS66/FR66-1</f>
        <v/>
      </c>
      <c r="FT69" s="1318">
        <f>FT66/FS66-1</f>
        <v/>
      </c>
      <c r="FU69" s="1318">
        <f>FU66/FT66-1</f>
        <v/>
      </c>
      <c r="FV69" s="1318">
        <f>FV66/FU66-1</f>
        <v/>
      </c>
      <c r="FW69" s="1318">
        <f>FW66/FV66-1</f>
        <v/>
      </c>
      <c r="FX69" s="1318">
        <f>FX66/FW66-1</f>
        <v/>
      </c>
      <c r="FY69" s="1318">
        <f>FY66/FX66-1</f>
        <v/>
      </c>
      <c r="FZ69" s="1318">
        <f>FZ66/FY66-1</f>
        <v/>
      </c>
      <c r="GA69" s="1318">
        <f>GA66/FZ66-1</f>
        <v/>
      </c>
      <c r="GB69" s="1318">
        <f>GB66/GA66-1</f>
        <v/>
      </c>
      <c r="GC69" s="1318">
        <f>GC66/GB66-1</f>
        <v/>
      </c>
      <c r="GD69" s="1318">
        <f>GD66/GC66-1</f>
        <v/>
      </c>
      <c r="GE69" s="1318">
        <f>GE66/GD66-1</f>
        <v/>
      </c>
      <c r="GF69" s="1318">
        <f>GF66/GE66-1</f>
        <v/>
      </c>
      <c r="GG69" s="1318">
        <f>GG66/GF66-1</f>
        <v/>
      </c>
      <c r="GH69" s="1318">
        <f>GH66/GG66-1</f>
        <v/>
      </c>
      <c r="GI69" s="1318">
        <f>GI66/GH66-1</f>
        <v/>
      </c>
      <c r="GJ69" s="1318">
        <f>GJ66/GI66-1</f>
        <v/>
      </c>
      <c r="GK69" s="1318">
        <f>GK66/GJ66-1</f>
        <v/>
      </c>
      <c r="GL69" s="1318">
        <f>GL66/GK66-1</f>
        <v/>
      </c>
      <c r="GM69" s="1318">
        <f>GM66/GL66-1</f>
        <v/>
      </c>
      <c r="GN69" s="1318">
        <f>GN66/GM66-1</f>
        <v/>
      </c>
      <c r="GO69" s="1318">
        <f>GO66/GN66-1</f>
        <v/>
      </c>
      <c r="GP69" s="1318">
        <f>GP66/GO66-1</f>
        <v/>
      </c>
      <c r="GQ69" s="1318">
        <f>GQ66/GP66-1</f>
        <v/>
      </c>
      <c r="GR69" s="1318">
        <f>GR66/GQ66-1</f>
        <v/>
      </c>
      <c r="GS69" s="1318">
        <f>GS66/GR66-1</f>
        <v/>
      </c>
      <c r="GT69" s="1318">
        <f>GT66/GS66-1</f>
        <v/>
      </c>
      <c r="GU69" s="1318">
        <f>GU66/GT66-1</f>
        <v/>
      </c>
      <c r="GV69" s="1318">
        <f>GV66/GU66-1</f>
        <v/>
      </c>
      <c r="GW69" s="1318">
        <f>GW66/GV66-1</f>
        <v/>
      </c>
      <c r="GX69" s="1318">
        <f>GX66/GW66-1</f>
        <v/>
      </c>
      <c r="GY69" s="1318">
        <f>GY66/GX66-1</f>
        <v/>
      </c>
      <c r="GZ69" s="1318">
        <f>GZ66/GY66-1</f>
        <v/>
      </c>
      <c r="HA69" s="1318">
        <f>HA66/GZ66-1</f>
        <v/>
      </c>
      <c r="HB69" s="1318">
        <f>HB66/HA66-1</f>
        <v/>
      </c>
      <c r="HC69" s="1318">
        <f>HC66/HB66-1</f>
        <v/>
      </c>
      <c r="HD69" s="1318">
        <f>HD66/HC66-1</f>
        <v/>
      </c>
      <c r="HE69" s="1318">
        <f>HE66/HD66-1</f>
        <v/>
      </c>
      <c r="HF69" s="1318">
        <f>HF66/HE66-1</f>
        <v/>
      </c>
      <c r="HG69" s="1318">
        <f>HG66/HF66-1</f>
        <v/>
      </c>
      <c r="HH69" s="1318">
        <f>HH66/HG66-1</f>
        <v/>
      </c>
      <c r="HI69" s="1318">
        <f>HI66/HH66-1</f>
        <v/>
      </c>
      <c r="HJ69" s="1318">
        <f>HJ66/HI66-1</f>
        <v/>
      </c>
      <c r="HK69" s="1318">
        <f>HK66/HJ66-1</f>
        <v/>
      </c>
      <c r="HL69" s="1318">
        <f>HL66/HK66-1</f>
        <v/>
      </c>
      <c r="HM69" s="1318">
        <f>HM66/HL66-1</f>
        <v/>
      </c>
      <c r="HN69" s="1318">
        <f>HN66/HM66-1</f>
        <v/>
      </c>
      <c r="HO69" s="1318">
        <f>HO66/HN66-1</f>
        <v/>
      </c>
      <c r="HP69" s="1318">
        <f>HP66/HO66-1</f>
        <v/>
      </c>
      <c r="HQ69" s="1318">
        <f>HQ66/HP66-1</f>
        <v/>
      </c>
      <c r="HR69" s="1318">
        <f>HR66/HQ66-1</f>
        <v/>
      </c>
      <c r="HS69" s="1318">
        <f>HS66/HR66-1</f>
        <v/>
      </c>
      <c r="HT69" s="1318">
        <f>HT66/HS66-1</f>
        <v/>
      </c>
      <c r="HU69" s="1318">
        <f>HU66/HT66-1</f>
        <v/>
      </c>
      <c r="HV69" s="1318">
        <f>HV66/HU66-1</f>
        <v/>
      </c>
      <c r="HW69" s="1318">
        <f>HW66/HV66-1</f>
        <v/>
      </c>
      <c r="HX69" s="1318">
        <f>HX66/HW66-1</f>
        <v/>
      </c>
      <c r="HY69" s="1318">
        <f>HY66/HX66-1</f>
        <v/>
      </c>
      <c r="HZ69" s="1318">
        <f>HZ66/HY66-1</f>
        <v/>
      </c>
      <c r="IA69" s="1318">
        <f>IA66/HZ66-1</f>
        <v/>
      </c>
      <c r="IB69" s="1318">
        <f>IB66/IA66-1</f>
        <v/>
      </c>
      <c r="IC69" s="1318">
        <f>IC66/IB66-1</f>
        <v/>
      </c>
      <c r="ID69" s="1318">
        <f>ID66/IC66-1</f>
        <v/>
      </c>
      <c r="IE69" s="1318">
        <f>IE66/ID66-1</f>
        <v/>
      </c>
      <c r="IF69" s="1318">
        <f>IF66/IE66-1</f>
        <v/>
      </c>
      <c r="IG69" s="1318">
        <f>IG66/IF66-1</f>
        <v/>
      </c>
      <c r="IH69" s="1318">
        <f>IH66/IG66-1</f>
        <v/>
      </c>
      <c r="II69" s="1318">
        <f>II66/IH66-1</f>
        <v/>
      </c>
      <c r="IJ69" s="1318">
        <f>IJ66/II66-1</f>
        <v/>
      </c>
      <c r="IK69" s="1318">
        <f>IK66/IJ66-1</f>
        <v/>
      </c>
      <c r="IL69" s="1318">
        <f>IL66/IK66-1</f>
        <v/>
      </c>
      <c r="IM69" s="1318">
        <f>IM66/IL66-1</f>
        <v/>
      </c>
      <c r="IN69" s="1318">
        <f>IN66/IM66-1</f>
        <v/>
      </c>
      <c r="IO69" s="1318">
        <f>IO66/IN66-1</f>
        <v/>
      </c>
      <c r="IP69" s="1318">
        <f>IP66/IO66-1</f>
        <v/>
      </c>
      <c r="IQ69" s="1318">
        <f>IQ66/IP66-1</f>
        <v/>
      </c>
      <c r="IR69" s="1318">
        <f>IR66/IQ66-1</f>
        <v/>
      </c>
      <c r="IS69" s="1318">
        <f>IS66/IR66-1</f>
        <v/>
      </c>
      <c r="IT69" s="1318">
        <f>IT66/IS66-1</f>
        <v/>
      </c>
      <c r="IU69" s="1318">
        <f>IU66/IT66-1</f>
        <v/>
      </c>
      <c r="IV69" s="1318">
        <f>IV66/IU66-1</f>
        <v/>
      </c>
      <c r="IW69" s="1318">
        <f>IW66/IV66-1</f>
        <v/>
      </c>
      <c r="IX69" s="1318">
        <f>IX66/IW66-1</f>
        <v/>
      </c>
      <c r="IY69" s="1318">
        <f>IY66/IX66-1</f>
        <v/>
      </c>
      <c r="IZ69" s="1318">
        <f>IZ66/IY66-1</f>
        <v/>
      </c>
      <c r="JA69" s="1318">
        <f>JA66/IZ66-1</f>
        <v/>
      </c>
      <c r="JB69" s="1318">
        <f>JB66/JA66-1</f>
        <v/>
      </c>
      <c r="JC69" s="1318">
        <f>JC66/JB66-1</f>
        <v/>
      </c>
      <c r="JD69" s="1318">
        <f>JD66/JC66-1</f>
        <v/>
      </c>
      <c r="JE69" s="1318">
        <f>JE66/JD66-1</f>
        <v/>
      </c>
      <c r="JF69" s="1318">
        <f>JF66/JE66-1</f>
        <v/>
      </c>
      <c r="JG69" s="1318">
        <f>JG66/JF66-1</f>
        <v/>
      </c>
      <c r="JH69" s="1318">
        <f>JH66/JG66-1</f>
        <v/>
      </c>
      <c r="JI69" s="1318">
        <f>JI66/JH66-1</f>
        <v/>
      </c>
      <c r="JJ69" s="1318">
        <f>JJ66/JI66-1</f>
        <v/>
      </c>
      <c r="JK69" s="1318">
        <f>JK66/JJ66-1</f>
        <v/>
      </c>
      <c r="JL69" s="1318">
        <f>JL66/JK66-1</f>
        <v/>
      </c>
      <c r="JM69" s="1318">
        <f>JM66/JL66-1</f>
        <v/>
      </c>
      <c r="JN69" s="1318">
        <f>JN66/JM66-1</f>
        <v/>
      </c>
      <c r="JO69" s="1318">
        <f>JO66/JN66-1</f>
        <v/>
      </c>
      <c r="JP69" s="1318">
        <f>JP66/JO66-1</f>
        <v/>
      </c>
      <c r="JQ69" s="1318">
        <f>JQ66/JP66-1</f>
        <v/>
      </c>
      <c r="JR69" s="1318">
        <f>JR66/JQ66-1</f>
        <v/>
      </c>
      <c r="JS69" s="1318">
        <f>JS66/JR66-1</f>
        <v/>
      </c>
      <c r="JT69" s="1318">
        <f>JT66/JS66-1</f>
        <v/>
      </c>
      <c r="JU69" s="1318">
        <f>JU66/JT66-1</f>
        <v/>
      </c>
      <c r="JV69" s="1318">
        <f>JV66/JU66-1</f>
        <v/>
      </c>
      <c r="JW69" s="1318">
        <f>JW66/JV66-1</f>
        <v/>
      </c>
      <c r="JX69" s="1318">
        <f>JX66/JW66-1</f>
        <v/>
      </c>
      <c r="JY69" s="1318">
        <f>JY66/JX66-1</f>
        <v/>
      </c>
      <c r="JZ69" s="1318">
        <f>JZ66/JY66-1</f>
        <v/>
      </c>
      <c r="KA69" s="1318">
        <f>KA66/JZ66-1</f>
        <v/>
      </c>
      <c r="KB69" s="1318">
        <f>KB66/KA66-1</f>
        <v/>
      </c>
      <c r="KC69" s="1318">
        <f>KC66/KB66-1</f>
        <v/>
      </c>
      <c r="KD69" s="1318">
        <f>KD66/KC66-1</f>
        <v/>
      </c>
      <c r="KE69" s="1318">
        <f>KE66/KD66-1</f>
        <v/>
      </c>
      <c r="KF69" s="1318">
        <f>KF66/KE66-1</f>
        <v/>
      </c>
      <c r="KG69" s="1318">
        <f>KG66/KF66-1</f>
        <v/>
      </c>
      <c r="KH69" s="1318">
        <f>KH66/KG66-1</f>
        <v/>
      </c>
      <c r="KI69" s="1318">
        <f>KI66/KH66-1</f>
        <v/>
      </c>
      <c r="KJ69" s="1318">
        <f>KJ66/KI66-1</f>
        <v/>
      </c>
      <c r="KK69" s="1318">
        <f>KK66/KJ66-1</f>
        <v/>
      </c>
      <c r="KL69" s="1318">
        <f>KL66/KK66-1</f>
        <v/>
      </c>
      <c r="KM69" s="1318">
        <f>KM66/KL66-1</f>
        <v/>
      </c>
      <c r="KN69" s="1318">
        <f>KN66/KM66-1</f>
        <v/>
      </c>
      <c r="KO69" s="1318">
        <f>KO66/KN66-1</f>
        <v/>
      </c>
      <c r="KP69" s="1318">
        <f>KP66/KO66-1</f>
        <v/>
      </c>
      <c r="KQ69" s="1318">
        <f>KQ66/KP66-1</f>
        <v/>
      </c>
      <c r="KR69" s="1318">
        <f>KR66/KQ66-1</f>
        <v/>
      </c>
      <c r="KS69" s="1318">
        <f>KS66/KR66-1</f>
        <v/>
      </c>
      <c r="KT69" s="1318">
        <f>KT66/KS66-1</f>
        <v/>
      </c>
      <c r="KU69" s="1318">
        <f>KU66/KT66-1</f>
        <v/>
      </c>
      <c r="KV69" s="1318">
        <f>KV66/KU66-1</f>
        <v/>
      </c>
      <c r="KW69" s="1318">
        <f>KW66/KV66-1</f>
        <v/>
      </c>
      <c r="KX69" s="1318">
        <f>KX66/KW66-1</f>
        <v/>
      </c>
      <c r="KY69" s="1318">
        <f>KY66/KX66-1</f>
        <v/>
      </c>
      <c r="KZ69" s="1318">
        <f>KZ66/KY66-1</f>
        <v/>
      </c>
      <c r="LA69" s="1318">
        <f>LA66/KZ66-1</f>
        <v/>
      </c>
      <c r="LB69" s="1318" t="n"/>
      <c r="LC69" s="1318" t="n"/>
      <c r="LD69" s="1318" t="n"/>
      <c r="LE69" s="1318" t="n"/>
      <c r="LF69" s="1318" t="n"/>
      <c r="LG69" s="1318" t="n"/>
      <c r="LH69" s="1318" t="n"/>
      <c r="LI69" s="1318" t="n"/>
      <c r="LJ69" s="1318" t="n"/>
      <c r="LK69" s="1318" t="n"/>
      <c r="LL69" s="1318" t="n"/>
      <c r="LM69" s="1318" t="n"/>
      <c r="LN69" s="1318" t="n"/>
      <c r="LO69" s="1318" t="n"/>
      <c r="LP69" s="1318" t="n"/>
      <c r="LQ69" s="1318" t="n"/>
      <c r="LR69" s="1318" t="n"/>
      <c r="LS69" s="1318" t="n"/>
    </row>
    <row r="70">
      <c r="A70" s="885" t="inlineStr">
        <is>
          <t>YoY cg %</t>
        </is>
      </c>
      <c r="B70" s="1318" t="n"/>
      <c r="C70" s="1318" t="n"/>
      <c r="D70" s="1318" t="n"/>
      <c r="E70" s="1318" t="n"/>
      <c r="F70" s="1318" t="n"/>
      <c r="G70" s="1318" t="n"/>
      <c r="H70" s="1318" t="n"/>
      <c r="I70" s="1318" t="n"/>
      <c r="J70" s="1318" t="n"/>
      <c r="K70" s="1318" t="n"/>
      <c r="L70" s="1318" t="n"/>
      <c r="M70" s="1318" t="n"/>
      <c r="N70" s="1318">
        <f>N66/B66-1</f>
        <v/>
      </c>
      <c r="O70" s="1318">
        <f>O66/C66-1</f>
        <v/>
      </c>
      <c r="P70" s="1318">
        <f>P66/D66-1</f>
        <v/>
      </c>
      <c r="Q70" s="1318">
        <f>Q66/E66-1</f>
        <v/>
      </c>
      <c r="R70" s="1318">
        <f>R66/F66-1</f>
        <v/>
      </c>
      <c r="S70" s="1318">
        <f>S66/G66-1</f>
        <v/>
      </c>
      <c r="T70" s="1318">
        <f>T66/H66-1</f>
        <v/>
      </c>
      <c r="U70" s="1318">
        <f>U66/I66-1</f>
        <v/>
      </c>
      <c r="V70" s="1318">
        <f>V66/J66-1</f>
        <v/>
      </c>
      <c r="W70" s="1318">
        <f>W66/K66-1</f>
        <v/>
      </c>
      <c r="X70" s="1318">
        <f>X66/L66-1</f>
        <v/>
      </c>
      <c r="Y70" s="1318">
        <f>Y66/M66-1</f>
        <v/>
      </c>
      <c r="Z70" s="1318">
        <f>Z66/N66-1</f>
        <v/>
      </c>
      <c r="AA70" s="1318">
        <f>AA66/O66-1</f>
        <v/>
      </c>
      <c r="AB70" s="1318">
        <f>AB66/P66-1</f>
        <v/>
      </c>
      <c r="AC70" s="1318">
        <f>AC66/Q66-1</f>
        <v/>
      </c>
      <c r="AD70" s="1318">
        <f>AD66/R66-1</f>
        <v/>
      </c>
      <c r="AE70" s="1318">
        <f>AE66/S66-1</f>
        <v/>
      </c>
      <c r="AF70" s="1318">
        <f>AF66/T66-1</f>
        <v/>
      </c>
      <c r="AG70" s="1318">
        <f>AG66/U66-1</f>
        <v/>
      </c>
      <c r="AH70" s="1318">
        <f>AH66/V66-1</f>
        <v/>
      </c>
      <c r="AI70" s="1318">
        <f>AI66/W66-1</f>
        <v/>
      </c>
      <c r="AJ70" s="1318">
        <f>AJ66/X66-1</f>
        <v/>
      </c>
      <c r="AK70" s="1318">
        <f>AK66/Y66-1</f>
        <v/>
      </c>
      <c r="AL70" s="1318">
        <f>AL66/Z66-1</f>
        <v/>
      </c>
      <c r="AM70" s="1318">
        <f>AM66/AA66-1</f>
        <v/>
      </c>
      <c r="AN70" s="1318">
        <f>AN66/AB66-1</f>
        <v/>
      </c>
      <c r="AO70" s="1318">
        <f>AO66/AC66-1</f>
        <v/>
      </c>
      <c r="AP70" s="1318">
        <f>AP66/AD66-1</f>
        <v/>
      </c>
      <c r="AQ70" s="1318">
        <f>AQ66/AE66-1</f>
        <v/>
      </c>
      <c r="AR70" s="1318">
        <f>AR66/AF66-1</f>
        <v/>
      </c>
      <c r="AS70" s="1318">
        <f>AS66/AG66-1</f>
        <v/>
      </c>
      <c r="AT70" s="1318">
        <f>AT66/AH66-1</f>
        <v/>
      </c>
      <c r="AU70" s="1318">
        <f>AU66/AI66-1</f>
        <v/>
      </c>
      <c r="AV70" s="1318">
        <f>AV66/AJ66-1</f>
        <v/>
      </c>
      <c r="AW70" s="1318">
        <f>AW66/AK66-1</f>
        <v/>
      </c>
      <c r="AX70" s="1318">
        <f>AX66/AL66-1</f>
        <v/>
      </c>
      <c r="AY70" s="1318">
        <f>AY66/AM66-1</f>
        <v/>
      </c>
      <c r="AZ70" s="1318">
        <f>AZ66/AN66-1</f>
        <v/>
      </c>
      <c r="BA70" s="1318">
        <f>BA66/AO66-1</f>
        <v/>
      </c>
      <c r="BB70" s="1318">
        <f>BB66/AP66-1</f>
        <v/>
      </c>
      <c r="BC70" s="1318">
        <f>BC66/AQ66-1</f>
        <v/>
      </c>
      <c r="BD70" s="1318">
        <f>BD66/AR66-1</f>
        <v/>
      </c>
      <c r="BE70" s="1318">
        <f>BE66/AS66-1</f>
        <v/>
      </c>
      <c r="BF70" s="1318">
        <f>BF66/AT66-1</f>
        <v/>
      </c>
      <c r="BG70" s="1318">
        <f>BG66/AU66-1</f>
        <v/>
      </c>
      <c r="BH70" s="1318">
        <f>BH66/AV66-1</f>
        <v/>
      </c>
      <c r="BI70" s="1318">
        <f>BI66/AW66-1</f>
        <v/>
      </c>
      <c r="BJ70" s="1318">
        <f>BJ66/AX66-1</f>
        <v/>
      </c>
      <c r="BK70" s="1318">
        <f>BK66/AY66-1</f>
        <v/>
      </c>
      <c r="BL70" s="1318">
        <f>BL66/AZ66-1</f>
        <v/>
      </c>
      <c r="BM70" s="1318">
        <f>BM66/BA66-1</f>
        <v/>
      </c>
      <c r="BN70" s="1318">
        <f>BN66/BB66-1</f>
        <v/>
      </c>
      <c r="BO70" s="1318">
        <f>BO66/BC66-1</f>
        <v/>
      </c>
      <c r="BP70" s="1318">
        <f>BP66/BD66-1</f>
        <v/>
      </c>
      <c r="BQ70" s="1318">
        <f>BQ66/BE66-1</f>
        <v/>
      </c>
      <c r="BR70" s="1318">
        <f>BR66/BF66-1</f>
        <v/>
      </c>
      <c r="BS70" s="1318">
        <f>BS66/BG66-1</f>
        <v/>
      </c>
      <c r="BT70" s="1318">
        <f>BT66/BH66-1</f>
        <v/>
      </c>
      <c r="BU70" s="1318">
        <f>BU66/BI66-1</f>
        <v/>
      </c>
      <c r="BV70" s="1318">
        <f>BV66/BJ66-1</f>
        <v/>
      </c>
      <c r="BW70" s="1318">
        <f>BW66/BK66-1</f>
        <v/>
      </c>
      <c r="BX70" s="1318">
        <f>BX66/BL66-1</f>
        <v/>
      </c>
      <c r="BY70" s="1318">
        <f>BY66/BM66-1</f>
        <v/>
      </c>
      <c r="BZ70" s="1318">
        <f>BZ66/BN66-1</f>
        <v/>
      </c>
      <c r="CA70" s="1318">
        <f>CA66/BO66-1</f>
        <v/>
      </c>
      <c r="CB70" s="1318">
        <f>CB66/BP66-1</f>
        <v/>
      </c>
      <c r="CC70" s="1318">
        <f>CC66/BQ66-1</f>
        <v/>
      </c>
      <c r="CD70" s="1318">
        <f>CD66/BR66-1</f>
        <v/>
      </c>
      <c r="CE70" s="1318">
        <f>CE66/BS66-1</f>
        <v/>
      </c>
      <c r="CF70" s="1318">
        <f>CF66/BT66-1</f>
        <v/>
      </c>
      <c r="CG70" s="1318">
        <f>CG66/BU66-1</f>
        <v/>
      </c>
      <c r="CH70" s="1318">
        <f>CH66/BV66-1</f>
        <v/>
      </c>
      <c r="CI70" s="1318">
        <f>CI66/BW66-1</f>
        <v/>
      </c>
      <c r="CJ70" s="1318">
        <f>CJ66/BX66-1</f>
        <v/>
      </c>
      <c r="CK70" s="1318">
        <f>CK66/BY66-1</f>
        <v/>
      </c>
      <c r="CL70" s="1318">
        <f>CL66/BZ66-1</f>
        <v/>
      </c>
      <c r="CM70" s="1318">
        <f>CM66/CA66-1</f>
        <v/>
      </c>
      <c r="CN70" s="1318">
        <f>CN66/CB66-1</f>
        <v/>
      </c>
      <c r="CO70" s="1318">
        <f>CO66/CC66-1</f>
        <v/>
      </c>
      <c r="CP70" s="1318">
        <f>CP66/CD66-1</f>
        <v/>
      </c>
      <c r="CQ70" s="1318">
        <f>CQ66/CE66-1</f>
        <v/>
      </c>
      <c r="CR70" s="1318">
        <f>CR66/CF66-1</f>
        <v/>
      </c>
      <c r="CS70" s="1318">
        <f>CS66/CG66-1</f>
        <v/>
      </c>
      <c r="CT70" s="1318">
        <f>CT66/CH66-1</f>
        <v/>
      </c>
      <c r="CU70" s="1318">
        <f>CU66/CI66-1</f>
        <v/>
      </c>
      <c r="CV70" s="1318">
        <f>CV66/CJ66-1</f>
        <v/>
      </c>
      <c r="CW70" s="1318">
        <f>CW66/CK66-1</f>
        <v/>
      </c>
      <c r="CX70" s="1318">
        <f>CX66/CL66-1</f>
        <v/>
      </c>
      <c r="CY70" s="1318">
        <f>CY66/CM66-1</f>
        <v/>
      </c>
      <c r="CZ70" s="1318">
        <f>CZ66/CN66-1</f>
        <v/>
      </c>
      <c r="DA70" s="1318">
        <f>DA66/CO66-1</f>
        <v/>
      </c>
      <c r="DB70" s="1318">
        <f>DB66/CP66-1</f>
        <v/>
      </c>
      <c r="DC70" s="1318">
        <f>DC66/CQ66-1</f>
        <v/>
      </c>
      <c r="DD70" s="1318">
        <f>DD66/CR66-1</f>
        <v/>
      </c>
      <c r="DE70" s="1318">
        <f>DE66/CS66-1</f>
        <v/>
      </c>
      <c r="DF70" s="1318">
        <f>DF66/CT66-1</f>
        <v/>
      </c>
      <c r="DG70" s="1318">
        <f>DG66/CU66-1</f>
        <v/>
      </c>
      <c r="DH70" s="1318">
        <f>DH66/CV66-1</f>
        <v/>
      </c>
      <c r="DI70" s="1318">
        <f>DI66/CW66-1</f>
        <v/>
      </c>
      <c r="DJ70" s="1318">
        <f>DJ66/CX66-1</f>
        <v/>
      </c>
      <c r="DK70" s="1318">
        <f>DK66/CY66-1</f>
        <v/>
      </c>
      <c r="DL70" s="1318">
        <f>DL66/CZ66-1</f>
        <v/>
      </c>
      <c r="DM70" s="1318">
        <f>DM66/DA66-1</f>
        <v/>
      </c>
      <c r="DN70" s="1318">
        <f>DN66/DB66-1</f>
        <v/>
      </c>
      <c r="DO70" s="1318">
        <f>DO66/DC66-1</f>
        <v/>
      </c>
      <c r="DP70" s="1318">
        <f>DP66/DD66-1</f>
        <v/>
      </c>
      <c r="DQ70" s="1318">
        <f>DQ66/DE66-1</f>
        <v/>
      </c>
      <c r="DR70" s="1318">
        <f>DR66/DF66-1</f>
        <v/>
      </c>
      <c r="DS70" s="1318">
        <f>DS66/DG66-1</f>
        <v/>
      </c>
      <c r="DT70" s="1318">
        <f>DT66/DH66-1</f>
        <v/>
      </c>
      <c r="DU70" s="1318">
        <f>DU66/DI66-1</f>
        <v/>
      </c>
      <c r="DV70" s="1318">
        <f>DV66/DJ66-1</f>
        <v/>
      </c>
      <c r="DW70" s="1318">
        <f>DW66/DK66-1</f>
        <v/>
      </c>
      <c r="DX70" s="1318">
        <f>DX66/DL66-1</f>
        <v/>
      </c>
      <c r="DY70" s="1318">
        <f>DY66/DM66-1</f>
        <v/>
      </c>
      <c r="DZ70" s="1318">
        <f>DZ66/DN66-1</f>
        <v/>
      </c>
      <c r="EA70" s="1318">
        <f>EA66/DO66-1</f>
        <v/>
      </c>
      <c r="EB70" s="1318">
        <f>EB66/DP66-1</f>
        <v/>
      </c>
      <c r="EC70" s="1318">
        <f>EC66/DQ66-1</f>
        <v/>
      </c>
      <c r="ED70" s="1318">
        <f>ED66/DR66-1</f>
        <v/>
      </c>
      <c r="EE70" s="1318">
        <f>EE66/DS66-1</f>
        <v/>
      </c>
      <c r="EF70" s="1318">
        <f>EF66/DT66-1</f>
        <v/>
      </c>
      <c r="EG70" s="1318">
        <f>EG66/DU66-1</f>
        <v/>
      </c>
      <c r="EH70" s="1318">
        <f>EH66/DV66-1</f>
        <v/>
      </c>
      <c r="EI70" s="1318">
        <f>EI66/DW66-1</f>
        <v/>
      </c>
      <c r="EJ70" s="1318">
        <f>EJ66/DX66-1</f>
        <v/>
      </c>
      <c r="EK70" s="1318">
        <f>EK66/DY66-1</f>
        <v/>
      </c>
      <c r="EL70" s="1318">
        <f>EL66/DZ66-1</f>
        <v/>
      </c>
      <c r="EM70" s="1318">
        <f>EM66/EA66-1</f>
        <v/>
      </c>
      <c r="EN70" s="1318">
        <f>EN66/EB66-1</f>
        <v/>
      </c>
      <c r="EO70" s="1318">
        <f>EO66/EC66-1</f>
        <v/>
      </c>
      <c r="EP70" s="1318">
        <f>EP66/ED66-1</f>
        <v/>
      </c>
      <c r="EQ70" s="1318">
        <f>EQ66/EE66-1</f>
        <v/>
      </c>
      <c r="ER70" s="1318">
        <f>ER66/EF66-1</f>
        <v/>
      </c>
      <c r="ES70" s="1318">
        <f>ES66/EG66-1</f>
        <v/>
      </c>
      <c r="ET70" s="1318">
        <f>ET66/EH66-1</f>
        <v/>
      </c>
      <c r="EU70" s="1318">
        <f>EU66/EI66-1</f>
        <v/>
      </c>
      <c r="EV70" s="1318">
        <f>EV66/EJ66-1</f>
        <v/>
      </c>
      <c r="EW70" s="1318">
        <f>EW66/EK66-1</f>
        <v/>
      </c>
      <c r="EX70" s="1318">
        <f>EX66/EL66-1</f>
        <v/>
      </c>
      <c r="EY70" s="1318">
        <f>EY66/EM66-1</f>
        <v/>
      </c>
      <c r="EZ70" s="1318">
        <f>EZ66/EN66-1</f>
        <v/>
      </c>
      <c r="FA70" s="1318">
        <f>FA66/EO66-1</f>
        <v/>
      </c>
      <c r="FB70" s="1318">
        <f>FB66/EP66-1</f>
        <v/>
      </c>
      <c r="FC70" s="1318">
        <f>FC66/EQ66-1</f>
        <v/>
      </c>
      <c r="FD70" s="1318">
        <f>FD66/ER66-1</f>
        <v/>
      </c>
      <c r="FE70" s="1318">
        <f>FE66/ES66-1</f>
        <v/>
      </c>
      <c r="FF70" s="1318">
        <f>FF66/ET66-1</f>
        <v/>
      </c>
      <c r="FG70" s="1318">
        <f>FG66/EU66-1</f>
        <v/>
      </c>
      <c r="FH70" s="1318">
        <f>FH66/EV66-1</f>
        <v/>
      </c>
      <c r="FI70" s="1318">
        <f>FI66/EW66-1</f>
        <v/>
      </c>
      <c r="FJ70" s="1318">
        <f>FJ66/EX66-1</f>
        <v/>
      </c>
      <c r="FK70" s="1318">
        <f>FK66/EY66-1</f>
        <v/>
      </c>
      <c r="FL70" s="1318">
        <f>FL66/EZ66-1</f>
        <v/>
      </c>
      <c r="FM70" s="1318">
        <f>FM66/FA66-1</f>
        <v/>
      </c>
      <c r="FN70" s="1318">
        <f>FN66/FB66-1</f>
        <v/>
      </c>
      <c r="FO70" s="1318">
        <f>FO66/FC66-1</f>
        <v/>
      </c>
      <c r="FP70" s="1318">
        <f>FP66/FD66-1</f>
        <v/>
      </c>
      <c r="FQ70" s="1318">
        <f>FQ66/FE66-1</f>
        <v/>
      </c>
      <c r="FR70" s="1318">
        <f>FR66/FF66-1</f>
        <v/>
      </c>
      <c r="FS70" s="1318">
        <f>FS66/FG66-1</f>
        <v/>
      </c>
      <c r="FT70" s="1318">
        <f>FT66/FH66-1</f>
        <v/>
      </c>
      <c r="FU70" s="1318">
        <f>FU66/FI66-1</f>
        <v/>
      </c>
      <c r="FV70" s="1318">
        <f>FV66/FJ66-1</f>
        <v/>
      </c>
      <c r="FW70" s="1318">
        <f>FW66/FK66-1</f>
        <v/>
      </c>
      <c r="FX70" s="1318">
        <f>FX66/FL66-1</f>
        <v/>
      </c>
      <c r="FY70" s="1318">
        <f>FY66/FM66-1</f>
        <v/>
      </c>
      <c r="FZ70" s="1318">
        <f>FZ66/FN66-1</f>
        <v/>
      </c>
      <c r="GA70" s="1318">
        <f>GA66/FO66-1</f>
        <v/>
      </c>
      <c r="GB70" s="1318">
        <f>GB66/FP66-1</f>
        <v/>
      </c>
      <c r="GC70" s="1318">
        <f>GC66/FQ66-1</f>
        <v/>
      </c>
      <c r="GD70" s="1318">
        <f>GD66/FR66-1</f>
        <v/>
      </c>
      <c r="GE70" s="1318">
        <f>GE66/FS66-1</f>
        <v/>
      </c>
      <c r="GF70" s="1318">
        <f>GF66/FT66-1</f>
        <v/>
      </c>
      <c r="GG70" s="1318">
        <f>GG66/FU66-1</f>
        <v/>
      </c>
      <c r="GH70" s="1318">
        <f>GH66/FV66-1</f>
        <v/>
      </c>
      <c r="GI70" s="1318">
        <f>GI66/FW66-1</f>
        <v/>
      </c>
      <c r="GJ70" s="1318">
        <f>GJ66/FX66-1</f>
        <v/>
      </c>
      <c r="GK70" s="1318">
        <f>GK66/FY66-1</f>
        <v/>
      </c>
      <c r="GL70" s="1318">
        <f>GL66/FZ66-1</f>
        <v/>
      </c>
      <c r="GM70" s="1318">
        <f>GM66/GA66-1</f>
        <v/>
      </c>
      <c r="GN70" s="1318">
        <f>GN66/GB66-1</f>
        <v/>
      </c>
      <c r="GO70" s="1318">
        <f>GO66/GC66-1</f>
        <v/>
      </c>
      <c r="GP70" s="1318">
        <f>GP66/GD66-1</f>
        <v/>
      </c>
      <c r="GQ70" s="1318">
        <f>GQ66/GE66-1</f>
        <v/>
      </c>
      <c r="GR70" s="1318">
        <f>GR66/GF66-1</f>
        <v/>
      </c>
      <c r="GS70" s="1318">
        <f>GS66/GG66-1</f>
        <v/>
      </c>
      <c r="GT70" s="1318">
        <f>GT66/GH66-1</f>
        <v/>
      </c>
      <c r="GU70" s="1318">
        <f>GU66/GI66-1</f>
        <v/>
      </c>
      <c r="GV70" s="1318">
        <f>GV66/GJ66-1</f>
        <v/>
      </c>
      <c r="GW70" s="1318">
        <f>GW66/GK66-1</f>
        <v/>
      </c>
      <c r="GX70" s="1318">
        <f>GX66/GL66-1</f>
        <v/>
      </c>
      <c r="GY70" s="1318">
        <f>GY66/GM66-1</f>
        <v/>
      </c>
      <c r="GZ70" s="1318">
        <f>GZ66/GN66-1</f>
        <v/>
      </c>
      <c r="HA70" s="1318">
        <f>HA66/GO66-1</f>
        <v/>
      </c>
      <c r="HB70" s="1318">
        <f>HB66/GP66-1</f>
        <v/>
      </c>
      <c r="HC70" s="1318">
        <f>HC66/GQ66-1</f>
        <v/>
      </c>
      <c r="HD70" s="1318">
        <f>HD66/GR66-1</f>
        <v/>
      </c>
      <c r="HE70" s="1318">
        <f>HE66/GS66-1</f>
        <v/>
      </c>
      <c r="HF70" s="1318">
        <f>HF66/GT66-1</f>
        <v/>
      </c>
      <c r="HG70" s="1318">
        <f>HG66/GU66-1</f>
        <v/>
      </c>
      <c r="HH70" s="1318">
        <f>HH66/GV66-1</f>
        <v/>
      </c>
      <c r="HI70" s="1318">
        <f>HI66/GW66-1</f>
        <v/>
      </c>
      <c r="HJ70" s="1318">
        <f>HJ66/GX66-1</f>
        <v/>
      </c>
      <c r="HK70" s="1318">
        <f>HK66/GY66-1</f>
        <v/>
      </c>
      <c r="HL70" s="1318">
        <f>HL66/GZ66-1</f>
        <v/>
      </c>
      <c r="HM70" s="1318">
        <f>HM66/HA66-1</f>
        <v/>
      </c>
      <c r="HN70" s="1318">
        <f>HN66/HB66-1</f>
        <v/>
      </c>
      <c r="HO70" s="1318">
        <f>HO66/HC66-1</f>
        <v/>
      </c>
      <c r="HP70" s="1318">
        <f>HP66/HD66-1</f>
        <v/>
      </c>
      <c r="HQ70" s="1318">
        <f>HQ66/HE66-1</f>
        <v/>
      </c>
      <c r="HR70" s="1318">
        <f>HR66/HF66-1</f>
        <v/>
      </c>
      <c r="HS70" s="1318">
        <f>HS66/HG66-1</f>
        <v/>
      </c>
      <c r="HT70" s="1318">
        <f>HT66/HH66-1</f>
        <v/>
      </c>
      <c r="HU70" s="1318">
        <f>HU66/HI66-1</f>
        <v/>
      </c>
      <c r="HV70" s="1318">
        <f>HV66/HJ66-1</f>
        <v/>
      </c>
      <c r="HW70" s="1318">
        <f>HW66/HK66-1</f>
        <v/>
      </c>
      <c r="HX70" s="1318">
        <f>HX66/HL66-1</f>
        <v/>
      </c>
      <c r="HY70" s="1318">
        <f>HY66/HM66-1</f>
        <v/>
      </c>
      <c r="HZ70" s="1318">
        <f>HZ66/HN66-1</f>
        <v/>
      </c>
      <c r="IA70" s="1318">
        <f>IA66/HO66-1</f>
        <v/>
      </c>
      <c r="IB70" s="1318">
        <f>IB66/HP66-1</f>
        <v/>
      </c>
      <c r="IC70" s="1318">
        <f>IC66/HQ66-1</f>
        <v/>
      </c>
      <c r="ID70" s="1318">
        <f>ID66/HR66-1</f>
        <v/>
      </c>
      <c r="IE70" s="1318">
        <f>IE66/HS66-1</f>
        <v/>
      </c>
      <c r="IF70" s="1318">
        <f>IF66/HT66-1</f>
        <v/>
      </c>
      <c r="IG70" s="1318">
        <f>IG66/HU66-1</f>
        <v/>
      </c>
      <c r="IH70" s="1318">
        <f>IH66/HV66-1</f>
        <v/>
      </c>
      <c r="II70" s="1318">
        <f>II66/HW66-1</f>
        <v/>
      </c>
      <c r="IJ70" s="1318">
        <f>IJ66/HX66-1</f>
        <v/>
      </c>
      <c r="IK70" s="1318">
        <f>IK66/HY66-1</f>
        <v/>
      </c>
      <c r="IL70" s="1318">
        <f>IL66/HZ66-1</f>
        <v/>
      </c>
      <c r="IM70" s="1318">
        <f>IM66/IA66-1</f>
        <v/>
      </c>
      <c r="IN70" s="1318">
        <f>IN66/IB66-1</f>
        <v/>
      </c>
      <c r="IO70" s="1318">
        <f>IO66/IC66-1</f>
        <v/>
      </c>
      <c r="IP70" s="1318">
        <f>IP66/ID66-1</f>
        <v/>
      </c>
      <c r="IQ70" s="1318">
        <f>IQ66/IE66-1</f>
        <v/>
      </c>
      <c r="IR70" s="1318">
        <f>IR66/IF66-1</f>
        <v/>
      </c>
      <c r="IS70" s="1318">
        <f>IS66/IG66-1</f>
        <v/>
      </c>
      <c r="IT70" s="1318">
        <f>IT66/IH66-1</f>
        <v/>
      </c>
      <c r="IU70" s="1318">
        <f>IU66/II66-1</f>
        <v/>
      </c>
      <c r="IV70" s="1318">
        <f>IV66/IJ66-1</f>
        <v/>
      </c>
      <c r="IW70" s="1318">
        <f>IW66/IK66-1</f>
        <v/>
      </c>
      <c r="IX70" s="1318">
        <f>IX66/IL66-1</f>
        <v/>
      </c>
      <c r="IY70" s="1318">
        <f>IY66/IM66-1</f>
        <v/>
      </c>
      <c r="IZ70" s="1318">
        <f>IZ66/IN66-1</f>
        <v/>
      </c>
      <c r="JA70" s="1318">
        <f>JA66/IO66-1</f>
        <v/>
      </c>
      <c r="JB70" s="1318">
        <f>JB66/IP66-1</f>
        <v/>
      </c>
      <c r="JC70" s="1318">
        <f>JC66/IQ66-1</f>
        <v/>
      </c>
      <c r="JD70" s="1318">
        <f>JD66/IR66-1</f>
        <v/>
      </c>
      <c r="JE70" s="1318">
        <f>JE66/IS66-1</f>
        <v/>
      </c>
      <c r="JF70" s="1318">
        <f>JF66/IT66-1</f>
        <v/>
      </c>
      <c r="JG70" s="1318">
        <f>JG66/IU66-1</f>
        <v/>
      </c>
      <c r="JH70" s="1318">
        <f>JH66/IV66-1</f>
        <v/>
      </c>
      <c r="JI70" s="1318">
        <f>JI66/IW66-1</f>
        <v/>
      </c>
      <c r="JJ70" s="1318">
        <f>JJ66/IX66-1</f>
        <v/>
      </c>
      <c r="JK70" s="1318">
        <f>JK66/IY66-1</f>
        <v/>
      </c>
      <c r="JL70" s="1318">
        <f>JL66/IZ66-1</f>
        <v/>
      </c>
      <c r="JM70" s="1318">
        <f>JM66/JA66-1</f>
        <v/>
      </c>
      <c r="JN70" s="1318">
        <f>JN66/JB66-1</f>
        <v/>
      </c>
      <c r="JO70" s="1318">
        <f>JO66/JC66-1</f>
        <v/>
      </c>
      <c r="JP70" s="1318">
        <f>JP66/JD66-1</f>
        <v/>
      </c>
      <c r="JQ70" s="1318">
        <f>JQ66/JE66-1</f>
        <v/>
      </c>
      <c r="JR70" s="1318">
        <f>JR66/JF66-1</f>
        <v/>
      </c>
      <c r="JS70" s="1318">
        <f>JS66/JG66-1</f>
        <v/>
      </c>
      <c r="JT70" s="1318">
        <f>JT66/JH66-1</f>
        <v/>
      </c>
      <c r="JU70" s="1318">
        <f>JU66/JI66-1</f>
        <v/>
      </c>
      <c r="JV70" s="1318">
        <f>JV66/JJ66-1</f>
        <v/>
      </c>
      <c r="JW70" s="1318">
        <f>JW66/JK66-1</f>
        <v/>
      </c>
      <c r="JX70" s="1318">
        <f>JX66/JL66-1</f>
        <v/>
      </c>
      <c r="JY70" s="1318">
        <f>JY66/JM66-1</f>
        <v/>
      </c>
      <c r="JZ70" s="1318">
        <f>JZ66/JN66-1</f>
        <v/>
      </c>
      <c r="KA70" s="1318">
        <f>KA66/JO66-1</f>
        <v/>
      </c>
      <c r="KB70" s="1318">
        <f>KB66/JP66-1</f>
        <v/>
      </c>
      <c r="KC70" s="1318">
        <f>KC66/JQ66-1</f>
        <v/>
      </c>
      <c r="KD70" s="1318">
        <f>KD66/JR66-1</f>
        <v/>
      </c>
      <c r="KE70" s="1318">
        <f>KE66/JS66-1</f>
        <v/>
      </c>
      <c r="KF70" s="1318">
        <f>KF66/JT66-1</f>
        <v/>
      </c>
      <c r="KG70" s="1318">
        <f>KG66/JU66-1</f>
        <v/>
      </c>
      <c r="KH70" s="1318">
        <f>KH66/JV66-1</f>
        <v/>
      </c>
      <c r="KI70" s="1318">
        <f>KI66/JW66-1</f>
        <v/>
      </c>
      <c r="KJ70" s="1318">
        <f>KJ66/JX66-1</f>
        <v/>
      </c>
      <c r="KK70" s="1318">
        <f>KK66/JY66-1</f>
        <v/>
      </c>
      <c r="KL70" s="1318">
        <f>KL66/JZ66-1</f>
        <v/>
      </c>
      <c r="KM70" s="1318">
        <f>KM66/KA66-1</f>
        <v/>
      </c>
      <c r="KN70" s="1318">
        <f>KN66/KB66-1</f>
        <v/>
      </c>
      <c r="KO70" s="1318">
        <f>KO66/KC66-1</f>
        <v/>
      </c>
      <c r="KP70" s="1318">
        <f>KP66/KD66-1</f>
        <v/>
      </c>
      <c r="KQ70" s="1318">
        <f>KQ66/KE66-1</f>
        <v/>
      </c>
      <c r="KR70" s="1318">
        <f>KR66/KF66-1</f>
        <v/>
      </c>
      <c r="KS70" s="1318">
        <f>KS66/KG66-1</f>
        <v/>
      </c>
      <c r="KT70" s="1318">
        <f>KT66/KH66-1</f>
        <v/>
      </c>
      <c r="KU70" s="1318">
        <f>KU66/KI66-1</f>
        <v/>
      </c>
      <c r="KV70" s="1318">
        <f>KV66/KJ66-1</f>
        <v/>
      </c>
      <c r="KW70" s="1318">
        <f>KW66/KK66-1</f>
        <v/>
      </c>
      <c r="KX70" s="1318">
        <f>KX66/KL66-1</f>
        <v/>
      </c>
      <c r="KY70" s="1318">
        <f>KY66/KM66-1</f>
        <v/>
      </c>
      <c r="KZ70" s="1318">
        <f>KZ66/KN66-1</f>
        <v/>
      </c>
      <c r="LA70" s="1318">
        <f>LA66/KO66-1</f>
        <v/>
      </c>
      <c r="LB70" s="1318" t="n"/>
      <c r="LC70" s="1318" t="n"/>
      <c r="LD70" s="1318" t="n"/>
      <c r="LE70" s="1318" t="n"/>
      <c r="LF70" s="1318" t="n"/>
      <c r="LG70" s="1318" t="n"/>
      <c r="LH70" s="1318" t="n"/>
      <c r="LI70" s="1318" t="n"/>
      <c r="LJ70" s="1318" t="n"/>
      <c r="LK70" s="1318" t="n"/>
      <c r="LL70" s="1318" t="n"/>
      <c r="LM70" s="1318" t="n"/>
      <c r="LN70" s="1318" t="n"/>
      <c r="LO70" s="1318" t="n"/>
      <c r="LP70" s="1318" t="n"/>
      <c r="LQ70" s="1318" t="n"/>
      <c r="LR70" s="1318" t="n"/>
      <c r="LS70" s="1318" t="n"/>
    </row>
    <row r="71">
      <c r="A71" s="885" t="inlineStr">
        <is>
          <t>YTD cg %</t>
        </is>
      </c>
      <c r="B71" s="1318" t="n"/>
      <c r="C71" s="1318" t="n"/>
      <c r="D71" s="1318" t="n"/>
      <c r="E71" s="1318" t="n"/>
      <c r="F71" s="1318" t="n"/>
      <c r="G71" s="1318" t="n"/>
      <c r="H71" s="1318" t="n"/>
      <c r="I71" s="1318" t="n"/>
      <c r="J71" s="1318" t="n"/>
      <c r="K71" s="1318" t="n"/>
      <c r="L71" s="1318" t="n"/>
      <c r="M71" s="1318" t="n"/>
      <c r="N71" s="1318">
        <f>SUMIFS(66:66,$8:$8,"&gt;="&amp;DATE(YEAR(N$8),1,1),$8:$8,"&lt;="&amp;EOMONTH(N$8,0))/SUMIFS(66:66,$8:$8,"&gt;="&amp;DATE(YEAR(N$8)-1,1,1),$8:$8,"&lt;="&amp;EOMONTH(N$8,-12))-1</f>
        <v/>
      </c>
      <c r="O71" s="1318">
        <f>SUMIFS(66:66,$8:$8,"&gt;="&amp;DATE(YEAR(O$8),1,1),$8:$8,"&lt;="&amp;EOMONTH(O$8,0))/SUMIFS(66:66,$8:$8,"&gt;="&amp;DATE(YEAR(O$8)-1,1,1),$8:$8,"&lt;="&amp;EOMONTH(O$8,-12))-1</f>
        <v/>
      </c>
      <c r="P71" s="1318">
        <f>SUMIFS(66:66,$8:$8,"&gt;="&amp;DATE(YEAR(P$8),1,1),$8:$8,"&lt;="&amp;EOMONTH(P$8,0))/SUMIFS(66:66,$8:$8,"&gt;="&amp;DATE(YEAR(P$8)-1,1,1),$8:$8,"&lt;="&amp;EOMONTH(P$8,-12))-1</f>
        <v/>
      </c>
      <c r="Q71" s="1318">
        <f>SUMIFS(66:66,$8:$8,"&gt;="&amp;DATE(YEAR(Q$8),1,1),$8:$8,"&lt;="&amp;EOMONTH(Q$8,0))/SUMIFS(66:66,$8:$8,"&gt;="&amp;DATE(YEAR(Q$8)-1,1,1),$8:$8,"&lt;="&amp;EOMONTH(Q$8,-12))-1</f>
        <v/>
      </c>
      <c r="R71" s="1318">
        <f>SUMIFS(66:66,$8:$8,"&gt;="&amp;DATE(YEAR(R$8),1,1),$8:$8,"&lt;="&amp;EOMONTH(R$8,0))/SUMIFS(66:66,$8:$8,"&gt;="&amp;DATE(YEAR(R$8)-1,1,1),$8:$8,"&lt;="&amp;EOMONTH(R$8,-12))-1</f>
        <v/>
      </c>
      <c r="S71" s="1318">
        <f>SUMIFS(66:66,$8:$8,"&gt;="&amp;DATE(YEAR(S$8),1,1),$8:$8,"&lt;="&amp;EOMONTH(S$8,0))/SUMIFS(66:66,$8:$8,"&gt;="&amp;DATE(YEAR(S$8)-1,1,1),$8:$8,"&lt;="&amp;EOMONTH(S$8,-12))-1</f>
        <v/>
      </c>
      <c r="T71" s="1318">
        <f>SUMIFS(66:66,$8:$8,"&gt;="&amp;DATE(YEAR(T$8),1,1),$8:$8,"&lt;="&amp;EOMONTH(T$8,0))/SUMIFS(66:66,$8:$8,"&gt;="&amp;DATE(YEAR(T$8)-1,1,1),$8:$8,"&lt;="&amp;EOMONTH(T$8,-12))-1</f>
        <v/>
      </c>
      <c r="U71" s="1318">
        <f>SUMIFS(66:66,$8:$8,"&gt;="&amp;DATE(YEAR(U$8),1,1),$8:$8,"&lt;="&amp;EOMONTH(U$8,0))/SUMIFS(66:66,$8:$8,"&gt;="&amp;DATE(YEAR(U$8)-1,1,1),$8:$8,"&lt;="&amp;EOMONTH(U$8,-12))-1</f>
        <v/>
      </c>
      <c r="V71" s="1318">
        <f>SUMIFS(66:66,$8:$8,"&gt;="&amp;DATE(YEAR(V$8),1,1),$8:$8,"&lt;="&amp;EOMONTH(V$8,0))/SUMIFS(66:66,$8:$8,"&gt;="&amp;DATE(YEAR(V$8)-1,1,1),$8:$8,"&lt;="&amp;EOMONTH(V$8,-12))-1</f>
        <v/>
      </c>
      <c r="W71" s="1318">
        <f>SUMIFS(66:66,$8:$8,"&gt;="&amp;DATE(YEAR(W$8),1,1),$8:$8,"&lt;="&amp;EOMONTH(W$8,0))/SUMIFS(66:66,$8:$8,"&gt;="&amp;DATE(YEAR(W$8)-1,1,1),$8:$8,"&lt;="&amp;EOMONTH(W$8,-12))-1</f>
        <v/>
      </c>
      <c r="X71" s="1318">
        <f>SUMIFS(66:66,$8:$8,"&gt;="&amp;DATE(YEAR(X$8),1,1),$8:$8,"&lt;="&amp;EOMONTH(X$8,0))/SUMIFS(66:66,$8:$8,"&gt;="&amp;DATE(YEAR(X$8)-1,1,1),$8:$8,"&lt;="&amp;EOMONTH(X$8,-12))-1</f>
        <v/>
      </c>
      <c r="Y71" s="1318">
        <f>SUMIFS(66:66,$8:$8,"&gt;="&amp;DATE(YEAR(Y$8),1,1),$8:$8,"&lt;="&amp;EOMONTH(Y$8,0))/SUMIFS(66:66,$8:$8,"&gt;="&amp;DATE(YEAR(Y$8)-1,1,1),$8:$8,"&lt;="&amp;EOMONTH(Y$8,-12))-1</f>
        <v/>
      </c>
      <c r="Z71" s="1318">
        <f>SUMIFS(66:66,$8:$8,"&gt;="&amp;DATE(YEAR(Z$8),1,1),$8:$8,"&lt;="&amp;EOMONTH(Z$8,0))/SUMIFS(66:66,$8:$8,"&gt;="&amp;DATE(YEAR(Z$8)-1,1,1),$8:$8,"&lt;="&amp;EOMONTH(Z$8,-12))-1</f>
        <v/>
      </c>
      <c r="AA71" s="1318">
        <f>SUMIFS(66:66,$8:$8,"&gt;="&amp;DATE(YEAR(AA$8),1,1),$8:$8,"&lt;="&amp;EOMONTH(AA$8,0))/SUMIFS(66:66,$8:$8,"&gt;="&amp;DATE(YEAR(AA$8)-1,1,1),$8:$8,"&lt;="&amp;EOMONTH(AA$8,-12))-1</f>
        <v/>
      </c>
      <c r="AB71" s="1318">
        <f>SUMIFS(66:66,$8:$8,"&gt;="&amp;DATE(YEAR(AB$8),1,1),$8:$8,"&lt;="&amp;EOMONTH(AB$8,0))/SUMIFS(66:66,$8:$8,"&gt;="&amp;DATE(YEAR(AB$8)-1,1,1),$8:$8,"&lt;="&amp;EOMONTH(AB$8,-12))-1</f>
        <v/>
      </c>
      <c r="AC71" s="1318">
        <f>SUMIFS(66:66,$8:$8,"&gt;="&amp;DATE(YEAR(AC$8),1,1),$8:$8,"&lt;="&amp;EOMONTH(AC$8,0))/SUMIFS(66:66,$8:$8,"&gt;="&amp;DATE(YEAR(AC$8)-1,1,1),$8:$8,"&lt;="&amp;EOMONTH(AC$8,-12))-1</f>
        <v/>
      </c>
      <c r="AD71" s="1318">
        <f>SUMIFS(66:66,$8:$8,"&gt;="&amp;DATE(YEAR(AD$8),1,1),$8:$8,"&lt;="&amp;EOMONTH(AD$8,0))/SUMIFS(66:66,$8:$8,"&gt;="&amp;DATE(YEAR(AD$8)-1,1,1),$8:$8,"&lt;="&amp;EOMONTH(AD$8,-12))-1</f>
        <v/>
      </c>
      <c r="AE71" s="1318">
        <f>SUMIFS(66:66,$8:$8,"&gt;="&amp;DATE(YEAR(AE$8),1,1),$8:$8,"&lt;="&amp;EOMONTH(AE$8,0))/SUMIFS(66:66,$8:$8,"&gt;="&amp;DATE(YEAR(AE$8)-1,1,1),$8:$8,"&lt;="&amp;EOMONTH(AE$8,-12))-1</f>
        <v/>
      </c>
      <c r="AF71" s="1318">
        <f>SUMIFS(66:66,$8:$8,"&gt;="&amp;DATE(YEAR(AF$8),1,1),$8:$8,"&lt;="&amp;EOMONTH(AF$8,0))/SUMIFS(66:66,$8:$8,"&gt;="&amp;DATE(YEAR(AF$8)-1,1,1),$8:$8,"&lt;="&amp;EOMONTH(AF$8,-12))-1</f>
        <v/>
      </c>
      <c r="AG71" s="1318">
        <f>SUMIFS(66:66,$8:$8,"&gt;="&amp;DATE(YEAR(AG$8),1,1),$8:$8,"&lt;="&amp;EOMONTH(AG$8,0))/SUMIFS(66:66,$8:$8,"&gt;="&amp;DATE(YEAR(AG$8)-1,1,1),$8:$8,"&lt;="&amp;EOMONTH(AG$8,-12))-1</f>
        <v/>
      </c>
      <c r="AH71" s="1318">
        <f>SUMIFS(66:66,$8:$8,"&gt;="&amp;DATE(YEAR(AH$8),1,1),$8:$8,"&lt;="&amp;EOMONTH(AH$8,0))/SUMIFS(66:66,$8:$8,"&gt;="&amp;DATE(YEAR(AH$8)-1,1,1),$8:$8,"&lt;="&amp;EOMONTH(AH$8,-12))-1</f>
        <v/>
      </c>
      <c r="AI71" s="1318">
        <f>SUMIFS(66:66,$8:$8,"&gt;="&amp;DATE(YEAR(AI$8),1,1),$8:$8,"&lt;="&amp;EOMONTH(AI$8,0))/SUMIFS(66:66,$8:$8,"&gt;="&amp;DATE(YEAR(AI$8)-1,1,1),$8:$8,"&lt;="&amp;EOMONTH(AI$8,-12))-1</f>
        <v/>
      </c>
      <c r="AJ71" s="1318">
        <f>SUMIFS(66:66,$8:$8,"&gt;="&amp;DATE(YEAR(AJ$8),1,1),$8:$8,"&lt;="&amp;EOMONTH(AJ$8,0))/SUMIFS(66:66,$8:$8,"&gt;="&amp;DATE(YEAR(AJ$8)-1,1,1),$8:$8,"&lt;="&amp;EOMONTH(AJ$8,-12))-1</f>
        <v/>
      </c>
      <c r="AK71" s="1318">
        <f>SUMIFS(66:66,$8:$8,"&gt;="&amp;DATE(YEAR(AK$8),1,1),$8:$8,"&lt;="&amp;EOMONTH(AK$8,0))/SUMIFS(66:66,$8:$8,"&gt;="&amp;DATE(YEAR(AK$8)-1,1,1),$8:$8,"&lt;="&amp;EOMONTH(AK$8,-12))-1</f>
        <v/>
      </c>
      <c r="AL71" s="1318">
        <f>SUMIFS(66:66,$8:$8,"&gt;="&amp;DATE(YEAR(AL$8),1,1),$8:$8,"&lt;="&amp;EOMONTH(AL$8,0))/SUMIFS(66:66,$8:$8,"&gt;="&amp;DATE(YEAR(AL$8)-1,1,1),$8:$8,"&lt;="&amp;EOMONTH(AL$8,-12))-1</f>
        <v/>
      </c>
      <c r="AM71" s="1318">
        <f>SUMIFS(66:66,$8:$8,"&gt;="&amp;DATE(YEAR(AM$8),1,1),$8:$8,"&lt;="&amp;EOMONTH(AM$8,0))/SUMIFS(66:66,$8:$8,"&gt;="&amp;DATE(YEAR(AM$8)-1,1,1),$8:$8,"&lt;="&amp;EOMONTH(AM$8,-12))-1</f>
        <v/>
      </c>
      <c r="AN71" s="1318">
        <f>SUMIFS(66:66,$8:$8,"&gt;="&amp;DATE(YEAR(AN$8),1,1),$8:$8,"&lt;="&amp;EOMONTH(AN$8,0))/SUMIFS(66:66,$8:$8,"&gt;="&amp;DATE(YEAR(AN$8)-1,1,1),$8:$8,"&lt;="&amp;EOMONTH(AN$8,-12))-1</f>
        <v/>
      </c>
      <c r="AO71" s="1318">
        <f>SUMIFS(66:66,$8:$8,"&gt;="&amp;DATE(YEAR(AO$8),1,1),$8:$8,"&lt;="&amp;EOMONTH(AO$8,0))/SUMIFS(66:66,$8:$8,"&gt;="&amp;DATE(YEAR(AO$8)-1,1,1),$8:$8,"&lt;="&amp;EOMONTH(AO$8,-12))-1</f>
        <v/>
      </c>
      <c r="AP71" s="1318">
        <f>SUMIFS(66:66,$8:$8,"&gt;="&amp;DATE(YEAR(AP$8),1,1),$8:$8,"&lt;="&amp;EOMONTH(AP$8,0))/SUMIFS(66:66,$8:$8,"&gt;="&amp;DATE(YEAR(AP$8)-1,1,1),$8:$8,"&lt;="&amp;EOMONTH(AP$8,-12))-1</f>
        <v/>
      </c>
      <c r="AQ71" s="1318">
        <f>SUMIFS(66:66,$8:$8,"&gt;="&amp;DATE(YEAR(AQ$8),1,1),$8:$8,"&lt;="&amp;EOMONTH(AQ$8,0))/SUMIFS(66:66,$8:$8,"&gt;="&amp;DATE(YEAR(AQ$8)-1,1,1),$8:$8,"&lt;="&amp;EOMONTH(AQ$8,-12))-1</f>
        <v/>
      </c>
      <c r="AR71" s="1318">
        <f>SUMIFS(66:66,$8:$8,"&gt;="&amp;DATE(YEAR(AR$8),1,1),$8:$8,"&lt;="&amp;EOMONTH(AR$8,0))/SUMIFS(66:66,$8:$8,"&gt;="&amp;DATE(YEAR(AR$8)-1,1,1),$8:$8,"&lt;="&amp;EOMONTH(AR$8,-12))-1</f>
        <v/>
      </c>
      <c r="AS71" s="1318">
        <f>SUMIFS(66:66,$8:$8,"&gt;="&amp;DATE(YEAR(AS$8),1,1),$8:$8,"&lt;="&amp;EOMONTH(AS$8,0))/SUMIFS(66:66,$8:$8,"&gt;="&amp;DATE(YEAR(AS$8)-1,1,1),$8:$8,"&lt;="&amp;EOMONTH(AS$8,-12))-1</f>
        <v/>
      </c>
      <c r="AT71" s="1318">
        <f>SUMIFS(66:66,$8:$8,"&gt;="&amp;DATE(YEAR(AT$8),1,1),$8:$8,"&lt;="&amp;EOMONTH(AT$8,0))/SUMIFS(66:66,$8:$8,"&gt;="&amp;DATE(YEAR(AT$8)-1,1,1),$8:$8,"&lt;="&amp;EOMONTH(AT$8,-12))-1</f>
        <v/>
      </c>
      <c r="AU71" s="1318">
        <f>SUMIFS(66:66,$8:$8,"&gt;="&amp;DATE(YEAR(AU$8),1,1),$8:$8,"&lt;="&amp;EOMONTH(AU$8,0))/SUMIFS(66:66,$8:$8,"&gt;="&amp;DATE(YEAR(AU$8)-1,1,1),$8:$8,"&lt;="&amp;EOMONTH(AU$8,-12))-1</f>
        <v/>
      </c>
      <c r="AV71" s="1318">
        <f>SUMIFS(66:66,$8:$8,"&gt;="&amp;DATE(YEAR(AV$8),1,1),$8:$8,"&lt;="&amp;EOMONTH(AV$8,0))/SUMIFS(66:66,$8:$8,"&gt;="&amp;DATE(YEAR(AV$8)-1,1,1),$8:$8,"&lt;="&amp;EOMONTH(AV$8,-12))-1</f>
        <v/>
      </c>
      <c r="AW71" s="1318">
        <f>SUMIFS(66:66,$8:$8,"&gt;="&amp;DATE(YEAR(AW$8),1,1),$8:$8,"&lt;="&amp;EOMONTH(AW$8,0))/SUMIFS(66:66,$8:$8,"&gt;="&amp;DATE(YEAR(AW$8)-1,1,1),$8:$8,"&lt;="&amp;EOMONTH(AW$8,-12))-1</f>
        <v/>
      </c>
      <c r="AX71" s="1318">
        <f>SUMIFS(66:66,$8:$8,"&gt;="&amp;DATE(YEAR(AX$8),1,1),$8:$8,"&lt;="&amp;EOMONTH(AX$8,0))/SUMIFS(66:66,$8:$8,"&gt;="&amp;DATE(YEAR(AX$8)-1,1,1),$8:$8,"&lt;="&amp;EOMONTH(AX$8,-12))-1</f>
        <v/>
      </c>
      <c r="AY71" s="1318">
        <f>SUMIFS(66:66,$8:$8,"&gt;="&amp;DATE(YEAR(AY$8),1,1),$8:$8,"&lt;="&amp;EOMONTH(AY$8,0))/SUMIFS(66:66,$8:$8,"&gt;="&amp;DATE(YEAR(AY$8)-1,1,1),$8:$8,"&lt;="&amp;EOMONTH(AY$8,-12))-1</f>
        <v/>
      </c>
      <c r="AZ71" s="1318">
        <f>SUMIFS(66:66,$8:$8,"&gt;="&amp;DATE(YEAR(AZ$8),1,1),$8:$8,"&lt;="&amp;EOMONTH(AZ$8,0))/SUMIFS(66:66,$8:$8,"&gt;="&amp;DATE(YEAR(AZ$8)-1,1,1),$8:$8,"&lt;="&amp;EOMONTH(AZ$8,-12))-1</f>
        <v/>
      </c>
      <c r="BA71" s="1318">
        <f>SUMIFS(66:66,$8:$8,"&gt;="&amp;DATE(YEAR(BA$8),1,1),$8:$8,"&lt;="&amp;EOMONTH(BA$8,0))/SUMIFS(66:66,$8:$8,"&gt;="&amp;DATE(YEAR(BA$8)-1,1,1),$8:$8,"&lt;="&amp;EOMONTH(BA$8,-12))-1</f>
        <v/>
      </c>
      <c r="BB71" s="1318">
        <f>SUMIFS(66:66,$8:$8,"&gt;="&amp;DATE(YEAR(BB$8),1,1),$8:$8,"&lt;="&amp;EOMONTH(BB$8,0))/SUMIFS(66:66,$8:$8,"&gt;="&amp;DATE(YEAR(BB$8)-1,1,1),$8:$8,"&lt;="&amp;EOMONTH(BB$8,-12))-1</f>
        <v/>
      </c>
      <c r="BC71" s="1318">
        <f>SUMIFS(66:66,$8:$8,"&gt;="&amp;DATE(YEAR(BC$8),1,1),$8:$8,"&lt;="&amp;EOMONTH(BC$8,0))/SUMIFS(66:66,$8:$8,"&gt;="&amp;DATE(YEAR(BC$8)-1,1,1),$8:$8,"&lt;="&amp;EOMONTH(BC$8,-12))-1</f>
        <v/>
      </c>
      <c r="BD71" s="1318">
        <f>SUMIFS(66:66,$8:$8,"&gt;="&amp;DATE(YEAR(BD$8),1,1),$8:$8,"&lt;="&amp;EOMONTH(BD$8,0))/SUMIFS(66:66,$8:$8,"&gt;="&amp;DATE(YEAR(BD$8)-1,1,1),$8:$8,"&lt;="&amp;EOMONTH(BD$8,-12))-1</f>
        <v/>
      </c>
      <c r="BE71" s="1318">
        <f>SUMIFS(66:66,$8:$8,"&gt;="&amp;DATE(YEAR(BE$8),1,1),$8:$8,"&lt;="&amp;EOMONTH(BE$8,0))/SUMIFS(66:66,$8:$8,"&gt;="&amp;DATE(YEAR(BE$8)-1,1,1),$8:$8,"&lt;="&amp;EOMONTH(BE$8,-12))-1</f>
        <v/>
      </c>
      <c r="BF71" s="1318">
        <f>SUMIFS(66:66,$8:$8,"&gt;="&amp;DATE(YEAR(BF$8),1,1),$8:$8,"&lt;="&amp;EOMONTH(BF$8,0))/SUMIFS(66:66,$8:$8,"&gt;="&amp;DATE(YEAR(BF$8)-1,1,1),$8:$8,"&lt;="&amp;EOMONTH(BF$8,-12))-1</f>
        <v/>
      </c>
      <c r="BG71" s="1318">
        <f>SUMIFS(66:66,$8:$8,"&gt;="&amp;DATE(YEAR(BG$8),1,1),$8:$8,"&lt;="&amp;EOMONTH(BG$8,0))/SUMIFS(66:66,$8:$8,"&gt;="&amp;DATE(YEAR(BG$8)-1,1,1),$8:$8,"&lt;="&amp;EOMONTH(BG$8,-12))-1</f>
        <v/>
      </c>
      <c r="BH71" s="1318">
        <f>SUMIFS(66:66,$8:$8,"&gt;="&amp;DATE(YEAR(BH$8),1,1),$8:$8,"&lt;="&amp;EOMONTH(BH$8,0))/SUMIFS(66:66,$8:$8,"&gt;="&amp;DATE(YEAR(BH$8)-1,1,1),$8:$8,"&lt;="&amp;EOMONTH(BH$8,-12))-1</f>
        <v/>
      </c>
      <c r="BI71" s="1318">
        <f>SUMIFS(66:66,$8:$8,"&gt;="&amp;DATE(YEAR(BI$8),1,1),$8:$8,"&lt;="&amp;EOMONTH(BI$8,0))/SUMIFS(66:66,$8:$8,"&gt;="&amp;DATE(YEAR(BI$8)-1,1,1),$8:$8,"&lt;="&amp;EOMONTH(BI$8,-12))-1</f>
        <v/>
      </c>
      <c r="BJ71" s="1318">
        <f>SUMIFS(66:66,$8:$8,"&gt;="&amp;DATE(YEAR(BJ$8),1,1),$8:$8,"&lt;="&amp;EOMONTH(BJ$8,0))/SUMIFS(66:66,$8:$8,"&gt;="&amp;DATE(YEAR(BJ$8)-1,1,1),$8:$8,"&lt;="&amp;EOMONTH(BJ$8,-12))-1</f>
        <v/>
      </c>
      <c r="BK71" s="1318">
        <f>SUMIFS(66:66,$8:$8,"&gt;="&amp;DATE(YEAR(BK$8),1,1),$8:$8,"&lt;="&amp;EOMONTH(BK$8,0))/SUMIFS(66:66,$8:$8,"&gt;="&amp;DATE(YEAR(BK$8)-1,1,1),$8:$8,"&lt;="&amp;EOMONTH(BK$8,-12))-1</f>
        <v/>
      </c>
      <c r="BL71" s="1318">
        <f>SUMIFS(66:66,$8:$8,"&gt;="&amp;DATE(YEAR(BL$8),1,1),$8:$8,"&lt;="&amp;EOMONTH(BL$8,0))/SUMIFS(66:66,$8:$8,"&gt;="&amp;DATE(YEAR(BL$8)-1,1,1),$8:$8,"&lt;="&amp;EOMONTH(BL$8,-12))-1</f>
        <v/>
      </c>
      <c r="BM71" s="1318">
        <f>SUMIFS(66:66,$8:$8,"&gt;="&amp;DATE(YEAR(BM$8),1,1),$8:$8,"&lt;="&amp;EOMONTH(BM$8,0))/SUMIFS(66:66,$8:$8,"&gt;="&amp;DATE(YEAR(BM$8)-1,1,1),$8:$8,"&lt;="&amp;EOMONTH(BM$8,-12))-1</f>
        <v/>
      </c>
      <c r="BN71" s="1318">
        <f>SUMIFS(66:66,$8:$8,"&gt;="&amp;DATE(YEAR(BN$8),1,1),$8:$8,"&lt;="&amp;EOMONTH(BN$8,0))/SUMIFS(66:66,$8:$8,"&gt;="&amp;DATE(YEAR(BN$8)-1,1,1),$8:$8,"&lt;="&amp;EOMONTH(BN$8,-12))-1</f>
        <v/>
      </c>
      <c r="BO71" s="1318">
        <f>SUMIFS(66:66,$8:$8,"&gt;="&amp;DATE(YEAR(BO$8),1,1),$8:$8,"&lt;="&amp;EOMONTH(BO$8,0))/SUMIFS(66:66,$8:$8,"&gt;="&amp;DATE(YEAR(BO$8)-1,1,1),$8:$8,"&lt;="&amp;EOMONTH(BO$8,-12))-1</f>
        <v/>
      </c>
      <c r="BP71" s="1318">
        <f>SUMIFS(66:66,$8:$8,"&gt;="&amp;DATE(YEAR(BP$8),1,1),$8:$8,"&lt;="&amp;EOMONTH(BP$8,0))/SUMIFS(66:66,$8:$8,"&gt;="&amp;DATE(YEAR(BP$8)-1,1,1),$8:$8,"&lt;="&amp;EOMONTH(BP$8,-12))-1</f>
        <v/>
      </c>
      <c r="BQ71" s="1318">
        <f>SUMIFS(66:66,$8:$8,"&gt;="&amp;DATE(YEAR(BQ$8),1,1),$8:$8,"&lt;="&amp;EOMONTH(BQ$8,0))/SUMIFS(66:66,$8:$8,"&gt;="&amp;DATE(YEAR(BQ$8)-1,1,1),$8:$8,"&lt;="&amp;EOMONTH(BQ$8,-12))-1</f>
        <v/>
      </c>
      <c r="BR71" s="1318">
        <f>SUMIFS(66:66,$8:$8,"&gt;="&amp;DATE(YEAR(BR$8),1,1),$8:$8,"&lt;="&amp;EOMONTH(BR$8,0))/SUMIFS(66:66,$8:$8,"&gt;="&amp;DATE(YEAR(BR$8)-1,1,1),$8:$8,"&lt;="&amp;EOMONTH(BR$8,-12))-1</f>
        <v/>
      </c>
      <c r="BS71" s="1318">
        <f>SUMIFS(66:66,$8:$8,"&gt;="&amp;DATE(YEAR(BS$8),1,1),$8:$8,"&lt;="&amp;EOMONTH(BS$8,0))/SUMIFS(66:66,$8:$8,"&gt;="&amp;DATE(YEAR(BS$8)-1,1,1),$8:$8,"&lt;="&amp;EOMONTH(BS$8,-12))-1</f>
        <v/>
      </c>
      <c r="BT71" s="1318">
        <f>SUMIFS(66:66,$8:$8,"&gt;="&amp;DATE(YEAR(BT$8),1,1),$8:$8,"&lt;="&amp;EOMONTH(BT$8,0))/SUMIFS(66:66,$8:$8,"&gt;="&amp;DATE(YEAR(BT$8)-1,1,1),$8:$8,"&lt;="&amp;EOMONTH(BT$8,-12))-1</f>
        <v/>
      </c>
      <c r="BU71" s="1318">
        <f>SUMIFS(66:66,$8:$8,"&gt;="&amp;DATE(YEAR(BU$8),1,1),$8:$8,"&lt;="&amp;EOMONTH(BU$8,0))/SUMIFS(66:66,$8:$8,"&gt;="&amp;DATE(YEAR(BU$8)-1,1,1),$8:$8,"&lt;="&amp;EOMONTH(BU$8,-12))-1</f>
        <v/>
      </c>
      <c r="BV71" s="1318">
        <f>SUMIFS(66:66,$8:$8,"&gt;="&amp;DATE(YEAR(BV$8),1,1),$8:$8,"&lt;="&amp;EOMONTH(BV$8,0))/SUMIFS(66:66,$8:$8,"&gt;="&amp;DATE(YEAR(BV$8)-1,1,1),$8:$8,"&lt;="&amp;EOMONTH(BV$8,-12))-1</f>
        <v/>
      </c>
      <c r="BW71" s="1318">
        <f>SUMIFS(66:66,$8:$8,"&gt;="&amp;DATE(YEAR(BW$8),1,1),$8:$8,"&lt;="&amp;EOMONTH(BW$8,0))/SUMIFS(66:66,$8:$8,"&gt;="&amp;DATE(YEAR(BW$8)-1,1,1),$8:$8,"&lt;="&amp;EOMONTH(BW$8,-12))-1</f>
        <v/>
      </c>
      <c r="BX71" s="1318">
        <f>SUMIFS(66:66,$8:$8,"&gt;="&amp;DATE(YEAR(BX$8),1,1),$8:$8,"&lt;="&amp;EOMONTH(BX$8,0))/SUMIFS(66:66,$8:$8,"&gt;="&amp;DATE(YEAR(BX$8)-1,1,1),$8:$8,"&lt;="&amp;EOMONTH(BX$8,-12))-1</f>
        <v/>
      </c>
      <c r="BY71" s="1318">
        <f>SUMIFS(66:66,$8:$8,"&gt;="&amp;DATE(YEAR(BY$8),1,1),$8:$8,"&lt;="&amp;EOMONTH(BY$8,0))/SUMIFS(66:66,$8:$8,"&gt;="&amp;DATE(YEAR(BY$8)-1,1,1),$8:$8,"&lt;="&amp;EOMONTH(BY$8,-12))-1</f>
        <v/>
      </c>
      <c r="BZ71" s="1318">
        <f>SUMIFS(66:66,$8:$8,"&gt;="&amp;DATE(YEAR(BZ$8),1,1),$8:$8,"&lt;="&amp;EOMONTH(BZ$8,0))/SUMIFS(66:66,$8:$8,"&gt;="&amp;DATE(YEAR(BZ$8)-1,1,1),$8:$8,"&lt;="&amp;EOMONTH(BZ$8,-12))-1</f>
        <v/>
      </c>
      <c r="CA71" s="1318">
        <f>SUMIFS(66:66,$8:$8,"&gt;="&amp;DATE(YEAR(CA$8),1,1),$8:$8,"&lt;="&amp;EOMONTH(CA$8,0))/SUMIFS(66:66,$8:$8,"&gt;="&amp;DATE(YEAR(CA$8)-1,1,1),$8:$8,"&lt;="&amp;EOMONTH(CA$8,-12))-1</f>
        <v/>
      </c>
      <c r="CB71" s="1318">
        <f>SUMIFS(66:66,$8:$8,"&gt;="&amp;DATE(YEAR(CB$8),1,1),$8:$8,"&lt;="&amp;EOMONTH(CB$8,0))/SUMIFS(66:66,$8:$8,"&gt;="&amp;DATE(YEAR(CB$8)-1,1,1),$8:$8,"&lt;="&amp;EOMONTH(CB$8,-12))-1</f>
        <v/>
      </c>
      <c r="CC71" s="1318">
        <f>SUMIFS(66:66,$8:$8,"&gt;="&amp;DATE(YEAR(CC$8),1,1),$8:$8,"&lt;="&amp;EOMONTH(CC$8,0))/SUMIFS(66:66,$8:$8,"&gt;="&amp;DATE(YEAR(CC$8)-1,1,1),$8:$8,"&lt;="&amp;EOMONTH(CC$8,-12))-1</f>
        <v/>
      </c>
      <c r="CD71" s="1318">
        <f>SUMIFS(66:66,$8:$8,"&gt;="&amp;DATE(YEAR(CD$8),1,1),$8:$8,"&lt;="&amp;EOMONTH(CD$8,0))/SUMIFS(66:66,$8:$8,"&gt;="&amp;DATE(YEAR(CD$8)-1,1,1),$8:$8,"&lt;="&amp;EOMONTH(CD$8,-12))-1</f>
        <v/>
      </c>
      <c r="CE71" s="1318">
        <f>SUMIFS(66:66,$8:$8,"&gt;="&amp;DATE(YEAR(CE$8),1,1),$8:$8,"&lt;="&amp;EOMONTH(CE$8,0))/SUMIFS(66:66,$8:$8,"&gt;="&amp;DATE(YEAR(CE$8)-1,1,1),$8:$8,"&lt;="&amp;EOMONTH(CE$8,-12))-1</f>
        <v/>
      </c>
      <c r="CF71" s="1318">
        <f>SUMIFS(66:66,$8:$8,"&gt;="&amp;DATE(YEAR(CF$8),1,1),$8:$8,"&lt;="&amp;EOMONTH(CF$8,0))/SUMIFS(66:66,$8:$8,"&gt;="&amp;DATE(YEAR(CF$8)-1,1,1),$8:$8,"&lt;="&amp;EOMONTH(CF$8,-12))-1</f>
        <v/>
      </c>
      <c r="CG71" s="1318">
        <f>SUMIFS(66:66,$8:$8,"&gt;="&amp;DATE(YEAR(CG$8),1,1),$8:$8,"&lt;="&amp;EOMONTH(CG$8,0))/SUMIFS(66:66,$8:$8,"&gt;="&amp;DATE(YEAR(CG$8)-1,1,1),$8:$8,"&lt;="&amp;EOMONTH(CG$8,-12))-1</f>
        <v/>
      </c>
      <c r="CH71" s="1318">
        <f>SUMIFS(66:66,$8:$8,"&gt;="&amp;DATE(YEAR(CH$8),1,1),$8:$8,"&lt;="&amp;EOMONTH(CH$8,0))/SUMIFS(66:66,$8:$8,"&gt;="&amp;DATE(YEAR(CH$8)-1,1,1),$8:$8,"&lt;="&amp;EOMONTH(CH$8,-12))-1</f>
        <v/>
      </c>
      <c r="CI71" s="1318">
        <f>SUMIFS(66:66,$8:$8,"&gt;="&amp;DATE(YEAR(CI$8),1,1),$8:$8,"&lt;="&amp;EOMONTH(CI$8,0))/SUMIFS(66:66,$8:$8,"&gt;="&amp;DATE(YEAR(CI$8)-1,1,1),$8:$8,"&lt;="&amp;EOMONTH(CI$8,-12))-1</f>
        <v/>
      </c>
      <c r="CJ71" s="1318">
        <f>SUMIFS(66:66,$8:$8,"&gt;="&amp;DATE(YEAR(CJ$8),1,1),$8:$8,"&lt;="&amp;EOMONTH(CJ$8,0))/SUMIFS(66:66,$8:$8,"&gt;="&amp;DATE(YEAR(CJ$8)-1,1,1),$8:$8,"&lt;="&amp;EOMONTH(CJ$8,-12))-1</f>
        <v/>
      </c>
      <c r="CK71" s="1318">
        <f>SUMIFS(66:66,$8:$8,"&gt;="&amp;DATE(YEAR(CK$8),1,1),$8:$8,"&lt;="&amp;EOMONTH(CK$8,0))/SUMIFS(66:66,$8:$8,"&gt;="&amp;DATE(YEAR(CK$8)-1,1,1),$8:$8,"&lt;="&amp;EOMONTH(CK$8,-12))-1</f>
        <v/>
      </c>
      <c r="CL71" s="1318">
        <f>SUMIFS(66:66,$8:$8,"&gt;="&amp;DATE(YEAR(CL$8),1,1),$8:$8,"&lt;="&amp;EOMONTH(CL$8,0))/SUMIFS(66:66,$8:$8,"&gt;="&amp;DATE(YEAR(CL$8)-1,1,1),$8:$8,"&lt;="&amp;EOMONTH(CL$8,-12))-1</f>
        <v/>
      </c>
      <c r="CM71" s="1318">
        <f>SUMIFS(66:66,$8:$8,"&gt;="&amp;DATE(YEAR(CM$8),1,1),$8:$8,"&lt;="&amp;EOMONTH(CM$8,0))/SUMIFS(66:66,$8:$8,"&gt;="&amp;DATE(YEAR(CM$8)-1,1,1),$8:$8,"&lt;="&amp;EOMONTH(CM$8,-12))-1</f>
        <v/>
      </c>
      <c r="CN71" s="1318">
        <f>SUMIFS(66:66,$8:$8,"&gt;="&amp;DATE(YEAR(CN$8),1,1),$8:$8,"&lt;="&amp;EOMONTH(CN$8,0))/SUMIFS(66:66,$8:$8,"&gt;="&amp;DATE(YEAR(CN$8)-1,1,1),$8:$8,"&lt;="&amp;EOMONTH(CN$8,-12))-1</f>
        <v/>
      </c>
      <c r="CO71" s="1318">
        <f>SUMIFS(66:66,$8:$8,"&gt;="&amp;DATE(YEAR(CO$8),1,1),$8:$8,"&lt;="&amp;EOMONTH(CO$8,0))/SUMIFS(66:66,$8:$8,"&gt;="&amp;DATE(YEAR(CO$8)-1,1,1),$8:$8,"&lt;="&amp;EOMONTH(CO$8,-12))-1</f>
        <v/>
      </c>
      <c r="CP71" s="1318">
        <f>SUMIFS(66:66,$8:$8,"&gt;="&amp;DATE(YEAR(CP$8),1,1),$8:$8,"&lt;="&amp;EOMONTH(CP$8,0))/SUMIFS(66:66,$8:$8,"&gt;="&amp;DATE(YEAR(CP$8)-1,1,1),$8:$8,"&lt;="&amp;EOMONTH(CP$8,-12))-1</f>
        <v/>
      </c>
      <c r="CQ71" s="1318">
        <f>SUMIFS(66:66,$8:$8,"&gt;="&amp;DATE(YEAR(CQ$8),1,1),$8:$8,"&lt;="&amp;EOMONTH(CQ$8,0))/SUMIFS(66:66,$8:$8,"&gt;="&amp;DATE(YEAR(CQ$8)-1,1,1),$8:$8,"&lt;="&amp;EOMONTH(CQ$8,-12))-1</f>
        <v/>
      </c>
      <c r="CR71" s="1318">
        <f>SUMIFS(66:66,$8:$8,"&gt;="&amp;DATE(YEAR(CR$8),1,1),$8:$8,"&lt;="&amp;EOMONTH(CR$8,0))/SUMIFS(66:66,$8:$8,"&gt;="&amp;DATE(YEAR(CR$8)-1,1,1),$8:$8,"&lt;="&amp;EOMONTH(CR$8,-12))-1</f>
        <v/>
      </c>
      <c r="CS71" s="1318">
        <f>SUMIFS(66:66,$8:$8,"&gt;="&amp;DATE(YEAR(CS$8),1,1),$8:$8,"&lt;="&amp;EOMONTH(CS$8,0))/SUMIFS(66:66,$8:$8,"&gt;="&amp;DATE(YEAR(CS$8)-1,1,1),$8:$8,"&lt;="&amp;EOMONTH(CS$8,-12))-1</f>
        <v/>
      </c>
      <c r="CT71" s="1318">
        <f>SUMIFS(66:66,$8:$8,"&gt;="&amp;DATE(YEAR(CT$8),1,1),$8:$8,"&lt;="&amp;EOMONTH(CT$8,0))/SUMIFS(66:66,$8:$8,"&gt;="&amp;DATE(YEAR(CT$8)-1,1,1),$8:$8,"&lt;="&amp;EOMONTH(CT$8,-12))-1</f>
        <v/>
      </c>
      <c r="CU71" s="1318">
        <f>SUMIFS(66:66,$8:$8,"&gt;="&amp;DATE(YEAR(CU$8),1,1),$8:$8,"&lt;="&amp;EOMONTH(CU$8,0))/SUMIFS(66:66,$8:$8,"&gt;="&amp;DATE(YEAR(CU$8)-1,1,1),$8:$8,"&lt;="&amp;EOMONTH(CU$8,-12))-1</f>
        <v/>
      </c>
      <c r="CV71" s="1318">
        <f>SUMIFS(66:66,$8:$8,"&gt;="&amp;DATE(YEAR(CV$8),1,1),$8:$8,"&lt;="&amp;EOMONTH(CV$8,0))/SUMIFS(66:66,$8:$8,"&gt;="&amp;DATE(YEAR(CV$8)-1,1,1),$8:$8,"&lt;="&amp;EOMONTH(CV$8,-12))-1</f>
        <v/>
      </c>
      <c r="CW71" s="1318">
        <f>SUMIFS(66:66,$8:$8,"&gt;="&amp;DATE(YEAR(CW$8),1,1),$8:$8,"&lt;="&amp;EOMONTH(CW$8,0))/SUMIFS(66:66,$8:$8,"&gt;="&amp;DATE(YEAR(CW$8)-1,1,1),$8:$8,"&lt;="&amp;EOMONTH(CW$8,-12))-1</f>
        <v/>
      </c>
      <c r="CX71" s="1318">
        <f>SUMIFS(66:66,$8:$8,"&gt;="&amp;DATE(YEAR(CX$8),1,1),$8:$8,"&lt;="&amp;EOMONTH(CX$8,0))/SUMIFS(66:66,$8:$8,"&gt;="&amp;DATE(YEAR(CX$8)-1,1,1),$8:$8,"&lt;="&amp;EOMONTH(CX$8,-12))-1</f>
        <v/>
      </c>
      <c r="CY71" s="1318">
        <f>SUMIFS(66:66,$8:$8,"&gt;="&amp;DATE(YEAR(CY$8),1,1),$8:$8,"&lt;="&amp;EOMONTH(CY$8,0))/SUMIFS(66:66,$8:$8,"&gt;="&amp;DATE(YEAR(CY$8)-1,1,1),$8:$8,"&lt;="&amp;EOMONTH(CY$8,-12))-1</f>
        <v/>
      </c>
      <c r="CZ71" s="1318">
        <f>SUMIFS(66:66,$8:$8,"&gt;="&amp;DATE(YEAR(CZ$8),1,1),$8:$8,"&lt;="&amp;EOMONTH(CZ$8,0))/SUMIFS(66:66,$8:$8,"&gt;="&amp;DATE(YEAR(CZ$8)-1,1,1),$8:$8,"&lt;="&amp;EOMONTH(CZ$8,-12))-1</f>
        <v/>
      </c>
      <c r="DA71" s="1318">
        <f>SUMIFS(66:66,$8:$8,"&gt;="&amp;DATE(YEAR(DA$8),1,1),$8:$8,"&lt;="&amp;EOMONTH(DA$8,0))/SUMIFS(66:66,$8:$8,"&gt;="&amp;DATE(YEAR(DA$8)-1,1,1),$8:$8,"&lt;="&amp;EOMONTH(DA$8,-12))-1</f>
        <v/>
      </c>
      <c r="DB71" s="1318">
        <f>SUMIFS(66:66,$8:$8,"&gt;="&amp;DATE(YEAR(DB$8),1,1),$8:$8,"&lt;="&amp;EOMONTH(DB$8,0))/SUMIFS(66:66,$8:$8,"&gt;="&amp;DATE(YEAR(DB$8)-1,1,1),$8:$8,"&lt;="&amp;EOMONTH(DB$8,-12))-1</f>
        <v/>
      </c>
      <c r="DC71" s="1318">
        <f>SUMIFS(66:66,$8:$8,"&gt;="&amp;DATE(YEAR(DC$8),1,1),$8:$8,"&lt;="&amp;EOMONTH(DC$8,0))/SUMIFS(66:66,$8:$8,"&gt;="&amp;DATE(YEAR(DC$8)-1,1,1),$8:$8,"&lt;="&amp;EOMONTH(DC$8,-12))-1</f>
        <v/>
      </c>
      <c r="DD71" s="1318">
        <f>SUMIFS(66:66,$8:$8,"&gt;="&amp;DATE(YEAR(DD$8),1,1),$8:$8,"&lt;="&amp;EOMONTH(DD$8,0))/SUMIFS(66:66,$8:$8,"&gt;="&amp;DATE(YEAR(DD$8)-1,1,1),$8:$8,"&lt;="&amp;EOMONTH(DD$8,-12))-1</f>
        <v/>
      </c>
      <c r="DE71" s="1318">
        <f>SUMIFS(66:66,$8:$8,"&gt;="&amp;DATE(YEAR(DE$8),1,1),$8:$8,"&lt;="&amp;EOMONTH(DE$8,0))/SUMIFS(66:66,$8:$8,"&gt;="&amp;DATE(YEAR(DE$8)-1,1,1),$8:$8,"&lt;="&amp;EOMONTH(DE$8,-12))-1</f>
        <v/>
      </c>
      <c r="DF71" s="1318">
        <f>SUMIFS(66:66,$8:$8,"&gt;="&amp;DATE(YEAR(DF$8),1,1),$8:$8,"&lt;="&amp;EOMONTH(DF$8,0))/SUMIFS(66:66,$8:$8,"&gt;="&amp;DATE(YEAR(DF$8)-1,1,1),$8:$8,"&lt;="&amp;EOMONTH(DF$8,-12))-1</f>
        <v/>
      </c>
      <c r="DG71" s="1318">
        <f>SUMIFS(66:66,$8:$8,"&gt;="&amp;DATE(YEAR(DG$8),1,1),$8:$8,"&lt;="&amp;EOMONTH(DG$8,0))/SUMIFS(66:66,$8:$8,"&gt;="&amp;DATE(YEAR(DG$8)-1,1,1),$8:$8,"&lt;="&amp;EOMONTH(DG$8,-12))-1</f>
        <v/>
      </c>
      <c r="DH71" s="1318">
        <f>SUMIFS(66:66,$8:$8,"&gt;="&amp;DATE(YEAR(DH$8),1,1),$8:$8,"&lt;="&amp;EOMONTH(DH$8,0))/SUMIFS(66:66,$8:$8,"&gt;="&amp;DATE(YEAR(DH$8)-1,1,1),$8:$8,"&lt;="&amp;EOMONTH(DH$8,-12))-1</f>
        <v/>
      </c>
      <c r="DI71" s="1318">
        <f>SUMIFS(66:66,$8:$8,"&gt;="&amp;DATE(YEAR(DI$8),1,1),$8:$8,"&lt;="&amp;EOMONTH(DI$8,0))/SUMIFS(66:66,$8:$8,"&gt;="&amp;DATE(YEAR(DI$8)-1,1,1),$8:$8,"&lt;="&amp;EOMONTH(DI$8,-12))-1</f>
        <v/>
      </c>
      <c r="DJ71" s="1318">
        <f>SUMIFS(66:66,$8:$8,"&gt;="&amp;DATE(YEAR(DJ$8),1,1),$8:$8,"&lt;="&amp;EOMONTH(DJ$8,0))/SUMIFS(66:66,$8:$8,"&gt;="&amp;DATE(YEAR(DJ$8)-1,1,1),$8:$8,"&lt;="&amp;EOMONTH(DJ$8,-12))-1</f>
        <v/>
      </c>
      <c r="DK71" s="1318">
        <f>SUMIFS(66:66,$8:$8,"&gt;="&amp;DATE(YEAR(DK$8),1,1),$8:$8,"&lt;="&amp;EOMONTH(DK$8,0))/SUMIFS(66:66,$8:$8,"&gt;="&amp;DATE(YEAR(DK$8)-1,1,1),$8:$8,"&lt;="&amp;EOMONTH(DK$8,-12))-1</f>
        <v/>
      </c>
      <c r="DL71" s="1318">
        <f>SUMIFS(66:66,$8:$8,"&gt;="&amp;DATE(YEAR(DL$8),1,1),$8:$8,"&lt;="&amp;EOMONTH(DL$8,0))/SUMIFS(66:66,$8:$8,"&gt;="&amp;DATE(YEAR(DL$8)-1,1,1),$8:$8,"&lt;="&amp;EOMONTH(DL$8,-12))-1</f>
        <v/>
      </c>
      <c r="DM71" s="1318">
        <f>SUMIFS(66:66,$8:$8,"&gt;="&amp;DATE(YEAR(DM$8),1,1),$8:$8,"&lt;="&amp;EOMONTH(DM$8,0))/SUMIFS(66:66,$8:$8,"&gt;="&amp;DATE(YEAR(DM$8)-1,1,1),$8:$8,"&lt;="&amp;EOMONTH(DM$8,-12))-1</f>
        <v/>
      </c>
      <c r="DN71" s="1318">
        <f>SUMIFS(66:66,$8:$8,"&gt;="&amp;DATE(YEAR(DN$8),1,1),$8:$8,"&lt;="&amp;EOMONTH(DN$8,0))/SUMIFS(66:66,$8:$8,"&gt;="&amp;DATE(YEAR(DN$8)-1,1,1),$8:$8,"&lt;="&amp;EOMONTH(DN$8,-12))-1</f>
        <v/>
      </c>
      <c r="DO71" s="1318">
        <f>SUMIFS(66:66,$8:$8,"&gt;="&amp;DATE(YEAR(DO$8),1,1),$8:$8,"&lt;="&amp;EOMONTH(DO$8,0))/SUMIFS(66:66,$8:$8,"&gt;="&amp;DATE(YEAR(DO$8)-1,1,1),$8:$8,"&lt;="&amp;EOMONTH(DO$8,-12))-1</f>
        <v/>
      </c>
      <c r="DP71" s="1318">
        <f>SUMIFS(66:66,$8:$8,"&gt;="&amp;DATE(YEAR(DP$8),1,1),$8:$8,"&lt;="&amp;EOMONTH(DP$8,0))/SUMIFS(66:66,$8:$8,"&gt;="&amp;DATE(YEAR(DP$8)-1,1,1),$8:$8,"&lt;="&amp;EOMONTH(DP$8,-12))-1</f>
        <v/>
      </c>
      <c r="DQ71" s="1318">
        <f>SUMIFS(66:66,$8:$8,"&gt;="&amp;DATE(YEAR(DQ$8),1,1),$8:$8,"&lt;="&amp;EOMONTH(DQ$8,0))/SUMIFS(66:66,$8:$8,"&gt;="&amp;DATE(YEAR(DQ$8)-1,1,1),$8:$8,"&lt;="&amp;EOMONTH(DQ$8,-12))-1</f>
        <v/>
      </c>
      <c r="DR71" s="1318">
        <f>SUMIFS(66:66,$8:$8,"&gt;="&amp;DATE(YEAR(DR$8),1,1),$8:$8,"&lt;="&amp;EOMONTH(DR$8,0))/SUMIFS(66:66,$8:$8,"&gt;="&amp;DATE(YEAR(DR$8)-1,1,1),$8:$8,"&lt;="&amp;EOMONTH(DR$8,-12))-1</f>
        <v/>
      </c>
      <c r="DS71" s="1318">
        <f>SUMIFS(66:66,$8:$8,"&gt;="&amp;DATE(YEAR(DS$8),1,1),$8:$8,"&lt;="&amp;EOMONTH(DS$8,0))/SUMIFS(66:66,$8:$8,"&gt;="&amp;DATE(YEAR(DS$8)-1,1,1),$8:$8,"&lt;="&amp;EOMONTH(DS$8,-12))-1</f>
        <v/>
      </c>
      <c r="DT71" s="1318">
        <f>SUMIFS(66:66,$8:$8,"&gt;="&amp;DATE(YEAR(DT$8),1,1),$8:$8,"&lt;="&amp;EOMONTH(DT$8,0))/SUMIFS(66:66,$8:$8,"&gt;="&amp;DATE(YEAR(DT$8)-1,1,1),$8:$8,"&lt;="&amp;EOMONTH(DT$8,-12))-1</f>
        <v/>
      </c>
      <c r="DU71" s="1318">
        <f>SUMIFS(66:66,$8:$8,"&gt;="&amp;DATE(YEAR(DU$8),1,1),$8:$8,"&lt;="&amp;EOMONTH(DU$8,0))/SUMIFS(66:66,$8:$8,"&gt;="&amp;DATE(YEAR(DU$8)-1,1,1),$8:$8,"&lt;="&amp;EOMONTH(DU$8,-12))-1</f>
        <v/>
      </c>
      <c r="DV71" s="1318">
        <f>SUMIFS(66:66,$8:$8,"&gt;="&amp;DATE(YEAR(DV$8),1,1),$8:$8,"&lt;="&amp;EOMONTH(DV$8,0))/SUMIFS(66:66,$8:$8,"&gt;="&amp;DATE(YEAR(DV$8)-1,1,1),$8:$8,"&lt;="&amp;EOMONTH(DV$8,-12))-1</f>
        <v/>
      </c>
      <c r="DW71" s="1318">
        <f>SUMIFS(66:66,$8:$8,"&gt;="&amp;DATE(YEAR(DW$8),1,1),$8:$8,"&lt;="&amp;EOMONTH(DW$8,0))/SUMIFS(66:66,$8:$8,"&gt;="&amp;DATE(YEAR(DW$8)-1,1,1),$8:$8,"&lt;="&amp;EOMONTH(DW$8,-12))-1</f>
        <v/>
      </c>
      <c r="DX71" s="1318">
        <f>SUMIFS(66:66,$8:$8,"&gt;="&amp;DATE(YEAR(DX$8),1,1),$8:$8,"&lt;="&amp;EOMONTH(DX$8,0))/SUMIFS(66:66,$8:$8,"&gt;="&amp;DATE(YEAR(DX$8)-1,1,1),$8:$8,"&lt;="&amp;EOMONTH(DX$8,-12))-1</f>
        <v/>
      </c>
      <c r="DY71" s="1318">
        <f>SUMIFS(66:66,$8:$8,"&gt;="&amp;DATE(YEAR(DY$8),1,1),$8:$8,"&lt;="&amp;EOMONTH(DY$8,0))/SUMIFS(66:66,$8:$8,"&gt;="&amp;DATE(YEAR(DY$8)-1,1,1),$8:$8,"&lt;="&amp;EOMONTH(DY$8,-12))-1</f>
        <v/>
      </c>
      <c r="DZ71" s="1318">
        <f>SUMIFS(66:66,$8:$8,"&gt;="&amp;DATE(YEAR(DZ$8),1,1),$8:$8,"&lt;="&amp;EOMONTH(DZ$8,0))/SUMIFS(66:66,$8:$8,"&gt;="&amp;DATE(YEAR(DZ$8)-1,1,1),$8:$8,"&lt;="&amp;EOMONTH(DZ$8,-12))-1</f>
        <v/>
      </c>
      <c r="EA71" s="1318">
        <f>SUMIFS(66:66,$8:$8,"&gt;="&amp;DATE(YEAR(EA$8),1,1),$8:$8,"&lt;="&amp;EOMONTH(EA$8,0))/SUMIFS(66:66,$8:$8,"&gt;="&amp;DATE(YEAR(EA$8)-1,1,1),$8:$8,"&lt;="&amp;EOMONTH(EA$8,-12))-1</f>
        <v/>
      </c>
      <c r="EB71" s="1318">
        <f>SUMIFS(66:66,$8:$8,"&gt;="&amp;DATE(YEAR(EB$8),1,1),$8:$8,"&lt;="&amp;EOMONTH(EB$8,0))/SUMIFS(66:66,$8:$8,"&gt;="&amp;DATE(YEAR(EB$8)-1,1,1),$8:$8,"&lt;="&amp;EOMONTH(EB$8,-12))-1</f>
        <v/>
      </c>
      <c r="EC71" s="1318">
        <f>SUMIFS(66:66,$8:$8,"&gt;="&amp;DATE(YEAR(EC$8),1,1),$8:$8,"&lt;="&amp;EOMONTH(EC$8,0))/SUMIFS(66:66,$8:$8,"&gt;="&amp;DATE(YEAR(EC$8)-1,1,1),$8:$8,"&lt;="&amp;EOMONTH(EC$8,-12))-1</f>
        <v/>
      </c>
      <c r="ED71" s="1318">
        <f>SUMIFS(66:66,$8:$8,"&gt;="&amp;DATE(YEAR(ED$8),1,1),$8:$8,"&lt;="&amp;EOMONTH(ED$8,0))/SUMIFS(66:66,$8:$8,"&gt;="&amp;DATE(YEAR(ED$8)-1,1,1),$8:$8,"&lt;="&amp;EOMONTH(ED$8,-12))-1</f>
        <v/>
      </c>
      <c r="EE71" s="1318">
        <f>SUMIFS(66:66,$8:$8,"&gt;="&amp;DATE(YEAR(EE$8),1,1),$8:$8,"&lt;="&amp;EOMONTH(EE$8,0))/SUMIFS(66:66,$8:$8,"&gt;="&amp;DATE(YEAR(EE$8)-1,1,1),$8:$8,"&lt;="&amp;EOMONTH(EE$8,-12))-1</f>
        <v/>
      </c>
      <c r="EF71" s="1318">
        <f>SUMIFS(66:66,$8:$8,"&gt;="&amp;DATE(YEAR(EF$8),1,1),$8:$8,"&lt;="&amp;EOMONTH(EF$8,0))/SUMIFS(66:66,$8:$8,"&gt;="&amp;DATE(YEAR(EF$8)-1,1,1),$8:$8,"&lt;="&amp;EOMONTH(EF$8,-12))-1</f>
        <v/>
      </c>
      <c r="EG71" s="1318">
        <f>SUMIFS(66:66,$8:$8,"&gt;="&amp;DATE(YEAR(EG$8),1,1),$8:$8,"&lt;="&amp;EOMONTH(EG$8,0))/SUMIFS(66:66,$8:$8,"&gt;="&amp;DATE(YEAR(EG$8)-1,1,1),$8:$8,"&lt;="&amp;EOMONTH(EG$8,-12))-1</f>
        <v/>
      </c>
      <c r="EH71" s="1318">
        <f>SUMIFS(66:66,$8:$8,"&gt;="&amp;DATE(YEAR(EH$8),1,1),$8:$8,"&lt;="&amp;EOMONTH(EH$8,0))/SUMIFS(66:66,$8:$8,"&gt;="&amp;DATE(YEAR(EH$8)-1,1,1),$8:$8,"&lt;="&amp;EOMONTH(EH$8,-12))-1</f>
        <v/>
      </c>
      <c r="EI71" s="1318">
        <f>SUMIFS(66:66,$8:$8,"&gt;="&amp;DATE(YEAR(EI$8),1,1),$8:$8,"&lt;="&amp;EOMONTH(EI$8,0))/SUMIFS(66:66,$8:$8,"&gt;="&amp;DATE(YEAR(EI$8)-1,1,1),$8:$8,"&lt;="&amp;EOMONTH(EI$8,-12))-1</f>
        <v/>
      </c>
      <c r="EJ71" s="1318">
        <f>SUMIFS(66:66,$8:$8,"&gt;="&amp;DATE(YEAR(EJ$8),1,1),$8:$8,"&lt;="&amp;EOMONTH(EJ$8,0))/SUMIFS(66:66,$8:$8,"&gt;="&amp;DATE(YEAR(EJ$8)-1,1,1),$8:$8,"&lt;="&amp;EOMONTH(EJ$8,-12))-1</f>
        <v/>
      </c>
      <c r="EK71" s="1318">
        <f>SUMIFS(66:66,$8:$8,"&gt;="&amp;DATE(YEAR(EK$8),1,1),$8:$8,"&lt;="&amp;EOMONTH(EK$8,0))/SUMIFS(66:66,$8:$8,"&gt;="&amp;DATE(YEAR(EK$8)-1,1,1),$8:$8,"&lt;="&amp;EOMONTH(EK$8,-12))-1</f>
        <v/>
      </c>
      <c r="EL71" s="1318">
        <f>SUMIFS(66:66,$8:$8,"&gt;="&amp;DATE(YEAR(EL$8),1,1),$8:$8,"&lt;="&amp;EOMONTH(EL$8,0))/SUMIFS(66:66,$8:$8,"&gt;="&amp;DATE(YEAR(EL$8)-1,1,1),$8:$8,"&lt;="&amp;EOMONTH(EL$8,-12))-1</f>
        <v/>
      </c>
      <c r="EM71" s="1318">
        <f>SUMIFS(66:66,$8:$8,"&gt;="&amp;DATE(YEAR(EM$8),1,1),$8:$8,"&lt;="&amp;EOMONTH(EM$8,0))/SUMIFS(66:66,$8:$8,"&gt;="&amp;DATE(YEAR(EM$8)-1,1,1),$8:$8,"&lt;="&amp;EOMONTH(EM$8,-12))-1</f>
        <v/>
      </c>
      <c r="EN71" s="1318">
        <f>SUMIFS(66:66,$8:$8,"&gt;="&amp;DATE(YEAR(EN$8),1,1),$8:$8,"&lt;="&amp;EOMONTH(EN$8,0))/SUMIFS(66:66,$8:$8,"&gt;="&amp;DATE(YEAR(EN$8)-1,1,1),$8:$8,"&lt;="&amp;EOMONTH(EN$8,-12))-1</f>
        <v/>
      </c>
      <c r="EO71" s="1318">
        <f>SUMIFS(66:66,$8:$8,"&gt;="&amp;DATE(YEAR(EO$8),1,1),$8:$8,"&lt;="&amp;EOMONTH(EO$8,0))/SUMIFS(66:66,$8:$8,"&gt;="&amp;DATE(YEAR(EO$8)-1,1,1),$8:$8,"&lt;="&amp;EOMONTH(EO$8,-12))-1</f>
        <v/>
      </c>
      <c r="EP71" s="1318">
        <f>SUMIFS(66:66,$8:$8,"&gt;="&amp;DATE(YEAR(EP$8),1,1),$8:$8,"&lt;="&amp;EOMONTH(EP$8,0))/SUMIFS(66:66,$8:$8,"&gt;="&amp;DATE(YEAR(EP$8)-1,1,1),$8:$8,"&lt;="&amp;EOMONTH(EP$8,-12))-1</f>
        <v/>
      </c>
      <c r="EQ71" s="1318">
        <f>SUMIFS(66:66,$8:$8,"&gt;="&amp;DATE(YEAR(EQ$8),1,1),$8:$8,"&lt;="&amp;EOMONTH(EQ$8,0))/SUMIFS(66:66,$8:$8,"&gt;="&amp;DATE(YEAR(EQ$8)-1,1,1),$8:$8,"&lt;="&amp;EOMONTH(EQ$8,-12))-1</f>
        <v/>
      </c>
      <c r="ER71" s="1318">
        <f>SUMIFS(66:66,$8:$8,"&gt;="&amp;DATE(YEAR(ER$8),1,1),$8:$8,"&lt;="&amp;EOMONTH(ER$8,0))/SUMIFS(66:66,$8:$8,"&gt;="&amp;DATE(YEAR(ER$8)-1,1,1),$8:$8,"&lt;="&amp;EOMONTH(ER$8,-12))-1</f>
        <v/>
      </c>
      <c r="ES71" s="1318">
        <f>SUMIFS(66:66,$8:$8,"&gt;="&amp;DATE(YEAR(ES$8),1,1),$8:$8,"&lt;="&amp;EOMONTH(ES$8,0))/SUMIFS(66:66,$8:$8,"&gt;="&amp;DATE(YEAR(ES$8)-1,1,1),$8:$8,"&lt;="&amp;EOMONTH(ES$8,-12))-1</f>
        <v/>
      </c>
      <c r="ET71" s="1318">
        <f>SUMIFS(66:66,$8:$8,"&gt;="&amp;DATE(YEAR(ET$8),1,1),$8:$8,"&lt;="&amp;EOMONTH(ET$8,0))/SUMIFS(66:66,$8:$8,"&gt;="&amp;DATE(YEAR(ET$8)-1,1,1),$8:$8,"&lt;="&amp;EOMONTH(ET$8,-12))-1</f>
        <v/>
      </c>
      <c r="EU71" s="1318">
        <f>SUMIFS(66:66,$8:$8,"&gt;="&amp;DATE(YEAR(EU$8),1,1),$8:$8,"&lt;="&amp;EOMONTH(EU$8,0))/SUMIFS(66:66,$8:$8,"&gt;="&amp;DATE(YEAR(EU$8)-1,1,1),$8:$8,"&lt;="&amp;EOMONTH(EU$8,-12))-1</f>
        <v/>
      </c>
      <c r="EV71" s="1318">
        <f>SUMIFS(66:66,$8:$8,"&gt;="&amp;DATE(YEAR(EV$8),1,1),$8:$8,"&lt;="&amp;EOMONTH(EV$8,0))/SUMIFS(66:66,$8:$8,"&gt;="&amp;DATE(YEAR(EV$8)-1,1,1),$8:$8,"&lt;="&amp;EOMONTH(EV$8,-12))-1</f>
        <v/>
      </c>
      <c r="EW71" s="1318">
        <f>SUMIFS(66:66,$8:$8,"&gt;="&amp;DATE(YEAR(EW$8),1,1),$8:$8,"&lt;="&amp;EOMONTH(EW$8,0))/SUMIFS(66:66,$8:$8,"&gt;="&amp;DATE(YEAR(EW$8)-1,1,1),$8:$8,"&lt;="&amp;EOMONTH(EW$8,-12))-1</f>
        <v/>
      </c>
      <c r="EX71" s="1318">
        <f>SUMIFS(66:66,$8:$8,"&gt;="&amp;DATE(YEAR(EX$8),1,1),$8:$8,"&lt;="&amp;EOMONTH(EX$8,0))/SUMIFS(66:66,$8:$8,"&gt;="&amp;DATE(YEAR(EX$8)-1,1,1),$8:$8,"&lt;="&amp;EOMONTH(EX$8,-12))-1</f>
        <v/>
      </c>
      <c r="EY71" s="1318">
        <f>SUMIFS(66:66,$8:$8,"&gt;="&amp;DATE(YEAR(EY$8),1,1),$8:$8,"&lt;="&amp;EOMONTH(EY$8,0))/SUMIFS(66:66,$8:$8,"&gt;="&amp;DATE(YEAR(EY$8)-1,1,1),$8:$8,"&lt;="&amp;EOMONTH(EY$8,-12))-1</f>
        <v/>
      </c>
      <c r="EZ71" s="1318">
        <f>SUMIFS(66:66,$8:$8,"&gt;="&amp;DATE(YEAR(EZ$8),1,1),$8:$8,"&lt;="&amp;EOMONTH(EZ$8,0))/SUMIFS(66:66,$8:$8,"&gt;="&amp;DATE(YEAR(EZ$8)-1,1,1),$8:$8,"&lt;="&amp;EOMONTH(EZ$8,-12))-1</f>
        <v/>
      </c>
      <c r="FA71" s="1318">
        <f>SUMIFS(66:66,$8:$8,"&gt;="&amp;DATE(YEAR(FA$8),1,1),$8:$8,"&lt;="&amp;EOMONTH(FA$8,0))/SUMIFS(66:66,$8:$8,"&gt;="&amp;DATE(YEAR(FA$8)-1,1,1),$8:$8,"&lt;="&amp;EOMONTH(FA$8,-12))-1</f>
        <v/>
      </c>
      <c r="FB71" s="1318">
        <f>SUMIFS(66:66,$8:$8,"&gt;="&amp;DATE(YEAR(FB$8),1,1),$8:$8,"&lt;="&amp;EOMONTH(FB$8,0))/SUMIFS(66:66,$8:$8,"&gt;="&amp;DATE(YEAR(FB$8)-1,1,1),$8:$8,"&lt;="&amp;EOMONTH(FB$8,-12))-1</f>
        <v/>
      </c>
      <c r="FC71" s="1318">
        <f>SUMIFS(66:66,$8:$8,"&gt;="&amp;DATE(YEAR(FC$8),1,1),$8:$8,"&lt;="&amp;EOMONTH(FC$8,0))/SUMIFS(66:66,$8:$8,"&gt;="&amp;DATE(YEAR(FC$8)-1,1,1),$8:$8,"&lt;="&amp;EOMONTH(FC$8,-12))-1</f>
        <v/>
      </c>
      <c r="FD71" s="1318">
        <f>SUMIFS(66:66,$8:$8,"&gt;="&amp;DATE(YEAR(FD$8),1,1),$8:$8,"&lt;="&amp;EOMONTH(FD$8,0))/SUMIFS(66:66,$8:$8,"&gt;="&amp;DATE(YEAR(FD$8)-1,1,1),$8:$8,"&lt;="&amp;EOMONTH(FD$8,-12))-1</f>
        <v/>
      </c>
      <c r="FE71" s="1318">
        <f>SUMIFS(66:66,$8:$8,"&gt;="&amp;DATE(YEAR(FE$8),1,1),$8:$8,"&lt;="&amp;EOMONTH(FE$8,0))/SUMIFS(66:66,$8:$8,"&gt;="&amp;DATE(YEAR(FE$8)-1,1,1),$8:$8,"&lt;="&amp;EOMONTH(FE$8,-12))-1</f>
        <v/>
      </c>
      <c r="FF71" s="1318">
        <f>SUMIFS(66:66,$8:$8,"&gt;="&amp;DATE(YEAR(FF$8),1,1),$8:$8,"&lt;="&amp;EOMONTH(FF$8,0))/SUMIFS(66:66,$8:$8,"&gt;="&amp;DATE(YEAR(FF$8)-1,1,1),$8:$8,"&lt;="&amp;EOMONTH(FF$8,-12))-1</f>
        <v/>
      </c>
      <c r="FG71" s="1318">
        <f>SUMIFS(66:66,$8:$8,"&gt;="&amp;DATE(YEAR(FG$8),1,1),$8:$8,"&lt;="&amp;EOMONTH(FG$8,0))/SUMIFS(66:66,$8:$8,"&gt;="&amp;DATE(YEAR(FG$8)-1,1,1),$8:$8,"&lt;="&amp;EOMONTH(FG$8,-12))-1</f>
        <v/>
      </c>
      <c r="FH71" s="1318">
        <f>SUMIFS(66:66,$8:$8,"&gt;="&amp;DATE(YEAR(FH$8),1,1),$8:$8,"&lt;="&amp;EOMONTH(FH$8,0))/SUMIFS(66:66,$8:$8,"&gt;="&amp;DATE(YEAR(FH$8)-1,1,1),$8:$8,"&lt;="&amp;EOMONTH(FH$8,-12))-1</f>
        <v/>
      </c>
      <c r="FI71" s="1318">
        <f>SUMIFS(66:66,$8:$8,"&gt;="&amp;DATE(YEAR(FI$8),1,1),$8:$8,"&lt;="&amp;EOMONTH(FI$8,0))/SUMIFS(66:66,$8:$8,"&gt;="&amp;DATE(YEAR(FI$8)-1,1,1),$8:$8,"&lt;="&amp;EOMONTH(FI$8,-12))-1</f>
        <v/>
      </c>
      <c r="FJ71" s="1318">
        <f>SUMIFS(66:66,$8:$8,"&gt;="&amp;DATE(YEAR(FJ$8),1,1),$8:$8,"&lt;="&amp;EOMONTH(FJ$8,0))/SUMIFS(66:66,$8:$8,"&gt;="&amp;DATE(YEAR(FJ$8)-1,1,1),$8:$8,"&lt;="&amp;EOMONTH(FJ$8,-12))-1</f>
        <v/>
      </c>
      <c r="FK71" s="1318">
        <f>SUMIFS(66:66,$8:$8,"&gt;="&amp;DATE(YEAR(FK$8),1,1),$8:$8,"&lt;="&amp;EOMONTH(FK$8,0))/SUMIFS(66:66,$8:$8,"&gt;="&amp;DATE(YEAR(FK$8)-1,1,1),$8:$8,"&lt;="&amp;EOMONTH(FK$8,-12))-1</f>
        <v/>
      </c>
      <c r="FL71" s="1318">
        <f>SUMIFS(66:66,$8:$8,"&gt;="&amp;DATE(YEAR(FL$8),1,1),$8:$8,"&lt;="&amp;EOMONTH(FL$8,0))/SUMIFS(66:66,$8:$8,"&gt;="&amp;DATE(YEAR(FL$8)-1,1,1),$8:$8,"&lt;="&amp;EOMONTH(FL$8,-12))-1</f>
        <v/>
      </c>
      <c r="FM71" s="1318">
        <f>SUMIFS(66:66,$8:$8,"&gt;="&amp;DATE(YEAR(FM$8),1,1),$8:$8,"&lt;="&amp;EOMONTH(FM$8,0))/SUMIFS(66:66,$8:$8,"&gt;="&amp;DATE(YEAR(FM$8)-1,1,1),$8:$8,"&lt;="&amp;EOMONTH(FM$8,-12))-1</f>
        <v/>
      </c>
      <c r="FN71" s="1318">
        <f>SUMIFS(66:66,$8:$8,"&gt;="&amp;DATE(YEAR(FN$8),1,1),$8:$8,"&lt;="&amp;EOMONTH(FN$8,0))/SUMIFS(66:66,$8:$8,"&gt;="&amp;DATE(YEAR(FN$8)-1,1,1),$8:$8,"&lt;="&amp;EOMONTH(FN$8,-12))-1</f>
        <v/>
      </c>
      <c r="FO71" s="1318">
        <f>SUMIFS(66:66,$8:$8,"&gt;="&amp;DATE(YEAR(FO$8),1,1),$8:$8,"&lt;="&amp;EOMONTH(FO$8,0))/SUMIFS(66:66,$8:$8,"&gt;="&amp;DATE(YEAR(FO$8)-1,1,1),$8:$8,"&lt;="&amp;EOMONTH(FO$8,-12))-1</f>
        <v/>
      </c>
      <c r="FP71" s="1318">
        <f>SUMIFS(66:66,$8:$8,"&gt;="&amp;DATE(YEAR(FP$8),1,1),$8:$8,"&lt;="&amp;EOMONTH(FP$8,0))/SUMIFS(66:66,$8:$8,"&gt;="&amp;DATE(YEAR(FP$8)-1,1,1),$8:$8,"&lt;="&amp;EOMONTH(FP$8,-12))-1</f>
        <v/>
      </c>
      <c r="FQ71" s="1318">
        <f>SUMIFS(66:66,$8:$8,"&gt;="&amp;DATE(YEAR(FQ$8),1,1),$8:$8,"&lt;="&amp;EOMONTH(FQ$8,0))/SUMIFS(66:66,$8:$8,"&gt;="&amp;DATE(YEAR(FQ$8)-1,1,1),$8:$8,"&lt;="&amp;EOMONTH(FQ$8,-12))-1</f>
        <v/>
      </c>
      <c r="FR71" s="1318">
        <f>SUMIFS(66:66,$8:$8,"&gt;="&amp;DATE(YEAR(FR$8),1,1),$8:$8,"&lt;="&amp;EOMONTH(FR$8,0))/SUMIFS(66:66,$8:$8,"&gt;="&amp;DATE(YEAR(FR$8)-1,1,1),$8:$8,"&lt;="&amp;EOMONTH(FR$8,-12))-1</f>
        <v/>
      </c>
      <c r="FS71" s="1318">
        <f>SUMIFS(66:66,$8:$8,"&gt;="&amp;DATE(YEAR(FS$8),1,1),$8:$8,"&lt;="&amp;EOMONTH(FS$8,0))/SUMIFS(66:66,$8:$8,"&gt;="&amp;DATE(YEAR(FS$8)-1,1,1),$8:$8,"&lt;="&amp;EOMONTH(FS$8,-12))-1</f>
        <v/>
      </c>
      <c r="FT71" s="1318">
        <f>SUMIFS(66:66,$8:$8,"&gt;="&amp;DATE(YEAR(FT$8),1,1),$8:$8,"&lt;="&amp;EOMONTH(FT$8,0))/SUMIFS(66:66,$8:$8,"&gt;="&amp;DATE(YEAR(FT$8)-1,1,1),$8:$8,"&lt;="&amp;EOMONTH(FT$8,-12))-1</f>
        <v/>
      </c>
      <c r="FU71" s="1318">
        <f>SUMIFS(66:66,$8:$8,"&gt;="&amp;DATE(YEAR(FU$8),1,1),$8:$8,"&lt;="&amp;EOMONTH(FU$8,0))/SUMIFS(66:66,$8:$8,"&gt;="&amp;DATE(YEAR(FU$8)-1,1,1),$8:$8,"&lt;="&amp;EOMONTH(FU$8,-12))-1</f>
        <v/>
      </c>
      <c r="FV71" s="1318">
        <f>SUMIFS(66:66,$8:$8,"&gt;="&amp;DATE(YEAR(FV$8),1,1),$8:$8,"&lt;="&amp;EOMONTH(FV$8,0))/SUMIFS(66:66,$8:$8,"&gt;="&amp;DATE(YEAR(FV$8)-1,1,1),$8:$8,"&lt;="&amp;EOMONTH(FV$8,-12))-1</f>
        <v/>
      </c>
      <c r="FW71" s="1318">
        <f>SUMIFS(66:66,$8:$8,"&gt;="&amp;DATE(YEAR(FW$8),1,1),$8:$8,"&lt;="&amp;EOMONTH(FW$8,0))/SUMIFS(66:66,$8:$8,"&gt;="&amp;DATE(YEAR(FW$8)-1,1,1),$8:$8,"&lt;="&amp;EOMONTH(FW$8,-12))-1</f>
        <v/>
      </c>
      <c r="FX71" s="1318">
        <f>SUMIFS(66:66,$8:$8,"&gt;="&amp;DATE(YEAR(FX$8),1,1),$8:$8,"&lt;="&amp;EOMONTH(FX$8,0))/SUMIFS(66:66,$8:$8,"&gt;="&amp;DATE(YEAR(FX$8)-1,1,1),$8:$8,"&lt;="&amp;EOMONTH(FX$8,-12))-1</f>
        <v/>
      </c>
      <c r="FY71" s="1318">
        <f>SUMIFS(66:66,$8:$8,"&gt;="&amp;DATE(YEAR(FY$8),1,1),$8:$8,"&lt;="&amp;EOMONTH(FY$8,0))/SUMIFS(66:66,$8:$8,"&gt;="&amp;DATE(YEAR(FY$8)-1,1,1),$8:$8,"&lt;="&amp;EOMONTH(FY$8,-12))-1</f>
        <v/>
      </c>
      <c r="FZ71" s="1318">
        <f>SUMIFS(66:66,$8:$8,"&gt;="&amp;DATE(YEAR(FZ$8),1,1),$8:$8,"&lt;="&amp;EOMONTH(FZ$8,0))/SUMIFS(66:66,$8:$8,"&gt;="&amp;DATE(YEAR(FZ$8)-1,1,1),$8:$8,"&lt;="&amp;EOMONTH(FZ$8,-12))-1</f>
        <v/>
      </c>
      <c r="GA71" s="1318">
        <f>SUMIFS(66:66,$8:$8,"&gt;="&amp;DATE(YEAR(GA$8),1,1),$8:$8,"&lt;="&amp;EOMONTH(GA$8,0))/SUMIFS(66:66,$8:$8,"&gt;="&amp;DATE(YEAR(GA$8)-1,1,1),$8:$8,"&lt;="&amp;EOMONTH(GA$8,-12))-1</f>
        <v/>
      </c>
      <c r="GB71" s="1318">
        <f>SUMIFS(66:66,$8:$8,"&gt;="&amp;DATE(YEAR(GB$8),1,1),$8:$8,"&lt;="&amp;EOMONTH(GB$8,0))/SUMIFS(66:66,$8:$8,"&gt;="&amp;DATE(YEAR(GB$8)-1,1,1),$8:$8,"&lt;="&amp;EOMONTH(GB$8,-12))-1</f>
        <v/>
      </c>
      <c r="GC71" s="1318">
        <f>SUMIFS(66:66,$8:$8,"&gt;="&amp;DATE(YEAR(GC$8),1,1),$8:$8,"&lt;="&amp;EOMONTH(GC$8,0))/SUMIFS(66:66,$8:$8,"&gt;="&amp;DATE(YEAR(GC$8)-1,1,1),$8:$8,"&lt;="&amp;EOMONTH(GC$8,-12))-1</f>
        <v/>
      </c>
      <c r="GD71" s="1318">
        <f>SUMIFS(66:66,$8:$8,"&gt;="&amp;DATE(YEAR(GD$8),1,1),$8:$8,"&lt;="&amp;EOMONTH(GD$8,0))/SUMIFS(66:66,$8:$8,"&gt;="&amp;DATE(YEAR(GD$8)-1,1,1),$8:$8,"&lt;="&amp;EOMONTH(GD$8,-12))-1</f>
        <v/>
      </c>
      <c r="GE71" s="1318">
        <f>SUMIFS(66:66,$8:$8,"&gt;="&amp;DATE(YEAR(GE$8),1,1),$8:$8,"&lt;="&amp;EOMONTH(GE$8,0))/SUMIFS(66:66,$8:$8,"&gt;="&amp;DATE(YEAR(GE$8)-1,1,1),$8:$8,"&lt;="&amp;EOMONTH(GE$8,-12))-1</f>
        <v/>
      </c>
      <c r="GF71" s="1318">
        <f>SUMIFS(66:66,$8:$8,"&gt;="&amp;DATE(YEAR(GF$8),1,1),$8:$8,"&lt;="&amp;EOMONTH(GF$8,0))/SUMIFS(66:66,$8:$8,"&gt;="&amp;DATE(YEAR(GF$8)-1,1,1),$8:$8,"&lt;="&amp;EOMONTH(GF$8,-12))-1</f>
        <v/>
      </c>
      <c r="GG71" s="1318">
        <f>SUMIFS(66:66,$8:$8,"&gt;="&amp;DATE(YEAR(GG$8),1,1),$8:$8,"&lt;="&amp;EOMONTH(GG$8,0))/SUMIFS(66:66,$8:$8,"&gt;="&amp;DATE(YEAR(GG$8)-1,1,1),$8:$8,"&lt;="&amp;EOMONTH(GG$8,-12))-1</f>
        <v/>
      </c>
      <c r="GH71" s="1318">
        <f>SUMIFS(66:66,$8:$8,"&gt;="&amp;DATE(YEAR(GH$8),1,1),$8:$8,"&lt;="&amp;EOMONTH(GH$8,0))/SUMIFS(66:66,$8:$8,"&gt;="&amp;DATE(YEAR(GH$8)-1,1,1),$8:$8,"&lt;="&amp;EOMONTH(GH$8,-12))-1</f>
        <v/>
      </c>
      <c r="GI71" s="1318">
        <f>SUMIFS(66:66,$8:$8,"&gt;="&amp;DATE(YEAR(GI$8),1,1),$8:$8,"&lt;="&amp;EOMONTH(GI$8,0))/SUMIFS(66:66,$8:$8,"&gt;="&amp;DATE(YEAR(GI$8)-1,1,1),$8:$8,"&lt;="&amp;EOMONTH(GI$8,-12))-1</f>
        <v/>
      </c>
      <c r="GJ71" s="1318">
        <f>SUMIFS(66:66,$8:$8,"&gt;="&amp;DATE(YEAR(GJ$8),1,1),$8:$8,"&lt;="&amp;EOMONTH(GJ$8,0))/SUMIFS(66:66,$8:$8,"&gt;="&amp;DATE(YEAR(GJ$8)-1,1,1),$8:$8,"&lt;="&amp;EOMONTH(GJ$8,-12))-1</f>
        <v/>
      </c>
      <c r="GK71" s="1318">
        <f>SUMIFS(66:66,$8:$8,"&gt;="&amp;DATE(YEAR(GK$8),1,1),$8:$8,"&lt;="&amp;EOMONTH(GK$8,0))/SUMIFS(66:66,$8:$8,"&gt;="&amp;DATE(YEAR(GK$8)-1,1,1),$8:$8,"&lt;="&amp;EOMONTH(GK$8,-12))-1</f>
        <v/>
      </c>
      <c r="GL71" s="1318">
        <f>SUMIFS(66:66,$8:$8,"&gt;="&amp;DATE(YEAR(GL$8),1,1),$8:$8,"&lt;="&amp;EOMONTH(GL$8,0))/SUMIFS(66:66,$8:$8,"&gt;="&amp;DATE(YEAR(GL$8)-1,1,1),$8:$8,"&lt;="&amp;EOMONTH(GL$8,-12))-1</f>
        <v/>
      </c>
      <c r="GM71" s="1318">
        <f>SUMIFS(66:66,$8:$8,"&gt;="&amp;DATE(YEAR(GM$8),1,1),$8:$8,"&lt;="&amp;EOMONTH(GM$8,0))/SUMIFS(66:66,$8:$8,"&gt;="&amp;DATE(YEAR(GM$8)-1,1,1),$8:$8,"&lt;="&amp;EOMONTH(GM$8,-12))-1</f>
        <v/>
      </c>
      <c r="GN71" s="1318">
        <f>SUMIFS(66:66,$8:$8,"&gt;="&amp;DATE(YEAR(GN$8),1,1),$8:$8,"&lt;="&amp;EOMONTH(GN$8,0))/SUMIFS(66:66,$8:$8,"&gt;="&amp;DATE(YEAR(GN$8)-1,1,1),$8:$8,"&lt;="&amp;EOMONTH(GN$8,-12))-1</f>
        <v/>
      </c>
      <c r="GO71" s="1318">
        <f>SUMIFS(66:66,$8:$8,"&gt;="&amp;DATE(YEAR(GO$8),1,1),$8:$8,"&lt;="&amp;EOMONTH(GO$8,0))/SUMIFS(66:66,$8:$8,"&gt;="&amp;DATE(YEAR(GO$8)-1,1,1),$8:$8,"&lt;="&amp;EOMONTH(GO$8,-12))-1</f>
        <v/>
      </c>
      <c r="GP71" s="1318">
        <f>SUMIFS(66:66,$8:$8,"&gt;="&amp;DATE(YEAR(GP$8),1,1),$8:$8,"&lt;="&amp;EOMONTH(GP$8,0))/SUMIFS(66:66,$8:$8,"&gt;="&amp;DATE(YEAR(GP$8)-1,1,1),$8:$8,"&lt;="&amp;EOMONTH(GP$8,-12))-1</f>
        <v/>
      </c>
      <c r="GQ71" s="1318">
        <f>SUMIFS(66:66,$8:$8,"&gt;="&amp;DATE(YEAR(GQ$8),1,1),$8:$8,"&lt;="&amp;EOMONTH(GQ$8,0))/SUMIFS(66:66,$8:$8,"&gt;="&amp;DATE(YEAR(GQ$8)-1,1,1),$8:$8,"&lt;="&amp;EOMONTH(GQ$8,-12))-1</f>
        <v/>
      </c>
      <c r="GR71" s="1318">
        <f>SUMIFS(66:66,$8:$8,"&gt;="&amp;DATE(YEAR(GR$8),1,1),$8:$8,"&lt;="&amp;EOMONTH(GR$8,0))/SUMIFS(66:66,$8:$8,"&gt;="&amp;DATE(YEAR(GR$8)-1,1,1),$8:$8,"&lt;="&amp;EOMONTH(GR$8,-12))-1</f>
        <v/>
      </c>
      <c r="GS71" s="1318">
        <f>SUMIFS(66:66,$8:$8,"&gt;="&amp;DATE(YEAR(GS$8),1,1),$8:$8,"&lt;="&amp;EOMONTH(GS$8,0))/SUMIFS(66:66,$8:$8,"&gt;="&amp;DATE(YEAR(GS$8)-1,1,1),$8:$8,"&lt;="&amp;EOMONTH(GS$8,-12))-1</f>
        <v/>
      </c>
      <c r="GT71" s="1318">
        <f>SUMIFS(66:66,$8:$8,"&gt;="&amp;DATE(YEAR(GT$8),1,1),$8:$8,"&lt;="&amp;EOMONTH(GT$8,0))/SUMIFS(66:66,$8:$8,"&gt;="&amp;DATE(YEAR(GT$8)-1,1,1),$8:$8,"&lt;="&amp;EOMONTH(GT$8,-12))-1</f>
        <v/>
      </c>
      <c r="GU71" s="1318">
        <f>SUMIFS(66:66,$8:$8,"&gt;="&amp;DATE(YEAR(GU$8),1,1),$8:$8,"&lt;="&amp;EOMONTH(GU$8,0))/SUMIFS(66:66,$8:$8,"&gt;="&amp;DATE(YEAR(GU$8)-1,1,1),$8:$8,"&lt;="&amp;EOMONTH(GU$8,-12))-1</f>
        <v/>
      </c>
      <c r="GV71" s="1318">
        <f>SUMIFS(66:66,$8:$8,"&gt;="&amp;DATE(YEAR(GV$8),1,1),$8:$8,"&lt;="&amp;EOMONTH(GV$8,0))/SUMIFS(66:66,$8:$8,"&gt;="&amp;DATE(YEAR(GV$8)-1,1,1),$8:$8,"&lt;="&amp;EOMONTH(GV$8,-12))-1</f>
        <v/>
      </c>
      <c r="GW71" s="1318">
        <f>SUMIFS(66:66,$8:$8,"&gt;="&amp;DATE(YEAR(GW$8),1,1),$8:$8,"&lt;="&amp;EOMONTH(GW$8,0))/SUMIFS(66:66,$8:$8,"&gt;="&amp;DATE(YEAR(GW$8)-1,1,1),$8:$8,"&lt;="&amp;EOMONTH(GW$8,-12))-1</f>
        <v/>
      </c>
      <c r="GX71" s="1318">
        <f>SUMIFS(66:66,$8:$8,"&gt;="&amp;DATE(YEAR(GX$8),1,1),$8:$8,"&lt;="&amp;EOMONTH(GX$8,0))/SUMIFS(66:66,$8:$8,"&gt;="&amp;DATE(YEAR(GX$8)-1,1,1),$8:$8,"&lt;="&amp;EOMONTH(GX$8,-12))-1</f>
        <v/>
      </c>
      <c r="GY71" s="1318">
        <f>SUMIFS(66:66,$8:$8,"&gt;="&amp;DATE(YEAR(GY$8),1,1),$8:$8,"&lt;="&amp;EOMONTH(GY$8,0))/SUMIFS(66:66,$8:$8,"&gt;="&amp;DATE(YEAR(GY$8)-1,1,1),$8:$8,"&lt;="&amp;EOMONTH(GY$8,-12))-1</f>
        <v/>
      </c>
      <c r="GZ71" s="1318">
        <f>SUMIFS(66:66,$8:$8,"&gt;="&amp;DATE(YEAR(GZ$8),1,1),$8:$8,"&lt;="&amp;EOMONTH(GZ$8,0))/SUMIFS(66:66,$8:$8,"&gt;="&amp;DATE(YEAR(GZ$8)-1,1,1),$8:$8,"&lt;="&amp;EOMONTH(GZ$8,-12))-1</f>
        <v/>
      </c>
      <c r="HA71" s="1318">
        <f>SUMIFS(66:66,$8:$8,"&gt;="&amp;DATE(YEAR(HA$8),1,1),$8:$8,"&lt;="&amp;EOMONTH(HA$8,0))/SUMIFS(66:66,$8:$8,"&gt;="&amp;DATE(YEAR(HA$8)-1,1,1),$8:$8,"&lt;="&amp;EOMONTH(HA$8,-12))-1</f>
        <v/>
      </c>
      <c r="HB71" s="1318">
        <f>SUMIFS(66:66,$8:$8,"&gt;="&amp;DATE(YEAR(HB$8),1,1),$8:$8,"&lt;="&amp;EOMONTH(HB$8,0))/SUMIFS(66:66,$8:$8,"&gt;="&amp;DATE(YEAR(HB$8)-1,1,1),$8:$8,"&lt;="&amp;EOMONTH(HB$8,-12))-1</f>
        <v/>
      </c>
      <c r="HC71" s="1318">
        <f>SUMIFS(66:66,$8:$8,"&gt;="&amp;DATE(YEAR(HC$8),1,1),$8:$8,"&lt;="&amp;EOMONTH(HC$8,0))/SUMIFS(66:66,$8:$8,"&gt;="&amp;DATE(YEAR(HC$8)-1,1,1),$8:$8,"&lt;="&amp;EOMONTH(HC$8,-12))-1</f>
        <v/>
      </c>
      <c r="HD71" s="1318">
        <f>SUMIFS(66:66,$8:$8,"&gt;="&amp;DATE(YEAR(HD$8),1,1),$8:$8,"&lt;="&amp;EOMONTH(HD$8,0))/SUMIFS(66:66,$8:$8,"&gt;="&amp;DATE(YEAR(HD$8)-1,1,1),$8:$8,"&lt;="&amp;EOMONTH(HD$8,-12))-1</f>
        <v/>
      </c>
      <c r="HE71" s="1318">
        <f>SUMIFS(66:66,$8:$8,"&gt;="&amp;DATE(YEAR(HE$8),1,1),$8:$8,"&lt;="&amp;EOMONTH(HE$8,0))/SUMIFS(66:66,$8:$8,"&gt;="&amp;DATE(YEAR(HE$8)-1,1,1),$8:$8,"&lt;="&amp;EOMONTH(HE$8,-12))-1</f>
        <v/>
      </c>
      <c r="HF71" s="1318">
        <f>SUMIFS(66:66,$8:$8,"&gt;="&amp;DATE(YEAR(HF$8),1,1),$8:$8,"&lt;="&amp;EOMONTH(HF$8,0))/SUMIFS(66:66,$8:$8,"&gt;="&amp;DATE(YEAR(HF$8)-1,1,1),$8:$8,"&lt;="&amp;EOMONTH(HF$8,-12))-1</f>
        <v/>
      </c>
      <c r="HG71" s="1318">
        <f>SUMIFS(66:66,$8:$8,"&gt;="&amp;DATE(YEAR(HG$8),1,1),$8:$8,"&lt;="&amp;EOMONTH(HG$8,0))/SUMIFS(66:66,$8:$8,"&gt;="&amp;DATE(YEAR(HG$8)-1,1,1),$8:$8,"&lt;="&amp;EOMONTH(HG$8,-12))-1</f>
        <v/>
      </c>
      <c r="HH71" s="1318">
        <f>SUMIFS(66:66,$8:$8,"&gt;="&amp;DATE(YEAR(HH$8),1,1),$8:$8,"&lt;="&amp;EOMONTH(HH$8,0))/SUMIFS(66:66,$8:$8,"&gt;="&amp;DATE(YEAR(HH$8)-1,1,1),$8:$8,"&lt;="&amp;EOMONTH(HH$8,-12))-1</f>
        <v/>
      </c>
      <c r="HI71" s="1318">
        <f>SUMIFS(66:66,$8:$8,"&gt;="&amp;DATE(YEAR(HI$8),1,1),$8:$8,"&lt;="&amp;EOMONTH(HI$8,0))/SUMIFS(66:66,$8:$8,"&gt;="&amp;DATE(YEAR(HI$8)-1,1,1),$8:$8,"&lt;="&amp;EOMONTH(HI$8,-12))-1</f>
        <v/>
      </c>
      <c r="HJ71" s="1318">
        <f>SUMIFS(66:66,$8:$8,"&gt;="&amp;DATE(YEAR(HJ$8),1,1),$8:$8,"&lt;="&amp;EOMONTH(HJ$8,0))/SUMIFS(66:66,$8:$8,"&gt;="&amp;DATE(YEAR(HJ$8)-1,1,1),$8:$8,"&lt;="&amp;EOMONTH(HJ$8,-12))-1</f>
        <v/>
      </c>
      <c r="HK71" s="1318">
        <f>SUMIFS(66:66,$8:$8,"&gt;="&amp;DATE(YEAR(HK$8),1,1),$8:$8,"&lt;="&amp;EOMONTH(HK$8,0))/SUMIFS(66:66,$8:$8,"&gt;="&amp;DATE(YEAR(HK$8)-1,1,1),$8:$8,"&lt;="&amp;EOMONTH(HK$8,-12))-1</f>
        <v/>
      </c>
      <c r="HL71" s="1318">
        <f>SUMIFS(66:66,$8:$8,"&gt;="&amp;DATE(YEAR(HL$8),1,1),$8:$8,"&lt;="&amp;EOMONTH(HL$8,0))/SUMIFS(66:66,$8:$8,"&gt;="&amp;DATE(YEAR(HL$8)-1,1,1),$8:$8,"&lt;="&amp;EOMONTH(HL$8,-12))-1</f>
        <v/>
      </c>
      <c r="HM71" s="1318">
        <f>SUMIFS(66:66,$8:$8,"&gt;="&amp;DATE(YEAR(HM$8),1,1),$8:$8,"&lt;="&amp;EOMONTH(HM$8,0))/SUMIFS(66:66,$8:$8,"&gt;="&amp;DATE(YEAR(HM$8)-1,1,1),$8:$8,"&lt;="&amp;EOMONTH(HM$8,-12))-1</f>
        <v/>
      </c>
      <c r="HN71" s="1318">
        <f>SUMIFS(66:66,$8:$8,"&gt;="&amp;DATE(YEAR(HN$8),1,1),$8:$8,"&lt;="&amp;EOMONTH(HN$8,0))/SUMIFS(66:66,$8:$8,"&gt;="&amp;DATE(YEAR(HN$8)-1,1,1),$8:$8,"&lt;="&amp;EOMONTH(HN$8,-12))-1</f>
        <v/>
      </c>
      <c r="HO71" s="1318">
        <f>SUMIFS(66:66,$8:$8,"&gt;="&amp;DATE(YEAR(HO$8),1,1),$8:$8,"&lt;="&amp;EOMONTH(HO$8,0))/SUMIFS(66:66,$8:$8,"&gt;="&amp;DATE(YEAR(HO$8)-1,1,1),$8:$8,"&lt;="&amp;EOMONTH(HO$8,-12))-1</f>
        <v/>
      </c>
      <c r="HP71" s="1318">
        <f>SUMIFS(66:66,$8:$8,"&gt;="&amp;DATE(YEAR(HP$8),1,1),$8:$8,"&lt;="&amp;EOMONTH(HP$8,0))/SUMIFS(66:66,$8:$8,"&gt;="&amp;DATE(YEAR(HP$8)-1,1,1),$8:$8,"&lt;="&amp;EOMONTH(HP$8,-12))-1</f>
        <v/>
      </c>
      <c r="HQ71" s="1318">
        <f>SUMIFS(66:66,$8:$8,"&gt;="&amp;DATE(YEAR(HQ$8),1,1),$8:$8,"&lt;="&amp;EOMONTH(HQ$8,0))/SUMIFS(66:66,$8:$8,"&gt;="&amp;DATE(YEAR(HQ$8)-1,1,1),$8:$8,"&lt;="&amp;EOMONTH(HQ$8,-12))-1</f>
        <v/>
      </c>
      <c r="HR71" s="1318">
        <f>SUMIFS(66:66,$8:$8,"&gt;="&amp;DATE(YEAR(HR$8),1,1),$8:$8,"&lt;="&amp;EOMONTH(HR$8,0))/SUMIFS(66:66,$8:$8,"&gt;="&amp;DATE(YEAR(HR$8)-1,1,1),$8:$8,"&lt;="&amp;EOMONTH(HR$8,-12))-1</f>
        <v/>
      </c>
      <c r="HS71" s="1318">
        <f>SUMIFS(66:66,$8:$8,"&gt;="&amp;DATE(YEAR(HS$8),1,1),$8:$8,"&lt;="&amp;EOMONTH(HS$8,0))/SUMIFS(66:66,$8:$8,"&gt;="&amp;DATE(YEAR(HS$8)-1,1,1),$8:$8,"&lt;="&amp;EOMONTH(HS$8,-12))-1</f>
        <v/>
      </c>
      <c r="HT71" s="1318">
        <f>SUMIFS(66:66,$8:$8,"&gt;="&amp;DATE(YEAR(HT$8),1,1),$8:$8,"&lt;="&amp;EOMONTH(HT$8,0))/SUMIFS(66:66,$8:$8,"&gt;="&amp;DATE(YEAR(HT$8)-1,1,1),$8:$8,"&lt;="&amp;EOMONTH(HT$8,-12))-1</f>
        <v/>
      </c>
      <c r="HU71" s="1318">
        <f>SUMIFS(66:66,$8:$8,"&gt;="&amp;DATE(YEAR(HU$8),1,1),$8:$8,"&lt;="&amp;EOMONTH(HU$8,0))/SUMIFS(66:66,$8:$8,"&gt;="&amp;DATE(YEAR(HU$8)-1,1,1),$8:$8,"&lt;="&amp;EOMONTH(HU$8,-12))-1</f>
        <v/>
      </c>
      <c r="HV71" s="1318">
        <f>SUMIFS(66:66,$8:$8,"&gt;="&amp;DATE(YEAR(HV$8),1,1),$8:$8,"&lt;="&amp;EOMONTH(HV$8,0))/SUMIFS(66:66,$8:$8,"&gt;="&amp;DATE(YEAR(HV$8)-1,1,1),$8:$8,"&lt;="&amp;EOMONTH(HV$8,-12))-1</f>
        <v/>
      </c>
      <c r="HW71" s="1318">
        <f>SUMIFS(66:66,$8:$8,"&gt;="&amp;DATE(YEAR(HW$8),1,1),$8:$8,"&lt;="&amp;EOMONTH(HW$8,0))/SUMIFS(66:66,$8:$8,"&gt;="&amp;DATE(YEAR(HW$8)-1,1,1),$8:$8,"&lt;="&amp;EOMONTH(HW$8,-12))-1</f>
        <v/>
      </c>
      <c r="HX71" s="1318">
        <f>SUMIFS(66:66,$8:$8,"&gt;="&amp;DATE(YEAR(HX$8),1,1),$8:$8,"&lt;="&amp;EOMONTH(HX$8,0))/SUMIFS(66:66,$8:$8,"&gt;="&amp;DATE(YEAR(HX$8)-1,1,1),$8:$8,"&lt;="&amp;EOMONTH(HX$8,-12))-1</f>
        <v/>
      </c>
      <c r="HY71" s="1318">
        <f>SUMIFS(66:66,$8:$8,"&gt;="&amp;DATE(YEAR(HY$8),1,1),$8:$8,"&lt;="&amp;EOMONTH(HY$8,0))/SUMIFS(66:66,$8:$8,"&gt;="&amp;DATE(YEAR(HY$8)-1,1,1),$8:$8,"&lt;="&amp;EOMONTH(HY$8,-12))-1</f>
        <v/>
      </c>
      <c r="HZ71" s="1318">
        <f>SUMIFS(66:66,$8:$8,"&gt;="&amp;DATE(YEAR(HZ$8),1,1),$8:$8,"&lt;="&amp;EOMONTH(HZ$8,0))/SUMIFS(66:66,$8:$8,"&gt;="&amp;DATE(YEAR(HZ$8)-1,1,1),$8:$8,"&lt;="&amp;EOMONTH(HZ$8,-12))-1</f>
        <v/>
      </c>
      <c r="IA71" s="1318">
        <f>SUMIFS(66:66,$8:$8,"&gt;="&amp;DATE(YEAR(IA$8),1,1),$8:$8,"&lt;="&amp;EOMONTH(IA$8,0))/SUMIFS(66:66,$8:$8,"&gt;="&amp;DATE(YEAR(IA$8)-1,1,1),$8:$8,"&lt;="&amp;EOMONTH(IA$8,-12))-1</f>
        <v/>
      </c>
      <c r="IB71" s="1318">
        <f>SUMIFS(66:66,$8:$8,"&gt;="&amp;DATE(YEAR(IB$8),1,1),$8:$8,"&lt;="&amp;EOMONTH(IB$8,0))/SUMIFS(66:66,$8:$8,"&gt;="&amp;DATE(YEAR(IB$8)-1,1,1),$8:$8,"&lt;="&amp;EOMONTH(IB$8,-12))-1</f>
        <v/>
      </c>
      <c r="IC71" s="1318">
        <f>SUMIFS(66:66,$8:$8,"&gt;="&amp;DATE(YEAR(IC$8),1,1),$8:$8,"&lt;="&amp;EOMONTH(IC$8,0))/SUMIFS(66:66,$8:$8,"&gt;="&amp;DATE(YEAR(IC$8)-1,1,1),$8:$8,"&lt;="&amp;EOMONTH(IC$8,-12))-1</f>
        <v/>
      </c>
      <c r="ID71" s="1318">
        <f>SUMIFS(66:66,$8:$8,"&gt;="&amp;DATE(YEAR(ID$8),1,1),$8:$8,"&lt;="&amp;EOMONTH(ID$8,0))/SUMIFS(66:66,$8:$8,"&gt;="&amp;DATE(YEAR(ID$8)-1,1,1),$8:$8,"&lt;="&amp;EOMONTH(ID$8,-12))-1</f>
        <v/>
      </c>
      <c r="IE71" s="1318">
        <f>SUMIFS(66:66,$8:$8,"&gt;="&amp;DATE(YEAR(IE$8),1,1),$8:$8,"&lt;="&amp;EOMONTH(IE$8,0))/SUMIFS(66:66,$8:$8,"&gt;="&amp;DATE(YEAR(IE$8)-1,1,1),$8:$8,"&lt;="&amp;EOMONTH(IE$8,-12))-1</f>
        <v/>
      </c>
      <c r="IF71" s="1318">
        <f>SUMIFS(66:66,$8:$8,"&gt;="&amp;DATE(YEAR(IF$8),1,1),$8:$8,"&lt;="&amp;EOMONTH(IF$8,0))/SUMIFS(66:66,$8:$8,"&gt;="&amp;DATE(YEAR(IF$8)-1,1,1),$8:$8,"&lt;="&amp;EOMONTH(IF$8,-12))-1</f>
        <v/>
      </c>
      <c r="IG71" s="1318">
        <f>SUMIFS(66:66,$8:$8,"&gt;="&amp;DATE(YEAR(IG$8),1,1),$8:$8,"&lt;="&amp;EOMONTH(IG$8,0))/SUMIFS(66:66,$8:$8,"&gt;="&amp;DATE(YEAR(IG$8)-1,1,1),$8:$8,"&lt;="&amp;EOMONTH(IG$8,-12))-1</f>
        <v/>
      </c>
      <c r="IH71" s="1318">
        <f>SUMIFS(66:66,$8:$8,"&gt;="&amp;DATE(YEAR(IH$8),1,1),$8:$8,"&lt;="&amp;EOMONTH(IH$8,0))/SUMIFS(66:66,$8:$8,"&gt;="&amp;DATE(YEAR(IH$8)-1,1,1),$8:$8,"&lt;="&amp;EOMONTH(IH$8,-12))-1</f>
        <v/>
      </c>
      <c r="II71" s="1318">
        <f>SUMIFS(66:66,$8:$8,"&gt;="&amp;DATE(YEAR(II$8),1,1),$8:$8,"&lt;="&amp;EOMONTH(II$8,0))/SUMIFS(66:66,$8:$8,"&gt;="&amp;DATE(YEAR(II$8)-1,1,1),$8:$8,"&lt;="&amp;EOMONTH(II$8,-12))-1</f>
        <v/>
      </c>
      <c r="IJ71" s="1318">
        <f>SUMIFS(66:66,$8:$8,"&gt;="&amp;DATE(YEAR(IJ$8),1,1),$8:$8,"&lt;="&amp;EOMONTH(IJ$8,0))/SUMIFS(66:66,$8:$8,"&gt;="&amp;DATE(YEAR(IJ$8)-1,1,1),$8:$8,"&lt;="&amp;EOMONTH(IJ$8,-12))-1</f>
        <v/>
      </c>
      <c r="IK71" s="1318">
        <f>SUMIFS(66:66,$8:$8,"&gt;="&amp;DATE(YEAR(IK$8),1,1),$8:$8,"&lt;="&amp;EOMONTH(IK$8,0))/SUMIFS(66:66,$8:$8,"&gt;="&amp;DATE(YEAR(IK$8)-1,1,1),$8:$8,"&lt;="&amp;EOMONTH(IK$8,-12))-1</f>
        <v/>
      </c>
      <c r="IL71" s="1318">
        <f>SUMIFS(66:66,$8:$8,"&gt;="&amp;DATE(YEAR(IL$8),1,1),$8:$8,"&lt;="&amp;EOMONTH(IL$8,0))/SUMIFS(66:66,$8:$8,"&gt;="&amp;DATE(YEAR(IL$8)-1,1,1),$8:$8,"&lt;="&amp;EOMONTH(IL$8,-12))-1</f>
        <v/>
      </c>
      <c r="IM71" s="1318">
        <f>SUMIFS(66:66,$8:$8,"&gt;="&amp;DATE(YEAR(IM$8),1,1),$8:$8,"&lt;="&amp;EOMONTH(IM$8,0))/SUMIFS(66:66,$8:$8,"&gt;="&amp;DATE(YEAR(IM$8)-1,1,1),$8:$8,"&lt;="&amp;EOMONTH(IM$8,-12))-1</f>
        <v/>
      </c>
      <c r="IN71" s="1318">
        <f>SUMIFS(66:66,$8:$8,"&gt;="&amp;DATE(YEAR(IN$8),1,1),$8:$8,"&lt;="&amp;EOMONTH(IN$8,0))/SUMIFS(66:66,$8:$8,"&gt;="&amp;DATE(YEAR(IN$8)-1,1,1),$8:$8,"&lt;="&amp;EOMONTH(IN$8,-12))-1</f>
        <v/>
      </c>
      <c r="IO71" s="1318">
        <f>SUMIFS(66:66,$8:$8,"&gt;="&amp;DATE(YEAR(IO$8),1,1),$8:$8,"&lt;="&amp;EOMONTH(IO$8,0))/SUMIFS(66:66,$8:$8,"&gt;="&amp;DATE(YEAR(IO$8)-1,1,1),$8:$8,"&lt;="&amp;EOMONTH(IO$8,-12))-1</f>
        <v/>
      </c>
      <c r="IP71" s="1318">
        <f>SUMIFS(66:66,$8:$8,"&gt;="&amp;DATE(YEAR(IP$8),1,1),$8:$8,"&lt;="&amp;EOMONTH(IP$8,0))/SUMIFS(66:66,$8:$8,"&gt;="&amp;DATE(YEAR(IP$8)-1,1,1),$8:$8,"&lt;="&amp;EOMONTH(IP$8,-12))-1</f>
        <v/>
      </c>
      <c r="IQ71" s="1318">
        <f>SUMIFS(66:66,$8:$8,"&gt;="&amp;DATE(YEAR(IQ$8),1,1),$8:$8,"&lt;="&amp;EOMONTH(IQ$8,0))/SUMIFS(66:66,$8:$8,"&gt;="&amp;DATE(YEAR(IQ$8)-1,1,1),$8:$8,"&lt;="&amp;EOMONTH(IQ$8,-12))-1</f>
        <v/>
      </c>
      <c r="IR71" s="1318">
        <f>SUMIFS(66:66,$8:$8,"&gt;="&amp;DATE(YEAR(IR$8),1,1),$8:$8,"&lt;="&amp;EOMONTH(IR$8,0))/SUMIFS(66:66,$8:$8,"&gt;="&amp;DATE(YEAR(IR$8)-1,1,1),$8:$8,"&lt;="&amp;EOMONTH(IR$8,-12))-1</f>
        <v/>
      </c>
      <c r="IS71" s="1318">
        <f>SUMIFS(66:66,$8:$8,"&gt;="&amp;DATE(YEAR(IS$8),1,1),$8:$8,"&lt;="&amp;EOMONTH(IS$8,0))/SUMIFS(66:66,$8:$8,"&gt;="&amp;DATE(YEAR(IS$8)-1,1,1),$8:$8,"&lt;="&amp;EOMONTH(IS$8,-12))-1</f>
        <v/>
      </c>
      <c r="IT71" s="1318">
        <f>SUMIFS(66:66,$8:$8,"&gt;="&amp;DATE(YEAR(IT$8),1,1),$8:$8,"&lt;="&amp;EOMONTH(IT$8,0))/SUMIFS(66:66,$8:$8,"&gt;="&amp;DATE(YEAR(IT$8)-1,1,1),$8:$8,"&lt;="&amp;EOMONTH(IT$8,-12))-1</f>
        <v/>
      </c>
      <c r="IU71" s="1318">
        <f>SUMIFS(66:66,$8:$8,"&gt;="&amp;DATE(YEAR(IU$8),1,1),$8:$8,"&lt;="&amp;EOMONTH(IU$8,0))/SUMIFS(66:66,$8:$8,"&gt;="&amp;DATE(YEAR(IU$8)-1,1,1),$8:$8,"&lt;="&amp;EOMONTH(IU$8,-12))-1</f>
        <v/>
      </c>
      <c r="IV71" s="1318">
        <f>SUMIFS(66:66,$8:$8,"&gt;="&amp;DATE(YEAR(IV$8),1,1),$8:$8,"&lt;="&amp;EOMONTH(IV$8,0))/SUMIFS(66:66,$8:$8,"&gt;="&amp;DATE(YEAR(IV$8)-1,1,1),$8:$8,"&lt;="&amp;EOMONTH(IV$8,-12))-1</f>
        <v/>
      </c>
      <c r="IW71" s="1318">
        <f>SUMIFS(66:66,$8:$8,"&gt;="&amp;DATE(YEAR(IW$8),1,1),$8:$8,"&lt;="&amp;EOMONTH(IW$8,0))/SUMIFS(66:66,$8:$8,"&gt;="&amp;DATE(YEAR(IW$8)-1,1,1),$8:$8,"&lt;="&amp;EOMONTH(IW$8,-12))-1</f>
        <v/>
      </c>
      <c r="IX71" s="1318">
        <f>SUMIFS(66:66,$8:$8,"&gt;="&amp;DATE(YEAR(IX$8),1,1),$8:$8,"&lt;="&amp;EOMONTH(IX$8,0))/SUMIFS(66:66,$8:$8,"&gt;="&amp;DATE(YEAR(IX$8)-1,1,1),$8:$8,"&lt;="&amp;EOMONTH(IX$8,-12))-1</f>
        <v/>
      </c>
      <c r="IY71" s="1318">
        <f>SUMIFS(66:66,$8:$8,"&gt;="&amp;DATE(YEAR(IY$8),1,1),$8:$8,"&lt;="&amp;EOMONTH(IY$8,0))/SUMIFS(66:66,$8:$8,"&gt;="&amp;DATE(YEAR(IY$8)-1,1,1),$8:$8,"&lt;="&amp;EOMONTH(IY$8,-12))-1</f>
        <v/>
      </c>
      <c r="IZ71" s="1318">
        <f>SUMIFS(66:66,$8:$8,"&gt;="&amp;DATE(YEAR(IZ$8),1,1),$8:$8,"&lt;="&amp;EOMONTH(IZ$8,0))/SUMIFS(66:66,$8:$8,"&gt;="&amp;DATE(YEAR(IZ$8)-1,1,1),$8:$8,"&lt;="&amp;EOMONTH(IZ$8,-12))-1</f>
        <v/>
      </c>
      <c r="JA71" s="1318">
        <f>SUMIFS(66:66,$8:$8,"&gt;="&amp;DATE(YEAR(JA$8),1,1),$8:$8,"&lt;="&amp;EOMONTH(JA$8,0))/SUMIFS(66:66,$8:$8,"&gt;="&amp;DATE(YEAR(JA$8)-1,1,1),$8:$8,"&lt;="&amp;EOMONTH(JA$8,-12))-1</f>
        <v/>
      </c>
      <c r="JB71" s="1318">
        <f>SUMIFS(66:66,$8:$8,"&gt;="&amp;DATE(YEAR(JB$8),1,1),$8:$8,"&lt;="&amp;EOMONTH(JB$8,0))/SUMIFS(66:66,$8:$8,"&gt;="&amp;DATE(YEAR(JB$8)-1,1,1),$8:$8,"&lt;="&amp;EOMONTH(JB$8,-12))-1</f>
        <v/>
      </c>
      <c r="JC71" s="1318">
        <f>SUMIFS(66:66,$8:$8,"&gt;="&amp;DATE(YEAR(JC$8),1,1),$8:$8,"&lt;="&amp;EOMONTH(JC$8,0))/SUMIFS(66:66,$8:$8,"&gt;="&amp;DATE(YEAR(JC$8)-1,1,1),$8:$8,"&lt;="&amp;EOMONTH(JC$8,-12))-1</f>
        <v/>
      </c>
      <c r="JD71" s="1318">
        <f>SUMIFS(66:66,$8:$8,"&gt;="&amp;DATE(YEAR(JD$8),1,1),$8:$8,"&lt;="&amp;EOMONTH(JD$8,0))/SUMIFS(66:66,$8:$8,"&gt;="&amp;DATE(YEAR(JD$8)-1,1,1),$8:$8,"&lt;="&amp;EOMONTH(JD$8,-12))-1</f>
        <v/>
      </c>
      <c r="JE71" s="1318">
        <f>SUMIFS(66:66,$8:$8,"&gt;="&amp;DATE(YEAR(JE$8),1,1),$8:$8,"&lt;="&amp;EOMONTH(JE$8,0))/SUMIFS(66:66,$8:$8,"&gt;="&amp;DATE(YEAR(JE$8)-1,1,1),$8:$8,"&lt;="&amp;EOMONTH(JE$8,-12))-1</f>
        <v/>
      </c>
      <c r="JF71" s="1318">
        <f>SUMIFS(66:66,$8:$8,"&gt;="&amp;DATE(YEAR(JF$8),1,1),$8:$8,"&lt;="&amp;EOMONTH(JF$8,0))/SUMIFS(66:66,$8:$8,"&gt;="&amp;DATE(YEAR(JF$8)-1,1,1),$8:$8,"&lt;="&amp;EOMONTH(JF$8,-12))-1</f>
        <v/>
      </c>
      <c r="JG71" s="1318">
        <f>SUMIFS(66:66,$8:$8,"&gt;="&amp;DATE(YEAR(JG$8),1,1),$8:$8,"&lt;="&amp;EOMONTH(JG$8,0))/SUMIFS(66:66,$8:$8,"&gt;="&amp;DATE(YEAR(JG$8)-1,1,1),$8:$8,"&lt;="&amp;EOMONTH(JG$8,-12))-1</f>
        <v/>
      </c>
      <c r="JH71" s="1318">
        <f>SUMIFS(66:66,$8:$8,"&gt;="&amp;DATE(YEAR(JH$8),1,1),$8:$8,"&lt;="&amp;EOMONTH(JH$8,0))/SUMIFS(66:66,$8:$8,"&gt;="&amp;DATE(YEAR(JH$8)-1,1,1),$8:$8,"&lt;="&amp;EOMONTH(JH$8,-12))-1</f>
        <v/>
      </c>
      <c r="JI71" s="1318">
        <f>SUMIFS(66:66,$8:$8,"&gt;="&amp;DATE(YEAR(JI$8),1,1),$8:$8,"&lt;="&amp;EOMONTH(JI$8,0))/SUMIFS(66:66,$8:$8,"&gt;="&amp;DATE(YEAR(JI$8)-1,1,1),$8:$8,"&lt;="&amp;EOMONTH(JI$8,-12))-1</f>
        <v/>
      </c>
      <c r="JJ71" s="1318">
        <f>SUMIFS(66:66,$8:$8,"&gt;="&amp;DATE(YEAR(JJ$8),1,1),$8:$8,"&lt;="&amp;EOMONTH(JJ$8,0))/SUMIFS(66:66,$8:$8,"&gt;="&amp;DATE(YEAR(JJ$8)-1,1,1),$8:$8,"&lt;="&amp;EOMONTH(JJ$8,-12))-1</f>
        <v/>
      </c>
      <c r="JK71" s="1318">
        <f>SUMIFS(66:66,$8:$8,"&gt;="&amp;DATE(YEAR(JK$8),1,1),$8:$8,"&lt;="&amp;EOMONTH(JK$8,0))/SUMIFS(66:66,$8:$8,"&gt;="&amp;DATE(YEAR(JK$8)-1,1,1),$8:$8,"&lt;="&amp;EOMONTH(JK$8,-12))-1</f>
        <v/>
      </c>
      <c r="JL71" s="1318">
        <f>SUMIFS(66:66,$8:$8,"&gt;="&amp;DATE(YEAR(JL$8),1,1),$8:$8,"&lt;="&amp;EOMONTH(JL$8,0))/SUMIFS(66:66,$8:$8,"&gt;="&amp;DATE(YEAR(JL$8)-1,1,1),$8:$8,"&lt;="&amp;EOMONTH(JL$8,-12))-1</f>
        <v/>
      </c>
      <c r="JM71" s="1318">
        <f>SUMIFS(66:66,$8:$8,"&gt;="&amp;DATE(YEAR(JM$8),1,1),$8:$8,"&lt;="&amp;EOMONTH(JM$8,0))/SUMIFS(66:66,$8:$8,"&gt;="&amp;DATE(YEAR(JM$8)-1,1,1),$8:$8,"&lt;="&amp;EOMONTH(JM$8,-12))-1</f>
        <v/>
      </c>
      <c r="JN71" s="1318">
        <f>SUMIFS(66:66,$8:$8,"&gt;="&amp;DATE(YEAR(JN$8),1,1),$8:$8,"&lt;="&amp;EOMONTH(JN$8,0))/SUMIFS(66:66,$8:$8,"&gt;="&amp;DATE(YEAR(JN$8)-1,1,1),$8:$8,"&lt;="&amp;EOMONTH(JN$8,-12))-1</f>
        <v/>
      </c>
      <c r="JO71" s="1318">
        <f>SUMIFS(66:66,$8:$8,"&gt;="&amp;DATE(YEAR(JO$8),1,1),$8:$8,"&lt;="&amp;EOMONTH(JO$8,0))/SUMIFS(66:66,$8:$8,"&gt;="&amp;DATE(YEAR(JO$8)-1,1,1),$8:$8,"&lt;="&amp;EOMONTH(JO$8,-12))-1</f>
        <v/>
      </c>
      <c r="JP71" s="1318">
        <f>SUMIFS(66:66,$8:$8,"&gt;="&amp;DATE(YEAR(JP$8),1,1),$8:$8,"&lt;="&amp;EOMONTH(JP$8,0))/SUMIFS(66:66,$8:$8,"&gt;="&amp;DATE(YEAR(JP$8)-1,1,1),$8:$8,"&lt;="&amp;EOMONTH(JP$8,-12))-1</f>
        <v/>
      </c>
      <c r="JQ71" s="1318">
        <f>SUMIFS(66:66,$8:$8,"&gt;="&amp;DATE(YEAR(JQ$8),1,1),$8:$8,"&lt;="&amp;EOMONTH(JQ$8,0))/SUMIFS(66:66,$8:$8,"&gt;="&amp;DATE(YEAR(JQ$8)-1,1,1),$8:$8,"&lt;="&amp;EOMONTH(JQ$8,-12))-1</f>
        <v/>
      </c>
      <c r="JR71" s="1318">
        <f>SUMIFS(66:66,$8:$8,"&gt;="&amp;DATE(YEAR(JR$8),1,1),$8:$8,"&lt;="&amp;EOMONTH(JR$8,0))/SUMIFS(66:66,$8:$8,"&gt;="&amp;DATE(YEAR(JR$8)-1,1,1),$8:$8,"&lt;="&amp;EOMONTH(JR$8,-12))-1</f>
        <v/>
      </c>
      <c r="JS71" s="1318">
        <f>SUMIFS(66:66,$8:$8,"&gt;="&amp;DATE(YEAR(JS$8),1,1),$8:$8,"&lt;="&amp;EOMONTH(JS$8,0))/SUMIFS(66:66,$8:$8,"&gt;="&amp;DATE(YEAR(JS$8)-1,1,1),$8:$8,"&lt;="&amp;EOMONTH(JS$8,-12))-1</f>
        <v/>
      </c>
      <c r="JT71" s="1318">
        <f>SUMIFS(66:66,$8:$8,"&gt;="&amp;DATE(YEAR(JT$8),1,1),$8:$8,"&lt;="&amp;EOMONTH(JT$8,0))/SUMIFS(66:66,$8:$8,"&gt;="&amp;DATE(YEAR(JT$8)-1,1,1),$8:$8,"&lt;="&amp;EOMONTH(JT$8,-12))-1</f>
        <v/>
      </c>
      <c r="JU71" s="1318">
        <f>SUMIFS(66:66,$8:$8,"&gt;="&amp;DATE(YEAR(JU$8),1,1),$8:$8,"&lt;="&amp;EOMONTH(JU$8,0))/SUMIFS(66:66,$8:$8,"&gt;="&amp;DATE(YEAR(JU$8)-1,1,1),$8:$8,"&lt;="&amp;EOMONTH(JU$8,-12))-1</f>
        <v/>
      </c>
      <c r="JV71" s="1318">
        <f>SUMIFS(66:66,$8:$8,"&gt;="&amp;DATE(YEAR(JV$8),1,1),$8:$8,"&lt;="&amp;EOMONTH(JV$8,0))/SUMIFS(66:66,$8:$8,"&gt;="&amp;DATE(YEAR(JV$8)-1,1,1),$8:$8,"&lt;="&amp;EOMONTH(JV$8,-12))-1</f>
        <v/>
      </c>
      <c r="JW71" s="1318">
        <f>SUMIFS(66:66,$8:$8,"&gt;="&amp;DATE(YEAR(JW$8),1,1),$8:$8,"&lt;="&amp;EOMONTH(JW$8,0))/SUMIFS(66:66,$8:$8,"&gt;="&amp;DATE(YEAR(JW$8)-1,1,1),$8:$8,"&lt;="&amp;EOMONTH(JW$8,-12))-1</f>
        <v/>
      </c>
      <c r="JX71" s="1318">
        <f>SUMIFS(66:66,$8:$8,"&gt;="&amp;DATE(YEAR(JX$8),1,1),$8:$8,"&lt;="&amp;EOMONTH(JX$8,0))/SUMIFS(66:66,$8:$8,"&gt;="&amp;DATE(YEAR(JX$8)-1,1,1),$8:$8,"&lt;="&amp;EOMONTH(JX$8,-12))-1</f>
        <v/>
      </c>
      <c r="JY71" s="1318">
        <f>SUMIFS(66:66,$8:$8,"&gt;="&amp;DATE(YEAR(JY$8),1,1),$8:$8,"&lt;="&amp;EOMONTH(JY$8,0))/SUMIFS(66:66,$8:$8,"&gt;="&amp;DATE(YEAR(JY$8)-1,1,1),$8:$8,"&lt;="&amp;EOMONTH(JY$8,-12))-1</f>
        <v/>
      </c>
      <c r="JZ71" s="1318">
        <f>SUMIFS(66:66,$8:$8,"&gt;="&amp;DATE(YEAR(JZ$8),1,1),$8:$8,"&lt;="&amp;EOMONTH(JZ$8,0))/SUMIFS(66:66,$8:$8,"&gt;="&amp;DATE(YEAR(JZ$8)-1,1,1),$8:$8,"&lt;="&amp;EOMONTH(JZ$8,-12))-1</f>
        <v/>
      </c>
      <c r="KA71" s="1318">
        <f>SUMIFS(66:66,$8:$8,"&gt;="&amp;DATE(YEAR(KA$8),1,1),$8:$8,"&lt;="&amp;EOMONTH(KA$8,0))/SUMIFS(66:66,$8:$8,"&gt;="&amp;DATE(YEAR(KA$8)-1,1,1),$8:$8,"&lt;="&amp;EOMONTH(KA$8,-12))-1</f>
        <v/>
      </c>
      <c r="KB71" s="1318">
        <f>SUMIFS(66:66,$8:$8,"&gt;="&amp;DATE(YEAR(KB$8),1,1),$8:$8,"&lt;="&amp;EOMONTH(KB$8,0))/SUMIFS(66:66,$8:$8,"&gt;="&amp;DATE(YEAR(KB$8)-1,1,1),$8:$8,"&lt;="&amp;EOMONTH(KB$8,-12))-1</f>
        <v/>
      </c>
      <c r="KC71" s="1318">
        <f>SUMIFS(66:66,$8:$8,"&gt;="&amp;DATE(YEAR(KC$8),1,1),$8:$8,"&lt;="&amp;EOMONTH(KC$8,0))/SUMIFS(66:66,$8:$8,"&gt;="&amp;DATE(YEAR(KC$8)-1,1,1),$8:$8,"&lt;="&amp;EOMONTH(KC$8,-12))-1</f>
        <v/>
      </c>
      <c r="KD71" s="1318">
        <f>SUMIFS(66:66,$8:$8,"&gt;="&amp;DATE(YEAR(KD$8),1,1),$8:$8,"&lt;="&amp;EOMONTH(KD$8,0))/SUMIFS(66:66,$8:$8,"&gt;="&amp;DATE(YEAR(KD$8)-1,1,1),$8:$8,"&lt;="&amp;EOMONTH(KD$8,-12))-1</f>
        <v/>
      </c>
      <c r="KE71" s="1318">
        <f>SUMIFS(66:66,$8:$8,"&gt;="&amp;DATE(YEAR(KE$8),1,1),$8:$8,"&lt;="&amp;EOMONTH(KE$8,0))/SUMIFS(66:66,$8:$8,"&gt;="&amp;DATE(YEAR(KE$8)-1,1,1),$8:$8,"&lt;="&amp;EOMONTH(KE$8,-12))-1</f>
        <v/>
      </c>
      <c r="KF71" s="1318">
        <f>SUMIFS(66:66,$8:$8,"&gt;="&amp;DATE(YEAR(KF$8),1,1),$8:$8,"&lt;="&amp;EOMONTH(KF$8,0))/SUMIFS(66:66,$8:$8,"&gt;="&amp;DATE(YEAR(KF$8)-1,1,1),$8:$8,"&lt;="&amp;EOMONTH(KF$8,-12))-1</f>
        <v/>
      </c>
      <c r="KG71" s="1318">
        <f>SUMIFS(66:66,$8:$8,"&gt;="&amp;DATE(YEAR(KG$8),1,1),$8:$8,"&lt;="&amp;EOMONTH(KG$8,0))/SUMIFS(66:66,$8:$8,"&gt;="&amp;DATE(YEAR(KG$8)-1,1,1),$8:$8,"&lt;="&amp;EOMONTH(KG$8,-12))-1</f>
        <v/>
      </c>
      <c r="KH71" s="1318">
        <f>SUMIFS(66:66,$8:$8,"&gt;="&amp;DATE(YEAR(KH$8),1,1),$8:$8,"&lt;="&amp;EOMONTH(KH$8,0))/SUMIFS(66:66,$8:$8,"&gt;="&amp;DATE(YEAR(KH$8)-1,1,1),$8:$8,"&lt;="&amp;EOMONTH(KH$8,-12))-1</f>
        <v/>
      </c>
      <c r="KI71" s="1318">
        <f>SUMIFS(66:66,$8:$8,"&gt;="&amp;DATE(YEAR(KI$8),1,1),$8:$8,"&lt;="&amp;EOMONTH(KI$8,0))/SUMIFS(66:66,$8:$8,"&gt;="&amp;DATE(YEAR(KI$8)-1,1,1),$8:$8,"&lt;="&amp;EOMONTH(KI$8,-12))-1</f>
        <v/>
      </c>
      <c r="KJ71" s="1318">
        <f>SUMIFS(66:66,$8:$8,"&gt;="&amp;DATE(YEAR(KJ$8),1,1),$8:$8,"&lt;="&amp;EOMONTH(KJ$8,0))/SUMIFS(66:66,$8:$8,"&gt;="&amp;DATE(YEAR(KJ$8)-1,1,1),$8:$8,"&lt;="&amp;EOMONTH(KJ$8,-12))-1</f>
        <v/>
      </c>
      <c r="KK71" s="1318">
        <f>SUMIFS(66:66,$8:$8,"&gt;="&amp;DATE(YEAR(KK$8),1,1),$8:$8,"&lt;="&amp;EOMONTH(KK$8,0))/SUMIFS(66:66,$8:$8,"&gt;="&amp;DATE(YEAR(KK$8)-1,1,1),$8:$8,"&lt;="&amp;EOMONTH(KK$8,-12))-1</f>
        <v/>
      </c>
      <c r="KL71" s="1318">
        <f>SUMIFS(66:66,$8:$8,"&gt;="&amp;DATE(YEAR(KL$8),1,1),$8:$8,"&lt;="&amp;EOMONTH(KL$8,0))/SUMIFS(66:66,$8:$8,"&gt;="&amp;DATE(YEAR(KL$8)-1,1,1),$8:$8,"&lt;="&amp;EOMONTH(KL$8,-12))-1</f>
        <v/>
      </c>
      <c r="KM71" s="1318">
        <f>SUMIFS(66:66,$8:$8,"&gt;="&amp;DATE(YEAR(KM$8),1,1),$8:$8,"&lt;="&amp;EOMONTH(KM$8,0))/SUMIFS(66:66,$8:$8,"&gt;="&amp;DATE(YEAR(KM$8)-1,1,1),$8:$8,"&lt;="&amp;EOMONTH(KM$8,-12))-1</f>
        <v/>
      </c>
      <c r="KN71" s="1318">
        <f>SUMIFS(66:66,$8:$8,"&gt;="&amp;DATE(YEAR(KN$8),1,1),$8:$8,"&lt;="&amp;EOMONTH(KN$8,0))/SUMIFS(66:66,$8:$8,"&gt;="&amp;DATE(YEAR(KN$8)-1,1,1),$8:$8,"&lt;="&amp;EOMONTH(KN$8,-12))-1</f>
        <v/>
      </c>
      <c r="KO71" s="1318">
        <f>SUMIFS(66:66,$8:$8,"&gt;="&amp;DATE(YEAR(KO$8),1,1),$8:$8,"&lt;="&amp;EOMONTH(KO$8,0))/SUMIFS(66:66,$8:$8,"&gt;="&amp;DATE(YEAR(KO$8)-1,1,1),$8:$8,"&lt;="&amp;EOMONTH(KO$8,-12))-1</f>
        <v/>
      </c>
      <c r="KP71" s="1318">
        <f>SUMIFS(66:66,$8:$8,"&gt;="&amp;DATE(YEAR(KP$8),1,1),$8:$8,"&lt;="&amp;EOMONTH(KP$8,0))/SUMIFS(66:66,$8:$8,"&gt;="&amp;DATE(YEAR(KP$8)-1,1,1),$8:$8,"&lt;="&amp;EOMONTH(KP$8,-12))-1</f>
        <v/>
      </c>
      <c r="KQ71" s="1318">
        <f>SUMIFS(66:66,$8:$8,"&gt;="&amp;DATE(YEAR(KQ$8),1,1),$8:$8,"&lt;="&amp;EOMONTH(KQ$8,0))/SUMIFS(66:66,$8:$8,"&gt;="&amp;DATE(YEAR(KQ$8)-1,1,1),$8:$8,"&lt;="&amp;EOMONTH(KQ$8,-12))-1</f>
        <v/>
      </c>
      <c r="KR71" s="1318">
        <f>SUMIFS(66:66,$8:$8,"&gt;="&amp;DATE(YEAR(KR$8),1,1),$8:$8,"&lt;="&amp;EOMONTH(KR$8,0))/SUMIFS(66:66,$8:$8,"&gt;="&amp;DATE(YEAR(KR$8)-1,1,1),$8:$8,"&lt;="&amp;EOMONTH(KR$8,-12))-1</f>
        <v/>
      </c>
      <c r="KS71" s="1318">
        <f>SUMIFS(66:66,$8:$8,"&gt;="&amp;DATE(YEAR(KS$8),1,1),$8:$8,"&lt;="&amp;EOMONTH(KS$8,0))/SUMIFS(66:66,$8:$8,"&gt;="&amp;DATE(YEAR(KS$8)-1,1,1),$8:$8,"&lt;="&amp;EOMONTH(KS$8,-12))-1</f>
        <v/>
      </c>
      <c r="KT71" s="1318">
        <f>SUMIFS(66:66,$8:$8,"&gt;="&amp;DATE(YEAR(KT$8),1,1),$8:$8,"&lt;="&amp;EOMONTH(KT$8,0))/SUMIFS(66:66,$8:$8,"&gt;="&amp;DATE(YEAR(KT$8)-1,1,1),$8:$8,"&lt;="&amp;EOMONTH(KT$8,-12))-1</f>
        <v/>
      </c>
      <c r="KU71" s="1318">
        <f>SUMIFS(66:66,$8:$8,"&gt;="&amp;DATE(YEAR(KU$8),1,1),$8:$8,"&lt;="&amp;EOMONTH(KU$8,0))/SUMIFS(66:66,$8:$8,"&gt;="&amp;DATE(YEAR(KU$8)-1,1,1),$8:$8,"&lt;="&amp;EOMONTH(KU$8,-12))-1</f>
        <v/>
      </c>
      <c r="KV71" s="1318">
        <f>SUMIFS(66:66,$8:$8,"&gt;="&amp;DATE(YEAR(KV$8),1,1),$8:$8,"&lt;="&amp;EOMONTH(KV$8,0))/SUMIFS(66:66,$8:$8,"&gt;="&amp;DATE(YEAR(KV$8)-1,1,1),$8:$8,"&lt;="&amp;EOMONTH(KV$8,-12))-1</f>
        <v/>
      </c>
      <c r="KW71" s="1318">
        <f>SUMIFS(66:66,$8:$8,"&gt;="&amp;DATE(YEAR(KW$8),1,1),$8:$8,"&lt;="&amp;EOMONTH(KW$8,0))/SUMIFS(66:66,$8:$8,"&gt;="&amp;DATE(YEAR(KW$8)-1,1,1),$8:$8,"&lt;="&amp;EOMONTH(KW$8,-12))-1</f>
        <v/>
      </c>
      <c r="KX71" s="1318">
        <f>SUMIFS(66:66,$8:$8,"&gt;="&amp;DATE(YEAR(KX$8),1,1),$8:$8,"&lt;="&amp;EOMONTH(KX$8,0))/SUMIFS(66:66,$8:$8,"&gt;="&amp;DATE(YEAR(KX$8)-1,1,1),$8:$8,"&lt;="&amp;EOMONTH(KX$8,-12))-1</f>
        <v/>
      </c>
      <c r="KY71" s="1318">
        <f>SUMIFS(66:66,$8:$8,"&gt;="&amp;DATE(YEAR(KY$8),1,1),$8:$8,"&lt;="&amp;EOMONTH(KY$8,0))/SUMIFS(66:66,$8:$8,"&gt;="&amp;DATE(YEAR(KY$8)-1,1,1),$8:$8,"&lt;="&amp;EOMONTH(KY$8,-12))-1</f>
        <v/>
      </c>
      <c r="KZ71" s="1318">
        <f>SUMIFS(66:66,$8:$8,"&gt;="&amp;DATE(YEAR(KZ$8),1,1),$8:$8,"&lt;="&amp;EOMONTH(KZ$8,0))/SUMIFS(66:66,$8:$8,"&gt;="&amp;DATE(YEAR(KZ$8)-1,1,1),$8:$8,"&lt;="&amp;EOMONTH(KZ$8,-12))-1</f>
        <v/>
      </c>
      <c r="LA71" s="1318">
        <f>SUMIFS(66:66,$8:$8,"&gt;="&amp;DATE(YEAR(LA$8),1,1),$8:$8,"&lt;="&amp;EOMONTH(LA$8,0))/SUMIFS(66:66,$8:$8,"&gt;="&amp;DATE(YEAR(LA$8)-1,1,1),$8:$8,"&lt;="&amp;EOMONTH(LA$8,-12))-1</f>
        <v/>
      </c>
      <c r="LB71" s="1318" t="n"/>
      <c r="LC71" s="1318" t="n"/>
      <c r="LD71" s="1318" t="n"/>
      <c r="LE71" s="1318" t="n"/>
      <c r="LF71" s="1318" t="n"/>
      <c r="LG71" s="1318" t="n"/>
      <c r="LH71" s="1318" t="n"/>
      <c r="LI71" s="1318" t="n"/>
      <c r="LJ71" s="1318" t="n"/>
      <c r="LK71" s="1318" t="n"/>
      <c r="LL71" s="1318" t="n"/>
      <c r="LM71" s="1318" t="n"/>
      <c r="LN71" s="1318" t="n"/>
      <c r="LO71" s="1318" t="n"/>
      <c r="LP71" s="1318" t="n"/>
      <c r="LQ71" s="1318" t="n"/>
      <c r="LR71" s="1318" t="n"/>
      <c r="LS71" s="1318" t="n"/>
    </row>
    <row r="72" ht="15" customHeight="1" s="239">
      <c r="A72" s="1319" t="inlineStr">
        <is>
          <t>China</t>
        </is>
      </c>
      <c r="B72" s="1320" t="n"/>
      <c r="C72" s="1319" t="n"/>
      <c r="D72" s="1319" t="n"/>
      <c r="E72" s="1319" t="n"/>
      <c r="F72" s="1319" t="n"/>
      <c r="G72" s="1319" t="n"/>
      <c r="H72" s="1319" t="n"/>
      <c r="I72" s="1319" t="n"/>
      <c r="J72" s="1319" t="n"/>
      <c r="K72" s="1319" t="n"/>
      <c r="L72" s="1319" t="n"/>
      <c r="M72" s="1319" t="n"/>
      <c r="N72" s="1320" t="n"/>
      <c r="O72" s="1319" t="n"/>
      <c r="P72" s="1319" t="n"/>
      <c r="Q72" s="1319" t="n"/>
      <c r="R72" s="1319" t="n"/>
      <c r="S72" s="1319" t="n"/>
      <c r="T72" s="1319" t="n"/>
      <c r="U72" s="1319" t="n"/>
      <c r="V72" s="1319" t="n"/>
      <c r="W72" s="1319" t="n"/>
      <c r="X72" s="1319" t="n"/>
      <c r="Y72" s="1319" t="n"/>
      <c r="Z72" s="1320" t="n"/>
      <c r="AA72" s="1319" t="n"/>
      <c r="AB72" s="1319" t="n"/>
      <c r="AC72" s="1319" t="n"/>
      <c r="AD72" s="1319" t="n"/>
      <c r="AE72" s="1319" t="n"/>
      <c r="AF72" s="1319" t="n"/>
      <c r="AG72" s="1319" t="n"/>
      <c r="AH72" s="1319" t="n"/>
      <c r="AI72" s="1319" t="n"/>
      <c r="AJ72" s="1319" t="n"/>
      <c r="AK72" s="1319" t="n"/>
      <c r="AL72" s="1320" t="n"/>
      <c r="AM72" s="1319" t="n"/>
      <c r="AN72" s="1319" t="n"/>
      <c r="AO72" s="1319" t="n"/>
      <c r="AP72" s="1319" t="n"/>
      <c r="AQ72" s="1319" t="n"/>
      <c r="AR72" s="1319" t="n"/>
      <c r="AS72" s="1319" t="n"/>
      <c r="AT72" s="1319" t="n"/>
      <c r="AU72" s="1319" t="n"/>
      <c r="AV72" s="1319" t="n"/>
      <c r="AW72" s="1319" t="n"/>
      <c r="AX72" s="1320" t="n"/>
      <c r="AY72" s="1320" t="n"/>
      <c r="AZ72" s="1320" t="n"/>
      <c r="BA72" s="1320" t="n"/>
      <c r="BB72" s="1320" t="n"/>
      <c r="BC72" s="1320" t="n"/>
      <c r="BD72" s="1320" t="n"/>
      <c r="BE72" s="1320" t="n"/>
      <c r="BF72" s="1320" t="n"/>
      <c r="BG72" s="1320" t="n"/>
      <c r="BH72" s="1320" t="n"/>
      <c r="BI72" s="1320" t="n"/>
      <c r="BJ72" s="1320" t="n"/>
      <c r="BK72" s="1320" t="n"/>
      <c r="BL72" s="1320" t="n"/>
      <c r="BM72" s="1320" t="n"/>
      <c r="BN72" s="1320" t="n"/>
      <c r="BO72" s="1320" t="n"/>
      <c r="BP72" s="1320" t="n"/>
      <c r="BQ72" s="1320" t="n"/>
      <c r="BR72" s="1320" t="n"/>
      <c r="BS72" s="1320" t="n"/>
      <c r="BT72" s="1320" t="n"/>
      <c r="BU72" s="1320" t="n"/>
      <c r="BV72" s="1320" t="n"/>
      <c r="BW72" s="1320" t="n"/>
      <c r="BX72" s="1320" t="n"/>
      <c r="BY72" s="1320" t="n"/>
      <c r="BZ72" s="1320" t="n"/>
      <c r="CA72" s="1320" t="n"/>
      <c r="CB72" s="1320" t="n"/>
      <c r="CC72" s="1320" t="n"/>
      <c r="CD72" s="1320" t="n"/>
      <c r="CE72" s="1320" t="n"/>
      <c r="CF72" s="1320" t="n"/>
      <c r="CG72" s="1320" t="n"/>
      <c r="CH72" s="1320" t="n"/>
      <c r="CI72" s="1320" t="n"/>
      <c r="CJ72" s="1321" t="n"/>
      <c r="CK72" s="1321" t="n"/>
      <c r="CL72" s="1322" t="n"/>
      <c r="CM72" s="1322" t="n"/>
      <c r="CN72" s="1319" t="n"/>
      <c r="CO72" s="1319" t="n"/>
      <c r="CP72" s="1319" t="n"/>
      <c r="CQ72" s="1319" t="n"/>
      <c r="CR72" s="1319" t="n"/>
      <c r="CS72" s="1319" t="n"/>
      <c r="CT72" s="1319" t="n">
        <v>360.037</v>
      </c>
      <c r="CU72" s="1319" t="n">
        <v>424.702</v>
      </c>
      <c r="CV72" s="1319" t="n">
        <v>428</v>
      </c>
      <c r="CW72" s="1320" t="n">
        <v>499.458</v>
      </c>
      <c r="CX72" s="1320" t="n">
        <v>467.15</v>
      </c>
      <c r="CY72" s="1320" t="n">
        <v>447.05</v>
      </c>
      <c r="CZ72" s="1320" t="n">
        <v>529.847</v>
      </c>
      <c r="DA72" s="1320" t="n">
        <v>551.876</v>
      </c>
      <c r="DB72" s="1320" t="n">
        <v>502.534</v>
      </c>
      <c r="DC72" s="1320" t="n">
        <v>549.643</v>
      </c>
      <c r="DD72" s="1320" t="n">
        <v>530.543</v>
      </c>
      <c r="DE72" s="1320" t="n">
        <v>493.978</v>
      </c>
      <c r="DF72" s="1320" t="n">
        <v>467.965</v>
      </c>
      <c r="DG72" s="1320" t="n">
        <v>462.577</v>
      </c>
      <c r="DH72" s="1320" t="n">
        <v>503.269</v>
      </c>
      <c r="DI72" s="1320" t="n">
        <v>506.882</v>
      </c>
      <c r="DJ72" s="1320" t="n">
        <v>503.444</v>
      </c>
      <c r="DK72" s="1320" t="n">
        <v>483.057</v>
      </c>
      <c r="DL72" s="1320" t="n">
        <v>527.211</v>
      </c>
      <c r="DM72" s="1320" t="n">
        <v>483.72</v>
      </c>
      <c r="DN72" s="1320" t="n">
        <v>478.685</v>
      </c>
      <c r="DO72" s="1320" t="n">
        <v>569.95</v>
      </c>
      <c r="DP72" s="1320" t="n">
        <v>514.718</v>
      </c>
      <c r="DQ72" s="1320" t="n">
        <v>479.298</v>
      </c>
      <c r="DR72" s="1320" t="n">
        <v>494.492</v>
      </c>
      <c r="DS72" s="1320" t="n">
        <v>433.818</v>
      </c>
      <c r="DT72" s="1320" t="n">
        <v>499.951</v>
      </c>
      <c r="DU72" s="1320" t="n">
        <v>574.427</v>
      </c>
      <c r="DV72" s="1320" t="n">
        <v>471.494</v>
      </c>
      <c r="DW72" s="1320" t="n">
        <v>391.419</v>
      </c>
      <c r="DX72" s="1320" t="n">
        <v>478.313</v>
      </c>
      <c r="DY72" s="1320" t="n">
        <v>534.723</v>
      </c>
      <c r="DZ72" s="1320" t="n">
        <v>459.46</v>
      </c>
      <c r="EA72" s="1320" t="n">
        <v>536.513</v>
      </c>
      <c r="EB72" s="1320" t="n">
        <v>531.4160000000001</v>
      </c>
      <c r="EC72" s="1320" t="n">
        <v>551.722</v>
      </c>
      <c r="ED72" s="1320" t="n">
        <v>517.072</v>
      </c>
      <c r="EE72" s="1320" t="n">
        <v>573.3390000000001</v>
      </c>
      <c r="EF72" s="1320" t="n">
        <v>590.098</v>
      </c>
      <c r="EG72" s="1320" t="n">
        <v>636.51</v>
      </c>
      <c r="EH72" s="1320" t="n">
        <v>632.8049999999999</v>
      </c>
      <c r="EI72" s="1320" t="n">
        <v>645.4690000000001</v>
      </c>
      <c r="EJ72" s="1320" t="n">
        <v>737.616</v>
      </c>
      <c r="EK72" s="1320" t="n">
        <v>711.527</v>
      </c>
      <c r="EL72" s="1320" t="n">
        <v>648.048</v>
      </c>
      <c r="EM72" s="1320" t="n">
        <v>660.25</v>
      </c>
      <c r="EN72" s="1320" t="n">
        <v>568.342</v>
      </c>
      <c r="EO72" s="1320" t="n">
        <v>534.449</v>
      </c>
      <c r="EP72" s="1320" t="n">
        <v>540.722</v>
      </c>
      <c r="EQ72" s="1320" t="n">
        <v>510.513</v>
      </c>
      <c r="ER72" s="1320" t="n">
        <v>557.804</v>
      </c>
      <c r="ES72" s="1320" t="n">
        <v>655.08</v>
      </c>
      <c r="ET72" s="1320" t="n">
        <v>618.1900000000001</v>
      </c>
      <c r="EU72" s="1320" t="n">
        <v>623.577</v>
      </c>
      <c r="EV72" s="1320" t="n">
        <v>698.797</v>
      </c>
      <c r="EW72" s="1320" t="n">
        <v>721.947</v>
      </c>
      <c r="EX72" s="1320" t="n">
        <v>633.667</v>
      </c>
      <c r="EY72" s="1320" t="n">
        <v>676.418</v>
      </c>
      <c r="EZ72" s="1320" t="n">
        <v>630.051</v>
      </c>
      <c r="FA72" s="1320" t="n">
        <v>631.591</v>
      </c>
      <c r="FB72" s="1320" t="n">
        <v>665.213</v>
      </c>
      <c r="FC72" s="1320" t="n">
        <v>565.754</v>
      </c>
      <c r="FD72" s="1320" t="n">
        <v>626.485</v>
      </c>
      <c r="FE72" s="1320" t="n">
        <v>697.914</v>
      </c>
      <c r="FF72" s="1320" t="n">
        <v>661.184</v>
      </c>
      <c r="FG72" s="1320" t="n">
        <v>652.623</v>
      </c>
      <c r="FH72" s="1320" t="n">
        <v>707.826</v>
      </c>
      <c r="FI72" s="1320" t="n">
        <v>737.744</v>
      </c>
      <c r="FJ72" s="1320" t="n">
        <v>645.7329999999999</v>
      </c>
      <c r="FK72" s="1320" t="n">
        <v>686.249</v>
      </c>
      <c r="FL72" s="1320" t="n">
        <v>668.8390000000001</v>
      </c>
      <c r="FM72" s="1320" t="n">
        <v>642.672</v>
      </c>
      <c r="FN72" s="1320" t="n">
        <v>633.2569999999999</v>
      </c>
      <c r="FO72" s="1320" t="n">
        <v>690.991</v>
      </c>
      <c r="FP72" s="1320" t="n">
        <v>702.256</v>
      </c>
      <c r="FQ72" s="1320" t="n">
        <v>676.124</v>
      </c>
      <c r="FR72" s="1320" t="n">
        <v>621.821</v>
      </c>
      <c r="FS72" s="1320" t="n">
        <v>663.742</v>
      </c>
      <c r="FT72" s="1320" t="n">
        <v>775.1660000000001</v>
      </c>
      <c r="FU72" s="1320" t="n">
        <v>788.413</v>
      </c>
      <c r="FV72" s="1320" t="n">
        <v>694.345</v>
      </c>
      <c r="FW72" s="1320" t="n">
        <v>704.636</v>
      </c>
      <c r="FX72" s="1320" t="n">
        <v>649.691</v>
      </c>
      <c r="FY72" s="1320" t="n">
        <v>636.735</v>
      </c>
      <c r="FZ72" s="1320" t="n">
        <v>706.192</v>
      </c>
      <c r="GA72" s="1320" t="n">
        <v>670.624</v>
      </c>
      <c r="GB72" s="1320" t="n">
        <v>707.1369999999999</v>
      </c>
      <c r="GC72" s="1320" t="n">
        <v>715.261</v>
      </c>
      <c r="GD72" s="1320" t="n">
        <v>683.622</v>
      </c>
      <c r="GE72" s="1320" t="n">
        <v>681.498</v>
      </c>
      <c r="GF72" s="1320" t="n">
        <v>745.514</v>
      </c>
      <c r="GG72" s="1320" t="n">
        <v>753.0119999999999</v>
      </c>
      <c r="GH72" s="1320" t="n">
        <v>697.189</v>
      </c>
      <c r="GI72" s="1320" t="n">
        <v>722.328</v>
      </c>
      <c r="GJ72" s="1320" t="n">
        <v>687.452</v>
      </c>
      <c r="GK72" s="1320" t="n">
        <v>647.846</v>
      </c>
      <c r="GL72" s="1320" t="n">
        <v>630.605</v>
      </c>
      <c r="GM72" s="1320" t="n">
        <v>745.465</v>
      </c>
      <c r="GN72" s="1320" t="n">
        <v>756.604</v>
      </c>
      <c r="GO72" s="1320" t="n">
        <v>766.704</v>
      </c>
      <c r="GP72" s="1320" t="n">
        <v>772.26</v>
      </c>
      <c r="GQ72" s="1320" t="n">
        <v>745.676</v>
      </c>
      <c r="GR72" s="1320" t="n">
        <v>799.629</v>
      </c>
      <c r="GS72" s="1320" t="n">
        <v>851.84</v>
      </c>
      <c r="GT72" s="1320" t="n">
        <v>738.646</v>
      </c>
      <c r="GU72" s="1320" t="n">
        <v>765.763</v>
      </c>
      <c r="GV72" s="1320" t="n">
        <v>732.867</v>
      </c>
      <c r="GW72" s="1320" t="n">
        <v>690.708</v>
      </c>
      <c r="GX72" s="1320" t="n">
        <v>734.389</v>
      </c>
      <c r="GY72" s="1320" t="n">
        <v>723.42</v>
      </c>
      <c r="GZ72" s="1320" t="n">
        <v>760.063</v>
      </c>
      <c r="HA72" s="1320" t="n">
        <v>789.501</v>
      </c>
      <c r="HB72" s="1320" t="n">
        <v>770.626</v>
      </c>
      <c r="HC72" s="1320" t="n">
        <v>740.327</v>
      </c>
      <c r="HD72" s="1320" t="n">
        <v>811.082</v>
      </c>
      <c r="HE72" s="1320" t="n">
        <v>803.79</v>
      </c>
      <c r="HF72" s="1320" t="n">
        <v>728.721</v>
      </c>
      <c r="HG72" s="1320" t="n">
        <v>720.95</v>
      </c>
      <c r="HH72" s="1320" t="n">
        <v>670.625</v>
      </c>
      <c r="HI72" s="1320" t="n">
        <v>694.293</v>
      </c>
      <c r="HJ72" s="892" t="n">
        <v>769.33</v>
      </c>
      <c r="HK72" s="892" t="n">
        <v>720.595</v>
      </c>
      <c r="HL72" s="892" t="n">
        <v>715.035</v>
      </c>
      <c r="HM72" s="892" t="n">
        <v>762.272</v>
      </c>
      <c r="HN72" s="892" t="n">
        <v>757.508</v>
      </c>
      <c r="HO72" s="892" t="n">
        <v>723.741</v>
      </c>
      <c r="HP72" s="892" t="n">
        <v>846.115</v>
      </c>
      <c r="HQ72" s="892" t="n">
        <v>835.235</v>
      </c>
      <c r="HR72" s="892" t="n">
        <v>716.078</v>
      </c>
      <c r="HS72" s="892" t="n">
        <v>762.929</v>
      </c>
      <c r="HT72" s="892" t="n">
        <v>720.808</v>
      </c>
      <c r="HU72" s="892" t="n">
        <v>727.189</v>
      </c>
      <c r="HV72" s="892" t="n">
        <v>718.851</v>
      </c>
      <c r="HW72" s="892" t="n">
        <v>793.49</v>
      </c>
      <c r="HX72" s="892" t="n">
        <v>783.787</v>
      </c>
      <c r="HY72" s="892" t="n">
        <v>781.982</v>
      </c>
      <c r="HZ72" s="892" t="n">
        <v>756.423</v>
      </c>
      <c r="IA72" s="892" t="n">
        <v>755.058</v>
      </c>
      <c r="IB72" s="892" t="n">
        <v>842.157</v>
      </c>
      <c r="IC72" s="892" t="n">
        <v>908.779</v>
      </c>
      <c r="ID72" s="892" t="n">
        <v>694.446</v>
      </c>
      <c r="IE72" s="892" t="n">
        <v>756.769</v>
      </c>
      <c r="IF72" s="892" t="n">
        <v>717.271</v>
      </c>
      <c r="IG72" s="892" t="n">
        <v>708.49</v>
      </c>
      <c r="IH72" s="892" t="n">
        <v>769.121</v>
      </c>
      <c r="II72" s="892" t="n">
        <v>736.36</v>
      </c>
      <c r="IJ72" s="892" t="n">
        <v>774.3390000000001</v>
      </c>
      <c r="IK72" s="892" t="n">
        <v>782.828</v>
      </c>
      <c r="IL72" s="892" t="n">
        <v>750.936</v>
      </c>
      <c r="IM72" s="892" t="n">
        <v>737.6420000000001</v>
      </c>
      <c r="IN72" s="892" t="n">
        <v>818.342</v>
      </c>
      <c r="IO72" s="892" t="n">
        <v>652.971</v>
      </c>
      <c r="IP72" s="892" t="n">
        <v>533.48</v>
      </c>
      <c r="IQ72" s="892" t="n">
        <v>591.004</v>
      </c>
      <c r="IR72" s="892" t="n">
        <v>529.688</v>
      </c>
      <c r="IS72" s="892" t="n">
        <v>539.64</v>
      </c>
      <c r="IT72" s="892" t="n">
        <v>623.62</v>
      </c>
      <c r="IU72" s="892" t="n">
        <v>93.363</v>
      </c>
      <c r="IV72" s="892" t="n">
        <v>31.672</v>
      </c>
      <c r="IW72" s="892" t="n">
        <v>1.822</v>
      </c>
      <c r="IX72" s="893" t="n">
        <v>3.811</v>
      </c>
      <c r="IY72" s="893" t="n">
        <v>3.35</v>
      </c>
      <c r="IZ72" s="893" t="n">
        <v>6.54</v>
      </c>
      <c r="JA72" s="893" t="n">
        <v>5.653</v>
      </c>
      <c r="JB72" s="893" t="n">
        <v>9.481</v>
      </c>
      <c r="JC72" s="893" t="n">
        <v>11.404</v>
      </c>
      <c r="JD72" s="893" t="n">
        <v>10.326</v>
      </c>
      <c r="JE72" s="893" t="n">
        <v>11.309</v>
      </c>
      <c r="JF72" s="893" t="n">
        <v>8.663</v>
      </c>
      <c r="JG72" s="893" t="n">
        <v>6.398</v>
      </c>
      <c r="JH72" s="893" t="n">
        <v>9.648999999999999</v>
      </c>
      <c r="JI72" s="893" t="n">
        <v>9.456</v>
      </c>
      <c r="JJ72" s="893" t="n">
        <v>10.11</v>
      </c>
      <c r="JK72" s="893" t="n">
        <v>15.974</v>
      </c>
      <c r="JL72" s="893" t="n">
        <v>20.795</v>
      </c>
      <c r="JM72" s="893" t="n">
        <v>72.325</v>
      </c>
      <c r="JN72" s="893" t="n">
        <v>67.92400000000001</v>
      </c>
      <c r="JO72" s="893" t="n">
        <v>33.424</v>
      </c>
      <c r="JP72" s="893" t="n">
        <v>21.51</v>
      </c>
      <c r="JQ72" s="893" t="n">
        <v>30.466</v>
      </c>
      <c r="JR72" s="893" t="n">
        <v>14.029</v>
      </c>
      <c r="JS72" s="893" t="n">
        <v>25.302</v>
      </c>
      <c r="JT72" s="893" t="n">
        <v>21.044</v>
      </c>
      <c r="JU72" s="893" t="n">
        <v>20.278</v>
      </c>
      <c r="JV72" s="893" t="n">
        <v>23.788</v>
      </c>
      <c r="JW72" s="893" t="n">
        <v>33.063</v>
      </c>
      <c r="JX72" s="893" t="n">
        <v>44.605</v>
      </c>
      <c r="JY72" s="893" t="n">
        <v>72.967</v>
      </c>
      <c r="JZ72" s="893" t="n">
        <v>75.074</v>
      </c>
      <c r="KA72" s="893" t="n">
        <v>45.555</v>
      </c>
      <c r="KB72" s="893" t="n">
        <v>53.816</v>
      </c>
      <c r="KC72" s="893" t="n">
        <v>67.941</v>
      </c>
      <c r="KD72" s="893" t="n">
        <v>136.976</v>
      </c>
      <c r="KE72" s="893" t="n">
        <v>200.53</v>
      </c>
      <c r="KF72" s="893" t="n">
        <v>258.917</v>
      </c>
      <c r="KG72" s="893" t="n">
        <v>268.216</v>
      </c>
      <c r="KH72" s="893" t="n">
        <v>265.947</v>
      </c>
      <c r="KI72" s="893" t="n">
        <v>276.607</v>
      </c>
      <c r="KJ72" s="893" t="n">
        <v>324.056</v>
      </c>
      <c r="KK72" s="893" t="n">
        <v>347.49</v>
      </c>
      <c r="KL72" s="893" t="n">
        <v>335.458</v>
      </c>
      <c r="KM72" s="893" t="n">
        <v>353.794</v>
      </c>
      <c r="KN72" s="893" t="n">
        <v>318.65</v>
      </c>
      <c r="KO72" s="893" t="n">
        <v>323.033</v>
      </c>
      <c r="KP72" s="893" t="n">
        <v>321.505</v>
      </c>
      <c r="KQ72" s="893" t="n">
        <v>365.988</v>
      </c>
      <c r="KR72" s="893" t="n">
        <v>349.177</v>
      </c>
      <c r="KS72" s="893" t="n">
        <v>387.564</v>
      </c>
      <c r="KT72" s="893" t="n">
        <v>389.312</v>
      </c>
      <c r="KU72" s="893" t="n">
        <v>373.892</v>
      </c>
      <c r="KV72" s="893" t="n">
        <v>440.232</v>
      </c>
      <c r="KW72" s="893" t="n">
        <v>440.232</v>
      </c>
      <c r="KX72" s="893" t="n">
        <v>400.703</v>
      </c>
      <c r="KY72" s="893" t="n">
        <v>440.334</v>
      </c>
      <c r="KZ72" s="893" t="n">
        <v>411.797</v>
      </c>
      <c r="LA72" s="893" t="n">
        <v>444.592</v>
      </c>
      <c r="LB72" s="893" t="n"/>
      <c r="LC72" s="893" t="n"/>
      <c r="LD72" s="893" t="n"/>
      <c r="LE72" s="893" t="n"/>
      <c r="LF72" s="893" t="n"/>
      <c r="LG72" s="893" t="n"/>
      <c r="LH72" s="893" t="n"/>
      <c r="LI72" s="893" t="n"/>
      <c r="LJ72" s="893" t="n"/>
      <c r="LK72" s="893" t="n"/>
      <c r="LL72" s="893" t="n"/>
      <c r="LM72" s="893" t="n"/>
      <c r="LN72" s="893" t="n"/>
      <c r="LO72" s="893" t="n"/>
      <c r="LP72" s="893" t="n"/>
      <c r="LQ72" s="893" t="n"/>
      <c r="LR72" s="893" t="n"/>
      <c r="LS72" s="893" t="n"/>
    </row>
    <row r="73">
      <c r="A73" s="885" t="inlineStr">
        <is>
          <t>m cg %</t>
        </is>
      </c>
      <c r="B73" s="1318" t="n"/>
      <c r="C73" s="1318" t="n"/>
      <c r="D73" s="1318" t="n"/>
      <c r="E73" s="1318" t="n"/>
      <c r="F73" s="1318" t="n"/>
      <c r="G73" s="1318" t="n"/>
      <c r="H73" s="1318" t="n"/>
      <c r="I73" s="1318" t="n"/>
      <c r="J73" s="1318" t="n"/>
      <c r="K73" s="1318" t="n"/>
      <c r="L73" s="1318" t="n"/>
      <c r="M73" s="1318" t="n"/>
      <c r="N73" s="1318" t="n"/>
      <c r="O73" s="1318" t="n"/>
      <c r="P73" s="1318" t="n"/>
      <c r="Q73" s="1318" t="n"/>
      <c r="R73" s="1318" t="n"/>
      <c r="S73" s="1318" t="n"/>
      <c r="T73" s="1318" t="n"/>
      <c r="U73" s="1318" t="n"/>
      <c r="V73" s="1318" t="n"/>
      <c r="W73" s="1318" t="n"/>
      <c r="X73" s="1318" t="n"/>
      <c r="Y73" s="1318" t="n"/>
      <c r="Z73" s="1318" t="n"/>
      <c r="AA73" s="1318" t="n"/>
      <c r="AB73" s="1318" t="n"/>
      <c r="AC73" s="1318" t="n"/>
      <c r="AD73" s="1318" t="n"/>
      <c r="AE73" s="1318" t="n"/>
      <c r="AF73" s="1318" t="n"/>
      <c r="AG73" s="1318" t="n"/>
      <c r="AH73" s="1318" t="n"/>
      <c r="AI73" s="1318" t="n"/>
      <c r="AJ73" s="1318" t="n"/>
      <c r="AK73" s="1318" t="n"/>
      <c r="AL73" s="1318" t="n"/>
      <c r="AM73" s="1318" t="n"/>
      <c r="AN73" s="1318" t="n"/>
      <c r="AO73" s="1318" t="n"/>
      <c r="AP73" s="1318" t="n"/>
      <c r="AQ73" s="1318" t="n"/>
      <c r="AR73" s="1318" t="n"/>
      <c r="AS73" s="1318" t="n"/>
      <c r="AT73" s="1318" t="n"/>
      <c r="AU73" s="1318" t="n"/>
      <c r="AV73" s="1318" t="n"/>
      <c r="AW73" s="1318" t="n"/>
      <c r="AX73" s="1318" t="n"/>
      <c r="AY73" s="1318" t="n"/>
      <c r="AZ73" s="1318" t="n"/>
      <c r="BA73" s="1318" t="n"/>
      <c r="BB73" s="1318" t="n"/>
      <c r="BC73" s="1318" t="n"/>
      <c r="BD73" s="1318" t="n"/>
      <c r="BE73" s="1318" t="n"/>
      <c r="BF73" s="1318" t="n"/>
      <c r="BG73" s="1318" t="n"/>
      <c r="BH73" s="1318" t="n"/>
      <c r="BI73" s="1318" t="n"/>
      <c r="BJ73" s="1318" t="n"/>
      <c r="BK73" s="1318" t="n"/>
      <c r="BL73" s="1318" t="n"/>
      <c r="BM73" s="1318" t="n"/>
      <c r="BN73" s="1318" t="n"/>
      <c r="BO73" s="1318" t="n"/>
      <c r="BP73" s="1318" t="n"/>
      <c r="BQ73" s="1318" t="n"/>
      <c r="BR73" s="1318" t="n"/>
      <c r="BS73" s="1318" t="n"/>
      <c r="BT73" s="1318" t="n"/>
      <c r="BU73" s="1318" t="n"/>
      <c r="BV73" s="1318" t="n"/>
      <c r="BW73" s="1318" t="n"/>
      <c r="BX73" s="1318" t="n"/>
      <c r="BY73" s="1318" t="n"/>
      <c r="BZ73" s="1318" t="n"/>
      <c r="CA73" s="1318" t="n"/>
      <c r="CB73" s="1318" t="n"/>
      <c r="CC73" s="1318" t="n"/>
      <c r="CD73" s="1318" t="n"/>
      <c r="CE73" s="1318" t="n"/>
      <c r="CF73" s="1318" t="n"/>
      <c r="CG73" s="1318" t="n"/>
      <c r="CH73" s="1318" t="n"/>
      <c r="CI73" s="1318" t="n"/>
      <c r="CJ73" s="1318" t="n"/>
      <c r="CK73" s="1318" t="n"/>
      <c r="CL73" s="1318" t="n"/>
      <c r="CM73" s="1318" t="n"/>
      <c r="CN73" s="1318" t="n"/>
      <c r="CO73" s="1318" t="n"/>
      <c r="CP73" s="1318" t="n"/>
      <c r="CQ73" s="1318" t="n"/>
      <c r="CR73" s="1318" t="n"/>
      <c r="CS73" s="1318" t="n"/>
      <c r="CT73" s="1318" t="n"/>
      <c r="CU73" s="1318">
        <f>CU72/CT72-1</f>
        <v/>
      </c>
      <c r="CV73" s="1318">
        <f>CV72/CU72-1</f>
        <v/>
      </c>
      <c r="CW73" s="1318">
        <f>CW72/CV72-1</f>
        <v/>
      </c>
      <c r="CX73" s="1318">
        <f>CX72/CW72-1</f>
        <v/>
      </c>
      <c r="CY73" s="1318">
        <f>CY72/CX72-1</f>
        <v/>
      </c>
      <c r="CZ73" s="1318">
        <f>CZ72/CY72-1</f>
        <v/>
      </c>
      <c r="DA73" s="1318">
        <f>DA72/CZ72-1</f>
        <v/>
      </c>
      <c r="DB73" s="1318">
        <f>DB72/DA72-1</f>
        <v/>
      </c>
      <c r="DC73" s="1318">
        <f>DC72/DB72-1</f>
        <v/>
      </c>
      <c r="DD73" s="1318">
        <f>DD72/DC72-1</f>
        <v/>
      </c>
      <c r="DE73" s="1318">
        <f>DE72/DD72-1</f>
        <v/>
      </c>
      <c r="DF73" s="1318">
        <f>DF72/DE72-1</f>
        <v/>
      </c>
      <c r="DG73" s="1318">
        <f>DG72/DF72-1</f>
        <v/>
      </c>
      <c r="DH73" s="1318">
        <f>DH72/DG72-1</f>
        <v/>
      </c>
      <c r="DI73" s="1318">
        <f>DI72/DH72-1</f>
        <v/>
      </c>
      <c r="DJ73" s="1318">
        <f>DJ72/DI72-1</f>
        <v/>
      </c>
      <c r="DK73" s="1318">
        <f>DK72/DJ72-1</f>
        <v/>
      </c>
      <c r="DL73" s="1318">
        <f>DL72/DK72-1</f>
        <v/>
      </c>
      <c r="DM73" s="1318">
        <f>DM72/DL72-1</f>
        <v/>
      </c>
      <c r="DN73" s="1318">
        <f>DN72/DM72-1</f>
        <v/>
      </c>
      <c r="DO73" s="1318">
        <f>DO72/DN72-1</f>
        <v/>
      </c>
      <c r="DP73" s="1318">
        <f>DP72/DO72-1</f>
        <v/>
      </c>
      <c r="DQ73" s="1318">
        <f>DQ72/DP72-1</f>
        <v/>
      </c>
      <c r="DR73" s="1318">
        <f>DR72/DQ72-1</f>
        <v/>
      </c>
      <c r="DS73" s="1318">
        <f>DS72/DR72-1</f>
        <v/>
      </c>
      <c r="DT73" s="1318">
        <f>DT72/DS72-1</f>
        <v/>
      </c>
      <c r="DU73" s="1318">
        <f>DU72/DT72-1</f>
        <v/>
      </c>
      <c r="DV73" s="1318">
        <f>DV72/DU72-1</f>
        <v/>
      </c>
      <c r="DW73" s="1318">
        <f>DW72/DV72-1</f>
        <v/>
      </c>
      <c r="DX73" s="1318">
        <f>DX72/DW72-1</f>
        <v/>
      </c>
      <c r="DY73" s="1318">
        <f>DY72/DX72-1</f>
        <v/>
      </c>
      <c r="DZ73" s="1318">
        <f>DZ72/DY72-1</f>
        <v/>
      </c>
      <c r="EA73" s="1318">
        <f>EA72/DZ72-1</f>
        <v/>
      </c>
      <c r="EB73" s="1318">
        <f>EB72/EA72-1</f>
        <v/>
      </c>
      <c r="EC73" s="1318">
        <f>EC72/EB72-1</f>
        <v/>
      </c>
      <c r="ED73" s="1318">
        <f>ED72/EC72-1</f>
        <v/>
      </c>
      <c r="EE73" s="1318">
        <f>EE72/ED72-1</f>
        <v/>
      </c>
      <c r="EF73" s="1318">
        <f>EF72/EE72-1</f>
        <v/>
      </c>
      <c r="EG73" s="1318">
        <f>EG72/EF72-1</f>
        <v/>
      </c>
      <c r="EH73" s="1318">
        <f>EH72/EG72-1</f>
        <v/>
      </c>
      <c r="EI73" s="1318">
        <f>EI72/EH72-1</f>
        <v/>
      </c>
      <c r="EJ73" s="1318">
        <f>EJ72/EI72-1</f>
        <v/>
      </c>
      <c r="EK73" s="1318">
        <f>EK72/EJ72-1</f>
        <v/>
      </c>
      <c r="EL73" s="1318">
        <f>EL72/EK72-1</f>
        <v/>
      </c>
      <c r="EM73" s="1318">
        <f>EM72/EL72-1</f>
        <v/>
      </c>
      <c r="EN73" s="1318">
        <f>EN72/EM72-1</f>
        <v/>
      </c>
      <c r="EO73" s="1318">
        <f>EO72/EN72-1</f>
        <v/>
      </c>
      <c r="EP73" s="1318">
        <f>EP72/EO72-1</f>
        <v/>
      </c>
      <c r="EQ73" s="1318">
        <f>EQ72/EP72-1</f>
        <v/>
      </c>
      <c r="ER73" s="1318">
        <f>ER72/EQ72-1</f>
        <v/>
      </c>
      <c r="ES73" s="1318">
        <f>ES72/ER72-1</f>
        <v/>
      </c>
      <c r="ET73" s="1318">
        <f>ET72/ES72-1</f>
        <v/>
      </c>
      <c r="EU73" s="1318">
        <f>EU72/ET72-1</f>
        <v/>
      </c>
      <c r="EV73" s="1318">
        <f>EV72/EU72-1</f>
        <v/>
      </c>
      <c r="EW73" s="1318">
        <f>EW72/EV72-1</f>
        <v/>
      </c>
      <c r="EX73" s="1318">
        <f>EX72/EW72-1</f>
        <v/>
      </c>
      <c r="EY73" s="1318">
        <f>EY72/EX72-1</f>
        <v/>
      </c>
      <c r="EZ73" s="1318">
        <f>EZ72/EY72-1</f>
        <v/>
      </c>
      <c r="FA73" s="1318">
        <f>FA72/EZ72-1</f>
        <v/>
      </c>
      <c r="FB73" s="1318">
        <f>FB72/FA72-1</f>
        <v/>
      </c>
      <c r="FC73" s="1318">
        <f>FC72/FB72-1</f>
        <v/>
      </c>
      <c r="FD73" s="1318">
        <f>FD72/FC72-1</f>
        <v/>
      </c>
      <c r="FE73" s="1318">
        <f>FE72/FD72-1</f>
        <v/>
      </c>
      <c r="FF73" s="1318">
        <f>FF72/FE72-1</f>
        <v/>
      </c>
      <c r="FG73" s="1318">
        <f>FG72/FF72-1</f>
        <v/>
      </c>
      <c r="FH73" s="1318">
        <f>FH72/FG72-1</f>
        <v/>
      </c>
      <c r="FI73" s="1318">
        <f>FI72/FH72-1</f>
        <v/>
      </c>
      <c r="FJ73" s="1318">
        <f>FJ72/FI72-1</f>
        <v/>
      </c>
      <c r="FK73" s="1318">
        <f>FK72/FJ72-1</f>
        <v/>
      </c>
      <c r="FL73" s="1318">
        <f>FL72/FK72-1</f>
        <v/>
      </c>
      <c r="FM73" s="1318">
        <f>FM72/FL72-1</f>
        <v/>
      </c>
      <c r="FN73" s="1318">
        <f>FN72/FM72-1</f>
        <v/>
      </c>
      <c r="FO73" s="1318">
        <f>FO72/FN72-1</f>
        <v/>
      </c>
      <c r="FP73" s="1318">
        <f>FP72/FO72-1</f>
        <v/>
      </c>
      <c r="FQ73" s="1318">
        <f>FQ72/FP72-1</f>
        <v/>
      </c>
      <c r="FR73" s="1318">
        <f>FR72/FQ72-1</f>
        <v/>
      </c>
      <c r="FS73" s="1318">
        <f>FS72/FR72-1</f>
        <v/>
      </c>
      <c r="FT73" s="1318">
        <f>FT72/FS72-1</f>
        <v/>
      </c>
      <c r="FU73" s="1318">
        <f>FU72/FT72-1</f>
        <v/>
      </c>
      <c r="FV73" s="1318">
        <f>FV72/FU72-1</f>
        <v/>
      </c>
      <c r="FW73" s="1318">
        <f>FW72/FV72-1</f>
        <v/>
      </c>
      <c r="FX73" s="1318">
        <f>FX72/FW72-1</f>
        <v/>
      </c>
      <c r="FY73" s="1318">
        <f>FY72/FX72-1</f>
        <v/>
      </c>
      <c r="FZ73" s="1318">
        <f>FZ72/FY72-1</f>
        <v/>
      </c>
      <c r="GA73" s="1318">
        <f>GA72/FZ72-1</f>
        <v/>
      </c>
      <c r="GB73" s="1318">
        <f>GB72/GA72-1</f>
        <v/>
      </c>
      <c r="GC73" s="1318">
        <f>GC72/GB72-1</f>
        <v/>
      </c>
      <c r="GD73" s="1318">
        <f>GD72/GC72-1</f>
        <v/>
      </c>
      <c r="GE73" s="1318">
        <f>GE72/GD72-1</f>
        <v/>
      </c>
      <c r="GF73" s="1318">
        <f>GF72/GE72-1</f>
        <v/>
      </c>
      <c r="GG73" s="1318">
        <f>GG72/GF72-1</f>
        <v/>
      </c>
      <c r="GH73" s="1318">
        <f>GH72/GG72-1</f>
        <v/>
      </c>
      <c r="GI73" s="1318">
        <f>GI72/GH72-1</f>
        <v/>
      </c>
      <c r="GJ73" s="1318">
        <f>GJ72/GI72-1</f>
        <v/>
      </c>
      <c r="GK73" s="1318">
        <f>GK72/GJ72-1</f>
        <v/>
      </c>
      <c r="GL73" s="1318">
        <f>GL72/GK72-1</f>
        <v/>
      </c>
      <c r="GM73" s="1318">
        <f>GM72/GL72-1</f>
        <v/>
      </c>
      <c r="GN73" s="1318">
        <f>GN72/GM72-1</f>
        <v/>
      </c>
      <c r="GO73" s="1318">
        <f>GO72/GN72-1</f>
        <v/>
      </c>
      <c r="GP73" s="1318">
        <f>GP72/GO72-1</f>
        <v/>
      </c>
      <c r="GQ73" s="1318">
        <f>GQ72/GP72-1</f>
        <v/>
      </c>
      <c r="GR73" s="1318">
        <f>GR72/GQ72-1</f>
        <v/>
      </c>
      <c r="GS73" s="1318">
        <f>GS72/GR72-1</f>
        <v/>
      </c>
      <c r="GT73" s="1318">
        <f>GT72/GS72-1</f>
        <v/>
      </c>
      <c r="GU73" s="1318">
        <f>GU72/GT72-1</f>
        <v/>
      </c>
      <c r="GV73" s="1318">
        <f>GV72/GU72-1</f>
        <v/>
      </c>
      <c r="GW73" s="1318">
        <f>GW72/GV72-1</f>
        <v/>
      </c>
      <c r="GX73" s="1318">
        <f>GX72/GW72-1</f>
        <v/>
      </c>
      <c r="GY73" s="1318">
        <f>GY72/GX72-1</f>
        <v/>
      </c>
      <c r="GZ73" s="1318">
        <f>GZ72/GY72-1</f>
        <v/>
      </c>
      <c r="HA73" s="1318">
        <f>HA72/GZ72-1</f>
        <v/>
      </c>
      <c r="HB73" s="1318">
        <f>HB72/HA72-1</f>
        <v/>
      </c>
      <c r="HC73" s="1318">
        <f>HC72/HB72-1</f>
        <v/>
      </c>
      <c r="HD73" s="1318">
        <f>HD72/HC72-1</f>
        <v/>
      </c>
      <c r="HE73" s="1318">
        <f>HE72/HD72-1</f>
        <v/>
      </c>
      <c r="HF73" s="1318">
        <f>HF72/HE72-1</f>
        <v/>
      </c>
      <c r="HG73" s="1318">
        <f>HG72/HF72-1</f>
        <v/>
      </c>
      <c r="HH73" s="1318">
        <f>HH72/HG72-1</f>
        <v/>
      </c>
      <c r="HI73" s="1318">
        <f>HI72/HH72-1</f>
        <v/>
      </c>
      <c r="HJ73" s="1318">
        <f>HJ72/HI72-1</f>
        <v/>
      </c>
      <c r="HK73" s="1318">
        <f>HK72/HJ72-1</f>
        <v/>
      </c>
      <c r="HL73" s="1318">
        <f>HL72/HK72-1</f>
        <v/>
      </c>
      <c r="HM73" s="1318">
        <f>HM72/HL72-1</f>
        <v/>
      </c>
      <c r="HN73" s="1318">
        <f>HN72/HM72-1</f>
        <v/>
      </c>
      <c r="HO73" s="1318">
        <f>HO72/HN72-1</f>
        <v/>
      </c>
      <c r="HP73" s="1318">
        <f>HP72/HO72-1</f>
        <v/>
      </c>
      <c r="HQ73" s="1318">
        <f>HQ72/HP72-1</f>
        <v/>
      </c>
      <c r="HR73" s="1318">
        <f>HR72/HQ72-1</f>
        <v/>
      </c>
      <c r="HS73" s="1318">
        <f>HS72/HR72-1</f>
        <v/>
      </c>
      <c r="HT73" s="1318">
        <f>HT72/HS72-1</f>
        <v/>
      </c>
      <c r="HU73" s="1318">
        <f>HU72/HT72-1</f>
        <v/>
      </c>
      <c r="HV73" s="1318">
        <f>HV72/HU72-1</f>
        <v/>
      </c>
      <c r="HW73" s="1318">
        <f>HW72/HV72-1</f>
        <v/>
      </c>
      <c r="HX73" s="1318">
        <f>HX72/HW72-1</f>
        <v/>
      </c>
      <c r="HY73" s="1318">
        <f>HY72/HX72-1</f>
        <v/>
      </c>
      <c r="HZ73" s="1318">
        <f>HZ72/HY72-1</f>
        <v/>
      </c>
      <c r="IA73" s="1318">
        <f>IA72/HZ72-1</f>
        <v/>
      </c>
      <c r="IB73" s="1318">
        <f>IB72/IA72-1</f>
        <v/>
      </c>
      <c r="IC73" s="1318">
        <f>IC72/IB72-1</f>
        <v/>
      </c>
      <c r="ID73" s="1318">
        <f>ID72/IC72-1</f>
        <v/>
      </c>
      <c r="IE73" s="1318">
        <f>IE72/ID72-1</f>
        <v/>
      </c>
      <c r="IF73" s="1318">
        <f>IF72/IE72-1</f>
        <v/>
      </c>
      <c r="IG73" s="1318">
        <f>IG72/IF72-1</f>
        <v/>
      </c>
      <c r="IH73" s="1318">
        <f>IH72/IG72-1</f>
        <v/>
      </c>
      <c r="II73" s="1318">
        <f>II72/IH72-1</f>
        <v/>
      </c>
      <c r="IJ73" s="1318">
        <f>IJ72/II72-1</f>
        <v/>
      </c>
      <c r="IK73" s="1318">
        <f>IK72/IJ72-1</f>
        <v/>
      </c>
      <c r="IL73" s="1318">
        <f>IL72/IK72-1</f>
        <v/>
      </c>
      <c r="IM73" s="1318">
        <f>IM72/IL72-1</f>
        <v/>
      </c>
      <c r="IN73" s="1318">
        <f>IN72/IM72-1</f>
        <v/>
      </c>
      <c r="IO73" s="1318">
        <f>IO72/IN72-1</f>
        <v/>
      </c>
      <c r="IP73" s="1318">
        <f>IP72/IO72-1</f>
        <v/>
      </c>
      <c r="IQ73" s="1318">
        <f>IQ72/IP72-1</f>
        <v/>
      </c>
      <c r="IR73" s="1318">
        <f>IR72/IQ72-1</f>
        <v/>
      </c>
      <c r="IS73" s="1318">
        <f>IS72/IR72-1</f>
        <v/>
      </c>
      <c r="IT73" s="1318">
        <f>IT72/IS72-1</f>
        <v/>
      </c>
      <c r="IU73" s="1318">
        <f>IU72/IT72-1</f>
        <v/>
      </c>
      <c r="IV73" s="1318">
        <f>IV72/IU72-1</f>
        <v/>
      </c>
      <c r="IW73" s="1318">
        <f>IW72/IV72-1</f>
        <v/>
      </c>
      <c r="IX73" s="1318">
        <f>IX72/IW72-1</f>
        <v/>
      </c>
      <c r="IY73" s="1318">
        <f>IY72/IX72-1</f>
        <v/>
      </c>
      <c r="IZ73" s="1318">
        <f>IZ72/IY72-1</f>
        <v/>
      </c>
      <c r="JA73" s="1318">
        <f>JA72/IZ72-1</f>
        <v/>
      </c>
      <c r="JB73" s="1318">
        <f>JB72/JA72-1</f>
        <v/>
      </c>
      <c r="JC73" s="1318">
        <f>JC72/JB72-1</f>
        <v/>
      </c>
      <c r="JD73" s="1318">
        <f>JD72/JC72-1</f>
        <v/>
      </c>
      <c r="JE73" s="1318">
        <f>JE72/JD72-1</f>
        <v/>
      </c>
      <c r="JF73" s="1318">
        <f>JF72/JE72-1</f>
        <v/>
      </c>
      <c r="JG73" s="1318">
        <f>JG72/JF72-1</f>
        <v/>
      </c>
      <c r="JH73" s="1318">
        <f>JH72/JG72-1</f>
        <v/>
      </c>
      <c r="JI73" s="1318">
        <f>JI72/JH72-1</f>
        <v/>
      </c>
      <c r="JJ73" s="1318">
        <f>JJ72/JI72-1</f>
        <v/>
      </c>
      <c r="JK73" s="1318">
        <f>JK72/JJ72-1</f>
        <v/>
      </c>
      <c r="JL73" s="1318">
        <f>JL72/JK72-1</f>
        <v/>
      </c>
      <c r="JM73" s="1318">
        <f>JM72/JL72-1</f>
        <v/>
      </c>
      <c r="JN73" s="1318">
        <f>JN72/JM72-1</f>
        <v/>
      </c>
      <c r="JO73" s="1318">
        <f>JO72/JN72-1</f>
        <v/>
      </c>
      <c r="JP73" s="1318">
        <f>JP72/JO72-1</f>
        <v/>
      </c>
      <c r="JQ73" s="1318">
        <f>JQ72/JP72-1</f>
        <v/>
      </c>
      <c r="JR73" s="1318">
        <f>JR72/JQ72-1</f>
        <v/>
      </c>
      <c r="JS73" s="1318">
        <f>JS72/JR72-1</f>
        <v/>
      </c>
      <c r="JT73" s="1318">
        <f>JT72/JS72-1</f>
        <v/>
      </c>
      <c r="JU73" s="1318">
        <f>JU72/JT72-1</f>
        <v/>
      </c>
      <c r="JV73" s="1318">
        <f>JV72/JU72-1</f>
        <v/>
      </c>
      <c r="JW73" s="1318">
        <f>JW72/JV72-1</f>
        <v/>
      </c>
      <c r="JX73" s="1318">
        <f>JX72/JW72-1</f>
        <v/>
      </c>
      <c r="JY73" s="1318">
        <f>JY72/JX72-1</f>
        <v/>
      </c>
      <c r="JZ73" s="1318">
        <f>JZ72/JY72-1</f>
        <v/>
      </c>
      <c r="KA73" s="1318">
        <f>KA72/JZ72-1</f>
        <v/>
      </c>
      <c r="KB73" s="1318">
        <f>KB72/KA72-1</f>
        <v/>
      </c>
      <c r="KC73" s="1318">
        <f>KC72/KB72-1</f>
        <v/>
      </c>
      <c r="KD73" s="1318">
        <f>KD72/KC72-1</f>
        <v/>
      </c>
      <c r="KE73" s="1318">
        <f>KE72/KD72-1</f>
        <v/>
      </c>
      <c r="KF73" s="1318">
        <f>KF72/KE72-1</f>
        <v/>
      </c>
      <c r="KG73" s="1318">
        <f>KG72/KF72-1</f>
        <v/>
      </c>
      <c r="KH73" s="1318">
        <f>KH72/KG72-1</f>
        <v/>
      </c>
      <c r="KI73" s="1318">
        <f>KI72/KH72-1</f>
        <v/>
      </c>
      <c r="KJ73" s="1318">
        <f>KJ72/KI72-1</f>
        <v/>
      </c>
      <c r="KK73" s="1318">
        <f>KK72/KJ72-1</f>
        <v/>
      </c>
      <c r="KL73" s="1318">
        <f>KL72/KK72-1</f>
        <v/>
      </c>
      <c r="KM73" s="1318">
        <f>KM72/KL72-1</f>
        <v/>
      </c>
      <c r="KN73" s="1318">
        <f>KN72/KM72-1</f>
        <v/>
      </c>
      <c r="KO73" s="1318">
        <f>KO72/KN72-1</f>
        <v/>
      </c>
      <c r="KP73" s="1318">
        <f>KP72/KO72-1</f>
        <v/>
      </c>
      <c r="KQ73" s="1318">
        <f>KQ72/KP72-1</f>
        <v/>
      </c>
      <c r="KR73" s="1318">
        <f>KR72/KQ72-1</f>
        <v/>
      </c>
      <c r="KS73" s="1318">
        <f>KS72/KR72-1</f>
        <v/>
      </c>
      <c r="KT73" s="1318">
        <f>KT72/KS72-1</f>
        <v/>
      </c>
      <c r="KU73" s="1318">
        <f>KU72/KT72-1</f>
        <v/>
      </c>
      <c r="KV73" s="1318">
        <f>KV72/KU72-1</f>
        <v/>
      </c>
      <c r="KW73" s="1318">
        <f>KW72/KV72-1</f>
        <v/>
      </c>
      <c r="KX73" s="1318">
        <f>KX72/KW72-1</f>
        <v/>
      </c>
      <c r="KY73" s="1318">
        <f>KY72/KX72-1</f>
        <v/>
      </c>
      <c r="KZ73" s="1318">
        <f>KZ72/KY72-1</f>
        <v/>
      </c>
      <c r="LA73" s="1318">
        <f>LA72/KZ72-1</f>
        <v/>
      </c>
      <c r="LB73" s="1318" t="n"/>
      <c r="LC73" s="1318" t="n"/>
      <c r="LD73" s="1318" t="n"/>
      <c r="LE73" s="1318" t="n"/>
      <c r="LF73" s="1318" t="n"/>
      <c r="LG73" s="1318" t="n"/>
      <c r="LH73" s="1318" t="n"/>
      <c r="LI73" s="1318" t="n"/>
      <c r="LJ73" s="1318" t="n"/>
      <c r="LK73" s="1318" t="n"/>
      <c r="LL73" s="1318" t="n"/>
      <c r="LM73" s="1318" t="n"/>
      <c r="LN73" s="1318" t="n"/>
      <c r="LO73" s="1318" t="n"/>
      <c r="LP73" s="1318" t="n"/>
      <c r="LQ73" s="1318" t="n"/>
      <c r="LR73" s="1318" t="n"/>
      <c r="LS73" s="1318" t="n"/>
    </row>
    <row r="74">
      <c r="A74" s="885" t="inlineStr">
        <is>
          <t>YoY cg %</t>
        </is>
      </c>
      <c r="B74" s="1318" t="n"/>
      <c r="C74" s="1318" t="n"/>
      <c r="D74" s="1318" t="n"/>
      <c r="E74" s="1318" t="n"/>
      <c r="F74" s="1318" t="n"/>
      <c r="G74" s="1318" t="n"/>
      <c r="H74" s="1318" t="n"/>
      <c r="I74" s="1318" t="n"/>
      <c r="J74" s="1318" t="n"/>
      <c r="K74" s="1318" t="n"/>
      <c r="L74" s="1318" t="n"/>
      <c r="M74" s="1318" t="n"/>
      <c r="N74" s="1318" t="n"/>
      <c r="O74" s="1318" t="n"/>
      <c r="P74" s="1318" t="n"/>
      <c r="Q74" s="1318" t="n"/>
      <c r="R74" s="1318" t="n"/>
      <c r="S74" s="1318" t="n"/>
      <c r="T74" s="1318" t="n"/>
      <c r="U74" s="1318" t="n"/>
      <c r="V74" s="1318" t="n"/>
      <c r="W74" s="1318" t="n"/>
      <c r="X74" s="1318" t="n"/>
      <c r="Y74" s="1318" t="n"/>
      <c r="Z74" s="1318" t="n"/>
      <c r="AA74" s="1318" t="n"/>
      <c r="AB74" s="1318" t="n"/>
      <c r="AC74" s="1318" t="n"/>
      <c r="AD74" s="1318" t="n"/>
      <c r="AE74" s="1318" t="n"/>
      <c r="AF74" s="1318" t="n"/>
      <c r="AG74" s="1318" t="n"/>
      <c r="AH74" s="1318" t="n"/>
      <c r="AI74" s="1318" t="n"/>
      <c r="AJ74" s="1318" t="n"/>
      <c r="AK74" s="1318" t="n"/>
      <c r="AL74" s="1318" t="n"/>
      <c r="AM74" s="1318" t="n"/>
      <c r="AN74" s="1318" t="n"/>
      <c r="AO74" s="1318" t="n"/>
      <c r="AP74" s="1318" t="n"/>
      <c r="AQ74" s="1318" t="n"/>
      <c r="AR74" s="1318" t="n"/>
      <c r="AS74" s="1318" t="n"/>
      <c r="AT74" s="1318" t="n"/>
      <c r="AU74" s="1318" t="n"/>
      <c r="AV74" s="1318" t="n"/>
      <c r="AW74" s="1318" t="n"/>
      <c r="AX74" s="1318" t="n"/>
      <c r="AY74" s="1318" t="n"/>
      <c r="AZ74" s="1318" t="n"/>
      <c r="BA74" s="1318" t="n"/>
      <c r="BB74" s="1318" t="n"/>
      <c r="BC74" s="1318" t="n"/>
      <c r="BD74" s="1318" t="n"/>
      <c r="BE74" s="1318" t="n"/>
      <c r="BF74" s="1318" t="n"/>
      <c r="BG74" s="1318" t="n"/>
      <c r="BH74" s="1318" t="n"/>
      <c r="BI74" s="1318" t="n"/>
      <c r="BJ74" s="1318" t="n"/>
      <c r="BK74" s="1318" t="n"/>
      <c r="BL74" s="1318" t="n"/>
      <c r="BM74" s="1318" t="n"/>
      <c r="BN74" s="1318" t="n"/>
      <c r="BO74" s="1318" t="n"/>
      <c r="BP74" s="1318" t="n"/>
      <c r="BQ74" s="1318" t="n"/>
      <c r="BR74" s="1318" t="n"/>
      <c r="BS74" s="1318" t="n"/>
      <c r="BT74" s="1318" t="n"/>
      <c r="BU74" s="1318" t="n"/>
      <c r="BV74" s="1318" t="n"/>
      <c r="BW74" s="1318" t="n"/>
      <c r="BX74" s="1318" t="n"/>
      <c r="BY74" s="1318" t="n"/>
      <c r="BZ74" s="1318" t="n"/>
      <c r="CA74" s="1318" t="n"/>
      <c r="CB74" s="1318" t="n"/>
      <c r="CC74" s="1318" t="n"/>
      <c r="CD74" s="1318" t="n"/>
      <c r="CE74" s="1318" t="n"/>
      <c r="CF74" s="1318" t="n"/>
      <c r="CG74" s="1318" t="n"/>
      <c r="CH74" s="1318" t="n"/>
      <c r="CI74" s="1318" t="n"/>
      <c r="CJ74" s="1318" t="n"/>
      <c r="CK74" s="1318" t="n"/>
      <c r="CL74" s="1318" t="n"/>
      <c r="CM74" s="1318" t="n"/>
      <c r="CN74" s="1318" t="n"/>
      <c r="CO74" s="1318" t="n"/>
      <c r="CP74" s="1318" t="n"/>
      <c r="CQ74" s="1318" t="n"/>
      <c r="CR74" s="1318" t="n"/>
      <c r="CS74" s="1318" t="n"/>
      <c r="CT74" s="1318" t="n"/>
      <c r="CU74" s="1318" t="n"/>
      <c r="CV74" s="1318" t="n"/>
      <c r="CW74" s="1318" t="n"/>
      <c r="CX74" s="1318" t="n"/>
      <c r="CY74" s="1318" t="n"/>
      <c r="CZ74" s="1318" t="n"/>
      <c r="DA74" s="1318" t="n"/>
      <c r="DB74" s="1318" t="n"/>
      <c r="DC74" s="1318" t="n"/>
      <c r="DD74" s="1318" t="n"/>
      <c r="DE74" s="1318" t="n"/>
      <c r="DF74" s="1318">
        <f>DF72/CT72-1</f>
        <v/>
      </c>
      <c r="DG74" s="1318">
        <f>DG72/CU72-1</f>
        <v/>
      </c>
      <c r="DH74" s="1318">
        <f>DH72/CV72-1</f>
        <v/>
      </c>
      <c r="DI74" s="1318">
        <f>DI72/CW72-1</f>
        <v/>
      </c>
      <c r="DJ74" s="1318">
        <f>DJ72/CX72-1</f>
        <v/>
      </c>
      <c r="DK74" s="1318">
        <f>DK72/CY72-1</f>
        <v/>
      </c>
      <c r="DL74" s="1318">
        <f>DL72/CZ72-1</f>
        <v/>
      </c>
      <c r="DM74" s="1318">
        <f>DM72/DA72-1</f>
        <v/>
      </c>
      <c r="DN74" s="1318">
        <f>DN72/DB72-1</f>
        <v/>
      </c>
      <c r="DO74" s="1318">
        <f>DO72/DC72-1</f>
        <v/>
      </c>
      <c r="DP74" s="1318">
        <f>DP72/DD72-1</f>
        <v/>
      </c>
      <c r="DQ74" s="1318">
        <f>DQ72/DE72-1</f>
        <v/>
      </c>
      <c r="DR74" s="1318">
        <f>DR72/DF72-1</f>
        <v/>
      </c>
      <c r="DS74" s="1318">
        <f>DS72/DG72-1</f>
        <v/>
      </c>
      <c r="DT74" s="1318">
        <f>DT72/DH72-1</f>
        <v/>
      </c>
      <c r="DU74" s="1318">
        <f>DU72/DI72-1</f>
        <v/>
      </c>
      <c r="DV74" s="1318">
        <f>DV72/DJ72-1</f>
        <v/>
      </c>
      <c r="DW74" s="1318">
        <f>DW72/DK72-1</f>
        <v/>
      </c>
      <c r="DX74" s="1318">
        <f>DX72/DL72-1</f>
        <v/>
      </c>
      <c r="DY74" s="1318">
        <f>DY72/DM72-1</f>
        <v/>
      </c>
      <c r="DZ74" s="1318">
        <f>DZ72/DN72-1</f>
        <v/>
      </c>
      <c r="EA74" s="1318">
        <f>EA72/DO72-1</f>
        <v/>
      </c>
      <c r="EB74" s="1318">
        <f>EB72/DP72-1</f>
        <v/>
      </c>
      <c r="EC74" s="1318">
        <f>EC72/DQ72-1</f>
        <v/>
      </c>
      <c r="ED74" s="1318">
        <f>ED72/DR72-1</f>
        <v/>
      </c>
      <c r="EE74" s="1318">
        <f>EE72/DS72-1</f>
        <v/>
      </c>
      <c r="EF74" s="1318">
        <f>EF72/DT72-1</f>
        <v/>
      </c>
      <c r="EG74" s="1318">
        <f>EG72/DU72-1</f>
        <v/>
      </c>
      <c r="EH74" s="1318">
        <f>EH72/DV72-1</f>
        <v/>
      </c>
      <c r="EI74" s="1318">
        <f>EI72/DW72-1</f>
        <v/>
      </c>
      <c r="EJ74" s="1318">
        <f>EJ72/DX72-1</f>
        <v/>
      </c>
      <c r="EK74" s="1318">
        <f>EK72/DY72-1</f>
        <v/>
      </c>
      <c r="EL74" s="1318">
        <f>EL72/DZ72-1</f>
        <v/>
      </c>
      <c r="EM74" s="1318">
        <f>EM72/EA72-1</f>
        <v/>
      </c>
      <c r="EN74" s="1318">
        <f>EN72/EB72-1</f>
        <v/>
      </c>
      <c r="EO74" s="1318">
        <f>EO72/EC72-1</f>
        <v/>
      </c>
      <c r="EP74" s="1318">
        <f>EP72/ED72-1</f>
        <v/>
      </c>
      <c r="EQ74" s="1318">
        <f>EQ72/EE72-1</f>
        <v/>
      </c>
      <c r="ER74" s="1318">
        <f>ER72/EF72-1</f>
        <v/>
      </c>
      <c r="ES74" s="1318">
        <f>ES72/EG72-1</f>
        <v/>
      </c>
      <c r="ET74" s="1318">
        <f>ET72/EH72-1</f>
        <v/>
      </c>
      <c r="EU74" s="1318">
        <f>EU72/EI72-1</f>
        <v/>
      </c>
      <c r="EV74" s="1318">
        <f>EV72/EJ72-1</f>
        <v/>
      </c>
      <c r="EW74" s="1318">
        <f>EW72/EK72-1</f>
        <v/>
      </c>
      <c r="EX74" s="1318">
        <f>EX72/EL72-1</f>
        <v/>
      </c>
      <c r="EY74" s="1318">
        <f>EY72/EM72-1</f>
        <v/>
      </c>
      <c r="EZ74" s="1318">
        <f>EZ72/EN72-1</f>
        <v/>
      </c>
      <c r="FA74" s="1318">
        <f>FA72/EO72-1</f>
        <v/>
      </c>
      <c r="FB74" s="1318">
        <f>FB72/EP72-1</f>
        <v/>
      </c>
      <c r="FC74" s="1318">
        <f>FC72/EQ72-1</f>
        <v/>
      </c>
      <c r="FD74" s="1318">
        <f>FD72/ER72-1</f>
        <v/>
      </c>
      <c r="FE74" s="1318">
        <f>FE72/ES72-1</f>
        <v/>
      </c>
      <c r="FF74" s="1318">
        <f>FF72/ET72-1</f>
        <v/>
      </c>
      <c r="FG74" s="1318">
        <f>FG72/EU72-1</f>
        <v/>
      </c>
      <c r="FH74" s="1318">
        <f>FH72/EV72-1</f>
        <v/>
      </c>
      <c r="FI74" s="1318">
        <f>FI72/EW72-1</f>
        <v/>
      </c>
      <c r="FJ74" s="1318">
        <f>FJ72/EX72-1</f>
        <v/>
      </c>
      <c r="FK74" s="1318">
        <f>FK72/EY72-1</f>
        <v/>
      </c>
      <c r="FL74" s="1318">
        <f>FL72/EZ72-1</f>
        <v/>
      </c>
      <c r="FM74" s="1318">
        <f>FM72/FA72-1</f>
        <v/>
      </c>
      <c r="FN74" s="1318">
        <f>FN72/FB72-1</f>
        <v/>
      </c>
      <c r="FO74" s="1318">
        <f>FO72/FC72-1</f>
        <v/>
      </c>
      <c r="FP74" s="1318">
        <f>FP72/FD72-1</f>
        <v/>
      </c>
      <c r="FQ74" s="1318">
        <f>FQ72/FE72-1</f>
        <v/>
      </c>
      <c r="FR74" s="1318">
        <f>FR72/FF72-1</f>
        <v/>
      </c>
      <c r="FS74" s="1318">
        <f>FS72/FG72-1</f>
        <v/>
      </c>
      <c r="FT74" s="1318">
        <f>FT72/FH72-1</f>
        <v/>
      </c>
      <c r="FU74" s="1318">
        <f>FU72/FI72-1</f>
        <v/>
      </c>
      <c r="FV74" s="1318">
        <f>FV72/FJ72-1</f>
        <v/>
      </c>
      <c r="FW74" s="1318">
        <f>FW72/FK72-1</f>
        <v/>
      </c>
      <c r="FX74" s="1318">
        <f>FX72/FL72-1</f>
        <v/>
      </c>
      <c r="FY74" s="1318">
        <f>FY72/FM72-1</f>
        <v/>
      </c>
      <c r="FZ74" s="1318">
        <f>FZ72/FN72-1</f>
        <v/>
      </c>
      <c r="GA74" s="1318">
        <f>GA72/FO72-1</f>
        <v/>
      </c>
      <c r="GB74" s="1318">
        <f>GB72/FP72-1</f>
        <v/>
      </c>
      <c r="GC74" s="1318">
        <f>GC72/FQ72-1</f>
        <v/>
      </c>
      <c r="GD74" s="1318">
        <f>GD72/FR72-1</f>
        <v/>
      </c>
      <c r="GE74" s="1318">
        <f>GE72/FS72-1</f>
        <v/>
      </c>
      <c r="GF74" s="1318">
        <f>GF72/FT72-1</f>
        <v/>
      </c>
      <c r="GG74" s="1318">
        <f>GG72/FU72-1</f>
        <v/>
      </c>
      <c r="GH74" s="1318">
        <f>GH72/FV72-1</f>
        <v/>
      </c>
      <c r="GI74" s="1318">
        <f>GI72/FW72-1</f>
        <v/>
      </c>
      <c r="GJ74" s="1318">
        <f>GJ72/FX72-1</f>
        <v/>
      </c>
      <c r="GK74" s="1318">
        <f>GK72/FY72-1</f>
        <v/>
      </c>
      <c r="GL74" s="1318">
        <f>GL72/FZ72-1</f>
        <v/>
      </c>
      <c r="GM74" s="1318">
        <f>GM72/GA72-1</f>
        <v/>
      </c>
      <c r="GN74" s="1318">
        <f>GN72/GB72-1</f>
        <v/>
      </c>
      <c r="GO74" s="1318">
        <f>GO72/GC72-1</f>
        <v/>
      </c>
      <c r="GP74" s="1318">
        <f>GP72/GD72-1</f>
        <v/>
      </c>
      <c r="GQ74" s="1318">
        <f>GQ72/GE72-1</f>
        <v/>
      </c>
      <c r="GR74" s="1318">
        <f>GR72/GF72-1</f>
        <v/>
      </c>
      <c r="GS74" s="1318">
        <f>GS72/GG72-1</f>
        <v/>
      </c>
      <c r="GT74" s="1318">
        <f>GT72/GH72-1</f>
        <v/>
      </c>
      <c r="GU74" s="1318">
        <f>GU72/GI72-1</f>
        <v/>
      </c>
      <c r="GV74" s="1318">
        <f>GV72/GJ72-1</f>
        <v/>
      </c>
      <c r="GW74" s="1318">
        <f>GW72/GK72-1</f>
        <v/>
      </c>
      <c r="GX74" s="1318">
        <f>GX72/GL72-1</f>
        <v/>
      </c>
      <c r="GY74" s="1318">
        <f>GY72/GM72-1</f>
        <v/>
      </c>
      <c r="GZ74" s="1318">
        <f>GZ72/GN72-1</f>
        <v/>
      </c>
      <c r="HA74" s="1318">
        <f>HA72/GO72-1</f>
        <v/>
      </c>
      <c r="HB74" s="1318">
        <f>HB72/GP72-1</f>
        <v/>
      </c>
      <c r="HC74" s="1318">
        <f>HC72/GQ72-1</f>
        <v/>
      </c>
      <c r="HD74" s="1318">
        <f>HD72/GR72-1</f>
        <v/>
      </c>
      <c r="HE74" s="1318">
        <f>HE72/GS72-1</f>
        <v/>
      </c>
      <c r="HF74" s="1318">
        <f>HF72/GT72-1</f>
        <v/>
      </c>
      <c r="HG74" s="1318">
        <f>HG72/GU72-1</f>
        <v/>
      </c>
      <c r="HH74" s="1318">
        <f>HH72/GV72-1</f>
        <v/>
      </c>
      <c r="HI74" s="1318">
        <f>HI72/GW72-1</f>
        <v/>
      </c>
      <c r="HJ74" s="1318">
        <f>HJ72/GX72-1</f>
        <v/>
      </c>
      <c r="HK74" s="1318">
        <f>HK72/GY72-1</f>
        <v/>
      </c>
      <c r="HL74" s="1318">
        <f>HL72/GZ72-1</f>
        <v/>
      </c>
      <c r="HM74" s="1318">
        <f>HM72/HA72-1</f>
        <v/>
      </c>
      <c r="HN74" s="1318">
        <f>HN72/HB72-1</f>
        <v/>
      </c>
      <c r="HO74" s="1318">
        <f>HO72/HC72-1</f>
        <v/>
      </c>
      <c r="HP74" s="1318">
        <f>HP72/HD72-1</f>
        <v/>
      </c>
      <c r="HQ74" s="1318">
        <f>HQ72/HE72-1</f>
        <v/>
      </c>
      <c r="HR74" s="1318">
        <f>HR72/HF72-1</f>
        <v/>
      </c>
      <c r="HS74" s="1318">
        <f>HS72/HG72-1</f>
        <v/>
      </c>
      <c r="HT74" s="1318">
        <f>HT72/HH72-1</f>
        <v/>
      </c>
      <c r="HU74" s="1318">
        <f>HU72/HI72-1</f>
        <v/>
      </c>
      <c r="HV74" s="1318">
        <f>HV72/HJ72-1</f>
        <v/>
      </c>
      <c r="HW74" s="1318">
        <f>HW72/HK72-1</f>
        <v/>
      </c>
      <c r="HX74" s="1318">
        <f>HX72/HL72-1</f>
        <v/>
      </c>
      <c r="HY74" s="1318">
        <f>HY72/HM72-1</f>
        <v/>
      </c>
      <c r="HZ74" s="1318">
        <f>HZ72/HN72-1</f>
        <v/>
      </c>
      <c r="IA74" s="1318">
        <f>IA72/HO72-1</f>
        <v/>
      </c>
      <c r="IB74" s="1318">
        <f>IB72/HP72-1</f>
        <v/>
      </c>
      <c r="IC74" s="1318">
        <f>IC72/HQ72-1</f>
        <v/>
      </c>
      <c r="ID74" s="1318">
        <f>ID72/HR72-1</f>
        <v/>
      </c>
      <c r="IE74" s="1318">
        <f>IE72/HS72-1</f>
        <v/>
      </c>
      <c r="IF74" s="1318">
        <f>IF72/HT72-1</f>
        <v/>
      </c>
      <c r="IG74" s="1318">
        <f>IG72/HU72-1</f>
        <v/>
      </c>
      <c r="IH74" s="1318">
        <f>IH72/HV72-1</f>
        <v/>
      </c>
      <c r="II74" s="1318">
        <f>II72/HW72-1</f>
        <v/>
      </c>
      <c r="IJ74" s="1318">
        <f>IJ72/HX72-1</f>
        <v/>
      </c>
      <c r="IK74" s="1318">
        <f>IK72/HY72-1</f>
        <v/>
      </c>
      <c r="IL74" s="1318">
        <f>IL72/HZ72-1</f>
        <v/>
      </c>
      <c r="IM74" s="1318">
        <f>IM72/IA72-1</f>
        <v/>
      </c>
      <c r="IN74" s="1318">
        <f>IN72/IB72-1</f>
        <v/>
      </c>
      <c r="IO74" s="1318">
        <f>IO72/IC72-1</f>
        <v/>
      </c>
      <c r="IP74" s="1318">
        <f>IP72/ID72-1</f>
        <v/>
      </c>
      <c r="IQ74" s="1318">
        <f>IQ72/IE72-1</f>
        <v/>
      </c>
      <c r="IR74" s="1318">
        <f>IR72/IF72-1</f>
        <v/>
      </c>
      <c r="IS74" s="1318">
        <f>IS72/IG72-1</f>
        <v/>
      </c>
      <c r="IT74" s="1318">
        <f>IT72/IH72-1</f>
        <v/>
      </c>
      <c r="IU74" s="1318">
        <f>IU72/II72-1</f>
        <v/>
      </c>
      <c r="IV74" s="1318">
        <f>IV72/IJ72-1</f>
        <v/>
      </c>
      <c r="IW74" s="1318">
        <f>IW72/IK72-1</f>
        <v/>
      </c>
      <c r="IX74" s="1318">
        <f>IX72/IL72-1</f>
        <v/>
      </c>
      <c r="IY74" s="1318">
        <f>IY72/IM72-1</f>
        <v/>
      </c>
      <c r="IZ74" s="1318">
        <f>IZ72/IN72-1</f>
        <v/>
      </c>
      <c r="JA74" s="1318">
        <f>JA72/IO72-1</f>
        <v/>
      </c>
      <c r="JB74" s="1318">
        <f>JB72/IP72-1</f>
        <v/>
      </c>
      <c r="JC74" s="1318">
        <f>JC72/IQ72-1</f>
        <v/>
      </c>
      <c r="JD74" s="1318">
        <f>JD72/IR72-1</f>
        <v/>
      </c>
      <c r="JE74" s="1318">
        <f>JE72/IS72-1</f>
        <v/>
      </c>
      <c r="JF74" s="1318">
        <f>JF72/IT72-1</f>
        <v/>
      </c>
      <c r="JG74" s="1318">
        <f>JG72/IU72-1</f>
        <v/>
      </c>
      <c r="JH74" s="1318">
        <f>JH72/IV72-1</f>
        <v/>
      </c>
      <c r="JI74" s="1318">
        <f>JI72/IW72-1</f>
        <v/>
      </c>
      <c r="JJ74" s="1318">
        <f>JJ72/IX72-1</f>
        <v/>
      </c>
      <c r="JK74" s="1318">
        <f>JK72/IY72-1</f>
        <v/>
      </c>
      <c r="JL74" s="1318">
        <f>JL72/IZ72-1</f>
        <v/>
      </c>
      <c r="JM74" s="1318">
        <f>JM72/JA72-1</f>
        <v/>
      </c>
      <c r="JN74" s="1318">
        <f>JN72/JB72-1</f>
        <v/>
      </c>
      <c r="JO74" s="1318">
        <f>JO72/JC72-1</f>
        <v/>
      </c>
      <c r="JP74" s="1318">
        <f>JP72/JD72-1</f>
        <v/>
      </c>
      <c r="JQ74" s="1318">
        <f>JQ72/JE72-1</f>
        <v/>
      </c>
      <c r="JR74" s="1318">
        <f>JR72/JF72-1</f>
        <v/>
      </c>
      <c r="JS74" s="1318">
        <f>JS72/JG72-1</f>
        <v/>
      </c>
      <c r="JT74" s="1318">
        <f>JT72/JH72-1</f>
        <v/>
      </c>
      <c r="JU74" s="1318">
        <f>JU72/JI72-1</f>
        <v/>
      </c>
      <c r="JV74" s="1318">
        <f>JV72/JJ72-1</f>
        <v/>
      </c>
      <c r="JW74" s="1318">
        <f>JW72/JK72-1</f>
        <v/>
      </c>
      <c r="JX74" s="1318">
        <f>JX72/JL72-1</f>
        <v/>
      </c>
      <c r="JY74" s="1318">
        <f>JY72/JM72-1</f>
        <v/>
      </c>
      <c r="JZ74" s="1318">
        <f>JZ72/JN72-1</f>
        <v/>
      </c>
      <c r="KA74" s="1318">
        <f>KA72/JO72-1</f>
        <v/>
      </c>
      <c r="KB74" s="1318">
        <f>KB72/JP72-1</f>
        <v/>
      </c>
      <c r="KC74" s="1318">
        <f>KC72/JQ72-1</f>
        <v/>
      </c>
      <c r="KD74" s="1318">
        <f>KD72/JR72-1</f>
        <v/>
      </c>
      <c r="KE74" s="1318">
        <f>KE72/JS72-1</f>
        <v/>
      </c>
      <c r="KF74" s="1318">
        <f>KF72/JT72-1</f>
        <v/>
      </c>
      <c r="KG74" s="1318">
        <f>KG72/JU72-1</f>
        <v/>
      </c>
      <c r="KH74" s="1318">
        <f>KH72/JV72-1</f>
        <v/>
      </c>
      <c r="KI74" s="1318">
        <f>KI72/JW72-1</f>
        <v/>
      </c>
      <c r="KJ74" s="1318">
        <f>KJ72/JX72-1</f>
        <v/>
      </c>
      <c r="KK74" s="1318">
        <f>KK72/JY72-1</f>
        <v/>
      </c>
      <c r="KL74" s="1318">
        <f>KL72/JZ72-1</f>
        <v/>
      </c>
      <c r="KM74" s="1318">
        <f>KM72/KA72-1</f>
        <v/>
      </c>
      <c r="KN74" s="1318">
        <f>KN72/KB72-1</f>
        <v/>
      </c>
      <c r="KO74" s="1318">
        <f>KO72/KC72-1</f>
        <v/>
      </c>
      <c r="KP74" s="1318">
        <f>KP72/KD72-1</f>
        <v/>
      </c>
      <c r="KQ74" s="1318">
        <f>KQ72/KE72-1</f>
        <v/>
      </c>
      <c r="KR74" s="1318">
        <f>KR72/KF72-1</f>
        <v/>
      </c>
      <c r="KS74" s="1318">
        <f>KS72/KG72-1</f>
        <v/>
      </c>
      <c r="KT74" s="1318">
        <f>KT72/KH72-1</f>
        <v/>
      </c>
      <c r="KU74" s="1318">
        <f>KU72/KI72-1</f>
        <v/>
      </c>
      <c r="KV74" s="1318">
        <f>KV72/KJ72-1</f>
        <v/>
      </c>
      <c r="KW74" s="1318">
        <f>KW72/KK72-1</f>
        <v/>
      </c>
      <c r="KX74" s="1318">
        <f>KX72/KL72-1</f>
        <v/>
      </c>
      <c r="KY74" s="1318">
        <f>KY72/KM72-1</f>
        <v/>
      </c>
      <c r="KZ74" s="1318">
        <f>KZ72/KN72-1</f>
        <v/>
      </c>
      <c r="LA74" s="1318">
        <f>LA72/KO72-1</f>
        <v/>
      </c>
      <c r="LB74" s="1318" t="n"/>
      <c r="LC74" s="1318" t="n"/>
      <c r="LD74" s="1318" t="n"/>
      <c r="LE74" s="1318" t="n"/>
      <c r="LF74" s="1318" t="n"/>
      <c r="LG74" s="1318" t="n"/>
      <c r="LH74" s="1318" t="n"/>
      <c r="LI74" s="1318" t="n"/>
      <c r="LJ74" s="1318" t="n"/>
      <c r="LK74" s="1318" t="n"/>
      <c r="LL74" s="1318" t="n"/>
      <c r="LM74" s="1318" t="n"/>
      <c r="LN74" s="1318" t="n"/>
      <c r="LO74" s="1318" t="n"/>
      <c r="LP74" s="1318" t="n"/>
      <c r="LQ74" s="1318" t="n"/>
      <c r="LR74" s="1318" t="n"/>
      <c r="LS74" s="1318" t="n"/>
    </row>
    <row r="75">
      <c r="A75" s="885" t="inlineStr">
        <is>
          <t>YTD cg %</t>
        </is>
      </c>
      <c r="B75" s="1318" t="n"/>
      <c r="C75" s="1318" t="n"/>
      <c r="D75" s="1318" t="n"/>
      <c r="E75" s="1318" t="n"/>
      <c r="F75" s="1318" t="n"/>
      <c r="G75" s="1318" t="n"/>
      <c r="H75" s="1318" t="n"/>
      <c r="I75" s="1318" t="n"/>
      <c r="J75" s="1318" t="n"/>
      <c r="K75" s="1318" t="n"/>
      <c r="L75" s="1318" t="n"/>
      <c r="M75" s="1318" t="n"/>
      <c r="N75" s="1318" t="n"/>
      <c r="O75" s="1318" t="n"/>
      <c r="P75" s="1318" t="n"/>
      <c r="Q75" s="1318" t="n"/>
      <c r="R75" s="1318" t="n"/>
      <c r="S75" s="1318" t="n"/>
      <c r="T75" s="1318" t="n"/>
      <c r="U75" s="1318" t="n"/>
      <c r="V75" s="1318" t="n"/>
      <c r="W75" s="1318" t="n"/>
      <c r="X75" s="1318" t="n"/>
      <c r="Y75" s="1318" t="n"/>
      <c r="Z75" s="1318" t="n"/>
      <c r="AA75" s="1318" t="n"/>
      <c r="AB75" s="1318" t="n"/>
      <c r="AC75" s="1318" t="n"/>
      <c r="AD75" s="1318" t="n"/>
      <c r="AE75" s="1318" t="n"/>
      <c r="AF75" s="1318" t="n"/>
      <c r="AG75" s="1318" t="n"/>
      <c r="AH75" s="1318" t="n"/>
      <c r="AI75" s="1318" t="n"/>
      <c r="AJ75" s="1318" t="n"/>
      <c r="AK75" s="1318" t="n"/>
      <c r="AL75" s="1318" t="n"/>
      <c r="AM75" s="1318" t="n"/>
      <c r="AN75" s="1318" t="n"/>
      <c r="AO75" s="1318" t="n"/>
      <c r="AP75" s="1318" t="n"/>
      <c r="AQ75" s="1318" t="n"/>
      <c r="AR75" s="1318" t="n"/>
      <c r="AS75" s="1318" t="n"/>
      <c r="AT75" s="1318" t="n"/>
      <c r="AU75" s="1318" t="n"/>
      <c r="AV75" s="1318" t="n"/>
      <c r="AW75" s="1318" t="n"/>
      <c r="AX75" s="1318" t="n"/>
      <c r="AY75" s="1318" t="n"/>
      <c r="AZ75" s="1318" t="n"/>
      <c r="BA75" s="1318" t="n"/>
      <c r="BB75" s="1318" t="n"/>
      <c r="BC75" s="1318" t="n"/>
      <c r="BD75" s="1318" t="n"/>
      <c r="BE75" s="1318" t="n"/>
      <c r="BF75" s="1318" t="n"/>
      <c r="BG75" s="1318" t="n"/>
      <c r="BH75" s="1318" t="n"/>
      <c r="BI75" s="1318" t="n"/>
      <c r="BJ75" s="1318" t="n"/>
      <c r="BK75" s="1318" t="n"/>
      <c r="BL75" s="1318" t="n"/>
      <c r="BM75" s="1318" t="n"/>
      <c r="BN75" s="1318" t="n"/>
      <c r="BO75" s="1318" t="n"/>
      <c r="BP75" s="1318" t="n"/>
      <c r="BQ75" s="1318" t="n"/>
      <c r="BR75" s="1318" t="n"/>
      <c r="BS75" s="1318" t="n"/>
      <c r="BT75" s="1318" t="n"/>
      <c r="BU75" s="1318" t="n"/>
      <c r="BV75" s="1318" t="n"/>
      <c r="BW75" s="1318" t="n"/>
      <c r="BX75" s="1318" t="n"/>
      <c r="BY75" s="1318" t="n"/>
      <c r="BZ75" s="1318" t="n"/>
      <c r="CA75" s="1318" t="n"/>
      <c r="CB75" s="1318" t="n"/>
      <c r="CC75" s="1318" t="n"/>
      <c r="CD75" s="1318" t="n"/>
      <c r="CE75" s="1318" t="n"/>
      <c r="CF75" s="1318" t="n"/>
      <c r="CG75" s="1318" t="n"/>
      <c r="CH75" s="1318" t="n"/>
      <c r="CI75" s="1318" t="n"/>
      <c r="CJ75" s="1318" t="n"/>
      <c r="CK75" s="1318" t="n"/>
      <c r="CL75" s="1318" t="n"/>
      <c r="CM75" s="1318" t="n"/>
      <c r="CN75" s="1318" t="n"/>
      <c r="CO75" s="1318" t="n"/>
      <c r="CP75" s="1318" t="n"/>
      <c r="CQ75" s="1318" t="n"/>
      <c r="CR75" s="1318" t="n"/>
      <c r="CS75" s="1318" t="n"/>
      <c r="CT75" s="1318" t="n"/>
      <c r="CU75" s="1318" t="n"/>
      <c r="CV75" s="1318" t="n"/>
      <c r="CW75" s="1318" t="n"/>
      <c r="CX75" s="1318" t="n"/>
      <c r="CY75" s="1318" t="n"/>
      <c r="CZ75" s="1318" t="n"/>
      <c r="DA75" s="1318" t="n"/>
      <c r="DB75" s="1318" t="n"/>
      <c r="DC75" s="1318" t="n"/>
      <c r="DD75" s="1318" t="n"/>
      <c r="DE75" s="1318" t="n"/>
      <c r="DF75" s="1318">
        <f>SUMIFS(72:72,$8:$8,"&gt;="&amp;DATE(YEAR(DF$8),1,1),$8:$8,"&lt;="&amp;EOMONTH(DF$8,0))/SUMIFS(72:72,$8:$8,"&gt;="&amp;DATE(YEAR(DF$8)-1,1,1),$8:$8,"&lt;="&amp;EOMONTH(DF$8,-12))-1</f>
        <v/>
      </c>
      <c r="DG75" s="1318">
        <f>SUMIFS(72:72,$8:$8,"&gt;="&amp;DATE(YEAR(DG$8),1,1),$8:$8,"&lt;="&amp;EOMONTH(DG$8,0))/SUMIFS(72:72,$8:$8,"&gt;="&amp;DATE(YEAR(DG$8)-1,1,1),$8:$8,"&lt;="&amp;EOMONTH(DG$8,-12))-1</f>
        <v/>
      </c>
      <c r="DH75" s="1318">
        <f>SUMIFS(72:72,$8:$8,"&gt;="&amp;DATE(YEAR(DH$8),1,1),$8:$8,"&lt;="&amp;EOMONTH(DH$8,0))/SUMIFS(72:72,$8:$8,"&gt;="&amp;DATE(YEAR(DH$8)-1,1,1),$8:$8,"&lt;="&amp;EOMONTH(DH$8,-12))-1</f>
        <v/>
      </c>
      <c r="DI75" s="1318">
        <f>SUMIFS(72:72,$8:$8,"&gt;="&amp;DATE(YEAR(DI$8),1,1),$8:$8,"&lt;="&amp;EOMONTH(DI$8,0))/SUMIFS(72:72,$8:$8,"&gt;="&amp;DATE(YEAR(DI$8)-1,1,1),$8:$8,"&lt;="&amp;EOMONTH(DI$8,-12))-1</f>
        <v/>
      </c>
      <c r="DJ75" s="1318">
        <f>SUMIFS(72:72,$8:$8,"&gt;="&amp;DATE(YEAR(DJ$8),1,1),$8:$8,"&lt;="&amp;EOMONTH(DJ$8,0))/SUMIFS(72:72,$8:$8,"&gt;="&amp;DATE(YEAR(DJ$8)-1,1,1),$8:$8,"&lt;="&amp;EOMONTH(DJ$8,-12))-1</f>
        <v/>
      </c>
      <c r="DK75" s="1318">
        <f>SUMIFS(72:72,$8:$8,"&gt;="&amp;DATE(YEAR(DK$8),1,1),$8:$8,"&lt;="&amp;EOMONTH(DK$8,0))/SUMIFS(72:72,$8:$8,"&gt;="&amp;DATE(YEAR(DK$8)-1,1,1),$8:$8,"&lt;="&amp;EOMONTH(DK$8,-12))-1</f>
        <v/>
      </c>
      <c r="DL75" s="1318">
        <f>SUMIFS(72:72,$8:$8,"&gt;="&amp;DATE(YEAR(DL$8),1,1),$8:$8,"&lt;="&amp;EOMONTH(DL$8,0))/SUMIFS(72:72,$8:$8,"&gt;="&amp;DATE(YEAR(DL$8)-1,1,1),$8:$8,"&lt;="&amp;EOMONTH(DL$8,-12))-1</f>
        <v/>
      </c>
      <c r="DM75" s="1318">
        <f>SUMIFS(72:72,$8:$8,"&gt;="&amp;DATE(YEAR(DM$8),1,1),$8:$8,"&lt;="&amp;EOMONTH(DM$8,0))/SUMIFS(72:72,$8:$8,"&gt;="&amp;DATE(YEAR(DM$8)-1,1,1),$8:$8,"&lt;="&amp;EOMONTH(DM$8,-12))-1</f>
        <v/>
      </c>
      <c r="DN75" s="1318">
        <f>SUMIFS(72:72,$8:$8,"&gt;="&amp;DATE(YEAR(DN$8),1,1),$8:$8,"&lt;="&amp;EOMONTH(DN$8,0))/SUMIFS(72:72,$8:$8,"&gt;="&amp;DATE(YEAR(DN$8)-1,1,1),$8:$8,"&lt;="&amp;EOMONTH(DN$8,-12))-1</f>
        <v/>
      </c>
      <c r="DO75" s="1318">
        <f>SUMIFS(72:72,$8:$8,"&gt;="&amp;DATE(YEAR(DO$8),1,1),$8:$8,"&lt;="&amp;EOMONTH(DO$8,0))/SUMIFS(72:72,$8:$8,"&gt;="&amp;DATE(YEAR(DO$8)-1,1,1),$8:$8,"&lt;="&amp;EOMONTH(DO$8,-12))-1</f>
        <v/>
      </c>
      <c r="DP75" s="1318">
        <f>SUMIFS(72:72,$8:$8,"&gt;="&amp;DATE(YEAR(DP$8),1,1),$8:$8,"&lt;="&amp;EOMONTH(DP$8,0))/SUMIFS(72:72,$8:$8,"&gt;="&amp;DATE(YEAR(DP$8)-1,1,1),$8:$8,"&lt;="&amp;EOMONTH(DP$8,-12))-1</f>
        <v/>
      </c>
      <c r="DQ75" s="1318">
        <f>SUMIFS(72:72,$8:$8,"&gt;="&amp;DATE(YEAR(DQ$8),1,1),$8:$8,"&lt;="&amp;EOMONTH(DQ$8,0))/SUMIFS(72:72,$8:$8,"&gt;="&amp;DATE(YEAR(DQ$8)-1,1,1),$8:$8,"&lt;="&amp;EOMONTH(DQ$8,-12))-1</f>
        <v/>
      </c>
      <c r="DR75" s="1318">
        <f>SUMIFS(72:72,$8:$8,"&gt;="&amp;DATE(YEAR(DR$8),1,1),$8:$8,"&lt;="&amp;EOMONTH(DR$8,0))/SUMIFS(72:72,$8:$8,"&gt;="&amp;DATE(YEAR(DR$8)-1,1,1),$8:$8,"&lt;="&amp;EOMONTH(DR$8,-12))-1</f>
        <v/>
      </c>
      <c r="DS75" s="1318">
        <f>SUMIFS(72:72,$8:$8,"&gt;="&amp;DATE(YEAR(DS$8),1,1),$8:$8,"&lt;="&amp;EOMONTH(DS$8,0))/SUMIFS(72:72,$8:$8,"&gt;="&amp;DATE(YEAR(DS$8)-1,1,1),$8:$8,"&lt;="&amp;EOMONTH(DS$8,-12))-1</f>
        <v/>
      </c>
      <c r="DT75" s="1318">
        <f>SUMIFS(72:72,$8:$8,"&gt;="&amp;DATE(YEAR(DT$8),1,1),$8:$8,"&lt;="&amp;EOMONTH(DT$8,0))/SUMIFS(72:72,$8:$8,"&gt;="&amp;DATE(YEAR(DT$8)-1,1,1),$8:$8,"&lt;="&amp;EOMONTH(DT$8,-12))-1</f>
        <v/>
      </c>
      <c r="DU75" s="1318">
        <f>SUMIFS(72:72,$8:$8,"&gt;="&amp;DATE(YEAR(DU$8),1,1),$8:$8,"&lt;="&amp;EOMONTH(DU$8,0))/SUMIFS(72:72,$8:$8,"&gt;="&amp;DATE(YEAR(DU$8)-1,1,1),$8:$8,"&lt;="&amp;EOMONTH(DU$8,-12))-1</f>
        <v/>
      </c>
      <c r="DV75" s="1318">
        <f>SUMIFS(72:72,$8:$8,"&gt;="&amp;DATE(YEAR(DV$8),1,1),$8:$8,"&lt;="&amp;EOMONTH(DV$8,0))/SUMIFS(72:72,$8:$8,"&gt;="&amp;DATE(YEAR(DV$8)-1,1,1),$8:$8,"&lt;="&amp;EOMONTH(DV$8,-12))-1</f>
        <v/>
      </c>
      <c r="DW75" s="1318">
        <f>SUMIFS(72:72,$8:$8,"&gt;="&amp;DATE(YEAR(DW$8),1,1),$8:$8,"&lt;="&amp;EOMONTH(DW$8,0))/SUMIFS(72:72,$8:$8,"&gt;="&amp;DATE(YEAR(DW$8)-1,1,1),$8:$8,"&lt;="&amp;EOMONTH(DW$8,-12))-1</f>
        <v/>
      </c>
      <c r="DX75" s="1318">
        <f>SUMIFS(72:72,$8:$8,"&gt;="&amp;DATE(YEAR(DX$8),1,1),$8:$8,"&lt;="&amp;EOMONTH(DX$8,0))/SUMIFS(72:72,$8:$8,"&gt;="&amp;DATE(YEAR(DX$8)-1,1,1),$8:$8,"&lt;="&amp;EOMONTH(DX$8,-12))-1</f>
        <v/>
      </c>
      <c r="DY75" s="1318">
        <f>SUMIFS(72:72,$8:$8,"&gt;="&amp;DATE(YEAR(DY$8),1,1),$8:$8,"&lt;="&amp;EOMONTH(DY$8,0))/SUMIFS(72:72,$8:$8,"&gt;="&amp;DATE(YEAR(DY$8)-1,1,1),$8:$8,"&lt;="&amp;EOMONTH(DY$8,-12))-1</f>
        <v/>
      </c>
      <c r="DZ75" s="1318">
        <f>SUMIFS(72:72,$8:$8,"&gt;="&amp;DATE(YEAR(DZ$8),1,1),$8:$8,"&lt;="&amp;EOMONTH(DZ$8,0))/SUMIFS(72:72,$8:$8,"&gt;="&amp;DATE(YEAR(DZ$8)-1,1,1),$8:$8,"&lt;="&amp;EOMONTH(DZ$8,-12))-1</f>
        <v/>
      </c>
      <c r="EA75" s="1318">
        <f>SUMIFS(72:72,$8:$8,"&gt;="&amp;DATE(YEAR(EA$8),1,1),$8:$8,"&lt;="&amp;EOMONTH(EA$8,0))/SUMIFS(72:72,$8:$8,"&gt;="&amp;DATE(YEAR(EA$8)-1,1,1),$8:$8,"&lt;="&amp;EOMONTH(EA$8,-12))-1</f>
        <v/>
      </c>
      <c r="EB75" s="1318">
        <f>SUMIFS(72:72,$8:$8,"&gt;="&amp;DATE(YEAR(EB$8),1,1),$8:$8,"&lt;="&amp;EOMONTH(EB$8,0))/SUMIFS(72:72,$8:$8,"&gt;="&amp;DATE(YEAR(EB$8)-1,1,1),$8:$8,"&lt;="&amp;EOMONTH(EB$8,-12))-1</f>
        <v/>
      </c>
      <c r="EC75" s="1318">
        <f>SUMIFS(72:72,$8:$8,"&gt;="&amp;DATE(YEAR(EC$8),1,1),$8:$8,"&lt;="&amp;EOMONTH(EC$8,0))/SUMIFS(72:72,$8:$8,"&gt;="&amp;DATE(YEAR(EC$8)-1,1,1),$8:$8,"&lt;="&amp;EOMONTH(EC$8,-12))-1</f>
        <v/>
      </c>
      <c r="ED75" s="1318">
        <f>SUMIFS(72:72,$8:$8,"&gt;="&amp;DATE(YEAR(ED$8),1,1),$8:$8,"&lt;="&amp;EOMONTH(ED$8,0))/SUMIFS(72:72,$8:$8,"&gt;="&amp;DATE(YEAR(ED$8)-1,1,1),$8:$8,"&lt;="&amp;EOMONTH(ED$8,-12))-1</f>
        <v/>
      </c>
      <c r="EE75" s="1318">
        <f>SUMIFS(72:72,$8:$8,"&gt;="&amp;DATE(YEAR(EE$8),1,1),$8:$8,"&lt;="&amp;EOMONTH(EE$8,0))/SUMIFS(72:72,$8:$8,"&gt;="&amp;DATE(YEAR(EE$8)-1,1,1),$8:$8,"&lt;="&amp;EOMONTH(EE$8,-12))-1</f>
        <v/>
      </c>
      <c r="EF75" s="1318">
        <f>SUMIFS(72:72,$8:$8,"&gt;="&amp;DATE(YEAR(EF$8),1,1),$8:$8,"&lt;="&amp;EOMONTH(EF$8,0))/SUMIFS(72:72,$8:$8,"&gt;="&amp;DATE(YEAR(EF$8)-1,1,1),$8:$8,"&lt;="&amp;EOMONTH(EF$8,-12))-1</f>
        <v/>
      </c>
      <c r="EG75" s="1318">
        <f>SUMIFS(72:72,$8:$8,"&gt;="&amp;DATE(YEAR(EG$8),1,1),$8:$8,"&lt;="&amp;EOMONTH(EG$8,0))/SUMIFS(72:72,$8:$8,"&gt;="&amp;DATE(YEAR(EG$8)-1,1,1),$8:$8,"&lt;="&amp;EOMONTH(EG$8,-12))-1</f>
        <v/>
      </c>
      <c r="EH75" s="1318">
        <f>SUMIFS(72:72,$8:$8,"&gt;="&amp;DATE(YEAR(EH$8),1,1),$8:$8,"&lt;="&amp;EOMONTH(EH$8,0))/SUMIFS(72:72,$8:$8,"&gt;="&amp;DATE(YEAR(EH$8)-1,1,1),$8:$8,"&lt;="&amp;EOMONTH(EH$8,-12))-1</f>
        <v/>
      </c>
      <c r="EI75" s="1318">
        <f>SUMIFS(72:72,$8:$8,"&gt;="&amp;DATE(YEAR(EI$8),1,1),$8:$8,"&lt;="&amp;EOMONTH(EI$8,0))/SUMIFS(72:72,$8:$8,"&gt;="&amp;DATE(YEAR(EI$8)-1,1,1),$8:$8,"&lt;="&amp;EOMONTH(EI$8,-12))-1</f>
        <v/>
      </c>
      <c r="EJ75" s="1318">
        <f>SUMIFS(72:72,$8:$8,"&gt;="&amp;DATE(YEAR(EJ$8),1,1),$8:$8,"&lt;="&amp;EOMONTH(EJ$8,0))/SUMIFS(72:72,$8:$8,"&gt;="&amp;DATE(YEAR(EJ$8)-1,1,1),$8:$8,"&lt;="&amp;EOMONTH(EJ$8,-12))-1</f>
        <v/>
      </c>
      <c r="EK75" s="1318">
        <f>SUMIFS(72:72,$8:$8,"&gt;="&amp;DATE(YEAR(EK$8),1,1),$8:$8,"&lt;="&amp;EOMONTH(EK$8,0))/SUMIFS(72:72,$8:$8,"&gt;="&amp;DATE(YEAR(EK$8)-1,1,1),$8:$8,"&lt;="&amp;EOMONTH(EK$8,-12))-1</f>
        <v/>
      </c>
      <c r="EL75" s="1318">
        <f>SUMIFS(72:72,$8:$8,"&gt;="&amp;DATE(YEAR(EL$8),1,1),$8:$8,"&lt;="&amp;EOMONTH(EL$8,0))/SUMIFS(72:72,$8:$8,"&gt;="&amp;DATE(YEAR(EL$8)-1,1,1),$8:$8,"&lt;="&amp;EOMONTH(EL$8,-12))-1</f>
        <v/>
      </c>
      <c r="EM75" s="1318">
        <f>SUMIFS(72:72,$8:$8,"&gt;="&amp;DATE(YEAR(EM$8),1,1),$8:$8,"&lt;="&amp;EOMONTH(EM$8,0))/SUMIFS(72:72,$8:$8,"&gt;="&amp;DATE(YEAR(EM$8)-1,1,1),$8:$8,"&lt;="&amp;EOMONTH(EM$8,-12))-1</f>
        <v/>
      </c>
      <c r="EN75" s="1318">
        <f>SUMIFS(72:72,$8:$8,"&gt;="&amp;DATE(YEAR(EN$8),1,1),$8:$8,"&lt;="&amp;EOMONTH(EN$8,0))/SUMIFS(72:72,$8:$8,"&gt;="&amp;DATE(YEAR(EN$8)-1,1,1),$8:$8,"&lt;="&amp;EOMONTH(EN$8,-12))-1</f>
        <v/>
      </c>
      <c r="EO75" s="1318">
        <f>SUMIFS(72:72,$8:$8,"&gt;="&amp;DATE(YEAR(EO$8),1,1),$8:$8,"&lt;="&amp;EOMONTH(EO$8,0))/SUMIFS(72:72,$8:$8,"&gt;="&amp;DATE(YEAR(EO$8)-1,1,1),$8:$8,"&lt;="&amp;EOMONTH(EO$8,-12))-1</f>
        <v/>
      </c>
      <c r="EP75" s="1318">
        <f>SUMIFS(72:72,$8:$8,"&gt;="&amp;DATE(YEAR(EP$8),1,1),$8:$8,"&lt;="&amp;EOMONTH(EP$8,0))/SUMIFS(72:72,$8:$8,"&gt;="&amp;DATE(YEAR(EP$8)-1,1,1),$8:$8,"&lt;="&amp;EOMONTH(EP$8,-12))-1</f>
        <v/>
      </c>
      <c r="EQ75" s="1318">
        <f>SUMIFS(72:72,$8:$8,"&gt;="&amp;DATE(YEAR(EQ$8),1,1),$8:$8,"&lt;="&amp;EOMONTH(EQ$8,0))/SUMIFS(72:72,$8:$8,"&gt;="&amp;DATE(YEAR(EQ$8)-1,1,1),$8:$8,"&lt;="&amp;EOMONTH(EQ$8,-12))-1</f>
        <v/>
      </c>
      <c r="ER75" s="1318">
        <f>SUMIFS(72:72,$8:$8,"&gt;="&amp;DATE(YEAR(ER$8),1,1),$8:$8,"&lt;="&amp;EOMONTH(ER$8,0))/SUMIFS(72:72,$8:$8,"&gt;="&amp;DATE(YEAR(ER$8)-1,1,1),$8:$8,"&lt;="&amp;EOMONTH(ER$8,-12))-1</f>
        <v/>
      </c>
      <c r="ES75" s="1318">
        <f>SUMIFS(72:72,$8:$8,"&gt;="&amp;DATE(YEAR(ES$8),1,1),$8:$8,"&lt;="&amp;EOMONTH(ES$8,0))/SUMIFS(72:72,$8:$8,"&gt;="&amp;DATE(YEAR(ES$8)-1,1,1),$8:$8,"&lt;="&amp;EOMONTH(ES$8,-12))-1</f>
        <v/>
      </c>
      <c r="ET75" s="1318">
        <f>SUMIFS(72:72,$8:$8,"&gt;="&amp;DATE(YEAR(ET$8),1,1),$8:$8,"&lt;="&amp;EOMONTH(ET$8,0))/SUMIFS(72:72,$8:$8,"&gt;="&amp;DATE(YEAR(ET$8)-1,1,1),$8:$8,"&lt;="&amp;EOMONTH(ET$8,-12))-1</f>
        <v/>
      </c>
      <c r="EU75" s="1318">
        <f>SUMIFS(72:72,$8:$8,"&gt;="&amp;DATE(YEAR(EU$8),1,1),$8:$8,"&lt;="&amp;EOMONTH(EU$8,0))/SUMIFS(72:72,$8:$8,"&gt;="&amp;DATE(YEAR(EU$8)-1,1,1),$8:$8,"&lt;="&amp;EOMONTH(EU$8,-12))-1</f>
        <v/>
      </c>
      <c r="EV75" s="1318">
        <f>SUMIFS(72:72,$8:$8,"&gt;="&amp;DATE(YEAR(EV$8),1,1),$8:$8,"&lt;="&amp;EOMONTH(EV$8,0))/SUMIFS(72:72,$8:$8,"&gt;="&amp;DATE(YEAR(EV$8)-1,1,1),$8:$8,"&lt;="&amp;EOMONTH(EV$8,-12))-1</f>
        <v/>
      </c>
      <c r="EW75" s="1318">
        <f>SUMIFS(72:72,$8:$8,"&gt;="&amp;DATE(YEAR(EW$8),1,1),$8:$8,"&lt;="&amp;EOMONTH(EW$8,0))/SUMIFS(72:72,$8:$8,"&gt;="&amp;DATE(YEAR(EW$8)-1,1,1),$8:$8,"&lt;="&amp;EOMONTH(EW$8,-12))-1</f>
        <v/>
      </c>
      <c r="EX75" s="1318">
        <f>SUMIFS(72:72,$8:$8,"&gt;="&amp;DATE(YEAR(EX$8),1,1),$8:$8,"&lt;="&amp;EOMONTH(EX$8,0))/SUMIFS(72:72,$8:$8,"&gt;="&amp;DATE(YEAR(EX$8)-1,1,1),$8:$8,"&lt;="&amp;EOMONTH(EX$8,-12))-1</f>
        <v/>
      </c>
      <c r="EY75" s="1318">
        <f>SUMIFS(72:72,$8:$8,"&gt;="&amp;DATE(YEAR(EY$8),1,1),$8:$8,"&lt;="&amp;EOMONTH(EY$8,0))/SUMIFS(72:72,$8:$8,"&gt;="&amp;DATE(YEAR(EY$8)-1,1,1),$8:$8,"&lt;="&amp;EOMONTH(EY$8,-12))-1</f>
        <v/>
      </c>
      <c r="EZ75" s="1318">
        <f>SUMIFS(72:72,$8:$8,"&gt;="&amp;DATE(YEAR(EZ$8),1,1),$8:$8,"&lt;="&amp;EOMONTH(EZ$8,0))/SUMIFS(72:72,$8:$8,"&gt;="&amp;DATE(YEAR(EZ$8)-1,1,1),$8:$8,"&lt;="&amp;EOMONTH(EZ$8,-12))-1</f>
        <v/>
      </c>
      <c r="FA75" s="1318">
        <f>SUMIFS(72:72,$8:$8,"&gt;="&amp;DATE(YEAR(FA$8),1,1),$8:$8,"&lt;="&amp;EOMONTH(FA$8,0))/SUMIFS(72:72,$8:$8,"&gt;="&amp;DATE(YEAR(FA$8)-1,1,1),$8:$8,"&lt;="&amp;EOMONTH(FA$8,-12))-1</f>
        <v/>
      </c>
      <c r="FB75" s="1318">
        <f>SUMIFS(72:72,$8:$8,"&gt;="&amp;DATE(YEAR(FB$8),1,1),$8:$8,"&lt;="&amp;EOMONTH(FB$8,0))/SUMIFS(72:72,$8:$8,"&gt;="&amp;DATE(YEAR(FB$8)-1,1,1),$8:$8,"&lt;="&amp;EOMONTH(FB$8,-12))-1</f>
        <v/>
      </c>
      <c r="FC75" s="1318">
        <f>SUMIFS(72:72,$8:$8,"&gt;="&amp;DATE(YEAR(FC$8),1,1),$8:$8,"&lt;="&amp;EOMONTH(FC$8,0))/SUMIFS(72:72,$8:$8,"&gt;="&amp;DATE(YEAR(FC$8)-1,1,1),$8:$8,"&lt;="&amp;EOMONTH(FC$8,-12))-1</f>
        <v/>
      </c>
      <c r="FD75" s="1318">
        <f>SUMIFS(72:72,$8:$8,"&gt;="&amp;DATE(YEAR(FD$8),1,1),$8:$8,"&lt;="&amp;EOMONTH(FD$8,0))/SUMIFS(72:72,$8:$8,"&gt;="&amp;DATE(YEAR(FD$8)-1,1,1),$8:$8,"&lt;="&amp;EOMONTH(FD$8,-12))-1</f>
        <v/>
      </c>
      <c r="FE75" s="1318">
        <f>SUMIFS(72:72,$8:$8,"&gt;="&amp;DATE(YEAR(FE$8),1,1),$8:$8,"&lt;="&amp;EOMONTH(FE$8,0))/SUMIFS(72:72,$8:$8,"&gt;="&amp;DATE(YEAR(FE$8)-1,1,1),$8:$8,"&lt;="&amp;EOMONTH(FE$8,-12))-1</f>
        <v/>
      </c>
      <c r="FF75" s="1318">
        <f>SUMIFS(72:72,$8:$8,"&gt;="&amp;DATE(YEAR(FF$8),1,1),$8:$8,"&lt;="&amp;EOMONTH(FF$8,0))/SUMIFS(72:72,$8:$8,"&gt;="&amp;DATE(YEAR(FF$8)-1,1,1),$8:$8,"&lt;="&amp;EOMONTH(FF$8,-12))-1</f>
        <v/>
      </c>
      <c r="FG75" s="1318">
        <f>SUMIFS(72:72,$8:$8,"&gt;="&amp;DATE(YEAR(FG$8),1,1),$8:$8,"&lt;="&amp;EOMONTH(FG$8,0))/SUMIFS(72:72,$8:$8,"&gt;="&amp;DATE(YEAR(FG$8)-1,1,1),$8:$8,"&lt;="&amp;EOMONTH(FG$8,-12))-1</f>
        <v/>
      </c>
      <c r="FH75" s="1318">
        <f>SUMIFS(72:72,$8:$8,"&gt;="&amp;DATE(YEAR(FH$8),1,1),$8:$8,"&lt;="&amp;EOMONTH(FH$8,0))/SUMIFS(72:72,$8:$8,"&gt;="&amp;DATE(YEAR(FH$8)-1,1,1),$8:$8,"&lt;="&amp;EOMONTH(FH$8,-12))-1</f>
        <v/>
      </c>
      <c r="FI75" s="1318">
        <f>SUMIFS(72:72,$8:$8,"&gt;="&amp;DATE(YEAR(FI$8),1,1),$8:$8,"&lt;="&amp;EOMONTH(FI$8,0))/SUMIFS(72:72,$8:$8,"&gt;="&amp;DATE(YEAR(FI$8)-1,1,1),$8:$8,"&lt;="&amp;EOMONTH(FI$8,-12))-1</f>
        <v/>
      </c>
      <c r="FJ75" s="1318">
        <f>SUMIFS(72:72,$8:$8,"&gt;="&amp;DATE(YEAR(FJ$8),1,1),$8:$8,"&lt;="&amp;EOMONTH(FJ$8,0))/SUMIFS(72:72,$8:$8,"&gt;="&amp;DATE(YEAR(FJ$8)-1,1,1),$8:$8,"&lt;="&amp;EOMONTH(FJ$8,-12))-1</f>
        <v/>
      </c>
      <c r="FK75" s="1318">
        <f>SUMIFS(72:72,$8:$8,"&gt;="&amp;DATE(YEAR(FK$8),1,1),$8:$8,"&lt;="&amp;EOMONTH(FK$8,0))/SUMIFS(72:72,$8:$8,"&gt;="&amp;DATE(YEAR(FK$8)-1,1,1),$8:$8,"&lt;="&amp;EOMONTH(FK$8,-12))-1</f>
        <v/>
      </c>
      <c r="FL75" s="1318">
        <f>SUMIFS(72:72,$8:$8,"&gt;="&amp;DATE(YEAR(FL$8),1,1),$8:$8,"&lt;="&amp;EOMONTH(FL$8,0))/SUMIFS(72:72,$8:$8,"&gt;="&amp;DATE(YEAR(FL$8)-1,1,1),$8:$8,"&lt;="&amp;EOMONTH(FL$8,-12))-1</f>
        <v/>
      </c>
      <c r="FM75" s="1318">
        <f>SUMIFS(72:72,$8:$8,"&gt;="&amp;DATE(YEAR(FM$8),1,1),$8:$8,"&lt;="&amp;EOMONTH(FM$8,0))/SUMIFS(72:72,$8:$8,"&gt;="&amp;DATE(YEAR(FM$8)-1,1,1),$8:$8,"&lt;="&amp;EOMONTH(FM$8,-12))-1</f>
        <v/>
      </c>
      <c r="FN75" s="1318">
        <f>SUMIFS(72:72,$8:$8,"&gt;="&amp;DATE(YEAR(FN$8),1,1),$8:$8,"&lt;="&amp;EOMONTH(FN$8,0))/SUMIFS(72:72,$8:$8,"&gt;="&amp;DATE(YEAR(FN$8)-1,1,1),$8:$8,"&lt;="&amp;EOMONTH(FN$8,-12))-1</f>
        <v/>
      </c>
      <c r="FO75" s="1318">
        <f>SUMIFS(72:72,$8:$8,"&gt;="&amp;DATE(YEAR(FO$8),1,1),$8:$8,"&lt;="&amp;EOMONTH(FO$8,0))/SUMIFS(72:72,$8:$8,"&gt;="&amp;DATE(YEAR(FO$8)-1,1,1),$8:$8,"&lt;="&amp;EOMONTH(FO$8,-12))-1</f>
        <v/>
      </c>
      <c r="FP75" s="1318">
        <f>SUMIFS(72:72,$8:$8,"&gt;="&amp;DATE(YEAR(FP$8),1,1),$8:$8,"&lt;="&amp;EOMONTH(FP$8,0))/SUMIFS(72:72,$8:$8,"&gt;="&amp;DATE(YEAR(FP$8)-1,1,1),$8:$8,"&lt;="&amp;EOMONTH(FP$8,-12))-1</f>
        <v/>
      </c>
      <c r="FQ75" s="1318">
        <f>SUMIFS(72:72,$8:$8,"&gt;="&amp;DATE(YEAR(FQ$8),1,1),$8:$8,"&lt;="&amp;EOMONTH(FQ$8,0))/SUMIFS(72:72,$8:$8,"&gt;="&amp;DATE(YEAR(FQ$8)-1,1,1),$8:$8,"&lt;="&amp;EOMONTH(FQ$8,-12))-1</f>
        <v/>
      </c>
      <c r="FR75" s="1318">
        <f>SUMIFS(72:72,$8:$8,"&gt;="&amp;DATE(YEAR(FR$8),1,1),$8:$8,"&lt;="&amp;EOMONTH(FR$8,0))/SUMIFS(72:72,$8:$8,"&gt;="&amp;DATE(YEAR(FR$8)-1,1,1),$8:$8,"&lt;="&amp;EOMONTH(FR$8,-12))-1</f>
        <v/>
      </c>
      <c r="FS75" s="1318">
        <f>SUMIFS(72:72,$8:$8,"&gt;="&amp;DATE(YEAR(FS$8),1,1),$8:$8,"&lt;="&amp;EOMONTH(FS$8,0))/SUMIFS(72:72,$8:$8,"&gt;="&amp;DATE(YEAR(FS$8)-1,1,1),$8:$8,"&lt;="&amp;EOMONTH(FS$8,-12))-1</f>
        <v/>
      </c>
      <c r="FT75" s="1318">
        <f>SUMIFS(72:72,$8:$8,"&gt;="&amp;DATE(YEAR(FT$8),1,1),$8:$8,"&lt;="&amp;EOMONTH(FT$8,0))/SUMIFS(72:72,$8:$8,"&gt;="&amp;DATE(YEAR(FT$8)-1,1,1),$8:$8,"&lt;="&amp;EOMONTH(FT$8,-12))-1</f>
        <v/>
      </c>
      <c r="FU75" s="1318">
        <f>SUMIFS(72:72,$8:$8,"&gt;="&amp;DATE(YEAR(FU$8),1,1),$8:$8,"&lt;="&amp;EOMONTH(FU$8,0))/SUMIFS(72:72,$8:$8,"&gt;="&amp;DATE(YEAR(FU$8)-1,1,1),$8:$8,"&lt;="&amp;EOMONTH(FU$8,-12))-1</f>
        <v/>
      </c>
      <c r="FV75" s="1318">
        <f>SUMIFS(72:72,$8:$8,"&gt;="&amp;DATE(YEAR(FV$8),1,1),$8:$8,"&lt;="&amp;EOMONTH(FV$8,0))/SUMIFS(72:72,$8:$8,"&gt;="&amp;DATE(YEAR(FV$8)-1,1,1),$8:$8,"&lt;="&amp;EOMONTH(FV$8,-12))-1</f>
        <v/>
      </c>
      <c r="FW75" s="1318">
        <f>SUMIFS(72:72,$8:$8,"&gt;="&amp;DATE(YEAR(FW$8),1,1),$8:$8,"&lt;="&amp;EOMONTH(FW$8,0))/SUMIFS(72:72,$8:$8,"&gt;="&amp;DATE(YEAR(FW$8)-1,1,1),$8:$8,"&lt;="&amp;EOMONTH(FW$8,-12))-1</f>
        <v/>
      </c>
      <c r="FX75" s="1318">
        <f>SUMIFS(72:72,$8:$8,"&gt;="&amp;DATE(YEAR(FX$8),1,1),$8:$8,"&lt;="&amp;EOMONTH(FX$8,0))/SUMIFS(72:72,$8:$8,"&gt;="&amp;DATE(YEAR(FX$8)-1,1,1),$8:$8,"&lt;="&amp;EOMONTH(FX$8,-12))-1</f>
        <v/>
      </c>
      <c r="FY75" s="1318">
        <f>SUMIFS(72:72,$8:$8,"&gt;="&amp;DATE(YEAR(FY$8),1,1),$8:$8,"&lt;="&amp;EOMONTH(FY$8,0))/SUMIFS(72:72,$8:$8,"&gt;="&amp;DATE(YEAR(FY$8)-1,1,1),$8:$8,"&lt;="&amp;EOMONTH(FY$8,-12))-1</f>
        <v/>
      </c>
      <c r="FZ75" s="1318">
        <f>SUMIFS(72:72,$8:$8,"&gt;="&amp;DATE(YEAR(FZ$8),1,1),$8:$8,"&lt;="&amp;EOMONTH(FZ$8,0))/SUMIFS(72:72,$8:$8,"&gt;="&amp;DATE(YEAR(FZ$8)-1,1,1),$8:$8,"&lt;="&amp;EOMONTH(FZ$8,-12))-1</f>
        <v/>
      </c>
      <c r="GA75" s="1318">
        <f>SUMIFS(72:72,$8:$8,"&gt;="&amp;DATE(YEAR(GA$8),1,1),$8:$8,"&lt;="&amp;EOMONTH(GA$8,0))/SUMIFS(72:72,$8:$8,"&gt;="&amp;DATE(YEAR(GA$8)-1,1,1),$8:$8,"&lt;="&amp;EOMONTH(GA$8,-12))-1</f>
        <v/>
      </c>
      <c r="GB75" s="1318">
        <f>SUMIFS(72:72,$8:$8,"&gt;="&amp;DATE(YEAR(GB$8),1,1),$8:$8,"&lt;="&amp;EOMONTH(GB$8,0))/SUMIFS(72:72,$8:$8,"&gt;="&amp;DATE(YEAR(GB$8)-1,1,1),$8:$8,"&lt;="&amp;EOMONTH(GB$8,-12))-1</f>
        <v/>
      </c>
      <c r="GC75" s="1318">
        <f>SUMIFS(72:72,$8:$8,"&gt;="&amp;DATE(YEAR(GC$8),1,1),$8:$8,"&lt;="&amp;EOMONTH(GC$8,0))/SUMIFS(72:72,$8:$8,"&gt;="&amp;DATE(YEAR(GC$8)-1,1,1),$8:$8,"&lt;="&amp;EOMONTH(GC$8,-12))-1</f>
        <v/>
      </c>
      <c r="GD75" s="1318">
        <f>SUMIFS(72:72,$8:$8,"&gt;="&amp;DATE(YEAR(GD$8),1,1),$8:$8,"&lt;="&amp;EOMONTH(GD$8,0))/SUMIFS(72:72,$8:$8,"&gt;="&amp;DATE(YEAR(GD$8)-1,1,1),$8:$8,"&lt;="&amp;EOMONTH(GD$8,-12))-1</f>
        <v/>
      </c>
      <c r="GE75" s="1318">
        <f>SUMIFS(72:72,$8:$8,"&gt;="&amp;DATE(YEAR(GE$8),1,1),$8:$8,"&lt;="&amp;EOMONTH(GE$8,0))/SUMIFS(72:72,$8:$8,"&gt;="&amp;DATE(YEAR(GE$8)-1,1,1),$8:$8,"&lt;="&amp;EOMONTH(GE$8,-12))-1</f>
        <v/>
      </c>
      <c r="GF75" s="1318">
        <f>SUMIFS(72:72,$8:$8,"&gt;="&amp;DATE(YEAR(GF$8),1,1),$8:$8,"&lt;="&amp;EOMONTH(GF$8,0))/SUMIFS(72:72,$8:$8,"&gt;="&amp;DATE(YEAR(GF$8)-1,1,1),$8:$8,"&lt;="&amp;EOMONTH(GF$8,-12))-1</f>
        <v/>
      </c>
      <c r="GG75" s="1318">
        <f>SUMIFS(72:72,$8:$8,"&gt;="&amp;DATE(YEAR(GG$8),1,1),$8:$8,"&lt;="&amp;EOMONTH(GG$8,0))/SUMIFS(72:72,$8:$8,"&gt;="&amp;DATE(YEAR(GG$8)-1,1,1),$8:$8,"&lt;="&amp;EOMONTH(GG$8,-12))-1</f>
        <v/>
      </c>
      <c r="GH75" s="1318">
        <f>SUMIFS(72:72,$8:$8,"&gt;="&amp;DATE(YEAR(GH$8),1,1),$8:$8,"&lt;="&amp;EOMONTH(GH$8,0))/SUMIFS(72:72,$8:$8,"&gt;="&amp;DATE(YEAR(GH$8)-1,1,1),$8:$8,"&lt;="&amp;EOMONTH(GH$8,-12))-1</f>
        <v/>
      </c>
      <c r="GI75" s="1318">
        <f>SUMIFS(72:72,$8:$8,"&gt;="&amp;DATE(YEAR(GI$8),1,1),$8:$8,"&lt;="&amp;EOMONTH(GI$8,0))/SUMIFS(72:72,$8:$8,"&gt;="&amp;DATE(YEAR(GI$8)-1,1,1),$8:$8,"&lt;="&amp;EOMONTH(GI$8,-12))-1</f>
        <v/>
      </c>
      <c r="GJ75" s="1318">
        <f>SUMIFS(72:72,$8:$8,"&gt;="&amp;DATE(YEAR(GJ$8),1,1),$8:$8,"&lt;="&amp;EOMONTH(GJ$8,0))/SUMIFS(72:72,$8:$8,"&gt;="&amp;DATE(YEAR(GJ$8)-1,1,1),$8:$8,"&lt;="&amp;EOMONTH(GJ$8,-12))-1</f>
        <v/>
      </c>
      <c r="GK75" s="1318">
        <f>SUMIFS(72:72,$8:$8,"&gt;="&amp;DATE(YEAR(GK$8),1,1),$8:$8,"&lt;="&amp;EOMONTH(GK$8,0))/SUMIFS(72:72,$8:$8,"&gt;="&amp;DATE(YEAR(GK$8)-1,1,1),$8:$8,"&lt;="&amp;EOMONTH(GK$8,-12))-1</f>
        <v/>
      </c>
      <c r="GL75" s="1318">
        <f>SUMIFS(72:72,$8:$8,"&gt;="&amp;DATE(YEAR(GL$8),1,1),$8:$8,"&lt;="&amp;EOMONTH(GL$8,0))/SUMIFS(72:72,$8:$8,"&gt;="&amp;DATE(YEAR(GL$8)-1,1,1),$8:$8,"&lt;="&amp;EOMONTH(GL$8,-12))-1</f>
        <v/>
      </c>
      <c r="GM75" s="1318">
        <f>SUMIFS(72:72,$8:$8,"&gt;="&amp;DATE(YEAR(GM$8),1,1),$8:$8,"&lt;="&amp;EOMONTH(GM$8,0))/SUMIFS(72:72,$8:$8,"&gt;="&amp;DATE(YEAR(GM$8)-1,1,1),$8:$8,"&lt;="&amp;EOMONTH(GM$8,-12))-1</f>
        <v/>
      </c>
      <c r="GN75" s="1318">
        <f>SUMIFS(72:72,$8:$8,"&gt;="&amp;DATE(YEAR(GN$8),1,1),$8:$8,"&lt;="&amp;EOMONTH(GN$8,0))/SUMIFS(72:72,$8:$8,"&gt;="&amp;DATE(YEAR(GN$8)-1,1,1),$8:$8,"&lt;="&amp;EOMONTH(GN$8,-12))-1</f>
        <v/>
      </c>
      <c r="GO75" s="1318">
        <f>SUMIFS(72:72,$8:$8,"&gt;="&amp;DATE(YEAR(GO$8),1,1),$8:$8,"&lt;="&amp;EOMONTH(GO$8,0))/SUMIFS(72:72,$8:$8,"&gt;="&amp;DATE(YEAR(GO$8)-1,1,1),$8:$8,"&lt;="&amp;EOMONTH(GO$8,-12))-1</f>
        <v/>
      </c>
      <c r="GP75" s="1318">
        <f>SUMIFS(72:72,$8:$8,"&gt;="&amp;DATE(YEAR(GP$8),1,1),$8:$8,"&lt;="&amp;EOMONTH(GP$8,0))/SUMIFS(72:72,$8:$8,"&gt;="&amp;DATE(YEAR(GP$8)-1,1,1),$8:$8,"&lt;="&amp;EOMONTH(GP$8,-12))-1</f>
        <v/>
      </c>
      <c r="GQ75" s="1318">
        <f>SUMIFS(72:72,$8:$8,"&gt;="&amp;DATE(YEAR(GQ$8),1,1),$8:$8,"&lt;="&amp;EOMONTH(GQ$8,0))/SUMIFS(72:72,$8:$8,"&gt;="&amp;DATE(YEAR(GQ$8)-1,1,1),$8:$8,"&lt;="&amp;EOMONTH(GQ$8,-12))-1</f>
        <v/>
      </c>
      <c r="GR75" s="1318">
        <f>SUMIFS(72:72,$8:$8,"&gt;="&amp;DATE(YEAR(GR$8),1,1),$8:$8,"&lt;="&amp;EOMONTH(GR$8,0))/SUMIFS(72:72,$8:$8,"&gt;="&amp;DATE(YEAR(GR$8)-1,1,1),$8:$8,"&lt;="&amp;EOMONTH(GR$8,-12))-1</f>
        <v/>
      </c>
      <c r="GS75" s="1318">
        <f>SUMIFS(72:72,$8:$8,"&gt;="&amp;DATE(YEAR(GS$8),1,1),$8:$8,"&lt;="&amp;EOMONTH(GS$8,0))/SUMIFS(72:72,$8:$8,"&gt;="&amp;DATE(YEAR(GS$8)-1,1,1),$8:$8,"&lt;="&amp;EOMONTH(GS$8,-12))-1</f>
        <v/>
      </c>
      <c r="GT75" s="1318">
        <f>SUMIFS(72:72,$8:$8,"&gt;="&amp;DATE(YEAR(GT$8),1,1),$8:$8,"&lt;="&amp;EOMONTH(GT$8,0))/SUMIFS(72:72,$8:$8,"&gt;="&amp;DATE(YEAR(GT$8)-1,1,1),$8:$8,"&lt;="&amp;EOMONTH(GT$8,-12))-1</f>
        <v/>
      </c>
      <c r="GU75" s="1318">
        <f>SUMIFS(72:72,$8:$8,"&gt;="&amp;DATE(YEAR(GU$8),1,1),$8:$8,"&lt;="&amp;EOMONTH(GU$8,0))/SUMIFS(72:72,$8:$8,"&gt;="&amp;DATE(YEAR(GU$8)-1,1,1),$8:$8,"&lt;="&amp;EOMONTH(GU$8,-12))-1</f>
        <v/>
      </c>
      <c r="GV75" s="1318">
        <f>SUMIFS(72:72,$8:$8,"&gt;="&amp;DATE(YEAR(GV$8),1,1),$8:$8,"&lt;="&amp;EOMONTH(GV$8,0))/SUMIFS(72:72,$8:$8,"&gt;="&amp;DATE(YEAR(GV$8)-1,1,1),$8:$8,"&lt;="&amp;EOMONTH(GV$8,-12))-1</f>
        <v/>
      </c>
      <c r="GW75" s="1318">
        <f>SUMIFS(72:72,$8:$8,"&gt;="&amp;DATE(YEAR(GW$8),1,1),$8:$8,"&lt;="&amp;EOMONTH(GW$8,0))/SUMIFS(72:72,$8:$8,"&gt;="&amp;DATE(YEAR(GW$8)-1,1,1),$8:$8,"&lt;="&amp;EOMONTH(GW$8,-12))-1</f>
        <v/>
      </c>
      <c r="GX75" s="1318">
        <f>SUMIFS(72:72,$8:$8,"&gt;="&amp;DATE(YEAR(GX$8),1,1),$8:$8,"&lt;="&amp;EOMONTH(GX$8,0))/SUMIFS(72:72,$8:$8,"&gt;="&amp;DATE(YEAR(GX$8)-1,1,1),$8:$8,"&lt;="&amp;EOMONTH(GX$8,-12))-1</f>
        <v/>
      </c>
      <c r="GY75" s="1318">
        <f>SUMIFS(72:72,$8:$8,"&gt;="&amp;DATE(YEAR(GY$8),1,1),$8:$8,"&lt;="&amp;EOMONTH(GY$8,0))/SUMIFS(72:72,$8:$8,"&gt;="&amp;DATE(YEAR(GY$8)-1,1,1),$8:$8,"&lt;="&amp;EOMONTH(GY$8,-12))-1</f>
        <v/>
      </c>
      <c r="GZ75" s="1318">
        <f>SUMIFS(72:72,$8:$8,"&gt;="&amp;DATE(YEAR(GZ$8),1,1),$8:$8,"&lt;="&amp;EOMONTH(GZ$8,0))/SUMIFS(72:72,$8:$8,"&gt;="&amp;DATE(YEAR(GZ$8)-1,1,1),$8:$8,"&lt;="&amp;EOMONTH(GZ$8,-12))-1</f>
        <v/>
      </c>
      <c r="HA75" s="1318">
        <f>SUMIFS(72:72,$8:$8,"&gt;="&amp;DATE(YEAR(HA$8),1,1),$8:$8,"&lt;="&amp;EOMONTH(HA$8,0))/SUMIFS(72:72,$8:$8,"&gt;="&amp;DATE(YEAR(HA$8)-1,1,1),$8:$8,"&lt;="&amp;EOMONTH(HA$8,-12))-1</f>
        <v/>
      </c>
      <c r="HB75" s="1318">
        <f>SUMIFS(72:72,$8:$8,"&gt;="&amp;DATE(YEAR(HB$8),1,1),$8:$8,"&lt;="&amp;EOMONTH(HB$8,0))/SUMIFS(72:72,$8:$8,"&gt;="&amp;DATE(YEAR(HB$8)-1,1,1),$8:$8,"&lt;="&amp;EOMONTH(HB$8,-12))-1</f>
        <v/>
      </c>
      <c r="HC75" s="1318">
        <f>SUMIFS(72:72,$8:$8,"&gt;="&amp;DATE(YEAR(HC$8),1,1),$8:$8,"&lt;="&amp;EOMONTH(HC$8,0))/SUMIFS(72:72,$8:$8,"&gt;="&amp;DATE(YEAR(HC$8)-1,1,1),$8:$8,"&lt;="&amp;EOMONTH(HC$8,-12))-1</f>
        <v/>
      </c>
      <c r="HD75" s="1318">
        <f>SUMIFS(72:72,$8:$8,"&gt;="&amp;DATE(YEAR(HD$8),1,1),$8:$8,"&lt;="&amp;EOMONTH(HD$8,0))/SUMIFS(72:72,$8:$8,"&gt;="&amp;DATE(YEAR(HD$8)-1,1,1),$8:$8,"&lt;="&amp;EOMONTH(HD$8,-12))-1</f>
        <v/>
      </c>
      <c r="HE75" s="1318">
        <f>SUMIFS(72:72,$8:$8,"&gt;="&amp;DATE(YEAR(HE$8),1,1),$8:$8,"&lt;="&amp;EOMONTH(HE$8,0))/SUMIFS(72:72,$8:$8,"&gt;="&amp;DATE(YEAR(HE$8)-1,1,1),$8:$8,"&lt;="&amp;EOMONTH(HE$8,-12))-1</f>
        <v/>
      </c>
      <c r="HF75" s="1318">
        <f>SUMIFS(72:72,$8:$8,"&gt;="&amp;DATE(YEAR(HF$8),1,1),$8:$8,"&lt;="&amp;EOMONTH(HF$8,0))/SUMIFS(72:72,$8:$8,"&gt;="&amp;DATE(YEAR(HF$8)-1,1,1),$8:$8,"&lt;="&amp;EOMONTH(HF$8,-12))-1</f>
        <v/>
      </c>
      <c r="HG75" s="1318">
        <f>SUMIFS(72:72,$8:$8,"&gt;="&amp;DATE(YEAR(HG$8),1,1),$8:$8,"&lt;="&amp;EOMONTH(HG$8,0))/SUMIFS(72:72,$8:$8,"&gt;="&amp;DATE(YEAR(HG$8)-1,1,1),$8:$8,"&lt;="&amp;EOMONTH(HG$8,-12))-1</f>
        <v/>
      </c>
      <c r="HH75" s="1318">
        <f>SUMIFS(72:72,$8:$8,"&gt;="&amp;DATE(YEAR(HH$8),1,1),$8:$8,"&lt;="&amp;EOMONTH(HH$8,0))/SUMIFS(72:72,$8:$8,"&gt;="&amp;DATE(YEAR(HH$8)-1,1,1),$8:$8,"&lt;="&amp;EOMONTH(HH$8,-12))-1</f>
        <v/>
      </c>
      <c r="HI75" s="1318">
        <f>SUMIFS(72:72,$8:$8,"&gt;="&amp;DATE(YEAR(HI$8),1,1),$8:$8,"&lt;="&amp;EOMONTH(HI$8,0))/SUMIFS(72:72,$8:$8,"&gt;="&amp;DATE(YEAR(HI$8)-1,1,1),$8:$8,"&lt;="&amp;EOMONTH(HI$8,-12))-1</f>
        <v/>
      </c>
      <c r="HJ75" s="1318">
        <f>SUMIFS(72:72,$8:$8,"&gt;="&amp;DATE(YEAR(HJ$8),1,1),$8:$8,"&lt;="&amp;EOMONTH(HJ$8,0))/SUMIFS(72:72,$8:$8,"&gt;="&amp;DATE(YEAR(HJ$8)-1,1,1),$8:$8,"&lt;="&amp;EOMONTH(HJ$8,-12))-1</f>
        <v/>
      </c>
      <c r="HK75" s="1318">
        <f>SUMIFS(72:72,$8:$8,"&gt;="&amp;DATE(YEAR(HK$8),1,1),$8:$8,"&lt;="&amp;EOMONTH(HK$8,0))/SUMIFS(72:72,$8:$8,"&gt;="&amp;DATE(YEAR(HK$8)-1,1,1),$8:$8,"&lt;="&amp;EOMONTH(HK$8,-12))-1</f>
        <v/>
      </c>
      <c r="HL75" s="1318">
        <f>SUMIFS(72:72,$8:$8,"&gt;="&amp;DATE(YEAR(HL$8),1,1),$8:$8,"&lt;="&amp;EOMONTH(HL$8,0))/SUMIFS(72:72,$8:$8,"&gt;="&amp;DATE(YEAR(HL$8)-1,1,1),$8:$8,"&lt;="&amp;EOMONTH(HL$8,-12))-1</f>
        <v/>
      </c>
      <c r="HM75" s="1318">
        <f>SUMIFS(72:72,$8:$8,"&gt;="&amp;DATE(YEAR(HM$8),1,1),$8:$8,"&lt;="&amp;EOMONTH(HM$8,0))/SUMIFS(72:72,$8:$8,"&gt;="&amp;DATE(YEAR(HM$8)-1,1,1),$8:$8,"&lt;="&amp;EOMONTH(HM$8,-12))-1</f>
        <v/>
      </c>
      <c r="HN75" s="1318">
        <f>SUMIFS(72:72,$8:$8,"&gt;="&amp;DATE(YEAR(HN$8),1,1),$8:$8,"&lt;="&amp;EOMONTH(HN$8,0))/SUMIFS(72:72,$8:$8,"&gt;="&amp;DATE(YEAR(HN$8)-1,1,1),$8:$8,"&lt;="&amp;EOMONTH(HN$8,-12))-1</f>
        <v/>
      </c>
      <c r="HO75" s="1318">
        <f>SUMIFS(72:72,$8:$8,"&gt;="&amp;DATE(YEAR(HO$8),1,1),$8:$8,"&lt;="&amp;EOMONTH(HO$8,0))/SUMIFS(72:72,$8:$8,"&gt;="&amp;DATE(YEAR(HO$8)-1,1,1),$8:$8,"&lt;="&amp;EOMONTH(HO$8,-12))-1</f>
        <v/>
      </c>
      <c r="HP75" s="1318">
        <f>SUMIFS(72:72,$8:$8,"&gt;="&amp;DATE(YEAR(HP$8),1,1),$8:$8,"&lt;="&amp;EOMONTH(HP$8,0))/SUMIFS(72:72,$8:$8,"&gt;="&amp;DATE(YEAR(HP$8)-1,1,1),$8:$8,"&lt;="&amp;EOMONTH(HP$8,-12))-1</f>
        <v/>
      </c>
      <c r="HQ75" s="1318">
        <f>SUMIFS(72:72,$8:$8,"&gt;="&amp;DATE(YEAR(HQ$8),1,1),$8:$8,"&lt;="&amp;EOMONTH(HQ$8,0))/SUMIFS(72:72,$8:$8,"&gt;="&amp;DATE(YEAR(HQ$8)-1,1,1),$8:$8,"&lt;="&amp;EOMONTH(HQ$8,-12))-1</f>
        <v/>
      </c>
      <c r="HR75" s="1318">
        <f>SUMIFS(72:72,$8:$8,"&gt;="&amp;DATE(YEAR(HR$8),1,1),$8:$8,"&lt;="&amp;EOMONTH(HR$8,0))/SUMIFS(72:72,$8:$8,"&gt;="&amp;DATE(YEAR(HR$8)-1,1,1),$8:$8,"&lt;="&amp;EOMONTH(HR$8,-12))-1</f>
        <v/>
      </c>
      <c r="HS75" s="1318">
        <f>SUMIFS(72:72,$8:$8,"&gt;="&amp;DATE(YEAR(HS$8),1,1),$8:$8,"&lt;="&amp;EOMONTH(HS$8,0))/SUMIFS(72:72,$8:$8,"&gt;="&amp;DATE(YEAR(HS$8)-1,1,1),$8:$8,"&lt;="&amp;EOMONTH(HS$8,-12))-1</f>
        <v/>
      </c>
      <c r="HT75" s="1318">
        <f>SUMIFS(72:72,$8:$8,"&gt;="&amp;DATE(YEAR(HT$8),1,1),$8:$8,"&lt;="&amp;EOMONTH(HT$8,0))/SUMIFS(72:72,$8:$8,"&gt;="&amp;DATE(YEAR(HT$8)-1,1,1),$8:$8,"&lt;="&amp;EOMONTH(HT$8,-12))-1</f>
        <v/>
      </c>
      <c r="HU75" s="1318">
        <f>SUMIFS(72:72,$8:$8,"&gt;="&amp;DATE(YEAR(HU$8),1,1),$8:$8,"&lt;="&amp;EOMONTH(HU$8,0))/SUMIFS(72:72,$8:$8,"&gt;="&amp;DATE(YEAR(HU$8)-1,1,1),$8:$8,"&lt;="&amp;EOMONTH(HU$8,-12))-1</f>
        <v/>
      </c>
      <c r="HV75" s="1318">
        <f>SUMIFS(72:72,$8:$8,"&gt;="&amp;DATE(YEAR(HV$8),1,1),$8:$8,"&lt;="&amp;EOMONTH(HV$8,0))/SUMIFS(72:72,$8:$8,"&gt;="&amp;DATE(YEAR(HV$8)-1,1,1),$8:$8,"&lt;="&amp;EOMONTH(HV$8,-12))-1</f>
        <v/>
      </c>
      <c r="HW75" s="1318">
        <f>SUMIFS(72:72,$8:$8,"&gt;="&amp;DATE(YEAR(HW$8),1,1),$8:$8,"&lt;="&amp;EOMONTH(HW$8,0))/SUMIFS(72:72,$8:$8,"&gt;="&amp;DATE(YEAR(HW$8)-1,1,1),$8:$8,"&lt;="&amp;EOMONTH(HW$8,-12))-1</f>
        <v/>
      </c>
      <c r="HX75" s="1318">
        <f>SUMIFS(72:72,$8:$8,"&gt;="&amp;DATE(YEAR(HX$8),1,1),$8:$8,"&lt;="&amp;EOMONTH(HX$8,0))/SUMIFS(72:72,$8:$8,"&gt;="&amp;DATE(YEAR(HX$8)-1,1,1),$8:$8,"&lt;="&amp;EOMONTH(HX$8,-12))-1</f>
        <v/>
      </c>
      <c r="HY75" s="1318">
        <f>SUMIFS(72:72,$8:$8,"&gt;="&amp;DATE(YEAR(HY$8),1,1),$8:$8,"&lt;="&amp;EOMONTH(HY$8,0))/SUMIFS(72:72,$8:$8,"&gt;="&amp;DATE(YEAR(HY$8)-1,1,1),$8:$8,"&lt;="&amp;EOMONTH(HY$8,-12))-1</f>
        <v/>
      </c>
      <c r="HZ75" s="1318">
        <f>SUMIFS(72:72,$8:$8,"&gt;="&amp;DATE(YEAR(HZ$8),1,1),$8:$8,"&lt;="&amp;EOMONTH(HZ$8,0))/SUMIFS(72:72,$8:$8,"&gt;="&amp;DATE(YEAR(HZ$8)-1,1,1),$8:$8,"&lt;="&amp;EOMONTH(HZ$8,-12))-1</f>
        <v/>
      </c>
      <c r="IA75" s="1318">
        <f>SUMIFS(72:72,$8:$8,"&gt;="&amp;DATE(YEAR(IA$8),1,1),$8:$8,"&lt;="&amp;EOMONTH(IA$8,0))/SUMIFS(72:72,$8:$8,"&gt;="&amp;DATE(YEAR(IA$8)-1,1,1),$8:$8,"&lt;="&amp;EOMONTH(IA$8,-12))-1</f>
        <v/>
      </c>
      <c r="IB75" s="1318">
        <f>SUMIFS(72:72,$8:$8,"&gt;="&amp;DATE(YEAR(IB$8),1,1),$8:$8,"&lt;="&amp;EOMONTH(IB$8,0))/SUMIFS(72:72,$8:$8,"&gt;="&amp;DATE(YEAR(IB$8)-1,1,1),$8:$8,"&lt;="&amp;EOMONTH(IB$8,-12))-1</f>
        <v/>
      </c>
      <c r="IC75" s="1318">
        <f>SUMIFS(72:72,$8:$8,"&gt;="&amp;DATE(YEAR(IC$8),1,1),$8:$8,"&lt;="&amp;EOMONTH(IC$8,0))/SUMIFS(72:72,$8:$8,"&gt;="&amp;DATE(YEAR(IC$8)-1,1,1),$8:$8,"&lt;="&amp;EOMONTH(IC$8,-12))-1</f>
        <v/>
      </c>
      <c r="ID75" s="1318">
        <f>SUMIFS(72:72,$8:$8,"&gt;="&amp;DATE(YEAR(ID$8),1,1),$8:$8,"&lt;="&amp;EOMONTH(ID$8,0))/SUMIFS(72:72,$8:$8,"&gt;="&amp;DATE(YEAR(ID$8)-1,1,1),$8:$8,"&lt;="&amp;EOMONTH(ID$8,-12))-1</f>
        <v/>
      </c>
      <c r="IE75" s="1318">
        <f>SUMIFS(72:72,$8:$8,"&gt;="&amp;DATE(YEAR(IE$8),1,1),$8:$8,"&lt;="&amp;EOMONTH(IE$8,0))/SUMIFS(72:72,$8:$8,"&gt;="&amp;DATE(YEAR(IE$8)-1,1,1),$8:$8,"&lt;="&amp;EOMONTH(IE$8,-12))-1</f>
        <v/>
      </c>
      <c r="IF75" s="1318">
        <f>SUMIFS(72:72,$8:$8,"&gt;="&amp;DATE(YEAR(IF$8),1,1),$8:$8,"&lt;="&amp;EOMONTH(IF$8,0))/SUMIFS(72:72,$8:$8,"&gt;="&amp;DATE(YEAR(IF$8)-1,1,1),$8:$8,"&lt;="&amp;EOMONTH(IF$8,-12))-1</f>
        <v/>
      </c>
      <c r="IG75" s="1318">
        <f>SUMIFS(72:72,$8:$8,"&gt;="&amp;DATE(YEAR(IG$8),1,1),$8:$8,"&lt;="&amp;EOMONTH(IG$8,0))/SUMIFS(72:72,$8:$8,"&gt;="&amp;DATE(YEAR(IG$8)-1,1,1),$8:$8,"&lt;="&amp;EOMONTH(IG$8,-12))-1</f>
        <v/>
      </c>
      <c r="IH75" s="1318">
        <f>SUMIFS(72:72,$8:$8,"&gt;="&amp;DATE(YEAR(IH$8),1,1),$8:$8,"&lt;="&amp;EOMONTH(IH$8,0))/SUMIFS(72:72,$8:$8,"&gt;="&amp;DATE(YEAR(IH$8)-1,1,1),$8:$8,"&lt;="&amp;EOMONTH(IH$8,-12))-1</f>
        <v/>
      </c>
      <c r="II75" s="1318">
        <f>SUMIFS(72:72,$8:$8,"&gt;="&amp;DATE(YEAR(II$8),1,1),$8:$8,"&lt;="&amp;EOMONTH(II$8,0))/SUMIFS(72:72,$8:$8,"&gt;="&amp;DATE(YEAR(II$8)-1,1,1),$8:$8,"&lt;="&amp;EOMONTH(II$8,-12))-1</f>
        <v/>
      </c>
      <c r="IJ75" s="1318">
        <f>SUMIFS(72:72,$8:$8,"&gt;="&amp;DATE(YEAR(IJ$8),1,1),$8:$8,"&lt;="&amp;EOMONTH(IJ$8,0))/SUMIFS(72:72,$8:$8,"&gt;="&amp;DATE(YEAR(IJ$8)-1,1,1),$8:$8,"&lt;="&amp;EOMONTH(IJ$8,-12))-1</f>
        <v/>
      </c>
      <c r="IK75" s="1318">
        <f>SUMIFS(72:72,$8:$8,"&gt;="&amp;DATE(YEAR(IK$8),1,1),$8:$8,"&lt;="&amp;EOMONTH(IK$8,0))/SUMIFS(72:72,$8:$8,"&gt;="&amp;DATE(YEAR(IK$8)-1,1,1),$8:$8,"&lt;="&amp;EOMONTH(IK$8,-12))-1</f>
        <v/>
      </c>
      <c r="IL75" s="1318">
        <f>SUMIFS(72:72,$8:$8,"&gt;="&amp;DATE(YEAR(IL$8),1,1),$8:$8,"&lt;="&amp;EOMONTH(IL$8,0))/SUMIFS(72:72,$8:$8,"&gt;="&amp;DATE(YEAR(IL$8)-1,1,1),$8:$8,"&lt;="&amp;EOMONTH(IL$8,-12))-1</f>
        <v/>
      </c>
      <c r="IM75" s="1318">
        <f>SUMIFS(72:72,$8:$8,"&gt;="&amp;DATE(YEAR(IM$8),1,1),$8:$8,"&lt;="&amp;EOMONTH(IM$8,0))/SUMIFS(72:72,$8:$8,"&gt;="&amp;DATE(YEAR(IM$8)-1,1,1),$8:$8,"&lt;="&amp;EOMONTH(IM$8,-12))-1</f>
        <v/>
      </c>
      <c r="IN75" s="1318">
        <f>SUMIFS(72:72,$8:$8,"&gt;="&amp;DATE(YEAR(IN$8),1,1),$8:$8,"&lt;="&amp;EOMONTH(IN$8,0))/SUMIFS(72:72,$8:$8,"&gt;="&amp;DATE(YEAR(IN$8)-1,1,1),$8:$8,"&lt;="&amp;EOMONTH(IN$8,-12))-1</f>
        <v/>
      </c>
      <c r="IO75" s="1318">
        <f>SUMIFS(72:72,$8:$8,"&gt;="&amp;DATE(YEAR(IO$8),1,1),$8:$8,"&lt;="&amp;EOMONTH(IO$8,0))/SUMIFS(72:72,$8:$8,"&gt;="&amp;DATE(YEAR(IO$8)-1,1,1),$8:$8,"&lt;="&amp;EOMONTH(IO$8,-12))-1</f>
        <v/>
      </c>
      <c r="IP75" s="1318">
        <f>SUMIFS(72:72,$8:$8,"&gt;="&amp;DATE(YEAR(IP$8),1,1),$8:$8,"&lt;="&amp;EOMONTH(IP$8,0))/SUMIFS(72:72,$8:$8,"&gt;="&amp;DATE(YEAR(IP$8)-1,1,1),$8:$8,"&lt;="&amp;EOMONTH(IP$8,-12))-1</f>
        <v/>
      </c>
      <c r="IQ75" s="1318">
        <f>SUMIFS(72:72,$8:$8,"&gt;="&amp;DATE(YEAR(IQ$8),1,1),$8:$8,"&lt;="&amp;EOMONTH(IQ$8,0))/SUMIFS(72:72,$8:$8,"&gt;="&amp;DATE(YEAR(IQ$8)-1,1,1),$8:$8,"&lt;="&amp;EOMONTH(IQ$8,-12))-1</f>
        <v/>
      </c>
      <c r="IR75" s="1318">
        <f>SUMIFS(72:72,$8:$8,"&gt;="&amp;DATE(YEAR(IR$8),1,1),$8:$8,"&lt;="&amp;EOMONTH(IR$8,0))/SUMIFS(72:72,$8:$8,"&gt;="&amp;DATE(YEAR(IR$8)-1,1,1),$8:$8,"&lt;="&amp;EOMONTH(IR$8,-12))-1</f>
        <v/>
      </c>
      <c r="IS75" s="1318">
        <f>SUMIFS(72:72,$8:$8,"&gt;="&amp;DATE(YEAR(IS$8),1,1),$8:$8,"&lt;="&amp;EOMONTH(IS$8,0))/SUMIFS(72:72,$8:$8,"&gt;="&amp;DATE(YEAR(IS$8)-1,1,1),$8:$8,"&lt;="&amp;EOMONTH(IS$8,-12))-1</f>
        <v/>
      </c>
      <c r="IT75" s="1318">
        <f>SUMIFS(72:72,$8:$8,"&gt;="&amp;DATE(YEAR(IT$8),1,1),$8:$8,"&lt;="&amp;EOMONTH(IT$8,0))/SUMIFS(72:72,$8:$8,"&gt;="&amp;DATE(YEAR(IT$8)-1,1,1),$8:$8,"&lt;="&amp;EOMONTH(IT$8,-12))-1</f>
        <v/>
      </c>
      <c r="IU75" s="1318">
        <f>SUMIFS(72:72,$8:$8,"&gt;="&amp;DATE(YEAR(IU$8),1,1),$8:$8,"&lt;="&amp;EOMONTH(IU$8,0))/SUMIFS(72:72,$8:$8,"&gt;="&amp;DATE(YEAR(IU$8)-1,1,1),$8:$8,"&lt;="&amp;EOMONTH(IU$8,-12))-1</f>
        <v/>
      </c>
      <c r="IV75" s="1318">
        <f>SUMIFS(72:72,$8:$8,"&gt;="&amp;DATE(YEAR(IV$8),1,1),$8:$8,"&lt;="&amp;EOMONTH(IV$8,0))/SUMIFS(72:72,$8:$8,"&gt;="&amp;DATE(YEAR(IV$8)-1,1,1),$8:$8,"&lt;="&amp;EOMONTH(IV$8,-12))-1</f>
        <v/>
      </c>
      <c r="IW75" s="1318">
        <f>SUMIFS(72:72,$8:$8,"&gt;="&amp;DATE(YEAR(IW$8),1,1),$8:$8,"&lt;="&amp;EOMONTH(IW$8,0))/SUMIFS(72:72,$8:$8,"&gt;="&amp;DATE(YEAR(IW$8)-1,1,1),$8:$8,"&lt;="&amp;EOMONTH(IW$8,-12))-1</f>
        <v/>
      </c>
      <c r="IX75" s="1318">
        <f>SUMIFS(72:72,$8:$8,"&gt;="&amp;DATE(YEAR(IX$8),1,1),$8:$8,"&lt;="&amp;EOMONTH(IX$8,0))/SUMIFS(72:72,$8:$8,"&gt;="&amp;DATE(YEAR(IX$8)-1,1,1),$8:$8,"&lt;="&amp;EOMONTH(IX$8,-12))-1</f>
        <v/>
      </c>
      <c r="IY75" s="1318">
        <f>SUMIFS(72:72,$8:$8,"&gt;="&amp;DATE(YEAR(IY$8),1,1),$8:$8,"&lt;="&amp;EOMONTH(IY$8,0))/SUMIFS(72:72,$8:$8,"&gt;="&amp;DATE(YEAR(IY$8)-1,1,1),$8:$8,"&lt;="&amp;EOMONTH(IY$8,-12))-1</f>
        <v/>
      </c>
      <c r="IZ75" s="1318">
        <f>SUMIFS(72:72,$8:$8,"&gt;="&amp;DATE(YEAR(IZ$8),1,1),$8:$8,"&lt;="&amp;EOMONTH(IZ$8,0))/SUMIFS(72:72,$8:$8,"&gt;="&amp;DATE(YEAR(IZ$8)-1,1,1),$8:$8,"&lt;="&amp;EOMONTH(IZ$8,-12))-1</f>
        <v/>
      </c>
      <c r="JA75" s="1318">
        <f>SUMIFS(72:72,$8:$8,"&gt;="&amp;DATE(YEAR(JA$8),1,1),$8:$8,"&lt;="&amp;EOMONTH(JA$8,0))/SUMIFS(72:72,$8:$8,"&gt;="&amp;DATE(YEAR(JA$8)-1,1,1),$8:$8,"&lt;="&amp;EOMONTH(JA$8,-12))-1</f>
        <v/>
      </c>
      <c r="JB75" s="1318">
        <f>SUMIFS(72:72,$8:$8,"&gt;="&amp;DATE(YEAR(JB$8),1,1),$8:$8,"&lt;="&amp;EOMONTH(JB$8,0))/SUMIFS(72:72,$8:$8,"&gt;="&amp;DATE(YEAR(JB$8)-1,1,1),$8:$8,"&lt;="&amp;EOMONTH(JB$8,-12))-1</f>
        <v/>
      </c>
      <c r="JC75" s="1318">
        <f>SUMIFS(72:72,$8:$8,"&gt;="&amp;DATE(YEAR(JC$8),1,1),$8:$8,"&lt;="&amp;EOMONTH(JC$8,0))/SUMIFS(72:72,$8:$8,"&gt;="&amp;DATE(YEAR(JC$8)-1,1,1),$8:$8,"&lt;="&amp;EOMONTH(JC$8,-12))-1</f>
        <v/>
      </c>
      <c r="JD75" s="1318">
        <f>SUMIFS(72:72,$8:$8,"&gt;="&amp;DATE(YEAR(JD$8),1,1),$8:$8,"&lt;="&amp;EOMONTH(JD$8,0))/SUMIFS(72:72,$8:$8,"&gt;="&amp;DATE(YEAR(JD$8)-1,1,1),$8:$8,"&lt;="&amp;EOMONTH(JD$8,-12))-1</f>
        <v/>
      </c>
      <c r="JE75" s="1318">
        <f>SUMIFS(72:72,$8:$8,"&gt;="&amp;DATE(YEAR(JE$8),1,1),$8:$8,"&lt;="&amp;EOMONTH(JE$8,0))/SUMIFS(72:72,$8:$8,"&gt;="&amp;DATE(YEAR(JE$8)-1,1,1),$8:$8,"&lt;="&amp;EOMONTH(JE$8,-12))-1</f>
        <v/>
      </c>
      <c r="JF75" s="1318">
        <f>SUMIFS(72:72,$8:$8,"&gt;="&amp;DATE(YEAR(JF$8),1,1),$8:$8,"&lt;="&amp;EOMONTH(JF$8,0))/SUMIFS(72:72,$8:$8,"&gt;="&amp;DATE(YEAR(JF$8)-1,1,1),$8:$8,"&lt;="&amp;EOMONTH(JF$8,-12))-1</f>
        <v/>
      </c>
      <c r="JG75" s="1318">
        <f>SUMIFS(72:72,$8:$8,"&gt;="&amp;DATE(YEAR(JG$8),1,1),$8:$8,"&lt;="&amp;EOMONTH(JG$8,0))/SUMIFS(72:72,$8:$8,"&gt;="&amp;DATE(YEAR(JG$8)-1,1,1),$8:$8,"&lt;="&amp;EOMONTH(JG$8,-12))-1</f>
        <v/>
      </c>
      <c r="JH75" s="1318">
        <f>SUMIFS(72:72,$8:$8,"&gt;="&amp;DATE(YEAR(JH$8),1,1),$8:$8,"&lt;="&amp;EOMONTH(JH$8,0))/SUMIFS(72:72,$8:$8,"&gt;="&amp;DATE(YEAR(JH$8)-1,1,1),$8:$8,"&lt;="&amp;EOMONTH(JH$8,-12))-1</f>
        <v/>
      </c>
      <c r="JI75" s="1318">
        <f>SUMIFS(72:72,$8:$8,"&gt;="&amp;DATE(YEAR(JI$8),1,1),$8:$8,"&lt;="&amp;EOMONTH(JI$8,0))/SUMIFS(72:72,$8:$8,"&gt;="&amp;DATE(YEAR(JI$8)-1,1,1),$8:$8,"&lt;="&amp;EOMONTH(JI$8,-12))-1</f>
        <v/>
      </c>
      <c r="JJ75" s="1318">
        <f>SUMIFS(72:72,$8:$8,"&gt;="&amp;DATE(YEAR(JJ$8),1,1),$8:$8,"&lt;="&amp;EOMONTH(JJ$8,0))/SUMIFS(72:72,$8:$8,"&gt;="&amp;DATE(YEAR(JJ$8)-1,1,1),$8:$8,"&lt;="&amp;EOMONTH(JJ$8,-12))-1</f>
        <v/>
      </c>
      <c r="JK75" s="1318">
        <f>SUMIFS(72:72,$8:$8,"&gt;="&amp;DATE(YEAR(JK$8),1,1),$8:$8,"&lt;="&amp;EOMONTH(JK$8,0))/SUMIFS(72:72,$8:$8,"&gt;="&amp;DATE(YEAR(JK$8)-1,1,1),$8:$8,"&lt;="&amp;EOMONTH(JK$8,-12))-1</f>
        <v/>
      </c>
      <c r="JL75" s="1318">
        <f>SUMIFS(72:72,$8:$8,"&gt;="&amp;DATE(YEAR(JL$8),1,1),$8:$8,"&lt;="&amp;EOMONTH(JL$8,0))/SUMIFS(72:72,$8:$8,"&gt;="&amp;DATE(YEAR(JL$8)-1,1,1),$8:$8,"&lt;="&amp;EOMONTH(JL$8,-12))-1</f>
        <v/>
      </c>
      <c r="JM75" s="1318">
        <f>SUMIFS(72:72,$8:$8,"&gt;="&amp;DATE(YEAR(JM$8),1,1),$8:$8,"&lt;="&amp;EOMONTH(JM$8,0))/SUMIFS(72:72,$8:$8,"&gt;="&amp;DATE(YEAR(JM$8)-1,1,1),$8:$8,"&lt;="&amp;EOMONTH(JM$8,-12))-1</f>
        <v/>
      </c>
      <c r="JN75" s="1318">
        <f>SUMIFS(72:72,$8:$8,"&gt;="&amp;DATE(YEAR(JN$8),1,1),$8:$8,"&lt;="&amp;EOMONTH(JN$8,0))/SUMIFS(72:72,$8:$8,"&gt;="&amp;DATE(YEAR(JN$8)-1,1,1),$8:$8,"&lt;="&amp;EOMONTH(JN$8,-12))-1</f>
        <v/>
      </c>
      <c r="JO75" s="1318">
        <f>SUMIFS(72:72,$8:$8,"&gt;="&amp;DATE(YEAR(JO$8),1,1),$8:$8,"&lt;="&amp;EOMONTH(JO$8,0))/SUMIFS(72:72,$8:$8,"&gt;="&amp;DATE(YEAR(JO$8)-1,1,1),$8:$8,"&lt;="&amp;EOMONTH(JO$8,-12))-1</f>
        <v/>
      </c>
      <c r="JP75" s="1318">
        <f>SUMIFS(72:72,$8:$8,"&gt;="&amp;DATE(YEAR(JP$8),1,1),$8:$8,"&lt;="&amp;EOMONTH(JP$8,0))/SUMIFS(72:72,$8:$8,"&gt;="&amp;DATE(YEAR(JP$8)-1,1,1),$8:$8,"&lt;="&amp;EOMONTH(JP$8,-12))-1</f>
        <v/>
      </c>
      <c r="JQ75" s="1318">
        <f>SUMIFS(72:72,$8:$8,"&gt;="&amp;DATE(YEAR(JQ$8),1,1),$8:$8,"&lt;="&amp;EOMONTH(JQ$8,0))/SUMIFS(72:72,$8:$8,"&gt;="&amp;DATE(YEAR(JQ$8)-1,1,1),$8:$8,"&lt;="&amp;EOMONTH(JQ$8,-12))-1</f>
        <v/>
      </c>
      <c r="JR75" s="1318">
        <f>SUMIFS(72:72,$8:$8,"&gt;="&amp;DATE(YEAR(JR$8),1,1),$8:$8,"&lt;="&amp;EOMONTH(JR$8,0))/SUMIFS(72:72,$8:$8,"&gt;="&amp;DATE(YEAR(JR$8)-1,1,1),$8:$8,"&lt;="&amp;EOMONTH(JR$8,-12))-1</f>
        <v/>
      </c>
      <c r="JS75" s="1318">
        <f>SUMIFS(72:72,$8:$8,"&gt;="&amp;DATE(YEAR(JS$8),1,1),$8:$8,"&lt;="&amp;EOMONTH(JS$8,0))/SUMIFS(72:72,$8:$8,"&gt;="&amp;DATE(YEAR(JS$8)-1,1,1),$8:$8,"&lt;="&amp;EOMONTH(JS$8,-12))-1</f>
        <v/>
      </c>
      <c r="JT75" s="1318">
        <f>SUMIFS(72:72,$8:$8,"&gt;="&amp;DATE(YEAR(JT$8),1,1),$8:$8,"&lt;="&amp;EOMONTH(JT$8,0))/SUMIFS(72:72,$8:$8,"&gt;="&amp;DATE(YEAR(JT$8)-1,1,1),$8:$8,"&lt;="&amp;EOMONTH(JT$8,-12))-1</f>
        <v/>
      </c>
      <c r="JU75" s="1318">
        <f>SUMIFS(72:72,$8:$8,"&gt;="&amp;DATE(YEAR(JU$8),1,1),$8:$8,"&lt;="&amp;EOMONTH(JU$8,0))/SUMIFS(72:72,$8:$8,"&gt;="&amp;DATE(YEAR(JU$8)-1,1,1),$8:$8,"&lt;="&amp;EOMONTH(JU$8,-12))-1</f>
        <v/>
      </c>
      <c r="JV75" s="1318">
        <f>SUMIFS(72:72,$8:$8,"&gt;="&amp;DATE(YEAR(JV$8),1,1),$8:$8,"&lt;="&amp;EOMONTH(JV$8,0))/SUMIFS(72:72,$8:$8,"&gt;="&amp;DATE(YEAR(JV$8)-1,1,1),$8:$8,"&lt;="&amp;EOMONTH(JV$8,-12))-1</f>
        <v/>
      </c>
      <c r="JW75" s="1318">
        <f>SUMIFS(72:72,$8:$8,"&gt;="&amp;DATE(YEAR(JW$8),1,1),$8:$8,"&lt;="&amp;EOMONTH(JW$8,0))/SUMIFS(72:72,$8:$8,"&gt;="&amp;DATE(YEAR(JW$8)-1,1,1),$8:$8,"&lt;="&amp;EOMONTH(JW$8,-12))-1</f>
        <v/>
      </c>
      <c r="JX75" s="1318">
        <f>SUMIFS(72:72,$8:$8,"&gt;="&amp;DATE(YEAR(JX$8),1,1),$8:$8,"&lt;="&amp;EOMONTH(JX$8,0))/SUMIFS(72:72,$8:$8,"&gt;="&amp;DATE(YEAR(JX$8)-1,1,1),$8:$8,"&lt;="&amp;EOMONTH(JX$8,-12))-1</f>
        <v/>
      </c>
      <c r="JY75" s="1318">
        <f>SUMIFS(72:72,$8:$8,"&gt;="&amp;DATE(YEAR(JY$8),1,1),$8:$8,"&lt;="&amp;EOMONTH(JY$8,0))/SUMIFS(72:72,$8:$8,"&gt;="&amp;DATE(YEAR(JY$8)-1,1,1),$8:$8,"&lt;="&amp;EOMONTH(JY$8,-12))-1</f>
        <v/>
      </c>
      <c r="JZ75" s="1318">
        <f>SUMIFS(72:72,$8:$8,"&gt;="&amp;DATE(YEAR(JZ$8),1,1),$8:$8,"&lt;="&amp;EOMONTH(JZ$8,0))/SUMIFS(72:72,$8:$8,"&gt;="&amp;DATE(YEAR(JZ$8)-1,1,1),$8:$8,"&lt;="&amp;EOMONTH(JZ$8,-12))-1</f>
        <v/>
      </c>
      <c r="KA75" s="1318">
        <f>SUMIFS(72:72,$8:$8,"&gt;="&amp;DATE(YEAR(KA$8),1,1),$8:$8,"&lt;="&amp;EOMONTH(KA$8,0))/SUMIFS(72:72,$8:$8,"&gt;="&amp;DATE(YEAR(KA$8)-1,1,1),$8:$8,"&lt;="&amp;EOMONTH(KA$8,-12))-1</f>
        <v/>
      </c>
      <c r="KB75" s="1318">
        <f>SUMIFS(72:72,$8:$8,"&gt;="&amp;DATE(YEAR(KB$8),1,1),$8:$8,"&lt;="&amp;EOMONTH(KB$8,0))/SUMIFS(72:72,$8:$8,"&gt;="&amp;DATE(YEAR(KB$8)-1,1,1),$8:$8,"&lt;="&amp;EOMONTH(KB$8,-12))-1</f>
        <v/>
      </c>
      <c r="KC75" s="1318">
        <f>SUMIFS(72:72,$8:$8,"&gt;="&amp;DATE(YEAR(KC$8),1,1),$8:$8,"&lt;="&amp;EOMONTH(KC$8,0))/SUMIFS(72:72,$8:$8,"&gt;="&amp;DATE(YEAR(KC$8)-1,1,1),$8:$8,"&lt;="&amp;EOMONTH(KC$8,-12))-1</f>
        <v/>
      </c>
      <c r="KD75" s="1318">
        <f>SUMIFS(72:72,$8:$8,"&gt;="&amp;DATE(YEAR(KD$8),1,1),$8:$8,"&lt;="&amp;EOMONTH(KD$8,0))/SUMIFS(72:72,$8:$8,"&gt;="&amp;DATE(YEAR(KD$8)-1,1,1),$8:$8,"&lt;="&amp;EOMONTH(KD$8,-12))-1</f>
        <v/>
      </c>
      <c r="KE75" s="1318">
        <f>SUMIFS(72:72,$8:$8,"&gt;="&amp;DATE(YEAR(KE$8),1,1),$8:$8,"&lt;="&amp;EOMONTH(KE$8,0))/SUMIFS(72:72,$8:$8,"&gt;="&amp;DATE(YEAR(KE$8)-1,1,1),$8:$8,"&lt;="&amp;EOMONTH(KE$8,-12))-1</f>
        <v/>
      </c>
      <c r="KF75" s="1318">
        <f>SUMIFS(72:72,$8:$8,"&gt;="&amp;DATE(YEAR(KF$8),1,1),$8:$8,"&lt;="&amp;EOMONTH(KF$8,0))/SUMIFS(72:72,$8:$8,"&gt;="&amp;DATE(YEAR(KF$8)-1,1,1),$8:$8,"&lt;="&amp;EOMONTH(KF$8,-12))-1</f>
        <v/>
      </c>
      <c r="KG75" s="1318">
        <f>SUMIFS(72:72,$8:$8,"&gt;="&amp;DATE(YEAR(KG$8),1,1),$8:$8,"&lt;="&amp;EOMONTH(KG$8,0))/SUMIFS(72:72,$8:$8,"&gt;="&amp;DATE(YEAR(KG$8)-1,1,1),$8:$8,"&lt;="&amp;EOMONTH(KG$8,-12))-1</f>
        <v/>
      </c>
      <c r="KH75" s="1318">
        <f>SUMIFS(72:72,$8:$8,"&gt;="&amp;DATE(YEAR(KH$8),1,1),$8:$8,"&lt;="&amp;EOMONTH(KH$8,0))/SUMIFS(72:72,$8:$8,"&gt;="&amp;DATE(YEAR(KH$8)-1,1,1),$8:$8,"&lt;="&amp;EOMONTH(KH$8,-12))-1</f>
        <v/>
      </c>
      <c r="KI75" s="1318">
        <f>SUMIFS(72:72,$8:$8,"&gt;="&amp;DATE(YEAR(KI$8),1,1),$8:$8,"&lt;="&amp;EOMONTH(KI$8,0))/SUMIFS(72:72,$8:$8,"&gt;="&amp;DATE(YEAR(KI$8)-1,1,1),$8:$8,"&lt;="&amp;EOMONTH(KI$8,-12))-1</f>
        <v/>
      </c>
      <c r="KJ75" s="1318">
        <f>SUMIFS(72:72,$8:$8,"&gt;="&amp;DATE(YEAR(KJ$8),1,1),$8:$8,"&lt;="&amp;EOMONTH(KJ$8,0))/SUMIFS(72:72,$8:$8,"&gt;="&amp;DATE(YEAR(KJ$8)-1,1,1),$8:$8,"&lt;="&amp;EOMONTH(KJ$8,-12))-1</f>
        <v/>
      </c>
      <c r="KK75" s="1318">
        <f>SUMIFS(72:72,$8:$8,"&gt;="&amp;DATE(YEAR(KK$8),1,1),$8:$8,"&lt;="&amp;EOMONTH(KK$8,0))/SUMIFS(72:72,$8:$8,"&gt;="&amp;DATE(YEAR(KK$8)-1,1,1),$8:$8,"&lt;="&amp;EOMONTH(KK$8,-12))-1</f>
        <v/>
      </c>
      <c r="KL75" s="1318">
        <f>SUMIFS(72:72,$8:$8,"&gt;="&amp;DATE(YEAR(KL$8),1,1),$8:$8,"&lt;="&amp;EOMONTH(KL$8,0))/SUMIFS(72:72,$8:$8,"&gt;="&amp;DATE(YEAR(KL$8)-1,1,1),$8:$8,"&lt;="&amp;EOMONTH(KL$8,-12))-1</f>
        <v/>
      </c>
      <c r="KM75" s="1318">
        <f>SUMIFS(72:72,$8:$8,"&gt;="&amp;DATE(YEAR(KM$8),1,1),$8:$8,"&lt;="&amp;EOMONTH(KM$8,0))/SUMIFS(72:72,$8:$8,"&gt;="&amp;DATE(YEAR(KM$8)-1,1,1),$8:$8,"&lt;="&amp;EOMONTH(KM$8,-12))-1</f>
        <v/>
      </c>
      <c r="KN75" s="1318">
        <f>SUMIFS(72:72,$8:$8,"&gt;="&amp;DATE(YEAR(KN$8),1,1),$8:$8,"&lt;="&amp;EOMONTH(KN$8,0))/SUMIFS(72:72,$8:$8,"&gt;="&amp;DATE(YEAR(KN$8)-1,1,1),$8:$8,"&lt;="&amp;EOMONTH(KN$8,-12))-1</f>
        <v/>
      </c>
      <c r="KO75" s="1318">
        <f>SUMIFS(72:72,$8:$8,"&gt;="&amp;DATE(YEAR(KO$8),1,1),$8:$8,"&lt;="&amp;EOMONTH(KO$8,0))/SUMIFS(72:72,$8:$8,"&gt;="&amp;DATE(YEAR(KO$8)-1,1,1),$8:$8,"&lt;="&amp;EOMONTH(KO$8,-12))-1</f>
        <v/>
      </c>
      <c r="KP75" s="1318">
        <f>SUMIFS(72:72,$8:$8,"&gt;="&amp;DATE(YEAR(KP$8),1,1),$8:$8,"&lt;="&amp;EOMONTH(KP$8,0))/SUMIFS(72:72,$8:$8,"&gt;="&amp;DATE(YEAR(KP$8)-1,1,1),$8:$8,"&lt;="&amp;EOMONTH(KP$8,-12))-1</f>
        <v/>
      </c>
      <c r="KQ75" s="1318">
        <f>SUMIFS(72:72,$8:$8,"&gt;="&amp;DATE(YEAR(KQ$8),1,1),$8:$8,"&lt;="&amp;EOMONTH(KQ$8,0))/SUMIFS(72:72,$8:$8,"&gt;="&amp;DATE(YEAR(KQ$8)-1,1,1),$8:$8,"&lt;="&amp;EOMONTH(KQ$8,-12))-1</f>
        <v/>
      </c>
      <c r="KR75" s="1318">
        <f>SUMIFS(72:72,$8:$8,"&gt;="&amp;DATE(YEAR(KR$8),1,1),$8:$8,"&lt;="&amp;EOMONTH(KR$8,0))/SUMIFS(72:72,$8:$8,"&gt;="&amp;DATE(YEAR(KR$8)-1,1,1),$8:$8,"&lt;="&amp;EOMONTH(KR$8,-12))-1</f>
        <v/>
      </c>
      <c r="KS75" s="1318">
        <f>SUMIFS(72:72,$8:$8,"&gt;="&amp;DATE(YEAR(KS$8),1,1),$8:$8,"&lt;="&amp;EOMONTH(KS$8,0))/SUMIFS(72:72,$8:$8,"&gt;="&amp;DATE(YEAR(KS$8)-1,1,1),$8:$8,"&lt;="&amp;EOMONTH(KS$8,-12))-1</f>
        <v/>
      </c>
      <c r="KT75" s="1318">
        <f>SUMIFS(72:72,$8:$8,"&gt;="&amp;DATE(YEAR(KT$8),1,1),$8:$8,"&lt;="&amp;EOMONTH(KT$8,0))/SUMIFS(72:72,$8:$8,"&gt;="&amp;DATE(YEAR(KT$8)-1,1,1),$8:$8,"&lt;="&amp;EOMONTH(KT$8,-12))-1</f>
        <v/>
      </c>
      <c r="KU75" s="1318">
        <f>SUMIFS(72:72,$8:$8,"&gt;="&amp;DATE(YEAR(KU$8),1,1),$8:$8,"&lt;="&amp;EOMONTH(KU$8,0))/SUMIFS(72:72,$8:$8,"&gt;="&amp;DATE(YEAR(KU$8)-1,1,1),$8:$8,"&lt;="&amp;EOMONTH(KU$8,-12))-1</f>
        <v/>
      </c>
      <c r="KV75" s="1318">
        <f>SUMIFS(72:72,$8:$8,"&gt;="&amp;DATE(YEAR(KV$8),1,1),$8:$8,"&lt;="&amp;EOMONTH(KV$8,0))/SUMIFS(72:72,$8:$8,"&gt;="&amp;DATE(YEAR(KV$8)-1,1,1),$8:$8,"&lt;="&amp;EOMONTH(KV$8,-12))-1</f>
        <v/>
      </c>
      <c r="KW75" s="1318">
        <f>SUMIFS(72:72,$8:$8,"&gt;="&amp;DATE(YEAR(KW$8),1,1),$8:$8,"&lt;="&amp;EOMONTH(KW$8,0))/SUMIFS(72:72,$8:$8,"&gt;="&amp;DATE(YEAR(KW$8)-1,1,1),$8:$8,"&lt;="&amp;EOMONTH(KW$8,-12))-1</f>
        <v/>
      </c>
      <c r="KX75" s="1318">
        <f>SUMIFS(72:72,$8:$8,"&gt;="&amp;DATE(YEAR(KX$8),1,1),$8:$8,"&lt;="&amp;EOMONTH(KX$8,0))/SUMIFS(72:72,$8:$8,"&gt;="&amp;DATE(YEAR(KX$8)-1,1,1),$8:$8,"&lt;="&amp;EOMONTH(KX$8,-12))-1</f>
        <v/>
      </c>
      <c r="KY75" s="1318">
        <f>SUMIFS(72:72,$8:$8,"&gt;="&amp;DATE(YEAR(KY$8),1,1),$8:$8,"&lt;="&amp;EOMONTH(KY$8,0))/SUMIFS(72:72,$8:$8,"&gt;="&amp;DATE(YEAR(KY$8)-1,1,1),$8:$8,"&lt;="&amp;EOMONTH(KY$8,-12))-1</f>
        <v/>
      </c>
      <c r="KZ75" s="1318">
        <f>SUMIFS(72:72,$8:$8,"&gt;="&amp;DATE(YEAR(KZ$8),1,1),$8:$8,"&lt;="&amp;EOMONTH(KZ$8,0))/SUMIFS(72:72,$8:$8,"&gt;="&amp;DATE(YEAR(KZ$8)-1,1,1),$8:$8,"&lt;="&amp;EOMONTH(KZ$8,-12))-1</f>
        <v/>
      </c>
      <c r="LA75" s="1318">
        <f>SUMIFS(72:72,$8:$8,"&gt;="&amp;DATE(YEAR(LA$8),1,1),$8:$8,"&lt;="&amp;EOMONTH(LA$8,0))/SUMIFS(72:72,$8:$8,"&gt;="&amp;DATE(YEAR(LA$8)-1,1,1),$8:$8,"&lt;="&amp;EOMONTH(LA$8,-12))-1</f>
        <v/>
      </c>
      <c r="LB75" s="1318" t="n"/>
      <c r="LC75" s="1318" t="n"/>
      <c r="LD75" s="1318" t="n"/>
      <c r="LE75" s="1318" t="n"/>
      <c r="LF75" s="1318" t="n"/>
      <c r="LG75" s="1318" t="n"/>
      <c r="LH75" s="1318" t="n"/>
      <c r="LI75" s="1318" t="n"/>
      <c r="LJ75" s="1318" t="n"/>
      <c r="LK75" s="1318" t="n"/>
      <c r="LL75" s="1318" t="n"/>
      <c r="LM75" s="1318" t="n"/>
      <c r="LN75" s="1318" t="n"/>
      <c r="LO75" s="1318" t="n"/>
      <c r="LP75" s="1318" t="n"/>
      <c r="LQ75" s="1318" t="n"/>
      <c r="LR75" s="1318" t="n"/>
      <c r="LS75" s="1318" t="n"/>
    </row>
    <row r="76" ht="15" customFormat="1" customHeight="1" s="561">
      <c r="A76" s="1317" t="inlineStr">
        <is>
          <t>RFTK (Million)</t>
        </is>
      </c>
      <c r="B76" s="863" t="n">
        <v>265.905</v>
      </c>
      <c r="C76" s="883" t="n">
        <v>269.637</v>
      </c>
      <c r="D76" s="883" t="n">
        <v>329.0129610502794</v>
      </c>
      <c r="E76" s="883" t="n">
        <v>296.041</v>
      </c>
      <c r="F76" s="883" t="n">
        <v>299.286</v>
      </c>
      <c r="G76" s="883" t="n">
        <v>266.391</v>
      </c>
      <c r="H76" s="883" t="n">
        <v>329.164</v>
      </c>
      <c r="I76" s="883" t="n">
        <v>308.7</v>
      </c>
      <c r="J76" s="883" t="n">
        <v>336.11</v>
      </c>
      <c r="K76" s="883" t="n">
        <v>381.529</v>
      </c>
      <c r="L76" s="883" t="n">
        <v>369.4631294964029</v>
      </c>
      <c r="M76" s="883" t="n">
        <v>350.2816764132554</v>
      </c>
      <c r="N76" s="863" t="n">
        <v>278.196</v>
      </c>
      <c r="O76" s="883" t="n">
        <v>274.71</v>
      </c>
      <c r="P76" s="883" t="n">
        <v>364.448</v>
      </c>
      <c r="Q76" s="883" t="n">
        <v>329.627</v>
      </c>
      <c r="R76" s="883" t="n">
        <v>320.147</v>
      </c>
      <c r="S76" s="883" t="n">
        <v>331.785</v>
      </c>
      <c r="T76" s="883" t="n">
        <v>350.54</v>
      </c>
      <c r="U76" s="883" t="n">
        <v>343.203</v>
      </c>
      <c r="V76" s="883" t="n">
        <v>379.234</v>
      </c>
      <c r="W76" s="883" t="n">
        <v>419.195</v>
      </c>
      <c r="X76" s="883" t="n">
        <v>410.843</v>
      </c>
      <c r="Y76" s="883" t="n">
        <v>359.389</v>
      </c>
      <c r="Z76" s="863" t="n">
        <v>267.273</v>
      </c>
      <c r="AA76" s="883" t="n">
        <v>292.707</v>
      </c>
      <c r="AB76" s="883" t="n">
        <v>361.143</v>
      </c>
      <c r="AC76" s="883" t="n">
        <v>303.301</v>
      </c>
      <c r="AD76" s="883" t="n">
        <v>300.53</v>
      </c>
      <c r="AE76" s="883" t="n">
        <v>331.19</v>
      </c>
      <c r="AF76" s="883" t="n">
        <v>291.621</v>
      </c>
      <c r="AG76" s="883" t="n">
        <v>309.722</v>
      </c>
      <c r="AH76" s="883" t="n">
        <v>421.6278379414355</v>
      </c>
      <c r="AI76" s="883" t="n">
        <v>461.8917122979013</v>
      </c>
      <c r="AJ76" s="883" t="n">
        <v>384.114</v>
      </c>
      <c r="AK76" s="883" t="n">
        <v>434.5</v>
      </c>
      <c r="AL76" s="863" t="n">
        <v>359.82</v>
      </c>
      <c r="AM76" s="883" t="n">
        <v>345.9212898678211</v>
      </c>
      <c r="AN76" s="883" t="n">
        <v>454.6405547895744</v>
      </c>
      <c r="AO76" s="883" t="n">
        <v>387.6121234187334</v>
      </c>
      <c r="AP76" s="883" t="n">
        <v>405.6758278438049</v>
      </c>
      <c r="AQ76" s="883" t="n">
        <v>432.9116684841875</v>
      </c>
      <c r="AR76" s="883" t="n">
        <v>425.914</v>
      </c>
      <c r="AS76" s="883" t="n">
        <v>443.636</v>
      </c>
      <c r="AT76" s="883" t="n">
        <v>459.159</v>
      </c>
      <c r="AU76" s="883" t="n">
        <v>516.404</v>
      </c>
      <c r="AV76" s="883" t="n">
        <v>506.72</v>
      </c>
      <c r="AW76" s="883" t="n">
        <v>438.852</v>
      </c>
      <c r="AX76" s="863" t="n">
        <v>391.075</v>
      </c>
      <c r="AY76" s="863" t="n">
        <v>359.854</v>
      </c>
      <c r="AZ76" s="863" t="n">
        <v>486.257</v>
      </c>
      <c r="BA76" s="863" t="n">
        <v>408.287</v>
      </c>
      <c r="BB76" s="863" t="n">
        <v>402.138</v>
      </c>
      <c r="BC76" s="863" t="n">
        <v>396.98</v>
      </c>
      <c r="BD76" s="863" t="n">
        <v>409.023</v>
      </c>
      <c r="BE76" s="863" t="n">
        <v>431.026</v>
      </c>
      <c r="BF76" s="863" t="n">
        <v>454.564</v>
      </c>
      <c r="BG76" s="863" t="n">
        <v>529.419</v>
      </c>
      <c r="BH76" s="863" t="n">
        <v>537.683</v>
      </c>
      <c r="BI76" s="863" t="n">
        <v>492.655</v>
      </c>
      <c r="BJ76" s="863" t="n">
        <v>409.247</v>
      </c>
      <c r="BK76" s="863" t="n">
        <v>450.308</v>
      </c>
      <c r="BL76" s="863" t="n">
        <v>548.198</v>
      </c>
      <c r="BM76" s="863" t="n">
        <v>468.485</v>
      </c>
      <c r="BN76" s="863" t="n">
        <v>499.456</v>
      </c>
      <c r="BO76" s="863" t="n">
        <v>467.016</v>
      </c>
      <c r="BP76" s="863" t="n">
        <v>508.178</v>
      </c>
      <c r="BQ76" s="863" t="n">
        <v>484.643</v>
      </c>
      <c r="BR76" s="863" t="n">
        <v>516.564</v>
      </c>
      <c r="BS76" s="863" t="n">
        <v>569.938</v>
      </c>
      <c r="BT76" s="863" t="n">
        <v>555.494</v>
      </c>
      <c r="BU76" s="863" t="n">
        <v>529.931</v>
      </c>
      <c r="BV76" s="863" t="n">
        <v>462.804</v>
      </c>
      <c r="BW76" s="863" t="n">
        <v>448.9140000000001</v>
      </c>
      <c r="BX76" s="863" t="n">
        <v>573.0309999999999</v>
      </c>
      <c r="BY76" s="863" t="n">
        <v>546.633</v>
      </c>
      <c r="BZ76" s="863" t="n">
        <v>535.366</v>
      </c>
      <c r="CA76" s="863" t="n">
        <v>520.147</v>
      </c>
      <c r="CB76" s="863" t="n">
        <v>568.728</v>
      </c>
      <c r="CC76" s="863" t="n">
        <v>550.524</v>
      </c>
      <c r="CD76" s="863" t="n">
        <v>580.991</v>
      </c>
      <c r="CE76" s="863" t="n">
        <v>613.547</v>
      </c>
      <c r="CF76" s="863" t="n">
        <v>594.832</v>
      </c>
      <c r="CG76" s="863" t="n">
        <v>623.457</v>
      </c>
      <c r="CH76" s="863" t="n">
        <v>536.789</v>
      </c>
      <c r="CI76" s="863" t="n">
        <v>502.768</v>
      </c>
      <c r="CJ76" s="863" t="n">
        <v>618.092</v>
      </c>
      <c r="CK76" s="863" t="n">
        <v>562</v>
      </c>
      <c r="CL76" s="884" t="n">
        <v>566.6</v>
      </c>
      <c r="CM76" s="884" t="n">
        <v>568.59</v>
      </c>
      <c r="CN76" s="863" t="n">
        <v>581.093</v>
      </c>
      <c r="CO76" s="863" t="n">
        <v>567.175</v>
      </c>
      <c r="CP76" s="863" t="n">
        <v>637.918</v>
      </c>
      <c r="CQ76" s="883" t="n">
        <v>653.758</v>
      </c>
      <c r="CR76" s="883" t="n">
        <v>658</v>
      </c>
      <c r="CS76" s="883" t="n">
        <v>646.001</v>
      </c>
      <c r="CT76" s="883" t="n">
        <v>649.611</v>
      </c>
      <c r="CU76" s="883" t="n">
        <v>599.098</v>
      </c>
      <c r="CV76" s="883" t="n">
        <v>747</v>
      </c>
      <c r="CW76" s="863" t="n">
        <v>670.014</v>
      </c>
      <c r="CX76" s="863" t="n">
        <v>693.503</v>
      </c>
      <c r="CY76" s="883" t="n">
        <v>710.66</v>
      </c>
      <c r="CZ76" s="883" t="n">
        <v>732.729</v>
      </c>
      <c r="DA76" s="863" t="n">
        <v>770.115</v>
      </c>
      <c r="DB76" s="863" t="n">
        <v>805.465</v>
      </c>
      <c r="DC76" s="863" t="n">
        <v>841.905</v>
      </c>
      <c r="DD76" s="863" t="n">
        <v>842.351</v>
      </c>
      <c r="DE76" s="863" t="n">
        <v>833.324</v>
      </c>
      <c r="DF76" s="863" t="n">
        <v>731.4690000000001</v>
      </c>
      <c r="DG76" s="863" t="n">
        <v>657.606</v>
      </c>
      <c r="DH76" s="863" t="n">
        <v>799.138</v>
      </c>
      <c r="DI76" s="863" t="n">
        <v>756.439</v>
      </c>
      <c r="DJ76" s="863" t="n">
        <v>756.439</v>
      </c>
      <c r="DK76" s="863" t="n">
        <v>732.028</v>
      </c>
      <c r="DL76" s="863" t="n">
        <v>749.002</v>
      </c>
      <c r="DM76" s="863" t="n">
        <v>734.6609999999999</v>
      </c>
      <c r="DN76" s="863" t="n">
        <v>739.226</v>
      </c>
      <c r="DO76" s="863" t="n">
        <v>785.628</v>
      </c>
      <c r="DP76" s="863" t="n">
        <v>785.628</v>
      </c>
      <c r="DQ76" s="863" t="n">
        <v>657.015</v>
      </c>
      <c r="DR76" s="863" t="n">
        <v>571.01</v>
      </c>
      <c r="DS76" s="863" t="n">
        <v>548.888</v>
      </c>
      <c r="DT76" s="863" t="n">
        <v>715.961</v>
      </c>
      <c r="DU76" s="863" t="n">
        <v>645.325</v>
      </c>
      <c r="DV76" s="863" t="n">
        <v>644.569</v>
      </c>
      <c r="DW76" s="863" t="n">
        <v>663.2859999999999</v>
      </c>
      <c r="DX76" s="863" t="n">
        <v>720.955</v>
      </c>
      <c r="DY76" s="863" t="n">
        <v>689.724</v>
      </c>
      <c r="DZ76" s="863" t="n">
        <v>714.564</v>
      </c>
      <c r="EA76" s="863" t="n">
        <v>771.082</v>
      </c>
      <c r="EB76" s="863" t="n">
        <v>777</v>
      </c>
      <c r="EC76" s="863" t="n">
        <v>793.989</v>
      </c>
      <c r="ED76" s="863" t="n">
        <v>717.6799999999999</v>
      </c>
      <c r="EE76" s="863" t="n">
        <v>640.139</v>
      </c>
      <c r="EF76" s="863" t="n">
        <v>867.972</v>
      </c>
      <c r="EG76" s="863" t="n">
        <v>828.616</v>
      </c>
      <c r="EH76" s="863" t="n">
        <v>893.861</v>
      </c>
      <c r="EI76" s="863" t="n">
        <v>835.723</v>
      </c>
      <c r="EJ76" s="863" t="n">
        <v>915.0839999999999</v>
      </c>
      <c r="EK76" s="863" t="n">
        <v>867.501</v>
      </c>
      <c r="EL76" s="863" t="n">
        <v>840.433</v>
      </c>
      <c r="EM76" s="863" t="n">
        <v>956.356</v>
      </c>
      <c r="EN76" s="863" t="n">
        <v>881.103</v>
      </c>
      <c r="EO76" s="863" t="n">
        <v>930.854</v>
      </c>
      <c r="EP76" s="863" t="n">
        <v>815.8099999999999</v>
      </c>
      <c r="EQ76" s="863" t="n">
        <v>661.253</v>
      </c>
      <c r="ER76" s="863" t="n">
        <v>913.97</v>
      </c>
      <c r="ES76" s="863" t="n">
        <v>809.779</v>
      </c>
      <c r="ET76" s="863" t="n">
        <v>817.4160000000001</v>
      </c>
      <c r="EU76" s="863" t="n">
        <v>790.164</v>
      </c>
      <c r="EV76" s="863" t="n">
        <v>836.58</v>
      </c>
      <c r="EW76" s="863" t="n">
        <v>783</v>
      </c>
      <c r="EX76" s="863" t="n">
        <v>773.829</v>
      </c>
      <c r="EY76" s="863" t="n">
        <v>804.366</v>
      </c>
      <c r="EZ76" s="863" t="n">
        <v>794.4349999999999</v>
      </c>
      <c r="FA76" s="863" t="n">
        <v>846.67</v>
      </c>
      <c r="FB76" s="863" t="n">
        <v>672</v>
      </c>
      <c r="FC76" s="863" t="n">
        <v>674.39</v>
      </c>
      <c r="FD76" s="863" t="n">
        <v>852.693</v>
      </c>
      <c r="FE76" s="863" t="n">
        <v>698.8819999999999</v>
      </c>
      <c r="FF76" s="863" t="n">
        <v>692.296</v>
      </c>
      <c r="FG76" s="863" t="n">
        <v>734.324</v>
      </c>
      <c r="FH76" s="863" t="n">
        <v>719.841</v>
      </c>
      <c r="FI76" s="863" t="n">
        <v>701.874</v>
      </c>
      <c r="FJ76" s="863" t="n">
        <v>747.984</v>
      </c>
      <c r="FK76" s="863" t="n">
        <v>781.52</v>
      </c>
      <c r="FL76" s="863" t="n">
        <v>816.693</v>
      </c>
      <c r="FM76" s="863" t="n">
        <v>849.6660000000001</v>
      </c>
      <c r="FN76" s="863" t="n">
        <v>723.974</v>
      </c>
      <c r="FO76" s="863" t="n">
        <v>574.027</v>
      </c>
      <c r="FP76" s="863" t="n">
        <v>760.765</v>
      </c>
      <c r="FQ76" s="863" t="n">
        <v>682.268</v>
      </c>
      <c r="FR76" s="863" t="n">
        <v>678.723</v>
      </c>
      <c r="FS76" s="863" t="n">
        <v>704.619</v>
      </c>
      <c r="FT76" s="863" t="n">
        <v>715.127</v>
      </c>
      <c r="FU76" s="863" t="n">
        <v>711.629</v>
      </c>
      <c r="FV76" s="863" t="n">
        <v>721.928</v>
      </c>
      <c r="FW76" s="863" t="n">
        <v>781.297</v>
      </c>
      <c r="FX76" s="863" t="n">
        <v>882.89</v>
      </c>
      <c r="FY76" s="863" t="n">
        <v>812.592</v>
      </c>
      <c r="FZ76" s="863" t="n">
        <v>752.7670000000001</v>
      </c>
      <c r="GA76" s="863" t="n">
        <v>548.575</v>
      </c>
      <c r="GB76" s="863" t="n">
        <v>907.836</v>
      </c>
      <c r="GC76" s="863" t="n">
        <v>798.35</v>
      </c>
      <c r="GD76" s="863" t="n">
        <v>797.393</v>
      </c>
      <c r="GE76" s="863" t="n">
        <v>817.475</v>
      </c>
      <c r="GF76" s="863" t="n">
        <v>864.725</v>
      </c>
      <c r="GG76" s="863" t="n">
        <v>857.955</v>
      </c>
      <c r="GH76" s="863" t="n">
        <v>839.41</v>
      </c>
      <c r="GI76" s="863" t="n">
        <v>927.369</v>
      </c>
      <c r="GJ76" s="863" t="n">
        <v>998.147</v>
      </c>
      <c r="GK76" s="863" t="n">
        <v>934.231</v>
      </c>
      <c r="GL76" s="863" t="n">
        <v>858.88</v>
      </c>
      <c r="GM76" s="863" t="n">
        <v>761.117</v>
      </c>
      <c r="GN76" s="863" t="n">
        <v>929.258</v>
      </c>
      <c r="GO76" s="863" t="n">
        <v>848.907</v>
      </c>
      <c r="GP76" s="863" t="n">
        <v>872.849</v>
      </c>
      <c r="GQ76" s="863" t="n">
        <v>835.616</v>
      </c>
      <c r="GR76" s="863" t="n">
        <v>877.066</v>
      </c>
      <c r="GS76" s="863" t="n">
        <v>861.413</v>
      </c>
      <c r="GT76" s="863" t="n">
        <v>867.592</v>
      </c>
      <c r="GU76" s="863" t="n">
        <v>954.386</v>
      </c>
      <c r="GV76" s="863" t="n">
        <v>966.6559999999999</v>
      </c>
      <c r="GW76" s="863" t="n">
        <v>952.471</v>
      </c>
      <c r="GX76" s="863" t="n">
        <v>854.218</v>
      </c>
      <c r="GY76" s="863" t="n">
        <v>681.869</v>
      </c>
      <c r="GZ76" s="863" t="n">
        <v>891.3440000000001</v>
      </c>
      <c r="HA76" s="863" t="n">
        <v>853.995</v>
      </c>
      <c r="HB76" s="863" t="n">
        <v>832.716</v>
      </c>
      <c r="HC76" s="863" t="n">
        <v>875.654</v>
      </c>
      <c r="HD76" s="863" t="n">
        <v>928.329</v>
      </c>
      <c r="HE76" s="863" t="n">
        <v>875.655</v>
      </c>
      <c r="HF76" s="863" t="n">
        <v>922.409</v>
      </c>
      <c r="HG76" s="863" t="n">
        <v>984.501</v>
      </c>
      <c r="HH76" s="863" t="n">
        <v>964.393</v>
      </c>
      <c r="HI76" s="863" t="n">
        <v>1010.258</v>
      </c>
      <c r="HJ76" s="863" t="n">
        <v>862.953</v>
      </c>
      <c r="HK76" s="863" t="n">
        <v>763.545</v>
      </c>
      <c r="HL76" s="863" t="n">
        <v>1028.214</v>
      </c>
      <c r="HM76" s="863" t="n">
        <v>907.2910000000001</v>
      </c>
      <c r="HN76" s="863" t="n">
        <v>899.077</v>
      </c>
      <c r="HO76" s="863" t="n">
        <v>974.353</v>
      </c>
      <c r="HP76" s="863" t="n">
        <v>1030.049</v>
      </c>
      <c r="HQ76" s="863" t="n">
        <v>974.471</v>
      </c>
      <c r="HR76" s="863" t="n">
        <v>991.734</v>
      </c>
      <c r="HS76" s="863" t="n">
        <v>1025.602</v>
      </c>
      <c r="HT76" s="863" t="n">
        <v>1072.557</v>
      </c>
      <c r="HU76" s="863" t="n">
        <v>1103.297</v>
      </c>
      <c r="HV76" s="863" t="n">
        <v>953.845</v>
      </c>
      <c r="HW76" s="863" t="n">
        <v>826.64</v>
      </c>
      <c r="HX76" s="863" t="n">
        <v>1078.187</v>
      </c>
      <c r="HY76" s="863" t="n">
        <v>978.929</v>
      </c>
      <c r="HZ76" s="863" t="n">
        <v>965.348</v>
      </c>
      <c r="IA76" s="863" t="n">
        <v>1027.726</v>
      </c>
      <c r="IB76" s="863" t="n">
        <v>1051.35</v>
      </c>
      <c r="IC76" s="863" t="n">
        <v>1046.684</v>
      </c>
      <c r="ID76" s="863" t="n">
        <v>1014.477</v>
      </c>
      <c r="IE76" s="863" t="n">
        <v>1080.578</v>
      </c>
      <c r="IF76" s="863" t="n">
        <v>1060.413</v>
      </c>
      <c r="IG76" s="863" t="n">
        <v>1038.623</v>
      </c>
      <c r="IH76" s="863" t="n">
        <v>904.008</v>
      </c>
      <c r="II76" s="863" t="n">
        <v>750.152</v>
      </c>
      <c r="IJ76" s="863" t="n">
        <v>1047.351</v>
      </c>
      <c r="IK76" s="863" t="n">
        <v>907.893</v>
      </c>
      <c r="IL76" s="863" t="n">
        <v>940.2089999999999</v>
      </c>
      <c r="IM76" s="863" t="n">
        <v>928.056</v>
      </c>
      <c r="IN76" s="863" t="n">
        <v>952.088</v>
      </c>
      <c r="IO76" s="863" t="n">
        <v>925.497</v>
      </c>
      <c r="IP76" s="863" t="n">
        <v>960.548</v>
      </c>
      <c r="IQ76" s="863" t="n">
        <v>1017.11</v>
      </c>
      <c r="IR76" s="863" t="n">
        <v>998.641</v>
      </c>
      <c r="IS76" s="863" t="n">
        <v>979.537</v>
      </c>
      <c r="IT76" s="863" t="n">
        <v>855.433</v>
      </c>
      <c r="IU76" s="863" t="n">
        <v>698.019</v>
      </c>
      <c r="IV76" s="863" t="n">
        <v>743.7569999999999</v>
      </c>
      <c r="IW76" s="863" t="n">
        <v>568.9880000000001</v>
      </c>
      <c r="IX76" s="863" t="n">
        <v>666.88</v>
      </c>
      <c r="IY76" s="863" t="n">
        <v>596.037</v>
      </c>
      <c r="IZ76" s="863" t="n">
        <v>634.779</v>
      </c>
      <c r="JA76" s="863" t="n">
        <v>645.048</v>
      </c>
      <c r="JB76" s="863" t="n">
        <v>668.278</v>
      </c>
      <c r="JC76" s="863" t="n">
        <v>709.9640000000001</v>
      </c>
      <c r="JD76" s="863" t="n">
        <v>737.454</v>
      </c>
      <c r="JE76" s="863" t="n">
        <v>747.356</v>
      </c>
      <c r="JF76" s="863" t="n">
        <v>669.496</v>
      </c>
      <c r="JG76" s="863" t="n">
        <v>503.057</v>
      </c>
      <c r="JH76" s="863" t="n">
        <v>514.987</v>
      </c>
      <c r="JI76" s="863" t="n">
        <v>393.333</v>
      </c>
      <c r="JJ76" s="863" t="n">
        <v>558.458</v>
      </c>
      <c r="JK76" s="863" t="n">
        <v>661.9059999999999</v>
      </c>
      <c r="JL76" s="863" t="n">
        <v>753.812</v>
      </c>
      <c r="JM76" s="863" t="n">
        <v>783.0309999999999</v>
      </c>
      <c r="JN76" s="863" t="n">
        <v>823.088</v>
      </c>
      <c r="JO76" s="863" t="n">
        <v>865.226</v>
      </c>
      <c r="JP76" s="863" t="n">
        <v>858.515</v>
      </c>
      <c r="JQ76" s="863" t="n">
        <v>835.068</v>
      </c>
      <c r="JR76" s="863" t="n">
        <v>238.24</v>
      </c>
      <c r="JS76" s="863" t="n">
        <v>240.478</v>
      </c>
      <c r="JT76" s="863" t="n">
        <v>360.413</v>
      </c>
      <c r="JU76" s="863" t="n">
        <v>341.508</v>
      </c>
      <c r="JV76" s="863" t="n">
        <v>377.237</v>
      </c>
      <c r="JW76" s="863" t="n">
        <v>564.955</v>
      </c>
      <c r="JX76" s="863" t="n">
        <v>546.796</v>
      </c>
      <c r="JY76" s="863" t="n">
        <v>600.283</v>
      </c>
      <c r="JZ76" s="863" t="n">
        <v>590.115</v>
      </c>
      <c r="KA76" s="863" t="n">
        <v>648.535</v>
      </c>
      <c r="KB76" s="863" t="n">
        <v>619.556</v>
      </c>
      <c r="KC76" s="863" t="n">
        <v>646.0549999999999</v>
      </c>
      <c r="KD76" s="863" t="n">
        <v>573.928</v>
      </c>
      <c r="KE76" s="863" t="n">
        <v>610.458</v>
      </c>
      <c r="KF76" s="863" t="n">
        <v>729.86</v>
      </c>
      <c r="KG76" s="863" t="n">
        <v>660.218</v>
      </c>
      <c r="KH76" s="863" t="n">
        <v>654.025</v>
      </c>
      <c r="KI76" s="863" t="n">
        <v>657.208</v>
      </c>
      <c r="KJ76" s="863" t="n">
        <v>681.418</v>
      </c>
      <c r="KK76" s="863" t="n">
        <v>679.7670000000001</v>
      </c>
      <c r="KL76" s="863" t="n">
        <v>689.625</v>
      </c>
      <c r="KM76" s="863" t="n">
        <v>717.543</v>
      </c>
      <c r="KN76" s="863" t="n">
        <v>707.8</v>
      </c>
      <c r="KO76" s="863" t="n">
        <v>737.251</v>
      </c>
      <c r="KP76" s="863" t="n">
        <v>639.528</v>
      </c>
      <c r="KQ76" s="863" t="n">
        <v>633.59</v>
      </c>
      <c r="KR76" s="863" t="n">
        <v>759.758</v>
      </c>
      <c r="KS76" s="863" t="n">
        <v>657.303</v>
      </c>
      <c r="KT76" s="863" t="n">
        <v>679.181</v>
      </c>
      <c r="KU76" s="863" t="n">
        <v>694.098</v>
      </c>
      <c r="KV76" s="863" t="n">
        <v>677.71</v>
      </c>
      <c r="KW76" s="863" t="n">
        <v>673.36</v>
      </c>
      <c r="KX76" s="899" t="n">
        <v>723.324</v>
      </c>
      <c r="KY76" s="899" t="n">
        <v>787.601</v>
      </c>
      <c r="KZ76" s="899" t="n">
        <v>792.379</v>
      </c>
      <c r="LA76" s="899" t="n">
        <v>785.049</v>
      </c>
      <c r="LB76" s="899">
        <f>LB200/1000</f>
        <v/>
      </c>
      <c r="LC76" s="899">
        <f>LC200/1000</f>
        <v/>
      </c>
      <c r="LD76" s="899">
        <f>LD200/1000</f>
        <v/>
      </c>
      <c r="LE76" s="899">
        <f>LE200/1000</f>
        <v/>
      </c>
      <c r="LF76" s="899">
        <f>LF200/1000</f>
        <v/>
      </c>
      <c r="LG76" s="899">
        <f>LG200/1000</f>
        <v/>
      </c>
      <c r="LH76" s="899">
        <f>LH200/1000</f>
        <v/>
      </c>
      <c r="LI76" s="899">
        <f>LI200/1000</f>
        <v/>
      </c>
      <c r="LJ76" s="899">
        <f>LJ200/1000</f>
        <v/>
      </c>
      <c r="LK76" s="899">
        <f>LK200/1000</f>
        <v/>
      </c>
      <c r="LL76" s="899">
        <f>LL200/1000</f>
        <v/>
      </c>
      <c r="LM76" s="899">
        <f>LM200/1000</f>
        <v/>
      </c>
      <c r="LN76" s="899">
        <f>LN200/1000</f>
        <v/>
      </c>
      <c r="LO76" s="899">
        <f>LO200/1000</f>
        <v/>
      </c>
      <c r="LP76" s="899">
        <f>LP200/1000</f>
        <v/>
      </c>
      <c r="LQ76" s="899">
        <f>LQ200/1000</f>
        <v/>
      </c>
      <c r="LR76" s="899">
        <f>LR200/1000</f>
        <v/>
      </c>
      <c r="LS76" s="899">
        <f>LS200/1000</f>
        <v/>
      </c>
    </row>
    <row r="77">
      <c r="A77" s="885" t="inlineStr">
        <is>
          <t>m cg %</t>
        </is>
      </c>
      <c r="B77" s="1318" t="n"/>
      <c r="C77" s="1318">
        <f>C76/B76-1</f>
        <v/>
      </c>
      <c r="D77" s="1318">
        <f>D76/C76-1</f>
        <v/>
      </c>
      <c r="E77" s="1318">
        <f>E76/D76-1</f>
        <v/>
      </c>
      <c r="F77" s="1318">
        <f>F76/E76-1</f>
        <v/>
      </c>
      <c r="G77" s="1318">
        <f>G76/F76-1</f>
        <v/>
      </c>
      <c r="H77" s="1318">
        <f>H76/G76-1</f>
        <v/>
      </c>
      <c r="I77" s="1318">
        <f>I76/H76-1</f>
        <v/>
      </c>
      <c r="J77" s="1318">
        <f>J76/I76-1</f>
        <v/>
      </c>
      <c r="K77" s="1318">
        <f>K76/J76-1</f>
        <v/>
      </c>
      <c r="L77" s="1318">
        <f>L76/K76-1</f>
        <v/>
      </c>
      <c r="M77" s="1318">
        <f>M76/L76-1</f>
        <v/>
      </c>
      <c r="N77" s="1318">
        <f>N76/M76-1</f>
        <v/>
      </c>
      <c r="O77" s="1318">
        <f>O76/N76-1</f>
        <v/>
      </c>
      <c r="P77" s="1318">
        <f>P76/O76-1</f>
        <v/>
      </c>
      <c r="Q77" s="1318">
        <f>Q76/P76-1</f>
        <v/>
      </c>
      <c r="R77" s="1318">
        <f>R76/Q76-1</f>
        <v/>
      </c>
      <c r="S77" s="1318">
        <f>S76/R76-1</f>
        <v/>
      </c>
      <c r="T77" s="1318">
        <f>T76/S76-1</f>
        <v/>
      </c>
      <c r="U77" s="1318">
        <f>U76/T76-1</f>
        <v/>
      </c>
      <c r="V77" s="1318">
        <f>V76/U76-1</f>
        <v/>
      </c>
      <c r="W77" s="1318">
        <f>W76/V76-1</f>
        <v/>
      </c>
      <c r="X77" s="1318">
        <f>X76/W76-1</f>
        <v/>
      </c>
      <c r="Y77" s="1318">
        <f>Y76/X76-1</f>
        <v/>
      </c>
      <c r="Z77" s="1318">
        <f>Z76/Y76-1</f>
        <v/>
      </c>
      <c r="AA77" s="1318">
        <f>AA76/Z76-1</f>
        <v/>
      </c>
      <c r="AB77" s="1318">
        <f>AB76/AA76-1</f>
        <v/>
      </c>
      <c r="AC77" s="1318">
        <f>AC76/AB76-1</f>
        <v/>
      </c>
      <c r="AD77" s="1318">
        <f>AD76/AC76-1</f>
        <v/>
      </c>
      <c r="AE77" s="1318">
        <f>AE76/AD76-1</f>
        <v/>
      </c>
      <c r="AF77" s="1318">
        <f>AF76/AE76-1</f>
        <v/>
      </c>
      <c r="AG77" s="1318">
        <f>AG76/AF76-1</f>
        <v/>
      </c>
      <c r="AH77" s="1318">
        <f>AH76/AG76-1</f>
        <v/>
      </c>
      <c r="AI77" s="1318">
        <f>AI76/AH76-1</f>
        <v/>
      </c>
      <c r="AJ77" s="1318">
        <f>AJ76/AI76-1</f>
        <v/>
      </c>
      <c r="AK77" s="1318">
        <f>AK76/AJ76-1</f>
        <v/>
      </c>
      <c r="AL77" s="1318">
        <f>AL76/AK76-1</f>
        <v/>
      </c>
      <c r="AM77" s="1318">
        <f>AM76/AL76-1</f>
        <v/>
      </c>
      <c r="AN77" s="1318">
        <f>AN76/AM76-1</f>
        <v/>
      </c>
      <c r="AO77" s="1318">
        <f>AO76/AN76-1</f>
        <v/>
      </c>
      <c r="AP77" s="1318">
        <f>AP76/AO76-1</f>
        <v/>
      </c>
      <c r="AQ77" s="1318">
        <f>AQ76/AP76-1</f>
        <v/>
      </c>
      <c r="AR77" s="1318">
        <f>AR76/AQ76-1</f>
        <v/>
      </c>
      <c r="AS77" s="1318">
        <f>AS76/AR76-1</f>
        <v/>
      </c>
      <c r="AT77" s="1318">
        <f>AT76/AS76-1</f>
        <v/>
      </c>
      <c r="AU77" s="1318">
        <f>AU76/AT76-1</f>
        <v/>
      </c>
      <c r="AV77" s="1318">
        <f>AV76/AU76-1</f>
        <v/>
      </c>
      <c r="AW77" s="1318">
        <f>AW76/AV76-1</f>
        <v/>
      </c>
      <c r="AX77" s="1318">
        <f>AX76/AW76-1</f>
        <v/>
      </c>
      <c r="AY77" s="1318">
        <f>AY76/AX76-1</f>
        <v/>
      </c>
      <c r="AZ77" s="1318">
        <f>AZ76/AY76-1</f>
        <v/>
      </c>
      <c r="BA77" s="1318">
        <f>BA76/AZ76-1</f>
        <v/>
      </c>
      <c r="BB77" s="1318">
        <f>BB76/BA76-1</f>
        <v/>
      </c>
      <c r="BC77" s="1318">
        <f>BC76/BB76-1</f>
        <v/>
      </c>
      <c r="BD77" s="1318">
        <f>BD76/BC76-1</f>
        <v/>
      </c>
      <c r="BE77" s="1318">
        <f>BE76/BD76-1</f>
        <v/>
      </c>
      <c r="BF77" s="1318">
        <f>BF76/BE76-1</f>
        <v/>
      </c>
      <c r="BG77" s="1318">
        <f>BG76/BF76-1</f>
        <v/>
      </c>
      <c r="BH77" s="1318">
        <f>BH76/BG76-1</f>
        <v/>
      </c>
      <c r="BI77" s="1318">
        <f>BI76/BH76-1</f>
        <v/>
      </c>
      <c r="BJ77" s="1318">
        <f>BJ76/BI76-1</f>
        <v/>
      </c>
      <c r="BK77" s="1318">
        <f>BK76/BJ76-1</f>
        <v/>
      </c>
      <c r="BL77" s="1318">
        <f>BL76/BK76-1</f>
        <v/>
      </c>
      <c r="BM77" s="1318">
        <f>BM76/BL76-1</f>
        <v/>
      </c>
      <c r="BN77" s="1318">
        <f>BN76/BM76-1</f>
        <v/>
      </c>
      <c r="BO77" s="1318">
        <f>BO76/BN76-1</f>
        <v/>
      </c>
      <c r="BP77" s="1318">
        <f>BP76/BO76-1</f>
        <v/>
      </c>
      <c r="BQ77" s="1318">
        <f>BQ76/BP76-1</f>
        <v/>
      </c>
      <c r="BR77" s="1318">
        <f>BR76/BQ76-1</f>
        <v/>
      </c>
      <c r="BS77" s="1318">
        <f>BS76/BR76-1</f>
        <v/>
      </c>
      <c r="BT77" s="1318">
        <f>BT76/BS76-1</f>
        <v/>
      </c>
      <c r="BU77" s="1318">
        <f>BU76/BT76-1</f>
        <v/>
      </c>
      <c r="BV77" s="1318">
        <f>BV76/BU76-1</f>
        <v/>
      </c>
      <c r="BW77" s="1318">
        <f>BW76/BV76-1</f>
        <v/>
      </c>
      <c r="BX77" s="1318">
        <f>BX76/BW76-1</f>
        <v/>
      </c>
      <c r="BY77" s="1318">
        <f>BY76/BX76-1</f>
        <v/>
      </c>
      <c r="BZ77" s="1318">
        <f>BZ76/BY76-1</f>
        <v/>
      </c>
      <c r="CA77" s="1318">
        <f>CA76/BZ76-1</f>
        <v/>
      </c>
      <c r="CB77" s="1318">
        <f>CB76/CA76-1</f>
        <v/>
      </c>
      <c r="CC77" s="1318">
        <f>CC76/CB76-1</f>
        <v/>
      </c>
      <c r="CD77" s="1318">
        <f>CD76/CC76-1</f>
        <v/>
      </c>
      <c r="CE77" s="1318">
        <f>CE76/CD76-1</f>
        <v/>
      </c>
      <c r="CF77" s="1318">
        <f>CF76/CE76-1</f>
        <v/>
      </c>
      <c r="CG77" s="1318">
        <f>CG76/CF76-1</f>
        <v/>
      </c>
      <c r="CH77" s="1318">
        <f>CH76/CG76-1</f>
        <v/>
      </c>
      <c r="CI77" s="1318">
        <f>CI76/CH76-1</f>
        <v/>
      </c>
      <c r="CJ77" s="1318">
        <f>CJ76/CI76-1</f>
        <v/>
      </c>
      <c r="CK77" s="1318">
        <f>CK76/CJ76-1</f>
        <v/>
      </c>
      <c r="CL77" s="1318">
        <f>CL76/CK76-1</f>
        <v/>
      </c>
      <c r="CM77" s="1318">
        <f>CM76/CL76-1</f>
        <v/>
      </c>
      <c r="CN77" s="1318">
        <f>CN76/CM76-1</f>
        <v/>
      </c>
      <c r="CO77" s="1318">
        <f>CO76/CN76-1</f>
        <v/>
      </c>
      <c r="CP77" s="1318">
        <f>CP76/CO76-1</f>
        <v/>
      </c>
      <c r="CQ77" s="1318">
        <f>CQ76/CP76-1</f>
        <v/>
      </c>
      <c r="CR77" s="1318">
        <f>CR76/CQ76-1</f>
        <v/>
      </c>
      <c r="CS77" s="1318">
        <f>CS76/CR76-1</f>
        <v/>
      </c>
      <c r="CT77" s="1318">
        <f>CT76/CS76-1</f>
        <v/>
      </c>
      <c r="CU77" s="1318">
        <f>CU76/CT76-1</f>
        <v/>
      </c>
      <c r="CV77" s="1318">
        <f>CV76/CU76-1</f>
        <v/>
      </c>
      <c r="CW77" s="1318">
        <f>CW76/CV76-1</f>
        <v/>
      </c>
      <c r="CX77" s="1318">
        <f>CX76/CW76-1</f>
        <v/>
      </c>
      <c r="CY77" s="1318">
        <f>CY76/CX76-1</f>
        <v/>
      </c>
      <c r="CZ77" s="1318">
        <f>CZ76/CY76-1</f>
        <v/>
      </c>
      <c r="DA77" s="1318">
        <f>DA76/CZ76-1</f>
        <v/>
      </c>
      <c r="DB77" s="1318">
        <f>DB76/DA76-1</f>
        <v/>
      </c>
      <c r="DC77" s="1318">
        <f>DC76/DB76-1</f>
        <v/>
      </c>
      <c r="DD77" s="1318">
        <f>DD76/DC76-1</f>
        <v/>
      </c>
      <c r="DE77" s="1318">
        <f>DE76/DD76-1</f>
        <v/>
      </c>
      <c r="DF77" s="1318">
        <f>DF76/DE76-1</f>
        <v/>
      </c>
      <c r="DG77" s="1318">
        <f>DG76/DF76-1</f>
        <v/>
      </c>
      <c r="DH77" s="1318">
        <f>DH76/DG76-1</f>
        <v/>
      </c>
      <c r="DI77" s="1318">
        <f>DI76/DH76-1</f>
        <v/>
      </c>
      <c r="DJ77" s="1318">
        <f>DJ76/DI76-1</f>
        <v/>
      </c>
      <c r="DK77" s="1318">
        <f>DK76/DJ76-1</f>
        <v/>
      </c>
      <c r="DL77" s="1318">
        <f>DL76/DK76-1</f>
        <v/>
      </c>
      <c r="DM77" s="1318">
        <f>DM76/DL76-1</f>
        <v/>
      </c>
      <c r="DN77" s="1318">
        <f>DN76/DM76-1</f>
        <v/>
      </c>
      <c r="DO77" s="1318">
        <f>DO76/DN76-1</f>
        <v/>
      </c>
      <c r="DP77" s="1318">
        <f>DP76/DO76-1</f>
        <v/>
      </c>
      <c r="DQ77" s="1318">
        <f>DQ76/DP76-1</f>
        <v/>
      </c>
      <c r="DR77" s="1318">
        <f>DR76/DQ76-1</f>
        <v/>
      </c>
      <c r="DS77" s="1318">
        <f>DS76/DR76-1</f>
        <v/>
      </c>
      <c r="DT77" s="1318">
        <f>DT76/DS76-1</f>
        <v/>
      </c>
      <c r="DU77" s="1318">
        <f>DU76/DT76-1</f>
        <v/>
      </c>
      <c r="DV77" s="1318">
        <f>DV76/DU76-1</f>
        <v/>
      </c>
      <c r="DW77" s="1318">
        <f>DW76/DV76-1</f>
        <v/>
      </c>
      <c r="DX77" s="1318">
        <f>DX76/DW76-1</f>
        <v/>
      </c>
      <c r="DY77" s="1318">
        <f>DY76/DX76-1</f>
        <v/>
      </c>
      <c r="DZ77" s="1318">
        <f>DZ76/DY76-1</f>
        <v/>
      </c>
      <c r="EA77" s="1318">
        <f>EA76/DZ76-1</f>
        <v/>
      </c>
      <c r="EB77" s="1318">
        <f>EB76/EA76-1</f>
        <v/>
      </c>
      <c r="EC77" s="1318">
        <f>EC76/EB76-1</f>
        <v/>
      </c>
      <c r="ED77" s="1318">
        <f>ED76/EC76-1</f>
        <v/>
      </c>
      <c r="EE77" s="1318">
        <f>EE76/ED76-1</f>
        <v/>
      </c>
      <c r="EF77" s="1318">
        <f>EF76/EE76-1</f>
        <v/>
      </c>
      <c r="EG77" s="1318">
        <f>EG76/EF76-1</f>
        <v/>
      </c>
      <c r="EH77" s="1318">
        <f>EH76/EG76-1</f>
        <v/>
      </c>
      <c r="EI77" s="1318">
        <f>EI76/EH76-1</f>
        <v/>
      </c>
      <c r="EJ77" s="1318">
        <f>EJ76/EI76-1</f>
        <v/>
      </c>
      <c r="EK77" s="1318">
        <f>EK76/EJ76-1</f>
        <v/>
      </c>
      <c r="EL77" s="1318">
        <f>EL76/EK76-1</f>
        <v/>
      </c>
      <c r="EM77" s="1318">
        <f>EM76/EL76-1</f>
        <v/>
      </c>
      <c r="EN77" s="1318">
        <f>EN76/EM76-1</f>
        <v/>
      </c>
      <c r="EO77" s="1318">
        <f>EO76/EN76-1</f>
        <v/>
      </c>
      <c r="EP77" s="1318">
        <f>EP76/EO76-1</f>
        <v/>
      </c>
      <c r="EQ77" s="1318">
        <f>EQ76/EP76-1</f>
        <v/>
      </c>
      <c r="ER77" s="1318">
        <f>ER76/EQ76-1</f>
        <v/>
      </c>
      <c r="ES77" s="1318">
        <f>ES76/ER76-1</f>
        <v/>
      </c>
      <c r="ET77" s="1318">
        <f>ET76/ES76-1</f>
        <v/>
      </c>
      <c r="EU77" s="1318">
        <f>EU76/ET76-1</f>
        <v/>
      </c>
      <c r="EV77" s="1318">
        <f>EV76/EU76-1</f>
        <v/>
      </c>
      <c r="EW77" s="1318">
        <f>EW76/EV76-1</f>
        <v/>
      </c>
      <c r="EX77" s="1318">
        <f>EX76/EW76-1</f>
        <v/>
      </c>
      <c r="EY77" s="1318">
        <f>EY76/EX76-1</f>
        <v/>
      </c>
      <c r="EZ77" s="1318">
        <f>EZ76/EY76-1</f>
        <v/>
      </c>
      <c r="FA77" s="1318">
        <f>FA76/EZ76-1</f>
        <v/>
      </c>
      <c r="FB77" s="1318">
        <f>FB76/FA76-1</f>
        <v/>
      </c>
      <c r="FC77" s="1318">
        <f>FC76/FB76-1</f>
        <v/>
      </c>
      <c r="FD77" s="1318">
        <f>FD76/FC76-1</f>
        <v/>
      </c>
      <c r="FE77" s="1318">
        <f>FE76/FD76-1</f>
        <v/>
      </c>
      <c r="FF77" s="1318">
        <f>FF76/FE76-1</f>
        <v/>
      </c>
      <c r="FG77" s="1318">
        <f>FG76/FF76-1</f>
        <v/>
      </c>
      <c r="FH77" s="1318">
        <f>FH76/FG76-1</f>
        <v/>
      </c>
      <c r="FI77" s="1318">
        <f>FI76/FH76-1</f>
        <v/>
      </c>
      <c r="FJ77" s="1318">
        <f>FJ76/FI76-1</f>
        <v/>
      </c>
      <c r="FK77" s="1318">
        <f>FK76/FJ76-1</f>
        <v/>
      </c>
      <c r="FL77" s="1318">
        <f>FL76/FK76-1</f>
        <v/>
      </c>
      <c r="FM77" s="1318">
        <f>FM76/FL76-1</f>
        <v/>
      </c>
      <c r="FN77" s="1318">
        <f>FN76/FM76-1</f>
        <v/>
      </c>
      <c r="FO77" s="1318">
        <f>FO76/FN76-1</f>
        <v/>
      </c>
      <c r="FP77" s="1318">
        <f>FP76/FO76-1</f>
        <v/>
      </c>
      <c r="FQ77" s="1318">
        <f>FQ76/FP76-1</f>
        <v/>
      </c>
      <c r="FR77" s="1318">
        <f>FR76/FQ76-1</f>
        <v/>
      </c>
      <c r="FS77" s="1318">
        <f>FS76/FR76-1</f>
        <v/>
      </c>
      <c r="FT77" s="1318">
        <f>FT76/FS76-1</f>
        <v/>
      </c>
      <c r="FU77" s="1318">
        <f>FU76/FT76-1</f>
        <v/>
      </c>
      <c r="FV77" s="1318">
        <f>FV76/FU76-1</f>
        <v/>
      </c>
      <c r="FW77" s="1318">
        <f>FW76/FV76-1</f>
        <v/>
      </c>
      <c r="FX77" s="1318">
        <f>FX76/FW76-1</f>
        <v/>
      </c>
      <c r="FY77" s="1318">
        <f>FY76/FX76-1</f>
        <v/>
      </c>
      <c r="FZ77" s="1318">
        <f>FZ76/FY76-1</f>
        <v/>
      </c>
      <c r="GA77" s="1318">
        <f>GA76/FZ76-1</f>
        <v/>
      </c>
      <c r="GB77" s="1318">
        <f>GB76/GA76-1</f>
        <v/>
      </c>
      <c r="GC77" s="1318">
        <f>GC76/GB76-1</f>
        <v/>
      </c>
      <c r="GD77" s="1318">
        <f>GD76/GC76-1</f>
        <v/>
      </c>
      <c r="GE77" s="1318">
        <f>GE76/GD76-1</f>
        <v/>
      </c>
      <c r="GF77" s="1318">
        <f>GF76/GE76-1</f>
        <v/>
      </c>
      <c r="GG77" s="1318">
        <f>GG76/GF76-1</f>
        <v/>
      </c>
      <c r="GH77" s="1318">
        <f>GH76/GG76-1</f>
        <v/>
      </c>
      <c r="GI77" s="1318">
        <f>GI76/GH76-1</f>
        <v/>
      </c>
      <c r="GJ77" s="1318">
        <f>GJ76/GI76-1</f>
        <v/>
      </c>
      <c r="GK77" s="1318">
        <f>GK76/GJ76-1</f>
        <v/>
      </c>
      <c r="GL77" s="1318">
        <f>GL76/GK76-1</f>
        <v/>
      </c>
      <c r="GM77" s="1318">
        <f>GM76/GL76-1</f>
        <v/>
      </c>
      <c r="GN77" s="1318">
        <f>GN76/GM76-1</f>
        <v/>
      </c>
      <c r="GO77" s="1318">
        <f>GO76/GN76-1</f>
        <v/>
      </c>
      <c r="GP77" s="1318">
        <f>GP76/GO76-1</f>
        <v/>
      </c>
      <c r="GQ77" s="1318">
        <f>GQ76/GP76-1</f>
        <v/>
      </c>
      <c r="GR77" s="1318">
        <f>GR76/GQ76-1</f>
        <v/>
      </c>
      <c r="GS77" s="1318">
        <f>GS76/GR76-1</f>
        <v/>
      </c>
      <c r="GT77" s="1318">
        <f>GT76/GS76-1</f>
        <v/>
      </c>
      <c r="GU77" s="1318">
        <f>GU76/GT76-1</f>
        <v/>
      </c>
      <c r="GV77" s="1318">
        <f>GV76/GU76-1</f>
        <v/>
      </c>
      <c r="GW77" s="1318">
        <f>GW76/GV76-1</f>
        <v/>
      </c>
      <c r="GX77" s="1318">
        <f>GX76/GW76-1</f>
        <v/>
      </c>
      <c r="GY77" s="1318">
        <f>GY76/GX76-1</f>
        <v/>
      </c>
      <c r="GZ77" s="1318">
        <f>GZ76/GY76-1</f>
        <v/>
      </c>
      <c r="HA77" s="1318">
        <f>HA76/GZ76-1</f>
        <v/>
      </c>
      <c r="HB77" s="1318">
        <f>HB76/HA76-1</f>
        <v/>
      </c>
      <c r="HC77" s="1318">
        <f>HC76/HB76-1</f>
        <v/>
      </c>
      <c r="HD77" s="1318">
        <f>HD76/HC76-1</f>
        <v/>
      </c>
      <c r="HE77" s="1318">
        <f>HE76/HD76-1</f>
        <v/>
      </c>
      <c r="HF77" s="1318">
        <f>HF76/HE76-1</f>
        <v/>
      </c>
      <c r="HG77" s="1318">
        <f>HG76/HF76-1</f>
        <v/>
      </c>
      <c r="HH77" s="1318">
        <f>HH76/HG76-1</f>
        <v/>
      </c>
      <c r="HI77" s="1318">
        <f>HI76/HH76-1</f>
        <v/>
      </c>
      <c r="HJ77" s="1318">
        <f>HJ76/HI76-1</f>
        <v/>
      </c>
      <c r="HK77" s="1318">
        <f>HK76/HJ76-1</f>
        <v/>
      </c>
      <c r="HL77" s="1318">
        <f>HL76/HK76-1</f>
        <v/>
      </c>
      <c r="HM77" s="1318">
        <f>HM76/HL76-1</f>
        <v/>
      </c>
      <c r="HN77" s="1318">
        <f>HN76/HM76-1</f>
        <v/>
      </c>
      <c r="HO77" s="1318">
        <f>HO76/HN76-1</f>
        <v/>
      </c>
      <c r="HP77" s="1318">
        <f>HP76/HO76-1</f>
        <v/>
      </c>
      <c r="HQ77" s="1318">
        <f>HQ76/HP76-1</f>
        <v/>
      </c>
      <c r="HR77" s="1318">
        <f>HR76/HQ76-1</f>
        <v/>
      </c>
      <c r="HS77" s="1318">
        <f>HS76/HR76-1</f>
        <v/>
      </c>
      <c r="HT77" s="1318">
        <f>HT76/HS76-1</f>
        <v/>
      </c>
      <c r="HU77" s="1318">
        <f>HU76/HT76-1</f>
        <v/>
      </c>
      <c r="HV77" s="1318">
        <f>HV76/HU76-1</f>
        <v/>
      </c>
      <c r="HW77" s="1318">
        <f>HW76/HV76-1</f>
        <v/>
      </c>
      <c r="HX77" s="1318">
        <f>HX76/HW76-1</f>
        <v/>
      </c>
      <c r="HY77" s="1318">
        <f>HY76/HX76-1</f>
        <v/>
      </c>
      <c r="HZ77" s="1318">
        <f>HZ76/HY76-1</f>
        <v/>
      </c>
      <c r="IA77" s="1318">
        <f>IA76/HZ76-1</f>
        <v/>
      </c>
      <c r="IB77" s="1318">
        <f>IB76/IA76-1</f>
        <v/>
      </c>
      <c r="IC77" s="1318">
        <f>IC76/IB76-1</f>
        <v/>
      </c>
      <c r="ID77" s="1318">
        <f>ID76/IC76-1</f>
        <v/>
      </c>
      <c r="IE77" s="1318">
        <f>IE76/ID76-1</f>
        <v/>
      </c>
      <c r="IF77" s="1318">
        <f>IF76/IE76-1</f>
        <v/>
      </c>
      <c r="IG77" s="1318">
        <f>IG76/IF76-1</f>
        <v/>
      </c>
      <c r="IH77" s="1318">
        <f>IH76/IG76-1</f>
        <v/>
      </c>
      <c r="II77" s="1318">
        <f>II76/IH76-1</f>
        <v/>
      </c>
      <c r="IJ77" s="1318">
        <f>IJ76/II76-1</f>
        <v/>
      </c>
      <c r="IK77" s="1318">
        <f>IK76/IJ76-1</f>
        <v/>
      </c>
      <c r="IL77" s="1318">
        <f>IL76/IK76-1</f>
        <v/>
      </c>
      <c r="IM77" s="1318">
        <f>IM76/IL76-1</f>
        <v/>
      </c>
      <c r="IN77" s="1318">
        <f>IN76/IM76-1</f>
        <v/>
      </c>
      <c r="IO77" s="1318">
        <f>IO76/IN76-1</f>
        <v/>
      </c>
      <c r="IP77" s="1318">
        <f>IP76/IO76-1</f>
        <v/>
      </c>
      <c r="IQ77" s="1318">
        <f>IQ76/IP76-1</f>
        <v/>
      </c>
      <c r="IR77" s="1318">
        <f>IR76/IQ76-1</f>
        <v/>
      </c>
      <c r="IS77" s="1318">
        <f>IS76/IR76-1</f>
        <v/>
      </c>
      <c r="IT77" s="1318">
        <f>IT76/IS76-1</f>
        <v/>
      </c>
      <c r="IU77" s="1318">
        <f>IU76/IT76-1</f>
        <v/>
      </c>
      <c r="IV77" s="1318">
        <f>IV76/IU76-1</f>
        <v/>
      </c>
      <c r="IW77" s="1318">
        <f>IW76/IV76-1</f>
        <v/>
      </c>
      <c r="IX77" s="1318">
        <f>IX76/IW76-1</f>
        <v/>
      </c>
      <c r="IY77" s="1318">
        <f>IY76/IX76-1</f>
        <v/>
      </c>
      <c r="IZ77" s="1318">
        <f>IZ76/IY76-1</f>
        <v/>
      </c>
      <c r="JA77" s="1318">
        <f>JA76/IZ76-1</f>
        <v/>
      </c>
      <c r="JB77" s="1318">
        <f>JB76/JA76-1</f>
        <v/>
      </c>
      <c r="JC77" s="1318">
        <f>JC76/JB76-1</f>
        <v/>
      </c>
      <c r="JD77" s="1318">
        <f>JD76/JC76-1</f>
        <v/>
      </c>
      <c r="JE77" s="1318">
        <f>JE76/JD76-1</f>
        <v/>
      </c>
      <c r="JF77" s="1318">
        <f>JF76/JE76-1</f>
        <v/>
      </c>
      <c r="JG77" s="1318">
        <f>JG76/JF76-1</f>
        <v/>
      </c>
      <c r="JH77" s="1318">
        <f>JH76/JG76-1</f>
        <v/>
      </c>
      <c r="JI77" s="1318">
        <f>JI76/JH76-1</f>
        <v/>
      </c>
      <c r="JJ77" s="1318">
        <f>JJ76/JI76-1</f>
        <v/>
      </c>
      <c r="JK77" s="1318">
        <f>JK76/JJ76-1</f>
        <v/>
      </c>
      <c r="JL77" s="1318">
        <f>JL76/JK76-1</f>
        <v/>
      </c>
      <c r="JM77" s="1318">
        <f>JM76/JL76-1</f>
        <v/>
      </c>
      <c r="JN77" s="1318">
        <f>JN76/JM76-1</f>
        <v/>
      </c>
      <c r="JO77" s="1318">
        <f>JO76/JN76-1</f>
        <v/>
      </c>
      <c r="JP77" s="1318">
        <f>JP76/JO76-1</f>
        <v/>
      </c>
      <c r="JQ77" s="1318">
        <f>JQ76/JP76-1</f>
        <v/>
      </c>
      <c r="JR77" s="1318">
        <f>JR76/JQ76-1</f>
        <v/>
      </c>
      <c r="JS77" s="1318">
        <f>JS76/JR76-1</f>
        <v/>
      </c>
      <c r="JT77" s="1318">
        <f>JT76/JS76-1</f>
        <v/>
      </c>
      <c r="JU77" s="1318">
        <f>JU76/JT76-1</f>
        <v/>
      </c>
      <c r="JV77" s="1318">
        <f>JV76/JU76-1</f>
        <v/>
      </c>
      <c r="JW77" s="1318">
        <f>JW76/JV76-1</f>
        <v/>
      </c>
      <c r="JX77" s="1318">
        <f>JX76/JW76-1</f>
        <v/>
      </c>
      <c r="JY77" s="1318">
        <f>JY76/JX76-1</f>
        <v/>
      </c>
      <c r="JZ77" s="1318">
        <f>JZ76/JY76-1</f>
        <v/>
      </c>
      <c r="KA77" s="1318">
        <f>KA76/JZ76-1</f>
        <v/>
      </c>
      <c r="KB77" s="1318">
        <f>KB76/KA76-1</f>
        <v/>
      </c>
      <c r="KC77" s="1318">
        <f>KC76/KB76-1</f>
        <v/>
      </c>
      <c r="KD77" s="1318">
        <f>KD76/KC76-1</f>
        <v/>
      </c>
      <c r="KE77" s="1318">
        <f>KE76/KD76-1</f>
        <v/>
      </c>
      <c r="KF77" s="1318">
        <f>KF76/KE76-1</f>
        <v/>
      </c>
      <c r="KG77" s="1318">
        <f>KG76/KF76-1</f>
        <v/>
      </c>
      <c r="KH77" s="1318">
        <f>KH76/KG76-1</f>
        <v/>
      </c>
      <c r="KI77" s="1318">
        <f>KI76/KH76-1</f>
        <v/>
      </c>
      <c r="KJ77" s="1318">
        <f>KJ76/KI76-1</f>
        <v/>
      </c>
      <c r="KK77" s="1318">
        <f>KK76/KJ76-1</f>
        <v/>
      </c>
      <c r="KL77" s="1318">
        <f>KL76/KK76-1</f>
        <v/>
      </c>
      <c r="KM77" s="1318">
        <f>KM76/KL76-1</f>
        <v/>
      </c>
      <c r="KN77" s="1318">
        <f>KN76/KM76-1</f>
        <v/>
      </c>
      <c r="KO77" s="1318">
        <f>KO76/KN76-1</f>
        <v/>
      </c>
      <c r="KP77" s="1318">
        <f>KP76/KO76-1</f>
        <v/>
      </c>
      <c r="KQ77" s="1318">
        <f>KQ76/KP76-1</f>
        <v/>
      </c>
      <c r="KR77" s="1318">
        <f>KR76/KQ76-1</f>
        <v/>
      </c>
      <c r="KS77" s="1318">
        <f>KS76/KR76-1</f>
        <v/>
      </c>
      <c r="KT77" s="1318">
        <f>KT76/KS76-1</f>
        <v/>
      </c>
      <c r="KU77" s="1318">
        <f>KU76/KT76-1</f>
        <v/>
      </c>
      <c r="KV77" s="1318">
        <f>KV76/KU76-1</f>
        <v/>
      </c>
      <c r="KW77" s="1318">
        <f>KW76/KV76-1</f>
        <v/>
      </c>
      <c r="KX77" s="1318">
        <f>KX76/KW76-1</f>
        <v/>
      </c>
      <c r="KY77" s="1318">
        <f>KY76/KX76-1</f>
        <v/>
      </c>
      <c r="KZ77" s="1318">
        <f>KZ76/KY76-1</f>
        <v/>
      </c>
      <c r="LA77" s="1318">
        <f>LA76/KZ76-1</f>
        <v/>
      </c>
      <c r="LB77" s="1318">
        <f>LB76/LA76-1</f>
        <v/>
      </c>
      <c r="LC77" s="1318">
        <f>LC76/LB76-1</f>
        <v/>
      </c>
      <c r="LD77" s="1318">
        <f>LD76/LC76-1</f>
        <v/>
      </c>
      <c r="LE77" s="1318">
        <f>LE76/LD76-1</f>
        <v/>
      </c>
      <c r="LF77" s="1318">
        <f>LF76/LE76-1</f>
        <v/>
      </c>
      <c r="LG77" s="1318">
        <f>LG76/LF76-1</f>
        <v/>
      </c>
      <c r="LH77" s="1318">
        <f>LH76/LG76-1</f>
        <v/>
      </c>
      <c r="LI77" s="1318">
        <f>LI76/LH76-1</f>
        <v/>
      </c>
      <c r="LJ77" s="1318">
        <f>LJ76/LI76-1</f>
        <v/>
      </c>
      <c r="LK77" s="1318">
        <f>LK76/LJ76-1</f>
        <v/>
      </c>
      <c r="LL77" s="1318">
        <f>LL76/LK76-1</f>
        <v/>
      </c>
      <c r="LM77" s="1318">
        <f>LM76/LL76-1</f>
        <v/>
      </c>
      <c r="LN77" s="1318">
        <f>LN76/LM76-1</f>
        <v/>
      </c>
      <c r="LO77" s="1318">
        <f>LO76/LN76-1</f>
        <v/>
      </c>
      <c r="LP77" s="1318">
        <f>LP76/LO76-1</f>
        <v/>
      </c>
      <c r="LQ77" s="1318">
        <f>LQ76/LP76-1</f>
        <v/>
      </c>
      <c r="LR77" s="1318">
        <f>LR76/LQ76-1</f>
        <v/>
      </c>
      <c r="LS77" s="1318">
        <f>LS76/LR76-1</f>
        <v/>
      </c>
    </row>
    <row r="78">
      <c r="A78" s="885" t="inlineStr">
        <is>
          <t>YoY cg %</t>
        </is>
      </c>
      <c r="B78" s="1318" t="n"/>
      <c r="C78" s="885" t="n"/>
      <c r="D78" s="885" t="n"/>
      <c r="E78" s="885" t="n"/>
      <c r="F78" s="885" t="n"/>
      <c r="G78" s="885" t="n"/>
      <c r="H78" s="885" t="n"/>
      <c r="I78" s="885" t="n"/>
      <c r="J78" s="885" t="n"/>
      <c r="K78" s="885" t="n"/>
      <c r="L78" s="885" t="n"/>
      <c r="M78" s="885" t="n"/>
      <c r="N78" s="1318">
        <f>N76/B76-1</f>
        <v/>
      </c>
      <c r="O78" s="1318">
        <f>O76/C76-1</f>
        <v/>
      </c>
      <c r="P78" s="1318">
        <f>P76/D76-1</f>
        <v/>
      </c>
      <c r="Q78" s="1318">
        <f>Q76/E76-1</f>
        <v/>
      </c>
      <c r="R78" s="1318">
        <f>R76/F76-1</f>
        <v/>
      </c>
      <c r="S78" s="1318">
        <f>S76/G76-1</f>
        <v/>
      </c>
      <c r="T78" s="1318">
        <f>T76/H76-1</f>
        <v/>
      </c>
      <c r="U78" s="1318">
        <f>U76/I76-1</f>
        <v/>
      </c>
      <c r="V78" s="1318">
        <f>V76/J76-1</f>
        <v/>
      </c>
      <c r="W78" s="1318">
        <f>W76/K76-1</f>
        <v/>
      </c>
      <c r="X78" s="1318">
        <f>X76/L76-1</f>
        <v/>
      </c>
      <c r="Y78" s="1318">
        <f>Y76/M76-1</f>
        <v/>
      </c>
      <c r="Z78" s="1318">
        <f>Z76/N76-1</f>
        <v/>
      </c>
      <c r="AA78" s="1318">
        <f>AA76/O76-1</f>
        <v/>
      </c>
      <c r="AB78" s="1318">
        <f>AB76/P76-1</f>
        <v/>
      </c>
      <c r="AC78" s="1318">
        <f>AC76/Q76-1</f>
        <v/>
      </c>
      <c r="AD78" s="1318">
        <f>AD76/R76-1</f>
        <v/>
      </c>
      <c r="AE78" s="1318">
        <f>AE76/S76-1</f>
        <v/>
      </c>
      <c r="AF78" s="1318">
        <f>AF76/T76-1</f>
        <v/>
      </c>
      <c r="AG78" s="1318">
        <f>AG76/U76-1</f>
        <v/>
      </c>
      <c r="AH78" s="1318">
        <f>AH76/V76-1</f>
        <v/>
      </c>
      <c r="AI78" s="1318">
        <f>AI76/W76-1</f>
        <v/>
      </c>
      <c r="AJ78" s="1318">
        <f>AJ76/X76-1</f>
        <v/>
      </c>
      <c r="AK78" s="1318">
        <f>AK76/Y76-1</f>
        <v/>
      </c>
      <c r="AL78" s="1318">
        <f>AL76/Z76-1</f>
        <v/>
      </c>
      <c r="AM78" s="1318">
        <f>AM76/AA76-1</f>
        <v/>
      </c>
      <c r="AN78" s="1318">
        <f>AN76/AB76-1</f>
        <v/>
      </c>
      <c r="AO78" s="1318">
        <f>AO76/AC76-1</f>
        <v/>
      </c>
      <c r="AP78" s="1318">
        <f>AP76/AD76-1</f>
        <v/>
      </c>
      <c r="AQ78" s="1318">
        <f>AQ76/AE76-1</f>
        <v/>
      </c>
      <c r="AR78" s="1318">
        <f>AR76/AF76-1</f>
        <v/>
      </c>
      <c r="AS78" s="1318">
        <f>AS76/AG76-1</f>
        <v/>
      </c>
      <c r="AT78" s="1318">
        <f>AT76/AH76-1</f>
        <v/>
      </c>
      <c r="AU78" s="1318">
        <f>AU76/AI76-1</f>
        <v/>
      </c>
      <c r="AV78" s="1318">
        <f>AV76/AJ76-1</f>
        <v/>
      </c>
      <c r="AW78" s="1318">
        <f>AW76/AK76-1</f>
        <v/>
      </c>
      <c r="AX78" s="1318">
        <f>AX76/AL76-1</f>
        <v/>
      </c>
      <c r="AY78" s="1318">
        <f>AY76/AM76-1</f>
        <v/>
      </c>
      <c r="AZ78" s="1318">
        <f>AZ76/AN76-1</f>
        <v/>
      </c>
      <c r="BA78" s="1318">
        <f>BA76/AO76-1</f>
        <v/>
      </c>
      <c r="BB78" s="1318">
        <f>BB76/AP76-1</f>
        <v/>
      </c>
      <c r="BC78" s="1318">
        <f>BC76/AQ76-1</f>
        <v/>
      </c>
      <c r="BD78" s="1318">
        <f>BD76/AR76-1</f>
        <v/>
      </c>
      <c r="BE78" s="1318">
        <f>BE76/AS76-1</f>
        <v/>
      </c>
      <c r="BF78" s="1318">
        <f>BF76/AT76-1</f>
        <v/>
      </c>
      <c r="BG78" s="1318">
        <f>BG76/AU76-1</f>
        <v/>
      </c>
      <c r="BH78" s="1318">
        <f>BH76/AV76-1</f>
        <v/>
      </c>
      <c r="BI78" s="1318">
        <f>BI76/AW76-1</f>
        <v/>
      </c>
      <c r="BJ78" s="1318">
        <f>BJ76/AX76-1</f>
        <v/>
      </c>
      <c r="BK78" s="1318">
        <f>BK76/AY76-1</f>
        <v/>
      </c>
      <c r="BL78" s="1318">
        <f>BL76/AZ76-1</f>
        <v/>
      </c>
      <c r="BM78" s="1318">
        <f>BM76/BA76-1</f>
        <v/>
      </c>
      <c r="BN78" s="1318">
        <f>BN76/BB76-1</f>
        <v/>
      </c>
      <c r="BO78" s="1318">
        <f>BO76/BC76-1</f>
        <v/>
      </c>
      <c r="BP78" s="1318">
        <f>BP76/BD76-1</f>
        <v/>
      </c>
      <c r="BQ78" s="1318">
        <f>BQ76/BE76-1</f>
        <v/>
      </c>
      <c r="BR78" s="1318">
        <f>BR76/BF76-1</f>
        <v/>
      </c>
      <c r="BS78" s="1318">
        <f>BS76/BG76-1</f>
        <v/>
      </c>
      <c r="BT78" s="1318">
        <f>BT76/BH76-1</f>
        <v/>
      </c>
      <c r="BU78" s="1318">
        <f>BU76/BI76-1</f>
        <v/>
      </c>
      <c r="BV78" s="1318">
        <f>BV76/BJ76-1</f>
        <v/>
      </c>
      <c r="BW78" s="1318">
        <f>BW76/BK76-1</f>
        <v/>
      </c>
      <c r="BX78" s="1318">
        <f>BX76/BL76-1</f>
        <v/>
      </c>
      <c r="BY78" s="1318">
        <f>BY76/BM76-1</f>
        <v/>
      </c>
      <c r="BZ78" s="1318">
        <f>BZ76/BN76-1</f>
        <v/>
      </c>
      <c r="CA78" s="1318">
        <f>CA76/BO76-1</f>
        <v/>
      </c>
      <c r="CB78" s="1318">
        <f>CB76/BP76-1</f>
        <v/>
      </c>
      <c r="CC78" s="1318">
        <f>CC76/BQ76-1</f>
        <v/>
      </c>
      <c r="CD78" s="1318">
        <f>CD76/BR76-1</f>
        <v/>
      </c>
      <c r="CE78" s="1318">
        <f>CE76/BS76-1</f>
        <v/>
      </c>
      <c r="CF78" s="1318">
        <f>CF76/BT76-1</f>
        <v/>
      </c>
      <c r="CG78" s="1318">
        <f>CG76/BU76-1</f>
        <v/>
      </c>
      <c r="CH78" s="1318">
        <f>CH76/BV76-1</f>
        <v/>
      </c>
      <c r="CI78" s="1318">
        <f>CI76/BW76-1</f>
        <v/>
      </c>
      <c r="CJ78" s="1318">
        <f>CJ76/BX76-1</f>
        <v/>
      </c>
      <c r="CK78" s="1318">
        <f>CK76/BY76-1</f>
        <v/>
      </c>
      <c r="CL78" s="1318">
        <f>CL76/BZ76-1</f>
        <v/>
      </c>
      <c r="CM78" s="1318">
        <f>CM76/CA76-1</f>
        <v/>
      </c>
      <c r="CN78" s="1318">
        <f>CN76/CB76-1</f>
        <v/>
      </c>
      <c r="CO78" s="1318">
        <f>CO76/CC76-1</f>
        <v/>
      </c>
      <c r="CP78" s="1318">
        <f>CP76/CD76-1</f>
        <v/>
      </c>
      <c r="CQ78" s="1318">
        <f>CQ76/CE76-1</f>
        <v/>
      </c>
      <c r="CR78" s="1318">
        <f>CR76/CF76-1</f>
        <v/>
      </c>
      <c r="CS78" s="1318">
        <f>CS76/CG76-1</f>
        <v/>
      </c>
      <c r="CT78" s="1318">
        <f>CT76/CH76-1</f>
        <v/>
      </c>
      <c r="CU78" s="1318">
        <f>CU76/CI76-1</f>
        <v/>
      </c>
      <c r="CV78" s="1318">
        <f>CV76/CJ76-1</f>
        <v/>
      </c>
      <c r="CW78" s="1318">
        <f>CW76/CK76-1</f>
        <v/>
      </c>
      <c r="CX78" s="1318">
        <f>CX76/CL76-1</f>
        <v/>
      </c>
      <c r="CY78" s="1318">
        <f>CY76/CM76-1</f>
        <v/>
      </c>
      <c r="CZ78" s="1318">
        <f>CZ76/CN76-1</f>
        <v/>
      </c>
      <c r="DA78" s="1318">
        <f>DA76/CO76-1</f>
        <v/>
      </c>
      <c r="DB78" s="1318">
        <f>DB76/CP76-1</f>
        <v/>
      </c>
      <c r="DC78" s="1318">
        <f>DC76/CQ76-1</f>
        <v/>
      </c>
      <c r="DD78" s="1318">
        <f>DD76/CR76-1</f>
        <v/>
      </c>
      <c r="DE78" s="1318">
        <f>DE76/CS76-1</f>
        <v/>
      </c>
      <c r="DF78" s="1318">
        <f>DF76/CT76-1</f>
        <v/>
      </c>
      <c r="DG78" s="1318">
        <f>DG76/CU76-1</f>
        <v/>
      </c>
      <c r="DH78" s="1318">
        <f>DH76/CV76-1</f>
        <v/>
      </c>
      <c r="DI78" s="1318">
        <f>DI76/CW76-1</f>
        <v/>
      </c>
      <c r="DJ78" s="1318">
        <f>DJ76/CX76-1</f>
        <v/>
      </c>
      <c r="DK78" s="1318">
        <f>DK76/CY76-1</f>
        <v/>
      </c>
      <c r="DL78" s="1318">
        <f>DL76/CZ76-1</f>
        <v/>
      </c>
      <c r="DM78" s="1318">
        <f>DM76/DA76-1</f>
        <v/>
      </c>
      <c r="DN78" s="1318">
        <f>DN76/DB76-1</f>
        <v/>
      </c>
      <c r="DO78" s="1318">
        <f>DO76/DC76-1</f>
        <v/>
      </c>
      <c r="DP78" s="1318">
        <f>DP76/DD76-1</f>
        <v/>
      </c>
      <c r="DQ78" s="1318">
        <f>DQ76/DE76-1</f>
        <v/>
      </c>
      <c r="DR78" s="1318">
        <f>DR76/DF76-1</f>
        <v/>
      </c>
      <c r="DS78" s="1318">
        <f>DS76/DG76-1</f>
        <v/>
      </c>
      <c r="DT78" s="1318">
        <f>DT76/DH76-1</f>
        <v/>
      </c>
      <c r="DU78" s="1318">
        <f>DU76/DI76-1</f>
        <v/>
      </c>
      <c r="DV78" s="1318">
        <f>DV76/DJ76-1</f>
        <v/>
      </c>
      <c r="DW78" s="1318">
        <f>DW76/DK76-1</f>
        <v/>
      </c>
      <c r="DX78" s="1318">
        <f>DX76/DL76-1</f>
        <v/>
      </c>
      <c r="DY78" s="1318">
        <f>DY76/DM76-1</f>
        <v/>
      </c>
      <c r="DZ78" s="1318">
        <f>DZ76/DN76-1</f>
        <v/>
      </c>
      <c r="EA78" s="1318">
        <f>EA76/DO76-1</f>
        <v/>
      </c>
      <c r="EB78" s="1318">
        <f>EB76/DP76-1</f>
        <v/>
      </c>
      <c r="EC78" s="1318">
        <f>EC76/DQ76-1</f>
        <v/>
      </c>
      <c r="ED78" s="1318">
        <f>ED76/DR76-1</f>
        <v/>
      </c>
      <c r="EE78" s="1318">
        <f>EE76/DS76-1</f>
        <v/>
      </c>
      <c r="EF78" s="1318">
        <f>EF76/DT76-1</f>
        <v/>
      </c>
      <c r="EG78" s="1318">
        <f>EG76/DU76-1</f>
        <v/>
      </c>
      <c r="EH78" s="1318">
        <f>EH76/DV76-1</f>
        <v/>
      </c>
      <c r="EI78" s="1318">
        <f>EI76/DW76-1</f>
        <v/>
      </c>
      <c r="EJ78" s="1318">
        <f>EJ76/DX76-1</f>
        <v/>
      </c>
      <c r="EK78" s="1318">
        <f>EK76/DY76-1</f>
        <v/>
      </c>
      <c r="EL78" s="1318">
        <f>EL76/DZ76-1</f>
        <v/>
      </c>
      <c r="EM78" s="1318">
        <f>EM76/EA76-1</f>
        <v/>
      </c>
      <c r="EN78" s="1318">
        <f>EN76/EB76-1</f>
        <v/>
      </c>
      <c r="EO78" s="1318">
        <f>EO76/EC76-1</f>
        <v/>
      </c>
      <c r="EP78" s="1318">
        <f>EP76/ED76-1</f>
        <v/>
      </c>
      <c r="EQ78" s="1318">
        <f>EQ76/EE76-1</f>
        <v/>
      </c>
      <c r="ER78" s="1318">
        <f>ER76/EF76-1</f>
        <v/>
      </c>
      <c r="ES78" s="1318">
        <f>ES76/EG76-1</f>
        <v/>
      </c>
      <c r="ET78" s="1318">
        <f>ET76/EH76-1</f>
        <v/>
      </c>
      <c r="EU78" s="1318">
        <f>EU76/EI76-1</f>
        <v/>
      </c>
      <c r="EV78" s="1318">
        <f>EV76/EJ76-1</f>
        <v/>
      </c>
      <c r="EW78" s="1318">
        <f>EW76/EK76-1</f>
        <v/>
      </c>
      <c r="EX78" s="1318">
        <f>EX76/EL76-1</f>
        <v/>
      </c>
      <c r="EY78" s="1318">
        <f>EY76/EM76-1</f>
        <v/>
      </c>
      <c r="EZ78" s="1318">
        <f>EZ76/EN76-1</f>
        <v/>
      </c>
      <c r="FA78" s="1318">
        <f>FA76/EO76-1</f>
        <v/>
      </c>
      <c r="FB78" s="1318">
        <f>FB76/EP76-1</f>
        <v/>
      </c>
      <c r="FC78" s="1318">
        <f>FC76/EQ76-1</f>
        <v/>
      </c>
      <c r="FD78" s="1318">
        <f>FD76/ER76-1</f>
        <v/>
      </c>
      <c r="FE78" s="1318">
        <f>FE76/ES76-1</f>
        <v/>
      </c>
      <c r="FF78" s="1318">
        <f>FF76/ET76-1</f>
        <v/>
      </c>
      <c r="FG78" s="1318">
        <f>FG76/EU76-1</f>
        <v/>
      </c>
      <c r="FH78" s="1318">
        <f>FH76/EV76-1</f>
        <v/>
      </c>
      <c r="FI78" s="1318">
        <f>FI76/EW76-1</f>
        <v/>
      </c>
      <c r="FJ78" s="1318">
        <f>FJ76/EX76-1</f>
        <v/>
      </c>
      <c r="FK78" s="1318">
        <f>FK76/EY76-1</f>
        <v/>
      </c>
      <c r="FL78" s="1318">
        <f>FL76/EZ76-1</f>
        <v/>
      </c>
      <c r="FM78" s="1318">
        <f>FM76/FA76-1</f>
        <v/>
      </c>
      <c r="FN78" s="1318">
        <f>FN76/FB76-1</f>
        <v/>
      </c>
      <c r="FO78" s="1318">
        <f>FO76/FC76-1</f>
        <v/>
      </c>
      <c r="FP78" s="1318">
        <f>FP76/FD76-1</f>
        <v/>
      </c>
      <c r="FQ78" s="1318">
        <f>FQ76/FE76-1</f>
        <v/>
      </c>
      <c r="FR78" s="1318">
        <f>FR76/FF76-1</f>
        <v/>
      </c>
      <c r="FS78" s="1318">
        <f>FS76/FG76-1</f>
        <v/>
      </c>
      <c r="FT78" s="1318">
        <f>FT76/FH76-1</f>
        <v/>
      </c>
      <c r="FU78" s="1318">
        <f>FU76/FI76-1</f>
        <v/>
      </c>
      <c r="FV78" s="1318">
        <f>FV76/FJ76-1</f>
        <v/>
      </c>
      <c r="FW78" s="1318">
        <f>FW76/FK76-1</f>
        <v/>
      </c>
      <c r="FX78" s="1318">
        <f>FX76/FL76-1</f>
        <v/>
      </c>
      <c r="FY78" s="1318">
        <f>FY76/FM76-1</f>
        <v/>
      </c>
      <c r="FZ78" s="1318">
        <f>FZ76/FN76-1</f>
        <v/>
      </c>
      <c r="GA78" s="1318">
        <f>GA76/FO76-1</f>
        <v/>
      </c>
      <c r="GB78" s="1318">
        <f>GB76/FP76-1</f>
        <v/>
      </c>
      <c r="GC78" s="1318">
        <f>GC76/FQ76-1</f>
        <v/>
      </c>
      <c r="GD78" s="1318">
        <f>GD76/FR76-1</f>
        <v/>
      </c>
      <c r="GE78" s="1318">
        <f>GE76/FS76-1</f>
        <v/>
      </c>
      <c r="GF78" s="1318">
        <f>GF76/FT76-1</f>
        <v/>
      </c>
      <c r="GG78" s="1318">
        <f>GG76/FU76-1</f>
        <v/>
      </c>
      <c r="GH78" s="1318">
        <f>GH76/FV76-1</f>
        <v/>
      </c>
      <c r="GI78" s="1318">
        <f>GI76/FW76-1</f>
        <v/>
      </c>
      <c r="GJ78" s="1318">
        <f>GJ76/FX76-1</f>
        <v/>
      </c>
      <c r="GK78" s="1318">
        <f>GK76/FY76-1</f>
        <v/>
      </c>
      <c r="GL78" s="1318">
        <f>GL76/FZ76-1</f>
        <v/>
      </c>
      <c r="GM78" s="1318">
        <f>GM76/GA76-1</f>
        <v/>
      </c>
      <c r="GN78" s="1318">
        <f>GN76/GB76-1</f>
        <v/>
      </c>
      <c r="GO78" s="1318">
        <f>GO76/GC76-1</f>
        <v/>
      </c>
      <c r="GP78" s="1318">
        <f>GP76/GD76-1</f>
        <v/>
      </c>
      <c r="GQ78" s="1318">
        <f>GQ76/GE76-1</f>
        <v/>
      </c>
      <c r="GR78" s="1318">
        <f>GR76/GF76-1</f>
        <v/>
      </c>
      <c r="GS78" s="1318">
        <f>GS76/GG76-1</f>
        <v/>
      </c>
      <c r="GT78" s="1318">
        <f>GT76/GH76-1</f>
        <v/>
      </c>
      <c r="GU78" s="1318">
        <f>GU76/GI76-1</f>
        <v/>
      </c>
      <c r="GV78" s="1318">
        <f>GV76/GJ76-1</f>
        <v/>
      </c>
      <c r="GW78" s="1318">
        <f>GW76/GK76-1</f>
        <v/>
      </c>
      <c r="GX78" s="1318">
        <f>GX76/GL76-1</f>
        <v/>
      </c>
      <c r="GY78" s="1318">
        <f>GY76/GM76-1</f>
        <v/>
      </c>
      <c r="GZ78" s="1318">
        <f>GZ76/GN76-1</f>
        <v/>
      </c>
      <c r="HA78" s="1318">
        <f>HA76/GO76-1</f>
        <v/>
      </c>
      <c r="HB78" s="1318">
        <f>HB76/GP76-1</f>
        <v/>
      </c>
      <c r="HC78" s="1318">
        <f>HC76/GQ76-1</f>
        <v/>
      </c>
      <c r="HD78" s="1318">
        <f>HD76/GR76-1</f>
        <v/>
      </c>
      <c r="HE78" s="1318">
        <f>HE76/GS76-1</f>
        <v/>
      </c>
      <c r="HF78" s="1318">
        <f>HF76/GT76-1</f>
        <v/>
      </c>
      <c r="HG78" s="1318">
        <f>HG76/GU76-1</f>
        <v/>
      </c>
      <c r="HH78" s="1318">
        <f>HH76/GV76-1</f>
        <v/>
      </c>
      <c r="HI78" s="1318">
        <f>HI76/GW76-1</f>
        <v/>
      </c>
      <c r="HJ78" s="1318">
        <f>HJ76/GX76-1</f>
        <v/>
      </c>
      <c r="HK78" s="1318">
        <f>HK76/GY76-1</f>
        <v/>
      </c>
      <c r="HL78" s="1318">
        <f>HL76/GZ76-1</f>
        <v/>
      </c>
      <c r="HM78" s="1318">
        <f>HM76/HA76-1</f>
        <v/>
      </c>
      <c r="HN78" s="1318">
        <f>HN76/HB76-1</f>
        <v/>
      </c>
      <c r="HO78" s="1318">
        <f>HO76/HC76-1</f>
        <v/>
      </c>
      <c r="HP78" s="1318">
        <f>HP76/HD76-1</f>
        <v/>
      </c>
      <c r="HQ78" s="1318">
        <f>HQ76/HE76-1</f>
        <v/>
      </c>
      <c r="HR78" s="1318">
        <f>HR76/HF76-1</f>
        <v/>
      </c>
      <c r="HS78" s="1318">
        <f>HS76/HG76-1</f>
        <v/>
      </c>
      <c r="HT78" s="1318">
        <f>HT76/HH76-1</f>
        <v/>
      </c>
      <c r="HU78" s="1318">
        <f>HU76/HI76-1</f>
        <v/>
      </c>
      <c r="HV78" s="1318">
        <f>HV76/HJ76-1</f>
        <v/>
      </c>
      <c r="HW78" s="1318">
        <f>HW76/HK76-1</f>
        <v/>
      </c>
      <c r="HX78" s="1318">
        <f>HX76/HL76-1</f>
        <v/>
      </c>
      <c r="HY78" s="1318">
        <f>HY76/HM76-1</f>
        <v/>
      </c>
      <c r="HZ78" s="1318">
        <f>HZ76/HN76-1</f>
        <v/>
      </c>
      <c r="IA78" s="1318">
        <f>IA76/HO76-1</f>
        <v/>
      </c>
      <c r="IB78" s="1318">
        <f>IB76/HP76-1</f>
        <v/>
      </c>
      <c r="IC78" s="1318">
        <f>IC76/HQ76-1</f>
        <v/>
      </c>
      <c r="ID78" s="1318">
        <f>ID76/HR76-1</f>
        <v/>
      </c>
      <c r="IE78" s="1318">
        <f>IE76/HS76-1</f>
        <v/>
      </c>
      <c r="IF78" s="1318">
        <f>IF76/HT76-1</f>
        <v/>
      </c>
      <c r="IG78" s="1318">
        <f>IG76/HU76-1</f>
        <v/>
      </c>
      <c r="IH78" s="1318">
        <f>IH76/HV76-1</f>
        <v/>
      </c>
      <c r="II78" s="1318">
        <f>II76/HW76-1</f>
        <v/>
      </c>
      <c r="IJ78" s="1318">
        <f>IJ76/HX76-1</f>
        <v/>
      </c>
      <c r="IK78" s="1318">
        <f>IK76/HY76-1</f>
        <v/>
      </c>
      <c r="IL78" s="1318">
        <f>IL76/HZ76-1</f>
        <v/>
      </c>
      <c r="IM78" s="1318">
        <f>IM76/IA76-1</f>
        <v/>
      </c>
      <c r="IN78" s="1318">
        <f>IN76/IB76-1</f>
        <v/>
      </c>
      <c r="IO78" s="1318">
        <f>IO76/IC76-1</f>
        <v/>
      </c>
      <c r="IP78" s="1318">
        <f>IP76/ID76-1</f>
        <v/>
      </c>
      <c r="IQ78" s="1318">
        <f>IQ76/IE76-1</f>
        <v/>
      </c>
      <c r="IR78" s="1318">
        <f>IR76/IF76-1</f>
        <v/>
      </c>
      <c r="IS78" s="1318">
        <f>IS76/IG76-1</f>
        <v/>
      </c>
      <c r="IT78" s="1318">
        <f>IT76/IH76-1</f>
        <v/>
      </c>
      <c r="IU78" s="1318">
        <f>IU76/II76-1</f>
        <v/>
      </c>
      <c r="IV78" s="1318">
        <f>IV76/IJ76-1</f>
        <v/>
      </c>
      <c r="IW78" s="1318">
        <f>IW76/IK76-1</f>
        <v/>
      </c>
      <c r="IX78" s="1318">
        <f>IX76/IL76-1</f>
        <v/>
      </c>
      <c r="IY78" s="1318">
        <f>IY76/IM76-1</f>
        <v/>
      </c>
      <c r="IZ78" s="1318">
        <f>IZ76/IN76-1</f>
        <v/>
      </c>
      <c r="JA78" s="1318">
        <f>JA76/IO76-1</f>
        <v/>
      </c>
      <c r="JB78" s="1318">
        <f>JB76/IP76-1</f>
        <v/>
      </c>
      <c r="JC78" s="1318">
        <f>JC76/IQ76-1</f>
        <v/>
      </c>
      <c r="JD78" s="1318">
        <f>JD76/IR76-1</f>
        <v/>
      </c>
      <c r="JE78" s="1318">
        <f>JE76/IS76-1</f>
        <v/>
      </c>
      <c r="JF78" s="1318">
        <f>JF76/IT76-1</f>
        <v/>
      </c>
      <c r="JG78" s="1318">
        <f>JG76/IU76-1</f>
        <v/>
      </c>
      <c r="JH78" s="1318">
        <f>JH76/IV76-1</f>
        <v/>
      </c>
      <c r="JI78" s="1318">
        <f>JI76/IW76-1</f>
        <v/>
      </c>
      <c r="JJ78" s="1318">
        <f>JJ76/IX76-1</f>
        <v/>
      </c>
      <c r="JK78" s="1318">
        <f>JK76/IY76-1</f>
        <v/>
      </c>
      <c r="JL78" s="1318">
        <f>JL76/IZ76-1</f>
        <v/>
      </c>
      <c r="JM78" s="1318">
        <f>JM76/JA76-1</f>
        <v/>
      </c>
      <c r="JN78" s="1318">
        <f>JN76/JB76-1</f>
        <v/>
      </c>
      <c r="JO78" s="1318">
        <f>JO76/JC76-1</f>
        <v/>
      </c>
      <c r="JP78" s="1318">
        <f>JP76/JD76-1</f>
        <v/>
      </c>
      <c r="JQ78" s="1318">
        <f>JQ76/JE76-1</f>
        <v/>
      </c>
      <c r="JR78" s="1318">
        <f>JR76/JF76-1</f>
        <v/>
      </c>
      <c r="JS78" s="1318">
        <f>JS76/JG76-1</f>
        <v/>
      </c>
      <c r="JT78" s="1318">
        <f>JT76/JH76-1</f>
        <v/>
      </c>
      <c r="JU78" s="1318">
        <f>JU76/JI76-1</f>
        <v/>
      </c>
      <c r="JV78" s="1318">
        <f>JV76/JJ76-1</f>
        <v/>
      </c>
      <c r="JW78" s="1318">
        <f>JW76/JK76-1</f>
        <v/>
      </c>
      <c r="JX78" s="1318">
        <f>JX76/JL76-1</f>
        <v/>
      </c>
      <c r="JY78" s="1318">
        <f>JY76/JM76-1</f>
        <v/>
      </c>
      <c r="JZ78" s="1318">
        <f>JZ76/JN76-1</f>
        <v/>
      </c>
      <c r="KA78" s="1318">
        <f>KA76/JO76-1</f>
        <v/>
      </c>
      <c r="KB78" s="1318">
        <f>KB76/JP76-1</f>
        <v/>
      </c>
      <c r="KC78" s="1318">
        <f>KC76/JQ76-1</f>
        <v/>
      </c>
      <c r="KD78" s="1318">
        <f>KD76/JR76-1</f>
        <v/>
      </c>
      <c r="KE78" s="1318">
        <f>KE76/JS76-1</f>
        <v/>
      </c>
      <c r="KF78" s="1318">
        <f>KF76/JT76-1</f>
        <v/>
      </c>
      <c r="KG78" s="1318">
        <f>KG76/JU76-1</f>
        <v/>
      </c>
      <c r="KH78" s="1318">
        <f>KH76/JV76-1</f>
        <v/>
      </c>
      <c r="KI78" s="1318">
        <f>KI76/JW76-1</f>
        <v/>
      </c>
      <c r="KJ78" s="1318">
        <f>KJ76/JX76-1</f>
        <v/>
      </c>
      <c r="KK78" s="1318">
        <f>KK76/JY76-1</f>
        <v/>
      </c>
      <c r="KL78" s="1318">
        <f>KL76/JZ76-1</f>
        <v/>
      </c>
      <c r="KM78" s="1318">
        <f>KM76/KA76-1</f>
        <v/>
      </c>
      <c r="KN78" s="1318">
        <f>KN76/KB76-1</f>
        <v/>
      </c>
      <c r="KO78" s="1318">
        <f>KO76/KC76-1</f>
        <v/>
      </c>
      <c r="KP78" s="1318">
        <f>KP76/KD76-1</f>
        <v/>
      </c>
      <c r="KQ78" s="1318">
        <f>KQ76/KE76-1</f>
        <v/>
      </c>
      <c r="KR78" s="1318">
        <f>KR76/KF76-1</f>
        <v/>
      </c>
      <c r="KS78" s="1318">
        <f>KS76/KG76-1</f>
        <v/>
      </c>
      <c r="KT78" s="1318">
        <f>KT76/KH76-1</f>
        <v/>
      </c>
      <c r="KU78" s="1318">
        <f>KU76/KI76-1</f>
        <v/>
      </c>
      <c r="KV78" s="1318">
        <f>KV76/KJ76-1</f>
        <v/>
      </c>
      <c r="KW78" s="1318">
        <f>KW76/KK76-1</f>
        <v/>
      </c>
      <c r="KX78" s="1318">
        <f>KX76/KL76-1</f>
        <v/>
      </c>
      <c r="KY78" s="1318">
        <f>KY76/KM76-1</f>
        <v/>
      </c>
      <c r="KZ78" s="1318">
        <f>KZ76/KN76-1</f>
        <v/>
      </c>
      <c r="LA78" s="1318">
        <f>LA76/KO76-1</f>
        <v/>
      </c>
      <c r="LB78" s="1318">
        <f>LB76/KP76-1</f>
        <v/>
      </c>
      <c r="LC78" s="1318">
        <f>LC76/KQ76-1</f>
        <v/>
      </c>
      <c r="LD78" s="1318">
        <f>LD76/KR76-1</f>
        <v/>
      </c>
      <c r="LE78" s="1318">
        <f>LE76/KS76-1</f>
        <v/>
      </c>
      <c r="LF78" s="1318">
        <f>LF76/KT76-1</f>
        <v/>
      </c>
      <c r="LG78" s="1318">
        <f>LG76/KU76-1</f>
        <v/>
      </c>
      <c r="LH78" s="1318">
        <f>LH76/KV76-1</f>
        <v/>
      </c>
      <c r="LI78" s="1318">
        <f>LI76/KW76-1</f>
        <v/>
      </c>
      <c r="LJ78" s="1318">
        <f>LJ76/KX76-1</f>
        <v/>
      </c>
      <c r="LK78" s="1318">
        <f>LK76/KY76-1</f>
        <v/>
      </c>
      <c r="LL78" s="1318">
        <f>LL76/KZ76-1</f>
        <v/>
      </c>
      <c r="LM78" s="1318">
        <f>LM76/LA76-1</f>
        <v/>
      </c>
      <c r="LN78" s="1318">
        <f>LN76/LB76-1</f>
        <v/>
      </c>
      <c r="LO78" s="1318">
        <f>LO76/LC76-1</f>
        <v/>
      </c>
      <c r="LP78" s="1318">
        <f>LP76/LD76-1</f>
        <v/>
      </c>
      <c r="LQ78" s="1318">
        <f>LQ76/LE76-1</f>
        <v/>
      </c>
      <c r="LR78" s="1318">
        <f>LR76/LF76-1</f>
        <v/>
      </c>
      <c r="LS78" s="1318">
        <f>LS76/LG76-1</f>
        <v/>
      </c>
    </row>
    <row r="79">
      <c r="A79" s="885" t="inlineStr">
        <is>
          <t>YTD cg %</t>
        </is>
      </c>
      <c r="B79" s="1318" t="n"/>
      <c r="C79" s="885" t="n"/>
      <c r="D79" s="885" t="n"/>
      <c r="E79" s="885" t="n"/>
      <c r="F79" s="885" t="n"/>
      <c r="G79" s="885" t="n"/>
      <c r="H79" s="885" t="n"/>
      <c r="I79" s="885" t="n"/>
      <c r="J79" s="885" t="n"/>
      <c r="K79" s="885" t="n"/>
      <c r="L79" s="885" t="n"/>
      <c r="M79" s="885" t="n"/>
      <c r="N79" s="1318">
        <f>SUMIFS(76:76,$8:$8,"&gt;="&amp;DATE(YEAR(N$8),1,1),$8:$8,"&lt;="&amp;EOMONTH(N$8,0))/SUMIFS(76:76,$8:$8,"&gt;="&amp;DATE(YEAR(N$8)-1,1,1),$8:$8,"&lt;="&amp;EOMONTH(N$8,-12))-1</f>
        <v/>
      </c>
      <c r="O79" s="1318">
        <f>SUMIFS(76:76,$8:$8,"&gt;="&amp;DATE(YEAR(O$8),1,1),$8:$8,"&lt;="&amp;EOMONTH(O$8,0))/SUMIFS(76:76,$8:$8,"&gt;="&amp;DATE(YEAR(O$8)-1,1,1),$8:$8,"&lt;="&amp;EOMONTH(O$8,-12))-1</f>
        <v/>
      </c>
      <c r="P79" s="1318">
        <f>SUMIFS(76:76,$8:$8,"&gt;="&amp;DATE(YEAR(P$8),1,1),$8:$8,"&lt;="&amp;EOMONTH(P$8,0))/SUMIFS(76:76,$8:$8,"&gt;="&amp;DATE(YEAR(P$8)-1,1,1),$8:$8,"&lt;="&amp;EOMONTH(P$8,-12))-1</f>
        <v/>
      </c>
      <c r="Q79" s="1318">
        <f>SUMIFS(76:76,$8:$8,"&gt;="&amp;DATE(YEAR(Q$8),1,1),$8:$8,"&lt;="&amp;EOMONTH(Q$8,0))/SUMIFS(76:76,$8:$8,"&gt;="&amp;DATE(YEAR(Q$8)-1,1,1),$8:$8,"&lt;="&amp;EOMONTH(Q$8,-12))-1</f>
        <v/>
      </c>
      <c r="R79" s="1318">
        <f>SUMIFS(76:76,$8:$8,"&gt;="&amp;DATE(YEAR(R$8),1,1),$8:$8,"&lt;="&amp;EOMONTH(R$8,0))/SUMIFS(76:76,$8:$8,"&gt;="&amp;DATE(YEAR(R$8)-1,1,1),$8:$8,"&lt;="&amp;EOMONTH(R$8,-12))-1</f>
        <v/>
      </c>
      <c r="S79" s="1318">
        <f>SUMIFS(76:76,$8:$8,"&gt;="&amp;DATE(YEAR(S$8),1,1),$8:$8,"&lt;="&amp;EOMONTH(S$8,0))/SUMIFS(76:76,$8:$8,"&gt;="&amp;DATE(YEAR(S$8)-1,1,1),$8:$8,"&lt;="&amp;EOMONTH(S$8,-12))-1</f>
        <v/>
      </c>
      <c r="T79" s="1318">
        <f>SUMIFS(76:76,$8:$8,"&gt;="&amp;DATE(YEAR(T$8),1,1),$8:$8,"&lt;="&amp;EOMONTH(T$8,0))/SUMIFS(76:76,$8:$8,"&gt;="&amp;DATE(YEAR(T$8)-1,1,1),$8:$8,"&lt;="&amp;EOMONTH(T$8,-12))-1</f>
        <v/>
      </c>
      <c r="U79" s="1318">
        <f>SUMIFS(76:76,$8:$8,"&gt;="&amp;DATE(YEAR(U$8),1,1),$8:$8,"&lt;="&amp;EOMONTH(U$8,0))/SUMIFS(76:76,$8:$8,"&gt;="&amp;DATE(YEAR(U$8)-1,1,1),$8:$8,"&lt;="&amp;EOMONTH(U$8,-12))-1</f>
        <v/>
      </c>
      <c r="V79" s="1318">
        <f>SUMIFS(76:76,$8:$8,"&gt;="&amp;DATE(YEAR(V$8),1,1),$8:$8,"&lt;="&amp;EOMONTH(V$8,0))/SUMIFS(76:76,$8:$8,"&gt;="&amp;DATE(YEAR(V$8)-1,1,1),$8:$8,"&lt;="&amp;EOMONTH(V$8,-12))-1</f>
        <v/>
      </c>
      <c r="W79" s="1318">
        <f>SUMIFS(76:76,$8:$8,"&gt;="&amp;DATE(YEAR(W$8),1,1),$8:$8,"&lt;="&amp;EOMONTH(W$8,0))/SUMIFS(76:76,$8:$8,"&gt;="&amp;DATE(YEAR(W$8)-1,1,1),$8:$8,"&lt;="&amp;EOMONTH(W$8,-12))-1</f>
        <v/>
      </c>
      <c r="X79" s="1318">
        <f>SUMIFS(76:76,$8:$8,"&gt;="&amp;DATE(YEAR(X$8),1,1),$8:$8,"&lt;="&amp;EOMONTH(X$8,0))/SUMIFS(76:76,$8:$8,"&gt;="&amp;DATE(YEAR(X$8)-1,1,1),$8:$8,"&lt;="&amp;EOMONTH(X$8,-12))-1</f>
        <v/>
      </c>
      <c r="Y79" s="1318">
        <f>SUMIFS(76:76,$8:$8,"&gt;="&amp;DATE(YEAR(Y$8),1,1),$8:$8,"&lt;="&amp;EOMONTH(Y$8,0))/SUMIFS(76:76,$8:$8,"&gt;="&amp;DATE(YEAR(Y$8)-1,1,1),$8:$8,"&lt;="&amp;EOMONTH(Y$8,-12))-1</f>
        <v/>
      </c>
      <c r="Z79" s="1318">
        <f>SUMIFS(76:76,$8:$8,"&gt;="&amp;DATE(YEAR(Z$8),1,1),$8:$8,"&lt;="&amp;EOMONTH(Z$8,0))/SUMIFS(76:76,$8:$8,"&gt;="&amp;DATE(YEAR(Z$8)-1,1,1),$8:$8,"&lt;="&amp;EOMONTH(Z$8,-12))-1</f>
        <v/>
      </c>
      <c r="AA79" s="1318">
        <f>SUMIFS(76:76,$8:$8,"&gt;="&amp;DATE(YEAR(AA$8),1,1),$8:$8,"&lt;="&amp;EOMONTH(AA$8,0))/SUMIFS(76:76,$8:$8,"&gt;="&amp;DATE(YEAR(AA$8)-1,1,1),$8:$8,"&lt;="&amp;EOMONTH(AA$8,-12))-1</f>
        <v/>
      </c>
      <c r="AB79" s="1318">
        <f>SUMIFS(76:76,$8:$8,"&gt;="&amp;DATE(YEAR(AB$8),1,1),$8:$8,"&lt;="&amp;EOMONTH(AB$8,0))/SUMIFS(76:76,$8:$8,"&gt;="&amp;DATE(YEAR(AB$8)-1,1,1),$8:$8,"&lt;="&amp;EOMONTH(AB$8,-12))-1</f>
        <v/>
      </c>
      <c r="AC79" s="1318">
        <f>SUMIFS(76:76,$8:$8,"&gt;="&amp;DATE(YEAR(AC$8),1,1),$8:$8,"&lt;="&amp;EOMONTH(AC$8,0))/SUMIFS(76:76,$8:$8,"&gt;="&amp;DATE(YEAR(AC$8)-1,1,1),$8:$8,"&lt;="&amp;EOMONTH(AC$8,-12))-1</f>
        <v/>
      </c>
      <c r="AD79" s="1318">
        <f>SUMIFS(76:76,$8:$8,"&gt;="&amp;DATE(YEAR(AD$8),1,1),$8:$8,"&lt;="&amp;EOMONTH(AD$8,0))/SUMIFS(76:76,$8:$8,"&gt;="&amp;DATE(YEAR(AD$8)-1,1,1),$8:$8,"&lt;="&amp;EOMONTH(AD$8,-12))-1</f>
        <v/>
      </c>
      <c r="AE79" s="1318">
        <f>SUMIFS(76:76,$8:$8,"&gt;="&amp;DATE(YEAR(AE$8),1,1),$8:$8,"&lt;="&amp;EOMONTH(AE$8,0))/SUMIFS(76:76,$8:$8,"&gt;="&amp;DATE(YEAR(AE$8)-1,1,1),$8:$8,"&lt;="&amp;EOMONTH(AE$8,-12))-1</f>
        <v/>
      </c>
      <c r="AF79" s="1318">
        <f>SUMIFS(76:76,$8:$8,"&gt;="&amp;DATE(YEAR(AF$8),1,1),$8:$8,"&lt;="&amp;EOMONTH(AF$8,0))/SUMIFS(76:76,$8:$8,"&gt;="&amp;DATE(YEAR(AF$8)-1,1,1),$8:$8,"&lt;="&amp;EOMONTH(AF$8,-12))-1</f>
        <v/>
      </c>
      <c r="AG79" s="1318">
        <f>SUMIFS(76:76,$8:$8,"&gt;="&amp;DATE(YEAR(AG$8),1,1),$8:$8,"&lt;="&amp;EOMONTH(AG$8,0))/SUMIFS(76:76,$8:$8,"&gt;="&amp;DATE(YEAR(AG$8)-1,1,1),$8:$8,"&lt;="&amp;EOMONTH(AG$8,-12))-1</f>
        <v/>
      </c>
      <c r="AH79" s="1318">
        <f>SUMIFS(76:76,$8:$8,"&gt;="&amp;DATE(YEAR(AH$8),1,1),$8:$8,"&lt;="&amp;EOMONTH(AH$8,0))/SUMIFS(76:76,$8:$8,"&gt;="&amp;DATE(YEAR(AH$8)-1,1,1),$8:$8,"&lt;="&amp;EOMONTH(AH$8,-12))-1</f>
        <v/>
      </c>
      <c r="AI79" s="1318">
        <f>SUMIFS(76:76,$8:$8,"&gt;="&amp;DATE(YEAR(AI$8),1,1),$8:$8,"&lt;="&amp;EOMONTH(AI$8,0))/SUMIFS(76:76,$8:$8,"&gt;="&amp;DATE(YEAR(AI$8)-1,1,1),$8:$8,"&lt;="&amp;EOMONTH(AI$8,-12))-1</f>
        <v/>
      </c>
      <c r="AJ79" s="1318">
        <f>SUMIFS(76:76,$8:$8,"&gt;="&amp;DATE(YEAR(AJ$8),1,1),$8:$8,"&lt;="&amp;EOMONTH(AJ$8,0))/SUMIFS(76:76,$8:$8,"&gt;="&amp;DATE(YEAR(AJ$8)-1,1,1),$8:$8,"&lt;="&amp;EOMONTH(AJ$8,-12))-1</f>
        <v/>
      </c>
      <c r="AK79" s="1318">
        <f>SUMIFS(76:76,$8:$8,"&gt;="&amp;DATE(YEAR(AK$8),1,1),$8:$8,"&lt;="&amp;EOMONTH(AK$8,0))/SUMIFS(76:76,$8:$8,"&gt;="&amp;DATE(YEAR(AK$8)-1,1,1),$8:$8,"&lt;="&amp;EOMONTH(AK$8,-12))-1</f>
        <v/>
      </c>
      <c r="AL79" s="1318">
        <f>SUMIFS(76:76,$8:$8,"&gt;="&amp;DATE(YEAR(AL$8),1,1),$8:$8,"&lt;="&amp;EOMONTH(AL$8,0))/SUMIFS(76:76,$8:$8,"&gt;="&amp;DATE(YEAR(AL$8)-1,1,1),$8:$8,"&lt;="&amp;EOMONTH(AL$8,-12))-1</f>
        <v/>
      </c>
      <c r="AM79" s="1318">
        <f>SUMIFS(76:76,$8:$8,"&gt;="&amp;DATE(YEAR(AM$8),1,1),$8:$8,"&lt;="&amp;EOMONTH(AM$8,0))/SUMIFS(76:76,$8:$8,"&gt;="&amp;DATE(YEAR(AM$8)-1,1,1),$8:$8,"&lt;="&amp;EOMONTH(AM$8,-12))-1</f>
        <v/>
      </c>
      <c r="AN79" s="1318">
        <f>SUMIFS(76:76,$8:$8,"&gt;="&amp;DATE(YEAR(AN$8),1,1),$8:$8,"&lt;="&amp;EOMONTH(AN$8,0))/SUMIFS(76:76,$8:$8,"&gt;="&amp;DATE(YEAR(AN$8)-1,1,1),$8:$8,"&lt;="&amp;EOMONTH(AN$8,-12))-1</f>
        <v/>
      </c>
      <c r="AO79" s="1318">
        <f>SUMIFS(76:76,$8:$8,"&gt;="&amp;DATE(YEAR(AO$8),1,1),$8:$8,"&lt;="&amp;EOMONTH(AO$8,0))/SUMIFS(76:76,$8:$8,"&gt;="&amp;DATE(YEAR(AO$8)-1,1,1),$8:$8,"&lt;="&amp;EOMONTH(AO$8,-12))-1</f>
        <v/>
      </c>
      <c r="AP79" s="1318">
        <f>SUMIFS(76:76,$8:$8,"&gt;="&amp;DATE(YEAR(AP$8),1,1),$8:$8,"&lt;="&amp;EOMONTH(AP$8,0))/SUMIFS(76:76,$8:$8,"&gt;="&amp;DATE(YEAR(AP$8)-1,1,1),$8:$8,"&lt;="&amp;EOMONTH(AP$8,-12))-1</f>
        <v/>
      </c>
      <c r="AQ79" s="1318">
        <f>SUMIFS(76:76,$8:$8,"&gt;="&amp;DATE(YEAR(AQ$8),1,1),$8:$8,"&lt;="&amp;EOMONTH(AQ$8,0))/SUMIFS(76:76,$8:$8,"&gt;="&amp;DATE(YEAR(AQ$8)-1,1,1),$8:$8,"&lt;="&amp;EOMONTH(AQ$8,-12))-1</f>
        <v/>
      </c>
      <c r="AR79" s="1318">
        <f>SUMIFS(76:76,$8:$8,"&gt;="&amp;DATE(YEAR(AR$8),1,1),$8:$8,"&lt;="&amp;EOMONTH(AR$8,0))/SUMIFS(76:76,$8:$8,"&gt;="&amp;DATE(YEAR(AR$8)-1,1,1),$8:$8,"&lt;="&amp;EOMONTH(AR$8,-12))-1</f>
        <v/>
      </c>
      <c r="AS79" s="1318">
        <f>SUMIFS(76:76,$8:$8,"&gt;="&amp;DATE(YEAR(AS$8),1,1),$8:$8,"&lt;="&amp;EOMONTH(AS$8,0))/SUMIFS(76:76,$8:$8,"&gt;="&amp;DATE(YEAR(AS$8)-1,1,1),$8:$8,"&lt;="&amp;EOMONTH(AS$8,-12))-1</f>
        <v/>
      </c>
      <c r="AT79" s="1318">
        <f>SUMIFS(76:76,$8:$8,"&gt;="&amp;DATE(YEAR(AT$8),1,1),$8:$8,"&lt;="&amp;EOMONTH(AT$8,0))/SUMIFS(76:76,$8:$8,"&gt;="&amp;DATE(YEAR(AT$8)-1,1,1),$8:$8,"&lt;="&amp;EOMONTH(AT$8,-12))-1</f>
        <v/>
      </c>
      <c r="AU79" s="1318">
        <f>SUMIFS(76:76,$8:$8,"&gt;="&amp;DATE(YEAR(AU$8),1,1),$8:$8,"&lt;="&amp;EOMONTH(AU$8,0))/SUMIFS(76:76,$8:$8,"&gt;="&amp;DATE(YEAR(AU$8)-1,1,1),$8:$8,"&lt;="&amp;EOMONTH(AU$8,-12))-1</f>
        <v/>
      </c>
      <c r="AV79" s="1318">
        <f>SUMIFS(76:76,$8:$8,"&gt;="&amp;DATE(YEAR(AV$8),1,1),$8:$8,"&lt;="&amp;EOMONTH(AV$8,0))/SUMIFS(76:76,$8:$8,"&gt;="&amp;DATE(YEAR(AV$8)-1,1,1),$8:$8,"&lt;="&amp;EOMONTH(AV$8,-12))-1</f>
        <v/>
      </c>
      <c r="AW79" s="1318">
        <f>SUMIFS(76:76,$8:$8,"&gt;="&amp;DATE(YEAR(AW$8),1,1),$8:$8,"&lt;="&amp;EOMONTH(AW$8,0))/SUMIFS(76:76,$8:$8,"&gt;="&amp;DATE(YEAR(AW$8)-1,1,1),$8:$8,"&lt;="&amp;EOMONTH(AW$8,-12))-1</f>
        <v/>
      </c>
      <c r="AX79" s="1318">
        <f>SUMIFS(76:76,$8:$8,"&gt;="&amp;DATE(YEAR(AX$8),1,1),$8:$8,"&lt;="&amp;EOMONTH(AX$8,0))/SUMIFS(76:76,$8:$8,"&gt;="&amp;DATE(YEAR(AX$8)-1,1,1),$8:$8,"&lt;="&amp;EOMONTH(AX$8,-12))-1</f>
        <v/>
      </c>
      <c r="AY79" s="1318">
        <f>SUMIFS(76:76,$8:$8,"&gt;="&amp;DATE(YEAR(AY$8),1,1),$8:$8,"&lt;="&amp;EOMONTH(AY$8,0))/SUMIFS(76:76,$8:$8,"&gt;="&amp;DATE(YEAR(AY$8)-1,1,1),$8:$8,"&lt;="&amp;EOMONTH(AY$8,-12))-1</f>
        <v/>
      </c>
      <c r="AZ79" s="1318">
        <f>SUMIFS(76:76,$8:$8,"&gt;="&amp;DATE(YEAR(AZ$8),1,1),$8:$8,"&lt;="&amp;EOMONTH(AZ$8,0))/SUMIFS(76:76,$8:$8,"&gt;="&amp;DATE(YEAR(AZ$8)-1,1,1),$8:$8,"&lt;="&amp;EOMONTH(AZ$8,-12))-1</f>
        <v/>
      </c>
      <c r="BA79" s="1318">
        <f>SUMIFS(76:76,$8:$8,"&gt;="&amp;DATE(YEAR(BA$8),1,1),$8:$8,"&lt;="&amp;EOMONTH(BA$8,0))/SUMIFS(76:76,$8:$8,"&gt;="&amp;DATE(YEAR(BA$8)-1,1,1),$8:$8,"&lt;="&amp;EOMONTH(BA$8,-12))-1</f>
        <v/>
      </c>
      <c r="BB79" s="1318">
        <f>SUMIFS(76:76,$8:$8,"&gt;="&amp;DATE(YEAR(BB$8),1,1),$8:$8,"&lt;="&amp;EOMONTH(BB$8,0))/SUMIFS(76:76,$8:$8,"&gt;="&amp;DATE(YEAR(BB$8)-1,1,1),$8:$8,"&lt;="&amp;EOMONTH(BB$8,-12))-1</f>
        <v/>
      </c>
      <c r="BC79" s="1318">
        <f>SUMIFS(76:76,$8:$8,"&gt;="&amp;DATE(YEAR(BC$8),1,1),$8:$8,"&lt;="&amp;EOMONTH(BC$8,0))/SUMIFS(76:76,$8:$8,"&gt;="&amp;DATE(YEAR(BC$8)-1,1,1),$8:$8,"&lt;="&amp;EOMONTH(BC$8,-12))-1</f>
        <v/>
      </c>
      <c r="BD79" s="1318">
        <f>SUMIFS(76:76,$8:$8,"&gt;="&amp;DATE(YEAR(BD$8),1,1),$8:$8,"&lt;="&amp;EOMONTH(BD$8,0))/SUMIFS(76:76,$8:$8,"&gt;="&amp;DATE(YEAR(BD$8)-1,1,1),$8:$8,"&lt;="&amp;EOMONTH(BD$8,-12))-1</f>
        <v/>
      </c>
      <c r="BE79" s="1318">
        <f>SUMIFS(76:76,$8:$8,"&gt;="&amp;DATE(YEAR(BE$8),1,1),$8:$8,"&lt;="&amp;EOMONTH(BE$8,0))/SUMIFS(76:76,$8:$8,"&gt;="&amp;DATE(YEAR(BE$8)-1,1,1),$8:$8,"&lt;="&amp;EOMONTH(BE$8,-12))-1</f>
        <v/>
      </c>
      <c r="BF79" s="1318">
        <f>SUMIFS(76:76,$8:$8,"&gt;="&amp;DATE(YEAR(BF$8),1,1),$8:$8,"&lt;="&amp;EOMONTH(BF$8,0))/SUMIFS(76:76,$8:$8,"&gt;="&amp;DATE(YEAR(BF$8)-1,1,1),$8:$8,"&lt;="&amp;EOMONTH(BF$8,-12))-1</f>
        <v/>
      </c>
      <c r="BG79" s="1318">
        <f>SUMIFS(76:76,$8:$8,"&gt;="&amp;DATE(YEAR(BG$8),1,1),$8:$8,"&lt;="&amp;EOMONTH(BG$8,0))/SUMIFS(76:76,$8:$8,"&gt;="&amp;DATE(YEAR(BG$8)-1,1,1),$8:$8,"&lt;="&amp;EOMONTH(BG$8,-12))-1</f>
        <v/>
      </c>
      <c r="BH79" s="1318">
        <f>SUMIFS(76:76,$8:$8,"&gt;="&amp;DATE(YEAR(BH$8),1,1),$8:$8,"&lt;="&amp;EOMONTH(BH$8,0))/SUMIFS(76:76,$8:$8,"&gt;="&amp;DATE(YEAR(BH$8)-1,1,1),$8:$8,"&lt;="&amp;EOMONTH(BH$8,-12))-1</f>
        <v/>
      </c>
      <c r="BI79" s="1318">
        <f>SUMIFS(76:76,$8:$8,"&gt;="&amp;DATE(YEAR(BI$8),1,1),$8:$8,"&lt;="&amp;EOMONTH(BI$8,0))/SUMIFS(76:76,$8:$8,"&gt;="&amp;DATE(YEAR(BI$8)-1,1,1),$8:$8,"&lt;="&amp;EOMONTH(BI$8,-12))-1</f>
        <v/>
      </c>
      <c r="BJ79" s="1318">
        <f>SUMIFS(76:76,$8:$8,"&gt;="&amp;DATE(YEAR(BJ$8),1,1),$8:$8,"&lt;="&amp;EOMONTH(BJ$8,0))/SUMIFS(76:76,$8:$8,"&gt;="&amp;DATE(YEAR(BJ$8)-1,1,1),$8:$8,"&lt;="&amp;EOMONTH(BJ$8,-12))-1</f>
        <v/>
      </c>
      <c r="BK79" s="1318">
        <f>SUMIFS(76:76,$8:$8,"&gt;="&amp;DATE(YEAR(BK$8),1,1),$8:$8,"&lt;="&amp;EOMONTH(BK$8,0))/SUMIFS(76:76,$8:$8,"&gt;="&amp;DATE(YEAR(BK$8)-1,1,1),$8:$8,"&lt;="&amp;EOMONTH(BK$8,-12))-1</f>
        <v/>
      </c>
      <c r="BL79" s="1318">
        <f>SUMIFS(76:76,$8:$8,"&gt;="&amp;DATE(YEAR(BL$8),1,1),$8:$8,"&lt;="&amp;EOMONTH(BL$8,0))/SUMIFS(76:76,$8:$8,"&gt;="&amp;DATE(YEAR(BL$8)-1,1,1),$8:$8,"&lt;="&amp;EOMONTH(BL$8,-12))-1</f>
        <v/>
      </c>
      <c r="BM79" s="1318">
        <f>SUMIFS(76:76,$8:$8,"&gt;="&amp;DATE(YEAR(BM$8),1,1),$8:$8,"&lt;="&amp;EOMONTH(BM$8,0))/SUMIFS(76:76,$8:$8,"&gt;="&amp;DATE(YEAR(BM$8)-1,1,1),$8:$8,"&lt;="&amp;EOMONTH(BM$8,-12))-1</f>
        <v/>
      </c>
      <c r="BN79" s="1318">
        <f>SUMIFS(76:76,$8:$8,"&gt;="&amp;DATE(YEAR(BN$8),1,1),$8:$8,"&lt;="&amp;EOMONTH(BN$8,0))/SUMIFS(76:76,$8:$8,"&gt;="&amp;DATE(YEAR(BN$8)-1,1,1),$8:$8,"&lt;="&amp;EOMONTH(BN$8,-12))-1</f>
        <v/>
      </c>
      <c r="BO79" s="1318">
        <f>SUMIFS(76:76,$8:$8,"&gt;="&amp;DATE(YEAR(BO$8),1,1),$8:$8,"&lt;="&amp;EOMONTH(BO$8,0))/SUMIFS(76:76,$8:$8,"&gt;="&amp;DATE(YEAR(BO$8)-1,1,1),$8:$8,"&lt;="&amp;EOMONTH(BO$8,-12))-1</f>
        <v/>
      </c>
      <c r="BP79" s="1318">
        <f>SUMIFS(76:76,$8:$8,"&gt;="&amp;DATE(YEAR(BP$8),1,1),$8:$8,"&lt;="&amp;EOMONTH(BP$8,0))/SUMIFS(76:76,$8:$8,"&gt;="&amp;DATE(YEAR(BP$8)-1,1,1),$8:$8,"&lt;="&amp;EOMONTH(BP$8,-12))-1</f>
        <v/>
      </c>
      <c r="BQ79" s="1318">
        <f>SUMIFS(76:76,$8:$8,"&gt;="&amp;DATE(YEAR(BQ$8),1,1),$8:$8,"&lt;="&amp;EOMONTH(BQ$8,0))/SUMIFS(76:76,$8:$8,"&gt;="&amp;DATE(YEAR(BQ$8)-1,1,1),$8:$8,"&lt;="&amp;EOMONTH(BQ$8,-12))-1</f>
        <v/>
      </c>
      <c r="BR79" s="1318">
        <f>SUMIFS(76:76,$8:$8,"&gt;="&amp;DATE(YEAR(BR$8),1,1),$8:$8,"&lt;="&amp;EOMONTH(BR$8,0))/SUMIFS(76:76,$8:$8,"&gt;="&amp;DATE(YEAR(BR$8)-1,1,1),$8:$8,"&lt;="&amp;EOMONTH(BR$8,-12))-1</f>
        <v/>
      </c>
      <c r="BS79" s="1318">
        <f>SUMIFS(76:76,$8:$8,"&gt;="&amp;DATE(YEAR(BS$8),1,1),$8:$8,"&lt;="&amp;EOMONTH(BS$8,0))/SUMIFS(76:76,$8:$8,"&gt;="&amp;DATE(YEAR(BS$8)-1,1,1),$8:$8,"&lt;="&amp;EOMONTH(BS$8,-12))-1</f>
        <v/>
      </c>
      <c r="BT79" s="1318">
        <f>SUMIFS(76:76,$8:$8,"&gt;="&amp;DATE(YEAR(BT$8),1,1),$8:$8,"&lt;="&amp;EOMONTH(BT$8,0))/SUMIFS(76:76,$8:$8,"&gt;="&amp;DATE(YEAR(BT$8)-1,1,1),$8:$8,"&lt;="&amp;EOMONTH(BT$8,-12))-1</f>
        <v/>
      </c>
      <c r="BU79" s="1318">
        <f>SUMIFS(76:76,$8:$8,"&gt;="&amp;DATE(YEAR(BU$8),1,1),$8:$8,"&lt;="&amp;EOMONTH(BU$8,0))/SUMIFS(76:76,$8:$8,"&gt;="&amp;DATE(YEAR(BU$8)-1,1,1),$8:$8,"&lt;="&amp;EOMONTH(BU$8,-12))-1</f>
        <v/>
      </c>
      <c r="BV79" s="1318">
        <f>SUMIFS(76:76,$8:$8,"&gt;="&amp;DATE(YEAR(BV$8),1,1),$8:$8,"&lt;="&amp;EOMONTH(BV$8,0))/SUMIFS(76:76,$8:$8,"&gt;="&amp;DATE(YEAR(BV$8)-1,1,1),$8:$8,"&lt;="&amp;EOMONTH(BV$8,-12))-1</f>
        <v/>
      </c>
      <c r="BW79" s="1318">
        <f>SUMIFS(76:76,$8:$8,"&gt;="&amp;DATE(YEAR(BW$8),1,1),$8:$8,"&lt;="&amp;EOMONTH(BW$8,0))/SUMIFS(76:76,$8:$8,"&gt;="&amp;DATE(YEAR(BW$8)-1,1,1),$8:$8,"&lt;="&amp;EOMONTH(BW$8,-12))-1</f>
        <v/>
      </c>
      <c r="BX79" s="1318">
        <f>SUMIFS(76:76,$8:$8,"&gt;="&amp;DATE(YEAR(BX$8),1,1),$8:$8,"&lt;="&amp;EOMONTH(BX$8,0))/SUMIFS(76:76,$8:$8,"&gt;="&amp;DATE(YEAR(BX$8)-1,1,1),$8:$8,"&lt;="&amp;EOMONTH(BX$8,-12))-1</f>
        <v/>
      </c>
      <c r="BY79" s="1318">
        <f>SUMIFS(76:76,$8:$8,"&gt;="&amp;DATE(YEAR(BY$8),1,1),$8:$8,"&lt;="&amp;EOMONTH(BY$8,0))/SUMIFS(76:76,$8:$8,"&gt;="&amp;DATE(YEAR(BY$8)-1,1,1),$8:$8,"&lt;="&amp;EOMONTH(BY$8,-12))-1</f>
        <v/>
      </c>
      <c r="BZ79" s="1318">
        <f>SUMIFS(76:76,$8:$8,"&gt;="&amp;DATE(YEAR(BZ$8),1,1),$8:$8,"&lt;="&amp;EOMONTH(BZ$8,0))/SUMIFS(76:76,$8:$8,"&gt;="&amp;DATE(YEAR(BZ$8)-1,1,1),$8:$8,"&lt;="&amp;EOMONTH(BZ$8,-12))-1</f>
        <v/>
      </c>
      <c r="CA79" s="1318">
        <f>SUMIFS(76:76,$8:$8,"&gt;="&amp;DATE(YEAR(CA$8),1,1),$8:$8,"&lt;="&amp;EOMONTH(CA$8,0))/SUMIFS(76:76,$8:$8,"&gt;="&amp;DATE(YEAR(CA$8)-1,1,1),$8:$8,"&lt;="&amp;EOMONTH(CA$8,-12))-1</f>
        <v/>
      </c>
      <c r="CB79" s="1318">
        <f>SUMIFS(76:76,$8:$8,"&gt;="&amp;DATE(YEAR(CB$8),1,1),$8:$8,"&lt;="&amp;EOMONTH(CB$8,0))/SUMIFS(76:76,$8:$8,"&gt;="&amp;DATE(YEAR(CB$8)-1,1,1),$8:$8,"&lt;="&amp;EOMONTH(CB$8,-12))-1</f>
        <v/>
      </c>
      <c r="CC79" s="1318">
        <f>SUMIFS(76:76,$8:$8,"&gt;="&amp;DATE(YEAR(CC$8),1,1),$8:$8,"&lt;="&amp;EOMONTH(CC$8,0))/SUMIFS(76:76,$8:$8,"&gt;="&amp;DATE(YEAR(CC$8)-1,1,1),$8:$8,"&lt;="&amp;EOMONTH(CC$8,-12))-1</f>
        <v/>
      </c>
      <c r="CD79" s="1318">
        <f>SUMIFS(76:76,$8:$8,"&gt;="&amp;DATE(YEAR(CD$8),1,1),$8:$8,"&lt;="&amp;EOMONTH(CD$8,0))/SUMIFS(76:76,$8:$8,"&gt;="&amp;DATE(YEAR(CD$8)-1,1,1),$8:$8,"&lt;="&amp;EOMONTH(CD$8,-12))-1</f>
        <v/>
      </c>
      <c r="CE79" s="1318">
        <f>SUMIFS(76:76,$8:$8,"&gt;="&amp;DATE(YEAR(CE$8),1,1),$8:$8,"&lt;="&amp;EOMONTH(CE$8,0))/SUMIFS(76:76,$8:$8,"&gt;="&amp;DATE(YEAR(CE$8)-1,1,1),$8:$8,"&lt;="&amp;EOMONTH(CE$8,-12))-1</f>
        <v/>
      </c>
      <c r="CF79" s="1318">
        <f>SUMIFS(76:76,$8:$8,"&gt;="&amp;DATE(YEAR(CF$8),1,1),$8:$8,"&lt;="&amp;EOMONTH(CF$8,0))/SUMIFS(76:76,$8:$8,"&gt;="&amp;DATE(YEAR(CF$8)-1,1,1),$8:$8,"&lt;="&amp;EOMONTH(CF$8,-12))-1</f>
        <v/>
      </c>
      <c r="CG79" s="1318">
        <f>SUMIFS(76:76,$8:$8,"&gt;="&amp;DATE(YEAR(CG$8),1,1),$8:$8,"&lt;="&amp;EOMONTH(CG$8,0))/SUMIFS(76:76,$8:$8,"&gt;="&amp;DATE(YEAR(CG$8)-1,1,1),$8:$8,"&lt;="&amp;EOMONTH(CG$8,-12))-1</f>
        <v/>
      </c>
      <c r="CH79" s="1318">
        <f>SUMIFS(76:76,$8:$8,"&gt;="&amp;DATE(YEAR(CH$8),1,1),$8:$8,"&lt;="&amp;EOMONTH(CH$8,0))/SUMIFS(76:76,$8:$8,"&gt;="&amp;DATE(YEAR(CH$8)-1,1,1),$8:$8,"&lt;="&amp;EOMONTH(CH$8,-12))-1</f>
        <v/>
      </c>
      <c r="CI79" s="1318">
        <f>SUMIFS(76:76,$8:$8,"&gt;="&amp;DATE(YEAR(CI$8),1,1),$8:$8,"&lt;="&amp;EOMONTH(CI$8,0))/SUMIFS(76:76,$8:$8,"&gt;="&amp;DATE(YEAR(CI$8)-1,1,1),$8:$8,"&lt;="&amp;EOMONTH(CI$8,-12))-1</f>
        <v/>
      </c>
      <c r="CJ79" s="1318">
        <f>SUMIFS(76:76,$8:$8,"&gt;="&amp;DATE(YEAR(CJ$8),1,1),$8:$8,"&lt;="&amp;EOMONTH(CJ$8,0))/SUMIFS(76:76,$8:$8,"&gt;="&amp;DATE(YEAR(CJ$8)-1,1,1),$8:$8,"&lt;="&amp;EOMONTH(CJ$8,-12))-1</f>
        <v/>
      </c>
      <c r="CK79" s="1318">
        <f>SUMIFS(76:76,$8:$8,"&gt;="&amp;DATE(YEAR(CK$8),1,1),$8:$8,"&lt;="&amp;EOMONTH(CK$8,0))/SUMIFS(76:76,$8:$8,"&gt;="&amp;DATE(YEAR(CK$8)-1,1,1),$8:$8,"&lt;="&amp;EOMONTH(CK$8,-12))-1</f>
        <v/>
      </c>
      <c r="CL79" s="1318">
        <f>SUMIFS(76:76,$8:$8,"&gt;="&amp;DATE(YEAR(CL$8),1,1),$8:$8,"&lt;="&amp;EOMONTH(CL$8,0))/SUMIFS(76:76,$8:$8,"&gt;="&amp;DATE(YEAR(CL$8)-1,1,1),$8:$8,"&lt;="&amp;EOMONTH(CL$8,-12))-1</f>
        <v/>
      </c>
      <c r="CM79" s="1318">
        <f>SUMIFS(76:76,$8:$8,"&gt;="&amp;DATE(YEAR(CM$8),1,1),$8:$8,"&lt;="&amp;EOMONTH(CM$8,0))/SUMIFS(76:76,$8:$8,"&gt;="&amp;DATE(YEAR(CM$8)-1,1,1),$8:$8,"&lt;="&amp;EOMONTH(CM$8,-12))-1</f>
        <v/>
      </c>
      <c r="CN79" s="1318">
        <f>SUMIFS(76:76,$8:$8,"&gt;="&amp;DATE(YEAR(CN$8),1,1),$8:$8,"&lt;="&amp;EOMONTH(CN$8,0))/SUMIFS(76:76,$8:$8,"&gt;="&amp;DATE(YEAR(CN$8)-1,1,1),$8:$8,"&lt;="&amp;EOMONTH(CN$8,-12))-1</f>
        <v/>
      </c>
      <c r="CO79" s="1318">
        <f>SUMIFS(76:76,$8:$8,"&gt;="&amp;DATE(YEAR(CO$8),1,1),$8:$8,"&lt;="&amp;EOMONTH(CO$8,0))/SUMIFS(76:76,$8:$8,"&gt;="&amp;DATE(YEAR(CO$8)-1,1,1),$8:$8,"&lt;="&amp;EOMONTH(CO$8,-12))-1</f>
        <v/>
      </c>
      <c r="CP79" s="1318">
        <f>SUMIFS(76:76,$8:$8,"&gt;="&amp;DATE(YEAR(CP$8),1,1),$8:$8,"&lt;="&amp;EOMONTH(CP$8,0))/SUMIFS(76:76,$8:$8,"&gt;="&amp;DATE(YEAR(CP$8)-1,1,1),$8:$8,"&lt;="&amp;EOMONTH(CP$8,-12))-1</f>
        <v/>
      </c>
      <c r="CQ79" s="1318">
        <f>SUMIFS(76:76,$8:$8,"&gt;="&amp;DATE(YEAR(CQ$8),1,1),$8:$8,"&lt;="&amp;EOMONTH(CQ$8,0))/SUMIFS(76:76,$8:$8,"&gt;="&amp;DATE(YEAR(CQ$8)-1,1,1),$8:$8,"&lt;="&amp;EOMONTH(CQ$8,-12))-1</f>
        <v/>
      </c>
      <c r="CR79" s="1318">
        <f>SUMIFS(76:76,$8:$8,"&gt;="&amp;DATE(YEAR(CR$8),1,1),$8:$8,"&lt;="&amp;EOMONTH(CR$8,0))/SUMIFS(76:76,$8:$8,"&gt;="&amp;DATE(YEAR(CR$8)-1,1,1),$8:$8,"&lt;="&amp;EOMONTH(CR$8,-12))-1</f>
        <v/>
      </c>
      <c r="CS79" s="1318">
        <f>SUMIFS(76:76,$8:$8,"&gt;="&amp;DATE(YEAR(CS$8),1,1),$8:$8,"&lt;="&amp;EOMONTH(CS$8,0))/SUMIFS(76:76,$8:$8,"&gt;="&amp;DATE(YEAR(CS$8)-1,1,1),$8:$8,"&lt;="&amp;EOMONTH(CS$8,-12))-1</f>
        <v/>
      </c>
      <c r="CT79" s="1318">
        <f>SUMIFS(76:76,$8:$8,"&gt;="&amp;DATE(YEAR(CT$8),1,1),$8:$8,"&lt;="&amp;EOMONTH(CT$8,0))/SUMIFS(76:76,$8:$8,"&gt;="&amp;DATE(YEAR(CT$8)-1,1,1),$8:$8,"&lt;="&amp;EOMONTH(CT$8,-12))-1</f>
        <v/>
      </c>
      <c r="CU79" s="1318">
        <f>SUMIFS(76:76,$8:$8,"&gt;="&amp;DATE(YEAR(CU$8),1,1),$8:$8,"&lt;="&amp;EOMONTH(CU$8,0))/SUMIFS(76:76,$8:$8,"&gt;="&amp;DATE(YEAR(CU$8)-1,1,1),$8:$8,"&lt;="&amp;EOMONTH(CU$8,-12))-1</f>
        <v/>
      </c>
      <c r="CV79" s="1318">
        <f>SUMIFS(76:76,$8:$8,"&gt;="&amp;DATE(YEAR(CV$8),1,1),$8:$8,"&lt;="&amp;EOMONTH(CV$8,0))/SUMIFS(76:76,$8:$8,"&gt;="&amp;DATE(YEAR(CV$8)-1,1,1),$8:$8,"&lt;="&amp;EOMONTH(CV$8,-12))-1</f>
        <v/>
      </c>
      <c r="CW79" s="1318">
        <f>SUMIFS(76:76,$8:$8,"&gt;="&amp;DATE(YEAR(CW$8),1,1),$8:$8,"&lt;="&amp;EOMONTH(CW$8,0))/SUMIFS(76:76,$8:$8,"&gt;="&amp;DATE(YEAR(CW$8)-1,1,1),$8:$8,"&lt;="&amp;EOMONTH(CW$8,-12))-1</f>
        <v/>
      </c>
      <c r="CX79" s="1318">
        <f>SUMIFS(76:76,$8:$8,"&gt;="&amp;DATE(YEAR(CX$8),1,1),$8:$8,"&lt;="&amp;EOMONTH(CX$8,0))/SUMIFS(76:76,$8:$8,"&gt;="&amp;DATE(YEAR(CX$8)-1,1,1),$8:$8,"&lt;="&amp;EOMONTH(CX$8,-12))-1</f>
        <v/>
      </c>
      <c r="CY79" s="1318">
        <f>SUMIFS(76:76,$8:$8,"&gt;="&amp;DATE(YEAR(CY$8),1,1),$8:$8,"&lt;="&amp;EOMONTH(CY$8,0))/SUMIFS(76:76,$8:$8,"&gt;="&amp;DATE(YEAR(CY$8)-1,1,1),$8:$8,"&lt;="&amp;EOMONTH(CY$8,-12))-1</f>
        <v/>
      </c>
      <c r="CZ79" s="1318">
        <f>SUMIFS(76:76,$8:$8,"&gt;="&amp;DATE(YEAR(CZ$8),1,1),$8:$8,"&lt;="&amp;EOMONTH(CZ$8,0))/SUMIFS(76:76,$8:$8,"&gt;="&amp;DATE(YEAR(CZ$8)-1,1,1),$8:$8,"&lt;="&amp;EOMONTH(CZ$8,-12))-1</f>
        <v/>
      </c>
      <c r="DA79" s="1318">
        <f>SUMIFS(76:76,$8:$8,"&gt;="&amp;DATE(YEAR(DA$8),1,1),$8:$8,"&lt;="&amp;EOMONTH(DA$8,0))/SUMIFS(76:76,$8:$8,"&gt;="&amp;DATE(YEAR(DA$8)-1,1,1),$8:$8,"&lt;="&amp;EOMONTH(DA$8,-12))-1</f>
        <v/>
      </c>
      <c r="DB79" s="1318">
        <f>SUMIFS(76:76,$8:$8,"&gt;="&amp;DATE(YEAR(DB$8),1,1),$8:$8,"&lt;="&amp;EOMONTH(DB$8,0))/SUMIFS(76:76,$8:$8,"&gt;="&amp;DATE(YEAR(DB$8)-1,1,1),$8:$8,"&lt;="&amp;EOMONTH(DB$8,-12))-1</f>
        <v/>
      </c>
      <c r="DC79" s="1318">
        <f>SUMIFS(76:76,$8:$8,"&gt;="&amp;DATE(YEAR(DC$8),1,1),$8:$8,"&lt;="&amp;EOMONTH(DC$8,0))/SUMIFS(76:76,$8:$8,"&gt;="&amp;DATE(YEAR(DC$8)-1,1,1),$8:$8,"&lt;="&amp;EOMONTH(DC$8,-12))-1</f>
        <v/>
      </c>
      <c r="DD79" s="1318">
        <f>SUMIFS(76:76,$8:$8,"&gt;="&amp;DATE(YEAR(DD$8),1,1),$8:$8,"&lt;="&amp;EOMONTH(DD$8,0))/SUMIFS(76:76,$8:$8,"&gt;="&amp;DATE(YEAR(DD$8)-1,1,1),$8:$8,"&lt;="&amp;EOMONTH(DD$8,-12))-1</f>
        <v/>
      </c>
      <c r="DE79" s="1318">
        <f>SUMIFS(76:76,$8:$8,"&gt;="&amp;DATE(YEAR(DE$8),1,1),$8:$8,"&lt;="&amp;EOMONTH(DE$8,0))/SUMIFS(76:76,$8:$8,"&gt;="&amp;DATE(YEAR(DE$8)-1,1,1),$8:$8,"&lt;="&amp;EOMONTH(DE$8,-12))-1</f>
        <v/>
      </c>
      <c r="DF79" s="1318">
        <f>SUMIFS(76:76,$8:$8,"&gt;="&amp;DATE(YEAR(DF$8),1,1),$8:$8,"&lt;="&amp;EOMONTH(DF$8,0))/SUMIFS(76:76,$8:$8,"&gt;="&amp;DATE(YEAR(DF$8)-1,1,1),$8:$8,"&lt;="&amp;EOMONTH(DF$8,-12))-1</f>
        <v/>
      </c>
      <c r="DG79" s="1318">
        <f>SUMIFS(76:76,$8:$8,"&gt;="&amp;DATE(YEAR(DG$8),1,1),$8:$8,"&lt;="&amp;EOMONTH(DG$8,0))/SUMIFS(76:76,$8:$8,"&gt;="&amp;DATE(YEAR(DG$8)-1,1,1),$8:$8,"&lt;="&amp;EOMONTH(DG$8,-12))-1</f>
        <v/>
      </c>
      <c r="DH79" s="1318">
        <f>SUMIFS(76:76,$8:$8,"&gt;="&amp;DATE(YEAR(DH$8),1,1),$8:$8,"&lt;="&amp;EOMONTH(DH$8,0))/SUMIFS(76:76,$8:$8,"&gt;="&amp;DATE(YEAR(DH$8)-1,1,1),$8:$8,"&lt;="&amp;EOMONTH(DH$8,-12))-1</f>
        <v/>
      </c>
      <c r="DI79" s="1318">
        <f>SUMIFS(76:76,$8:$8,"&gt;="&amp;DATE(YEAR(DI$8),1,1),$8:$8,"&lt;="&amp;EOMONTH(DI$8,0))/SUMIFS(76:76,$8:$8,"&gt;="&amp;DATE(YEAR(DI$8)-1,1,1),$8:$8,"&lt;="&amp;EOMONTH(DI$8,-12))-1</f>
        <v/>
      </c>
      <c r="DJ79" s="1318">
        <f>SUMIFS(76:76,$8:$8,"&gt;="&amp;DATE(YEAR(DJ$8),1,1),$8:$8,"&lt;="&amp;EOMONTH(DJ$8,0))/SUMIFS(76:76,$8:$8,"&gt;="&amp;DATE(YEAR(DJ$8)-1,1,1),$8:$8,"&lt;="&amp;EOMONTH(DJ$8,-12))-1</f>
        <v/>
      </c>
      <c r="DK79" s="1318">
        <f>SUMIFS(76:76,$8:$8,"&gt;="&amp;DATE(YEAR(DK$8),1,1),$8:$8,"&lt;="&amp;EOMONTH(DK$8,0))/SUMIFS(76:76,$8:$8,"&gt;="&amp;DATE(YEAR(DK$8)-1,1,1),$8:$8,"&lt;="&amp;EOMONTH(DK$8,-12))-1</f>
        <v/>
      </c>
      <c r="DL79" s="1318">
        <f>SUMIFS(76:76,$8:$8,"&gt;="&amp;DATE(YEAR(DL$8),1,1),$8:$8,"&lt;="&amp;EOMONTH(DL$8,0))/SUMIFS(76:76,$8:$8,"&gt;="&amp;DATE(YEAR(DL$8)-1,1,1),$8:$8,"&lt;="&amp;EOMONTH(DL$8,-12))-1</f>
        <v/>
      </c>
      <c r="DM79" s="1318">
        <f>SUMIFS(76:76,$8:$8,"&gt;="&amp;DATE(YEAR(DM$8),1,1),$8:$8,"&lt;="&amp;EOMONTH(DM$8,0))/SUMIFS(76:76,$8:$8,"&gt;="&amp;DATE(YEAR(DM$8)-1,1,1),$8:$8,"&lt;="&amp;EOMONTH(DM$8,-12))-1</f>
        <v/>
      </c>
      <c r="DN79" s="1318">
        <f>SUMIFS(76:76,$8:$8,"&gt;="&amp;DATE(YEAR(DN$8),1,1),$8:$8,"&lt;="&amp;EOMONTH(DN$8,0))/SUMIFS(76:76,$8:$8,"&gt;="&amp;DATE(YEAR(DN$8)-1,1,1),$8:$8,"&lt;="&amp;EOMONTH(DN$8,-12))-1</f>
        <v/>
      </c>
      <c r="DO79" s="1318">
        <f>SUMIFS(76:76,$8:$8,"&gt;="&amp;DATE(YEAR(DO$8),1,1),$8:$8,"&lt;="&amp;EOMONTH(DO$8,0))/SUMIFS(76:76,$8:$8,"&gt;="&amp;DATE(YEAR(DO$8)-1,1,1),$8:$8,"&lt;="&amp;EOMONTH(DO$8,-12))-1</f>
        <v/>
      </c>
      <c r="DP79" s="1318">
        <f>SUMIFS(76:76,$8:$8,"&gt;="&amp;DATE(YEAR(DP$8),1,1),$8:$8,"&lt;="&amp;EOMONTH(DP$8,0))/SUMIFS(76:76,$8:$8,"&gt;="&amp;DATE(YEAR(DP$8)-1,1,1),$8:$8,"&lt;="&amp;EOMONTH(DP$8,-12))-1</f>
        <v/>
      </c>
      <c r="DQ79" s="1318">
        <f>SUMIFS(76:76,$8:$8,"&gt;="&amp;DATE(YEAR(DQ$8),1,1),$8:$8,"&lt;="&amp;EOMONTH(DQ$8,0))/SUMIFS(76:76,$8:$8,"&gt;="&amp;DATE(YEAR(DQ$8)-1,1,1),$8:$8,"&lt;="&amp;EOMONTH(DQ$8,-12))-1</f>
        <v/>
      </c>
      <c r="DR79" s="1318">
        <f>SUMIFS(76:76,$8:$8,"&gt;="&amp;DATE(YEAR(DR$8),1,1),$8:$8,"&lt;="&amp;EOMONTH(DR$8,0))/SUMIFS(76:76,$8:$8,"&gt;="&amp;DATE(YEAR(DR$8)-1,1,1),$8:$8,"&lt;="&amp;EOMONTH(DR$8,-12))-1</f>
        <v/>
      </c>
      <c r="DS79" s="1318">
        <f>SUMIFS(76:76,$8:$8,"&gt;="&amp;DATE(YEAR(DS$8),1,1),$8:$8,"&lt;="&amp;EOMONTH(DS$8,0))/SUMIFS(76:76,$8:$8,"&gt;="&amp;DATE(YEAR(DS$8)-1,1,1),$8:$8,"&lt;="&amp;EOMONTH(DS$8,-12))-1</f>
        <v/>
      </c>
      <c r="DT79" s="1318">
        <f>SUMIFS(76:76,$8:$8,"&gt;="&amp;DATE(YEAR(DT$8),1,1),$8:$8,"&lt;="&amp;EOMONTH(DT$8,0))/SUMIFS(76:76,$8:$8,"&gt;="&amp;DATE(YEAR(DT$8)-1,1,1),$8:$8,"&lt;="&amp;EOMONTH(DT$8,-12))-1</f>
        <v/>
      </c>
      <c r="DU79" s="1318">
        <f>SUMIFS(76:76,$8:$8,"&gt;="&amp;DATE(YEAR(DU$8),1,1),$8:$8,"&lt;="&amp;EOMONTH(DU$8,0))/SUMIFS(76:76,$8:$8,"&gt;="&amp;DATE(YEAR(DU$8)-1,1,1),$8:$8,"&lt;="&amp;EOMONTH(DU$8,-12))-1</f>
        <v/>
      </c>
      <c r="DV79" s="1318">
        <f>SUMIFS(76:76,$8:$8,"&gt;="&amp;DATE(YEAR(DV$8),1,1),$8:$8,"&lt;="&amp;EOMONTH(DV$8,0))/SUMIFS(76:76,$8:$8,"&gt;="&amp;DATE(YEAR(DV$8)-1,1,1),$8:$8,"&lt;="&amp;EOMONTH(DV$8,-12))-1</f>
        <v/>
      </c>
      <c r="DW79" s="1318">
        <f>SUMIFS(76:76,$8:$8,"&gt;="&amp;DATE(YEAR(DW$8),1,1),$8:$8,"&lt;="&amp;EOMONTH(DW$8,0))/SUMIFS(76:76,$8:$8,"&gt;="&amp;DATE(YEAR(DW$8)-1,1,1),$8:$8,"&lt;="&amp;EOMONTH(DW$8,-12))-1</f>
        <v/>
      </c>
      <c r="DX79" s="1318">
        <f>SUMIFS(76:76,$8:$8,"&gt;="&amp;DATE(YEAR(DX$8),1,1),$8:$8,"&lt;="&amp;EOMONTH(DX$8,0))/SUMIFS(76:76,$8:$8,"&gt;="&amp;DATE(YEAR(DX$8)-1,1,1),$8:$8,"&lt;="&amp;EOMONTH(DX$8,-12))-1</f>
        <v/>
      </c>
      <c r="DY79" s="1318">
        <f>SUMIFS(76:76,$8:$8,"&gt;="&amp;DATE(YEAR(DY$8),1,1),$8:$8,"&lt;="&amp;EOMONTH(DY$8,0))/SUMIFS(76:76,$8:$8,"&gt;="&amp;DATE(YEAR(DY$8)-1,1,1),$8:$8,"&lt;="&amp;EOMONTH(DY$8,-12))-1</f>
        <v/>
      </c>
      <c r="DZ79" s="1318">
        <f>SUMIFS(76:76,$8:$8,"&gt;="&amp;DATE(YEAR(DZ$8),1,1),$8:$8,"&lt;="&amp;EOMONTH(DZ$8,0))/SUMIFS(76:76,$8:$8,"&gt;="&amp;DATE(YEAR(DZ$8)-1,1,1),$8:$8,"&lt;="&amp;EOMONTH(DZ$8,-12))-1</f>
        <v/>
      </c>
      <c r="EA79" s="1318">
        <f>SUMIFS(76:76,$8:$8,"&gt;="&amp;DATE(YEAR(EA$8),1,1),$8:$8,"&lt;="&amp;EOMONTH(EA$8,0))/SUMIFS(76:76,$8:$8,"&gt;="&amp;DATE(YEAR(EA$8)-1,1,1),$8:$8,"&lt;="&amp;EOMONTH(EA$8,-12))-1</f>
        <v/>
      </c>
      <c r="EB79" s="1318">
        <f>SUMIFS(76:76,$8:$8,"&gt;="&amp;DATE(YEAR(EB$8),1,1),$8:$8,"&lt;="&amp;EOMONTH(EB$8,0))/SUMIFS(76:76,$8:$8,"&gt;="&amp;DATE(YEAR(EB$8)-1,1,1),$8:$8,"&lt;="&amp;EOMONTH(EB$8,-12))-1</f>
        <v/>
      </c>
      <c r="EC79" s="1318">
        <f>SUMIFS(76:76,$8:$8,"&gt;="&amp;DATE(YEAR(EC$8),1,1),$8:$8,"&lt;="&amp;EOMONTH(EC$8,0))/SUMIFS(76:76,$8:$8,"&gt;="&amp;DATE(YEAR(EC$8)-1,1,1),$8:$8,"&lt;="&amp;EOMONTH(EC$8,-12))-1</f>
        <v/>
      </c>
      <c r="ED79" s="1318">
        <f>SUMIFS(76:76,$8:$8,"&gt;="&amp;DATE(YEAR(ED$8),1,1),$8:$8,"&lt;="&amp;EOMONTH(ED$8,0))/SUMIFS(76:76,$8:$8,"&gt;="&amp;DATE(YEAR(ED$8)-1,1,1),$8:$8,"&lt;="&amp;EOMONTH(ED$8,-12))-1</f>
        <v/>
      </c>
      <c r="EE79" s="1318">
        <f>SUMIFS(76:76,$8:$8,"&gt;="&amp;DATE(YEAR(EE$8),1,1),$8:$8,"&lt;="&amp;EOMONTH(EE$8,0))/SUMIFS(76:76,$8:$8,"&gt;="&amp;DATE(YEAR(EE$8)-1,1,1),$8:$8,"&lt;="&amp;EOMONTH(EE$8,-12))-1</f>
        <v/>
      </c>
      <c r="EF79" s="1318">
        <f>SUMIFS(76:76,$8:$8,"&gt;="&amp;DATE(YEAR(EF$8),1,1),$8:$8,"&lt;="&amp;EOMONTH(EF$8,0))/SUMIFS(76:76,$8:$8,"&gt;="&amp;DATE(YEAR(EF$8)-1,1,1),$8:$8,"&lt;="&amp;EOMONTH(EF$8,-12))-1</f>
        <v/>
      </c>
      <c r="EG79" s="1318">
        <f>SUMIFS(76:76,$8:$8,"&gt;="&amp;DATE(YEAR(EG$8),1,1),$8:$8,"&lt;="&amp;EOMONTH(EG$8,0))/SUMIFS(76:76,$8:$8,"&gt;="&amp;DATE(YEAR(EG$8)-1,1,1),$8:$8,"&lt;="&amp;EOMONTH(EG$8,-12))-1</f>
        <v/>
      </c>
      <c r="EH79" s="1318">
        <f>SUMIFS(76:76,$8:$8,"&gt;="&amp;DATE(YEAR(EH$8),1,1),$8:$8,"&lt;="&amp;EOMONTH(EH$8,0))/SUMIFS(76:76,$8:$8,"&gt;="&amp;DATE(YEAR(EH$8)-1,1,1),$8:$8,"&lt;="&amp;EOMONTH(EH$8,-12))-1</f>
        <v/>
      </c>
      <c r="EI79" s="1318">
        <f>SUMIFS(76:76,$8:$8,"&gt;="&amp;DATE(YEAR(EI$8),1,1),$8:$8,"&lt;="&amp;EOMONTH(EI$8,0))/SUMIFS(76:76,$8:$8,"&gt;="&amp;DATE(YEAR(EI$8)-1,1,1),$8:$8,"&lt;="&amp;EOMONTH(EI$8,-12))-1</f>
        <v/>
      </c>
      <c r="EJ79" s="1318">
        <f>SUMIFS(76:76,$8:$8,"&gt;="&amp;DATE(YEAR(EJ$8),1,1),$8:$8,"&lt;="&amp;EOMONTH(EJ$8,0))/SUMIFS(76:76,$8:$8,"&gt;="&amp;DATE(YEAR(EJ$8)-1,1,1),$8:$8,"&lt;="&amp;EOMONTH(EJ$8,-12))-1</f>
        <v/>
      </c>
      <c r="EK79" s="1318">
        <f>SUMIFS(76:76,$8:$8,"&gt;="&amp;DATE(YEAR(EK$8),1,1),$8:$8,"&lt;="&amp;EOMONTH(EK$8,0))/SUMIFS(76:76,$8:$8,"&gt;="&amp;DATE(YEAR(EK$8)-1,1,1),$8:$8,"&lt;="&amp;EOMONTH(EK$8,-12))-1</f>
        <v/>
      </c>
      <c r="EL79" s="1318">
        <f>SUMIFS(76:76,$8:$8,"&gt;="&amp;DATE(YEAR(EL$8),1,1),$8:$8,"&lt;="&amp;EOMONTH(EL$8,0))/SUMIFS(76:76,$8:$8,"&gt;="&amp;DATE(YEAR(EL$8)-1,1,1),$8:$8,"&lt;="&amp;EOMONTH(EL$8,-12))-1</f>
        <v/>
      </c>
      <c r="EM79" s="1318">
        <f>SUMIFS(76:76,$8:$8,"&gt;="&amp;DATE(YEAR(EM$8),1,1),$8:$8,"&lt;="&amp;EOMONTH(EM$8,0))/SUMIFS(76:76,$8:$8,"&gt;="&amp;DATE(YEAR(EM$8)-1,1,1),$8:$8,"&lt;="&amp;EOMONTH(EM$8,-12))-1</f>
        <v/>
      </c>
      <c r="EN79" s="1318">
        <f>SUMIFS(76:76,$8:$8,"&gt;="&amp;DATE(YEAR(EN$8),1,1),$8:$8,"&lt;="&amp;EOMONTH(EN$8,0))/SUMIFS(76:76,$8:$8,"&gt;="&amp;DATE(YEAR(EN$8)-1,1,1),$8:$8,"&lt;="&amp;EOMONTH(EN$8,-12))-1</f>
        <v/>
      </c>
      <c r="EO79" s="1318">
        <f>SUMIFS(76:76,$8:$8,"&gt;="&amp;DATE(YEAR(EO$8),1,1),$8:$8,"&lt;="&amp;EOMONTH(EO$8,0))/SUMIFS(76:76,$8:$8,"&gt;="&amp;DATE(YEAR(EO$8)-1,1,1),$8:$8,"&lt;="&amp;EOMONTH(EO$8,-12))-1</f>
        <v/>
      </c>
      <c r="EP79" s="1318">
        <f>SUMIFS(76:76,$8:$8,"&gt;="&amp;DATE(YEAR(EP$8),1,1),$8:$8,"&lt;="&amp;EOMONTH(EP$8,0))/SUMIFS(76:76,$8:$8,"&gt;="&amp;DATE(YEAR(EP$8)-1,1,1),$8:$8,"&lt;="&amp;EOMONTH(EP$8,-12))-1</f>
        <v/>
      </c>
      <c r="EQ79" s="1318">
        <f>SUMIFS(76:76,$8:$8,"&gt;="&amp;DATE(YEAR(EQ$8),1,1),$8:$8,"&lt;="&amp;EOMONTH(EQ$8,0))/SUMIFS(76:76,$8:$8,"&gt;="&amp;DATE(YEAR(EQ$8)-1,1,1),$8:$8,"&lt;="&amp;EOMONTH(EQ$8,-12))-1</f>
        <v/>
      </c>
      <c r="ER79" s="1318">
        <f>SUMIFS(76:76,$8:$8,"&gt;="&amp;DATE(YEAR(ER$8),1,1),$8:$8,"&lt;="&amp;EOMONTH(ER$8,0))/SUMIFS(76:76,$8:$8,"&gt;="&amp;DATE(YEAR(ER$8)-1,1,1),$8:$8,"&lt;="&amp;EOMONTH(ER$8,-12))-1</f>
        <v/>
      </c>
      <c r="ES79" s="1318">
        <f>SUMIFS(76:76,$8:$8,"&gt;="&amp;DATE(YEAR(ES$8),1,1),$8:$8,"&lt;="&amp;EOMONTH(ES$8,0))/SUMIFS(76:76,$8:$8,"&gt;="&amp;DATE(YEAR(ES$8)-1,1,1),$8:$8,"&lt;="&amp;EOMONTH(ES$8,-12))-1</f>
        <v/>
      </c>
      <c r="ET79" s="1318">
        <f>SUMIFS(76:76,$8:$8,"&gt;="&amp;DATE(YEAR(ET$8),1,1),$8:$8,"&lt;="&amp;EOMONTH(ET$8,0))/SUMIFS(76:76,$8:$8,"&gt;="&amp;DATE(YEAR(ET$8)-1,1,1),$8:$8,"&lt;="&amp;EOMONTH(ET$8,-12))-1</f>
        <v/>
      </c>
      <c r="EU79" s="1318">
        <f>SUMIFS(76:76,$8:$8,"&gt;="&amp;DATE(YEAR(EU$8),1,1),$8:$8,"&lt;="&amp;EOMONTH(EU$8,0))/SUMIFS(76:76,$8:$8,"&gt;="&amp;DATE(YEAR(EU$8)-1,1,1),$8:$8,"&lt;="&amp;EOMONTH(EU$8,-12))-1</f>
        <v/>
      </c>
      <c r="EV79" s="1318">
        <f>SUMIFS(76:76,$8:$8,"&gt;="&amp;DATE(YEAR(EV$8),1,1),$8:$8,"&lt;="&amp;EOMONTH(EV$8,0))/SUMIFS(76:76,$8:$8,"&gt;="&amp;DATE(YEAR(EV$8)-1,1,1),$8:$8,"&lt;="&amp;EOMONTH(EV$8,-12))-1</f>
        <v/>
      </c>
      <c r="EW79" s="1318">
        <f>SUMIFS(76:76,$8:$8,"&gt;="&amp;DATE(YEAR(EW$8),1,1),$8:$8,"&lt;="&amp;EOMONTH(EW$8,0))/SUMIFS(76:76,$8:$8,"&gt;="&amp;DATE(YEAR(EW$8)-1,1,1),$8:$8,"&lt;="&amp;EOMONTH(EW$8,-12))-1</f>
        <v/>
      </c>
      <c r="EX79" s="1318">
        <f>SUMIFS(76:76,$8:$8,"&gt;="&amp;DATE(YEAR(EX$8),1,1),$8:$8,"&lt;="&amp;EOMONTH(EX$8,0))/SUMIFS(76:76,$8:$8,"&gt;="&amp;DATE(YEAR(EX$8)-1,1,1),$8:$8,"&lt;="&amp;EOMONTH(EX$8,-12))-1</f>
        <v/>
      </c>
      <c r="EY79" s="1318">
        <f>SUMIFS(76:76,$8:$8,"&gt;="&amp;DATE(YEAR(EY$8),1,1),$8:$8,"&lt;="&amp;EOMONTH(EY$8,0))/SUMIFS(76:76,$8:$8,"&gt;="&amp;DATE(YEAR(EY$8)-1,1,1),$8:$8,"&lt;="&amp;EOMONTH(EY$8,-12))-1</f>
        <v/>
      </c>
      <c r="EZ79" s="1318">
        <f>SUMIFS(76:76,$8:$8,"&gt;="&amp;DATE(YEAR(EZ$8),1,1),$8:$8,"&lt;="&amp;EOMONTH(EZ$8,0))/SUMIFS(76:76,$8:$8,"&gt;="&amp;DATE(YEAR(EZ$8)-1,1,1),$8:$8,"&lt;="&amp;EOMONTH(EZ$8,-12))-1</f>
        <v/>
      </c>
      <c r="FA79" s="1318">
        <f>SUMIFS(76:76,$8:$8,"&gt;="&amp;DATE(YEAR(FA$8),1,1),$8:$8,"&lt;="&amp;EOMONTH(FA$8,0))/SUMIFS(76:76,$8:$8,"&gt;="&amp;DATE(YEAR(FA$8)-1,1,1),$8:$8,"&lt;="&amp;EOMONTH(FA$8,-12))-1</f>
        <v/>
      </c>
      <c r="FB79" s="1318">
        <f>SUMIFS(76:76,$8:$8,"&gt;="&amp;DATE(YEAR(FB$8),1,1),$8:$8,"&lt;="&amp;EOMONTH(FB$8,0))/SUMIFS(76:76,$8:$8,"&gt;="&amp;DATE(YEAR(FB$8)-1,1,1),$8:$8,"&lt;="&amp;EOMONTH(FB$8,-12))-1</f>
        <v/>
      </c>
      <c r="FC79" s="1318">
        <f>SUMIFS(76:76,$8:$8,"&gt;="&amp;DATE(YEAR(FC$8),1,1),$8:$8,"&lt;="&amp;EOMONTH(FC$8,0))/SUMIFS(76:76,$8:$8,"&gt;="&amp;DATE(YEAR(FC$8)-1,1,1),$8:$8,"&lt;="&amp;EOMONTH(FC$8,-12))-1</f>
        <v/>
      </c>
      <c r="FD79" s="1318">
        <f>SUMIFS(76:76,$8:$8,"&gt;="&amp;DATE(YEAR(FD$8),1,1),$8:$8,"&lt;="&amp;EOMONTH(FD$8,0))/SUMIFS(76:76,$8:$8,"&gt;="&amp;DATE(YEAR(FD$8)-1,1,1),$8:$8,"&lt;="&amp;EOMONTH(FD$8,-12))-1</f>
        <v/>
      </c>
      <c r="FE79" s="1318">
        <f>SUMIFS(76:76,$8:$8,"&gt;="&amp;DATE(YEAR(FE$8),1,1),$8:$8,"&lt;="&amp;EOMONTH(FE$8,0))/SUMIFS(76:76,$8:$8,"&gt;="&amp;DATE(YEAR(FE$8)-1,1,1),$8:$8,"&lt;="&amp;EOMONTH(FE$8,-12))-1</f>
        <v/>
      </c>
      <c r="FF79" s="1318">
        <f>SUMIFS(76:76,$8:$8,"&gt;="&amp;DATE(YEAR(FF$8),1,1),$8:$8,"&lt;="&amp;EOMONTH(FF$8,0))/SUMIFS(76:76,$8:$8,"&gt;="&amp;DATE(YEAR(FF$8)-1,1,1),$8:$8,"&lt;="&amp;EOMONTH(FF$8,-12))-1</f>
        <v/>
      </c>
      <c r="FG79" s="1318">
        <f>SUMIFS(76:76,$8:$8,"&gt;="&amp;DATE(YEAR(FG$8),1,1),$8:$8,"&lt;="&amp;EOMONTH(FG$8,0))/SUMIFS(76:76,$8:$8,"&gt;="&amp;DATE(YEAR(FG$8)-1,1,1),$8:$8,"&lt;="&amp;EOMONTH(FG$8,-12))-1</f>
        <v/>
      </c>
      <c r="FH79" s="1318">
        <f>SUMIFS(76:76,$8:$8,"&gt;="&amp;DATE(YEAR(FH$8),1,1),$8:$8,"&lt;="&amp;EOMONTH(FH$8,0))/SUMIFS(76:76,$8:$8,"&gt;="&amp;DATE(YEAR(FH$8)-1,1,1),$8:$8,"&lt;="&amp;EOMONTH(FH$8,-12))-1</f>
        <v/>
      </c>
      <c r="FI79" s="1318">
        <f>SUMIFS(76:76,$8:$8,"&gt;="&amp;DATE(YEAR(FI$8),1,1),$8:$8,"&lt;="&amp;EOMONTH(FI$8,0))/SUMIFS(76:76,$8:$8,"&gt;="&amp;DATE(YEAR(FI$8)-1,1,1),$8:$8,"&lt;="&amp;EOMONTH(FI$8,-12))-1</f>
        <v/>
      </c>
      <c r="FJ79" s="1318">
        <f>SUMIFS(76:76,$8:$8,"&gt;="&amp;DATE(YEAR(FJ$8),1,1),$8:$8,"&lt;="&amp;EOMONTH(FJ$8,0))/SUMIFS(76:76,$8:$8,"&gt;="&amp;DATE(YEAR(FJ$8)-1,1,1),$8:$8,"&lt;="&amp;EOMONTH(FJ$8,-12))-1</f>
        <v/>
      </c>
      <c r="FK79" s="1318">
        <f>SUMIFS(76:76,$8:$8,"&gt;="&amp;DATE(YEAR(FK$8),1,1),$8:$8,"&lt;="&amp;EOMONTH(FK$8,0))/SUMIFS(76:76,$8:$8,"&gt;="&amp;DATE(YEAR(FK$8)-1,1,1),$8:$8,"&lt;="&amp;EOMONTH(FK$8,-12))-1</f>
        <v/>
      </c>
      <c r="FL79" s="1318">
        <f>SUMIFS(76:76,$8:$8,"&gt;="&amp;DATE(YEAR(FL$8),1,1),$8:$8,"&lt;="&amp;EOMONTH(FL$8,0))/SUMIFS(76:76,$8:$8,"&gt;="&amp;DATE(YEAR(FL$8)-1,1,1),$8:$8,"&lt;="&amp;EOMONTH(FL$8,-12))-1</f>
        <v/>
      </c>
      <c r="FM79" s="1318">
        <f>SUMIFS(76:76,$8:$8,"&gt;="&amp;DATE(YEAR(FM$8),1,1),$8:$8,"&lt;="&amp;EOMONTH(FM$8,0))/SUMIFS(76:76,$8:$8,"&gt;="&amp;DATE(YEAR(FM$8)-1,1,1),$8:$8,"&lt;="&amp;EOMONTH(FM$8,-12))-1</f>
        <v/>
      </c>
      <c r="FN79" s="1318">
        <f>SUMIFS(76:76,$8:$8,"&gt;="&amp;DATE(YEAR(FN$8),1,1),$8:$8,"&lt;="&amp;EOMONTH(FN$8,0))/SUMIFS(76:76,$8:$8,"&gt;="&amp;DATE(YEAR(FN$8)-1,1,1),$8:$8,"&lt;="&amp;EOMONTH(FN$8,-12))-1</f>
        <v/>
      </c>
      <c r="FO79" s="1318">
        <f>SUMIFS(76:76,$8:$8,"&gt;="&amp;DATE(YEAR(FO$8),1,1),$8:$8,"&lt;="&amp;EOMONTH(FO$8,0))/SUMIFS(76:76,$8:$8,"&gt;="&amp;DATE(YEAR(FO$8)-1,1,1),$8:$8,"&lt;="&amp;EOMONTH(FO$8,-12))-1</f>
        <v/>
      </c>
      <c r="FP79" s="1318">
        <f>SUMIFS(76:76,$8:$8,"&gt;="&amp;DATE(YEAR(FP$8),1,1),$8:$8,"&lt;="&amp;EOMONTH(FP$8,0))/SUMIFS(76:76,$8:$8,"&gt;="&amp;DATE(YEAR(FP$8)-1,1,1),$8:$8,"&lt;="&amp;EOMONTH(FP$8,-12))-1</f>
        <v/>
      </c>
      <c r="FQ79" s="1318">
        <f>SUMIFS(76:76,$8:$8,"&gt;="&amp;DATE(YEAR(FQ$8),1,1),$8:$8,"&lt;="&amp;EOMONTH(FQ$8,0))/SUMIFS(76:76,$8:$8,"&gt;="&amp;DATE(YEAR(FQ$8)-1,1,1),$8:$8,"&lt;="&amp;EOMONTH(FQ$8,-12))-1</f>
        <v/>
      </c>
      <c r="FR79" s="1318">
        <f>SUMIFS(76:76,$8:$8,"&gt;="&amp;DATE(YEAR(FR$8),1,1),$8:$8,"&lt;="&amp;EOMONTH(FR$8,0))/SUMIFS(76:76,$8:$8,"&gt;="&amp;DATE(YEAR(FR$8)-1,1,1),$8:$8,"&lt;="&amp;EOMONTH(FR$8,-12))-1</f>
        <v/>
      </c>
      <c r="FS79" s="1318">
        <f>SUMIFS(76:76,$8:$8,"&gt;="&amp;DATE(YEAR(FS$8),1,1),$8:$8,"&lt;="&amp;EOMONTH(FS$8,0))/SUMIFS(76:76,$8:$8,"&gt;="&amp;DATE(YEAR(FS$8)-1,1,1),$8:$8,"&lt;="&amp;EOMONTH(FS$8,-12))-1</f>
        <v/>
      </c>
      <c r="FT79" s="1318">
        <f>SUMIFS(76:76,$8:$8,"&gt;="&amp;DATE(YEAR(FT$8),1,1),$8:$8,"&lt;="&amp;EOMONTH(FT$8,0))/SUMIFS(76:76,$8:$8,"&gt;="&amp;DATE(YEAR(FT$8)-1,1,1),$8:$8,"&lt;="&amp;EOMONTH(FT$8,-12))-1</f>
        <v/>
      </c>
      <c r="FU79" s="1318">
        <f>SUMIFS(76:76,$8:$8,"&gt;="&amp;DATE(YEAR(FU$8),1,1),$8:$8,"&lt;="&amp;EOMONTH(FU$8,0))/SUMIFS(76:76,$8:$8,"&gt;="&amp;DATE(YEAR(FU$8)-1,1,1),$8:$8,"&lt;="&amp;EOMONTH(FU$8,-12))-1</f>
        <v/>
      </c>
      <c r="FV79" s="1318">
        <f>SUMIFS(76:76,$8:$8,"&gt;="&amp;DATE(YEAR(FV$8),1,1),$8:$8,"&lt;="&amp;EOMONTH(FV$8,0))/SUMIFS(76:76,$8:$8,"&gt;="&amp;DATE(YEAR(FV$8)-1,1,1),$8:$8,"&lt;="&amp;EOMONTH(FV$8,-12))-1</f>
        <v/>
      </c>
      <c r="FW79" s="1318">
        <f>SUMIFS(76:76,$8:$8,"&gt;="&amp;DATE(YEAR(FW$8),1,1),$8:$8,"&lt;="&amp;EOMONTH(FW$8,0))/SUMIFS(76:76,$8:$8,"&gt;="&amp;DATE(YEAR(FW$8)-1,1,1),$8:$8,"&lt;="&amp;EOMONTH(FW$8,-12))-1</f>
        <v/>
      </c>
      <c r="FX79" s="1318">
        <f>SUMIFS(76:76,$8:$8,"&gt;="&amp;DATE(YEAR(FX$8),1,1),$8:$8,"&lt;="&amp;EOMONTH(FX$8,0))/SUMIFS(76:76,$8:$8,"&gt;="&amp;DATE(YEAR(FX$8)-1,1,1),$8:$8,"&lt;="&amp;EOMONTH(FX$8,-12))-1</f>
        <v/>
      </c>
      <c r="FY79" s="1318">
        <f>SUMIFS(76:76,$8:$8,"&gt;="&amp;DATE(YEAR(FY$8),1,1),$8:$8,"&lt;="&amp;EOMONTH(FY$8,0))/SUMIFS(76:76,$8:$8,"&gt;="&amp;DATE(YEAR(FY$8)-1,1,1),$8:$8,"&lt;="&amp;EOMONTH(FY$8,-12))-1</f>
        <v/>
      </c>
      <c r="FZ79" s="1318">
        <f>SUMIFS(76:76,$8:$8,"&gt;="&amp;DATE(YEAR(FZ$8),1,1),$8:$8,"&lt;="&amp;EOMONTH(FZ$8,0))/SUMIFS(76:76,$8:$8,"&gt;="&amp;DATE(YEAR(FZ$8)-1,1,1),$8:$8,"&lt;="&amp;EOMONTH(FZ$8,-12))-1</f>
        <v/>
      </c>
      <c r="GA79" s="1318">
        <f>SUMIFS(76:76,$8:$8,"&gt;="&amp;DATE(YEAR(GA$8),1,1),$8:$8,"&lt;="&amp;EOMONTH(GA$8,0))/SUMIFS(76:76,$8:$8,"&gt;="&amp;DATE(YEAR(GA$8)-1,1,1),$8:$8,"&lt;="&amp;EOMONTH(GA$8,-12))-1</f>
        <v/>
      </c>
      <c r="GB79" s="1318">
        <f>SUMIFS(76:76,$8:$8,"&gt;="&amp;DATE(YEAR(GB$8),1,1),$8:$8,"&lt;="&amp;EOMONTH(GB$8,0))/SUMIFS(76:76,$8:$8,"&gt;="&amp;DATE(YEAR(GB$8)-1,1,1),$8:$8,"&lt;="&amp;EOMONTH(GB$8,-12))-1</f>
        <v/>
      </c>
      <c r="GC79" s="1318">
        <f>SUMIFS(76:76,$8:$8,"&gt;="&amp;DATE(YEAR(GC$8),1,1),$8:$8,"&lt;="&amp;EOMONTH(GC$8,0))/SUMIFS(76:76,$8:$8,"&gt;="&amp;DATE(YEAR(GC$8)-1,1,1),$8:$8,"&lt;="&amp;EOMONTH(GC$8,-12))-1</f>
        <v/>
      </c>
      <c r="GD79" s="1318">
        <f>SUMIFS(76:76,$8:$8,"&gt;="&amp;DATE(YEAR(GD$8),1,1),$8:$8,"&lt;="&amp;EOMONTH(GD$8,0))/SUMIFS(76:76,$8:$8,"&gt;="&amp;DATE(YEAR(GD$8)-1,1,1),$8:$8,"&lt;="&amp;EOMONTH(GD$8,-12))-1</f>
        <v/>
      </c>
      <c r="GE79" s="1318">
        <f>SUMIFS(76:76,$8:$8,"&gt;="&amp;DATE(YEAR(GE$8),1,1),$8:$8,"&lt;="&amp;EOMONTH(GE$8,0))/SUMIFS(76:76,$8:$8,"&gt;="&amp;DATE(YEAR(GE$8)-1,1,1),$8:$8,"&lt;="&amp;EOMONTH(GE$8,-12))-1</f>
        <v/>
      </c>
      <c r="GF79" s="1318">
        <f>SUMIFS(76:76,$8:$8,"&gt;="&amp;DATE(YEAR(GF$8),1,1),$8:$8,"&lt;="&amp;EOMONTH(GF$8,0))/SUMIFS(76:76,$8:$8,"&gt;="&amp;DATE(YEAR(GF$8)-1,1,1),$8:$8,"&lt;="&amp;EOMONTH(GF$8,-12))-1</f>
        <v/>
      </c>
      <c r="GG79" s="1318">
        <f>SUMIFS(76:76,$8:$8,"&gt;="&amp;DATE(YEAR(GG$8),1,1),$8:$8,"&lt;="&amp;EOMONTH(GG$8,0))/SUMIFS(76:76,$8:$8,"&gt;="&amp;DATE(YEAR(GG$8)-1,1,1),$8:$8,"&lt;="&amp;EOMONTH(GG$8,-12))-1</f>
        <v/>
      </c>
      <c r="GH79" s="1318">
        <f>SUMIFS(76:76,$8:$8,"&gt;="&amp;DATE(YEAR(GH$8),1,1),$8:$8,"&lt;="&amp;EOMONTH(GH$8,0))/SUMIFS(76:76,$8:$8,"&gt;="&amp;DATE(YEAR(GH$8)-1,1,1),$8:$8,"&lt;="&amp;EOMONTH(GH$8,-12))-1</f>
        <v/>
      </c>
      <c r="GI79" s="1318">
        <f>SUMIFS(76:76,$8:$8,"&gt;="&amp;DATE(YEAR(GI$8),1,1),$8:$8,"&lt;="&amp;EOMONTH(GI$8,0))/SUMIFS(76:76,$8:$8,"&gt;="&amp;DATE(YEAR(GI$8)-1,1,1),$8:$8,"&lt;="&amp;EOMONTH(GI$8,-12))-1</f>
        <v/>
      </c>
      <c r="GJ79" s="1318">
        <f>SUMIFS(76:76,$8:$8,"&gt;="&amp;DATE(YEAR(GJ$8),1,1),$8:$8,"&lt;="&amp;EOMONTH(GJ$8,0))/SUMIFS(76:76,$8:$8,"&gt;="&amp;DATE(YEAR(GJ$8)-1,1,1),$8:$8,"&lt;="&amp;EOMONTH(GJ$8,-12))-1</f>
        <v/>
      </c>
      <c r="GK79" s="1318">
        <f>SUMIFS(76:76,$8:$8,"&gt;="&amp;DATE(YEAR(GK$8),1,1),$8:$8,"&lt;="&amp;EOMONTH(GK$8,0))/SUMIFS(76:76,$8:$8,"&gt;="&amp;DATE(YEAR(GK$8)-1,1,1),$8:$8,"&lt;="&amp;EOMONTH(GK$8,-12))-1</f>
        <v/>
      </c>
      <c r="GL79" s="1318">
        <f>SUMIFS(76:76,$8:$8,"&gt;="&amp;DATE(YEAR(GL$8),1,1),$8:$8,"&lt;="&amp;EOMONTH(GL$8,0))/SUMIFS(76:76,$8:$8,"&gt;="&amp;DATE(YEAR(GL$8)-1,1,1),$8:$8,"&lt;="&amp;EOMONTH(GL$8,-12))-1</f>
        <v/>
      </c>
      <c r="GM79" s="1318">
        <f>SUMIFS(76:76,$8:$8,"&gt;="&amp;DATE(YEAR(GM$8),1,1),$8:$8,"&lt;="&amp;EOMONTH(GM$8,0))/SUMIFS(76:76,$8:$8,"&gt;="&amp;DATE(YEAR(GM$8)-1,1,1),$8:$8,"&lt;="&amp;EOMONTH(GM$8,-12))-1</f>
        <v/>
      </c>
      <c r="GN79" s="1318">
        <f>SUMIFS(76:76,$8:$8,"&gt;="&amp;DATE(YEAR(GN$8),1,1),$8:$8,"&lt;="&amp;EOMONTH(GN$8,0))/SUMIFS(76:76,$8:$8,"&gt;="&amp;DATE(YEAR(GN$8)-1,1,1),$8:$8,"&lt;="&amp;EOMONTH(GN$8,-12))-1</f>
        <v/>
      </c>
      <c r="GO79" s="1318">
        <f>SUMIFS(76:76,$8:$8,"&gt;="&amp;DATE(YEAR(GO$8),1,1),$8:$8,"&lt;="&amp;EOMONTH(GO$8,0))/SUMIFS(76:76,$8:$8,"&gt;="&amp;DATE(YEAR(GO$8)-1,1,1),$8:$8,"&lt;="&amp;EOMONTH(GO$8,-12))-1</f>
        <v/>
      </c>
      <c r="GP79" s="1318">
        <f>SUMIFS(76:76,$8:$8,"&gt;="&amp;DATE(YEAR(GP$8),1,1),$8:$8,"&lt;="&amp;EOMONTH(GP$8,0))/SUMIFS(76:76,$8:$8,"&gt;="&amp;DATE(YEAR(GP$8)-1,1,1),$8:$8,"&lt;="&amp;EOMONTH(GP$8,-12))-1</f>
        <v/>
      </c>
      <c r="GQ79" s="1318">
        <f>SUMIFS(76:76,$8:$8,"&gt;="&amp;DATE(YEAR(GQ$8),1,1),$8:$8,"&lt;="&amp;EOMONTH(GQ$8,0))/SUMIFS(76:76,$8:$8,"&gt;="&amp;DATE(YEAR(GQ$8)-1,1,1),$8:$8,"&lt;="&amp;EOMONTH(GQ$8,-12))-1</f>
        <v/>
      </c>
      <c r="GR79" s="1318">
        <f>SUMIFS(76:76,$8:$8,"&gt;="&amp;DATE(YEAR(GR$8),1,1),$8:$8,"&lt;="&amp;EOMONTH(GR$8,0))/SUMIFS(76:76,$8:$8,"&gt;="&amp;DATE(YEAR(GR$8)-1,1,1),$8:$8,"&lt;="&amp;EOMONTH(GR$8,-12))-1</f>
        <v/>
      </c>
      <c r="GS79" s="1318">
        <f>SUMIFS(76:76,$8:$8,"&gt;="&amp;DATE(YEAR(GS$8),1,1),$8:$8,"&lt;="&amp;EOMONTH(GS$8,0))/SUMIFS(76:76,$8:$8,"&gt;="&amp;DATE(YEAR(GS$8)-1,1,1),$8:$8,"&lt;="&amp;EOMONTH(GS$8,-12))-1</f>
        <v/>
      </c>
      <c r="GT79" s="1318">
        <f>SUMIFS(76:76,$8:$8,"&gt;="&amp;DATE(YEAR(GT$8),1,1),$8:$8,"&lt;="&amp;EOMONTH(GT$8,0))/SUMIFS(76:76,$8:$8,"&gt;="&amp;DATE(YEAR(GT$8)-1,1,1),$8:$8,"&lt;="&amp;EOMONTH(GT$8,-12))-1</f>
        <v/>
      </c>
      <c r="GU79" s="1318">
        <f>SUMIFS(76:76,$8:$8,"&gt;="&amp;DATE(YEAR(GU$8),1,1),$8:$8,"&lt;="&amp;EOMONTH(GU$8,0))/SUMIFS(76:76,$8:$8,"&gt;="&amp;DATE(YEAR(GU$8)-1,1,1),$8:$8,"&lt;="&amp;EOMONTH(GU$8,-12))-1</f>
        <v/>
      </c>
      <c r="GV79" s="1318">
        <f>SUMIFS(76:76,$8:$8,"&gt;="&amp;DATE(YEAR(GV$8),1,1),$8:$8,"&lt;="&amp;EOMONTH(GV$8,0))/SUMIFS(76:76,$8:$8,"&gt;="&amp;DATE(YEAR(GV$8)-1,1,1),$8:$8,"&lt;="&amp;EOMONTH(GV$8,-12))-1</f>
        <v/>
      </c>
      <c r="GW79" s="1318">
        <f>SUMIFS(76:76,$8:$8,"&gt;="&amp;DATE(YEAR(GW$8),1,1),$8:$8,"&lt;="&amp;EOMONTH(GW$8,0))/SUMIFS(76:76,$8:$8,"&gt;="&amp;DATE(YEAR(GW$8)-1,1,1),$8:$8,"&lt;="&amp;EOMONTH(GW$8,-12))-1</f>
        <v/>
      </c>
      <c r="GX79" s="1318">
        <f>SUMIFS(76:76,$8:$8,"&gt;="&amp;DATE(YEAR(GX$8),1,1),$8:$8,"&lt;="&amp;EOMONTH(GX$8,0))/SUMIFS(76:76,$8:$8,"&gt;="&amp;DATE(YEAR(GX$8)-1,1,1),$8:$8,"&lt;="&amp;EOMONTH(GX$8,-12))-1</f>
        <v/>
      </c>
      <c r="GY79" s="1318">
        <f>SUMIFS(76:76,$8:$8,"&gt;="&amp;DATE(YEAR(GY$8),1,1),$8:$8,"&lt;="&amp;EOMONTH(GY$8,0))/SUMIFS(76:76,$8:$8,"&gt;="&amp;DATE(YEAR(GY$8)-1,1,1),$8:$8,"&lt;="&amp;EOMONTH(GY$8,-12))-1</f>
        <v/>
      </c>
      <c r="GZ79" s="1318">
        <f>SUMIFS(76:76,$8:$8,"&gt;="&amp;DATE(YEAR(GZ$8),1,1),$8:$8,"&lt;="&amp;EOMONTH(GZ$8,0))/SUMIFS(76:76,$8:$8,"&gt;="&amp;DATE(YEAR(GZ$8)-1,1,1),$8:$8,"&lt;="&amp;EOMONTH(GZ$8,-12))-1</f>
        <v/>
      </c>
      <c r="HA79" s="1318">
        <f>SUMIFS(76:76,$8:$8,"&gt;="&amp;DATE(YEAR(HA$8),1,1),$8:$8,"&lt;="&amp;EOMONTH(HA$8,0))/SUMIFS(76:76,$8:$8,"&gt;="&amp;DATE(YEAR(HA$8)-1,1,1),$8:$8,"&lt;="&amp;EOMONTH(HA$8,-12))-1</f>
        <v/>
      </c>
      <c r="HB79" s="1318">
        <f>SUMIFS(76:76,$8:$8,"&gt;="&amp;DATE(YEAR(HB$8),1,1),$8:$8,"&lt;="&amp;EOMONTH(HB$8,0))/SUMIFS(76:76,$8:$8,"&gt;="&amp;DATE(YEAR(HB$8)-1,1,1),$8:$8,"&lt;="&amp;EOMONTH(HB$8,-12))-1</f>
        <v/>
      </c>
      <c r="HC79" s="1318">
        <f>SUMIFS(76:76,$8:$8,"&gt;="&amp;DATE(YEAR(HC$8),1,1),$8:$8,"&lt;="&amp;EOMONTH(HC$8,0))/SUMIFS(76:76,$8:$8,"&gt;="&amp;DATE(YEAR(HC$8)-1,1,1),$8:$8,"&lt;="&amp;EOMONTH(HC$8,-12))-1</f>
        <v/>
      </c>
      <c r="HD79" s="1318">
        <f>SUMIFS(76:76,$8:$8,"&gt;="&amp;DATE(YEAR(HD$8),1,1),$8:$8,"&lt;="&amp;EOMONTH(HD$8,0))/SUMIFS(76:76,$8:$8,"&gt;="&amp;DATE(YEAR(HD$8)-1,1,1),$8:$8,"&lt;="&amp;EOMONTH(HD$8,-12))-1</f>
        <v/>
      </c>
      <c r="HE79" s="1318">
        <f>SUMIFS(76:76,$8:$8,"&gt;="&amp;DATE(YEAR(HE$8),1,1),$8:$8,"&lt;="&amp;EOMONTH(HE$8,0))/SUMIFS(76:76,$8:$8,"&gt;="&amp;DATE(YEAR(HE$8)-1,1,1),$8:$8,"&lt;="&amp;EOMONTH(HE$8,-12))-1</f>
        <v/>
      </c>
      <c r="HF79" s="1318">
        <f>SUMIFS(76:76,$8:$8,"&gt;="&amp;DATE(YEAR(HF$8),1,1),$8:$8,"&lt;="&amp;EOMONTH(HF$8,0))/SUMIFS(76:76,$8:$8,"&gt;="&amp;DATE(YEAR(HF$8)-1,1,1),$8:$8,"&lt;="&amp;EOMONTH(HF$8,-12))-1</f>
        <v/>
      </c>
      <c r="HG79" s="1318">
        <f>SUMIFS(76:76,$8:$8,"&gt;="&amp;DATE(YEAR(HG$8),1,1),$8:$8,"&lt;="&amp;EOMONTH(HG$8,0))/SUMIFS(76:76,$8:$8,"&gt;="&amp;DATE(YEAR(HG$8)-1,1,1),$8:$8,"&lt;="&amp;EOMONTH(HG$8,-12))-1</f>
        <v/>
      </c>
      <c r="HH79" s="1318">
        <f>SUMIFS(76:76,$8:$8,"&gt;="&amp;DATE(YEAR(HH$8),1,1),$8:$8,"&lt;="&amp;EOMONTH(HH$8,0))/SUMIFS(76:76,$8:$8,"&gt;="&amp;DATE(YEAR(HH$8)-1,1,1),$8:$8,"&lt;="&amp;EOMONTH(HH$8,-12))-1</f>
        <v/>
      </c>
      <c r="HI79" s="1318">
        <f>SUMIFS(76:76,$8:$8,"&gt;="&amp;DATE(YEAR(HI$8),1,1),$8:$8,"&lt;="&amp;EOMONTH(HI$8,0))/SUMIFS(76:76,$8:$8,"&gt;="&amp;DATE(YEAR(HI$8)-1,1,1),$8:$8,"&lt;="&amp;EOMONTH(HI$8,-12))-1</f>
        <v/>
      </c>
      <c r="HJ79" s="1318">
        <f>SUMIFS(76:76,$8:$8,"&gt;="&amp;DATE(YEAR(HJ$8),1,1),$8:$8,"&lt;="&amp;EOMONTH(HJ$8,0))/SUMIFS(76:76,$8:$8,"&gt;="&amp;DATE(YEAR(HJ$8)-1,1,1),$8:$8,"&lt;="&amp;EOMONTH(HJ$8,-12))-1</f>
        <v/>
      </c>
      <c r="HK79" s="1318">
        <f>SUMIFS(76:76,$8:$8,"&gt;="&amp;DATE(YEAR(HK$8),1,1),$8:$8,"&lt;="&amp;EOMONTH(HK$8,0))/SUMIFS(76:76,$8:$8,"&gt;="&amp;DATE(YEAR(HK$8)-1,1,1),$8:$8,"&lt;="&amp;EOMONTH(HK$8,-12))-1</f>
        <v/>
      </c>
      <c r="HL79" s="1318">
        <f>SUMIFS(76:76,$8:$8,"&gt;="&amp;DATE(YEAR(HL$8),1,1),$8:$8,"&lt;="&amp;EOMONTH(HL$8,0))/SUMIFS(76:76,$8:$8,"&gt;="&amp;DATE(YEAR(HL$8)-1,1,1),$8:$8,"&lt;="&amp;EOMONTH(HL$8,-12))-1</f>
        <v/>
      </c>
      <c r="HM79" s="1318">
        <f>SUMIFS(76:76,$8:$8,"&gt;="&amp;DATE(YEAR(HM$8),1,1),$8:$8,"&lt;="&amp;EOMONTH(HM$8,0))/SUMIFS(76:76,$8:$8,"&gt;="&amp;DATE(YEAR(HM$8)-1,1,1),$8:$8,"&lt;="&amp;EOMONTH(HM$8,-12))-1</f>
        <v/>
      </c>
      <c r="HN79" s="1318">
        <f>SUMIFS(76:76,$8:$8,"&gt;="&amp;DATE(YEAR(HN$8),1,1),$8:$8,"&lt;="&amp;EOMONTH(HN$8,0))/SUMIFS(76:76,$8:$8,"&gt;="&amp;DATE(YEAR(HN$8)-1,1,1),$8:$8,"&lt;="&amp;EOMONTH(HN$8,-12))-1</f>
        <v/>
      </c>
      <c r="HO79" s="1318">
        <f>SUMIFS(76:76,$8:$8,"&gt;="&amp;DATE(YEAR(HO$8),1,1),$8:$8,"&lt;="&amp;EOMONTH(HO$8,0))/SUMIFS(76:76,$8:$8,"&gt;="&amp;DATE(YEAR(HO$8)-1,1,1),$8:$8,"&lt;="&amp;EOMONTH(HO$8,-12))-1</f>
        <v/>
      </c>
      <c r="HP79" s="1318">
        <f>SUMIFS(76:76,$8:$8,"&gt;="&amp;DATE(YEAR(HP$8),1,1),$8:$8,"&lt;="&amp;EOMONTH(HP$8,0))/SUMIFS(76:76,$8:$8,"&gt;="&amp;DATE(YEAR(HP$8)-1,1,1),$8:$8,"&lt;="&amp;EOMONTH(HP$8,-12))-1</f>
        <v/>
      </c>
      <c r="HQ79" s="1318">
        <f>SUMIFS(76:76,$8:$8,"&gt;="&amp;DATE(YEAR(HQ$8),1,1),$8:$8,"&lt;="&amp;EOMONTH(HQ$8,0))/SUMIFS(76:76,$8:$8,"&gt;="&amp;DATE(YEAR(HQ$8)-1,1,1),$8:$8,"&lt;="&amp;EOMONTH(HQ$8,-12))-1</f>
        <v/>
      </c>
      <c r="HR79" s="1318">
        <f>SUMIFS(76:76,$8:$8,"&gt;="&amp;DATE(YEAR(HR$8),1,1),$8:$8,"&lt;="&amp;EOMONTH(HR$8,0))/SUMIFS(76:76,$8:$8,"&gt;="&amp;DATE(YEAR(HR$8)-1,1,1),$8:$8,"&lt;="&amp;EOMONTH(HR$8,-12))-1</f>
        <v/>
      </c>
      <c r="HS79" s="1318">
        <f>SUMIFS(76:76,$8:$8,"&gt;="&amp;DATE(YEAR(HS$8),1,1),$8:$8,"&lt;="&amp;EOMONTH(HS$8,0))/SUMIFS(76:76,$8:$8,"&gt;="&amp;DATE(YEAR(HS$8)-1,1,1),$8:$8,"&lt;="&amp;EOMONTH(HS$8,-12))-1</f>
        <v/>
      </c>
      <c r="HT79" s="1318">
        <f>SUMIFS(76:76,$8:$8,"&gt;="&amp;DATE(YEAR(HT$8),1,1),$8:$8,"&lt;="&amp;EOMONTH(HT$8,0))/SUMIFS(76:76,$8:$8,"&gt;="&amp;DATE(YEAR(HT$8)-1,1,1),$8:$8,"&lt;="&amp;EOMONTH(HT$8,-12))-1</f>
        <v/>
      </c>
      <c r="HU79" s="1318">
        <f>SUMIFS(76:76,$8:$8,"&gt;="&amp;DATE(YEAR(HU$8),1,1),$8:$8,"&lt;="&amp;EOMONTH(HU$8,0))/SUMIFS(76:76,$8:$8,"&gt;="&amp;DATE(YEAR(HU$8)-1,1,1),$8:$8,"&lt;="&amp;EOMONTH(HU$8,-12))-1</f>
        <v/>
      </c>
      <c r="HV79" s="1318">
        <f>SUMIFS(76:76,$8:$8,"&gt;="&amp;DATE(YEAR(HV$8),1,1),$8:$8,"&lt;="&amp;EOMONTH(HV$8,0))/SUMIFS(76:76,$8:$8,"&gt;="&amp;DATE(YEAR(HV$8)-1,1,1),$8:$8,"&lt;="&amp;EOMONTH(HV$8,-12))-1</f>
        <v/>
      </c>
      <c r="HW79" s="1318">
        <f>SUMIFS(76:76,$8:$8,"&gt;="&amp;DATE(YEAR(HW$8),1,1),$8:$8,"&lt;="&amp;EOMONTH(HW$8,0))/SUMIFS(76:76,$8:$8,"&gt;="&amp;DATE(YEAR(HW$8)-1,1,1),$8:$8,"&lt;="&amp;EOMONTH(HW$8,-12))-1</f>
        <v/>
      </c>
      <c r="HX79" s="1318">
        <f>SUMIFS(76:76,$8:$8,"&gt;="&amp;DATE(YEAR(HX$8),1,1),$8:$8,"&lt;="&amp;EOMONTH(HX$8,0))/SUMIFS(76:76,$8:$8,"&gt;="&amp;DATE(YEAR(HX$8)-1,1,1),$8:$8,"&lt;="&amp;EOMONTH(HX$8,-12))-1</f>
        <v/>
      </c>
      <c r="HY79" s="1318">
        <f>SUMIFS(76:76,$8:$8,"&gt;="&amp;DATE(YEAR(HY$8),1,1),$8:$8,"&lt;="&amp;EOMONTH(HY$8,0))/SUMIFS(76:76,$8:$8,"&gt;="&amp;DATE(YEAR(HY$8)-1,1,1),$8:$8,"&lt;="&amp;EOMONTH(HY$8,-12))-1</f>
        <v/>
      </c>
      <c r="HZ79" s="1318">
        <f>SUMIFS(76:76,$8:$8,"&gt;="&amp;DATE(YEAR(HZ$8),1,1),$8:$8,"&lt;="&amp;EOMONTH(HZ$8,0))/SUMIFS(76:76,$8:$8,"&gt;="&amp;DATE(YEAR(HZ$8)-1,1,1),$8:$8,"&lt;="&amp;EOMONTH(HZ$8,-12))-1</f>
        <v/>
      </c>
      <c r="IA79" s="1318">
        <f>SUMIFS(76:76,$8:$8,"&gt;="&amp;DATE(YEAR(IA$8),1,1),$8:$8,"&lt;="&amp;EOMONTH(IA$8,0))/SUMIFS(76:76,$8:$8,"&gt;="&amp;DATE(YEAR(IA$8)-1,1,1),$8:$8,"&lt;="&amp;EOMONTH(IA$8,-12))-1</f>
        <v/>
      </c>
      <c r="IB79" s="1318">
        <f>SUMIFS(76:76,$8:$8,"&gt;="&amp;DATE(YEAR(IB$8),1,1),$8:$8,"&lt;="&amp;EOMONTH(IB$8,0))/SUMIFS(76:76,$8:$8,"&gt;="&amp;DATE(YEAR(IB$8)-1,1,1),$8:$8,"&lt;="&amp;EOMONTH(IB$8,-12))-1</f>
        <v/>
      </c>
      <c r="IC79" s="1318">
        <f>SUMIFS(76:76,$8:$8,"&gt;="&amp;DATE(YEAR(IC$8),1,1),$8:$8,"&lt;="&amp;EOMONTH(IC$8,0))/SUMIFS(76:76,$8:$8,"&gt;="&amp;DATE(YEAR(IC$8)-1,1,1),$8:$8,"&lt;="&amp;EOMONTH(IC$8,-12))-1</f>
        <v/>
      </c>
      <c r="ID79" s="1318">
        <f>SUMIFS(76:76,$8:$8,"&gt;="&amp;DATE(YEAR(ID$8),1,1),$8:$8,"&lt;="&amp;EOMONTH(ID$8,0))/SUMIFS(76:76,$8:$8,"&gt;="&amp;DATE(YEAR(ID$8)-1,1,1),$8:$8,"&lt;="&amp;EOMONTH(ID$8,-12))-1</f>
        <v/>
      </c>
      <c r="IE79" s="1318">
        <f>SUMIFS(76:76,$8:$8,"&gt;="&amp;DATE(YEAR(IE$8),1,1),$8:$8,"&lt;="&amp;EOMONTH(IE$8,0))/SUMIFS(76:76,$8:$8,"&gt;="&amp;DATE(YEAR(IE$8)-1,1,1),$8:$8,"&lt;="&amp;EOMONTH(IE$8,-12))-1</f>
        <v/>
      </c>
      <c r="IF79" s="1318">
        <f>SUMIFS(76:76,$8:$8,"&gt;="&amp;DATE(YEAR(IF$8),1,1),$8:$8,"&lt;="&amp;EOMONTH(IF$8,0))/SUMIFS(76:76,$8:$8,"&gt;="&amp;DATE(YEAR(IF$8)-1,1,1),$8:$8,"&lt;="&amp;EOMONTH(IF$8,-12))-1</f>
        <v/>
      </c>
      <c r="IG79" s="1318">
        <f>SUMIFS(76:76,$8:$8,"&gt;="&amp;DATE(YEAR(IG$8),1,1),$8:$8,"&lt;="&amp;EOMONTH(IG$8,0))/SUMIFS(76:76,$8:$8,"&gt;="&amp;DATE(YEAR(IG$8)-1,1,1),$8:$8,"&lt;="&amp;EOMONTH(IG$8,-12))-1</f>
        <v/>
      </c>
      <c r="IH79" s="1318">
        <f>SUMIFS(76:76,$8:$8,"&gt;="&amp;DATE(YEAR(IH$8),1,1),$8:$8,"&lt;="&amp;EOMONTH(IH$8,0))/SUMIFS(76:76,$8:$8,"&gt;="&amp;DATE(YEAR(IH$8)-1,1,1),$8:$8,"&lt;="&amp;EOMONTH(IH$8,-12))-1</f>
        <v/>
      </c>
      <c r="II79" s="1318">
        <f>SUMIFS(76:76,$8:$8,"&gt;="&amp;DATE(YEAR(II$8),1,1),$8:$8,"&lt;="&amp;EOMONTH(II$8,0))/SUMIFS(76:76,$8:$8,"&gt;="&amp;DATE(YEAR(II$8)-1,1,1),$8:$8,"&lt;="&amp;EOMONTH(II$8,-12))-1</f>
        <v/>
      </c>
      <c r="IJ79" s="1318">
        <f>SUMIFS(76:76,$8:$8,"&gt;="&amp;DATE(YEAR(IJ$8),1,1),$8:$8,"&lt;="&amp;EOMONTH(IJ$8,0))/SUMIFS(76:76,$8:$8,"&gt;="&amp;DATE(YEAR(IJ$8)-1,1,1),$8:$8,"&lt;="&amp;EOMONTH(IJ$8,-12))-1</f>
        <v/>
      </c>
      <c r="IK79" s="1318">
        <f>SUMIFS(76:76,$8:$8,"&gt;="&amp;DATE(YEAR(IK$8),1,1),$8:$8,"&lt;="&amp;EOMONTH(IK$8,0))/SUMIFS(76:76,$8:$8,"&gt;="&amp;DATE(YEAR(IK$8)-1,1,1),$8:$8,"&lt;="&amp;EOMONTH(IK$8,-12))-1</f>
        <v/>
      </c>
      <c r="IL79" s="1318">
        <f>SUMIFS(76:76,$8:$8,"&gt;="&amp;DATE(YEAR(IL$8),1,1),$8:$8,"&lt;="&amp;EOMONTH(IL$8,0))/SUMIFS(76:76,$8:$8,"&gt;="&amp;DATE(YEAR(IL$8)-1,1,1),$8:$8,"&lt;="&amp;EOMONTH(IL$8,-12))-1</f>
        <v/>
      </c>
      <c r="IM79" s="1318">
        <f>SUMIFS(76:76,$8:$8,"&gt;="&amp;DATE(YEAR(IM$8),1,1),$8:$8,"&lt;="&amp;EOMONTH(IM$8,0))/SUMIFS(76:76,$8:$8,"&gt;="&amp;DATE(YEAR(IM$8)-1,1,1),$8:$8,"&lt;="&amp;EOMONTH(IM$8,-12))-1</f>
        <v/>
      </c>
      <c r="IN79" s="1318">
        <f>SUMIFS(76:76,$8:$8,"&gt;="&amp;DATE(YEAR(IN$8),1,1),$8:$8,"&lt;="&amp;EOMONTH(IN$8,0))/SUMIFS(76:76,$8:$8,"&gt;="&amp;DATE(YEAR(IN$8)-1,1,1),$8:$8,"&lt;="&amp;EOMONTH(IN$8,-12))-1</f>
        <v/>
      </c>
      <c r="IO79" s="1318">
        <f>SUMIFS(76:76,$8:$8,"&gt;="&amp;DATE(YEAR(IO$8),1,1),$8:$8,"&lt;="&amp;EOMONTH(IO$8,0))/SUMIFS(76:76,$8:$8,"&gt;="&amp;DATE(YEAR(IO$8)-1,1,1),$8:$8,"&lt;="&amp;EOMONTH(IO$8,-12))-1</f>
        <v/>
      </c>
      <c r="IP79" s="1318">
        <f>SUMIFS(76:76,$8:$8,"&gt;="&amp;DATE(YEAR(IP$8),1,1),$8:$8,"&lt;="&amp;EOMONTH(IP$8,0))/SUMIFS(76:76,$8:$8,"&gt;="&amp;DATE(YEAR(IP$8)-1,1,1),$8:$8,"&lt;="&amp;EOMONTH(IP$8,-12))-1</f>
        <v/>
      </c>
      <c r="IQ79" s="1318">
        <f>SUMIFS(76:76,$8:$8,"&gt;="&amp;DATE(YEAR(IQ$8),1,1),$8:$8,"&lt;="&amp;EOMONTH(IQ$8,0))/SUMIFS(76:76,$8:$8,"&gt;="&amp;DATE(YEAR(IQ$8)-1,1,1),$8:$8,"&lt;="&amp;EOMONTH(IQ$8,-12))-1</f>
        <v/>
      </c>
      <c r="IR79" s="1318">
        <f>SUMIFS(76:76,$8:$8,"&gt;="&amp;DATE(YEAR(IR$8),1,1),$8:$8,"&lt;="&amp;EOMONTH(IR$8,0))/SUMIFS(76:76,$8:$8,"&gt;="&amp;DATE(YEAR(IR$8)-1,1,1),$8:$8,"&lt;="&amp;EOMONTH(IR$8,-12))-1</f>
        <v/>
      </c>
      <c r="IS79" s="1318">
        <f>SUMIFS(76:76,$8:$8,"&gt;="&amp;DATE(YEAR(IS$8),1,1),$8:$8,"&lt;="&amp;EOMONTH(IS$8,0))/SUMIFS(76:76,$8:$8,"&gt;="&amp;DATE(YEAR(IS$8)-1,1,1),$8:$8,"&lt;="&amp;EOMONTH(IS$8,-12))-1</f>
        <v/>
      </c>
      <c r="IT79" s="1318">
        <f>SUMIFS(76:76,$8:$8,"&gt;="&amp;DATE(YEAR(IT$8),1,1),$8:$8,"&lt;="&amp;EOMONTH(IT$8,0))/SUMIFS(76:76,$8:$8,"&gt;="&amp;DATE(YEAR(IT$8)-1,1,1),$8:$8,"&lt;="&amp;EOMONTH(IT$8,-12))-1</f>
        <v/>
      </c>
      <c r="IU79" s="1318">
        <f>SUMIFS(76:76,$8:$8,"&gt;="&amp;DATE(YEAR(IU$8),1,1),$8:$8,"&lt;="&amp;EOMONTH(IU$8,0))/SUMIFS(76:76,$8:$8,"&gt;="&amp;DATE(YEAR(IU$8)-1,1,1),$8:$8,"&lt;="&amp;EOMONTH(IU$8,-12))-1</f>
        <v/>
      </c>
      <c r="IV79" s="1318">
        <f>SUMIFS(76:76,$8:$8,"&gt;="&amp;DATE(YEAR(IV$8),1,1),$8:$8,"&lt;="&amp;EOMONTH(IV$8,0))/SUMIFS(76:76,$8:$8,"&gt;="&amp;DATE(YEAR(IV$8)-1,1,1),$8:$8,"&lt;="&amp;EOMONTH(IV$8,-12))-1</f>
        <v/>
      </c>
      <c r="IW79" s="1318">
        <f>SUMIFS(76:76,$8:$8,"&gt;="&amp;DATE(YEAR(IW$8),1,1),$8:$8,"&lt;="&amp;EOMONTH(IW$8,0))/SUMIFS(76:76,$8:$8,"&gt;="&amp;DATE(YEAR(IW$8)-1,1,1),$8:$8,"&lt;="&amp;EOMONTH(IW$8,-12))-1</f>
        <v/>
      </c>
      <c r="IX79" s="1318">
        <f>SUMIFS(76:76,$8:$8,"&gt;="&amp;DATE(YEAR(IX$8),1,1),$8:$8,"&lt;="&amp;EOMONTH(IX$8,0))/SUMIFS(76:76,$8:$8,"&gt;="&amp;DATE(YEAR(IX$8)-1,1,1),$8:$8,"&lt;="&amp;EOMONTH(IX$8,-12))-1</f>
        <v/>
      </c>
      <c r="IY79" s="1318">
        <f>SUMIFS(76:76,$8:$8,"&gt;="&amp;DATE(YEAR(IY$8),1,1),$8:$8,"&lt;="&amp;EOMONTH(IY$8,0))/SUMIFS(76:76,$8:$8,"&gt;="&amp;DATE(YEAR(IY$8)-1,1,1),$8:$8,"&lt;="&amp;EOMONTH(IY$8,-12))-1</f>
        <v/>
      </c>
      <c r="IZ79" s="1318">
        <f>SUMIFS(76:76,$8:$8,"&gt;="&amp;DATE(YEAR(IZ$8),1,1),$8:$8,"&lt;="&amp;EOMONTH(IZ$8,0))/SUMIFS(76:76,$8:$8,"&gt;="&amp;DATE(YEAR(IZ$8)-1,1,1),$8:$8,"&lt;="&amp;EOMONTH(IZ$8,-12))-1</f>
        <v/>
      </c>
      <c r="JA79" s="1318">
        <f>SUMIFS(76:76,$8:$8,"&gt;="&amp;DATE(YEAR(JA$8),1,1),$8:$8,"&lt;="&amp;EOMONTH(JA$8,0))/SUMIFS(76:76,$8:$8,"&gt;="&amp;DATE(YEAR(JA$8)-1,1,1),$8:$8,"&lt;="&amp;EOMONTH(JA$8,-12))-1</f>
        <v/>
      </c>
      <c r="JB79" s="1318">
        <f>SUMIFS(76:76,$8:$8,"&gt;="&amp;DATE(YEAR(JB$8),1,1),$8:$8,"&lt;="&amp;EOMONTH(JB$8,0))/SUMIFS(76:76,$8:$8,"&gt;="&amp;DATE(YEAR(JB$8)-1,1,1),$8:$8,"&lt;="&amp;EOMONTH(JB$8,-12))-1</f>
        <v/>
      </c>
      <c r="JC79" s="1318">
        <f>SUMIFS(76:76,$8:$8,"&gt;="&amp;DATE(YEAR(JC$8),1,1),$8:$8,"&lt;="&amp;EOMONTH(JC$8,0))/SUMIFS(76:76,$8:$8,"&gt;="&amp;DATE(YEAR(JC$8)-1,1,1),$8:$8,"&lt;="&amp;EOMONTH(JC$8,-12))-1</f>
        <v/>
      </c>
      <c r="JD79" s="1318">
        <f>SUMIFS(76:76,$8:$8,"&gt;="&amp;DATE(YEAR(JD$8),1,1),$8:$8,"&lt;="&amp;EOMONTH(JD$8,0))/SUMIFS(76:76,$8:$8,"&gt;="&amp;DATE(YEAR(JD$8)-1,1,1),$8:$8,"&lt;="&amp;EOMONTH(JD$8,-12))-1</f>
        <v/>
      </c>
      <c r="JE79" s="1318">
        <f>SUMIFS(76:76,$8:$8,"&gt;="&amp;DATE(YEAR(JE$8),1,1),$8:$8,"&lt;="&amp;EOMONTH(JE$8,0))/SUMIFS(76:76,$8:$8,"&gt;="&amp;DATE(YEAR(JE$8)-1,1,1),$8:$8,"&lt;="&amp;EOMONTH(JE$8,-12))-1</f>
        <v/>
      </c>
      <c r="JF79" s="1318">
        <f>SUMIFS(76:76,$8:$8,"&gt;="&amp;DATE(YEAR(JF$8),1,1),$8:$8,"&lt;="&amp;EOMONTH(JF$8,0))/SUMIFS(76:76,$8:$8,"&gt;="&amp;DATE(YEAR(JF$8)-1,1,1),$8:$8,"&lt;="&amp;EOMONTH(JF$8,-12))-1</f>
        <v/>
      </c>
      <c r="JG79" s="1318">
        <f>SUMIFS(76:76,$8:$8,"&gt;="&amp;DATE(YEAR(JG$8),1,1),$8:$8,"&lt;="&amp;EOMONTH(JG$8,0))/SUMIFS(76:76,$8:$8,"&gt;="&amp;DATE(YEAR(JG$8)-1,1,1),$8:$8,"&lt;="&amp;EOMONTH(JG$8,-12))-1</f>
        <v/>
      </c>
      <c r="JH79" s="1318">
        <f>SUMIFS(76:76,$8:$8,"&gt;="&amp;DATE(YEAR(JH$8),1,1),$8:$8,"&lt;="&amp;EOMONTH(JH$8,0))/SUMIFS(76:76,$8:$8,"&gt;="&amp;DATE(YEAR(JH$8)-1,1,1),$8:$8,"&lt;="&amp;EOMONTH(JH$8,-12))-1</f>
        <v/>
      </c>
      <c r="JI79" s="1318">
        <f>SUMIFS(76:76,$8:$8,"&gt;="&amp;DATE(YEAR(JI$8),1,1),$8:$8,"&lt;="&amp;EOMONTH(JI$8,0))/SUMIFS(76:76,$8:$8,"&gt;="&amp;DATE(YEAR(JI$8)-1,1,1),$8:$8,"&lt;="&amp;EOMONTH(JI$8,-12))-1</f>
        <v/>
      </c>
      <c r="JJ79" s="1318">
        <f>SUMIFS(76:76,$8:$8,"&gt;="&amp;DATE(YEAR(JJ$8),1,1),$8:$8,"&lt;="&amp;EOMONTH(JJ$8,0))/SUMIFS(76:76,$8:$8,"&gt;="&amp;DATE(YEAR(JJ$8)-1,1,1),$8:$8,"&lt;="&amp;EOMONTH(JJ$8,-12))-1</f>
        <v/>
      </c>
      <c r="JK79" s="1318">
        <f>SUMIFS(76:76,$8:$8,"&gt;="&amp;DATE(YEAR(JK$8),1,1),$8:$8,"&lt;="&amp;EOMONTH(JK$8,0))/SUMIFS(76:76,$8:$8,"&gt;="&amp;DATE(YEAR(JK$8)-1,1,1),$8:$8,"&lt;="&amp;EOMONTH(JK$8,-12))-1</f>
        <v/>
      </c>
      <c r="JL79" s="1318">
        <f>SUMIFS(76:76,$8:$8,"&gt;="&amp;DATE(YEAR(JL$8),1,1),$8:$8,"&lt;="&amp;EOMONTH(JL$8,0))/SUMIFS(76:76,$8:$8,"&gt;="&amp;DATE(YEAR(JL$8)-1,1,1),$8:$8,"&lt;="&amp;EOMONTH(JL$8,-12))-1</f>
        <v/>
      </c>
      <c r="JM79" s="1318">
        <f>SUMIFS(76:76,$8:$8,"&gt;="&amp;DATE(YEAR(JM$8),1,1),$8:$8,"&lt;="&amp;EOMONTH(JM$8,0))/SUMIFS(76:76,$8:$8,"&gt;="&amp;DATE(YEAR(JM$8)-1,1,1),$8:$8,"&lt;="&amp;EOMONTH(JM$8,-12))-1</f>
        <v/>
      </c>
      <c r="JN79" s="1318">
        <f>SUMIFS(76:76,$8:$8,"&gt;="&amp;DATE(YEAR(JN$8),1,1),$8:$8,"&lt;="&amp;EOMONTH(JN$8,0))/SUMIFS(76:76,$8:$8,"&gt;="&amp;DATE(YEAR(JN$8)-1,1,1),$8:$8,"&lt;="&amp;EOMONTH(JN$8,-12))-1</f>
        <v/>
      </c>
      <c r="JO79" s="1318">
        <f>SUMIFS(76:76,$8:$8,"&gt;="&amp;DATE(YEAR(JO$8),1,1),$8:$8,"&lt;="&amp;EOMONTH(JO$8,0))/SUMIFS(76:76,$8:$8,"&gt;="&amp;DATE(YEAR(JO$8)-1,1,1),$8:$8,"&lt;="&amp;EOMONTH(JO$8,-12))-1</f>
        <v/>
      </c>
      <c r="JP79" s="1318">
        <f>SUMIFS(76:76,$8:$8,"&gt;="&amp;DATE(YEAR(JP$8),1,1),$8:$8,"&lt;="&amp;EOMONTH(JP$8,0))/SUMIFS(76:76,$8:$8,"&gt;="&amp;DATE(YEAR(JP$8)-1,1,1),$8:$8,"&lt;="&amp;EOMONTH(JP$8,-12))-1</f>
        <v/>
      </c>
      <c r="JQ79" s="1318">
        <f>SUMIFS(76:76,$8:$8,"&gt;="&amp;DATE(YEAR(JQ$8),1,1),$8:$8,"&lt;="&amp;EOMONTH(JQ$8,0))/SUMIFS(76:76,$8:$8,"&gt;="&amp;DATE(YEAR(JQ$8)-1,1,1),$8:$8,"&lt;="&amp;EOMONTH(JQ$8,-12))-1</f>
        <v/>
      </c>
      <c r="JR79" s="1318">
        <f>SUMIFS(76:76,$8:$8,"&gt;="&amp;DATE(YEAR(JR$8),1,1),$8:$8,"&lt;="&amp;EOMONTH(JR$8,0))/SUMIFS(76:76,$8:$8,"&gt;="&amp;DATE(YEAR(JR$8)-1,1,1),$8:$8,"&lt;="&amp;EOMONTH(JR$8,-12))-1</f>
        <v/>
      </c>
      <c r="JS79" s="1318">
        <f>SUMIFS(76:76,$8:$8,"&gt;="&amp;DATE(YEAR(JS$8),1,1),$8:$8,"&lt;="&amp;EOMONTH(JS$8,0))/SUMIFS(76:76,$8:$8,"&gt;="&amp;DATE(YEAR(JS$8)-1,1,1),$8:$8,"&lt;="&amp;EOMONTH(JS$8,-12))-1</f>
        <v/>
      </c>
      <c r="JT79" s="1318">
        <f>SUMIFS(76:76,$8:$8,"&gt;="&amp;DATE(YEAR(JT$8),1,1),$8:$8,"&lt;="&amp;EOMONTH(JT$8,0))/SUMIFS(76:76,$8:$8,"&gt;="&amp;DATE(YEAR(JT$8)-1,1,1),$8:$8,"&lt;="&amp;EOMONTH(JT$8,-12))-1</f>
        <v/>
      </c>
      <c r="JU79" s="1318">
        <f>SUMIFS(76:76,$8:$8,"&gt;="&amp;DATE(YEAR(JU$8),1,1),$8:$8,"&lt;="&amp;EOMONTH(JU$8,0))/SUMIFS(76:76,$8:$8,"&gt;="&amp;DATE(YEAR(JU$8)-1,1,1),$8:$8,"&lt;="&amp;EOMONTH(JU$8,-12))-1</f>
        <v/>
      </c>
      <c r="JV79" s="1318">
        <f>SUMIFS(76:76,$8:$8,"&gt;="&amp;DATE(YEAR(JV$8),1,1),$8:$8,"&lt;="&amp;EOMONTH(JV$8,0))/SUMIFS(76:76,$8:$8,"&gt;="&amp;DATE(YEAR(JV$8)-1,1,1),$8:$8,"&lt;="&amp;EOMONTH(JV$8,-12))-1</f>
        <v/>
      </c>
      <c r="JW79" s="1318">
        <f>SUMIFS(76:76,$8:$8,"&gt;="&amp;DATE(YEAR(JW$8),1,1),$8:$8,"&lt;="&amp;EOMONTH(JW$8,0))/SUMIFS(76:76,$8:$8,"&gt;="&amp;DATE(YEAR(JW$8)-1,1,1),$8:$8,"&lt;="&amp;EOMONTH(JW$8,-12))-1</f>
        <v/>
      </c>
      <c r="JX79" s="1318">
        <f>SUMIFS(76:76,$8:$8,"&gt;="&amp;DATE(YEAR(JX$8),1,1),$8:$8,"&lt;="&amp;EOMONTH(JX$8,0))/SUMIFS(76:76,$8:$8,"&gt;="&amp;DATE(YEAR(JX$8)-1,1,1),$8:$8,"&lt;="&amp;EOMONTH(JX$8,-12))-1</f>
        <v/>
      </c>
      <c r="JY79" s="1318">
        <f>SUMIFS(76:76,$8:$8,"&gt;="&amp;DATE(YEAR(JY$8),1,1),$8:$8,"&lt;="&amp;EOMONTH(JY$8,0))/SUMIFS(76:76,$8:$8,"&gt;="&amp;DATE(YEAR(JY$8)-1,1,1),$8:$8,"&lt;="&amp;EOMONTH(JY$8,-12))-1</f>
        <v/>
      </c>
      <c r="JZ79" s="1318">
        <f>SUMIFS(76:76,$8:$8,"&gt;="&amp;DATE(YEAR(JZ$8),1,1),$8:$8,"&lt;="&amp;EOMONTH(JZ$8,0))/SUMIFS(76:76,$8:$8,"&gt;="&amp;DATE(YEAR(JZ$8)-1,1,1),$8:$8,"&lt;="&amp;EOMONTH(JZ$8,-12))-1</f>
        <v/>
      </c>
      <c r="KA79" s="1318">
        <f>SUMIFS(76:76,$8:$8,"&gt;="&amp;DATE(YEAR(KA$8),1,1),$8:$8,"&lt;="&amp;EOMONTH(KA$8,0))/SUMIFS(76:76,$8:$8,"&gt;="&amp;DATE(YEAR(KA$8)-1,1,1),$8:$8,"&lt;="&amp;EOMONTH(KA$8,-12))-1</f>
        <v/>
      </c>
      <c r="KB79" s="1318">
        <f>SUMIFS(76:76,$8:$8,"&gt;="&amp;DATE(YEAR(KB$8),1,1),$8:$8,"&lt;="&amp;EOMONTH(KB$8,0))/SUMIFS(76:76,$8:$8,"&gt;="&amp;DATE(YEAR(KB$8)-1,1,1),$8:$8,"&lt;="&amp;EOMONTH(KB$8,-12))-1</f>
        <v/>
      </c>
      <c r="KC79" s="1318">
        <f>SUMIFS(76:76,$8:$8,"&gt;="&amp;DATE(YEAR(KC$8),1,1),$8:$8,"&lt;="&amp;EOMONTH(KC$8,0))/SUMIFS(76:76,$8:$8,"&gt;="&amp;DATE(YEAR(KC$8)-1,1,1),$8:$8,"&lt;="&amp;EOMONTH(KC$8,-12))-1</f>
        <v/>
      </c>
      <c r="KD79" s="1318">
        <f>SUMIFS(76:76,$8:$8,"&gt;="&amp;DATE(YEAR(KD$8),1,1),$8:$8,"&lt;="&amp;EOMONTH(KD$8,0))/SUMIFS(76:76,$8:$8,"&gt;="&amp;DATE(YEAR(KD$8)-1,1,1),$8:$8,"&lt;="&amp;EOMONTH(KD$8,-12))-1</f>
        <v/>
      </c>
      <c r="KE79" s="1318">
        <f>SUMIFS(76:76,$8:$8,"&gt;="&amp;DATE(YEAR(KE$8),1,1),$8:$8,"&lt;="&amp;EOMONTH(KE$8,0))/SUMIFS(76:76,$8:$8,"&gt;="&amp;DATE(YEAR(KE$8)-1,1,1),$8:$8,"&lt;="&amp;EOMONTH(KE$8,-12))-1</f>
        <v/>
      </c>
      <c r="KF79" s="1318">
        <f>SUMIFS(76:76,$8:$8,"&gt;="&amp;DATE(YEAR(KF$8),1,1),$8:$8,"&lt;="&amp;EOMONTH(KF$8,0))/SUMIFS(76:76,$8:$8,"&gt;="&amp;DATE(YEAR(KF$8)-1,1,1),$8:$8,"&lt;="&amp;EOMONTH(KF$8,-12))-1</f>
        <v/>
      </c>
      <c r="KG79" s="1318">
        <f>SUMIFS(76:76,$8:$8,"&gt;="&amp;DATE(YEAR(KG$8),1,1),$8:$8,"&lt;="&amp;EOMONTH(KG$8,0))/SUMIFS(76:76,$8:$8,"&gt;="&amp;DATE(YEAR(KG$8)-1,1,1),$8:$8,"&lt;="&amp;EOMONTH(KG$8,-12))-1</f>
        <v/>
      </c>
      <c r="KH79" s="1318">
        <f>SUMIFS(76:76,$8:$8,"&gt;="&amp;DATE(YEAR(KH$8),1,1),$8:$8,"&lt;="&amp;EOMONTH(KH$8,0))/SUMIFS(76:76,$8:$8,"&gt;="&amp;DATE(YEAR(KH$8)-1,1,1),$8:$8,"&lt;="&amp;EOMONTH(KH$8,-12))-1</f>
        <v/>
      </c>
      <c r="KI79" s="1318">
        <f>SUMIFS(76:76,$8:$8,"&gt;="&amp;DATE(YEAR(KI$8),1,1),$8:$8,"&lt;="&amp;EOMONTH(KI$8,0))/SUMIFS(76:76,$8:$8,"&gt;="&amp;DATE(YEAR(KI$8)-1,1,1),$8:$8,"&lt;="&amp;EOMONTH(KI$8,-12))-1</f>
        <v/>
      </c>
      <c r="KJ79" s="1318">
        <f>SUMIFS(76:76,$8:$8,"&gt;="&amp;DATE(YEAR(KJ$8),1,1),$8:$8,"&lt;="&amp;EOMONTH(KJ$8,0))/SUMIFS(76:76,$8:$8,"&gt;="&amp;DATE(YEAR(KJ$8)-1,1,1),$8:$8,"&lt;="&amp;EOMONTH(KJ$8,-12))-1</f>
        <v/>
      </c>
      <c r="KK79" s="1318">
        <f>SUMIFS(76:76,$8:$8,"&gt;="&amp;DATE(YEAR(KK$8),1,1),$8:$8,"&lt;="&amp;EOMONTH(KK$8,0))/SUMIFS(76:76,$8:$8,"&gt;="&amp;DATE(YEAR(KK$8)-1,1,1),$8:$8,"&lt;="&amp;EOMONTH(KK$8,-12))-1</f>
        <v/>
      </c>
      <c r="KL79" s="1318">
        <f>SUMIFS(76:76,$8:$8,"&gt;="&amp;DATE(YEAR(KL$8),1,1),$8:$8,"&lt;="&amp;EOMONTH(KL$8,0))/SUMIFS(76:76,$8:$8,"&gt;="&amp;DATE(YEAR(KL$8)-1,1,1),$8:$8,"&lt;="&amp;EOMONTH(KL$8,-12))-1</f>
        <v/>
      </c>
      <c r="KM79" s="1318">
        <f>SUMIFS(76:76,$8:$8,"&gt;="&amp;DATE(YEAR(KM$8),1,1),$8:$8,"&lt;="&amp;EOMONTH(KM$8,0))/SUMIFS(76:76,$8:$8,"&gt;="&amp;DATE(YEAR(KM$8)-1,1,1),$8:$8,"&lt;="&amp;EOMONTH(KM$8,-12))-1</f>
        <v/>
      </c>
      <c r="KN79" s="1318">
        <f>SUMIFS(76:76,$8:$8,"&gt;="&amp;DATE(YEAR(KN$8),1,1),$8:$8,"&lt;="&amp;EOMONTH(KN$8,0))/SUMIFS(76:76,$8:$8,"&gt;="&amp;DATE(YEAR(KN$8)-1,1,1),$8:$8,"&lt;="&amp;EOMONTH(KN$8,-12))-1</f>
        <v/>
      </c>
      <c r="KO79" s="1318">
        <f>SUMIFS(76:76,$8:$8,"&gt;="&amp;DATE(YEAR(KO$8),1,1),$8:$8,"&lt;="&amp;EOMONTH(KO$8,0))/SUMIFS(76:76,$8:$8,"&gt;="&amp;DATE(YEAR(KO$8)-1,1,1),$8:$8,"&lt;="&amp;EOMONTH(KO$8,-12))-1</f>
        <v/>
      </c>
      <c r="KP79" s="1318">
        <f>SUMIFS(76:76,$8:$8,"&gt;="&amp;DATE(YEAR(KP$8),1,1),$8:$8,"&lt;="&amp;EOMONTH(KP$8,0))/SUMIFS(76:76,$8:$8,"&gt;="&amp;DATE(YEAR(KP$8)-1,1,1),$8:$8,"&lt;="&amp;EOMONTH(KP$8,-12))-1</f>
        <v/>
      </c>
      <c r="KQ79" s="1318">
        <f>SUMIFS(76:76,$8:$8,"&gt;="&amp;DATE(YEAR(KQ$8),1,1),$8:$8,"&lt;="&amp;EOMONTH(KQ$8,0))/SUMIFS(76:76,$8:$8,"&gt;="&amp;DATE(YEAR(KQ$8)-1,1,1),$8:$8,"&lt;="&amp;EOMONTH(KQ$8,-12))-1</f>
        <v/>
      </c>
      <c r="KR79" s="1318">
        <f>SUMIFS(76:76,$8:$8,"&gt;="&amp;DATE(YEAR(KR$8),1,1),$8:$8,"&lt;="&amp;EOMONTH(KR$8,0))/SUMIFS(76:76,$8:$8,"&gt;="&amp;DATE(YEAR(KR$8)-1,1,1),$8:$8,"&lt;="&amp;EOMONTH(KR$8,-12))-1</f>
        <v/>
      </c>
      <c r="KS79" s="1318">
        <f>SUMIFS(76:76,$8:$8,"&gt;="&amp;DATE(YEAR(KS$8),1,1),$8:$8,"&lt;="&amp;EOMONTH(KS$8,0))/SUMIFS(76:76,$8:$8,"&gt;="&amp;DATE(YEAR(KS$8)-1,1,1),$8:$8,"&lt;="&amp;EOMONTH(KS$8,-12))-1</f>
        <v/>
      </c>
      <c r="KT79" s="1318">
        <f>SUMIFS(76:76,$8:$8,"&gt;="&amp;DATE(YEAR(KT$8),1,1),$8:$8,"&lt;="&amp;EOMONTH(KT$8,0))/SUMIFS(76:76,$8:$8,"&gt;="&amp;DATE(YEAR(KT$8)-1,1,1),$8:$8,"&lt;="&amp;EOMONTH(KT$8,-12))-1</f>
        <v/>
      </c>
      <c r="KU79" s="1318">
        <f>SUMIFS(76:76,$8:$8,"&gt;="&amp;DATE(YEAR(KU$8),1,1),$8:$8,"&lt;="&amp;EOMONTH(KU$8,0))/SUMIFS(76:76,$8:$8,"&gt;="&amp;DATE(YEAR(KU$8)-1,1,1),$8:$8,"&lt;="&amp;EOMONTH(KU$8,-12))-1</f>
        <v/>
      </c>
      <c r="KV79" s="1318">
        <f>SUMIFS(76:76,$8:$8,"&gt;="&amp;DATE(YEAR(KV$8),1,1),$8:$8,"&lt;="&amp;EOMONTH(KV$8,0))/SUMIFS(76:76,$8:$8,"&gt;="&amp;DATE(YEAR(KV$8)-1,1,1),$8:$8,"&lt;="&amp;EOMONTH(KV$8,-12))-1</f>
        <v/>
      </c>
      <c r="KW79" s="1318">
        <f>SUMIFS(76:76,$8:$8,"&gt;="&amp;DATE(YEAR(KW$8),1,1),$8:$8,"&lt;="&amp;EOMONTH(KW$8,0))/SUMIFS(76:76,$8:$8,"&gt;="&amp;DATE(YEAR(KW$8)-1,1,1),$8:$8,"&lt;="&amp;EOMONTH(KW$8,-12))-1</f>
        <v/>
      </c>
      <c r="KX79" s="1318">
        <f>SUMIFS(76:76,$8:$8,"&gt;="&amp;DATE(YEAR(KX$8),1,1),$8:$8,"&lt;="&amp;EOMONTH(KX$8,0))/SUMIFS(76:76,$8:$8,"&gt;="&amp;DATE(YEAR(KX$8)-1,1,1),$8:$8,"&lt;="&amp;EOMONTH(KX$8,-12))-1</f>
        <v/>
      </c>
      <c r="KY79" s="1318">
        <f>SUMIFS(76:76,$8:$8,"&gt;="&amp;DATE(YEAR(KY$8),1,1),$8:$8,"&lt;="&amp;EOMONTH(KY$8,0))/SUMIFS(76:76,$8:$8,"&gt;="&amp;DATE(YEAR(KY$8)-1,1,1),$8:$8,"&lt;="&amp;EOMONTH(KY$8,-12))-1</f>
        <v/>
      </c>
      <c r="KZ79" s="1318">
        <f>SUMIFS(76:76,$8:$8,"&gt;="&amp;DATE(YEAR(KZ$8),1,1),$8:$8,"&lt;="&amp;EOMONTH(KZ$8,0))/SUMIFS(76:76,$8:$8,"&gt;="&amp;DATE(YEAR(KZ$8)-1,1,1),$8:$8,"&lt;="&amp;EOMONTH(KZ$8,-12))-1</f>
        <v/>
      </c>
      <c r="LA79" s="1318">
        <f>SUMIFS(76:76,$8:$8,"&gt;="&amp;DATE(YEAR(LA$8),1,1),$8:$8,"&lt;="&amp;EOMONTH(LA$8,0))/SUMIFS(76:76,$8:$8,"&gt;="&amp;DATE(YEAR(LA$8)-1,1,1),$8:$8,"&lt;="&amp;EOMONTH(LA$8,-12))-1</f>
        <v/>
      </c>
      <c r="LB79" s="1318">
        <f>SUMIFS(76:76,$8:$8,"&gt;="&amp;DATE(YEAR(LB$8),1,1),$8:$8,"&lt;="&amp;EOMONTH(LB$8,0))/SUMIFS(76:76,$8:$8,"&gt;="&amp;DATE(YEAR(LB$8)-1,1,1),$8:$8,"&lt;="&amp;EOMONTH(LB$8,-12))-1</f>
        <v/>
      </c>
      <c r="LC79" s="1318">
        <f>SUMIFS(76:76,$8:$8,"&gt;="&amp;DATE(YEAR(LC$8),1,1),$8:$8,"&lt;="&amp;EOMONTH(LC$8,0))/SUMIFS(76:76,$8:$8,"&gt;="&amp;DATE(YEAR(LC$8)-1,1,1),$8:$8,"&lt;="&amp;EOMONTH(LC$8,-12))-1</f>
        <v/>
      </c>
      <c r="LD79" s="1318">
        <f>SUMIFS(76:76,$8:$8,"&gt;="&amp;DATE(YEAR(LD$8),1,1),$8:$8,"&lt;="&amp;EOMONTH(LD$8,0))/SUMIFS(76:76,$8:$8,"&gt;="&amp;DATE(YEAR(LD$8)-1,1,1),$8:$8,"&lt;="&amp;EOMONTH(LD$8,-12))-1</f>
        <v/>
      </c>
      <c r="LE79" s="1318">
        <f>SUMIFS(76:76,$8:$8,"&gt;="&amp;DATE(YEAR(LE$8),1,1),$8:$8,"&lt;="&amp;EOMONTH(LE$8,0))/SUMIFS(76:76,$8:$8,"&gt;="&amp;DATE(YEAR(LE$8)-1,1,1),$8:$8,"&lt;="&amp;EOMONTH(LE$8,-12))-1</f>
        <v/>
      </c>
      <c r="LF79" s="1318">
        <f>SUMIFS(76:76,$8:$8,"&gt;="&amp;DATE(YEAR(LF$8),1,1),$8:$8,"&lt;="&amp;EOMONTH(LF$8,0))/SUMIFS(76:76,$8:$8,"&gt;="&amp;DATE(YEAR(LF$8)-1,1,1),$8:$8,"&lt;="&amp;EOMONTH(LF$8,-12))-1</f>
        <v/>
      </c>
      <c r="LG79" s="1318">
        <f>SUMIFS(76:76,$8:$8,"&gt;="&amp;DATE(YEAR(LG$8),1,1),$8:$8,"&lt;="&amp;EOMONTH(LG$8,0))/SUMIFS(76:76,$8:$8,"&gt;="&amp;DATE(YEAR(LG$8)-1,1,1),$8:$8,"&lt;="&amp;EOMONTH(LG$8,-12))-1</f>
        <v/>
      </c>
      <c r="LH79" s="1318">
        <f>SUMIFS(76:76,$8:$8,"&gt;="&amp;DATE(YEAR(LH$8),1,1),$8:$8,"&lt;="&amp;EOMONTH(LH$8,0))/SUMIFS(76:76,$8:$8,"&gt;="&amp;DATE(YEAR(LH$8)-1,1,1),$8:$8,"&lt;="&amp;EOMONTH(LH$8,-12))-1</f>
        <v/>
      </c>
      <c r="LI79" s="1318">
        <f>SUMIFS(76:76,$8:$8,"&gt;="&amp;DATE(YEAR(LI$8),1,1),$8:$8,"&lt;="&amp;EOMONTH(LI$8,0))/SUMIFS(76:76,$8:$8,"&gt;="&amp;DATE(YEAR(LI$8)-1,1,1),$8:$8,"&lt;="&amp;EOMONTH(LI$8,-12))-1</f>
        <v/>
      </c>
      <c r="LJ79" s="1318">
        <f>SUMIFS(76:76,$8:$8,"&gt;="&amp;DATE(YEAR(LJ$8),1,1),$8:$8,"&lt;="&amp;EOMONTH(LJ$8,0))/SUMIFS(76:76,$8:$8,"&gt;="&amp;DATE(YEAR(LJ$8)-1,1,1),$8:$8,"&lt;="&amp;EOMONTH(LJ$8,-12))-1</f>
        <v/>
      </c>
      <c r="LK79" s="1318">
        <f>SUMIFS(76:76,$8:$8,"&gt;="&amp;DATE(YEAR(LK$8),1,1),$8:$8,"&lt;="&amp;EOMONTH(LK$8,0))/SUMIFS(76:76,$8:$8,"&gt;="&amp;DATE(YEAR(LK$8)-1,1,1),$8:$8,"&lt;="&amp;EOMONTH(LK$8,-12))-1</f>
        <v/>
      </c>
      <c r="LL79" s="1318">
        <f>SUMIFS(76:76,$8:$8,"&gt;="&amp;DATE(YEAR(LL$8),1,1),$8:$8,"&lt;="&amp;EOMONTH(LL$8,0))/SUMIFS(76:76,$8:$8,"&gt;="&amp;DATE(YEAR(LL$8)-1,1,1),$8:$8,"&lt;="&amp;EOMONTH(LL$8,-12))-1</f>
        <v/>
      </c>
      <c r="LM79" s="1318">
        <f>SUMIFS(76:76,$8:$8,"&gt;="&amp;DATE(YEAR(LM$8),1,1),$8:$8,"&lt;="&amp;EOMONTH(LM$8,0))/SUMIFS(76:76,$8:$8,"&gt;="&amp;DATE(YEAR(LM$8)-1,1,1),$8:$8,"&lt;="&amp;EOMONTH(LM$8,-12))-1</f>
        <v/>
      </c>
      <c r="LN79" s="1318">
        <f>SUMIFS(76:76,$8:$8,"&gt;="&amp;DATE(YEAR(LN$8),1,1),$8:$8,"&lt;="&amp;EOMONTH(LN$8,0))/SUMIFS(76:76,$8:$8,"&gt;="&amp;DATE(YEAR(LN$8)-1,1,1),$8:$8,"&lt;="&amp;EOMONTH(LN$8,-12))-1</f>
        <v/>
      </c>
      <c r="LO79" s="1318">
        <f>SUMIFS(76:76,$8:$8,"&gt;="&amp;DATE(YEAR(LO$8),1,1),$8:$8,"&lt;="&amp;EOMONTH(LO$8,0))/SUMIFS(76:76,$8:$8,"&gt;="&amp;DATE(YEAR(LO$8)-1,1,1),$8:$8,"&lt;="&amp;EOMONTH(LO$8,-12))-1</f>
        <v/>
      </c>
      <c r="LP79" s="1318">
        <f>SUMIFS(76:76,$8:$8,"&gt;="&amp;DATE(YEAR(LP$8),1,1),$8:$8,"&lt;="&amp;EOMONTH(LP$8,0))/SUMIFS(76:76,$8:$8,"&gt;="&amp;DATE(YEAR(LP$8)-1,1,1),$8:$8,"&lt;="&amp;EOMONTH(LP$8,-12))-1</f>
        <v/>
      </c>
      <c r="LQ79" s="1318">
        <f>SUMIFS(76:76,$8:$8,"&gt;="&amp;DATE(YEAR(LQ$8),1,1),$8:$8,"&lt;="&amp;EOMONTH(LQ$8,0))/SUMIFS(76:76,$8:$8,"&gt;="&amp;DATE(YEAR(LQ$8)-1,1,1),$8:$8,"&lt;="&amp;EOMONTH(LQ$8,-12))-1</f>
        <v/>
      </c>
      <c r="LR79" s="1318">
        <f>SUMIFS(76:76,$8:$8,"&gt;="&amp;DATE(YEAR(LR$8),1,1),$8:$8,"&lt;="&amp;EOMONTH(LR$8,0))/SUMIFS(76:76,$8:$8,"&gt;="&amp;DATE(YEAR(LR$8)-1,1,1),$8:$8,"&lt;="&amp;EOMONTH(LR$8,-12))-1</f>
        <v/>
      </c>
      <c r="LS79" s="1318">
        <f>SUMIFS(76:76,$8:$8,"&gt;="&amp;DATE(YEAR(LS$8),1,1),$8:$8,"&lt;="&amp;EOMONTH(LS$8,0))/SUMIFS(76:76,$8:$8,"&gt;="&amp;DATE(YEAR(LS$8)-1,1,1),$8:$8,"&lt;="&amp;EOMONTH(LS$8,-12))-1</f>
        <v/>
      </c>
    </row>
    <row r="80">
      <c r="A80" s="885" t="n"/>
      <c r="B80" s="1318" t="n"/>
      <c r="C80" s="885" t="n"/>
      <c r="D80" s="885" t="n"/>
      <c r="E80" s="885" t="n"/>
      <c r="F80" s="885" t="n"/>
      <c r="G80" s="885" t="n"/>
      <c r="H80" s="885" t="n"/>
      <c r="I80" s="885" t="n"/>
      <c r="J80" s="885" t="n"/>
      <c r="K80" s="885" t="n"/>
      <c r="L80" s="885" t="n"/>
      <c r="M80" s="885" t="n"/>
      <c r="N80" s="1318" t="n"/>
      <c r="O80" s="885" t="n"/>
      <c r="P80" s="885" t="n"/>
      <c r="Q80" s="885" t="n"/>
      <c r="R80" s="885" t="n"/>
      <c r="S80" s="885" t="n"/>
      <c r="T80" s="885" t="n"/>
      <c r="U80" s="885" t="n"/>
      <c r="V80" s="885" t="n"/>
      <c r="W80" s="885" t="n"/>
      <c r="X80" s="885" t="n"/>
      <c r="Y80" s="885" t="n"/>
      <c r="Z80" s="1318" t="n"/>
      <c r="AA80" s="885" t="n"/>
      <c r="AB80" s="885" t="n"/>
      <c r="AC80" s="885" t="n"/>
      <c r="AD80" s="885" t="n"/>
      <c r="AE80" s="885" t="n"/>
      <c r="AF80" s="885" t="n"/>
      <c r="AG80" s="885" t="n"/>
      <c r="AH80" s="885" t="n"/>
      <c r="AI80" s="885" t="n"/>
      <c r="AJ80" s="885" t="n"/>
      <c r="AK80" s="885" t="n"/>
      <c r="AL80" s="1318" t="n"/>
      <c r="AM80" s="885" t="n"/>
      <c r="AN80" s="885" t="n"/>
      <c r="AO80" s="885" t="n"/>
      <c r="AP80" s="885" t="n"/>
      <c r="AQ80" s="885" t="n"/>
      <c r="AR80" s="885" t="n"/>
      <c r="AS80" s="885" t="n"/>
      <c r="AT80" s="885" t="n"/>
      <c r="AU80" s="885" t="n"/>
      <c r="AV80" s="885" t="n"/>
      <c r="AW80" s="885" t="n"/>
      <c r="AX80" s="1318" t="n"/>
      <c r="AY80" s="1329" t="n"/>
      <c r="AZ80" s="1329" t="n"/>
      <c r="BA80" s="1329" t="n"/>
      <c r="BB80" s="1329" t="n"/>
      <c r="BC80" s="1329" t="n"/>
      <c r="BD80" s="1329" t="n"/>
      <c r="BE80" s="1329" t="n"/>
      <c r="BF80" s="1329" t="n"/>
      <c r="BG80" s="1329" t="n"/>
      <c r="BH80" s="1329" t="n"/>
      <c r="BI80" s="1329" t="n"/>
      <c r="BJ80" s="1318" t="n"/>
      <c r="BK80" s="1318" t="n"/>
      <c r="BL80" s="1318" t="n"/>
      <c r="BM80" s="1318" t="n"/>
      <c r="BN80" s="1318" t="n"/>
      <c r="BO80" s="1318" t="n"/>
      <c r="BP80" s="1318" t="n"/>
      <c r="BQ80" s="1318" t="n"/>
      <c r="BR80" s="1318" t="n"/>
      <c r="BS80" s="1318" t="n"/>
      <c r="BT80" s="1318" t="n"/>
      <c r="BU80" s="1318" t="n"/>
      <c r="BV80" s="1318" t="n"/>
      <c r="BW80" s="1318" t="n"/>
      <c r="BX80" s="1318" t="n"/>
      <c r="BY80" s="1318" t="n"/>
      <c r="BZ80" s="1318" t="n"/>
      <c r="CA80" s="1318" t="n"/>
      <c r="CB80" s="1318" t="n"/>
      <c r="CC80" s="1318" t="n"/>
      <c r="CD80" s="1318" t="n"/>
      <c r="CE80" s="1318" t="n"/>
      <c r="CF80" s="1318" t="n"/>
      <c r="CG80" s="1318" t="n"/>
      <c r="CH80" s="1318" t="n"/>
      <c r="CI80" s="1318" t="n"/>
      <c r="CJ80" s="1318" t="n"/>
      <c r="CK80" s="1318" t="n"/>
      <c r="CL80" s="1330" t="n"/>
      <c r="CM80" s="1330" t="n"/>
      <c r="CN80" s="1318" t="n"/>
      <c r="CO80" s="1318" t="n"/>
      <c r="CP80" s="1318" t="n"/>
      <c r="CQ80" s="1318" t="n"/>
      <c r="CR80" s="1318" t="n"/>
      <c r="CS80" s="1318" t="n"/>
      <c r="CT80" s="1318" t="n"/>
      <c r="CU80" s="1318" t="n"/>
      <c r="CV80" s="1318" t="n"/>
      <c r="CW80" s="1318" t="n"/>
      <c r="CX80" s="1318" t="n"/>
      <c r="CY80" s="1318" t="n"/>
      <c r="CZ80" s="1318" t="n"/>
      <c r="DA80" s="1318" t="n"/>
      <c r="DB80" s="1318" t="n"/>
      <c r="DC80" s="1318" t="n"/>
      <c r="DD80" s="1318" t="n"/>
      <c r="DE80" s="1318" t="n"/>
      <c r="DF80" s="1318" t="n"/>
      <c r="DG80" s="1318" t="n"/>
      <c r="DH80" s="1318" t="n"/>
      <c r="DI80" s="1318" t="n"/>
      <c r="DJ80" s="1318" t="n"/>
      <c r="DK80" s="1318" t="n"/>
      <c r="DL80" s="1318" t="n"/>
      <c r="DM80" s="1318" t="n"/>
      <c r="DN80" s="1318" t="n"/>
      <c r="DO80" s="1318" t="n"/>
      <c r="DP80" s="1318" t="n"/>
      <c r="DQ80" s="1318" t="n"/>
      <c r="DR80" s="1318" t="n"/>
      <c r="DS80" s="1318" t="n"/>
      <c r="DT80" s="1318" t="n"/>
      <c r="DU80" s="1318" t="n"/>
      <c r="DV80" s="1318" t="n"/>
      <c r="DW80" s="1318" t="n"/>
      <c r="DX80" s="1318" t="n"/>
      <c r="DY80" s="1318" t="n"/>
      <c r="DZ80" s="1318" t="n"/>
      <c r="EA80" s="1318" t="n"/>
      <c r="EB80" s="1318" t="n"/>
      <c r="EC80" s="1318" t="n"/>
      <c r="ED80" s="1318" t="n"/>
      <c r="EE80" s="1318" t="n"/>
      <c r="EF80" s="1318" t="n"/>
      <c r="EG80" s="1318" t="n"/>
      <c r="EH80" s="1318" t="n"/>
      <c r="EI80" s="1318" t="n"/>
      <c r="EJ80" s="1318" t="n"/>
      <c r="EK80" s="1318" t="n"/>
      <c r="EL80" s="1318" t="n"/>
      <c r="EM80" s="1318" t="n"/>
      <c r="EN80" s="1318" t="n"/>
      <c r="EO80" s="1318" t="n"/>
      <c r="EP80" s="1318" t="n"/>
      <c r="EQ80" s="1318" t="n"/>
      <c r="ER80" s="1318" t="n"/>
      <c r="ES80" s="1318" t="n"/>
      <c r="ET80" s="1318" t="n"/>
      <c r="EU80" s="1318" t="n"/>
      <c r="EV80" s="1318" t="n"/>
      <c r="EW80" s="1318" t="n"/>
      <c r="EX80" s="1318" t="n"/>
      <c r="EY80" s="1318" t="n"/>
      <c r="EZ80" s="1318" t="n"/>
      <c r="FA80" s="1318" t="n"/>
      <c r="FB80" s="1318" t="n"/>
      <c r="FC80" s="1318" t="n"/>
      <c r="FD80" s="1318" t="n"/>
      <c r="FE80" s="1318" t="n"/>
      <c r="FF80" s="1318" t="n"/>
      <c r="FG80" s="1318" t="n"/>
      <c r="FH80" s="1318" t="n"/>
      <c r="FI80" s="1318" t="n"/>
      <c r="FJ80" s="1318" t="n"/>
      <c r="FK80" s="1318" t="n"/>
      <c r="FL80" s="1318" t="n"/>
      <c r="FM80" s="1318" t="n"/>
      <c r="FN80" s="1318" t="n"/>
      <c r="FO80" s="1318" t="n"/>
      <c r="FP80" s="1318" t="n"/>
      <c r="FQ80" s="1318" t="n"/>
      <c r="FR80" s="1318" t="n"/>
      <c r="FS80" s="1318" t="n"/>
      <c r="FT80" s="1318" t="n"/>
      <c r="FU80" s="1318" t="n"/>
      <c r="FV80" s="1318" t="n"/>
      <c r="FW80" s="1318" t="n"/>
      <c r="FX80" s="1318" t="n"/>
      <c r="FY80" s="1318" t="n"/>
      <c r="FZ80" s="1318" t="n"/>
      <c r="GA80" s="1318" t="n"/>
      <c r="GB80" s="1318" t="n"/>
      <c r="GC80" s="1318" t="n"/>
      <c r="GD80" s="1318" t="n"/>
      <c r="GE80" s="1318" t="n"/>
      <c r="GF80" s="1318" t="n"/>
      <c r="GG80" s="1318" t="n"/>
      <c r="GH80" s="1318" t="n"/>
      <c r="GI80" s="904" t="n"/>
      <c r="GJ80" s="904" t="n"/>
      <c r="GK80" s="1318" t="n"/>
      <c r="GL80" s="904" t="n"/>
      <c r="GM80" s="904" t="n"/>
      <c r="GN80" s="904" t="n"/>
      <c r="GO80" s="904" t="n"/>
      <c r="GP80" s="904" t="n"/>
      <c r="GQ80" s="904" t="n"/>
      <c r="GR80" s="904" t="n"/>
      <c r="GS80" s="904" t="n"/>
      <c r="GT80" s="904" t="n"/>
      <c r="GU80" s="904" t="n"/>
      <c r="GV80" s="904" t="n"/>
      <c r="GW80" s="1318" t="n"/>
      <c r="GX80" s="904" t="n"/>
      <c r="GY80" s="904" t="n"/>
      <c r="GZ80" s="904" t="n"/>
      <c r="HA80" s="904" t="n"/>
      <c r="HB80" s="904" t="n"/>
      <c r="HC80" s="904" t="n"/>
      <c r="HD80" s="904" t="n"/>
      <c r="HE80" s="904" t="n"/>
      <c r="HF80" s="904" t="n"/>
      <c r="HG80" s="904" t="n"/>
      <c r="HH80" s="904" t="n"/>
      <c r="HI80" s="904" t="n"/>
      <c r="HJ80" s="904" t="n"/>
      <c r="HK80" s="904" t="n"/>
      <c r="HL80" s="904" t="n"/>
      <c r="HM80" s="904" t="n"/>
      <c r="HN80" s="904" t="n"/>
      <c r="HO80" s="904" t="n"/>
      <c r="HP80" s="904" t="n"/>
      <c r="HQ80" s="904" t="n"/>
      <c r="HR80" s="904" t="n"/>
      <c r="HS80" s="904" t="n"/>
      <c r="HT80" s="904" t="n"/>
      <c r="HU80" s="904" t="n"/>
      <c r="HV80" s="904" t="n"/>
      <c r="HW80" s="904" t="n"/>
      <c r="HX80" s="904" t="n"/>
      <c r="HY80" s="904" t="n"/>
      <c r="HZ80" s="904" t="n"/>
      <c r="IA80" s="904" t="n"/>
      <c r="IB80" s="904" t="n"/>
      <c r="IC80" s="904" t="n"/>
      <c r="ID80" s="904" t="n"/>
      <c r="IE80" s="904" t="n"/>
      <c r="IF80" s="904" t="n"/>
      <c r="IG80" s="904" t="n"/>
      <c r="IH80" s="904" t="n"/>
      <c r="II80" s="904" t="n"/>
      <c r="IJ80" s="904" t="n"/>
      <c r="IK80" s="904" t="n"/>
      <c r="IL80" s="904" t="n"/>
      <c r="IM80" s="904" t="n"/>
      <c r="IN80" s="904" t="n"/>
      <c r="IO80" s="904" t="n"/>
      <c r="IP80" s="904" t="n"/>
      <c r="IQ80" s="904" t="n"/>
      <c r="IR80" s="904" t="n"/>
      <c r="IS80" s="904" t="n"/>
      <c r="IT80" s="904" t="n"/>
      <c r="IU80" s="904" t="n"/>
      <c r="IV80" s="904" t="n"/>
      <c r="IW80" s="904" t="n"/>
      <c r="IX80" s="904" t="n"/>
      <c r="IY80" s="904" t="n"/>
      <c r="IZ80" s="904" t="n"/>
      <c r="JA80" s="904" t="n"/>
      <c r="JB80" s="904" t="n"/>
      <c r="JC80" s="904" t="n"/>
      <c r="JD80" s="904" t="n"/>
      <c r="JE80" s="904" t="n"/>
      <c r="JF80" s="904" t="n"/>
      <c r="JG80" s="904" t="n"/>
      <c r="JH80" s="904" t="n"/>
      <c r="JI80" s="904" t="n"/>
      <c r="JJ80" s="904" t="n"/>
      <c r="JK80" s="904" t="n"/>
      <c r="JL80" s="904" t="n"/>
      <c r="JM80" s="904" t="n"/>
      <c r="JN80" s="904" t="n"/>
      <c r="JO80" s="904" t="n"/>
      <c r="JP80" s="904" t="n"/>
      <c r="JQ80" s="904" t="n"/>
      <c r="JR80" s="904" t="n"/>
      <c r="JS80" s="904" t="n"/>
      <c r="JT80" s="904" t="n"/>
      <c r="JU80" s="904" t="n"/>
      <c r="JV80" s="904" t="n"/>
      <c r="JW80" s="904" t="n"/>
      <c r="JX80" s="904" t="n"/>
      <c r="JY80" s="904" t="n"/>
      <c r="JZ80" s="904" t="n"/>
      <c r="KA80" s="904" t="n"/>
      <c r="KB80" s="904" t="n"/>
      <c r="KC80" s="904" t="n"/>
      <c r="KD80" s="904" t="n"/>
      <c r="KE80" s="904" t="n"/>
      <c r="KF80" s="904" t="n"/>
      <c r="KG80" s="904" t="n"/>
      <c r="KH80" s="904" t="n"/>
      <c r="KI80" s="904" t="n"/>
      <c r="KJ80" s="904" t="n"/>
      <c r="KK80" s="904" t="n"/>
      <c r="KL80" s="904" t="n"/>
      <c r="KM80" s="904" t="n"/>
      <c r="KN80" s="904" t="n"/>
      <c r="KO80" s="904" t="n"/>
      <c r="KP80" s="904" t="n"/>
      <c r="KQ80" s="904" t="n"/>
      <c r="KR80" s="904" t="n"/>
      <c r="KS80" s="904" t="n"/>
      <c r="KT80" s="904" t="n"/>
      <c r="KU80" s="904" t="n"/>
      <c r="KV80" s="904" t="n"/>
      <c r="KW80" s="904" t="n"/>
      <c r="KX80" s="904" t="n"/>
      <c r="KY80" s="904" t="n"/>
      <c r="KZ80" s="904" t="n"/>
      <c r="LA80" s="904" t="n"/>
      <c r="LB80" s="904" t="n"/>
      <c r="LC80" s="904" t="n"/>
      <c r="LD80" s="904" t="n"/>
      <c r="LE80" s="904" t="n"/>
      <c r="LF80" s="904" t="n"/>
      <c r="LG80" s="904" t="n"/>
      <c r="LH80" s="904" t="n"/>
      <c r="LI80" s="904" t="n"/>
      <c r="LJ80" s="904" t="n"/>
      <c r="LK80" s="904" t="n"/>
      <c r="LL80" s="904" t="n"/>
      <c r="LM80" s="904" t="n"/>
      <c r="LN80" s="904" t="n"/>
      <c r="LO80" s="904" t="n"/>
      <c r="LP80" s="904" t="n"/>
      <c r="LQ80" s="904" t="n"/>
      <c r="LR80" s="904" t="n"/>
      <c r="LS80" s="904" t="n"/>
    </row>
    <row r="81" ht="15" customHeight="1" s="239">
      <c r="A81" s="1315" t="n"/>
      <c r="B81" s="1315" t="n"/>
      <c r="C81" s="1315" t="n"/>
      <c r="D81" s="1315" t="n"/>
      <c r="E81" s="1315" t="n"/>
      <c r="F81" s="1315" t="n"/>
      <c r="G81" s="1315" t="n"/>
      <c r="H81" s="1315" t="n"/>
      <c r="I81" s="1315" t="n"/>
      <c r="J81" s="1315" t="n"/>
      <c r="K81" s="1315" t="n"/>
      <c r="L81" s="1315" t="n"/>
      <c r="M81" s="1315" t="n"/>
      <c r="N81" s="1315" t="n"/>
      <c r="O81" s="1315" t="n"/>
      <c r="P81" s="1315" t="n"/>
      <c r="Q81" s="1315" t="n"/>
      <c r="R81" s="1315" t="n"/>
      <c r="S81" s="1315" t="n"/>
      <c r="T81" s="1315" t="n"/>
      <c r="U81" s="1315" t="n"/>
      <c r="V81" s="1315" t="n"/>
      <c r="W81" s="1316" t="n"/>
      <c r="X81" s="1316" t="n"/>
      <c r="Y81" s="1316" t="n"/>
      <c r="Z81" s="1316" t="n"/>
      <c r="AA81" s="1316" t="n"/>
      <c r="AB81" s="1316" t="n"/>
      <c r="AC81" s="1316" t="n"/>
      <c r="AD81" s="1316" t="n"/>
      <c r="AE81" s="1316" t="n"/>
      <c r="AF81" s="1316" t="n"/>
      <c r="AG81" s="1316" t="n"/>
      <c r="AH81" s="1316" t="n"/>
      <c r="AI81" s="1316" t="n"/>
      <c r="AJ81" s="1316" t="n"/>
      <c r="AK81" s="1316" t="n"/>
      <c r="AL81" s="1316" t="n"/>
      <c r="AM81" s="1316" t="n"/>
      <c r="AN81" s="1316" t="n"/>
      <c r="AO81" s="1316" t="n"/>
      <c r="AP81" s="1316" t="n"/>
      <c r="AQ81" s="1316" t="n"/>
      <c r="AR81" s="1316" t="n"/>
      <c r="AS81" s="1316" t="n"/>
      <c r="AT81" s="1316" t="n"/>
      <c r="AU81" s="1316" t="n"/>
      <c r="AV81" s="1316" t="n"/>
      <c r="AW81" s="1316" t="n"/>
      <c r="AX81" s="1316" t="n"/>
      <c r="AY81" s="1316" t="n"/>
      <c r="AZ81" s="1316" t="n"/>
      <c r="BA81" s="1316" t="n"/>
      <c r="BB81" s="1316" t="n"/>
      <c r="BC81" s="1316" t="n"/>
      <c r="BD81" s="1316" t="n"/>
      <c r="BE81" s="1316" t="n"/>
      <c r="BF81" s="1316" t="n"/>
      <c r="BG81" s="1316" t="n"/>
      <c r="BH81" s="1316" t="n"/>
      <c r="BI81" s="1316" t="n"/>
      <c r="BJ81" s="1316" t="n"/>
      <c r="BK81" s="1316" t="n"/>
      <c r="BL81" s="1316" t="n"/>
      <c r="BM81" s="1316" t="n"/>
      <c r="BN81" s="1316" t="n"/>
      <c r="BO81" s="1316" t="n"/>
      <c r="BP81" s="1316" t="n"/>
      <c r="BQ81" s="1316" t="n"/>
      <c r="BR81" s="1316" t="n"/>
      <c r="BS81" s="1316" t="n"/>
      <c r="BT81" s="1316" t="n"/>
      <c r="BU81" s="1316" t="n"/>
      <c r="BV81" s="1316" t="n"/>
      <c r="BW81" s="1316" t="n"/>
      <c r="BX81" s="1316" t="n"/>
      <c r="BY81" s="1316" t="n"/>
      <c r="BZ81" s="1316" t="n"/>
      <c r="CA81" s="1316" t="n"/>
      <c r="CB81" s="1316" t="n"/>
      <c r="CC81" s="1316" t="n"/>
      <c r="CD81" s="1316" t="n"/>
      <c r="CE81" s="1316" t="n"/>
      <c r="CF81" s="1316" t="n"/>
      <c r="CG81" s="1316" t="n"/>
      <c r="CH81" s="1316" t="n"/>
      <c r="CI81" s="1316" t="n"/>
      <c r="CJ81" s="1316" t="n"/>
      <c r="CK81" s="1316" t="n"/>
      <c r="CL81" s="1316" t="n"/>
      <c r="CM81" s="1316" t="n"/>
      <c r="CN81" s="1316" t="n"/>
      <c r="CO81" s="1316" t="n"/>
      <c r="CP81" s="1316" t="n"/>
      <c r="CQ81" s="1316" t="n"/>
      <c r="CR81" s="1316" t="n"/>
      <c r="CS81" s="1316" t="n"/>
      <c r="CT81" s="1316" t="n"/>
      <c r="CU81" s="1316" t="n"/>
      <c r="CV81" s="1316" t="n"/>
      <c r="CW81" s="1316" t="n"/>
      <c r="CX81" s="1316" t="n"/>
      <c r="CY81" s="1316" t="n"/>
      <c r="CZ81" s="1316" t="n"/>
      <c r="DA81" s="1316" t="n"/>
      <c r="DB81" s="1316" t="n"/>
      <c r="DC81" s="1316" t="n"/>
      <c r="DD81" s="1316" t="n"/>
      <c r="DE81" s="1316" t="n"/>
      <c r="DF81" s="1316" t="n"/>
      <c r="DG81" s="1316" t="n"/>
      <c r="DH81" s="1316" t="n"/>
      <c r="DI81" s="1316" t="n"/>
      <c r="DJ81" s="1316" t="n"/>
      <c r="DK81" s="1316" t="n"/>
      <c r="DL81" s="1316" t="n"/>
      <c r="DM81" s="1316" t="n"/>
      <c r="DN81" s="1316" t="n"/>
      <c r="DO81" s="880" t="n"/>
      <c r="DP81" s="1316" t="n"/>
      <c r="DQ81" s="1316" t="n"/>
      <c r="DR81" s="1316" t="n"/>
      <c r="DS81" s="1316" t="n"/>
      <c r="DT81" s="1316" t="n"/>
      <c r="DU81" s="1316" t="n"/>
      <c r="DV81" s="1316" t="n"/>
      <c r="DW81" s="1316" t="n"/>
      <c r="DX81" s="1316" t="n"/>
      <c r="DY81" s="1316" t="n"/>
      <c r="DZ81" s="881" t="n"/>
      <c r="EA81" s="881" t="n"/>
      <c r="EB81" s="881" t="n"/>
      <c r="EC81" s="881" t="n"/>
      <c r="ED81" s="881" t="n"/>
      <c r="EE81" s="881" t="n"/>
      <c r="EF81" s="881" t="n"/>
      <c r="EG81" s="881" t="n"/>
      <c r="EH81" s="881" t="n"/>
      <c r="EI81" s="881" t="n"/>
      <c r="EJ81" s="881" t="n"/>
      <c r="EK81" s="881" t="n"/>
      <c r="EL81" s="881" t="n"/>
      <c r="EM81" s="881" t="n"/>
      <c r="EN81" s="881" t="n"/>
      <c r="EO81" s="881" t="n"/>
      <c r="EP81" s="881" t="n"/>
      <c r="EQ81" s="881" t="n"/>
      <c r="ER81" s="881" t="n"/>
      <c r="ES81" s="881" t="n"/>
      <c r="ET81" s="881" t="n"/>
      <c r="EU81" s="881" t="n"/>
      <c r="EV81" s="881" t="n"/>
      <c r="EW81" s="881" t="n"/>
      <c r="EX81" s="881" t="n"/>
      <c r="EY81" s="881" t="n"/>
      <c r="EZ81" s="881" t="n"/>
      <c r="FA81" s="881" t="n"/>
      <c r="FB81" s="881" t="n"/>
      <c r="FC81" s="881" t="n"/>
      <c r="FD81" s="881" t="n"/>
      <c r="FE81" s="881" t="n"/>
      <c r="FF81" s="881" t="n"/>
      <c r="FG81" s="881" t="n"/>
      <c r="FH81" s="881" t="n"/>
      <c r="FI81" s="881" t="n"/>
      <c r="FJ81" s="881" t="n"/>
      <c r="FK81" s="881" t="n"/>
      <c r="FL81" s="881" t="n"/>
      <c r="FM81" s="881" t="n"/>
      <c r="FN81" s="881" t="n"/>
      <c r="FO81" s="881" t="n"/>
      <c r="FP81" s="881" t="n"/>
      <c r="FQ81" s="881" t="n"/>
      <c r="FR81" s="881" t="n"/>
      <c r="FS81" s="881" t="n"/>
      <c r="FT81" s="881" t="n"/>
      <c r="FU81" s="881" t="n"/>
      <c r="FV81" s="881" t="n"/>
      <c r="FW81" s="881" t="n"/>
      <c r="FX81" s="881" t="n"/>
      <c r="FY81" s="881" t="n"/>
      <c r="FZ81" s="881" t="n"/>
      <c r="GA81" s="881" t="n"/>
      <c r="GB81" s="881" t="n"/>
      <c r="GC81" s="881" t="n"/>
      <c r="GD81" s="881" t="n"/>
      <c r="GE81" s="881" t="n"/>
      <c r="GF81" s="881" t="n"/>
      <c r="GG81" s="881" t="n"/>
      <c r="GH81" s="881" t="n"/>
      <c r="GI81" s="881" t="n"/>
      <c r="GJ81" s="881" t="n"/>
      <c r="GK81" s="881" t="n"/>
      <c r="GL81" s="881" t="n"/>
      <c r="GM81" s="881" t="n"/>
      <c r="GN81" s="881" t="n"/>
      <c r="GO81" s="881" t="n"/>
      <c r="GP81" s="881" t="n"/>
      <c r="GQ81" s="881" t="n"/>
      <c r="GR81" s="881" t="n"/>
      <c r="GS81" s="881" t="n"/>
      <c r="GT81" s="881" t="n"/>
      <c r="GU81" s="881" t="n"/>
      <c r="GV81" s="881" t="n"/>
      <c r="GW81" s="881" t="n"/>
      <c r="GX81" s="881" t="n"/>
      <c r="GY81" s="881" t="n"/>
      <c r="GZ81" s="881" t="n"/>
      <c r="HA81" s="881" t="n"/>
      <c r="HB81" s="881" t="n"/>
      <c r="HC81" s="881" t="n"/>
      <c r="HD81" s="881" t="n"/>
      <c r="HE81" s="881" t="n"/>
      <c r="HF81" s="881" t="n"/>
      <c r="HG81" s="881" t="n"/>
      <c r="HH81" s="881" t="n"/>
      <c r="HI81" s="881" t="n"/>
      <c r="HJ81" s="881" t="n"/>
      <c r="HK81" s="881" t="n"/>
      <c r="HL81" s="881" t="n"/>
      <c r="HM81" s="881" t="n"/>
      <c r="HN81" s="881" t="n"/>
      <c r="HO81" s="881" t="n"/>
      <c r="HP81" s="881" t="n"/>
      <c r="HQ81" s="881" t="n"/>
      <c r="HR81" s="881" t="n"/>
      <c r="HS81" s="881" t="n"/>
      <c r="HT81" s="881" t="n"/>
      <c r="HU81" s="881" t="n"/>
      <c r="HV81" s="881" t="n"/>
      <c r="HW81" s="881" t="n"/>
      <c r="HX81" s="881" t="n"/>
      <c r="HY81" s="881" t="n"/>
      <c r="HZ81" s="881" t="n"/>
      <c r="IA81" s="881" t="n"/>
      <c r="IB81" s="881" t="n"/>
      <c r="IC81" s="881" t="n"/>
      <c r="ID81" s="881" t="n"/>
      <c r="IE81" s="881" t="n"/>
      <c r="IF81" s="881" t="n"/>
      <c r="IG81" s="881" t="n"/>
      <c r="IH81" s="881" t="n"/>
      <c r="II81" s="881" t="n"/>
      <c r="IJ81" s="881" t="n"/>
      <c r="IK81" s="881" t="n"/>
      <c r="IL81" s="881" t="n"/>
      <c r="IM81" s="881" t="n"/>
      <c r="IN81" s="881" t="n"/>
      <c r="IO81" s="881" t="n"/>
      <c r="IP81" s="881" t="n"/>
      <c r="IQ81" s="881" t="n"/>
      <c r="IR81" s="881" t="n"/>
      <c r="IS81" s="881" t="n"/>
      <c r="IT81" s="881" t="n"/>
      <c r="IU81" s="881" t="n"/>
      <c r="IV81" s="881" t="n"/>
      <c r="IW81" s="881" t="n"/>
      <c r="IX81" s="881" t="n"/>
      <c r="IY81" s="881" t="n"/>
      <c r="IZ81" s="881" t="n"/>
      <c r="JA81" s="881" t="n"/>
      <c r="JB81" s="881" t="n"/>
      <c r="JC81" s="881" t="n"/>
      <c r="JD81" s="881" t="n"/>
      <c r="JE81" s="881" t="n"/>
      <c r="JF81" s="881" t="n"/>
      <c r="JG81" s="881" t="n"/>
      <c r="JH81" s="881" t="n"/>
      <c r="JI81" s="881" t="n"/>
      <c r="JJ81" s="881" t="n"/>
      <c r="JK81" s="881" t="n"/>
      <c r="JL81" s="881" t="n"/>
      <c r="JM81" s="881" t="n"/>
      <c r="JN81" s="881" t="n"/>
      <c r="JO81" s="881" t="n"/>
      <c r="JP81" s="881" t="n"/>
      <c r="JQ81" s="881" t="n"/>
      <c r="JR81" s="881" t="n"/>
      <c r="JS81" s="881" t="n"/>
      <c r="JT81" s="881" t="n"/>
      <c r="JU81" s="881" t="n"/>
      <c r="JV81" s="881" t="n"/>
      <c r="JW81" s="881" t="n"/>
      <c r="JX81" s="881" t="n"/>
      <c r="JY81" s="881" t="n"/>
      <c r="JZ81" s="881" t="n"/>
      <c r="KA81" s="881" t="n"/>
      <c r="KB81" s="881" t="n"/>
      <c r="KC81" s="881" t="n"/>
      <c r="KD81" s="881" t="n"/>
      <c r="KE81" s="881" t="n"/>
      <c r="KF81" s="881" t="n"/>
      <c r="KG81" s="881" t="n"/>
      <c r="KH81" s="881" t="n"/>
      <c r="KI81" s="881" t="n"/>
      <c r="KJ81" s="881" t="n"/>
      <c r="KK81" s="881" t="n"/>
      <c r="KL81" s="881" t="n"/>
      <c r="KM81" s="881" t="n"/>
      <c r="KN81" s="881" t="n"/>
      <c r="KO81" s="881" t="n"/>
      <c r="KP81" s="881" t="n"/>
      <c r="KQ81" s="881" t="n"/>
      <c r="KR81" s="881" t="n"/>
      <c r="KS81" s="881" t="n"/>
      <c r="KT81" s="881" t="n"/>
      <c r="KU81" s="881" t="n"/>
      <c r="KV81" s="881" t="n"/>
      <c r="KW81" s="881" t="n"/>
      <c r="KX81" s="881" t="n"/>
      <c r="KY81" s="881" t="n"/>
      <c r="KZ81" s="881" t="n"/>
      <c r="LA81" s="881" t="n"/>
      <c r="LB81" s="881" t="n"/>
      <c r="LC81" s="881" t="n"/>
      <c r="LD81" s="881" t="n"/>
      <c r="LE81" s="881" t="n"/>
      <c r="LF81" s="881" t="n"/>
      <c r="LG81" s="881" t="n"/>
      <c r="LH81" s="881" t="n"/>
      <c r="LI81" s="881" t="n"/>
      <c r="LJ81" s="881" t="n"/>
      <c r="LK81" s="881" t="n"/>
      <c r="LL81" s="881" t="n"/>
      <c r="LM81" s="881" t="n"/>
      <c r="LN81" s="881" t="n"/>
      <c r="LO81" s="881" t="n"/>
      <c r="LP81" s="881" t="n"/>
      <c r="LQ81" s="881" t="n"/>
      <c r="LR81" s="881" t="n"/>
      <c r="LS81" s="881" t="n"/>
    </row>
    <row r="82" ht="15" customHeight="1" s="239">
      <c r="A82" s="899" t="inlineStr">
        <is>
          <t>Passenger Number (000)</t>
        </is>
      </c>
      <c r="B82" s="1332" t="n">
        <v>858.472</v>
      </c>
      <c r="C82" s="1333" t="n">
        <v>843.617</v>
      </c>
      <c r="D82" s="1333" t="n">
        <v>880.876</v>
      </c>
      <c r="E82" s="1333" t="n">
        <v>909.626</v>
      </c>
      <c r="F82" s="1333" t="n">
        <v>814.727</v>
      </c>
      <c r="G82" s="1333" t="n">
        <v>612.236</v>
      </c>
      <c r="H82" s="1333" t="n">
        <v>976.73</v>
      </c>
      <c r="I82" s="1333" t="n">
        <v>990.611</v>
      </c>
      <c r="J82" s="1333" t="n">
        <v>838.342</v>
      </c>
      <c r="K82" s="1333" t="n">
        <v>943.827</v>
      </c>
      <c r="L82" s="1333" t="n">
        <v>929.978</v>
      </c>
      <c r="M82" s="1333" t="n">
        <v>917.1651542649727</v>
      </c>
      <c r="N82" s="1332" t="n">
        <v>903.706</v>
      </c>
      <c r="O82" s="1333" t="n">
        <v>922.505</v>
      </c>
      <c r="P82" s="1333" t="n">
        <v>962.34</v>
      </c>
      <c r="Q82" s="1333" t="n">
        <v>1030.456</v>
      </c>
      <c r="R82" s="1333" t="n">
        <v>967.783</v>
      </c>
      <c r="S82" s="1333" t="n">
        <v>970.42</v>
      </c>
      <c r="T82" s="1333" t="n">
        <v>1085.533</v>
      </c>
      <c r="U82" s="1333" t="n">
        <v>1087.48</v>
      </c>
      <c r="V82" s="1333" t="n">
        <v>990.985</v>
      </c>
      <c r="W82" s="1333" t="n">
        <v>999.793</v>
      </c>
      <c r="X82" s="1333" t="n">
        <v>932.6559999999999</v>
      </c>
      <c r="Y82" s="1333" t="n">
        <v>1010.716</v>
      </c>
      <c r="Z82" s="1332" t="n">
        <v>991.756</v>
      </c>
      <c r="AA82" s="1333" t="n">
        <v>871.191</v>
      </c>
      <c r="AB82" s="1333" t="n">
        <v>1043.117</v>
      </c>
      <c r="AC82" s="1333" t="n">
        <v>1032.995</v>
      </c>
      <c r="AD82" s="1333" t="n">
        <v>952.519</v>
      </c>
      <c r="AE82" s="1333" t="n">
        <v>999.4109999999999</v>
      </c>
      <c r="AF82" s="1333" t="n">
        <v>851.074</v>
      </c>
      <c r="AG82" s="1333" t="n">
        <v>1031.287</v>
      </c>
      <c r="AH82" s="1333" t="n">
        <v>871.126</v>
      </c>
      <c r="AI82" s="1333" t="n">
        <v>834.086</v>
      </c>
      <c r="AJ82" s="1333" t="n">
        <v>803.6559999999999</v>
      </c>
      <c r="AK82" s="1333" t="n">
        <v>986.568</v>
      </c>
      <c r="AL82" s="1332" t="n">
        <v>960.967</v>
      </c>
      <c r="AM82" s="1333" t="n">
        <v>943.181</v>
      </c>
      <c r="AN82" s="1333" t="n">
        <v>1052.46</v>
      </c>
      <c r="AO82" s="1333" t="n">
        <v>993.285</v>
      </c>
      <c r="AP82" s="1333" t="n">
        <v>972.925</v>
      </c>
      <c r="AQ82" s="1333" t="n">
        <v>1009.264</v>
      </c>
      <c r="AR82" s="1333" t="n">
        <v>1109.918</v>
      </c>
      <c r="AS82" s="1333" t="n">
        <v>1143.52</v>
      </c>
      <c r="AT82" s="1333" t="n">
        <v>983.005</v>
      </c>
      <c r="AU82" s="1333" t="n">
        <v>1054.931</v>
      </c>
      <c r="AV82" s="1333" t="n">
        <v>992.7380000000001</v>
      </c>
      <c r="AW82" s="1333" t="n">
        <v>1104.445</v>
      </c>
      <c r="AX82" s="1332" t="n">
        <v>1084.481</v>
      </c>
      <c r="AY82" s="1332" t="n">
        <v>974.1079999999999</v>
      </c>
      <c r="AZ82" s="1332" t="n">
        <v>915.741</v>
      </c>
      <c r="BA82" s="1332" t="n">
        <v>340.691</v>
      </c>
      <c r="BB82" s="1332" t="n">
        <v>243.976</v>
      </c>
      <c r="BC82" s="1332" t="n">
        <v>459.627</v>
      </c>
      <c r="BD82" s="1332" t="n">
        <v>874.228</v>
      </c>
      <c r="BE82" s="1332" t="n">
        <v>1083.011</v>
      </c>
      <c r="BF82" s="1332" t="n">
        <v>951.703</v>
      </c>
      <c r="BG82" s="1332" t="n">
        <v>1017.884</v>
      </c>
      <c r="BH82" s="1332" t="n">
        <v>1002.04</v>
      </c>
      <c r="BI82" s="1332" t="n">
        <v>1111.505</v>
      </c>
      <c r="BJ82" s="1332" t="n">
        <v>1127.993</v>
      </c>
      <c r="BK82" s="1332" t="n">
        <v>933.604</v>
      </c>
      <c r="BL82" s="1332" t="n">
        <v>1036.623</v>
      </c>
      <c r="BM82" s="1332" t="n">
        <v>1099.183</v>
      </c>
      <c r="BN82" s="1332" t="n">
        <v>1064.516</v>
      </c>
      <c r="BO82" s="1332" t="n">
        <v>1142.345</v>
      </c>
      <c r="BP82" s="1332" t="n">
        <v>1268.634</v>
      </c>
      <c r="BQ82" s="1332" t="n">
        <v>1268.343</v>
      </c>
      <c r="BR82" s="1332" t="n">
        <v>1094.497</v>
      </c>
      <c r="BS82" s="1332" t="n">
        <v>1167.69</v>
      </c>
      <c r="BT82" s="1332" t="n">
        <v>1187.548</v>
      </c>
      <c r="BU82" s="1332" t="n">
        <v>1272.982</v>
      </c>
      <c r="BV82" s="1332" t="n">
        <v>1206.784</v>
      </c>
      <c r="BW82" s="1332" t="n">
        <v>1158.2089</v>
      </c>
      <c r="BX82" s="1332" t="n">
        <v>1262.901</v>
      </c>
      <c r="BY82" s="1332" t="n">
        <v>1216.595</v>
      </c>
      <c r="BZ82" s="1332" t="n">
        <v>1230.482</v>
      </c>
      <c r="CA82" s="1332" t="n">
        <v>1258.031</v>
      </c>
      <c r="CB82" s="1332" t="n">
        <v>1442.783</v>
      </c>
      <c r="CC82" s="1332" t="n">
        <v>1415.516</v>
      </c>
      <c r="CD82" s="1332" t="n">
        <v>1245.828</v>
      </c>
      <c r="CE82" s="1332" t="n">
        <v>1306.116</v>
      </c>
      <c r="CF82" s="1332" t="n">
        <v>1283.169</v>
      </c>
      <c r="CG82" s="1332" t="n">
        <v>1411.884</v>
      </c>
      <c r="CH82" s="1332" t="n">
        <v>1388.805</v>
      </c>
      <c r="CI82" s="1332" t="n">
        <v>1263.435</v>
      </c>
      <c r="CJ82" s="1332" t="n">
        <v>1366.233</v>
      </c>
      <c r="CK82" s="1332" t="n">
        <v>1394.7</v>
      </c>
      <c r="CL82" s="1334" t="n">
        <v>1338.7</v>
      </c>
      <c r="CM82" s="1334" t="n">
        <v>1392.462</v>
      </c>
      <c r="CN82" s="1332" t="n">
        <v>1512.638</v>
      </c>
      <c r="CO82" s="1332" t="n">
        <v>1488.507</v>
      </c>
      <c r="CP82" s="1332" t="n">
        <v>1302.902</v>
      </c>
      <c r="CQ82" s="1333" t="n">
        <v>1410</v>
      </c>
      <c r="CR82" s="1333" t="n">
        <v>1375</v>
      </c>
      <c r="CS82" s="1333" t="n">
        <v>1495.023</v>
      </c>
      <c r="CT82" s="1333" t="n">
        <v>1734.103</v>
      </c>
      <c r="CU82" s="1333" t="n">
        <v>1716.506</v>
      </c>
      <c r="CV82" s="1333" t="n">
        <v>1866</v>
      </c>
      <c r="CW82" s="1332" t="n">
        <v>1929.655</v>
      </c>
      <c r="CX82" s="1332" t="n">
        <v>1830.439</v>
      </c>
      <c r="CY82" s="1333" t="n">
        <v>1883.521</v>
      </c>
      <c r="CZ82" s="1333" t="n">
        <v>2104.151</v>
      </c>
      <c r="DA82" s="1332" t="n">
        <v>2119.847</v>
      </c>
      <c r="DB82" s="1332" t="n">
        <v>1891.732</v>
      </c>
      <c r="DC82" s="1332" t="n">
        <v>2038.077</v>
      </c>
      <c r="DD82" s="1332" t="n">
        <v>2021.997</v>
      </c>
      <c r="DE82" s="1332" t="n">
        <v>2117.307</v>
      </c>
      <c r="DF82" s="1332" t="n">
        <v>2043.424</v>
      </c>
      <c r="DG82" s="1332" t="n">
        <v>1954.431</v>
      </c>
      <c r="DH82" s="1332" t="n">
        <v>2164.663</v>
      </c>
      <c r="DI82" s="1332" t="n">
        <v>2068.951</v>
      </c>
      <c r="DJ82" s="1332" t="n">
        <v>2107.61</v>
      </c>
      <c r="DK82" s="1332" t="n">
        <v>2123.462</v>
      </c>
      <c r="DL82" s="1332" t="n">
        <v>2308.738</v>
      </c>
      <c r="DM82" s="1332" t="n">
        <v>2129.749</v>
      </c>
      <c r="DN82" s="1332" t="n">
        <v>1878.08</v>
      </c>
      <c r="DO82" s="1332" t="n">
        <v>2091.339</v>
      </c>
      <c r="DP82" s="1332" t="n">
        <v>1978.264</v>
      </c>
      <c r="DQ82" s="1332" t="n">
        <v>2110.719</v>
      </c>
      <c r="DR82" s="1332" t="n">
        <v>2092.669</v>
      </c>
      <c r="DS82" s="1332" t="n">
        <v>1809.188</v>
      </c>
      <c r="DT82" s="1332" t="n">
        <v>2096.011</v>
      </c>
      <c r="DU82" s="1332" t="n">
        <v>2251.526</v>
      </c>
      <c r="DV82" s="1332" t="n">
        <v>1950.344</v>
      </c>
      <c r="DW82" s="1332" t="n">
        <v>1783.413</v>
      </c>
      <c r="DX82" s="1332" t="n">
        <v>2080.326</v>
      </c>
      <c r="DY82" s="1332" t="n">
        <v>2210.068</v>
      </c>
      <c r="DZ82" s="1332" t="n">
        <v>1840.082</v>
      </c>
      <c r="EA82" s="1332" t="n">
        <v>2010.739</v>
      </c>
      <c r="EB82" s="1332" t="n">
        <v>2007.773</v>
      </c>
      <c r="EC82" s="1332" t="n">
        <v>2216.131</v>
      </c>
      <c r="ED82" s="1332" t="n">
        <v>2100.354</v>
      </c>
      <c r="EE82" s="1332" t="n">
        <v>2062.187</v>
      </c>
      <c r="EF82" s="1332" t="n">
        <v>2221.694</v>
      </c>
      <c r="EG82" s="1332" t="n">
        <v>2169.475</v>
      </c>
      <c r="EH82" s="1332" t="n">
        <v>2183.623</v>
      </c>
      <c r="EI82" s="1332" t="n">
        <v>2216.215</v>
      </c>
      <c r="EJ82" s="1332" t="n">
        <v>2485.244</v>
      </c>
      <c r="EK82" s="1332" t="n">
        <v>2423.444</v>
      </c>
      <c r="EL82" s="1332" t="n">
        <v>2178.726</v>
      </c>
      <c r="EM82" s="1332" t="n">
        <v>2293.507</v>
      </c>
      <c r="EN82" s="1332" t="n">
        <v>2181.995</v>
      </c>
      <c r="EO82" s="1332" t="n">
        <v>2279.785</v>
      </c>
      <c r="EP82" s="1332" t="n">
        <v>2243.788</v>
      </c>
      <c r="EQ82" s="1332" t="n">
        <v>2036.437</v>
      </c>
      <c r="ER82" s="1332" t="n">
        <v>2159.885</v>
      </c>
      <c r="ES82" s="1332" t="n">
        <v>2258.004</v>
      </c>
      <c r="ET82" s="1332" t="n">
        <v>2208.385</v>
      </c>
      <c r="EU82" s="1332" t="n">
        <v>2269.362</v>
      </c>
      <c r="EV82" s="1332" t="n">
        <v>2524.206</v>
      </c>
      <c r="EW82" s="1332" t="n">
        <v>2510.507</v>
      </c>
      <c r="EX82" s="1332" t="n">
        <v>2255.605</v>
      </c>
      <c r="EY82" s="1332" t="n">
        <v>2381.008</v>
      </c>
      <c r="EZ82" s="1332" t="n">
        <v>2274.128</v>
      </c>
      <c r="FA82" s="1332" t="n">
        <v>2460.016</v>
      </c>
      <c r="FB82" s="1332" t="n">
        <v>2511.043</v>
      </c>
      <c r="FC82" s="1332" t="n">
        <v>2117.621</v>
      </c>
      <c r="FD82" s="1332" t="n">
        <v>2388.887</v>
      </c>
      <c r="FE82" s="1332" t="n">
        <v>2522.378</v>
      </c>
      <c r="FF82" s="1332" t="n">
        <v>2358.171</v>
      </c>
      <c r="FG82" s="1332" t="n">
        <v>2413.766</v>
      </c>
      <c r="FH82" s="1332" t="n">
        <v>2505.738</v>
      </c>
      <c r="FI82" s="1332" t="n">
        <v>2610.15</v>
      </c>
      <c r="FJ82" s="1332" t="n">
        <v>2245.995</v>
      </c>
      <c r="FK82" s="1332" t="n">
        <v>2405.027</v>
      </c>
      <c r="FL82" s="1332" t="n">
        <v>2361.137</v>
      </c>
      <c r="FM82" s="1332" t="n">
        <v>2520.864</v>
      </c>
      <c r="FN82" s="1332" t="n">
        <v>2327.071</v>
      </c>
      <c r="FO82" s="908" t="n">
        <v>2340.029</v>
      </c>
      <c r="FP82" s="908" t="n">
        <v>2550.108</v>
      </c>
      <c r="FQ82" s="908" t="n">
        <v>2456.438</v>
      </c>
      <c r="FR82" s="908" t="n">
        <v>2338.703</v>
      </c>
      <c r="FS82" s="908" t="n">
        <v>2484.683</v>
      </c>
      <c r="FT82" s="908" t="n">
        <v>2679.193</v>
      </c>
      <c r="FU82" s="908" t="n">
        <v>2749.582</v>
      </c>
      <c r="FV82" s="908" t="n">
        <v>2379.812</v>
      </c>
      <c r="FW82" s="908" t="n">
        <v>2533.066</v>
      </c>
      <c r="FX82" s="908" t="n">
        <v>2476.776</v>
      </c>
      <c r="FY82" s="908" t="n">
        <v>2604.115</v>
      </c>
      <c r="FZ82" s="908" t="n">
        <v>2544.259</v>
      </c>
      <c r="GA82" s="1335" t="n">
        <v>2381.02</v>
      </c>
      <c r="GB82" s="1335" t="n">
        <v>2600.59</v>
      </c>
      <c r="GC82" s="1335" t="n">
        <v>2704.741</v>
      </c>
      <c r="GD82" s="1335" t="n">
        <v>2594.459</v>
      </c>
      <c r="GE82" s="1335" t="n">
        <v>2611.868</v>
      </c>
      <c r="GF82" s="1335" t="n">
        <v>2792.171</v>
      </c>
      <c r="GG82" s="1335" t="n">
        <v>2849.359</v>
      </c>
      <c r="GH82" s="1335" t="n">
        <v>2489.445</v>
      </c>
      <c r="GI82" s="1335" t="n">
        <v>2659.71</v>
      </c>
      <c r="GJ82" s="1335" t="n">
        <v>2569.508</v>
      </c>
      <c r="GK82" s="908" t="n">
        <v>2773.094</v>
      </c>
      <c r="GL82" s="1335" t="n">
        <v>2612.964</v>
      </c>
      <c r="GM82" s="1335" t="n">
        <v>2675.549</v>
      </c>
      <c r="GN82" s="1335" t="n">
        <v>2887.106</v>
      </c>
      <c r="GO82" s="1335" t="n">
        <v>2912.562</v>
      </c>
      <c r="GP82" s="1335" t="n">
        <v>2901.558</v>
      </c>
      <c r="GQ82" s="1335" t="n">
        <v>2810.592</v>
      </c>
      <c r="GR82" s="1335" t="n">
        <v>2984.795</v>
      </c>
      <c r="GS82" s="1335" t="n">
        <v>3091.478</v>
      </c>
      <c r="GT82" s="1335" t="n">
        <v>2632.845</v>
      </c>
      <c r="GU82" s="1335" t="n">
        <v>2843.442</v>
      </c>
      <c r="GV82" s="1335" t="n">
        <v>2778.59</v>
      </c>
      <c r="GW82" s="908" t="n">
        <v>2933.382</v>
      </c>
      <c r="GX82" s="1335" t="n">
        <v>2897.89</v>
      </c>
      <c r="GY82" s="1335" t="n">
        <v>2746.629</v>
      </c>
      <c r="GZ82" s="1335" t="n">
        <v>2960.915</v>
      </c>
      <c r="HA82" s="1335" t="n">
        <v>2909.534</v>
      </c>
      <c r="HB82" s="1335" t="n">
        <v>2862.68</v>
      </c>
      <c r="HC82" s="1335" t="n">
        <v>2870.943</v>
      </c>
      <c r="HD82" s="1335" t="n">
        <v>3070.815</v>
      </c>
      <c r="HE82" s="1335" t="n">
        <v>2975.161</v>
      </c>
      <c r="HF82" s="1335" t="n">
        <v>2672.694</v>
      </c>
      <c r="HG82" s="1335" t="n">
        <v>2759.982</v>
      </c>
      <c r="HH82" s="1335" t="n">
        <v>2636.525</v>
      </c>
      <c r="HI82" s="1335" t="n">
        <v>2958.925</v>
      </c>
      <c r="HJ82" s="910" t="n">
        <v>2966.845</v>
      </c>
      <c r="HK82" s="910" t="n">
        <v>2681.05</v>
      </c>
      <c r="HL82" s="910" t="n">
        <v>2851.661</v>
      </c>
      <c r="HM82" s="910" t="n">
        <v>3003.972</v>
      </c>
      <c r="HN82" s="910" t="n">
        <v>2849.475</v>
      </c>
      <c r="HO82" s="910" t="n">
        <v>2809.992</v>
      </c>
      <c r="HP82" s="910" t="n">
        <v>3117.149</v>
      </c>
      <c r="HQ82" s="910" t="n">
        <v>3079.949</v>
      </c>
      <c r="HR82" s="910" t="n">
        <v>2639.559</v>
      </c>
      <c r="HS82" s="910" t="n">
        <v>2924.762</v>
      </c>
      <c r="HT82" s="910" t="n">
        <v>2924.762</v>
      </c>
      <c r="HU82" s="910" t="n">
        <v>3051.564</v>
      </c>
      <c r="HV82" s="910" t="n">
        <v>2911.355</v>
      </c>
      <c r="HW82" s="910" t="n">
        <v>2804.793</v>
      </c>
      <c r="HX82" s="910" t="n">
        <v>3034.883</v>
      </c>
      <c r="HY82" s="910" t="n">
        <v>2980.654</v>
      </c>
      <c r="HZ82" s="910" t="n">
        <v>2827.634</v>
      </c>
      <c r="IA82" s="910" t="n">
        <v>2925.385</v>
      </c>
      <c r="IB82" s="910" t="n">
        <v>3152.973</v>
      </c>
      <c r="IC82" s="910" t="n">
        <v>3278.481</v>
      </c>
      <c r="ID82" s="910" t="n">
        <v>2612.643</v>
      </c>
      <c r="IE82" s="910" t="n">
        <v>2950.532</v>
      </c>
      <c r="IF82" s="910" t="n">
        <v>2883.056</v>
      </c>
      <c r="IG82" s="910" t="n">
        <v>3105.829</v>
      </c>
      <c r="IH82" s="910" t="n">
        <v>3127.437</v>
      </c>
      <c r="II82" s="910" t="n">
        <v>2833.534</v>
      </c>
      <c r="IJ82" s="910" t="n">
        <v>3111.27</v>
      </c>
      <c r="IK82" s="910" t="n">
        <v>3127.186</v>
      </c>
      <c r="IL82" s="910" t="n">
        <v>2961.491</v>
      </c>
      <c r="IM82" s="910" t="n">
        <v>3100.132</v>
      </c>
      <c r="IN82" s="910" t="n">
        <v>3278.742</v>
      </c>
      <c r="IO82" s="910" t="n">
        <v>2906.954</v>
      </c>
      <c r="IP82" s="910" t="n">
        <v>2426.961</v>
      </c>
      <c r="IQ82" s="910" t="n">
        <v>2740.83</v>
      </c>
      <c r="IR82" s="910" t="n">
        <v>2623.764</v>
      </c>
      <c r="IS82" s="910" t="n">
        <v>2994.83</v>
      </c>
      <c r="IT82" s="910" t="n">
        <v>3010.012</v>
      </c>
      <c r="IU82" s="910" t="n">
        <v>1008.644</v>
      </c>
      <c r="IV82" s="910" t="n">
        <v>311.128</v>
      </c>
      <c r="IW82" s="910" t="n">
        <v>13.729</v>
      </c>
      <c r="IX82" s="899" t="n">
        <v>18.473</v>
      </c>
      <c r="IY82" s="899" t="n">
        <v>27.106</v>
      </c>
      <c r="IZ82" s="899" t="n">
        <v>42.984</v>
      </c>
      <c r="JA82" s="899" t="n">
        <v>35.773</v>
      </c>
      <c r="JB82" s="899" t="n">
        <v>47.061</v>
      </c>
      <c r="JC82" s="899" t="n">
        <v>38.541</v>
      </c>
      <c r="JD82" s="899" t="n">
        <v>37.815</v>
      </c>
      <c r="JE82" s="899" t="n">
        <v>39.989</v>
      </c>
      <c r="JF82" s="899" t="n">
        <v>30.41</v>
      </c>
      <c r="JG82" s="899" t="n">
        <v>21.134</v>
      </c>
      <c r="JH82" s="899" t="n">
        <v>18.539</v>
      </c>
      <c r="JI82" s="899" t="n">
        <v>22.404</v>
      </c>
      <c r="JJ82" s="899" t="n">
        <v>24.006</v>
      </c>
      <c r="JK82" s="899" t="n">
        <v>40.651</v>
      </c>
      <c r="JL82" s="899" t="n">
        <v>54.092</v>
      </c>
      <c r="JM82" s="899" t="n">
        <v>135.353</v>
      </c>
      <c r="JN82" s="899" t="n">
        <v>131.774</v>
      </c>
      <c r="JO82" s="899" t="n">
        <v>76.43000000000001</v>
      </c>
      <c r="JP82" s="899" t="n">
        <v>70.047</v>
      </c>
      <c r="JQ82" s="899" t="n">
        <v>92.21899999999999</v>
      </c>
      <c r="JR82" s="899" t="n">
        <v>24.699</v>
      </c>
      <c r="JS82" s="899" t="n">
        <v>31.253</v>
      </c>
      <c r="JT82" s="899" t="n">
        <v>30.628</v>
      </c>
      <c r="JU82" s="899" t="n">
        <v>40.823</v>
      </c>
      <c r="JV82" s="899" t="n">
        <v>57.982</v>
      </c>
      <c r="JW82" s="899" t="n">
        <v>150.077</v>
      </c>
      <c r="JX82" s="899" t="n">
        <v>219.746</v>
      </c>
      <c r="JY82" s="899" t="n">
        <v>253.907</v>
      </c>
      <c r="JZ82" s="899" t="n">
        <v>265.845</v>
      </c>
      <c r="KA82" s="899" t="n">
        <v>400.909</v>
      </c>
      <c r="KB82" s="899" t="n">
        <v>526.827</v>
      </c>
      <c r="KC82" s="899" t="n">
        <v>801.088</v>
      </c>
      <c r="KD82" s="899" t="n">
        <v>1031.893</v>
      </c>
      <c r="KE82" s="899" t="n">
        <v>1114.727</v>
      </c>
      <c r="KF82" s="899" t="n">
        <v>1322.18</v>
      </c>
      <c r="KG82" s="899" t="n">
        <v>1381.073</v>
      </c>
      <c r="KH82" s="899" t="n">
        <v>1417.906</v>
      </c>
      <c r="KI82" s="899" t="n">
        <v>1548.571</v>
      </c>
      <c r="KJ82" s="899" t="n">
        <v>1744.374</v>
      </c>
      <c r="KK82" s="899" t="n">
        <v>1784.98</v>
      </c>
      <c r="KL82" s="899" t="n">
        <v>1542.144</v>
      </c>
      <c r="KM82" s="899" t="n">
        <v>1684.7</v>
      </c>
      <c r="KN82" s="899" t="n">
        <v>1633.145</v>
      </c>
      <c r="KO82" s="899" t="n">
        <v>1779.457</v>
      </c>
      <c r="KP82" s="899" t="n">
        <v>1717.2</v>
      </c>
      <c r="KQ82" s="899" t="n">
        <v>1801.174</v>
      </c>
      <c r="KR82" s="899" t="n">
        <v>1883.404</v>
      </c>
      <c r="KS82" s="899" t="n">
        <v>1741.585</v>
      </c>
      <c r="KT82" s="899" t="n">
        <v>1678.532</v>
      </c>
      <c r="KU82" s="899" t="n">
        <v>1837.706</v>
      </c>
      <c r="KV82" s="899" t="n">
        <v>2008.225</v>
      </c>
      <c r="KW82" s="899" t="n">
        <v>2068.979</v>
      </c>
      <c r="KX82" s="899" t="n">
        <v>1816.908</v>
      </c>
      <c r="KY82" s="899" t="n">
        <v>2014.105</v>
      </c>
      <c r="KZ82" s="899" t="n">
        <v>2010.506</v>
      </c>
      <c r="LA82" s="899" t="n">
        <v>2248.95</v>
      </c>
      <c r="LB82" s="899">
        <f>LB196/1000</f>
        <v/>
      </c>
      <c r="LC82" s="899">
        <f>LC196/1000</f>
        <v/>
      </c>
      <c r="LD82" s="899">
        <f>LD196/1000</f>
        <v/>
      </c>
      <c r="LE82" s="899">
        <f>LE196/1000</f>
        <v/>
      </c>
      <c r="LF82" s="899">
        <f>LF196/1000</f>
        <v/>
      </c>
      <c r="LG82" s="899">
        <f>LG196/1000</f>
        <v/>
      </c>
      <c r="LH82" s="899">
        <f>LH196/1000</f>
        <v/>
      </c>
      <c r="LI82" s="899">
        <f>LI196/1000</f>
        <v/>
      </c>
      <c r="LJ82" s="899">
        <f>LJ196/1000</f>
        <v/>
      </c>
      <c r="LK82" s="899">
        <f>LK196/1000</f>
        <v/>
      </c>
      <c r="LL82" s="899">
        <f>LL196/1000</f>
        <v/>
      </c>
      <c r="LM82" s="899">
        <f>LM196/1000</f>
        <v/>
      </c>
      <c r="LN82" s="899">
        <f>LN196/1000</f>
        <v/>
      </c>
      <c r="LO82" s="899">
        <f>LO196/1000</f>
        <v/>
      </c>
      <c r="LP82" s="899">
        <f>LP196/1000</f>
        <v/>
      </c>
      <c r="LQ82" s="899">
        <f>LQ196/1000</f>
        <v/>
      </c>
      <c r="LR82" s="899">
        <f>LR196/1000</f>
        <v/>
      </c>
      <c r="LS82" s="899">
        <f>LS196/1000</f>
        <v/>
      </c>
    </row>
    <row r="83">
      <c r="A83" s="885" t="inlineStr">
        <is>
          <t>m cg %</t>
        </is>
      </c>
      <c r="B83" s="1318" t="n"/>
      <c r="C83" s="1336">
        <f>C82/B82-1</f>
        <v/>
      </c>
      <c r="D83" s="1336">
        <f>D82/C82-1</f>
        <v/>
      </c>
      <c r="E83" s="1336">
        <f>E82/D82-1</f>
        <v/>
      </c>
      <c r="F83" s="1336">
        <f>F82/E82-1</f>
        <v/>
      </c>
      <c r="G83" s="1336">
        <f>G82/F82-1</f>
        <v/>
      </c>
      <c r="H83" s="1336">
        <f>H82/G82-1</f>
        <v/>
      </c>
      <c r="I83" s="1336">
        <f>I82/H82-1</f>
        <v/>
      </c>
      <c r="J83" s="1336">
        <f>J82/I82-1</f>
        <v/>
      </c>
      <c r="K83" s="1336">
        <f>K82/J82-1</f>
        <v/>
      </c>
      <c r="L83" s="1336">
        <f>L82/K82-1</f>
        <v/>
      </c>
      <c r="M83" s="1336">
        <f>M82/L82-1</f>
        <v/>
      </c>
      <c r="N83" s="1318">
        <f>N82/M82-1</f>
        <v/>
      </c>
      <c r="O83" s="1318">
        <f>O82/N82-1</f>
        <v/>
      </c>
      <c r="P83" s="1318">
        <f>P82/O82-1</f>
        <v/>
      </c>
      <c r="Q83" s="1318">
        <f>Q82/P82-1</f>
        <v/>
      </c>
      <c r="R83" s="1318">
        <f>R82/Q82-1</f>
        <v/>
      </c>
      <c r="S83" s="1318">
        <f>S82/R82-1</f>
        <v/>
      </c>
      <c r="T83" s="1318">
        <f>T82/S82-1</f>
        <v/>
      </c>
      <c r="U83" s="1318">
        <f>U82/T82-1</f>
        <v/>
      </c>
      <c r="V83" s="1318">
        <f>V82/U82-1</f>
        <v/>
      </c>
      <c r="W83" s="1318">
        <f>W82/V82-1</f>
        <v/>
      </c>
      <c r="X83" s="1318">
        <f>X82/W82-1</f>
        <v/>
      </c>
      <c r="Y83" s="1318">
        <f>Y82/X82-1</f>
        <v/>
      </c>
      <c r="Z83" s="1318">
        <f>Z82/Y82-1</f>
        <v/>
      </c>
      <c r="AA83" s="1318">
        <f>AA82/Z82-1</f>
        <v/>
      </c>
      <c r="AB83" s="1318">
        <f>AB82/AA82-1</f>
        <v/>
      </c>
      <c r="AC83" s="1318">
        <f>AC82/AB82-1</f>
        <v/>
      </c>
      <c r="AD83" s="1318">
        <f>AD82/AC82-1</f>
        <v/>
      </c>
      <c r="AE83" s="1318">
        <f>AE82/AD82-1</f>
        <v/>
      </c>
      <c r="AF83" s="1318">
        <f>AF82/AE82-1</f>
        <v/>
      </c>
      <c r="AG83" s="1318">
        <f>AG82/AF82-1</f>
        <v/>
      </c>
      <c r="AH83" s="1318">
        <f>AH82/AG82-1</f>
        <v/>
      </c>
      <c r="AI83" s="1318">
        <f>AI82/AH82-1</f>
        <v/>
      </c>
      <c r="AJ83" s="1318">
        <f>AJ82/AI82-1</f>
        <v/>
      </c>
      <c r="AK83" s="1318">
        <f>AK82/AJ82-1</f>
        <v/>
      </c>
      <c r="AL83" s="1318">
        <f>AL82/AK82-1</f>
        <v/>
      </c>
      <c r="AM83" s="1318">
        <f>AM82/AL82-1</f>
        <v/>
      </c>
      <c r="AN83" s="1318">
        <f>AN82/AM82-1</f>
        <v/>
      </c>
      <c r="AO83" s="1318">
        <f>AO82/AN82-1</f>
        <v/>
      </c>
      <c r="AP83" s="1318">
        <f>AP82/AO82-1</f>
        <v/>
      </c>
      <c r="AQ83" s="1318">
        <f>AQ82/AP82-1</f>
        <v/>
      </c>
      <c r="AR83" s="1318">
        <f>AR82/AQ82-1</f>
        <v/>
      </c>
      <c r="AS83" s="1318">
        <f>AS82/AR82-1</f>
        <v/>
      </c>
      <c r="AT83" s="1318">
        <f>AT82/AS82-1</f>
        <v/>
      </c>
      <c r="AU83" s="1318">
        <f>AU82/AT82-1</f>
        <v/>
      </c>
      <c r="AV83" s="1318">
        <f>AV82/AU82-1</f>
        <v/>
      </c>
      <c r="AW83" s="1318">
        <f>AW82/AV82-1</f>
        <v/>
      </c>
      <c r="AX83" s="1318">
        <f>AX82/AW82-1</f>
        <v/>
      </c>
      <c r="AY83" s="1318">
        <f>AY82/AX82-1</f>
        <v/>
      </c>
      <c r="AZ83" s="1318">
        <f>AZ82/AY82-1</f>
        <v/>
      </c>
      <c r="BA83" s="1318">
        <f>BA82/AZ82-1</f>
        <v/>
      </c>
      <c r="BB83" s="1318">
        <f>BB82/BA82-1</f>
        <v/>
      </c>
      <c r="BC83" s="1318">
        <f>BC82/BB82-1</f>
        <v/>
      </c>
      <c r="BD83" s="1318">
        <f>BD82/BC82-1</f>
        <v/>
      </c>
      <c r="BE83" s="1318">
        <f>BE82/BD82-1</f>
        <v/>
      </c>
      <c r="BF83" s="1318">
        <f>BF82/BE82-1</f>
        <v/>
      </c>
      <c r="BG83" s="1318">
        <f>BG82/BF82-1</f>
        <v/>
      </c>
      <c r="BH83" s="1318">
        <f>BH82/BG82-1</f>
        <v/>
      </c>
      <c r="BI83" s="1318">
        <f>BI82/BH82-1</f>
        <v/>
      </c>
      <c r="BJ83" s="1318">
        <f>BJ82/BI82-1</f>
        <v/>
      </c>
      <c r="BK83" s="1318">
        <f>BK82/BJ82-1</f>
        <v/>
      </c>
      <c r="BL83" s="1318">
        <f>BL82/BK82-1</f>
        <v/>
      </c>
      <c r="BM83" s="1318">
        <f>BM82/BL82-1</f>
        <v/>
      </c>
      <c r="BN83" s="1318">
        <f>BN82/BM82-1</f>
        <v/>
      </c>
      <c r="BO83" s="1318">
        <f>BO82/BN82-1</f>
        <v/>
      </c>
      <c r="BP83" s="1318">
        <f>BP82/BO82-1</f>
        <v/>
      </c>
      <c r="BQ83" s="1318">
        <f>BQ82/BP82-1</f>
        <v/>
      </c>
      <c r="BR83" s="1318">
        <f>BR82/BQ82-1</f>
        <v/>
      </c>
      <c r="BS83" s="1318">
        <f>BS82/BR82-1</f>
        <v/>
      </c>
      <c r="BT83" s="1318">
        <f>BT82/BS82-1</f>
        <v/>
      </c>
      <c r="BU83" s="1318">
        <f>BU82/BT82-1</f>
        <v/>
      </c>
      <c r="BV83" s="1318">
        <f>BV82/BU82-1</f>
        <v/>
      </c>
      <c r="BW83" s="1318">
        <f>BW82/BV82-1</f>
        <v/>
      </c>
      <c r="BX83" s="1318">
        <f>BX82/BW82-1</f>
        <v/>
      </c>
      <c r="BY83" s="1318">
        <f>BY82/BX82-1</f>
        <v/>
      </c>
      <c r="BZ83" s="1318">
        <f>BZ82/BY82-1</f>
        <v/>
      </c>
      <c r="CA83" s="1318">
        <f>CA82/BZ82-1</f>
        <v/>
      </c>
      <c r="CB83" s="1318">
        <f>CB82/CA82-1</f>
        <v/>
      </c>
      <c r="CC83" s="1318">
        <f>CC82/CB82-1</f>
        <v/>
      </c>
      <c r="CD83" s="1318">
        <f>CD82/CC82-1</f>
        <v/>
      </c>
      <c r="CE83" s="1318">
        <f>CE82/CD82-1</f>
        <v/>
      </c>
      <c r="CF83" s="1318">
        <f>CF82/CE82-1</f>
        <v/>
      </c>
      <c r="CG83" s="1318">
        <f>CG82/CF82-1</f>
        <v/>
      </c>
      <c r="CH83" s="1318">
        <f>CH82/CG82-1</f>
        <v/>
      </c>
      <c r="CI83" s="1318">
        <f>CI82/CH82-1</f>
        <v/>
      </c>
      <c r="CJ83" s="1318">
        <f>CJ82/CI82-1</f>
        <v/>
      </c>
      <c r="CK83" s="1318">
        <f>CK82/CJ82-1</f>
        <v/>
      </c>
      <c r="CL83" s="1318">
        <f>CL82/CK82-1</f>
        <v/>
      </c>
      <c r="CM83" s="1318">
        <f>CM82/CL82-1</f>
        <v/>
      </c>
      <c r="CN83" s="1318">
        <f>CN82/CM82-1</f>
        <v/>
      </c>
      <c r="CO83" s="1318">
        <f>CO82/CN82-1</f>
        <v/>
      </c>
      <c r="CP83" s="1318">
        <f>CP82/CO82-1</f>
        <v/>
      </c>
      <c r="CQ83" s="1318">
        <f>CQ82/CP82-1</f>
        <v/>
      </c>
      <c r="CR83" s="1318">
        <f>CR82/CQ82-1</f>
        <v/>
      </c>
      <c r="CS83" s="1318">
        <f>CS82/CR82-1</f>
        <v/>
      </c>
      <c r="CT83" s="1318">
        <f>CT82/CS82-1</f>
        <v/>
      </c>
      <c r="CU83" s="1318">
        <f>CU82/CT82-1</f>
        <v/>
      </c>
      <c r="CV83" s="1318">
        <f>CV82/CU82-1</f>
        <v/>
      </c>
      <c r="CW83" s="1318">
        <f>CW82/CV82-1</f>
        <v/>
      </c>
      <c r="CX83" s="1318">
        <f>CX82/CW82-1</f>
        <v/>
      </c>
      <c r="CY83" s="1318">
        <f>CY82/CX82-1</f>
        <v/>
      </c>
      <c r="CZ83" s="1318">
        <f>CZ82/CY82-1</f>
        <v/>
      </c>
      <c r="DA83" s="1318">
        <f>DA82/CZ82-1</f>
        <v/>
      </c>
      <c r="DB83" s="1318">
        <f>DB82/DA82-1</f>
        <v/>
      </c>
      <c r="DC83" s="1318">
        <f>DC82/DB82-1</f>
        <v/>
      </c>
      <c r="DD83" s="1318">
        <f>DD82/DC82-1</f>
        <v/>
      </c>
      <c r="DE83" s="1318">
        <f>DE82/DD82-1</f>
        <v/>
      </c>
      <c r="DF83" s="1318">
        <f>DF82/DE82-1</f>
        <v/>
      </c>
      <c r="DG83" s="1318">
        <f>DG82/DF82-1</f>
        <v/>
      </c>
      <c r="DH83" s="1318">
        <f>DH82/DG82-1</f>
        <v/>
      </c>
      <c r="DI83" s="1318">
        <f>DI82/DH82-1</f>
        <v/>
      </c>
      <c r="DJ83" s="1318">
        <f>DJ82/DI82-1</f>
        <v/>
      </c>
      <c r="DK83" s="1318">
        <f>DK82/DJ82-1</f>
        <v/>
      </c>
      <c r="DL83" s="1318">
        <f>DL82/DK82-1</f>
        <v/>
      </c>
      <c r="DM83" s="1318">
        <f>DM82/DL82-1</f>
        <v/>
      </c>
      <c r="DN83" s="1318">
        <f>DN82/DM82-1</f>
        <v/>
      </c>
      <c r="DO83" s="1318">
        <f>DO82/DN82-1</f>
        <v/>
      </c>
      <c r="DP83" s="1318">
        <f>DP82/DO82-1</f>
        <v/>
      </c>
      <c r="DQ83" s="1318">
        <f>DQ82/DP82-1</f>
        <v/>
      </c>
      <c r="DR83" s="1318">
        <f>DR82/DQ82-1</f>
        <v/>
      </c>
      <c r="DS83" s="1318">
        <f>DS82/DR82-1</f>
        <v/>
      </c>
      <c r="DT83" s="1318">
        <f>DT82/DS82-1</f>
        <v/>
      </c>
      <c r="DU83" s="1318">
        <f>DU82/DT82-1</f>
        <v/>
      </c>
      <c r="DV83" s="1318">
        <f>DV82/DU82-1</f>
        <v/>
      </c>
      <c r="DW83" s="1318">
        <f>DW82/DV82-1</f>
        <v/>
      </c>
      <c r="DX83" s="1318">
        <f>DX82/DW82-1</f>
        <v/>
      </c>
      <c r="DY83" s="1318">
        <f>DY82/DX82-1</f>
        <v/>
      </c>
      <c r="DZ83" s="1318">
        <f>DZ82/DY82-1</f>
        <v/>
      </c>
      <c r="EA83" s="1318">
        <f>EA82/DZ82-1</f>
        <v/>
      </c>
      <c r="EB83" s="1318">
        <f>EB82/EA82-1</f>
        <v/>
      </c>
      <c r="EC83" s="1318">
        <f>EC82/EB82-1</f>
        <v/>
      </c>
      <c r="ED83" s="1318">
        <f>ED82/EC82-1</f>
        <v/>
      </c>
      <c r="EE83" s="1318">
        <f>EE82/ED82-1</f>
        <v/>
      </c>
      <c r="EF83" s="1318">
        <f>EF82/EE82-1</f>
        <v/>
      </c>
      <c r="EG83" s="1318">
        <f>EG82/EF82-1</f>
        <v/>
      </c>
      <c r="EH83" s="1318">
        <f>EH82/EG82-1</f>
        <v/>
      </c>
      <c r="EI83" s="1318">
        <f>EI82/EH82-1</f>
        <v/>
      </c>
      <c r="EJ83" s="1318">
        <f>EJ82/EI82-1</f>
        <v/>
      </c>
      <c r="EK83" s="1318">
        <f>EK82/EJ82-1</f>
        <v/>
      </c>
      <c r="EL83" s="1318">
        <f>EL82/EK82-1</f>
        <v/>
      </c>
      <c r="EM83" s="1318">
        <f>EM82/EL82-1</f>
        <v/>
      </c>
      <c r="EN83" s="1318">
        <f>EN82/EM82-1</f>
        <v/>
      </c>
      <c r="EO83" s="1318">
        <f>EO82/EN82-1</f>
        <v/>
      </c>
      <c r="EP83" s="1318">
        <f>EP82/EO82-1</f>
        <v/>
      </c>
      <c r="EQ83" s="1318">
        <f>EQ82/EP82-1</f>
        <v/>
      </c>
      <c r="ER83" s="1318">
        <f>ER82/EQ82-1</f>
        <v/>
      </c>
      <c r="ES83" s="1318">
        <f>ES82/ER82-1</f>
        <v/>
      </c>
      <c r="ET83" s="1318">
        <f>ET82/ES82-1</f>
        <v/>
      </c>
      <c r="EU83" s="1318">
        <f>EU82/ET82-1</f>
        <v/>
      </c>
      <c r="EV83" s="1318">
        <f>EV82/EU82-1</f>
        <v/>
      </c>
      <c r="EW83" s="1318">
        <f>EW82/EV82-1</f>
        <v/>
      </c>
      <c r="EX83" s="1318">
        <f>EX82/EW82-1</f>
        <v/>
      </c>
      <c r="EY83" s="1318">
        <f>EY82/EX82-1</f>
        <v/>
      </c>
      <c r="EZ83" s="1318">
        <f>EZ82/EY82-1</f>
        <v/>
      </c>
      <c r="FA83" s="1318">
        <f>FA82/EZ82-1</f>
        <v/>
      </c>
      <c r="FB83" s="1318">
        <f>FB82/FA82-1</f>
        <v/>
      </c>
      <c r="FC83" s="1318">
        <f>FC82/FB82-1</f>
        <v/>
      </c>
      <c r="FD83" s="1318">
        <f>FD82/FC82-1</f>
        <v/>
      </c>
      <c r="FE83" s="1318">
        <f>FE82/FD82-1</f>
        <v/>
      </c>
      <c r="FF83" s="1318">
        <f>FF82/FE82-1</f>
        <v/>
      </c>
      <c r="FG83" s="1318">
        <f>FG82/FF82-1</f>
        <v/>
      </c>
      <c r="FH83" s="1318">
        <f>FH82/FG82-1</f>
        <v/>
      </c>
      <c r="FI83" s="1318">
        <f>FI82/FH82-1</f>
        <v/>
      </c>
      <c r="FJ83" s="1318">
        <f>FJ82/FI82-1</f>
        <v/>
      </c>
      <c r="FK83" s="1318">
        <f>FK82/FJ82-1</f>
        <v/>
      </c>
      <c r="FL83" s="1318">
        <f>FL82/FK82-1</f>
        <v/>
      </c>
      <c r="FM83" s="1318">
        <f>FM82/FL82-1</f>
        <v/>
      </c>
      <c r="FN83" s="1318">
        <f>FN82/FM82-1</f>
        <v/>
      </c>
      <c r="FO83" s="1318">
        <f>FO82/FN82-1</f>
        <v/>
      </c>
      <c r="FP83" s="1318">
        <f>FP82/FO82-1</f>
        <v/>
      </c>
      <c r="FQ83" s="1318">
        <f>FQ82/FP82-1</f>
        <v/>
      </c>
      <c r="FR83" s="1318">
        <f>FR82/FQ82-1</f>
        <v/>
      </c>
      <c r="FS83" s="1318">
        <f>FS82/FR82-1</f>
        <v/>
      </c>
      <c r="FT83" s="1318">
        <f>FT82/FS82-1</f>
        <v/>
      </c>
      <c r="FU83" s="1318">
        <f>FU82/FT82-1</f>
        <v/>
      </c>
      <c r="FV83" s="1318">
        <f>FV82/FU82-1</f>
        <v/>
      </c>
      <c r="FW83" s="1318">
        <f>FW82/FV82-1</f>
        <v/>
      </c>
      <c r="FX83" s="1318">
        <f>FX82/FW82-1</f>
        <v/>
      </c>
      <c r="FY83" s="1318">
        <f>FY82/FX82-1</f>
        <v/>
      </c>
      <c r="FZ83" s="1318">
        <f>FZ82/FY82-1</f>
        <v/>
      </c>
      <c r="GA83" s="1318">
        <f>GA82/FZ82-1</f>
        <v/>
      </c>
      <c r="GB83" s="1318">
        <f>GB82/GA82-1</f>
        <v/>
      </c>
      <c r="GC83" s="1318">
        <f>GC82/GB82-1</f>
        <v/>
      </c>
      <c r="GD83" s="1318">
        <f>GD82/GC82-1</f>
        <v/>
      </c>
      <c r="GE83" s="1318">
        <f>GE82/GD82-1</f>
        <v/>
      </c>
      <c r="GF83" s="1318">
        <f>GF82/GE82-1</f>
        <v/>
      </c>
      <c r="GG83" s="1318">
        <f>GG82/GF82-1</f>
        <v/>
      </c>
      <c r="GH83" s="1318">
        <f>GH82/GG82-1</f>
        <v/>
      </c>
      <c r="GI83" s="1318">
        <f>GI82/GH82-1</f>
        <v/>
      </c>
      <c r="GJ83" s="1318">
        <f>GJ82/GI82-1</f>
        <v/>
      </c>
      <c r="GK83" s="1318">
        <f>GK82/GJ82-1</f>
        <v/>
      </c>
      <c r="GL83" s="1318">
        <f>GL82/GK82-1</f>
        <v/>
      </c>
      <c r="GM83" s="1318">
        <f>GM82/GL82-1</f>
        <v/>
      </c>
      <c r="GN83" s="1318">
        <f>GN82/GM82-1</f>
        <v/>
      </c>
      <c r="GO83" s="1318">
        <f>GO82/GN82-1</f>
        <v/>
      </c>
      <c r="GP83" s="1318">
        <f>GP82/GO82-1</f>
        <v/>
      </c>
      <c r="GQ83" s="1318">
        <f>GQ82/GP82-1</f>
        <v/>
      </c>
      <c r="GR83" s="1318">
        <f>GR82/GQ82-1</f>
        <v/>
      </c>
      <c r="GS83" s="1318">
        <f>GS82/GR82-1</f>
        <v/>
      </c>
      <c r="GT83" s="1318">
        <f>GT82/GS82-1</f>
        <v/>
      </c>
      <c r="GU83" s="1318">
        <f>GU82/GT82-1</f>
        <v/>
      </c>
      <c r="GV83" s="1318">
        <f>GV82/GU82-1</f>
        <v/>
      </c>
      <c r="GW83" s="1318">
        <f>GW82/GV82-1</f>
        <v/>
      </c>
      <c r="GX83" s="1318">
        <f>GX82/GW82-1</f>
        <v/>
      </c>
      <c r="GY83" s="1318">
        <f>GY82/GX82-1</f>
        <v/>
      </c>
      <c r="GZ83" s="1318">
        <f>GZ82/GY82-1</f>
        <v/>
      </c>
      <c r="HA83" s="1318">
        <f>HA82/GZ82-1</f>
        <v/>
      </c>
      <c r="HB83" s="1318">
        <f>HB82/HA82-1</f>
        <v/>
      </c>
      <c r="HC83" s="1318">
        <f>HC82/HB82-1</f>
        <v/>
      </c>
      <c r="HD83" s="1318">
        <f>HD82/HC82-1</f>
        <v/>
      </c>
      <c r="HE83" s="1318">
        <f>HE82/HD82-1</f>
        <v/>
      </c>
      <c r="HF83" s="1318">
        <f>HF82/HE82-1</f>
        <v/>
      </c>
      <c r="HG83" s="1318">
        <f>HG82/HF82-1</f>
        <v/>
      </c>
      <c r="HH83" s="1318">
        <f>HH82/HG82-1</f>
        <v/>
      </c>
      <c r="HI83" s="1318">
        <f>HI82/HH82-1</f>
        <v/>
      </c>
      <c r="HJ83" s="1318">
        <f>HJ82/HI82-1</f>
        <v/>
      </c>
      <c r="HK83" s="1318">
        <f>HK82/HJ82-1</f>
        <v/>
      </c>
      <c r="HL83" s="1318">
        <f>HL82/HK82-1</f>
        <v/>
      </c>
      <c r="HM83" s="1318">
        <f>HM82/HL82-1</f>
        <v/>
      </c>
      <c r="HN83" s="1318">
        <f>HN82/HM82-1</f>
        <v/>
      </c>
      <c r="HO83" s="1318">
        <f>HO82/HN82-1</f>
        <v/>
      </c>
      <c r="HP83" s="1318">
        <f>HP82/HO82-1</f>
        <v/>
      </c>
      <c r="HQ83" s="1318">
        <f>HQ82/HP82-1</f>
        <v/>
      </c>
      <c r="HR83" s="1318">
        <f>HR82/HQ82-1</f>
        <v/>
      </c>
      <c r="HS83" s="1318">
        <f>HS82/HR82-1</f>
        <v/>
      </c>
      <c r="HT83" s="1318">
        <f>HT82/HS82-1</f>
        <v/>
      </c>
      <c r="HU83" s="1318">
        <f>HU82/HT82-1</f>
        <v/>
      </c>
      <c r="HV83" s="1318">
        <f>HV82/HU82-1</f>
        <v/>
      </c>
      <c r="HW83" s="1318">
        <f>HW82/HV82-1</f>
        <v/>
      </c>
      <c r="HX83" s="1318">
        <f>HX82/HW82-1</f>
        <v/>
      </c>
      <c r="HY83" s="1318">
        <f>HY82/HX82-1</f>
        <v/>
      </c>
      <c r="HZ83" s="1318">
        <f>HZ82/HY82-1</f>
        <v/>
      </c>
      <c r="IA83" s="1318">
        <f>IA82/HZ82-1</f>
        <v/>
      </c>
      <c r="IB83" s="1318">
        <f>IB82/IA82-1</f>
        <v/>
      </c>
      <c r="IC83" s="1318">
        <f>IC82/IB82-1</f>
        <v/>
      </c>
      <c r="ID83" s="1318">
        <f>ID82/IC82-1</f>
        <v/>
      </c>
      <c r="IE83" s="1318">
        <f>IE82/ID82-1</f>
        <v/>
      </c>
      <c r="IF83" s="1318">
        <f>IF82/IE82-1</f>
        <v/>
      </c>
      <c r="IG83" s="1318">
        <f>IG82/IF82-1</f>
        <v/>
      </c>
      <c r="IH83" s="1318">
        <f>IH82/IG82-1</f>
        <v/>
      </c>
      <c r="II83" s="1318">
        <f>II82/IH82-1</f>
        <v/>
      </c>
      <c r="IJ83" s="1318">
        <f>IJ82/II82-1</f>
        <v/>
      </c>
      <c r="IK83" s="1318">
        <f>IK82/IJ82-1</f>
        <v/>
      </c>
      <c r="IL83" s="1318">
        <f>IL82/IK82-1</f>
        <v/>
      </c>
      <c r="IM83" s="1318">
        <f>IM82/IL82-1</f>
        <v/>
      </c>
      <c r="IN83" s="1318">
        <f>IN82/IM82-1</f>
        <v/>
      </c>
      <c r="IO83" s="1318">
        <f>IO82/IN82-1</f>
        <v/>
      </c>
      <c r="IP83" s="1318">
        <f>IP82/IO82-1</f>
        <v/>
      </c>
      <c r="IQ83" s="1318">
        <f>IQ82/IP82-1</f>
        <v/>
      </c>
      <c r="IR83" s="1318">
        <f>IR82/IQ82-1</f>
        <v/>
      </c>
      <c r="IS83" s="1318">
        <f>IS82/IR82-1</f>
        <v/>
      </c>
      <c r="IT83" s="1318">
        <f>IT82/IS82-1</f>
        <v/>
      </c>
      <c r="IU83" s="1318">
        <f>IU82/IT82-1</f>
        <v/>
      </c>
      <c r="IV83" s="1318">
        <f>IV82/IU82-1</f>
        <v/>
      </c>
      <c r="IW83" s="1318">
        <f>IW82/IV82-1</f>
        <v/>
      </c>
      <c r="IX83" s="1318">
        <f>IX82/IW82-1</f>
        <v/>
      </c>
      <c r="IY83" s="1318">
        <f>IY82/IX82-1</f>
        <v/>
      </c>
      <c r="IZ83" s="1318">
        <f>IZ82/IY82-1</f>
        <v/>
      </c>
      <c r="JA83" s="1318">
        <f>JA82/IZ82-1</f>
        <v/>
      </c>
      <c r="JB83" s="1318">
        <f>JB82/JA82-1</f>
        <v/>
      </c>
      <c r="JC83" s="1318">
        <f>JC82/JB82-1</f>
        <v/>
      </c>
      <c r="JD83" s="1318">
        <f>JD82/JC82-1</f>
        <v/>
      </c>
      <c r="JE83" s="1318">
        <f>JE82/JD82-1</f>
        <v/>
      </c>
      <c r="JF83" s="1318">
        <f>JF82/JE82-1</f>
        <v/>
      </c>
      <c r="JG83" s="1318">
        <f>JG82/JF82-1</f>
        <v/>
      </c>
      <c r="JH83" s="1318">
        <f>JH82/JG82-1</f>
        <v/>
      </c>
      <c r="JI83" s="1318">
        <f>JI82/JH82-1</f>
        <v/>
      </c>
      <c r="JJ83" s="1318">
        <f>JJ82/JI82-1</f>
        <v/>
      </c>
      <c r="JK83" s="1318">
        <f>JK82/JJ82-1</f>
        <v/>
      </c>
      <c r="JL83" s="1318">
        <f>JL82/JK82-1</f>
        <v/>
      </c>
      <c r="JM83" s="1318">
        <f>JM82/JL82-1</f>
        <v/>
      </c>
      <c r="JN83" s="1318">
        <f>JN82/JM82-1</f>
        <v/>
      </c>
      <c r="JO83" s="1318">
        <f>JO82/JN82-1</f>
        <v/>
      </c>
      <c r="JP83" s="1318">
        <f>JP82/JO82-1</f>
        <v/>
      </c>
      <c r="JQ83" s="1318">
        <f>JQ82/JP82-1</f>
        <v/>
      </c>
      <c r="JR83" s="1318">
        <f>JR82/JQ82-1</f>
        <v/>
      </c>
      <c r="JS83" s="1318">
        <f>JS82/JR82-1</f>
        <v/>
      </c>
      <c r="JT83" s="1318">
        <f>JT82/JS82-1</f>
        <v/>
      </c>
      <c r="JU83" s="1318">
        <f>JU82/JT82-1</f>
        <v/>
      </c>
      <c r="JV83" s="1318">
        <f>JV82/JU82-1</f>
        <v/>
      </c>
      <c r="JW83" s="1318">
        <f>JW82/JV82-1</f>
        <v/>
      </c>
      <c r="JX83" s="1318">
        <f>JX82/JW82-1</f>
        <v/>
      </c>
      <c r="JY83" s="1318">
        <f>JY82/JX82-1</f>
        <v/>
      </c>
      <c r="JZ83" s="1318">
        <f>JZ82/JY82-1</f>
        <v/>
      </c>
      <c r="KA83" s="1318">
        <f>KA82/JZ82-1</f>
        <v/>
      </c>
      <c r="KB83" s="1318">
        <f>KB82/KA82-1</f>
        <v/>
      </c>
      <c r="KC83" s="1318">
        <f>KC82/KB82-1</f>
        <v/>
      </c>
      <c r="KD83" s="1318">
        <f>KD82/KC82-1</f>
        <v/>
      </c>
      <c r="KE83" s="1318">
        <f>KE82/KD82-1</f>
        <v/>
      </c>
      <c r="KF83" s="1318">
        <f>KF82/KE82-1</f>
        <v/>
      </c>
      <c r="KG83" s="1318">
        <f>KG82/KF82-1</f>
        <v/>
      </c>
      <c r="KH83" s="1318">
        <f>KH82/KG82-1</f>
        <v/>
      </c>
      <c r="KI83" s="1318">
        <f>KI82/KH82-1</f>
        <v/>
      </c>
      <c r="KJ83" s="1318">
        <f>KJ82/KI82-1</f>
        <v/>
      </c>
      <c r="KK83" s="1318">
        <f>KK82/KJ82-1</f>
        <v/>
      </c>
      <c r="KL83" s="1318">
        <f>KL82/KK82-1</f>
        <v/>
      </c>
      <c r="KM83" s="1318">
        <f>KM82/KL82-1</f>
        <v/>
      </c>
      <c r="KN83" s="1318">
        <f>KN82/KM82-1</f>
        <v/>
      </c>
      <c r="KO83" s="1318">
        <f>KO82/KN82-1</f>
        <v/>
      </c>
      <c r="KP83" s="1318">
        <f>KP82/KO82-1</f>
        <v/>
      </c>
      <c r="KQ83" s="1318">
        <f>KQ82/KP82-1</f>
        <v/>
      </c>
      <c r="KR83" s="1318">
        <f>KR82/KQ82-1</f>
        <v/>
      </c>
      <c r="KS83" s="1318">
        <f>KS82/KR82-1</f>
        <v/>
      </c>
      <c r="KT83" s="1318">
        <f>KT82/KS82-1</f>
        <v/>
      </c>
      <c r="KU83" s="1318">
        <f>KU82/KT82-1</f>
        <v/>
      </c>
      <c r="KV83" s="1318">
        <f>KV82/KU82-1</f>
        <v/>
      </c>
      <c r="KW83" s="1318">
        <f>KW82/KV82-1</f>
        <v/>
      </c>
      <c r="KX83" s="1318">
        <f>KX82/KW82-1</f>
        <v/>
      </c>
      <c r="KY83" s="1318">
        <f>KY82/KX82-1</f>
        <v/>
      </c>
      <c r="KZ83" s="1318">
        <f>KZ82/KY82-1</f>
        <v/>
      </c>
      <c r="LA83" s="1318">
        <f>LA82/KZ82-1</f>
        <v/>
      </c>
      <c r="LB83" s="1318">
        <f>LB82/LA82-1</f>
        <v/>
      </c>
      <c r="LC83" s="1318">
        <f>LC82/LB82-1</f>
        <v/>
      </c>
      <c r="LD83" s="1318">
        <f>LD82/LC82-1</f>
        <v/>
      </c>
      <c r="LE83" s="1318">
        <f>LE82/LD82-1</f>
        <v/>
      </c>
      <c r="LF83" s="1318">
        <f>LF82/LE82-1</f>
        <v/>
      </c>
      <c r="LG83" s="1318">
        <f>LG82/LF82-1</f>
        <v/>
      </c>
      <c r="LH83" s="1318">
        <f>LH82/LG82-1</f>
        <v/>
      </c>
      <c r="LI83" s="1318">
        <f>LI82/LH82-1</f>
        <v/>
      </c>
      <c r="LJ83" s="1318">
        <f>LJ82/LI82-1</f>
        <v/>
      </c>
      <c r="LK83" s="1318">
        <f>LK82/LJ82-1</f>
        <v/>
      </c>
      <c r="LL83" s="1318">
        <f>LL82/LK82-1</f>
        <v/>
      </c>
      <c r="LM83" s="1318">
        <f>LM82/LL82-1</f>
        <v/>
      </c>
      <c r="LN83" s="1318">
        <f>LN82/LM82-1</f>
        <v/>
      </c>
      <c r="LO83" s="1318">
        <f>LO82/LN82-1</f>
        <v/>
      </c>
      <c r="LP83" s="1318">
        <f>LP82/LO82-1</f>
        <v/>
      </c>
      <c r="LQ83" s="1318">
        <f>LQ82/LP82-1</f>
        <v/>
      </c>
      <c r="LR83" s="1318">
        <f>LR82/LQ82-1</f>
        <v/>
      </c>
      <c r="LS83" s="1318">
        <f>LS82/LR82-1</f>
        <v/>
      </c>
    </row>
    <row r="84">
      <c r="A84" s="885" t="inlineStr">
        <is>
          <t>YoY cg %</t>
        </is>
      </c>
      <c r="B84" s="1318" t="n"/>
      <c r="C84" s="1336" t="n"/>
      <c r="D84" s="1336" t="n"/>
      <c r="E84" s="1336" t="n"/>
      <c r="F84" s="1336" t="n"/>
      <c r="G84" s="1336" t="n"/>
      <c r="H84" s="1336" t="n"/>
      <c r="I84" s="1336" t="n"/>
      <c r="J84" s="1336" t="n"/>
      <c r="K84" s="1336" t="n"/>
      <c r="L84" s="1336" t="n"/>
      <c r="M84" s="1336" t="n"/>
      <c r="N84" s="1318">
        <f>N82/B82-1</f>
        <v/>
      </c>
      <c r="O84" s="1318">
        <f>O82/C82-1</f>
        <v/>
      </c>
      <c r="P84" s="1318">
        <f>P82/D82-1</f>
        <v/>
      </c>
      <c r="Q84" s="1318">
        <f>Q82/E82-1</f>
        <v/>
      </c>
      <c r="R84" s="1318">
        <f>R82/F82-1</f>
        <v/>
      </c>
      <c r="S84" s="1318">
        <f>S82/G82-1</f>
        <v/>
      </c>
      <c r="T84" s="1318">
        <f>T82/H82-1</f>
        <v/>
      </c>
      <c r="U84" s="1318">
        <f>U82/I82-1</f>
        <v/>
      </c>
      <c r="V84" s="1318">
        <f>V82/J82-1</f>
        <v/>
      </c>
      <c r="W84" s="1318">
        <f>W82/K82-1</f>
        <v/>
      </c>
      <c r="X84" s="1318">
        <f>X82/L82-1</f>
        <v/>
      </c>
      <c r="Y84" s="1318">
        <f>Y82/M82-1</f>
        <v/>
      </c>
      <c r="Z84" s="1318">
        <f>Z82/N82-1</f>
        <v/>
      </c>
      <c r="AA84" s="1318">
        <f>AA82/O82-1</f>
        <v/>
      </c>
      <c r="AB84" s="1318">
        <f>AB82/P82-1</f>
        <v/>
      </c>
      <c r="AC84" s="1318">
        <f>AC82/Q82-1</f>
        <v/>
      </c>
      <c r="AD84" s="1318">
        <f>AD82/R82-1</f>
        <v/>
      </c>
      <c r="AE84" s="1318">
        <f>AE82/S82-1</f>
        <v/>
      </c>
      <c r="AF84" s="1318">
        <f>AF82/T82-1</f>
        <v/>
      </c>
      <c r="AG84" s="1318">
        <f>AG82/U82-1</f>
        <v/>
      </c>
      <c r="AH84" s="1318">
        <f>AH82/V82-1</f>
        <v/>
      </c>
      <c r="AI84" s="1318">
        <f>AI82/W82-1</f>
        <v/>
      </c>
      <c r="AJ84" s="1318">
        <f>AJ82/X82-1</f>
        <v/>
      </c>
      <c r="AK84" s="1318">
        <f>AK82/Y82-1</f>
        <v/>
      </c>
      <c r="AL84" s="1318">
        <f>AL82/Z82-1</f>
        <v/>
      </c>
      <c r="AM84" s="1318">
        <f>AM82/AA82-1</f>
        <v/>
      </c>
      <c r="AN84" s="1318">
        <f>AN82/AB82-1</f>
        <v/>
      </c>
      <c r="AO84" s="1318">
        <f>AO82/AC82-1</f>
        <v/>
      </c>
      <c r="AP84" s="1318">
        <f>AP82/AD82-1</f>
        <v/>
      </c>
      <c r="AQ84" s="1318">
        <f>AQ82/AE82-1</f>
        <v/>
      </c>
      <c r="AR84" s="1318">
        <f>AR82/AF82-1</f>
        <v/>
      </c>
      <c r="AS84" s="1318">
        <f>AS82/AG82-1</f>
        <v/>
      </c>
      <c r="AT84" s="1318">
        <f>AT82/AH82-1</f>
        <v/>
      </c>
      <c r="AU84" s="1318">
        <f>AU82/AI82-1</f>
        <v/>
      </c>
      <c r="AV84" s="1318">
        <f>AV82/AJ82-1</f>
        <v/>
      </c>
      <c r="AW84" s="1318">
        <f>AW82/AK82-1</f>
        <v/>
      </c>
      <c r="AX84" s="1318">
        <f>AX82/AL82-1</f>
        <v/>
      </c>
      <c r="AY84" s="1318">
        <f>AY82/AM82-1</f>
        <v/>
      </c>
      <c r="AZ84" s="1318">
        <f>AZ82/AN82-1</f>
        <v/>
      </c>
      <c r="BA84" s="1318">
        <f>BA82/AO82-1</f>
        <v/>
      </c>
      <c r="BB84" s="1318">
        <f>BB82/AP82-1</f>
        <v/>
      </c>
      <c r="BC84" s="1318">
        <f>BC82/AQ82-1</f>
        <v/>
      </c>
      <c r="BD84" s="1318">
        <f>BD82/AR82-1</f>
        <v/>
      </c>
      <c r="BE84" s="1318">
        <f>BE82/AS82-1</f>
        <v/>
      </c>
      <c r="BF84" s="1318">
        <f>BF82/AT82-1</f>
        <v/>
      </c>
      <c r="BG84" s="1318">
        <f>BG82/AU82-1</f>
        <v/>
      </c>
      <c r="BH84" s="1318">
        <f>BH82/AV82-1</f>
        <v/>
      </c>
      <c r="BI84" s="1318">
        <f>BI82/AW82-1</f>
        <v/>
      </c>
      <c r="BJ84" s="1318">
        <f>BJ82/AX82-1</f>
        <v/>
      </c>
      <c r="BK84" s="1318">
        <f>BK82/AY82-1</f>
        <v/>
      </c>
      <c r="BL84" s="1318">
        <f>BL82/AZ82-1</f>
        <v/>
      </c>
      <c r="BM84" s="1318">
        <f>BM82/BA82-1</f>
        <v/>
      </c>
      <c r="BN84" s="1318">
        <f>BN82/BB82-1</f>
        <v/>
      </c>
      <c r="BO84" s="1318">
        <f>BO82/BC82-1</f>
        <v/>
      </c>
      <c r="BP84" s="1318">
        <f>BP82/BD82-1</f>
        <v/>
      </c>
      <c r="BQ84" s="1318">
        <f>BQ82/BE82-1</f>
        <v/>
      </c>
      <c r="BR84" s="1318">
        <f>BR82/BF82-1</f>
        <v/>
      </c>
      <c r="BS84" s="1318">
        <f>BS82/BG82-1</f>
        <v/>
      </c>
      <c r="BT84" s="1318">
        <f>BT82/BH82-1</f>
        <v/>
      </c>
      <c r="BU84" s="1318">
        <f>BU82/BI82-1</f>
        <v/>
      </c>
      <c r="BV84" s="1318">
        <f>BV82/BJ82-1</f>
        <v/>
      </c>
      <c r="BW84" s="1318">
        <f>BW82/BK82-1</f>
        <v/>
      </c>
      <c r="BX84" s="1318">
        <f>BX82/BL82-1</f>
        <v/>
      </c>
      <c r="BY84" s="1318">
        <f>BY82/BM82-1</f>
        <v/>
      </c>
      <c r="BZ84" s="1318">
        <f>BZ82/BN82-1</f>
        <v/>
      </c>
      <c r="CA84" s="1318">
        <f>CA82/BO82-1</f>
        <v/>
      </c>
      <c r="CB84" s="1318">
        <f>CB82/BP82-1</f>
        <v/>
      </c>
      <c r="CC84" s="1318">
        <f>CC82/BQ82-1</f>
        <v/>
      </c>
      <c r="CD84" s="1318">
        <f>CD82/BR82-1</f>
        <v/>
      </c>
      <c r="CE84" s="1318">
        <f>CE82/BS82-1</f>
        <v/>
      </c>
      <c r="CF84" s="1318">
        <f>CF82/BT82-1</f>
        <v/>
      </c>
      <c r="CG84" s="1318">
        <f>CG82/BU82-1</f>
        <v/>
      </c>
      <c r="CH84" s="1318">
        <f>CH82/BV82-1</f>
        <v/>
      </c>
      <c r="CI84" s="1318">
        <f>CI82/BW82-1</f>
        <v/>
      </c>
      <c r="CJ84" s="1318">
        <f>CJ82/BX82-1</f>
        <v/>
      </c>
      <c r="CK84" s="1318">
        <f>CK82/BY82-1</f>
        <v/>
      </c>
      <c r="CL84" s="1318">
        <f>CL82/BZ82-1</f>
        <v/>
      </c>
      <c r="CM84" s="1318">
        <f>CM82/CA82-1</f>
        <v/>
      </c>
      <c r="CN84" s="1318">
        <f>CN82/CB82-1</f>
        <v/>
      </c>
      <c r="CO84" s="1318">
        <f>CO82/CC82-1</f>
        <v/>
      </c>
      <c r="CP84" s="1318">
        <f>CP82/CD82-1</f>
        <v/>
      </c>
      <c r="CQ84" s="1318">
        <f>CQ82/CE82-1</f>
        <v/>
      </c>
      <c r="CR84" s="1318">
        <f>CR82/CF82-1</f>
        <v/>
      </c>
      <c r="CS84" s="1318">
        <f>CS82/CG82-1</f>
        <v/>
      </c>
      <c r="CT84" s="1318">
        <f>CT82/CH82-1</f>
        <v/>
      </c>
      <c r="CU84" s="1318">
        <f>CU82/CI82-1</f>
        <v/>
      </c>
      <c r="CV84" s="1318">
        <f>CV82/CJ82-1</f>
        <v/>
      </c>
      <c r="CW84" s="1318">
        <f>CW82/CK82-1</f>
        <v/>
      </c>
      <c r="CX84" s="1318">
        <f>CX82/CL82-1</f>
        <v/>
      </c>
      <c r="CY84" s="1318">
        <f>CY82/CM82-1</f>
        <v/>
      </c>
      <c r="CZ84" s="1318">
        <f>CZ82/CN82-1</f>
        <v/>
      </c>
      <c r="DA84" s="1318">
        <f>DA82/CO82-1</f>
        <v/>
      </c>
      <c r="DB84" s="1318">
        <f>DB82/CP82-1</f>
        <v/>
      </c>
      <c r="DC84" s="1318">
        <f>DC82/CQ82-1</f>
        <v/>
      </c>
      <c r="DD84" s="1318">
        <f>DD82/CR82-1</f>
        <v/>
      </c>
      <c r="DE84" s="1318">
        <f>DE82/CS82-1</f>
        <v/>
      </c>
      <c r="DF84" s="1318">
        <f>DF82/CT82-1</f>
        <v/>
      </c>
      <c r="DG84" s="1318">
        <f>DG82/CU82-1</f>
        <v/>
      </c>
      <c r="DH84" s="1318">
        <f>DH82/CV82-1</f>
        <v/>
      </c>
      <c r="DI84" s="1318">
        <f>DI82/CW82-1</f>
        <v/>
      </c>
      <c r="DJ84" s="1318">
        <f>DJ82/CX82-1</f>
        <v/>
      </c>
      <c r="DK84" s="1318">
        <f>DK82/CY82-1</f>
        <v/>
      </c>
      <c r="DL84" s="1318">
        <f>DL82/CZ82-1</f>
        <v/>
      </c>
      <c r="DM84" s="1318">
        <f>DM82/DA82-1</f>
        <v/>
      </c>
      <c r="DN84" s="1318">
        <f>DN82/DB82-1</f>
        <v/>
      </c>
      <c r="DO84" s="1318">
        <f>DO82/DC82-1</f>
        <v/>
      </c>
      <c r="DP84" s="1318">
        <f>DP82/DD82-1</f>
        <v/>
      </c>
      <c r="DQ84" s="1318">
        <f>DQ82/DE82-1</f>
        <v/>
      </c>
      <c r="DR84" s="1318">
        <f>DR82/DF82-1</f>
        <v/>
      </c>
      <c r="DS84" s="1318">
        <f>DS82/DG82-1</f>
        <v/>
      </c>
      <c r="DT84" s="1318">
        <f>DT82/DH82-1</f>
        <v/>
      </c>
      <c r="DU84" s="1318">
        <f>DU82/DI82-1</f>
        <v/>
      </c>
      <c r="DV84" s="1318">
        <f>DV82/DJ82-1</f>
        <v/>
      </c>
      <c r="DW84" s="1318">
        <f>DW82/DK82-1</f>
        <v/>
      </c>
      <c r="DX84" s="1318">
        <f>DX82/DL82-1</f>
        <v/>
      </c>
      <c r="DY84" s="1318">
        <f>DY82/DM82-1</f>
        <v/>
      </c>
      <c r="DZ84" s="1318">
        <f>DZ82/DN82-1</f>
        <v/>
      </c>
      <c r="EA84" s="1318">
        <f>EA82/DO82-1</f>
        <v/>
      </c>
      <c r="EB84" s="1318">
        <f>EB82/DP82-1</f>
        <v/>
      </c>
      <c r="EC84" s="1318">
        <f>EC82/DQ82-1</f>
        <v/>
      </c>
      <c r="ED84" s="1318">
        <f>ED82/DR82-1</f>
        <v/>
      </c>
      <c r="EE84" s="1318">
        <f>EE82/DS82-1</f>
        <v/>
      </c>
      <c r="EF84" s="1318">
        <f>EF82/DT82-1</f>
        <v/>
      </c>
      <c r="EG84" s="1318">
        <f>EG82/DU82-1</f>
        <v/>
      </c>
      <c r="EH84" s="1318">
        <f>EH82/DV82-1</f>
        <v/>
      </c>
      <c r="EI84" s="1318">
        <f>EI82/DW82-1</f>
        <v/>
      </c>
      <c r="EJ84" s="1318">
        <f>EJ82/DX82-1</f>
        <v/>
      </c>
      <c r="EK84" s="1318">
        <f>EK82/DY82-1</f>
        <v/>
      </c>
      <c r="EL84" s="1318">
        <f>EL82/DZ82-1</f>
        <v/>
      </c>
      <c r="EM84" s="1318">
        <f>EM82/EA82-1</f>
        <v/>
      </c>
      <c r="EN84" s="1318">
        <f>EN82/EB82-1</f>
        <v/>
      </c>
      <c r="EO84" s="1318">
        <f>EO82/EC82-1</f>
        <v/>
      </c>
      <c r="EP84" s="1318">
        <f>EP82/ED82-1</f>
        <v/>
      </c>
      <c r="EQ84" s="1318">
        <f>EQ82/EE82-1</f>
        <v/>
      </c>
      <c r="ER84" s="1318">
        <f>ER82/EF82-1</f>
        <v/>
      </c>
      <c r="ES84" s="1318">
        <f>ES82/EG82-1</f>
        <v/>
      </c>
      <c r="ET84" s="1318">
        <f>ET82/EH82-1</f>
        <v/>
      </c>
      <c r="EU84" s="1318">
        <f>EU82/EI82-1</f>
        <v/>
      </c>
      <c r="EV84" s="1318">
        <f>EV82/EJ82-1</f>
        <v/>
      </c>
      <c r="EW84" s="1318">
        <f>EW82/EK82-1</f>
        <v/>
      </c>
      <c r="EX84" s="1318">
        <f>EX82/EL82-1</f>
        <v/>
      </c>
      <c r="EY84" s="1318">
        <f>EY82/EM82-1</f>
        <v/>
      </c>
      <c r="EZ84" s="1318">
        <f>EZ82/EN82-1</f>
        <v/>
      </c>
      <c r="FA84" s="1318">
        <f>FA82/EO82-1</f>
        <v/>
      </c>
      <c r="FB84" s="1318">
        <f>FB82/EP82-1</f>
        <v/>
      </c>
      <c r="FC84" s="1318">
        <f>FC82/EQ82-1</f>
        <v/>
      </c>
      <c r="FD84" s="1318">
        <f>FD82/ER82-1</f>
        <v/>
      </c>
      <c r="FE84" s="1318">
        <f>FE82/ES82-1</f>
        <v/>
      </c>
      <c r="FF84" s="1318">
        <f>FF82/ET82-1</f>
        <v/>
      </c>
      <c r="FG84" s="1318">
        <f>FG82/EU82-1</f>
        <v/>
      </c>
      <c r="FH84" s="1318">
        <f>FH82/EV82-1</f>
        <v/>
      </c>
      <c r="FI84" s="1318">
        <f>FI82/EW82-1</f>
        <v/>
      </c>
      <c r="FJ84" s="1318">
        <f>FJ82/EX82-1</f>
        <v/>
      </c>
      <c r="FK84" s="1318">
        <f>FK82/EY82-1</f>
        <v/>
      </c>
      <c r="FL84" s="1318">
        <f>FL82/EZ82-1</f>
        <v/>
      </c>
      <c r="FM84" s="1318">
        <f>FM82/FA82-1</f>
        <v/>
      </c>
      <c r="FN84" s="1318">
        <f>FN82/FB82-1</f>
        <v/>
      </c>
      <c r="FO84" s="1318">
        <f>FO82/FC82-1</f>
        <v/>
      </c>
      <c r="FP84" s="1318">
        <f>FP82/FD82-1</f>
        <v/>
      </c>
      <c r="FQ84" s="1318">
        <f>FQ82/FE82-1</f>
        <v/>
      </c>
      <c r="FR84" s="1318">
        <f>FR82/FF82-1</f>
        <v/>
      </c>
      <c r="FS84" s="1318">
        <f>FS82/FG82-1</f>
        <v/>
      </c>
      <c r="FT84" s="1318">
        <f>FT82/FH82-1</f>
        <v/>
      </c>
      <c r="FU84" s="1318">
        <f>FU82/FI82-1</f>
        <v/>
      </c>
      <c r="FV84" s="1318">
        <f>FV82/FJ82-1</f>
        <v/>
      </c>
      <c r="FW84" s="1318">
        <f>FW82/FK82-1</f>
        <v/>
      </c>
      <c r="FX84" s="1318">
        <f>FX82/FL82-1</f>
        <v/>
      </c>
      <c r="FY84" s="1318">
        <f>FY82/FM82-1</f>
        <v/>
      </c>
      <c r="FZ84" s="1318">
        <f>FZ82/FN82-1</f>
        <v/>
      </c>
      <c r="GA84" s="1318">
        <f>GA82/FO82-1</f>
        <v/>
      </c>
      <c r="GB84" s="1318">
        <f>GB82/FP82-1</f>
        <v/>
      </c>
      <c r="GC84" s="1318">
        <f>GC82/FQ82-1</f>
        <v/>
      </c>
      <c r="GD84" s="1318">
        <f>GD82/FR82-1</f>
        <v/>
      </c>
      <c r="GE84" s="1318">
        <f>GE82/FS82-1</f>
        <v/>
      </c>
      <c r="GF84" s="1318">
        <f>GF82/FT82-1</f>
        <v/>
      </c>
      <c r="GG84" s="1318">
        <f>GG82/FU82-1</f>
        <v/>
      </c>
      <c r="GH84" s="1318">
        <f>GH82/FV82-1</f>
        <v/>
      </c>
      <c r="GI84" s="1318">
        <f>GI82/FW82-1</f>
        <v/>
      </c>
      <c r="GJ84" s="1318">
        <f>GJ82/FX82-1</f>
        <v/>
      </c>
      <c r="GK84" s="1318">
        <f>GK82/FY82-1</f>
        <v/>
      </c>
      <c r="GL84" s="1318">
        <f>GL82/FZ82-1</f>
        <v/>
      </c>
      <c r="GM84" s="1318">
        <f>GM82/GA82-1</f>
        <v/>
      </c>
      <c r="GN84" s="1318">
        <f>GN82/GB82-1</f>
        <v/>
      </c>
      <c r="GO84" s="1318">
        <f>GO82/GC82-1</f>
        <v/>
      </c>
      <c r="GP84" s="1318">
        <f>GP82/GD82-1</f>
        <v/>
      </c>
      <c r="GQ84" s="1318">
        <f>GQ82/GE82-1</f>
        <v/>
      </c>
      <c r="GR84" s="1318">
        <f>GR82/GF82-1</f>
        <v/>
      </c>
      <c r="GS84" s="1318">
        <f>GS82/GG82-1</f>
        <v/>
      </c>
      <c r="GT84" s="1318">
        <f>GT82/GH82-1</f>
        <v/>
      </c>
      <c r="GU84" s="1318">
        <f>GU82/GI82-1</f>
        <v/>
      </c>
      <c r="GV84" s="1318">
        <f>GV82/GJ82-1</f>
        <v/>
      </c>
      <c r="GW84" s="1318">
        <f>GW82/GK82-1</f>
        <v/>
      </c>
      <c r="GX84" s="1318">
        <f>GX82/GL82-1</f>
        <v/>
      </c>
      <c r="GY84" s="1318">
        <f>GY82/GM82-1</f>
        <v/>
      </c>
      <c r="GZ84" s="1318">
        <f>GZ82/GN82-1</f>
        <v/>
      </c>
      <c r="HA84" s="1318">
        <f>HA82/GO82-1</f>
        <v/>
      </c>
      <c r="HB84" s="1318">
        <f>HB82/GP82-1</f>
        <v/>
      </c>
      <c r="HC84" s="1318">
        <f>HC82/GQ82-1</f>
        <v/>
      </c>
      <c r="HD84" s="1318">
        <f>HD82/GR82-1</f>
        <v/>
      </c>
      <c r="HE84" s="1318">
        <f>HE82/GS82-1</f>
        <v/>
      </c>
      <c r="HF84" s="1318">
        <f>HF82/GT82-1</f>
        <v/>
      </c>
      <c r="HG84" s="1318">
        <f>HG82/GU82-1</f>
        <v/>
      </c>
      <c r="HH84" s="1318">
        <f>HH82/GV82-1</f>
        <v/>
      </c>
      <c r="HI84" s="1318">
        <f>HI82/GW82-1</f>
        <v/>
      </c>
      <c r="HJ84" s="1318">
        <f>HJ82/GX82-1</f>
        <v/>
      </c>
      <c r="HK84" s="1318">
        <f>HK82/GY82-1</f>
        <v/>
      </c>
      <c r="HL84" s="1318">
        <f>HL82/GZ82-1</f>
        <v/>
      </c>
      <c r="HM84" s="1318">
        <f>HM82/HA82-1</f>
        <v/>
      </c>
      <c r="HN84" s="1318">
        <f>HN82/HB82-1</f>
        <v/>
      </c>
      <c r="HO84" s="1318">
        <f>HO82/HC82-1</f>
        <v/>
      </c>
      <c r="HP84" s="1318">
        <f>HP82/HD82-1</f>
        <v/>
      </c>
      <c r="HQ84" s="1318">
        <f>HQ82/HE82-1</f>
        <v/>
      </c>
      <c r="HR84" s="1318">
        <f>HR82/HF82-1</f>
        <v/>
      </c>
      <c r="HS84" s="1318">
        <f>HS82/HG82-1</f>
        <v/>
      </c>
      <c r="HT84" s="1318">
        <f>HT82/HH82-1</f>
        <v/>
      </c>
      <c r="HU84" s="1318">
        <f>HU82/HI82-1</f>
        <v/>
      </c>
      <c r="HV84" s="1318">
        <f>HV82/HJ82-1</f>
        <v/>
      </c>
      <c r="HW84" s="1318">
        <f>HW82/HK82-1</f>
        <v/>
      </c>
      <c r="HX84" s="1318">
        <f>HX82/HL82-1</f>
        <v/>
      </c>
      <c r="HY84" s="1318">
        <f>HY82/HM82-1</f>
        <v/>
      </c>
      <c r="HZ84" s="1318">
        <f>HZ82/HN82-1</f>
        <v/>
      </c>
      <c r="IA84" s="1318">
        <f>IA82/HO82-1</f>
        <v/>
      </c>
      <c r="IB84" s="1318">
        <f>IB82/HP82-1</f>
        <v/>
      </c>
      <c r="IC84" s="1318">
        <f>IC82/HQ82-1</f>
        <v/>
      </c>
      <c r="ID84" s="1318">
        <f>ID82/HR82-1</f>
        <v/>
      </c>
      <c r="IE84" s="1318">
        <f>IE82/HS82-1</f>
        <v/>
      </c>
      <c r="IF84" s="1318">
        <f>IF82/HT82-1</f>
        <v/>
      </c>
      <c r="IG84" s="1318">
        <f>IG82/HU82-1</f>
        <v/>
      </c>
      <c r="IH84" s="1318">
        <f>IH82/HV82-1</f>
        <v/>
      </c>
      <c r="II84" s="1318">
        <f>II82/HW82-1</f>
        <v/>
      </c>
      <c r="IJ84" s="1318">
        <f>IJ82/HX82-1</f>
        <v/>
      </c>
      <c r="IK84" s="1318">
        <f>IK82/HY82-1</f>
        <v/>
      </c>
      <c r="IL84" s="1318">
        <f>IL82/HZ82-1</f>
        <v/>
      </c>
      <c r="IM84" s="1318">
        <f>IM82/IA82-1</f>
        <v/>
      </c>
      <c r="IN84" s="1318">
        <f>IN82/IB82-1</f>
        <v/>
      </c>
      <c r="IO84" s="1318">
        <f>IO82/IC82-1</f>
        <v/>
      </c>
      <c r="IP84" s="1318">
        <f>IP82/ID82-1</f>
        <v/>
      </c>
      <c r="IQ84" s="1318">
        <f>IQ82/IE82-1</f>
        <v/>
      </c>
      <c r="IR84" s="1318">
        <f>IR82/IF82-1</f>
        <v/>
      </c>
      <c r="IS84" s="1318">
        <f>IS82/IG82-1</f>
        <v/>
      </c>
      <c r="IT84" s="1318">
        <f>IT82/IH82-1</f>
        <v/>
      </c>
      <c r="IU84" s="1318">
        <f>IU82/II82-1</f>
        <v/>
      </c>
      <c r="IV84" s="1318">
        <f>IV82/IJ82-1</f>
        <v/>
      </c>
      <c r="IW84" s="1318">
        <f>IW82/IK82-1</f>
        <v/>
      </c>
      <c r="IX84" s="1318">
        <f>IX82/IL82-1</f>
        <v/>
      </c>
      <c r="IY84" s="1318">
        <f>IY82/IM82-1</f>
        <v/>
      </c>
      <c r="IZ84" s="1318">
        <f>IZ82/IN82-1</f>
        <v/>
      </c>
      <c r="JA84" s="1318">
        <f>JA82/IO82-1</f>
        <v/>
      </c>
      <c r="JB84" s="1318">
        <f>JB82/IP82-1</f>
        <v/>
      </c>
      <c r="JC84" s="1318">
        <f>JC82/IQ82-1</f>
        <v/>
      </c>
      <c r="JD84" s="1318">
        <f>JD82/IR82-1</f>
        <v/>
      </c>
      <c r="JE84" s="1318">
        <f>JE82/IS82-1</f>
        <v/>
      </c>
      <c r="JF84" s="1318">
        <f>JF82/IT82-1</f>
        <v/>
      </c>
      <c r="JG84" s="1318">
        <f>JG82/IU82-1</f>
        <v/>
      </c>
      <c r="JH84" s="1318">
        <f>JH82/IV82-1</f>
        <v/>
      </c>
      <c r="JI84" s="1318">
        <f>JI82/IW82-1</f>
        <v/>
      </c>
      <c r="JJ84" s="1318">
        <f>JJ82/IX82-1</f>
        <v/>
      </c>
      <c r="JK84" s="1318">
        <f>JK82/IY82-1</f>
        <v/>
      </c>
      <c r="JL84" s="1318">
        <f>JL82/IZ82-1</f>
        <v/>
      </c>
      <c r="JM84" s="1318">
        <f>JM82/JA82-1</f>
        <v/>
      </c>
      <c r="JN84" s="1318">
        <f>JN82/JB82-1</f>
        <v/>
      </c>
      <c r="JO84" s="1318">
        <f>JO82/JC82-1</f>
        <v/>
      </c>
      <c r="JP84" s="1318">
        <f>JP82/JD82-1</f>
        <v/>
      </c>
      <c r="JQ84" s="1318">
        <f>JQ82/JE82-1</f>
        <v/>
      </c>
      <c r="JR84" s="1318">
        <f>JR82/JF82-1</f>
        <v/>
      </c>
      <c r="JS84" s="1318">
        <f>JS82/JG82-1</f>
        <v/>
      </c>
      <c r="JT84" s="1318">
        <f>JT82/JH82-1</f>
        <v/>
      </c>
      <c r="JU84" s="1318">
        <f>JU82/JI82-1</f>
        <v/>
      </c>
      <c r="JV84" s="1318">
        <f>JV82/JJ82-1</f>
        <v/>
      </c>
      <c r="JW84" s="1318">
        <f>JW82/JK82-1</f>
        <v/>
      </c>
      <c r="JX84" s="1318">
        <f>JX82/JL82-1</f>
        <v/>
      </c>
      <c r="JY84" s="1318">
        <f>JY82/JM82-1</f>
        <v/>
      </c>
      <c r="JZ84" s="1318">
        <f>JZ82/JN82-1</f>
        <v/>
      </c>
      <c r="KA84" s="1318">
        <f>KA82/JO82-1</f>
        <v/>
      </c>
      <c r="KB84" s="1318">
        <f>KB82/JP82-1</f>
        <v/>
      </c>
      <c r="KC84" s="1318">
        <f>KC82/JQ82-1</f>
        <v/>
      </c>
      <c r="KD84" s="1318">
        <f>KD82/JR82-1</f>
        <v/>
      </c>
      <c r="KE84" s="1318">
        <f>KE82/JS82-1</f>
        <v/>
      </c>
      <c r="KF84" s="1318">
        <f>KF82/JT82-1</f>
        <v/>
      </c>
      <c r="KG84" s="1318">
        <f>KG82/JU82-1</f>
        <v/>
      </c>
      <c r="KH84" s="1318">
        <f>KH82/JV82-1</f>
        <v/>
      </c>
      <c r="KI84" s="1318">
        <f>KI82/JW82-1</f>
        <v/>
      </c>
      <c r="KJ84" s="1318">
        <f>KJ82/JX82-1</f>
        <v/>
      </c>
      <c r="KK84" s="1318">
        <f>KK82/JY82-1</f>
        <v/>
      </c>
      <c r="KL84" s="1318">
        <f>KL82/JZ82-1</f>
        <v/>
      </c>
      <c r="KM84" s="1318">
        <f>KM82/KA82-1</f>
        <v/>
      </c>
      <c r="KN84" s="1318">
        <f>KN82/KB82-1</f>
        <v/>
      </c>
      <c r="KO84" s="1318">
        <f>KO82/KC82-1</f>
        <v/>
      </c>
      <c r="KP84" s="1318">
        <f>KP82/KD82-1</f>
        <v/>
      </c>
      <c r="KQ84" s="1318">
        <f>KQ82/KE82-1</f>
        <v/>
      </c>
      <c r="KR84" s="1318">
        <f>KR82/KF82-1</f>
        <v/>
      </c>
      <c r="KS84" s="1318">
        <f>KS82/KG82-1</f>
        <v/>
      </c>
      <c r="KT84" s="1318">
        <f>KT82/KH82-1</f>
        <v/>
      </c>
      <c r="KU84" s="1318">
        <f>KU82/KI82-1</f>
        <v/>
      </c>
      <c r="KV84" s="1318">
        <f>KV82/KJ82-1</f>
        <v/>
      </c>
      <c r="KW84" s="1318">
        <f>KW82/KK82-1</f>
        <v/>
      </c>
      <c r="KX84" s="1318">
        <f>KX82/KL82-1</f>
        <v/>
      </c>
      <c r="KY84" s="1318">
        <f>KY82/KM82-1</f>
        <v/>
      </c>
      <c r="KZ84" s="1318">
        <f>KZ82/KN82-1</f>
        <v/>
      </c>
      <c r="LA84" s="1318">
        <f>LA82/KO82-1</f>
        <v/>
      </c>
      <c r="LB84" s="1318">
        <f>LB82/KP82-1</f>
        <v/>
      </c>
      <c r="LC84" s="1318">
        <f>LC82/KQ82-1</f>
        <v/>
      </c>
      <c r="LD84" s="1318">
        <f>LD82/KR82-1</f>
        <v/>
      </c>
      <c r="LE84" s="1318">
        <f>LE82/KS82-1</f>
        <v/>
      </c>
      <c r="LF84" s="1318">
        <f>LF82/KT82-1</f>
        <v/>
      </c>
      <c r="LG84" s="1318">
        <f>LG82/KU82-1</f>
        <v/>
      </c>
      <c r="LH84" s="1318">
        <f>LH82/KV82-1</f>
        <v/>
      </c>
      <c r="LI84" s="1318">
        <f>LI82/KW82-1</f>
        <v/>
      </c>
      <c r="LJ84" s="1318">
        <f>LJ82/KX82-1</f>
        <v/>
      </c>
      <c r="LK84" s="1318">
        <f>LK82/KY82-1</f>
        <v/>
      </c>
      <c r="LL84" s="1318">
        <f>LL82/KZ82-1</f>
        <v/>
      </c>
      <c r="LM84" s="1318">
        <f>LM82/LA82-1</f>
        <v/>
      </c>
      <c r="LN84" s="1318">
        <f>LN82/LB82-1</f>
        <v/>
      </c>
      <c r="LO84" s="1318">
        <f>LO82/LC82-1</f>
        <v/>
      </c>
      <c r="LP84" s="1318">
        <f>LP82/LD82-1</f>
        <v/>
      </c>
      <c r="LQ84" s="1318">
        <f>LQ82/LE82-1</f>
        <v/>
      </c>
      <c r="LR84" s="1318">
        <f>LR82/LF82-1</f>
        <v/>
      </c>
      <c r="LS84" s="1318">
        <f>LS82/LG82-1</f>
        <v/>
      </c>
    </row>
    <row r="85">
      <c r="A85" s="885" t="inlineStr">
        <is>
          <t>YTD cg %</t>
        </is>
      </c>
      <c r="B85" s="1318" t="n"/>
      <c r="C85" s="1336" t="n"/>
      <c r="D85" s="1336" t="n"/>
      <c r="E85" s="1336" t="n"/>
      <c r="F85" s="1336" t="n"/>
      <c r="G85" s="1336" t="n"/>
      <c r="H85" s="1336" t="n"/>
      <c r="I85" s="1336" t="n"/>
      <c r="J85" s="1336" t="n"/>
      <c r="K85" s="1336" t="n"/>
      <c r="L85" s="1336" t="n"/>
      <c r="M85" s="1336" t="n"/>
      <c r="N85" s="1318">
        <f>SUMIFS(82:82,$8:$8,"&gt;="&amp;DATE(YEAR(N$8),1,1),$8:$8,"&lt;="&amp;EOMONTH(N$8,0))/SUMIFS(82:82,$8:$8,"&gt;="&amp;DATE(YEAR(N$8)-1,1,1),$8:$8,"&lt;="&amp;EOMONTH(N$8,-12))-1</f>
        <v/>
      </c>
      <c r="O85" s="1318">
        <f>SUMIFS(82:82,$8:$8,"&gt;="&amp;DATE(YEAR(O$8),1,1),$8:$8,"&lt;="&amp;EOMONTH(O$8,0))/SUMIFS(82:82,$8:$8,"&gt;="&amp;DATE(YEAR(O$8)-1,1,1),$8:$8,"&lt;="&amp;EOMONTH(O$8,-12))-1</f>
        <v/>
      </c>
      <c r="P85" s="1318">
        <f>SUMIFS(82:82,$8:$8,"&gt;="&amp;DATE(YEAR(P$8),1,1),$8:$8,"&lt;="&amp;EOMONTH(P$8,0))/SUMIFS(82:82,$8:$8,"&gt;="&amp;DATE(YEAR(P$8)-1,1,1),$8:$8,"&lt;="&amp;EOMONTH(P$8,-12))-1</f>
        <v/>
      </c>
      <c r="Q85" s="1318">
        <f>SUMIFS(82:82,$8:$8,"&gt;="&amp;DATE(YEAR(Q$8),1,1),$8:$8,"&lt;="&amp;EOMONTH(Q$8,0))/SUMIFS(82:82,$8:$8,"&gt;="&amp;DATE(YEAR(Q$8)-1,1,1),$8:$8,"&lt;="&amp;EOMONTH(Q$8,-12))-1</f>
        <v/>
      </c>
      <c r="R85" s="1318">
        <f>SUMIFS(82:82,$8:$8,"&gt;="&amp;DATE(YEAR(R$8),1,1),$8:$8,"&lt;="&amp;EOMONTH(R$8,0))/SUMIFS(82:82,$8:$8,"&gt;="&amp;DATE(YEAR(R$8)-1,1,1),$8:$8,"&lt;="&amp;EOMONTH(R$8,-12))-1</f>
        <v/>
      </c>
      <c r="S85" s="1318">
        <f>SUMIFS(82:82,$8:$8,"&gt;="&amp;DATE(YEAR(S$8),1,1),$8:$8,"&lt;="&amp;EOMONTH(S$8,0))/SUMIFS(82:82,$8:$8,"&gt;="&amp;DATE(YEAR(S$8)-1,1,1),$8:$8,"&lt;="&amp;EOMONTH(S$8,-12))-1</f>
        <v/>
      </c>
      <c r="T85" s="1318">
        <f>SUMIFS(82:82,$8:$8,"&gt;="&amp;DATE(YEAR(T$8),1,1),$8:$8,"&lt;="&amp;EOMONTH(T$8,0))/SUMIFS(82:82,$8:$8,"&gt;="&amp;DATE(YEAR(T$8)-1,1,1),$8:$8,"&lt;="&amp;EOMONTH(T$8,-12))-1</f>
        <v/>
      </c>
      <c r="U85" s="1318">
        <f>SUMIFS(82:82,$8:$8,"&gt;="&amp;DATE(YEAR(U$8),1,1),$8:$8,"&lt;="&amp;EOMONTH(U$8,0))/SUMIFS(82:82,$8:$8,"&gt;="&amp;DATE(YEAR(U$8)-1,1,1),$8:$8,"&lt;="&amp;EOMONTH(U$8,-12))-1</f>
        <v/>
      </c>
      <c r="V85" s="1318">
        <f>SUMIFS(82:82,$8:$8,"&gt;="&amp;DATE(YEAR(V$8),1,1),$8:$8,"&lt;="&amp;EOMONTH(V$8,0))/SUMIFS(82:82,$8:$8,"&gt;="&amp;DATE(YEAR(V$8)-1,1,1),$8:$8,"&lt;="&amp;EOMONTH(V$8,-12))-1</f>
        <v/>
      </c>
      <c r="W85" s="1318">
        <f>SUMIFS(82:82,$8:$8,"&gt;="&amp;DATE(YEAR(W$8),1,1),$8:$8,"&lt;="&amp;EOMONTH(W$8,0))/SUMIFS(82:82,$8:$8,"&gt;="&amp;DATE(YEAR(W$8)-1,1,1),$8:$8,"&lt;="&amp;EOMONTH(W$8,-12))-1</f>
        <v/>
      </c>
      <c r="X85" s="1318">
        <f>SUMIFS(82:82,$8:$8,"&gt;="&amp;DATE(YEAR(X$8),1,1),$8:$8,"&lt;="&amp;EOMONTH(X$8,0))/SUMIFS(82:82,$8:$8,"&gt;="&amp;DATE(YEAR(X$8)-1,1,1),$8:$8,"&lt;="&amp;EOMONTH(X$8,-12))-1</f>
        <v/>
      </c>
      <c r="Y85" s="1318">
        <f>SUMIFS(82:82,$8:$8,"&gt;="&amp;DATE(YEAR(Y$8),1,1),$8:$8,"&lt;="&amp;EOMONTH(Y$8,0))/SUMIFS(82:82,$8:$8,"&gt;="&amp;DATE(YEAR(Y$8)-1,1,1),$8:$8,"&lt;="&amp;EOMONTH(Y$8,-12))-1</f>
        <v/>
      </c>
      <c r="Z85" s="1318">
        <f>SUMIFS(82:82,$8:$8,"&gt;="&amp;DATE(YEAR(Z$8),1,1),$8:$8,"&lt;="&amp;EOMONTH(Z$8,0))/SUMIFS(82:82,$8:$8,"&gt;="&amp;DATE(YEAR(Z$8)-1,1,1),$8:$8,"&lt;="&amp;EOMONTH(Z$8,-12))-1</f>
        <v/>
      </c>
      <c r="AA85" s="1318">
        <f>SUMIFS(82:82,$8:$8,"&gt;="&amp;DATE(YEAR(AA$8),1,1),$8:$8,"&lt;="&amp;EOMONTH(AA$8,0))/SUMIFS(82:82,$8:$8,"&gt;="&amp;DATE(YEAR(AA$8)-1,1,1),$8:$8,"&lt;="&amp;EOMONTH(AA$8,-12))-1</f>
        <v/>
      </c>
      <c r="AB85" s="1318">
        <f>SUMIFS(82:82,$8:$8,"&gt;="&amp;DATE(YEAR(AB$8),1,1),$8:$8,"&lt;="&amp;EOMONTH(AB$8,0))/SUMIFS(82:82,$8:$8,"&gt;="&amp;DATE(YEAR(AB$8)-1,1,1),$8:$8,"&lt;="&amp;EOMONTH(AB$8,-12))-1</f>
        <v/>
      </c>
      <c r="AC85" s="1318">
        <f>SUMIFS(82:82,$8:$8,"&gt;="&amp;DATE(YEAR(AC$8),1,1),$8:$8,"&lt;="&amp;EOMONTH(AC$8,0))/SUMIFS(82:82,$8:$8,"&gt;="&amp;DATE(YEAR(AC$8)-1,1,1),$8:$8,"&lt;="&amp;EOMONTH(AC$8,-12))-1</f>
        <v/>
      </c>
      <c r="AD85" s="1318">
        <f>SUMIFS(82:82,$8:$8,"&gt;="&amp;DATE(YEAR(AD$8),1,1),$8:$8,"&lt;="&amp;EOMONTH(AD$8,0))/SUMIFS(82:82,$8:$8,"&gt;="&amp;DATE(YEAR(AD$8)-1,1,1),$8:$8,"&lt;="&amp;EOMONTH(AD$8,-12))-1</f>
        <v/>
      </c>
      <c r="AE85" s="1318">
        <f>SUMIFS(82:82,$8:$8,"&gt;="&amp;DATE(YEAR(AE$8),1,1),$8:$8,"&lt;="&amp;EOMONTH(AE$8,0))/SUMIFS(82:82,$8:$8,"&gt;="&amp;DATE(YEAR(AE$8)-1,1,1),$8:$8,"&lt;="&amp;EOMONTH(AE$8,-12))-1</f>
        <v/>
      </c>
      <c r="AF85" s="1318">
        <f>SUMIFS(82:82,$8:$8,"&gt;="&amp;DATE(YEAR(AF$8),1,1),$8:$8,"&lt;="&amp;EOMONTH(AF$8,0))/SUMIFS(82:82,$8:$8,"&gt;="&amp;DATE(YEAR(AF$8)-1,1,1),$8:$8,"&lt;="&amp;EOMONTH(AF$8,-12))-1</f>
        <v/>
      </c>
      <c r="AG85" s="1318">
        <f>SUMIFS(82:82,$8:$8,"&gt;="&amp;DATE(YEAR(AG$8),1,1),$8:$8,"&lt;="&amp;EOMONTH(AG$8,0))/SUMIFS(82:82,$8:$8,"&gt;="&amp;DATE(YEAR(AG$8)-1,1,1),$8:$8,"&lt;="&amp;EOMONTH(AG$8,-12))-1</f>
        <v/>
      </c>
      <c r="AH85" s="1318">
        <f>SUMIFS(82:82,$8:$8,"&gt;="&amp;DATE(YEAR(AH$8),1,1),$8:$8,"&lt;="&amp;EOMONTH(AH$8,0))/SUMIFS(82:82,$8:$8,"&gt;="&amp;DATE(YEAR(AH$8)-1,1,1),$8:$8,"&lt;="&amp;EOMONTH(AH$8,-12))-1</f>
        <v/>
      </c>
      <c r="AI85" s="1318">
        <f>SUMIFS(82:82,$8:$8,"&gt;="&amp;DATE(YEAR(AI$8),1,1),$8:$8,"&lt;="&amp;EOMONTH(AI$8,0))/SUMIFS(82:82,$8:$8,"&gt;="&amp;DATE(YEAR(AI$8)-1,1,1),$8:$8,"&lt;="&amp;EOMONTH(AI$8,-12))-1</f>
        <v/>
      </c>
      <c r="AJ85" s="1318">
        <f>SUMIFS(82:82,$8:$8,"&gt;="&amp;DATE(YEAR(AJ$8),1,1),$8:$8,"&lt;="&amp;EOMONTH(AJ$8,0))/SUMIFS(82:82,$8:$8,"&gt;="&amp;DATE(YEAR(AJ$8)-1,1,1),$8:$8,"&lt;="&amp;EOMONTH(AJ$8,-12))-1</f>
        <v/>
      </c>
      <c r="AK85" s="1318">
        <f>SUMIFS(82:82,$8:$8,"&gt;="&amp;DATE(YEAR(AK$8),1,1),$8:$8,"&lt;="&amp;EOMONTH(AK$8,0))/SUMIFS(82:82,$8:$8,"&gt;="&amp;DATE(YEAR(AK$8)-1,1,1),$8:$8,"&lt;="&amp;EOMONTH(AK$8,-12))-1</f>
        <v/>
      </c>
      <c r="AL85" s="1318">
        <f>SUMIFS(82:82,$8:$8,"&gt;="&amp;DATE(YEAR(AL$8),1,1),$8:$8,"&lt;="&amp;EOMONTH(AL$8,0))/SUMIFS(82:82,$8:$8,"&gt;="&amp;DATE(YEAR(AL$8)-1,1,1),$8:$8,"&lt;="&amp;EOMONTH(AL$8,-12))-1</f>
        <v/>
      </c>
      <c r="AM85" s="1318">
        <f>SUMIFS(82:82,$8:$8,"&gt;="&amp;DATE(YEAR(AM$8),1,1),$8:$8,"&lt;="&amp;EOMONTH(AM$8,0))/SUMIFS(82:82,$8:$8,"&gt;="&amp;DATE(YEAR(AM$8)-1,1,1),$8:$8,"&lt;="&amp;EOMONTH(AM$8,-12))-1</f>
        <v/>
      </c>
      <c r="AN85" s="1318">
        <f>SUMIFS(82:82,$8:$8,"&gt;="&amp;DATE(YEAR(AN$8),1,1),$8:$8,"&lt;="&amp;EOMONTH(AN$8,0))/SUMIFS(82:82,$8:$8,"&gt;="&amp;DATE(YEAR(AN$8)-1,1,1),$8:$8,"&lt;="&amp;EOMONTH(AN$8,-12))-1</f>
        <v/>
      </c>
      <c r="AO85" s="1318">
        <f>SUMIFS(82:82,$8:$8,"&gt;="&amp;DATE(YEAR(AO$8),1,1),$8:$8,"&lt;="&amp;EOMONTH(AO$8,0))/SUMIFS(82:82,$8:$8,"&gt;="&amp;DATE(YEAR(AO$8)-1,1,1),$8:$8,"&lt;="&amp;EOMONTH(AO$8,-12))-1</f>
        <v/>
      </c>
      <c r="AP85" s="1318">
        <f>SUMIFS(82:82,$8:$8,"&gt;="&amp;DATE(YEAR(AP$8),1,1),$8:$8,"&lt;="&amp;EOMONTH(AP$8,0))/SUMIFS(82:82,$8:$8,"&gt;="&amp;DATE(YEAR(AP$8)-1,1,1),$8:$8,"&lt;="&amp;EOMONTH(AP$8,-12))-1</f>
        <v/>
      </c>
      <c r="AQ85" s="1318">
        <f>SUMIFS(82:82,$8:$8,"&gt;="&amp;DATE(YEAR(AQ$8),1,1),$8:$8,"&lt;="&amp;EOMONTH(AQ$8,0))/SUMIFS(82:82,$8:$8,"&gt;="&amp;DATE(YEAR(AQ$8)-1,1,1),$8:$8,"&lt;="&amp;EOMONTH(AQ$8,-12))-1</f>
        <v/>
      </c>
      <c r="AR85" s="1318">
        <f>SUMIFS(82:82,$8:$8,"&gt;="&amp;DATE(YEAR(AR$8),1,1),$8:$8,"&lt;="&amp;EOMONTH(AR$8,0))/SUMIFS(82:82,$8:$8,"&gt;="&amp;DATE(YEAR(AR$8)-1,1,1),$8:$8,"&lt;="&amp;EOMONTH(AR$8,-12))-1</f>
        <v/>
      </c>
      <c r="AS85" s="1318">
        <f>SUMIFS(82:82,$8:$8,"&gt;="&amp;DATE(YEAR(AS$8),1,1),$8:$8,"&lt;="&amp;EOMONTH(AS$8,0))/SUMIFS(82:82,$8:$8,"&gt;="&amp;DATE(YEAR(AS$8)-1,1,1),$8:$8,"&lt;="&amp;EOMONTH(AS$8,-12))-1</f>
        <v/>
      </c>
      <c r="AT85" s="1318">
        <f>SUMIFS(82:82,$8:$8,"&gt;="&amp;DATE(YEAR(AT$8),1,1),$8:$8,"&lt;="&amp;EOMONTH(AT$8,0))/SUMIFS(82:82,$8:$8,"&gt;="&amp;DATE(YEAR(AT$8)-1,1,1),$8:$8,"&lt;="&amp;EOMONTH(AT$8,-12))-1</f>
        <v/>
      </c>
      <c r="AU85" s="1318">
        <f>SUMIFS(82:82,$8:$8,"&gt;="&amp;DATE(YEAR(AU$8),1,1),$8:$8,"&lt;="&amp;EOMONTH(AU$8,0))/SUMIFS(82:82,$8:$8,"&gt;="&amp;DATE(YEAR(AU$8)-1,1,1),$8:$8,"&lt;="&amp;EOMONTH(AU$8,-12))-1</f>
        <v/>
      </c>
      <c r="AV85" s="1318">
        <f>SUMIFS(82:82,$8:$8,"&gt;="&amp;DATE(YEAR(AV$8),1,1),$8:$8,"&lt;="&amp;EOMONTH(AV$8,0))/SUMIFS(82:82,$8:$8,"&gt;="&amp;DATE(YEAR(AV$8)-1,1,1),$8:$8,"&lt;="&amp;EOMONTH(AV$8,-12))-1</f>
        <v/>
      </c>
      <c r="AW85" s="1318">
        <f>SUMIFS(82:82,$8:$8,"&gt;="&amp;DATE(YEAR(AW$8),1,1),$8:$8,"&lt;="&amp;EOMONTH(AW$8,0))/SUMIFS(82:82,$8:$8,"&gt;="&amp;DATE(YEAR(AW$8)-1,1,1),$8:$8,"&lt;="&amp;EOMONTH(AW$8,-12))-1</f>
        <v/>
      </c>
      <c r="AX85" s="1318">
        <f>SUMIFS(82:82,$8:$8,"&gt;="&amp;DATE(YEAR(AX$8),1,1),$8:$8,"&lt;="&amp;EOMONTH(AX$8,0))/SUMIFS(82:82,$8:$8,"&gt;="&amp;DATE(YEAR(AX$8)-1,1,1),$8:$8,"&lt;="&amp;EOMONTH(AX$8,-12))-1</f>
        <v/>
      </c>
      <c r="AY85" s="1318">
        <f>SUMIFS(82:82,$8:$8,"&gt;="&amp;DATE(YEAR(AY$8),1,1),$8:$8,"&lt;="&amp;EOMONTH(AY$8,0))/SUMIFS(82:82,$8:$8,"&gt;="&amp;DATE(YEAR(AY$8)-1,1,1),$8:$8,"&lt;="&amp;EOMONTH(AY$8,-12))-1</f>
        <v/>
      </c>
      <c r="AZ85" s="1318">
        <f>SUMIFS(82:82,$8:$8,"&gt;="&amp;DATE(YEAR(AZ$8),1,1),$8:$8,"&lt;="&amp;EOMONTH(AZ$8,0))/SUMIFS(82:82,$8:$8,"&gt;="&amp;DATE(YEAR(AZ$8)-1,1,1),$8:$8,"&lt;="&amp;EOMONTH(AZ$8,-12))-1</f>
        <v/>
      </c>
      <c r="BA85" s="1318">
        <f>SUMIFS(82:82,$8:$8,"&gt;="&amp;DATE(YEAR(BA$8),1,1),$8:$8,"&lt;="&amp;EOMONTH(BA$8,0))/SUMIFS(82:82,$8:$8,"&gt;="&amp;DATE(YEAR(BA$8)-1,1,1),$8:$8,"&lt;="&amp;EOMONTH(BA$8,-12))-1</f>
        <v/>
      </c>
      <c r="BB85" s="1318">
        <f>SUMIFS(82:82,$8:$8,"&gt;="&amp;DATE(YEAR(BB$8),1,1),$8:$8,"&lt;="&amp;EOMONTH(BB$8,0))/SUMIFS(82:82,$8:$8,"&gt;="&amp;DATE(YEAR(BB$8)-1,1,1),$8:$8,"&lt;="&amp;EOMONTH(BB$8,-12))-1</f>
        <v/>
      </c>
      <c r="BC85" s="1318">
        <f>SUMIFS(82:82,$8:$8,"&gt;="&amp;DATE(YEAR(BC$8),1,1),$8:$8,"&lt;="&amp;EOMONTH(BC$8,0))/SUMIFS(82:82,$8:$8,"&gt;="&amp;DATE(YEAR(BC$8)-1,1,1),$8:$8,"&lt;="&amp;EOMONTH(BC$8,-12))-1</f>
        <v/>
      </c>
      <c r="BD85" s="1318">
        <f>SUMIFS(82:82,$8:$8,"&gt;="&amp;DATE(YEAR(BD$8),1,1),$8:$8,"&lt;="&amp;EOMONTH(BD$8,0))/SUMIFS(82:82,$8:$8,"&gt;="&amp;DATE(YEAR(BD$8)-1,1,1),$8:$8,"&lt;="&amp;EOMONTH(BD$8,-12))-1</f>
        <v/>
      </c>
      <c r="BE85" s="1318">
        <f>SUMIFS(82:82,$8:$8,"&gt;="&amp;DATE(YEAR(BE$8),1,1),$8:$8,"&lt;="&amp;EOMONTH(BE$8,0))/SUMIFS(82:82,$8:$8,"&gt;="&amp;DATE(YEAR(BE$8)-1,1,1),$8:$8,"&lt;="&amp;EOMONTH(BE$8,-12))-1</f>
        <v/>
      </c>
      <c r="BF85" s="1318">
        <f>SUMIFS(82:82,$8:$8,"&gt;="&amp;DATE(YEAR(BF$8),1,1),$8:$8,"&lt;="&amp;EOMONTH(BF$8,0))/SUMIFS(82:82,$8:$8,"&gt;="&amp;DATE(YEAR(BF$8)-1,1,1),$8:$8,"&lt;="&amp;EOMONTH(BF$8,-12))-1</f>
        <v/>
      </c>
      <c r="BG85" s="1318">
        <f>SUMIFS(82:82,$8:$8,"&gt;="&amp;DATE(YEAR(BG$8),1,1),$8:$8,"&lt;="&amp;EOMONTH(BG$8,0))/SUMIFS(82:82,$8:$8,"&gt;="&amp;DATE(YEAR(BG$8)-1,1,1),$8:$8,"&lt;="&amp;EOMONTH(BG$8,-12))-1</f>
        <v/>
      </c>
      <c r="BH85" s="1318">
        <f>SUMIFS(82:82,$8:$8,"&gt;="&amp;DATE(YEAR(BH$8),1,1),$8:$8,"&lt;="&amp;EOMONTH(BH$8,0))/SUMIFS(82:82,$8:$8,"&gt;="&amp;DATE(YEAR(BH$8)-1,1,1),$8:$8,"&lt;="&amp;EOMONTH(BH$8,-12))-1</f>
        <v/>
      </c>
      <c r="BI85" s="1318">
        <f>SUMIFS(82:82,$8:$8,"&gt;="&amp;DATE(YEAR(BI$8),1,1),$8:$8,"&lt;="&amp;EOMONTH(BI$8,0))/SUMIFS(82:82,$8:$8,"&gt;="&amp;DATE(YEAR(BI$8)-1,1,1),$8:$8,"&lt;="&amp;EOMONTH(BI$8,-12))-1</f>
        <v/>
      </c>
      <c r="BJ85" s="1318">
        <f>SUMIFS(82:82,$8:$8,"&gt;="&amp;DATE(YEAR(BJ$8),1,1),$8:$8,"&lt;="&amp;EOMONTH(BJ$8,0))/SUMIFS(82:82,$8:$8,"&gt;="&amp;DATE(YEAR(BJ$8)-1,1,1),$8:$8,"&lt;="&amp;EOMONTH(BJ$8,-12))-1</f>
        <v/>
      </c>
      <c r="BK85" s="1318">
        <f>SUMIFS(82:82,$8:$8,"&gt;="&amp;DATE(YEAR(BK$8),1,1),$8:$8,"&lt;="&amp;EOMONTH(BK$8,0))/SUMIFS(82:82,$8:$8,"&gt;="&amp;DATE(YEAR(BK$8)-1,1,1),$8:$8,"&lt;="&amp;EOMONTH(BK$8,-12))-1</f>
        <v/>
      </c>
      <c r="BL85" s="1318">
        <f>SUMIFS(82:82,$8:$8,"&gt;="&amp;DATE(YEAR(BL$8),1,1),$8:$8,"&lt;="&amp;EOMONTH(BL$8,0))/SUMIFS(82:82,$8:$8,"&gt;="&amp;DATE(YEAR(BL$8)-1,1,1),$8:$8,"&lt;="&amp;EOMONTH(BL$8,-12))-1</f>
        <v/>
      </c>
      <c r="BM85" s="1318">
        <f>SUMIFS(82:82,$8:$8,"&gt;="&amp;DATE(YEAR(BM$8),1,1),$8:$8,"&lt;="&amp;EOMONTH(BM$8,0))/SUMIFS(82:82,$8:$8,"&gt;="&amp;DATE(YEAR(BM$8)-1,1,1),$8:$8,"&lt;="&amp;EOMONTH(BM$8,-12))-1</f>
        <v/>
      </c>
      <c r="BN85" s="1318">
        <f>SUMIFS(82:82,$8:$8,"&gt;="&amp;DATE(YEAR(BN$8),1,1),$8:$8,"&lt;="&amp;EOMONTH(BN$8,0))/SUMIFS(82:82,$8:$8,"&gt;="&amp;DATE(YEAR(BN$8)-1,1,1),$8:$8,"&lt;="&amp;EOMONTH(BN$8,-12))-1</f>
        <v/>
      </c>
      <c r="BO85" s="1318">
        <f>SUMIFS(82:82,$8:$8,"&gt;="&amp;DATE(YEAR(BO$8),1,1),$8:$8,"&lt;="&amp;EOMONTH(BO$8,0))/SUMIFS(82:82,$8:$8,"&gt;="&amp;DATE(YEAR(BO$8)-1,1,1),$8:$8,"&lt;="&amp;EOMONTH(BO$8,-12))-1</f>
        <v/>
      </c>
      <c r="BP85" s="1318">
        <f>SUMIFS(82:82,$8:$8,"&gt;="&amp;DATE(YEAR(BP$8),1,1),$8:$8,"&lt;="&amp;EOMONTH(BP$8,0))/SUMIFS(82:82,$8:$8,"&gt;="&amp;DATE(YEAR(BP$8)-1,1,1),$8:$8,"&lt;="&amp;EOMONTH(BP$8,-12))-1</f>
        <v/>
      </c>
      <c r="BQ85" s="1318">
        <f>SUMIFS(82:82,$8:$8,"&gt;="&amp;DATE(YEAR(BQ$8),1,1),$8:$8,"&lt;="&amp;EOMONTH(BQ$8,0))/SUMIFS(82:82,$8:$8,"&gt;="&amp;DATE(YEAR(BQ$8)-1,1,1),$8:$8,"&lt;="&amp;EOMONTH(BQ$8,-12))-1</f>
        <v/>
      </c>
      <c r="BR85" s="1318">
        <f>SUMIFS(82:82,$8:$8,"&gt;="&amp;DATE(YEAR(BR$8),1,1),$8:$8,"&lt;="&amp;EOMONTH(BR$8,0))/SUMIFS(82:82,$8:$8,"&gt;="&amp;DATE(YEAR(BR$8)-1,1,1),$8:$8,"&lt;="&amp;EOMONTH(BR$8,-12))-1</f>
        <v/>
      </c>
      <c r="BS85" s="1318">
        <f>SUMIFS(82:82,$8:$8,"&gt;="&amp;DATE(YEAR(BS$8),1,1),$8:$8,"&lt;="&amp;EOMONTH(BS$8,0))/SUMIFS(82:82,$8:$8,"&gt;="&amp;DATE(YEAR(BS$8)-1,1,1),$8:$8,"&lt;="&amp;EOMONTH(BS$8,-12))-1</f>
        <v/>
      </c>
      <c r="BT85" s="1318">
        <f>SUMIFS(82:82,$8:$8,"&gt;="&amp;DATE(YEAR(BT$8),1,1),$8:$8,"&lt;="&amp;EOMONTH(BT$8,0))/SUMIFS(82:82,$8:$8,"&gt;="&amp;DATE(YEAR(BT$8)-1,1,1),$8:$8,"&lt;="&amp;EOMONTH(BT$8,-12))-1</f>
        <v/>
      </c>
      <c r="BU85" s="1318">
        <f>SUMIFS(82:82,$8:$8,"&gt;="&amp;DATE(YEAR(BU$8),1,1),$8:$8,"&lt;="&amp;EOMONTH(BU$8,0))/SUMIFS(82:82,$8:$8,"&gt;="&amp;DATE(YEAR(BU$8)-1,1,1),$8:$8,"&lt;="&amp;EOMONTH(BU$8,-12))-1</f>
        <v/>
      </c>
      <c r="BV85" s="1318">
        <f>SUMIFS(82:82,$8:$8,"&gt;="&amp;DATE(YEAR(BV$8),1,1),$8:$8,"&lt;="&amp;EOMONTH(BV$8,0))/SUMIFS(82:82,$8:$8,"&gt;="&amp;DATE(YEAR(BV$8)-1,1,1),$8:$8,"&lt;="&amp;EOMONTH(BV$8,-12))-1</f>
        <v/>
      </c>
      <c r="BW85" s="1318">
        <f>SUMIFS(82:82,$8:$8,"&gt;="&amp;DATE(YEAR(BW$8),1,1),$8:$8,"&lt;="&amp;EOMONTH(BW$8,0))/SUMIFS(82:82,$8:$8,"&gt;="&amp;DATE(YEAR(BW$8)-1,1,1),$8:$8,"&lt;="&amp;EOMONTH(BW$8,-12))-1</f>
        <v/>
      </c>
      <c r="BX85" s="1318">
        <f>SUMIFS(82:82,$8:$8,"&gt;="&amp;DATE(YEAR(BX$8),1,1),$8:$8,"&lt;="&amp;EOMONTH(BX$8,0))/SUMIFS(82:82,$8:$8,"&gt;="&amp;DATE(YEAR(BX$8)-1,1,1),$8:$8,"&lt;="&amp;EOMONTH(BX$8,-12))-1</f>
        <v/>
      </c>
      <c r="BY85" s="1318">
        <f>SUMIFS(82:82,$8:$8,"&gt;="&amp;DATE(YEAR(BY$8),1,1),$8:$8,"&lt;="&amp;EOMONTH(BY$8,0))/SUMIFS(82:82,$8:$8,"&gt;="&amp;DATE(YEAR(BY$8)-1,1,1),$8:$8,"&lt;="&amp;EOMONTH(BY$8,-12))-1</f>
        <v/>
      </c>
      <c r="BZ85" s="1318">
        <f>SUMIFS(82:82,$8:$8,"&gt;="&amp;DATE(YEAR(BZ$8),1,1),$8:$8,"&lt;="&amp;EOMONTH(BZ$8,0))/SUMIFS(82:82,$8:$8,"&gt;="&amp;DATE(YEAR(BZ$8)-1,1,1),$8:$8,"&lt;="&amp;EOMONTH(BZ$8,-12))-1</f>
        <v/>
      </c>
      <c r="CA85" s="1318">
        <f>SUMIFS(82:82,$8:$8,"&gt;="&amp;DATE(YEAR(CA$8),1,1),$8:$8,"&lt;="&amp;EOMONTH(CA$8,0))/SUMIFS(82:82,$8:$8,"&gt;="&amp;DATE(YEAR(CA$8)-1,1,1),$8:$8,"&lt;="&amp;EOMONTH(CA$8,-12))-1</f>
        <v/>
      </c>
      <c r="CB85" s="1318">
        <f>SUMIFS(82:82,$8:$8,"&gt;="&amp;DATE(YEAR(CB$8),1,1),$8:$8,"&lt;="&amp;EOMONTH(CB$8,0))/SUMIFS(82:82,$8:$8,"&gt;="&amp;DATE(YEAR(CB$8)-1,1,1),$8:$8,"&lt;="&amp;EOMONTH(CB$8,-12))-1</f>
        <v/>
      </c>
      <c r="CC85" s="1318">
        <f>SUMIFS(82:82,$8:$8,"&gt;="&amp;DATE(YEAR(CC$8),1,1),$8:$8,"&lt;="&amp;EOMONTH(CC$8,0))/SUMIFS(82:82,$8:$8,"&gt;="&amp;DATE(YEAR(CC$8)-1,1,1),$8:$8,"&lt;="&amp;EOMONTH(CC$8,-12))-1</f>
        <v/>
      </c>
      <c r="CD85" s="1318">
        <f>SUMIFS(82:82,$8:$8,"&gt;="&amp;DATE(YEAR(CD$8),1,1),$8:$8,"&lt;="&amp;EOMONTH(CD$8,0))/SUMIFS(82:82,$8:$8,"&gt;="&amp;DATE(YEAR(CD$8)-1,1,1),$8:$8,"&lt;="&amp;EOMONTH(CD$8,-12))-1</f>
        <v/>
      </c>
      <c r="CE85" s="1318">
        <f>SUMIFS(82:82,$8:$8,"&gt;="&amp;DATE(YEAR(CE$8),1,1),$8:$8,"&lt;="&amp;EOMONTH(CE$8,0))/SUMIFS(82:82,$8:$8,"&gt;="&amp;DATE(YEAR(CE$8)-1,1,1),$8:$8,"&lt;="&amp;EOMONTH(CE$8,-12))-1</f>
        <v/>
      </c>
      <c r="CF85" s="1318">
        <f>SUMIFS(82:82,$8:$8,"&gt;="&amp;DATE(YEAR(CF$8),1,1),$8:$8,"&lt;="&amp;EOMONTH(CF$8,0))/SUMIFS(82:82,$8:$8,"&gt;="&amp;DATE(YEAR(CF$8)-1,1,1),$8:$8,"&lt;="&amp;EOMONTH(CF$8,-12))-1</f>
        <v/>
      </c>
      <c r="CG85" s="1318">
        <f>SUMIFS(82:82,$8:$8,"&gt;="&amp;DATE(YEAR(CG$8),1,1),$8:$8,"&lt;="&amp;EOMONTH(CG$8,0))/SUMIFS(82:82,$8:$8,"&gt;="&amp;DATE(YEAR(CG$8)-1,1,1),$8:$8,"&lt;="&amp;EOMONTH(CG$8,-12))-1</f>
        <v/>
      </c>
      <c r="CH85" s="1318">
        <f>SUMIFS(82:82,$8:$8,"&gt;="&amp;DATE(YEAR(CH$8),1,1),$8:$8,"&lt;="&amp;EOMONTH(CH$8,0))/SUMIFS(82:82,$8:$8,"&gt;="&amp;DATE(YEAR(CH$8)-1,1,1),$8:$8,"&lt;="&amp;EOMONTH(CH$8,-12))-1</f>
        <v/>
      </c>
      <c r="CI85" s="1318">
        <f>SUMIFS(82:82,$8:$8,"&gt;="&amp;DATE(YEAR(CI$8),1,1),$8:$8,"&lt;="&amp;EOMONTH(CI$8,0))/SUMIFS(82:82,$8:$8,"&gt;="&amp;DATE(YEAR(CI$8)-1,1,1),$8:$8,"&lt;="&amp;EOMONTH(CI$8,-12))-1</f>
        <v/>
      </c>
      <c r="CJ85" s="1318">
        <f>SUMIFS(82:82,$8:$8,"&gt;="&amp;DATE(YEAR(CJ$8),1,1),$8:$8,"&lt;="&amp;EOMONTH(CJ$8,0))/SUMIFS(82:82,$8:$8,"&gt;="&amp;DATE(YEAR(CJ$8)-1,1,1),$8:$8,"&lt;="&amp;EOMONTH(CJ$8,-12))-1</f>
        <v/>
      </c>
      <c r="CK85" s="1318">
        <f>SUMIFS(82:82,$8:$8,"&gt;="&amp;DATE(YEAR(CK$8),1,1),$8:$8,"&lt;="&amp;EOMONTH(CK$8,0))/SUMIFS(82:82,$8:$8,"&gt;="&amp;DATE(YEAR(CK$8)-1,1,1),$8:$8,"&lt;="&amp;EOMONTH(CK$8,-12))-1</f>
        <v/>
      </c>
      <c r="CL85" s="1318">
        <f>SUMIFS(82:82,$8:$8,"&gt;="&amp;DATE(YEAR(CL$8),1,1),$8:$8,"&lt;="&amp;EOMONTH(CL$8,0))/SUMIFS(82:82,$8:$8,"&gt;="&amp;DATE(YEAR(CL$8)-1,1,1),$8:$8,"&lt;="&amp;EOMONTH(CL$8,-12))-1</f>
        <v/>
      </c>
      <c r="CM85" s="1318">
        <f>SUMIFS(82:82,$8:$8,"&gt;="&amp;DATE(YEAR(CM$8),1,1),$8:$8,"&lt;="&amp;EOMONTH(CM$8,0))/SUMIFS(82:82,$8:$8,"&gt;="&amp;DATE(YEAR(CM$8)-1,1,1),$8:$8,"&lt;="&amp;EOMONTH(CM$8,-12))-1</f>
        <v/>
      </c>
      <c r="CN85" s="1318">
        <f>SUMIFS(82:82,$8:$8,"&gt;="&amp;DATE(YEAR(CN$8),1,1),$8:$8,"&lt;="&amp;EOMONTH(CN$8,0))/SUMIFS(82:82,$8:$8,"&gt;="&amp;DATE(YEAR(CN$8)-1,1,1),$8:$8,"&lt;="&amp;EOMONTH(CN$8,-12))-1</f>
        <v/>
      </c>
      <c r="CO85" s="1318">
        <f>SUMIFS(82:82,$8:$8,"&gt;="&amp;DATE(YEAR(CO$8),1,1),$8:$8,"&lt;="&amp;EOMONTH(CO$8,0))/SUMIFS(82:82,$8:$8,"&gt;="&amp;DATE(YEAR(CO$8)-1,1,1),$8:$8,"&lt;="&amp;EOMONTH(CO$8,-12))-1</f>
        <v/>
      </c>
      <c r="CP85" s="1318">
        <f>SUMIFS(82:82,$8:$8,"&gt;="&amp;DATE(YEAR(CP$8),1,1),$8:$8,"&lt;="&amp;EOMONTH(CP$8,0))/SUMIFS(82:82,$8:$8,"&gt;="&amp;DATE(YEAR(CP$8)-1,1,1),$8:$8,"&lt;="&amp;EOMONTH(CP$8,-12))-1</f>
        <v/>
      </c>
      <c r="CQ85" s="1318">
        <f>SUMIFS(82:82,$8:$8,"&gt;="&amp;DATE(YEAR(CQ$8),1,1),$8:$8,"&lt;="&amp;EOMONTH(CQ$8,0))/SUMIFS(82:82,$8:$8,"&gt;="&amp;DATE(YEAR(CQ$8)-1,1,1),$8:$8,"&lt;="&amp;EOMONTH(CQ$8,-12))-1</f>
        <v/>
      </c>
      <c r="CR85" s="1318">
        <f>SUMIFS(82:82,$8:$8,"&gt;="&amp;DATE(YEAR(CR$8),1,1),$8:$8,"&lt;="&amp;EOMONTH(CR$8,0))/SUMIFS(82:82,$8:$8,"&gt;="&amp;DATE(YEAR(CR$8)-1,1,1),$8:$8,"&lt;="&amp;EOMONTH(CR$8,-12))-1</f>
        <v/>
      </c>
      <c r="CS85" s="1318">
        <f>SUMIFS(82:82,$8:$8,"&gt;="&amp;DATE(YEAR(CS$8),1,1),$8:$8,"&lt;="&amp;EOMONTH(CS$8,0))/SUMIFS(82:82,$8:$8,"&gt;="&amp;DATE(YEAR(CS$8)-1,1,1),$8:$8,"&lt;="&amp;EOMONTH(CS$8,-12))-1</f>
        <v/>
      </c>
      <c r="CT85" s="1318">
        <f>SUMIFS(82:82,$8:$8,"&gt;="&amp;DATE(YEAR(CT$8),1,1),$8:$8,"&lt;="&amp;EOMONTH(CT$8,0))/SUMIFS(82:82,$8:$8,"&gt;="&amp;DATE(YEAR(CT$8)-1,1,1),$8:$8,"&lt;="&amp;EOMONTH(CT$8,-12))-1</f>
        <v/>
      </c>
      <c r="CU85" s="1318">
        <f>SUMIFS(82:82,$8:$8,"&gt;="&amp;DATE(YEAR(CU$8),1,1),$8:$8,"&lt;="&amp;EOMONTH(CU$8,0))/SUMIFS(82:82,$8:$8,"&gt;="&amp;DATE(YEAR(CU$8)-1,1,1),$8:$8,"&lt;="&amp;EOMONTH(CU$8,-12))-1</f>
        <v/>
      </c>
      <c r="CV85" s="1318">
        <f>SUMIFS(82:82,$8:$8,"&gt;="&amp;DATE(YEAR(CV$8),1,1),$8:$8,"&lt;="&amp;EOMONTH(CV$8,0))/SUMIFS(82:82,$8:$8,"&gt;="&amp;DATE(YEAR(CV$8)-1,1,1),$8:$8,"&lt;="&amp;EOMONTH(CV$8,-12))-1</f>
        <v/>
      </c>
      <c r="CW85" s="1318">
        <f>SUMIFS(82:82,$8:$8,"&gt;="&amp;DATE(YEAR(CW$8),1,1),$8:$8,"&lt;="&amp;EOMONTH(CW$8,0))/SUMIFS(82:82,$8:$8,"&gt;="&amp;DATE(YEAR(CW$8)-1,1,1),$8:$8,"&lt;="&amp;EOMONTH(CW$8,-12))-1</f>
        <v/>
      </c>
      <c r="CX85" s="1318">
        <f>SUMIFS(82:82,$8:$8,"&gt;="&amp;DATE(YEAR(CX$8),1,1),$8:$8,"&lt;="&amp;EOMONTH(CX$8,0))/SUMIFS(82:82,$8:$8,"&gt;="&amp;DATE(YEAR(CX$8)-1,1,1),$8:$8,"&lt;="&amp;EOMONTH(CX$8,-12))-1</f>
        <v/>
      </c>
      <c r="CY85" s="1318">
        <f>SUMIFS(82:82,$8:$8,"&gt;="&amp;DATE(YEAR(CY$8),1,1),$8:$8,"&lt;="&amp;EOMONTH(CY$8,0))/SUMIFS(82:82,$8:$8,"&gt;="&amp;DATE(YEAR(CY$8)-1,1,1),$8:$8,"&lt;="&amp;EOMONTH(CY$8,-12))-1</f>
        <v/>
      </c>
      <c r="CZ85" s="1318">
        <f>SUMIFS(82:82,$8:$8,"&gt;="&amp;DATE(YEAR(CZ$8),1,1),$8:$8,"&lt;="&amp;EOMONTH(CZ$8,0))/SUMIFS(82:82,$8:$8,"&gt;="&amp;DATE(YEAR(CZ$8)-1,1,1),$8:$8,"&lt;="&amp;EOMONTH(CZ$8,-12))-1</f>
        <v/>
      </c>
      <c r="DA85" s="1318">
        <f>SUMIFS(82:82,$8:$8,"&gt;="&amp;DATE(YEAR(DA$8),1,1),$8:$8,"&lt;="&amp;EOMONTH(DA$8,0))/SUMIFS(82:82,$8:$8,"&gt;="&amp;DATE(YEAR(DA$8)-1,1,1),$8:$8,"&lt;="&amp;EOMONTH(DA$8,-12))-1</f>
        <v/>
      </c>
      <c r="DB85" s="1318">
        <f>SUMIFS(82:82,$8:$8,"&gt;="&amp;DATE(YEAR(DB$8),1,1),$8:$8,"&lt;="&amp;EOMONTH(DB$8,0))/SUMIFS(82:82,$8:$8,"&gt;="&amp;DATE(YEAR(DB$8)-1,1,1),$8:$8,"&lt;="&amp;EOMONTH(DB$8,-12))-1</f>
        <v/>
      </c>
      <c r="DC85" s="1318">
        <f>SUMIFS(82:82,$8:$8,"&gt;="&amp;DATE(YEAR(DC$8),1,1),$8:$8,"&lt;="&amp;EOMONTH(DC$8,0))/SUMIFS(82:82,$8:$8,"&gt;="&amp;DATE(YEAR(DC$8)-1,1,1),$8:$8,"&lt;="&amp;EOMONTH(DC$8,-12))-1</f>
        <v/>
      </c>
      <c r="DD85" s="1318">
        <f>SUMIFS(82:82,$8:$8,"&gt;="&amp;DATE(YEAR(DD$8),1,1),$8:$8,"&lt;="&amp;EOMONTH(DD$8,0))/SUMIFS(82:82,$8:$8,"&gt;="&amp;DATE(YEAR(DD$8)-1,1,1),$8:$8,"&lt;="&amp;EOMONTH(DD$8,-12))-1</f>
        <v/>
      </c>
      <c r="DE85" s="1318">
        <f>SUMIFS(82:82,$8:$8,"&gt;="&amp;DATE(YEAR(DE$8),1,1),$8:$8,"&lt;="&amp;EOMONTH(DE$8,0))/SUMIFS(82:82,$8:$8,"&gt;="&amp;DATE(YEAR(DE$8)-1,1,1),$8:$8,"&lt;="&amp;EOMONTH(DE$8,-12))-1</f>
        <v/>
      </c>
      <c r="DF85" s="1318">
        <f>SUMIFS(82:82,$8:$8,"&gt;="&amp;DATE(YEAR(DF$8),1,1),$8:$8,"&lt;="&amp;EOMONTH(DF$8,0))/SUMIFS(82:82,$8:$8,"&gt;="&amp;DATE(YEAR(DF$8)-1,1,1),$8:$8,"&lt;="&amp;EOMONTH(DF$8,-12))-1</f>
        <v/>
      </c>
      <c r="DG85" s="1318">
        <f>SUMIFS(82:82,$8:$8,"&gt;="&amp;DATE(YEAR(DG$8),1,1),$8:$8,"&lt;="&amp;EOMONTH(DG$8,0))/SUMIFS(82:82,$8:$8,"&gt;="&amp;DATE(YEAR(DG$8)-1,1,1),$8:$8,"&lt;="&amp;EOMONTH(DG$8,-12))-1</f>
        <v/>
      </c>
      <c r="DH85" s="1318">
        <f>SUMIFS(82:82,$8:$8,"&gt;="&amp;DATE(YEAR(DH$8),1,1),$8:$8,"&lt;="&amp;EOMONTH(DH$8,0))/SUMIFS(82:82,$8:$8,"&gt;="&amp;DATE(YEAR(DH$8)-1,1,1),$8:$8,"&lt;="&amp;EOMONTH(DH$8,-12))-1</f>
        <v/>
      </c>
      <c r="DI85" s="1318">
        <f>SUMIFS(82:82,$8:$8,"&gt;="&amp;DATE(YEAR(DI$8),1,1),$8:$8,"&lt;="&amp;EOMONTH(DI$8,0))/SUMIFS(82:82,$8:$8,"&gt;="&amp;DATE(YEAR(DI$8)-1,1,1),$8:$8,"&lt;="&amp;EOMONTH(DI$8,-12))-1</f>
        <v/>
      </c>
      <c r="DJ85" s="1318">
        <f>SUMIFS(82:82,$8:$8,"&gt;="&amp;DATE(YEAR(DJ$8),1,1),$8:$8,"&lt;="&amp;EOMONTH(DJ$8,0))/SUMIFS(82:82,$8:$8,"&gt;="&amp;DATE(YEAR(DJ$8)-1,1,1),$8:$8,"&lt;="&amp;EOMONTH(DJ$8,-12))-1</f>
        <v/>
      </c>
      <c r="DK85" s="1318">
        <f>SUMIFS(82:82,$8:$8,"&gt;="&amp;DATE(YEAR(DK$8),1,1),$8:$8,"&lt;="&amp;EOMONTH(DK$8,0))/SUMIFS(82:82,$8:$8,"&gt;="&amp;DATE(YEAR(DK$8)-1,1,1),$8:$8,"&lt;="&amp;EOMONTH(DK$8,-12))-1</f>
        <v/>
      </c>
      <c r="DL85" s="1318">
        <f>SUMIFS(82:82,$8:$8,"&gt;="&amp;DATE(YEAR(DL$8),1,1),$8:$8,"&lt;="&amp;EOMONTH(DL$8,0))/SUMIFS(82:82,$8:$8,"&gt;="&amp;DATE(YEAR(DL$8)-1,1,1),$8:$8,"&lt;="&amp;EOMONTH(DL$8,-12))-1</f>
        <v/>
      </c>
      <c r="DM85" s="1318">
        <f>SUMIFS(82:82,$8:$8,"&gt;="&amp;DATE(YEAR(DM$8),1,1),$8:$8,"&lt;="&amp;EOMONTH(DM$8,0))/SUMIFS(82:82,$8:$8,"&gt;="&amp;DATE(YEAR(DM$8)-1,1,1),$8:$8,"&lt;="&amp;EOMONTH(DM$8,-12))-1</f>
        <v/>
      </c>
      <c r="DN85" s="1318">
        <f>SUMIFS(82:82,$8:$8,"&gt;="&amp;DATE(YEAR(DN$8),1,1),$8:$8,"&lt;="&amp;EOMONTH(DN$8,0))/SUMIFS(82:82,$8:$8,"&gt;="&amp;DATE(YEAR(DN$8)-1,1,1),$8:$8,"&lt;="&amp;EOMONTH(DN$8,-12))-1</f>
        <v/>
      </c>
      <c r="DO85" s="1318">
        <f>SUMIFS(82:82,$8:$8,"&gt;="&amp;DATE(YEAR(DO$8),1,1),$8:$8,"&lt;="&amp;EOMONTH(DO$8,0))/SUMIFS(82:82,$8:$8,"&gt;="&amp;DATE(YEAR(DO$8)-1,1,1),$8:$8,"&lt;="&amp;EOMONTH(DO$8,-12))-1</f>
        <v/>
      </c>
      <c r="DP85" s="1318">
        <f>SUMIFS(82:82,$8:$8,"&gt;="&amp;DATE(YEAR(DP$8),1,1),$8:$8,"&lt;="&amp;EOMONTH(DP$8,0))/SUMIFS(82:82,$8:$8,"&gt;="&amp;DATE(YEAR(DP$8)-1,1,1),$8:$8,"&lt;="&amp;EOMONTH(DP$8,-12))-1</f>
        <v/>
      </c>
      <c r="DQ85" s="1318">
        <f>SUMIFS(82:82,$8:$8,"&gt;="&amp;DATE(YEAR(DQ$8),1,1),$8:$8,"&lt;="&amp;EOMONTH(DQ$8,0))/SUMIFS(82:82,$8:$8,"&gt;="&amp;DATE(YEAR(DQ$8)-1,1,1),$8:$8,"&lt;="&amp;EOMONTH(DQ$8,-12))-1</f>
        <v/>
      </c>
      <c r="DR85" s="1318">
        <f>SUMIFS(82:82,$8:$8,"&gt;="&amp;DATE(YEAR(DR$8),1,1),$8:$8,"&lt;="&amp;EOMONTH(DR$8,0))/SUMIFS(82:82,$8:$8,"&gt;="&amp;DATE(YEAR(DR$8)-1,1,1),$8:$8,"&lt;="&amp;EOMONTH(DR$8,-12))-1</f>
        <v/>
      </c>
      <c r="DS85" s="1318">
        <f>SUMIFS(82:82,$8:$8,"&gt;="&amp;DATE(YEAR(DS$8),1,1),$8:$8,"&lt;="&amp;EOMONTH(DS$8,0))/SUMIFS(82:82,$8:$8,"&gt;="&amp;DATE(YEAR(DS$8)-1,1,1),$8:$8,"&lt;="&amp;EOMONTH(DS$8,-12))-1</f>
        <v/>
      </c>
      <c r="DT85" s="1318">
        <f>SUMIFS(82:82,$8:$8,"&gt;="&amp;DATE(YEAR(DT$8),1,1),$8:$8,"&lt;="&amp;EOMONTH(DT$8,0))/SUMIFS(82:82,$8:$8,"&gt;="&amp;DATE(YEAR(DT$8)-1,1,1),$8:$8,"&lt;="&amp;EOMONTH(DT$8,-12))-1</f>
        <v/>
      </c>
      <c r="DU85" s="1318">
        <f>SUMIFS(82:82,$8:$8,"&gt;="&amp;DATE(YEAR(DU$8),1,1),$8:$8,"&lt;="&amp;EOMONTH(DU$8,0))/SUMIFS(82:82,$8:$8,"&gt;="&amp;DATE(YEAR(DU$8)-1,1,1),$8:$8,"&lt;="&amp;EOMONTH(DU$8,-12))-1</f>
        <v/>
      </c>
      <c r="DV85" s="1318">
        <f>SUMIFS(82:82,$8:$8,"&gt;="&amp;DATE(YEAR(DV$8),1,1),$8:$8,"&lt;="&amp;EOMONTH(DV$8,0))/SUMIFS(82:82,$8:$8,"&gt;="&amp;DATE(YEAR(DV$8)-1,1,1),$8:$8,"&lt;="&amp;EOMONTH(DV$8,-12))-1</f>
        <v/>
      </c>
      <c r="DW85" s="1318">
        <f>SUMIFS(82:82,$8:$8,"&gt;="&amp;DATE(YEAR(DW$8),1,1),$8:$8,"&lt;="&amp;EOMONTH(DW$8,0))/SUMIFS(82:82,$8:$8,"&gt;="&amp;DATE(YEAR(DW$8)-1,1,1),$8:$8,"&lt;="&amp;EOMONTH(DW$8,-12))-1</f>
        <v/>
      </c>
      <c r="DX85" s="1318">
        <f>SUMIFS(82:82,$8:$8,"&gt;="&amp;DATE(YEAR(DX$8),1,1),$8:$8,"&lt;="&amp;EOMONTH(DX$8,0))/SUMIFS(82:82,$8:$8,"&gt;="&amp;DATE(YEAR(DX$8)-1,1,1),$8:$8,"&lt;="&amp;EOMONTH(DX$8,-12))-1</f>
        <v/>
      </c>
      <c r="DY85" s="1318">
        <f>SUMIFS(82:82,$8:$8,"&gt;="&amp;DATE(YEAR(DY$8),1,1),$8:$8,"&lt;="&amp;EOMONTH(DY$8,0))/SUMIFS(82:82,$8:$8,"&gt;="&amp;DATE(YEAR(DY$8)-1,1,1),$8:$8,"&lt;="&amp;EOMONTH(DY$8,-12))-1</f>
        <v/>
      </c>
      <c r="DZ85" s="1318">
        <f>SUMIFS(82:82,$8:$8,"&gt;="&amp;DATE(YEAR(DZ$8),1,1),$8:$8,"&lt;="&amp;EOMONTH(DZ$8,0))/SUMIFS(82:82,$8:$8,"&gt;="&amp;DATE(YEAR(DZ$8)-1,1,1),$8:$8,"&lt;="&amp;EOMONTH(DZ$8,-12))-1</f>
        <v/>
      </c>
      <c r="EA85" s="1318">
        <f>SUMIFS(82:82,$8:$8,"&gt;="&amp;DATE(YEAR(EA$8),1,1),$8:$8,"&lt;="&amp;EOMONTH(EA$8,0))/SUMIFS(82:82,$8:$8,"&gt;="&amp;DATE(YEAR(EA$8)-1,1,1),$8:$8,"&lt;="&amp;EOMONTH(EA$8,-12))-1</f>
        <v/>
      </c>
      <c r="EB85" s="1318">
        <f>SUMIFS(82:82,$8:$8,"&gt;="&amp;DATE(YEAR(EB$8),1,1),$8:$8,"&lt;="&amp;EOMONTH(EB$8,0))/SUMIFS(82:82,$8:$8,"&gt;="&amp;DATE(YEAR(EB$8)-1,1,1),$8:$8,"&lt;="&amp;EOMONTH(EB$8,-12))-1</f>
        <v/>
      </c>
      <c r="EC85" s="1318">
        <f>SUMIFS(82:82,$8:$8,"&gt;="&amp;DATE(YEAR(EC$8),1,1),$8:$8,"&lt;="&amp;EOMONTH(EC$8,0))/SUMIFS(82:82,$8:$8,"&gt;="&amp;DATE(YEAR(EC$8)-1,1,1),$8:$8,"&lt;="&amp;EOMONTH(EC$8,-12))-1</f>
        <v/>
      </c>
      <c r="ED85" s="1318">
        <f>SUMIFS(82:82,$8:$8,"&gt;="&amp;DATE(YEAR(ED$8),1,1),$8:$8,"&lt;="&amp;EOMONTH(ED$8,0))/SUMIFS(82:82,$8:$8,"&gt;="&amp;DATE(YEAR(ED$8)-1,1,1),$8:$8,"&lt;="&amp;EOMONTH(ED$8,-12))-1</f>
        <v/>
      </c>
      <c r="EE85" s="1318">
        <f>SUMIFS(82:82,$8:$8,"&gt;="&amp;DATE(YEAR(EE$8),1,1),$8:$8,"&lt;="&amp;EOMONTH(EE$8,0))/SUMIFS(82:82,$8:$8,"&gt;="&amp;DATE(YEAR(EE$8)-1,1,1),$8:$8,"&lt;="&amp;EOMONTH(EE$8,-12))-1</f>
        <v/>
      </c>
      <c r="EF85" s="1318">
        <f>SUMIFS(82:82,$8:$8,"&gt;="&amp;DATE(YEAR(EF$8),1,1),$8:$8,"&lt;="&amp;EOMONTH(EF$8,0))/SUMIFS(82:82,$8:$8,"&gt;="&amp;DATE(YEAR(EF$8)-1,1,1),$8:$8,"&lt;="&amp;EOMONTH(EF$8,-12))-1</f>
        <v/>
      </c>
      <c r="EG85" s="1318">
        <f>SUMIFS(82:82,$8:$8,"&gt;="&amp;DATE(YEAR(EG$8),1,1),$8:$8,"&lt;="&amp;EOMONTH(EG$8,0))/SUMIFS(82:82,$8:$8,"&gt;="&amp;DATE(YEAR(EG$8)-1,1,1),$8:$8,"&lt;="&amp;EOMONTH(EG$8,-12))-1</f>
        <v/>
      </c>
      <c r="EH85" s="1318">
        <f>SUMIFS(82:82,$8:$8,"&gt;="&amp;DATE(YEAR(EH$8),1,1),$8:$8,"&lt;="&amp;EOMONTH(EH$8,0))/SUMIFS(82:82,$8:$8,"&gt;="&amp;DATE(YEAR(EH$8)-1,1,1),$8:$8,"&lt;="&amp;EOMONTH(EH$8,-12))-1</f>
        <v/>
      </c>
      <c r="EI85" s="1318">
        <f>SUMIFS(82:82,$8:$8,"&gt;="&amp;DATE(YEAR(EI$8),1,1),$8:$8,"&lt;="&amp;EOMONTH(EI$8,0))/SUMIFS(82:82,$8:$8,"&gt;="&amp;DATE(YEAR(EI$8)-1,1,1),$8:$8,"&lt;="&amp;EOMONTH(EI$8,-12))-1</f>
        <v/>
      </c>
      <c r="EJ85" s="1318">
        <f>SUMIFS(82:82,$8:$8,"&gt;="&amp;DATE(YEAR(EJ$8),1,1),$8:$8,"&lt;="&amp;EOMONTH(EJ$8,0))/SUMIFS(82:82,$8:$8,"&gt;="&amp;DATE(YEAR(EJ$8)-1,1,1),$8:$8,"&lt;="&amp;EOMONTH(EJ$8,-12))-1</f>
        <v/>
      </c>
      <c r="EK85" s="1318">
        <f>SUMIFS(82:82,$8:$8,"&gt;="&amp;DATE(YEAR(EK$8),1,1),$8:$8,"&lt;="&amp;EOMONTH(EK$8,0))/SUMIFS(82:82,$8:$8,"&gt;="&amp;DATE(YEAR(EK$8)-1,1,1),$8:$8,"&lt;="&amp;EOMONTH(EK$8,-12))-1</f>
        <v/>
      </c>
      <c r="EL85" s="1318">
        <f>SUMIFS(82:82,$8:$8,"&gt;="&amp;DATE(YEAR(EL$8),1,1),$8:$8,"&lt;="&amp;EOMONTH(EL$8,0))/SUMIFS(82:82,$8:$8,"&gt;="&amp;DATE(YEAR(EL$8)-1,1,1),$8:$8,"&lt;="&amp;EOMONTH(EL$8,-12))-1</f>
        <v/>
      </c>
      <c r="EM85" s="1318">
        <f>SUMIFS(82:82,$8:$8,"&gt;="&amp;DATE(YEAR(EM$8),1,1),$8:$8,"&lt;="&amp;EOMONTH(EM$8,0))/SUMIFS(82:82,$8:$8,"&gt;="&amp;DATE(YEAR(EM$8)-1,1,1),$8:$8,"&lt;="&amp;EOMONTH(EM$8,-12))-1</f>
        <v/>
      </c>
      <c r="EN85" s="1318">
        <f>SUMIFS(82:82,$8:$8,"&gt;="&amp;DATE(YEAR(EN$8),1,1),$8:$8,"&lt;="&amp;EOMONTH(EN$8,0))/SUMIFS(82:82,$8:$8,"&gt;="&amp;DATE(YEAR(EN$8)-1,1,1),$8:$8,"&lt;="&amp;EOMONTH(EN$8,-12))-1</f>
        <v/>
      </c>
      <c r="EO85" s="1318">
        <f>SUMIFS(82:82,$8:$8,"&gt;="&amp;DATE(YEAR(EO$8),1,1),$8:$8,"&lt;="&amp;EOMONTH(EO$8,0))/SUMIFS(82:82,$8:$8,"&gt;="&amp;DATE(YEAR(EO$8)-1,1,1),$8:$8,"&lt;="&amp;EOMONTH(EO$8,-12))-1</f>
        <v/>
      </c>
      <c r="EP85" s="1318">
        <f>SUMIFS(82:82,$8:$8,"&gt;="&amp;DATE(YEAR(EP$8),1,1),$8:$8,"&lt;="&amp;EOMONTH(EP$8,0))/SUMIFS(82:82,$8:$8,"&gt;="&amp;DATE(YEAR(EP$8)-1,1,1),$8:$8,"&lt;="&amp;EOMONTH(EP$8,-12))-1</f>
        <v/>
      </c>
      <c r="EQ85" s="1318">
        <f>SUMIFS(82:82,$8:$8,"&gt;="&amp;DATE(YEAR(EQ$8),1,1),$8:$8,"&lt;="&amp;EOMONTH(EQ$8,0))/SUMIFS(82:82,$8:$8,"&gt;="&amp;DATE(YEAR(EQ$8)-1,1,1),$8:$8,"&lt;="&amp;EOMONTH(EQ$8,-12))-1</f>
        <v/>
      </c>
      <c r="ER85" s="1318">
        <f>SUMIFS(82:82,$8:$8,"&gt;="&amp;DATE(YEAR(ER$8),1,1),$8:$8,"&lt;="&amp;EOMONTH(ER$8,0))/SUMIFS(82:82,$8:$8,"&gt;="&amp;DATE(YEAR(ER$8)-1,1,1),$8:$8,"&lt;="&amp;EOMONTH(ER$8,-12))-1</f>
        <v/>
      </c>
      <c r="ES85" s="1318">
        <f>SUMIFS(82:82,$8:$8,"&gt;="&amp;DATE(YEAR(ES$8),1,1),$8:$8,"&lt;="&amp;EOMONTH(ES$8,0))/SUMIFS(82:82,$8:$8,"&gt;="&amp;DATE(YEAR(ES$8)-1,1,1),$8:$8,"&lt;="&amp;EOMONTH(ES$8,-12))-1</f>
        <v/>
      </c>
      <c r="ET85" s="1318">
        <f>SUMIFS(82:82,$8:$8,"&gt;="&amp;DATE(YEAR(ET$8),1,1),$8:$8,"&lt;="&amp;EOMONTH(ET$8,0))/SUMIFS(82:82,$8:$8,"&gt;="&amp;DATE(YEAR(ET$8)-1,1,1),$8:$8,"&lt;="&amp;EOMONTH(ET$8,-12))-1</f>
        <v/>
      </c>
      <c r="EU85" s="1318">
        <f>SUMIFS(82:82,$8:$8,"&gt;="&amp;DATE(YEAR(EU$8),1,1),$8:$8,"&lt;="&amp;EOMONTH(EU$8,0))/SUMIFS(82:82,$8:$8,"&gt;="&amp;DATE(YEAR(EU$8)-1,1,1),$8:$8,"&lt;="&amp;EOMONTH(EU$8,-12))-1</f>
        <v/>
      </c>
      <c r="EV85" s="1318">
        <f>SUMIFS(82:82,$8:$8,"&gt;="&amp;DATE(YEAR(EV$8),1,1),$8:$8,"&lt;="&amp;EOMONTH(EV$8,0))/SUMIFS(82:82,$8:$8,"&gt;="&amp;DATE(YEAR(EV$8)-1,1,1),$8:$8,"&lt;="&amp;EOMONTH(EV$8,-12))-1</f>
        <v/>
      </c>
      <c r="EW85" s="1318">
        <f>SUMIFS(82:82,$8:$8,"&gt;="&amp;DATE(YEAR(EW$8),1,1),$8:$8,"&lt;="&amp;EOMONTH(EW$8,0))/SUMIFS(82:82,$8:$8,"&gt;="&amp;DATE(YEAR(EW$8)-1,1,1),$8:$8,"&lt;="&amp;EOMONTH(EW$8,-12))-1</f>
        <v/>
      </c>
      <c r="EX85" s="1318">
        <f>SUMIFS(82:82,$8:$8,"&gt;="&amp;DATE(YEAR(EX$8),1,1),$8:$8,"&lt;="&amp;EOMONTH(EX$8,0))/SUMIFS(82:82,$8:$8,"&gt;="&amp;DATE(YEAR(EX$8)-1,1,1),$8:$8,"&lt;="&amp;EOMONTH(EX$8,-12))-1</f>
        <v/>
      </c>
      <c r="EY85" s="1318">
        <f>SUMIFS(82:82,$8:$8,"&gt;="&amp;DATE(YEAR(EY$8),1,1),$8:$8,"&lt;="&amp;EOMONTH(EY$8,0))/SUMIFS(82:82,$8:$8,"&gt;="&amp;DATE(YEAR(EY$8)-1,1,1),$8:$8,"&lt;="&amp;EOMONTH(EY$8,-12))-1</f>
        <v/>
      </c>
      <c r="EZ85" s="1318">
        <f>SUMIFS(82:82,$8:$8,"&gt;="&amp;DATE(YEAR(EZ$8),1,1),$8:$8,"&lt;="&amp;EOMONTH(EZ$8,0))/SUMIFS(82:82,$8:$8,"&gt;="&amp;DATE(YEAR(EZ$8)-1,1,1),$8:$8,"&lt;="&amp;EOMONTH(EZ$8,-12))-1</f>
        <v/>
      </c>
      <c r="FA85" s="1318">
        <f>SUMIFS(82:82,$8:$8,"&gt;="&amp;DATE(YEAR(FA$8),1,1),$8:$8,"&lt;="&amp;EOMONTH(FA$8,0))/SUMIFS(82:82,$8:$8,"&gt;="&amp;DATE(YEAR(FA$8)-1,1,1),$8:$8,"&lt;="&amp;EOMONTH(FA$8,-12))-1</f>
        <v/>
      </c>
      <c r="FB85" s="1318">
        <f>SUMIFS(82:82,$8:$8,"&gt;="&amp;DATE(YEAR(FB$8),1,1),$8:$8,"&lt;="&amp;EOMONTH(FB$8,0))/SUMIFS(82:82,$8:$8,"&gt;="&amp;DATE(YEAR(FB$8)-1,1,1),$8:$8,"&lt;="&amp;EOMONTH(FB$8,-12))-1</f>
        <v/>
      </c>
      <c r="FC85" s="1318">
        <f>SUMIFS(82:82,$8:$8,"&gt;="&amp;DATE(YEAR(FC$8),1,1),$8:$8,"&lt;="&amp;EOMONTH(FC$8,0))/SUMIFS(82:82,$8:$8,"&gt;="&amp;DATE(YEAR(FC$8)-1,1,1),$8:$8,"&lt;="&amp;EOMONTH(FC$8,-12))-1</f>
        <v/>
      </c>
      <c r="FD85" s="1318">
        <f>SUMIFS(82:82,$8:$8,"&gt;="&amp;DATE(YEAR(FD$8),1,1),$8:$8,"&lt;="&amp;EOMONTH(FD$8,0))/SUMIFS(82:82,$8:$8,"&gt;="&amp;DATE(YEAR(FD$8)-1,1,1),$8:$8,"&lt;="&amp;EOMONTH(FD$8,-12))-1</f>
        <v/>
      </c>
      <c r="FE85" s="1318">
        <f>SUMIFS(82:82,$8:$8,"&gt;="&amp;DATE(YEAR(FE$8),1,1),$8:$8,"&lt;="&amp;EOMONTH(FE$8,0))/SUMIFS(82:82,$8:$8,"&gt;="&amp;DATE(YEAR(FE$8)-1,1,1),$8:$8,"&lt;="&amp;EOMONTH(FE$8,-12))-1</f>
        <v/>
      </c>
      <c r="FF85" s="1318">
        <f>SUMIFS(82:82,$8:$8,"&gt;="&amp;DATE(YEAR(FF$8),1,1),$8:$8,"&lt;="&amp;EOMONTH(FF$8,0))/SUMIFS(82:82,$8:$8,"&gt;="&amp;DATE(YEAR(FF$8)-1,1,1),$8:$8,"&lt;="&amp;EOMONTH(FF$8,-12))-1</f>
        <v/>
      </c>
      <c r="FG85" s="1318">
        <f>SUMIFS(82:82,$8:$8,"&gt;="&amp;DATE(YEAR(FG$8),1,1),$8:$8,"&lt;="&amp;EOMONTH(FG$8,0))/SUMIFS(82:82,$8:$8,"&gt;="&amp;DATE(YEAR(FG$8)-1,1,1),$8:$8,"&lt;="&amp;EOMONTH(FG$8,-12))-1</f>
        <v/>
      </c>
      <c r="FH85" s="1318">
        <f>SUMIFS(82:82,$8:$8,"&gt;="&amp;DATE(YEAR(FH$8),1,1),$8:$8,"&lt;="&amp;EOMONTH(FH$8,0))/SUMIFS(82:82,$8:$8,"&gt;="&amp;DATE(YEAR(FH$8)-1,1,1),$8:$8,"&lt;="&amp;EOMONTH(FH$8,-12))-1</f>
        <v/>
      </c>
      <c r="FI85" s="1318">
        <f>SUMIFS(82:82,$8:$8,"&gt;="&amp;DATE(YEAR(FI$8),1,1),$8:$8,"&lt;="&amp;EOMONTH(FI$8,0))/SUMIFS(82:82,$8:$8,"&gt;="&amp;DATE(YEAR(FI$8)-1,1,1),$8:$8,"&lt;="&amp;EOMONTH(FI$8,-12))-1</f>
        <v/>
      </c>
      <c r="FJ85" s="1318">
        <f>SUMIFS(82:82,$8:$8,"&gt;="&amp;DATE(YEAR(FJ$8),1,1),$8:$8,"&lt;="&amp;EOMONTH(FJ$8,0))/SUMIFS(82:82,$8:$8,"&gt;="&amp;DATE(YEAR(FJ$8)-1,1,1),$8:$8,"&lt;="&amp;EOMONTH(FJ$8,-12))-1</f>
        <v/>
      </c>
      <c r="FK85" s="1318">
        <f>SUMIFS(82:82,$8:$8,"&gt;="&amp;DATE(YEAR(FK$8),1,1),$8:$8,"&lt;="&amp;EOMONTH(FK$8,0))/SUMIFS(82:82,$8:$8,"&gt;="&amp;DATE(YEAR(FK$8)-1,1,1),$8:$8,"&lt;="&amp;EOMONTH(FK$8,-12))-1</f>
        <v/>
      </c>
      <c r="FL85" s="1318">
        <f>SUMIFS(82:82,$8:$8,"&gt;="&amp;DATE(YEAR(FL$8),1,1),$8:$8,"&lt;="&amp;EOMONTH(FL$8,0))/SUMIFS(82:82,$8:$8,"&gt;="&amp;DATE(YEAR(FL$8)-1,1,1),$8:$8,"&lt;="&amp;EOMONTH(FL$8,-12))-1</f>
        <v/>
      </c>
      <c r="FM85" s="1318">
        <f>SUMIFS(82:82,$8:$8,"&gt;="&amp;DATE(YEAR(FM$8),1,1),$8:$8,"&lt;="&amp;EOMONTH(FM$8,0))/SUMIFS(82:82,$8:$8,"&gt;="&amp;DATE(YEAR(FM$8)-1,1,1),$8:$8,"&lt;="&amp;EOMONTH(FM$8,-12))-1</f>
        <v/>
      </c>
      <c r="FN85" s="1318">
        <f>SUMIFS(82:82,$8:$8,"&gt;="&amp;DATE(YEAR(FN$8),1,1),$8:$8,"&lt;="&amp;EOMONTH(FN$8,0))/SUMIFS(82:82,$8:$8,"&gt;="&amp;DATE(YEAR(FN$8)-1,1,1),$8:$8,"&lt;="&amp;EOMONTH(FN$8,-12))-1</f>
        <v/>
      </c>
      <c r="FO85" s="1318">
        <f>SUMIFS(82:82,$8:$8,"&gt;="&amp;DATE(YEAR(FO$8),1,1),$8:$8,"&lt;="&amp;EOMONTH(FO$8,0))/SUMIFS(82:82,$8:$8,"&gt;="&amp;DATE(YEAR(FO$8)-1,1,1),$8:$8,"&lt;="&amp;EOMONTH(FO$8,-12))-1</f>
        <v/>
      </c>
      <c r="FP85" s="1318">
        <f>SUMIFS(82:82,$8:$8,"&gt;="&amp;DATE(YEAR(FP$8),1,1),$8:$8,"&lt;="&amp;EOMONTH(FP$8,0))/SUMIFS(82:82,$8:$8,"&gt;="&amp;DATE(YEAR(FP$8)-1,1,1),$8:$8,"&lt;="&amp;EOMONTH(FP$8,-12))-1</f>
        <v/>
      </c>
      <c r="FQ85" s="1318">
        <f>SUMIFS(82:82,$8:$8,"&gt;="&amp;DATE(YEAR(FQ$8),1,1),$8:$8,"&lt;="&amp;EOMONTH(FQ$8,0))/SUMIFS(82:82,$8:$8,"&gt;="&amp;DATE(YEAR(FQ$8)-1,1,1),$8:$8,"&lt;="&amp;EOMONTH(FQ$8,-12))-1</f>
        <v/>
      </c>
      <c r="FR85" s="1318">
        <f>SUMIFS(82:82,$8:$8,"&gt;="&amp;DATE(YEAR(FR$8),1,1),$8:$8,"&lt;="&amp;EOMONTH(FR$8,0))/SUMIFS(82:82,$8:$8,"&gt;="&amp;DATE(YEAR(FR$8)-1,1,1),$8:$8,"&lt;="&amp;EOMONTH(FR$8,-12))-1</f>
        <v/>
      </c>
      <c r="FS85" s="1318">
        <f>SUMIFS(82:82,$8:$8,"&gt;="&amp;DATE(YEAR(FS$8),1,1),$8:$8,"&lt;="&amp;EOMONTH(FS$8,0))/SUMIFS(82:82,$8:$8,"&gt;="&amp;DATE(YEAR(FS$8)-1,1,1),$8:$8,"&lt;="&amp;EOMONTH(FS$8,-12))-1</f>
        <v/>
      </c>
      <c r="FT85" s="1318">
        <f>SUMIFS(82:82,$8:$8,"&gt;="&amp;DATE(YEAR(FT$8),1,1),$8:$8,"&lt;="&amp;EOMONTH(FT$8,0))/SUMIFS(82:82,$8:$8,"&gt;="&amp;DATE(YEAR(FT$8)-1,1,1),$8:$8,"&lt;="&amp;EOMONTH(FT$8,-12))-1</f>
        <v/>
      </c>
      <c r="FU85" s="1318">
        <f>SUMIFS(82:82,$8:$8,"&gt;="&amp;DATE(YEAR(FU$8),1,1),$8:$8,"&lt;="&amp;EOMONTH(FU$8,0))/SUMIFS(82:82,$8:$8,"&gt;="&amp;DATE(YEAR(FU$8)-1,1,1),$8:$8,"&lt;="&amp;EOMONTH(FU$8,-12))-1</f>
        <v/>
      </c>
      <c r="FV85" s="1318">
        <f>SUMIFS(82:82,$8:$8,"&gt;="&amp;DATE(YEAR(FV$8),1,1),$8:$8,"&lt;="&amp;EOMONTH(FV$8,0))/SUMIFS(82:82,$8:$8,"&gt;="&amp;DATE(YEAR(FV$8)-1,1,1),$8:$8,"&lt;="&amp;EOMONTH(FV$8,-12))-1</f>
        <v/>
      </c>
      <c r="FW85" s="1318">
        <f>SUMIFS(82:82,$8:$8,"&gt;="&amp;DATE(YEAR(FW$8),1,1),$8:$8,"&lt;="&amp;EOMONTH(FW$8,0))/SUMIFS(82:82,$8:$8,"&gt;="&amp;DATE(YEAR(FW$8)-1,1,1),$8:$8,"&lt;="&amp;EOMONTH(FW$8,-12))-1</f>
        <v/>
      </c>
      <c r="FX85" s="1318">
        <f>SUMIFS(82:82,$8:$8,"&gt;="&amp;DATE(YEAR(FX$8),1,1),$8:$8,"&lt;="&amp;EOMONTH(FX$8,0))/SUMIFS(82:82,$8:$8,"&gt;="&amp;DATE(YEAR(FX$8)-1,1,1),$8:$8,"&lt;="&amp;EOMONTH(FX$8,-12))-1</f>
        <v/>
      </c>
      <c r="FY85" s="1318">
        <f>SUMIFS(82:82,$8:$8,"&gt;="&amp;DATE(YEAR(FY$8),1,1),$8:$8,"&lt;="&amp;EOMONTH(FY$8,0))/SUMIFS(82:82,$8:$8,"&gt;="&amp;DATE(YEAR(FY$8)-1,1,1),$8:$8,"&lt;="&amp;EOMONTH(FY$8,-12))-1</f>
        <v/>
      </c>
      <c r="FZ85" s="1318">
        <f>SUMIFS(82:82,$8:$8,"&gt;="&amp;DATE(YEAR(FZ$8),1,1),$8:$8,"&lt;="&amp;EOMONTH(FZ$8,0))/SUMIFS(82:82,$8:$8,"&gt;="&amp;DATE(YEAR(FZ$8)-1,1,1),$8:$8,"&lt;="&amp;EOMONTH(FZ$8,-12))-1</f>
        <v/>
      </c>
      <c r="GA85" s="1318">
        <f>SUMIFS(82:82,$8:$8,"&gt;="&amp;DATE(YEAR(GA$8),1,1),$8:$8,"&lt;="&amp;EOMONTH(GA$8,0))/SUMIFS(82:82,$8:$8,"&gt;="&amp;DATE(YEAR(GA$8)-1,1,1),$8:$8,"&lt;="&amp;EOMONTH(GA$8,-12))-1</f>
        <v/>
      </c>
      <c r="GB85" s="1318">
        <f>SUMIFS(82:82,$8:$8,"&gt;="&amp;DATE(YEAR(GB$8),1,1),$8:$8,"&lt;="&amp;EOMONTH(GB$8,0))/SUMIFS(82:82,$8:$8,"&gt;="&amp;DATE(YEAR(GB$8)-1,1,1),$8:$8,"&lt;="&amp;EOMONTH(GB$8,-12))-1</f>
        <v/>
      </c>
      <c r="GC85" s="1318">
        <f>SUMIFS(82:82,$8:$8,"&gt;="&amp;DATE(YEAR(GC$8),1,1),$8:$8,"&lt;="&amp;EOMONTH(GC$8,0))/SUMIFS(82:82,$8:$8,"&gt;="&amp;DATE(YEAR(GC$8)-1,1,1),$8:$8,"&lt;="&amp;EOMONTH(GC$8,-12))-1</f>
        <v/>
      </c>
      <c r="GD85" s="1318">
        <f>SUMIFS(82:82,$8:$8,"&gt;="&amp;DATE(YEAR(GD$8),1,1),$8:$8,"&lt;="&amp;EOMONTH(GD$8,0))/SUMIFS(82:82,$8:$8,"&gt;="&amp;DATE(YEAR(GD$8)-1,1,1),$8:$8,"&lt;="&amp;EOMONTH(GD$8,-12))-1</f>
        <v/>
      </c>
      <c r="GE85" s="1318">
        <f>SUMIFS(82:82,$8:$8,"&gt;="&amp;DATE(YEAR(GE$8),1,1),$8:$8,"&lt;="&amp;EOMONTH(GE$8,0))/SUMIFS(82:82,$8:$8,"&gt;="&amp;DATE(YEAR(GE$8)-1,1,1),$8:$8,"&lt;="&amp;EOMONTH(GE$8,-12))-1</f>
        <v/>
      </c>
      <c r="GF85" s="1318">
        <f>SUMIFS(82:82,$8:$8,"&gt;="&amp;DATE(YEAR(GF$8),1,1),$8:$8,"&lt;="&amp;EOMONTH(GF$8,0))/SUMIFS(82:82,$8:$8,"&gt;="&amp;DATE(YEAR(GF$8)-1,1,1),$8:$8,"&lt;="&amp;EOMONTH(GF$8,-12))-1</f>
        <v/>
      </c>
      <c r="GG85" s="1318">
        <f>SUMIFS(82:82,$8:$8,"&gt;="&amp;DATE(YEAR(GG$8),1,1),$8:$8,"&lt;="&amp;EOMONTH(GG$8,0))/SUMIFS(82:82,$8:$8,"&gt;="&amp;DATE(YEAR(GG$8)-1,1,1),$8:$8,"&lt;="&amp;EOMONTH(GG$8,-12))-1</f>
        <v/>
      </c>
      <c r="GH85" s="1318">
        <f>SUMIFS(82:82,$8:$8,"&gt;="&amp;DATE(YEAR(GH$8),1,1),$8:$8,"&lt;="&amp;EOMONTH(GH$8,0))/SUMIFS(82:82,$8:$8,"&gt;="&amp;DATE(YEAR(GH$8)-1,1,1),$8:$8,"&lt;="&amp;EOMONTH(GH$8,-12))-1</f>
        <v/>
      </c>
      <c r="GI85" s="1318">
        <f>SUMIFS(82:82,$8:$8,"&gt;="&amp;DATE(YEAR(GI$8),1,1),$8:$8,"&lt;="&amp;EOMONTH(GI$8,0))/SUMIFS(82:82,$8:$8,"&gt;="&amp;DATE(YEAR(GI$8)-1,1,1),$8:$8,"&lt;="&amp;EOMONTH(GI$8,-12))-1</f>
        <v/>
      </c>
      <c r="GJ85" s="1318">
        <f>SUMIFS(82:82,$8:$8,"&gt;="&amp;DATE(YEAR(GJ$8),1,1),$8:$8,"&lt;="&amp;EOMONTH(GJ$8,0))/SUMIFS(82:82,$8:$8,"&gt;="&amp;DATE(YEAR(GJ$8)-1,1,1),$8:$8,"&lt;="&amp;EOMONTH(GJ$8,-12))-1</f>
        <v/>
      </c>
      <c r="GK85" s="1318">
        <f>SUMIFS(82:82,$8:$8,"&gt;="&amp;DATE(YEAR(GK$8),1,1),$8:$8,"&lt;="&amp;EOMONTH(GK$8,0))/SUMIFS(82:82,$8:$8,"&gt;="&amp;DATE(YEAR(GK$8)-1,1,1),$8:$8,"&lt;="&amp;EOMONTH(GK$8,-12))-1</f>
        <v/>
      </c>
      <c r="GL85" s="1318">
        <f>SUMIFS(82:82,$8:$8,"&gt;="&amp;DATE(YEAR(GL$8),1,1),$8:$8,"&lt;="&amp;EOMONTH(GL$8,0))/SUMIFS(82:82,$8:$8,"&gt;="&amp;DATE(YEAR(GL$8)-1,1,1),$8:$8,"&lt;="&amp;EOMONTH(GL$8,-12))-1</f>
        <v/>
      </c>
      <c r="GM85" s="1318">
        <f>SUMIFS(82:82,$8:$8,"&gt;="&amp;DATE(YEAR(GM$8),1,1),$8:$8,"&lt;="&amp;EOMONTH(GM$8,0))/SUMIFS(82:82,$8:$8,"&gt;="&amp;DATE(YEAR(GM$8)-1,1,1),$8:$8,"&lt;="&amp;EOMONTH(GM$8,-12))-1</f>
        <v/>
      </c>
      <c r="GN85" s="1318">
        <f>SUMIFS(82:82,$8:$8,"&gt;="&amp;DATE(YEAR(GN$8),1,1),$8:$8,"&lt;="&amp;EOMONTH(GN$8,0))/SUMIFS(82:82,$8:$8,"&gt;="&amp;DATE(YEAR(GN$8)-1,1,1),$8:$8,"&lt;="&amp;EOMONTH(GN$8,-12))-1</f>
        <v/>
      </c>
      <c r="GO85" s="1318">
        <f>SUMIFS(82:82,$8:$8,"&gt;="&amp;DATE(YEAR(GO$8),1,1),$8:$8,"&lt;="&amp;EOMONTH(GO$8,0))/SUMIFS(82:82,$8:$8,"&gt;="&amp;DATE(YEAR(GO$8)-1,1,1),$8:$8,"&lt;="&amp;EOMONTH(GO$8,-12))-1</f>
        <v/>
      </c>
      <c r="GP85" s="1318">
        <f>SUMIFS(82:82,$8:$8,"&gt;="&amp;DATE(YEAR(GP$8),1,1),$8:$8,"&lt;="&amp;EOMONTH(GP$8,0))/SUMIFS(82:82,$8:$8,"&gt;="&amp;DATE(YEAR(GP$8)-1,1,1),$8:$8,"&lt;="&amp;EOMONTH(GP$8,-12))-1</f>
        <v/>
      </c>
      <c r="GQ85" s="1318">
        <f>SUMIFS(82:82,$8:$8,"&gt;="&amp;DATE(YEAR(GQ$8),1,1),$8:$8,"&lt;="&amp;EOMONTH(GQ$8,0))/SUMIFS(82:82,$8:$8,"&gt;="&amp;DATE(YEAR(GQ$8)-1,1,1),$8:$8,"&lt;="&amp;EOMONTH(GQ$8,-12))-1</f>
        <v/>
      </c>
      <c r="GR85" s="1318">
        <f>SUMIFS(82:82,$8:$8,"&gt;="&amp;DATE(YEAR(GR$8),1,1),$8:$8,"&lt;="&amp;EOMONTH(GR$8,0))/SUMIFS(82:82,$8:$8,"&gt;="&amp;DATE(YEAR(GR$8)-1,1,1),$8:$8,"&lt;="&amp;EOMONTH(GR$8,-12))-1</f>
        <v/>
      </c>
      <c r="GS85" s="1318">
        <f>SUMIFS(82:82,$8:$8,"&gt;="&amp;DATE(YEAR(GS$8),1,1),$8:$8,"&lt;="&amp;EOMONTH(GS$8,0))/SUMIFS(82:82,$8:$8,"&gt;="&amp;DATE(YEAR(GS$8)-1,1,1),$8:$8,"&lt;="&amp;EOMONTH(GS$8,-12))-1</f>
        <v/>
      </c>
      <c r="GT85" s="1318">
        <f>SUMIFS(82:82,$8:$8,"&gt;="&amp;DATE(YEAR(GT$8),1,1),$8:$8,"&lt;="&amp;EOMONTH(GT$8,0))/SUMIFS(82:82,$8:$8,"&gt;="&amp;DATE(YEAR(GT$8)-1,1,1),$8:$8,"&lt;="&amp;EOMONTH(GT$8,-12))-1</f>
        <v/>
      </c>
      <c r="GU85" s="1318">
        <f>SUMIFS(82:82,$8:$8,"&gt;="&amp;DATE(YEAR(GU$8),1,1),$8:$8,"&lt;="&amp;EOMONTH(GU$8,0))/SUMIFS(82:82,$8:$8,"&gt;="&amp;DATE(YEAR(GU$8)-1,1,1),$8:$8,"&lt;="&amp;EOMONTH(GU$8,-12))-1</f>
        <v/>
      </c>
      <c r="GV85" s="1318">
        <f>SUMIFS(82:82,$8:$8,"&gt;="&amp;DATE(YEAR(GV$8),1,1),$8:$8,"&lt;="&amp;EOMONTH(GV$8,0))/SUMIFS(82:82,$8:$8,"&gt;="&amp;DATE(YEAR(GV$8)-1,1,1),$8:$8,"&lt;="&amp;EOMONTH(GV$8,-12))-1</f>
        <v/>
      </c>
      <c r="GW85" s="1318">
        <f>SUMIFS(82:82,$8:$8,"&gt;="&amp;DATE(YEAR(GW$8),1,1),$8:$8,"&lt;="&amp;EOMONTH(GW$8,0))/SUMIFS(82:82,$8:$8,"&gt;="&amp;DATE(YEAR(GW$8)-1,1,1),$8:$8,"&lt;="&amp;EOMONTH(GW$8,-12))-1</f>
        <v/>
      </c>
      <c r="GX85" s="1318">
        <f>SUMIFS(82:82,$8:$8,"&gt;="&amp;DATE(YEAR(GX$8),1,1),$8:$8,"&lt;="&amp;EOMONTH(GX$8,0))/SUMIFS(82:82,$8:$8,"&gt;="&amp;DATE(YEAR(GX$8)-1,1,1),$8:$8,"&lt;="&amp;EOMONTH(GX$8,-12))-1</f>
        <v/>
      </c>
      <c r="GY85" s="1318">
        <f>SUMIFS(82:82,$8:$8,"&gt;="&amp;DATE(YEAR(GY$8),1,1),$8:$8,"&lt;="&amp;EOMONTH(GY$8,0))/SUMIFS(82:82,$8:$8,"&gt;="&amp;DATE(YEAR(GY$8)-1,1,1),$8:$8,"&lt;="&amp;EOMONTH(GY$8,-12))-1</f>
        <v/>
      </c>
      <c r="GZ85" s="1318">
        <f>SUMIFS(82:82,$8:$8,"&gt;="&amp;DATE(YEAR(GZ$8),1,1),$8:$8,"&lt;="&amp;EOMONTH(GZ$8,0))/SUMIFS(82:82,$8:$8,"&gt;="&amp;DATE(YEAR(GZ$8)-1,1,1),$8:$8,"&lt;="&amp;EOMONTH(GZ$8,-12))-1</f>
        <v/>
      </c>
      <c r="HA85" s="1318">
        <f>SUMIFS(82:82,$8:$8,"&gt;="&amp;DATE(YEAR(HA$8),1,1),$8:$8,"&lt;="&amp;EOMONTH(HA$8,0))/SUMIFS(82:82,$8:$8,"&gt;="&amp;DATE(YEAR(HA$8)-1,1,1),$8:$8,"&lt;="&amp;EOMONTH(HA$8,-12))-1</f>
        <v/>
      </c>
      <c r="HB85" s="1318">
        <f>SUMIFS(82:82,$8:$8,"&gt;="&amp;DATE(YEAR(HB$8),1,1),$8:$8,"&lt;="&amp;EOMONTH(HB$8,0))/SUMIFS(82:82,$8:$8,"&gt;="&amp;DATE(YEAR(HB$8)-1,1,1),$8:$8,"&lt;="&amp;EOMONTH(HB$8,-12))-1</f>
        <v/>
      </c>
      <c r="HC85" s="1318">
        <f>SUMIFS(82:82,$8:$8,"&gt;="&amp;DATE(YEAR(HC$8),1,1),$8:$8,"&lt;="&amp;EOMONTH(HC$8,0))/SUMIFS(82:82,$8:$8,"&gt;="&amp;DATE(YEAR(HC$8)-1,1,1),$8:$8,"&lt;="&amp;EOMONTH(HC$8,-12))-1</f>
        <v/>
      </c>
      <c r="HD85" s="1318">
        <f>SUMIFS(82:82,$8:$8,"&gt;="&amp;DATE(YEAR(HD$8),1,1),$8:$8,"&lt;="&amp;EOMONTH(HD$8,0))/SUMIFS(82:82,$8:$8,"&gt;="&amp;DATE(YEAR(HD$8)-1,1,1),$8:$8,"&lt;="&amp;EOMONTH(HD$8,-12))-1</f>
        <v/>
      </c>
      <c r="HE85" s="1318">
        <f>SUMIFS(82:82,$8:$8,"&gt;="&amp;DATE(YEAR(HE$8),1,1),$8:$8,"&lt;="&amp;EOMONTH(HE$8,0))/SUMIFS(82:82,$8:$8,"&gt;="&amp;DATE(YEAR(HE$8)-1,1,1),$8:$8,"&lt;="&amp;EOMONTH(HE$8,-12))-1</f>
        <v/>
      </c>
      <c r="HF85" s="1318">
        <f>SUMIFS(82:82,$8:$8,"&gt;="&amp;DATE(YEAR(HF$8),1,1),$8:$8,"&lt;="&amp;EOMONTH(HF$8,0))/SUMIFS(82:82,$8:$8,"&gt;="&amp;DATE(YEAR(HF$8)-1,1,1),$8:$8,"&lt;="&amp;EOMONTH(HF$8,-12))-1</f>
        <v/>
      </c>
      <c r="HG85" s="1318">
        <f>SUMIFS(82:82,$8:$8,"&gt;="&amp;DATE(YEAR(HG$8),1,1),$8:$8,"&lt;="&amp;EOMONTH(HG$8,0))/SUMIFS(82:82,$8:$8,"&gt;="&amp;DATE(YEAR(HG$8)-1,1,1),$8:$8,"&lt;="&amp;EOMONTH(HG$8,-12))-1</f>
        <v/>
      </c>
      <c r="HH85" s="1318">
        <f>SUMIFS(82:82,$8:$8,"&gt;="&amp;DATE(YEAR(HH$8),1,1),$8:$8,"&lt;="&amp;EOMONTH(HH$8,0))/SUMIFS(82:82,$8:$8,"&gt;="&amp;DATE(YEAR(HH$8)-1,1,1),$8:$8,"&lt;="&amp;EOMONTH(HH$8,-12))-1</f>
        <v/>
      </c>
      <c r="HI85" s="1318">
        <f>SUMIFS(82:82,$8:$8,"&gt;="&amp;DATE(YEAR(HI$8),1,1),$8:$8,"&lt;="&amp;EOMONTH(HI$8,0))/SUMIFS(82:82,$8:$8,"&gt;="&amp;DATE(YEAR(HI$8)-1,1,1),$8:$8,"&lt;="&amp;EOMONTH(HI$8,-12))-1</f>
        <v/>
      </c>
      <c r="HJ85" s="1318">
        <f>SUMIFS(82:82,$8:$8,"&gt;="&amp;DATE(YEAR(HJ$8),1,1),$8:$8,"&lt;="&amp;EOMONTH(HJ$8,0))/SUMIFS(82:82,$8:$8,"&gt;="&amp;DATE(YEAR(HJ$8)-1,1,1),$8:$8,"&lt;="&amp;EOMONTH(HJ$8,-12))-1</f>
        <v/>
      </c>
      <c r="HK85" s="1318">
        <f>SUMIFS(82:82,$8:$8,"&gt;="&amp;DATE(YEAR(HK$8),1,1),$8:$8,"&lt;="&amp;EOMONTH(HK$8,0))/SUMIFS(82:82,$8:$8,"&gt;="&amp;DATE(YEAR(HK$8)-1,1,1),$8:$8,"&lt;="&amp;EOMONTH(HK$8,-12))-1</f>
        <v/>
      </c>
      <c r="HL85" s="1318">
        <f>SUMIFS(82:82,$8:$8,"&gt;="&amp;DATE(YEAR(HL$8),1,1),$8:$8,"&lt;="&amp;EOMONTH(HL$8,0))/SUMIFS(82:82,$8:$8,"&gt;="&amp;DATE(YEAR(HL$8)-1,1,1),$8:$8,"&lt;="&amp;EOMONTH(HL$8,-12))-1</f>
        <v/>
      </c>
      <c r="HM85" s="1318">
        <f>SUMIFS(82:82,$8:$8,"&gt;="&amp;DATE(YEAR(HM$8),1,1),$8:$8,"&lt;="&amp;EOMONTH(HM$8,0))/SUMIFS(82:82,$8:$8,"&gt;="&amp;DATE(YEAR(HM$8)-1,1,1),$8:$8,"&lt;="&amp;EOMONTH(HM$8,-12))-1</f>
        <v/>
      </c>
      <c r="HN85" s="1318">
        <f>SUMIFS(82:82,$8:$8,"&gt;="&amp;DATE(YEAR(HN$8),1,1),$8:$8,"&lt;="&amp;EOMONTH(HN$8,0))/SUMIFS(82:82,$8:$8,"&gt;="&amp;DATE(YEAR(HN$8)-1,1,1),$8:$8,"&lt;="&amp;EOMONTH(HN$8,-12))-1</f>
        <v/>
      </c>
      <c r="HO85" s="1318">
        <f>SUMIFS(82:82,$8:$8,"&gt;="&amp;DATE(YEAR(HO$8),1,1),$8:$8,"&lt;="&amp;EOMONTH(HO$8,0))/SUMIFS(82:82,$8:$8,"&gt;="&amp;DATE(YEAR(HO$8)-1,1,1),$8:$8,"&lt;="&amp;EOMONTH(HO$8,-12))-1</f>
        <v/>
      </c>
      <c r="HP85" s="1318">
        <f>SUMIFS(82:82,$8:$8,"&gt;="&amp;DATE(YEAR(HP$8),1,1),$8:$8,"&lt;="&amp;EOMONTH(HP$8,0))/SUMIFS(82:82,$8:$8,"&gt;="&amp;DATE(YEAR(HP$8)-1,1,1),$8:$8,"&lt;="&amp;EOMONTH(HP$8,-12))-1</f>
        <v/>
      </c>
      <c r="HQ85" s="1318">
        <f>SUMIFS(82:82,$8:$8,"&gt;="&amp;DATE(YEAR(HQ$8),1,1),$8:$8,"&lt;="&amp;EOMONTH(HQ$8,0))/SUMIFS(82:82,$8:$8,"&gt;="&amp;DATE(YEAR(HQ$8)-1,1,1),$8:$8,"&lt;="&amp;EOMONTH(HQ$8,-12))-1</f>
        <v/>
      </c>
      <c r="HR85" s="1318">
        <f>SUMIFS(82:82,$8:$8,"&gt;="&amp;DATE(YEAR(HR$8),1,1),$8:$8,"&lt;="&amp;EOMONTH(HR$8,0))/SUMIFS(82:82,$8:$8,"&gt;="&amp;DATE(YEAR(HR$8)-1,1,1),$8:$8,"&lt;="&amp;EOMONTH(HR$8,-12))-1</f>
        <v/>
      </c>
      <c r="HS85" s="1318">
        <f>SUMIFS(82:82,$8:$8,"&gt;="&amp;DATE(YEAR(HS$8),1,1),$8:$8,"&lt;="&amp;EOMONTH(HS$8,0))/SUMIFS(82:82,$8:$8,"&gt;="&amp;DATE(YEAR(HS$8)-1,1,1),$8:$8,"&lt;="&amp;EOMONTH(HS$8,-12))-1</f>
        <v/>
      </c>
      <c r="HT85" s="1318">
        <f>SUMIFS(82:82,$8:$8,"&gt;="&amp;DATE(YEAR(HT$8),1,1),$8:$8,"&lt;="&amp;EOMONTH(HT$8,0))/SUMIFS(82:82,$8:$8,"&gt;="&amp;DATE(YEAR(HT$8)-1,1,1),$8:$8,"&lt;="&amp;EOMONTH(HT$8,-12))-1</f>
        <v/>
      </c>
      <c r="HU85" s="1318">
        <f>SUMIFS(82:82,$8:$8,"&gt;="&amp;DATE(YEAR(HU$8),1,1),$8:$8,"&lt;="&amp;EOMONTH(HU$8,0))/SUMIFS(82:82,$8:$8,"&gt;="&amp;DATE(YEAR(HU$8)-1,1,1),$8:$8,"&lt;="&amp;EOMONTH(HU$8,-12))-1</f>
        <v/>
      </c>
      <c r="HV85" s="1318">
        <f>SUMIFS(82:82,$8:$8,"&gt;="&amp;DATE(YEAR(HV$8),1,1),$8:$8,"&lt;="&amp;EOMONTH(HV$8,0))/SUMIFS(82:82,$8:$8,"&gt;="&amp;DATE(YEAR(HV$8)-1,1,1),$8:$8,"&lt;="&amp;EOMONTH(HV$8,-12))-1</f>
        <v/>
      </c>
      <c r="HW85" s="1318">
        <f>SUMIFS(82:82,$8:$8,"&gt;="&amp;DATE(YEAR(HW$8),1,1),$8:$8,"&lt;="&amp;EOMONTH(HW$8,0))/SUMIFS(82:82,$8:$8,"&gt;="&amp;DATE(YEAR(HW$8)-1,1,1),$8:$8,"&lt;="&amp;EOMONTH(HW$8,-12))-1</f>
        <v/>
      </c>
      <c r="HX85" s="1318">
        <f>SUMIFS(82:82,$8:$8,"&gt;="&amp;DATE(YEAR(HX$8),1,1),$8:$8,"&lt;="&amp;EOMONTH(HX$8,0))/SUMIFS(82:82,$8:$8,"&gt;="&amp;DATE(YEAR(HX$8)-1,1,1),$8:$8,"&lt;="&amp;EOMONTH(HX$8,-12))-1</f>
        <v/>
      </c>
      <c r="HY85" s="1318">
        <f>SUMIFS(82:82,$8:$8,"&gt;="&amp;DATE(YEAR(HY$8),1,1),$8:$8,"&lt;="&amp;EOMONTH(HY$8,0))/SUMIFS(82:82,$8:$8,"&gt;="&amp;DATE(YEAR(HY$8)-1,1,1),$8:$8,"&lt;="&amp;EOMONTH(HY$8,-12))-1</f>
        <v/>
      </c>
      <c r="HZ85" s="1318">
        <f>SUMIFS(82:82,$8:$8,"&gt;="&amp;DATE(YEAR(HZ$8),1,1),$8:$8,"&lt;="&amp;EOMONTH(HZ$8,0))/SUMIFS(82:82,$8:$8,"&gt;="&amp;DATE(YEAR(HZ$8)-1,1,1),$8:$8,"&lt;="&amp;EOMONTH(HZ$8,-12))-1</f>
        <v/>
      </c>
      <c r="IA85" s="1318">
        <f>SUMIFS(82:82,$8:$8,"&gt;="&amp;DATE(YEAR(IA$8),1,1),$8:$8,"&lt;="&amp;EOMONTH(IA$8,0))/SUMIFS(82:82,$8:$8,"&gt;="&amp;DATE(YEAR(IA$8)-1,1,1),$8:$8,"&lt;="&amp;EOMONTH(IA$8,-12))-1</f>
        <v/>
      </c>
      <c r="IB85" s="1318">
        <f>SUMIFS(82:82,$8:$8,"&gt;="&amp;DATE(YEAR(IB$8),1,1),$8:$8,"&lt;="&amp;EOMONTH(IB$8,0))/SUMIFS(82:82,$8:$8,"&gt;="&amp;DATE(YEAR(IB$8)-1,1,1),$8:$8,"&lt;="&amp;EOMONTH(IB$8,-12))-1</f>
        <v/>
      </c>
      <c r="IC85" s="1318">
        <f>SUMIFS(82:82,$8:$8,"&gt;="&amp;DATE(YEAR(IC$8),1,1),$8:$8,"&lt;="&amp;EOMONTH(IC$8,0))/SUMIFS(82:82,$8:$8,"&gt;="&amp;DATE(YEAR(IC$8)-1,1,1),$8:$8,"&lt;="&amp;EOMONTH(IC$8,-12))-1</f>
        <v/>
      </c>
      <c r="ID85" s="1318">
        <f>SUMIFS(82:82,$8:$8,"&gt;="&amp;DATE(YEAR(ID$8),1,1),$8:$8,"&lt;="&amp;EOMONTH(ID$8,0))/SUMIFS(82:82,$8:$8,"&gt;="&amp;DATE(YEAR(ID$8)-1,1,1),$8:$8,"&lt;="&amp;EOMONTH(ID$8,-12))-1</f>
        <v/>
      </c>
      <c r="IE85" s="1318">
        <f>SUMIFS(82:82,$8:$8,"&gt;="&amp;DATE(YEAR(IE$8),1,1),$8:$8,"&lt;="&amp;EOMONTH(IE$8,0))/SUMIFS(82:82,$8:$8,"&gt;="&amp;DATE(YEAR(IE$8)-1,1,1),$8:$8,"&lt;="&amp;EOMONTH(IE$8,-12))-1</f>
        <v/>
      </c>
      <c r="IF85" s="1318">
        <f>SUMIFS(82:82,$8:$8,"&gt;="&amp;DATE(YEAR(IF$8),1,1),$8:$8,"&lt;="&amp;EOMONTH(IF$8,0))/SUMIFS(82:82,$8:$8,"&gt;="&amp;DATE(YEAR(IF$8)-1,1,1),$8:$8,"&lt;="&amp;EOMONTH(IF$8,-12))-1</f>
        <v/>
      </c>
      <c r="IG85" s="1318">
        <f>SUMIFS(82:82,$8:$8,"&gt;="&amp;DATE(YEAR(IG$8),1,1),$8:$8,"&lt;="&amp;EOMONTH(IG$8,0))/SUMIFS(82:82,$8:$8,"&gt;="&amp;DATE(YEAR(IG$8)-1,1,1),$8:$8,"&lt;="&amp;EOMONTH(IG$8,-12))-1</f>
        <v/>
      </c>
      <c r="IH85" s="1318">
        <f>SUMIFS(82:82,$8:$8,"&gt;="&amp;DATE(YEAR(IH$8),1,1),$8:$8,"&lt;="&amp;EOMONTH(IH$8,0))/SUMIFS(82:82,$8:$8,"&gt;="&amp;DATE(YEAR(IH$8)-1,1,1),$8:$8,"&lt;="&amp;EOMONTH(IH$8,-12))-1</f>
        <v/>
      </c>
      <c r="II85" s="1318">
        <f>SUMIFS(82:82,$8:$8,"&gt;="&amp;DATE(YEAR(II$8),1,1),$8:$8,"&lt;="&amp;EOMONTH(II$8,0))/SUMIFS(82:82,$8:$8,"&gt;="&amp;DATE(YEAR(II$8)-1,1,1),$8:$8,"&lt;="&amp;EOMONTH(II$8,-12))-1</f>
        <v/>
      </c>
      <c r="IJ85" s="1318">
        <f>SUMIFS(82:82,$8:$8,"&gt;="&amp;DATE(YEAR(IJ$8),1,1),$8:$8,"&lt;="&amp;EOMONTH(IJ$8,0))/SUMIFS(82:82,$8:$8,"&gt;="&amp;DATE(YEAR(IJ$8)-1,1,1),$8:$8,"&lt;="&amp;EOMONTH(IJ$8,-12))-1</f>
        <v/>
      </c>
      <c r="IK85" s="1318">
        <f>SUMIFS(82:82,$8:$8,"&gt;="&amp;DATE(YEAR(IK$8),1,1),$8:$8,"&lt;="&amp;EOMONTH(IK$8,0))/SUMIFS(82:82,$8:$8,"&gt;="&amp;DATE(YEAR(IK$8)-1,1,1),$8:$8,"&lt;="&amp;EOMONTH(IK$8,-12))-1</f>
        <v/>
      </c>
      <c r="IL85" s="1318">
        <f>SUMIFS(82:82,$8:$8,"&gt;="&amp;DATE(YEAR(IL$8),1,1),$8:$8,"&lt;="&amp;EOMONTH(IL$8,0))/SUMIFS(82:82,$8:$8,"&gt;="&amp;DATE(YEAR(IL$8)-1,1,1),$8:$8,"&lt;="&amp;EOMONTH(IL$8,-12))-1</f>
        <v/>
      </c>
      <c r="IM85" s="1318">
        <f>SUMIFS(82:82,$8:$8,"&gt;="&amp;DATE(YEAR(IM$8),1,1),$8:$8,"&lt;="&amp;EOMONTH(IM$8,0))/SUMIFS(82:82,$8:$8,"&gt;="&amp;DATE(YEAR(IM$8)-1,1,1),$8:$8,"&lt;="&amp;EOMONTH(IM$8,-12))-1</f>
        <v/>
      </c>
      <c r="IN85" s="1318">
        <f>SUMIFS(82:82,$8:$8,"&gt;="&amp;DATE(YEAR(IN$8),1,1),$8:$8,"&lt;="&amp;EOMONTH(IN$8,0))/SUMIFS(82:82,$8:$8,"&gt;="&amp;DATE(YEAR(IN$8)-1,1,1),$8:$8,"&lt;="&amp;EOMONTH(IN$8,-12))-1</f>
        <v/>
      </c>
      <c r="IO85" s="1318">
        <f>SUMIFS(82:82,$8:$8,"&gt;="&amp;DATE(YEAR(IO$8),1,1),$8:$8,"&lt;="&amp;EOMONTH(IO$8,0))/SUMIFS(82:82,$8:$8,"&gt;="&amp;DATE(YEAR(IO$8)-1,1,1),$8:$8,"&lt;="&amp;EOMONTH(IO$8,-12))-1</f>
        <v/>
      </c>
      <c r="IP85" s="1318">
        <f>SUMIFS(82:82,$8:$8,"&gt;="&amp;DATE(YEAR(IP$8),1,1),$8:$8,"&lt;="&amp;EOMONTH(IP$8,0))/SUMIFS(82:82,$8:$8,"&gt;="&amp;DATE(YEAR(IP$8)-1,1,1),$8:$8,"&lt;="&amp;EOMONTH(IP$8,-12))-1</f>
        <v/>
      </c>
      <c r="IQ85" s="1318">
        <f>SUMIFS(82:82,$8:$8,"&gt;="&amp;DATE(YEAR(IQ$8),1,1),$8:$8,"&lt;="&amp;EOMONTH(IQ$8,0))/SUMIFS(82:82,$8:$8,"&gt;="&amp;DATE(YEAR(IQ$8)-1,1,1),$8:$8,"&lt;="&amp;EOMONTH(IQ$8,-12))-1</f>
        <v/>
      </c>
      <c r="IR85" s="1318">
        <f>SUMIFS(82:82,$8:$8,"&gt;="&amp;DATE(YEAR(IR$8),1,1),$8:$8,"&lt;="&amp;EOMONTH(IR$8,0))/SUMIFS(82:82,$8:$8,"&gt;="&amp;DATE(YEAR(IR$8)-1,1,1),$8:$8,"&lt;="&amp;EOMONTH(IR$8,-12))-1</f>
        <v/>
      </c>
      <c r="IS85" s="1318">
        <f>SUMIFS(82:82,$8:$8,"&gt;="&amp;DATE(YEAR(IS$8),1,1),$8:$8,"&lt;="&amp;EOMONTH(IS$8,0))/SUMIFS(82:82,$8:$8,"&gt;="&amp;DATE(YEAR(IS$8)-1,1,1),$8:$8,"&lt;="&amp;EOMONTH(IS$8,-12))-1</f>
        <v/>
      </c>
      <c r="IT85" s="1318">
        <f>SUMIFS(82:82,$8:$8,"&gt;="&amp;DATE(YEAR(IT$8),1,1),$8:$8,"&lt;="&amp;EOMONTH(IT$8,0))/SUMIFS(82:82,$8:$8,"&gt;="&amp;DATE(YEAR(IT$8)-1,1,1),$8:$8,"&lt;="&amp;EOMONTH(IT$8,-12))-1</f>
        <v/>
      </c>
      <c r="IU85" s="1318">
        <f>SUMIFS(82:82,$8:$8,"&gt;="&amp;DATE(YEAR(IU$8),1,1),$8:$8,"&lt;="&amp;EOMONTH(IU$8,0))/SUMIFS(82:82,$8:$8,"&gt;="&amp;DATE(YEAR(IU$8)-1,1,1),$8:$8,"&lt;="&amp;EOMONTH(IU$8,-12))-1</f>
        <v/>
      </c>
      <c r="IV85" s="1318">
        <f>SUMIFS(82:82,$8:$8,"&gt;="&amp;DATE(YEAR(IV$8),1,1),$8:$8,"&lt;="&amp;EOMONTH(IV$8,0))/SUMIFS(82:82,$8:$8,"&gt;="&amp;DATE(YEAR(IV$8)-1,1,1),$8:$8,"&lt;="&amp;EOMONTH(IV$8,-12))-1</f>
        <v/>
      </c>
      <c r="IW85" s="1318">
        <f>SUMIFS(82:82,$8:$8,"&gt;="&amp;DATE(YEAR(IW$8),1,1),$8:$8,"&lt;="&amp;EOMONTH(IW$8,0))/SUMIFS(82:82,$8:$8,"&gt;="&amp;DATE(YEAR(IW$8)-1,1,1),$8:$8,"&lt;="&amp;EOMONTH(IW$8,-12))-1</f>
        <v/>
      </c>
      <c r="IX85" s="1318">
        <f>SUMIFS(82:82,$8:$8,"&gt;="&amp;DATE(YEAR(IX$8),1,1),$8:$8,"&lt;="&amp;EOMONTH(IX$8,0))/SUMIFS(82:82,$8:$8,"&gt;="&amp;DATE(YEAR(IX$8)-1,1,1),$8:$8,"&lt;="&amp;EOMONTH(IX$8,-12))-1</f>
        <v/>
      </c>
      <c r="IY85" s="1318">
        <f>SUMIFS(82:82,$8:$8,"&gt;="&amp;DATE(YEAR(IY$8),1,1),$8:$8,"&lt;="&amp;EOMONTH(IY$8,0))/SUMIFS(82:82,$8:$8,"&gt;="&amp;DATE(YEAR(IY$8)-1,1,1),$8:$8,"&lt;="&amp;EOMONTH(IY$8,-12))-1</f>
        <v/>
      </c>
      <c r="IZ85" s="1318">
        <f>SUMIFS(82:82,$8:$8,"&gt;="&amp;DATE(YEAR(IZ$8),1,1),$8:$8,"&lt;="&amp;EOMONTH(IZ$8,0))/SUMIFS(82:82,$8:$8,"&gt;="&amp;DATE(YEAR(IZ$8)-1,1,1),$8:$8,"&lt;="&amp;EOMONTH(IZ$8,-12))-1</f>
        <v/>
      </c>
      <c r="JA85" s="1318">
        <f>SUMIFS(82:82,$8:$8,"&gt;="&amp;DATE(YEAR(JA$8),1,1),$8:$8,"&lt;="&amp;EOMONTH(JA$8,0))/SUMIFS(82:82,$8:$8,"&gt;="&amp;DATE(YEAR(JA$8)-1,1,1),$8:$8,"&lt;="&amp;EOMONTH(JA$8,-12))-1</f>
        <v/>
      </c>
      <c r="JB85" s="1318">
        <f>SUMIFS(82:82,$8:$8,"&gt;="&amp;DATE(YEAR(JB$8),1,1),$8:$8,"&lt;="&amp;EOMONTH(JB$8,0))/SUMIFS(82:82,$8:$8,"&gt;="&amp;DATE(YEAR(JB$8)-1,1,1),$8:$8,"&lt;="&amp;EOMONTH(JB$8,-12))-1</f>
        <v/>
      </c>
      <c r="JC85" s="1318">
        <f>SUMIFS(82:82,$8:$8,"&gt;="&amp;DATE(YEAR(JC$8),1,1),$8:$8,"&lt;="&amp;EOMONTH(JC$8,0))/SUMIFS(82:82,$8:$8,"&gt;="&amp;DATE(YEAR(JC$8)-1,1,1),$8:$8,"&lt;="&amp;EOMONTH(JC$8,-12))-1</f>
        <v/>
      </c>
      <c r="JD85" s="1318">
        <f>SUMIFS(82:82,$8:$8,"&gt;="&amp;DATE(YEAR(JD$8),1,1),$8:$8,"&lt;="&amp;EOMONTH(JD$8,0))/SUMIFS(82:82,$8:$8,"&gt;="&amp;DATE(YEAR(JD$8)-1,1,1),$8:$8,"&lt;="&amp;EOMONTH(JD$8,-12))-1</f>
        <v/>
      </c>
      <c r="JE85" s="1318">
        <f>SUMIFS(82:82,$8:$8,"&gt;="&amp;DATE(YEAR(JE$8),1,1),$8:$8,"&lt;="&amp;EOMONTH(JE$8,0))/SUMIFS(82:82,$8:$8,"&gt;="&amp;DATE(YEAR(JE$8)-1,1,1),$8:$8,"&lt;="&amp;EOMONTH(JE$8,-12))-1</f>
        <v/>
      </c>
      <c r="JF85" s="1318">
        <f>SUMIFS(82:82,$8:$8,"&gt;="&amp;DATE(YEAR(JF$8),1,1),$8:$8,"&lt;="&amp;EOMONTH(JF$8,0))/SUMIFS(82:82,$8:$8,"&gt;="&amp;DATE(YEAR(JF$8)-1,1,1),$8:$8,"&lt;="&amp;EOMONTH(JF$8,-12))-1</f>
        <v/>
      </c>
      <c r="JG85" s="1318">
        <f>SUMIFS(82:82,$8:$8,"&gt;="&amp;DATE(YEAR(JG$8),1,1),$8:$8,"&lt;="&amp;EOMONTH(JG$8,0))/SUMIFS(82:82,$8:$8,"&gt;="&amp;DATE(YEAR(JG$8)-1,1,1),$8:$8,"&lt;="&amp;EOMONTH(JG$8,-12))-1</f>
        <v/>
      </c>
      <c r="JH85" s="1318">
        <f>SUMIFS(82:82,$8:$8,"&gt;="&amp;DATE(YEAR(JH$8),1,1),$8:$8,"&lt;="&amp;EOMONTH(JH$8,0))/SUMIFS(82:82,$8:$8,"&gt;="&amp;DATE(YEAR(JH$8)-1,1,1),$8:$8,"&lt;="&amp;EOMONTH(JH$8,-12))-1</f>
        <v/>
      </c>
      <c r="JI85" s="1318">
        <f>SUMIFS(82:82,$8:$8,"&gt;="&amp;DATE(YEAR(JI$8),1,1),$8:$8,"&lt;="&amp;EOMONTH(JI$8,0))/SUMIFS(82:82,$8:$8,"&gt;="&amp;DATE(YEAR(JI$8)-1,1,1),$8:$8,"&lt;="&amp;EOMONTH(JI$8,-12))-1</f>
        <v/>
      </c>
      <c r="JJ85" s="1318">
        <f>SUMIFS(82:82,$8:$8,"&gt;="&amp;DATE(YEAR(JJ$8),1,1),$8:$8,"&lt;="&amp;EOMONTH(JJ$8,0))/SUMIFS(82:82,$8:$8,"&gt;="&amp;DATE(YEAR(JJ$8)-1,1,1),$8:$8,"&lt;="&amp;EOMONTH(JJ$8,-12))-1</f>
        <v/>
      </c>
      <c r="JK85" s="1318">
        <f>SUMIFS(82:82,$8:$8,"&gt;="&amp;DATE(YEAR(JK$8),1,1),$8:$8,"&lt;="&amp;EOMONTH(JK$8,0))/SUMIFS(82:82,$8:$8,"&gt;="&amp;DATE(YEAR(JK$8)-1,1,1),$8:$8,"&lt;="&amp;EOMONTH(JK$8,-12))-1</f>
        <v/>
      </c>
      <c r="JL85" s="1318">
        <f>SUMIFS(82:82,$8:$8,"&gt;="&amp;DATE(YEAR(JL$8),1,1),$8:$8,"&lt;="&amp;EOMONTH(JL$8,0))/SUMIFS(82:82,$8:$8,"&gt;="&amp;DATE(YEAR(JL$8)-1,1,1),$8:$8,"&lt;="&amp;EOMONTH(JL$8,-12))-1</f>
        <v/>
      </c>
      <c r="JM85" s="1318">
        <f>SUMIFS(82:82,$8:$8,"&gt;="&amp;DATE(YEAR(JM$8),1,1),$8:$8,"&lt;="&amp;EOMONTH(JM$8,0))/SUMIFS(82:82,$8:$8,"&gt;="&amp;DATE(YEAR(JM$8)-1,1,1),$8:$8,"&lt;="&amp;EOMONTH(JM$8,-12))-1</f>
        <v/>
      </c>
      <c r="JN85" s="1318">
        <f>SUMIFS(82:82,$8:$8,"&gt;="&amp;DATE(YEAR(JN$8),1,1),$8:$8,"&lt;="&amp;EOMONTH(JN$8,0))/SUMIFS(82:82,$8:$8,"&gt;="&amp;DATE(YEAR(JN$8)-1,1,1),$8:$8,"&lt;="&amp;EOMONTH(JN$8,-12))-1</f>
        <v/>
      </c>
      <c r="JO85" s="1318">
        <f>SUMIFS(82:82,$8:$8,"&gt;="&amp;DATE(YEAR(JO$8),1,1),$8:$8,"&lt;="&amp;EOMONTH(JO$8,0))/SUMIFS(82:82,$8:$8,"&gt;="&amp;DATE(YEAR(JO$8)-1,1,1),$8:$8,"&lt;="&amp;EOMONTH(JO$8,-12))-1</f>
        <v/>
      </c>
      <c r="JP85" s="1318">
        <f>SUMIFS(82:82,$8:$8,"&gt;="&amp;DATE(YEAR(JP$8),1,1),$8:$8,"&lt;="&amp;EOMONTH(JP$8,0))/SUMIFS(82:82,$8:$8,"&gt;="&amp;DATE(YEAR(JP$8)-1,1,1),$8:$8,"&lt;="&amp;EOMONTH(JP$8,-12))-1</f>
        <v/>
      </c>
      <c r="JQ85" s="1318">
        <f>SUMIFS(82:82,$8:$8,"&gt;="&amp;DATE(YEAR(JQ$8),1,1),$8:$8,"&lt;="&amp;EOMONTH(JQ$8,0))/SUMIFS(82:82,$8:$8,"&gt;="&amp;DATE(YEAR(JQ$8)-1,1,1),$8:$8,"&lt;="&amp;EOMONTH(JQ$8,-12))-1</f>
        <v/>
      </c>
      <c r="JR85" s="1318">
        <f>SUMIFS(82:82,$8:$8,"&gt;="&amp;DATE(YEAR(JR$8),1,1),$8:$8,"&lt;="&amp;EOMONTH(JR$8,0))/SUMIFS(82:82,$8:$8,"&gt;="&amp;DATE(YEAR(JR$8)-1,1,1),$8:$8,"&lt;="&amp;EOMONTH(JR$8,-12))-1</f>
        <v/>
      </c>
      <c r="JS85" s="1318">
        <f>SUMIFS(82:82,$8:$8,"&gt;="&amp;DATE(YEAR(JS$8),1,1),$8:$8,"&lt;="&amp;EOMONTH(JS$8,0))/SUMIFS(82:82,$8:$8,"&gt;="&amp;DATE(YEAR(JS$8)-1,1,1),$8:$8,"&lt;="&amp;EOMONTH(JS$8,-12))-1</f>
        <v/>
      </c>
      <c r="JT85" s="1318">
        <f>SUMIFS(82:82,$8:$8,"&gt;="&amp;DATE(YEAR(JT$8),1,1),$8:$8,"&lt;="&amp;EOMONTH(JT$8,0))/SUMIFS(82:82,$8:$8,"&gt;="&amp;DATE(YEAR(JT$8)-1,1,1),$8:$8,"&lt;="&amp;EOMONTH(JT$8,-12))-1</f>
        <v/>
      </c>
      <c r="JU85" s="1318">
        <f>SUMIFS(82:82,$8:$8,"&gt;="&amp;DATE(YEAR(JU$8),1,1),$8:$8,"&lt;="&amp;EOMONTH(JU$8,0))/SUMIFS(82:82,$8:$8,"&gt;="&amp;DATE(YEAR(JU$8)-1,1,1),$8:$8,"&lt;="&amp;EOMONTH(JU$8,-12))-1</f>
        <v/>
      </c>
      <c r="JV85" s="1318">
        <f>SUMIFS(82:82,$8:$8,"&gt;="&amp;DATE(YEAR(JV$8),1,1),$8:$8,"&lt;="&amp;EOMONTH(JV$8,0))/SUMIFS(82:82,$8:$8,"&gt;="&amp;DATE(YEAR(JV$8)-1,1,1),$8:$8,"&lt;="&amp;EOMONTH(JV$8,-12))-1</f>
        <v/>
      </c>
      <c r="JW85" s="1318">
        <f>SUMIFS(82:82,$8:$8,"&gt;="&amp;DATE(YEAR(JW$8),1,1),$8:$8,"&lt;="&amp;EOMONTH(JW$8,0))/SUMIFS(82:82,$8:$8,"&gt;="&amp;DATE(YEAR(JW$8)-1,1,1),$8:$8,"&lt;="&amp;EOMONTH(JW$8,-12))-1</f>
        <v/>
      </c>
      <c r="JX85" s="1318">
        <f>SUMIFS(82:82,$8:$8,"&gt;="&amp;DATE(YEAR(JX$8),1,1),$8:$8,"&lt;="&amp;EOMONTH(JX$8,0))/SUMIFS(82:82,$8:$8,"&gt;="&amp;DATE(YEAR(JX$8)-1,1,1),$8:$8,"&lt;="&amp;EOMONTH(JX$8,-12))-1</f>
        <v/>
      </c>
      <c r="JY85" s="1318">
        <f>SUMIFS(82:82,$8:$8,"&gt;="&amp;DATE(YEAR(JY$8),1,1),$8:$8,"&lt;="&amp;EOMONTH(JY$8,0))/SUMIFS(82:82,$8:$8,"&gt;="&amp;DATE(YEAR(JY$8)-1,1,1),$8:$8,"&lt;="&amp;EOMONTH(JY$8,-12))-1</f>
        <v/>
      </c>
      <c r="JZ85" s="1318">
        <f>SUMIFS(82:82,$8:$8,"&gt;="&amp;DATE(YEAR(JZ$8),1,1),$8:$8,"&lt;="&amp;EOMONTH(JZ$8,0))/SUMIFS(82:82,$8:$8,"&gt;="&amp;DATE(YEAR(JZ$8)-1,1,1),$8:$8,"&lt;="&amp;EOMONTH(JZ$8,-12))-1</f>
        <v/>
      </c>
      <c r="KA85" s="1318">
        <f>SUMIFS(82:82,$8:$8,"&gt;="&amp;DATE(YEAR(KA$8),1,1),$8:$8,"&lt;="&amp;EOMONTH(KA$8,0))/SUMIFS(82:82,$8:$8,"&gt;="&amp;DATE(YEAR(KA$8)-1,1,1),$8:$8,"&lt;="&amp;EOMONTH(KA$8,-12))-1</f>
        <v/>
      </c>
      <c r="KB85" s="1318">
        <f>SUMIFS(82:82,$8:$8,"&gt;="&amp;DATE(YEAR(KB$8),1,1),$8:$8,"&lt;="&amp;EOMONTH(KB$8,0))/SUMIFS(82:82,$8:$8,"&gt;="&amp;DATE(YEAR(KB$8)-1,1,1),$8:$8,"&lt;="&amp;EOMONTH(KB$8,-12))-1</f>
        <v/>
      </c>
      <c r="KC85" s="1318">
        <f>SUMIFS(82:82,$8:$8,"&gt;="&amp;DATE(YEAR(KC$8),1,1),$8:$8,"&lt;="&amp;EOMONTH(KC$8,0))/SUMIFS(82:82,$8:$8,"&gt;="&amp;DATE(YEAR(KC$8)-1,1,1),$8:$8,"&lt;="&amp;EOMONTH(KC$8,-12))-1</f>
        <v/>
      </c>
      <c r="KD85" s="1318">
        <f>SUMIFS(82:82,$8:$8,"&gt;="&amp;DATE(YEAR(KD$8),1,1),$8:$8,"&lt;="&amp;EOMONTH(KD$8,0))/SUMIFS(82:82,$8:$8,"&gt;="&amp;DATE(YEAR(KD$8)-1,1,1),$8:$8,"&lt;="&amp;EOMONTH(KD$8,-12))-1</f>
        <v/>
      </c>
      <c r="KE85" s="1318">
        <f>SUMIFS(82:82,$8:$8,"&gt;="&amp;DATE(YEAR(KE$8),1,1),$8:$8,"&lt;="&amp;EOMONTH(KE$8,0))/SUMIFS(82:82,$8:$8,"&gt;="&amp;DATE(YEAR(KE$8)-1,1,1),$8:$8,"&lt;="&amp;EOMONTH(KE$8,-12))-1</f>
        <v/>
      </c>
      <c r="KF85" s="1318">
        <f>SUMIFS(82:82,$8:$8,"&gt;="&amp;DATE(YEAR(KF$8),1,1),$8:$8,"&lt;="&amp;EOMONTH(KF$8,0))/SUMIFS(82:82,$8:$8,"&gt;="&amp;DATE(YEAR(KF$8)-1,1,1),$8:$8,"&lt;="&amp;EOMONTH(KF$8,-12))-1</f>
        <v/>
      </c>
      <c r="KG85" s="1318">
        <f>SUMIFS(82:82,$8:$8,"&gt;="&amp;DATE(YEAR(KG$8),1,1),$8:$8,"&lt;="&amp;EOMONTH(KG$8,0))/SUMIFS(82:82,$8:$8,"&gt;="&amp;DATE(YEAR(KG$8)-1,1,1),$8:$8,"&lt;="&amp;EOMONTH(KG$8,-12))-1</f>
        <v/>
      </c>
      <c r="KH85" s="1318">
        <f>SUMIFS(82:82,$8:$8,"&gt;="&amp;DATE(YEAR(KH$8),1,1),$8:$8,"&lt;="&amp;EOMONTH(KH$8,0))/SUMIFS(82:82,$8:$8,"&gt;="&amp;DATE(YEAR(KH$8)-1,1,1),$8:$8,"&lt;="&amp;EOMONTH(KH$8,-12))-1</f>
        <v/>
      </c>
      <c r="KI85" s="1318">
        <f>SUMIFS(82:82,$8:$8,"&gt;="&amp;DATE(YEAR(KI$8),1,1),$8:$8,"&lt;="&amp;EOMONTH(KI$8,0))/SUMIFS(82:82,$8:$8,"&gt;="&amp;DATE(YEAR(KI$8)-1,1,1),$8:$8,"&lt;="&amp;EOMONTH(KI$8,-12))-1</f>
        <v/>
      </c>
      <c r="KJ85" s="1318">
        <f>SUMIFS(82:82,$8:$8,"&gt;="&amp;DATE(YEAR(KJ$8),1,1),$8:$8,"&lt;="&amp;EOMONTH(KJ$8,0))/SUMIFS(82:82,$8:$8,"&gt;="&amp;DATE(YEAR(KJ$8)-1,1,1),$8:$8,"&lt;="&amp;EOMONTH(KJ$8,-12))-1</f>
        <v/>
      </c>
      <c r="KK85" s="1318">
        <f>SUMIFS(82:82,$8:$8,"&gt;="&amp;DATE(YEAR(KK$8),1,1),$8:$8,"&lt;="&amp;EOMONTH(KK$8,0))/SUMIFS(82:82,$8:$8,"&gt;="&amp;DATE(YEAR(KK$8)-1,1,1),$8:$8,"&lt;="&amp;EOMONTH(KK$8,-12))-1</f>
        <v/>
      </c>
      <c r="KL85" s="1318">
        <f>SUMIFS(82:82,$8:$8,"&gt;="&amp;DATE(YEAR(KL$8),1,1),$8:$8,"&lt;="&amp;EOMONTH(KL$8,0))/SUMIFS(82:82,$8:$8,"&gt;="&amp;DATE(YEAR(KL$8)-1,1,1),$8:$8,"&lt;="&amp;EOMONTH(KL$8,-12))-1</f>
        <v/>
      </c>
      <c r="KM85" s="1318">
        <f>SUMIFS(82:82,$8:$8,"&gt;="&amp;DATE(YEAR(KM$8),1,1),$8:$8,"&lt;="&amp;EOMONTH(KM$8,0))/SUMIFS(82:82,$8:$8,"&gt;="&amp;DATE(YEAR(KM$8)-1,1,1),$8:$8,"&lt;="&amp;EOMONTH(KM$8,-12))-1</f>
        <v/>
      </c>
      <c r="KN85" s="1318">
        <f>SUMIFS(82:82,$8:$8,"&gt;="&amp;DATE(YEAR(KN$8),1,1),$8:$8,"&lt;="&amp;EOMONTH(KN$8,0))/SUMIFS(82:82,$8:$8,"&gt;="&amp;DATE(YEAR(KN$8)-1,1,1),$8:$8,"&lt;="&amp;EOMONTH(KN$8,-12))-1</f>
        <v/>
      </c>
      <c r="KO85" s="1318">
        <f>SUMIFS(82:82,$8:$8,"&gt;="&amp;DATE(YEAR(KO$8),1,1),$8:$8,"&lt;="&amp;EOMONTH(KO$8,0))/SUMIFS(82:82,$8:$8,"&gt;="&amp;DATE(YEAR(KO$8)-1,1,1),$8:$8,"&lt;="&amp;EOMONTH(KO$8,-12))-1</f>
        <v/>
      </c>
      <c r="KP85" s="1318">
        <f>SUMIFS(82:82,$8:$8,"&gt;="&amp;DATE(YEAR(KP$8),1,1),$8:$8,"&lt;="&amp;EOMONTH(KP$8,0))/SUMIFS(82:82,$8:$8,"&gt;="&amp;DATE(YEAR(KP$8)-1,1,1),$8:$8,"&lt;="&amp;EOMONTH(KP$8,-12))-1</f>
        <v/>
      </c>
      <c r="KQ85" s="1318">
        <f>SUMIFS(82:82,$8:$8,"&gt;="&amp;DATE(YEAR(KQ$8),1,1),$8:$8,"&lt;="&amp;EOMONTH(KQ$8,0))/SUMIFS(82:82,$8:$8,"&gt;="&amp;DATE(YEAR(KQ$8)-1,1,1),$8:$8,"&lt;="&amp;EOMONTH(KQ$8,-12))-1</f>
        <v/>
      </c>
      <c r="KR85" s="1318">
        <f>SUMIFS(82:82,$8:$8,"&gt;="&amp;DATE(YEAR(KR$8),1,1),$8:$8,"&lt;="&amp;EOMONTH(KR$8,0))/SUMIFS(82:82,$8:$8,"&gt;="&amp;DATE(YEAR(KR$8)-1,1,1),$8:$8,"&lt;="&amp;EOMONTH(KR$8,-12))-1</f>
        <v/>
      </c>
      <c r="KS85" s="1318">
        <f>SUMIFS(82:82,$8:$8,"&gt;="&amp;DATE(YEAR(KS$8),1,1),$8:$8,"&lt;="&amp;EOMONTH(KS$8,0))/SUMIFS(82:82,$8:$8,"&gt;="&amp;DATE(YEAR(KS$8)-1,1,1),$8:$8,"&lt;="&amp;EOMONTH(KS$8,-12))-1</f>
        <v/>
      </c>
      <c r="KT85" s="1318">
        <f>SUMIFS(82:82,$8:$8,"&gt;="&amp;DATE(YEAR(KT$8),1,1),$8:$8,"&lt;="&amp;EOMONTH(KT$8,0))/SUMIFS(82:82,$8:$8,"&gt;="&amp;DATE(YEAR(KT$8)-1,1,1),$8:$8,"&lt;="&amp;EOMONTH(KT$8,-12))-1</f>
        <v/>
      </c>
      <c r="KU85" s="1318">
        <f>SUMIFS(82:82,$8:$8,"&gt;="&amp;DATE(YEAR(KU$8),1,1),$8:$8,"&lt;="&amp;EOMONTH(KU$8,0))/SUMIFS(82:82,$8:$8,"&gt;="&amp;DATE(YEAR(KU$8)-1,1,1),$8:$8,"&lt;="&amp;EOMONTH(KU$8,-12))-1</f>
        <v/>
      </c>
      <c r="KV85" s="1318">
        <f>SUMIFS(82:82,$8:$8,"&gt;="&amp;DATE(YEAR(KV$8),1,1),$8:$8,"&lt;="&amp;EOMONTH(KV$8,0))/SUMIFS(82:82,$8:$8,"&gt;="&amp;DATE(YEAR(KV$8)-1,1,1),$8:$8,"&lt;="&amp;EOMONTH(KV$8,-12))-1</f>
        <v/>
      </c>
      <c r="KW85" s="1318">
        <f>SUMIFS(82:82,$8:$8,"&gt;="&amp;DATE(YEAR(KW$8),1,1),$8:$8,"&lt;="&amp;EOMONTH(KW$8,0))/SUMIFS(82:82,$8:$8,"&gt;="&amp;DATE(YEAR(KW$8)-1,1,1),$8:$8,"&lt;="&amp;EOMONTH(KW$8,-12))-1</f>
        <v/>
      </c>
      <c r="KX85" s="1318">
        <f>SUMIFS(82:82,$8:$8,"&gt;="&amp;DATE(YEAR(KX$8),1,1),$8:$8,"&lt;="&amp;EOMONTH(KX$8,0))/SUMIFS(82:82,$8:$8,"&gt;="&amp;DATE(YEAR(KX$8)-1,1,1),$8:$8,"&lt;="&amp;EOMONTH(KX$8,-12))-1</f>
        <v/>
      </c>
      <c r="KY85" s="1318">
        <f>SUMIFS(82:82,$8:$8,"&gt;="&amp;DATE(YEAR(KY$8),1,1),$8:$8,"&lt;="&amp;EOMONTH(KY$8,0))/SUMIFS(82:82,$8:$8,"&gt;="&amp;DATE(YEAR(KY$8)-1,1,1),$8:$8,"&lt;="&amp;EOMONTH(KY$8,-12))-1</f>
        <v/>
      </c>
      <c r="KZ85" s="1318">
        <f>SUMIFS(82:82,$8:$8,"&gt;="&amp;DATE(YEAR(KZ$8),1,1),$8:$8,"&lt;="&amp;EOMONTH(KZ$8,0))/SUMIFS(82:82,$8:$8,"&gt;="&amp;DATE(YEAR(KZ$8)-1,1,1),$8:$8,"&lt;="&amp;EOMONTH(KZ$8,-12))-1</f>
        <v/>
      </c>
      <c r="LA85" s="1318">
        <f>SUMIFS(82:82,$8:$8,"&gt;="&amp;DATE(YEAR(LA$8),1,1),$8:$8,"&lt;="&amp;EOMONTH(LA$8,0))/SUMIFS(82:82,$8:$8,"&gt;="&amp;DATE(YEAR(LA$8)-1,1,1),$8:$8,"&lt;="&amp;EOMONTH(LA$8,-12))-1</f>
        <v/>
      </c>
      <c r="LB85" s="1318">
        <f>SUMIFS(82:82,$8:$8,"&gt;="&amp;DATE(YEAR(LB$8),1,1),$8:$8,"&lt;="&amp;EOMONTH(LB$8,0))/SUMIFS(82:82,$8:$8,"&gt;="&amp;DATE(YEAR(LB$8)-1,1,1),$8:$8,"&lt;="&amp;EOMONTH(LB$8,-12))-1</f>
        <v/>
      </c>
      <c r="LC85" s="1318">
        <f>SUMIFS(82:82,$8:$8,"&gt;="&amp;DATE(YEAR(LC$8),1,1),$8:$8,"&lt;="&amp;EOMONTH(LC$8,0))/SUMIFS(82:82,$8:$8,"&gt;="&amp;DATE(YEAR(LC$8)-1,1,1),$8:$8,"&lt;="&amp;EOMONTH(LC$8,-12))-1</f>
        <v/>
      </c>
      <c r="LD85" s="1318">
        <f>SUMIFS(82:82,$8:$8,"&gt;="&amp;DATE(YEAR(LD$8),1,1),$8:$8,"&lt;="&amp;EOMONTH(LD$8,0))/SUMIFS(82:82,$8:$8,"&gt;="&amp;DATE(YEAR(LD$8)-1,1,1),$8:$8,"&lt;="&amp;EOMONTH(LD$8,-12))-1</f>
        <v/>
      </c>
      <c r="LE85" s="1318">
        <f>SUMIFS(82:82,$8:$8,"&gt;="&amp;DATE(YEAR(LE$8),1,1),$8:$8,"&lt;="&amp;EOMONTH(LE$8,0))/SUMIFS(82:82,$8:$8,"&gt;="&amp;DATE(YEAR(LE$8)-1,1,1),$8:$8,"&lt;="&amp;EOMONTH(LE$8,-12))-1</f>
        <v/>
      </c>
      <c r="LF85" s="1318">
        <f>SUMIFS(82:82,$8:$8,"&gt;="&amp;DATE(YEAR(LF$8),1,1),$8:$8,"&lt;="&amp;EOMONTH(LF$8,0))/SUMIFS(82:82,$8:$8,"&gt;="&amp;DATE(YEAR(LF$8)-1,1,1),$8:$8,"&lt;="&amp;EOMONTH(LF$8,-12))-1</f>
        <v/>
      </c>
      <c r="LG85" s="1318">
        <f>SUMIFS(82:82,$8:$8,"&gt;="&amp;DATE(YEAR(LG$8),1,1),$8:$8,"&lt;="&amp;EOMONTH(LG$8,0))/SUMIFS(82:82,$8:$8,"&gt;="&amp;DATE(YEAR(LG$8)-1,1,1),$8:$8,"&lt;="&amp;EOMONTH(LG$8,-12))-1</f>
        <v/>
      </c>
      <c r="LH85" s="1318">
        <f>SUMIFS(82:82,$8:$8,"&gt;="&amp;DATE(YEAR(LH$8),1,1),$8:$8,"&lt;="&amp;EOMONTH(LH$8,0))/SUMIFS(82:82,$8:$8,"&gt;="&amp;DATE(YEAR(LH$8)-1,1,1),$8:$8,"&lt;="&amp;EOMONTH(LH$8,-12))-1</f>
        <v/>
      </c>
      <c r="LI85" s="1318">
        <f>SUMIFS(82:82,$8:$8,"&gt;="&amp;DATE(YEAR(LI$8),1,1),$8:$8,"&lt;="&amp;EOMONTH(LI$8,0))/SUMIFS(82:82,$8:$8,"&gt;="&amp;DATE(YEAR(LI$8)-1,1,1),$8:$8,"&lt;="&amp;EOMONTH(LI$8,-12))-1</f>
        <v/>
      </c>
      <c r="LJ85" s="1318">
        <f>SUMIFS(82:82,$8:$8,"&gt;="&amp;DATE(YEAR(LJ$8),1,1),$8:$8,"&lt;="&amp;EOMONTH(LJ$8,0))/SUMIFS(82:82,$8:$8,"&gt;="&amp;DATE(YEAR(LJ$8)-1,1,1),$8:$8,"&lt;="&amp;EOMONTH(LJ$8,-12))-1</f>
        <v/>
      </c>
      <c r="LK85" s="1318">
        <f>SUMIFS(82:82,$8:$8,"&gt;="&amp;DATE(YEAR(LK$8),1,1),$8:$8,"&lt;="&amp;EOMONTH(LK$8,0))/SUMIFS(82:82,$8:$8,"&gt;="&amp;DATE(YEAR(LK$8)-1,1,1),$8:$8,"&lt;="&amp;EOMONTH(LK$8,-12))-1</f>
        <v/>
      </c>
      <c r="LL85" s="1318">
        <f>SUMIFS(82:82,$8:$8,"&gt;="&amp;DATE(YEAR(LL$8),1,1),$8:$8,"&lt;="&amp;EOMONTH(LL$8,0))/SUMIFS(82:82,$8:$8,"&gt;="&amp;DATE(YEAR(LL$8)-1,1,1),$8:$8,"&lt;="&amp;EOMONTH(LL$8,-12))-1</f>
        <v/>
      </c>
      <c r="LM85" s="1318">
        <f>SUMIFS(82:82,$8:$8,"&gt;="&amp;DATE(YEAR(LM$8),1,1),$8:$8,"&lt;="&amp;EOMONTH(LM$8,0))/SUMIFS(82:82,$8:$8,"&gt;="&amp;DATE(YEAR(LM$8)-1,1,1),$8:$8,"&lt;="&amp;EOMONTH(LM$8,-12))-1</f>
        <v/>
      </c>
      <c r="LN85" s="1318">
        <f>SUMIFS(82:82,$8:$8,"&gt;="&amp;DATE(YEAR(LN$8),1,1),$8:$8,"&lt;="&amp;EOMONTH(LN$8,0))/SUMIFS(82:82,$8:$8,"&gt;="&amp;DATE(YEAR(LN$8)-1,1,1),$8:$8,"&lt;="&amp;EOMONTH(LN$8,-12))-1</f>
        <v/>
      </c>
      <c r="LO85" s="1318">
        <f>SUMIFS(82:82,$8:$8,"&gt;="&amp;DATE(YEAR(LO$8),1,1),$8:$8,"&lt;="&amp;EOMONTH(LO$8,0))/SUMIFS(82:82,$8:$8,"&gt;="&amp;DATE(YEAR(LO$8)-1,1,1),$8:$8,"&lt;="&amp;EOMONTH(LO$8,-12))-1</f>
        <v/>
      </c>
      <c r="LP85" s="1318">
        <f>SUMIFS(82:82,$8:$8,"&gt;="&amp;DATE(YEAR(LP$8),1,1),$8:$8,"&lt;="&amp;EOMONTH(LP$8,0))/SUMIFS(82:82,$8:$8,"&gt;="&amp;DATE(YEAR(LP$8)-1,1,1),$8:$8,"&lt;="&amp;EOMONTH(LP$8,-12))-1</f>
        <v/>
      </c>
      <c r="LQ85" s="1318">
        <f>SUMIFS(82:82,$8:$8,"&gt;="&amp;DATE(YEAR(LQ$8),1,1),$8:$8,"&lt;="&amp;EOMONTH(LQ$8,0))/SUMIFS(82:82,$8:$8,"&gt;="&amp;DATE(YEAR(LQ$8)-1,1,1),$8:$8,"&lt;="&amp;EOMONTH(LQ$8,-12))-1</f>
        <v/>
      </c>
      <c r="LR85" s="1318">
        <f>SUMIFS(82:82,$8:$8,"&gt;="&amp;DATE(YEAR(LR$8),1,1),$8:$8,"&lt;="&amp;EOMONTH(LR$8,0))/SUMIFS(82:82,$8:$8,"&gt;="&amp;DATE(YEAR(LR$8)-1,1,1),$8:$8,"&lt;="&amp;EOMONTH(LR$8,-12))-1</f>
        <v/>
      </c>
      <c r="LS85" s="1318">
        <f>SUMIFS(82:82,$8:$8,"&gt;="&amp;DATE(YEAR(LS$8),1,1),$8:$8,"&lt;="&amp;EOMONTH(LS$8,0))/SUMIFS(82:82,$8:$8,"&gt;="&amp;DATE(YEAR(LS$8)-1,1,1),$8:$8,"&lt;="&amp;EOMONTH(LS$8,-12))-1</f>
        <v/>
      </c>
    </row>
    <row r="86">
      <c r="A86" s="885" t="n"/>
      <c r="B86" s="1318" t="n"/>
      <c r="C86" s="1336" t="n"/>
      <c r="D86" s="1336" t="n"/>
      <c r="E86" s="1336" t="n"/>
      <c r="F86" s="1336" t="n"/>
      <c r="G86" s="1336" t="n"/>
      <c r="H86" s="1336" t="n"/>
      <c r="I86" s="1336" t="n"/>
      <c r="J86" s="1336" t="n"/>
      <c r="K86" s="1336" t="n"/>
      <c r="L86" s="1336" t="n"/>
      <c r="M86" s="1336" t="n"/>
      <c r="N86" s="1318" t="n"/>
      <c r="O86" s="1318" t="n"/>
      <c r="P86" s="1318" t="n"/>
      <c r="Q86" s="1318" t="n"/>
      <c r="R86" s="1318" t="n"/>
      <c r="S86" s="1318" t="n"/>
      <c r="T86" s="1318" t="n"/>
      <c r="U86" s="1318" t="n"/>
      <c r="V86" s="1318" t="n"/>
      <c r="W86" s="1318" t="n"/>
      <c r="X86" s="1318" t="n"/>
      <c r="Y86" s="1318" t="n"/>
      <c r="Z86" s="1318" t="n"/>
      <c r="AA86" s="1318" t="n"/>
      <c r="AB86" s="1318" t="n"/>
      <c r="AC86" s="1318" t="n"/>
      <c r="AD86" s="1318" t="n"/>
      <c r="AE86" s="1318" t="n"/>
      <c r="AF86" s="1318" t="n"/>
      <c r="AG86" s="1318" t="n"/>
      <c r="AH86" s="1318" t="n"/>
      <c r="AI86" s="1318" t="n"/>
      <c r="AJ86" s="1318" t="n"/>
      <c r="AK86" s="1318" t="n"/>
      <c r="AL86" s="1318" t="n"/>
      <c r="AM86" s="1318" t="n"/>
      <c r="AN86" s="1318" t="n"/>
      <c r="AO86" s="1318" t="n"/>
      <c r="AP86" s="1318" t="n"/>
      <c r="AQ86" s="1318" t="n"/>
      <c r="AR86" s="1318" t="n"/>
      <c r="AS86" s="1318" t="n"/>
      <c r="AT86" s="1318" t="n"/>
      <c r="AU86" s="1318" t="n"/>
      <c r="AV86" s="1318" t="n"/>
      <c r="AW86" s="1318" t="n"/>
      <c r="AX86" s="1318" t="n"/>
      <c r="AY86" s="1318" t="n"/>
      <c r="AZ86" s="1318" t="n"/>
      <c r="BA86" s="1318" t="n"/>
      <c r="BB86" s="1318" t="n"/>
      <c r="BC86" s="1318" t="n"/>
      <c r="BD86" s="1318" t="n"/>
      <c r="BE86" s="1318" t="n"/>
      <c r="BF86" s="1318" t="n"/>
      <c r="BG86" s="1318" t="n"/>
      <c r="BH86" s="1318" t="n"/>
      <c r="BI86" s="1318" t="n"/>
      <c r="BJ86" s="1318" t="n"/>
      <c r="BK86" s="1318" t="n"/>
      <c r="BL86" s="1318" t="n"/>
      <c r="BM86" s="1318" t="n"/>
      <c r="BN86" s="1318" t="n"/>
      <c r="BO86" s="1318" t="n"/>
      <c r="BP86" s="1318" t="n"/>
      <c r="BQ86" s="1318" t="n"/>
      <c r="BR86" s="1318" t="n"/>
      <c r="BS86" s="1318" t="n"/>
      <c r="BT86" s="1318" t="n"/>
      <c r="BU86" s="1318" t="n"/>
      <c r="BV86" s="1318" t="n"/>
      <c r="BW86" s="1318" t="n"/>
      <c r="BX86" s="1318" t="n"/>
      <c r="BY86" s="1318" t="n"/>
      <c r="BZ86" s="1318" t="n"/>
      <c r="CA86" s="1318" t="n"/>
      <c r="CB86" s="1318" t="n"/>
      <c r="CC86" s="1318" t="n"/>
      <c r="CD86" s="1318" t="n"/>
      <c r="CE86" s="1318" t="n"/>
      <c r="CF86" s="1318" t="n"/>
      <c r="CG86" s="1318" t="n"/>
      <c r="CH86" s="1318" t="n"/>
      <c r="CI86" s="1318" t="n"/>
      <c r="CJ86" s="1318" t="n"/>
      <c r="CK86" s="1318" t="n"/>
      <c r="CL86" s="1318" t="n"/>
      <c r="CM86" s="1318" t="n"/>
      <c r="CN86" s="1318" t="n"/>
      <c r="CO86" s="1318" t="n"/>
      <c r="CP86" s="1318" t="n"/>
      <c r="CQ86" s="1318" t="n"/>
      <c r="CR86" s="1318" t="n"/>
      <c r="CS86" s="1318" t="n"/>
      <c r="CT86" s="1318" t="n"/>
      <c r="CU86" s="1318" t="n"/>
      <c r="CV86" s="1318" t="n"/>
      <c r="CW86" s="1318" t="n"/>
      <c r="CX86" s="1318" t="n"/>
      <c r="CY86" s="1318" t="n"/>
      <c r="CZ86" s="1318" t="n"/>
      <c r="DA86" s="1318" t="n"/>
      <c r="DB86" s="1318" t="n"/>
      <c r="DC86" s="1318" t="n"/>
      <c r="DD86" s="1318" t="n"/>
      <c r="DE86" s="1318" t="n"/>
      <c r="DF86" s="1318" t="n"/>
      <c r="DG86" s="1318" t="n"/>
      <c r="DH86" s="1318" t="n"/>
      <c r="DI86" s="1318" t="n"/>
      <c r="DJ86" s="1318" t="n"/>
      <c r="DK86" s="1318" t="n"/>
      <c r="DL86" s="1318" t="n"/>
      <c r="DM86" s="1318" t="n"/>
      <c r="DN86" s="1318" t="n"/>
      <c r="DO86" s="1318" t="n"/>
      <c r="DP86" s="1318" t="n"/>
      <c r="DQ86" s="1318" t="n"/>
      <c r="DR86" s="1318" t="n"/>
      <c r="DS86" s="1318" t="n"/>
      <c r="DT86" s="1318" t="n"/>
      <c r="DU86" s="1318" t="n"/>
      <c r="DV86" s="1318" t="n"/>
      <c r="DW86" s="1318" t="n"/>
      <c r="DX86" s="1318" t="n"/>
      <c r="DY86" s="1318" t="n"/>
      <c r="DZ86" s="1318" t="n"/>
      <c r="EA86" s="1318" t="n"/>
      <c r="EB86" s="1318" t="n"/>
      <c r="EC86" s="1318" t="n"/>
      <c r="ED86" s="1318" t="n"/>
      <c r="EE86" s="1318" t="n"/>
      <c r="EF86" s="1318" t="n"/>
      <c r="EG86" s="1318" t="n"/>
      <c r="EH86" s="1318" t="n"/>
      <c r="EI86" s="1318" t="n"/>
      <c r="EJ86" s="1318" t="n"/>
      <c r="EK86" s="1318" t="n"/>
      <c r="EL86" s="1318" t="n"/>
      <c r="EM86" s="1318" t="n"/>
      <c r="EN86" s="1318" t="n"/>
      <c r="EO86" s="1318" t="n"/>
      <c r="EP86" s="1318" t="n"/>
      <c r="EQ86" s="1318" t="n"/>
      <c r="ER86" s="1318" t="n"/>
      <c r="ES86" s="1318" t="n"/>
      <c r="ET86" s="1318" t="n"/>
      <c r="EU86" s="1318" t="n"/>
      <c r="EV86" s="1318" t="n"/>
      <c r="EW86" s="1318" t="n"/>
      <c r="EX86" s="1318" t="n"/>
      <c r="EY86" s="1318" t="n"/>
      <c r="EZ86" s="1318" t="n"/>
      <c r="FA86" s="1318" t="n"/>
      <c r="FB86" s="1318" t="n"/>
      <c r="FC86" s="1318" t="n"/>
      <c r="FD86" s="1318" t="n"/>
      <c r="FE86" s="1318" t="n"/>
      <c r="FF86" s="1318" t="n"/>
      <c r="FG86" s="1318" t="n"/>
      <c r="FH86" s="1318" t="n"/>
      <c r="FI86" s="1318" t="n"/>
      <c r="FJ86" s="1318" t="n"/>
      <c r="FK86" s="1318" t="n"/>
      <c r="FL86" s="1318" t="n"/>
      <c r="FM86" s="1318" t="n"/>
      <c r="FN86" s="1318" t="n"/>
      <c r="FO86" s="1318" t="n"/>
      <c r="FP86" s="1318" t="n"/>
      <c r="FQ86" s="1318" t="n"/>
      <c r="FR86" s="1318" t="n"/>
      <c r="FS86" s="1318" t="n"/>
      <c r="FT86" s="1318" t="n"/>
      <c r="FU86" s="1318" t="n"/>
      <c r="FV86" s="1318" t="n"/>
      <c r="FW86" s="1318" t="n"/>
      <c r="FX86" s="1318" t="n"/>
      <c r="FY86" s="1318" t="n"/>
      <c r="FZ86" s="1318" t="n"/>
      <c r="GA86" s="1318" t="n"/>
      <c r="GB86" s="1318" t="n"/>
      <c r="GC86" s="1318" t="n"/>
      <c r="GD86" s="1318" t="n"/>
      <c r="GE86" s="1318" t="n"/>
      <c r="GF86" s="1318" t="n"/>
      <c r="GG86" s="1318" t="n"/>
      <c r="GH86" s="1318" t="n"/>
      <c r="GI86" s="904" t="n"/>
      <c r="GJ86" s="904" t="n"/>
      <c r="GK86" s="1318" t="n"/>
      <c r="GL86" s="904" t="n"/>
      <c r="GM86" s="904" t="n"/>
      <c r="GN86" s="904" t="n"/>
      <c r="GO86" s="904" t="n"/>
      <c r="GP86" s="904" t="n"/>
      <c r="GQ86" s="904" t="n"/>
      <c r="GR86" s="904" t="n"/>
      <c r="GS86" s="904" t="n"/>
      <c r="GT86" s="904" t="n"/>
      <c r="GU86" s="904" t="n"/>
      <c r="GV86" s="904" t="n"/>
      <c r="GW86" s="1318" t="n"/>
      <c r="GX86" s="904" t="n"/>
      <c r="GY86" s="904" t="n"/>
      <c r="GZ86" s="904" t="n"/>
      <c r="HA86" s="904" t="n"/>
      <c r="HB86" s="904" t="n"/>
      <c r="HC86" s="904" t="n"/>
      <c r="HD86" s="904" t="n"/>
      <c r="HE86" s="904" t="n"/>
      <c r="HF86" s="904" t="n"/>
      <c r="HG86" s="904" t="n"/>
      <c r="HH86" s="904" t="n"/>
      <c r="HI86" s="904" t="n"/>
      <c r="HJ86" s="904" t="n"/>
      <c r="HK86" s="904" t="n"/>
      <c r="HL86" s="904" t="n"/>
      <c r="HM86" s="904" t="n"/>
      <c r="HN86" s="904" t="n"/>
      <c r="HO86" s="904" t="n"/>
      <c r="HP86" s="904" t="n"/>
      <c r="HQ86" s="904" t="n"/>
      <c r="HR86" s="904" t="n"/>
      <c r="HS86" s="904" t="n"/>
      <c r="HT86" s="904" t="n"/>
      <c r="HU86" s="904" t="n"/>
      <c r="HV86" s="904" t="n"/>
      <c r="HW86" s="904" t="n"/>
      <c r="HX86" s="904" t="n"/>
      <c r="HY86" s="904" t="n"/>
      <c r="HZ86" s="904" t="n"/>
      <c r="IA86" s="904" t="n"/>
      <c r="IB86" s="904" t="n"/>
      <c r="IC86" s="904" t="n"/>
      <c r="ID86" s="904" t="n"/>
      <c r="IE86" s="904" t="n"/>
      <c r="IF86" s="904" t="n"/>
      <c r="IG86" s="904" t="n"/>
      <c r="IH86" s="904" t="n"/>
      <c r="II86" s="904" t="n"/>
      <c r="IJ86" s="904" t="n"/>
      <c r="IK86" s="904" t="n"/>
      <c r="IL86" s="904" t="n"/>
      <c r="IM86" s="904" t="n"/>
      <c r="IN86" s="904" t="n"/>
      <c r="IO86" s="904" t="n"/>
      <c r="IP86" s="904" t="n"/>
      <c r="IQ86" s="904" t="n"/>
      <c r="IR86" s="904" t="n"/>
      <c r="IS86" s="904" t="n"/>
      <c r="IT86" s="904" t="n"/>
      <c r="IU86" s="904" t="n"/>
      <c r="IV86" s="904" t="n"/>
      <c r="IW86" s="904" t="n"/>
      <c r="IX86" s="904" t="n"/>
      <c r="IY86" s="904" t="n"/>
      <c r="IZ86" s="904" t="n"/>
      <c r="JA86" s="904" t="n"/>
      <c r="JB86" s="904" t="n"/>
      <c r="JC86" s="904" t="n"/>
      <c r="JD86" s="904" t="n"/>
      <c r="JE86" s="904" t="n"/>
      <c r="JF86" s="904" t="n"/>
      <c r="JG86" s="904" t="n"/>
      <c r="JH86" s="904" t="n"/>
      <c r="JI86" s="904" t="n"/>
      <c r="JJ86" s="904" t="n"/>
      <c r="JK86" s="904" t="n"/>
      <c r="JL86" s="904" t="n"/>
      <c r="JM86" s="904" t="n"/>
      <c r="JN86" s="904" t="n"/>
      <c r="JO86" s="904" t="n"/>
      <c r="JP86" s="904" t="n"/>
      <c r="JQ86" s="904" t="n"/>
      <c r="JR86" s="904" t="n"/>
      <c r="JS86" s="904" t="n"/>
      <c r="JT86" s="904" t="n"/>
      <c r="JU86" s="904" t="n"/>
      <c r="JV86" s="904" t="n"/>
      <c r="JW86" s="904" t="n"/>
      <c r="JX86" s="904" t="n"/>
      <c r="JY86" s="904" t="n"/>
      <c r="JZ86" s="904" t="n"/>
      <c r="KA86" s="904" t="n"/>
      <c r="KB86" s="904" t="n"/>
      <c r="KC86" s="904" t="n"/>
      <c r="KD86" s="904" t="n"/>
      <c r="KE86" s="904" t="n"/>
      <c r="KF86" s="904" t="n"/>
      <c r="KG86" s="904" t="n"/>
      <c r="KH86" s="904" t="n"/>
      <c r="KI86" s="904" t="n"/>
      <c r="KJ86" s="904" t="n"/>
      <c r="KK86" s="904" t="n"/>
      <c r="KL86" s="904" t="n"/>
      <c r="KM86" s="904" t="n"/>
      <c r="KN86" s="904" t="n"/>
      <c r="KO86" s="904" t="n"/>
      <c r="KP86" s="904" t="n"/>
      <c r="KQ86" s="904" t="n"/>
      <c r="KR86" s="904" t="n"/>
      <c r="KS86" s="904" t="n"/>
      <c r="KT86" s="904" t="n"/>
      <c r="KU86" s="904" t="n"/>
      <c r="KV86" s="904" t="n"/>
      <c r="KW86" s="904" t="n"/>
      <c r="KX86" s="904" t="n"/>
      <c r="KY86" s="904" t="n"/>
      <c r="KZ86" s="904" t="n"/>
      <c r="LA86" s="904" t="n"/>
      <c r="LB86" s="904" t="n"/>
      <c r="LC86" s="904" t="n"/>
      <c r="LD86" s="904" t="n"/>
      <c r="LE86" s="904" t="n"/>
      <c r="LF86" s="904" t="n"/>
      <c r="LG86" s="904" t="n"/>
      <c r="LH86" s="904" t="n"/>
      <c r="LI86" s="904" t="n"/>
      <c r="LJ86" s="904" t="n"/>
      <c r="LK86" s="904" t="n"/>
      <c r="LL86" s="904" t="n"/>
      <c r="LM86" s="904" t="n"/>
      <c r="LN86" s="904" t="n"/>
      <c r="LO86" s="904" t="n"/>
      <c r="LP86" s="904" t="n"/>
      <c r="LQ86" s="904" t="n"/>
      <c r="LR86" s="904" t="n"/>
      <c r="LS86" s="904" t="n"/>
    </row>
    <row r="87" ht="15" customHeight="1" s="239">
      <c r="A87" s="1315" t="inlineStr">
        <is>
          <t>Cargo Tonnes (000)</t>
        </is>
      </c>
      <c r="B87" s="1315" t="n">
        <v>265.905</v>
      </c>
      <c r="C87" s="1315" t="n">
        <v>269.637</v>
      </c>
      <c r="D87" s="1315" t="n">
        <v>329.0129610502794</v>
      </c>
      <c r="E87" s="1315" t="n">
        <v>296.041</v>
      </c>
      <c r="F87" s="1315" t="n">
        <v>299.286</v>
      </c>
      <c r="G87" s="1315" t="n">
        <v>266.391</v>
      </c>
      <c r="H87" s="1315" t="n">
        <v>329.164</v>
      </c>
      <c r="I87" s="1315" t="n">
        <v>308.7</v>
      </c>
      <c r="J87" s="1315" t="n">
        <v>336.11</v>
      </c>
      <c r="K87" s="1315" t="n">
        <v>381.529</v>
      </c>
      <c r="L87" s="1315" t="n">
        <v>369.4631294964029</v>
      </c>
      <c r="M87" s="1315" t="n">
        <v>350.2816764132554</v>
      </c>
      <c r="N87" s="1315" t="n">
        <v>278.196</v>
      </c>
      <c r="O87" s="1315" t="n">
        <v>274.71</v>
      </c>
      <c r="P87" s="1315" t="n">
        <v>364.448</v>
      </c>
      <c r="Q87" s="1315" t="n">
        <v>329.627</v>
      </c>
      <c r="R87" s="1315" t="n">
        <v>320.147</v>
      </c>
      <c r="S87" s="1315" t="n">
        <v>331.785</v>
      </c>
      <c r="T87" s="1315" t="n">
        <v>350.54</v>
      </c>
      <c r="U87" s="1315" t="n">
        <v>343.203</v>
      </c>
      <c r="V87" s="1315" t="n">
        <v>379.234</v>
      </c>
      <c r="W87" s="1316" t="n">
        <v>419.195</v>
      </c>
      <c r="X87" s="1316" t="n">
        <v>410.843</v>
      </c>
      <c r="Y87" s="1316" t="n">
        <v>359.389</v>
      </c>
      <c r="Z87" s="1316" t="n">
        <v>267.273</v>
      </c>
      <c r="AA87" s="1316" t="n">
        <v>292.707</v>
      </c>
      <c r="AB87" s="1316" t="n">
        <v>361.143</v>
      </c>
      <c r="AC87" s="1316" t="n">
        <v>303.301</v>
      </c>
      <c r="AD87" s="1316" t="n">
        <v>300.53</v>
      </c>
      <c r="AE87" s="1316" t="n">
        <v>331.19</v>
      </c>
      <c r="AF87" s="1316" t="n">
        <v>291.621</v>
      </c>
      <c r="AG87" s="1316" t="n">
        <v>309.722</v>
      </c>
      <c r="AH87" s="1316" t="n">
        <v>421.6278379414355</v>
      </c>
      <c r="AI87" s="1316" t="n">
        <v>461.8917122979013</v>
      </c>
      <c r="AJ87" s="1316" t="n">
        <v>384.114</v>
      </c>
      <c r="AK87" s="1316" t="n">
        <v>434.5</v>
      </c>
      <c r="AL87" s="1316" t="n">
        <v>359.82</v>
      </c>
      <c r="AM87" s="1316" t="n">
        <v>345.9212898678211</v>
      </c>
      <c r="AN87" s="1316" t="n">
        <v>454.6405547895744</v>
      </c>
      <c r="AO87" s="1316" t="n">
        <v>387.6121234187334</v>
      </c>
      <c r="AP87" s="1316" t="n">
        <v>405.6758278438049</v>
      </c>
      <c r="AQ87" s="1316" t="n">
        <v>432.9116684841875</v>
      </c>
      <c r="AR87" s="1316" t="n">
        <v>425.914</v>
      </c>
      <c r="AS87" s="1316" t="n">
        <v>443.636</v>
      </c>
      <c r="AT87" s="1316" t="n">
        <v>459.159</v>
      </c>
      <c r="AU87" s="1316" t="n">
        <v>516.404</v>
      </c>
      <c r="AV87" s="1316" t="n">
        <v>506.72</v>
      </c>
      <c r="AW87" s="1316" t="n">
        <v>438.852</v>
      </c>
      <c r="AX87" s="1316" t="n">
        <v>391.075</v>
      </c>
      <c r="AY87" s="1316" t="n">
        <v>359.854</v>
      </c>
      <c r="AZ87" s="1316" t="n">
        <v>486.257</v>
      </c>
      <c r="BA87" s="1316" t="n">
        <v>408.287</v>
      </c>
      <c r="BB87" s="1316" t="n">
        <v>402.138</v>
      </c>
      <c r="BC87" s="1316" t="n">
        <v>396.98</v>
      </c>
      <c r="BD87" s="1316" t="n">
        <v>409.023</v>
      </c>
      <c r="BE87" s="1316" t="n">
        <v>431.026</v>
      </c>
      <c r="BF87" s="1316" t="n">
        <v>454.564</v>
      </c>
      <c r="BG87" s="1316" t="n">
        <v>529.419</v>
      </c>
      <c r="BH87" s="1316" t="n">
        <v>537.683</v>
      </c>
      <c r="BI87" s="1316" t="n">
        <v>492.655</v>
      </c>
      <c r="BJ87" s="1316" t="n">
        <v>409.247</v>
      </c>
      <c r="BK87" s="1316" t="n">
        <v>450.308</v>
      </c>
      <c r="BL87" s="1316" t="n">
        <v>548.198</v>
      </c>
      <c r="BM87" s="1316" t="n">
        <v>468.485</v>
      </c>
      <c r="BN87" s="1316" t="n">
        <v>499.456</v>
      </c>
      <c r="BO87" s="1316" t="n">
        <v>467.016</v>
      </c>
      <c r="BP87" s="1316" t="n">
        <v>508.178</v>
      </c>
      <c r="BQ87" s="1316" t="n">
        <v>484.643</v>
      </c>
      <c r="BR87" s="1316" t="n">
        <v>516.564</v>
      </c>
      <c r="BS87" s="1316" t="n">
        <v>569.938</v>
      </c>
      <c r="BT87" s="1316" t="n">
        <v>555.494</v>
      </c>
      <c r="BU87" s="1316" t="n">
        <v>529.931</v>
      </c>
      <c r="BV87" s="1316" t="n">
        <v>462.804</v>
      </c>
      <c r="BW87" s="1316" t="n">
        <v>448.9140000000001</v>
      </c>
      <c r="BX87" s="1316" t="n">
        <v>573.0309999999999</v>
      </c>
      <c r="BY87" s="1316" t="n">
        <v>546.633</v>
      </c>
      <c r="BZ87" s="1316" t="n">
        <v>535.366</v>
      </c>
      <c r="CA87" s="1316" t="n">
        <v>520.147</v>
      </c>
      <c r="CB87" s="1316" t="n">
        <v>568.728</v>
      </c>
      <c r="CC87" s="1316" t="n">
        <v>550.524</v>
      </c>
      <c r="CD87" s="1316" t="n">
        <v>580.991</v>
      </c>
      <c r="CE87" s="1316" t="n">
        <v>613.547</v>
      </c>
      <c r="CF87" s="1316" t="n">
        <v>594.832</v>
      </c>
      <c r="CG87" s="1316" t="n">
        <v>623.457</v>
      </c>
      <c r="CH87" s="1316" t="n">
        <v>536.789</v>
      </c>
      <c r="CI87" s="1316" t="n">
        <v>502.768</v>
      </c>
      <c r="CJ87" s="1316" t="n">
        <v>618.092</v>
      </c>
      <c r="CK87" s="1316" t="n">
        <v>562</v>
      </c>
      <c r="CL87" s="1316" t="n">
        <v>566.6</v>
      </c>
      <c r="CM87" s="1316" t="n">
        <v>568.59</v>
      </c>
      <c r="CN87" s="1316" t="n">
        <v>581.093</v>
      </c>
      <c r="CO87" s="1316" t="n">
        <v>567.175</v>
      </c>
      <c r="CP87" s="1316" t="n">
        <v>637.918</v>
      </c>
      <c r="CQ87" s="1316" t="n">
        <v>653.758</v>
      </c>
      <c r="CR87" s="1316" t="n">
        <v>658</v>
      </c>
      <c r="CS87" s="1316" t="n">
        <v>646.001</v>
      </c>
      <c r="CT87" s="1316" t="n"/>
      <c r="CU87" s="1316" t="n"/>
      <c r="CV87" s="1316" t="n"/>
      <c r="CW87" s="1316" t="n"/>
      <c r="CX87" s="1316" t="n"/>
      <c r="CY87" s="1316" t="n"/>
      <c r="CZ87" s="1316" t="n"/>
      <c r="DA87" s="1316" t="n"/>
      <c r="DB87" s="1316" t="n"/>
      <c r="DC87" s="1316" t="n"/>
      <c r="DD87" s="1316" t="n"/>
      <c r="DE87" s="1316" t="n"/>
      <c r="DF87" s="1316" t="n"/>
      <c r="DG87" s="1316" t="n"/>
      <c r="DH87" s="1316" t="n"/>
      <c r="DI87" s="1316" t="n"/>
      <c r="DJ87" s="1316" t="n"/>
      <c r="DK87" s="1316" t="n"/>
      <c r="DL87" s="1316" t="n"/>
      <c r="DM87" s="1316" t="n"/>
      <c r="DN87" s="1316" t="n"/>
      <c r="DO87" s="880" t="n"/>
      <c r="DP87" s="1316" t="n"/>
      <c r="DQ87" s="1316" t="n"/>
      <c r="DR87" s="1316" t="n"/>
      <c r="DS87" s="1316" t="n"/>
      <c r="DT87" s="1316" t="n"/>
      <c r="DU87" s="1316" t="n"/>
      <c r="DV87" s="1316" t="n"/>
      <c r="DW87" s="1316" t="n"/>
      <c r="DX87" s="1316" t="n"/>
      <c r="DY87" s="1316" t="n"/>
      <c r="DZ87" s="881" t="n"/>
      <c r="EA87" s="881" t="n"/>
      <c r="EB87" s="881" t="n"/>
      <c r="EC87" s="881" t="n"/>
      <c r="ED87" s="881" t="n"/>
      <c r="EE87" s="881" t="n"/>
      <c r="EF87" s="881" t="n"/>
      <c r="EG87" s="881" t="n"/>
      <c r="EH87" s="881" t="n"/>
      <c r="EI87" s="881" t="n"/>
      <c r="EJ87" s="881" t="n"/>
      <c r="EK87" s="881" t="n"/>
      <c r="EL87" s="881" t="n"/>
      <c r="EM87" s="881" t="n"/>
      <c r="EN87" s="881" t="n"/>
      <c r="EO87" s="881" t="n"/>
      <c r="EP87" s="881" t="n"/>
      <c r="EQ87" s="881" t="n"/>
      <c r="ER87" s="881" t="n"/>
      <c r="ES87" s="881" t="n"/>
      <c r="ET87" s="881" t="n"/>
      <c r="EU87" s="881" t="n"/>
      <c r="EV87" s="881" t="n"/>
      <c r="EW87" s="881" t="n"/>
      <c r="EX87" s="881" t="n"/>
      <c r="EY87" s="881" t="n"/>
      <c r="EZ87" s="881" t="n"/>
      <c r="FA87" s="881" t="n"/>
      <c r="FB87" s="881" t="n"/>
      <c r="FC87" s="881" t="n"/>
      <c r="FD87" s="881" t="n"/>
      <c r="FE87" s="881" t="n"/>
      <c r="FF87" s="881" t="n"/>
      <c r="FG87" s="881" t="n"/>
      <c r="FH87" s="881" t="n"/>
      <c r="FI87" s="881" t="n"/>
      <c r="FJ87" s="881" t="n"/>
      <c r="FK87" s="881" t="n"/>
      <c r="FL87" s="881" t="n"/>
      <c r="FM87" s="881" t="n"/>
      <c r="FN87" s="881" t="n"/>
      <c r="FO87" s="881" t="n"/>
      <c r="FP87" s="881" t="n"/>
      <c r="FQ87" s="881" t="n"/>
      <c r="FR87" s="881" t="n"/>
      <c r="FS87" s="881" t="n"/>
      <c r="FT87" s="881" t="n"/>
      <c r="FU87" s="881" t="n"/>
      <c r="FV87" s="881" t="n"/>
      <c r="FW87" s="881" t="n"/>
      <c r="FX87" s="881" t="n"/>
      <c r="FY87" s="881" t="n"/>
      <c r="FZ87" s="881" t="n"/>
      <c r="GA87" s="881" t="n"/>
      <c r="GB87" s="881" t="n"/>
      <c r="GC87" s="881" t="n"/>
      <c r="GD87" s="881" t="n"/>
      <c r="GE87" s="881" t="n">
        <v>140.444</v>
      </c>
      <c r="GF87" s="881" t="n">
        <v>146.745</v>
      </c>
      <c r="GG87" s="881" t="n">
        <v>146.955</v>
      </c>
      <c r="GH87" s="881" t="n">
        <v>147.307</v>
      </c>
      <c r="GI87" s="881" t="n">
        <v>156.59</v>
      </c>
      <c r="GJ87" s="881" t="n">
        <v>165.102</v>
      </c>
      <c r="GK87" s="881" t="n">
        <v>156.603</v>
      </c>
      <c r="GL87" s="881" t="n">
        <v>147.275</v>
      </c>
      <c r="GM87" s="881" t="n">
        <v>130.467</v>
      </c>
      <c r="GN87" s="881" t="n">
        <v>157.688</v>
      </c>
      <c r="GO87" s="881" t="n">
        <v>144.579</v>
      </c>
      <c r="GP87" s="881" t="n">
        <v>147.034</v>
      </c>
      <c r="GQ87" s="881" t="n">
        <v>141.136</v>
      </c>
      <c r="GR87" s="881" t="n">
        <v>147.545</v>
      </c>
      <c r="GS87" s="881" t="n">
        <v>148.109</v>
      </c>
      <c r="GT87" s="881" t="n">
        <v>151.358</v>
      </c>
      <c r="GU87" s="881" t="n">
        <v>163.733</v>
      </c>
      <c r="GV87" s="881" t="n">
        <v>160.12</v>
      </c>
      <c r="GW87" s="881" t="n">
        <v>158.741</v>
      </c>
      <c r="GX87" s="881" t="n">
        <v>147.69</v>
      </c>
      <c r="GY87" s="881" t="n">
        <v>117.299</v>
      </c>
      <c r="GZ87" s="881" t="n">
        <v>157.006</v>
      </c>
      <c r="HA87" s="881" t="n">
        <v>147.643</v>
      </c>
      <c r="HB87" s="881" t="n">
        <v>145.102</v>
      </c>
      <c r="HC87" s="881" t="n">
        <v>151.13</v>
      </c>
      <c r="HD87" s="881" t="n">
        <v>158.022</v>
      </c>
      <c r="HE87" s="881" t="n">
        <v>153.733</v>
      </c>
      <c r="HF87" s="881" t="n">
        <v>162.116</v>
      </c>
      <c r="HG87" s="881" t="n">
        <v>172.385</v>
      </c>
      <c r="HH87" s="881" t="n">
        <v>167.52</v>
      </c>
      <c r="HI87" s="881" t="n">
        <v>174.415</v>
      </c>
      <c r="HJ87" s="881" t="n">
        <v>151.133</v>
      </c>
      <c r="HK87" s="881" t="n">
        <v>137.674</v>
      </c>
      <c r="HL87" s="881" t="n">
        <v>181.189</v>
      </c>
      <c r="HM87" s="881" t="n">
        <v>163.473</v>
      </c>
      <c r="HN87" s="881" t="n">
        <v>161.743</v>
      </c>
      <c r="HO87" s="881" t="n">
        <v>170.476</v>
      </c>
      <c r="HP87" s="881" t="n">
        <v>179.691</v>
      </c>
      <c r="HQ87" s="881" t="n">
        <v>172.253</v>
      </c>
      <c r="HR87" s="881" t="n">
        <v>177.691</v>
      </c>
      <c r="HS87" s="881" t="n">
        <v>180.706</v>
      </c>
      <c r="HT87" s="881" t="n">
        <v>180.706</v>
      </c>
      <c r="HU87" s="881" t="n">
        <v>192.19</v>
      </c>
      <c r="HV87" s="881" t="n">
        <v>172.622</v>
      </c>
      <c r="HW87" s="881" t="n">
        <v>145.8</v>
      </c>
      <c r="HX87" s="881" t="n">
        <v>189.911</v>
      </c>
      <c r="HY87" s="881" t="n">
        <v>174.489</v>
      </c>
      <c r="HZ87" s="881" t="n">
        <v>175.074</v>
      </c>
      <c r="IA87" s="881" t="n">
        <v>180.354</v>
      </c>
      <c r="IB87" s="881" t="n">
        <v>184.935</v>
      </c>
      <c r="IC87" s="881" t="n">
        <v>187.644</v>
      </c>
      <c r="ID87" s="881" t="n">
        <v>180.623</v>
      </c>
      <c r="IE87" s="881" t="n">
        <v>192.522</v>
      </c>
      <c r="IF87" s="881" t="n">
        <v>185.135</v>
      </c>
      <c r="IG87" s="881" t="n">
        <v>182.863</v>
      </c>
      <c r="IH87" s="881" t="n">
        <v>166.735</v>
      </c>
      <c r="II87" s="881" t="n">
        <v>131.32</v>
      </c>
      <c r="IJ87" s="881" t="n">
        <v>185.156</v>
      </c>
      <c r="IK87" s="881" t="n">
        <v>163.694</v>
      </c>
      <c r="IL87" s="881" t="n">
        <v>168.27</v>
      </c>
      <c r="IM87" s="881" t="n">
        <v>163.977</v>
      </c>
      <c r="IN87" s="881" t="n">
        <v>169.72</v>
      </c>
      <c r="IO87" s="881" t="n">
        <v>161.394</v>
      </c>
      <c r="IP87" s="881" t="n">
        <v>172.637</v>
      </c>
      <c r="IQ87" s="881" t="n">
        <v>183.119</v>
      </c>
      <c r="IR87" s="881" t="n">
        <v>177.964</v>
      </c>
      <c r="IS87" s="881" t="n">
        <v>177.561</v>
      </c>
      <c r="IT87" s="881" t="n">
        <v>151.964</v>
      </c>
      <c r="IU87" s="881" t="n">
        <v>118.711</v>
      </c>
      <c r="IV87" s="881" t="n">
        <v>119.277</v>
      </c>
      <c r="IW87" s="881" t="n">
        <v>84.634</v>
      </c>
      <c r="IX87" s="881" t="n">
        <v>98.70999999999999</v>
      </c>
      <c r="IY87" s="881" t="n">
        <v>93.22799999999999</v>
      </c>
      <c r="IZ87" s="881" t="n">
        <v>102.129</v>
      </c>
      <c r="JA87" s="881" t="n">
        <v>102.122</v>
      </c>
      <c r="JB87" s="881" t="n">
        <v>109.453</v>
      </c>
      <c r="JC87" s="881" t="n">
        <v>114.346</v>
      </c>
      <c r="JD87" s="881" t="n">
        <v>116.853</v>
      </c>
      <c r="JE87" s="881" t="n">
        <v>120.218</v>
      </c>
      <c r="JF87" s="881" t="n">
        <v>108.93</v>
      </c>
      <c r="JG87" s="881" t="n">
        <v>82.297</v>
      </c>
      <c r="JH87" s="881" t="n">
        <v>83.32899999999999</v>
      </c>
      <c r="JI87" s="881" t="n">
        <v>73.113</v>
      </c>
      <c r="JJ87" s="881" t="n">
        <v>92.39400000000001</v>
      </c>
      <c r="JK87" s="881" t="n">
        <v>109.423</v>
      </c>
      <c r="JL87" s="881" t="n">
        <v>121.6</v>
      </c>
      <c r="JM87" s="881" t="n">
        <v>124.278</v>
      </c>
      <c r="JN87" s="881" t="n">
        <v>130.997</v>
      </c>
      <c r="JO87" s="881" t="n">
        <v>136.949</v>
      </c>
      <c r="JP87" s="881" t="n">
        <v>135.35</v>
      </c>
      <c r="JQ87" s="881" t="n">
        <v>134.691</v>
      </c>
      <c r="JR87" s="881" t="n">
        <v>74.242</v>
      </c>
      <c r="JS87" s="881" t="n">
        <v>65.126</v>
      </c>
      <c r="JT87" s="881" t="n">
        <v>97.166</v>
      </c>
      <c r="JU87" s="881" t="n">
        <v>92.361</v>
      </c>
      <c r="JV87" s="881" t="n">
        <v>92.426</v>
      </c>
      <c r="JW87" s="881" t="n">
        <v>104.559</v>
      </c>
      <c r="JX87" s="881" t="n">
        <v>100.714</v>
      </c>
      <c r="JY87" s="881" t="n">
        <v>104.851</v>
      </c>
      <c r="JZ87" s="881" t="n">
        <v>104.055</v>
      </c>
      <c r="KA87" s="881" t="n">
        <v>109.425</v>
      </c>
      <c r="KB87" s="881" t="n">
        <v>103.092</v>
      </c>
      <c r="KC87" s="881" t="n">
        <v>106.471</v>
      </c>
      <c r="KD87" s="881" t="n">
        <v>95.139</v>
      </c>
      <c r="KE87" s="881" t="n">
        <v>103.932</v>
      </c>
      <c r="KF87" s="881" t="n">
        <v>121.776</v>
      </c>
      <c r="KG87" s="881" t="n">
        <v>109.372</v>
      </c>
      <c r="KH87" s="881" t="n">
        <v>109.834</v>
      </c>
      <c r="KI87" s="881" t="n">
        <v>111.21</v>
      </c>
      <c r="KJ87" s="881" t="n">
        <v>115.729</v>
      </c>
      <c r="KK87" s="881" t="n">
        <v>116.919</v>
      </c>
      <c r="KL87" s="881" t="n">
        <v>119.963</v>
      </c>
      <c r="KM87" s="881" t="n">
        <v>124.469</v>
      </c>
      <c r="KN87" s="881" t="n">
        <v>123.97</v>
      </c>
      <c r="KO87" s="881" t="n">
        <v>128.546</v>
      </c>
      <c r="KP87" s="881" t="n">
        <v>114.79</v>
      </c>
      <c r="KQ87" s="881" t="n">
        <v>107.039</v>
      </c>
      <c r="KR87" s="881" t="n">
        <v>134.551</v>
      </c>
      <c r="KS87" s="881" t="n">
        <v>117.428</v>
      </c>
      <c r="KT87" s="881" t="n">
        <v>121.088</v>
      </c>
      <c r="KU87" s="881" t="n">
        <v>124.568</v>
      </c>
      <c r="KV87" s="881" t="n">
        <v>126.797</v>
      </c>
      <c r="KW87" s="881" t="n">
        <v>124.236</v>
      </c>
      <c r="KX87" s="881" t="n">
        <v>133.079</v>
      </c>
      <c r="KY87" s="881" t="n">
        <v>142.323</v>
      </c>
      <c r="KZ87" s="881" t="n">
        <v>142.601</v>
      </c>
      <c r="LA87" s="881" t="n">
        <v>143.564</v>
      </c>
      <c r="LB87" s="881">
        <f>LB202/1000</f>
        <v/>
      </c>
      <c r="LC87" s="881">
        <f>LC202/1000</f>
        <v/>
      </c>
      <c r="LD87" s="881">
        <f>LD202/1000</f>
        <v/>
      </c>
      <c r="LE87" s="881">
        <f>LE202/1000</f>
        <v/>
      </c>
      <c r="LF87" s="881">
        <f>LF202/1000</f>
        <v/>
      </c>
      <c r="LG87" s="881">
        <f>LG202/1000</f>
        <v/>
      </c>
      <c r="LH87" s="881">
        <f>LH202/1000</f>
        <v/>
      </c>
      <c r="LI87" s="881">
        <f>LI202/1000</f>
        <v/>
      </c>
      <c r="LJ87" s="881">
        <f>LJ202/1000</f>
        <v/>
      </c>
      <c r="LK87" s="881">
        <f>LK202/1000</f>
        <v/>
      </c>
      <c r="LL87" s="881">
        <f>LL202/1000</f>
        <v/>
      </c>
      <c r="LM87" s="881">
        <f>LM202/1000</f>
        <v/>
      </c>
      <c r="LN87" s="881">
        <f>LN202/1000</f>
        <v/>
      </c>
      <c r="LO87" s="881">
        <f>LO202/1000</f>
        <v/>
      </c>
      <c r="LP87" s="881">
        <f>LP202/1000</f>
        <v/>
      </c>
      <c r="LQ87" s="881">
        <f>LQ202/1000</f>
        <v/>
      </c>
      <c r="LR87" s="881">
        <f>LR202/1000</f>
        <v/>
      </c>
      <c r="LS87" s="881">
        <f>LS202/1000</f>
        <v/>
      </c>
    </row>
    <row r="88" ht="15" customHeight="1" s="239">
      <c r="A88" s="899" t="inlineStr">
        <is>
          <t>m cg %</t>
        </is>
      </c>
      <c r="B88" s="1332" t="n"/>
      <c r="C88" s="1333">
        <f>C87/B87-1</f>
        <v/>
      </c>
      <c r="D88" s="1333">
        <f>D87/C87-1</f>
        <v/>
      </c>
      <c r="E88" s="1333">
        <f>E87/D87-1</f>
        <v/>
      </c>
      <c r="F88" s="1333">
        <f>F87/E87-1</f>
        <v/>
      </c>
      <c r="G88" s="1333">
        <f>G87/F87-1</f>
        <v/>
      </c>
      <c r="H88" s="1333">
        <f>H87/G87-1</f>
        <v/>
      </c>
      <c r="I88" s="1333">
        <f>I87/H87-1</f>
        <v/>
      </c>
      <c r="J88" s="1333">
        <f>J87/I87-1</f>
        <v/>
      </c>
      <c r="K88" s="1333">
        <f>K87/J87-1</f>
        <v/>
      </c>
      <c r="L88" s="1333">
        <f>L87/K87-1</f>
        <v/>
      </c>
      <c r="M88" s="1333">
        <f>M87/L87-1</f>
        <v/>
      </c>
      <c r="N88" s="1332">
        <f>N87/M87-1</f>
        <v/>
      </c>
      <c r="O88" s="1333">
        <f>O87/N87-1</f>
        <v/>
      </c>
      <c r="P88" s="1333">
        <f>P87/O87-1</f>
        <v/>
      </c>
      <c r="Q88" s="1333">
        <f>Q87/P87-1</f>
        <v/>
      </c>
      <c r="R88" s="1333">
        <f>R87/Q87-1</f>
        <v/>
      </c>
      <c r="S88" s="1333">
        <f>S87/R87-1</f>
        <v/>
      </c>
      <c r="T88" s="1333">
        <f>T87/S87-1</f>
        <v/>
      </c>
      <c r="U88" s="1333">
        <f>U87/T87-1</f>
        <v/>
      </c>
      <c r="V88" s="1333">
        <f>V87/U87-1</f>
        <v/>
      </c>
      <c r="W88" s="1333">
        <f>W87/V87-1</f>
        <v/>
      </c>
      <c r="X88" s="1333">
        <f>X87/W87-1</f>
        <v/>
      </c>
      <c r="Y88" s="1333">
        <f>Y87/X87-1</f>
        <v/>
      </c>
      <c r="Z88" s="1332">
        <f>Z87/Y87-1</f>
        <v/>
      </c>
      <c r="AA88" s="1333">
        <f>AA87/Z87-1</f>
        <v/>
      </c>
      <c r="AB88" s="1333">
        <f>AB87/AA87-1</f>
        <v/>
      </c>
      <c r="AC88" s="1333">
        <f>AC87/AB87-1</f>
        <v/>
      </c>
      <c r="AD88" s="1333">
        <f>AD87/AC87-1</f>
        <v/>
      </c>
      <c r="AE88" s="1333">
        <f>AE87/AD87-1</f>
        <v/>
      </c>
      <c r="AF88" s="1333">
        <f>AF87/AE87-1</f>
        <v/>
      </c>
      <c r="AG88" s="1333">
        <f>AG87/AF87-1</f>
        <v/>
      </c>
      <c r="AH88" s="1333">
        <f>AH87/AG87-1</f>
        <v/>
      </c>
      <c r="AI88" s="1333">
        <f>AI87/AH87-1</f>
        <v/>
      </c>
      <c r="AJ88" s="1333">
        <f>AJ87/AI87-1</f>
        <v/>
      </c>
      <c r="AK88" s="1333">
        <f>AK87/AJ87-1</f>
        <v/>
      </c>
      <c r="AL88" s="1332">
        <f>AL87/AK87-1</f>
        <v/>
      </c>
      <c r="AM88" s="1333">
        <f>AM87/AL87-1</f>
        <v/>
      </c>
      <c r="AN88" s="1333">
        <f>AN87/AM87-1</f>
        <v/>
      </c>
      <c r="AO88" s="1333">
        <f>AO87/AN87-1</f>
        <v/>
      </c>
      <c r="AP88" s="1333">
        <f>AP87/AO87-1</f>
        <v/>
      </c>
      <c r="AQ88" s="1333">
        <f>AQ87/AP87-1</f>
        <v/>
      </c>
      <c r="AR88" s="1333">
        <f>AR87/AQ87-1</f>
        <v/>
      </c>
      <c r="AS88" s="1333">
        <f>AS87/AR87-1</f>
        <v/>
      </c>
      <c r="AT88" s="1333">
        <f>AT87/AS87-1</f>
        <v/>
      </c>
      <c r="AU88" s="1333">
        <f>AU87/AT87-1</f>
        <v/>
      </c>
      <c r="AV88" s="1333">
        <f>AV87/AU87-1</f>
        <v/>
      </c>
      <c r="AW88" s="1333">
        <f>AW87/AV87-1</f>
        <v/>
      </c>
      <c r="AX88" s="1332">
        <f>AX87/AW87-1</f>
        <v/>
      </c>
      <c r="AY88" s="1332">
        <f>AY87/AX87-1</f>
        <v/>
      </c>
      <c r="AZ88" s="1332">
        <f>AZ87/AY87-1</f>
        <v/>
      </c>
      <c r="BA88" s="1332">
        <f>BA87/AZ87-1</f>
        <v/>
      </c>
      <c r="BB88" s="1332">
        <f>BB87/BA87-1</f>
        <v/>
      </c>
      <c r="BC88" s="1332">
        <f>BC87/BB87-1</f>
        <v/>
      </c>
      <c r="BD88" s="1332">
        <f>BD87/BC87-1</f>
        <v/>
      </c>
      <c r="BE88" s="1332">
        <f>BE87/BD87-1</f>
        <v/>
      </c>
      <c r="BF88" s="1332">
        <f>BF87/BE87-1</f>
        <v/>
      </c>
      <c r="BG88" s="1332">
        <f>BG87/BF87-1</f>
        <v/>
      </c>
      <c r="BH88" s="1332">
        <f>BH87/BG87-1</f>
        <v/>
      </c>
      <c r="BI88" s="1332">
        <f>BI87/BH87-1</f>
        <v/>
      </c>
      <c r="BJ88" s="1332">
        <f>BJ87/BI87-1</f>
        <v/>
      </c>
      <c r="BK88" s="1332">
        <f>BK87/BJ87-1</f>
        <v/>
      </c>
      <c r="BL88" s="1332">
        <f>BL87/BK87-1</f>
        <v/>
      </c>
      <c r="BM88" s="1332">
        <f>BM87/BL87-1</f>
        <v/>
      </c>
      <c r="BN88" s="1332">
        <f>BN87/BM87-1</f>
        <v/>
      </c>
      <c r="BO88" s="1332">
        <f>BO87/BN87-1</f>
        <v/>
      </c>
      <c r="BP88" s="1332">
        <f>BP87/BO87-1</f>
        <v/>
      </c>
      <c r="BQ88" s="1332">
        <f>BQ87/BP87-1</f>
        <v/>
      </c>
      <c r="BR88" s="1332">
        <f>BR87/BQ87-1</f>
        <v/>
      </c>
      <c r="BS88" s="1332">
        <f>BS87/BR87-1</f>
        <v/>
      </c>
      <c r="BT88" s="1332">
        <f>BT87/BS87-1</f>
        <v/>
      </c>
      <c r="BU88" s="1332">
        <f>BU87/BT87-1</f>
        <v/>
      </c>
      <c r="BV88" s="1332">
        <f>BV87/BU87-1</f>
        <v/>
      </c>
      <c r="BW88" s="1332">
        <f>BW87/BV87-1</f>
        <v/>
      </c>
      <c r="BX88" s="1332">
        <f>BX87/BW87-1</f>
        <v/>
      </c>
      <c r="BY88" s="1332">
        <f>BY87/BX87-1</f>
        <v/>
      </c>
      <c r="BZ88" s="1332">
        <f>BZ87/BY87-1</f>
        <v/>
      </c>
      <c r="CA88" s="1332">
        <f>CA87/BZ87-1</f>
        <v/>
      </c>
      <c r="CB88" s="1332">
        <f>CB87/CA87-1</f>
        <v/>
      </c>
      <c r="CC88" s="1332">
        <f>CC87/CB87-1</f>
        <v/>
      </c>
      <c r="CD88" s="1332">
        <f>CD87/CC87-1</f>
        <v/>
      </c>
      <c r="CE88" s="1332">
        <f>CE87/CD87-1</f>
        <v/>
      </c>
      <c r="CF88" s="1332">
        <f>CF87/CE87-1</f>
        <v/>
      </c>
      <c r="CG88" s="1332">
        <f>CG87/CF87-1</f>
        <v/>
      </c>
      <c r="CH88" s="1332">
        <f>CH87/CG87-1</f>
        <v/>
      </c>
      <c r="CI88" s="1332">
        <f>CI87/CH87-1</f>
        <v/>
      </c>
      <c r="CJ88" s="1332">
        <f>CJ87/CI87-1</f>
        <v/>
      </c>
      <c r="CK88" s="1332">
        <f>CK87/CJ87-1</f>
        <v/>
      </c>
      <c r="CL88" s="1334">
        <f>CL87/CK87-1</f>
        <v/>
      </c>
      <c r="CM88" s="1334">
        <f>CM87/CL87-1</f>
        <v/>
      </c>
      <c r="CN88" s="1332">
        <f>CN87/CM87-1</f>
        <v/>
      </c>
      <c r="CO88" s="1332">
        <f>CO87/CN87-1</f>
        <v/>
      </c>
      <c r="CP88" s="1332">
        <f>CP87/CO87-1</f>
        <v/>
      </c>
      <c r="CQ88" s="1333">
        <f>CQ87/CP87-1</f>
        <v/>
      </c>
      <c r="CR88" s="1333">
        <f>CR87/CQ87-1</f>
        <v/>
      </c>
      <c r="CS88" s="1333">
        <f>CS87/CR87-1</f>
        <v/>
      </c>
      <c r="CT88" s="1333">
        <f>CT87/CS87-1</f>
        <v/>
      </c>
      <c r="CU88" s="1333">
        <f>CU87/CT87-1</f>
        <v/>
      </c>
      <c r="CV88" s="1333">
        <f>CV87/CU87-1</f>
        <v/>
      </c>
      <c r="CW88" s="1332">
        <f>CW87/CV87-1</f>
        <v/>
      </c>
      <c r="CX88" s="1332">
        <f>CX87/CW87-1</f>
        <v/>
      </c>
      <c r="CY88" s="1333">
        <f>CY87/CX87-1</f>
        <v/>
      </c>
      <c r="CZ88" s="1333">
        <f>CZ87/CY87-1</f>
        <v/>
      </c>
      <c r="DA88" s="1332">
        <f>DA87/CZ87-1</f>
        <v/>
      </c>
      <c r="DB88" s="1332">
        <f>DB87/DA87-1</f>
        <v/>
      </c>
      <c r="DC88" s="1332">
        <f>DC87/DB87-1</f>
        <v/>
      </c>
      <c r="DD88" s="1332">
        <f>DD87/DC87-1</f>
        <v/>
      </c>
      <c r="DE88" s="1332">
        <f>DE87/DD87-1</f>
        <v/>
      </c>
      <c r="DF88" s="1332">
        <f>DF87/DE87-1</f>
        <v/>
      </c>
      <c r="DG88" s="1332">
        <f>DG87/DF87-1</f>
        <v/>
      </c>
      <c r="DH88" s="1332">
        <f>DH87/DG87-1</f>
        <v/>
      </c>
      <c r="DI88" s="1332">
        <f>DI87/DH87-1</f>
        <v/>
      </c>
      <c r="DJ88" s="1332">
        <f>DJ87/DI87-1</f>
        <v/>
      </c>
      <c r="DK88" s="1332">
        <f>DK87/DJ87-1</f>
        <v/>
      </c>
      <c r="DL88" s="1332">
        <f>DL87/DK87-1</f>
        <v/>
      </c>
      <c r="DM88" s="1332">
        <f>DM87/DL87-1</f>
        <v/>
      </c>
      <c r="DN88" s="1332">
        <f>DN87/DM87-1</f>
        <v/>
      </c>
      <c r="DO88" s="1332">
        <f>DO87/DN87-1</f>
        <v/>
      </c>
      <c r="DP88" s="1332">
        <f>DP87/DO87-1</f>
        <v/>
      </c>
      <c r="DQ88" s="1332">
        <f>DQ87/DP87-1</f>
        <v/>
      </c>
      <c r="DR88" s="1332">
        <f>DR87/DQ87-1</f>
        <v/>
      </c>
      <c r="DS88" s="1332">
        <f>DS87/DR87-1</f>
        <v/>
      </c>
      <c r="DT88" s="1332">
        <f>DT87/DS87-1</f>
        <v/>
      </c>
      <c r="DU88" s="1332">
        <f>DU87/DT87-1</f>
        <v/>
      </c>
      <c r="DV88" s="1332">
        <f>DV87/DU87-1</f>
        <v/>
      </c>
      <c r="DW88" s="1332">
        <f>DW87/DV87-1</f>
        <v/>
      </c>
      <c r="DX88" s="1332">
        <f>DX87/DW87-1</f>
        <v/>
      </c>
      <c r="DY88" s="1332">
        <f>DY87/DX87-1</f>
        <v/>
      </c>
      <c r="DZ88" s="1332">
        <f>DZ87/DY87-1</f>
        <v/>
      </c>
      <c r="EA88" s="1332">
        <f>EA87/DZ87-1</f>
        <v/>
      </c>
      <c r="EB88" s="1332">
        <f>EB87/EA87-1</f>
        <v/>
      </c>
      <c r="EC88" s="1332">
        <f>EC87/EB87-1</f>
        <v/>
      </c>
      <c r="ED88" s="1332">
        <f>ED87/EC87-1</f>
        <v/>
      </c>
      <c r="EE88" s="1332">
        <f>EE87/ED87-1</f>
        <v/>
      </c>
      <c r="EF88" s="1332">
        <f>EF87/EE87-1</f>
        <v/>
      </c>
      <c r="EG88" s="1332">
        <f>EG87/EF87-1</f>
        <v/>
      </c>
      <c r="EH88" s="1332">
        <f>EH87/EG87-1</f>
        <v/>
      </c>
      <c r="EI88" s="1332">
        <f>EI87/EH87-1</f>
        <v/>
      </c>
      <c r="EJ88" s="1332">
        <f>EJ87/EI87-1</f>
        <v/>
      </c>
      <c r="EK88" s="1332">
        <f>EK87/EJ87-1</f>
        <v/>
      </c>
      <c r="EL88" s="1332">
        <f>EL87/EK87-1</f>
        <v/>
      </c>
      <c r="EM88" s="1332">
        <f>EM87/EL87-1</f>
        <v/>
      </c>
      <c r="EN88" s="1332">
        <f>EN87/EM87-1</f>
        <v/>
      </c>
      <c r="EO88" s="1332">
        <f>EO87/EN87-1</f>
        <v/>
      </c>
      <c r="EP88" s="1332">
        <f>EP87/EO87-1</f>
        <v/>
      </c>
      <c r="EQ88" s="1332">
        <f>EQ87/EP87-1</f>
        <v/>
      </c>
      <c r="ER88" s="1332">
        <f>ER87/EQ87-1</f>
        <v/>
      </c>
      <c r="ES88" s="1332">
        <f>ES87/ER87-1</f>
        <v/>
      </c>
      <c r="ET88" s="1332">
        <f>ET87/ES87-1</f>
        <v/>
      </c>
      <c r="EU88" s="1332">
        <f>EU87/ET87-1</f>
        <v/>
      </c>
      <c r="EV88" s="1332">
        <f>EV87/EU87-1</f>
        <v/>
      </c>
      <c r="EW88" s="1332">
        <f>EW87/EV87-1</f>
        <v/>
      </c>
      <c r="EX88" s="1332">
        <f>EX87/EW87-1</f>
        <v/>
      </c>
      <c r="EY88" s="1332">
        <f>EY87/EX87-1</f>
        <v/>
      </c>
      <c r="EZ88" s="1332">
        <f>EZ87/EY87-1</f>
        <v/>
      </c>
      <c r="FA88" s="1332">
        <f>FA87/EZ87-1</f>
        <v/>
      </c>
      <c r="FB88" s="1332">
        <f>FB87/FA87-1</f>
        <v/>
      </c>
      <c r="FC88" s="1332">
        <f>FC87/FB87-1</f>
        <v/>
      </c>
      <c r="FD88" s="1332">
        <f>FD87/FC87-1</f>
        <v/>
      </c>
      <c r="FE88" s="1332">
        <f>FE87/FD87-1</f>
        <v/>
      </c>
      <c r="FF88" s="1332">
        <f>FF87/FE87-1</f>
        <v/>
      </c>
      <c r="FG88" s="1332">
        <f>FG87/FF87-1</f>
        <v/>
      </c>
      <c r="FH88" s="1332">
        <f>FH87/FG87-1</f>
        <v/>
      </c>
      <c r="FI88" s="1332">
        <f>FI87/FH87-1</f>
        <v/>
      </c>
      <c r="FJ88" s="1332">
        <f>FJ87/FI87-1</f>
        <v/>
      </c>
      <c r="FK88" s="1332">
        <f>FK87/FJ87-1</f>
        <v/>
      </c>
      <c r="FL88" s="1332">
        <f>FL87/FK87-1</f>
        <v/>
      </c>
      <c r="FM88" s="1332">
        <f>FM87/FL87-1</f>
        <v/>
      </c>
      <c r="FN88" s="908">
        <f>FN87/FM87-1</f>
        <v/>
      </c>
      <c r="FO88" s="908">
        <f>FO87/FN87-1</f>
        <v/>
      </c>
      <c r="FP88" s="908">
        <f>FP87/FO87-1</f>
        <v/>
      </c>
      <c r="FQ88" s="908">
        <f>FQ87/FP87-1</f>
        <v/>
      </c>
      <c r="FR88" s="908">
        <f>FR87/FQ87-1</f>
        <v/>
      </c>
      <c r="FS88" s="908">
        <f>FS87/FR87-1</f>
        <v/>
      </c>
      <c r="FT88" s="908">
        <f>FT87/FS87-1</f>
        <v/>
      </c>
      <c r="FU88" s="908">
        <f>FU87/FT87-1</f>
        <v/>
      </c>
      <c r="FV88" s="908">
        <f>FV87/FU87-1</f>
        <v/>
      </c>
      <c r="FW88" s="908">
        <f>FW87/FV87-1</f>
        <v/>
      </c>
      <c r="FX88" s="908">
        <f>FX87/FW87-1</f>
        <v/>
      </c>
      <c r="FY88" s="908">
        <f>FY87/FX87-1</f>
        <v/>
      </c>
      <c r="FZ88" s="908">
        <f>FZ87/FY87-1</f>
        <v/>
      </c>
      <c r="GA88" s="1332">
        <f>GA87/FZ87-1</f>
        <v/>
      </c>
      <c r="GB88" s="1332">
        <f>GB87/GA87-1</f>
        <v/>
      </c>
      <c r="GC88" s="1332">
        <f>GC87/GB87-1</f>
        <v/>
      </c>
      <c r="GD88" s="1332">
        <f>GD87/GC87-1</f>
        <v/>
      </c>
      <c r="GE88" s="1332">
        <f>GE87/GD87-1</f>
        <v/>
      </c>
      <c r="GF88" s="1332">
        <f>GF87/GE87-1</f>
        <v/>
      </c>
      <c r="GG88" s="1332">
        <f>GG87/GF87-1</f>
        <v/>
      </c>
      <c r="GH88" s="1332">
        <f>GH87/GG87-1</f>
        <v/>
      </c>
      <c r="GI88" s="1332">
        <f>GI87/GH87-1</f>
        <v/>
      </c>
      <c r="GJ88" s="1332">
        <f>GJ87/GI87-1</f>
        <v/>
      </c>
      <c r="GK88" s="908">
        <f>GK87/GJ87-1</f>
        <v/>
      </c>
      <c r="GL88" s="1332">
        <f>GL87/GK87-1</f>
        <v/>
      </c>
      <c r="GM88" s="1332">
        <f>GM87/GL87-1</f>
        <v/>
      </c>
      <c r="GN88" s="1332">
        <f>GN87/GM87-1</f>
        <v/>
      </c>
      <c r="GO88" s="1332">
        <f>GO87/GN87-1</f>
        <v/>
      </c>
      <c r="GP88" s="1332">
        <f>GP87/GO87-1</f>
        <v/>
      </c>
      <c r="GQ88" s="1332">
        <f>GQ87/GP87-1</f>
        <v/>
      </c>
      <c r="GR88" s="1332">
        <f>GR87/GQ87-1</f>
        <v/>
      </c>
      <c r="GS88" s="1332">
        <f>GS87/GR87-1</f>
        <v/>
      </c>
      <c r="GT88" s="1332">
        <f>GT87/GS87-1</f>
        <v/>
      </c>
      <c r="GU88" s="1332">
        <f>GU87/GT87-1</f>
        <v/>
      </c>
      <c r="GV88" s="1332">
        <f>GV87/GU87-1</f>
        <v/>
      </c>
      <c r="GW88" s="908">
        <f>GW87/GV87-1</f>
        <v/>
      </c>
      <c r="GX88" s="1332">
        <f>GX87/GW87-1</f>
        <v/>
      </c>
      <c r="GY88" s="1332">
        <f>GY87/GX87-1</f>
        <v/>
      </c>
      <c r="GZ88" s="1332">
        <f>GZ87/GY87-1</f>
        <v/>
      </c>
      <c r="HA88" s="1332">
        <f>HA87/GZ87-1</f>
        <v/>
      </c>
      <c r="HB88" s="1332">
        <f>HB87/HA87-1</f>
        <v/>
      </c>
      <c r="HC88" s="1332">
        <f>HC87/HB87-1</f>
        <v/>
      </c>
      <c r="HD88" s="1332">
        <f>HD87/HC87-1</f>
        <v/>
      </c>
      <c r="HE88" s="1332">
        <f>HE87/HD87-1</f>
        <v/>
      </c>
      <c r="HF88" s="1332">
        <f>HF87/HE87-1</f>
        <v/>
      </c>
      <c r="HG88" s="1332">
        <f>HG87/HF87-1</f>
        <v/>
      </c>
      <c r="HH88" s="1332">
        <f>HH87/HG87-1</f>
        <v/>
      </c>
      <c r="HI88" s="1332">
        <f>HI87/HH87-1</f>
        <v/>
      </c>
      <c r="HJ88" s="910">
        <f>HJ87/HI87-1</f>
        <v/>
      </c>
      <c r="HK88" s="910">
        <f>HK87/HJ87-1</f>
        <v/>
      </c>
      <c r="HL88" s="910">
        <f>HL87/HK87-1</f>
        <v/>
      </c>
      <c r="HM88" s="910">
        <f>HM87/HL87-1</f>
        <v/>
      </c>
      <c r="HN88" s="910">
        <f>HN87/HM87-1</f>
        <v/>
      </c>
      <c r="HO88" s="910">
        <f>HO87/HN87-1</f>
        <v/>
      </c>
      <c r="HP88" s="910">
        <f>HP87/HO87-1</f>
        <v/>
      </c>
      <c r="HQ88" s="910">
        <f>HQ87/HP87-1</f>
        <v/>
      </c>
      <c r="HR88" s="910">
        <f>HR87/HQ87-1</f>
        <v/>
      </c>
      <c r="HS88" s="910">
        <f>HS87/HR87-1</f>
        <v/>
      </c>
      <c r="HT88" s="910">
        <f>HT87/HS87-1</f>
        <v/>
      </c>
      <c r="HU88" s="910">
        <f>HU87/HT87-1</f>
        <v/>
      </c>
      <c r="HV88" s="910">
        <f>HV87/HU87-1</f>
        <v/>
      </c>
      <c r="HW88" s="910">
        <f>HW87/HV87-1</f>
        <v/>
      </c>
      <c r="HX88" s="910">
        <f>HX87/HW87-1</f>
        <v/>
      </c>
      <c r="HY88" s="910">
        <f>HY87/HX87-1</f>
        <v/>
      </c>
      <c r="HZ88" s="910">
        <f>HZ87/HY87-1</f>
        <v/>
      </c>
      <c r="IA88" s="910">
        <f>IA87/HZ87-1</f>
        <v/>
      </c>
      <c r="IB88" s="910">
        <f>IB87/IA87-1</f>
        <v/>
      </c>
      <c r="IC88" s="910">
        <f>IC87/IB87-1</f>
        <v/>
      </c>
      <c r="ID88" s="910">
        <f>ID87/IC87-1</f>
        <v/>
      </c>
      <c r="IE88" s="910">
        <f>IE87/ID87-1</f>
        <v/>
      </c>
      <c r="IF88" s="910">
        <f>IF87/IE87-1</f>
        <v/>
      </c>
      <c r="IG88" s="910">
        <f>IG87/IF87-1</f>
        <v/>
      </c>
      <c r="IH88" s="910">
        <f>IH87/IG87-1</f>
        <v/>
      </c>
      <c r="II88" s="910">
        <f>II87/IH87-1</f>
        <v/>
      </c>
      <c r="IJ88" s="910">
        <f>IJ87/II87-1</f>
        <v/>
      </c>
      <c r="IK88" s="910">
        <f>IK87/IJ87-1</f>
        <v/>
      </c>
      <c r="IL88" s="910">
        <f>IL87/IK87-1</f>
        <v/>
      </c>
      <c r="IM88" s="910">
        <f>IM87/IL87-1</f>
        <v/>
      </c>
      <c r="IN88" s="910">
        <f>IN87/IM87-1</f>
        <v/>
      </c>
      <c r="IO88" s="910">
        <f>IO87/IN87-1</f>
        <v/>
      </c>
      <c r="IP88" s="910">
        <f>IP87/IO87-1</f>
        <v/>
      </c>
      <c r="IQ88" s="910">
        <f>IQ87/IP87-1</f>
        <v/>
      </c>
      <c r="IR88" s="910">
        <f>IR87/IQ87-1</f>
        <v/>
      </c>
      <c r="IS88" s="910">
        <f>IS87/IR87-1</f>
        <v/>
      </c>
      <c r="IT88" s="910">
        <f>IT87/IS87-1</f>
        <v/>
      </c>
      <c r="IU88" s="910">
        <f>IU87/IT87-1</f>
        <v/>
      </c>
      <c r="IV88" s="910">
        <f>IV87/IU87-1</f>
        <v/>
      </c>
      <c r="IW88" s="910">
        <f>IW87/IV87-1</f>
        <v/>
      </c>
      <c r="IX88" s="899">
        <f>IX87/IW87-1</f>
        <v/>
      </c>
      <c r="IY88" s="899">
        <f>IY87/IX87-1</f>
        <v/>
      </c>
      <c r="IZ88" s="899">
        <f>IZ87/IY87-1</f>
        <v/>
      </c>
      <c r="JA88" s="899">
        <f>JA87/IZ87-1</f>
        <v/>
      </c>
      <c r="JB88" s="899">
        <f>JB87/JA87-1</f>
        <v/>
      </c>
      <c r="JC88" s="899">
        <f>JC87/JB87-1</f>
        <v/>
      </c>
      <c r="JD88" s="899">
        <f>JD87/JC87-1</f>
        <v/>
      </c>
      <c r="JE88" s="899">
        <f>JE87/JD87-1</f>
        <v/>
      </c>
      <c r="JF88" s="899">
        <f>JF87/JE87-1</f>
        <v/>
      </c>
      <c r="JG88" s="899">
        <f>JG87/JF87-1</f>
        <v/>
      </c>
      <c r="JH88" s="899">
        <f>JH87/JG87-1</f>
        <v/>
      </c>
      <c r="JI88" s="899">
        <f>JI87/JH87-1</f>
        <v/>
      </c>
      <c r="JJ88" s="899">
        <f>JJ87/JI87-1</f>
        <v/>
      </c>
      <c r="JK88" s="899">
        <f>JK87/JJ87-1</f>
        <v/>
      </c>
      <c r="JL88" s="899">
        <f>JL87/JK87-1</f>
        <v/>
      </c>
      <c r="JM88" s="899">
        <f>JM87/JL87-1</f>
        <v/>
      </c>
      <c r="JN88" s="899">
        <f>JN87/JM87-1</f>
        <v/>
      </c>
      <c r="JO88" s="899">
        <f>JO87/JN87-1</f>
        <v/>
      </c>
      <c r="JP88" s="899">
        <f>JP87/JO87-1</f>
        <v/>
      </c>
      <c r="JQ88" s="899">
        <f>JQ87/JP87-1</f>
        <v/>
      </c>
      <c r="JR88" s="899">
        <f>JR87/JQ87-1</f>
        <v/>
      </c>
      <c r="JS88" s="899">
        <f>JS87/JR87-1</f>
        <v/>
      </c>
      <c r="JT88" s="899">
        <f>JT87/JS87-1</f>
        <v/>
      </c>
      <c r="JU88" s="899">
        <f>JU87/JT87-1</f>
        <v/>
      </c>
      <c r="JV88" s="899">
        <f>JV87/JU87-1</f>
        <v/>
      </c>
      <c r="JW88" s="899">
        <f>JW87/JV87-1</f>
        <v/>
      </c>
      <c r="JX88" s="899">
        <f>JX87/JW87-1</f>
        <v/>
      </c>
      <c r="JY88" s="899">
        <f>JY87/JX87-1</f>
        <v/>
      </c>
      <c r="JZ88" s="899">
        <f>JZ87/JY87-1</f>
        <v/>
      </c>
      <c r="KA88" s="899">
        <f>KA87/JZ87-1</f>
        <v/>
      </c>
      <c r="KB88" s="899">
        <f>KB87/KA87-1</f>
        <v/>
      </c>
      <c r="KC88" s="899">
        <f>KC87/KB87-1</f>
        <v/>
      </c>
      <c r="KD88" s="899">
        <f>KD87/KC87-1</f>
        <v/>
      </c>
      <c r="KE88" s="899">
        <f>KE87/KD87-1</f>
        <v/>
      </c>
      <c r="KF88" s="899">
        <f>KF87/KE87-1</f>
        <v/>
      </c>
      <c r="KG88" s="899">
        <f>KG87/KF87-1</f>
        <v/>
      </c>
      <c r="KH88" s="899">
        <f>KH87/KG87-1</f>
        <v/>
      </c>
      <c r="KI88" s="899">
        <f>KI87/KH87-1</f>
        <v/>
      </c>
      <c r="KJ88" s="899">
        <f>KJ87/KI87-1</f>
        <v/>
      </c>
      <c r="KK88" s="899">
        <f>KK87/KJ87-1</f>
        <v/>
      </c>
      <c r="KL88" s="899">
        <f>KL87/KK87-1</f>
        <v/>
      </c>
      <c r="KM88" s="899">
        <f>KM87/KL87-1</f>
        <v/>
      </c>
      <c r="KN88" s="899">
        <f>KN87/KM87-1</f>
        <v/>
      </c>
      <c r="KO88" s="899">
        <f>KO87/KN87-1</f>
        <v/>
      </c>
      <c r="KP88" s="899">
        <f>KP87/KO87-1</f>
        <v/>
      </c>
      <c r="KQ88" s="899">
        <f>KQ87/KP87-1</f>
        <v/>
      </c>
      <c r="KR88" s="899">
        <f>KR87/KQ87-1</f>
        <v/>
      </c>
      <c r="KS88" s="899">
        <f>KS87/KR87-1</f>
        <v/>
      </c>
      <c r="KT88" s="899">
        <f>KT87/KS87-1</f>
        <v/>
      </c>
      <c r="KU88" s="899">
        <f>KU87/KT87-1</f>
        <v/>
      </c>
      <c r="KV88" s="899">
        <f>KV87/KU87-1</f>
        <v/>
      </c>
      <c r="KW88" s="899">
        <f>KW87/KV87-1</f>
        <v/>
      </c>
      <c r="KX88" s="899">
        <f>KX87/KW87-1</f>
        <v/>
      </c>
      <c r="KY88" s="899">
        <f>KY87/KX87-1</f>
        <v/>
      </c>
      <c r="KZ88" s="899">
        <f>KZ87/KY87-1</f>
        <v/>
      </c>
      <c r="LA88" s="899">
        <f>LA87/KZ87-1</f>
        <v/>
      </c>
      <c r="LB88" s="899">
        <f>LB87/LA87-1</f>
        <v/>
      </c>
      <c r="LC88" s="899">
        <f>LC87/LB87-1</f>
        <v/>
      </c>
      <c r="LD88" s="899">
        <f>LD87/LC87-1</f>
        <v/>
      </c>
      <c r="LE88" s="899">
        <f>LE87/LD87-1</f>
        <v/>
      </c>
      <c r="LF88" s="899">
        <f>LF87/LE87-1</f>
        <v/>
      </c>
      <c r="LG88" s="899">
        <f>LG87/LF87-1</f>
        <v/>
      </c>
      <c r="LH88" s="899">
        <f>LH87/LG87-1</f>
        <v/>
      </c>
      <c r="LI88" s="899">
        <f>LI87/LH87-1</f>
        <v/>
      </c>
      <c r="LJ88" s="899">
        <f>LJ87/LI87-1</f>
        <v/>
      </c>
      <c r="LK88" s="899">
        <f>LK87/LJ87-1</f>
        <v/>
      </c>
      <c r="LL88" s="899">
        <f>LL87/LK87-1</f>
        <v/>
      </c>
      <c r="LM88" s="899">
        <f>LM87/LL87-1</f>
        <v/>
      </c>
      <c r="LN88" s="899">
        <f>LN87/LM87-1</f>
        <v/>
      </c>
      <c r="LO88" s="899">
        <f>LO87/LN87-1</f>
        <v/>
      </c>
      <c r="LP88" s="899">
        <f>LP87/LO87-1</f>
        <v/>
      </c>
      <c r="LQ88" s="899">
        <f>LQ87/LP87-1</f>
        <v/>
      </c>
      <c r="LR88" s="899">
        <f>LR87/LQ87-1</f>
        <v/>
      </c>
      <c r="LS88" s="899">
        <f>LS87/LR87-1</f>
        <v/>
      </c>
    </row>
    <row r="89">
      <c r="A89" s="885" t="inlineStr">
        <is>
          <t>YoY cg %</t>
        </is>
      </c>
      <c r="B89" s="1318" t="n"/>
      <c r="C89" s="1318" t="n"/>
      <c r="D89" s="1318" t="n"/>
      <c r="E89" s="1318" t="n"/>
      <c r="F89" s="1318" t="n"/>
      <c r="G89" s="1318" t="n"/>
      <c r="H89" s="1318" t="n"/>
      <c r="I89" s="1318" t="n"/>
      <c r="J89" s="1318" t="n"/>
      <c r="K89" s="1318" t="n"/>
      <c r="L89" s="1318" t="n"/>
      <c r="M89" s="1318" t="n"/>
      <c r="N89" s="1318">
        <f>N87/B87-1</f>
        <v/>
      </c>
      <c r="O89" s="1318">
        <f>O87/C87-1</f>
        <v/>
      </c>
      <c r="P89" s="1318">
        <f>P87/D87-1</f>
        <v/>
      </c>
      <c r="Q89" s="1318">
        <f>Q87/E87-1</f>
        <v/>
      </c>
      <c r="R89" s="1318">
        <f>R87/F87-1</f>
        <v/>
      </c>
      <c r="S89" s="1318">
        <f>S87/G87-1</f>
        <v/>
      </c>
      <c r="T89" s="1318">
        <f>T87/H87-1</f>
        <v/>
      </c>
      <c r="U89" s="1318">
        <f>U87/I87-1</f>
        <v/>
      </c>
      <c r="V89" s="1318">
        <f>V87/J87-1</f>
        <v/>
      </c>
      <c r="W89" s="1318">
        <f>W87/K87-1</f>
        <v/>
      </c>
      <c r="X89" s="1318">
        <f>X87/L87-1</f>
        <v/>
      </c>
      <c r="Y89" s="1318">
        <f>Y87/M87-1</f>
        <v/>
      </c>
      <c r="Z89" s="1318">
        <f>Z87/N87-1</f>
        <v/>
      </c>
      <c r="AA89" s="1318">
        <f>AA87/O87-1</f>
        <v/>
      </c>
      <c r="AB89" s="1318">
        <f>AB87/P87-1</f>
        <v/>
      </c>
      <c r="AC89" s="1318">
        <f>AC87/Q87-1</f>
        <v/>
      </c>
      <c r="AD89" s="1318">
        <f>AD87/R87-1</f>
        <v/>
      </c>
      <c r="AE89" s="1318">
        <f>AE87/S87-1</f>
        <v/>
      </c>
      <c r="AF89" s="1318">
        <f>AF87/T87-1</f>
        <v/>
      </c>
      <c r="AG89" s="1318">
        <f>AG87/U87-1</f>
        <v/>
      </c>
      <c r="AH89" s="1318">
        <f>AH87/V87-1</f>
        <v/>
      </c>
      <c r="AI89" s="1318">
        <f>AI87/W87-1</f>
        <v/>
      </c>
      <c r="AJ89" s="1318">
        <f>AJ87/X87-1</f>
        <v/>
      </c>
      <c r="AK89" s="1318">
        <f>AK87/Y87-1</f>
        <v/>
      </c>
      <c r="AL89" s="1318">
        <f>AL87/Z87-1</f>
        <v/>
      </c>
      <c r="AM89" s="1318">
        <f>AM87/AA87-1</f>
        <v/>
      </c>
      <c r="AN89" s="1318">
        <f>AN87/AB87-1</f>
        <v/>
      </c>
      <c r="AO89" s="1318">
        <f>AO87/AC87-1</f>
        <v/>
      </c>
      <c r="AP89" s="1318">
        <f>AP87/AD87-1</f>
        <v/>
      </c>
      <c r="AQ89" s="1318">
        <f>AQ87/AE87-1</f>
        <v/>
      </c>
      <c r="AR89" s="1318">
        <f>AR87/AF87-1</f>
        <v/>
      </c>
      <c r="AS89" s="1318">
        <f>AS87/AG87-1</f>
        <v/>
      </c>
      <c r="AT89" s="1318">
        <f>AT87/AH87-1</f>
        <v/>
      </c>
      <c r="AU89" s="1318">
        <f>AU87/AI87-1</f>
        <v/>
      </c>
      <c r="AV89" s="1318">
        <f>AV87/AJ87-1</f>
        <v/>
      </c>
      <c r="AW89" s="1318">
        <f>AW87/AK87-1</f>
        <v/>
      </c>
      <c r="AX89" s="1318">
        <f>AX87/AL87-1</f>
        <v/>
      </c>
      <c r="AY89" s="1318">
        <f>AY87/AM87-1</f>
        <v/>
      </c>
      <c r="AZ89" s="1318">
        <f>AZ87/AN87-1</f>
        <v/>
      </c>
      <c r="BA89" s="1318">
        <f>BA87/AO87-1</f>
        <v/>
      </c>
      <c r="BB89" s="1318">
        <f>BB87/AP87-1</f>
        <v/>
      </c>
      <c r="BC89" s="1318">
        <f>BC87/AQ87-1</f>
        <v/>
      </c>
      <c r="BD89" s="1318">
        <f>BD87/AR87-1</f>
        <v/>
      </c>
      <c r="BE89" s="1318">
        <f>BE87/AS87-1</f>
        <v/>
      </c>
      <c r="BF89" s="1318">
        <f>BF87/AT87-1</f>
        <v/>
      </c>
      <c r="BG89" s="1318">
        <f>BG87/AU87-1</f>
        <v/>
      </c>
      <c r="BH89" s="1318">
        <f>BH87/AV87-1</f>
        <v/>
      </c>
      <c r="BI89" s="1318">
        <f>BI87/AW87-1</f>
        <v/>
      </c>
      <c r="BJ89" s="1318">
        <f>BJ87/AX87-1</f>
        <v/>
      </c>
      <c r="BK89" s="1318">
        <f>BK87/AY87-1</f>
        <v/>
      </c>
      <c r="BL89" s="1318">
        <f>BL87/AZ87-1</f>
        <v/>
      </c>
      <c r="BM89" s="1318">
        <f>BM87/BA87-1</f>
        <v/>
      </c>
      <c r="BN89" s="1318">
        <f>BN87/BB87-1</f>
        <v/>
      </c>
      <c r="BO89" s="1318">
        <f>BO87/BC87-1</f>
        <v/>
      </c>
      <c r="BP89" s="1318">
        <f>BP87/BD87-1</f>
        <v/>
      </c>
      <c r="BQ89" s="1318">
        <f>BQ87/BE87-1</f>
        <v/>
      </c>
      <c r="BR89" s="1318">
        <f>BR87/BF87-1</f>
        <v/>
      </c>
      <c r="BS89" s="1318">
        <f>BS87/BG87-1</f>
        <v/>
      </c>
      <c r="BT89" s="1318">
        <f>BT87/BH87-1</f>
        <v/>
      </c>
      <c r="BU89" s="1318">
        <f>BU87/BI87-1</f>
        <v/>
      </c>
      <c r="BV89" s="1318">
        <f>BV87/BJ87-1</f>
        <v/>
      </c>
      <c r="BW89" s="1318">
        <f>BW87/BK87-1</f>
        <v/>
      </c>
      <c r="BX89" s="1318">
        <f>BX87/BL87-1</f>
        <v/>
      </c>
      <c r="BY89" s="1318">
        <f>BY87/BM87-1</f>
        <v/>
      </c>
      <c r="BZ89" s="1318">
        <f>BZ87/BN87-1</f>
        <v/>
      </c>
      <c r="CA89" s="1318">
        <f>CA87/BO87-1</f>
        <v/>
      </c>
      <c r="CB89" s="1318">
        <f>CB87/BP87-1</f>
        <v/>
      </c>
      <c r="CC89" s="1318">
        <f>CC87/BQ87-1</f>
        <v/>
      </c>
      <c r="CD89" s="1318">
        <f>CD87/BR87-1</f>
        <v/>
      </c>
      <c r="CE89" s="1318">
        <f>CE87/BS87-1</f>
        <v/>
      </c>
      <c r="CF89" s="1318">
        <f>CF87/BT87-1</f>
        <v/>
      </c>
      <c r="CG89" s="1318">
        <f>CG87/BU87-1</f>
        <v/>
      </c>
      <c r="CH89" s="1318">
        <f>CH87/BV87-1</f>
        <v/>
      </c>
      <c r="CI89" s="1318">
        <f>CI87/BW87-1</f>
        <v/>
      </c>
      <c r="CJ89" s="1318">
        <f>CJ87/BX87-1</f>
        <v/>
      </c>
      <c r="CK89" s="1318">
        <f>CK87/BY87-1</f>
        <v/>
      </c>
      <c r="CL89" s="1318">
        <f>CL87/BZ87-1</f>
        <v/>
      </c>
      <c r="CM89" s="1318">
        <f>CM87/CA87-1</f>
        <v/>
      </c>
      <c r="CN89" s="1318">
        <f>CN87/CB87-1</f>
        <v/>
      </c>
      <c r="CO89" s="1318">
        <f>CO87/CC87-1</f>
        <v/>
      </c>
      <c r="CP89" s="1318">
        <f>CP87/CD87-1</f>
        <v/>
      </c>
      <c r="CQ89" s="1318">
        <f>CQ87/CE87-1</f>
        <v/>
      </c>
      <c r="CR89" s="1318">
        <f>CR87/CF87-1</f>
        <v/>
      </c>
      <c r="CS89" s="1318">
        <f>CS87/CG87-1</f>
        <v/>
      </c>
      <c r="CT89" s="1318">
        <f>CT87/CH87-1</f>
        <v/>
      </c>
      <c r="CU89" s="1318">
        <f>CU87/CI87-1</f>
        <v/>
      </c>
      <c r="CV89" s="1318">
        <f>CV87/CJ87-1</f>
        <v/>
      </c>
      <c r="CW89" s="1318">
        <f>CW87/CK87-1</f>
        <v/>
      </c>
      <c r="CX89" s="1318">
        <f>CX87/CL87-1</f>
        <v/>
      </c>
      <c r="CY89" s="1318">
        <f>CY87/CM87-1</f>
        <v/>
      </c>
      <c r="CZ89" s="1318">
        <f>CZ87/CN87-1</f>
        <v/>
      </c>
      <c r="DA89" s="1318">
        <f>DA87/CO87-1</f>
        <v/>
      </c>
      <c r="DB89" s="1318">
        <f>DB87/CP87-1</f>
        <v/>
      </c>
      <c r="DC89" s="1318">
        <f>DC87/CQ87-1</f>
        <v/>
      </c>
      <c r="DD89" s="1318">
        <f>DD87/CR87-1</f>
        <v/>
      </c>
      <c r="DE89" s="1318">
        <f>DE87/CS87-1</f>
        <v/>
      </c>
      <c r="DF89" s="1318">
        <f>DF87/CT87-1</f>
        <v/>
      </c>
      <c r="DG89" s="1318">
        <f>DG87/CU87-1</f>
        <v/>
      </c>
      <c r="DH89" s="1318">
        <f>DH87/CV87-1</f>
        <v/>
      </c>
      <c r="DI89" s="1318">
        <f>DI87/CW87-1</f>
        <v/>
      </c>
      <c r="DJ89" s="1318">
        <f>DJ87/CX87-1</f>
        <v/>
      </c>
      <c r="DK89" s="1318">
        <f>DK87/CY87-1</f>
        <v/>
      </c>
      <c r="DL89" s="1318">
        <f>DL87/CZ87-1</f>
        <v/>
      </c>
      <c r="DM89" s="1318">
        <f>DM87/DA87-1</f>
        <v/>
      </c>
      <c r="DN89" s="1318">
        <f>DN87/DB87-1</f>
        <v/>
      </c>
      <c r="DO89" s="1318">
        <f>DO87/DC87-1</f>
        <v/>
      </c>
      <c r="DP89" s="1318">
        <f>DP87/DD87-1</f>
        <v/>
      </c>
      <c r="DQ89" s="1318">
        <f>DQ87/DE87-1</f>
        <v/>
      </c>
      <c r="DR89" s="1318">
        <f>DR87/DF87-1</f>
        <v/>
      </c>
      <c r="DS89" s="1318">
        <f>DS87/DG87-1</f>
        <v/>
      </c>
      <c r="DT89" s="1318">
        <f>DT87/DH87-1</f>
        <v/>
      </c>
      <c r="DU89" s="1318">
        <f>DU87/DI87-1</f>
        <v/>
      </c>
      <c r="DV89" s="1318">
        <f>DV87/DJ87-1</f>
        <v/>
      </c>
      <c r="DW89" s="1318">
        <f>DW87/DK87-1</f>
        <v/>
      </c>
      <c r="DX89" s="1318">
        <f>DX87/DL87-1</f>
        <v/>
      </c>
      <c r="DY89" s="1318">
        <f>DY87/DM87-1</f>
        <v/>
      </c>
      <c r="DZ89" s="1318">
        <f>DZ87/DN87-1</f>
        <v/>
      </c>
      <c r="EA89" s="1318">
        <f>EA87/DO87-1</f>
        <v/>
      </c>
      <c r="EB89" s="1318">
        <f>EB87/DP87-1</f>
        <v/>
      </c>
      <c r="EC89" s="1318">
        <f>EC87/DQ87-1</f>
        <v/>
      </c>
      <c r="ED89" s="1318">
        <f>ED87/DR87-1</f>
        <v/>
      </c>
      <c r="EE89" s="1318">
        <f>EE87/DS87-1</f>
        <v/>
      </c>
      <c r="EF89" s="1318">
        <f>EF87/DT87-1</f>
        <v/>
      </c>
      <c r="EG89" s="1318">
        <f>EG87/DU87-1</f>
        <v/>
      </c>
      <c r="EH89" s="1318">
        <f>EH87/DV87-1</f>
        <v/>
      </c>
      <c r="EI89" s="1318">
        <f>EI87/DW87-1</f>
        <v/>
      </c>
      <c r="EJ89" s="1318">
        <f>EJ87/DX87-1</f>
        <v/>
      </c>
      <c r="EK89" s="1318">
        <f>EK87/DY87-1</f>
        <v/>
      </c>
      <c r="EL89" s="1318">
        <f>EL87/DZ87-1</f>
        <v/>
      </c>
      <c r="EM89" s="1318">
        <f>EM87/EA87-1</f>
        <v/>
      </c>
      <c r="EN89" s="1318">
        <f>EN87/EB87-1</f>
        <v/>
      </c>
      <c r="EO89" s="1318">
        <f>EO87/EC87-1</f>
        <v/>
      </c>
      <c r="EP89" s="1318">
        <f>EP87/ED87-1</f>
        <v/>
      </c>
      <c r="EQ89" s="1318">
        <f>EQ87/EE87-1</f>
        <v/>
      </c>
      <c r="ER89" s="1318">
        <f>ER87/EF87-1</f>
        <v/>
      </c>
      <c r="ES89" s="1318">
        <f>ES87/EG87-1</f>
        <v/>
      </c>
      <c r="ET89" s="1318">
        <f>ET87/EH87-1</f>
        <v/>
      </c>
      <c r="EU89" s="1318">
        <f>EU87/EI87-1</f>
        <v/>
      </c>
      <c r="EV89" s="1318">
        <f>EV87/EJ87-1</f>
        <v/>
      </c>
      <c r="EW89" s="1318">
        <f>EW87/EK87-1</f>
        <v/>
      </c>
      <c r="EX89" s="1318">
        <f>EX87/EL87-1</f>
        <v/>
      </c>
      <c r="EY89" s="1318">
        <f>EY87/EM87-1</f>
        <v/>
      </c>
      <c r="EZ89" s="1318">
        <f>EZ87/EN87-1</f>
        <v/>
      </c>
      <c r="FA89" s="1318">
        <f>FA87/EO87-1</f>
        <v/>
      </c>
      <c r="FB89" s="1318">
        <f>FB87/EP87-1</f>
        <v/>
      </c>
      <c r="FC89" s="1318">
        <f>FC87/EQ87-1</f>
        <v/>
      </c>
      <c r="FD89" s="1318">
        <f>FD87/ER87-1</f>
        <v/>
      </c>
      <c r="FE89" s="1318">
        <f>FE87/ES87-1</f>
        <v/>
      </c>
      <c r="FF89" s="1318">
        <f>FF87/ET87-1</f>
        <v/>
      </c>
      <c r="FG89" s="1318">
        <f>FG87/EU87-1</f>
        <v/>
      </c>
      <c r="FH89" s="1318">
        <f>FH87/EV87-1</f>
        <v/>
      </c>
      <c r="FI89" s="1318">
        <f>FI87/EW87-1</f>
        <v/>
      </c>
      <c r="FJ89" s="1318">
        <f>FJ87/EX87-1</f>
        <v/>
      </c>
      <c r="FK89" s="1318">
        <f>FK87/EY87-1</f>
        <v/>
      </c>
      <c r="FL89" s="1318">
        <f>FL87/EZ87-1</f>
        <v/>
      </c>
      <c r="FM89" s="1318">
        <f>FM87/FA87-1</f>
        <v/>
      </c>
      <c r="FN89" s="1318">
        <f>FN87/FB87-1</f>
        <v/>
      </c>
      <c r="FO89" s="1318">
        <f>FO87/FC87-1</f>
        <v/>
      </c>
      <c r="FP89" s="1318">
        <f>FP87/FD87-1</f>
        <v/>
      </c>
      <c r="FQ89" s="1318">
        <f>FQ87/FE87-1</f>
        <v/>
      </c>
      <c r="FR89" s="1318">
        <f>FR87/FF87-1</f>
        <v/>
      </c>
      <c r="FS89" s="1318">
        <f>FS87/FG87-1</f>
        <v/>
      </c>
      <c r="FT89" s="1318">
        <f>FT87/FH87-1</f>
        <v/>
      </c>
      <c r="FU89" s="1318">
        <f>FU87/FI87-1</f>
        <v/>
      </c>
      <c r="FV89" s="1318">
        <f>FV87/FJ87-1</f>
        <v/>
      </c>
      <c r="FW89" s="1318">
        <f>FW87/FK87-1</f>
        <v/>
      </c>
      <c r="FX89" s="1318">
        <f>FX87/FL87-1</f>
        <v/>
      </c>
      <c r="FY89" s="1318">
        <f>FY87/FM87-1</f>
        <v/>
      </c>
      <c r="FZ89" s="1318">
        <f>FZ87/FN87-1</f>
        <v/>
      </c>
      <c r="GA89" s="1318">
        <f>GA87/FO87-1</f>
        <v/>
      </c>
      <c r="GB89" s="1318">
        <f>GB87/FP87-1</f>
        <v/>
      </c>
      <c r="GC89" s="1318">
        <f>GC87/FQ87-1</f>
        <v/>
      </c>
      <c r="GD89" s="1318">
        <f>GD87/FR87-1</f>
        <v/>
      </c>
      <c r="GE89" s="1318">
        <f>GE87/FS87-1</f>
        <v/>
      </c>
      <c r="GF89" s="1318">
        <f>GF87/FT87-1</f>
        <v/>
      </c>
      <c r="GG89" s="1318">
        <f>GG87/FU87-1</f>
        <v/>
      </c>
      <c r="GH89" s="1318">
        <f>GH87/FV87-1</f>
        <v/>
      </c>
      <c r="GI89" s="1318">
        <f>GI87/FW87-1</f>
        <v/>
      </c>
      <c r="GJ89" s="1318">
        <f>GJ87/FX87-1</f>
        <v/>
      </c>
      <c r="GK89" s="1318">
        <f>GK87/FY87-1</f>
        <v/>
      </c>
      <c r="GL89" s="1318">
        <f>GL87/FZ87-1</f>
        <v/>
      </c>
      <c r="GM89" s="1318">
        <f>GM87/GA87-1</f>
        <v/>
      </c>
      <c r="GN89" s="1318">
        <f>GN87/GB87-1</f>
        <v/>
      </c>
      <c r="GO89" s="1318">
        <f>GO87/GC87-1</f>
        <v/>
      </c>
      <c r="GP89" s="1318">
        <f>GP87/GD87-1</f>
        <v/>
      </c>
      <c r="GQ89" s="1318">
        <f>GQ87/GE87-1</f>
        <v/>
      </c>
      <c r="GR89" s="1318">
        <f>GR87/GF87-1</f>
        <v/>
      </c>
      <c r="GS89" s="1318">
        <f>GS87/GG87-1</f>
        <v/>
      </c>
      <c r="GT89" s="1318">
        <f>GT87/GH87-1</f>
        <v/>
      </c>
      <c r="GU89" s="1318">
        <f>GU87/GI87-1</f>
        <v/>
      </c>
      <c r="GV89" s="1318">
        <f>GV87/GJ87-1</f>
        <v/>
      </c>
      <c r="GW89" s="1318">
        <f>GW87/GK87-1</f>
        <v/>
      </c>
      <c r="GX89" s="1318">
        <f>GX87/GL87-1</f>
        <v/>
      </c>
      <c r="GY89" s="1318">
        <f>GY87/GM87-1</f>
        <v/>
      </c>
      <c r="GZ89" s="1318">
        <f>GZ87/GN87-1</f>
        <v/>
      </c>
      <c r="HA89" s="1318">
        <f>HA87/GO87-1</f>
        <v/>
      </c>
      <c r="HB89" s="1318">
        <f>HB87/GP87-1</f>
        <v/>
      </c>
      <c r="HC89" s="1318">
        <f>HC87/GQ87-1</f>
        <v/>
      </c>
      <c r="HD89" s="1318">
        <f>HD87/GR87-1</f>
        <v/>
      </c>
      <c r="HE89" s="1318">
        <f>HE87/GS87-1</f>
        <v/>
      </c>
      <c r="HF89" s="1318">
        <f>HF87/GT87-1</f>
        <v/>
      </c>
      <c r="HG89" s="1318">
        <f>HG87/GU87-1</f>
        <v/>
      </c>
      <c r="HH89" s="1318">
        <f>HH87/GV87-1</f>
        <v/>
      </c>
      <c r="HI89" s="1318">
        <f>HI87/GW87-1</f>
        <v/>
      </c>
      <c r="HJ89" s="1318">
        <f>HJ87/GX87-1</f>
        <v/>
      </c>
      <c r="HK89" s="1318">
        <f>HK87/GY87-1</f>
        <v/>
      </c>
      <c r="HL89" s="1318">
        <f>HL87/GZ87-1</f>
        <v/>
      </c>
      <c r="HM89" s="1318">
        <f>HM87/HA87-1</f>
        <v/>
      </c>
      <c r="HN89" s="1318">
        <f>HN87/HB87-1</f>
        <v/>
      </c>
      <c r="HO89" s="1318">
        <f>HO87/HC87-1</f>
        <v/>
      </c>
      <c r="HP89" s="1318">
        <f>HP87/HD87-1</f>
        <v/>
      </c>
      <c r="HQ89" s="1318">
        <f>HQ87/HE87-1</f>
        <v/>
      </c>
      <c r="HR89" s="1318">
        <f>HR87/HF87-1</f>
        <v/>
      </c>
      <c r="HS89" s="1318">
        <f>HS87/HG87-1</f>
        <v/>
      </c>
      <c r="HT89" s="1318">
        <f>HT87/HH87-1</f>
        <v/>
      </c>
      <c r="HU89" s="1318">
        <f>HU87/HI87-1</f>
        <v/>
      </c>
      <c r="HV89" s="1318">
        <f>HV87/HJ87-1</f>
        <v/>
      </c>
      <c r="HW89" s="1318">
        <f>HW87/HK87-1</f>
        <v/>
      </c>
      <c r="HX89" s="1318">
        <f>HX87/HL87-1</f>
        <v/>
      </c>
      <c r="HY89" s="1318">
        <f>HY87/HM87-1</f>
        <v/>
      </c>
      <c r="HZ89" s="1318">
        <f>HZ87/HN87-1</f>
        <v/>
      </c>
      <c r="IA89" s="1318">
        <f>IA87/HO87-1</f>
        <v/>
      </c>
      <c r="IB89" s="1318">
        <f>IB87/HP87-1</f>
        <v/>
      </c>
      <c r="IC89" s="1318">
        <f>IC87/HQ87-1</f>
        <v/>
      </c>
      <c r="ID89" s="1318">
        <f>ID87/HR87-1</f>
        <v/>
      </c>
      <c r="IE89" s="1318">
        <f>IE87/HS87-1</f>
        <v/>
      </c>
      <c r="IF89" s="1318">
        <f>IF87/HT87-1</f>
        <v/>
      </c>
      <c r="IG89" s="1318">
        <f>IG87/HU87-1</f>
        <v/>
      </c>
      <c r="IH89" s="1318">
        <f>IH87/HV87-1</f>
        <v/>
      </c>
      <c r="II89" s="1318">
        <f>II87/HW87-1</f>
        <v/>
      </c>
      <c r="IJ89" s="1318">
        <f>IJ87/HX87-1</f>
        <v/>
      </c>
      <c r="IK89" s="1318">
        <f>IK87/HY87-1</f>
        <v/>
      </c>
      <c r="IL89" s="1318">
        <f>IL87/HZ87-1</f>
        <v/>
      </c>
      <c r="IM89" s="1318">
        <f>IM87/IA87-1</f>
        <v/>
      </c>
      <c r="IN89" s="1318">
        <f>IN87/IB87-1</f>
        <v/>
      </c>
      <c r="IO89" s="1318">
        <f>IO87/IC87-1</f>
        <v/>
      </c>
      <c r="IP89" s="1318">
        <f>IP87/ID87-1</f>
        <v/>
      </c>
      <c r="IQ89" s="1318">
        <f>IQ87/IE87-1</f>
        <v/>
      </c>
      <c r="IR89" s="1318">
        <f>IR87/IF87-1</f>
        <v/>
      </c>
      <c r="IS89" s="1318">
        <f>IS87/IG87-1</f>
        <v/>
      </c>
      <c r="IT89" s="1318">
        <f>IT87/IH87-1</f>
        <v/>
      </c>
      <c r="IU89" s="1318">
        <f>IU87/II87-1</f>
        <v/>
      </c>
      <c r="IV89" s="1318">
        <f>IV87/IJ87-1</f>
        <v/>
      </c>
      <c r="IW89" s="1318">
        <f>IW87/IK87-1</f>
        <v/>
      </c>
      <c r="IX89" s="1318">
        <f>IX87/IL87-1</f>
        <v/>
      </c>
      <c r="IY89" s="1318">
        <f>IY87/IM87-1</f>
        <v/>
      </c>
      <c r="IZ89" s="1318">
        <f>IZ87/IN87-1</f>
        <v/>
      </c>
      <c r="JA89" s="1318">
        <f>JA87/IO87-1</f>
        <v/>
      </c>
      <c r="JB89" s="1318">
        <f>JB87/IP87-1</f>
        <v/>
      </c>
      <c r="JC89" s="1318">
        <f>JC87/IQ87-1</f>
        <v/>
      </c>
      <c r="JD89" s="1318">
        <f>JD87/IR87-1</f>
        <v/>
      </c>
      <c r="JE89" s="1318">
        <f>JE87/IS87-1</f>
        <v/>
      </c>
      <c r="JF89" s="1318">
        <f>JF87/IT87-1</f>
        <v/>
      </c>
      <c r="JG89" s="1318">
        <f>JG87/IU87-1</f>
        <v/>
      </c>
      <c r="JH89" s="1318">
        <f>JH87/IV87-1</f>
        <v/>
      </c>
      <c r="JI89" s="1318">
        <f>JI87/IW87-1</f>
        <v/>
      </c>
      <c r="JJ89" s="1318">
        <f>JJ87/IX87-1</f>
        <v/>
      </c>
      <c r="JK89" s="1318">
        <f>JK87/IY87-1</f>
        <v/>
      </c>
      <c r="JL89" s="1318">
        <f>JL87/IZ87-1</f>
        <v/>
      </c>
      <c r="JM89" s="1318">
        <f>JM87/JA87-1</f>
        <v/>
      </c>
      <c r="JN89" s="1318">
        <f>JN87/JB87-1</f>
        <v/>
      </c>
      <c r="JO89" s="1318">
        <f>JO87/JC87-1</f>
        <v/>
      </c>
      <c r="JP89" s="1318">
        <f>JP87/JD87-1</f>
        <v/>
      </c>
      <c r="JQ89" s="1318">
        <f>JQ87/JE87-1</f>
        <v/>
      </c>
      <c r="JR89" s="1318">
        <f>JR87/JF87-1</f>
        <v/>
      </c>
      <c r="JS89" s="1318">
        <f>JS87/JG87-1</f>
        <v/>
      </c>
      <c r="JT89" s="1318">
        <f>JT87/JH87-1</f>
        <v/>
      </c>
      <c r="JU89" s="1318">
        <f>JU87/JI87-1</f>
        <v/>
      </c>
      <c r="JV89" s="1318">
        <f>JV87/JJ87-1</f>
        <v/>
      </c>
      <c r="JW89" s="1318">
        <f>JW87/JK87-1</f>
        <v/>
      </c>
      <c r="JX89" s="1318">
        <f>JX87/JL87-1</f>
        <v/>
      </c>
      <c r="JY89" s="1318">
        <f>JY87/JM87-1</f>
        <v/>
      </c>
      <c r="JZ89" s="1318">
        <f>JZ87/JN87-1</f>
        <v/>
      </c>
      <c r="KA89" s="1318">
        <f>KA87/JO87-1</f>
        <v/>
      </c>
      <c r="KB89" s="1318">
        <f>KB87/JP87-1</f>
        <v/>
      </c>
      <c r="KC89" s="1318">
        <f>KC87/JQ87-1</f>
        <v/>
      </c>
      <c r="KD89" s="1318">
        <f>KD87/JR87-1</f>
        <v/>
      </c>
      <c r="KE89" s="1318">
        <f>KE87/JS87-1</f>
        <v/>
      </c>
      <c r="KF89" s="1318">
        <f>KF87/JT87-1</f>
        <v/>
      </c>
      <c r="KG89" s="1318">
        <f>KG87/JU87-1</f>
        <v/>
      </c>
      <c r="KH89" s="1318">
        <f>KH87/JV87-1</f>
        <v/>
      </c>
      <c r="KI89" s="1318">
        <f>KI87/JW87-1</f>
        <v/>
      </c>
      <c r="KJ89" s="1318">
        <f>KJ87/JX87-1</f>
        <v/>
      </c>
      <c r="KK89" s="1318">
        <f>KK87/JY87-1</f>
        <v/>
      </c>
      <c r="KL89" s="1318">
        <f>KL87/JZ87-1</f>
        <v/>
      </c>
      <c r="KM89" s="1318">
        <f>KM87/KA87-1</f>
        <v/>
      </c>
      <c r="KN89" s="1318">
        <f>KN87/KB87-1</f>
        <v/>
      </c>
      <c r="KO89" s="1318">
        <f>KO87/KC87-1</f>
        <v/>
      </c>
      <c r="KP89" s="1318">
        <f>KP87/KD87-1</f>
        <v/>
      </c>
      <c r="KQ89" s="1318">
        <f>KQ87/KE87-1</f>
        <v/>
      </c>
      <c r="KR89" s="1318">
        <f>KR87/KF87-1</f>
        <v/>
      </c>
      <c r="KS89" s="1318">
        <f>KS87/KG87-1</f>
        <v/>
      </c>
      <c r="KT89" s="1318">
        <f>KT87/KH87-1</f>
        <v/>
      </c>
      <c r="KU89" s="1318">
        <f>KU87/KI87-1</f>
        <v/>
      </c>
      <c r="KV89" s="1318">
        <f>KV87/KJ87-1</f>
        <v/>
      </c>
      <c r="KW89" s="1318">
        <f>KW87/KK87-1</f>
        <v/>
      </c>
      <c r="KX89" s="1318">
        <f>KX87/KL87-1</f>
        <v/>
      </c>
      <c r="KY89" s="1318">
        <f>KY87/KM87-1</f>
        <v/>
      </c>
      <c r="KZ89" s="1318">
        <f>KZ87/KN87-1</f>
        <v/>
      </c>
      <c r="LA89" s="1318">
        <f>LA87/KO87-1</f>
        <v/>
      </c>
      <c r="LB89" s="1318">
        <f>LB87/KP87-1</f>
        <v/>
      </c>
      <c r="LC89" s="1318">
        <f>LC87/KQ87-1</f>
        <v/>
      </c>
      <c r="LD89" s="1318">
        <f>LD87/KR87-1</f>
        <v/>
      </c>
      <c r="LE89" s="1318">
        <f>LE87/KS87-1</f>
        <v/>
      </c>
      <c r="LF89" s="1318">
        <f>LF87/KT87-1</f>
        <v/>
      </c>
      <c r="LG89" s="1318">
        <f>LG87/KU87-1</f>
        <v/>
      </c>
      <c r="LH89" s="1318">
        <f>LH87/KV87-1</f>
        <v/>
      </c>
      <c r="LI89" s="1318">
        <f>LI87/KW87-1</f>
        <v/>
      </c>
      <c r="LJ89" s="1318">
        <f>LJ87/KX87-1</f>
        <v/>
      </c>
      <c r="LK89" s="1318">
        <f>LK87/KY87-1</f>
        <v/>
      </c>
      <c r="LL89" s="1318">
        <f>LL87/KZ87-1</f>
        <v/>
      </c>
      <c r="LM89" s="1318">
        <f>LM87/LA87-1</f>
        <v/>
      </c>
      <c r="LN89" s="1318">
        <f>LN87/LB87-1</f>
        <v/>
      </c>
      <c r="LO89" s="1318">
        <f>LO87/LC87-1</f>
        <v/>
      </c>
      <c r="LP89" s="1318">
        <f>LP87/LD87-1</f>
        <v/>
      </c>
      <c r="LQ89" s="1318">
        <f>LQ87/LE87-1</f>
        <v/>
      </c>
      <c r="LR89" s="1318">
        <f>LR87/LF87-1</f>
        <v/>
      </c>
      <c r="LS89" s="1318">
        <f>LS87/LG87-1</f>
        <v/>
      </c>
    </row>
    <row r="90">
      <c r="A90" s="885" t="inlineStr">
        <is>
          <t>YTD cg %</t>
        </is>
      </c>
      <c r="B90" s="1318" t="n"/>
      <c r="C90" s="1336" t="n"/>
      <c r="D90" s="1336" t="n"/>
      <c r="E90" s="1336" t="n"/>
      <c r="F90" s="1336" t="n"/>
      <c r="G90" s="1336" t="n"/>
      <c r="H90" s="1336" t="n"/>
      <c r="I90" s="1336" t="n"/>
      <c r="J90" s="1336" t="n"/>
      <c r="K90" s="1336" t="n"/>
      <c r="L90" s="1336" t="n"/>
      <c r="M90" s="1336" t="n"/>
      <c r="N90" s="1318">
        <f>SUMIFS(87:87,$8:$8,"&gt;="&amp;DATE(YEAR(N$8),1,1),$8:$8,"&lt;="&amp;EOMONTH(N$8,0))/SUMIFS(87:87,$8:$8,"&gt;="&amp;DATE(YEAR(N$8)-1,1,1),$8:$8,"&lt;="&amp;EOMONTH(N$8,-12))-1</f>
        <v/>
      </c>
      <c r="O90" s="1318">
        <f>SUMIFS(87:87,$8:$8,"&gt;="&amp;DATE(YEAR(O$8),1,1),$8:$8,"&lt;="&amp;EOMONTH(O$8,0))/SUMIFS(87:87,$8:$8,"&gt;="&amp;DATE(YEAR(O$8)-1,1,1),$8:$8,"&lt;="&amp;EOMONTH(O$8,-12))-1</f>
        <v/>
      </c>
      <c r="P90" s="1318">
        <f>SUMIFS(87:87,$8:$8,"&gt;="&amp;DATE(YEAR(P$8),1,1),$8:$8,"&lt;="&amp;EOMONTH(P$8,0))/SUMIFS(87:87,$8:$8,"&gt;="&amp;DATE(YEAR(P$8)-1,1,1),$8:$8,"&lt;="&amp;EOMONTH(P$8,-12))-1</f>
        <v/>
      </c>
      <c r="Q90" s="1318">
        <f>SUMIFS(87:87,$8:$8,"&gt;="&amp;DATE(YEAR(Q$8),1,1),$8:$8,"&lt;="&amp;EOMONTH(Q$8,0))/SUMIFS(87:87,$8:$8,"&gt;="&amp;DATE(YEAR(Q$8)-1,1,1),$8:$8,"&lt;="&amp;EOMONTH(Q$8,-12))-1</f>
        <v/>
      </c>
      <c r="R90" s="1318">
        <f>SUMIFS(87:87,$8:$8,"&gt;="&amp;DATE(YEAR(R$8),1,1),$8:$8,"&lt;="&amp;EOMONTH(R$8,0))/SUMIFS(87:87,$8:$8,"&gt;="&amp;DATE(YEAR(R$8)-1,1,1),$8:$8,"&lt;="&amp;EOMONTH(R$8,-12))-1</f>
        <v/>
      </c>
      <c r="S90" s="1318">
        <f>SUMIFS(87:87,$8:$8,"&gt;="&amp;DATE(YEAR(S$8),1,1),$8:$8,"&lt;="&amp;EOMONTH(S$8,0))/SUMIFS(87:87,$8:$8,"&gt;="&amp;DATE(YEAR(S$8)-1,1,1),$8:$8,"&lt;="&amp;EOMONTH(S$8,-12))-1</f>
        <v/>
      </c>
      <c r="T90" s="1318">
        <f>SUMIFS(87:87,$8:$8,"&gt;="&amp;DATE(YEAR(T$8),1,1),$8:$8,"&lt;="&amp;EOMONTH(T$8,0))/SUMIFS(87:87,$8:$8,"&gt;="&amp;DATE(YEAR(T$8)-1,1,1),$8:$8,"&lt;="&amp;EOMONTH(T$8,-12))-1</f>
        <v/>
      </c>
      <c r="U90" s="1318">
        <f>SUMIFS(87:87,$8:$8,"&gt;="&amp;DATE(YEAR(U$8),1,1),$8:$8,"&lt;="&amp;EOMONTH(U$8,0))/SUMIFS(87:87,$8:$8,"&gt;="&amp;DATE(YEAR(U$8)-1,1,1),$8:$8,"&lt;="&amp;EOMONTH(U$8,-12))-1</f>
        <v/>
      </c>
      <c r="V90" s="1318">
        <f>SUMIFS(87:87,$8:$8,"&gt;="&amp;DATE(YEAR(V$8),1,1),$8:$8,"&lt;="&amp;EOMONTH(V$8,0))/SUMIFS(87:87,$8:$8,"&gt;="&amp;DATE(YEAR(V$8)-1,1,1),$8:$8,"&lt;="&amp;EOMONTH(V$8,-12))-1</f>
        <v/>
      </c>
      <c r="W90" s="1318">
        <f>SUMIFS(87:87,$8:$8,"&gt;="&amp;DATE(YEAR(W$8),1,1),$8:$8,"&lt;="&amp;EOMONTH(W$8,0))/SUMIFS(87:87,$8:$8,"&gt;="&amp;DATE(YEAR(W$8)-1,1,1),$8:$8,"&lt;="&amp;EOMONTH(W$8,-12))-1</f>
        <v/>
      </c>
      <c r="X90" s="1318">
        <f>SUMIFS(87:87,$8:$8,"&gt;="&amp;DATE(YEAR(X$8),1,1),$8:$8,"&lt;="&amp;EOMONTH(X$8,0))/SUMIFS(87:87,$8:$8,"&gt;="&amp;DATE(YEAR(X$8)-1,1,1),$8:$8,"&lt;="&amp;EOMONTH(X$8,-12))-1</f>
        <v/>
      </c>
      <c r="Y90" s="1318">
        <f>SUMIFS(87:87,$8:$8,"&gt;="&amp;DATE(YEAR(Y$8),1,1),$8:$8,"&lt;="&amp;EOMONTH(Y$8,0))/SUMIFS(87:87,$8:$8,"&gt;="&amp;DATE(YEAR(Y$8)-1,1,1),$8:$8,"&lt;="&amp;EOMONTH(Y$8,-12))-1</f>
        <v/>
      </c>
      <c r="Z90" s="1318">
        <f>SUMIFS(87:87,$8:$8,"&gt;="&amp;DATE(YEAR(Z$8),1,1),$8:$8,"&lt;="&amp;EOMONTH(Z$8,0))/SUMIFS(87:87,$8:$8,"&gt;="&amp;DATE(YEAR(Z$8)-1,1,1),$8:$8,"&lt;="&amp;EOMONTH(Z$8,-12))-1</f>
        <v/>
      </c>
      <c r="AA90" s="1318">
        <f>SUMIFS(87:87,$8:$8,"&gt;="&amp;DATE(YEAR(AA$8),1,1),$8:$8,"&lt;="&amp;EOMONTH(AA$8,0))/SUMIFS(87:87,$8:$8,"&gt;="&amp;DATE(YEAR(AA$8)-1,1,1),$8:$8,"&lt;="&amp;EOMONTH(AA$8,-12))-1</f>
        <v/>
      </c>
      <c r="AB90" s="1318">
        <f>SUMIFS(87:87,$8:$8,"&gt;="&amp;DATE(YEAR(AB$8),1,1),$8:$8,"&lt;="&amp;EOMONTH(AB$8,0))/SUMIFS(87:87,$8:$8,"&gt;="&amp;DATE(YEAR(AB$8)-1,1,1),$8:$8,"&lt;="&amp;EOMONTH(AB$8,-12))-1</f>
        <v/>
      </c>
      <c r="AC90" s="1318">
        <f>SUMIFS(87:87,$8:$8,"&gt;="&amp;DATE(YEAR(AC$8),1,1),$8:$8,"&lt;="&amp;EOMONTH(AC$8,0))/SUMIFS(87:87,$8:$8,"&gt;="&amp;DATE(YEAR(AC$8)-1,1,1),$8:$8,"&lt;="&amp;EOMONTH(AC$8,-12))-1</f>
        <v/>
      </c>
      <c r="AD90" s="1318">
        <f>SUMIFS(87:87,$8:$8,"&gt;="&amp;DATE(YEAR(AD$8),1,1),$8:$8,"&lt;="&amp;EOMONTH(AD$8,0))/SUMIFS(87:87,$8:$8,"&gt;="&amp;DATE(YEAR(AD$8)-1,1,1),$8:$8,"&lt;="&amp;EOMONTH(AD$8,-12))-1</f>
        <v/>
      </c>
      <c r="AE90" s="1318">
        <f>SUMIFS(87:87,$8:$8,"&gt;="&amp;DATE(YEAR(AE$8),1,1),$8:$8,"&lt;="&amp;EOMONTH(AE$8,0))/SUMIFS(87:87,$8:$8,"&gt;="&amp;DATE(YEAR(AE$8)-1,1,1),$8:$8,"&lt;="&amp;EOMONTH(AE$8,-12))-1</f>
        <v/>
      </c>
      <c r="AF90" s="1318">
        <f>SUMIFS(87:87,$8:$8,"&gt;="&amp;DATE(YEAR(AF$8),1,1),$8:$8,"&lt;="&amp;EOMONTH(AF$8,0))/SUMIFS(87:87,$8:$8,"&gt;="&amp;DATE(YEAR(AF$8)-1,1,1),$8:$8,"&lt;="&amp;EOMONTH(AF$8,-12))-1</f>
        <v/>
      </c>
      <c r="AG90" s="1318">
        <f>SUMIFS(87:87,$8:$8,"&gt;="&amp;DATE(YEAR(AG$8),1,1),$8:$8,"&lt;="&amp;EOMONTH(AG$8,0))/SUMIFS(87:87,$8:$8,"&gt;="&amp;DATE(YEAR(AG$8)-1,1,1),$8:$8,"&lt;="&amp;EOMONTH(AG$8,-12))-1</f>
        <v/>
      </c>
      <c r="AH90" s="1318">
        <f>SUMIFS(87:87,$8:$8,"&gt;="&amp;DATE(YEAR(AH$8),1,1),$8:$8,"&lt;="&amp;EOMONTH(AH$8,0))/SUMIFS(87:87,$8:$8,"&gt;="&amp;DATE(YEAR(AH$8)-1,1,1),$8:$8,"&lt;="&amp;EOMONTH(AH$8,-12))-1</f>
        <v/>
      </c>
      <c r="AI90" s="1318">
        <f>SUMIFS(87:87,$8:$8,"&gt;="&amp;DATE(YEAR(AI$8),1,1),$8:$8,"&lt;="&amp;EOMONTH(AI$8,0))/SUMIFS(87:87,$8:$8,"&gt;="&amp;DATE(YEAR(AI$8)-1,1,1),$8:$8,"&lt;="&amp;EOMONTH(AI$8,-12))-1</f>
        <v/>
      </c>
      <c r="AJ90" s="1318">
        <f>SUMIFS(87:87,$8:$8,"&gt;="&amp;DATE(YEAR(AJ$8),1,1),$8:$8,"&lt;="&amp;EOMONTH(AJ$8,0))/SUMIFS(87:87,$8:$8,"&gt;="&amp;DATE(YEAR(AJ$8)-1,1,1),$8:$8,"&lt;="&amp;EOMONTH(AJ$8,-12))-1</f>
        <v/>
      </c>
      <c r="AK90" s="1318">
        <f>SUMIFS(87:87,$8:$8,"&gt;="&amp;DATE(YEAR(AK$8),1,1),$8:$8,"&lt;="&amp;EOMONTH(AK$8,0))/SUMIFS(87:87,$8:$8,"&gt;="&amp;DATE(YEAR(AK$8)-1,1,1),$8:$8,"&lt;="&amp;EOMONTH(AK$8,-12))-1</f>
        <v/>
      </c>
      <c r="AL90" s="1318">
        <f>SUMIFS(87:87,$8:$8,"&gt;="&amp;DATE(YEAR(AL$8),1,1),$8:$8,"&lt;="&amp;EOMONTH(AL$8,0))/SUMIFS(87:87,$8:$8,"&gt;="&amp;DATE(YEAR(AL$8)-1,1,1),$8:$8,"&lt;="&amp;EOMONTH(AL$8,-12))-1</f>
        <v/>
      </c>
      <c r="AM90" s="1318">
        <f>SUMIFS(87:87,$8:$8,"&gt;="&amp;DATE(YEAR(AM$8),1,1),$8:$8,"&lt;="&amp;EOMONTH(AM$8,0))/SUMIFS(87:87,$8:$8,"&gt;="&amp;DATE(YEAR(AM$8)-1,1,1),$8:$8,"&lt;="&amp;EOMONTH(AM$8,-12))-1</f>
        <v/>
      </c>
      <c r="AN90" s="1318">
        <f>SUMIFS(87:87,$8:$8,"&gt;="&amp;DATE(YEAR(AN$8),1,1),$8:$8,"&lt;="&amp;EOMONTH(AN$8,0))/SUMIFS(87:87,$8:$8,"&gt;="&amp;DATE(YEAR(AN$8)-1,1,1),$8:$8,"&lt;="&amp;EOMONTH(AN$8,-12))-1</f>
        <v/>
      </c>
      <c r="AO90" s="1318">
        <f>SUMIFS(87:87,$8:$8,"&gt;="&amp;DATE(YEAR(AO$8),1,1),$8:$8,"&lt;="&amp;EOMONTH(AO$8,0))/SUMIFS(87:87,$8:$8,"&gt;="&amp;DATE(YEAR(AO$8)-1,1,1),$8:$8,"&lt;="&amp;EOMONTH(AO$8,-12))-1</f>
        <v/>
      </c>
      <c r="AP90" s="1318">
        <f>SUMIFS(87:87,$8:$8,"&gt;="&amp;DATE(YEAR(AP$8),1,1),$8:$8,"&lt;="&amp;EOMONTH(AP$8,0))/SUMIFS(87:87,$8:$8,"&gt;="&amp;DATE(YEAR(AP$8)-1,1,1),$8:$8,"&lt;="&amp;EOMONTH(AP$8,-12))-1</f>
        <v/>
      </c>
      <c r="AQ90" s="1318">
        <f>SUMIFS(87:87,$8:$8,"&gt;="&amp;DATE(YEAR(AQ$8),1,1),$8:$8,"&lt;="&amp;EOMONTH(AQ$8,0))/SUMIFS(87:87,$8:$8,"&gt;="&amp;DATE(YEAR(AQ$8)-1,1,1),$8:$8,"&lt;="&amp;EOMONTH(AQ$8,-12))-1</f>
        <v/>
      </c>
      <c r="AR90" s="1318">
        <f>SUMIFS(87:87,$8:$8,"&gt;="&amp;DATE(YEAR(AR$8),1,1),$8:$8,"&lt;="&amp;EOMONTH(AR$8,0))/SUMIFS(87:87,$8:$8,"&gt;="&amp;DATE(YEAR(AR$8)-1,1,1),$8:$8,"&lt;="&amp;EOMONTH(AR$8,-12))-1</f>
        <v/>
      </c>
      <c r="AS90" s="1318">
        <f>SUMIFS(87:87,$8:$8,"&gt;="&amp;DATE(YEAR(AS$8),1,1),$8:$8,"&lt;="&amp;EOMONTH(AS$8,0))/SUMIFS(87:87,$8:$8,"&gt;="&amp;DATE(YEAR(AS$8)-1,1,1),$8:$8,"&lt;="&amp;EOMONTH(AS$8,-12))-1</f>
        <v/>
      </c>
      <c r="AT90" s="1318">
        <f>SUMIFS(87:87,$8:$8,"&gt;="&amp;DATE(YEAR(AT$8),1,1),$8:$8,"&lt;="&amp;EOMONTH(AT$8,0))/SUMIFS(87:87,$8:$8,"&gt;="&amp;DATE(YEAR(AT$8)-1,1,1),$8:$8,"&lt;="&amp;EOMONTH(AT$8,-12))-1</f>
        <v/>
      </c>
      <c r="AU90" s="1318">
        <f>SUMIFS(87:87,$8:$8,"&gt;="&amp;DATE(YEAR(AU$8),1,1),$8:$8,"&lt;="&amp;EOMONTH(AU$8,0))/SUMIFS(87:87,$8:$8,"&gt;="&amp;DATE(YEAR(AU$8)-1,1,1),$8:$8,"&lt;="&amp;EOMONTH(AU$8,-12))-1</f>
        <v/>
      </c>
      <c r="AV90" s="1318">
        <f>SUMIFS(87:87,$8:$8,"&gt;="&amp;DATE(YEAR(AV$8),1,1),$8:$8,"&lt;="&amp;EOMONTH(AV$8,0))/SUMIFS(87:87,$8:$8,"&gt;="&amp;DATE(YEAR(AV$8)-1,1,1),$8:$8,"&lt;="&amp;EOMONTH(AV$8,-12))-1</f>
        <v/>
      </c>
      <c r="AW90" s="1318">
        <f>SUMIFS(87:87,$8:$8,"&gt;="&amp;DATE(YEAR(AW$8),1,1),$8:$8,"&lt;="&amp;EOMONTH(AW$8,0))/SUMIFS(87:87,$8:$8,"&gt;="&amp;DATE(YEAR(AW$8)-1,1,1),$8:$8,"&lt;="&amp;EOMONTH(AW$8,-12))-1</f>
        <v/>
      </c>
      <c r="AX90" s="1318">
        <f>SUMIFS(87:87,$8:$8,"&gt;="&amp;DATE(YEAR(AX$8),1,1),$8:$8,"&lt;="&amp;EOMONTH(AX$8,0))/SUMIFS(87:87,$8:$8,"&gt;="&amp;DATE(YEAR(AX$8)-1,1,1),$8:$8,"&lt;="&amp;EOMONTH(AX$8,-12))-1</f>
        <v/>
      </c>
      <c r="AY90" s="1318">
        <f>SUMIFS(87:87,$8:$8,"&gt;="&amp;DATE(YEAR(AY$8),1,1),$8:$8,"&lt;="&amp;EOMONTH(AY$8,0))/SUMIFS(87:87,$8:$8,"&gt;="&amp;DATE(YEAR(AY$8)-1,1,1),$8:$8,"&lt;="&amp;EOMONTH(AY$8,-12))-1</f>
        <v/>
      </c>
      <c r="AZ90" s="1318">
        <f>SUMIFS(87:87,$8:$8,"&gt;="&amp;DATE(YEAR(AZ$8),1,1),$8:$8,"&lt;="&amp;EOMONTH(AZ$8,0))/SUMIFS(87:87,$8:$8,"&gt;="&amp;DATE(YEAR(AZ$8)-1,1,1),$8:$8,"&lt;="&amp;EOMONTH(AZ$8,-12))-1</f>
        <v/>
      </c>
      <c r="BA90" s="1318">
        <f>SUMIFS(87:87,$8:$8,"&gt;="&amp;DATE(YEAR(BA$8),1,1),$8:$8,"&lt;="&amp;EOMONTH(BA$8,0))/SUMIFS(87:87,$8:$8,"&gt;="&amp;DATE(YEAR(BA$8)-1,1,1),$8:$8,"&lt;="&amp;EOMONTH(BA$8,-12))-1</f>
        <v/>
      </c>
      <c r="BB90" s="1318">
        <f>SUMIFS(87:87,$8:$8,"&gt;="&amp;DATE(YEAR(BB$8),1,1),$8:$8,"&lt;="&amp;EOMONTH(BB$8,0))/SUMIFS(87:87,$8:$8,"&gt;="&amp;DATE(YEAR(BB$8)-1,1,1),$8:$8,"&lt;="&amp;EOMONTH(BB$8,-12))-1</f>
        <v/>
      </c>
      <c r="BC90" s="1318">
        <f>SUMIFS(87:87,$8:$8,"&gt;="&amp;DATE(YEAR(BC$8),1,1),$8:$8,"&lt;="&amp;EOMONTH(BC$8,0))/SUMIFS(87:87,$8:$8,"&gt;="&amp;DATE(YEAR(BC$8)-1,1,1),$8:$8,"&lt;="&amp;EOMONTH(BC$8,-12))-1</f>
        <v/>
      </c>
      <c r="BD90" s="1318">
        <f>SUMIFS(87:87,$8:$8,"&gt;="&amp;DATE(YEAR(BD$8),1,1),$8:$8,"&lt;="&amp;EOMONTH(BD$8,0))/SUMIFS(87:87,$8:$8,"&gt;="&amp;DATE(YEAR(BD$8)-1,1,1),$8:$8,"&lt;="&amp;EOMONTH(BD$8,-12))-1</f>
        <v/>
      </c>
      <c r="BE90" s="1318">
        <f>SUMIFS(87:87,$8:$8,"&gt;="&amp;DATE(YEAR(BE$8),1,1),$8:$8,"&lt;="&amp;EOMONTH(BE$8,0))/SUMIFS(87:87,$8:$8,"&gt;="&amp;DATE(YEAR(BE$8)-1,1,1),$8:$8,"&lt;="&amp;EOMONTH(BE$8,-12))-1</f>
        <v/>
      </c>
      <c r="BF90" s="1318">
        <f>SUMIFS(87:87,$8:$8,"&gt;="&amp;DATE(YEAR(BF$8),1,1),$8:$8,"&lt;="&amp;EOMONTH(BF$8,0))/SUMIFS(87:87,$8:$8,"&gt;="&amp;DATE(YEAR(BF$8)-1,1,1),$8:$8,"&lt;="&amp;EOMONTH(BF$8,-12))-1</f>
        <v/>
      </c>
      <c r="BG90" s="1318">
        <f>SUMIFS(87:87,$8:$8,"&gt;="&amp;DATE(YEAR(BG$8),1,1),$8:$8,"&lt;="&amp;EOMONTH(BG$8,0))/SUMIFS(87:87,$8:$8,"&gt;="&amp;DATE(YEAR(BG$8)-1,1,1),$8:$8,"&lt;="&amp;EOMONTH(BG$8,-12))-1</f>
        <v/>
      </c>
      <c r="BH90" s="1318">
        <f>SUMIFS(87:87,$8:$8,"&gt;="&amp;DATE(YEAR(BH$8),1,1),$8:$8,"&lt;="&amp;EOMONTH(BH$8,0))/SUMIFS(87:87,$8:$8,"&gt;="&amp;DATE(YEAR(BH$8)-1,1,1),$8:$8,"&lt;="&amp;EOMONTH(BH$8,-12))-1</f>
        <v/>
      </c>
      <c r="BI90" s="1318">
        <f>SUMIFS(87:87,$8:$8,"&gt;="&amp;DATE(YEAR(BI$8),1,1),$8:$8,"&lt;="&amp;EOMONTH(BI$8,0))/SUMIFS(87:87,$8:$8,"&gt;="&amp;DATE(YEAR(BI$8)-1,1,1),$8:$8,"&lt;="&amp;EOMONTH(BI$8,-12))-1</f>
        <v/>
      </c>
      <c r="BJ90" s="1318">
        <f>SUMIFS(87:87,$8:$8,"&gt;="&amp;DATE(YEAR(BJ$8),1,1),$8:$8,"&lt;="&amp;EOMONTH(BJ$8,0))/SUMIFS(87:87,$8:$8,"&gt;="&amp;DATE(YEAR(BJ$8)-1,1,1),$8:$8,"&lt;="&amp;EOMONTH(BJ$8,-12))-1</f>
        <v/>
      </c>
      <c r="BK90" s="1318">
        <f>SUMIFS(87:87,$8:$8,"&gt;="&amp;DATE(YEAR(BK$8),1,1),$8:$8,"&lt;="&amp;EOMONTH(BK$8,0))/SUMIFS(87:87,$8:$8,"&gt;="&amp;DATE(YEAR(BK$8)-1,1,1),$8:$8,"&lt;="&amp;EOMONTH(BK$8,-12))-1</f>
        <v/>
      </c>
      <c r="BL90" s="1318">
        <f>SUMIFS(87:87,$8:$8,"&gt;="&amp;DATE(YEAR(BL$8),1,1),$8:$8,"&lt;="&amp;EOMONTH(BL$8,0))/SUMIFS(87:87,$8:$8,"&gt;="&amp;DATE(YEAR(BL$8)-1,1,1),$8:$8,"&lt;="&amp;EOMONTH(BL$8,-12))-1</f>
        <v/>
      </c>
      <c r="BM90" s="1318">
        <f>SUMIFS(87:87,$8:$8,"&gt;="&amp;DATE(YEAR(BM$8),1,1),$8:$8,"&lt;="&amp;EOMONTH(BM$8,0))/SUMIFS(87:87,$8:$8,"&gt;="&amp;DATE(YEAR(BM$8)-1,1,1),$8:$8,"&lt;="&amp;EOMONTH(BM$8,-12))-1</f>
        <v/>
      </c>
      <c r="BN90" s="1318">
        <f>SUMIFS(87:87,$8:$8,"&gt;="&amp;DATE(YEAR(BN$8),1,1),$8:$8,"&lt;="&amp;EOMONTH(BN$8,0))/SUMIFS(87:87,$8:$8,"&gt;="&amp;DATE(YEAR(BN$8)-1,1,1),$8:$8,"&lt;="&amp;EOMONTH(BN$8,-12))-1</f>
        <v/>
      </c>
      <c r="BO90" s="1318">
        <f>SUMIFS(87:87,$8:$8,"&gt;="&amp;DATE(YEAR(BO$8),1,1),$8:$8,"&lt;="&amp;EOMONTH(BO$8,0))/SUMIFS(87:87,$8:$8,"&gt;="&amp;DATE(YEAR(BO$8)-1,1,1),$8:$8,"&lt;="&amp;EOMONTH(BO$8,-12))-1</f>
        <v/>
      </c>
      <c r="BP90" s="1318">
        <f>SUMIFS(87:87,$8:$8,"&gt;="&amp;DATE(YEAR(BP$8),1,1),$8:$8,"&lt;="&amp;EOMONTH(BP$8,0))/SUMIFS(87:87,$8:$8,"&gt;="&amp;DATE(YEAR(BP$8)-1,1,1),$8:$8,"&lt;="&amp;EOMONTH(BP$8,-12))-1</f>
        <v/>
      </c>
      <c r="BQ90" s="1318">
        <f>SUMIFS(87:87,$8:$8,"&gt;="&amp;DATE(YEAR(BQ$8),1,1),$8:$8,"&lt;="&amp;EOMONTH(BQ$8,0))/SUMIFS(87:87,$8:$8,"&gt;="&amp;DATE(YEAR(BQ$8)-1,1,1),$8:$8,"&lt;="&amp;EOMONTH(BQ$8,-12))-1</f>
        <v/>
      </c>
      <c r="BR90" s="1318">
        <f>SUMIFS(87:87,$8:$8,"&gt;="&amp;DATE(YEAR(BR$8),1,1),$8:$8,"&lt;="&amp;EOMONTH(BR$8,0))/SUMIFS(87:87,$8:$8,"&gt;="&amp;DATE(YEAR(BR$8)-1,1,1),$8:$8,"&lt;="&amp;EOMONTH(BR$8,-12))-1</f>
        <v/>
      </c>
      <c r="BS90" s="1318">
        <f>SUMIFS(87:87,$8:$8,"&gt;="&amp;DATE(YEAR(BS$8),1,1),$8:$8,"&lt;="&amp;EOMONTH(BS$8,0))/SUMIFS(87:87,$8:$8,"&gt;="&amp;DATE(YEAR(BS$8)-1,1,1),$8:$8,"&lt;="&amp;EOMONTH(BS$8,-12))-1</f>
        <v/>
      </c>
      <c r="BT90" s="1318">
        <f>SUMIFS(87:87,$8:$8,"&gt;="&amp;DATE(YEAR(BT$8),1,1),$8:$8,"&lt;="&amp;EOMONTH(BT$8,0))/SUMIFS(87:87,$8:$8,"&gt;="&amp;DATE(YEAR(BT$8)-1,1,1),$8:$8,"&lt;="&amp;EOMONTH(BT$8,-12))-1</f>
        <v/>
      </c>
      <c r="BU90" s="1318">
        <f>SUMIFS(87:87,$8:$8,"&gt;="&amp;DATE(YEAR(BU$8),1,1),$8:$8,"&lt;="&amp;EOMONTH(BU$8,0))/SUMIFS(87:87,$8:$8,"&gt;="&amp;DATE(YEAR(BU$8)-1,1,1),$8:$8,"&lt;="&amp;EOMONTH(BU$8,-12))-1</f>
        <v/>
      </c>
      <c r="BV90" s="1318">
        <f>SUMIFS(87:87,$8:$8,"&gt;="&amp;DATE(YEAR(BV$8),1,1),$8:$8,"&lt;="&amp;EOMONTH(BV$8,0))/SUMIFS(87:87,$8:$8,"&gt;="&amp;DATE(YEAR(BV$8)-1,1,1),$8:$8,"&lt;="&amp;EOMONTH(BV$8,-12))-1</f>
        <v/>
      </c>
      <c r="BW90" s="1318">
        <f>SUMIFS(87:87,$8:$8,"&gt;="&amp;DATE(YEAR(BW$8),1,1),$8:$8,"&lt;="&amp;EOMONTH(BW$8,0))/SUMIFS(87:87,$8:$8,"&gt;="&amp;DATE(YEAR(BW$8)-1,1,1),$8:$8,"&lt;="&amp;EOMONTH(BW$8,-12))-1</f>
        <v/>
      </c>
      <c r="BX90" s="1318">
        <f>SUMIFS(87:87,$8:$8,"&gt;="&amp;DATE(YEAR(BX$8),1,1),$8:$8,"&lt;="&amp;EOMONTH(BX$8,0))/SUMIFS(87:87,$8:$8,"&gt;="&amp;DATE(YEAR(BX$8)-1,1,1),$8:$8,"&lt;="&amp;EOMONTH(BX$8,-12))-1</f>
        <v/>
      </c>
      <c r="BY90" s="1318">
        <f>SUMIFS(87:87,$8:$8,"&gt;="&amp;DATE(YEAR(BY$8),1,1),$8:$8,"&lt;="&amp;EOMONTH(BY$8,0))/SUMIFS(87:87,$8:$8,"&gt;="&amp;DATE(YEAR(BY$8)-1,1,1),$8:$8,"&lt;="&amp;EOMONTH(BY$8,-12))-1</f>
        <v/>
      </c>
      <c r="BZ90" s="1318">
        <f>SUMIFS(87:87,$8:$8,"&gt;="&amp;DATE(YEAR(BZ$8),1,1),$8:$8,"&lt;="&amp;EOMONTH(BZ$8,0))/SUMIFS(87:87,$8:$8,"&gt;="&amp;DATE(YEAR(BZ$8)-1,1,1),$8:$8,"&lt;="&amp;EOMONTH(BZ$8,-12))-1</f>
        <v/>
      </c>
      <c r="CA90" s="1318">
        <f>SUMIFS(87:87,$8:$8,"&gt;="&amp;DATE(YEAR(CA$8),1,1),$8:$8,"&lt;="&amp;EOMONTH(CA$8,0))/SUMIFS(87:87,$8:$8,"&gt;="&amp;DATE(YEAR(CA$8)-1,1,1),$8:$8,"&lt;="&amp;EOMONTH(CA$8,-12))-1</f>
        <v/>
      </c>
      <c r="CB90" s="1318">
        <f>SUMIFS(87:87,$8:$8,"&gt;="&amp;DATE(YEAR(CB$8),1,1),$8:$8,"&lt;="&amp;EOMONTH(CB$8,0))/SUMIFS(87:87,$8:$8,"&gt;="&amp;DATE(YEAR(CB$8)-1,1,1),$8:$8,"&lt;="&amp;EOMONTH(CB$8,-12))-1</f>
        <v/>
      </c>
      <c r="CC90" s="1318">
        <f>SUMIFS(87:87,$8:$8,"&gt;="&amp;DATE(YEAR(CC$8),1,1),$8:$8,"&lt;="&amp;EOMONTH(CC$8,0))/SUMIFS(87:87,$8:$8,"&gt;="&amp;DATE(YEAR(CC$8)-1,1,1),$8:$8,"&lt;="&amp;EOMONTH(CC$8,-12))-1</f>
        <v/>
      </c>
      <c r="CD90" s="1318">
        <f>SUMIFS(87:87,$8:$8,"&gt;="&amp;DATE(YEAR(CD$8),1,1),$8:$8,"&lt;="&amp;EOMONTH(CD$8,0))/SUMIFS(87:87,$8:$8,"&gt;="&amp;DATE(YEAR(CD$8)-1,1,1),$8:$8,"&lt;="&amp;EOMONTH(CD$8,-12))-1</f>
        <v/>
      </c>
      <c r="CE90" s="1318">
        <f>SUMIFS(87:87,$8:$8,"&gt;="&amp;DATE(YEAR(CE$8),1,1),$8:$8,"&lt;="&amp;EOMONTH(CE$8,0))/SUMIFS(87:87,$8:$8,"&gt;="&amp;DATE(YEAR(CE$8)-1,1,1),$8:$8,"&lt;="&amp;EOMONTH(CE$8,-12))-1</f>
        <v/>
      </c>
      <c r="CF90" s="1318">
        <f>SUMIFS(87:87,$8:$8,"&gt;="&amp;DATE(YEAR(CF$8),1,1),$8:$8,"&lt;="&amp;EOMONTH(CF$8,0))/SUMIFS(87:87,$8:$8,"&gt;="&amp;DATE(YEAR(CF$8)-1,1,1),$8:$8,"&lt;="&amp;EOMONTH(CF$8,-12))-1</f>
        <v/>
      </c>
      <c r="CG90" s="1318">
        <f>SUMIFS(87:87,$8:$8,"&gt;="&amp;DATE(YEAR(CG$8),1,1),$8:$8,"&lt;="&amp;EOMONTH(CG$8,0))/SUMIFS(87:87,$8:$8,"&gt;="&amp;DATE(YEAR(CG$8)-1,1,1),$8:$8,"&lt;="&amp;EOMONTH(CG$8,-12))-1</f>
        <v/>
      </c>
      <c r="CH90" s="1318">
        <f>SUMIFS(87:87,$8:$8,"&gt;="&amp;DATE(YEAR(CH$8),1,1),$8:$8,"&lt;="&amp;EOMONTH(CH$8,0))/SUMIFS(87:87,$8:$8,"&gt;="&amp;DATE(YEAR(CH$8)-1,1,1),$8:$8,"&lt;="&amp;EOMONTH(CH$8,-12))-1</f>
        <v/>
      </c>
      <c r="CI90" s="1318">
        <f>SUMIFS(87:87,$8:$8,"&gt;="&amp;DATE(YEAR(CI$8),1,1),$8:$8,"&lt;="&amp;EOMONTH(CI$8,0))/SUMIFS(87:87,$8:$8,"&gt;="&amp;DATE(YEAR(CI$8)-1,1,1),$8:$8,"&lt;="&amp;EOMONTH(CI$8,-12))-1</f>
        <v/>
      </c>
      <c r="CJ90" s="1318">
        <f>SUMIFS(87:87,$8:$8,"&gt;="&amp;DATE(YEAR(CJ$8),1,1),$8:$8,"&lt;="&amp;EOMONTH(CJ$8,0))/SUMIFS(87:87,$8:$8,"&gt;="&amp;DATE(YEAR(CJ$8)-1,1,1),$8:$8,"&lt;="&amp;EOMONTH(CJ$8,-12))-1</f>
        <v/>
      </c>
      <c r="CK90" s="1318">
        <f>SUMIFS(87:87,$8:$8,"&gt;="&amp;DATE(YEAR(CK$8),1,1),$8:$8,"&lt;="&amp;EOMONTH(CK$8,0))/SUMIFS(87:87,$8:$8,"&gt;="&amp;DATE(YEAR(CK$8)-1,1,1),$8:$8,"&lt;="&amp;EOMONTH(CK$8,-12))-1</f>
        <v/>
      </c>
      <c r="CL90" s="1318">
        <f>SUMIFS(87:87,$8:$8,"&gt;="&amp;DATE(YEAR(CL$8),1,1),$8:$8,"&lt;="&amp;EOMONTH(CL$8,0))/SUMIFS(87:87,$8:$8,"&gt;="&amp;DATE(YEAR(CL$8)-1,1,1),$8:$8,"&lt;="&amp;EOMONTH(CL$8,-12))-1</f>
        <v/>
      </c>
      <c r="CM90" s="1318">
        <f>SUMIFS(87:87,$8:$8,"&gt;="&amp;DATE(YEAR(CM$8),1,1),$8:$8,"&lt;="&amp;EOMONTH(CM$8,0))/SUMIFS(87:87,$8:$8,"&gt;="&amp;DATE(YEAR(CM$8)-1,1,1),$8:$8,"&lt;="&amp;EOMONTH(CM$8,-12))-1</f>
        <v/>
      </c>
      <c r="CN90" s="1318">
        <f>SUMIFS(87:87,$8:$8,"&gt;="&amp;DATE(YEAR(CN$8),1,1),$8:$8,"&lt;="&amp;EOMONTH(CN$8,0))/SUMIFS(87:87,$8:$8,"&gt;="&amp;DATE(YEAR(CN$8)-1,1,1),$8:$8,"&lt;="&amp;EOMONTH(CN$8,-12))-1</f>
        <v/>
      </c>
      <c r="CO90" s="1318">
        <f>SUMIFS(87:87,$8:$8,"&gt;="&amp;DATE(YEAR(CO$8),1,1),$8:$8,"&lt;="&amp;EOMONTH(CO$8,0))/SUMIFS(87:87,$8:$8,"&gt;="&amp;DATE(YEAR(CO$8)-1,1,1),$8:$8,"&lt;="&amp;EOMONTH(CO$8,-12))-1</f>
        <v/>
      </c>
      <c r="CP90" s="1318">
        <f>SUMIFS(87:87,$8:$8,"&gt;="&amp;DATE(YEAR(CP$8),1,1),$8:$8,"&lt;="&amp;EOMONTH(CP$8,0))/SUMIFS(87:87,$8:$8,"&gt;="&amp;DATE(YEAR(CP$8)-1,1,1),$8:$8,"&lt;="&amp;EOMONTH(CP$8,-12))-1</f>
        <v/>
      </c>
      <c r="CQ90" s="1318">
        <f>SUMIFS(87:87,$8:$8,"&gt;="&amp;DATE(YEAR(CQ$8),1,1),$8:$8,"&lt;="&amp;EOMONTH(CQ$8,0))/SUMIFS(87:87,$8:$8,"&gt;="&amp;DATE(YEAR(CQ$8)-1,1,1),$8:$8,"&lt;="&amp;EOMONTH(CQ$8,-12))-1</f>
        <v/>
      </c>
      <c r="CR90" s="1318">
        <f>SUMIFS(87:87,$8:$8,"&gt;="&amp;DATE(YEAR(CR$8),1,1),$8:$8,"&lt;="&amp;EOMONTH(CR$8,0))/SUMIFS(87:87,$8:$8,"&gt;="&amp;DATE(YEAR(CR$8)-1,1,1),$8:$8,"&lt;="&amp;EOMONTH(CR$8,-12))-1</f>
        <v/>
      </c>
      <c r="CS90" s="1318">
        <f>SUMIFS(87:87,$8:$8,"&gt;="&amp;DATE(YEAR(CS$8),1,1),$8:$8,"&lt;="&amp;EOMONTH(CS$8,0))/SUMIFS(87:87,$8:$8,"&gt;="&amp;DATE(YEAR(CS$8)-1,1,1),$8:$8,"&lt;="&amp;EOMONTH(CS$8,-12))-1</f>
        <v/>
      </c>
      <c r="CT90" s="1318">
        <f>SUMIFS(87:87,$8:$8,"&gt;="&amp;DATE(YEAR(CT$8),1,1),$8:$8,"&lt;="&amp;EOMONTH(CT$8,0))/SUMIFS(87:87,$8:$8,"&gt;="&amp;DATE(YEAR(CT$8)-1,1,1),$8:$8,"&lt;="&amp;EOMONTH(CT$8,-12))-1</f>
        <v/>
      </c>
      <c r="CU90" s="1318">
        <f>SUMIFS(87:87,$8:$8,"&gt;="&amp;DATE(YEAR(CU$8),1,1),$8:$8,"&lt;="&amp;EOMONTH(CU$8,0))/SUMIFS(87:87,$8:$8,"&gt;="&amp;DATE(YEAR(CU$8)-1,1,1),$8:$8,"&lt;="&amp;EOMONTH(CU$8,-12))-1</f>
        <v/>
      </c>
      <c r="CV90" s="1318">
        <f>SUMIFS(87:87,$8:$8,"&gt;="&amp;DATE(YEAR(CV$8),1,1),$8:$8,"&lt;="&amp;EOMONTH(CV$8,0))/SUMIFS(87:87,$8:$8,"&gt;="&amp;DATE(YEAR(CV$8)-1,1,1),$8:$8,"&lt;="&amp;EOMONTH(CV$8,-12))-1</f>
        <v/>
      </c>
      <c r="CW90" s="1318">
        <f>SUMIFS(87:87,$8:$8,"&gt;="&amp;DATE(YEAR(CW$8),1,1),$8:$8,"&lt;="&amp;EOMONTH(CW$8,0))/SUMIFS(87:87,$8:$8,"&gt;="&amp;DATE(YEAR(CW$8)-1,1,1),$8:$8,"&lt;="&amp;EOMONTH(CW$8,-12))-1</f>
        <v/>
      </c>
      <c r="CX90" s="1318">
        <f>SUMIFS(87:87,$8:$8,"&gt;="&amp;DATE(YEAR(CX$8),1,1),$8:$8,"&lt;="&amp;EOMONTH(CX$8,0))/SUMIFS(87:87,$8:$8,"&gt;="&amp;DATE(YEAR(CX$8)-1,1,1),$8:$8,"&lt;="&amp;EOMONTH(CX$8,-12))-1</f>
        <v/>
      </c>
      <c r="CY90" s="1318">
        <f>SUMIFS(87:87,$8:$8,"&gt;="&amp;DATE(YEAR(CY$8),1,1),$8:$8,"&lt;="&amp;EOMONTH(CY$8,0))/SUMIFS(87:87,$8:$8,"&gt;="&amp;DATE(YEAR(CY$8)-1,1,1),$8:$8,"&lt;="&amp;EOMONTH(CY$8,-12))-1</f>
        <v/>
      </c>
      <c r="CZ90" s="1318">
        <f>SUMIFS(87:87,$8:$8,"&gt;="&amp;DATE(YEAR(CZ$8),1,1),$8:$8,"&lt;="&amp;EOMONTH(CZ$8,0))/SUMIFS(87:87,$8:$8,"&gt;="&amp;DATE(YEAR(CZ$8)-1,1,1),$8:$8,"&lt;="&amp;EOMONTH(CZ$8,-12))-1</f>
        <v/>
      </c>
      <c r="DA90" s="1318">
        <f>SUMIFS(87:87,$8:$8,"&gt;="&amp;DATE(YEAR(DA$8),1,1),$8:$8,"&lt;="&amp;EOMONTH(DA$8,0))/SUMIFS(87:87,$8:$8,"&gt;="&amp;DATE(YEAR(DA$8)-1,1,1),$8:$8,"&lt;="&amp;EOMONTH(DA$8,-12))-1</f>
        <v/>
      </c>
      <c r="DB90" s="1318">
        <f>SUMIFS(87:87,$8:$8,"&gt;="&amp;DATE(YEAR(DB$8),1,1),$8:$8,"&lt;="&amp;EOMONTH(DB$8,0))/SUMIFS(87:87,$8:$8,"&gt;="&amp;DATE(YEAR(DB$8)-1,1,1),$8:$8,"&lt;="&amp;EOMONTH(DB$8,-12))-1</f>
        <v/>
      </c>
      <c r="DC90" s="1318">
        <f>SUMIFS(87:87,$8:$8,"&gt;="&amp;DATE(YEAR(DC$8),1,1),$8:$8,"&lt;="&amp;EOMONTH(DC$8,0))/SUMIFS(87:87,$8:$8,"&gt;="&amp;DATE(YEAR(DC$8)-1,1,1),$8:$8,"&lt;="&amp;EOMONTH(DC$8,-12))-1</f>
        <v/>
      </c>
      <c r="DD90" s="1318">
        <f>SUMIFS(87:87,$8:$8,"&gt;="&amp;DATE(YEAR(DD$8),1,1),$8:$8,"&lt;="&amp;EOMONTH(DD$8,0))/SUMIFS(87:87,$8:$8,"&gt;="&amp;DATE(YEAR(DD$8)-1,1,1),$8:$8,"&lt;="&amp;EOMONTH(DD$8,-12))-1</f>
        <v/>
      </c>
      <c r="DE90" s="1318">
        <f>SUMIFS(87:87,$8:$8,"&gt;="&amp;DATE(YEAR(DE$8),1,1),$8:$8,"&lt;="&amp;EOMONTH(DE$8,0))/SUMIFS(87:87,$8:$8,"&gt;="&amp;DATE(YEAR(DE$8)-1,1,1),$8:$8,"&lt;="&amp;EOMONTH(DE$8,-12))-1</f>
        <v/>
      </c>
      <c r="DF90" s="1318">
        <f>SUMIFS(87:87,$8:$8,"&gt;="&amp;DATE(YEAR(DF$8),1,1),$8:$8,"&lt;="&amp;EOMONTH(DF$8,0))/SUMIFS(87:87,$8:$8,"&gt;="&amp;DATE(YEAR(DF$8)-1,1,1),$8:$8,"&lt;="&amp;EOMONTH(DF$8,-12))-1</f>
        <v/>
      </c>
      <c r="DG90" s="1318">
        <f>SUMIFS(87:87,$8:$8,"&gt;="&amp;DATE(YEAR(DG$8),1,1),$8:$8,"&lt;="&amp;EOMONTH(DG$8,0))/SUMIFS(87:87,$8:$8,"&gt;="&amp;DATE(YEAR(DG$8)-1,1,1),$8:$8,"&lt;="&amp;EOMONTH(DG$8,-12))-1</f>
        <v/>
      </c>
      <c r="DH90" s="1318">
        <f>SUMIFS(87:87,$8:$8,"&gt;="&amp;DATE(YEAR(DH$8),1,1),$8:$8,"&lt;="&amp;EOMONTH(DH$8,0))/SUMIFS(87:87,$8:$8,"&gt;="&amp;DATE(YEAR(DH$8)-1,1,1),$8:$8,"&lt;="&amp;EOMONTH(DH$8,-12))-1</f>
        <v/>
      </c>
      <c r="DI90" s="1318">
        <f>SUMIFS(87:87,$8:$8,"&gt;="&amp;DATE(YEAR(DI$8),1,1),$8:$8,"&lt;="&amp;EOMONTH(DI$8,0))/SUMIFS(87:87,$8:$8,"&gt;="&amp;DATE(YEAR(DI$8)-1,1,1),$8:$8,"&lt;="&amp;EOMONTH(DI$8,-12))-1</f>
        <v/>
      </c>
      <c r="DJ90" s="1318">
        <f>SUMIFS(87:87,$8:$8,"&gt;="&amp;DATE(YEAR(DJ$8),1,1),$8:$8,"&lt;="&amp;EOMONTH(DJ$8,0))/SUMIFS(87:87,$8:$8,"&gt;="&amp;DATE(YEAR(DJ$8)-1,1,1),$8:$8,"&lt;="&amp;EOMONTH(DJ$8,-12))-1</f>
        <v/>
      </c>
      <c r="DK90" s="1318">
        <f>SUMIFS(87:87,$8:$8,"&gt;="&amp;DATE(YEAR(DK$8),1,1),$8:$8,"&lt;="&amp;EOMONTH(DK$8,0))/SUMIFS(87:87,$8:$8,"&gt;="&amp;DATE(YEAR(DK$8)-1,1,1),$8:$8,"&lt;="&amp;EOMONTH(DK$8,-12))-1</f>
        <v/>
      </c>
      <c r="DL90" s="1318">
        <f>SUMIFS(87:87,$8:$8,"&gt;="&amp;DATE(YEAR(DL$8),1,1),$8:$8,"&lt;="&amp;EOMONTH(DL$8,0))/SUMIFS(87:87,$8:$8,"&gt;="&amp;DATE(YEAR(DL$8)-1,1,1),$8:$8,"&lt;="&amp;EOMONTH(DL$8,-12))-1</f>
        <v/>
      </c>
      <c r="DM90" s="1318">
        <f>SUMIFS(87:87,$8:$8,"&gt;="&amp;DATE(YEAR(DM$8),1,1),$8:$8,"&lt;="&amp;EOMONTH(DM$8,0))/SUMIFS(87:87,$8:$8,"&gt;="&amp;DATE(YEAR(DM$8)-1,1,1),$8:$8,"&lt;="&amp;EOMONTH(DM$8,-12))-1</f>
        <v/>
      </c>
      <c r="DN90" s="1318">
        <f>SUMIFS(87:87,$8:$8,"&gt;="&amp;DATE(YEAR(DN$8),1,1),$8:$8,"&lt;="&amp;EOMONTH(DN$8,0))/SUMIFS(87:87,$8:$8,"&gt;="&amp;DATE(YEAR(DN$8)-1,1,1),$8:$8,"&lt;="&amp;EOMONTH(DN$8,-12))-1</f>
        <v/>
      </c>
      <c r="DO90" s="1318">
        <f>SUMIFS(87:87,$8:$8,"&gt;="&amp;DATE(YEAR(DO$8),1,1),$8:$8,"&lt;="&amp;EOMONTH(DO$8,0))/SUMIFS(87:87,$8:$8,"&gt;="&amp;DATE(YEAR(DO$8)-1,1,1),$8:$8,"&lt;="&amp;EOMONTH(DO$8,-12))-1</f>
        <v/>
      </c>
      <c r="DP90" s="1318">
        <f>SUMIFS(87:87,$8:$8,"&gt;="&amp;DATE(YEAR(DP$8),1,1),$8:$8,"&lt;="&amp;EOMONTH(DP$8,0))/SUMIFS(87:87,$8:$8,"&gt;="&amp;DATE(YEAR(DP$8)-1,1,1),$8:$8,"&lt;="&amp;EOMONTH(DP$8,-12))-1</f>
        <v/>
      </c>
      <c r="DQ90" s="1318">
        <f>SUMIFS(87:87,$8:$8,"&gt;="&amp;DATE(YEAR(DQ$8),1,1),$8:$8,"&lt;="&amp;EOMONTH(DQ$8,0))/SUMIFS(87:87,$8:$8,"&gt;="&amp;DATE(YEAR(DQ$8)-1,1,1),$8:$8,"&lt;="&amp;EOMONTH(DQ$8,-12))-1</f>
        <v/>
      </c>
      <c r="DR90" s="1318">
        <f>SUMIFS(87:87,$8:$8,"&gt;="&amp;DATE(YEAR(DR$8),1,1),$8:$8,"&lt;="&amp;EOMONTH(DR$8,0))/SUMIFS(87:87,$8:$8,"&gt;="&amp;DATE(YEAR(DR$8)-1,1,1),$8:$8,"&lt;="&amp;EOMONTH(DR$8,-12))-1</f>
        <v/>
      </c>
      <c r="DS90" s="1318">
        <f>SUMIFS(87:87,$8:$8,"&gt;="&amp;DATE(YEAR(DS$8),1,1),$8:$8,"&lt;="&amp;EOMONTH(DS$8,0))/SUMIFS(87:87,$8:$8,"&gt;="&amp;DATE(YEAR(DS$8)-1,1,1),$8:$8,"&lt;="&amp;EOMONTH(DS$8,-12))-1</f>
        <v/>
      </c>
      <c r="DT90" s="1318">
        <f>SUMIFS(87:87,$8:$8,"&gt;="&amp;DATE(YEAR(DT$8),1,1),$8:$8,"&lt;="&amp;EOMONTH(DT$8,0))/SUMIFS(87:87,$8:$8,"&gt;="&amp;DATE(YEAR(DT$8)-1,1,1),$8:$8,"&lt;="&amp;EOMONTH(DT$8,-12))-1</f>
        <v/>
      </c>
      <c r="DU90" s="1318">
        <f>SUMIFS(87:87,$8:$8,"&gt;="&amp;DATE(YEAR(DU$8),1,1),$8:$8,"&lt;="&amp;EOMONTH(DU$8,0))/SUMIFS(87:87,$8:$8,"&gt;="&amp;DATE(YEAR(DU$8)-1,1,1),$8:$8,"&lt;="&amp;EOMONTH(DU$8,-12))-1</f>
        <v/>
      </c>
      <c r="DV90" s="1318">
        <f>SUMIFS(87:87,$8:$8,"&gt;="&amp;DATE(YEAR(DV$8),1,1),$8:$8,"&lt;="&amp;EOMONTH(DV$8,0))/SUMIFS(87:87,$8:$8,"&gt;="&amp;DATE(YEAR(DV$8)-1,1,1),$8:$8,"&lt;="&amp;EOMONTH(DV$8,-12))-1</f>
        <v/>
      </c>
      <c r="DW90" s="1318">
        <f>SUMIFS(87:87,$8:$8,"&gt;="&amp;DATE(YEAR(DW$8),1,1),$8:$8,"&lt;="&amp;EOMONTH(DW$8,0))/SUMIFS(87:87,$8:$8,"&gt;="&amp;DATE(YEAR(DW$8)-1,1,1),$8:$8,"&lt;="&amp;EOMONTH(DW$8,-12))-1</f>
        <v/>
      </c>
      <c r="DX90" s="1318">
        <f>SUMIFS(87:87,$8:$8,"&gt;="&amp;DATE(YEAR(DX$8),1,1),$8:$8,"&lt;="&amp;EOMONTH(DX$8,0))/SUMIFS(87:87,$8:$8,"&gt;="&amp;DATE(YEAR(DX$8)-1,1,1),$8:$8,"&lt;="&amp;EOMONTH(DX$8,-12))-1</f>
        <v/>
      </c>
      <c r="DY90" s="1318">
        <f>SUMIFS(87:87,$8:$8,"&gt;="&amp;DATE(YEAR(DY$8),1,1),$8:$8,"&lt;="&amp;EOMONTH(DY$8,0))/SUMIFS(87:87,$8:$8,"&gt;="&amp;DATE(YEAR(DY$8)-1,1,1),$8:$8,"&lt;="&amp;EOMONTH(DY$8,-12))-1</f>
        <v/>
      </c>
      <c r="DZ90" s="1318">
        <f>SUMIFS(87:87,$8:$8,"&gt;="&amp;DATE(YEAR(DZ$8),1,1),$8:$8,"&lt;="&amp;EOMONTH(DZ$8,0))/SUMIFS(87:87,$8:$8,"&gt;="&amp;DATE(YEAR(DZ$8)-1,1,1),$8:$8,"&lt;="&amp;EOMONTH(DZ$8,-12))-1</f>
        <v/>
      </c>
      <c r="EA90" s="1318">
        <f>SUMIFS(87:87,$8:$8,"&gt;="&amp;DATE(YEAR(EA$8),1,1),$8:$8,"&lt;="&amp;EOMONTH(EA$8,0))/SUMIFS(87:87,$8:$8,"&gt;="&amp;DATE(YEAR(EA$8)-1,1,1),$8:$8,"&lt;="&amp;EOMONTH(EA$8,-12))-1</f>
        <v/>
      </c>
      <c r="EB90" s="1318">
        <f>SUMIFS(87:87,$8:$8,"&gt;="&amp;DATE(YEAR(EB$8),1,1),$8:$8,"&lt;="&amp;EOMONTH(EB$8,0))/SUMIFS(87:87,$8:$8,"&gt;="&amp;DATE(YEAR(EB$8)-1,1,1),$8:$8,"&lt;="&amp;EOMONTH(EB$8,-12))-1</f>
        <v/>
      </c>
      <c r="EC90" s="1318">
        <f>SUMIFS(87:87,$8:$8,"&gt;="&amp;DATE(YEAR(EC$8),1,1),$8:$8,"&lt;="&amp;EOMONTH(EC$8,0))/SUMIFS(87:87,$8:$8,"&gt;="&amp;DATE(YEAR(EC$8)-1,1,1),$8:$8,"&lt;="&amp;EOMONTH(EC$8,-12))-1</f>
        <v/>
      </c>
      <c r="ED90" s="1318">
        <f>SUMIFS(87:87,$8:$8,"&gt;="&amp;DATE(YEAR(ED$8),1,1),$8:$8,"&lt;="&amp;EOMONTH(ED$8,0))/SUMIFS(87:87,$8:$8,"&gt;="&amp;DATE(YEAR(ED$8)-1,1,1),$8:$8,"&lt;="&amp;EOMONTH(ED$8,-12))-1</f>
        <v/>
      </c>
      <c r="EE90" s="1318">
        <f>SUMIFS(87:87,$8:$8,"&gt;="&amp;DATE(YEAR(EE$8),1,1),$8:$8,"&lt;="&amp;EOMONTH(EE$8,0))/SUMIFS(87:87,$8:$8,"&gt;="&amp;DATE(YEAR(EE$8)-1,1,1),$8:$8,"&lt;="&amp;EOMONTH(EE$8,-12))-1</f>
        <v/>
      </c>
      <c r="EF90" s="1318">
        <f>SUMIFS(87:87,$8:$8,"&gt;="&amp;DATE(YEAR(EF$8),1,1),$8:$8,"&lt;="&amp;EOMONTH(EF$8,0))/SUMIFS(87:87,$8:$8,"&gt;="&amp;DATE(YEAR(EF$8)-1,1,1),$8:$8,"&lt;="&amp;EOMONTH(EF$8,-12))-1</f>
        <v/>
      </c>
      <c r="EG90" s="1318">
        <f>SUMIFS(87:87,$8:$8,"&gt;="&amp;DATE(YEAR(EG$8),1,1),$8:$8,"&lt;="&amp;EOMONTH(EG$8,0))/SUMIFS(87:87,$8:$8,"&gt;="&amp;DATE(YEAR(EG$8)-1,1,1),$8:$8,"&lt;="&amp;EOMONTH(EG$8,-12))-1</f>
        <v/>
      </c>
      <c r="EH90" s="1318">
        <f>SUMIFS(87:87,$8:$8,"&gt;="&amp;DATE(YEAR(EH$8),1,1),$8:$8,"&lt;="&amp;EOMONTH(EH$8,0))/SUMIFS(87:87,$8:$8,"&gt;="&amp;DATE(YEAR(EH$8)-1,1,1),$8:$8,"&lt;="&amp;EOMONTH(EH$8,-12))-1</f>
        <v/>
      </c>
      <c r="EI90" s="1318">
        <f>SUMIFS(87:87,$8:$8,"&gt;="&amp;DATE(YEAR(EI$8),1,1),$8:$8,"&lt;="&amp;EOMONTH(EI$8,0))/SUMIFS(87:87,$8:$8,"&gt;="&amp;DATE(YEAR(EI$8)-1,1,1),$8:$8,"&lt;="&amp;EOMONTH(EI$8,-12))-1</f>
        <v/>
      </c>
      <c r="EJ90" s="1318">
        <f>SUMIFS(87:87,$8:$8,"&gt;="&amp;DATE(YEAR(EJ$8),1,1),$8:$8,"&lt;="&amp;EOMONTH(EJ$8,0))/SUMIFS(87:87,$8:$8,"&gt;="&amp;DATE(YEAR(EJ$8)-1,1,1),$8:$8,"&lt;="&amp;EOMONTH(EJ$8,-12))-1</f>
        <v/>
      </c>
      <c r="EK90" s="1318">
        <f>SUMIFS(87:87,$8:$8,"&gt;="&amp;DATE(YEAR(EK$8),1,1),$8:$8,"&lt;="&amp;EOMONTH(EK$8,0))/SUMIFS(87:87,$8:$8,"&gt;="&amp;DATE(YEAR(EK$8)-1,1,1),$8:$8,"&lt;="&amp;EOMONTH(EK$8,-12))-1</f>
        <v/>
      </c>
      <c r="EL90" s="1318">
        <f>SUMIFS(87:87,$8:$8,"&gt;="&amp;DATE(YEAR(EL$8),1,1),$8:$8,"&lt;="&amp;EOMONTH(EL$8,0))/SUMIFS(87:87,$8:$8,"&gt;="&amp;DATE(YEAR(EL$8)-1,1,1),$8:$8,"&lt;="&amp;EOMONTH(EL$8,-12))-1</f>
        <v/>
      </c>
      <c r="EM90" s="1318">
        <f>SUMIFS(87:87,$8:$8,"&gt;="&amp;DATE(YEAR(EM$8),1,1),$8:$8,"&lt;="&amp;EOMONTH(EM$8,0))/SUMIFS(87:87,$8:$8,"&gt;="&amp;DATE(YEAR(EM$8)-1,1,1),$8:$8,"&lt;="&amp;EOMONTH(EM$8,-12))-1</f>
        <v/>
      </c>
      <c r="EN90" s="1318">
        <f>SUMIFS(87:87,$8:$8,"&gt;="&amp;DATE(YEAR(EN$8),1,1),$8:$8,"&lt;="&amp;EOMONTH(EN$8,0))/SUMIFS(87:87,$8:$8,"&gt;="&amp;DATE(YEAR(EN$8)-1,1,1),$8:$8,"&lt;="&amp;EOMONTH(EN$8,-12))-1</f>
        <v/>
      </c>
      <c r="EO90" s="1318">
        <f>SUMIFS(87:87,$8:$8,"&gt;="&amp;DATE(YEAR(EO$8),1,1),$8:$8,"&lt;="&amp;EOMONTH(EO$8,0))/SUMIFS(87:87,$8:$8,"&gt;="&amp;DATE(YEAR(EO$8)-1,1,1),$8:$8,"&lt;="&amp;EOMONTH(EO$8,-12))-1</f>
        <v/>
      </c>
      <c r="EP90" s="1318">
        <f>SUMIFS(87:87,$8:$8,"&gt;="&amp;DATE(YEAR(EP$8),1,1),$8:$8,"&lt;="&amp;EOMONTH(EP$8,0))/SUMIFS(87:87,$8:$8,"&gt;="&amp;DATE(YEAR(EP$8)-1,1,1),$8:$8,"&lt;="&amp;EOMONTH(EP$8,-12))-1</f>
        <v/>
      </c>
      <c r="EQ90" s="1318">
        <f>SUMIFS(87:87,$8:$8,"&gt;="&amp;DATE(YEAR(EQ$8),1,1),$8:$8,"&lt;="&amp;EOMONTH(EQ$8,0))/SUMIFS(87:87,$8:$8,"&gt;="&amp;DATE(YEAR(EQ$8)-1,1,1),$8:$8,"&lt;="&amp;EOMONTH(EQ$8,-12))-1</f>
        <v/>
      </c>
      <c r="ER90" s="1318">
        <f>SUMIFS(87:87,$8:$8,"&gt;="&amp;DATE(YEAR(ER$8),1,1),$8:$8,"&lt;="&amp;EOMONTH(ER$8,0))/SUMIFS(87:87,$8:$8,"&gt;="&amp;DATE(YEAR(ER$8)-1,1,1),$8:$8,"&lt;="&amp;EOMONTH(ER$8,-12))-1</f>
        <v/>
      </c>
      <c r="ES90" s="1318">
        <f>SUMIFS(87:87,$8:$8,"&gt;="&amp;DATE(YEAR(ES$8),1,1),$8:$8,"&lt;="&amp;EOMONTH(ES$8,0))/SUMIFS(87:87,$8:$8,"&gt;="&amp;DATE(YEAR(ES$8)-1,1,1),$8:$8,"&lt;="&amp;EOMONTH(ES$8,-12))-1</f>
        <v/>
      </c>
      <c r="ET90" s="1318">
        <f>SUMIFS(87:87,$8:$8,"&gt;="&amp;DATE(YEAR(ET$8),1,1),$8:$8,"&lt;="&amp;EOMONTH(ET$8,0))/SUMIFS(87:87,$8:$8,"&gt;="&amp;DATE(YEAR(ET$8)-1,1,1),$8:$8,"&lt;="&amp;EOMONTH(ET$8,-12))-1</f>
        <v/>
      </c>
      <c r="EU90" s="1318">
        <f>SUMIFS(87:87,$8:$8,"&gt;="&amp;DATE(YEAR(EU$8),1,1),$8:$8,"&lt;="&amp;EOMONTH(EU$8,0))/SUMIFS(87:87,$8:$8,"&gt;="&amp;DATE(YEAR(EU$8)-1,1,1),$8:$8,"&lt;="&amp;EOMONTH(EU$8,-12))-1</f>
        <v/>
      </c>
      <c r="EV90" s="1318">
        <f>SUMIFS(87:87,$8:$8,"&gt;="&amp;DATE(YEAR(EV$8),1,1),$8:$8,"&lt;="&amp;EOMONTH(EV$8,0))/SUMIFS(87:87,$8:$8,"&gt;="&amp;DATE(YEAR(EV$8)-1,1,1),$8:$8,"&lt;="&amp;EOMONTH(EV$8,-12))-1</f>
        <v/>
      </c>
      <c r="EW90" s="1318">
        <f>SUMIFS(87:87,$8:$8,"&gt;="&amp;DATE(YEAR(EW$8),1,1),$8:$8,"&lt;="&amp;EOMONTH(EW$8,0))/SUMIFS(87:87,$8:$8,"&gt;="&amp;DATE(YEAR(EW$8)-1,1,1),$8:$8,"&lt;="&amp;EOMONTH(EW$8,-12))-1</f>
        <v/>
      </c>
      <c r="EX90" s="1318">
        <f>SUMIFS(87:87,$8:$8,"&gt;="&amp;DATE(YEAR(EX$8),1,1),$8:$8,"&lt;="&amp;EOMONTH(EX$8,0))/SUMIFS(87:87,$8:$8,"&gt;="&amp;DATE(YEAR(EX$8)-1,1,1),$8:$8,"&lt;="&amp;EOMONTH(EX$8,-12))-1</f>
        <v/>
      </c>
      <c r="EY90" s="1318">
        <f>SUMIFS(87:87,$8:$8,"&gt;="&amp;DATE(YEAR(EY$8),1,1),$8:$8,"&lt;="&amp;EOMONTH(EY$8,0))/SUMIFS(87:87,$8:$8,"&gt;="&amp;DATE(YEAR(EY$8)-1,1,1),$8:$8,"&lt;="&amp;EOMONTH(EY$8,-12))-1</f>
        <v/>
      </c>
      <c r="EZ90" s="1318">
        <f>SUMIFS(87:87,$8:$8,"&gt;="&amp;DATE(YEAR(EZ$8),1,1),$8:$8,"&lt;="&amp;EOMONTH(EZ$8,0))/SUMIFS(87:87,$8:$8,"&gt;="&amp;DATE(YEAR(EZ$8)-1,1,1),$8:$8,"&lt;="&amp;EOMONTH(EZ$8,-12))-1</f>
        <v/>
      </c>
      <c r="FA90" s="1318">
        <f>SUMIFS(87:87,$8:$8,"&gt;="&amp;DATE(YEAR(FA$8),1,1),$8:$8,"&lt;="&amp;EOMONTH(FA$8,0))/SUMIFS(87:87,$8:$8,"&gt;="&amp;DATE(YEAR(FA$8)-1,1,1),$8:$8,"&lt;="&amp;EOMONTH(FA$8,-12))-1</f>
        <v/>
      </c>
      <c r="FB90" s="1318">
        <f>SUMIFS(87:87,$8:$8,"&gt;="&amp;DATE(YEAR(FB$8),1,1),$8:$8,"&lt;="&amp;EOMONTH(FB$8,0))/SUMIFS(87:87,$8:$8,"&gt;="&amp;DATE(YEAR(FB$8)-1,1,1),$8:$8,"&lt;="&amp;EOMONTH(FB$8,-12))-1</f>
        <v/>
      </c>
      <c r="FC90" s="1318">
        <f>SUMIFS(87:87,$8:$8,"&gt;="&amp;DATE(YEAR(FC$8),1,1),$8:$8,"&lt;="&amp;EOMONTH(FC$8,0))/SUMIFS(87:87,$8:$8,"&gt;="&amp;DATE(YEAR(FC$8)-1,1,1),$8:$8,"&lt;="&amp;EOMONTH(FC$8,-12))-1</f>
        <v/>
      </c>
      <c r="FD90" s="1318">
        <f>SUMIFS(87:87,$8:$8,"&gt;="&amp;DATE(YEAR(FD$8),1,1),$8:$8,"&lt;="&amp;EOMONTH(FD$8,0))/SUMIFS(87:87,$8:$8,"&gt;="&amp;DATE(YEAR(FD$8)-1,1,1),$8:$8,"&lt;="&amp;EOMONTH(FD$8,-12))-1</f>
        <v/>
      </c>
      <c r="FE90" s="1318">
        <f>SUMIFS(87:87,$8:$8,"&gt;="&amp;DATE(YEAR(FE$8),1,1),$8:$8,"&lt;="&amp;EOMONTH(FE$8,0))/SUMIFS(87:87,$8:$8,"&gt;="&amp;DATE(YEAR(FE$8)-1,1,1),$8:$8,"&lt;="&amp;EOMONTH(FE$8,-12))-1</f>
        <v/>
      </c>
      <c r="FF90" s="1318">
        <f>SUMIFS(87:87,$8:$8,"&gt;="&amp;DATE(YEAR(FF$8),1,1),$8:$8,"&lt;="&amp;EOMONTH(FF$8,0))/SUMIFS(87:87,$8:$8,"&gt;="&amp;DATE(YEAR(FF$8)-1,1,1),$8:$8,"&lt;="&amp;EOMONTH(FF$8,-12))-1</f>
        <v/>
      </c>
      <c r="FG90" s="1318">
        <f>SUMIFS(87:87,$8:$8,"&gt;="&amp;DATE(YEAR(FG$8),1,1),$8:$8,"&lt;="&amp;EOMONTH(FG$8,0))/SUMIFS(87:87,$8:$8,"&gt;="&amp;DATE(YEAR(FG$8)-1,1,1),$8:$8,"&lt;="&amp;EOMONTH(FG$8,-12))-1</f>
        <v/>
      </c>
      <c r="FH90" s="1318">
        <f>SUMIFS(87:87,$8:$8,"&gt;="&amp;DATE(YEAR(FH$8),1,1),$8:$8,"&lt;="&amp;EOMONTH(FH$8,0))/SUMIFS(87:87,$8:$8,"&gt;="&amp;DATE(YEAR(FH$8)-1,1,1),$8:$8,"&lt;="&amp;EOMONTH(FH$8,-12))-1</f>
        <v/>
      </c>
      <c r="FI90" s="1318">
        <f>SUMIFS(87:87,$8:$8,"&gt;="&amp;DATE(YEAR(FI$8),1,1),$8:$8,"&lt;="&amp;EOMONTH(FI$8,0))/SUMIFS(87:87,$8:$8,"&gt;="&amp;DATE(YEAR(FI$8)-1,1,1),$8:$8,"&lt;="&amp;EOMONTH(FI$8,-12))-1</f>
        <v/>
      </c>
      <c r="FJ90" s="1318">
        <f>SUMIFS(87:87,$8:$8,"&gt;="&amp;DATE(YEAR(FJ$8),1,1),$8:$8,"&lt;="&amp;EOMONTH(FJ$8,0))/SUMIFS(87:87,$8:$8,"&gt;="&amp;DATE(YEAR(FJ$8)-1,1,1),$8:$8,"&lt;="&amp;EOMONTH(FJ$8,-12))-1</f>
        <v/>
      </c>
      <c r="FK90" s="1318">
        <f>SUMIFS(87:87,$8:$8,"&gt;="&amp;DATE(YEAR(FK$8),1,1),$8:$8,"&lt;="&amp;EOMONTH(FK$8,0))/SUMIFS(87:87,$8:$8,"&gt;="&amp;DATE(YEAR(FK$8)-1,1,1),$8:$8,"&lt;="&amp;EOMONTH(FK$8,-12))-1</f>
        <v/>
      </c>
      <c r="FL90" s="1318">
        <f>SUMIFS(87:87,$8:$8,"&gt;="&amp;DATE(YEAR(FL$8),1,1),$8:$8,"&lt;="&amp;EOMONTH(FL$8,0))/SUMIFS(87:87,$8:$8,"&gt;="&amp;DATE(YEAR(FL$8)-1,1,1),$8:$8,"&lt;="&amp;EOMONTH(FL$8,-12))-1</f>
        <v/>
      </c>
      <c r="FM90" s="1318">
        <f>SUMIFS(87:87,$8:$8,"&gt;="&amp;DATE(YEAR(FM$8),1,1),$8:$8,"&lt;="&amp;EOMONTH(FM$8,0))/SUMIFS(87:87,$8:$8,"&gt;="&amp;DATE(YEAR(FM$8)-1,1,1),$8:$8,"&lt;="&amp;EOMONTH(FM$8,-12))-1</f>
        <v/>
      </c>
      <c r="FN90" s="1318">
        <f>SUMIFS(87:87,$8:$8,"&gt;="&amp;DATE(YEAR(FN$8),1,1),$8:$8,"&lt;="&amp;EOMONTH(FN$8,0))/SUMIFS(87:87,$8:$8,"&gt;="&amp;DATE(YEAR(FN$8)-1,1,1),$8:$8,"&lt;="&amp;EOMONTH(FN$8,-12))-1</f>
        <v/>
      </c>
      <c r="FO90" s="1318">
        <f>SUMIFS(87:87,$8:$8,"&gt;="&amp;DATE(YEAR(FO$8),1,1),$8:$8,"&lt;="&amp;EOMONTH(FO$8,0))/SUMIFS(87:87,$8:$8,"&gt;="&amp;DATE(YEAR(FO$8)-1,1,1),$8:$8,"&lt;="&amp;EOMONTH(FO$8,-12))-1</f>
        <v/>
      </c>
      <c r="FP90" s="1318">
        <f>SUMIFS(87:87,$8:$8,"&gt;="&amp;DATE(YEAR(FP$8),1,1),$8:$8,"&lt;="&amp;EOMONTH(FP$8,0))/SUMIFS(87:87,$8:$8,"&gt;="&amp;DATE(YEAR(FP$8)-1,1,1),$8:$8,"&lt;="&amp;EOMONTH(FP$8,-12))-1</f>
        <v/>
      </c>
      <c r="FQ90" s="1318">
        <f>SUMIFS(87:87,$8:$8,"&gt;="&amp;DATE(YEAR(FQ$8),1,1),$8:$8,"&lt;="&amp;EOMONTH(FQ$8,0))/SUMIFS(87:87,$8:$8,"&gt;="&amp;DATE(YEAR(FQ$8)-1,1,1),$8:$8,"&lt;="&amp;EOMONTH(FQ$8,-12))-1</f>
        <v/>
      </c>
      <c r="FR90" s="1318">
        <f>SUMIFS(87:87,$8:$8,"&gt;="&amp;DATE(YEAR(FR$8),1,1),$8:$8,"&lt;="&amp;EOMONTH(FR$8,0))/SUMIFS(87:87,$8:$8,"&gt;="&amp;DATE(YEAR(FR$8)-1,1,1),$8:$8,"&lt;="&amp;EOMONTH(FR$8,-12))-1</f>
        <v/>
      </c>
      <c r="FS90" s="1318">
        <f>SUMIFS(87:87,$8:$8,"&gt;="&amp;DATE(YEAR(FS$8),1,1),$8:$8,"&lt;="&amp;EOMONTH(FS$8,0))/SUMIFS(87:87,$8:$8,"&gt;="&amp;DATE(YEAR(FS$8)-1,1,1),$8:$8,"&lt;="&amp;EOMONTH(FS$8,-12))-1</f>
        <v/>
      </c>
      <c r="FT90" s="1318">
        <f>SUMIFS(87:87,$8:$8,"&gt;="&amp;DATE(YEAR(FT$8),1,1),$8:$8,"&lt;="&amp;EOMONTH(FT$8,0))/SUMIFS(87:87,$8:$8,"&gt;="&amp;DATE(YEAR(FT$8)-1,1,1),$8:$8,"&lt;="&amp;EOMONTH(FT$8,-12))-1</f>
        <v/>
      </c>
      <c r="FU90" s="1318">
        <f>SUMIFS(87:87,$8:$8,"&gt;="&amp;DATE(YEAR(FU$8),1,1),$8:$8,"&lt;="&amp;EOMONTH(FU$8,0))/SUMIFS(87:87,$8:$8,"&gt;="&amp;DATE(YEAR(FU$8)-1,1,1),$8:$8,"&lt;="&amp;EOMONTH(FU$8,-12))-1</f>
        <v/>
      </c>
      <c r="FV90" s="1318">
        <f>SUMIFS(87:87,$8:$8,"&gt;="&amp;DATE(YEAR(FV$8),1,1),$8:$8,"&lt;="&amp;EOMONTH(FV$8,0))/SUMIFS(87:87,$8:$8,"&gt;="&amp;DATE(YEAR(FV$8)-1,1,1),$8:$8,"&lt;="&amp;EOMONTH(FV$8,-12))-1</f>
        <v/>
      </c>
      <c r="FW90" s="1318">
        <f>SUMIFS(87:87,$8:$8,"&gt;="&amp;DATE(YEAR(FW$8),1,1),$8:$8,"&lt;="&amp;EOMONTH(FW$8,0))/SUMIFS(87:87,$8:$8,"&gt;="&amp;DATE(YEAR(FW$8)-1,1,1),$8:$8,"&lt;="&amp;EOMONTH(FW$8,-12))-1</f>
        <v/>
      </c>
      <c r="FX90" s="1318">
        <f>SUMIFS(87:87,$8:$8,"&gt;="&amp;DATE(YEAR(FX$8),1,1),$8:$8,"&lt;="&amp;EOMONTH(FX$8,0))/SUMIFS(87:87,$8:$8,"&gt;="&amp;DATE(YEAR(FX$8)-1,1,1),$8:$8,"&lt;="&amp;EOMONTH(FX$8,-12))-1</f>
        <v/>
      </c>
      <c r="FY90" s="1318">
        <f>SUMIFS(87:87,$8:$8,"&gt;="&amp;DATE(YEAR(FY$8),1,1),$8:$8,"&lt;="&amp;EOMONTH(FY$8,0))/SUMIFS(87:87,$8:$8,"&gt;="&amp;DATE(YEAR(FY$8)-1,1,1),$8:$8,"&lt;="&amp;EOMONTH(FY$8,-12))-1</f>
        <v/>
      </c>
      <c r="FZ90" s="1318">
        <f>SUMIFS(87:87,$8:$8,"&gt;="&amp;DATE(YEAR(FZ$8),1,1),$8:$8,"&lt;="&amp;EOMONTH(FZ$8,0))/SUMIFS(87:87,$8:$8,"&gt;="&amp;DATE(YEAR(FZ$8)-1,1,1),$8:$8,"&lt;="&amp;EOMONTH(FZ$8,-12))-1</f>
        <v/>
      </c>
      <c r="GA90" s="1318">
        <f>SUMIFS(87:87,$8:$8,"&gt;="&amp;DATE(YEAR(GA$8),1,1),$8:$8,"&lt;="&amp;EOMONTH(GA$8,0))/SUMIFS(87:87,$8:$8,"&gt;="&amp;DATE(YEAR(GA$8)-1,1,1),$8:$8,"&lt;="&amp;EOMONTH(GA$8,-12))-1</f>
        <v/>
      </c>
      <c r="GB90" s="1318">
        <f>SUMIFS(87:87,$8:$8,"&gt;="&amp;DATE(YEAR(GB$8),1,1),$8:$8,"&lt;="&amp;EOMONTH(GB$8,0))/SUMIFS(87:87,$8:$8,"&gt;="&amp;DATE(YEAR(GB$8)-1,1,1),$8:$8,"&lt;="&amp;EOMONTH(GB$8,-12))-1</f>
        <v/>
      </c>
      <c r="GC90" s="1318">
        <f>SUMIFS(87:87,$8:$8,"&gt;="&amp;DATE(YEAR(GC$8),1,1),$8:$8,"&lt;="&amp;EOMONTH(GC$8,0))/SUMIFS(87:87,$8:$8,"&gt;="&amp;DATE(YEAR(GC$8)-1,1,1),$8:$8,"&lt;="&amp;EOMONTH(GC$8,-12))-1</f>
        <v/>
      </c>
      <c r="GD90" s="1318">
        <f>SUMIFS(87:87,$8:$8,"&gt;="&amp;DATE(YEAR(GD$8),1,1),$8:$8,"&lt;="&amp;EOMONTH(GD$8,0))/SUMIFS(87:87,$8:$8,"&gt;="&amp;DATE(YEAR(GD$8)-1,1,1),$8:$8,"&lt;="&amp;EOMONTH(GD$8,-12))-1</f>
        <v/>
      </c>
      <c r="GE90" s="1318">
        <f>SUMIFS(87:87,$8:$8,"&gt;="&amp;DATE(YEAR(GE$8),1,1),$8:$8,"&lt;="&amp;EOMONTH(GE$8,0))/SUMIFS(87:87,$8:$8,"&gt;="&amp;DATE(YEAR(GE$8)-1,1,1),$8:$8,"&lt;="&amp;EOMONTH(GE$8,-12))-1</f>
        <v/>
      </c>
      <c r="GF90" s="1318">
        <f>SUMIFS(87:87,$8:$8,"&gt;="&amp;DATE(YEAR(GF$8),1,1),$8:$8,"&lt;="&amp;EOMONTH(GF$8,0))/SUMIFS(87:87,$8:$8,"&gt;="&amp;DATE(YEAR(GF$8)-1,1,1),$8:$8,"&lt;="&amp;EOMONTH(GF$8,-12))-1</f>
        <v/>
      </c>
      <c r="GG90" s="1318">
        <f>SUMIFS(87:87,$8:$8,"&gt;="&amp;DATE(YEAR(GG$8),1,1),$8:$8,"&lt;="&amp;EOMONTH(GG$8,0))/SUMIFS(87:87,$8:$8,"&gt;="&amp;DATE(YEAR(GG$8)-1,1,1),$8:$8,"&lt;="&amp;EOMONTH(GG$8,-12))-1</f>
        <v/>
      </c>
      <c r="GH90" s="1318">
        <f>SUMIFS(87:87,$8:$8,"&gt;="&amp;DATE(YEAR(GH$8),1,1),$8:$8,"&lt;="&amp;EOMONTH(GH$8,0))/SUMIFS(87:87,$8:$8,"&gt;="&amp;DATE(YEAR(GH$8)-1,1,1),$8:$8,"&lt;="&amp;EOMONTH(GH$8,-12))-1</f>
        <v/>
      </c>
      <c r="GI90" s="1318">
        <f>SUMIFS(87:87,$8:$8,"&gt;="&amp;DATE(YEAR(GI$8),1,1),$8:$8,"&lt;="&amp;EOMONTH(GI$8,0))/SUMIFS(87:87,$8:$8,"&gt;="&amp;DATE(YEAR(GI$8)-1,1,1),$8:$8,"&lt;="&amp;EOMONTH(GI$8,-12))-1</f>
        <v/>
      </c>
      <c r="GJ90" s="1318">
        <f>SUMIFS(87:87,$8:$8,"&gt;="&amp;DATE(YEAR(GJ$8),1,1),$8:$8,"&lt;="&amp;EOMONTH(GJ$8,0))/SUMIFS(87:87,$8:$8,"&gt;="&amp;DATE(YEAR(GJ$8)-1,1,1),$8:$8,"&lt;="&amp;EOMONTH(GJ$8,-12))-1</f>
        <v/>
      </c>
      <c r="GK90" s="1318">
        <f>SUMIFS(87:87,$8:$8,"&gt;="&amp;DATE(YEAR(GK$8),1,1),$8:$8,"&lt;="&amp;EOMONTH(GK$8,0))/SUMIFS(87:87,$8:$8,"&gt;="&amp;DATE(YEAR(GK$8)-1,1,1),$8:$8,"&lt;="&amp;EOMONTH(GK$8,-12))-1</f>
        <v/>
      </c>
      <c r="GL90" s="1318">
        <f>SUMIFS(87:87,$8:$8,"&gt;="&amp;DATE(YEAR(GL$8),1,1),$8:$8,"&lt;="&amp;EOMONTH(GL$8,0))/SUMIFS(87:87,$8:$8,"&gt;="&amp;DATE(YEAR(GL$8)-1,1,1),$8:$8,"&lt;="&amp;EOMONTH(GL$8,-12))-1</f>
        <v/>
      </c>
      <c r="GM90" s="1318">
        <f>SUMIFS(87:87,$8:$8,"&gt;="&amp;DATE(YEAR(GM$8),1,1),$8:$8,"&lt;="&amp;EOMONTH(GM$8,0))/SUMIFS(87:87,$8:$8,"&gt;="&amp;DATE(YEAR(GM$8)-1,1,1),$8:$8,"&lt;="&amp;EOMONTH(GM$8,-12))-1</f>
        <v/>
      </c>
      <c r="GN90" s="1318">
        <f>SUMIFS(87:87,$8:$8,"&gt;="&amp;DATE(YEAR(GN$8),1,1),$8:$8,"&lt;="&amp;EOMONTH(GN$8,0))/SUMIFS(87:87,$8:$8,"&gt;="&amp;DATE(YEAR(GN$8)-1,1,1),$8:$8,"&lt;="&amp;EOMONTH(GN$8,-12))-1</f>
        <v/>
      </c>
      <c r="GO90" s="1318">
        <f>SUMIFS(87:87,$8:$8,"&gt;="&amp;DATE(YEAR(GO$8),1,1),$8:$8,"&lt;="&amp;EOMONTH(GO$8,0))/SUMIFS(87:87,$8:$8,"&gt;="&amp;DATE(YEAR(GO$8)-1,1,1),$8:$8,"&lt;="&amp;EOMONTH(GO$8,-12))-1</f>
        <v/>
      </c>
      <c r="GP90" s="1318">
        <f>SUMIFS(87:87,$8:$8,"&gt;="&amp;DATE(YEAR(GP$8),1,1),$8:$8,"&lt;="&amp;EOMONTH(GP$8,0))/SUMIFS(87:87,$8:$8,"&gt;="&amp;DATE(YEAR(GP$8)-1,1,1),$8:$8,"&lt;="&amp;EOMONTH(GP$8,-12))-1</f>
        <v/>
      </c>
      <c r="GQ90" s="1318">
        <f>SUMIFS(87:87,$8:$8,"&gt;="&amp;DATE(YEAR(GQ$8),1,1),$8:$8,"&lt;="&amp;EOMONTH(GQ$8,0))/SUMIFS(87:87,$8:$8,"&gt;="&amp;DATE(YEAR(GQ$8)-1,1,1),$8:$8,"&lt;="&amp;EOMONTH(GQ$8,-12))-1</f>
        <v/>
      </c>
      <c r="GR90" s="1318">
        <f>SUMIFS(87:87,$8:$8,"&gt;="&amp;DATE(YEAR(GR$8),1,1),$8:$8,"&lt;="&amp;EOMONTH(GR$8,0))/SUMIFS(87:87,$8:$8,"&gt;="&amp;DATE(YEAR(GR$8)-1,1,1),$8:$8,"&lt;="&amp;EOMONTH(GR$8,-12))-1</f>
        <v/>
      </c>
      <c r="GS90" s="1318">
        <f>SUMIFS(87:87,$8:$8,"&gt;="&amp;DATE(YEAR(GS$8),1,1),$8:$8,"&lt;="&amp;EOMONTH(GS$8,0))/SUMIFS(87:87,$8:$8,"&gt;="&amp;DATE(YEAR(GS$8)-1,1,1),$8:$8,"&lt;="&amp;EOMONTH(GS$8,-12))-1</f>
        <v/>
      </c>
      <c r="GT90" s="1318">
        <f>SUMIFS(87:87,$8:$8,"&gt;="&amp;DATE(YEAR(GT$8),1,1),$8:$8,"&lt;="&amp;EOMONTH(GT$8,0))/SUMIFS(87:87,$8:$8,"&gt;="&amp;DATE(YEAR(GT$8)-1,1,1),$8:$8,"&lt;="&amp;EOMONTH(GT$8,-12))-1</f>
        <v/>
      </c>
      <c r="GU90" s="1318">
        <f>SUMIFS(87:87,$8:$8,"&gt;="&amp;DATE(YEAR(GU$8),1,1),$8:$8,"&lt;="&amp;EOMONTH(GU$8,0))/SUMIFS(87:87,$8:$8,"&gt;="&amp;DATE(YEAR(GU$8)-1,1,1),$8:$8,"&lt;="&amp;EOMONTH(GU$8,-12))-1</f>
        <v/>
      </c>
      <c r="GV90" s="1318">
        <f>SUMIFS(87:87,$8:$8,"&gt;="&amp;DATE(YEAR(GV$8),1,1),$8:$8,"&lt;="&amp;EOMONTH(GV$8,0))/SUMIFS(87:87,$8:$8,"&gt;="&amp;DATE(YEAR(GV$8)-1,1,1),$8:$8,"&lt;="&amp;EOMONTH(GV$8,-12))-1</f>
        <v/>
      </c>
      <c r="GW90" s="1318">
        <f>SUMIFS(87:87,$8:$8,"&gt;="&amp;DATE(YEAR(GW$8),1,1),$8:$8,"&lt;="&amp;EOMONTH(GW$8,0))/SUMIFS(87:87,$8:$8,"&gt;="&amp;DATE(YEAR(GW$8)-1,1,1),$8:$8,"&lt;="&amp;EOMONTH(GW$8,-12))-1</f>
        <v/>
      </c>
      <c r="GX90" s="1318">
        <f>SUMIFS(87:87,$8:$8,"&gt;="&amp;DATE(YEAR(GX$8),1,1),$8:$8,"&lt;="&amp;EOMONTH(GX$8,0))/SUMIFS(87:87,$8:$8,"&gt;="&amp;DATE(YEAR(GX$8)-1,1,1),$8:$8,"&lt;="&amp;EOMONTH(GX$8,-12))-1</f>
        <v/>
      </c>
      <c r="GY90" s="1318">
        <f>SUMIFS(87:87,$8:$8,"&gt;="&amp;DATE(YEAR(GY$8),1,1),$8:$8,"&lt;="&amp;EOMONTH(GY$8,0))/SUMIFS(87:87,$8:$8,"&gt;="&amp;DATE(YEAR(GY$8)-1,1,1),$8:$8,"&lt;="&amp;EOMONTH(GY$8,-12))-1</f>
        <v/>
      </c>
      <c r="GZ90" s="1318">
        <f>SUMIFS(87:87,$8:$8,"&gt;="&amp;DATE(YEAR(GZ$8),1,1),$8:$8,"&lt;="&amp;EOMONTH(GZ$8,0))/SUMIFS(87:87,$8:$8,"&gt;="&amp;DATE(YEAR(GZ$8)-1,1,1),$8:$8,"&lt;="&amp;EOMONTH(GZ$8,-12))-1</f>
        <v/>
      </c>
      <c r="HA90" s="1318">
        <f>SUMIFS(87:87,$8:$8,"&gt;="&amp;DATE(YEAR(HA$8),1,1),$8:$8,"&lt;="&amp;EOMONTH(HA$8,0))/SUMIFS(87:87,$8:$8,"&gt;="&amp;DATE(YEAR(HA$8)-1,1,1),$8:$8,"&lt;="&amp;EOMONTH(HA$8,-12))-1</f>
        <v/>
      </c>
      <c r="HB90" s="1318">
        <f>SUMIFS(87:87,$8:$8,"&gt;="&amp;DATE(YEAR(HB$8),1,1),$8:$8,"&lt;="&amp;EOMONTH(HB$8,0))/SUMIFS(87:87,$8:$8,"&gt;="&amp;DATE(YEAR(HB$8)-1,1,1),$8:$8,"&lt;="&amp;EOMONTH(HB$8,-12))-1</f>
        <v/>
      </c>
      <c r="HC90" s="1318">
        <f>SUMIFS(87:87,$8:$8,"&gt;="&amp;DATE(YEAR(HC$8),1,1),$8:$8,"&lt;="&amp;EOMONTH(HC$8,0))/SUMIFS(87:87,$8:$8,"&gt;="&amp;DATE(YEAR(HC$8)-1,1,1),$8:$8,"&lt;="&amp;EOMONTH(HC$8,-12))-1</f>
        <v/>
      </c>
      <c r="HD90" s="1318">
        <f>SUMIFS(87:87,$8:$8,"&gt;="&amp;DATE(YEAR(HD$8),1,1),$8:$8,"&lt;="&amp;EOMONTH(HD$8,0))/SUMIFS(87:87,$8:$8,"&gt;="&amp;DATE(YEAR(HD$8)-1,1,1),$8:$8,"&lt;="&amp;EOMONTH(HD$8,-12))-1</f>
        <v/>
      </c>
      <c r="HE90" s="1318">
        <f>SUMIFS(87:87,$8:$8,"&gt;="&amp;DATE(YEAR(HE$8),1,1),$8:$8,"&lt;="&amp;EOMONTH(HE$8,0))/SUMIFS(87:87,$8:$8,"&gt;="&amp;DATE(YEAR(HE$8)-1,1,1),$8:$8,"&lt;="&amp;EOMONTH(HE$8,-12))-1</f>
        <v/>
      </c>
      <c r="HF90" s="1318">
        <f>SUMIFS(87:87,$8:$8,"&gt;="&amp;DATE(YEAR(HF$8),1,1),$8:$8,"&lt;="&amp;EOMONTH(HF$8,0))/SUMIFS(87:87,$8:$8,"&gt;="&amp;DATE(YEAR(HF$8)-1,1,1),$8:$8,"&lt;="&amp;EOMONTH(HF$8,-12))-1</f>
        <v/>
      </c>
      <c r="HG90" s="1318">
        <f>SUMIFS(87:87,$8:$8,"&gt;="&amp;DATE(YEAR(HG$8),1,1),$8:$8,"&lt;="&amp;EOMONTH(HG$8,0))/SUMIFS(87:87,$8:$8,"&gt;="&amp;DATE(YEAR(HG$8)-1,1,1),$8:$8,"&lt;="&amp;EOMONTH(HG$8,-12))-1</f>
        <v/>
      </c>
      <c r="HH90" s="1318">
        <f>SUMIFS(87:87,$8:$8,"&gt;="&amp;DATE(YEAR(HH$8),1,1),$8:$8,"&lt;="&amp;EOMONTH(HH$8,0))/SUMIFS(87:87,$8:$8,"&gt;="&amp;DATE(YEAR(HH$8)-1,1,1),$8:$8,"&lt;="&amp;EOMONTH(HH$8,-12))-1</f>
        <v/>
      </c>
      <c r="HI90" s="1318">
        <f>SUMIFS(87:87,$8:$8,"&gt;="&amp;DATE(YEAR(HI$8),1,1),$8:$8,"&lt;="&amp;EOMONTH(HI$8,0))/SUMIFS(87:87,$8:$8,"&gt;="&amp;DATE(YEAR(HI$8)-1,1,1),$8:$8,"&lt;="&amp;EOMONTH(HI$8,-12))-1</f>
        <v/>
      </c>
      <c r="HJ90" s="1318">
        <f>SUMIFS(87:87,$8:$8,"&gt;="&amp;DATE(YEAR(HJ$8),1,1),$8:$8,"&lt;="&amp;EOMONTH(HJ$8,0))/SUMIFS(87:87,$8:$8,"&gt;="&amp;DATE(YEAR(HJ$8)-1,1,1),$8:$8,"&lt;="&amp;EOMONTH(HJ$8,-12))-1</f>
        <v/>
      </c>
      <c r="HK90" s="1318">
        <f>SUMIFS(87:87,$8:$8,"&gt;="&amp;DATE(YEAR(HK$8),1,1),$8:$8,"&lt;="&amp;EOMONTH(HK$8,0))/SUMIFS(87:87,$8:$8,"&gt;="&amp;DATE(YEAR(HK$8)-1,1,1),$8:$8,"&lt;="&amp;EOMONTH(HK$8,-12))-1</f>
        <v/>
      </c>
      <c r="HL90" s="1318">
        <f>SUMIFS(87:87,$8:$8,"&gt;="&amp;DATE(YEAR(HL$8),1,1),$8:$8,"&lt;="&amp;EOMONTH(HL$8,0))/SUMIFS(87:87,$8:$8,"&gt;="&amp;DATE(YEAR(HL$8)-1,1,1),$8:$8,"&lt;="&amp;EOMONTH(HL$8,-12))-1</f>
        <v/>
      </c>
      <c r="HM90" s="1318">
        <f>SUMIFS(87:87,$8:$8,"&gt;="&amp;DATE(YEAR(HM$8),1,1),$8:$8,"&lt;="&amp;EOMONTH(HM$8,0))/SUMIFS(87:87,$8:$8,"&gt;="&amp;DATE(YEAR(HM$8)-1,1,1),$8:$8,"&lt;="&amp;EOMONTH(HM$8,-12))-1</f>
        <v/>
      </c>
      <c r="HN90" s="1318">
        <f>SUMIFS(87:87,$8:$8,"&gt;="&amp;DATE(YEAR(HN$8),1,1),$8:$8,"&lt;="&amp;EOMONTH(HN$8,0))/SUMIFS(87:87,$8:$8,"&gt;="&amp;DATE(YEAR(HN$8)-1,1,1),$8:$8,"&lt;="&amp;EOMONTH(HN$8,-12))-1</f>
        <v/>
      </c>
      <c r="HO90" s="1318">
        <f>SUMIFS(87:87,$8:$8,"&gt;="&amp;DATE(YEAR(HO$8),1,1),$8:$8,"&lt;="&amp;EOMONTH(HO$8,0))/SUMIFS(87:87,$8:$8,"&gt;="&amp;DATE(YEAR(HO$8)-1,1,1),$8:$8,"&lt;="&amp;EOMONTH(HO$8,-12))-1</f>
        <v/>
      </c>
      <c r="HP90" s="1318">
        <f>SUMIFS(87:87,$8:$8,"&gt;="&amp;DATE(YEAR(HP$8),1,1),$8:$8,"&lt;="&amp;EOMONTH(HP$8,0))/SUMIFS(87:87,$8:$8,"&gt;="&amp;DATE(YEAR(HP$8)-1,1,1),$8:$8,"&lt;="&amp;EOMONTH(HP$8,-12))-1</f>
        <v/>
      </c>
      <c r="HQ90" s="1318">
        <f>SUMIFS(87:87,$8:$8,"&gt;="&amp;DATE(YEAR(HQ$8),1,1),$8:$8,"&lt;="&amp;EOMONTH(HQ$8,0))/SUMIFS(87:87,$8:$8,"&gt;="&amp;DATE(YEAR(HQ$8)-1,1,1),$8:$8,"&lt;="&amp;EOMONTH(HQ$8,-12))-1</f>
        <v/>
      </c>
      <c r="HR90" s="1318">
        <f>SUMIFS(87:87,$8:$8,"&gt;="&amp;DATE(YEAR(HR$8),1,1),$8:$8,"&lt;="&amp;EOMONTH(HR$8,0))/SUMIFS(87:87,$8:$8,"&gt;="&amp;DATE(YEAR(HR$8)-1,1,1),$8:$8,"&lt;="&amp;EOMONTH(HR$8,-12))-1</f>
        <v/>
      </c>
      <c r="HS90" s="1318">
        <f>SUMIFS(87:87,$8:$8,"&gt;="&amp;DATE(YEAR(HS$8),1,1),$8:$8,"&lt;="&amp;EOMONTH(HS$8,0))/SUMIFS(87:87,$8:$8,"&gt;="&amp;DATE(YEAR(HS$8)-1,1,1),$8:$8,"&lt;="&amp;EOMONTH(HS$8,-12))-1</f>
        <v/>
      </c>
      <c r="HT90" s="1318">
        <f>SUMIFS(87:87,$8:$8,"&gt;="&amp;DATE(YEAR(HT$8),1,1),$8:$8,"&lt;="&amp;EOMONTH(HT$8,0))/SUMIFS(87:87,$8:$8,"&gt;="&amp;DATE(YEAR(HT$8)-1,1,1),$8:$8,"&lt;="&amp;EOMONTH(HT$8,-12))-1</f>
        <v/>
      </c>
      <c r="HU90" s="1318">
        <f>SUMIFS(87:87,$8:$8,"&gt;="&amp;DATE(YEAR(HU$8),1,1),$8:$8,"&lt;="&amp;EOMONTH(HU$8,0))/SUMIFS(87:87,$8:$8,"&gt;="&amp;DATE(YEAR(HU$8)-1,1,1),$8:$8,"&lt;="&amp;EOMONTH(HU$8,-12))-1</f>
        <v/>
      </c>
      <c r="HV90" s="1318">
        <f>SUMIFS(87:87,$8:$8,"&gt;="&amp;DATE(YEAR(HV$8),1,1),$8:$8,"&lt;="&amp;EOMONTH(HV$8,0))/SUMIFS(87:87,$8:$8,"&gt;="&amp;DATE(YEAR(HV$8)-1,1,1),$8:$8,"&lt;="&amp;EOMONTH(HV$8,-12))-1</f>
        <v/>
      </c>
      <c r="HW90" s="1318">
        <f>SUMIFS(87:87,$8:$8,"&gt;="&amp;DATE(YEAR(HW$8),1,1),$8:$8,"&lt;="&amp;EOMONTH(HW$8,0))/SUMIFS(87:87,$8:$8,"&gt;="&amp;DATE(YEAR(HW$8)-1,1,1),$8:$8,"&lt;="&amp;EOMONTH(HW$8,-12))-1</f>
        <v/>
      </c>
      <c r="HX90" s="1318">
        <f>SUMIFS(87:87,$8:$8,"&gt;="&amp;DATE(YEAR(HX$8),1,1),$8:$8,"&lt;="&amp;EOMONTH(HX$8,0))/SUMIFS(87:87,$8:$8,"&gt;="&amp;DATE(YEAR(HX$8)-1,1,1),$8:$8,"&lt;="&amp;EOMONTH(HX$8,-12))-1</f>
        <v/>
      </c>
      <c r="HY90" s="1318">
        <f>SUMIFS(87:87,$8:$8,"&gt;="&amp;DATE(YEAR(HY$8),1,1),$8:$8,"&lt;="&amp;EOMONTH(HY$8,0))/SUMIFS(87:87,$8:$8,"&gt;="&amp;DATE(YEAR(HY$8)-1,1,1),$8:$8,"&lt;="&amp;EOMONTH(HY$8,-12))-1</f>
        <v/>
      </c>
      <c r="HZ90" s="1318">
        <f>SUMIFS(87:87,$8:$8,"&gt;="&amp;DATE(YEAR(HZ$8),1,1),$8:$8,"&lt;="&amp;EOMONTH(HZ$8,0))/SUMIFS(87:87,$8:$8,"&gt;="&amp;DATE(YEAR(HZ$8)-1,1,1),$8:$8,"&lt;="&amp;EOMONTH(HZ$8,-12))-1</f>
        <v/>
      </c>
      <c r="IA90" s="1318">
        <f>SUMIFS(87:87,$8:$8,"&gt;="&amp;DATE(YEAR(IA$8),1,1),$8:$8,"&lt;="&amp;EOMONTH(IA$8,0))/SUMIFS(87:87,$8:$8,"&gt;="&amp;DATE(YEAR(IA$8)-1,1,1),$8:$8,"&lt;="&amp;EOMONTH(IA$8,-12))-1</f>
        <v/>
      </c>
      <c r="IB90" s="1318">
        <f>SUMIFS(87:87,$8:$8,"&gt;="&amp;DATE(YEAR(IB$8),1,1),$8:$8,"&lt;="&amp;EOMONTH(IB$8,0))/SUMIFS(87:87,$8:$8,"&gt;="&amp;DATE(YEAR(IB$8)-1,1,1),$8:$8,"&lt;="&amp;EOMONTH(IB$8,-12))-1</f>
        <v/>
      </c>
      <c r="IC90" s="1318">
        <f>SUMIFS(87:87,$8:$8,"&gt;="&amp;DATE(YEAR(IC$8),1,1),$8:$8,"&lt;="&amp;EOMONTH(IC$8,0))/SUMIFS(87:87,$8:$8,"&gt;="&amp;DATE(YEAR(IC$8)-1,1,1),$8:$8,"&lt;="&amp;EOMONTH(IC$8,-12))-1</f>
        <v/>
      </c>
      <c r="ID90" s="1318">
        <f>SUMIFS(87:87,$8:$8,"&gt;="&amp;DATE(YEAR(ID$8),1,1),$8:$8,"&lt;="&amp;EOMONTH(ID$8,0))/SUMIFS(87:87,$8:$8,"&gt;="&amp;DATE(YEAR(ID$8)-1,1,1),$8:$8,"&lt;="&amp;EOMONTH(ID$8,-12))-1</f>
        <v/>
      </c>
      <c r="IE90" s="1318">
        <f>SUMIFS(87:87,$8:$8,"&gt;="&amp;DATE(YEAR(IE$8),1,1),$8:$8,"&lt;="&amp;EOMONTH(IE$8,0))/SUMIFS(87:87,$8:$8,"&gt;="&amp;DATE(YEAR(IE$8)-1,1,1),$8:$8,"&lt;="&amp;EOMONTH(IE$8,-12))-1</f>
        <v/>
      </c>
      <c r="IF90" s="1318">
        <f>SUMIFS(87:87,$8:$8,"&gt;="&amp;DATE(YEAR(IF$8),1,1),$8:$8,"&lt;="&amp;EOMONTH(IF$8,0))/SUMIFS(87:87,$8:$8,"&gt;="&amp;DATE(YEAR(IF$8)-1,1,1),$8:$8,"&lt;="&amp;EOMONTH(IF$8,-12))-1</f>
        <v/>
      </c>
      <c r="IG90" s="1318">
        <f>SUMIFS(87:87,$8:$8,"&gt;="&amp;DATE(YEAR(IG$8),1,1),$8:$8,"&lt;="&amp;EOMONTH(IG$8,0))/SUMIFS(87:87,$8:$8,"&gt;="&amp;DATE(YEAR(IG$8)-1,1,1),$8:$8,"&lt;="&amp;EOMONTH(IG$8,-12))-1</f>
        <v/>
      </c>
      <c r="IH90" s="1318">
        <f>SUMIFS(87:87,$8:$8,"&gt;="&amp;DATE(YEAR(IH$8),1,1),$8:$8,"&lt;="&amp;EOMONTH(IH$8,0))/SUMIFS(87:87,$8:$8,"&gt;="&amp;DATE(YEAR(IH$8)-1,1,1),$8:$8,"&lt;="&amp;EOMONTH(IH$8,-12))-1</f>
        <v/>
      </c>
      <c r="II90" s="1318">
        <f>SUMIFS(87:87,$8:$8,"&gt;="&amp;DATE(YEAR(II$8),1,1),$8:$8,"&lt;="&amp;EOMONTH(II$8,0))/SUMIFS(87:87,$8:$8,"&gt;="&amp;DATE(YEAR(II$8)-1,1,1),$8:$8,"&lt;="&amp;EOMONTH(II$8,-12))-1</f>
        <v/>
      </c>
      <c r="IJ90" s="1318">
        <f>SUMIFS(87:87,$8:$8,"&gt;="&amp;DATE(YEAR(IJ$8),1,1),$8:$8,"&lt;="&amp;EOMONTH(IJ$8,0))/SUMIFS(87:87,$8:$8,"&gt;="&amp;DATE(YEAR(IJ$8)-1,1,1),$8:$8,"&lt;="&amp;EOMONTH(IJ$8,-12))-1</f>
        <v/>
      </c>
      <c r="IK90" s="1318">
        <f>SUMIFS(87:87,$8:$8,"&gt;="&amp;DATE(YEAR(IK$8),1,1),$8:$8,"&lt;="&amp;EOMONTH(IK$8,0))/SUMIFS(87:87,$8:$8,"&gt;="&amp;DATE(YEAR(IK$8)-1,1,1),$8:$8,"&lt;="&amp;EOMONTH(IK$8,-12))-1</f>
        <v/>
      </c>
      <c r="IL90" s="1318">
        <f>SUMIFS(87:87,$8:$8,"&gt;="&amp;DATE(YEAR(IL$8),1,1),$8:$8,"&lt;="&amp;EOMONTH(IL$8,0))/SUMIFS(87:87,$8:$8,"&gt;="&amp;DATE(YEAR(IL$8)-1,1,1),$8:$8,"&lt;="&amp;EOMONTH(IL$8,-12))-1</f>
        <v/>
      </c>
      <c r="IM90" s="1318">
        <f>SUMIFS(87:87,$8:$8,"&gt;="&amp;DATE(YEAR(IM$8),1,1),$8:$8,"&lt;="&amp;EOMONTH(IM$8,0))/SUMIFS(87:87,$8:$8,"&gt;="&amp;DATE(YEAR(IM$8)-1,1,1),$8:$8,"&lt;="&amp;EOMONTH(IM$8,-12))-1</f>
        <v/>
      </c>
      <c r="IN90" s="1318">
        <f>SUMIFS(87:87,$8:$8,"&gt;="&amp;DATE(YEAR(IN$8),1,1),$8:$8,"&lt;="&amp;EOMONTH(IN$8,0))/SUMIFS(87:87,$8:$8,"&gt;="&amp;DATE(YEAR(IN$8)-1,1,1),$8:$8,"&lt;="&amp;EOMONTH(IN$8,-12))-1</f>
        <v/>
      </c>
      <c r="IO90" s="1318">
        <f>SUMIFS(87:87,$8:$8,"&gt;="&amp;DATE(YEAR(IO$8),1,1),$8:$8,"&lt;="&amp;EOMONTH(IO$8,0))/SUMIFS(87:87,$8:$8,"&gt;="&amp;DATE(YEAR(IO$8)-1,1,1),$8:$8,"&lt;="&amp;EOMONTH(IO$8,-12))-1</f>
        <v/>
      </c>
      <c r="IP90" s="1318">
        <f>SUMIFS(87:87,$8:$8,"&gt;="&amp;DATE(YEAR(IP$8),1,1),$8:$8,"&lt;="&amp;EOMONTH(IP$8,0))/SUMIFS(87:87,$8:$8,"&gt;="&amp;DATE(YEAR(IP$8)-1,1,1),$8:$8,"&lt;="&amp;EOMONTH(IP$8,-12))-1</f>
        <v/>
      </c>
      <c r="IQ90" s="1318">
        <f>SUMIFS(87:87,$8:$8,"&gt;="&amp;DATE(YEAR(IQ$8),1,1),$8:$8,"&lt;="&amp;EOMONTH(IQ$8,0))/SUMIFS(87:87,$8:$8,"&gt;="&amp;DATE(YEAR(IQ$8)-1,1,1),$8:$8,"&lt;="&amp;EOMONTH(IQ$8,-12))-1</f>
        <v/>
      </c>
      <c r="IR90" s="1318">
        <f>SUMIFS(87:87,$8:$8,"&gt;="&amp;DATE(YEAR(IR$8),1,1),$8:$8,"&lt;="&amp;EOMONTH(IR$8,0))/SUMIFS(87:87,$8:$8,"&gt;="&amp;DATE(YEAR(IR$8)-1,1,1),$8:$8,"&lt;="&amp;EOMONTH(IR$8,-12))-1</f>
        <v/>
      </c>
      <c r="IS90" s="1318">
        <f>SUMIFS(87:87,$8:$8,"&gt;="&amp;DATE(YEAR(IS$8),1,1),$8:$8,"&lt;="&amp;EOMONTH(IS$8,0))/SUMIFS(87:87,$8:$8,"&gt;="&amp;DATE(YEAR(IS$8)-1,1,1),$8:$8,"&lt;="&amp;EOMONTH(IS$8,-12))-1</f>
        <v/>
      </c>
      <c r="IT90" s="1318">
        <f>SUMIFS(87:87,$8:$8,"&gt;="&amp;DATE(YEAR(IT$8),1,1),$8:$8,"&lt;="&amp;EOMONTH(IT$8,0))/SUMIFS(87:87,$8:$8,"&gt;="&amp;DATE(YEAR(IT$8)-1,1,1),$8:$8,"&lt;="&amp;EOMONTH(IT$8,-12))-1</f>
        <v/>
      </c>
      <c r="IU90" s="1318">
        <f>SUMIFS(87:87,$8:$8,"&gt;="&amp;DATE(YEAR(IU$8),1,1),$8:$8,"&lt;="&amp;EOMONTH(IU$8,0))/SUMIFS(87:87,$8:$8,"&gt;="&amp;DATE(YEAR(IU$8)-1,1,1),$8:$8,"&lt;="&amp;EOMONTH(IU$8,-12))-1</f>
        <v/>
      </c>
      <c r="IV90" s="1318">
        <f>SUMIFS(87:87,$8:$8,"&gt;="&amp;DATE(YEAR(IV$8),1,1),$8:$8,"&lt;="&amp;EOMONTH(IV$8,0))/SUMIFS(87:87,$8:$8,"&gt;="&amp;DATE(YEAR(IV$8)-1,1,1),$8:$8,"&lt;="&amp;EOMONTH(IV$8,-12))-1</f>
        <v/>
      </c>
      <c r="IW90" s="1318">
        <f>SUMIFS(87:87,$8:$8,"&gt;="&amp;DATE(YEAR(IW$8),1,1),$8:$8,"&lt;="&amp;EOMONTH(IW$8,0))/SUMIFS(87:87,$8:$8,"&gt;="&amp;DATE(YEAR(IW$8)-1,1,1),$8:$8,"&lt;="&amp;EOMONTH(IW$8,-12))-1</f>
        <v/>
      </c>
      <c r="IX90" s="1318">
        <f>SUMIFS(87:87,$8:$8,"&gt;="&amp;DATE(YEAR(IX$8),1,1),$8:$8,"&lt;="&amp;EOMONTH(IX$8,0))/SUMIFS(87:87,$8:$8,"&gt;="&amp;DATE(YEAR(IX$8)-1,1,1),$8:$8,"&lt;="&amp;EOMONTH(IX$8,-12))-1</f>
        <v/>
      </c>
      <c r="IY90" s="1318">
        <f>SUMIFS(87:87,$8:$8,"&gt;="&amp;DATE(YEAR(IY$8),1,1),$8:$8,"&lt;="&amp;EOMONTH(IY$8,0))/SUMIFS(87:87,$8:$8,"&gt;="&amp;DATE(YEAR(IY$8)-1,1,1),$8:$8,"&lt;="&amp;EOMONTH(IY$8,-12))-1</f>
        <v/>
      </c>
      <c r="IZ90" s="1318">
        <f>SUMIFS(87:87,$8:$8,"&gt;="&amp;DATE(YEAR(IZ$8),1,1),$8:$8,"&lt;="&amp;EOMONTH(IZ$8,0))/SUMIFS(87:87,$8:$8,"&gt;="&amp;DATE(YEAR(IZ$8)-1,1,1),$8:$8,"&lt;="&amp;EOMONTH(IZ$8,-12))-1</f>
        <v/>
      </c>
      <c r="JA90" s="1318">
        <f>SUMIFS(87:87,$8:$8,"&gt;="&amp;DATE(YEAR(JA$8),1,1),$8:$8,"&lt;="&amp;EOMONTH(JA$8,0))/SUMIFS(87:87,$8:$8,"&gt;="&amp;DATE(YEAR(JA$8)-1,1,1),$8:$8,"&lt;="&amp;EOMONTH(JA$8,-12))-1</f>
        <v/>
      </c>
      <c r="JB90" s="1318">
        <f>SUMIFS(87:87,$8:$8,"&gt;="&amp;DATE(YEAR(JB$8),1,1),$8:$8,"&lt;="&amp;EOMONTH(JB$8,0))/SUMIFS(87:87,$8:$8,"&gt;="&amp;DATE(YEAR(JB$8)-1,1,1),$8:$8,"&lt;="&amp;EOMONTH(JB$8,-12))-1</f>
        <v/>
      </c>
      <c r="JC90" s="1318">
        <f>SUMIFS(87:87,$8:$8,"&gt;="&amp;DATE(YEAR(JC$8),1,1),$8:$8,"&lt;="&amp;EOMONTH(JC$8,0))/SUMIFS(87:87,$8:$8,"&gt;="&amp;DATE(YEAR(JC$8)-1,1,1),$8:$8,"&lt;="&amp;EOMONTH(JC$8,-12))-1</f>
        <v/>
      </c>
      <c r="JD90" s="1318">
        <f>SUMIFS(87:87,$8:$8,"&gt;="&amp;DATE(YEAR(JD$8),1,1),$8:$8,"&lt;="&amp;EOMONTH(JD$8,0))/SUMIFS(87:87,$8:$8,"&gt;="&amp;DATE(YEAR(JD$8)-1,1,1),$8:$8,"&lt;="&amp;EOMONTH(JD$8,-12))-1</f>
        <v/>
      </c>
      <c r="JE90" s="1318">
        <f>SUMIFS(87:87,$8:$8,"&gt;="&amp;DATE(YEAR(JE$8),1,1),$8:$8,"&lt;="&amp;EOMONTH(JE$8,0))/SUMIFS(87:87,$8:$8,"&gt;="&amp;DATE(YEAR(JE$8)-1,1,1),$8:$8,"&lt;="&amp;EOMONTH(JE$8,-12))-1</f>
        <v/>
      </c>
      <c r="JF90" s="1318">
        <f>SUMIFS(87:87,$8:$8,"&gt;="&amp;DATE(YEAR(JF$8),1,1),$8:$8,"&lt;="&amp;EOMONTH(JF$8,0))/SUMIFS(87:87,$8:$8,"&gt;="&amp;DATE(YEAR(JF$8)-1,1,1),$8:$8,"&lt;="&amp;EOMONTH(JF$8,-12))-1</f>
        <v/>
      </c>
      <c r="JG90" s="1318">
        <f>SUMIFS(87:87,$8:$8,"&gt;="&amp;DATE(YEAR(JG$8),1,1),$8:$8,"&lt;="&amp;EOMONTH(JG$8,0))/SUMIFS(87:87,$8:$8,"&gt;="&amp;DATE(YEAR(JG$8)-1,1,1),$8:$8,"&lt;="&amp;EOMONTH(JG$8,-12))-1</f>
        <v/>
      </c>
      <c r="JH90" s="1318">
        <f>SUMIFS(87:87,$8:$8,"&gt;="&amp;DATE(YEAR(JH$8),1,1),$8:$8,"&lt;="&amp;EOMONTH(JH$8,0))/SUMIFS(87:87,$8:$8,"&gt;="&amp;DATE(YEAR(JH$8)-1,1,1),$8:$8,"&lt;="&amp;EOMONTH(JH$8,-12))-1</f>
        <v/>
      </c>
      <c r="JI90" s="1318">
        <f>SUMIFS(87:87,$8:$8,"&gt;="&amp;DATE(YEAR(JI$8),1,1),$8:$8,"&lt;="&amp;EOMONTH(JI$8,0))/SUMIFS(87:87,$8:$8,"&gt;="&amp;DATE(YEAR(JI$8)-1,1,1),$8:$8,"&lt;="&amp;EOMONTH(JI$8,-12))-1</f>
        <v/>
      </c>
      <c r="JJ90" s="1318">
        <f>SUMIFS(87:87,$8:$8,"&gt;="&amp;DATE(YEAR(JJ$8),1,1),$8:$8,"&lt;="&amp;EOMONTH(JJ$8,0))/SUMIFS(87:87,$8:$8,"&gt;="&amp;DATE(YEAR(JJ$8)-1,1,1),$8:$8,"&lt;="&amp;EOMONTH(JJ$8,-12))-1</f>
        <v/>
      </c>
      <c r="JK90" s="1318">
        <f>SUMIFS(87:87,$8:$8,"&gt;="&amp;DATE(YEAR(JK$8),1,1),$8:$8,"&lt;="&amp;EOMONTH(JK$8,0))/SUMIFS(87:87,$8:$8,"&gt;="&amp;DATE(YEAR(JK$8)-1,1,1),$8:$8,"&lt;="&amp;EOMONTH(JK$8,-12))-1</f>
        <v/>
      </c>
      <c r="JL90" s="1318">
        <f>SUMIFS(87:87,$8:$8,"&gt;="&amp;DATE(YEAR(JL$8),1,1),$8:$8,"&lt;="&amp;EOMONTH(JL$8,0))/SUMIFS(87:87,$8:$8,"&gt;="&amp;DATE(YEAR(JL$8)-1,1,1),$8:$8,"&lt;="&amp;EOMONTH(JL$8,-12))-1</f>
        <v/>
      </c>
      <c r="JM90" s="1318">
        <f>SUMIFS(87:87,$8:$8,"&gt;="&amp;DATE(YEAR(JM$8),1,1),$8:$8,"&lt;="&amp;EOMONTH(JM$8,0))/SUMIFS(87:87,$8:$8,"&gt;="&amp;DATE(YEAR(JM$8)-1,1,1),$8:$8,"&lt;="&amp;EOMONTH(JM$8,-12))-1</f>
        <v/>
      </c>
      <c r="JN90" s="1318">
        <f>SUMIFS(87:87,$8:$8,"&gt;="&amp;DATE(YEAR(JN$8),1,1),$8:$8,"&lt;="&amp;EOMONTH(JN$8,0))/SUMIFS(87:87,$8:$8,"&gt;="&amp;DATE(YEAR(JN$8)-1,1,1),$8:$8,"&lt;="&amp;EOMONTH(JN$8,-12))-1</f>
        <v/>
      </c>
      <c r="JO90" s="1318">
        <f>SUMIFS(87:87,$8:$8,"&gt;="&amp;DATE(YEAR(JO$8),1,1),$8:$8,"&lt;="&amp;EOMONTH(JO$8,0))/SUMIFS(87:87,$8:$8,"&gt;="&amp;DATE(YEAR(JO$8)-1,1,1),$8:$8,"&lt;="&amp;EOMONTH(JO$8,-12))-1</f>
        <v/>
      </c>
      <c r="JP90" s="1318">
        <f>SUMIFS(87:87,$8:$8,"&gt;="&amp;DATE(YEAR(JP$8),1,1),$8:$8,"&lt;="&amp;EOMONTH(JP$8,0))/SUMIFS(87:87,$8:$8,"&gt;="&amp;DATE(YEAR(JP$8)-1,1,1),$8:$8,"&lt;="&amp;EOMONTH(JP$8,-12))-1</f>
        <v/>
      </c>
      <c r="JQ90" s="1318">
        <f>SUMIFS(87:87,$8:$8,"&gt;="&amp;DATE(YEAR(JQ$8),1,1),$8:$8,"&lt;="&amp;EOMONTH(JQ$8,0))/SUMIFS(87:87,$8:$8,"&gt;="&amp;DATE(YEAR(JQ$8)-1,1,1),$8:$8,"&lt;="&amp;EOMONTH(JQ$8,-12))-1</f>
        <v/>
      </c>
      <c r="JR90" s="1318">
        <f>SUMIFS(87:87,$8:$8,"&gt;="&amp;DATE(YEAR(JR$8),1,1),$8:$8,"&lt;="&amp;EOMONTH(JR$8,0))/SUMIFS(87:87,$8:$8,"&gt;="&amp;DATE(YEAR(JR$8)-1,1,1),$8:$8,"&lt;="&amp;EOMONTH(JR$8,-12))-1</f>
        <v/>
      </c>
      <c r="JS90" s="1318">
        <f>SUMIFS(87:87,$8:$8,"&gt;="&amp;DATE(YEAR(JS$8),1,1),$8:$8,"&lt;="&amp;EOMONTH(JS$8,0))/SUMIFS(87:87,$8:$8,"&gt;="&amp;DATE(YEAR(JS$8)-1,1,1),$8:$8,"&lt;="&amp;EOMONTH(JS$8,-12))-1</f>
        <v/>
      </c>
      <c r="JT90" s="1318">
        <f>SUMIFS(87:87,$8:$8,"&gt;="&amp;DATE(YEAR(JT$8),1,1),$8:$8,"&lt;="&amp;EOMONTH(JT$8,0))/SUMIFS(87:87,$8:$8,"&gt;="&amp;DATE(YEAR(JT$8)-1,1,1),$8:$8,"&lt;="&amp;EOMONTH(JT$8,-12))-1</f>
        <v/>
      </c>
      <c r="JU90" s="1318">
        <f>SUMIFS(87:87,$8:$8,"&gt;="&amp;DATE(YEAR(JU$8),1,1),$8:$8,"&lt;="&amp;EOMONTH(JU$8,0))/SUMIFS(87:87,$8:$8,"&gt;="&amp;DATE(YEAR(JU$8)-1,1,1),$8:$8,"&lt;="&amp;EOMONTH(JU$8,-12))-1</f>
        <v/>
      </c>
      <c r="JV90" s="1318">
        <f>SUMIFS(87:87,$8:$8,"&gt;="&amp;DATE(YEAR(JV$8),1,1),$8:$8,"&lt;="&amp;EOMONTH(JV$8,0))/SUMIFS(87:87,$8:$8,"&gt;="&amp;DATE(YEAR(JV$8)-1,1,1),$8:$8,"&lt;="&amp;EOMONTH(JV$8,-12))-1</f>
        <v/>
      </c>
      <c r="JW90" s="1318">
        <f>SUMIFS(87:87,$8:$8,"&gt;="&amp;DATE(YEAR(JW$8),1,1),$8:$8,"&lt;="&amp;EOMONTH(JW$8,0))/SUMIFS(87:87,$8:$8,"&gt;="&amp;DATE(YEAR(JW$8)-1,1,1),$8:$8,"&lt;="&amp;EOMONTH(JW$8,-12))-1</f>
        <v/>
      </c>
      <c r="JX90" s="1318">
        <f>SUMIFS(87:87,$8:$8,"&gt;="&amp;DATE(YEAR(JX$8),1,1),$8:$8,"&lt;="&amp;EOMONTH(JX$8,0))/SUMIFS(87:87,$8:$8,"&gt;="&amp;DATE(YEAR(JX$8)-1,1,1),$8:$8,"&lt;="&amp;EOMONTH(JX$8,-12))-1</f>
        <v/>
      </c>
      <c r="JY90" s="1318">
        <f>SUMIFS(87:87,$8:$8,"&gt;="&amp;DATE(YEAR(JY$8),1,1),$8:$8,"&lt;="&amp;EOMONTH(JY$8,0))/SUMIFS(87:87,$8:$8,"&gt;="&amp;DATE(YEAR(JY$8)-1,1,1),$8:$8,"&lt;="&amp;EOMONTH(JY$8,-12))-1</f>
        <v/>
      </c>
      <c r="JZ90" s="1318">
        <f>SUMIFS(87:87,$8:$8,"&gt;="&amp;DATE(YEAR(JZ$8),1,1),$8:$8,"&lt;="&amp;EOMONTH(JZ$8,0))/SUMIFS(87:87,$8:$8,"&gt;="&amp;DATE(YEAR(JZ$8)-1,1,1),$8:$8,"&lt;="&amp;EOMONTH(JZ$8,-12))-1</f>
        <v/>
      </c>
      <c r="KA90" s="1318">
        <f>SUMIFS(87:87,$8:$8,"&gt;="&amp;DATE(YEAR(KA$8),1,1),$8:$8,"&lt;="&amp;EOMONTH(KA$8,0))/SUMIFS(87:87,$8:$8,"&gt;="&amp;DATE(YEAR(KA$8)-1,1,1),$8:$8,"&lt;="&amp;EOMONTH(KA$8,-12))-1</f>
        <v/>
      </c>
      <c r="KB90" s="1318">
        <f>SUMIFS(87:87,$8:$8,"&gt;="&amp;DATE(YEAR(KB$8),1,1),$8:$8,"&lt;="&amp;EOMONTH(KB$8,0))/SUMIFS(87:87,$8:$8,"&gt;="&amp;DATE(YEAR(KB$8)-1,1,1),$8:$8,"&lt;="&amp;EOMONTH(KB$8,-12))-1</f>
        <v/>
      </c>
      <c r="KC90" s="1318">
        <f>SUMIFS(87:87,$8:$8,"&gt;="&amp;DATE(YEAR(KC$8),1,1),$8:$8,"&lt;="&amp;EOMONTH(KC$8,0))/SUMIFS(87:87,$8:$8,"&gt;="&amp;DATE(YEAR(KC$8)-1,1,1),$8:$8,"&lt;="&amp;EOMONTH(KC$8,-12))-1</f>
        <v/>
      </c>
      <c r="KD90" s="1318">
        <f>SUMIFS(87:87,$8:$8,"&gt;="&amp;DATE(YEAR(KD$8),1,1),$8:$8,"&lt;="&amp;EOMONTH(KD$8,0))/SUMIFS(87:87,$8:$8,"&gt;="&amp;DATE(YEAR(KD$8)-1,1,1),$8:$8,"&lt;="&amp;EOMONTH(KD$8,-12))-1</f>
        <v/>
      </c>
      <c r="KE90" s="1318">
        <f>SUMIFS(87:87,$8:$8,"&gt;="&amp;DATE(YEAR(KE$8),1,1),$8:$8,"&lt;="&amp;EOMONTH(KE$8,0))/SUMIFS(87:87,$8:$8,"&gt;="&amp;DATE(YEAR(KE$8)-1,1,1),$8:$8,"&lt;="&amp;EOMONTH(KE$8,-12))-1</f>
        <v/>
      </c>
      <c r="KF90" s="1318">
        <f>SUMIFS(87:87,$8:$8,"&gt;="&amp;DATE(YEAR(KF$8),1,1),$8:$8,"&lt;="&amp;EOMONTH(KF$8,0))/SUMIFS(87:87,$8:$8,"&gt;="&amp;DATE(YEAR(KF$8)-1,1,1),$8:$8,"&lt;="&amp;EOMONTH(KF$8,-12))-1</f>
        <v/>
      </c>
      <c r="KG90" s="1318">
        <f>SUMIFS(87:87,$8:$8,"&gt;="&amp;DATE(YEAR(KG$8),1,1),$8:$8,"&lt;="&amp;EOMONTH(KG$8,0))/SUMIFS(87:87,$8:$8,"&gt;="&amp;DATE(YEAR(KG$8)-1,1,1),$8:$8,"&lt;="&amp;EOMONTH(KG$8,-12))-1</f>
        <v/>
      </c>
      <c r="KH90" s="1318">
        <f>SUMIFS(87:87,$8:$8,"&gt;="&amp;DATE(YEAR(KH$8),1,1),$8:$8,"&lt;="&amp;EOMONTH(KH$8,0))/SUMIFS(87:87,$8:$8,"&gt;="&amp;DATE(YEAR(KH$8)-1,1,1),$8:$8,"&lt;="&amp;EOMONTH(KH$8,-12))-1</f>
        <v/>
      </c>
      <c r="KI90" s="1318">
        <f>SUMIFS(87:87,$8:$8,"&gt;="&amp;DATE(YEAR(KI$8),1,1),$8:$8,"&lt;="&amp;EOMONTH(KI$8,0))/SUMIFS(87:87,$8:$8,"&gt;="&amp;DATE(YEAR(KI$8)-1,1,1),$8:$8,"&lt;="&amp;EOMONTH(KI$8,-12))-1</f>
        <v/>
      </c>
      <c r="KJ90" s="1318">
        <f>SUMIFS(87:87,$8:$8,"&gt;="&amp;DATE(YEAR(KJ$8),1,1),$8:$8,"&lt;="&amp;EOMONTH(KJ$8,0))/SUMIFS(87:87,$8:$8,"&gt;="&amp;DATE(YEAR(KJ$8)-1,1,1),$8:$8,"&lt;="&amp;EOMONTH(KJ$8,-12))-1</f>
        <v/>
      </c>
      <c r="KK90" s="1318">
        <f>SUMIFS(87:87,$8:$8,"&gt;="&amp;DATE(YEAR(KK$8),1,1),$8:$8,"&lt;="&amp;EOMONTH(KK$8,0))/SUMIFS(87:87,$8:$8,"&gt;="&amp;DATE(YEAR(KK$8)-1,1,1),$8:$8,"&lt;="&amp;EOMONTH(KK$8,-12))-1</f>
        <v/>
      </c>
      <c r="KL90" s="1318">
        <f>SUMIFS(87:87,$8:$8,"&gt;="&amp;DATE(YEAR(KL$8),1,1),$8:$8,"&lt;="&amp;EOMONTH(KL$8,0))/SUMIFS(87:87,$8:$8,"&gt;="&amp;DATE(YEAR(KL$8)-1,1,1),$8:$8,"&lt;="&amp;EOMONTH(KL$8,-12))-1</f>
        <v/>
      </c>
      <c r="KM90" s="1318">
        <f>SUMIFS(87:87,$8:$8,"&gt;="&amp;DATE(YEAR(KM$8),1,1),$8:$8,"&lt;="&amp;EOMONTH(KM$8,0))/SUMIFS(87:87,$8:$8,"&gt;="&amp;DATE(YEAR(KM$8)-1,1,1),$8:$8,"&lt;="&amp;EOMONTH(KM$8,-12))-1</f>
        <v/>
      </c>
      <c r="KN90" s="1318">
        <f>SUMIFS(87:87,$8:$8,"&gt;="&amp;DATE(YEAR(KN$8),1,1),$8:$8,"&lt;="&amp;EOMONTH(KN$8,0))/SUMIFS(87:87,$8:$8,"&gt;="&amp;DATE(YEAR(KN$8)-1,1,1),$8:$8,"&lt;="&amp;EOMONTH(KN$8,-12))-1</f>
        <v/>
      </c>
      <c r="KO90" s="1318">
        <f>SUMIFS(87:87,$8:$8,"&gt;="&amp;DATE(YEAR(KO$8),1,1),$8:$8,"&lt;="&amp;EOMONTH(KO$8,0))/SUMIFS(87:87,$8:$8,"&gt;="&amp;DATE(YEAR(KO$8)-1,1,1),$8:$8,"&lt;="&amp;EOMONTH(KO$8,-12))-1</f>
        <v/>
      </c>
      <c r="KP90" s="1318">
        <f>SUMIFS(87:87,$8:$8,"&gt;="&amp;DATE(YEAR(KP$8),1,1),$8:$8,"&lt;="&amp;EOMONTH(KP$8,0))/SUMIFS(87:87,$8:$8,"&gt;="&amp;DATE(YEAR(KP$8)-1,1,1),$8:$8,"&lt;="&amp;EOMONTH(KP$8,-12))-1</f>
        <v/>
      </c>
      <c r="KQ90" s="1318">
        <f>SUMIFS(87:87,$8:$8,"&gt;="&amp;DATE(YEAR(KQ$8),1,1),$8:$8,"&lt;="&amp;EOMONTH(KQ$8,0))/SUMIFS(87:87,$8:$8,"&gt;="&amp;DATE(YEAR(KQ$8)-1,1,1),$8:$8,"&lt;="&amp;EOMONTH(KQ$8,-12))-1</f>
        <v/>
      </c>
      <c r="KR90" s="1318">
        <f>SUMIFS(87:87,$8:$8,"&gt;="&amp;DATE(YEAR(KR$8),1,1),$8:$8,"&lt;="&amp;EOMONTH(KR$8,0))/SUMIFS(87:87,$8:$8,"&gt;="&amp;DATE(YEAR(KR$8)-1,1,1),$8:$8,"&lt;="&amp;EOMONTH(KR$8,-12))-1</f>
        <v/>
      </c>
      <c r="KS90" s="1318">
        <f>SUMIFS(87:87,$8:$8,"&gt;="&amp;DATE(YEAR(KS$8),1,1),$8:$8,"&lt;="&amp;EOMONTH(KS$8,0))/SUMIFS(87:87,$8:$8,"&gt;="&amp;DATE(YEAR(KS$8)-1,1,1),$8:$8,"&lt;="&amp;EOMONTH(KS$8,-12))-1</f>
        <v/>
      </c>
      <c r="KT90" s="1318">
        <f>SUMIFS(87:87,$8:$8,"&gt;="&amp;DATE(YEAR(KT$8),1,1),$8:$8,"&lt;="&amp;EOMONTH(KT$8,0))/SUMIFS(87:87,$8:$8,"&gt;="&amp;DATE(YEAR(KT$8)-1,1,1),$8:$8,"&lt;="&amp;EOMONTH(KT$8,-12))-1</f>
        <v/>
      </c>
      <c r="KU90" s="1318">
        <f>SUMIFS(87:87,$8:$8,"&gt;="&amp;DATE(YEAR(KU$8),1,1),$8:$8,"&lt;="&amp;EOMONTH(KU$8,0))/SUMIFS(87:87,$8:$8,"&gt;="&amp;DATE(YEAR(KU$8)-1,1,1),$8:$8,"&lt;="&amp;EOMONTH(KU$8,-12))-1</f>
        <v/>
      </c>
      <c r="KV90" s="1318">
        <f>SUMIFS(87:87,$8:$8,"&gt;="&amp;DATE(YEAR(KV$8),1,1),$8:$8,"&lt;="&amp;EOMONTH(KV$8,0))/SUMIFS(87:87,$8:$8,"&gt;="&amp;DATE(YEAR(KV$8)-1,1,1),$8:$8,"&lt;="&amp;EOMONTH(KV$8,-12))-1</f>
        <v/>
      </c>
      <c r="KW90" s="1318">
        <f>SUMIFS(87:87,$8:$8,"&gt;="&amp;DATE(YEAR(KW$8),1,1),$8:$8,"&lt;="&amp;EOMONTH(KW$8,0))/SUMIFS(87:87,$8:$8,"&gt;="&amp;DATE(YEAR(KW$8)-1,1,1),$8:$8,"&lt;="&amp;EOMONTH(KW$8,-12))-1</f>
        <v/>
      </c>
      <c r="KX90" s="1318">
        <f>SUMIFS(87:87,$8:$8,"&gt;="&amp;DATE(YEAR(KX$8),1,1),$8:$8,"&lt;="&amp;EOMONTH(KX$8,0))/SUMIFS(87:87,$8:$8,"&gt;="&amp;DATE(YEAR(KX$8)-1,1,1),$8:$8,"&lt;="&amp;EOMONTH(KX$8,-12))-1</f>
        <v/>
      </c>
      <c r="KY90" s="1318">
        <f>SUMIFS(87:87,$8:$8,"&gt;="&amp;DATE(YEAR(KY$8),1,1),$8:$8,"&lt;="&amp;EOMONTH(KY$8,0))/SUMIFS(87:87,$8:$8,"&gt;="&amp;DATE(YEAR(KY$8)-1,1,1),$8:$8,"&lt;="&amp;EOMONTH(KY$8,-12))-1</f>
        <v/>
      </c>
      <c r="KZ90" s="1318">
        <f>SUMIFS(87:87,$8:$8,"&gt;="&amp;DATE(YEAR(KZ$8),1,1),$8:$8,"&lt;="&amp;EOMONTH(KZ$8,0))/SUMIFS(87:87,$8:$8,"&gt;="&amp;DATE(YEAR(KZ$8)-1,1,1),$8:$8,"&lt;="&amp;EOMONTH(KZ$8,-12))-1</f>
        <v/>
      </c>
      <c r="LA90" s="1318">
        <f>SUMIFS(87:87,$8:$8,"&gt;="&amp;DATE(YEAR(LA$8),1,1),$8:$8,"&lt;="&amp;EOMONTH(LA$8,0))/SUMIFS(87:87,$8:$8,"&gt;="&amp;DATE(YEAR(LA$8)-1,1,1),$8:$8,"&lt;="&amp;EOMONTH(LA$8,-12))-1</f>
        <v/>
      </c>
      <c r="LB90" s="1318">
        <f>SUMIFS(87:87,$8:$8,"&gt;="&amp;DATE(YEAR(LB$8),1,1),$8:$8,"&lt;="&amp;EOMONTH(LB$8,0))/SUMIFS(87:87,$8:$8,"&gt;="&amp;DATE(YEAR(LB$8)-1,1,1),$8:$8,"&lt;="&amp;EOMONTH(LB$8,-12))-1</f>
        <v/>
      </c>
      <c r="LC90" s="1318">
        <f>SUMIFS(87:87,$8:$8,"&gt;="&amp;DATE(YEAR(LC$8),1,1),$8:$8,"&lt;="&amp;EOMONTH(LC$8,0))/SUMIFS(87:87,$8:$8,"&gt;="&amp;DATE(YEAR(LC$8)-1,1,1),$8:$8,"&lt;="&amp;EOMONTH(LC$8,-12))-1</f>
        <v/>
      </c>
      <c r="LD90" s="1318">
        <f>SUMIFS(87:87,$8:$8,"&gt;="&amp;DATE(YEAR(LD$8),1,1),$8:$8,"&lt;="&amp;EOMONTH(LD$8,0))/SUMIFS(87:87,$8:$8,"&gt;="&amp;DATE(YEAR(LD$8)-1,1,1),$8:$8,"&lt;="&amp;EOMONTH(LD$8,-12))-1</f>
        <v/>
      </c>
      <c r="LE90" s="1318">
        <f>SUMIFS(87:87,$8:$8,"&gt;="&amp;DATE(YEAR(LE$8),1,1),$8:$8,"&lt;="&amp;EOMONTH(LE$8,0))/SUMIFS(87:87,$8:$8,"&gt;="&amp;DATE(YEAR(LE$8)-1,1,1),$8:$8,"&lt;="&amp;EOMONTH(LE$8,-12))-1</f>
        <v/>
      </c>
      <c r="LF90" s="1318">
        <f>SUMIFS(87:87,$8:$8,"&gt;="&amp;DATE(YEAR(LF$8),1,1),$8:$8,"&lt;="&amp;EOMONTH(LF$8,0))/SUMIFS(87:87,$8:$8,"&gt;="&amp;DATE(YEAR(LF$8)-1,1,1),$8:$8,"&lt;="&amp;EOMONTH(LF$8,-12))-1</f>
        <v/>
      </c>
      <c r="LG90" s="1318">
        <f>SUMIFS(87:87,$8:$8,"&gt;="&amp;DATE(YEAR(LG$8),1,1),$8:$8,"&lt;="&amp;EOMONTH(LG$8,0))/SUMIFS(87:87,$8:$8,"&gt;="&amp;DATE(YEAR(LG$8)-1,1,1),$8:$8,"&lt;="&amp;EOMONTH(LG$8,-12))-1</f>
        <v/>
      </c>
      <c r="LH90" s="1318">
        <f>SUMIFS(87:87,$8:$8,"&gt;="&amp;DATE(YEAR(LH$8),1,1),$8:$8,"&lt;="&amp;EOMONTH(LH$8,0))/SUMIFS(87:87,$8:$8,"&gt;="&amp;DATE(YEAR(LH$8)-1,1,1),$8:$8,"&lt;="&amp;EOMONTH(LH$8,-12))-1</f>
        <v/>
      </c>
      <c r="LI90" s="1318">
        <f>SUMIFS(87:87,$8:$8,"&gt;="&amp;DATE(YEAR(LI$8),1,1),$8:$8,"&lt;="&amp;EOMONTH(LI$8,0))/SUMIFS(87:87,$8:$8,"&gt;="&amp;DATE(YEAR(LI$8)-1,1,1),$8:$8,"&lt;="&amp;EOMONTH(LI$8,-12))-1</f>
        <v/>
      </c>
      <c r="LJ90" s="1318">
        <f>SUMIFS(87:87,$8:$8,"&gt;="&amp;DATE(YEAR(LJ$8),1,1),$8:$8,"&lt;="&amp;EOMONTH(LJ$8,0))/SUMIFS(87:87,$8:$8,"&gt;="&amp;DATE(YEAR(LJ$8)-1,1,1),$8:$8,"&lt;="&amp;EOMONTH(LJ$8,-12))-1</f>
        <v/>
      </c>
      <c r="LK90" s="1318">
        <f>SUMIFS(87:87,$8:$8,"&gt;="&amp;DATE(YEAR(LK$8),1,1),$8:$8,"&lt;="&amp;EOMONTH(LK$8,0))/SUMIFS(87:87,$8:$8,"&gt;="&amp;DATE(YEAR(LK$8)-1,1,1),$8:$8,"&lt;="&amp;EOMONTH(LK$8,-12))-1</f>
        <v/>
      </c>
      <c r="LL90" s="1318">
        <f>SUMIFS(87:87,$8:$8,"&gt;="&amp;DATE(YEAR(LL$8),1,1),$8:$8,"&lt;="&amp;EOMONTH(LL$8,0))/SUMIFS(87:87,$8:$8,"&gt;="&amp;DATE(YEAR(LL$8)-1,1,1),$8:$8,"&lt;="&amp;EOMONTH(LL$8,-12))-1</f>
        <v/>
      </c>
      <c r="LM90" s="1318">
        <f>SUMIFS(87:87,$8:$8,"&gt;="&amp;DATE(YEAR(LM$8),1,1),$8:$8,"&lt;="&amp;EOMONTH(LM$8,0))/SUMIFS(87:87,$8:$8,"&gt;="&amp;DATE(YEAR(LM$8)-1,1,1),$8:$8,"&lt;="&amp;EOMONTH(LM$8,-12))-1</f>
        <v/>
      </c>
      <c r="LN90" s="1318">
        <f>SUMIFS(87:87,$8:$8,"&gt;="&amp;DATE(YEAR(LN$8),1,1),$8:$8,"&lt;="&amp;EOMONTH(LN$8,0))/SUMIFS(87:87,$8:$8,"&gt;="&amp;DATE(YEAR(LN$8)-1,1,1),$8:$8,"&lt;="&amp;EOMONTH(LN$8,-12))-1</f>
        <v/>
      </c>
      <c r="LO90" s="1318">
        <f>SUMIFS(87:87,$8:$8,"&gt;="&amp;DATE(YEAR(LO$8),1,1),$8:$8,"&lt;="&amp;EOMONTH(LO$8,0))/SUMIFS(87:87,$8:$8,"&gt;="&amp;DATE(YEAR(LO$8)-1,1,1),$8:$8,"&lt;="&amp;EOMONTH(LO$8,-12))-1</f>
        <v/>
      </c>
      <c r="LP90" s="1318">
        <f>SUMIFS(87:87,$8:$8,"&gt;="&amp;DATE(YEAR(LP$8),1,1),$8:$8,"&lt;="&amp;EOMONTH(LP$8,0))/SUMIFS(87:87,$8:$8,"&gt;="&amp;DATE(YEAR(LP$8)-1,1,1),$8:$8,"&lt;="&amp;EOMONTH(LP$8,-12))-1</f>
        <v/>
      </c>
      <c r="LQ90" s="1318">
        <f>SUMIFS(87:87,$8:$8,"&gt;="&amp;DATE(YEAR(LQ$8),1,1),$8:$8,"&lt;="&amp;EOMONTH(LQ$8,0))/SUMIFS(87:87,$8:$8,"&gt;="&amp;DATE(YEAR(LQ$8)-1,1,1),$8:$8,"&lt;="&amp;EOMONTH(LQ$8,-12))-1</f>
        <v/>
      </c>
      <c r="LR90" s="1318">
        <f>SUMIFS(87:87,$8:$8,"&gt;="&amp;DATE(YEAR(LR$8),1,1),$8:$8,"&lt;="&amp;EOMONTH(LR$8,0))/SUMIFS(87:87,$8:$8,"&gt;="&amp;DATE(YEAR(LR$8)-1,1,1),$8:$8,"&lt;="&amp;EOMONTH(LR$8,-12))-1</f>
        <v/>
      </c>
      <c r="LS90" s="1318">
        <f>SUMIFS(87:87,$8:$8,"&gt;="&amp;DATE(YEAR(LS$8),1,1),$8:$8,"&lt;="&amp;EOMONTH(LS$8,0))/SUMIFS(87:87,$8:$8,"&gt;="&amp;DATE(YEAR(LS$8)-1,1,1),$8:$8,"&lt;="&amp;EOMONTH(LS$8,-12))-1</f>
        <v/>
      </c>
    </row>
    <row r="91">
      <c r="A91" s="885" t="n"/>
      <c r="B91" s="1318" t="n"/>
      <c r="C91" s="1336" t="n"/>
      <c r="D91" s="1336" t="n"/>
      <c r="E91" s="1336" t="n"/>
      <c r="F91" s="1336" t="n"/>
      <c r="G91" s="1336" t="n"/>
      <c r="H91" s="1336" t="n"/>
      <c r="I91" s="1336" t="n"/>
      <c r="J91" s="1336" t="n"/>
      <c r="K91" s="1336" t="n"/>
      <c r="L91" s="1336" t="n"/>
      <c r="M91" s="1336" t="n"/>
      <c r="N91" s="1318" t="n"/>
      <c r="O91" s="1318" t="n"/>
      <c r="P91" s="1318" t="n"/>
      <c r="Q91" s="1318" t="n"/>
      <c r="R91" s="1318" t="n"/>
      <c r="S91" s="1318" t="n"/>
      <c r="T91" s="1318" t="n"/>
      <c r="U91" s="1318" t="n"/>
      <c r="V91" s="1318" t="n"/>
      <c r="W91" s="1318" t="n"/>
      <c r="X91" s="1318" t="n"/>
      <c r="Y91" s="1318" t="n"/>
      <c r="Z91" s="1318" t="n"/>
      <c r="AA91" s="1318" t="n"/>
      <c r="AB91" s="1318" t="n"/>
      <c r="AC91" s="1318" t="n"/>
      <c r="AD91" s="1318" t="n"/>
      <c r="AE91" s="1318" t="n"/>
      <c r="AF91" s="1318" t="n"/>
      <c r="AG91" s="1318" t="n"/>
      <c r="AH91" s="1318" t="n"/>
      <c r="AI91" s="1318" t="n"/>
      <c r="AJ91" s="1318" t="n"/>
      <c r="AK91" s="1318" t="n"/>
      <c r="AL91" s="1318" t="n"/>
      <c r="AM91" s="1318" t="n"/>
      <c r="AN91" s="1318" t="n"/>
      <c r="AO91" s="1318" t="n"/>
      <c r="AP91" s="1318" t="n"/>
      <c r="AQ91" s="1318" t="n"/>
      <c r="AR91" s="1318" t="n"/>
      <c r="AS91" s="1318" t="n"/>
      <c r="AT91" s="1318" t="n"/>
      <c r="AU91" s="1318" t="n"/>
      <c r="AV91" s="1318" t="n"/>
      <c r="AW91" s="1318" t="n"/>
      <c r="AX91" s="1318" t="n"/>
      <c r="AY91" s="1318" t="n"/>
      <c r="AZ91" s="1318" t="n"/>
      <c r="BA91" s="1318" t="n"/>
      <c r="BB91" s="1318" t="n"/>
      <c r="BC91" s="1318" t="n"/>
      <c r="BD91" s="1318" t="n"/>
      <c r="BE91" s="1318" t="n"/>
      <c r="BF91" s="1318" t="n"/>
      <c r="BG91" s="1318" t="n"/>
      <c r="BH91" s="1318" t="n"/>
      <c r="BI91" s="1318" t="n"/>
      <c r="BJ91" s="1318" t="n"/>
      <c r="BK91" s="1318" t="n"/>
      <c r="BL91" s="1318" t="n"/>
      <c r="BM91" s="1318" t="n"/>
      <c r="BN91" s="1318" t="n"/>
      <c r="BO91" s="1318" t="n"/>
      <c r="BP91" s="1318" t="n"/>
      <c r="BQ91" s="1318" t="n"/>
      <c r="BR91" s="1318" t="n"/>
      <c r="BS91" s="1318" t="n"/>
      <c r="BT91" s="1318" t="n"/>
      <c r="BU91" s="1318" t="n"/>
      <c r="BV91" s="1318" t="n"/>
      <c r="BW91" s="1318" t="n"/>
      <c r="BX91" s="1318" t="n"/>
      <c r="BY91" s="1318" t="n"/>
      <c r="BZ91" s="1318" t="n"/>
      <c r="CA91" s="1318" t="n"/>
      <c r="CB91" s="1318" t="n"/>
      <c r="CC91" s="1318" t="n"/>
      <c r="CD91" s="1318" t="n"/>
      <c r="CE91" s="1318" t="n"/>
      <c r="CF91" s="1318" t="n"/>
      <c r="CG91" s="1318" t="n"/>
      <c r="CH91" s="1318" t="n"/>
      <c r="CI91" s="1318" t="n"/>
      <c r="CJ91" s="1318" t="n"/>
      <c r="CK91" s="1318" t="n"/>
      <c r="CL91" s="1318" t="n"/>
      <c r="CM91" s="1318" t="n"/>
      <c r="CN91" s="1318" t="n"/>
      <c r="CO91" s="1318" t="n"/>
      <c r="CP91" s="1318" t="n"/>
      <c r="CQ91" s="1318" t="n"/>
      <c r="CR91" s="1318" t="n"/>
      <c r="CS91" s="1318" t="n"/>
      <c r="CT91" s="1318" t="n"/>
      <c r="CU91" s="1318" t="n"/>
      <c r="CV91" s="1318" t="n"/>
      <c r="CW91" s="1318" t="n"/>
      <c r="CX91" s="1318" t="n"/>
      <c r="CY91" s="1318" t="n"/>
      <c r="CZ91" s="1318" t="n"/>
      <c r="DA91" s="1318" t="n"/>
      <c r="DB91" s="1318" t="n"/>
      <c r="DC91" s="1318" t="n"/>
      <c r="DD91" s="1318" t="n"/>
      <c r="DE91" s="1318" t="n"/>
      <c r="DF91" s="1318" t="n"/>
      <c r="DG91" s="1318" t="n"/>
      <c r="DH91" s="1318" t="n"/>
      <c r="DI91" s="1318" t="n"/>
      <c r="DJ91" s="1318" t="n"/>
      <c r="DK91" s="1318" t="n"/>
      <c r="DL91" s="1318" t="n"/>
      <c r="DM91" s="1318" t="n"/>
      <c r="DN91" s="1318" t="n"/>
      <c r="DO91" s="1318" t="n"/>
      <c r="DP91" s="1318" t="n"/>
      <c r="DQ91" s="1318" t="n"/>
      <c r="DR91" s="1318" t="n"/>
      <c r="DS91" s="1318" t="n"/>
      <c r="DT91" s="1318" t="n"/>
      <c r="DU91" s="1318" t="n"/>
      <c r="DV91" s="1318" t="n"/>
      <c r="DW91" s="1318" t="n"/>
      <c r="DX91" s="1318" t="n"/>
      <c r="DY91" s="1318" t="n"/>
      <c r="DZ91" s="1318" t="n"/>
      <c r="EA91" s="1318" t="n"/>
      <c r="EB91" s="1318" t="n"/>
      <c r="EC91" s="1318" t="n"/>
      <c r="ED91" s="1318" t="n"/>
      <c r="EE91" s="1318" t="n"/>
      <c r="EF91" s="1318" t="n"/>
      <c r="EG91" s="1318" t="n"/>
      <c r="EH91" s="1318" t="n"/>
      <c r="EI91" s="1318" t="n"/>
      <c r="EJ91" s="1318" t="n"/>
      <c r="EK91" s="1318" t="n"/>
      <c r="EL91" s="1318" t="n"/>
      <c r="EM91" s="1318" t="n"/>
      <c r="EN91" s="1318" t="n"/>
      <c r="EO91" s="1318" t="n"/>
      <c r="EP91" s="1318" t="n"/>
      <c r="EQ91" s="1318" t="n"/>
      <c r="ER91" s="1318" t="n"/>
      <c r="ES91" s="1318" t="n"/>
      <c r="ET91" s="1318" t="n"/>
      <c r="EU91" s="1318" t="n"/>
      <c r="EV91" s="1318" t="n"/>
      <c r="EW91" s="1318" t="n"/>
      <c r="EX91" s="1318" t="n"/>
      <c r="EY91" s="1318" t="n"/>
      <c r="EZ91" s="1318" t="n"/>
      <c r="FA91" s="1318" t="n"/>
      <c r="FB91" s="1318" t="n"/>
      <c r="FC91" s="1318" t="n"/>
      <c r="FD91" s="1318" t="n"/>
      <c r="FE91" s="1318" t="n"/>
      <c r="FF91" s="1318" t="n"/>
      <c r="FG91" s="1318" t="n"/>
      <c r="FH91" s="1318" t="n"/>
      <c r="FI91" s="1318" t="n"/>
      <c r="FJ91" s="1318" t="n"/>
      <c r="FK91" s="1318" t="n"/>
      <c r="FL91" s="1318" t="n"/>
      <c r="FM91" s="1318" t="n"/>
      <c r="FN91" s="1318" t="n"/>
      <c r="FO91" s="1318" t="n"/>
      <c r="FP91" s="1318" t="n"/>
      <c r="FQ91" s="1318" t="n"/>
      <c r="FR91" s="1318" t="n"/>
      <c r="FS91" s="1318" t="n"/>
      <c r="FT91" s="1318" t="n"/>
      <c r="FU91" s="1318" t="n"/>
      <c r="FV91" s="1318" t="n"/>
      <c r="FW91" s="1318" t="n"/>
      <c r="FX91" s="1318" t="n"/>
      <c r="FY91" s="1318" t="n"/>
      <c r="FZ91" s="1318" t="n"/>
      <c r="GA91" s="1318" t="n"/>
      <c r="GB91" s="1318" t="n"/>
      <c r="GC91" s="1318" t="n"/>
      <c r="GD91" s="1318" t="n"/>
      <c r="GE91" s="1318" t="n"/>
      <c r="GF91" s="1318" t="n"/>
      <c r="GG91" s="1318" t="n"/>
      <c r="GH91" s="1318" t="n"/>
      <c r="GI91" s="1318" t="n"/>
      <c r="GJ91" s="1318" t="n"/>
      <c r="GK91" s="1318" t="n"/>
      <c r="GL91" s="1318" t="n"/>
      <c r="GM91" s="1318" t="n"/>
      <c r="GN91" s="1318" t="n"/>
      <c r="GO91" s="1318" t="n"/>
      <c r="GP91" s="1318" t="n"/>
      <c r="GQ91" s="1318" t="n"/>
      <c r="GR91" s="1318" t="n"/>
      <c r="GS91" s="1318" t="n"/>
      <c r="GT91" s="1318" t="n"/>
      <c r="GU91" s="1318" t="n"/>
      <c r="GV91" s="1318" t="n"/>
      <c r="GW91" s="1318" t="n"/>
      <c r="GX91" s="1318" t="n"/>
      <c r="GY91" s="1318" t="n"/>
      <c r="GZ91" s="1318" t="n"/>
      <c r="HA91" s="1318" t="n"/>
      <c r="HB91" s="1318" t="n"/>
      <c r="HC91" s="1318" t="n"/>
      <c r="HD91" s="1318" t="n"/>
      <c r="HE91" s="1318" t="n"/>
      <c r="HF91" s="1318" t="n"/>
      <c r="HG91" s="1318" t="n"/>
      <c r="HH91" s="1318" t="n"/>
      <c r="HI91" s="1318" t="n"/>
      <c r="HJ91" s="1318" t="n"/>
      <c r="HK91" s="1318" t="n"/>
      <c r="HL91" s="1318" t="n"/>
      <c r="HM91" s="1318" t="n"/>
      <c r="HN91" s="1318" t="n"/>
      <c r="HO91" s="1318" t="n"/>
      <c r="HP91" s="1318" t="n"/>
      <c r="HQ91" s="1318" t="n"/>
      <c r="HR91" s="1318" t="n"/>
      <c r="HS91" s="1318" t="n"/>
      <c r="HT91" s="1318" t="n"/>
      <c r="HU91" s="1318" t="n"/>
      <c r="HV91" s="1318" t="n"/>
      <c r="HW91" s="1318" t="n"/>
      <c r="HX91" s="1318" t="n"/>
      <c r="HY91" s="1318" t="n"/>
      <c r="HZ91" s="1318" t="n"/>
      <c r="IA91" s="1318" t="n"/>
      <c r="IB91" s="1318" t="n"/>
      <c r="IC91" s="1318" t="n"/>
      <c r="ID91" s="1318" t="n"/>
      <c r="IE91" s="1318" t="n"/>
      <c r="IF91" s="1318" t="n"/>
      <c r="IG91" s="1318" t="n"/>
      <c r="IH91" s="1318" t="n"/>
      <c r="II91" s="1318" t="n"/>
      <c r="IJ91" s="1318" t="n"/>
      <c r="IK91" s="1318" t="n"/>
      <c r="IL91" s="1318" t="n"/>
      <c r="IM91" s="1318" t="n"/>
      <c r="IN91" s="1318" t="n"/>
      <c r="IO91" s="1318" t="n"/>
      <c r="IP91" s="1318" t="n"/>
      <c r="IQ91" s="1318" t="n"/>
      <c r="IR91" s="1318" t="n"/>
      <c r="IS91" s="1318" t="n"/>
      <c r="IT91" s="1318" t="n"/>
      <c r="IU91" s="1318" t="n"/>
      <c r="IV91" s="1318" t="n"/>
      <c r="IW91" s="1318" t="n"/>
      <c r="IX91" s="1318" t="n"/>
      <c r="IY91" s="1318" t="n"/>
      <c r="IZ91" s="1318" t="n"/>
      <c r="JA91" s="1318" t="n"/>
      <c r="JB91" s="1318" t="n"/>
      <c r="JC91" s="1318" t="n"/>
      <c r="JD91" s="1318" t="n"/>
      <c r="JE91" s="1318" t="n"/>
      <c r="JF91" s="1318" t="n"/>
      <c r="JG91" s="1318" t="n"/>
      <c r="JH91" s="1318" t="n"/>
      <c r="JI91" s="1318" t="n"/>
      <c r="JJ91" s="1318" t="n"/>
      <c r="JK91" s="1318" t="n"/>
      <c r="JL91" s="1318" t="n"/>
      <c r="JM91" s="1318" t="n"/>
      <c r="JN91" s="1318" t="n"/>
      <c r="JO91" s="1318" t="n"/>
      <c r="JP91" s="1318" t="n"/>
      <c r="JQ91" s="1318" t="n"/>
      <c r="JR91" s="1318" t="n"/>
      <c r="JS91" s="1318" t="n"/>
      <c r="JT91" s="1318" t="n"/>
      <c r="JU91" s="1318" t="n"/>
      <c r="JV91" s="1318" t="n"/>
      <c r="JW91" s="1318" t="n"/>
      <c r="JX91" s="1318" t="n"/>
      <c r="JY91" s="1318" t="n"/>
      <c r="JZ91" s="1318" t="n"/>
      <c r="KA91" s="1318" t="n"/>
      <c r="KB91" s="1318" t="n"/>
      <c r="KC91" s="1318" t="n"/>
      <c r="KD91" s="1318" t="n"/>
      <c r="KE91" s="1318" t="n"/>
      <c r="KF91" s="1318" t="n"/>
      <c r="KG91" s="1318" t="n"/>
      <c r="KH91" s="1318" t="n"/>
      <c r="KI91" s="1318" t="n"/>
      <c r="KJ91" s="1318" t="n"/>
      <c r="KK91" s="1318" t="n"/>
      <c r="KL91" s="1318" t="n"/>
      <c r="KM91" s="1318" t="n"/>
      <c r="KN91" s="1318" t="n"/>
      <c r="KO91" s="1318" t="n"/>
      <c r="KP91" s="1318" t="n"/>
      <c r="KQ91" s="1318" t="n"/>
      <c r="KR91" s="1318" t="n"/>
      <c r="KS91" s="1318" t="n"/>
      <c r="KT91" s="1318" t="n"/>
      <c r="KU91" s="1318" t="n"/>
      <c r="KV91" s="1318" t="n"/>
      <c r="KW91" s="1318" t="n"/>
      <c r="KX91" s="1318" t="n"/>
      <c r="KY91" s="1318" t="n"/>
      <c r="KZ91" s="1318" t="n"/>
      <c r="LA91" s="1318" t="n"/>
      <c r="LB91" s="1318" t="n"/>
      <c r="LC91" s="1318" t="n"/>
      <c r="LD91" s="1318" t="n"/>
      <c r="LE91" s="1318" t="n"/>
      <c r="LF91" s="1318" t="n"/>
      <c r="LG91" s="1318" t="n"/>
      <c r="LH91" s="1318" t="n"/>
      <c r="LI91" s="1318" t="n"/>
      <c r="LJ91" s="1318" t="n"/>
      <c r="LK91" s="1318" t="n"/>
      <c r="LL91" s="1318" t="n"/>
      <c r="LM91" s="1318" t="n"/>
      <c r="LN91" s="1318" t="n"/>
      <c r="LO91" s="1318" t="n"/>
      <c r="LP91" s="1318" t="n"/>
      <c r="LQ91" s="1318" t="n"/>
      <c r="LR91" s="1318" t="n"/>
      <c r="LS91" s="1318" t="n"/>
    </row>
    <row r="92">
      <c r="A92" s="885" t="n"/>
      <c r="B92" s="1318" t="n"/>
      <c r="C92" s="1336" t="n"/>
      <c r="D92" s="1336" t="n"/>
      <c r="E92" s="1336" t="n"/>
      <c r="F92" s="1336" t="n"/>
      <c r="G92" s="1336" t="n"/>
      <c r="H92" s="1336" t="n"/>
      <c r="I92" s="1336" t="n"/>
      <c r="J92" s="1336" t="n"/>
      <c r="K92" s="1336" t="n"/>
      <c r="L92" s="1336" t="n"/>
      <c r="M92" s="1336" t="n"/>
      <c r="N92" s="1318" t="n"/>
      <c r="O92" s="1318" t="n"/>
      <c r="P92" s="1318" t="n"/>
      <c r="Q92" s="1318" t="n"/>
      <c r="R92" s="1318" t="n"/>
      <c r="S92" s="1318" t="n"/>
      <c r="T92" s="1318" t="n"/>
      <c r="U92" s="1318" t="n"/>
      <c r="V92" s="1318" t="n"/>
      <c r="W92" s="1318" t="n"/>
      <c r="X92" s="1318" t="n"/>
      <c r="Y92" s="1318" t="n"/>
      <c r="Z92" s="1318" t="n"/>
      <c r="AA92" s="1318" t="n"/>
      <c r="AB92" s="1318" t="n"/>
      <c r="AC92" s="1318" t="n"/>
      <c r="AD92" s="1318" t="n"/>
      <c r="AE92" s="1318" t="n"/>
      <c r="AF92" s="1318" t="n"/>
      <c r="AG92" s="1318" t="n"/>
      <c r="AH92" s="1318" t="n"/>
      <c r="AI92" s="1318" t="n"/>
      <c r="AJ92" s="1318" t="n"/>
      <c r="AK92" s="1318" t="n"/>
      <c r="AL92" s="1318" t="n"/>
      <c r="AM92" s="1318" t="n"/>
      <c r="AN92" s="1318" t="n"/>
      <c r="AO92" s="1318" t="n"/>
      <c r="AP92" s="1318" t="n"/>
      <c r="AQ92" s="1318" t="n"/>
      <c r="AR92" s="1318" t="n"/>
      <c r="AS92" s="1318" t="n"/>
      <c r="AT92" s="1318" t="n"/>
      <c r="AU92" s="1318" t="n"/>
      <c r="AV92" s="1318" t="n"/>
      <c r="AW92" s="1318" t="n"/>
      <c r="AX92" s="1318" t="n"/>
      <c r="AY92" s="1318" t="n"/>
      <c r="AZ92" s="1318" t="n"/>
      <c r="BA92" s="1318" t="n"/>
      <c r="BB92" s="1318" t="n"/>
      <c r="BC92" s="1318" t="n"/>
      <c r="BD92" s="1318" t="n"/>
      <c r="BE92" s="1318" t="n"/>
      <c r="BF92" s="1318" t="n"/>
      <c r="BG92" s="1318" t="n"/>
      <c r="BH92" s="1318" t="n"/>
      <c r="BI92" s="1318" t="n"/>
      <c r="BJ92" s="1318" t="n"/>
      <c r="BK92" s="1318" t="n"/>
      <c r="BL92" s="1318" t="n"/>
      <c r="BM92" s="1318" t="n"/>
      <c r="BN92" s="1318" t="n"/>
      <c r="BO92" s="1318" t="n"/>
      <c r="BP92" s="1318" t="n"/>
      <c r="BQ92" s="1318" t="n"/>
      <c r="BR92" s="1318" t="n"/>
      <c r="BS92" s="1318" t="n"/>
      <c r="BT92" s="1318" t="n"/>
      <c r="BU92" s="1318" t="n"/>
      <c r="BV92" s="1318" t="n"/>
      <c r="BW92" s="1318" t="n"/>
      <c r="BX92" s="1318" t="n"/>
      <c r="BY92" s="1318" t="n"/>
      <c r="BZ92" s="1318" t="n"/>
      <c r="CA92" s="1318" t="n"/>
      <c r="CB92" s="1318" t="n"/>
      <c r="CC92" s="1318" t="n"/>
      <c r="CD92" s="1318" t="n"/>
      <c r="CE92" s="1318" t="n"/>
      <c r="CF92" s="1318" t="n"/>
      <c r="CG92" s="1318" t="n"/>
      <c r="CH92" s="1318" t="n"/>
      <c r="CI92" s="1318" t="n"/>
      <c r="CJ92" s="1318" t="n"/>
      <c r="CK92" s="1318" t="n"/>
      <c r="CL92" s="1318" t="n"/>
      <c r="CM92" s="1318" t="n"/>
      <c r="CN92" s="1318" t="n"/>
      <c r="CO92" s="1318" t="n"/>
      <c r="CP92" s="1318" t="n"/>
      <c r="CQ92" s="1318" t="n"/>
      <c r="CR92" s="1318" t="n"/>
      <c r="CS92" s="1318" t="n"/>
      <c r="CT92" s="1318" t="n"/>
      <c r="CU92" s="1318" t="n"/>
      <c r="CV92" s="1318" t="n"/>
      <c r="CW92" s="1318" t="n"/>
      <c r="CX92" s="1318" t="n"/>
      <c r="CY92" s="1318" t="n"/>
      <c r="CZ92" s="1318" t="n"/>
      <c r="DA92" s="1318" t="n"/>
      <c r="DB92" s="1318" t="n"/>
      <c r="DC92" s="1318" t="n"/>
      <c r="DD92" s="1318" t="n"/>
      <c r="DE92" s="1318" t="n"/>
      <c r="DF92" s="1318" t="n"/>
      <c r="DG92" s="1318" t="n"/>
      <c r="DH92" s="1318" t="n"/>
      <c r="DI92" s="1318" t="n"/>
      <c r="DJ92" s="1318" t="n"/>
      <c r="DK92" s="1318" t="n"/>
      <c r="DL92" s="1318" t="n"/>
      <c r="DM92" s="1318" t="n"/>
      <c r="DN92" s="1318" t="n"/>
      <c r="DO92" s="1318" t="n"/>
      <c r="DP92" s="1318" t="n"/>
      <c r="DQ92" s="1318" t="n"/>
      <c r="DR92" s="1318" t="n"/>
      <c r="DS92" s="1318" t="n"/>
      <c r="DT92" s="1318" t="n"/>
      <c r="DU92" s="1318" t="n"/>
      <c r="DV92" s="1318" t="n"/>
      <c r="DW92" s="1318" t="n"/>
      <c r="DX92" s="1318" t="n"/>
      <c r="DY92" s="1318" t="n"/>
      <c r="DZ92" s="1318" t="n"/>
      <c r="EA92" s="1318" t="n"/>
      <c r="EB92" s="1318" t="n"/>
      <c r="EC92" s="1318" t="n"/>
      <c r="ED92" s="1318" t="n"/>
      <c r="EE92" s="1318" t="n"/>
      <c r="EF92" s="1318" t="n"/>
      <c r="EG92" s="1318" t="n"/>
      <c r="EH92" s="1318" t="n"/>
      <c r="EI92" s="1318" t="n"/>
      <c r="EJ92" s="1318" t="n"/>
      <c r="EK92" s="1318" t="n"/>
      <c r="EL92" s="1318" t="n"/>
      <c r="EM92" s="1318" t="n"/>
      <c r="EN92" s="1318" t="n"/>
      <c r="EO92" s="1318" t="n"/>
      <c r="EP92" s="1318" t="n"/>
      <c r="EQ92" s="1318" t="n"/>
      <c r="ER92" s="1318" t="n"/>
      <c r="ES92" s="1318" t="n"/>
      <c r="ET92" s="1318" t="n"/>
      <c r="EU92" s="1318" t="n"/>
      <c r="EV92" s="1318" t="n"/>
      <c r="EW92" s="1318" t="n"/>
      <c r="EX92" s="1318" t="n"/>
      <c r="EY92" s="1318" t="n"/>
      <c r="EZ92" s="1318" t="n"/>
      <c r="FA92" s="1318" t="n"/>
      <c r="FB92" s="1318" t="n"/>
      <c r="FC92" s="1318" t="n"/>
      <c r="FD92" s="1318" t="n"/>
      <c r="FE92" s="1318" t="n"/>
      <c r="FF92" s="1318" t="n"/>
      <c r="FG92" s="1318" t="n"/>
      <c r="FH92" s="1318" t="n"/>
      <c r="FI92" s="1318" t="n"/>
      <c r="FJ92" s="1318" t="n"/>
      <c r="FK92" s="1318" t="n"/>
      <c r="FL92" s="1318" t="n"/>
      <c r="FM92" s="1318" t="n"/>
      <c r="FN92" s="1318" t="n"/>
      <c r="FO92" s="1318" t="n"/>
      <c r="FP92" s="1318" t="n"/>
      <c r="FQ92" s="1318" t="n"/>
      <c r="FR92" s="1318" t="n"/>
      <c r="FS92" s="1318" t="n"/>
      <c r="FT92" s="1318" t="n"/>
      <c r="FU92" s="1318" t="n"/>
      <c r="FV92" s="1318" t="n"/>
      <c r="FW92" s="1318" t="n"/>
      <c r="FX92" s="1318" t="n"/>
      <c r="FY92" s="1318" t="n"/>
      <c r="FZ92" s="1318" t="n"/>
      <c r="GA92" s="1318" t="n"/>
      <c r="GB92" s="1318" t="n"/>
      <c r="GC92" s="1318" t="n"/>
      <c r="GD92" s="1318" t="n"/>
      <c r="GE92" s="1318" t="n"/>
      <c r="GF92" s="1318" t="n"/>
      <c r="GG92" s="1318" t="n"/>
      <c r="GH92" s="1318" t="n"/>
      <c r="GI92" s="904" t="n"/>
      <c r="GJ92" s="904" t="n"/>
      <c r="GK92" s="1318" t="n"/>
      <c r="GL92" s="904" t="n"/>
      <c r="GM92" s="904" t="n"/>
      <c r="GN92" s="904" t="n"/>
      <c r="GO92" s="904" t="n"/>
      <c r="GP92" s="904" t="n"/>
      <c r="GQ92" s="904" t="n"/>
      <c r="GR92" s="904" t="n"/>
      <c r="GS92" s="904" t="n"/>
      <c r="GT92" s="1337" t="n"/>
      <c r="GU92" s="904" t="n"/>
      <c r="GV92" s="904" t="n"/>
      <c r="GW92" s="1318" t="n"/>
      <c r="GX92" s="904" t="n"/>
      <c r="GY92" s="904" t="n"/>
      <c r="GZ92" s="904" t="n"/>
      <c r="HA92" s="904" t="n"/>
      <c r="HB92" s="904" t="n"/>
      <c r="HC92" s="904" t="n"/>
      <c r="HD92" s="904" t="n"/>
      <c r="HE92" s="904" t="n"/>
      <c r="HF92" s="1337" t="n"/>
      <c r="HG92" s="904" t="n"/>
      <c r="HH92" s="904" t="n"/>
      <c r="HI92" s="904" t="n"/>
      <c r="HJ92" s="904" t="n"/>
      <c r="HK92" s="904" t="n"/>
      <c r="HL92" s="904" t="n"/>
      <c r="HM92" s="904" t="n"/>
      <c r="HN92" s="904" t="n"/>
      <c r="HO92" s="904" t="n"/>
      <c r="HP92" s="904" t="n"/>
      <c r="HQ92" s="904" t="n"/>
      <c r="HR92" s="1337" t="n"/>
      <c r="HS92" s="904" t="n"/>
      <c r="HT92" s="904" t="n"/>
      <c r="HU92" s="904" t="n"/>
      <c r="HV92" s="904" t="n"/>
      <c r="HW92" s="904" t="n"/>
      <c r="HX92" s="904" t="n"/>
      <c r="HY92" s="904" t="n"/>
      <c r="HZ92" s="904" t="n"/>
      <c r="IA92" s="904" t="n"/>
      <c r="IB92" s="904" t="n"/>
      <c r="IC92" s="904" t="n"/>
      <c r="ID92" s="1337" t="n"/>
      <c r="IE92" s="904" t="n"/>
      <c r="IF92" s="904" t="n"/>
      <c r="IG92" s="904" t="n"/>
      <c r="IH92" s="904" t="n"/>
      <c r="II92" s="904" t="n"/>
      <c r="IJ92" s="904" t="n"/>
      <c r="IK92" s="904" t="n"/>
      <c r="IL92" s="904" t="n"/>
      <c r="IM92" s="904" t="n"/>
      <c r="IN92" s="904" t="n"/>
      <c r="IO92" s="904" t="n"/>
      <c r="IP92" s="1337" t="n"/>
      <c r="IQ92" s="904" t="n"/>
      <c r="IR92" s="904" t="n"/>
      <c r="IS92" s="904" t="n"/>
      <c r="IT92" s="904" t="n"/>
      <c r="IU92" s="904" t="n"/>
      <c r="IV92" s="904" t="n"/>
      <c r="IW92" s="904" t="n"/>
      <c r="IX92" s="904" t="n"/>
      <c r="IY92" s="904" t="n"/>
      <c r="IZ92" s="904" t="n"/>
      <c r="JA92" s="904" t="n"/>
      <c r="JB92" s="904" t="n"/>
      <c r="JC92" s="904" t="n"/>
      <c r="JD92" s="904" t="n"/>
      <c r="JE92" s="904" t="n"/>
      <c r="JF92" s="904" t="n"/>
      <c r="JG92" s="904" t="n"/>
      <c r="JH92" s="904" t="n"/>
      <c r="JI92" s="904" t="n"/>
      <c r="JJ92" s="904" t="n"/>
      <c r="JK92" s="904" t="n"/>
      <c r="JL92" s="904" t="n"/>
      <c r="JM92" s="904" t="n"/>
      <c r="JN92" s="904" t="n"/>
      <c r="JO92" s="904" t="n"/>
      <c r="JP92" s="904" t="n"/>
      <c r="JQ92" s="904" t="n"/>
      <c r="JR92" s="904" t="n"/>
      <c r="JS92" s="904" t="n"/>
      <c r="JT92" s="904" t="n"/>
      <c r="JU92" s="904" t="n"/>
      <c r="JV92" s="904" t="n"/>
      <c r="JW92" s="904" t="n"/>
      <c r="JX92" s="904" t="n"/>
      <c r="JY92" s="904" t="n"/>
      <c r="JZ92" s="904" t="n"/>
      <c r="KA92" s="904" t="n"/>
      <c r="KB92" s="904" t="n"/>
      <c r="KC92" s="904" t="n"/>
      <c r="KD92" s="904" t="n"/>
      <c r="KE92" s="904" t="n"/>
      <c r="KF92" s="904" t="n"/>
      <c r="KG92" s="904" t="n"/>
      <c r="KH92" s="904" t="n"/>
      <c r="KI92" s="904" t="n"/>
      <c r="KJ92" s="904" t="n"/>
      <c r="KK92" s="904" t="n"/>
      <c r="KL92" s="1337" t="n"/>
      <c r="KM92" s="904" t="n"/>
      <c r="KN92" s="904" t="n"/>
      <c r="KO92" s="904" t="n"/>
      <c r="KP92" s="904" t="n"/>
      <c r="KQ92" s="904" t="n"/>
      <c r="KR92" s="904" t="n"/>
      <c r="KS92" s="904" t="n"/>
      <c r="KT92" s="904" t="n"/>
      <c r="KU92" s="904" t="n"/>
      <c r="KV92" s="904" t="n"/>
      <c r="KW92" s="904" t="n"/>
      <c r="KX92" s="1337" t="n"/>
      <c r="KY92" s="1337" t="n"/>
      <c r="KZ92" s="1337" t="n"/>
      <c r="LA92" s="1337" t="n"/>
      <c r="LB92" s="1337" t="n"/>
      <c r="LC92" s="1337" t="n"/>
      <c r="LD92" s="1337" t="n"/>
      <c r="LE92" s="1337" t="n"/>
      <c r="LF92" s="1337" t="n"/>
      <c r="LG92" s="1337" t="n"/>
      <c r="LH92" s="1337" t="n"/>
      <c r="LI92" s="1337" t="n"/>
      <c r="LJ92" s="1337" t="n"/>
      <c r="LK92" s="1337" t="n"/>
      <c r="LL92" s="1337" t="n"/>
      <c r="LM92" s="1337" t="n"/>
      <c r="LN92" s="1337" t="n"/>
      <c r="LO92" s="1337" t="n"/>
      <c r="LP92" s="1337" t="n"/>
      <c r="LQ92" s="1337" t="n"/>
      <c r="LR92" s="1337" t="n"/>
      <c r="LS92" s="1337" t="n"/>
    </row>
    <row r="93" ht="17.25" customFormat="1" customHeight="1" s="1310">
      <c r="A93" s="1315" t="inlineStr">
        <is>
          <t>Load Factors</t>
        </is>
      </c>
      <c r="B93" s="1315" t="n"/>
      <c r="C93" s="1315" t="n"/>
      <c r="D93" s="1315" t="n"/>
      <c r="E93" s="1315" t="n"/>
      <c r="F93" s="1315" t="n"/>
      <c r="G93" s="1315" t="n"/>
      <c r="H93" s="1315" t="n"/>
      <c r="I93" s="1315" t="n"/>
      <c r="J93" s="1315" t="n"/>
      <c r="K93" s="1315" t="n"/>
      <c r="L93" s="1315" t="n"/>
      <c r="M93" s="1315" t="n"/>
      <c r="N93" s="1315" t="n"/>
      <c r="O93" s="1315" t="n"/>
      <c r="P93" s="1315" t="n"/>
      <c r="Q93" s="1315" t="n"/>
      <c r="R93" s="1315" t="n"/>
      <c r="S93" s="1315" t="n"/>
      <c r="T93" s="1315" t="n"/>
      <c r="U93" s="1315" t="n"/>
      <c r="V93" s="1315" t="n"/>
      <c r="W93" s="1316" t="n"/>
      <c r="X93" s="1316" t="n"/>
      <c r="Y93" s="1316" t="n"/>
      <c r="Z93" s="1316" t="n"/>
      <c r="AA93" s="1316" t="n"/>
      <c r="AB93" s="1316" t="n"/>
      <c r="AC93" s="1316" t="n"/>
      <c r="AD93" s="1316" t="n"/>
      <c r="AE93" s="1316" t="n"/>
      <c r="AF93" s="1316" t="n"/>
      <c r="AG93" s="1316" t="n"/>
      <c r="AH93" s="1316" t="n"/>
      <c r="AI93" s="1316" t="n"/>
      <c r="AJ93" s="1316" t="n"/>
      <c r="AK93" s="1316" t="n"/>
      <c r="AL93" s="1316" t="n"/>
      <c r="AM93" s="1316" t="n"/>
      <c r="AN93" s="1316" t="n"/>
      <c r="AO93" s="1316" t="n"/>
      <c r="AP93" s="1316" t="n"/>
      <c r="AQ93" s="1316" t="n"/>
      <c r="AR93" s="1316" t="n"/>
      <c r="AS93" s="1316" t="n"/>
      <c r="AT93" s="1316" t="n"/>
      <c r="AU93" s="1316" t="n"/>
      <c r="AV93" s="1316" t="n"/>
      <c r="AW93" s="1316" t="n"/>
      <c r="AX93" s="1316" t="n"/>
      <c r="AY93" s="1316" t="n"/>
      <c r="AZ93" s="1316" t="n"/>
      <c r="BA93" s="1316" t="n"/>
      <c r="BB93" s="1316" t="n"/>
      <c r="BC93" s="1316" t="n"/>
      <c r="BD93" s="1316" t="n"/>
      <c r="BE93" s="1316" t="n"/>
      <c r="BF93" s="1316" t="n"/>
      <c r="BG93" s="1316" t="n"/>
      <c r="BH93" s="1316" t="n"/>
      <c r="BI93" s="1316" t="n"/>
      <c r="BJ93" s="1316" t="n"/>
      <c r="BK93" s="1316" t="n"/>
      <c r="BL93" s="1316" t="n"/>
      <c r="BM93" s="1316" t="n"/>
      <c r="BN93" s="1316" t="n"/>
      <c r="BO93" s="1316" t="n"/>
      <c r="BP93" s="1316" t="n"/>
      <c r="BQ93" s="1316" t="n"/>
      <c r="BR93" s="1316" t="n"/>
      <c r="BS93" s="1316" t="n"/>
      <c r="BT93" s="1316" t="n"/>
      <c r="BU93" s="1316" t="n"/>
      <c r="BV93" s="1316" t="n"/>
      <c r="BW93" s="1316" t="n"/>
      <c r="BX93" s="1316" t="n"/>
      <c r="BY93" s="1316" t="n"/>
      <c r="BZ93" s="1316" t="n"/>
      <c r="CA93" s="1316" t="n"/>
      <c r="CB93" s="1316" t="n"/>
      <c r="CC93" s="1316" t="n"/>
      <c r="CD93" s="1316" t="n"/>
      <c r="CE93" s="1316" t="n"/>
      <c r="CF93" s="1316" t="n"/>
      <c r="CG93" s="1316" t="n"/>
      <c r="CH93" s="1316" t="n"/>
      <c r="CI93" s="1316" t="n"/>
      <c r="CJ93" s="1316" t="n"/>
      <c r="CK93" s="1316" t="n"/>
      <c r="CL93" s="1316" t="n"/>
      <c r="CM93" s="1316" t="n"/>
      <c r="CN93" s="1316" t="n"/>
      <c r="CO93" s="1316" t="n"/>
      <c r="CP93" s="1316" t="n"/>
      <c r="CQ93" s="1316" t="n"/>
      <c r="CR93" s="1316" t="n"/>
      <c r="CS93" s="1316" t="n"/>
      <c r="CT93" s="1316" t="n"/>
      <c r="CU93" s="1316" t="n"/>
      <c r="CV93" s="1316" t="n"/>
      <c r="CW93" s="1316" t="n"/>
      <c r="CX93" s="1316" t="n"/>
      <c r="CY93" s="1316" t="n"/>
      <c r="CZ93" s="1316" t="n"/>
      <c r="DA93" s="1316" t="n"/>
      <c r="DB93" s="1316" t="n"/>
      <c r="DC93" s="1316" t="n"/>
      <c r="DD93" s="1316" t="n"/>
      <c r="DE93" s="1316" t="n"/>
      <c r="DF93" s="1316" t="n"/>
      <c r="DG93" s="1316" t="n"/>
      <c r="DH93" s="1316" t="n"/>
      <c r="DI93" s="1316" t="n"/>
      <c r="DJ93" s="1316" t="n"/>
      <c r="DK93" s="1316" t="n"/>
      <c r="DL93" s="1316" t="n"/>
      <c r="DM93" s="1316" t="n"/>
      <c r="DN93" s="1316" t="n"/>
      <c r="DO93" s="880" t="n"/>
      <c r="DP93" s="1316" t="n"/>
      <c r="DQ93" s="1316" t="n"/>
      <c r="DR93" s="1316" t="n"/>
      <c r="DS93" s="1316" t="n"/>
      <c r="DT93" s="1316" t="n"/>
      <c r="DU93" s="1316" t="n"/>
      <c r="DV93" s="1316" t="n"/>
      <c r="DW93" s="1316" t="n"/>
      <c r="DX93" s="1316" t="n"/>
      <c r="DY93" s="1316" t="n"/>
      <c r="DZ93" s="881" t="n"/>
      <c r="EA93" s="881" t="n"/>
      <c r="EB93" s="881" t="n"/>
      <c r="EC93" s="881" t="n"/>
      <c r="ED93" s="881" t="n"/>
      <c r="EE93" s="881" t="n"/>
      <c r="EF93" s="881" t="n"/>
      <c r="EG93" s="881" t="n"/>
      <c r="EH93" s="881" t="n"/>
      <c r="EI93" s="881" t="n"/>
      <c r="EJ93" s="881" t="n"/>
      <c r="EK93" s="881" t="n"/>
      <c r="EL93" s="881" t="n"/>
      <c r="EM93" s="881" t="n"/>
      <c r="EN93" s="881" t="n"/>
      <c r="EO93" s="881" t="n"/>
      <c r="EP93" s="881" t="n"/>
      <c r="EQ93" s="881" t="n"/>
      <c r="ER93" s="881" t="n"/>
      <c r="ES93" s="881" t="n"/>
      <c r="ET93" s="881" t="n"/>
      <c r="EU93" s="881" t="n"/>
      <c r="EV93" s="881" t="n"/>
      <c r="EW93" s="881" t="n"/>
      <c r="EX93" s="881" t="n"/>
      <c r="EY93" s="881" t="n"/>
      <c r="EZ93" s="881" t="n"/>
      <c r="FA93" s="881" t="n"/>
      <c r="FB93" s="881" t="n"/>
      <c r="FC93" s="881" t="n"/>
      <c r="FD93" s="881" t="n"/>
      <c r="FE93" s="881" t="n"/>
      <c r="FF93" s="881" t="n"/>
      <c r="FG93" s="881" t="n"/>
      <c r="FH93" s="881" t="n"/>
      <c r="FI93" s="881" t="n"/>
      <c r="FJ93" s="881" t="n"/>
      <c r="FK93" s="881" t="n"/>
      <c r="FL93" s="881" t="n"/>
      <c r="FM93" s="881" t="n"/>
      <c r="FN93" s="881" t="n"/>
      <c r="FO93" s="881" t="n"/>
      <c r="FP93" s="881" t="n"/>
      <c r="FQ93" s="881" t="n"/>
      <c r="FR93" s="881" t="n"/>
      <c r="FS93" s="881" t="n"/>
      <c r="FT93" s="881" t="n"/>
      <c r="FU93" s="881" t="n"/>
      <c r="FV93" s="881" t="n"/>
      <c r="FW93" s="881" t="n"/>
      <c r="FX93" s="881" t="n"/>
      <c r="FY93" s="881" t="n"/>
      <c r="FZ93" s="881" t="n"/>
      <c r="GA93" s="881" t="n"/>
      <c r="GB93" s="881" t="n"/>
      <c r="GC93" s="881" t="n"/>
      <c r="GD93" s="881" t="n"/>
      <c r="GE93" s="881" t="n"/>
      <c r="GF93" s="881" t="n"/>
      <c r="GG93" s="881" t="n"/>
      <c r="GH93" s="881" t="n"/>
      <c r="GI93" s="881" t="n"/>
      <c r="GJ93" s="881" t="n"/>
      <c r="GK93" s="881" t="n"/>
      <c r="GL93" s="881" t="n"/>
      <c r="GM93" s="881" t="n"/>
      <c r="GN93" s="881" t="n"/>
      <c r="GO93" s="881" t="n"/>
      <c r="GP93" s="881" t="n"/>
      <c r="GQ93" s="881" t="n"/>
      <c r="GR93" s="881" t="n"/>
      <c r="GS93" s="881" t="n"/>
      <c r="GT93" s="881" t="n"/>
      <c r="GU93" s="881" t="n"/>
      <c r="GV93" s="881" t="n"/>
      <c r="GW93" s="881" t="n"/>
      <c r="GX93" s="881" t="n"/>
      <c r="GY93" s="881" t="n"/>
      <c r="GZ93" s="881" t="n"/>
      <c r="HA93" s="881" t="n"/>
      <c r="HB93" s="881" t="n"/>
      <c r="HC93" s="881" t="n"/>
      <c r="HD93" s="881" t="n"/>
      <c r="HE93" s="881" t="n"/>
      <c r="HF93" s="881" t="n"/>
      <c r="HG93" s="881" t="n"/>
      <c r="HH93" s="881" t="n"/>
      <c r="HI93" s="881" t="n"/>
      <c r="HJ93" s="881" t="n"/>
      <c r="HK93" s="881" t="n"/>
      <c r="HL93" s="881" t="n"/>
      <c r="HM93" s="881" t="n"/>
      <c r="HN93" s="881" t="n"/>
      <c r="HO93" s="881" t="n"/>
      <c r="HP93" s="881" t="n"/>
      <c r="HQ93" s="881" t="n"/>
      <c r="HR93" s="881" t="n"/>
      <c r="HS93" s="881" t="n"/>
      <c r="HT93" s="881" t="n"/>
      <c r="HU93" s="881" t="n"/>
      <c r="HV93" s="881" t="n"/>
      <c r="HW93" s="881" t="n"/>
      <c r="HX93" s="881" t="n"/>
      <c r="HY93" s="881" t="n"/>
      <c r="HZ93" s="881" t="n"/>
      <c r="IA93" s="881" t="n"/>
      <c r="IB93" s="881" t="n"/>
      <c r="IC93" s="881" t="n"/>
      <c r="ID93" s="881" t="n"/>
      <c r="IE93" s="881" t="n"/>
      <c r="IF93" s="881" t="n"/>
      <c r="IG93" s="881" t="n"/>
      <c r="IH93" s="881" t="n"/>
      <c r="II93" s="881" t="n"/>
      <c r="IJ93" s="881" t="n"/>
      <c r="IK93" s="881" t="n"/>
      <c r="IL93" s="881" t="n"/>
      <c r="IM93" s="881" t="n"/>
      <c r="IN93" s="881" t="n"/>
      <c r="IO93" s="881" t="n"/>
      <c r="IP93" s="881" t="n"/>
      <c r="IQ93" s="881" t="n"/>
      <c r="IR93" s="881" t="n"/>
      <c r="IS93" s="881" t="n"/>
      <c r="IT93" s="881" t="n"/>
      <c r="IU93" s="881" t="n"/>
      <c r="IV93" s="881" t="n"/>
      <c r="IW93" s="881" t="n"/>
      <c r="IX93" s="881" t="n"/>
      <c r="IY93" s="881" t="n"/>
      <c r="IZ93" s="881" t="n"/>
      <c r="JA93" s="881" t="n"/>
      <c r="JB93" s="881" t="n"/>
      <c r="JC93" s="881" t="n"/>
      <c r="JD93" s="881" t="n"/>
      <c r="JE93" s="881" t="n"/>
      <c r="JF93" s="881" t="n"/>
      <c r="JG93" s="881" t="n"/>
      <c r="JH93" s="881" t="n"/>
      <c r="JI93" s="881" t="n"/>
      <c r="JJ93" s="881" t="n"/>
      <c r="JK93" s="881" t="n"/>
      <c r="JL93" s="881" t="n"/>
      <c r="JM93" s="881" t="n"/>
      <c r="JN93" s="881" t="n"/>
      <c r="JO93" s="881" t="n"/>
      <c r="JP93" s="881" t="n"/>
      <c r="JQ93" s="881" t="n"/>
      <c r="JR93" s="881" t="n"/>
      <c r="JS93" s="881" t="n"/>
      <c r="JT93" s="881" t="n"/>
      <c r="JU93" s="881" t="n"/>
      <c r="JV93" s="881" t="n"/>
      <c r="JW93" s="881" t="n"/>
      <c r="JX93" s="881" t="n"/>
      <c r="JY93" s="881" t="n"/>
      <c r="JZ93" s="881" t="n"/>
      <c r="KA93" s="881" t="n"/>
      <c r="KB93" s="881" t="n"/>
      <c r="KC93" s="881" t="n"/>
      <c r="KD93" s="881" t="n"/>
      <c r="KE93" s="881" t="n"/>
      <c r="KF93" s="881" t="n"/>
      <c r="KG93" s="881" t="n"/>
      <c r="KH93" s="881" t="n"/>
      <c r="KI93" s="881" t="n"/>
      <c r="KJ93" s="881" t="n"/>
      <c r="KK93" s="881" t="n"/>
      <c r="KL93" s="881" t="n"/>
      <c r="KM93" s="881" t="n"/>
      <c r="KN93" s="881" t="n"/>
      <c r="KO93" s="881" t="n"/>
      <c r="KP93" s="881" t="n"/>
      <c r="KQ93" s="881" t="n"/>
      <c r="KR93" s="881" t="n"/>
      <c r="KS93" s="881" t="n"/>
      <c r="KT93" s="881" t="n"/>
      <c r="KU93" s="881" t="n"/>
      <c r="KV93" s="881" t="n"/>
      <c r="KW93" s="881" t="n"/>
      <c r="KX93" s="881" t="n"/>
      <c r="KY93" s="881" t="n"/>
      <c r="KZ93" s="881" t="n"/>
      <c r="LA93" s="881" t="n"/>
      <c r="LB93" s="881" t="n"/>
      <c r="LC93" s="881" t="n"/>
      <c r="LD93" s="881" t="n"/>
      <c r="LE93" s="881" t="n"/>
      <c r="LF93" s="881" t="n"/>
      <c r="LG93" s="881" t="n"/>
      <c r="LH93" s="881" t="n"/>
      <c r="LI93" s="881" t="n"/>
      <c r="LJ93" s="881" t="n"/>
      <c r="LK93" s="881" t="n"/>
      <c r="LL93" s="881" t="n"/>
      <c r="LM93" s="881" t="n"/>
      <c r="LN93" s="881" t="n"/>
      <c r="LO93" s="881" t="n"/>
      <c r="LP93" s="881" t="n"/>
      <c r="LQ93" s="881" t="n"/>
      <c r="LR93" s="881" t="n"/>
      <c r="LS93" s="881" t="n"/>
    </row>
    <row r="94" ht="15" customFormat="1" customHeight="1" s="1338">
      <c r="A94" s="1339" t="inlineStr">
        <is>
          <t>Passenger Load Factor (%)</t>
        </is>
      </c>
      <c r="B94" s="1340">
        <f>B46/B10</f>
        <v/>
      </c>
      <c r="C94" s="1340">
        <f>C46/C10</f>
        <v/>
      </c>
      <c r="D94" s="1340">
        <f>D46/D10</f>
        <v/>
      </c>
      <c r="E94" s="1340">
        <f>E46/E10</f>
        <v/>
      </c>
      <c r="F94" s="1340">
        <f>F46/F10</f>
        <v/>
      </c>
      <c r="G94" s="1340">
        <f>G46/G10</f>
        <v/>
      </c>
      <c r="H94" s="1340">
        <f>H46/H10</f>
        <v/>
      </c>
      <c r="I94" s="1340">
        <f>I46/I10</f>
        <v/>
      </c>
      <c r="J94" s="1340">
        <f>J46/J10</f>
        <v/>
      </c>
      <c r="K94" s="1340">
        <f>K46/K10</f>
        <v/>
      </c>
      <c r="L94" s="1340">
        <f>L46/L10</f>
        <v/>
      </c>
      <c r="M94" s="1340">
        <f>M46/M10</f>
        <v/>
      </c>
      <c r="N94" s="1340">
        <f>N46/N10</f>
        <v/>
      </c>
      <c r="O94" s="1340">
        <f>O46/O10</f>
        <v/>
      </c>
      <c r="P94" s="1340">
        <f>P46/P10</f>
        <v/>
      </c>
      <c r="Q94" s="1340">
        <f>Q46/Q10</f>
        <v/>
      </c>
      <c r="R94" s="1340">
        <f>R46/R10</f>
        <v/>
      </c>
      <c r="S94" s="1340">
        <f>S46/S10</f>
        <v/>
      </c>
      <c r="T94" s="1340">
        <f>T46/T10</f>
        <v/>
      </c>
      <c r="U94" s="1340">
        <f>U46/U10</f>
        <v/>
      </c>
      <c r="V94" s="1340">
        <f>V46/V10</f>
        <v/>
      </c>
      <c r="W94" s="1340">
        <f>W46/W10</f>
        <v/>
      </c>
      <c r="X94" s="1340">
        <f>X46/X10</f>
        <v/>
      </c>
      <c r="Y94" s="1340">
        <f>Y46/Y10</f>
        <v/>
      </c>
      <c r="Z94" s="1340">
        <f>Z46/Z10</f>
        <v/>
      </c>
      <c r="AA94" s="1340">
        <f>AA46/AA10</f>
        <v/>
      </c>
      <c r="AB94" s="1340">
        <f>AB46/AB10</f>
        <v/>
      </c>
      <c r="AC94" s="1340">
        <f>AC46/AC10</f>
        <v/>
      </c>
      <c r="AD94" s="1340">
        <f>AD46/AD10</f>
        <v/>
      </c>
      <c r="AE94" s="1340">
        <f>AE46/AE10</f>
        <v/>
      </c>
      <c r="AF94" s="1340">
        <f>AF46/AF10</f>
        <v/>
      </c>
      <c r="AG94" s="1340">
        <f>AG46/AG10</f>
        <v/>
      </c>
      <c r="AH94" s="1340">
        <f>AH46/AH10</f>
        <v/>
      </c>
      <c r="AI94" s="1340">
        <f>AI46/AI10</f>
        <v/>
      </c>
      <c r="AJ94" s="1340">
        <f>AJ46/AJ10</f>
        <v/>
      </c>
      <c r="AK94" s="1340">
        <f>AK46/AK10</f>
        <v/>
      </c>
      <c r="AL94" s="1340">
        <f>AL46/AL10</f>
        <v/>
      </c>
      <c r="AM94" s="1340">
        <f>AM46/AM10</f>
        <v/>
      </c>
      <c r="AN94" s="1340">
        <f>AN46/AN10</f>
        <v/>
      </c>
      <c r="AO94" s="1340">
        <f>AO46/AO10</f>
        <v/>
      </c>
      <c r="AP94" s="1340">
        <f>AP46/AP10</f>
        <v/>
      </c>
      <c r="AQ94" s="1340">
        <f>AQ46/AQ10</f>
        <v/>
      </c>
      <c r="AR94" s="1340">
        <f>AR46/AR10</f>
        <v/>
      </c>
      <c r="AS94" s="1340">
        <f>AS46/AS10</f>
        <v/>
      </c>
      <c r="AT94" s="1340">
        <f>AT46/AT10</f>
        <v/>
      </c>
      <c r="AU94" s="1340">
        <f>AU46/AU10</f>
        <v/>
      </c>
      <c r="AV94" s="1340">
        <f>AV46/AV10</f>
        <v/>
      </c>
      <c r="AW94" s="1340">
        <f>AW46/AW10</f>
        <v/>
      </c>
      <c r="AX94" s="1340">
        <f>AX46/AX10</f>
        <v/>
      </c>
      <c r="AY94" s="1340">
        <f>AY46/AY10</f>
        <v/>
      </c>
      <c r="AZ94" s="1340">
        <f>AZ46/AZ10</f>
        <v/>
      </c>
      <c r="BA94" s="1340">
        <f>BA46/BA10</f>
        <v/>
      </c>
      <c r="BB94" s="1340">
        <f>BB46/BB10</f>
        <v/>
      </c>
      <c r="BC94" s="1340">
        <f>BC46/BC10</f>
        <v/>
      </c>
      <c r="BD94" s="1340">
        <f>BD46/BD10</f>
        <v/>
      </c>
      <c r="BE94" s="1340">
        <f>BE46/BE10</f>
        <v/>
      </c>
      <c r="BF94" s="1340">
        <f>BF46/BF10</f>
        <v/>
      </c>
      <c r="BG94" s="1340">
        <f>BG46/BG10</f>
        <v/>
      </c>
      <c r="BH94" s="1340">
        <f>BH46/BH10</f>
        <v/>
      </c>
      <c r="BI94" s="1340">
        <f>BI46/BI10</f>
        <v/>
      </c>
      <c r="BJ94" s="1340">
        <f>BJ46/BJ10</f>
        <v/>
      </c>
      <c r="BK94" s="1340">
        <f>BK46/BK10</f>
        <v/>
      </c>
      <c r="BL94" s="1340">
        <f>BL46/BL10</f>
        <v/>
      </c>
      <c r="BM94" s="1340">
        <f>BM46/BM10</f>
        <v/>
      </c>
      <c r="BN94" s="1340">
        <f>BN46/BN10</f>
        <v/>
      </c>
      <c r="BO94" s="1340">
        <f>BO46/BO10</f>
        <v/>
      </c>
      <c r="BP94" s="1340">
        <f>BP46/BP10</f>
        <v/>
      </c>
      <c r="BQ94" s="1340">
        <f>BQ46/BQ10</f>
        <v/>
      </c>
      <c r="BR94" s="1340">
        <f>BR46/BR10</f>
        <v/>
      </c>
      <c r="BS94" s="1340">
        <f>BS46/BS10</f>
        <v/>
      </c>
      <c r="BT94" s="1340">
        <f>BT46/BT10</f>
        <v/>
      </c>
      <c r="BU94" s="1340">
        <f>BU46/BU10</f>
        <v/>
      </c>
      <c r="BV94" s="1340">
        <f>BV46/BV10</f>
        <v/>
      </c>
      <c r="BW94" s="1340">
        <f>BW46/BW10</f>
        <v/>
      </c>
      <c r="BX94" s="1340">
        <f>BX46/BX10</f>
        <v/>
      </c>
      <c r="BY94" s="1340">
        <f>BY46/BY10</f>
        <v/>
      </c>
      <c r="BZ94" s="1340">
        <f>BZ46/BZ10</f>
        <v/>
      </c>
      <c r="CA94" s="1340">
        <f>CA46/CA10</f>
        <v/>
      </c>
      <c r="CB94" s="1340">
        <f>CB46/CB10</f>
        <v/>
      </c>
      <c r="CC94" s="1340">
        <f>CC46/CC10</f>
        <v/>
      </c>
      <c r="CD94" s="1340">
        <f>CD46/CD10</f>
        <v/>
      </c>
      <c r="CE94" s="1340">
        <f>CE46/CE10</f>
        <v/>
      </c>
      <c r="CF94" s="1340">
        <f>CF46/CF10</f>
        <v/>
      </c>
      <c r="CG94" s="1340">
        <f>CG46/CG10</f>
        <v/>
      </c>
      <c r="CH94" s="1340">
        <f>CH46/CH10</f>
        <v/>
      </c>
      <c r="CI94" s="1340">
        <f>CI46/CI10</f>
        <v/>
      </c>
      <c r="CJ94" s="1340">
        <f>CJ46/CJ10</f>
        <v/>
      </c>
      <c r="CK94" s="1340">
        <f>CK46/CK10</f>
        <v/>
      </c>
      <c r="CL94" s="1340">
        <f>CL46/CL10</f>
        <v/>
      </c>
      <c r="CM94" s="1340">
        <f>CM46/CM10</f>
        <v/>
      </c>
      <c r="CN94" s="1340">
        <f>CN46/CN10</f>
        <v/>
      </c>
      <c r="CO94" s="1340">
        <f>CO46/CO10</f>
        <v/>
      </c>
      <c r="CP94" s="1340">
        <f>CP46/CP10</f>
        <v/>
      </c>
      <c r="CQ94" s="1340">
        <f>CQ46/CQ10</f>
        <v/>
      </c>
      <c r="CR94" s="1340">
        <f>CR46/CR10</f>
        <v/>
      </c>
      <c r="CS94" s="1340">
        <f>CS46/CS10</f>
        <v/>
      </c>
      <c r="CT94" s="1340">
        <f>CT46/CT10</f>
        <v/>
      </c>
      <c r="CU94" s="1340">
        <f>CU46/CU10</f>
        <v/>
      </c>
      <c r="CV94" s="1340">
        <f>CV46/CV10</f>
        <v/>
      </c>
      <c r="CW94" s="1340">
        <f>CW46/CW10</f>
        <v/>
      </c>
      <c r="CX94" s="1340">
        <f>CX46/CX10</f>
        <v/>
      </c>
      <c r="CY94" s="1340">
        <f>CY46/CY10</f>
        <v/>
      </c>
      <c r="CZ94" s="1340">
        <f>CZ46/CZ10</f>
        <v/>
      </c>
      <c r="DA94" s="1340">
        <f>DA46/DA10</f>
        <v/>
      </c>
      <c r="DB94" s="1340">
        <f>DB46/DB10</f>
        <v/>
      </c>
      <c r="DC94" s="1340">
        <f>DC46/DC10</f>
        <v/>
      </c>
      <c r="DD94" s="1340">
        <f>DD46/DD10</f>
        <v/>
      </c>
      <c r="DE94" s="1340">
        <f>DE46/DE10</f>
        <v/>
      </c>
      <c r="DF94" s="1340">
        <f>DF46/DF10</f>
        <v/>
      </c>
      <c r="DG94" s="1340">
        <f>DG46/DG10</f>
        <v/>
      </c>
      <c r="DH94" s="1340">
        <f>DH46/DH10</f>
        <v/>
      </c>
      <c r="DI94" s="1340">
        <f>DI46/DI10</f>
        <v/>
      </c>
      <c r="DJ94" s="1340">
        <f>DJ46/DJ10</f>
        <v/>
      </c>
      <c r="DK94" s="1340">
        <f>DK46/DK10</f>
        <v/>
      </c>
      <c r="DL94" s="1340">
        <f>DL46/DL10</f>
        <v/>
      </c>
      <c r="DM94" s="1340">
        <f>DM46/DM10</f>
        <v/>
      </c>
      <c r="DN94" s="1340">
        <f>DN46/DN10</f>
        <v/>
      </c>
      <c r="DO94" s="1340">
        <f>DO46/DO10</f>
        <v/>
      </c>
      <c r="DP94" s="1340">
        <f>DP46/DP10</f>
        <v/>
      </c>
      <c r="DQ94" s="1340">
        <f>DQ46/DQ10</f>
        <v/>
      </c>
      <c r="DR94" s="1340">
        <f>DR46/DR10</f>
        <v/>
      </c>
      <c r="DS94" s="1340">
        <f>DS46/DS10</f>
        <v/>
      </c>
      <c r="DT94" s="1340">
        <f>DT46/DT10</f>
        <v/>
      </c>
      <c r="DU94" s="1340">
        <f>DU46/DU10</f>
        <v/>
      </c>
      <c r="DV94" s="1340">
        <f>DV46/DV10</f>
        <v/>
      </c>
      <c r="DW94" s="1340">
        <f>DW46/DW10</f>
        <v/>
      </c>
      <c r="DX94" s="1340">
        <f>DX46/DX10</f>
        <v/>
      </c>
      <c r="DY94" s="1340">
        <f>DY46/DY10</f>
        <v/>
      </c>
      <c r="DZ94" s="1340">
        <f>DZ46/DZ10</f>
        <v/>
      </c>
      <c r="EA94" s="1340">
        <f>EA46/EA10</f>
        <v/>
      </c>
      <c r="EB94" s="1340">
        <f>EB46/EB10</f>
        <v/>
      </c>
      <c r="EC94" s="1340">
        <f>EC46/EC10</f>
        <v/>
      </c>
      <c r="ED94" s="1340">
        <f>ED46/ED10</f>
        <v/>
      </c>
      <c r="EE94" s="1340">
        <f>EE46/EE10</f>
        <v/>
      </c>
      <c r="EF94" s="1340">
        <f>EF46/EF10</f>
        <v/>
      </c>
      <c r="EG94" s="1340">
        <f>EG46/EG10</f>
        <v/>
      </c>
      <c r="EH94" s="1340">
        <f>EH46/EH10</f>
        <v/>
      </c>
      <c r="EI94" s="1340">
        <f>EI46/EI10</f>
        <v/>
      </c>
      <c r="EJ94" s="1340">
        <f>EJ46/EJ10</f>
        <v/>
      </c>
      <c r="EK94" s="1340">
        <f>EK46/EK10</f>
        <v/>
      </c>
      <c r="EL94" s="1340">
        <f>EL46/EL10</f>
        <v/>
      </c>
      <c r="EM94" s="1340">
        <f>EM46/EM10</f>
        <v/>
      </c>
      <c r="EN94" s="1340">
        <f>EN46/EN10</f>
        <v/>
      </c>
      <c r="EO94" s="1340">
        <f>EO46/EO10</f>
        <v/>
      </c>
      <c r="EP94" s="1340">
        <f>EP46/EP10</f>
        <v/>
      </c>
      <c r="EQ94" s="1340">
        <f>EQ46/EQ10</f>
        <v/>
      </c>
      <c r="ER94" s="1340">
        <f>ER46/ER10</f>
        <v/>
      </c>
      <c r="ES94" s="1340">
        <f>ES46/ES10</f>
        <v/>
      </c>
      <c r="ET94" s="1340">
        <f>ET46/ET10</f>
        <v/>
      </c>
      <c r="EU94" s="1340">
        <f>EU46/EU10</f>
        <v/>
      </c>
      <c r="EV94" s="1340">
        <f>EV46/EV10</f>
        <v/>
      </c>
      <c r="EW94" s="1340">
        <f>EW46/EW10</f>
        <v/>
      </c>
      <c r="EX94" s="1340">
        <f>EX46/EX10</f>
        <v/>
      </c>
      <c r="EY94" s="1340">
        <f>EY46/EY10</f>
        <v/>
      </c>
      <c r="EZ94" s="1340">
        <f>EZ46/EZ10</f>
        <v/>
      </c>
      <c r="FA94" s="1340">
        <f>FA46/FA10</f>
        <v/>
      </c>
      <c r="FB94" s="1340">
        <f>FB46/FB10</f>
        <v/>
      </c>
      <c r="FC94" s="1340">
        <f>FC46/FC10</f>
        <v/>
      </c>
      <c r="FD94" s="1340">
        <f>FD46/FD10</f>
        <v/>
      </c>
      <c r="FE94" s="1340">
        <f>FE46/FE10</f>
        <v/>
      </c>
      <c r="FF94" s="1340">
        <f>FF46/FF10</f>
        <v/>
      </c>
      <c r="FG94" s="1340">
        <f>FG46/FG10</f>
        <v/>
      </c>
      <c r="FH94" s="1340">
        <f>FH46/FH10</f>
        <v/>
      </c>
      <c r="FI94" s="1340">
        <f>FI46/FI10</f>
        <v/>
      </c>
      <c r="FJ94" s="1340">
        <f>FJ46/FJ10</f>
        <v/>
      </c>
      <c r="FK94" s="1340">
        <f>FK46/FK10</f>
        <v/>
      </c>
      <c r="FL94" s="1340">
        <f>FL46/FL10</f>
        <v/>
      </c>
      <c r="FM94" s="1340">
        <f>FM46/FM10</f>
        <v/>
      </c>
      <c r="FN94" s="1340">
        <f>FN46/FN10</f>
        <v/>
      </c>
      <c r="FO94" s="1340">
        <f>FO46/FO10</f>
        <v/>
      </c>
      <c r="FP94" s="1340">
        <f>FP46/FP10</f>
        <v/>
      </c>
      <c r="FQ94" s="1340">
        <f>FQ46/FQ10</f>
        <v/>
      </c>
      <c r="FR94" s="1340">
        <f>FR46/FR10</f>
        <v/>
      </c>
      <c r="FS94" s="1340">
        <f>FS46/FS10</f>
        <v/>
      </c>
      <c r="FT94" s="1340">
        <f>FT46/FT10</f>
        <v/>
      </c>
      <c r="FU94" s="1340">
        <f>FU46/FU10</f>
        <v/>
      </c>
      <c r="FV94" s="1340">
        <f>FV46/FV10</f>
        <v/>
      </c>
      <c r="FW94" s="1340">
        <f>FW46/FW10</f>
        <v/>
      </c>
      <c r="FX94" s="1340">
        <f>FX46/FX10</f>
        <v/>
      </c>
      <c r="FY94" s="1340">
        <f>FY46/FY10</f>
        <v/>
      </c>
      <c r="FZ94" s="1340">
        <f>FZ46/FZ10</f>
        <v/>
      </c>
      <c r="GA94" s="1340">
        <f>GA46/GA10</f>
        <v/>
      </c>
      <c r="GB94" s="1340">
        <f>GB46/GB10</f>
        <v/>
      </c>
      <c r="GC94" s="1340">
        <f>GC46/GC10</f>
        <v/>
      </c>
      <c r="GD94" s="1340">
        <f>GD46/GD10</f>
        <v/>
      </c>
      <c r="GE94" s="1340">
        <f>GE46/GE10</f>
        <v/>
      </c>
      <c r="GF94" s="1340">
        <f>GF46/GF10</f>
        <v/>
      </c>
      <c r="GG94" s="1340">
        <f>GG46/GG10</f>
        <v/>
      </c>
      <c r="GH94" s="1340">
        <f>GH46/GH10</f>
        <v/>
      </c>
      <c r="GI94" s="1340">
        <f>GI46/GI10</f>
        <v/>
      </c>
      <c r="GJ94" s="1340">
        <f>GJ46/GJ10</f>
        <v/>
      </c>
      <c r="GK94" s="1340">
        <f>GK46/GK10</f>
        <v/>
      </c>
      <c r="GL94" s="1340">
        <f>GL46/GL10</f>
        <v/>
      </c>
      <c r="GM94" s="1340">
        <f>GM46/GM10</f>
        <v/>
      </c>
      <c r="GN94" s="1340">
        <f>GN46/GN10</f>
        <v/>
      </c>
      <c r="GO94" s="1340">
        <f>GO46/GO10</f>
        <v/>
      </c>
      <c r="GP94" s="1340">
        <f>GP46/GP10</f>
        <v/>
      </c>
      <c r="GQ94" s="1340">
        <f>GQ46/GQ10</f>
        <v/>
      </c>
      <c r="GR94" s="1340">
        <f>GR46/GR10</f>
        <v/>
      </c>
      <c r="GS94" s="1340">
        <f>GS46/GS10</f>
        <v/>
      </c>
      <c r="GT94" s="1340">
        <f>GT46/GT10</f>
        <v/>
      </c>
      <c r="GU94" s="1340">
        <f>GU46/GU10</f>
        <v/>
      </c>
      <c r="GV94" s="1340">
        <f>GV46/GV10</f>
        <v/>
      </c>
      <c r="GW94" s="1340">
        <f>GW46/GW10</f>
        <v/>
      </c>
      <c r="GX94" s="1340">
        <f>GX46/GX10</f>
        <v/>
      </c>
      <c r="GY94" s="1340">
        <f>GY46/GY10</f>
        <v/>
      </c>
      <c r="GZ94" s="1340">
        <f>GZ46/GZ10</f>
        <v/>
      </c>
      <c r="HA94" s="1340">
        <f>HA46/HA10</f>
        <v/>
      </c>
      <c r="HB94" s="1340">
        <f>HB46/HB10</f>
        <v/>
      </c>
      <c r="HC94" s="1340">
        <f>HC46/HC10</f>
        <v/>
      </c>
      <c r="HD94" s="1340">
        <f>HD46/HD10</f>
        <v/>
      </c>
      <c r="HE94" s="1340">
        <f>HE46/HE10</f>
        <v/>
      </c>
      <c r="HF94" s="1340">
        <f>HF46/HF10</f>
        <v/>
      </c>
      <c r="HG94" s="1340">
        <f>HG46/HG10</f>
        <v/>
      </c>
      <c r="HH94" s="1340">
        <f>HH46/HH10</f>
        <v/>
      </c>
      <c r="HI94" s="1340">
        <f>HI46/HI10</f>
        <v/>
      </c>
      <c r="HJ94" s="1340">
        <f>HJ46/HJ10</f>
        <v/>
      </c>
      <c r="HK94" s="1340">
        <f>HK46/HK10</f>
        <v/>
      </c>
      <c r="HL94" s="1340">
        <f>HL46/HL10</f>
        <v/>
      </c>
      <c r="HM94" s="1340">
        <f>HM46/HM10</f>
        <v/>
      </c>
      <c r="HN94" s="1340">
        <f>HN46/HN10</f>
        <v/>
      </c>
      <c r="HO94" s="1340">
        <f>HO46/HO10</f>
        <v/>
      </c>
      <c r="HP94" s="1340">
        <f>HP46/HP10</f>
        <v/>
      </c>
      <c r="HQ94" s="1340">
        <f>HQ46/HQ10</f>
        <v/>
      </c>
      <c r="HR94" s="1340">
        <f>HR46/HR10</f>
        <v/>
      </c>
      <c r="HS94" s="1340">
        <f>HS46/HS10</f>
        <v/>
      </c>
      <c r="HT94" s="1340">
        <f>HT46/HT10</f>
        <v/>
      </c>
      <c r="HU94" s="1340">
        <f>HU46/HU10</f>
        <v/>
      </c>
      <c r="HV94" s="1340">
        <f>HV46/HV10</f>
        <v/>
      </c>
      <c r="HW94" s="1340">
        <f>HW46/HW10</f>
        <v/>
      </c>
      <c r="HX94" s="1340">
        <f>HX46/HX10</f>
        <v/>
      </c>
      <c r="HY94" s="1340">
        <f>HY46/HY10</f>
        <v/>
      </c>
      <c r="HZ94" s="1340">
        <f>HZ46/HZ10</f>
        <v/>
      </c>
      <c r="IA94" s="1340">
        <f>IA46/IA10</f>
        <v/>
      </c>
      <c r="IB94" s="1340">
        <f>IB46/IB10</f>
        <v/>
      </c>
      <c r="IC94" s="1340">
        <f>IC46/IC10</f>
        <v/>
      </c>
      <c r="ID94" s="1340">
        <f>ID46/ID10</f>
        <v/>
      </c>
      <c r="IE94" s="1340">
        <f>IE46/IE10</f>
        <v/>
      </c>
      <c r="IF94" s="1340">
        <f>IF46/IF10</f>
        <v/>
      </c>
      <c r="IG94" s="1340">
        <f>IG46/IG10</f>
        <v/>
      </c>
      <c r="IH94" s="1340">
        <f>IH46/IH10</f>
        <v/>
      </c>
      <c r="II94" s="1340">
        <f>II46/II10</f>
        <v/>
      </c>
      <c r="IJ94" s="1340">
        <f>IJ46/IJ10</f>
        <v/>
      </c>
      <c r="IK94" s="1340">
        <f>IK46/IK10</f>
        <v/>
      </c>
      <c r="IL94" s="1340">
        <f>IL46/IL10</f>
        <v/>
      </c>
      <c r="IM94" s="1340">
        <f>IM46/IM10</f>
        <v/>
      </c>
      <c r="IN94" s="1340">
        <f>IN46/IN10</f>
        <v/>
      </c>
      <c r="IO94" s="1340">
        <f>IO46/IO10</f>
        <v/>
      </c>
      <c r="IP94" s="1340">
        <f>IP46/IP10</f>
        <v/>
      </c>
      <c r="IQ94" s="1340">
        <f>IQ46/IQ10</f>
        <v/>
      </c>
      <c r="IR94" s="1340">
        <f>IR46/IR10</f>
        <v/>
      </c>
      <c r="IS94" s="1340">
        <f>IS46/IS10</f>
        <v/>
      </c>
      <c r="IT94" s="1340">
        <f>IT46/IT10</f>
        <v/>
      </c>
      <c r="IU94" s="1340">
        <f>IU46/IU10</f>
        <v/>
      </c>
      <c r="IV94" s="1340">
        <f>IV46/IV10</f>
        <v/>
      </c>
      <c r="IW94" s="1340">
        <f>IW46/IW10</f>
        <v/>
      </c>
      <c r="IX94" s="1340">
        <f>IX46/IX10</f>
        <v/>
      </c>
      <c r="IY94" s="1340">
        <f>IY46/IY10</f>
        <v/>
      </c>
      <c r="IZ94" s="1340">
        <f>IZ46/IZ10</f>
        <v/>
      </c>
      <c r="JA94" s="1340">
        <f>JA46/JA10</f>
        <v/>
      </c>
      <c r="JB94" s="1340">
        <f>JB46/JB10</f>
        <v/>
      </c>
      <c r="JC94" s="1340">
        <f>JC46/JC10</f>
        <v/>
      </c>
      <c r="JD94" s="1340">
        <f>JD46/JD10</f>
        <v/>
      </c>
      <c r="JE94" s="1340">
        <f>JE46/JE10</f>
        <v/>
      </c>
      <c r="JF94" s="1340">
        <f>JF46/JF10</f>
        <v/>
      </c>
      <c r="JG94" s="1340">
        <f>JG46/JG10</f>
        <v/>
      </c>
      <c r="JH94" s="1340">
        <f>JH46/JH10</f>
        <v/>
      </c>
      <c r="JI94" s="1340">
        <f>JI46/JI10</f>
        <v/>
      </c>
      <c r="JJ94" s="1340">
        <f>JJ46/JJ10</f>
        <v/>
      </c>
      <c r="JK94" s="1340">
        <f>JK46/JK10</f>
        <v/>
      </c>
      <c r="JL94" s="1340">
        <f>JL46/JL10</f>
        <v/>
      </c>
      <c r="JM94" s="1340">
        <f>JM46/JM10</f>
        <v/>
      </c>
      <c r="JN94" s="1340">
        <f>JN46/JN10</f>
        <v/>
      </c>
      <c r="JO94" s="1340">
        <f>JO46/JO10</f>
        <v/>
      </c>
      <c r="JP94" s="1340">
        <f>JP46/JP10</f>
        <v/>
      </c>
      <c r="JQ94" s="1340">
        <f>JQ46/JQ10</f>
        <v/>
      </c>
      <c r="JR94" s="1340">
        <f>JR46/JR10</f>
        <v/>
      </c>
      <c r="JS94" s="1340">
        <f>JS46/JS10</f>
        <v/>
      </c>
      <c r="JT94" s="1340">
        <f>JT46/JT10</f>
        <v/>
      </c>
      <c r="JU94" s="1340">
        <f>JU46/JU10</f>
        <v/>
      </c>
      <c r="JV94" s="1340">
        <f>JV46/JV10</f>
        <v/>
      </c>
      <c r="JW94" s="1340">
        <f>JW46/JW10</f>
        <v/>
      </c>
      <c r="JX94" s="1340">
        <f>JX46/JX10</f>
        <v/>
      </c>
      <c r="JY94" s="1340">
        <f>JY46/JY10</f>
        <v/>
      </c>
      <c r="JZ94" s="1340">
        <f>JZ46/JZ10</f>
        <v/>
      </c>
      <c r="KA94" s="1340">
        <f>KA46/KA10</f>
        <v/>
      </c>
      <c r="KB94" s="1340">
        <f>KB46/KB10</f>
        <v/>
      </c>
      <c r="KC94" s="1340">
        <f>KC46/KC10</f>
        <v/>
      </c>
      <c r="KD94" s="1340">
        <f>KD46/KD10</f>
        <v/>
      </c>
      <c r="KE94" s="1340">
        <f>KE46/KE10</f>
        <v/>
      </c>
      <c r="KF94" s="1340">
        <f>KF46/KF10</f>
        <v/>
      </c>
      <c r="KG94" s="1340">
        <f>KG46/KG10</f>
        <v/>
      </c>
      <c r="KH94" s="1340">
        <f>KH46/KH10</f>
        <v/>
      </c>
      <c r="KI94" s="1340">
        <f>KI46/KI10</f>
        <v/>
      </c>
      <c r="KJ94" s="1340">
        <f>KJ46/KJ10</f>
        <v/>
      </c>
      <c r="KK94" s="1340">
        <f>KK46/KK10</f>
        <v/>
      </c>
      <c r="KL94" s="1340">
        <f>KL46/KL10</f>
        <v/>
      </c>
      <c r="KM94" s="1340">
        <f>KM46/KM10</f>
        <v/>
      </c>
      <c r="KN94" s="1340">
        <f>KN46/KN10</f>
        <v/>
      </c>
      <c r="KO94" s="1340">
        <f>KO46/KO10</f>
        <v/>
      </c>
      <c r="KP94" s="1340">
        <f>KP46/KP10</f>
        <v/>
      </c>
      <c r="KQ94" s="1340">
        <f>KQ46/KQ10</f>
        <v/>
      </c>
      <c r="KR94" s="1340">
        <f>KR46/KR10</f>
        <v/>
      </c>
      <c r="KS94" s="1340">
        <f>KS46/KS10</f>
        <v/>
      </c>
      <c r="KT94" s="1340">
        <f>KT46/KT10</f>
        <v/>
      </c>
      <c r="KU94" s="1340">
        <f>KU46/KU10</f>
        <v/>
      </c>
      <c r="KV94" s="1340">
        <f>KV46/KV10</f>
        <v/>
      </c>
      <c r="KW94" s="1340">
        <f>KW46/KW10</f>
        <v/>
      </c>
      <c r="KX94" s="1340">
        <f>KX46/KX10</f>
        <v/>
      </c>
      <c r="KY94" s="1340">
        <f>KY46/KY10</f>
        <v/>
      </c>
      <c r="KZ94" s="1340">
        <f>KZ46/KZ10</f>
        <v/>
      </c>
      <c r="LA94" s="1340">
        <f>LA46/LA10</f>
        <v/>
      </c>
      <c r="LB94" s="1340">
        <f>LB46/LB10</f>
        <v/>
      </c>
      <c r="LC94" s="1340">
        <f>LC46/LC10</f>
        <v/>
      </c>
      <c r="LD94" s="1340">
        <f>LD46/LD10</f>
        <v/>
      </c>
      <c r="LE94" s="1340">
        <f>LE46/LE10</f>
        <v/>
      </c>
      <c r="LF94" s="1340">
        <f>LF46/LF10</f>
        <v/>
      </c>
      <c r="LG94" s="1340">
        <f>LG46/LG10</f>
        <v/>
      </c>
      <c r="LH94" s="1340">
        <f>LH46/LH10</f>
        <v/>
      </c>
      <c r="LI94" s="1340">
        <f>LI46/LI10</f>
        <v/>
      </c>
      <c r="LJ94" s="1340">
        <f>LJ46/LJ10</f>
        <v/>
      </c>
      <c r="LK94" s="1340">
        <f>LK46/LK10</f>
        <v/>
      </c>
      <c r="LL94" s="1340">
        <f>LL46/LL10</f>
        <v/>
      </c>
      <c r="LM94" s="1340">
        <f>LM46/LM10</f>
        <v/>
      </c>
      <c r="LN94" s="1340">
        <f>LN46/LN10</f>
        <v/>
      </c>
      <c r="LO94" s="1340">
        <f>LO46/LO10</f>
        <v/>
      </c>
      <c r="LP94" s="1340">
        <f>LP46/LP10</f>
        <v/>
      </c>
      <c r="LQ94" s="1340">
        <f>LQ46/LQ10</f>
        <v/>
      </c>
      <c r="LR94" s="1340">
        <f>LR46/LR10</f>
        <v/>
      </c>
      <c r="LS94" s="1340">
        <f>LS46/LS10</f>
        <v/>
      </c>
    </row>
    <row r="95">
      <c r="A95" s="885" t="inlineStr">
        <is>
          <t>m cg %</t>
        </is>
      </c>
      <c r="B95" s="1318" t="n"/>
      <c r="C95" s="1318">
        <f>C94-B94</f>
        <v/>
      </c>
      <c r="D95" s="1318">
        <f>D94-C94</f>
        <v/>
      </c>
      <c r="E95" s="1318">
        <f>E94-D94</f>
        <v/>
      </c>
      <c r="F95" s="1318">
        <f>F94-E94</f>
        <v/>
      </c>
      <c r="G95" s="1318">
        <f>G94-F94</f>
        <v/>
      </c>
      <c r="H95" s="1318">
        <f>H94-G94</f>
        <v/>
      </c>
      <c r="I95" s="1318">
        <f>I94-H94</f>
        <v/>
      </c>
      <c r="J95" s="1318">
        <f>J94-I94</f>
        <v/>
      </c>
      <c r="K95" s="1318">
        <f>K94-J94</f>
        <v/>
      </c>
      <c r="L95" s="1318">
        <f>L94-K94</f>
        <v/>
      </c>
      <c r="M95" s="1318">
        <f>M94-L94</f>
        <v/>
      </c>
      <c r="N95" s="1318">
        <f>N94-M94</f>
        <v/>
      </c>
      <c r="O95" s="1318">
        <f>O94-N94</f>
        <v/>
      </c>
      <c r="P95" s="1318">
        <f>P94-O94</f>
        <v/>
      </c>
      <c r="Q95" s="1318">
        <f>Q94-P94</f>
        <v/>
      </c>
      <c r="R95" s="1318">
        <f>R94-Q94</f>
        <v/>
      </c>
      <c r="S95" s="1318">
        <f>S94-R94</f>
        <v/>
      </c>
      <c r="T95" s="1318">
        <f>T94-S94</f>
        <v/>
      </c>
      <c r="U95" s="1318">
        <f>U94-T94</f>
        <v/>
      </c>
      <c r="V95" s="1318">
        <f>V94-U94</f>
        <v/>
      </c>
      <c r="W95" s="1318">
        <f>W94-V94</f>
        <v/>
      </c>
      <c r="X95" s="1318">
        <f>X94-W94</f>
        <v/>
      </c>
      <c r="Y95" s="1318">
        <f>Y94-X94</f>
        <v/>
      </c>
      <c r="Z95" s="1318">
        <f>Z94-Y94</f>
        <v/>
      </c>
      <c r="AA95" s="1318">
        <f>AA94-Z94</f>
        <v/>
      </c>
      <c r="AB95" s="1318">
        <f>AB94-AA94</f>
        <v/>
      </c>
      <c r="AC95" s="1318">
        <f>AC94-AB94</f>
        <v/>
      </c>
      <c r="AD95" s="1318">
        <f>AD94-AC94</f>
        <v/>
      </c>
      <c r="AE95" s="1318">
        <f>AE94-AD94</f>
        <v/>
      </c>
      <c r="AF95" s="1318">
        <f>AF94-AE94</f>
        <v/>
      </c>
      <c r="AG95" s="1318">
        <f>AG94-AF94</f>
        <v/>
      </c>
      <c r="AH95" s="1318">
        <f>AH94-AG94</f>
        <v/>
      </c>
      <c r="AI95" s="1318">
        <f>AI94-AH94</f>
        <v/>
      </c>
      <c r="AJ95" s="1318">
        <f>AJ94-AI94</f>
        <v/>
      </c>
      <c r="AK95" s="1318">
        <f>AK94-AJ94</f>
        <v/>
      </c>
      <c r="AL95" s="1318">
        <f>AL94-AK94</f>
        <v/>
      </c>
      <c r="AM95" s="1318">
        <f>AM94-AL94</f>
        <v/>
      </c>
      <c r="AN95" s="1318">
        <f>AN94-AM94</f>
        <v/>
      </c>
      <c r="AO95" s="1318">
        <f>AO94-AN94</f>
        <v/>
      </c>
      <c r="AP95" s="1318">
        <f>AP94-AO94</f>
        <v/>
      </c>
      <c r="AQ95" s="1318">
        <f>AQ94-AP94</f>
        <v/>
      </c>
      <c r="AR95" s="1318">
        <f>AR94-AQ94</f>
        <v/>
      </c>
      <c r="AS95" s="1318">
        <f>AS94-AR94</f>
        <v/>
      </c>
      <c r="AT95" s="1318">
        <f>AT94-AS94</f>
        <v/>
      </c>
      <c r="AU95" s="1318">
        <f>AU94-AT94</f>
        <v/>
      </c>
      <c r="AV95" s="1318">
        <f>AV94-AU94</f>
        <v/>
      </c>
      <c r="AW95" s="1318">
        <f>AW94-AV94</f>
        <v/>
      </c>
      <c r="AX95" s="1318">
        <f>AX94-AW94</f>
        <v/>
      </c>
      <c r="AY95" s="1318">
        <f>AY94-AX94</f>
        <v/>
      </c>
      <c r="AZ95" s="1318">
        <f>AZ94-AY94</f>
        <v/>
      </c>
      <c r="BA95" s="1318">
        <f>BA94-AZ94</f>
        <v/>
      </c>
      <c r="BB95" s="1318">
        <f>BB94-BA94</f>
        <v/>
      </c>
      <c r="BC95" s="1318">
        <f>BC94-BB94</f>
        <v/>
      </c>
      <c r="BD95" s="1318">
        <f>BD94-BC94</f>
        <v/>
      </c>
      <c r="BE95" s="1318">
        <f>BE94-BD94</f>
        <v/>
      </c>
      <c r="BF95" s="1318">
        <f>BF94-BE94</f>
        <v/>
      </c>
      <c r="BG95" s="1318">
        <f>BG94-BF94</f>
        <v/>
      </c>
      <c r="BH95" s="1318">
        <f>BH94-BG94</f>
        <v/>
      </c>
      <c r="BI95" s="1318">
        <f>BI94-BH94</f>
        <v/>
      </c>
      <c r="BJ95" s="1318">
        <f>BJ94-BI94</f>
        <v/>
      </c>
      <c r="BK95" s="1318">
        <f>BK94-BJ94</f>
        <v/>
      </c>
      <c r="BL95" s="1318">
        <f>BL94-BK94</f>
        <v/>
      </c>
      <c r="BM95" s="1318">
        <f>BM94-BL94</f>
        <v/>
      </c>
      <c r="BN95" s="1318">
        <f>BN94-BM94</f>
        <v/>
      </c>
      <c r="BO95" s="1318">
        <f>BO94-BN94</f>
        <v/>
      </c>
      <c r="BP95" s="1318">
        <f>BP94-BO94</f>
        <v/>
      </c>
      <c r="BQ95" s="1318">
        <f>BQ94-BP94</f>
        <v/>
      </c>
      <c r="BR95" s="1318">
        <f>BR94-BQ94</f>
        <v/>
      </c>
      <c r="BS95" s="1318">
        <f>BS94-BR94</f>
        <v/>
      </c>
      <c r="BT95" s="1318">
        <f>BT94-BS94</f>
        <v/>
      </c>
      <c r="BU95" s="1318">
        <f>BU94-BT94</f>
        <v/>
      </c>
      <c r="BV95" s="1318">
        <f>BV94-BU94</f>
        <v/>
      </c>
      <c r="BW95" s="1318">
        <f>BW94-BV94</f>
        <v/>
      </c>
      <c r="BX95" s="1318">
        <f>BX94-BW94</f>
        <v/>
      </c>
      <c r="BY95" s="1318">
        <f>BY94-BX94</f>
        <v/>
      </c>
      <c r="BZ95" s="1318">
        <f>BZ94-BY94</f>
        <v/>
      </c>
      <c r="CA95" s="1318">
        <f>CA94-BZ94</f>
        <v/>
      </c>
      <c r="CB95" s="1318">
        <f>CB94-CA94</f>
        <v/>
      </c>
      <c r="CC95" s="1318">
        <f>CC94-CB94</f>
        <v/>
      </c>
      <c r="CD95" s="1318">
        <f>CD94-CC94</f>
        <v/>
      </c>
      <c r="CE95" s="1318">
        <f>CE94-CD94</f>
        <v/>
      </c>
      <c r="CF95" s="1318">
        <f>CF94-CE94</f>
        <v/>
      </c>
      <c r="CG95" s="1318">
        <f>CG94-CF94</f>
        <v/>
      </c>
      <c r="CH95" s="1318">
        <f>CH94-CG94</f>
        <v/>
      </c>
      <c r="CI95" s="1318">
        <f>CI94-CH94</f>
        <v/>
      </c>
      <c r="CJ95" s="1318">
        <f>CJ94-CI94</f>
        <v/>
      </c>
      <c r="CK95" s="1318">
        <f>CK94-CJ94</f>
        <v/>
      </c>
      <c r="CL95" s="1318">
        <f>CL94-CK94</f>
        <v/>
      </c>
      <c r="CM95" s="1318">
        <f>CM94-CL94</f>
        <v/>
      </c>
      <c r="CN95" s="1318">
        <f>CN94-CM94</f>
        <v/>
      </c>
      <c r="CO95" s="1318">
        <f>CO94-CN94</f>
        <v/>
      </c>
      <c r="CP95" s="1318">
        <f>CP94-CO94</f>
        <v/>
      </c>
      <c r="CQ95" s="1318">
        <f>CQ94-CP94</f>
        <v/>
      </c>
      <c r="CR95" s="1318">
        <f>CR94-CQ94</f>
        <v/>
      </c>
      <c r="CS95" s="1318">
        <f>CS94-CR94</f>
        <v/>
      </c>
      <c r="CT95" s="1318">
        <f>CT94-CS94</f>
        <v/>
      </c>
      <c r="CU95" s="1318">
        <f>CU94-CT94</f>
        <v/>
      </c>
      <c r="CV95" s="1318">
        <f>CV94-CU94</f>
        <v/>
      </c>
      <c r="CW95" s="1318">
        <f>CW94-CV94</f>
        <v/>
      </c>
      <c r="CX95" s="1318">
        <f>CX94-CW94</f>
        <v/>
      </c>
      <c r="CY95" s="1318">
        <f>CY94-CX94</f>
        <v/>
      </c>
      <c r="CZ95" s="1318">
        <f>CZ94-CY94</f>
        <v/>
      </c>
      <c r="DA95" s="1318">
        <f>DA94-CZ94</f>
        <v/>
      </c>
      <c r="DB95" s="1318">
        <f>DB94-DA94</f>
        <v/>
      </c>
      <c r="DC95" s="1318">
        <f>DC94-DB94</f>
        <v/>
      </c>
      <c r="DD95" s="1318">
        <f>DD94-DC94</f>
        <v/>
      </c>
      <c r="DE95" s="1318">
        <f>DE94-DD94</f>
        <v/>
      </c>
      <c r="DF95" s="1318">
        <f>DF94-DE94</f>
        <v/>
      </c>
      <c r="DG95" s="1318">
        <f>DG94-DF94</f>
        <v/>
      </c>
      <c r="DH95" s="1318">
        <f>DH94-DG94</f>
        <v/>
      </c>
      <c r="DI95" s="1318">
        <f>DI94-DH94</f>
        <v/>
      </c>
      <c r="DJ95" s="1318">
        <f>DJ94-DI94</f>
        <v/>
      </c>
      <c r="DK95" s="1318">
        <f>DK94-DJ94</f>
        <v/>
      </c>
      <c r="DL95" s="1318">
        <f>DL94-DK94</f>
        <v/>
      </c>
      <c r="DM95" s="1318">
        <f>DM94-DL94</f>
        <v/>
      </c>
      <c r="DN95" s="1318">
        <f>DN94-DM94</f>
        <v/>
      </c>
      <c r="DO95" s="1318">
        <f>DO94-DN94</f>
        <v/>
      </c>
      <c r="DP95" s="1318">
        <f>DP94-DO94</f>
        <v/>
      </c>
      <c r="DQ95" s="1318">
        <f>DQ94-DP94</f>
        <v/>
      </c>
      <c r="DR95" s="1318">
        <f>DR94-DQ94</f>
        <v/>
      </c>
      <c r="DS95" s="1318">
        <f>DS94-DR94</f>
        <v/>
      </c>
      <c r="DT95" s="1318">
        <f>DT94-DS94</f>
        <v/>
      </c>
      <c r="DU95" s="1318">
        <f>DU94-DT94</f>
        <v/>
      </c>
      <c r="DV95" s="1318">
        <f>DV94-DU94</f>
        <v/>
      </c>
      <c r="DW95" s="1318">
        <f>DW94-DV94</f>
        <v/>
      </c>
      <c r="DX95" s="1318">
        <f>DX94-DW94</f>
        <v/>
      </c>
      <c r="DY95" s="1318">
        <f>DY94-DX94</f>
        <v/>
      </c>
      <c r="DZ95" s="1318">
        <f>DZ94-DY94</f>
        <v/>
      </c>
      <c r="EA95" s="1318">
        <f>EA94-DZ94</f>
        <v/>
      </c>
      <c r="EB95" s="1318">
        <f>EB94-EA94</f>
        <v/>
      </c>
      <c r="EC95" s="1318">
        <f>EC94-EB94</f>
        <v/>
      </c>
      <c r="ED95" s="1318">
        <f>ED94-EC94</f>
        <v/>
      </c>
      <c r="EE95" s="1318">
        <f>EE94-ED94</f>
        <v/>
      </c>
      <c r="EF95" s="1318">
        <f>EF94-EE94</f>
        <v/>
      </c>
      <c r="EG95" s="1318">
        <f>EG94-EF94</f>
        <v/>
      </c>
      <c r="EH95" s="1318">
        <f>EH94-EG94</f>
        <v/>
      </c>
      <c r="EI95" s="1318">
        <f>EI94-EH94</f>
        <v/>
      </c>
      <c r="EJ95" s="1318">
        <f>EJ94-EI94</f>
        <v/>
      </c>
      <c r="EK95" s="1318">
        <f>EK94-EJ94</f>
        <v/>
      </c>
      <c r="EL95" s="1318">
        <f>EL94-EK94</f>
        <v/>
      </c>
      <c r="EM95" s="1318">
        <f>EM94-EL94</f>
        <v/>
      </c>
      <c r="EN95" s="1318">
        <f>EN94-EM94</f>
        <v/>
      </c>
      <c r="EO95" s="1318">
        <f>EO94-EN94</f>
        <v/>
      </c>
      <c r="EP95" s="1318">
        <f>EP94-EO94</f>
        <v/>
      </c>
      <c r="EQ95" s="1318">
        <f>EQ94-EP94</f>
        <v/>
      </c>
      <c r="ER95" s="1318">
        <f>ER94-EQ94</f>
        <v/>
      </c>
      <c r="ES95" s="1318">
        <f>ES94-ER94</f>
        <v/>
      </c>
      <c r="ET95" s="1318">
        <f>ET94-ES94</f>
        <v/>
      </c>
      <c r="EU95" s="1318">
        <f>EU94-ET94</f>
        <v/>
      </c>
      <c r="EV95" s="1318">
        <f>EV94-EU94</f>
        <v/>
      </c>
      <c r="EW95" s="1318">
        <f>EW94-EV94</f>
        <v/>
      </c>
      <c r="EX95" s="1318">
        <f>EX94-EW94</f>
        <v/>
      </c>
      <c r="EY95" s="1318">
        <f>EY94-EX94</f>
        <v/>
      </c>
      <c r="EZ95" s="1318">
        <f>EZ94-EY94</f>
        <v/>
      </c>
      <c r="FA95" s="1318">
        <f>FA94-EZ94</f>
        <v/>
      </c>
      <c r="FB95" s="1318">
        <f>FB94-FA94</f>
        <v/>
      </c>
      <c r="FC95" s="1318">
        <f>FC94-FB94</f>
        <v/>
      </c>
      <c r="FD95" s="1318">
        <f>FD94-FC94</f>
        <v/>
      </c>
      <c r="FE95" s="1318">
        <f>FE94-FD94</f>
        <v/>
      </c>
      <c r="FF95" s="1318">
        <f>FF94-FE94</f>
        <v/>
      </c>
      <c r="FG95" s="1318">
        <f>FG94-FF94</f>
        <v/>
      </c>
      <c r="FH95" s="1318">
        <f>FH94-FG94</f>
        <v/>
      </c>
      <c r="FI95" s="1318">
        <f>FI94-FH94</f>
        <v/>
      </c>
      <c r="FJ95" s="1318">
        <f>FJ94-FI94</f>
        <v/>
      </c>
      <c r="FK95" s="1318">
        <f>FK94-FJ94</f>
        <v/>
      </c>
      <c r="FL95" s="1318">
        <f>FL94-FK94</f>
        <v/>
      </c>
      <c r="FM95" s="1318">
        <f>FM94-FL94</f>
        <v/>
      </c>
      <c r="FN95" s="1318">
        <f>FN94-FM94</f>
        <v/>
      </c>
      <c r="FO95" s="1318">
        <f>FO94-FN94</f>
        <v/>
      </c>
      <c r="FP95" s="1318">
        <f>FP94-FO94</f>
        <v/>
      </c>
      <c r="FQ95" s="1318">
        <f>FQ94-FP94</f>
        <v/>
      </c>
      <c r="FR95" s="1318">
        <f>FR94-FQ94</f>
        <v/>
      </c>
      <c r="FS95" s="1318">
        <f>FS94-FR94</f>
        <v/>
      </c>
      <c r="FT95" s="1318">
        <f>FT94-FS94</f>
        <v/>
      </c>
      <c r="FU95" s="1318">
        <f>FU94-FT94</f>
        <v/>
      </c>
      <c r="FV95" s="1318">
        <f>FV94-FU94</f>
        <v/>
      </c>
      <c r="FW95" s="1318">
        <f>FW94-FV94</f>
        <v/>
      </c>
      <c r="FX95" s="1318">
        <f>FX94-FW94</f>
        <v/>
      </c>
      <c r="FY95" s="1318">
        <f>FY94-FX94</f>
        <v/>
      </c>
      <c r="FZ95" s="1318">
        <f>FZ94-FY94</f>
        <v/>
      </c>
      <c r="GA95" s="1318">
        <f>GA94-FZ94</f>
        <v/>
      </c>
      <c r="GB95" s="1318">
        <f>GB94-GA94</f>
        <v/>
      </c>
      <c r="GC95" s="1318">
        <f>GC94-GB94</f>
        <v/>
      </c>
      <c r="GD95" s="1318">
        <f>GD94-GC94</f>
        <v/>
      </c>
      <c r="GE95" s="1318">
        <f>GE94-GD94</f>
        <v/>
      </c>
      <c r="GF95" s="1318">
        <f>GF94-GE94</f>
        <v/>
      </c>
      <c r="GG95" s="1318">
        <f>GG94-GF94</f>
        <v/>
      </c>
      <c r="GH95" s="1318">
        <f>GH94-GG94</f>
        <v/>
      </c>
      <c r="GI95" s="1318">
        <f>GI94-GH94</f>
        <v/>
      </c>
      <c r="GJ95" s="1318">
        <f>GJ94-GI94</f>
        <v/>
      </c>
      <c r="GK95" s="1318">
        <f>GK94-GJ94</f>
        <v/>
      </c>
      <c r="GL95" s="1318">
        <f>GL94-GK94</f>
        <v/>
      </c>
      <c r="GM95" s="1318">
        <f>GM94-GL94</f>
        <v/>
      </c>
      <c r="GN95" s="1318">
        <f>GN94-GM94</f>
        <v/>
      </c>
      <c r="GO95" s="1318">
        <f>GO94-GN94</f>
        <v/>
      </c>
      <c r="GP95" s="1318">
        <f>GP94-GO94</f>
        <v/>
      </c>
      <c r="GQ95" s="1318">
        <f>GQ94-GP94</f>
        <v/>
      </c>
      <c r="GR95" s="1318">
        <f>GR94-GQ94</f>
        <v/>
      </c>
      <c r="GS95" s="1318">
        <f>GS94-GR94</f>
        <v/>
      </c>
      <c r="GT95" s="1318">
        <f>GT94-GS94</f>
        <v/>
      </c>
      <c r="GU95" s="1318">
        <f>GU94-GT94</f>
        <v/>
      </c>
      <c r="GV95" s="1318">
        <f>GV94-GU94</f>
        <v/>
      </c>
      <c r="GW95" s="1318">
        <f>GW94-GV94</f>
        <v/>
      </c>
      <c r="GX95" s="1318">
        <f>GX94-GW94</f>
        <v/>
      </c>
      <c r="GY95" s="1318">
        <f>GY94-GX94</f>
        <v/>
      </c>
      <c r="GZ95" s="1318">
        <f>GZ94-GY94</f>
        <v/>
      </c>
      <c r="HA95" s="1318">
        <f>HA94-GZ94</f>
        <v/>
      </c>
      <c r="HB95" s="1318">
        <f>HB94-HA94</f>
        <v/>
      </c>
      <c r="HC95" s="1318">
        <f>HC94-HB94</f>
        <v/>
      </c>
      <c r="HD95" s="1318">
        <f>HD94-HC94</f>
        <v/>
      </c>
      <c r="HE95" s="1318">
        <f>HE94-HD94</f>
        <v/>
      </c>
      <c r="HF95" s="1318">
        <f>HF94-HE94</f>
        <v/>
      </c>
      <c r="HG95" s="1318">
        <f>HG94-HF94</f>
        <v/>
      </c>
      <c r="HH95" s="1318">
        <f>HH94-HG94</f>
        <v/>
      </c>
      <c r="HI95" s="1318">
        <f>HI94-HH94</f>
        <v/>
      </c>
      <c r="HJ95" s="1318">
        <f>HJ94-HI94</f>
        <v/>
      </c>
      <c r="HK95" s="1318">
        <f>HK94-HJ94</f>
        <v/>
      </c>
      <c r="HL95" s="1318">
        <f>HL94-HK94</f>
        <v/>
      </c>
      <c r="HM95" s="1318">
        <f>HM94-HL94</f>
        <v/>
      </c>
      <c r="HN95" s="1318">
        <f>HN94-HM94</f>
        <v/>
      </c>
      <c r="HO95" s="1318">
        <f>HO94-HN94</f>
        <v/>
      </c>
      <c r="HP95" s="1318">
        <f>HP94-HO94</f>
        <v/>
      </c>
      <c r="HQ95" s="1318">
        <f>HQ94-HP94</f>
        <v/>
      </c>
      <c r="HR95" s="1318">
        <f>HR94-HQ94</f>
        <v/>
      </c>
      <c r="HS95" s="1318">
        <f>HS94-HR94</f>
        <v/>
      </c>
      <c r="HT95" s="1318">
        <f>HT94-HS94</f>
        <v/>
      </c>
      <c r="HU95" s="1318">
        <f>HU94-HT94</f>
        <v/>
      </c>
      <c r="HV95" s="1318">
        <f>HV94-HU94</f>
        <v/>
      </c>
      <c r="HW95" s="1318">
        <f>HW94-HV94</f>
        <v/>
      </c>
      <c r="HX95" s="1318">
        <f>HX94-HW94</f>
        <v/>
      </c>
      <c r="HY95" s="1318">
        <f>HY94-HX94</f>
        <v/>
      </c>
      <c r="HZ95" s="1318">
        <f>HZ94-HY94</f>
        <v/>
      </c>
      <c r="IA95" s="1318">
        <f>IA94-HZ94</f>
        <v/>
      </c>
      <c r="IB95" s="1318">
        <f>IB94-IA94</f>
        <v/>
      </c>
      <c r="IC95" s="1318">
        <f>IC94-IB94</f>
        <v/>
      </c>
      <c r="ID95" s="1318">
        <f>ID94-IC94</f>
        <v/>
      </c>
      <c r="IE95" s="1318">
        <f>IE94-ID94</f>
        <v/>
      </c>
      <c r="IF95" s="1318">
        <f>IF94-IE94</f>
        <v/>
      </c>
      <c r="IG95" s="1318">
        <f>IG94-IF94</f>
        <v/>
      </c>
      <c r="IH95" s="1318">
        <f>IH94-IG94</f>
        <v/>
      </c>
      <c r="II95" s="1318">
        <f>II94-IH94</f>
        <v/>
      </c>
      <c r="IJ95" s="1318">
        <f>IJ94-II94</f>
        <v/>
      </c>
      <c r="IK95" s="1318">
        <f>IK94-IJ94</f>
        <v/>
      </c>
      <c r="IL95" s="1318">
        <f>IL94-IK94</f>
        <v/>
      </c>
      <c r="IM95" s="1318">
        <f>IM94-IL94</f>
        <v/>
      </c>
      <c r="IN95" s="1318">
        <f>IN94-IM94</f>
        <v/>
      </c>
      <c r="IO95" s="1318">
        <f>IO94-IN94</f>
        <v/>
      </c>
      <c r="IP95" s="1318">
        <f>IP94-IO94</f>
        <v/>
      </c>
      <c r="IQ95" s="1318">
        <f>IQ94-IP94</f>
        <v/>
      </c>
      <c r="IR95" s="1318">
        <f>IR94-IQ94</f>
        <v/>
      </c>
      <c r="IS95" s="1318">
        <f>IS94-IR94</f>
        <v/>
      </c>
      <c r="IT95" s="1318">
        <f>IT94-IS94</f>
        <v/>
      </c>
      <c r="IU95" s="1318">
        <f>IU94-IT94</f>
        <v/>
      </c>
      <c r="IV95" s="1318">
        <f>IV94-IU94</f>
        <v/>
      </c>
      <c r="IW95" s="1318">
        <f>IW94-IV94</f>
        <v/>
      </c>
      <c r="IX95" s="1318">
        <f>IX94-IW94</f>
        <v/>
      </c>
      <c r="IY95" s="1318">
        <f>IY94-IX94</f>
        <v/>
      </c>
      <c r="IZ95" s="1318">
        <f>IZ94-IY94</f>
        <v/>
      </c>
      <c r="JA95" s="1318">
        <f>JA94-IZ94</f>
        <v/>
      </c>
      <c r="JB95" s="1318">
        <f>JB94-JA94</f>
        <v/>
      </c>
      <c r="JC95" s="1318">
        <f>JC94-JB94</f>
        <v/>
      </c>
      <c r="JD95" s="1318">
        <f>JD94-JC94</f>
        <v/>
      </c>
      <c r="JE95" s="1318">
        <f>JE94-JD94</f>
        <v/>
      </c>
      <c r="JF95" s="1318">
        <f>JF94-JE94</f>
        <v/>
      </c>
      <c r="JG95" s="1318">
        <f>JG94-JF94</f>
        <v/>
      </c>
      <c r="JH95" s="1318">
        <f>JH94-JG94</f>
        <v/>
      </c>
      <c r="JI95" s="1318">
        <f>JI94-JH94</f>
        <v/>
      </c>
      <c r="JJ95" s="1318">
        <f>JJ94-JI94</f>
        <v/>
      </c>
      <c r="JK95" s="1318">
        <f>JK94-JJ94</f>
        <v/>
      </c>
      <c r="JL95" s="1318">
        <f>JL94-JK94</f>
        <v/>
      </c>
      <c r="JM95" s="1318">
        <f>JM94-JL94</f>
        <v/>
      </c>
      <c r="JN95" s="1318">
        <f>JN94-JM94</f>
        <v/>
      </c>
      <c r="JO95" s="1318">
        <f>JO94-JN94</f>
        <v/>
      </c>
      <c r="JP95" s="1318">
        <f>JP94-JO94</f>
        <v/>
      </c>
      <c r="JQ95" s="1318">
        <f>JQ94-JP94</f>
        <v/>
      </c>
      <c r="JR95" s="1318">
        <f>JR94-JQ94</f>
        <v/>
      </c>
      <c r="JS95" s="1318">
        <f>JS94-JR94</f>
        <v/>
      </c>
      <c r="JT95" s="1318">
        <f>JT94-JS94</f>
        <v/>
      </c>
      <c r="JU95" s="1318">
        <f>JU94-JT94</f>
        <v/>
      </c>
      <c r="JV95" s="1318">
        <f>JV94-JU94</f>
        <v/>
      </c>
      <c r="JW95" s="1318">
        <f>JW94-JV94</f>
        <v/>
      </c>
      <c r="JX95" s="1318">
        <f>JX94-JW94</f>
        <v/>
      </c>
      <c r="JY95" s="1318">
        <f>JY94-JX94</f>
        <v/>
      </c>
      <c r="JZ95" s="1318">
        <f>JZ94-JY94</f>
        <v/>
      </c>
      <c r="KA95" s="1318">
        <f>KA94-JZ94</f>
        <v/>
      </c>
      <c r="KB95" s="1318">
        <f>KB94-KA94</f>
        <v/>
      </c>
      <c r="KC95" s="1318">
        <f>KC94-KB94</f>
        <v/>
      </c>
      <c r="KD95" s="1318">
        <f>KD94-KC94</f>
        <v/>
      </c>
      <c r="KE95" s="1318">
        <f>KE94-KD94</f>
        <v/>
      </c>
      <c r="KF95" s="1318">
        <f>KF94-KE94</f>
        <v/>
      </c>
      <c r="KG95" s="1318">
        <f>KG94-KF94</f>
        <v/>
      </c>
      <c r="KH95" s="1318">
        <f>KH94-KG94</f>
        <v/>
      </c>
      <c r="KI95" s="1318">
        <f>KI94-KH94</f>
        <v/>
      </c>
      <c r="KJ95" s="1318">
        <f>KJ94-KI94</f>
        <v/>
      </c>
      <c r="KK95" s="1318">
        <f>KK94-KJ94</f>
        <v/>
      </c>
      <c r="KL95" s="1318">
        <f>KL94-KK94</f>
        <v/>
      </c>
      <c r="KM95" s="1318">
        <f>KM94-KL94</f>
        <v/>
      </c>
      <c r="KN95" s="1318">
        <f>KN94-KM94</f>
        <v/>
      </c>
      <c r="KO95" s="1318">
        <f>KO94-KN94</f>
        <v/>
      </c>
      <c r="KP95" s="1318">
        <f>KP94-KO94</f>
        <v/>
      </c>
      <c r="KQ95" s="1318">
        <f>KQ94-KP94</f>
        <v/>
      </c>
      <c r="KR95" s="1318">
        <f>KR94-KQ94</f>
        <v/>
      </c>
      <c r="KS95" s="1318">
        <f>KS94-KR94</f>
        <v/>
      </c>
      <c r="KT95" s="1318">
        <f>KT94-KS94</f>
        <v/>
      </c>
      <c r="KU95" s="1318">
        <f>KU94-KT94</f>
        <v/>
      </c>
      <c r="KV95" s="1318">
        <f>KV94-KU94</f>
        <v/>
      </c>
      <c r="KW95" s="1318">
        <f>KW94-KV94</f>
        <v/>
      </c>
      <c r="KX95" s="1318">
        <f>KX94-KW94</f>
        <v/>
      </c>
      <c r="KY95" s="1318">
        <f>KY94-KX94</f>
        <v/>
      </c>
      <c r="KZ95" s="1318">
        <f>KZ94-KY94</f>
        <v/>
      </c>
      <c r="LA95" s="1318">
        <f>LA94-KZ94</f>
        <v/>
      </c>
      <c r="LB95" s="1318">
        <f>LB94-LA94</f>
        <v/>
      </c>
      <c r="LC95" s="1318">
        <f>LC94-LB94</f>
        <v/>
      </c>
      <c r="LD95" s="1318">
        <f>LD94-LC94</f>
        <v/>
      </c>
      <c r="LE95" s="1318">
        <f>LE94-LD94</f>
        <v/>
      </c>
      <c r="LF95" s="1318">
        <f>LF94-LE94</f>
        <v/>
      </c>
      <c r="LG95" s="1318">
        <f>LG94-LF94</f>
        <v/>
      </c>
      <c r="LH95" s="1318">
        <f>LH94-LG94</f>
        <v/>
      </c>
      <c r="LI95" s="1318">
        <f>LI94-LH94</f>
        <v/>
      </c>
      <c r="LJ95" s="1318">
        <f>LJ94-LI94</f>
        <v/>
      </c>
      <c r="LK95" s="1318">
        <f>LK94-LJ94</f>
        <v/>
      </c>
      <c r="LL95" s="1318">
        <f>LL94-LK94</f>
        <v/>
      </c>
      <c r="LM95" s="1318">
        <f>LM94-LL94</f>
        <v/>
      </c>
      <c r="LN95" s="1318">
        <f>LN94-LM94</f>
        <v/>
      </c>
      <c r="LO95" s="1318">
        <f>LO94-LN94</f>
        <v/>
      </c>
      <c r="LP95" s="1318">
        <f>LP94-LO94</f>
        <v/>
      </c>
      <c r="LQ95" s="1318">
        <f>LQ94-LP94</f>
        <v/>
      </c>
      <c r="LR95" s="1318">
        <f>LR94-LQ94</f>
        <v/>
      </c>
      <c r="LS95" s="1318">
        <f>LS94-LR94</f>
        <v/>
      </c>
    </row>
    <row r="96">
      <c r="A96" s="885" t="inlineStr">
        <is>
          <t>YoY pointsCg %</t>
        </is>
      </c>
      <c r="B96" s="1318" t="n"/>
      <c r="C96" s="1318" t="n"/>
      <c r="D96" s="1318" t="n"/>
      <c r="E96" s="1318" t="n"/>
      <c r="F96" s="1318" t="n"/>
      <c r="G96" s="1318" t="n"/>
      <c r="H96" s="1318" t="n"/>
      <c r="I96" s="1318" t="n"/>
      <c r="J96" s="1318" t="n"/>
      <c r="K96" s="1318" t="n"/>
      <c r="L96" s="1318" t="n"/>
      <c r="M96" s="1318" t="n"/>
      <c r="N96" s="1318">
        <f>N94-B94</f>
        <v/>
      </c>
      <c r="O96" s="1318">
        <f>O94-C94</f>
        <v/>
      </c>
      <c r="P96" s="1318">
        <f>P94-D94</f>
        <v/>
      </c>
      <c r="Q96" s="1318">
        <f>Q94-E94</f>
        <v/>
      </c>
      <c r="R96" s="1318">
        <f>R94-F94</f>
        <v/>
      </c>
      <c r="S96" s="1318">
        <f>S94-G94</f>
        <v/>
      </c>
      <c r="T96" s="1318">
        <f>T94-H94</f>
        <v/>
      </c>
      <c r="U96" s="1318">
        <f>U94-I94</f>
        <v/>
      </c>
      <c r="V96" s="1318">
        <f>V94-J94</f>
        <v/>
      </c>
      <c r="W96" s="1318">
        <f>W94-K94</f>
        <v/>
      </c>
      <c r="X96" s="1318">
        <f>X94-L94</f>
        <v/>
      </c>
      <c r="Y96" s="1318">
        <f>Y94-M94</f>
        <v/>
      </c>
      <c r="Z96" s="1318">
        <f>Z94-N94</f>
        <v/>
      </c>
      <c r="AA96" s="1318">
        <f>AA94-O94</f>
        <v/>
      </c>
      <c r="AB96" s="1318">
        <f>AB94-P94</f>
        <v/>
      </c>
      <c r="AC96" s="1318">
        <f>AC94-Q94</f>
        <v/>
      </c>
      <c r="AD96" s="1318">
        <f>AD94-R94</f>
        <v/>
      </c>
      <c r="AE96" s="1318">
        <f>AE94-S94</f>
        <v/>
      </c>
      <c r="AF96" s="1318">
        <f>AF94-T94</f>
        <v/>
      </c>
      <c r="AG96" s="1318">
        <f>AG94-U94</f>
        <v/>
      </c>
      <c r="AH96" s="1318">
        <f>AH94-V94</f>
        <v/>
      </c>
      <c r="AI96" s="1318">
        <f>AI94-W94</f>
        <v/>
      </c>
      <c r="AJ96" s="1318">
        <f>AJ94-X94</f>
        <v/>
      </c>
      <c r="AK96" s="1318">
        <f>AK94-Y94</f>
        <v/>
      </c>
      <c r="AL96" s="1318">
        <f>AL94-Z94</f>
        <v/>
      </c>
      <c r="AM96" s="1318">
        <f>AM94-AA94</f>
        <v/>
      </c>
      <c r="AN96" s="1318">
        <f>AN94-AB94</f>
        <v/>
      </c>
      <c r="AO96" s="1318">
        <f>AO94-AC94</f>
        <v/>
      </c>
      <c r="AP96" s="1318">
        <f>AP94-AD94</f>
        <v/>
      </c>
      <c r="AQ96" s="1318">
        <f>AQ94-AE94</f>
        <v/>
      </c>
      <c r="AR96" s="1318">
        <f>AR94-AF94</f>
        <v/>
      </c>
      <c r="AS96" s="1318">
        <f>AS94-AG94</f>
        <v/>
      </c>
      <c r="AT96" s="1318">
        <f>AT94-AH94</f>
        <v/>
      </c>
      <c r="AU96" s="1318">
        <f>AU94-AI94</f>
        <v/>
      </c>
      <c r="AV96" s="1318">
        <f>AV94-AJ94</f>
        <v/>
      </c>
      <c r="AW96" s="1318">
        <f>AW94-AK94</f>
        <v/>
      </c>
      <c r="AX96" s="1318">
        <f>AX94-AL94</f>
        <v/>
      </c>
      <c r="AY96" s="1318">
        <f>AY94-AM94</f>
        <v/>
      </c>
      <c r="AZ96" s="1318">
        <f>AZ94-AN94</f>
        <v/>
      </c>
      <c r="BA96" s="1318">
        <f>BA94-AO94</f>
        <v/>
      </c>
      <c r="BB96" s="1318">
        <f>BB94-AP94</f>
        <v/>
      </c>
      <c r="BC96" s="1318">
        <f>BC94-AQ94</f>
        <v/>
      </c>
      <c r="BD96" s="1318">
        <f>BD94-AR94</f>
        <v/>
      </c>
      <c r="BE96" s="1318">
        <f>BE94-AS94</f>
        <v/>
      </c>
      <c r="BF96" s="1318">
        <f>BF94-AT94</f>
        <v/>
      </c>
      <c r="BG96" s="1318">
        <f>BG94-AU94</f>
        <v/>
      </c>
      <c r="BH96" s="1318">
        <f>BH94-AV94</f>
        <v/>
      </c>
      <c r="BI96" s="1318">
        <f>BI94-AW94</f>
        <v/>
      </c>
      <c r="BJ96" s="1318">
        <f>BJ94-AX94</f>
        <v/>
      </c>
      <c r="BK96" s="1318">
        <f>BK94-AY94</f>
        <v/>
      </c>
      <c r="BL96" s="1318">
        <f>BL94-AZ94</f>
        <v/>
      </c>
      <c r="BM96" s="1318">
        <f>BM94-BA94</f>
        <v/>
      </c>
      <c r="BN96" s="1318">
        <f>BN94-BB94</f>
        <v/>
      </c>
      <c r="BO96" s="1318">
        <f>BO94-BC94</f>
        <v/>
      </c>
      <c r="BP96" s="1318">
        <f>BP94-BD94</f>
        <v/>
      </c>
      <c r="BQ96" s="1318">
        <f>BQ94-BE94</f>
        <v/>
      </c>
      <c r="BR96" s="1318">
        <f>BR94-BF94</f>
        <v/>
      </c>
      <c r="BS96" s="1318">
        <f>BS94-BG94</f>
        <v/>
      </c>
      <c r="BT96" s="1318">
        <f>BT94-BH94</f>
        <v/>
      </c>
      <c r="BU96" s="1318">
        <f>BU94-BI94</f>
        <v/>
      </c>
      <c r="BV96" s="1318">
        <f>BV94-BJ94</f>
        <v/>
      </c>
      <c r="BW96" s="1318">
        <f>BW94-BK94</f>
        <v/>
      </c>
      <c r="BX96" s="1318">
        <f>BX94-BL94</f>
        <v/>
      </c>
      <c r="BY96" s="1318">
        <f>BY94-BM94</f>
        <v/>
      </c>
      <c r="BZ96" s="1318">
        <f>BZ94-BN94</f>
        <v/>
      </c>
      <c r="CA96" s="1318">
        <f>CA94-BO94</f>
        <v/>
      </c>
      <c r="CB96" s="1318">
        <f>CB94-BP94</f>
        <v/>
      </c>
      <c r="CC96" s="1318">
        <f>CC94-BQ94</f>
        <v/>
      </c>
      <c r="CD96" s="1318">
        <f>CD94-BR94</f>
        <v/>
      </c>
      <c r="CE96" s="1318">
        <f>CE94-BS94</f>
        <v/>
      </c>
      <c r="CF96" s="1318">
        <f>CF94-BT94</f>
        <v/>
      </c>
      <c r="CG96" s="1318">
        <f>CG94-BU94</f>
        <v/>
      </c>
      <c r="CH96" s="1318">
        <f>CH94-BV94</f>
        <v/>
      </c>
      <c r="CI96" s="1318">
        <f>CI94-BW94</f>
        <v/>
      </c>
      <c r="CJ96" s="1318">
        <f>CJ94-BX94</f>
        <v/>
      </c>
      <c r="CK96" s="1318">
        <f>CK94-BY94</f>
        <v/>
      </c>
      <c r="CL96" s="1318">
        <f>CL94-BZ94</f>
        <v/>
      </c>
      <c r="CM96" s="1318">
        <f>CM94-CA94</f>
        <v/>
      </c>
      <c r="CN96" s="1318">
        <f>CN94-CB94</f>
        <v/>
      </c>
      <c r="CO96" s="1318">
        <f>CO94-CC94</f>
        <v/>
      </c>
      <c r="CP96" s="1318">
        <f>CP94-CD94</f>
        <v/>
      </c>
      <c r="CQ96" s="1318">
        <f>CQ94-CE94</f>
        <v/>
      </c>
      <c r="CR96" s="1318">
        <f>CR94-CF94</f>
        <v/>
      </c>
      <c r="CS96" s="1318">
        <f>CS94-CG94</f>
        <v/>
      </c>
      <c r="CT96" s="1318">
        <f>CT94-CH94</f>
        <v/>
      </c>
      <c r="CU96" s="1318">
        <f>CU94-CI94</f>
        <v/>
      </c>
      <c r="CV96" s="1318">
        <f>CV94-CJ94</f>
        <v/>
      </c>
      <c r="CW96" s="1318">
        <f>CW94-CK94</f>
        <v/>
      </c>
      <c r="CX96" s="1318">
        <f>CX94-CL94</f>
        <v/>
      </c>
      <c r="CY96" s="1318">
        <f>CY94-CM94</f>
        <v/>
      </c>
      <c r="CZ96" s="1318">
        <f>CZ94-CN94</f>
        <v/>
      </c>
      <c r="DA96" s="1318">
        <f>DA94-CO94</f>
        <v/>
      </c>
      <c r="DB96" s="1318">
        <f>DB94-CP94</f>
        <v/>
      </c>
      <c r="DC96" s="1318">
        <f>DC94-CQ94</f>
        <v/>
      </c>
      <c r="DD96" s="1318">
        <f>DD94-CR94</f>
        <v/>
      </c>
      <c r="DE96" s="1318">
        <f>DE94-CS94</f>
        <v/>
      </c>
      <c r="DF96" s="1318">
        <f>DF94-CT94</f>
        <v/>
      </c>
      <c r="DG96" s="1318">
        <f>DG94-CU94</f>
        <v/>
      </c>
      <c r="DH96" s="1318">
        <f>DH94-CV94</f>
        <v/>
      </c>
      <c r="DI96" s="1318">
        <f>DI94-CW94</f>
        <v/>
      </c>
      <c r="DJ96" s="1318">
        <f>DJ94-CX94</f>
        <v/>
      </c>
      <c r="DK96" s="1318">
        <f>DK94-CY94</f>
        <v/>
      </c>
      <c r="DL96" s="1318">
        <f>DL94-CZ94</f>
        <v/>
      </c>
      <c r="DM96" s="1318">
        <f>DM94-DA94</f>
        <v/>
      </c>
      <c r="DN96" s="1318">
        <f>DN94-DB94</f>
        <v/>
      </c>
      <c r="DO96" s="1318">
        <f>DO94-DC94</f>
        <v/>
      </c>
      <c r="DP96" s="1318">
        <f>DP94-DD94</f>
        <v/>
      </c>
      <c r="DQ96" s="1318">
        <f>DQ94-DE94</f>
        <v/>
      </c>
      <c r="DR96" s="1318">
        <f>DR94-DF94</f>
        <v/>
      </c>
      <c r="DS96" s="1318">
        <f>DS94-DG94</f>
        <v/>
      </c>
      <c r="DT96" s="1318">
        <f>DT94-DH94</f>
        <v/>
      </c>
      <c r="DU96" s="1318">
        <f>DU94-DI94</f>
        <v/>
      </c>
      <c r="DV96" s="1318">
        <f>DV94-DJ94</f>
        <v/>
      </c>
      <c r="DW96" s="1318">
        <f>DW94-DK94</f>
        <v/>
      </c>
      <c r="DX96" s="1318">
        <f>DX94-DL94</f>
        <v/>
      </c>
      <c r="DY96" s="1318">
        <f>DY94-DM94</f>
        <v/>
      </c>
      <c r="DZ96" s="1318">
        <f>DZ94-DN94</f>
        <v/>
      </c>
      <c r="EA96" s="1318">
        <f>EA94-DO94</f>
        <v/>
      </c>
      <c r="EB96" s="1318">
        <f>EB94-DP94</f>
        <v/>
      </c>
      <c r="EC96" s="1318">
        <f>EC94-DQ94</f>
        <v/>
      </c>
      <c r="ED96" s="1318">
        <f>ED94-DR94</f>
        <v/>
      </c>
      <c r="EE96" s="1318">
        <f>EE94-DS94</f>
        <v/>
      </c>
      <c r="EF96" s="1318">
        <f>EF94-DT94</f>
        <v/>
      </c>
      <c r="EG96" s="1318">
        <f>EG94-DU94</f>
        <v/>
      </c>
      <c r="EH96" s="1318">
        <f>EH94-DV94</f>
        <v/>
      </c>
      <c r="EI96" s="1318">
        <f>EI94-DW94</f>
        <v/>
      </c>
      <c r="EJ96" s="1318">
        <f>EJ94-DX94</f>
        <v/>
      </c>
      <c r="EK96" s="1318">
        <f>EK94-DY94</f>
        <v/>
      </c>
      <c r="EL96" s="1318">
        <f>EL94-DZ94</f>
        <v/>
      </c>
      <c r="EM96" s="1318">
        <f>EM94-EA94</f>
        <v/>
      </c>
      <c r="EN96" s="1318">
        <f>EN94-EB94</f>
        <v/>
      </c>
      <c r="EO96" s="1318">
        <f>EO94-EC94</f>
        <v/>
      </c>
      <c r="EP96" s="1318">
        <f>EP94-ED94</f>
        <v/>
      </c>
      <c r="EQ96" s="1318">
        <f>EQ94-EE94</f>
        <v/>
      </c>
      <c r="ER96" s="1318">
        <f>ER94-EF94</f>
        <v/>
      </c>
      <c r="ES96" s="1318">
        <f>ES94-EG94</f>
        <v/>
      </c>
      <c r="ET96" s="1318">
        <f>ET94-EH94</f>
        <v/>
      </c>
      <c r="EU96" s="1318">
        <f>EU94-EI94</f>
        <v/>
      </c>
      <c r="EV96" s="1318">
        <f>EV94-EJ94</f>
        <v/>
      </c>
      <c r="EW96" s="1318">
        <f>EW94-EK94</f>
        <v/>
      </c>
      <c r="EX96" s="1318">
        <f>EX94-EL94</f>
        <v/>
      </c>
      <c r="EY96" s="1318">
        <f>EY94-EM94</f>
        <v/>
      </c>
      <c r="EZ96" s="1318">
        <f>EZ94-EN94</f>
        <v/>
      </c>
      <c r="FA96" s="1318">
        <f>FA94-EO94</f>
        <v/>
      </c>
      <c r="FB96" s="1318">
        <f>FB94-EP94</f>
        <v/>
      </c>
      <c r="FC96" s="1318">
        <f>FC94-EQ94</f>
        <v/>
      </c>
      <c r="FD96" s="1318">
        <f>FD94-ER94</f>
        <v/>
      </c>
      <c r="FE96" s="1318">
        <f>FE94-ES94</f>
        <v/>
      </c>
      <c r="FF96" s="1318">
        <f>FF94-ET94</f>
        <v/>
      </c>
      <c r="FG96" s="1318">
        <f>FG94-EU94</f>
        <v/>
      </c>
      <c r="FH96" s="1318">
        <f>FH94-EV94</f>
        <v/>
      </c>
      <c r="FI96" s="1318">
        <f>FI94-EW94</f>
        <v/>
      </c>
      <c r="FJ96" s="1318">
        <f>FJ94-EX94</f>
        <v/>
      </c>
      <c r="FK96" s="1318">
        <f>FK94-EY94</f>
        <v/>
      </c>
      <c r="FL96" s="1318">
        <f>FL94-EZ94</f>
        <v/>
      </c>
      <c r="FM96" s="1318">
        <f>FM94-FA94</f>
        <v/>
      </c>
      <c r="FN96" s="1318">
        <f>FN94-FB94</f>
        <v/>
      </c>
      <c r="FO96" s="1318">
        <f>FO94-FC94</f>
        <v/>
      </c>
      <c r="FP96" s="1318">
        <f>FP94-FD94</f>
        <v/>
      </c>
      <c r="FQ96" s="1318">
        <f>FQ94-FE94</f>
        <v/>
      </c>
      <c r="FR96" s="1318">
        <f>FR94-FF94</f>
        <v/>
      </c>
      <c r="FS96" s="1318">
        <f>FS94-FG94</f>
        <v/>
      </c>
      <c r="FT96" s="1318">
        <f>FT94-FH94</f>
        <v/>
      </c>
      <c r="FU96" s="1318">
        <f>FU94-FI94</f>
        <v/>
      </c>
      <c r="FV96" s="1318">
        <f>FV94-FJ94</f>
        <v/>
      </c>
      <c r="FW96" s="1318">
        <f>FW94-FK94</f>
        <v/>
      </c>
      <c r="FX96" s="1318">
        <f>FX94-FL94</f>
        <v/>
      </c>
      <c r="FY96" s="1318">
        <f>FY94-FM94</f>
        <v/>
      </c>
      <c r="FZ96" s="1318">
        <f>FZ94-FN94</f>
        <v/>
      </c>
      <c r="GA96" s="1318">
        <f>GA94-FO94</f>
        <v/>
      </c>
      <c r="GB96" s="1318">
        <f>GB94-FP94</f>
        <v/>
      </c>
      <c r="GC96" s="1318">
        <f>GC94-FQ94</f>
        <v/>
      </c>
      <c r="GD96" s="1318">
        <f>GD94-FR94</f>
        <v/>
      </c>
      <c r="GE96" s="1318">
        <f>GE94-FS94</f>
        <v/>
      </c>
      <c r="GF96" s="1318">
        <f>GF94-FT94</f>
        <v/>
      </c>
      <c r="GG96" s="1318">
        <f>GG94-FU94</f>
        <v/>
      </c>
      <c r="GH96" s="1318">
        <f>GH94-FV94</f>
        <v/>
      </c>
      <c r="GI96" s="1318">
        <f>GI94-FW94</f>
        <v/>
      </c>
      <c r="GJ96" s="1318">
        <f>GJ94-FX94</f>
        <v/>
      </c>
      <c r="GK96" s="1318">
        <f>GK94-FY94</f>
        <v/>
      </c>
      <c r="GL96" s="1318">
        <f>GL94-FZ94</f>
        <v/>
      </c>
      <c r="GM96" s="1318">
        <f>GM94-GA94</f>
        <v/>
      </c>
      <c r="GN96" s="1318">
        <f>GN94-GB94</f>
        <v/>
      </c>
      <c r="GO96" s="1318">
        <f>GO94-GC94</f>
        <v/>
      </c>
      <c r="GP96" s="1318">
        <f>GP94-GD94</f>
        <v/>
      </c>
      <c r="GQ96" s="1318">
        <f>GQ94-GE94</f>
        <v/>
      </c>
      <c r="GR96" s="1318">
        <f>GR94-GF94</f>
        <v/>
      </c>
      <c r="GS96" s="1318">
        <f>GS94-GG94</f>
        <v/>
      </c>
      <c r="GT96" s="1318">
        <f>GT94-GH94</f>
        <v/>
      </c>
      <c r="GU96" s="1318">
        <f>GU94-GI94</f>
        <v/>
      </c>
      <c r="GV96" s="1318">
        <f>GV94-GJ94</f>
        <v/>
      </c>
      <c r="GW96" s="1318">
        <f>GW94-GK94</f>
        <v/>
      </c>
      <c r="GX96" s="1318">
        <f>GX94-GL94</f>
        <v/>
      </c>
      <c r="GY96" s="1318">
        <f>GY94-GM94</f>
        <v/>
      </c>
      <c r="GZ96" s="1318">
        <f>GZ94-GN94</f>
        <v/>
      </c>
      <c r="HA96" s="1318">
        <f>HA94-GO94</f>
        <v/>
      </c>
      <c r="HB96" s="1318">
        <f>HB94-GP94</f>
        <v/>
      </c>
      <c r="HC96" s="1318">
        <f>HC94-GQ94</f>
        <v/>
      </c>
      <c r="HD96" s="1318">
        <f>HD94-GR94</f>
        <v/>
      </c>
      <c r="HE96" s="1318">
        <f>HE94-GS94</f>
        <v/>
      </c>
      <c r="HF96" s="1318">
        <f>HF94-GT94</f>
        <v/>
      </c>
      <c r="HG96" s="1318">
        <f>HG94-GU94</f>
        <v/>
      </c>
      <c r="HH96" s="1318">
        <f>HH94-GV94</f>
        <v/>
      </c>
      <c r="HI96" s="1318">
        <f>HI94-GW94</f>
        <v/>
      </c>
      <c r="HJ96" s="1318">
        <f>HJ94-GX94</f>
        <v/>
      </c>
      <c r="HK96" s="1318">
        <f>HK94-GY94</f>
        <v/>
      </c>
      <c r="HL96" s="1318">
        <f>HL94-GZ94</f>
        <v/>
      </c>
      <c r="HM96" s="1318">
        <f>HM94-HA94</f>
        <v/>
      </c>
      <c r="HN96" s="1318">
        <f>HN94-HB94</f>
        <v/>
      </c>
      <c r="HO96" s="1318">
        <f>HO94-HC94</f>
        <v/>
      </c>
      <c r="HP96" s="1318">
        <f>HP94-HD94</f>
        <v/>
      </c>
      <c r="HQ96" s="1318">
        <f>HQ94-HE94</f>
        <v/>
      </c>
      <c r="HR96" s="1318">
        <f>HR94-HF94</f>
        <v/>
      </c>
      <c r="HS96" s="1318">
        <f>HS94-HG94</f>
        <v/>
      </c>
      <c r="HT96" s="1318">
        <f>HT94-HH94</f>
        <v/>
      </c>
      <c r="HU96" s="1318">
        <f>HU94-HI94</f>
        <v/>
      </c>
      <c r="HV96" s="1318">
        <f>HV94-HJ94</f>
        <v/>
      </c>
      <c r="HW96" s="1318">
        <f>HW94-HK94</f>
        <v/>
      </c>
      <c r="HX96" s="1318">
        <f>HX94-HL94</f>
        <v/>
      </c>
      <c r="HY96" s="1318">
        <f>HY94-HM94</f>
        <v/>
      </c>
      <c r="HZ96" s="1318">
        <f>HZ94-HN94</f>
        <v/>
      </c>
      <c r="IA96" s="1318">
        <f>IA94-HO94</f>
        <v/>
      </c>
      <c r="IB96" s="1318">
        <f>IB94-HP94</f>
        <v/>
      </c>
      <c r="IC96" s="1318">
        <f>IC94-HQ94</f>
        <v/>
      </c>
      <c r="ID96" s="1318">
        <f>ID94-HR94</f>
        <v/>
      </c>
      <c r="IE96" s="1318">
        <f>IE94-HS94</f>
        <v/>
      </c>
      <c r="IF96" s="1318">
        <f>IF94-HT94</f>
        <v/>
      </c>
      <c r="IG96" s="1318">
        <f>IG94-HU94</f>
        <v/>
      </c>
      <c r="IH96" s="1318">
        <f>IH94-HV94</f>
        <v/>
      </c>
      <c r="II96" s="1318">
        <f>II94-HW94</f>
        <v/>
      </c>
      <c r="IJ96" s="1318">
        <f>IJ94-HX94</f>
        <v/>
      </c>
      <c r="IK96" s="1318">
        <f>IK94-HY94</f>
        <v/>
      </c>
      <c r="IL96" s="1318">
        <f>IL94-HZ94</f>
        <v/>
      </c>
      <c r="IM96" s="1318">
        <f>IM94-IA94</f>
        <v/>
      </c>
      <c r="IN96" s="1318">
        <f>IN94-IB94</f>
        <v/>
      </c>
      <c r="IO96" s="1318">
        <f>IO94-IC94</f>
        <v/>
      </c>
      <c r="IP96" s="1318">
        <f>IP94-ID94</f>
        <v/>
      </c>
      <c r="IQ96" s="1318">
        <f>IQ94-IE94</f>
        <v/>
      </c>
      <c r="IR96" s="1318">
        <f>IR94-IF94</f>
        <v/>
      </c>
      <c r="IS96" s="1318">
        <f>IS94-IG94</f>
        <v/>
      </c>
      <c r="IT96" s="1318">
        <f>IT94-IH94</f>
        <v/>
      </c>
      <c r="IU96" s="1318">
        <f>IU94-II94</f>
        <v/>
      </c>
      <c r="IV96" s="1318">
        <f>IV94-IJ94</f>
        <v/>
      </c>
      <c r="IW96" s="1318">
        <f>IW94-IK94</f>
        <v/>
      </c>
      <c r="IX96" s="1318">
        <f>IX94-IL94</f>
        <v/>
      </c>
      <c r="IY96" s="1318">
        <f>IY94-IM94</f>
        <v/>
      </c>
      <c r="IZ96" s="1318">
        <f>IZ94-IN94</f>
        <v/>
      </c>
      <c r="JA96" s="1318">
        <f>JA94-IO94</f>
        <v/>
      </c>
      <c r="JB96" s="1318">
        <f>JB94-IP94</f>
        <v/>
      </c>
      <c r="JC96" s="1318">
        <f>JC94-IQ94</f>
        <v/>
      </c>
      <c r="JD96" s="1318">
        <f>JD94-IR94</f>
        <v/>
      </c>
      <c r="JE96" s="1318">
        <f>JE94-IS94</f>
        <v/>
      </c>
      <c r="JF96" s="1318">
        <f>JF94-IT94</f>
        <v/>
      </c>
      <c r="JG96" s="1318">
        <f>JG94-IU94</f>
        <v/>
      </c>
      <c r="JH96" s="1318">
        <f>JH94-IV94</f>
        <v/>
      </c>
      <c r="JI96" s="1318">
        <f>JI94-IW94</f>
        <v/>
      </c>
      <c r="JJ96" s="1318">
        <f>JJ94-IX94</f>
        <v/>
      </c>
      <c r="JK96" s="1318">
        <f>JK94-IY94</f>
        <v/>
      </c>
      <c r="JL96" s="1318">
        <f>JL94-IZ94</f>
        <v/>
      </c>
      <c r="JM96" s="1318">
        <f>JM94-JA94</f>
        <v/>
      </c>
      <c r="JN96" s="1318">
        <f>JN94-JB94</f>
        <v/>
      </c>
      <c r="JO96" s="1318">
        <f>JO94-JC94</f>
        <v/>
      </c>
      <c r="JP96" s="1318">
        <f>JP94-JD94</f>
        <v/>
      </c>
      <c r="JQ96" s="1318">
        <f>JQ94-JE94</f>
        <v/>
      </c>
      <c r="JR96" s="1318">
        <f>JR94-JF94</f>
        <v/>
      </c>
      <c r="JS96" s="1318">
        <f>JS94-JG94</f>
        <v/>
      </c>
      <c r="JT96" s="1318">
        <f>JT94-JH94</f>
        <v/>
      </c>
      <c r="JU96" s="1318">
        <f>JU94-JI94</f>
        <v/>
      </c>
      <c r="JV96" s="1318">
        <f>JV94-JJ94</f>
        <v/>
      </c>
      <c r="JW96" s="1318">
        <f>JW94-JK94</f>
        <v/>
      </c>
      <c r="JX96" s="1318">
        <f>JX94-JL94</f>
        <v/>
      </c>
      <c r="JY96" s="1318">
        <f>JY94-JM94</f>
        <v/>
      </c>
      <c r="JZ96" s="1318">
        <f>JZ94-JN94</f>
        <v/>
      </c>
      <c r="KA96" s="1318">
        <f>KA94-JO94</f>
        <v/>
      </c>
      <c r="KB96" s="1318">
        <f>KB94-JP94</f>
        <v/>
      </c>
      <c r="KC96" s="1318">
        <f>KC94-JQ94</f>
        <v/>
      </c>
      <c r="KD96" s="1318">
        <f>KD94-JR94</f>
        <v/>
      </c>
      <c r="KE96" s="1318">
        <f>KE94-JS94</f>
        <v/>
      </c>
      <c r="KF96" s="1318">
        <f>KF94-JT94</f>
        <v/>
      </c>
      <c r="KG96" s="1318">
        <f>KG94-JU94</f>
        <v/>
      </c>
      <c r="KH96" s="1318">
        <f>KH94-JV94</f>
        <v/>
      </c>
      <c r="KI96" s="1318">
        <f>KI94-JW94</f>
        <v/>
      </c>
      <c r="KJ96" s="1318">
        <f>KJ94-JX94</f>
        <v/>
      </c>
      <c r="KK96" s="1318">
        <f>KK94-JY94</f>
        <v/>
      </c>
      <c r="KL96" s="1318">
        <f>KL94-JZ94</f>
        <v/>
      </c>
      <c r="KM96" s="1318">
        <f>KM94-KA94</f>
        <v/>
      </c>
      <c r="KN96" s="1318">
        <f>KN94-KB94</f>
        <v/>
      </c>
      <c r="KO96" s="1318">
        <f>KO94-KC94</f>
        <v/>
      </c>
      <c r="KP96" s="1318">
        <f>KP94-KD94</f>
        <v/>
      </c>
      <c r="KQ96" s="1318">
        <f>KQ94-KE94</f>
        <v/>
      </c>
      <c r="KR96" s="1318">
        <f>KR94-KF94</f>
        <v/>
      </c>
      <c r="KS96" s="1318">
        <f>KS94-KG94</f>
        <v/>
      </c>
      <c r="KT96" s="1318">
        <f>KT94-KH94</f>
        <v/>
      </c>
      <c r="KU96" s="1318">
        <f>KU94-KI94</f>
        <v/>
      </c>
      <c r="KV96" s="1318">
        <f>KV94-KJ94</f>
        <v/>
      </c>
      <c r="KW96" s="1318">
        <f>KW94-KK94</f>
        <v/>
      </c>
      <c r="KX96" s="1318">
        <f>KX94-KL94</f>
        <v/>
      </c>
      <c r="KY96" s="1318">
        <f>KY94-KM94</f>
        <v/>
      </c>
      <c r="KZ96" s="1318">
        <f>KZ94-KN94</f>
        <v/>
      </c>
      <c r="LA96" s="1318">
        <f>LA94-KO94</f>
        <v/>
      </c>
      <c r="LB96" s="1318">
        <f>LB94-KP94</f>
        <v/>
      </c>
      <c r="LC96" s="1318">
        <f>LC94-KQ94</f>
        <v/>
      </c>
      <c r="LD96" s="1318">
        <f>LD94-KR94</f>
        <v/>
      </c>
      <c r="LE96" s="1318">
        <f>LE94-KS94</f>
        <v/>
      </c>
      <c r="LF96" s="1318">
        <f>LF94-KT94</f>
        <v/>
      </c>
      <c r="LG96" s="1318">
        <f>LG94-KU94</f>
        <v/>
      </c>
      <c r="LH96" s="1318">
        <f>LH94-KV94</f>
        <v/>
      </c>
      <c r="LI96" s="1318">
        <f>LI94-KW94</f>
        <v/>
      </c>
      <c r="LJ96" s="1318">
        <f>LJ94-KX94</f>
        <v/>
      </c>
      <c r="LK96" s="1318">
        <f>LK94-KY94</f>
        <v/>
      </c>
      <c r="LL96" s="1318">
        <f>LL94-KZ94</f>
        <v/>
      </c>
      <c r="LM96" s="1318">
        <f>LM94-LA94</f>
        <v/>
      </c>
      <c r="LN96" s="1318">
        <f>LN94-LB94</f>
        <v/>
      </c>
      <c r="LO96" s="1318">
        <f>LO94-LC94</f>
        <v/>
      </c>
      <c r="LP96" s="1318">
        <f>LP94-LD94</f>
        <v/>
      </c>
      <c r="LQ96" s="1318">
        <f>LQ94-LE94</f>
        <v/>
      </c>
      <c r="LR96" s="1318">
        <f>LR94-LF94</f>
        <v/>
      </c>
      <c r="LS96" s="1318">
        <f>LS94-LG94</f>
        <v/>
      </c>
    </row>
    <row r="97">
      <c r="A97" s="885" t="inlineStr">
        <is>
          <t>YTD</t>
        </is>
      </c>
      <c r="B97" s="1318" t="n"/>
      <c r="C97" s="1318" t="n"/>
      <c r="D97" s="1318" t="n"/>
      <c r="E97" s="1318" t="n"/>
      <c r="F97" s="1318" t="n"/>
      <c r="G97" s="1318" t="n"/>
      <c r="H97" s="1318" t="n"/>
      <c r="I97" s="1318" t="n"/>
      <c r="J97" s="1318" t="n"/>
      <c r="K97" s="1318" t="n"/>
      <c r="L97" s="1318" t="n"/>
      <c r="M97" s="1318" t="n"/>
      <c r="N97" s="1318">
        <f>SUMIFS(46:46,$8:$8,"&gt;="&amp;DATE(YEAR(N$8),1,1),$8:$8,"&lt;="&amp;EOMONTH(N$8,0))/SUMIFS(10:10,$8:$8,"&gt;="&amp;DATE(YEAR(N$8),1,1),$8:$8,"&lt;="&amp;EOMONTH(N$8,0))</f>
        <v/>
      </c>
      <c r="O97" s="1318">
        <f>SUMIFS(46:46,$8:$8,"&gt;="&amp;DATE(YEAR(O$8),1,1),$8:$8,"&lt;="&amp;EOMONTH(O$8,0))/SUMIFS(10:10,$8:$8,"&gt;="&amp;DATE(YEAR(O$8),1,1),$8:$8,"&lt;="&amp;EOMONTH(O$8,0))</f>
        <v/>
      </c>
      <c r="P97" s="1318">
        <f>SUMIFS(46:46,$8:$8,"&gt;="&amp;DATE(YEAR(P$8),1,1),$8:$8,"&lt;="&amp;EOMONTH(P$8,0))/SUMIFS(10:10,$8:$8,"&gt;="&amp;DATE(YEAR(P$8),1,1),$8:$8,"&lt;="&amp;EOMONTH(P$8,0))</f>
        <v/>
      </c>
      <c r="Q97" s="1318">
        <f>SUMIFS(46:46,$8:$8,"&gt;="&amp;DATE(YEAR(Q$8),1,1),$8:$8,"&lt;="&amp;EOMONTH(Q$8,0))/SUMIFS(10:10,$8:$8,"&gt;="&amp;DATE(YEAR(Q$8),1,1),$8:$8,"&lt;="&amp;EOMONTH(Q$8,0))</f>
        <v/>
      </c>
      <c r="R97" s="1318">
        <f>SUMIFS(46:46,$8:$8,"&gt;="&amp;DATE(YEAR(R$8),1,1),$8:$8,"&lt;="&amp;EOMONTH(R$8,0))/SUMIFS(10:10,$8:$8,"&gt;="&amp;DATE(YEAR(R$8),1,1),$8:$8,"&lt;="&amp;EOMONTH(R$8,0))</f>
        <v/>
      </c>
      <c r="S97" s="1318">
        <f>SUMIFS(46:46,$8:$8,"&gt;="&amp;DATE(YEAR(S$8),1,1),$8:$8,"&lt;="&amp;EOMONTH(S$8,0))/SUMIFS(10:10,$8:$8,"&gt;="&amp;DATE(YEAR(S$8),1,1),$8:$8,"&lt;="&amp;EOMONTH(S$8,0))</f>
        <v/>
      </c>
      <c r="T97" s="1318">
        <f>SUMIFS(46:46,$8:$8,"&gt;="&amp;DATE(YEAR(T$8),1,1),$8:$8,"&lt;="&amp;EOMONTH(T$8,0))/SUMIFS(10:10,$8:$8,"&gt;="&amp;DATE(YEAR(T$8),1,1),$8:$8,"&lt;="&amp;EOMONTH(T$8,0))</f>
        <v/>
      </c>
      <c r="U97" s="1318">
        <f>SUMIFS(46:46,$8:$8,"&gt;="&amp;DATE(YEAR(U$8),1,1),$8:$8,"&lt;="&amp;EOMONTH(U$8,0))/SUMIFS(10:10,$8:$8,"&gt;="&amp;DATE(YEAR(U$8),1,1),$8:$8,"&lt;="&amp;EOMONTH(U$8,0))</f>
        <v/>
      </c>
      <c r="V97" s="1318">
        <f>SUMIFS(46:46,$8:$8,"&gt;="&amp;DATE(YEAR(V$8),1,1),$8:$8,"&lt;="&amp;EOMONTH(V$8,0))/SUMIFS(10:10,$8:$8,"&gt;="&amp;DATE(YEAR(V$8),1,1),$8:$8,"&lt;="&amp;EOMONTH(V$8,0))</f>
        <v/>
      </c>
      <c r="W97" s="1318">
        <f>SUMIFS(46:46,$8:$8,"&gt;="&amp;DATE(YEAR(W$8),1,1),$8:$8,"&lt;="&amp;EOMONTH(W$8,0))/SUMIFS(10:10,$8:$8,"&gt;="&amp;DATE(YEAR(W$8),1,1),$8:$8,"&lt;="&amp;EOMONTH(W$8,0))</f>
        <v/>
      </c>
      <c r="X97" s="1318">
        <f>SUMIFS(46:46,$8:$8,"&gt;="&amp;DATE(YEAR(X$8),1,1),$8:$8,"&lt;="&amp;EOMONTH(X$8,0))/SUMIFS(10:10,$8:$8,"&gt;="&amp;DATE(YEAR(X$8),1,1),$8:$8,"&lt;="&amp;EOMONTH(X$8,0))</f>
        <v/>
      </c>
      <c r="Y97" s="1318">
        <f>SUMIFS(46:46,$8:$8,"&gt;="&amp;DATE(YEAR(Y$8),1,1),$8:$8,"&lt;="&amp;EOMONTH(Y$8,0))/SUMIFS(10:10,$8:$8,"&gt;="&amp;DATE(YEAR(Y$8),1,1),$8:$8,"&lt;="&amp;EOMONTH(Y$8,0))</f>
        <v/>
      </c>
      <c r="Z97" s="1318">
        <f>SUMIFS(46:46,$8:$8,"&gt;="&amp;DATE(YEAR(Z$8),1,1),$8:$8,"&lt;="&amp;EOMONTH(Z$8,0))/SUMIFS(10:10,$8:$8,"&gt;="&amp;DATE(YEAR(Z$8),1,1),$8:$8,"&lt;="&amp;EOMONTH(Z$8,0))</f>
        <v/>
      </c>
      <c r="AA97" s="1318">
        <f>SUMIFS(46:46,$8:$8,"&gt;="&amp;DATE(YEAR(AA$8),1,1),$8:$8,"&lt;="&amp;EOMONTH(AA$8,0))/SUMIFS(10:10,$8:$8,"&gt;="&amp;DATE(YEAR(AA$8),1,1),$8:$8,"&lt;="&amp;EOMONTH(AA$8,0))</f>
        <v/>
      </c>
      <c r="AB97" s="1318">
        <f>SUMIFS(46:46,$8:$8,"&gt;="&amp;DATE(YEAR(AB$8),1,1),$8:$8,"&lt;="&amp;EOMONTH(AB$8,0))/SUMIFS(10:10,$8:$8,"&gt;="&amp;DATE(YEAR(AB$8),1,1),$8:$8,"&lt;="&amp;EOMONTH(AB$8,0))</f>
        <v/>
      </c>
      <c r="AC97" s="1318">
        <f>SUMIFS(46:46,$8:$8,"&gt;="&amp;DATE(YEAR(AC$8),1,1),$8:$8,"&lt;="&amp;EOMONTH(AC$8,0))/SUMIFS(10:10,$8:$8,"&gt;="&amp;DATE(YEAR(AC$8),1,1),$8:$8,"&lt;="&amp;EOMONTH(AC$8,0))</f>
        <v/>
      </c>
      <c r="AD97" s="1318">
        <f>SUMIFS(46:46,$8:$8,"&gt;="&amp;DATE(YEAR(AD$8),1,1),$8:$8,"&lt;="&amp;EOMONTH(AD$8,0))/SUMIFS(10:10,$8:$8,"&gt;="&amp;DATE(YEAR(AD$8),1,1),$8:$8,"&lt;="&amp;EOMONTH(AD$8,0))</f>
        <v/>
      </c>
      <c r="AE97" s="1318">
        <f>SUMIFS(46:46,$8:$8,"&gt;="&amp;DATE(YEAR(AE$8),1,1),$8:$8,"&lt;="&amp;EOMONTH(AE$8,0))/SUMIFS(10:10,$8:$8,"&gt;="&amp;DATE(YEAR(AE$8),1,1),$8:$8,"&lt;="&amp;EOMONTH(AE$8,0))</f>
        <v/>
      </c>
      <c r="AF97" s="1318">
        <f>SUMIFS(46:46,$8:$8,"&gt;="&amp;DATE(YEAR(AF$8),1,1),$8:$8,"&lt;="&amp;EOMONTH(AF$8,0))/SUMIFS(10:10,$8:$8,"&gt;="&amp;DATE(YEAR(AF$8),1,1),$8:$8,"&lt;="&amp;EOMONTH(AF$8,0))</f>
        <v/>
      </c>
      <c r="AG97" s="1318">
        <f>SUMIFS(46:46,$8:$8,"&gt;="&amp;DATE(YEAR(AG$8),1,1),$8:$8,"&lt;="&amp;EOMONTH(AG$8,0))/SUMIFS(10:10,$8:$8,"&gt;="&amp;DATE(YEAR(AG$8),1,1),$8:$8,"&lt;="&amp;EOMONTH(AG$8,0))</f>
        <v/>
      </c>
      <c r="AH97" s="1318">
        <f>SUMIFS(46:46,$8:$8,"&gt;="&amp;DATE(YEAR(AH$8),1,1),$8:$8,"&lt;="&amp;EOMONTH(AH$8,0))/SUMIFS(10:10,$8:$8,"&gt;="&amp;DATE(YEAR(AH$8),1,1),$8:$8,"&lt;="&amp;EOMONTH(AH$8,0))</f>
        <v/>
      </c>
      <c r="AI97" s="1318">
        <f>SUMIFS(46:46,$8:$8,"&gt;="&amp;DATE(YEAR(AI$8),1,1),$8:$8,"&lt;="&amp;EOMONTH(AI$8,0))/SUMIFS(10:10,$8:$8,"&gt;="&amp;DATE(YEAR(AI$8),1,1),$8:$8,"&lt;="&amp;EOMONTH(AI$8,0))</f>
        <v/>
      </c>
      <c r="AJ97" s="1318">
        <f>SUMIFS(46:46,$8:$8,"&gt;="&amp;DATE(YEAR(AJ$8),1,1),$8:$8,"&lt;="&amp;EOMONTH(AJ$8,0))/SUMIFS(10:10,$8:$8,"&gt;="&amp;DATE(YEAR(AJ$8),1,1),$8:$8,"&lt;="&amp;EOMONTH(AJ$8,0))</f>
        <v/>
      </c>
      <c r="AK97" s="1318">
        <f>SUMIFS(46:46,$8:$8,"&gt;="&amp;DATE(YEAR(AK$8),1,1),$8:$8,"&lt;="&amp;EOMONTH(AK$8,0))/SUMIFS(10:10,$8:$8,"&gt;="&amp;DATE(YEAR(AK$8),1,1),$8:$8,"&lt;="&amp;EOMONTH(AK$8,0))</f>
        <v/>
      </c>
      <c r="AL97" s="1318">
        <f>SUMIFS(46:46,$8:$8,"&gt;="&amp;DATE(YEAR(AL$8),1,1),$8:$8,"&lt;="&amp;EOMONTH(AL$8,0))/SUMIFS(10:10,$8:$8,"&gt;="&amp;DATE(YEAR(AL$8),1,1),$8:$8,"&lt;="&amp;EOMONTH(AL$8,0))</f>
        <v/>
      </c>
      <c r="AM97" s="1318">
        <f>SUMIFS(46:46,$8:$8,"&gt;="&amp;DATE(YEAR(AM$8),1,1),$8:$8,"&lt;="&amp;EOMONTH(AM$8,0))/SUMIFS(10:10,$8:$8,"&gt;="&amp;DATE(YEAR(AM$8),1,1),$8:$8,"&lt;="&amp;EOMONTH(AM$8,0))</f>
        <v/>
      </c>
      <c r="AN97" s="1318">
        <f>SUMIFS(46:46,$8:$8,"&gt;="&amp;DATE(YEAR(AN$8),1,1),$8:$8,"&lt;="&amp;EOMONTH(AN$8,0))/SUMIFS(10:10,$8:$8,"&gt;="&amp;DATE(YEAR(AN$8),1,1),$8:$8,"&lt;="&amp;EOMONTH(AN$8,0))</f>
        <v/>
      </c>
      <c r="AO97" s="1318">
        <f>SUMIFS(46:46,$8:$8,"&gt;="&amp;DATE(YEAR(AO$8),1,1),$8:$8,"&lt;="&amp;EOMONTH(AO$8,0))/SUMIFS(10:10,$8:$8,"&gt;="&amp;DATE(YEAR(AO$8),1,1),$8:$8,"&lt;="&amp;EOMONTH(AO$8,0))</f>
        <v/>
      </c>
      <c r="AP97" s="1318">
        <f>SUMIFS(46:46,$8:$8,"&gt;="&amp;DATE(YEAR(AP$8),1,1),$8:$8,"&lt;="&amp;EOMONTH(AP$8,0))/SUMIFS(10:10,$8:$8,"&gt;="&amp;DATE(YEAR(AP$8),1,1),$8:$8,"&lt;="&amp;EOMONTH(AP$8,0))</f>
        <v/>
      </c>
      <c r="AQ97" s="1318">
        <f>SUMIFS(46:46,$8:$8,"&gt;="&amp;DATE(YEAR(AQ$8),1,1),$8:$8,"&lt;="&amp;EOMONTH(AQ$8,0))/SUMIFS(10:10,$8:$8,"&gt;="&amp;DATE(YEAR(AQ$8),1,1),$8:$8,"&lt;="&amp;EOMONTH(AQ$8,0))</f>
        <v/>
      </c>
      <c r="AR97" s="1318">
        <f>SUMIFS(46:46,$8:$8,"&gt;="&amp;DATE(YEAR(AR$8),1,1),$8:$8,"&lt;="&amp;EOMONTH(AR$8,0))/SUMIFS(10:10,$8:$8,"&gt;="&amp;DATE(YEAR(AR$8),1,1),$8:$8,"&lt;="&amp;EOMONTH(AR$8,0))</f>
        <v/>
      </c>
      <c r="AS97" s="1318">
        <f>SUMIFS(46:46,$8:$8,"&gt;="&amp;DATE(YEAR(AS$8),1,1),$8:$8,"&lt;="&amp;EOMONTH(AS$8,0))/SUMIFS(10:10,$8:$8,"&gt;="&amp;DATE(YEAR(AS$8),1,1),$8:$8,"&lt;="&amp;EOMONTH(AS$8,0))</f>
        <v/>
      </c>
      <c r="AT97" s="1318">
        <f>SUMIFS(46:46,$8:$8,"&gt;="&amp;DATE(YEAR(AT$8),1,1),$8:$8,"&lt;="&amp;EOMONTH(AT$8,0))/SUMIFS(10:10,$8:$8,"&gt;="&amp;DATE(YEAR(AT$8),1,1),$8:$8,"&lt;="&amp;EOMONTH(AT$8,0))</f>
        <v/>
      </c>
      <c r="AU97" s="1318">
        <f>SUMIFS(46:46,$8:$8,"&gt;="&amp;DATE(YEAR(AU$8),1,1),$8:$8,"&lt;="&amp;EOMONTH(AU$8,0))/SUMIFS(10:10,$8:$8,"&gt;="&amp;DATE(YEAR(AU$8),1,1),$8:$8,"&lt;="&amp;EOMONTH(AU$8,0))</f>
        <v/>
      </c>
      <c r="AV97" s="1318">
        <f>SUMIFS(46:46,$8:$8,"&gt;="&amp;DATE(YEAR(AV$8),1,1),$8:$8,"&lt;="&amp;EOMONTH(AV$8,0))/SUMIFS(10:10,$8:$8,"&gt;="&amp;DATE(YEAR(AV$8),1,1),$8:$8,"&lt;="&amp;EOMONTH(AV$8,0))</f>
        <v/>
      </c>
      <c r="AW97" s="1318">
        <f>SUMIFS(46:46,$8:$8,"&gt;="&amp;DATE(YEAR(AW$8),1,1),$8:$8,"&lt;="&amp;EOMONTH(AW$8,0))/SUMIFS(10:10,$8:$8,"&gt;="&amp;DATE(YEAR(AW$8),1,1),$8:$8,"&lt;="&amp;EOMONTH(AW$8,0))</f>
        <v/>
      </c>
      <c r="AX97" s="1318">
        <f>SUMIFS(46:46,$8:$8,"&gt;="&amp;DATE(YEAR(AX$8),1,1),$8:$8,"&lt;="&amp;EOMONTH(AX$8,0))/SUMIFS(10:10,$8:$8,"&gt;="&amp;DATE(YEAR(AX$8),1,1),$8:$8,"&lt;="&amp;EOMONTH(AX$8,0))</f>
        <v/>
      </c>
      <c r="AY97" s="1318">
        <f>SUMIFS(46:46,$8:$8,"&gt;="&amp;DATE(YEAR(AY$8),1,1),$8:$8,"&lt;="&amp;EOMONTH(AY$8,0))/SUMIFS(10:10,$8:$8,"&gt;="&amp;DATE(YEAR(AY$8),1,1),$8:$8,"&lt;="&amp;EOMONTH(AY$8,0))</f>
        <v/>
      </c>
      <c r="AZ97" s="1318">
        <f>SUMIFS(46:46,$8:$8,"&gt;="&amp;DATE(YEAR(AZ$8),1,1),$8:$8,"&lt;="&amp;EOMONTH(AZ$8,0))/SUMIFS(10:10,$8:$8,"&gt;="&amp;DATE(YEAR(AZ$8),1,1),$8:$8,"&lt;="&amp;EOMONTH(AZ$8,0))</f>
        <v/>
      </c>
      <c r="BA97" s="1318">
        <f>SUMIFS(46:46,$8:$8,"&gt;="&amp;DATE(YEAR(BA$8),1,1),$8:$8,"&lt;="&amp;EOMONTH(BA$8,0))/SUMIFS(10:10,$8:$8,"&gt;="&amp;DATE(YEAR(BA$8),1,1),$8:$8,"&lt;="&amp;EOMONTH(BA$8,0))</f>
        <v/>
      </c>
      <c r="BB97" s="1318">
        <f>SUMIFS(46:46,$8:$8,"&gt;="&amp;DATE(YEAR(BB$8),1,1),$8:$8,"&lt;="&amp;EOMONTH(BB$8,0))/SUMIFS(10:10,$8:$8,"&gt;="&amp;DATE(YEAR(BB$8),1,1),$8:$8,"&lt;="&amp;EOMONTH(BB$8,0))</f>
        <v/>
      </c>
      <c r="BC97" s="1318">
        <f>SUMIFS(46:46,$8:$8,"&gt;="&amp;DATE(YEAR(BC$8),1,1),$8:$8,"&lt;="&amp;EOMONTH(BC$8,0))/SUMIFS(10:10,$8:$8,"&gt;="&amp;DATE(YEAR(BC$8),1,1),$8:$8,"&lt;="&amp;EOMONTH(BC$8,0))</f>
        <v/>
      </c>
      <c r="BD97" s="1318">
        <f>SUMIFS(46:46,$8:$8,"&gt;="&amp;DATE(YEAR(BD$8),1,1),$8:$8,"&lt;="&amp;EOMONTH(BD$8,0))/SUMIFS(10:10,$8:$8,"&gt;="&amp;DATE(YEAR(BD$8),1,1),$8:$8,"&lt;="&amp;EOMONTH(BD$8,0))</f>
        <v/>
      </c>
      <c r="BE97" s="1318">
        <f>SUMIFS(46:46,$8:$8,"&gt;="&amp;DATE(YEAR(BE$8),1,1),$8:$8,"&lt;="&amp;EOMONTH(BE$8,0))/SUMIFS(10:10,$8:$8,"&gt;="&amp;DATE(YEAR(BE$8),1,1),$8:$8,"&lt;="&amp;EOMONTH(BE$8,0))</f>
        <v/>
      </c>
      <c r="BF97" s="1318">
        <f>SUMIFS(46:46,$8:$8,"&gt;="&amp;DATE(YEAR(BF$8),1,1),$8:$8,"&lt;="&amp;EOMONTH(BF$8,0))/SUMIFS(10:10,$8:$8,"&gt;="&amp;DATE(YEAR(BF$8),1,1),$8:$8,"&lt;="&amp;EOMONTH(BF$8,0))</f>
        <v/>
      </c>
      <c r="BG97" s="1318">
        <f>SUMIFS(46:46,$8:$8,"&gt;="&amp;DATE(YEAR(BG$8),1,1),$8:$8,"&lt;="&amp;EOMONTH(BG$8,0))/SUMIFS(10:10,$8:$8,"&gt;="&amp;DATE(YEAR(BG$8),1,1),$8:$8,"&lt;="&amp;EOMONTH(BG$8,0))</f>
        <v/>
      </c>
      <c r="BH97" s="1318">
        <f>SUMIFS(46:46,$8:$8,"&gt;="&amp;DATE(YEAR(BH$8),1,1),$8:$8,"&lt;="&amp;EOMONTH(BH$8,0))/SUMIFS(10:10,$8:$8,"&gt;="&amp;DATE(YEAR(BH$8),1,1),$8:$8,"&lt;="&amp;EOMONTH(BH$8,0))</f>
        <v/>
      </c>
      <c r="BI97" s="1318">
        <f>SUMIFS(46:46,$8:$8,"&gt;="&amp;DATE(YEAR(BI$8),1,1),$8:$8,"&lt;="&amp;EOMONTH(BI$8,0))/SUMIFS(10:10,$8:$8,"&gt;="&amp;DATE(YEAR(BI$8),1,1),$8:$8,"&lt;="&amp;EOMONTH(BI$8,0))</f>
        <v/>
      </c>
      <c r="BJ97" s="1318">
        <f>SUMIFS(46:46,$8:$8,"&gt;="&amp;DATE(YEAR(BJ$8),1,1),$8:$8,"&lt;="&amp;EOMONTH(BJ$8,0))/SUMIFS(10:10,$8:$8,"&gt;="&amp;DATE(YEAR(BJ$8),1,1),$8:$8,"&lt;="&amp;EOMONTH(BJ$8,0))</f>
        <v/>
      </c>
      <c r="BK97" s="1318">
        <f>SUMIFS(46:46,$8:$8,"&gt;="&amp;DATE(YEAR(BK$8),1,1),$8:$8,"&lt;="&amp;EOMONTH(BK$8,0))/SUMIFS(10:10,$8:$8,"&gt;="&amp;DATE(YEAR(BK$8),1,1),$8:$8,"&lt;="&amp;EOMONTH(BK$8,0))</f>
        <v/>
      </c>
      <c r="BL97" s="1318">
        <f>SUMIFS(46:46,$8:$8,"&gt;="&amp;DATE(YEAR(BL$8),1,1),$8:$8,"&lt;="&amp;EOMONTH(BL$8,0))/SUMIFS(10:10,$8:$8,"&gt;="&amp;DATE(YEAR(BL$8),1,1),$8:$8,"&lt;="&amp;EOMONTH(BL$8,0))</f>
        <v/>
      </c>
      <c r="BM97" s="1318">
        <f>SUMIFS(46:46,$8:$8,"&gt;="&amp;DATE(YEAR(BM$8),1,1),$8:$8,"&lt;="&amp;EOMONTH(BM$8,0))/SUMIFS(10:10,$8:$8,"&gt;="&amp;DATE(YEAR(BM$8),1,1),$8:$8,"&lt;="&amp;EOMONTH(BM$8,0))</f>
        <v/>
      </c>
      <c r="BN97" s="1318">
        <f>SUMIFS(46:46,$8:$8,"&gt;="&amp;DATE(YEAR(BN$8),1,1),$8:$8,"&lt;="&amp;EOMONTH(BN$8,0))/SUMIFS(10:10,$8:$8,"&gt;="&amp;DATE(YEAR(BN$8),1,1),$8:$8,"&lt;="&amp;EOMONTH(BN$8,0))</f>
        <v/>
      </c>
      <c r="BO97" s="1318">
        <f>SUMIFS(46:46,$8:$8,"&gt;="&amp;DATE(YEAR(BO$8),1,1),$8:$8,"&lt;="&amp;EOMONTH(BO$8,0))/SUMIFS(10:10,$8:$8,"&gt;="&amp;DATE(YEAR(BO$8),1,1),$8:$8,"&lt;="&amp;EOMONTH(BO$8,0))</f>
        <v/>
      </c>
      <c r="BP97" s="1318">
        <f>SUMIFS(46:46,$8:$8,"&gt;="&amp;DATE(YEAR(BP$8),1,1),$8:$8,"&lt;="&amp;EOMONTH(BP$8,0))/SUMIFS(10:10,$8:$8,"&gt;="&amp;DATE(YEAR(BP$8),1,1),$8:$8,"&lt;="&amp;EOMONTH(BP$8,0))</f>
        <v/>
      </c>
      <c r="BQ97" s="1318">
        <f>SUMIFS(46:46,$8:$8,"&gt;="&amp;DATE(YEAR(BQ$8),1,1),$8:$8,"&lt;="&amp;EOMONTH(BQ$8,0))/SUMIFS(10:10,$8:$8,"&gt;="&amp;DATE(YEAR(BQ$8),1,1),$8:$8,"&lt;="&amp;EOMONTH(BQ$8,0))</f>
        <v/>
      </c>
      <c r="BR97" s="1318">
        <f>SUMIFS(46:46,$8:$8,"&gt;="&amp;DATE(YEAR(BR$8),1,1),$8:$8,"&lt;="&amp;EOMONTH(BR$8,0))/SUMIFS(10:10,$8:$8,"&gt;="&amp;DATE(YEAR(BR$8),1,1),$8:$8,"&lt;="&amp;EOMONTH(BR$8,0))</f>
        <v/>
      </c>
      <c r="BS97" s="1318">
        <f>SUMIFS(46:46,$8:$8,"&gt;="&amp;DATE(YEAR(BS$8),1,1),$8:$8,"&lt;="&amp;EOMONTH(BS$8,0))/SUMIFS(10:10,$8:$8,"&gt;="&amp;DATE(YEAR(BS$8),1,1),$8:$8,"&lt;="&amp;EOMONTH(BS$8,0))</f>
        <v/>
      </c>
      <c r="BT97" s="1318">
        <f>SUMIFS(46:46,$8:$8,"&gt;="&amp;DATE(YEAR(BT$8),1,1),$8:$8,"&lt;="&amp;EOMONTH(BT$8,0))/SUMIFS(10:10,$8:$8,"&gt;="&amp;DATE(YEAR(BT$8),1,1),$8:$8,"&lt;="&amp;EOMONTH(BT$8,0))</f>
        <v/>
      </c>
      <c r="BU97" s="1318">
        <f>SUMIFS(46:46,$8:$8,"&gt;="&amp;DATE(YEAR(BU$8),1,1),$8:$8,"&lt;="&amp;EOMONTH(BU$8,0))/SUMIFS(10:10,$8:$8,"&gt;="&amp;DATE(YEAR(BU$8),1,1),$8:$8,"&lt;="&amp;EOMONTH(BU$8,0))</f>
        <v/>
      </c>
      <c r="BV97" s="1318">
        <f>SUMIFS(46:46,$8:$8,"&gt;="&amp;DATE(YEAR(BV$8),1,1),$8:$8,"&lt;="&amp;EOMONTH(BV$8,0))/SUMIFS(10:10,$8:$8,"&gt;="&amp;DATE(YEAR(BV$8),1,1),$8:$8,"&lt;="&amp;EOMONTH(BV$8,0))</f>
        <v/>
      </c>
      <c r="BW97" s="1318">
        <f>SUMIFS(46:46,$8:$8,"&gt;="&amp;DATE(YEAR(BW$8),1,1),$8:$8,"&lt;="&amp;EOMONTH(BW$8,0))/SUMIFS(10:10,$8:$8,"&gt;="&amp;DATE(YEAR(BW$8),1,1),$8:$8,"&lt;="&amp;EOMONTH(BW$8,0))</f>
        <v/>
      </c>
      <c r="BX97" s="1318">
        <f>SUMIFS(46:46,$8:$8,"&gt;="&amp;DATE(YEAR(BX$8),1,1),$8:$8,"&lt;="&amp;EOMONTH(BX$8,0))/SUMIFS(10:10,$8:$8,"&gt;="&amp;DATE(YEAR(BX$8),1,1),$8:$8,"&lt;="&amp;EOMONTH(BX$8,0))</f>
        <v/>
      </c>
      <c r="BY97" s="1318">
        <f>SUMIFS(46:46,$8:$8,"&gt;="&amp;DATE(YEAR(BY$8),1,1),$8:$8,"&lt;="&amp;EOMONTH(BY$8,0))/SUMIFS(10:10,$8:$8,"&gt;="&amp;DATE(YEAR(BY$8),1,1),$8:$8,"&lt;="&amp;EOMONTH(BY$8,0))</f>
        <v/>
      </c>
      <c r="BZ97" s="1318">
        <f>SUMIFS(46:46,$8:$8,"&gt;="&amp;DATE(YEAR(BZ$8),1,1),$8:$8,"&lt;="&amp;EOMONTH(BZ$8,0))/SUMIFS(10:10,$8:$8,"&gt;="&amp;DATE(YEAR(BZ$8),1,1),$8:$8,"&lt;="&amp;EOMONTH(BZ$8,0))</f>
        <v/>
      </c>
      <c r="CA97" s="1318">
        <f>SUMIFS(46:46,$8:$8,"&gt;="&amp;DATE(YEAR(CA$8),1,1),$8:$8,"&lt;="&amp;EOMONTH(CA$8,0))/SUMIFS(10:10,$8:$8,"&gt;="&amp;DATE(YEAR(CA$8),1,1),$8:$8,"&lt;="&amp;EOMONTH(CA$8,0))</f>
        <v/>
      </c>
      <c r="CB97" s="1318">
        <f>SUMIFS(46:46,$8:$8,"&gt;="&amp;DATE(YEAR(CB$8),1,1),$8:$8,"&lt;="&amp;EOMONTH(CB$8,0))/SUMIFS(10:10,$8:$8,"&gt;="&amp;DATE(YEAR(CB$8),1,1),$8:$8,"&lt;="&amp;EOMONTH(CB$8,0))</f>
        <v/>
      </c>
      <c r="CC97" s="1318">
        <f>SUMIFS(46:46,$8:$8,"&gt;="&amp;DATE(YEAR(CC$8),1,1),$8:$8,"&lt;="&amp;EOMONTH(CC$8,0))/SUMIFS(10:10,$8:$8,"&gt;="&amp;DATE(YEAR(CC$8),1,1),$8:$8,"&lt;="&amp;EOMONTH(CC$8,0))</f>
        <v/>
      </c>
      <c r="CD97" s="1318">
        <f>SUMIFS(46:46,$8:$8,"&gt;="&amp;DATE(YEAR(CD$8),1,1),$8:$8,"&lt;="&amp;EOMONTH(CD$8,0))/SUMIFS(10:10,$8:$8,"&gt;="&amp;DATE(YEAR(CD$8),1,1),$8:$8,"&lt;="&amp;EOMONTH(CD$8,0))</f>
        <v/>
      </c>
      <c r="CE97" s="1318">
        <f>SUMIFS(46:46,$8:$8,"&gt;="&amp;DATE(YEAR(CE$8),1,1),$8:$8,"&lt;="&amp;EOMONTH(CE$8,0))/SUMIFS(10:10,$8:$8,"&gt;="&amp;DATE(YEAR(CE$8),1,1),$8:$8,"&lt;="&amp;EOMONTH(CE$8,0))</f>
        <v/>
      </c>
      <c r="CF97" s="1318">
        <f>SUMIFS(46:46,$8:$8,"&gt;="&amp;DATE(YEAR(CF$8),1,1),$8:$8,"&lt;="&amp;EOMONTH(CF$8,0))/SUMIFS(10:10,$8:$8,"&gt;="&amp;DATE(YEAR(CF$8),1,1),$8:$8,"&lt;="&amp;EOMONTH(CF$8,0))</f>
        <v/>
      </c>
      <c r="CG97" s="1318">
        <f>SUMIFS(46:46,$8:$8,"&gt;="&amp;DATE(YEAR(CG$8),1,1),$8:$8,"&lt;="&amp;EOMONTH(CG$8,0))/SUMIFS(10:10,$8:$8,"&gt;="&amp;DATE(YEAR(CG$8),1,1),$8:$8,"&lt;="&amp;EOMONTH(CG$8,0))</f>
        <v/>
      </c>
      <c r="CH97" s="1318">
        <f>SUMIFS(46:46,$8:$8,"&gt;="&amp;DATE(YEAR(CH$8),1,1),$8:$8,"&lt;="&amp;EOMONTH(CH$8,0))/SUMIFS(10:10,$8:$8,"&gt;="&amp;DATE(YEAR(CH$8),1,1),$8:$8,"&lt;="&amp;EOMONTH(CH$8,0))</f>
        <v/>
      </c>
      <c r="CI97" s="1318">
        <f>SUMIFS(46:46,$8:$8,"&gt;="&amp;DATE(YEAR(CI$8),1,1),$8:$8,"&lt;="&amp;EOMONTH(CI$8,0))/SUMIFS(10:10,$8:$8,"&gt;="&amp;DATE(YEAR(CI$8),1,1),$8:$8,"&lt;="&amp;EOMONTH(CI$8,0))</f>
        <v/>
      </c>
      <c r="CJ97" s="1318">
        <f>SUMIFS(46:46,$8:$8,"&gt;="&amp;DATE(YEAR(CJ$8),1,1),$8:$8,"&lt;="&amp;EOMONTH(CJ$8,0))/SUMIFS(10:10,$8:$8,"&gt;="&amp;DATE(YEAR(CJ$8),1,1),$8:$8,"&lt;="&amp;EOMONTH(CJ$8,0))</f>
        <v/>
      </c>
      <c r="CK97" s="1318">
        <f>SUMIFS(46:46,$8:$8,"&gt;="&amp;DATE(YEAR(CK$8),1,1),$8:$8,"&lt;="&amp;EOMONTH(CK$8,0))/SUMIFS(10:10,$8:$8,"&gt;="&amp;DATE(YEAR(CK$8),1,1),$8:$8,"&lt;="&amp;EOMONTH(CK$8,0))</f>
        <v/>
      </c>
      <c r="CL97" s="1318">
        <f>SUMIFS(46:46,$8:$8,"&gt;="&amp;DATE(YEAR(CL$8),1,1),$8:$8,"&lt;="&amp;EOMONTH(CL$8,0))/SUMIFS(10:10,$8:$8,"&gt;="&amp;DATE(YEAR(CL$8),1,1),$8:$8,"&lt;="&amp;EOMONTH(CL$8,0))</f>
        <v/>
      </c>
      <c r="CM97" s="1318">
        <f>SUMIFS(46:46,$8:$8,"&gt;="&amp;DATE(YEAR(CM$8),1,1),$8:$8,"&lt;="&amp;EOMONTH(CM$8,0))/SUMIFS(10:10,$8:$8,"&gt;="&amp;DATE(YEAR(CM$8),1,1),$8:$8,"&lt;="&amp;EOMONTH(CM$8,0))</f>
        <v/>
      </c>
      <c r="CN97" s="1318">
        <f>SUMIFS(46:46,$8:$8,"&gt;="&amp;DATE(YEAR(CN$8),1,1),$8:$8,"&lt;="&amp;EOMONTH(CN$8,0))/SUMIFS(10:10,$8:$8,"&gt;="&amp;DATE(YEAR(CN$8),1,1),$8:$8,"&lt;="&amp;EOMONTH(CN$8,0))</f>
        <v/>
      </c>
      <c r="CO97" s="1318">
        <f>SUMIFS(46:46,$8:$8,"&gt;="&amp;DATE(YEAR(CO$8),1,1),$8:$8,"&lt;="&amp;EOMONTH(CO$8,0))/SUMIFS(10:10,$8:$8,"&gt;="&amp;DATE(YEAR(CO$8),1,1),$8:$8,"&lt;="&amp;EOMONTH(CO$8,0))</f>
        <v/>
      </c>
      <c r="CP97" s="1318">
        <f>SUMIFS(46:46,$8:$8,"&gt;="&amp;DATE(YEAR(CP$8),1,1),$8:$8,"&lt;="&amp;EOMONTH(CP$8,0))/SUMIFS(10:10,$8:$8,"&gt;="&amp;DATE(YEAR(CP$8),1,1),$8:$8,"&lt;="&amp;EOMONTH(CP$8,0))</f>
        <v/>
      </c>
      <c r="CQ97" s="1318">
        <f>SUMIFS(46:46,$8:$8,"&gt;="&amp;DATE(YEAR(CQ$8),1,1),$8:$8,"&lt;="&amp;EOMONTH(CQ$8,0))/SUMIFS(10:10,$8:$8,"&gt;="&amp;DATE(YEAR(CQ$8),1,1),$8:$8,"&lt;="&amp;EOMONTH(CQ$8,0))</f>
        <v/>
      </c>
      <c r="CR97" s="1318">
        <f>SUMIFS(46:46,$8:$8,"&gt;="&amp;DATE(YEAR(CR$8),1,1),$8:$8,"&lt;="&amp;EOMONTH(CR$8,0))/SUMIFS(10:10,$8:$8,"&gt;="&amp;DATE(YEAR(CR$8),1,1),$8:$8,"&lt;="&amp;EOMONTH(CR$8,0))</f>
        <v/>
      </c>
      <c r="CS97" s="1318">
        <f>SUMIFS(46:46,$8:$8,"&gt;="&amp;DATE(YEAR(CS$8),1,1),$8:$8,"&lt;="&amp;EOMONTH(CS$8,0))/SUMIFS(10:10,$8:$8,"&gt;="&amp;DATE(YEAR(CS$8),1,1),$8:$8,"&lt;="&amp;EOMONTH(CS$8,0))</f>
        <v/>
      </c>
      <c r="CT97" s="1318">
        <f>SUMIFS(46:46,$8:$8,"&gt;="&amp;DATE(YEAR(CT$8),1,1),$8:$8,"&lt;="&amp;EOMONTH(CT$8,0))/SUMIFS(10:10,$8:$8,"&gt;="&amp;DATE(YEAR(CT$8),1,1),$8:$8,"&lt;="&amp;EOMONTH(CT$8,0))</f>
        <v/>
      </c>
      <c r="CU97" s="1318">
        <f>SUMIFS(46:46,$8:$8,"&gt;="&amp;DATE(YEAR(CU$8),1,1),$8:$8,"&lt;="&amp;EOMONTH(CU$8,0))/SUMIFS(10:10,$8:$8,"&gt;="&amp;DATE(YEAR(CU$8),1,1),$8:$8,"&lt;="&amp;EOMONTH(CU$8,0))</f>
        <v/>
      </c>
      <c r="CV97" s="1318">
        <f>SUMIFS(46:46,$8:$8,"&gt;="&amp;DATE(YEAR(CV$8),1,1),$8:$8,"&lt;="&amp;EOMONTH(CV$8,0))/SUMIFS(10:10,$8:$8,"&gt;="&amp;DATE(YEAR(CV$8),1,1),$8:$8,"&lt;="&amp;EOMONTH(CV$8,0))</f>
        <v/>
      </c>
      <c r="CW97" s="1318">
        <f>SUMIFS(46:46,$8:$8,"&gt;="&amp;DATE(YEAR(CW$8),1,1),$8:$8,"&lt;="&amp;EOMONTH(CW$8,0))/SUMIFS(10:10,$8:$8,"&gt;="&amp;DATE(YEAR(CW$8),1,1),$8:$8,"&lt;="&amp;EOMONTH(CW$8,0))</f>
        <v/>
      </c>
      <c r="CX97" s="1318">
        <f>SUMIFS(46:46,$8:$8,"&gt;="&amp;DATE(YEAR(CX$8),1,1),$8:$8,"&lt;="&amp;EOMONTH(CX$8,0))/SUMIFS(10:10,$8:$8,"&gt;="&amp;DATE(YEAR(CX$8),1,1),$8:$8,"&lt;="&amp;EOMONTH(CX$8,0))</f>
        <v/>
      </c>
      <c r="CY97" s="1318">
        <f>SUMIFS(46:46,$8:$8,"&gt;="&amp;DATE(YEAR(CY$8),1,1),$8:$8,"&lt;="&amp;EOMONTH(CY$8,0))/SUMIFS(10:10,$8:$8,"&gt;="&amp;DATE(YEAR(CY$8),1,1),$8:$8,"&lt;="&amp;EOMONTH(CY$8,0))</f>
        <v/>
      </c>
      <c r="CZ97" s="1318">
        <f>SUMIFS(46:46,$8:$8,"&gt;="&amp;DATE(YEAR(CZ$8),1,1),$8:$8,"&lt;="&amp;EOMONTH(CZ$8,0))/SUMIFS(10:10,$8:$8,"&gt;="&amp;DATE(YEAR(CZ$8),1,1),$8:$8,"&lt;="&amp;EOMONTH(CZ$8,0))</f>
        <v/>
      </c>
      <c r="DA97" s="1318">
        <f>SUMIFS(46:46,$8:$8,"&gt;="&amp;DATE(YEAR(DA$8),1,1),$8:$8,"&lt;="&amp;EOMONTH(DA$8,0))/SUMIFS(10:10,$8:$8,"&gt;="&amp;DATE(YEAR(DA$8),1,1),$8:$8,"&lt;="&amp;EOMONTH(DA$8,0))</f>
        <v/>
      </c>
      <c r="DB97" s="1318">
        <f>SUMIFS(46:46,$8:$8,"&gt;="&amp;DATE(YEAR(DB$8),1,1),$8:$8,"&lt;="&amp;EOMONTH(DB$8,0))/SUMIFS(10:10,$8:$8,"&gt;="&amp;DATE(YEAR(DB$8),1,1),$8:$8,"&lt;="&amp;EOMONTH(DB$8,0))</f>
        <v/>
      </c>
      <c r="DC97" s="1318">
        <f>SUMIFS(46:46,$8:$8,"&gt;="&amp;DATE(YEAR(DC$8),1,1),$8:$8,"&lt;="&amp;EOMONTH(DC$8,0))/SUMIFS(10:10,$8:$8,"&gt;="&amp;DATE(YEAR(DC$8),1,1),$8:$8,"&lt;="&amp;EOMONTH(DC$8,0))</f>
        <v/>
      </c>
      <c r="DD97" s="1318">
        <f>SUMIFS(46:46,$8:$8,"&gt;="&amp;DATE(YEAR(DD$8),1,1),$8:$8,"&lt;="&amp;EOMONTH(DD$8,0))/SUMIFS(10:10,$8:$8,"&gt;="&amp;DATE(YEAR(DD$8),1,1),$8:$8,"&lt;="&amp;EOMONTH(DD$8,0))</f>
        <v/>
      </c>
      <c r="DE97" s="1318">
        <f>SUMIFS(46:46,$8:$8,"&gt;="&amp;DATE(YEAR(DE$8),1,1),$8:$8,"&lt;="&amp;EOMONTH(DE$8,0))/SUMIFS(10:10,$8:$8,"&gt;="&amp;DATE(YEAR(DE$8),1,1),$8:$8,"&lt;="&amp;EOMONTH(DE$8,0))</f>
        <v/>
      </c>
      <c r="DF97" s="1318">
        <f>SUMIFS(46:46,$8:$8,"&gt;="&amp;DATE(YEAR(DF$8),1,1),$8:$8,"&lt;="&amp;EOMONTH(DF$8,0))/SUMIFS(10:10,$8:$8,"&gt;="&amp;DATE(YEAR(DF$8),1,1),$8:$8,"&lt;="&amp;EOMONTH(DF$8,0))</f>
        <v/>
      </c>
      <c r="DG97" s="1318">
        <f>SUMIFS(46:46,$8:$8,"&gt;="&amp;DATE(YEAR(DG$8),1,1),$8:$8,"&lt;="&amp;EOMONTH(DG$8,0))/SUMIFS(10:10,$8:$8,"&gt;="&amp;DATE(YEAR(DG$8),1,1),$8:$8,"&lt;="&amp;EOMONTH(DG$8,0))</f>
        <v/>
      </c>
      <c r="DH97" s="1318">
        <f>SUMIFS(46:46,$8:$8,"&gt;="&amp;DATE(YEAR(DH$8),1,1),$8:$8,"&lt;="&amp;EOMONTH(DH$8,0))/SUMIFS(10:10,$8:$8,"&gt;="&amp;DATE(YEAR(DH$8),1,1),$8:$8,"&lt;="&amp;EOMONTH(DH$8,0))</f>
        <v/>
      </c>
      <c r="DI97" s="1318">
        <f>SUMIFS(46:46,$8:$8,"&gt;="&amp;DATE(YEAR(DI$8),1,1),$8:$8,"&lt;="&amp;EOMONTH(DI$8,0))/SUMIFS(10:10,$8:$8,"&gt;="&amp;DATE(YEAR(DI$8),1,1),$8:$8,"&lt;="&amp;EOMONTH(DI$8,0))</f>
        <v/>
      </c>
      <c r="DJ97" s="1318">
        <f>SUMIFS(46:46,$8:$8,"&gt;="&amp;DATE(YEAR(DJ$8),1,1),$8:$8,"&lt;="&amp;EOMONTH(DJ$8,0))/SUMIFS(10:10,$8:$8,"&gt;="&amp;DATE(YEAR(DJ$8),1,1),$8:$8,"&lt;="&amp;EOMONTH(DJ$8,0))</f>
        <v/>
      </c>
      <c r="DK97" s="1318">
        <f>SUMIFS(46:46,$8:$8,"&gt;="&amp;DATE(YEAR(DK$8),1,1),$8:$8,"&lt;="&amp;EOMONTH(DK$8,0))/SUMIFS(10:10,$8:$8,"&gt;="&amp;DATE(YEAR(DK$8),1,1),$8:$8,"&lt;="&amp;EOMONTH(DK$8,0))</f>
        <v/>
      </c>
      <c r="DL97" s="1318">
        <f>SUMIFS(46:46,$8:$8,"&gt;="&amp;DATE(YEAR(DL$8),1,1),$8:$8,"&lt;="&amp;EOMONTH(DL$8,0))/SUMIFS(10:10,$8:$8,"&gt;="&amp;DATE(YEAR(DL$8),1,1),$8:$8,"&lt;="&amp;EOMONTH(DL$8,0))</f>
        <v/>
      </c>
      <c r="DM97" s="1318">
        <f>SUMIFS(46:46,$8:$8,"&gt;="&amp;DATE(YEAR(DM$8),1,1),$8:$8,"&lt;="&amp;EOMONTH(DM$8,0))/SUMIFS(10:10,$8:$8,"&gt;="&amp;DATE(YEAR(DM$8),1,1),$8:$8,"&lt;="&amp;EOMONTH(DM$8,0))</f>
        <v/>
      </c>
      <c r="DN97" s="1318">
        <f>SUMIFS(46:46,$8:$8,"&gt;="&amp;DATE(YEAR(DN$8),1,1),$8:$8,"&lt;="&amp;EOMONTH(DN$8,0))/SUMIFS(10:10,$8:$8,"&gt;="&amp;DATE(YEAR(DN$8),1,1),$8:$8,"&lt;="&amp;EOMONTH(DN$8,0))</f>
        <v/>
      </c>
      <c r="DO97" s="1318">
        <f>SUMIFS(46:46,$8:$8,"&gt;="&amp;DATE(YEAR(DO$8),1,1),$8:$8,"&lt;="&amp;EOMONTH(DO$8,0))/SUMIFS(10:10,$8:$8,"&gt;="&amp;DATE(YEAR(DO$8),1,1),$8:$8,"&lt;="&amp;EOMONTH(DO$8,0))</f>
        <v/>
      </c>
      <c r="DP97" s="1318">
        <f>SUMIFS(46:46,$8:$8,"&gt;="&amp;DATE(YEAR(DP$8),1,1),$8:$8,"&lt;="&amp;EOMONTH(DP$8,0))/SUMIFS(10:10,$8:$8,"&gt;="&amp;DATE(YEAR(DP$8),1,1),$8:$8,"&lt;="&amp;EOMONTH(DP$8,0))</f>
        <v/>
      </c>
      <c r="DQ97" s="1318">
        <f>SUMIFS(46:46,$8:$8,"&gt;="&amp;DATE(YEAR(DQ$8),1,1),$8:$8,"&lt;="&amp;EOMONTH(DQ$8,0))/SUMIFS(10:10,$8:$8,"&gt;="&amp;DATE(YEAR(DQ$8),1,1),$8:$8,"&lt;="&amp;EOMONTH(DQ$8,0))</f>
        <v/>
      </c>
      <c r="DR97" s="1318">
        <f>SUMIFS(46:46,$8:$8,"&gt;="&amp;DATE(YEAR(DR$8),1,1),$8:$8,"&lt;="&amp;EOMONTH(DR$8,0))/SUMIFS(10:10,$8:$8,"&gt;="&amp;DATE(YEAR(DR$8),1,1),$8:$8,"&lt;="&amp;EOMONTH(DR$8,0))</f>
        <v/>
      </c>
      <c r="DS97" s="1318">
        <f>SUMIFS(46:46,$8:$8,"&gt;="&amp;DATE(YEAR(DS$8),1,1),$8:$8,"&lt;="&amp;EOMONTH(DS$8,0))/SUMIFS(10:10,$8:$8,"&gt;="&amp;DATE(YEAR(DS$8),1,1),$8:$8,"&lt;="&amp;EOMONTH(DS$8,0))</f>
        <v/>
      </c>
      <c r="DT97" s="1318">
        <f>SUMIFS(46:46,$8:$8,"&gt;="&amp;DATE(YEAR(DT$8),1,1),$8:$8,"&lt;="&amp;EOMONTH(DT$8,0))/SUMIFS(10:10,$8:$8,"&gt;="&amp;DATE(YEAR(DT$8),1,1),$8:$8,"&lt;="&amp;EOMONTH(DT$8,0))</f>
        <v/>
      </c>
      <c r="DU97" s="1318">
        <f>SUMIFS(46:46,$8:$8,"&gt;="&amp;DATE(YEAR(DU$8),1,1),$8:$8,"&lt;="&amp;EOMONTH(DU$8,0))/SUMIFS(10:10,$8:$8,"&gt;="&amp;DATE(YEAR(DU$8),1,1),$8:$8,"&lt;="&amp;EOMONTH(DU$8,0))</f>
        <v/>
      </c>
      <c r="DV97" s="1318">
        <f>SUMIFS(46:46,$8:$8,"&gt;="&amp;DATE(YEAR(DV$8),1,1),$8:$8,"&lt;="&amp;EOMONTH(DV$8,0))/SUMIFS(10:10,$8:$8,"&gt;="&amp;DATE(YEAR(DV$8),1,1),$8:$8,"&lt;="&amp;EOMONTH(DV$8,0))</f>
        <v/>
      </c>
      <c r="DW97" s="1318">
        <f>SUMIFS(46:46,$8:$8,"&gt;="&amp;DATE(YEAR(DW$8),1,1),$8:$8,"&lt;="&amp;EOMONTH(DW$8,0))/SUMIFS(10:10,$8:$8,"&gt;="&amp;DATE(YEAR(DW$8),1,1),$8:$8,"&lt;="&amp;EOMONTH(DW$8,0))</f>
        <v/>
      </c>
      <c r="DX97" s="1318">
        <f>SUMIFS(46:46,$8:$8,"&gt;="&amp;DATE(YEAR(DX$8),1,1),$8:$8,"&lt;="&amp;EOMONTH(DX$8,0))/SUMIFS(10:10,$8:$8,"&gt;="&amp;DATE(YEAR(DX$8),1,1),$8:$8,"&lt;="&amp;EOMONTH(DX$8,0))</f>
        <v/>
      </c>
      <c r="DY97" s="1318">
        <f>SUMIFS(46:46,$8:$8,"&gt;="&amp;DATE(YEAR(DY$8),1,1),$8:$8,"&lt;="&amp;EOMONTH(DY$8,0))/SUMIFS(10:10,$8:$8,"&gt;="&amp;DATE(YEAR(DY$8),1,1),$8:$8,"&lt;="&amp;EOMONTH(DY$8,0))</f>
        <v/>
      </c>
      <c r="DZ97" s="1318">
        <f>SUMIFS(46:46,$8:$8,"&gt;="&amp;DATE(YEAR(DZ$8),1,1),$8:$8,"&lt;="&amp;EOMONTH(DZ$8,0))/SUMIFS(10:10,$8:$8,"&gt;="&amp;DATE(YEAR(DZ$8),1,1),$8:$8,"&lt;="&amp;EOMONTH(DZ$8,0))</f>
        <v/>
      </c>
      <c r="EA97" s="1318">
        <f>SUMIFS(46:46,$8:$8,"&gt;="&amp;DATE(YEAR(EA$8),1,1),$8:$8,"&lt;="&amp;EOMONTH(EA$8,0))/SUMIFS(10:10,$8:$8,"&gt;="&amp;DATE(YEAR(EA$8),1,1),$8:$8,"&lt;="&amp;EOMONTH(EA$8,0))</f>
        <v/>
      </c>
      <c r="EB97" s="1318">
        <f>SUMIFS(46:46,$8:$8,"&gt;="&amp;DATE(YEAR(EB$8),1,1),$8:$8,"&lt;="&amp;EOMONTH(EB$8,0))/SUMIFS(10:10,$8:$8,"&gt;="&amp;DATE(YEAR(EB$8),1,1),$8:$8,"&lt;="&amp;EOMONTH(EB$8,0))</f>
        <v/>
      </c>
      <c r="EC97" s="1318">
        <f>SUMIFS(46:46,$8:$8,"&gt;="&amp;DATE(YEAR(EC$8),1,1),$8:$8,"&lt;="&amp;EOMONTH(EC$8,0))/SUMIFS(10:10,$8:$8,"&gt;="&amp;DATE(YEAR(EC$8),1,1),$8:$8,"&lt;="&amp;EOMONTH(EC$8,0))</f>
        <v/>
      </c>
      <c r="ED97" s="1318">
        <f>SUMIFS(46:46,$8:$8,"&gt;="&amp;DATE(YEAR(ED$8),1,1),$8:$8,"&lt;="&amp;EOMONTH(ED$8,0))/SUMIFS(10:10,$8:$8,"&gt;="&amp;DATE(YEAR(ED$8),1,1),$8:$8,"&lt;="&amp;EOMONTH(ED$8,0))</f>
        <v/>
      </c>
      <c r="EE97" s="1318">
        <f>SUMIFS(46:46,$8:$8,"&gt;="&amp;DATE(YEAR(EE$8),1,1),$8:$8,"&lt;="&amp;EOMONTH(EE$8,0))/SUMIFS(10:10,$8:$8,"&gt;="&amp;DATE(YEAR(EE$8),1,1),$8:$8,"&lt;="&amp;EOMONTH(EE$8,0))</f>
        <v/>
      </c>
      <c r="EF97" s="1318">
        <f>SUMIFS(46:46,$8:$8,"&gt;="&amp;DATE(YEAR(EF$8),1,1),$8:$8,"&lt;="&amp;EOMONTH(EF$8,0))/SUMIFS(10:10,$8:$8,"&gt;="&amp;DATE(YEAR(EF$8),1,1),$8:$8,"&lt;="&amp;EOMONTH(EF$8,0))</f>
        <v/>
      </c>
      <c r="EG97" s="1318">
        <f>SUMIFS(46:46,$8:$8,"&gt;="&amp;DATE(YEAR(EG$8),1,1),$8:$8,"&lt;="&amp;EOMONTH(EG$8,0))/SUMIFS(10:10,$8:$8,"&gt;="&amp;DATE(YEAR(EG$8),1,1),$8:$8,"&lt;="&amp;EOMONTH(EG$8,0))</f>
        <v/>
      </c>
      <c r="EH97" s="1318">
        <f>SUMIFS(46:46,$8:$8,"&gt;="&amp;DATE(YEAR(EH$8),1,1),$8:$8,"&lt;="&amp;EOMONTH(EH$8,0))/SUMIFS(10:10,$8:$8,"&gt;="&amp;DATE(YEAR(EH$8),1,1),$8:$8,"&lt;="&amp;EOMONTH(EH$8,0))</f>
        <v/>
      </c>
      <c r="EI97" s="1318">
        <f>SUMIFS(46:46,$8:$8,"&gt;="&amp;DATE(YEAR(EI$8),1,1),$8:$8,"&lt;="&amp;EOMONTH(EI$8,0))/SUMIFS(10:10,$8:$8,"&gt;="&amp;DATE(YEAR(EI$8),1,1),$8:$8,"&lt;="&amp;EOMONTH(EI$8,0))</f>
        <v/>
      </c>
      <c r="EJ97" s="1318">
        <f>SUMIFS(46:46,$8:$8,"&gt;="&amp;DATE(YEAR(EJ$8),1,1),$8:$8,"&lt;="&amp;EOMONTH(EJ$8,0))/SUMIFS(10:10,$8:$8,"&gt;="&amp;DATE(YEAR(EJ$8),1,1),$8:$8,"&lt;="&amp;EOMONTH(EJ$8,0))</f>
        <v/>
      </c>
      <c r="EK97" s="1318">
        <f>SUMIFS(46:46,$8:$8,"&gt;="&amp;DATE(YEAR(EK$8),1,1),$8:$8,"&lt;="&amp;EOMONTH(EK$8,0))/SUMIFS(10:10,$8:$8,"&gt;="&amp;DATE(YEAR(EK$8),1,1),$8:$8,"&lt;="&amp;EOMONTH(EK$8,0))</f>
        <v/>
      </c>
      <c r="EL97" s="1318">
        <f>SUMIFS(46:46,$8:$8,"&gt;="&amp;DATE(YEAR(EL$8),1,1),$8:$8,"&lt;="&amp;EOMONTH(EL$8,0))/SUMIFS(10:10,$8:$8,"&gt;="&amp;DATE(YEAR(EL$8),1,1),$8:$8,"&lt;="&amp;EOMONTH(EL$8,0))</f>
        <v/>
      </c>
      <c r="EM97" s="1318">
        <f>SUMIFS(46:46,$8:$8,"&gt;="&amp;DATE(YEAR(EM$8),1,1),$8:$8,"&lt;="&amp;EOMONTH(EM$8,0))/SUMIFS(10:10,$8:$8,"&gt;="&amp;DATE(YEAR(EM$8),1,1),$8:$8,"&lt;="&amp;EOMONTH(EM$8,0))</f>
        <v/>
      </c>
      <c r="EN97" s="1318">
        <f>SUMIFS(46:46,$8:$8,"&gt;="&amp;DATE(YEAR(EN$8),1,1),$8:$8,"&lt;="&amp;EOMONTH(EN$8,0))/SUMIFS(10:10,$8:$8,"&gt;="&amp;DATE(YEAR(EN$8),1,1),$8:$8,"&lt;="&amp;EOMONTH(EN$8,0))</f>
        <v/>
      </c>
      <c r="EO97" s="1318">
        <f>SUMIFS(46:46,$8:$8,"&gt;="&amp;DATE(YEAR(EO$8),1,1),$8:$8,"&lt;="&amp;EOMONTH(EO$8,0))/SUMIFS(10:10,$8:$8,"&gt;="&amp;DATE(YEAR(EO$8),1,1),$8:$8,"&lt;="&amp;EOMONTH(EO$8,0))</f>
        <v/>
      </c>
      <c r="EP97" s="1318">
        <f>SUMIFS(46:46,$8:$8,"&gt;="&amp;DATE(YEAR(EP$8),1,1),$8:$8,"&lt;="&amp;EOMONTH(EP$8,0))/SUMIFS(10:10,$8:$8,"&gt;="&amp;DATE(YEAR(EP$8),1,1),$8:$8,"&lt;="&amp;EOMONTH(EP$8,0))</f>
        <v/>
      </c>
      <c r="EQ97" s="1318">
        <f>SUMIFS(46:46,$8:$8,"&gt;="&amp;DATE(YEAR(EQ$8),1,1),$8:$8,"&lt;="&amp;EOMONTH(EQ$8,0))/SUMIFS(10:10,$8:$8,"&gt;="&amp;DATE(YEAR(EQ$8),1,1),$8:$8,"&lt;="&amp;EOMONTH(EQ$8,0))</f>
        <v/>
      </c>
      <c r="ER97" s="1318">
        <f>SUMIFS(46:46,$8:$8,"&gt;="&amp;DATE(YEAR(ER$8),1,1),$8:$8,"&lt;="&amp;EOMONTH(ER$8,0))/SUMIFS(10:10,$8:$8,"&gt;="&amp;DATE(YEAR(ER$8),1,1),$8:$8,"&lt;="&amp;EOMONTH(ER$8,0))</f>
        <v/>
      </c>
      <c r="ES97" s="1318">
        <f>SUMIFS(46:46,$8:$8,"&gt;="&amp;DATE(YEAR(ES$8),1,1),$8:$8,"&lt;="&amp;EOMONTH(ES$8,0))/SUMIFS(10:10,$8:$8,"&gt;="&amp;DATE(YEAR(ES$8),1,1),$8:$8,"&lt;="&amp;EOMONTH(ES$8,0))</f>
        <v/>
      </c>
      <c r="ET97" s="1318">
        <f>SUMIFS(46:46,$8:$8,"&gt;="&amp;DATE(YEAR(ET$8),1,1),$8:$8,"&lt;="&amp;EOMONTH(ET$8,0))/SUMIFS(10:10,$8:$8,"&gt;="&amp;DATE(YEAR(ET$8),1,1),$8:$8,"&lt;="&amp;EOMONTH(ET$8,0))</f>
        <v/>
      </c>
      <c r="EU97" s="1318">
        <f>SUMIFS(46:46,$8:$8,"&gt;="&amp;DATE(YEAR(EU$8),1,1),$8:$8,"&lt;="&amp;EOMONTH(EU$8,0))/SUMIFS(10:10,$8:$8,"&gt;="&amp;DATE(YEAR(EU$8),1,1),$8:$8,"&lt;="&amp;EOMONTH(EU$8,0))</f>
        <v/>
      </c>
      <c r="EV97" s="1318">
        <f>SUMIFS(46:46,$8:$8,"&gt;="&amp;DATE(YEAR(EV$8),1,1),$8:$8,"&lt;="&amp;EOMONTH(EV$8,0))/SUMIFS(10:10,$8:$8,"&gt;="&amp;DATE(YEAR(EV$8),1,1),$8:$8,"&lt;="&amp;EOMONTH(EV$8,0))</f>
        <v/>
      </c>
      <c r="EW97" s="1318">
        <f>SUMIFS(46:46,$8:$8,"&gt;="&amp;DATE(YEAR(EW$8),1,1),$8:$8,"&lt;="&amp;EOMONTH(EW$8,0))/SUMIFS(10:10,$8:$8,"&gt;="&amp;DATE(YEAR(EW$8),1,1),$8:$8,"&lt;="&amp;EOMONTH(EW$8,0))</f>
        <v/>
      </c>
      <c r="EX97" s="1318">
        <f>SUMIFS(46:46,$8:$8,"&gt;="&amp;DATE(YEAR(EX$8),1,1),$8:$8,"&lt;="&amp;EOMONTH(EX$8,0))/SUMIFS(10:10,$8:$8,"&gt;="&amp;DATE(YEAR(EX$8),1,1),$8:$8,"&lt;="&amp;EOMONTH(EX$8,0))</f>
        <v/>
      </c>
      <c r="EY97" s="1318">
        <f>SUMIFS(46:46,$8:$8,"&gt;="&amp;DATE(YEAR(EY$8),1,1),$8:$8,"&lt;="&amp;EOMONTH(EY$8,0))/SUMIFS(10:10,$8:$8,"&gt;="&amp;DATE(YEAR(EY$8),1,1),$8:$8,"&lt;="&amp;EOMONTH(EY$8,0))</f>
        <v/>
      </c>
      <c r="EZ97" s="1318">
        <f>SUMIFS(46:46,$8:$8,"&gt;="&amp;DATE(YEAR(EZ$8),1,1),$8:$8,"&lt;="&amp;EOMONTH(EZ$8,0))/SUMIFS(10:10,$8:$8,"&gt;="&amp;DATE(YEAR(EZ$8),1,1),$8:$8,"&lt;="&amp;EOMONTH(EZ$8,0))</f>
        <v/>
      </c>
      <c r="FA97" s="1318">
        <f>SUMIFS(46:46,$8:$8,"&gt;="&amp;DATE(YEAR(FA$8),1,1),$8:$8,"&lt;="&amp;EOMONTH(FA$8,0))/SUMIFS(10:10,$8:$8,"&gt;="&amp;DATE(YEAR(FA$8),1,1),$8:$8,"&lt;="&amp;EOMONTH(FA$8,0))</f>
        <v/>
      </c>
      <c r="FB97" s="1318">
        <f>SUMIFS(46:46,$8:$8,"&gt;="&amp;DATE(YEAR(FB$8),1,1),$8:$8,"&lt;="&amp;EOMONTH(FB$8,0))/SUMIFS(10:10,$8:$8,"&gt;="&amp;DATE(YEAR(FB$8),1,1),$8:$8,"&lt;="&amp;EOMONTH(FB$8,0))</f>
        <v/>
      </c>
      <c r="FC97" s="1318">
        <f>SUMIFS(46:46,$8:$8,"&gt;="&amp;DATE(YEAR(FC$8),1,1),$8:$8,"&lt;="&amp;EOMONTH(FC$8,0))/SUMIFS(10:10,$8:$8,"&gt;="&amp;DATE(YEAR(FC$8),1,1),$8:$8,"&lt;="&amp;EOMONTH(FC$8,0))</f>
        <v/>
      </c>
      <c r="FD97" s="1318">
        <f>SUMIFS(46:46,$8:$8,"&gt;="&amp;DATE(YEAR(FD$8),1,1),$8:$8,"&lt;="&amp;EOMONTH(FD$8,0))/SUMIFS(10:10,$8:$8,"&gt;="&amp;DATE(YEAR(FD$8),1,1),$8:$8,"&lt;="&amp;EOMONTH(FD$8,0))</f>
        <v/>
      </c>
      <c r="FE97" s="1318">
        <f>SUMIFS(46:46,$8:$8,"&gt;="&amp;DATE(YEAR(FE$8),1,1),$8:$8,"&lt;="&amp;EOMONTH(FE$8,0))/SUMIFS(10:10,$8:$8,"&gt;="&amp;DATE(YEAR(FE$8),1,1),$8:$8,"&lt;="&amp;EOMONTH(FE$8,0))</f>
        <v/>
      </c>
      <c r="FF97" s="1318">
        <f>SUMIFS(46:46,$8:$8,"&gt;="&amp;DATE(YEAR(FF$8),1,1),$8:$8,"&lt;="&amp;EOMONTH(FF$8,0))/SUMIFS(10:10,$8:$8,"&gt;="&amp;DATE(YEAR(FF$8),1,1),$8:$8,"&lt;="&amp;EOMONTH(FF$8,0))</f>
        <v/>
      </c>
      <c r="FG97" s="1318">
        <f>SUMIFS(46:46,$8:$8,"&gt;="&amp;DATE(YEAR(FG$8),1,1),$8:$8,"&lt;="&amp;EOMONTH(FG$8,0))/SUMIFS(10:10,$8:$8,"&gt;="&amp;DATE(YEAR(FG$8),1,1),$8:$8,"&lt;="&amp;EOMONTH(FG$8,0))</f>
        <v/>
      </c>
      <c r="FH97" s="1318">
        <f>SUMIFS(46:46,$8:$8,"&gt;="&amp;DATE(YEAR(FH$8),1,1),$8:$8,"&lt;="&amp;EOMONTH(FH$8,0))/SUMIFS(10:10,$8:$8,"&gt;="&amp;DATE(YEAR(FH$8),1,1),$8:$8,"&lt;="&amp;EOMONTH(FH$8,0))</f>
        <v/>
      </c>
      <c r="FI97" s="1318">
        <f>SUMIFS(46:46,$8:$8,"&gt;="&amp;DATE(YEAR(FI$8),1,1),$8:$8,"&lt;="&amp;EOMONTH(FI$8,0))/SUMIFS(10:10,$8:$8,"&gt;="&amp;DATE(YEAR(FI$8),1,1),$8:$8,"&lt;="&amp;EOMONTH(FI$8,0))</f>
        <v/>
      </c>
      <c r="FJ97" s="1318">
        <f>SUMIFS(46:46,$8:$8,"&gt;="&amp;DATE(YEAR(FJ$8),1,1),$8:$8,"&lt;="&amp;EOMONTH(FJ$8,0))/SUMIFS(10:10,$8:$8,"&gt;="&amp;DATE(YEAR(FJ$8),1,1),$8:$8,"&lt;="&amp;EOMONTH(FJ$8,0))</f>
        <v/>
      </c>
      <c r="FK97" s="1318">
        <f>SUMIFS(46:46,$8:$8,"&gt;="&amp;DATE(YEAR(FK$8),1,1),$8:$8,"&lt;="&amp;EOMONTH(FK$8,0))/SUMIFS(10:10,$8:$8,"&gt;="&amp;DATE(YEAR(FK$8),1,1),$8:$8,"&lt;="&amp;EOMONTH(FK$8,0))</f>
        <v/>
      </c>
      <c r="FL97" s="1318">
        <f>SUMIFS(46:46,$8:$8,"&gt;="&amp;DATE(YEAR(FL$8),1,1),$8:$8,"&lt;="&amp;EOMONTH(FL$8,0))/SUMIFS(10:10,$8:$8,"&gt;="&amp;DATE(YEAR(FL$8),1,1),$8:$8,"&lt;="&amp;EOMONTH(FL$8,0))</f>
        <v/>
      </c>
      <c r="FM97" s="1318">
        <f>SUMIFS(46:46,$8:$8,"&gt;="&amp;DATE(YEAR(FM$8),1,1),$8:$8,"&lt;="&amp;EOMONTH(FM$8,0))/SUMIFS(10:10,$8:$8,"&gt;="&amp;DATE(YEAR(FM$8),1,1),$8:$8,"&lt;="&amp;EOMONTH(FM$8,0))</f>
        <v/>
      </c>
      <c r="FN97" s="1318">
        <f>SUMIFS(46:46,$8:$8,"&gt;="&amp;DATE(YEAR(FN$8),1,1),$8:$8,"&lt;="&amp;EOMONTH(FN$8,0))/SUMIFS(10:10,$8:$8,"&gt;="&amp;DATE(YEAR(FN$8),1,1),$8:$8,"&lt;="&amp;EOMONTH(FN$8,0))</f>
        <v/>
      </c>
      <c r="FO97" s="1318">
        <f>SUMIFS(46:46,$8:$8,"&gt;="&amp;DATE(YEAR(FO$8),1,1),$8:$8,"&lt;="&amp;EOMONTH(FO$8,0))/SUMIFS(10:10,$8:$8,"&gt;="&amp;DATE(YEAR(FO$8),1,1),$8:$8,"&lt;="&amp;EOMONTH(FO$8,0))</f>
        <v/>
      </c>
      <c r="FP97" s="1318">
        <f>SUMIFS(46:46,$8:$8,"&gt;="&amp;DATE(YEAR(FP$8),1,1),$8:$8,"&lt;="&amp;EOMONTH(FP$8,0))/SUMIFS(10:10,$8:$8,"&gt;="&amp;DATE(YEAR(FP$8),1,1),$8:$8,"&lt;="&amp;EOMONTH(FP$8,0))</f>
        <v/>
      </c>
      <c r="FQ97" s="1318">
        <f>SUMIFS(46:46,$8:$8,"&gt;="&amp;DATE(YEAR(FQ$8),1,1),$8:$8,"&lt;="&amp;EOMONTH(FQ$8,0))/SUMIFS(10:10,$8:$8,"&gt;="&amp;DATE(YEAR(FQ$8),1,1),$8:$8,"&lt;="&amp;EOMONTH(FQ$8,0))</f>
        <v/>
      </c>
      <c r="FR97" s="1318">
        <f>SUMIFS(46:46,$8:$8,"&gt;="&amp;DATE(YEAR(FR$8),1,1),$8:$8,"&lt;="&amp;EOMONTH(FR$8,0))/SUMIFS(10:10,$8:$8,"&gt;="&amp;DATE(YEAR(FR$8),1,1),$8:$8,"&lt;="&amp;EOMONTH(FR$8,0))</f>
        <v/>
      </c>
      <c r="FS97" s="1318">
        <f>SUMIFS(46:46,$8:$8,"&gt;="&amp;DATE(YEAR(FS$8),1,1),$8:$8,"&lt;="&amp;EOMONTH(FS$8,0))/SUMIFS(10:10,$8:$8,"&gt;="&amp;DATE(YEAR(FS$8),1,1),$8:$8,"&lt;="&amp;EOMONTH(FS$8,0))</f>
        <v/>
      </c>
      <c r="FT97" s="1318">
        <f>SUMIFS(46:46,$8:$8,"&gt;="&amp;DATE(YEAR(FT$8),1,1),$8:$8,"&lt;="&amp;EOMONTH(FT$8,0))/SUMIFS(10:10,$8:$8,"&gt;="&amp;DATE(YEAR(FT$8),1,1),$8:$8,"&lt;="&amp;EOMONTH(FT$8,0))</f>
        <v/>
      </c>
      <c r="FU97" s="1318">
        <f>SUMIFS(46:46,$8:$8,"&gt;="&amp;DATE(YEAR(FU$8),1,1),$8:$8,"&lt;="&amp;EOMONTH(FU$8,0))/SUMIFS(10:10,$8:$8,"&gt;="&amp;DATE(YEAR(FU$8),1,1),$8:$8,"&lt;="&amp;EOMONTH(FU$8,0))</f>
        <v/>
      </c>
      <c r="FV97" s="1318">
        <f>SUMIFS(46:46,$8:$8,"&gt;="&amp;DATE(YEAR(FV$8),1,1),$8:$8,"&lt;="&amp;EOMONTH(FV$8,0))/SUMIFS(10:10,$8:$8,"&gt;="&amp;DATE(YEAR(FV$8),1,1),$8:$8,"&lt;="&amp;EOMONTH(FV$8,0))</f>
        <v/>
      </c>
      <c r="FW97" s="1318">
        <f>SUMIFS(46:46,$8:$8,"&gt;="&amp;DATE(YEAR(FW$8),1,1),$8:$8,"&lt;="&amp;EOMONTH(FW$8,0))/SUMIFS(10:10,$8:$8,"&gt;="&amp;DATE(YEAR(FW$8),1,1),$8:$8,"&lt;="&amp;EOMONTH(FW$8,0))</f>
        <v/>
      </c>
      <c r="FX97" s="1318">
        <f>SUMIFS(46:46,$8:$8,"&gt;="&amp;DATE(YEAR(FX$8),1,1),$8:$8,"&lt;="&amp;EOMONTH(FX$8,0))/SUMIFS(10:10,$8:$8,"&gt;="&amp;DATE(YEAR(FX$8),1,1),$8:$8,"&lt;="&amp;EOMONTH(FX$8,0))</f>
        <v/>
      </c>
      <c r="FY97" s="1318">
        <f>SUMIFS(46:46,$8:$8,"&gt;="&amp;DATE(YEAR(FY$8),1,1),$8:$8,"&lt;="&amp;EOMONTH(FY$8,0))/SUMIFS(10:10,$8:$8,"&gt;="&amp;DATE(YEAR(FY$8),1,1),$8:$8,"&lt;="&amp;EOMONTH(FY$8,0))</f>
        <v/>
      </c>
      <c r="FZ97" s="1318">
        <f>SUMIFS(46:46,$8:$8,"&gt;="&amp;DATE(YEAR(FZ$8),1,1),$8:$8,"&lt;="&amp;EOMONTH(FZ$8,0))/SUMIFS(10:10,$8:$8,"&gt;="&amp;DATE(YEAR(FZ$8),1,1),$8:$8,"&lt;="&amp;EOMONTH(FZ$8,0))</f>
        <v/>
      </c>
      <c r="GA97" s="1318">
        <f>SUMIFS(46:46,$8:$8,"&gt;="&amp;DATE(YEAR(GA$8),1,1),$8:$8,"&lt;="&amp;EOMONTH(GA$8,0))/SUMIFS(10:10,$8:$8,"&gt;="&amp;DATE(YEAR(GA$8),1,1),$8:$8,"&lt;="&amp;EOMONTH(GA$8,0))</f>
        <v/>
      </c>
      <c r="GB97" s="1318">
        <f>SUMIFS(46:46,$8:$8,"&gt;="&amp;DATE(YEAR(GB$8),1,1),$8:$8,"&lt;="&amp;EOMONTH(GB$8,0))/SUMIFS(10:10,$8:$8,"&gt;="&amp;DATE(YEAR(GB$8),1,1),$8:$8,"&lt;="&amp;EOMONTH(GB$8,0))</f>
        <v/>
      </c>
      <c r="GC97" s="1318">
        <f>SUMIFS(46:46,$8:$8,"&gt;="&amp;DATE(YEAR(GC$8),1,1),$8:$8,"&lt;="&amp;EOMONTH(GC$8,0))/SUMIFS(10:10,$8:$8,"&gt;="&amp;DATE(YEAR(GC$8),1,1),$8:$8,"&lt;="&amp;EOMONTH(GC$8,0))</f>
        <v/>
      </c>
      <c r="GD97" s="1318">
        <f>SUMIFS(46:46,$8:$8,"&gt;="&amp;DATE(YEAR(GD$8),1,1),$8:$8,"&lt;="&amp;EOMONTH(GD$8,0))/SUMIFS(10:10,$8:$8,"&gt;="&amp;DATE(YEAR(GD$8),1,1),$8:$8,"&lt;="&amp;EOMONTH(GD$8,0))</f>
        <v/>
      </c>
      <c r="GE97" s="1318">
        <f>SUMIFS(46:46,$8:$8,"&gt;="&amp;DATE(YEAR(GE$8),1,1),$8:$8,"&lt;="&amp;EOMONTH(GE$8,0))/SUMIFS(10:10,$8:$8,"&gt;="&amp;DATE(YEAR(GE$8),1,1),$8:$8,"&lt;="&amp;EOMONTH(GE$8,0))</f>
        <v/>
      </c>
      <c r="GF97" s="1318">
        <f>SUMIFS(46:46,$8:$8,"&gt;="&amp;DATE(YEAR(GF$8),1,1),$8:$8,"&lt;="&amp;EOMONTH(GF$8,0))/SUMIFS(10:10,$8:$8,"&gt;="&amp;DATE(YEAR(GF$8),1,1),$8:$8,"&lt;="&amp;EOMONTH(GF$8,0))</f>
        <v/>
      </c>
      <c r="GG97" s="1318">
        <f>SUMIFS(46:46,$8:$8,"&gt;="&amp;DATE(YEAR(GG$8),1,1),$8:$8,"&lt;="&amp;EOMONTH(GG$8,0))/SUMIFS(10:10,$8:$8,"&gt;="&amp;DATE(YEAR(GG$8),1,1),$8:$8,"&lt;="&amp;EOMONTH(GG$8,0))</f>
        <v/>
      </c>
      <c r="GH97" s="1318">
        <f>SUMIFS(46:46,$8:$8,"&gt;="&amp;DATE(YEAR(GH$8),1,1),$8:$8,"&lt;="&amp;EOMONTH(GH$8,0))/SUMIFS(10:10,$8:$8,"&gt;="&amp;DATE(YEAR(GH$8),1,1),$8:$8,"&lt;="&amp;EOMONTH(GH$8,0))</f>
        <v/>
      </c>
      <c r="GI97" s="1318">
        <f>SUMIFS(46:46,$8:$8,"&gt;="&amp;DATE(YEAR(GI$8),1,1),$8:$8,"&lt;="&amp;EOMONTH(GI$8,0))/SUMIFS(10:10,$8:$8,"&gt;="&amp;DATE(YEAR(GI$8),1,1),$8:$8,"&lt;="&amp;EOMONTH(GI$8,0))</f>
        <v/>
      </c>
      <c r="GJ97" s="1318">
        <f>SUMIFS(46:46,$8:$8,"&gt;="&amp;DATE(YEAR(GJ$8),1,1),$8:$8,"&lt;="&amp;EOMONTH(GJ$8,0))/SUMIFS(10:10,$8:$8,"&gt;="&amp;DATE(YEAR(GJ$8),1,1),$8:$8,"&lt;="&amp;EOMONTH(GJ$8,0))</f>
        <v/>
      </c>
      <c r="GK97" s="1318">
        <f>SUMIFS(46:46,$8:$8,"&gt;="&amp;DATE(YEAR(GK$8),1,1),$8:$8,"&lt;="&amp;EOMONTH(GK$8,0))/SUMIFS(10:10,$8:$8,"&gt;="&amp;DATE(YEAR(GK$8),1,1),$8:$8,"&lt;="&amp;EOMONTH(GK$8,0))</f>
        <v/>
      </c>
      <c r="GL97" s="1318">
        <f>SUMIFS(46:46,$8:$8,"&gt;="&amp;DATE(YEAR(GL$8),1,1),$8:$8,"&lt;="&amp;EOMONTH(GL$8,0))/SUMIFS(10:10,$8:$8,"&gt;="&amp;DATE(YEAR(GL$8),1,1),$8:$8,"&lt;="&amp;EOMONTH(GL$8,0))</f>
        <v/>
      </c>
      <c r="GM97" s="1318">
        <f>SUMIFS(46:46,$8:$8,"&gt;="&amp;DATE(YEAR(GM$8),1,1),$8:$8,"&lt;="&amp;EOMONTH(GM$8,0))/SUMIFS(10:10,$8:$8,"&gt;="&amp;DATE(YEAR(GM$8),1,1),$8:$8,"&lt;="&amp;EOMONTH(GM$8,0))</f>
        <v/>
      </c>
      <c r="GN97" s="1318">
        <f>SUMIFS(46:46,$8:$8,"&gt;="&amp;DATE(YEAR(GN$8),1,1),$8:$8,"&lt;="&amp;EOMONTH(GN$8,0))/SUMIFS(10:10,$8:$8,"&gt;="&amp;DATE(YEAR(GN$8),1,1),$8:$8,"&lt;="&amp;EOMONTH(GN$8,0))</f>
        <v/>
      </c>
      <c r="GO97" s="1318">
        <f>SUMIFS(46:46,$8:$8,"&gt;="&amp;DATE(YEAR(GO$8),1,1),$8:$8,"&lt;="&amp;EOMONTH(GO$8,0))/SUMIFS(10:10,$8:$8,"&gt;="&amp;DATE(YEAR(GO$8),1,1),$8:$8,"&lt;="&amp;EOMONTH(GO$8,0))</f>
        <v/>
      </c>
      <c r="GP97" s="1318">
        <f>SUMIFS(46:46,$8:$8,"&gt;="&amp;DATE(YEAR(GP$8),1,1),$8:$8,"&lt;="&amp;EOMONTH(GP$8,0))/SUMIFS(10:10,$8:$8,"&gt;="&amp;DATE(YEAR(GP$8),1,1),$8:$8,"&lt;="&amp;EOMONTH(GP$8,0))</f>
        <v/>
      </c>
      <c r="GQ97" s="1318">
        <f>SUMIFS(46:46,$8:$8,"&gt;="&amp;DATE(YEAR(GQ$8),1,1),$8:$8,"&lt;="&amp;EOMONTH(GQ$8,0))/SUMIFS(10:10,$8:$8,"&gt;="&amp;DATE(YEAR(GQ$8),1,1),$8:$8,"&lt;="&amp;EOMONTH(GQ$8,0))</f>
        <v/>
      </c>
      <c r="GR97" s="1318">
        <f>SUMIFS(46:46,$8:$8,"&gt;="&amp;DATE(YEAR(GR$8),1,1),$8:$8,"&lt;="&amp;EOMONTH(GR$8,0))/SUMIFS(10:10,$8:$8,"&gt;="&amp;DATE(YEAR(GR$8),1,1),$8:$8,"&lt;="&amp;EOMONTH(GR$8,0))</f>
        <v/>
      </c>
      <c r="GS97" s="1318">
        <f>SUMIFS(46:46,$8:$8,"&gt;="&amp;DATE(YEAR(GS$8),1,1),$8:$8,"&lt;="&amp;EOMONTH(GS$8,0))/SUMIFS(10:10,$8:$8,"&gt;="&amp;DATE(YEAR(GS$8),1,1),$8:$8,"&lt;="&amp;EOMONTH(GS$8,0))</f>
        <v/>
      </c>
      <c r="GT97" s="1318">
        <f>SUMIFS(46:46,$8:$8,"&gt;="&amp;DATE(YEAR(GT$8),1,1),$8:$8,"&lt;="&amp;EOMONTH(GT$8,0))/SUMIFS(10:10,$8:$8,"&gt;="&amp;DATE(YEAR(GT$8),1,1),$8:$8,"&lt;="&amp;EOMONTH(GT$8,0))</f>
        <v/>
      </c>
      <c r="GU97" s="1318">
        <f>SUMIFS(46:46,$8:$8,"&gt;="&amp;DATE(YEAR(GU$8),1,1),$8:$8,"&lt;="&amp;EOMONTH(GU$8,0))/SUMIFS(10:10,$8:$8,"&gt;="&amp;DATE(YEAR(GU$8),1,1),$8:$8,"&lt;="&amp;EOMONTH(GU$8,0))</f>
        <v/>
      </c>
      <c r="GV97" s="1318">
        <f>SUMIFS(46:46,$8:$8,"&gt;="&amp;DATE(YEAR(GV$8),1,1),$8:$8,"&lt;="&amp;EOMONTH(GV$8,0))/SUMIFS(10:10,$8:$8,"&gt;="&amp;DATE(YEAR(GV$8),1,1),$8:$8,"&lt;="&amp;EOMONTH(GV$8,0))</f>
        <v/>
      </c>
      <c r="GW97" s="1318">
        <f>SUMIFS(46:46,$8:$8,"&gt;="&amp;DATE(YEAR(GW$8),1,1),$8:$8,"&lt;="&amp;EOMONTH(GW$8,0))/SUMIFS(10:10,$8:$8,"&gt;="&amp;DATE(YEAR(GW$8),1,1),$8:$8,"&lt;="&amp;EOMONTH(GW$8,0))</f>
        <v/>
      </c>
      <c r="GX97" s="1318">
        <f>SUMIFS(46:46,$8:$8,"&gt;="&amp;DATE(YEAR(GX$8),1,1),$8:$8,"&lt;="&amp;EOMONTH(GX$8,0))/SUMIFS(10:10,$8:$8,"&gt;="&amp;DATE(YEAR(GX$8),1,1),$8:$8,"&lt;="&amp;EOMONTH(GX$8,0))</f>
        <v/>
      </c>
      <c r="GY97" s="1318">
        <f>SUMIFS(46:46,$8:$8,"&gt;="&amp;DATE(YEAR(GY$8),1,1),$8:$8,"&lt;="&amp;EOMONTH(GY$8,0))/SUMIFS(10:10,$8:$8,"&gt;="&amp;DATE(YEAR(GY$8),1,1),$8:$8,"&lt;="&amp;EOMONTH(GY$8,0))</f>
        <v/>
      </c>
      <c r="GZ97" s="1318">
        <f>SUMIFS(46:46,$8:$8,"&gt;="&amp;DATE(YEAR(GZ$8),1,1),$8:$8,"&lt;="&amp;EOMONTH(GZ$8,0))/SUMIFS(10:10,$8:$8,"&gt;="&amp;DATE(YEAR(GZ$8),1,1),$8:$8,"&lt;="&amp;EOMONTH(GZ$8,0))</f>
        <v/>
      </c>
      <c r="HA97" s="1318">
        <f>SUMIFS(46:46,$8:$8,"&gt;="&amp;DATE(YEAR(HA$8),1,1),$8:$8,"&lt;="&amp;EOMONTH(HA$8,0))/SUMIFS(10:10,$8:$8,"&gt;="&amp;DATE(YEAR(HA$8),1,1),$8:$8,"&lt;="&amp;EOMONTH(HA$8,0))</f>
        <v/>
      </c>
      <c r="HB97" s="1318">
        <f>SUMIFS(46:46,$8:$8,"&gt;="&amp;DATE(YEAR(HB$8),1,1),$8:$8,"&lt;="&amp;EOMONTH(HB$8,0))/SUMIFS(10:10,$8:$8,"&gt;="&amp;DATE(YEAR(HB$8),1,1),$8:$8,"&lt;="&amp;EOMONTH(HB$8,0))</f>
        <v/>
      </c>
      <c r="HC97" s="1318">
        <f>SUMIFS(46:46,$8:$8,"&gt;="&amp;DATE(YEAR(HC$8),1,1),$8:$8,"&lt;="&amp;EOMONTH(HC$8,0))/SUMIFS(10:10,$8:$8,"&gt;="&amp;DATE(YEAR(HC$8),1,1),$8:$8,"&lt;="&amp;EOMONTH(HC$8,0))</f>
        <v/>
      </c>
      <c r="HD97" s="1318">
        <f>SUMIFS(46:46,$8:$8,"&gt;="&amp;DATE(YEAR(HD$8),1,1),$8:$8,"&lt;="&amp;EOMONTH(HD$8,0))/SUMIFS(10:10,$8:$8,"&gt;="&amp;DATE(YEAR(HD$8),1,1),$8:$8,"&lt;="&amp;EOMONTH(HD$8,0))</f>
        <v/>
      </c>
      <c r="HE97" s="1318">
        <f>SUMIFS(46:46,$8:$8,"&gt;="&amp;DATE(YEAR(HE$8),1,1),$8:$8,"&lt;="&amp;EOMONTH(HE$8,0))/SUMIFS(10:10,$8:$8,"&gt;="&amp;DATE(YEAR(HE$8),1,1),$8:$8,"&lt;="&amp;EOMONTH(HE$8,0))</f>
        <v/>
      </c>
      <c r="HF97" s="1318">
        <f>SUMIFS(46:46,$8:$8,"&gt;="&amp;DATE(YEAR(HF$8),1,1),$8:$8,"&lt;="&amp;EOMONTH(HF$8,0))/SUMIFS(10:10,$8:$8,"&gt;="&amp;DATE(YEAR(HF$8),1,1),$8:$8,"&lt;="&amp;EOMONTH(HF$8,0))</f>
        <v/>
      </c>
      <c r="HG97" s="1318">
        <f>SUMIFS(46:46,$8:$8,"&gt;="&amp;DATE(YEAR(HG$8),1,1),$8:$8,"&lt;="&amp;EOMONTH(HG$8,0))/SUMIFS(10:10,$8:$8,"&gt;="&amp;DATE(YEAR(HG$8),1,1),$8:$8,"&lt;="&amp;EOMONTH(HG$8,0))</f>
        <v/>
      </c>
      <c r="HH97" s="1318">
        <f>SUMIFS(46:46,$8:$8,"&gt;="&amp;DATE(YEAR(HH$8),1,1),$8:$8,"&lt;="&amp;EOMONTH(HH$8,0))/SUMIFS(10:10,$8:$8,"&gt;="&amp;DATE(YEAR(HH$8),1,1),$8:$8,"&lt;="&amp;EOMONTH(HH$8,0))</f>
        <v/>
      </c>
      <c r="HI97" s="1318">
        <f>SUMIFS(46:46,$8:$8,"&gt;="&amp;DATE(YEAR(HI$8),1,1),$8:$8,"&lt;="&amp;EOMONTH(HI$8,0))/SUMIFS(10:10,$8:$8,"&gt;="&amp;DATE(YEAR(HI$8),1,1),$8:$8,"&lt;="&amp;EOMONTH(HI$8,0))</f>
        <v/>
      </c>
      <c r="HJ97" s="1318">
        <f>SUMIFS(46:46,$8:$8,"&gt;="&amp;DATE(YEAR(HJ$8),1,1),$8:$8,"&lt;="&amp;EOMONTH(HJ$8,0))/SUMIFS(10:10,$8:$8,"&gt;="&amp;DATE(YEAR(HJ$8),1,1),$8:$8,"&lt;="&amp;EOMONTH(HJ$8,0))</f>
        <v/>
      </c>
      <c r="HK97" s="1318">
        <f>SUMIFS(46:46,$8:$8,"&gt;="&amp;DATE(YEAR(HK$8),1,1),$8:$8,"&lt;="&amp;EOMONTH(HK$8,0))/SUMIFS(10:10,$8:$8,"&gt;="&amp;DATE(YEAR(HK$8),1,1),$8:$8,"&lt;="&amp;EOMONTH(HK$8,0))</f>
        <v/>
      </c>
      <c r="HL97" s="1318">
        <f>SUMIFS(46:46,$8:$8,"&gt;="&amp;DATE(YEAR(HL$8),1,1),$8:$8,"&lt;="&amp;EOMONTH(HL$8,0))/SUMIFS(10:10,$8:$8,"&gt;="&amp;DATE(YEAR(HL$8),1,1),$8:$8,"&lt;="&amp;EOMONTH(HL$8,0))</f>
        <v/>
      </c>
      <c r="HM97" s="1318">
        <f>SUMIFS(46:46,$8:$8,"&gt;="&amp;DATE(YEAR(HM$8),1,1),$8:$8,"&lt;="&amp;EOMONTH(HM$8,0))/SUMIFS(10:10,$8:$8,"&gt;="&amp;DATE(YEAR(HM$8),1,1),$8:$8,"&lt;="&amp;EOMONTH(HM$8,0))</f>
        <v/>
      </c>
      <c r="HN97" s="1318">
        <f>SUMIFS(46:46,$8:$8,"&gt;="&amp;DATE(YEAR(HN$8),1,1),$8:$8,"&lt;="&amp;EOMONTH(HN$8,0))/SUMIFS(10:10,$8:$8,"&gt;="&amp;DATE(YEAR(HN$8),1,1),$8:$8,"&lt;="&amp;EOMONTH(HN$8,0))</f>
        <v/>
      </c>
      <c r="HO97" s="1318">
        <f>SUMIFS(46:46,$8:$8,"&gt;="&amp;DATE(YEAR(HO$8),1,1),$8:$8,"&lt;="&amp;EOMONTH(HO$8,0))/SUMIFS(10:10,$8:$8,"&gt;="&amp;DATE(YEAR(HO$8),1,1),$8:$8,"&lt;="&amp;EOMONTH(HO$8,0))</f>
        <v/>
      </c>
      <c r="HP97" s="1318">
        <f>SUMIFS(46:46,$8:$8,"&gt;="&amp;DATE(YEAR(HP$8),1,1),$8:$8,"&lt;="&amp;EOMONTH(HP$8,0))/SUMIFS(10:10,$8:$8,"&gt;="&amp;DATE(YEAR(HP$8),1,1),$8:$8,"&lt;="&amp;EOMONTH(HP$8,0))</f>
        <v/>
      </c>
      <c r="HQ97" s="1318">
        <f>SUMIFS(46:46,$8:$8,"&gt;="&amp;DATE(YEAR(HQ$8),1,1),$8:$8,"&lt;="&amp;EOMONTH(HQ$8,0))/SUMIFS(10:10,$8:$8,"&gt;="&amp;DATE(YEAR(HQ$8),1,1),$8:$8,"&lt;="&amp;EOMONTH(HQ$8,0))</f>
        <v/>
      </c>
      <c r="HR97" s="1318">
        <f>SUMIFS(46:46,$8:$8,"&gt;="&amp;DATE(YEAR(HR$8),1,1),$8:$8,"&lt;="&amp;EOMONTH(HR$8,0))/SUMIFS(10:10,$8:$8,"&gt;="&amp;DATE(YEAR(HR$8),1,1),$8:$8,"&lt;="&amp;EOMONTH(HR$8,0))</f>
        <v/>
      </c>
      <c r="HS97" s="1318">
        <f>SUMIFS(46:46,$8:$8,"&gt;="&amp;DATE(YEAR(HS$8),1,1),$8:$8,"&lt;="&amp;EOMONTH(HS$8,0))/SUMIFS(10:10,$8:$8,"&gt;="&amp;DATE(YEAR(HS$8),1,1),$8:$8,"&lt;="&amp;EOMONTH(HS$8,0))</f>
        <v/>
      </c>
      <c r="HT97" s="1318">
        <f>SUMIFS(46:46,$8:$8,"&gt;="&amp;DATE(YEAR(HT$8),1,1),$8:$8,"&lt;="&amp;EOMONTH(HT$8,0))/SUMIFS(10:10,$8:$8,"&gt;="&amp;DATE(YEAR(HT$8),1,1),$8:$8,"&lt;="&amp;EOMONTH(HT$8,0))</f>
        <v/>
      </c>
      <c r="HU97" s="1318">
        <f>SUMIFS(46:46,$8:$8,"&gt;="&amp;DATE(YEAR(HU$8),1,1),$8:$8,"&lt;="&amp;EOMONTH(HU$8,0))/SUMIFS(10:10,$8:$8,"&gt;="&amp;DATE(YEAR(HU$8),1,1),$8:$8,"&lt;="&amp;EOMONTH(HU$8,0))</f>
        <v/>
      </c>
      <c r="HV97" s="1318">
        <f>SUMIFS(46:46,$8:$8,"&gt;="&amp;DATE(YEAR(HV$8),1,1),$8:$8,"&lt;="&amp;EOMONTH(HV$8,0))/SUMIFS(10:10,$8:$8,"&gt;="&amp;DATE(YEAR(HV$8),1,1),$8:$8,"&lt;="&amp;EOMONTH(HV$8,0))</f>
        <v/>
      </c>
      <c r="HW97" s="1318">
        <f>SUMIFS(46:46,$8:$8,"&gt;="&amp;DATE(YEAR(HW$8),1,1),$8:$8,"&lt;="&amp;EOMONTH(HW$8,0))/SUMIFS(10:10,$8:$8,"&gt;="&amp;DATE(YEAR(HW$8),1,1),$8:$8,"&lt;="&amp;EOMONTH(HW$8,0))</f>
        <v/>
      </c>
      <c r="HX97" s="1318">
        <f>SUMIFS(46:46,$8:$8,"&gt;="&amp;DATE(YEAR(HX$8),1,1),$8:$8,"&lt;="&amp;EOMONTH(HX$8,0))/SUMIFS(10:10,$8:$8,"&gt;="&amp;DATE(YEAR(HX$8),1,1),$8:$8,"&lt;="&amp;EOMONTH(HX$8,0))</f>
        <v/>
      </c>
      <c r="HY97" s="1318">
        <f>SUMIFS(46:46,$8:$8,"&gt;="&amp;DATE(YEAR(HY$8),1,1),$8:$8,"&lt;="&amp;EOMONTH(HY$8,0))/SUMIFS(10:10,$8:$8,"&gt;="&amp;DATE(YEAR(HY$8),1,1),$8:$8,"&lt;="&amp;EOMONTH(HY$8,0))</f>
        <v/>
      </c>
      <c r="HZ97" s="1318">
        <f>SUMIFS(46:46,$8:$8,"&gt;="&amp;DATE(YEAR(HZ$8),1,1),$8:$8,"&lt;="&amp;EOMONTH(HZ$8,0))/SUMIFS(10:10,$8:$8,"&gt;="&amp;DATE(YEAR(HZ$8),1,1),$8:$8,"&lt;="&amp;EOMONTH(HZ$8,0))</f>
        <v/>
      </c>
      <c r="IA97" s="1318">
        <f>SUMIFS(46:46,$8:$8,"&gt;="&amp;DATE(YEAR(IA$8),1,1),$8:$8,"&lt;="&amp;EOMONTH(IA$8,0))/SUMIFS(10:10,$8:$8,"&gt;="&amp;DATE(YEAR(IA$8),1,1),$8:$8,"&lt;="&amp;EOMONTH(IA$8,0))</f>
        <v/>
      </c>
      <c r="IB97" s="1318">
        <f>SUMIFS(46:46,$8:$8,"&gt;="&amp;DATE(YEAR(IB$8),1,1),$8:$8,"&lt;="&amp;EOMONTH(IB$8,0))/SUMIFS(10:10,$8:$8,"&gt;="&amp;DATE(YEAR(IB$8),1,1),$8:$8,"&lt;="&amp;EOMONTH(IB$8,0))</f>
        <v/>
      </c>
      <c r="IC97" s="1318">
        <f>SUMIFS(46:46,$8:$8,"&gt;="&amp;DATE(YEAR(IC$8),1,1),$8:$8,"&lt;="&amp;EOMONTH(IC$8,0))/SUMIFS(10:10,$8:$8,"&gt;="&amp;DATE(YEAR(IC$8),1,1),$8:$8,"&lt;="&amp;EOMONTH(IC$8,0))</f>
        <v/>
      </c>
      <c r="ID97" s="1318">
        <f>SUMIFS(46:46,$8:$8,"&gt;="&amp;DATE(YEAR(ID$8),1,1),$8:$8,"&lt;="&amp;EOMONTH(ID$8,0))/SUMIFS(10:10,$8:$8,"&gt;="&amp;DATE(YEAR(ID$8),1,1),$8:$8,"&lt;="&amp;EOMONTH(ID$8,0))</f>
        <v/>
      </c>
      <c r="IE97" s="1318">
        <f>SUMIFS(46:46,$8:$8,"&gt;="&amp;DATE(YEAR(IE$8),1,1),$8:$8,"&lt;="&amp;EOMONTH(IE$8,0))/SUMIFS(10:10,$8:$8,"&gt;="&amp;DATE(YEAR(IE$8),1,1),$8:$8,"&lt;="&amp;EOMONTH(IE$8,0))</f>
        <v/>
      </c>
      <c r="IF97" s="1318">
        <f>SUMIFS(46:46,$8:$8,"&gt;="&amp;DATE(YEAR(IF$8),1,1),$8:$8,"&lt;="&amp;EOMONTH(IF$8,0))/SUMIFS(10:10,$8:$8,"&gt;="&amp;DATE(YEAR(IF$8),1,1),$8:$8,"&lt;="&amp;EOMONTH(IF$8,0))</f>
        <v/>
      </c>
      <c r="IG97" s="1318">
        <f>SUMIFS(46:46,$8:$8,"&gt;="&amp;DATE(YEAR(IG$8),1,1),$8:$8,"&lt;="&amp;EOMONTH(IG$8,0))/SUMIFS(10:10,$8:$8,"&gt;="&amp;DATE(YEAR(IG$8),1,1),$8:$8,"&lt;="&amp;EOMONTH(IG$8,0))</f>
        <v/>
      </c>
      <c r="IH97" s="1318">
        <f>SUMIFS(46:46,$8:$8,"&gt;="&amp;DATE(YEAR(IH$8),1,1),$8:$8,"&lt;="&amp;EOMONTH(IH$8,0))/SUMIFS(10:10,$8:$8,"&gt;="&amp;DATE(YEAR(IH$8),1,1),$8:$8,"&lt;="&amp;EOMONTH(IH$8,0))</f>
        <v/>
      </c>
      <c r="II97" s="1318">
        <f>SUMIFS(46:46,$8:$8,"&gt;="&amp;DATE(YEAR(II$8),1,1),$8:$8,"&lt;="&amp;EOMONTH(II$8,0))/SUMIFS(10:10,$8:$8,"&gt;="&amp;DATE(YEAR(II$8),1,1),$8:$8,"&lt;="&amp;EOMONTH(II$8,0))</f>
        <v/>
      </c>
      <c r="IJ97" s="1318">
        <f>SUMIFS(46:46,$8:$8,"&gt;="&amp;DATE(YEAR(IJ$8),1,1),$8:$8,"&lt;="&amp;EOMONTH(IJ$8,0))/SUMIFS(10:10,$8:$8,"&gt;="&amp;DATE(YEAR(IJ$8),1,1),$8:$8,"&lt;="&amp;EOMONTH(IJ$8,0))</f>
        <v/>
      </c>
      <c r="IK97" s="1318">
        <f>SUMIFS(46:46,$8:$8,"&gt;="&amp;DATE(YEAR(IK$8),1,1),$8:$8,"&lt;="&amp;EOMONTH(IK$8,0))/SUMIFS(10:10,$8:$8,"&gt;="&amp;DATE(YEAR(IK$8),1,1),$8:$8,"&lt;="&amp;EOMONTH(IK$8,0))</f>
        <v/>
      </c>
      <c r="IL97" s="1318">
        <f>SUMIFS(46:46,$8:$8,"&gt;="&amp;DATE(YEAR(IL$8),1,1),$8:$8,"&lt;="&amp;EOMONTH(IL$8,0))/SUMIFS(10:10,$8:$8,"&gt;="&amp;DATE(YEAR(IL$8),1,1),$8:$8,"&lt;="&amp;EOMONTH(IL$8,0))</f>
        <v/>
      </c>
      <c r="IM97" s="1318">
        <f>SUMIFS(46:46,$8:$8,"&gt;="&amp;DATE(YEAR(IM$8),1,1),$8:$8,"&lt;="&amp;EOMONTH(IM$8,0))/SUMIFS(10:10,$8:$8,"&gt;="&amp;DATE(YEAR(IM$8),1,1),$8:$8,"&lt;="&amp;EOMONTH(IM$8,0))</f>
        <v/>
      </c>
      <c r="IN97" s="1318">
        <f>SUMIFS(46:46,$8:$8,"&gt;="&amp;DATE(YEAR(IN$8),1,1),$8:$8,"&lt;="&amp;EOMONTH(IN$8,0))/SUMIFS(10:10,$8:$8,"&gt;="&amp;DATE(YEAR(IN$8),1,1),$8:$8,"&lt;="&amp;EOMONTH(IN$8,0))</f>
        <v/>
      </c>
      <c r="IO97" s="1318">
        <f>SUMIFS(46:46,$8:$8,"&gt;="&amp;DATE(YEAR(IO$8),1,1),$8:$8,"&lt;="&amp;EOMONTH(IO$8,0))/SUMIFS(10:10,$8:$8,"&gt;="&amp;DATE(YEAR(IO$8),1,1),$8:$8,"&lt;="&amp;EOMONTH(IO$8,0))</f>
        <v/>
      </c>
      <c r="IP97" s="1318">
        <f>SUMIFS(46:46,$8:$8,"&gt;="&amp;DATE(YEAR(IP$8),1,1),$8:$8,"&lt;="&amp;EOMONTH(IP$8,0))/SUMIFS(10:10,$8:$8,"&gt;="&amp;DATE(YEAR(IP$8),1,1),$8:$8,"&lt;="&amp;EOMONTH(IP$8,0))</f>
        <v/>
      </c>
      <c r="IQ97" s="1318">
        <f>SUMIFS(46:46,$8:$8,"&gt;="&amp;DATE(YEAR(IQ$8),1,1),$8:$8,"&lt;="&amp;EOMONTH(IQ$8,0))/SUMIFS(10:10,$8:$8,"&gt;="&amp;DATE(YEAR(IQ$8),1,1),$8:$8,"&lt;="&amp;EOMONTH(IQ$8,0))</f>
        <v/>
      </c>
      <c r="IR97" s="1318">
        <f>SUMIFS(46:46,$8:$8,"&gt;="&amp;DATE(YEAR(IR$8),1,1),$8:$8,"&lt;="&amp;EOMONTH(IR$8,0))/SUMIFS(10:10,$8:$8,"&gt;="&amp;DATE(YEAR(IR$8),1,1),$8:$8,"&lt;="&amp;EOMONTH(IR$8,0))</f>
        <v/>
      </c>
      <c r="IS97" s="1318">
        <f>SUMIFS(46:46,$8:$8,"&gt;="&amp;DATE(YEAR(IS$8),1,1),$8:$8,"&lt;="&amp;EOMONTH(IS$8,0))/SUMIFS(10:10,$8:$8,"&gt;="&amp;DATE(YEAR(IS$8),1,1),$8:$8,"&lt;="&amp;EOMONTH(IS$8,0))</f>
        <v/>
      </c>
      <c r="IT97" s="1318">
        <f>SUMIFS(46:46,$8:$8,"&gt;="&amp;DATE(YEAR(IT$8),1,1),$8:$8,"&lt;="&amp;EOMONTH(IT$8,0))/SUMIFS(10:10,$8:$8,"&gt;="&amp;DATE(YEAR(IT$8),1,1),$8:$8,"&lt;="&amp;EOMONTH(IT$8,0))</f>
        <v/>
      </c>
      <c r="IU97" s="1318">
        <f>SUMIFS(46:46,$8:$8,"&gt;="&amp;DATE(YEAR(IU$8),1,1),$8:$8,"&lt;="&amp;EOMONTH(IU$8,0))/SUMIFS(10:10,$8:$8,"&gt;="&amp;DATE(YEAR(IU$8),1,1),$8:$8,"&lt;="&amp;EOMONTH(IU$8,0))</f>
        <v/>
      </c>
      <c r="IV97" s="1318">
        <f>SUMIFS(46:46,$8:$8,"&gt;="&amp;DATE(YEAR(IV$8),1,1),$8:$8,"&lt;="&amp;EOMONTH(IV$8,0))/SUMIFS(10:10,$8:$8,"&gt;="&amp;DATE(YEAR(IV$8),1,1),$8:$8,"&lt;="&amp;EOMONTH(IV$8,0))</f>
        <v/>
      </c>
      <c r="IW97" s="1318">
        <f>SUMIFS(46:46,$8:$8,"&gt;="&amp;DATE(YEAR(IW$8),1,1),$8:$8,"&lt;="&amp;EOMONTH(IW$8,0))/SUMIFS(10:10,$8:$8,"&gt;="&amp;DATE(YEAR(IW$8),1,1),$8:$8,"&lt;="&amp;EOMONTH(IW$8,0))</f>
        <v/>
      </c>
      <c r="IX97" s="1318">
        <f>SUMIFS(46:46,$8:$8,"&gt;="&amp;DATE(YEAR(IX$8),1,1),$8:$8,"&lt;="&amp;EOMONTH(IX$8,0))/SUMIFS(10:10,$8:$8,"&gt;="&amp;DATE(YEAR(IX$8),1,1),$8:$8,"&lt;="&amp;EOMONTH(IX$8,0))</f>
        <v/>
      </c>
      <c r="IY97" s="1318">
        <f>SUMIFS(46:46,$8:$8,"&gt;="&amp;DATE(YEAR(IY$8),1,1),$8:$8,"&lt;="&amp;EOMONTH(IY$8,0))/SUMIFS(10:10,$8:$8,"&gt;="&amp;DATE(YEAR(IY$8),1,1),$8:$8,"&lt;="&amp;EOMONTH(IY$8,0))</f>
        <v/>
      </c>
      <c r="IZ97" s="1318">
        <f>SUMIFS(46:46,$8:$8,"&gt;="&amp;DATE(YEAR(IZ$8),1,1),$8:$8,"&lt;="&amp;EOMONTH(IZ$8,0))/SUMIFS(10:10,$8:$8,"&gt;="&amp;DATE(YEAR(IZ$8),1,1),$8:$8,"&lt;="&amp;EOMONTH(IZ$8,0))</f>
        <v/>
      </c>
      <c r="JA97" s="1318">
        <f>SUMIFS(46:46,$8:$8,"&gt;="&amp;DATE(YEAR(JA$8),1,1),$8:$8,"&lt;="&amp;EOMONTH(JA$8,0))/SUMIFS(10:10,$8:$8,"&gt;="&amp;DATE(YEAR(JA$8),1,1),$8:$8,"&lt;="&amp;EOMONTH(JA$8,0))</f>
        <v/>
      </c>
      <c r="JB97" s="1318">
        <f>SUMIFS(46:46,$8:$8,"&gt;="&amp;DATE(YEAR(JB$8),1,1),$8:$8,"&lt;="&amp;EOMONTH(JB$8,0))/SUMIFS(10:10,$8:$8,"&gt;="&amp;DATE(YEAR(JB$8),1,1),$8:$8,"&lt;="&amp;EOMONTH(JB$8,0))</f>
        <v/>
      </c>
      <c r="JC97" s="1318">
        <f>SUMIFS(46:46,$8:$8,"&gt;="&amp;DATE(YEAR(JC$8),1,1),$8:$8,"&lt;="&amp;EOMONTH(JC$8,0))/SUMIFS(10:10,$8:$8,"&gt;="&amp;DATE(YEAR(JC$8),1,1),$8:$8,"&lt;="&amp;EOMONTH(JC$8,0))</f>
        <v/>
      </c>
      <c r="JD97" s="1318">
        <f>SUMIFS(46:46,$8:$8,"&gt;="&amp;DATE(YEAR(JD$8),1,1),$8:$8,"&lt;="&amp;EOMONTH(JD$8,0))/SUMIFS(10:10,$8:$8,"&gt;="&amp;DATE(YEAR(JD$8),1,1),$8:$8,"&lt;="&amp;EOMONTH(JD$8,0))</f>
        <v/>
      </c>
      <c r="JE97" s="1318">
        <f>SUMIFS(46:46,$8:$8,"&gt;="&amp;DATE(YEAR(JE$8),1,1),$8:$8,"&lt;="&amp;EOMONTH(JE$8,0))/SUMIFS(10:10,$8:$8,"&gt;="&amp;DATE(YEAR(JE$8),1,1),$8:$8,"&lt;="&amp;EOMONTH(JE$8,0))</f>
        <v/>
      </c>
      <c r="JF97" s="1318">
        <f>SUMIFS(46:46,$8:$8,"&gt;="&amp;DATE(YEAR(JF$8),1,1),$8:$8,"&lt;="&amp;EOMONTH(JF$8,0))/SUMIFS(10:10,$8:$8,"&gt;="&amp;DATE(YEAR(JF$8),1,1),$8:$8,"&lt;="&amp;EOMONTH(JF$8,0))</f>
        <v/>
      </c>
      <c r="JG97" s="1318">
        <f>SUMIFS(46:46,$8:$8,"&gt;="&amp;DATE(YEAR(JG$8),1,1),$8:$8,"&lt;="&amp;EOMONTH(JG$8,0))/SUMIFS(10:10,$8:$8,"&gt;="&amp;DATE(YEAR(JG$8),1,1),$8:$8,"&lt;="&amp;EOMONTH(JG$8,0))</f>
        <v/>
      </c>
      <c r="JH97" s="1318">
        <f>SUMIFS(46:46,$8:$8,"&gt;="&amp;DATE(YEAR(JH$8),1,1),$8:$8,"&lt;="&amp;EOMONTH(JH$8,0))/SUMIFS(10:10,$8:$8,"&gt;="&amp;DATE(YEAR(JH$8),1,1),$8:$8,"&lt;="&amp;EOMONTH(JH$8,0))</f>
        <v/>
      </c>
      <c r="JI97" s="1318">
        <f>SUMIFS(46:46,$8:$8,"&gt;="&amp;DATE(YEAR(JI$8),1,1),$8:$8,"&lt;="&amp;EOMONTH(JI$8,0))/SUMIFS(10:10,$8:$8,"&gt;="&amp;DATE(YEAR(JI$8),1,1),$8:$8,"&lt;="&amp;EOMONTH(JI$8,0))</f>
        <v/>
      </c>
      <c r="JJ97" s="1318">
        <f>SUMIFS(46:46,$8:$8,"&gt;="&amp;DATE(YEAR(JJ$8),1,1),$8:$8,"&lt;="&amp;EOMONTH(JJ$8,0))/SUMIFS(10:10,$8:$8,"&gt;="&amp;DATE(YEAR(JJ$8),1,1),$8:$8,"&lt;="&amp;EOMONTH(JJ$8,0))</f>
        <v/>
      </c>
      <c r="JK97" s="1318">
        <f>SUMIFS(46:46,$8:$8,"&gt;="&amp;DATE(YEAR(JK$8),1,1),$8:$8,"&lt;="&amp;EOMONTH(JK$8,0))/SUMIFS(10:10,$8:$8,"&gt;="&amp;DATE(YEAR(JK$8),1,1),$8:$8,"&lt;="&amp;EOMONTH(JK$8,0))</f>
        <v/>
      </c>
      <c r="JL97" s="1318">
        <f>SUMIFS(46:46,$8:$8,"&gt;="&amp;DATE(YEAR(JL$8),1,1),$8:$8,"&lt;="&amp;EOMONTH(JL$8,0))/SUMIFS(10:10,$8:$8,"&gt;="&amp;DATE(YEAR(JL$8),1,1),$8:$8,"&lt;="&amp;EOMONTH(JL$8,0))</f>
        <v/>
      </c>
      <c r="JM97" s="1318">
        <f>SUMIFS(46:46,$8:$8,"&gt;="&amp;DATE(YEAR(JM$8),1,1),$8:$8,"&lt;="&amp;EOMONTH(JM$8,0))/SUMIFS(10:10,$8:$8,"&gt;="&amp;DATE(YEAR(JM$8),1,1),$8:$8,"&lt;="&amp;EOMONTH(JM$8,0))</f>
        <v/>
      </c>
      <c r="JN97" s="1318">
        <f>SUMIFS(46:46,$8:$8,"&gt;="&amp;DATE(YEAR(JN$8),1,1),$8:$8,"&lt;="&amp;EOMONTH(JN$8,0))/SUMIFS(10:10,$8:$8,"&gt;="&amp;DATE(YEAR(JN$8),1,1),$8:$8,"&lt;="&amp;EOMONTH(JN$8,0))</f>
        <v/>
      </c>
      <c r="JO97" s="1318">
        <f>SUMIFS(46:46,$8:$8,"&gt;="&amp;DATE(YEAR(JO$8),1,1),$8:$8,"&lt;="&amp;EOMONTH(JO$8,0))/SUMIFS(10:10,$8:$8,"&gt;="&amp;DATE(YEAR(JO$8),1,1),$8:$8,"&lt;="&amp;EOMONTH(JO$8,0))</f>
        <v/>
      </c>
      <c r="JP97" s="1318">
        <f>SUMIFS(46:46,$8:$8,"&gt;="&amp;DATE(YEAR(JP$8),1,1),$8:$8,"&lt;="&amp;EOMONTH(JP$8,0))/SUMIFS(10:10,$8:$8,"&gt;="&amp;DATE(YEAR(JP$8),1,1),$8:$8,"&lt;="&amp;EOMONTH(JP$8,0))</f>
        <v/>
      </c>
      <c r="JQ97" s="1318">
        <f>SUMIFS(46:46,$8:$8,"&gt;="&amp;DATE(YEAR(JQ$8),1,1),$8:$8,"&lt;="&amp;EOMONTH(JQ$8,0))/SUMIFS(10:10,$8:$8,"&gt;="&amp;DATE(YEAR(JQ$8),1,1),$8:$8,"&lt;="&amp;EOMONTH(JQ$8,0))</f>
        <v/>
      </c>
      <c r="JR97" s="1318">
        <f>SUMIFS(46:46,$8:$8,"&gt;="&amp;DATE(YEAR(JR$8),1,1),$8:$8,"&lt;="&amp;EOMONTH(JR$8,0))/SUMIFS(10:10,$8:$8,"&gt;="&amp;DATE(YEAR(JR$8),1,1),$8:$8,"&lt;="&amp;EOMONTH(JR$8,0))</f>
        <v/>
      </c>
      <c r="JS97" s="1318">
        <f>SUMIFS(46:46,$8:$8,"&gt;="&amp;DATE(YEAR(JS$8),1,1),$8:$8,"&lt;="&amp;EOMONTH(JS$8,0))/SUMIFS(10:10,$8:$8,"&gt;="&amp;DATE(YEAR(JS$8),1,1),$8:$8,"&lt;="&amp;EOMONTH(JS$8,0))</f>
        <v/>
      </c>
      <c r="JT97" s="1318">
        <f>SUMIFS(46:46,$8:$8,"&gt;="&amp;DATE(YEAR(JT$8),1,1),$8:$8,"&lt;="&amp;EOMONTH(JT$8,0))/SUMIFS(10:10,$8:$8,"&gt;="&amp;DATE(YEAR(JT$8),1,1),$8:$8,"&lt;="&amp;EOMONTH(JT$8,0))</f>
        <v/>
      </c>
      <c r="JU97" s="1318">
        <f>SUMIFS(46:46,$8:$8,"&gt;="&amp;DATE(YEAR(JU$8),1,1),$8:$8,"&lt;="&amp;EOMONTH(JU$8,0))/SUMIFS(10:10,$8:$8,"&gt;="&amp;DATE(YEAR(JU$8),1,1),$8:$8,"&lt;="&amp;EOMONTH(JU$8,0))</f>
        <v/>
      </c>
      <c r="JV97" s="1318">
        <f>SUMIFS(46:46,$8:$8,"&gt;="&amp;DATE(YEAR(JV$8),1,1),$8:$8,"&lt;="&amp;EOMONTH(JV$8,0))/SUMIFS(10:10,$8:$8,"&gt;="&amp;DATE(YEAR(JV$8),1,1),$8:$8,"&lt;="&amp;EOMONTH(JV$8,0))</f>
        <v/>
      </c>
      <c r="JW97" s="1318">
        <f>SUMIFS(46:46,$8:$8,"&gt;="&amp;DATE(YEAR(JW$8),1,1),$8:$8,"&lt;="&amp;EOMONTH(JW$8,0))/SUMIFS(10:10,$8:$8,"&gt;="&amp;DATE(YEAR(JW$8),1,1),$8:$8,"&lt;="&amp;EOMONTH(JW$8,0))</f>
        <v/>
      </c>
      <c r="JX97" s="1318">
        <f>SUMIFS(46:46,$8:$8,"&gt;="&amp;DATE(YEAR(JX$8),1,1),$8:$8,"&lt;="&amp;EOMONTH(JX$8,0))/SUMIFS(10:10,$8:$8,"&gt;="&amp;DATE(YEAR(JX$8),1,1),$8:$8,"&lt;="&amp;EOMONTH(JX$8,0))</f>
        <v/>
      </c>
      <c r="JY97" s="1318">
        <f>SUMIFS(46:46,$8:$8,"&gt;="&amp;DATE(YEAR(JY$8),1,1),$8:$8,"&lt;="&amp;EOMONTH(JY$8,0))/SUMIFS(10:10,$8:$8,"&gt;="&amp;DATE(YEAR(JY$8),1,1),$8:$8,"&lt;="&amp;EOMONTH(JY$8,0))</f>
        <v/>
      </c>
      <c r="JZ97" s="1318">
        <f>SUMIFS(46:46,$8:$8,"&gt;="&amp;DATE(YEAR(JZ$8),1,1),$8:$8,"&lt;="&amp;EOMONTH(JZ$8,0))/SUMIFS(10:10,$8:$8,"&gt;="&amp;DATE(YEAR(JZ$8),1,1),$8:$8,"&lt;="&amp;EOMONTH(JZ$8,0))</f>
        <v/>
      </c>
      <c r="KA97" s="1318">
        <f>SUMIFS(46:46,$8:$8,"&gt;="&amp;DATE(YEAR(KA$8),1,1),$8:$8,"&lt;="&amp;EOMONTH(KA$8,0))/SUMIFS(10:10,$8:$8,"&gt;="&amp;DATE(YEAR(KA$8),1,1),$8:$8,"&lt;="&amp;EOMONTH(KA$8,0))</f>
        <v/>
      </c>
      <c r="KB97" s="1318">
        <f>SUMIFS(46:46,$8:$8,"&gt;="&amp;DATE(YEAR(KB$8),1,1),$8:$8,"&lt;="&amp;EOMONTH(KB$8,0))/SUMIFS(10:10,$8:$8,"&gt;="&amp;DATE(YEAR(KB$8),1,1),$8:$8,"&lt;="&amp;EOMONTH(KB$8,0))</f>
        <v/>
      </c>
      <c r="KC97" s="1318">
        <f>SUMIFS(46:46,$8:$8,"&gt;="&amp;DATE(YEAR(KC$8),1,1),$8:$8,"&lt;="&amp;EOMONTH(KC$8,0))/SUMIFS(10:10,$8:$8,"&gt;="&amp;DATE(YEAR(KC$8),1,1),$8:$8,"&lt;="&amp;EOMONTH(KC$8,0))</f>
        <v/>
      </c>
      <c r="KD97" s="1318">
        <f>SUMIFS(46:46,$8:$8,"&gt;="&amp;DATE(YEAR(KD$8),1,1),$8:$8,"&lt;="&amp;EOMONTH(KD$8,0))/SUMIFS(10:10,$8:$8,"&gt;="&amp;DATE(YEAR(KD$8),1,1),$8:$8,"&lt;="&amp;EOMONTH(KD$8,0))</f>
        <v/>
      </c>
      <c r="KE97" s="1318">
        <f>SUMIFS(46:46,$8:$8,"&gt;="&amp;DATE(YEAR(KE$8),1,1),$8:$8,"&lt;="&amp;EOMONTH(KE$8,0))/SUMIFS(10:10,$8:$8,"&gt;="&amp;DATE(YEAR(KE$8),1,1),$8:$8,"&lt;="&amp;EOMONTH(KE$8,0))</f>
        <v/>
      </c>
      <c r="KF97" s="1318">
        <f>SUMIFS(46:46,$8:$8,"&gt;="&amp;DATE(YEAR(KF$8),1,1),$8:$8,"&lt;="&amp;EOMONTH(KF$8,0))/SUMIFS(10:10,$8:$8,"&gt;="&amp;DATE(YEAR(KF$8),1,1),$8:$8,"&lt;="&amp;EOMONTH(KF$8,0))</f>
        <v/>
      </c>
      <c r="KG97" s="1318">
        <f>SUMIFS(46:46,$8:$8,"&gt;="&amp;DATE(YEAR(KG$8),1,1),$8:$8,"&lt;="&amp;EOMONTH(KG$8,0))/SUMIFS(10:10,$8:$8,"&gt;="&amp;DATE(YEAR(KG$8),1,1),$8:$8,"&lt;="&amp;EOMONTH(KG$8,0))</f>
        <v/>
      </c>
      <c r="KH97" s="1318">
        <f>SUMIFS(46:46,$8:$8,"&gt;="&amp;DATE(YEAR(KH$8),1,1),$8:$8,"&lt;="&amp;EOMONTH(KH$8,0))/SUMIFS(10:10,$8:$8,"&gt;="&amp;DATE(YEAR(KH$8),1,1),$8:$8,"&lt;="&amp;EOMONTH(KH$8,0))</f>
        <v/>
      </c>
      <c r="KI97" s="1318">
        <f>SUMIFS(46:46,$8:$8,"&gt;="&amp;DATE(YEAR(KI$8),1,1),$8:$8,"&lt;="&amp;EOMONTH(KI$8,0))/SUMIFS(10:10,$8:$8,"&gt;="&amp;DATE(YEAR(KI$8),1,1),$8:$8,"&lt;="&amp;EOMONTH(KI$8,0))</f>
        <v/>
      </c>
      <c r="KJ97" s="1318">
        <f>SUMIFS(46:46,$8:$8,"&gt;="&amp;DATE(YEAR(KJ$8),1,1),$8:$8,"&lt;="&amp;EOMONTH(KJ$8,0))/SUMIFS(10:10,$8:$8,"&gt;="&amp;DATE(YEAR(KJ$8),1,1),$8:$8,"&lt;="&amp;EOMONTH(KJ$8,0))</f>
        <v/>
      </c>
      <c r="KK97" s="1318">
        <f>SUMIFS(46:46,$8:$8,"&gt;="&amp;DATE(YEAR(KK$8),1,1),$8:$8,"&lt;="&amp;EOMONTH(KK$8,0))/SUMIFS(10:10,$8:$8,"&gt;="&amp;DATE(YEAR(KK$8),1,1),$8:$8,"&lt;="&amp;EOMONTH(KK$8,0))</f>
        <v/>
      </c>
      <c r="KL97" s="1318">
        <f>SUMIFS(46:46,$8:$8,"&gt;="&amp;DATE(YEAR(KL$8),1,1),$8:$8,"&lt;="&amp;EOMONTH(KL$8,0))/SUMIFS(10:10,$8:$8,"&gt;="&amp;DATE(YEAR(KL$8),1,1),$8:$8,"&lt;="&amp;EOMONTH(KL$8,0))</f>
        <v/>
      </c>
      <c r="KM97" s="1318">
        <f>SUMIFS(46:46,$8:$8,"&gt;="&amp;DATE(YEAR(KM$8),1,1),$8:$8,"&lt;="&amp;EOMONTH(KM$8,0))/SUMIFS(10:10,$8:$8,"&gt;="&amp;DATE(YEAR(KM$8),1,1),$8:$8,"&lt;="&amp;EOMONTH(KM$8,0))</f>
        <v/>
      </c>
      <c r="KN97" s="1318">
        <f>SUMIFS(46:46,$8:$8,"&gt;="&amp;DATE(YEAR(KN$8),1,1),$8:$8,"&lt;="&amp;EOMONTH(KN$8,0))/SUMIFS(10:10,$8:$8,"&gt;="&amp;DATE(YEAR(KN$8),1,1),$8:$8,"&lt;="&amp;EOMONTH(KN$8,0))</f>
        <v/>
      </c>
      <c r="KO97" s="1318">
        <f>SUMIFS(46:46,$8:$8,"&gt;="&amp;DATE(YEAR(KO$8),1,1),$8:$8,"&lt;="&amp;EOMONTH(KO$8,0))/SUMIFS(10:10,$8:$8,"&gt;="&amp;DATE(YEAR(KO$8),1,1),$8:$8,"&lt;="&amp;EOMONTH(KO$8,0))</f>
        <v/>
      </c>
      <c r="KP97" s="1318">
        <f>SUMIFS(46:46,$8:$8,"&gt;="&amp;DATE(YEAR(KP$8),1,1),$8:$8,"&lt;="&amp;EOMONTH(KP$8,0))/SUMIFS(10:10,$8:$8,"&gt;="&amp;DATE(YEAR(KP$8),1,1),$8:$8,"&lt;="&amp;EOMONTH(KP$8,0))</f>
        <v/>
      </c>
      <c r="KQ97" s="1318">
        <f>SUMIFS(46:46,$8:$8,"&gt;="&amp;DATE(YEAR(KQ$8),1,1),$8:$8,"&lt;="&amp;EOMONTH(KQ$8,0))/SUMIFS(10:10,$8:$8,"&gt;="&amp;DATE(YEAR(KQ$8),1,1),$8:$8,"&lt;="&amp;EOMONTH(KQ$8,0))</f>
        <v/>
      </c>
      <c r="KR97" s="1318">
        <f>SUMIFS(46:46,$8:$8,"&gt;="&amp;DATE(YEAR(KR$8),1,1),$8:$8,"&lt;="&amp;EOMONTH(KR$8,0))/SUMIFS(10:10,$8:$8,"&gt;="&amp;DATE(YEAR(KR$8),1,1),$8:$8,"&lt;="&amp;EOMONTH(KR$8,0))</f>
        <v/>
      </c>
      <c r="KS97" s="1318">
        <f>SUMIFS(46:46,$8:$8,"&gt;="&amp;DATE(YEAR(KS$8),1,1),$8:$8,"&lt;="&amp;EOMONTH(KS$8,0))/SUMIFS(10:10,$8:$8,"&gt;="&amp;DATE(YEAR(KS$8),1,1),$8:$8,"&lt;="&amp;EOMONTH(KS$8,0))</f>
        <v/>
      </c>
      <c r="KT97" s="1318">
        <f>SUMIFS(46:46,$8:$8,"&gt;="&amp;DATE(YEAR(KT$8),1,1),$8:$8,"&lt;="&amp;EOMONTH(KT$8,0))/SUMIFS(10:10,$8:$8,"&gt;="&amp;DATE(YEAR(KT$8),1,1),$8:$8,"&lt;="&amp;EOMONTH(KT$8,0))</f>
        <v/>
      </c>
      <c r="KU97" s="1318">
        <f>SUMIFS(46:46,$8:$8,"&gt;="&amp;DATE(YEAR(KU$8),1,1),$8:$8,"&lt;="&amp;EOMONTH(KU$8,0))/SUMIFS(10:10,$8:$8,"&gt;="&amp;DATE(YEAR(KU$8),1,1),$8:$8,"&lt;="&amp;EOMONTH(KU$8,0))</f>
        <v/>
      </c>
      <c r="KV97" s="1318">
        <f>SUMIFS(46:46,$8:$8,"&gt;="&amp;DATE(YEAR(KV$8),1,1),$8:$8,"&lt;="&amp;EOMONTH(KV$8,0))/SUMIFS(10:10,$8:$8,"&gt;="&amp;DATE(YEAR(KV$8),1,1),$8:$8,"&lt;="&amp;EOMONTH(KV$8,0))</f>
        <v/>
      </c>
      <c r="KW97" s="1318">
        <f>SUMIFS(46:46,$8:$8,"&gt;="&amp;DATE(YEAR(KW$8),1,1),$8:$8,"&lt;="&amp;EOMONTH(KW$8,0))/SUMIFS(10:10,$8:$8,"&gt;="&amp;DATE(YEAR(KW$8),1,1),$8:$8,"&lt;="&amp;EOMONTH(KW$8,0))</f>
        <v/>
      </c>
      <c r="KX97" s="1318">
        <f>SUMIFS(46:46,$8:$8,"&gt;="&amp;DATE(YEAR(KX$8),1,1),$8:$8,"&lt;="&amp;EOMONTH(KX$8,0))/SUMIFS(10:10,$8:$8,"&gt;="&amp;DATE(YEAR(KX$8),1,1),$8:$8,"&lt;="&amp;EOMONTH(KX$8,0))</f>
        <v/>
      </c>
      <c r="KY97" s="1318">
        <f>SUMIFS(46:46,$8:$8,"&gt;="&amp;DATE(YEAR(KY$8),1,1),$8:$8,"&lt;="&amp;EOMONTH(KY$8,0))/SUMIFS(10:10,$8:$8,"&gt;="&amp;DATE(YEAR(KY$8),1,1),$8:$8,"&lt;="&amp;EOMONTH(KY$8,0))</f>
        <v/>
      </c>
      <c r="KZ97" s="1318">
        <f>SUMIFS(46:46,$8:$8,"&gt;="&amp;DATE(YEAR(KZ$8),1,1),$8:$8,"&lt;="&amp;EOMONTH(KZ$8,0))/SUMIFS(10:10,$8:$8,"&gt;="&amp;DATE(YEAR(KZ$8),1,1),$8:$8,"&lt;="&amp;EOMONTH(KZ$8,0))</f>
        <v/>
      </c>
      <c r="LA97" s="1318">
        <f>SUMIFS(46:46,$8:$8,"&gt;="&amp;DATE(YEAR(LA$8),1,1),$8:$8,"&lt;="&amp;EOMONTH(LA$8,0))/SUMIFS(10:10,$8:$8,"&gt;="&amp;DATE(YEAR(LA$8),1,1),$8:$8,"&lt;="&amp;EOMONTH(LA$8,0))</f>
        <v/>
      </c>
      <c r="LB97" s="1318">
        <f>SUMIFS(46:46,$8:$8,"&gt;="&amp;DATE(YEAR(LB$8),1,1),$8:$8,"&lt;="&amp;EOMONTH(LB$8,0))/SUMIFS(10:10,$8:$8,"&gt;="&amp;DATE(YEAR(LB$8),1,1),$8:$8,"&lt;="&amp;EOMONTH(LB$8,0))</f>
        <v/>
      </c>
      <c r="LC97" s="1318">
        <f>SUMIFS(46:46,$8:$8,"&gt;="&amp;DATE(YEAR(LC$8),1,1),$8:$8,"&lt;="&amp;EOMONTH(LC$8,0))/SUMIFS(10:10,$8:$8,"&gt;="&amp;DATE(YEAR(LC$8),1,1),$8:$8,"&lt;="&amp;EOMONTH(LC$8,0))</f>
        <v/>
      </c>
      <c r="LD97" s="1318">
        <f>SUMIFS(46:46,$8:$8,"&gt;="&amp;DATE(YEAR(LD$8),1,1),$8:$8,"&lt;="&amp;EOMONTH(LD$8,0))/SUMIFS(10:10,$8:$8,"&gt;="&amp;DATE(YEAR(LD$8),1,1),$8:$8,"&lt;="&amp;EOMONTH(LD$8,0))</f>
        <v/>
      </c>
      <c r="LE97" s="1318">
        <f>SUMIFS(46:46,$8:$8,"&gt;="&amp;DATE(YEAR(LE$8),1,1),$8:$8,"&lt;="&amp;EOMONTH(LE$8,0))/SUMIFS(10:10,$8:$8,"&gt;="&amp;DATE(YEAR(LE$8),1,1),$8:$8,"&lt;="&amp;EOMONTH(LE$8,0))</f>
        <v/>
      </c>
      <c r="LF97" s="1318">
        <f>SUMIFS(46:46,$8:$8,"&gt;="&amp;DATE(YEAR(LF$8),1,1),$8:$8,"&lt;="&amp;EOMONTH(LF$8,0))/SUMIFS(10:10,$8:$8,"&gt;="&amp;DATE(YEAR(LF$8),1,1),$8:$8,"&lt;="&amp;EOMONTH(LF$8,0))</f>
        <v/>
      </c>
      <c r="LG97" s="1318">
        <f>SUMIFS(46:46,$8:$8,"&gt;="&amp;DATE(YEAR(LG$8),1,1),$8:$8,"&lt;="&amp;EOMONTH(LG$8,0))/SUMIFS(10:10,$8:$8,"&gt;="&amp;DATE(YEAR(LG$8),1,1),$8:$8,"&lt;="&amp;EOMONTH(LG$8,0))</f>
        <v/>
      </c>
      <c r="LH97" s="1318">
        <f>SUMIFS(46:46,$8:$8,"&gt;="&amp;DATE(YEAR(LH$8),1,1),$8:$8,"&lt;="&amp;EOMONTH(LH$8,0))/SUMIFS(10:10,$8:$8,"&gt;="&amp;DATE(YEAR(LH$8),1,1),$8:$8,"&lt;="&amp;EOMONTH(LH$8,0))</f>
        <v/>
      </c>
      <c r="LI97" s="1318">
        <f>SUMIFS(46:46,$8:$8,"&gt;="&amp;DATE(YEAR(LI$8),1,1),$8:$8,"&lt;="&amp;EOMONTH(LI$8,0))/SUMIFS(10:10,$8:$8,"&gt;="&amp;DATE(YEAR(LI$8),1,1),$8:$8,"&lt;="&amp;EOMONTH(LI$8,0))</f>
        <v/>
      </c>
      <c r="LJ97" s="1318">
        <f>SUMIFS(46:46,$8:$8,"&gt;="&amp;DATE(YEAR(LJ$8),1,1),$8:$8,"&lt;="&amp;EOMONTH(LJ$8,0))/SUMIFS(10:10,$8:$8,"&gt;="&amp;DATE(YEAR(LJ$8),1,1),$8:$8,"&lt;="&amp;EOMONTH(LJ$8,0))</f>
        <v/>
      </c>
      <c r="LK97" s="1318">
        <f>SUMIFS(46:46,$8:$8,"&gt;="&amp;DATE(YEAR(LK$8),1,1),$8:$8,"&lt;="&amp;EOMONTH(LK$8,0))/SUMIFS(10:10,$8:$8,"&gt;="&amp;DATE(YEAR(LK$8),1,1),$8:$8,"&lt;="&amp;EOMONTH(LK$8,0))</f>
        <v/>
      </c>
      <c r="LL97" s="1318">
        <f>SUMIFS(46:46,$8:$8,"&gt;="&amp;DATE(YEAR(LL$8),1,1),$8:$8,"&lt;="&amp;EOMONTH(LL$8,0))/SUMIFS(10:10,$8:$8,"&gt;="&amp;DATE(YEAR(LL$8),1,1),$8:$8,"&lt;="&amp;EOMONTH(LL$8,0))</f>
        <v/>
      </c>
      <c r="LM97" s="1318">
        <f>SUMIFS(46:46,$8:$8,"&gt;="&amp;DATE(YEAR(LM$8),1,1),$8:$8,"&lt;="&amp;EOMONTH(LM$8,0))/SUMIFS(10:10,$8:$8,"&gt;="&amp;DATE(YEAR(LM$8),1,1),$8:$8,"&lt;="&amp;EOMONTH(LM$8,0))</f>
        <v/>
      </c>
      <c r="LN97" s="1318">
        <f>SUMIFS(46:46,$8:$8,"&gt;="&amp;DATE(YEAR(LN$8),1,1),$8:$8,"&lt;="&amp;EOMONTH(LN$8,0))/SUMIFS(10:10,$8:$8,"&gt;="&amp;DATE(YEAR(LN$8),1,1),$8:$8,"&lt;="&amp;EOMONTH(LN$8,0))</f>
        <v/>
      </c>
      <c r="LO97" s="1318">
        <f>SUMIFS(46:46,$8:$8,"&gt;="&amp;DATE(YEAR(LO$8),1,1),$8:$8,"&lt;="&amp;EOMONTH(LO$8,0))/SUMIFS(10:10,$8:$8,"&gt;="&amp;DATE(YEAR(LO$8),1,1),$8:$8,"&lt;="&amp;EOMONTH(LO$8,0))</f>
        <v/>
      </c>
      <c r="LP97" s="1318">
        <f>SUMIFS(46:46,$8:$8,"&gt;="&amp;DATE(YEAR(LP$8),1,1),$8:$8,"&lt;="&amp;EOMONTH(LP$8,0))/SUMIFS(10:10,$8:$8,"&gt;="&amp;DATE(YEAR(LP$8),1,1),$8:$8,"&lt;="&amp;EOMONTH(LP$8,0))</f>
        <v/>
      </c>
      <c r="LQ97" s="1318">
        <f>SUMIFS(46:46,$8:$8,"&gt;="&amp;DATE(YEAR(LQ$8),1,1),$8:$8,"&lt;="&amp;EOMONTH(LQ$8,0))/SUMIFS(10:10,$8:$8,"&gt;="&amp;DATE(YEAR(LQ$8),1,1),$8:$8,"&lt;="&amp;EOMONTH(LQ$8,0))</f>
        <v/>
      </c>
      <c r="LR97" s="1318">
        <f>SUMIFS(46:46,$8:$8,"&gt;="&amp;DATE(YEAR(LR$8),1,1),$8:$8,"&lt;="&amp;EOMONTH(LR$8,0))/SUMIFS(10:10,$8:$8,"&gt;="&amp;DATE(YEAR(LR$8),1,1),$8:$8,"&lt;="&amp;EOMONTH(LR$8,0))</f>
        <v/>
      </c>
      <c r="LS97" s="1318">
        <f>SUMIFS(46:46,$8:$8,"&gt;="&amp;DATE(YEAR(LS$8),1,1),$8:$8,"&lt;="&amp;EOMONTH(LS$8,0))/SUMIFS(10:10,$8:$8,"&gt;="&amp;DATE(YEAR(LS$8),1,1),$8:$8,"&lt;="&amp;EOMONTH(LS$8,0))</f>
        <v/>
      </c>
    </row>
    <row r="98">
      <c r="A98" s="885" t="inlineStr">
        <is>
          <t>YTDYOY%</t>
        </is>
      </c>
      <c r="B98" s="1318" t="n"/>
      <c r="C98" s="1318" t="n"/>
      <c r="D98" s="1318" t="n"/>
      <c r="E98" s="1318" t="n"/>
      <c r="F98" s="1318" t="n"/>
      <c r="G98" s="1318" t="n"/>
      <c r="H98" s="1318" t="n"/>
      <c r="I98" s="1318" t="n"/>
      <c r="J98" s="1318" t="n"/>
      <c r="K98" s="1318" t="n"/>
      <c r="L98" s="1318" t="n"/>
      <c r="M98" s="1318" t="n"/>
      <c r="N98" s="1318" t="n"/>
      <c r="O98" s="1318" t="n"/>
      <c r="P98" s="1318" t="n"/>
      <c r="Q98" s="1318" t="n"/>
      <c r="R98" s="1318" t="n"/>
      <c r="S98" s="1318" t="n"/>
      <c r="T98" s="1318" t="n"/>
      <c r="U98" s="1318" t="n"/>
      <c r="V98" s="1318" t="n"/>
      <c r="W98" s="1318" t="n"/>
      <c r="X98" s="1318" t="n"/>
      <c r="Y98" s="1318" t="n"/>
      <c r="Z98" s="1318">
        <f>Z97-N97</f>
        <v/>
      </c>
      <c r="AA98" s="1318">
        <f>AA97-O97</f>
        <v/>
      </c>
      <c r="AB98" s="1318">
        <f>AB97-P97</f>
        <v/>
      </c>
      <c r="AC98" s="1318">
        <f>AC97-Q97</f>
        <v/>
      </c>
      <c r="AD98" s="1318">
        <f>AD97-R97</f>
        <v/>
      </c>
      <c r="AE98" s="1318">
        <f>AE97-S97</f>
        <v/>
      </c>
      <c r="AF98" s="1318">
        <f>AF97-T97</f>
        <v/>
      </c>
      <c r="AG98" s="1318">
        <f>AG97-U97</f>
        <v/>
      </c>
      <c r="AH98" s="1318">
        <f>AH97-V97</f>
        <v/>
      </c>
      <c r="AI98" s="1318">
        <f>AI97-W97</f>
        <v/>
      </c>
      <c r="AJ98" s="1318">
        <f>AJ97-X97</f>
        <v/>
      </c>
      <c r="AK98" s="1318">
        <f>AK97-Y97</f>
        <v/>
      </c>
      <c r="AL98" s="1318">
        <f>AL97-Z97</f>
        <v/>
      </c>
      <c r="AM98" s="1318">
        <f>AM97-AA97</f>
        <v/>
      </c>
      <c r="AN98" s="1318">
        <f>AN97-AB97</f>
        <v/>
      </c>
      <c r="AO98" s="1318">
        <f>AO97-AC97</f>
        <v/>
      </c>
      <c r="AP98" s="1318">
        <f>AP97-AD97</f>
        <v/>
      </c>
      <c r="AQ98" s="1318">
        <f>AQ97-AE97</f>
        <v/>
      </c>
      <c r="AR98" s="1318">
        <f>AR97-AF97</f>
        <v/>
      </c>
      <c r="AS98" s="1318">
        <f>AS97-AG97</f>
        <v/>
      </c>
      <c r="AT98" s="1318">
        <f>AT97-AH97</f>
        <v/>
      </c>
      <c r="AU98" s="1318">
        <f>AU97-AI97</f>
        <v/>
      </c>
      <c r="AV98" s="1318">
        <f>AV97-AJ97</f>
        <v/>
      </c>
      <c r="AW98" s="1318">
        <f>AW97-AK97</f>
        <v/>
      </c>
      <c r="AX98" s="1318">
        <f>AX97-AL97</f>
        <v/>
      </c>
      <c r="AY98" s="1318">
        <f>AY97-AM97</f>
        <v/>
      </c>
      <c r="AZ98" s="1318">
        <f>AZ97-AN97</f>
        <v/>
      </c>
      <c r="BA98" s="1318">
        <f>BA97-AO97</f>
        <v/>
      </c>
      <c r="BB98" s="1318">
        <f>BB97-AP97</f>
        <v/>
      </c>
      <c r="BC98" s="1318">
        <f>BC97-AQ97</f>
        <v/>
      </c>
      <c r="BD98" s="1318">
        <f>BD97-AR97</f>
        <v/>
      </c>
      <c r="BE98" s="1318">
        <f>BE97-AS97</f>
        <v/>
      </c>
      <c r="BF98" s="1318">
        <f>BF97-AT97</f>
        <v/>
      </c>
      <c r="BG98" s="1318">
        <f>BG97-AU97</f>
        <v/>
      </c>
      <c r="BH98" s="1318">
        <f>BH97-AV97</f>
        <v/>
      </c>
      <c r="BI98" s="1318">
        <f>BI97-AW97</f>
        <v/>
      </c>
      <c r="BJ98" s="1318">
        <f>BJ97-AX97</f>
        <v/>
      </c>
      <c r="BK98" s="1318">
        <f>BK97-AY97</f>
        <v/>
      </c>
      <c r="BL98" s="1318">
        <f>BL97-AZ97</f>
        <v/>
      </c>
      <c r="BM98" s="1318">
        <f>BM97-BA97</f>
        <v/>
      </c>
      <c r="BN98" s="1318">
        <f>BN97-BB97</f>
        <v/>
      </c>
      <c r="BO98" s="1318">
        <f>BO97-BC97</f>
        <v/>
      </c>
      <c r="BP98" s="1318">
        <f>BP97-BD97</f>
        <v/>
      </c>
      <c r="BQ98" s="1318">
        <f>BQ97-BE97</f>
        <v/>
      </c>
      <c r="BR98" s="1318">
        <f>BR97-BF97</f>
        <v/>
      </c>
      <c r="BS98" s="1318">
        <f>BS97-BG97</f>
        <v/>
      </c>
      <c r="BT98" s="1318">
        <f>BT97-BH97</f>
        <v/>
      </c>
      <c r="BU98" s="1318">
        <f>BU97-BI97</f>
        <v/>
      </c>
      <c r="BV98" s="1318">
        <f>BV97-BJ97</f>
        <v/>
      </c>
      <c r="BW98" s="1318">
        <f>BW97-BK97</f>
        <v/>
      </c>
      <c r="BX98" s="1318">
        <f>BX97-BL97</f>
        <v/>
      </c>
      <c r="BY98" s="1318">
        <f>BY97-BM97</f>
        <v/>
      </c>
      <c r="BZ98" s="1318">
        <f>BZ97-BN97</f>
        <v/>
      </c>
      <c r="CA98" s="1318">
        <f>CA97-BO97</f>
        <v/>
      </c>
      <c r="CB98" s="1318">
        <f>CB97-BP97</f>
        <v/>
      </c>
      <c r="CC98" s="1318">
        <f>CC97-BQ97</f>
        <v/>
      </c>
      <c r="CD98" s="1318">
        <f>CD97-BR97</f>
        <v/>
      </c>
      <c r="CE98" s="1318">
        <f>CE97-BS97</f>
        <v/>
      </c>
      <c r="CF98" s="1318">
        <f>CF97-BT97</f>
        <v/>
      </c>
      <c r="CG98" s="1318">
        <f>CG97-BU97</f>
        <v/>
      </c>
      <c r="CH98" s="1318">
        <f>CH97-BV97</f>
        <v/>
      </c>
      <c r="CI98" s="1318">
        <f>CI97-BW97</f>
        <v/>
      </c>
      <c r="CJ98" s="1318">
        <f>CJ97-BX97</f>
        <v/>
      </c>
      <c r="CK98" s="1318">
        <f>CK97-BY97</f>
        <v/>
      </c>
      <c r="CL98" s="1318">
        <f>CL97-BZ97</f>
        <v/>
      </c>
      <c r="CM98" s="1318">
        <f>CM97-CA97</f>
        <v/>
      </c>
      <c r="CN98" s="1318">
        <f>CN97-CB97</f>
        <v/>
      </c>
      <c r="CO98" s="1318">
        <f>CO97-CC97</f>
        <v/>
      </c>
      <c r="CP98" s="1318">
        <f>CP97-CD97</f>
        <v/>
      </c>
      <c r="CQ98" s="1318">
        <f>CQ97-CE97</f>
        <v/>
      </c>
      <c r="CR98" s="1318">
        <f>CR97-CF97</f>
        <v/>
      </c>
      <c r="CS98" s="1318">
        <f>CS97-CG97</f>
        <v/>
      </c>
      <c r="CT98" s="1318">
        <f>CT97-CH97</f>
        <v/>
      </c>
      <c r="CU98" s="1318">
        <f>CU97-CI97</f>
        <v/>
      </c>
      <c r="CV98" s="1318">
        <f>CV97-CJ97</f>
        <v/>
      </c>
      <c r="CW98" s="1318">
        <f>CW97-CK97</f>
        <v/>
      </c>
      <c r="CX98" s="1318">
        <f>CX97-CL97</f>
        <v/>
      </c>
      <c r="CY98" s="1318">
        <f>CY97-CM97</f>
        <v/>
      </c>
      <c r="CZ98" s="1318">
        <f>CZ97-CN97</f>
        <v/>
      </c>
      <c r="DA98" s="1318">
        <f>DA97-CO97</f>
        <v/>
      </c>
      <c r="DB98" s="1318">
        <f>DB97-CP97</f>
        <v/>
      </c>
      <c r="DC98" s="1318">
        <f>DC97-CQ97</f>
        <v/>
      </c>
      <c r="DD98" s="1318">
        <f>DD97-CR97</f>
        <v/>
      </c>
      <c r="DE98" s="1318">
        <f>DE97-CS97</f>
        <v/>
      </c>
      <c r="DF98" s="1318">
        <f>DF97-CT97</f>
        <v/>
      </c>
      <c r="DG98" s="1318">
        <f>DG97-CU97</f>
        <v/>
      </c>
      <c r="DH98" s="1318">
        <f>DH97-CV97</f>
        <v/>
      </c>
      <c r="DI98" s="1318">
        <f>DI97-CW97</f>
        <v/>
      </c>
      <c r="DJ98" s="1318">
        <f>DJ97-CX97</f>
        <v/>
      </c>
      <c r="DK98" s="1318">
        <f>DK97-CY97</f>
        <v/>
      </c>
      <c r="DL98" s="1318">
        <f>DL97-CZ97</f>
        <v/>
      </c>
      <c r="DM98" s="1318">
        <f>DM97-DA97</f>
        <v/>
      </c>
      <c r="DN98" s="1318">
        <f>DN97-DB97</f>
        <v/>
      </c>
      <c r="DO98" s="1318">
        <f>DO97-DC97</f>
        <v/>
      </c>
      <c r="DP98" s="1318">
        <f>DP97-DD97</f>
        <v/>
      </c>
      <c r="DQ98" s="1318">
        <f>DQ97-DE97</f>
        <v/>
      </c>
      <c r="DR98" s="1318">
        <f>DR97-DF97</f>
        <v/>
      </c>
      <c r="DS98" s="1318">
        <f>DS97-DG97</f>
        <v/>
      </c>
      <c r="DT98" s="1318">
        <f>DT97-DH97</f>
        <v/>
      </c>
      <c r="DU98" s="1318">
        <f>DU97-DI97</f>
        <v/>
      </c>
      <c r="DV98" s="1318">
        <f>DV97-DJ97</f>
        <v/>
      </c>
      <c r="DW98" s="1318">
        <f>DW97-DK97</f>
        <v/>
      </c>
      <c r="DX98" s="1318">
        <f>DX97-DL97</f>
        <v/>
      </c>
      <c r="DY98" s="1318">
        <f>DY97-DM97</f>
        <v/>
      </c>
      <c r="DZ98" s="1318">
        <f>DZ97-DN97</f>
        <v/>
      </c>
      <c r="EA98" s="1318">
        <f>EA97-DO97</f>
        <v/>
      </c>
      <c r="EB98" s="1318">
        <f>EB97-DP97</f>
        <v/>
      </c>
      <c r="EC98" s="1318">
        <f>EC97-DQ97</f>
        <v/>
      </c>
      <c r="ED98" s="1318">
        <f>ED97-DR97</f>
        <v/>
      </c>
      <c r="EE98" s="1318">
        <f>EE97-DS97</f>
        <v/>
      </c>
      <c r="EF98" s="1318">
        <f>EF97-DT97</f>
        <v/>
      </c>
      <c r="EG98" s="1318">
        <f>EG97-DU97</f>
        <v/>
      </c>
      <c r="EH98" s="1318">
        <f>EH97-DV97</f>
        <v/>
      </c>
      <c r="EI98" s="1318">
        <f>EI97-DW97</f>
        <v/>
      </c>
      <c r="EJ98" s="1318">
        <f>EJ97-DX97</f>
        <v/>
      </c>
      <c r="EK98" s="1318">
        <f>EK97-DY97</f>
        <v/>
      </c>
      <c r="EL98" s="1318">
        <f>EL97-DZ97</f>
        <v/>
      </c>
      <c r="EM98" s="1318">
        <f>EM97-EA97</f>
        <v/>
      </c>
      <c r="EN98" s="1318">
        <f>EN97-EB97</f>
        <v/>
      </c>
      <c r="EO98" s="1318">
        <f>EO97-EC97</f>
        <v/>
      </c>
      <c r="EP98" s="1318">
        <f>EP97-ED97</f>
        <v/>
      </c>
      <c r="EQ98" s="1318">
        <f>EQ97-EE97</f>
        <v/>
      </c>
      <c r="ER98" s="1318">
        <f>ER97-EF97</f>
        <v/>
      </c>
      <c r="ES98" s="1318">
        <f>ES97-EG97</f>
        <v/>
      </c>
      <c r="ET98" s="1318">
        <f>ET97-EH97</f>
        <v/>
      </c>
      <c r="EU98" s="1318">
        <f>EU97-EI97</f>
        <v/>
      </c>
      <c r="EV98" s="1318">
        <f>EV97-EJ97</f>
        <v/>
      </c>
      <c r="EW98" s="1318">
        <f>EW97-EK97</f>
        <v/>
      </c>
      <c r="EX98" s="1318">
        <f>EX97-EL97</f>
        <v/>
      </c>
      <c r="EY98" s="1318">
        <f>EY97-EM97</f>
        <v/>
      </c>
      <c r="EZ98" s="1318">
        <f>EZ97-EN97</f>
        <v/>
      </c>
      <c r="FA98" s="1318">
        <f>FA97-EO97</f>
        <v/>
      </c>
      <c r="FB98" s="1318">
        <f>FB97-EP97</f>
        <v/>
      </c>
      <c r="FC98" s="1318">
        <f>FC97-EQ97</f>
        <v/>
      </c>
      <c r="FD98" s="1318">
        <f>FD97-ER97</f>
        <v/>
      </c>
      <c r="FE98" s="1318">
        <f>FE97-ES97</f>
        <v/>
      </c>
      <c r="FF98" s="1318">
        <f>FF97-ET97</f>
        <v/>
      </c>
      <c r="FG98" s="1318">
        <f>FG97-EU97</f>
        <v/>
      </c>
      <c r="FH98" s="1318">
        <f>FH97-EV97</f>
        <v/>
      </c>
      <c r="FI98" s="1318">
        <f>FI97-EW97</f>
        <v/>
      </c>
      <c r="FJ98" s="1318">
        <f>FJ97-EX97</f>
        <v/>
      </c>
      <c r="FK98" s="1318">
        <f>FK97-EY97</f>
        <v/>
      </c>
      <c r="FL98" s="1318">
        <f>FL97-EZ97</f>
        <v/>
      </c>
      <c r="FM98" s="1318">
        <f>FM97-FA97</f>
        <v/>
      </c>
      <c r="FN98" s="1318">
        <f>FN97-FB97</f>
        <v/>
      </c>
      <c r="FO98" s="1318">
        <f>FO97-FC97</f>
        <v/>
      </c>
      <c r="FP98" s="1318">
        <f>FP97-FD97</f>
        <v/>
      </c>
      <c r="FQ98" s="1318">
        <f>FQ97-FE97</f>
        <v/>
      </c>
      <c r="FR98" s="1318">
        <f>FR97-FF97</f>
        <v/>
      </c>
      <c r="FS98" s="1318">
        <f>FS97-FG97</f>
        <v/>
      </c>
      <c r="FT98" s="1318">
        <f>FT97-FH97</f>
        <v/>
      </c>
      <c r="FU98" s="1318">
        <f>FU97-FI97</f>
        <v/>
      </c>
      <c r="FV98" s="1318">
        <f>FV97-FJ97</f>
        <v/>
      </c>
      <c r="FW98" s="1318">
        <f>FW97-FK97</f>
        <v/>
      </c>
      <c r="FX98" s="1318">
        <f>FX97-FL97</f>
        <v/>
      </c>
      <c r="FY98" s="1318">
        <f>FY97-FM97</f>
        <v/>
      </c>
      <c r="FZ98" s="1318">
        <f>FZ97-FN97</f>
        <v/>
      </c>
      <c r="GA98" s="1318">
        <f>GA97-FO97</f>
        <v/>
      </c>
      <c r="GB98" s="1318">
        <f>GB97-FP97</f>
        <v/>
      </c>
      <c r="GC98" s="1318">
        <f>GC97-FQ97</f>
        <v/>
      </c>
      <c r="GD98" s="1318">
        <f>GD97-FR97</f>
        <v/>
      </c>
      <c r="GE98" s="1318">
        <f>GE97-FS97</f>
        <v/>
      </c>
      <c r="GF98" s="1318">
        <f>GF97-FT97</f>
        <v/>
      </c>
      <c r="GG98" s="1318">
        <f>GG97-FU97</f>
        <v/>
      </c>
      <c r="GH98" s="1318">
        <f>GH97-FV97</f>
        <v/>
      </c>
      <c r="GI98" s="1318">
        <f>GI97-FW97</f>
        <v/>
      </c>
      <c r="GJ98" s="1318">
        <f>GJ97-FX97</f>
        <v/>
      </c>
      <c r="GK98" s="1318">
        <f>GK97-FY97</f>
        <v/>
      </c>
      <c r="GL98" s="1318">
        <f>GL97-FZ97</f>
        <v/>
      </c>
      <c r="GM98" s="1318">
        <f>GM97-GA97</f>
        <v/>
      </c>
      <c r="GN98" s="1318">
        <f>GN97-GB97</f>
        <v/>
      </c>
      <c r="GO98" s="1318">
        <f>GO97-GC97</f>
        <v/>
      </c>
      <c r="GP98" s="1318">
        <f>GP97-GD97</f>
        <v/>
      </c>
      <c r="GQ98" s="1318">
        <f>GQ97-GE97</f>
        <v/>
      </c>
      <c r="GR98" s="1318">
        <f>GR97-GF97</f>
        <v/>
      </c>
      <c r="GS98" s="1318">
        <f>GS97-GG97</f>
        <v/>
      </c>
      <c r="GT98" s="1318">
        <f>GT97-GH97</f>
        <v/>
      </c>
      <c r="GU98" s="1318">
        <f>GU97-GI97</f>
        <v/>
      </c>
      <c r="GV98" s="1318">
        <f>GV97-GJ97</f>
        <v/>
      </c>
      <c r="GW98" s="1318">
        <f>GW97-GK97</f>
        <v/>
      </c>
      <c r="GX98" s="1318">
        <f>GX97-GL97</f>
        <v/>
      </c>
      <c r="GY98" s="1318">
        <f>GY97-GM97</f>
        <v/>
      </c>
      <c r="GZ98" s="1318">
        <f>GZ97-GN97</f>
        <v/>
      </c>
      <c r="HA98" s="1318">
        <f>HA97-GO97</f>
        <v/>
      </c>
      <c r="HB98" s="1318">
        <f>HB97-GP97</f>
        <v/>
      </c>
      <c r="HC98" s="1318">
        <f>HC97-GQ97</f>
        <v/>
      </c>
      <c r="HD98" s="1318">
        <f>HD97-GR97</f>
        <v/>
      </c>
      <c r="HE98" s="1318">
        <f>HE97-GS97</f>
        <v/>
      </c>
      <c r="HF98" s="1318">
        <f>HF97-GT97</f>
        <v/>
      </c>
      <c r="HG98" s="1318">
        <f>HG97-GU97</f>
        <v/>
      </c>
      <c r="HH98" s="1318">
        <f>HH97-GV97</f>
        <v/>
      </c>
      <c r="HI98" s="1318">
        <f>HI97-GW97</f>
        <v/>
      </c>
      <c r="HJ98" s="1318">
        <f>HJ97-GX97</f>
        <v/>
      </c>
      <c r="HK98" s="1318">
        <f>HK97-GY97</f>
        <v/>
      </c>
      <c r="HL98" s="1318">
        <f>HL97-GZ97</f>
        <v/>
      </c>
      <c r="HM98" s="1318">
        <f>HM97-HA97</f>
        <v/>
      </c>
      <c r="HN98" s="1318">
        <f>HN97-HB97</f>
        <v/>
      </c>
      <c r="HO98" s="1318">
        <f>HO97-HC97</f>
        <v/>
      </c>
      <c r="HP98" s="1318">
        <f>HP97-HD97</f>
        <v/>
      </c>
      <c r="HQ98" s="1318">
        <f>HQ97-HE97</f>
        <v/>
      </c>
      <c r="HR98" s="1318">
        <f>HR97-HF97</f>
        <v/>
      </c>
      <c r="HS98" s="1318">
        <f>HS97-HG97</f>
        <v/>
      </c>
      <c r="HT98" s="1318">
        <f>HT97-HH97</f>
        <v/>
      </c>
      <c r="HU98" s="1318">
        <f>HU97-HI97</f>
        <v/>
      </c>
      <c r="HV98" s="1318">
        <f>HV97-HJ97</f>
        <v/>
      </c>
      <c r="HW98" s="1318">
        <f>HW97-HK97</f>
        <v/>
      </c>
      <c r="HX98" s="1318">
        <f>HX97-HL97</f>
        <v/>
      </c>
      <c r="HY98" s="1318">
        <f>HY97-HM97</f>
        <v/>
      </c>
      <c r="HZ98" s="1318">
        <f>HZ97-HN97</f>
        <v/>
      </c>
      <c r="IA98" s="1318">
        <f>IA97-HO97</f>
        <v/>
      </c>
      <c r="IB98" s="1318">
        <f>IB97-HP97</f>
        <v/>
      </c>
      <c r="IC98" s="1318">
        <f>IC97-HQ97</f>
        <v/>
      </c>
      <c r="ID98" s="1318">
        <f>ID97-HR97</f>
        <v/>
      </c>
      <c r="IE98" s="1318">
        <f>IE97-HS97</f>
        <v/>
      </c>
      <c r="IF98" s="1318">
        <f>IF97-HT97</f>
        <v/>
      </c>
      <c r="IG98" s="1318">
        <f>IG97-HU97</f>
        <v/>
      </c>
      <c r="IH98" s="1318">
        <f>IH97-HV97</f>
        <v/>
      </c>
      <c r="II98" s="1318">
        <f>II97-HW97</f>
        <v/>
      </c>
      <c r="IJ98" s="1318">
        <f>IJ97-HX97</f>
        <v/>
      </c>
      <c r="IK98" s="1318">
        <f>IK97-HY97</f>
        <v/>
      </c>
      <c r="IL98" s="1318">
        <f>IL97-HZ97</f>
        <v/>
      </c>
      <c r="IM98" s="1318">
        <f>IM97-IA97</f>
        <v/>
      </c>
      <c r="IN98" s="1318">
        <f>IN97-IB97</f>
        <v/>
      </c>
      <c r="IO98" s="1318">
        <f>IO97-IC97</f>
        <v/>
      </c>
      <c r="IP98" s="1318">
        <f>IP97-ID97</f>
        <v/>
      </c>
      <c r="IQ98" s="1318">
        <f>IQ97-IE97</f>
        <v/>
      </c>
      <c r="IR98" s="1318">
        <f>IR97-IF97</f>
        <v/>
      </c>
      <c r="IS98" s="1318">
        <f>IS97-IG97</f>
        <v/>
      </c>
      <c r="IT98" s="1318">
        <f>IT97-IH97</f>
        <v/>
      </c>
      <c r="IU98" s="1318">
        <f>IU97-II97</f>
        <v/>
      </c>
      <c r="IV98" s="1318">
        <f>IV97-IJ97</f>
        <v/>
      </c>
      <c r="IW98" s="1318">
        <f>IW97-IK97</f>
        <v/>
      </c>
      <c r="IX98" s="1318">
        <f>IX97-IL97</f>
        <v/>
      </c>
      <c r="IY98" s="1318">
        <f>IY97-IM97</f>
        <v/>
      </c>
      <c r="IZ98" s="1318">
        <f>IZ97-IN97</f>
        <v/>
      </c>
      <c r="JA98" s="1318">
        <f>JA97-IO97</f>
        <v/>
      </c>
      <c r="JB98" s="1318">
        <f>JB97-IP97</f>
        <v/>
      </c>
      <c r="JC98" s="1318">
        <f>JC97-IQ97</f>
        <v/>
      </c>
      <c r="JD98" s="1318">
        <f>JD97-IR97</f>
        <v/>
      </c>
      <c r="JE98" s="1318">
        <f>JE97-IS97</f>
        <v/>
      </c>
      <c r="JF98" s="1318">
        <f>JF97-IT97</f>
        <v/>
      </c>
      <c r="JG98" s="1318">
        <f>JG97-IU97</f>
        <v/>
      </c>
      <c r="JH98" s="1318">
        <f>JH97-IV97</f>
        <v/>
      </c>
      <c r="JI98" s="1318">
        <f>JI97-IW97</f>
        <v/>
      </c>
      <c r="JJ98" s="1318">
        <f>JJ97-IX97</f>
        <v/>
      </c>
      <c r="JK98" s="1318">
        <f>JK97-IY97</f>
        <v/>
      </c>
      <c r="JL98" s="1318">
        <f>JL97-IZ97</f>
        <v/>
      </c>
      <c r="JM98" s="1318">
        <f>JM97-JA97</f>
        <v/>
      </c>
      <c r="JN98" s="1318">
        <f>JN97-JB97</f>
        <v/>
      </c>
      <c r="JO98" s="1318">
        <f>JO97-JC97</f>
        <v/>
      </c>
      <c r="JP98" s="1318">
        <f>JP97-JD97</f>
        <v/>
      </c>
      <c r="JQ98" s="1318">
        <f>JQ97-JE97</f>
        <v/>
      </c>
      <c r="JR98" s="1318">
        <f>JR97-JF97</f>
        <v/>
      </c>
      <c r="JS98" s="1318">
        <f>JS97-JG97</f>
        <v/>
      </c>
      <c r="JT98" s="1318">
        <f>JT97-JH97</f>
        <v/>
      </c>
      <c r="JU98" s="1318">
        <f>JU97-JI97</f>
        <v/>
      </c>
      <c r="JV98" s="1318">
        <f>JV97-JJ97</f>
        <v/>
      </c>
      <c r="JW98" s="1318">
        <f>JW97-JK97</f>
        <v/>
      </c>
      <c r="JX98" s="1318">
        <f>JX97-JL97</f>
        <v/>
      </c>
      <c r="JY98" s="1318">
        <f>JY97-JM97</f>
        <v/>
      </c>
      <c r="JZ98" s="1318">
        <f>JZ97-JN97</f>
        <v/>
      </c>
      <c r="KA98" s="1318">
        <f>KA97-JO97</f>
        <v/>
      </c>
      <c r="KB98" s="1318">
        <f>KB97-JP97</f>
        <v/>
      </c>
      <c r="KC98" s="1318">
        <f>KC97-JQ97</f>
        <v/>
      </c>
      <c r="KD98" s="1318">
        <f>KD97-JR97</f>
        <v/>
      </c>
      <c r="KE98" s="1318">
        <f>KE97-JS97</f>
        <v/>
      </c>
      <c r="KF98" s="1318">
        <f>KF97-JT97</f>
        <v/>
      </c>
      <c r="KG98" s="1318">
        <f>KG97-JU97</f>
        <v/>
      </c>
      <c r="KH98" s="1318">
        <f>KH97-JV97</f>
        <v/>
      </c>
      <c r="KI98" s="1318">
        <f>KI97-JW97</f>
        <v/>
      </c>
      <c r="KJ98" s="1318">
        <f>KJ97-JX97</f>
        <v/>
      </c>
      <c r="KK98" s="1318">
        <f>KK97-JY97</f>
        <v/>
      </c>
      <c r="KL98" s="1318">
        <f>KL97-JZ97</f>
        <v/>
      </c>
      <c r="KM98" s="1318">
        <f>KM97-KA97</f>
        <v/>
      </c>
      <c r="KN98" s="1318">
        <f>KN97-KB97</f>
        <v/>
      </c>
      <c r="KO98" s="1318">
        <f>KO97-KC97</f>
        <v/>
      </c>
      <c r="KP98" s="1318">
        <f>KP97-KD97</f>
        <v/>
      </c>
      <c r="KQ98" s="1318">
        <f>KQ97-KE97</f>
        <v/>
      </c>
      <c r="KR98" s="1318">
        <f>KR97-KF97</f>
        <v/>
      </c>
      <c r="KS98" s="1318">
        <f>KS97-KG97</f>
        <v/>
      </c>
      <c r="KT98" s="1318">
        <f>KT97-KH97</f>
        <v/>
      </c>
      <c r="KU98" s="1318">
        <f>KU97-KI97</f>
        <v/>
      </c>
      <c r="KV98" s="1318">
        <f>KV97-KJ97</f>
        <v/>
      </c>
      <c r="KW98" s="1318">
        <f>KW97-KK97</f>
        <v/>
      </c>
      <c r="KX98" s="1318">
        <f>KX97-KL97</f>
        <v/>
      </c>
      <c r="KY98" s="1318">
        <f>KY97-KM97</f>
        <v/>
      </c>
      <c r="KZ98" s="1318">
        <f>KZ97-KN97</f>
        <v/>
      </c>
      <c r="LA98" s="1318">
        <f>LA97-KO97</f>
        <v/>
      </c>
      <c r="LB98" s="1318">
        <f>LB97-KP97</f>
        <v/>
      </c>
      <c r="LC98" s="1318">
        <f>LC97-KQ97</f>
        <v/>
      </c>
      <c r="LD98" s="1318">
        <f>LD97-KR97</f>
        <v/>
      </c>
      <c r="LE98" s="1318">
        <f>LE97-KS97</f>
        <v/>
      </c>
      <c r="LF98" s="1318">
        <f>LF97-KT97</f>
        <v/>
      </c>
      <c r="LG98" s="1318">
        <f>LG97-KU97</f>
        <v/>
      </c>
      <c r="LH98" s="1318">
        <f>LH97-KV97</f>
        <v/>
      </c>
      <c r="LI98" s="1318">
        <f>LI97-KW97</f>
        <v/>
      </c>
      <c r="LJ98" s="1318">
        <f>LJ97-KX97</f>
        <v/>
      </c>
      <c r="LK98" s="1318">
        <f>LK97-KY97</f>
        <v/>
      </c>
      <c r="LL98" s="1318">
        <f>LL97-KZ97</f>
        <v/>
      </c>
      <c r="LM98" s="1318">
        <f>LM97-LA97</f>
        <v/>
      </c>
      <c r="LN98" s="1318">
        <f>LN97-LB97</f>
        <v/>
      </c>
      <c r="LO98" s="1318">
        <f>LO97-LC97</f>
        <v/>
      </c>
      <c r="LP98" s="1318">
        <f>LP97-LD97</f>
        <v/>
      </c>
      <c r="LQ98" s="1318">
        <f>LQ97-LE97</f>
        <v/>
      </c>
      <c r="LR98" s="1318">
        <f>LR97-LF97</f>
        <v/>
      </c>
      <c r="LS98" s="1318">
        <f>LS97-LG97</f>
        <v/>
      </c>
    </row>
    <row r="99" ht="15" customHeight="1" s="239">
      <c r="A99" s="1341" t="inlineStr">
        <is>
          <t>Europe</t>
        </is>
      </c>
      <c r="B99" s="1342">
        <f>B50/B14</f>
        <v/>
      </c>
      <c r="C99" s="1342">
        <f>C50/C14</f>
        <v/>
      </c>
      <c r="D99" s="1342">
        <f>D50/D14</f>
        <v/>
      </c>
      <c r="E99" s="1342">
        <f>E50/E14</f>
        <v/>
      </c>
      <c r="F99" s="1342">
        <f>F50/F14</f>
        <v/>
      </c>
      <c r="G99" s="1342">
        <f>G50/G14</f>
        <v/>
      </c>
      <c r="H99" s="1342">
        <f>H50/H14</f>
        <v/>
      </c>
      <c r="I99" s="1342">
        <f>I50/I14</f>
        <v/>
      </c>
      <c r="J99" s="1342">
        <f>J50/J14</f>
        <v/>
      </c>
      <c r="K99" s="1342">
        <f>K50/K14</f>
        <v/>
      </c>
      <c r="L99" s="1342">
        <f>L50/L14</f>
        <v/>
      </c>
      <c r="M99" s="1342">
        <f>M50/M14</f>
        <v/>
      </c>
      <c r="N99" s="1342">
        <f>N50/N14</f>
        <v/>
      </c>
      <c r="O99" s="1342">
        <f>O50/O14</f>
        <v/>
      </c>
      <c r="P99" s="1342">
        <f>P50/P14</f>
        <v/>
      </c>
      <c r="Q99" s="1342">
        <f>Q50/Q14</f>
        <v/>
      </c>
      <c r="R99" s="1342">
        <f>R50/R14</f>
        <v/>
      </c>
      <c r="S99" s="1342">
        <f>S50/S14</f>
        <v/>
      </c>
      <c r="T99" s="1342">
        <f>T50/T14</f>
        <v/>
      </c>
      <c r="U99" s="1342">
        <f>U50/U14</f>
        <v/>
      </c>
      <c r="V99" s="1342">
        <f>V50/V14</f>
        <v/>
      </c>
      <c r="W99" s="1342">
        <f>W50/W14</f>
        <v/>
      </c>
      <c r="X99" s="1342">
        <f>X50/X14</f>
        <v/>
      </c>
      <c r="Y99" s="1342">
        <f>Y50/Y14</f>
        <v/>
      </c>
      <c r="Z99" s="1342">
        <f>Z50/Z14</f>
        <v/>
      </c>
      <c r="AA99" s="1342">
        <f>AA50/AA14</f>
        <v/>
      </c>
      <c r="AB99" s="1342">
        <f>AB50/AB14</f>
        <v/>
      </c>
      <c r="AC99" s="1342">
        <f>AC50/AC14</f>
        <v/>
      </c>
      <c r="AD99" s="1342">
        <f>AD50/AD14</f>
        <v/>
      </c>
      <c r="AE99" s="1342">
        <f>AE50/AE14</f>
        <v/>
      </c>
      <c r="AF99" s="1342">
        <f>AF50/AF14</f>
        <v/>
      </c>
      <c r="AG99" s="1342">
        <f>AG50/AG14</f>
        <v/>
      </c>
      <c r="AH99" s="1342">
        <f>AH50/AH14</f>
        <v/>
      </c>
      <c r="AI99" s="1342">
        <f>AI50/AI14</f>
        <v/>
      </c>
      <c r="AJ99" s="1342">
        <f>AJ50/AJ14</f>
        <v/>
      </c>
      <c r="AK99" s="1342">
        <f>AK50/AK14</f>
        <v/>
      </c>
      <c r="AL99" s="1342">
        <f>AL50/AL14</f>
        <v/>
      </c>
      <c r="AM99" s="1342">
        <f>AM50/AM14</f>
        <v/>
      </c>
      <c r="AN99" s="1342">
        <f>AN50/AN14</f>
        <v/>
      </c>
      <c r="AO99" s="1342">
        <f>AO50/AO14</f>
        <v/>
      </c>
      <c r="AP99" s="1342">
        <f>AP50/AP14</f>
        <v/>
      </c>
      <c r="AQ99" s="1342">
        <f>AQ50/AQ14</f>
        <v/>
      </c>
      <c r="AR99" s="1342">
        <f>AR50/AR14</f>
        <v/>
      </c>
      <c r="AS99" s="1342">
        <f>AS50/AS14</f>
        <v/>
      </c>
      <c r="AT99" s="1342">
        <f>AT50/AT14</f>
        <v/>
      </c>
      <c r="AU99" s="1342">
        <f>AU50/AU14</f>
        <v/>
      </c>
      <c r="AV99" s="1342">
        <f>AV50/AV14</f>
        <v/>
      </c>
      <c r="AW99" s="1342">
        <f>AW50/AW14</f>
        <v/>
      </c>
      <c r="AX99" s="1342">
        <f>AX50/AX14</f>
        <v/>
      </c>
      <c r="AY99" s="1342">
        <f>AY50/AY14</f>
        <v/>
      </c>
      <c r="AZ99" s="1342">
        <f>AZ50/AZ14</f>
        <v/>
      </c>
      <c r="BA99" s="1342">
        <f>BA50/BA14</f>
        <v/>
      </c>
      <c r="BB99" s="1342">
        <f>BB50/BB14</f>
        <v/>
      </c>
      <c r="BC99" s="1342">
        <f>BC50/BC14</f>
        <v/>
      </c>
      <c r="BD99" s="1342">
        <f>BD50/BD14</f>
        <v/>
      </c>
      <c r="BE99" s="1342">
        <f>BE50/BE14</f>
        <v/>
      </c>
      <c r="BF99" s="1342">
        <f>BF50/BF14</f>
        <v/>
      </c>
      <c r="BG99" s="1342">
        <f>BG50/BG14</f>
        <v/>
      </c>
      <c r="BH99" s="1342">
        <f>BH50/BH14</f>
        <v/>
      </c>
      <c r="BI99" s="1342">
        <f>BI50/BI14</f>
        <v/>
      </c>
      <c r="BJ99" s="1342">
        <f>BJ50/BJ14</f>
        <v/>
      </c>
      <c r="BK99" s="1342">
        <f>BK50/BK14</f>
        <v/>
      </c>
      <c r="BL99" s="1342">
        <f>BL50/BL14</f>
        <v/>
      </c>
      <c r="BM99" s="1342">
        <f>BM50/BM14</f>
        <v/>
      </c>
      <c r="BN99" s="1342">
        <f>BN50/BN14</f>
        <v/>
      </c>
      <c r="BO99" s="1342">
        <f>BO50/BO14</f>
        <v/>
      </c>
      <c r="BP99" s="1342">
        <f>BP50/BP14</f>
        <v/>
      </c>
      <c r="BQ99" s="1342">
        <f>BQ50/BQ14</f>
        <v/>
      </c>
      <c r="BR99" s="1342">
        <f>BR50/BR14</f>
        <v/>
      </c>
      <c r="BS99" s="1342">
        <f>BS50/BS14</f>
        <v/>
      </c>
      <c r="BT99" s="1342">
        <f>BT50/BT14</f>
        <v/>
      </c>
      <c r="BU99" s="1342">
        <f>BU50/BU14</f>
        <v/>
      </c>
      <c r="BV99" s="1342">
        <f>BV50/BV14</f>
        <v/>
      </c>
      <c r="BW99" s="1342">
        <f>BW50/BW14</f>
        <v/>
      </c>
      <c r="BX99" s="1342">
        <f>BX50/BX14</f>
        <v/>
      </c>
      <c r="BY99" s="1342">
        <f>BY50/BY14</f>
        <v/>
      </c>
      <c r="BZ99" s="1342">
        <f>BZ50/BZ14</f>
        <v/>
      </c>
      <c r="CA99" s="1342">
        <f>CA50/CA14</f>
        <v/>
      </c>
      <c r="CB99" s="1342">
        <f>CB50/CB14</f>
        <v/>
      </c>
      <c r="CC99" s="1342">
        <f>CC50/CC14</f>
        <v/>
      </c>
      <c r="CD99" s="1342">
        <f>CD50/CD14</f>
        <v/>
      </c>
      <c r="CE99" s="1342">
        <f>CE50/CE14</f>
        <v/>
      </c>
      <c r="CF99" s="1342">
        <f>CF50/CF14</f>
        <v/>
      </c>
      <c r="CG99" s="1342">
        <f>CG50/CG14</f>
        <v/>
      </c>
      <c r="CH99" s="1342">
        <f>CH50/CH14</f>
        <v/>
      </c>
      <c r="CI99" s="1342">
        <f>CI50/CI14</f>
        <v/>
      </c>
      <c r="CJ99" s="1342">
        <f>CJ50/CJ14</f>
        <v/>
      </c>
      <c r="CK99" s="1342">
        <f>CK50/CK14</f>
        <v/>
      </c>
      <c r="CL99" s="1342">
        <f>CL50/CL14</f>
        <v/>
      </c>
      <c r="CM99" s="1342">
        <f>CM50/CM14</f>
        <v/>
      </c>
      <c r="CN99" s="1342">
        <f>CN50/CN14</f>
        <v/>
      </c>
      <c r="CO99" s="1342">
        <f>CO50/CO14</f>
        <v/>
      </c>
      <c r="CP99" s="1342">
        <f>CP50/CP14</f>
        <v/>
      </c>
      <c r="CQ99" s="1342">
        <f>CQ50/CQ14</f>
        <v/>
      </c>
      <c r="CR99" s="1342">
        <f>CR50/CR14</f>
        <v/>
      </c>
      <c r="CS99" s="1342">
        <f>CS50/CS14</f>
        <v/>
      </c>
      <c r="CT99" s="1342">
        <f>CT50/CT14</f>
        <v/>
      </c>
      <c r="CU99" s="1342">
        <f>CU50/CU14</f>
        <v/>
      </c>
      <c r="CV99" s="1342">
        <f>CV50/CV14</f>
        <v/>
      </c>
      <c r="CW99" s="1342">
        <f>CW50/CW14</f>
        <v/>
      </c>
      <c r="CX99" s="1342">
        <f>CX50/CX14</f>
        <v/>
      </c>
      <c r="CY99" s="1342">
        <f>CY50/CY14</f>
        <v/>
      </c>
      <c r="CZ99" s="1342">
        <f>CZ50/CZ14</f>
        <v/>
      </c>
      <c r="DA99" s="1342">
        <f>DA50/DA14</f>
        <v/>
      </c>
      <c r="DB99" s="1342">
        <f>DB50/DB14</f>
        <v/>
      </c>
      <c r="DC99" s="1342">
        <f>DC50/DC14</f>
        <v/>
      </c>
      <c r="DD99" s="1342">
        <f>DD50/DD14</f>
        <v/>
      </c>
      <c r="DE99" s="1342">
        <f>DE50/DE14</f>
        <v/>
      </c>
      <c r="DF99" s="1342">
        <f>DF50/DF14</f>
        <v/>
      </c>
      <c r="DG99" s="1342">
        <f>DG50/DG14</f>
        <v/>
      </c>
      <c r="DH99" s="1342">
        <f>DH50/DH14</f>
        <v/>
      </c>
      <c r="DI99" s="1342">
        <f>DI50/DI14</f>
        <v/>
      </c>
      <c r="DJ99" s="1342">
        <f>DJ50/DJ14</f>
        <v/>
      </c>
      <c r="DK99" s="1342">
        <f>DK50/DK14</f>
        <v/>
      </c>
      <c r="DL99" s="1342">
        <f>DL50/DL14</f>
        <v/>
      </c>
      <c r="DM99" s="1342">
        <f>DM50/DM14</f>
        <v/>
      </c>
      <c r="DN99" s="1342">
        <f>DN50/DN14</f>
        <v/>
      </c>
      <c r="DO99" s="1342">
        <f>DO50/DO14</f>
        <v/>
      </c>
      <c r="DP99" s="1342">
        <f>DP50/DP14</f>
        <v/>
      </c>
      <c r="DQ99" s="1342">
        <f>DQ50/DQ14</f>
        <v/>
      </c>
      <c r="DR99" s="1342">
        <f>DR50/DR14</f>
        <v/>
      </c>
      <c r="DS99" s="1342">
        <f>DS50/DS14</f>
        <v/>
      </c>
      <c r="DT99" s="1342">
        <f>DT50/DT14</f>
        <v/>
      </c>
      <c r="DU99" s="1342">
        <f>DU50/DU14</f>
        <v/>
      </c>
      <c r="DV99" s="1342">
        <f>DV50/DV14</f>
        <v/>
      </c>
      <c r="DW99" s="1342">
        <f>DW50/DW14</f>
        <v/>
      </c>
      <c r="DX99" s="1342">
        <f>DX50/DX14</f>
        <v/>
      </c>
      <c r="DY99" s="1342">
        <f>DY50/DY14</f>
        <v/>
      </c>
      <c r="DZ99" s="1342">
        <f>DZ50/DZ14</f>
        <v/>
      </c>
      <c r="EA99" s="1342">
        <f>EA50/EA14</f>
        <v/>
      </c>
      <c r="EB99" s="1342">
        <f>EB50/EB14</f>
        <v/>
      </c>
      <c r="EC99" s="1342">
        <f>EC50/EC14</f>
        <v/>
      </c>
      <c r="ED99" s="1342">
        <f>ED50/ED14</f>
        <v/>
      </c>
      <c r="EE99" s="1342">
        <f>EE50/EE14</f>
        <v/>
      </c>
      <c r="EF99" s="1342">
        <f>EF50/EF14</f>
        <v/>
      </c>
      <c r="EG99" s="1342">
        <f>EG50/EG14</f>
        <v/>
      </c>
      <c r="EH99" s="1342">
        <f>EH50/EH14</f>
        <v/>
      </c>
      <c r="EI99" s="1342">
        <f>EI50/EI14</f>
        <v/>
      </c>
      <c r="EJ99" s="1342">
        <f>EJ50/EJ14</f>
        <v/>
      </c>
      <c r="EK99" s="1342">
        <f>EK50/EK14</f>
        <v/>
      </c>
      <c r="EL99" s="1342">
        <f>EL50/EL14</f>
        <v/>
      </c>
      <c r="EM99" s="1342">
        <f>EM50/EM14</f>
        <v/>
      </c>
      <c r="EN99" s="1342">
        <f>EN50/EN14</f>
        <v/>
      </c>
      <c r="EO99" s="1342">
        <f>EO50/EO14</f>
        <v/>
      </c>
      <c r="EP99" s="1342">
        <f>EP50/EP14</f>
        <v/>
      </c>
      <c r="EQ99" s="1342">
        <f>EQ50/EQ14</f>
        <v/>
      </c>
      <c r="ER99" s="1342">
        <f>ER50/ER14</f>
        <v/>
      </c>
      <c r="ES99" s="1342">
        <f>ES50/ES14</f>
        <v/>
      </c>
      <c r="ET99" s="1342">
        <f>ET50/ET14</f>
        <v/>
      </c>
      <c r="EU99" s="1342">
        <f>EU50/EU14</f>
        <v/>
      </c>
      <c r="EV99" s="1342">
        <f>EV50/EV14</f>
        <v/>
      </c>
      <c r="EW99" s="1342">
        <f>EW50/EW14</f>
        <v/>
      </c>
      <c r="EX99" s="1342">
        <f>EX50/EX14</f>
        <v/>
      </c>
      <c r="EY99" s="1342">
        <f>EY50/EY14</f>
        <v/>
      </c>
      <c r="EZ99" s="1342">
        <f>EZ50/EZ14</f>
        <v/>
      </c>
      <c r="FA99" s="1342">
        <f>FA50/FA14</f>
        <v/>
      </c>
      <c r="FB99" s="1342">
        <f>FB50/FB14</f>
        <v/>
      </c>
      <c r="FC99" s="1342">
        <f>FC50/FC14</f>
        <v/>
      </c>
      <c r="FD99" s="1342">
        <f>FD50/FD14</f>
        <v/>
      </c>
      <c r="FE99" s="1342">
        <f>FE50/FE14</f>
        <v/>
      </c>
      <c r="FF99" s="1342">
        <f>FF50/FF14</f>
        <v/>
      </c>
      <c r="FG99" s="1342">
        <f>FG50/FG14</f>
        <v/>
      </c>
      <c r="FH99" s="1342">
        <f>FH50/FH14</f>
        <v/>
      </c>
      <c r="FI99" s="1342">
        <f>FI50/FI14</f>
        <v/>
      </c>
      <c r="FJ99" s="1342">
        <f>FJ50/FJ14</f>
        <v/>
      </c>
      <c r="FK99" s="1342">
        <f>FK50/FK14</f>
        <v/>
      </c>
      <c r="FL99" s="1342">
        <f>FL50/FL14</f>
        <v/>
      </c>
      <c r="FM99" s="1342">
        <f>FM50/FM14</f>
        <v/>
      </c>
      <c r="FN99" s="1342">
        <f>FN50/FN14</f>
        <v/>
      </c>
      <c r="FO99" s="1342">
        <f>FO50/FO14</f>
        <v/>
      </c>
      <c r="FP99" s="1342">
        <f>FP50/FP14</f>
        <v/>
      </c>
      <c r="FQ99" s="1342">
        <f>FQ50/FQ14</f>
        <v/>
      </c>
      <c r="FR99" s="1342">
        <f>FR50/FR14</f>
        <v/>
      </c>
      <c r="FS99" s="1342">
        <f>FS50/FS14</f>
        <v/>
      </c>
      <c r="FT99" s="1342">
        <f>FT50/FT14</f>
        <v/>
      </c>
      <c r="FU99" s="1342">
        <f>FU50/FU14</f>
        <v/>
      </c>
      <c r="FV99" s="1342">
        <f>FV50/FV14</f>
        <v/>
      </c>
      <c r="FW99" s="1342">
        <f>FW50/FW14</f>
        <v/>
      </c>
      <c r="FX99" s="1342">
        <f>FX50/FX14</f>
        <v/>
      </c>
      <c r="FY99" s="1342">
        <f>FY50/FY14</f>
        <v/>
      </c>
      <c r="FZ99" s="1342">
        <f>FZ50/FZ14</f>
        <v/>
      </c>
      <c r="GA99" s="1342">
        <f>GA50/GA14</f>
        <v/>
      </c>
      <c r="GB99" s="1342">
        <f>GB50/GB14</f>
        <v/>
      </c>
      <c r="GC99" s="1342">
        <f>GC50/GC14</f>
        <v/>
      </c>
      <c r="GD99" s="1342">
        <f>GD50/GD14</f>
        <v/>
      </c>
      <c r="GE99" s="1342">
        <f>GE50/GE14</f>
        <v/>
      </c>
      <c r="GF99" s="1342">
        <f>GF50/GF14</f>
        <v/>
      </c>
      <c r="GG99" s="1342">
        <f>GG50/GG14</f>
        <v/>
      </c>
      <c r="GH99" s="1342">
        <f>GH50/GH14</f>
        <v/>
      </c>
      <c r="GI99" s="1342">
        <f>GI50/GI14</f>
        <v/>
      </c>
      <c r="GJ99" s="1342">
        <f>GJ50/GJ14</f>
        <v/>
      </c>
      <c r="GK99" s="1342">
        <f>GK50/GK14</f>
        <v/>
      </c>
      <c r="GL99" s="1342">
        <f>GL50/GL14</f>
        <v/>
      </c>
      <c r="GM99" s="1342">
        <f>GM50/GM14</f>
        <v/>
      </c>
      <c r="GN99" s="1342">
        <f>GN50/GN14</f>
        <v/>
      </c>
      <c r="GO99" s="1342">
        <f>GO50/GO14</f>
        <v/>
      </c>
      <c r="GP99" s="1342">
        <f>GP50/GP14</f>
        <v/>
      </c>
      <c r="GQ99" s="1342">
        <f>GQ50/GQ14</f>
        <v/>
      </c>
      <c r="GR99" s="1342">
        <f>GR50/GR14</f>
        <v/>
      </c>
      <c r="GS99" s="1342">
        <f>GS50/GS14</f>
        <v/>
      </c>
      <c r="GT99" s="1342">
        <f>GT50/GT14</f>
        <v/>
      </c>
      <c r="GU99" s="1342">
        <f>GU50/GU14</f>
        <v/>
      </c>
      <c r="GV99" s="1342">
        <f>GV50/GV14</f>
        <v/>
      </c>
      <c r="GW99" s="1342">
        <f>GW50/GW14</f>
        <v/>
      </c>
      <c r="GX99" s="1342">
        <f>GX50/GX14</f>
        <v/>
      </c>
      <c r="GY99" s="1342">
        <f>GY50/GY14</f>
        <v/>
      </c>
      <c r="GZ99" s="1342">
        <f>GZ50/GZ14</f>
        <v/>
      </c>
      <c r="HA99" s="1342">
        <f>HA50/HA14</f>
        <v/>
      </c>
      <c r="HB99" s="1342">
        <f>HB50/HB14</f>
        <v/>
      </c>
      <c r="HC99" s="1342">
        <f>HC50/HC14</f>
        <v/>
      </c>
      <c r="HD99" s="1342">
        <f>HD50/HD14</f>
        <v/>
      </c>
      <c r="HE99" s="1342">
        <f>HE50/HE14</f>
        <v/>
      </c>
      <c r="HF99" s="1342">
        <f>HF50/HF14</f>
        <v/>
      </c>
      <c r="HG99" s="1342">
        <f>HG50/HG14</f>
        <v/>
      </c>
      <c r="HH99" s="1342">
        <f>HH50/HH14</f>
        <v/>
      </c>
      <c r="HI99" s="1342">
        <f>HI50/HI14</f>
        <v/>
      </c>
      <c r="HJ99" s="1342">
        <f>HJ50/HJ14</f>
        <v/>
      </c>
      <c r="HK99" s="1342">
        <f>HK50/HK14</f>
        <v/>
      </c>
      <c r="HL99" s="1342">
        <f>HL50/HL14</f>
        <v/>
      </c>
      <c r="HM99" s="1342">
        <f>HM50/HM14</f>
        <v/>
      </c>
      <c r="HN99" s="1342">
        <f>HN50/HN14</f>
        <v/>
      </c>
      <c r="HO99" s="1342">
        <f>HO50/HO14</f>
        <v/>
      </c>
      <c r="HP99" s="1342">
        <f>HP50/HP14</f>
        <v/>
      </c>
      <c r="HQ99" s="1342">
        <f>HQ50/HQ14</f>
        <v/>
      </c>
      <c r="HR99" s="1342">
        <f>HR50/HR14</f>
        <v/>
      </c>
      <c r="HS99" s="1342">
        <f>HS50/HS14</f>
        <v/>
      </c>
      <c r="HT99" s="1342">
        <f>HT50/HT14</f>
        <v/>
      </c>
      <c r="HU99" s="1342">
        <f>HU50/HU14</f>
        <v/>
      </c>
      <c r="HV99" s="1342">
        <f>HV50/HV14</f>
        <v/>
      </c>
      <c r="HW99" s="1342">
        <f>HW50/HW14</f>
        <v/>
      </c>
      <c r="HX99" s="1342">
        <f>HX50/HX14</f>
        <v/>
      </c>
      <c r="HY99" s="1342">
        <f>HY50/HY14</f>
        <v/>
      </c>
      <c r="HZ99" s="1342">
        <f>HZ50/HZ14</f>
        <v/>
      </c>
      <c r="IA99" s="1342">
        <f>IA50/IA14</f>
        <v/>
      </c>
      <c r="IB99" s="1342">
        <f>IB50/IB14</f>
        <v/>
      </c>
      <c r="IC99" s="1342">
        <f>IC50/IC14</f>
        <v/>
      </c>
      <c r="ID99" s="1342">
        <f>ID50/ID14</f>
        <v/>
      </c>
      <c r="IE99" s="1342">
        <f>IE50/IE14</f>
        <v/>
      </c>
      <c r="IF99" s="1342">
        <f>IF50/IF14</f>
        <v/>
      </c>
      <c r="IG99" s="1342">
        <f>IG50/IG14</f>
        <v/>
      </c>
      <c r="IH99" s="1342">
        <f>IH50/IH14</f>
        <v/>
      </c>
      <c r="II99" s="1342">
        <f>II50/II14</f>
        <v/>
      </c>
      <c r="IJ99" s="1342">
        <f>IJ50/IJ14</f>
        <v/>
      </c>
      <c r="IK99" s="1342">
        <f>IK50/IK14</f>
        <v/>
      </c>
      <c r="IL99" s="1342">
        <f>IL50/IL14</f>
        <v/>
      </c>
      <c r="IM99" s="1342">
        <f>IM50/IM14</f>
        <v/>
      </c>
      <c r="IN99" s="1342">
        <f>IN50/IN14</f>
        <v/>
      </c>
      <c r="IO99" s="1342">
        <f>IO50/IO14</f>
        <v/>
      </c>
      <c r="IP99" s="1342">
        <f>IP50/IP14</f>
        <v/>
      </c>
      <c r="IQ99" s="1342">
        <f>IQ50/IQ14</f>
        <v/>
      </c>
      <c r="IR99" s="1342">
        <f>IR50/IR14</f>
        <v/>
      </c>
      <c r="IS99" s="1342">
        <f>IS50/IS14</f>
        <v/>
      </c>
      <c r="IT99" s="1342">
        <f>IT50/IT14</f>
        <v/>
      </c>
      <c r="IU99" s="1342">
        <f>IU50/IU14</f>
        <v/>
      </c>
      <c r="IV99" s="1342">
        <f>IV50/IV14</f>
        <v/>
      </c>
      <c r="IW99" s="1342">
        <f>IW50/IW14</f>
        <v/>
      </c>
      <c r="IX99" s="1342">
        <f>IX50/IX14</f>
        <v/>
      </c>
      <c r="IY99" s="1342">
        <f>IY50/IY14</f>
        <v/>
      </c>
      <c r="IZ99" s="1342">
        <f>IZ50/IZ14</f>
        <v/>
      </c>
      <c r="JA99" s="1342">
        <f>JA50/JA14</f>
        <v/>
      </c>
      <c r="JB99" s="1342">
        <f>JB50/JB14</f>
        <v/>
      </c>
      <c r="JC99" s="1342">
        <f>JC50/JC14</f>
        <v/>
      </c>
      <c r="JD99" s="1342">
        <f>JD50/JD14</f>
        <v/>
      </c>
      <c r="JE99" s="1342">
        <f>JE50/JE14</f>
        <v/>
      </c>
      <c r="JF99" s="1342">
        <f>JF50/JF14</f>
        <v/>
      </c>
      <c r="JG99" s="1342">
        <f>JG50/JG14</f>
        <v/>
      </c>
      <c r="JH99" s="1342">
        <f>JH50/JH14</f>
        <v/>
      </c>
      <c r="JI99" s="1342">
        <f>JI50/JI14</f>
        <v/>
      </c>
      <c r="JJ99" s="1342">
        <f>JJ50/JJ14</f>
        <v/>
      </c>
      <c r="JK99" s="1342">
        <f>JK50/JK14</f>
        <v/>
      </c>
      <c r="JL99" s="1342">
        <f>JL50/JL14</f>
        <v/>
      </c>
      <c r="JM99" s="1342">
        <f>JM50/JM14</f>
        <v/>
      </c>
      <c r="JN99" s="1342">
        <f>JN50/JN14</f>
        <v/>
      </c>
      <c r="JO99" s="1342">
        <f>JO50/JO14</f>
        <v/>
      </c>
      <c r="JP99" s="1342">
        <f>JP50/JP14</f>
        <v/>
      </c>
      <c r="JQ99" s="1342">
        <f>JQ50/JQ14</f>
        <v/>
      </c>
      <c r="JR99" s="1342">
        <f>JR50/JR14</f>
        <v/>
      </c>
      <c r="JS99" s="1342">
        <f>JS50/JS14</f>
        <v/>
      </c>
      <c r="JT99" s="1342">
        <f>JT50/JT14</f>
        <v/>
      </c>
      <c r="JU99" s="1342">
        <f>JU50/JU14</f>
        <v/>
      </c>
      <c r="JV99" s="1342">
        <f>JV50/JV14</f>
        <v/>
      </c>
      <c r="JW99" s="1342">
        <f>JW50/JW14</f>
        <v/>
      </c>
      <c r="JX99" s="1342">
        <f>JX50/JX14</f>
        <v/>
      </c>
      <c r="JY99" s="1342">
        <f>JY50/JY14</f>
        <v/>
      </c>
      <c r="JZ99" s="1342">
        <f>JZ50/JZ14</f>
        <v/>
      </c>
      <c r="KA99" s="1342">
        <f>KA50/KA14</f>
        <v/>
      </c>
      <c r="KB99" s="1342">
        <f>KB50/KB14</f>
        <v/>
      </c>
      <c r="KC99" s="1342">
        <f>KC50/KC14</f>
        <v/>
      </c>
      <c r="KD99" s="1342">
        <f>KD50/KD14</f>
        <v/>
      </c>
      <c r="KE99" s="1342">
        <f>KE50/KE14</f>
        <v/>
      </c>
      <c r="KF99" s="1342">
        <f>KF50/KF14</f>
        <v/>
      </c>
      <c r="KG99" s="1342">
        <f>KG50/KG14</f>
        <v/>
      </c>
      <c r="KH99" s="1342">
        <f>KH50/KH14</f>
        <v/>
      </c>
      <c r="KI99" s="1342">
        <f>KI50/KI14</f>
        <v/>
      </c>
      <c r="KJ99" s="1342">
        <f>KJ50/KJ14</f>
        <v/>
      </c>
      <c r="KK99" s="1342">
        <f>KK50/KK14</f>
        <v/>
      </c>
      <c r="KL99" s="1342">
        <f>KL50/KL14</f>
        <v/>
      </c>
      <c r="KM99" s="1342">
        <f>KM50/KM14</f>
        <v/>
      </c>
      <c r="KN99" s="1342">
        <f>KN50/KN14</f>
        <v/>
      </c>
      <c r="KO99" s="1342">
        <f>KO50/KO14</f>
        <v/>
      </c>
      <c r="KP99" s="1342">
        <f>KP50/KP14</f>
        <v/>
      </c>
      <c r="KQ99" s="1342">
        <f>KQ50/KQ14</f>
        <v/>
      </c>
      <c r="KR99" s="1342">
        <f>KR50/KR14</f>
        <v/>
      </c>
      <c r="KS99" s="1342">
        <f>KS50/KS14</f>
        <v/>
      </c>
      <c r="KT99" s="1342">
        <f>KT50/KT14</f>
        <v/>
      </c>
      <c r="KU99" s="1342">
        <f>KU50/KU14</f>
        <v/>
      </c>
      <c r="KV99" s="1342">
        <f>KV50/KV14</f>
        <v/>
      </c>
      <c r="KW99" s="1342">
        <f>KW50/KW14</f>
        <v/>
      </c>
      <c r="KX99" s="1342">
        <f>KX50/KX14</f>
        <v/>
      </c>
      <c r="KY99" s="1342">
        <f>KY50/KY14</f>
        <v/>
      </c>
      <c r="KZ99" s="1342">
        <f>KZ50/KZ14</f>
        <v/>
      </c>
      <c r="LA99" s="1342">
        <f>LA50/LA14</f>
        <v/>
      </c>
      <c r="LB99" s="1342" t="n"/>
      <c r="LC99" s="1342" t="n"/>
      <c r="LD99" s="1342" t="n"/>
      <c r="LE99" s="1342" t="n"/>
      <c r="LF99" s="1342" t="n"/>
      <c r="LG99" s="1342" t="n"/>
      <c r="LH99" s="1342" t="n"/>
      <c r="LI99" s="1342" t="n"/>
      <c r="LJ99" s="1342" t="n"/>
      <c r="LK99" s="1342" t="n"/>
      <c r="LL99" s="1342" t="n"/>
      <c r="LM99" s="1342" t="n"/>
      <c r="LN99" s="1342" t="n"/>
      <c r="LO99" s="1342" t="n"/>
      <c r="LP99" s="1342" t="n"/>
      <c r="LQ99" s="1342" t="n"/>
      <c r="LR99" s="1342" t="n"/>
      <c r="LS99" s="1342" t="n"/>
    </row>
    <row r="100">
      <c r="A100" s="885" t="inlineStr">
        <is>
          <t>m cg %</t>
        </is>
      </c>
      <c r="B100" s="1318" t="n"/>
      <c r="C100" s="1318">
        <f>C99-B99</f>
        <v/>
      </c>
      <c r="D100" s="1318">
        <f>D99-C99</f>
        <v/>
      </c>
      <c r="E100" s="1318">
        <f>E99-D99</f>
        <v/>
      </c>
      <c r="F100" s="1318">
        <f>F99-E99</f>
        <v/>
      </c>
      <c r="G100" s="1318">
        <f>G99-F99</f>
        <v/>
      </c>
      <c r="H100" s="1318">
        <f>H99-G99</f>
        <v/>
      </c>
      <c r="I100" s="1318">
        <f>I99-H99</f>
        <v/>
      </c>
      <c r="J100" s="1318">
        <f>J99-I99</f>
        <v/>
      </c>
      <c r="K100" s="1318">
        <f>K99-J99</f>
        <v/>
      </c>
      <c r="L100" s="1318">
        <f>L99-K99</f>
        <v/>
      </c>
      <c r="M100" s="1318">
        <f>M99-L99</f>
        <v/>
      </c>
      <c r="N100" s="1318">
        <f>N99-M99</f>
        <v/>
      </c>
      <c r="O100" s="1318">
        <f>O99-N99</f>
        <v/>
      </c>
      <c r="P100" s="1318">
        <f>P99-O99</f>
        <v/>
      </c>
      <c r="Q100" s="1318">
        <f>Q99-P99</f>
        <v/>
      </c>
      <c r="R100" s="1318">
        <f>R99-Q99</f>
        <v/>
      </c>
      <c r="S100" s="1318">
        <f>S99-R99</f>
        <v/>
      </c>
      <c r="T100" s="1318">
        <f>T99-S99</f>
        <v/>
      </c>
      <c r="U100" s="1318">
        <f>U99-T99</f>
        <v/>
      </c>
      <c r="V100" s="1318">
        <f>V99-U99</f>
        <v/>
      </c>
      <c r="W100" s="1318">
        <f>W99-V99</f>
        <v/>
      </c>
      <c r="X100" s="1318">
        <f>X99-W99</f>
        <v/>
      </c>
      <c r="Y100" s="1318">
        <f>Y99-X99</f>
        <v/>
      </c>
      <c r="Z100" s="1318">
        <f>Z99-Y99</f>
        <v/>
      </c>
      <c r="AA100" s="1318">
        <f>AA99-Z99</f>
        <v/>
      </c>
      <c r="AB100" s="1318">
        <f>AB99-AA99</f>
        <v/>
      </c>
      <c r="AC100" s="1318">
        <f>AC99-AB99</f>
        <v/>
      </c>
      <c r="AD100" s="1318">
        <f>AD99-AC99</f>
        <v/>
      </c>
      <c r="AE100" s="1318">
        <f>AE99-AD99</f>
        <v/>
      </c>
      <c r="AF100" s="1318">
        <f>AF99-AE99</f>
        <v/>
      </c>
      <c r="AG100" s="1318">
        <f>AG99-AF99</f>
        <v/>
      </c>
      <c r="AH100" s="1318">
        <f>AH99-AG99</f>
        <v/>
      </c>
      <c r="AI100" s="1318">
        <f>AI99-AH99</f>
        <v/>
      </c>
      <c r="AJ100" s="1318">
        <f>AJ99-AI99</f>
        <v/>
      </c>
      <c r="AK100" s="1318">
        <f>AK99-AJ99</f>
        <v/>
      </c>
      <c r="AL100" s="1318">
        <f>AL99-AK99</f>
        <v/>
      </c>
      <c r="AM100" s="1318">
        <f>AM99-AL99</f>
        <v/>
      </c>
      <c r="AN100" s="1318">
        <f>AN99-AM99</f>
        <v/>
      </c>
      <c r="AO100" s="1318">
        <f>AO99-AN99</f>
        <v/>
      </c>
      <c r="AP100" s="1318">
        <f>AP99-AO99</f>
        <v/>
      </c>
      <c r="AQ100" s="1318">
        <f>AQ99-AP99</f>
        <v/>
      </c>
      <c r="AR100" s="1318">
        <f>AR99-AQ99</f>
        <v/>
      </c>
      <c r="AS100" s="1318">
        <f>AS99-AR99</f>
        <v/>
      </c>
      <c r="AT100" s="1318">
        <f>AT99-AS99</f>
        <v/>
      </c>
      <c r="AU100" s="1318">
        <f>AU99-AT99</f>
        <v/>
      </c>
      <c r="AV100" s="1318">
        <f>AV99-AU99</f>
        <v/>
      </c>
      <c r="AW100" s="1318">
        <f>AW99-AV99</f>
        <v/>
      </c>
      <c r="AX100" s="1318">
        <f>AX99-AW99</f>
        <v/>
      </c>
      <c r="AY100" s="1318">
        <f>AY99-AX99</f>
        <v/>
      </c>
      <c r="AZ100" s="1318">
        <f>AZ99-AY99</f>
        <v/>
      </c>
      <c r="BA100" s="1318">
        <f>BA99-AZ99</f>
        <v/>
      </c>
      <c r="BB100" s="1318">
        <f>BB99-BA99</f>
        <v/>
      </c>
      <c r="BC100" s="1318">
        <f>BC99-BB99</f>
        <v/>
      </c>
      <c r="BD100" s="1318">
        <f>BD99-BC99</f>
        <v/>
      </c>
      <c r="BE100" s="1318">
        <f>BE99-BD99</f>
        <v/>
      </c>
      <c r="BF100" s="1318">
        <f>BF99-BE99</f>
        <v/>
      </c>
      <c r="BG100" s="1318">
        <f>BG99-BF99</f>
        <v/>
      </c>
      <c r="BH100" s="1318">
        <f>BH99-BG99</f>
        <v/>
      </c>
      <c r="BI100" s="1318">
        <f>BI99-BH99</f>
        <v/>
      </c>
      <c r="BJ100" s="1318">
        <f>BJ99-BI99</f>
        <v/>
      </c>
      <c r="BK100" s="1318">
        <f>BK99-BJ99</f>
        <v/>
      </c>
      <c r="BL100" s="1318">
        <f>BL99-BK99</f>
        <v/>
      </c>
      <c r="BM100" s="1318">
        <f>BM99-BL99</f>
        <v/>
      </c>
      <c r="BN100" s="1318">
        <f>BN99-BM99</f>
        <v/>
      </c>
      <c r="BO100" s="1318">
        <f>BO99-BN99</f>
        <v/>
      </c>
      <c r="BP100" s="1318">
        <f>BP99-BO99</f>
        <v/>
      </c>
      <c r="BQ100" s="1318">
        <f>BQ99-BP99</f>
        <v/>
      </c>
      <c r="BR100" s="1318">
        <f>BR99-BQ99</f>
        <v/>
      </c>
      <c r="BS100" s="1318">
        <f>BS99-BR99</f>
        <v/>
      </c>
      <c r="BT100" s="1318">
        <f>BT99-BS99</f>
        <v/>
      </c>
      <c r="BU100" s="1318">
        <f>BU99-BT99</f>
        <v/>
      </c>
      <c r="BV100" s="1318">
        <f>BV99-BU99</f>
        <v/>
      </c>
      <c r="BW100" s="1318">
        <f>BW99-BV99</f>
        <v/>
      </c>
      <c r="BX100" s="1318">
        <f>BX99-BW99</f>
        <v/>
      </c>
      <c r="BY100" s="1318">
        <f>BY99-BX99</f>
        <v/>
      </c>
      <c r="BZ100" s="1318">
        <f>BZ99-BY99</f>
        <v/>
      </c>
      <c r="CA100" s="1318">
        <f>CA99-BZ99</f>
        <v/>
      </c>
      <c r="CB100" s="1318">
        <f>CB99-CA99</f>
        <v/>
      </c>
      <c r="CC100" s="1318">
        <f>CC99-CB99</f>
        <v/>
      </c>
      <c r="CD100" s="1318">
        <f>CD99-CC99</f>
        <v/>
      </c>
      <c r="CE100" s="1318">
        <f>CE99-CD99</f>
        <v/>
      </c>
      <c r="CF100" s="1318">
        <f>CF99-CE99</f>
        <v/>
      </c>
      <c r="CG100" s="1318">
        <f>CG99-CF99</f>
        <v/>
      </c>
      <c r="CH100" s="1318">
        <f>CH99-CG99</f>
        <v/>
      </c>
      <c r="CI100" s="1318">
        <f>CI99-CH99</f>
        <v/>
      </c>
      <c r="CJ100" s="1318">
        <f>CJ99-CI99</f>
        <v/>
      </c>
      <c r="CK100" s="1318">
        <f>CK99-CJ99</f>
        <v/>
      </c>
      <c r="CL100" s="1318">
        <f>CL99-CK99</f>
        <v/>
      </c>
      <c r="CM100" s="1318">
        <f>CM99-CL99</f>
        <v/>
      </c>
      <c r="CN100" s="1318">
        <f>CN99-CM99</f>
        <v/>
      </c>
      <c r="CO100" s="1318">
        <f>CO99-CN99</f>
        <v/>
      </c>
      <c r="CP100" s="1318">
        <f>CP99-CO99</f>
        <v/>
      </c>
      <c r="CQ100" s="1318">
        <f>CQ99-CP99</f>
        <v/>
      </c>
      <c r="CR100" s="1318">
        <f>CR99-CQ99</f>
        <v/>
      </c>
      <c r="CS100" s="1318">
        <f>CS99-CR99</f>
        <v/>
      </c>
      <c r="CT100" s="1318">
        <f>CT99-CS99</f>
        <v/>
      </c>
      <c r="CU100" s="1318">
        <f>CU99-CT99</f>
        <v/>
      </c>
      <c r="CV100" s="1318">
        <f>CV99-CU99</f>
        <v/>
      </c>
      <c r="CW100" s="1318">
        <f>CW99-CV99</f>
        <v/>
      </c>
      <c r="CX100" s="1318">
        <f>CX99-CW99</f>
        <v/>
      </c>
      <c r="CY100" s="1318">
        <f>CY99-CX99</f>
        <v/>
      </c>
      <c r="CZ100" s="1318">
        <f>CZ99-CY99</f>
        <v/>
      </c>
      <c r="DA100" s="1318">
        <f>DA99-CZ99</f>
        <v/>
      </c>
      <c r="DB100" s="1318">
        <f>DB99-DA99</f>
        <v/>
      </c>
      <c r="DC100" s="1318">
        <f>DC99-DB99</f>
        <v/>
      </c>
      <c r="DD100" s="1318">
        <f>DD99-DC99</f>
        <v/>
      </c>
      <c r="DE100" s="1318">
        <f>DE99-DD99</f>
        <v/>
      </c>
      <c r="DF100" s="1318">
        <f>DF99-DE99</f>
        <v/>
      </c>
      <c r="DG100" s="1318">
        <f>DG99-DF99</f>
        <v/>
      </c>
      <c r="DH100" s="1318">
        <f>DH99-DG99</f>
        <v/>
      </c>
      <c r="DI100" s="1318">
        <f>DI99-DH99</f>
        <v/>
      </c>
      <c r="DJ100" s="1318">
        <f>DJ99-DI99</f>
        <v/>
      </c>
      <c r="DK100" s="1318">
        <f>DK99-DJ99</f>
        <v/>
      </c>
      <c r="DL100" s="1318">
        <f>DL99-DK99</f>
        <v/>
      </c>
      <c r="DM100" s="1318">
        <f>DM99-DL99</f>
        <v/>
      </c>
      <c r="DN100" s="1318">
        <f>DN99-DM99</f>
        <v/>
      </c>
      <c r="DO100" s="1318">
        <f>DO99-DN99</f>
        <v/>
      </c>
      <c r="DP100" s="1318">
        <f>DP99-DO99</f>
        <v/>
      </c>
      <c r="DQ100" s="1318">
        <f>DQ99-DP99</f>
        <v/>
      </c>
      <c r="DR100" s="1318">
        <f>DR99-DQ99</f>
        <v/>
      </c>
      <c r="DS100" s="1318">
        <f>DS99-DR99</f>
        <v/>
      </c>
      <c r="DT100" s="1318">
        <f>DT99-DS99</f>
        <v/>
      </c>
      <c r="DU100" s="1318">
        <f>DU99-DT99</f>
        <v/>
      </c>
      <c r="DV100" s="1318">
        <f>DV99-DU99</f>
        <v/>
      </c>
      <c r="DW100" s="1318">
        <f>DW99-DV99</f>
        <v/>
      </c>
      <c r="DX100" s="1318">
        <f>DX99-DW99</f>
        <v/>
      </c>
      <c r="DY100" s="1318">
        <f>DY99-DX99</f>
        <v/>
      </c>
      <c r="DZ100" s="1318">
        <f>DZ99-DY99</f>
        <v/>
      </c>
      <c r="EA100" s="1318">
        <f>EA99-DZ99</f>
        <v/>
      </c>
      <c r="EB100" s="1318">
        <f>EB99-EA99</f>
        <v/>
      </c>
      <c r="EC100" s="1318">
        <f>EC99-EB99</f>
        <v/>
      </c>
      <c r="ED100" s="1318">
        <f>ED99-EC99</f>
        <v/>
      </c>
      <c r="EE100" s="1318">
        <f>EE99-ED99</f>
        <v/>
      </c>
      <c r="EF100" s="1318">
        <f>EF99-EE99</f>
        <v/>
      </c>
      <c r="EG100" s="1318">
        <f>EG99-EF99</f>
        <v/>
      </c>
      <c r="EH100" s="1318">
        <f>EH99-EG99</f>
        <v/>
      </c>
      <c r="EI100" s="1318">
        <f>EI99-EH99</f>
        <v/>
      </c>
      <c r="EJ100" s="1318">
        <f>EJ99-EI99</f>
        <v/>
      </c>
      <c r="EK100" s="1318">
        <f>EK99-EJ99</f>
        <v/>
      </c>
      <c r="EL100" s="1318">
        <f>EL99-EK99</f>
        <v/>
      </c>
      <c r="EM100" s="1318">
        <f>EM99-EL99</f>
        <v/>
      </c>
      <c r="EN100" s="1318">
        <f>EN99-EM99</f>
        <v/>
      </c>
      <c r="EO100" s="1318">
        <f>EO99-EN99</f>
        <v/>
      </c>
      <c r="EP100" s="1318">
        <f>EP99-EO99</f>
        <v/>
      </c>
      <c r="EQ100" s="1318">
        <f>EQ99-EP99</f>
        <v/>
      </c>
      <c r="ER100" s="1318">
        <f>ER99-EQ99</f>
        <v/>
      </c>
      <c r="ES100" s="1318">
        <f>ES99-ER99</f>
        <v/>
      </c>
      <c r="ET100" s="1318">
        <f>ET99-ES99</f>
        <v/>
      </c>
      <c r="EU100" s="1318">
        <f>EU99-ET99</f>
        <v/>
      </c>
      <c r="EV100" s="1318">
        <f>EV99-EU99</f>
        <v/>
      </c>
      <c r="EW100" s="1318">
        <f>EW99-EV99</f>
        <v/>
      </c>
      <c r="EX100" s="1318">
        <f>EX99-EW99</f>
        <v/>
      </c>
      <c r="EY100" s="1318">
        <f>EY99-EX99</f>
        <v/>
      </c>
      <c r="EZ100" s="1318">
        <f>EZ99-EY99</f>
        <v/>
      </c>
      <c r="FA100" s="1318">
        <f>FA99-EZ99</f>
        <v/>
      </c>
      <c r="FB100" s="1318">
        <f>FB99-FA99</f>
        <v/>
      </c>
      <c r="FC100" s="1318">
        <f>FC99-FB99</f>
        <v/>
      </c>
      <c r="FD100" s="1318">
        <f>FD99-FC99</f>
        <v/>
      </c>
      <c r="FE100" s="1318">
        <f>FE99-FD99</f>
        <v/>
      </c>
      <c r="FF100" s="1318">
        <f>FF99-FE99</f>
        <v/>
      </c>
      <c r="FG100" s="1318">
        <f>FG99-FF99</f>
        <v/>
      </c>
      <c r="FH100" s="1318">
        <f>FH99-FG99</f>
        <v/>
      </c>
      <c r="FI100" s="1318">
        <f>FI99-FH99</f>
        <v/>
      </c>
      <c r="FJ100" s="1318">
        <f>FJ99-FI99</f>
        <v/>
      </c>
      <c r="FK100" s="1318">
        <f>FK99-FJ99</f>
        <v/>
      </c>
      <c r="FL100" s="1318">
        <f>FL99-FK99</f>
        <v/>
      </c>
      <c r="FM100" s="1318">
        <f>FM99-FL99</f>
        <v/>
      </c>
      <c r="FN100" s="1318">
        <f>FN99-FM99</f>
        <v/>
      </c>
      <c r="FO100" s="1318">
        <f>FO99-FN99</f>
        <v/>
      </c>
      <c r="FP100" s="1318">
        <f>FP99-FO99</f>
        <v/>
      </c>
      <c r="FQ100" s="1318">
        <f>FQ99-FP99</f>
        <v/>
      </c>
      <c r="FR100" s="1318">
        <f>FR99-FQ99</f>
        <v/>
      </c>
      <c r="FS100" s="1318">
        <f>FS99-FR99</f>
        <v/>
      </c>
      <c r="FT100" s="1318">
        <f>FT99-FS99</f>
        <v/>
      </c>
      <c r="FU100" s="1318">
        <f>FU99-FT99</f>
        <v/>
      </c>
      <c r="FV100" s="1318">
        <f>FV99-FU99</f>
        <v/>
      </c>
      <c r="FW100" s="1318">
        <f>FW99-FV99</f>
        <v/>
      </c>
      <c r="FX100" s="1318">
        <f>FX99-FW99</f>
        <v/>
      </c>
      <c r="FY100" s="1318">
        <f>FY99-FX99</f>
        <v/>
      </c>
      <c r="FZ100" s="1318">
        <f>FZ99-FY99</f>
        <v/>
      </c>
      <c r="GA100" s="1318">
        <f>GA99-FZ99</f>
        <v/>
      </c>
      <c r="GB100" s="1318">
        <f>GB99-GA99</f>
        <v/>
      </c>
      <c r="GC100" s="1318">
        <f>GC99-GB99</f>
        <v/>
      </c>
      <c r="GD100" s="1318">
        <f>GD99-GC99</f>
        <v/>
      </c>
      <c r="GE100" s="1318">
        <f>GE99-GD99</f>
        <v/>
      </c>
      <c r="GF100" s="1318">
        <f>GF99-GE99</f>
        <v/>
      </c>
      <c r="GG100" s="1318">
        <f>GG99-GF99</f>
        <v/>
      </c>
      <c r="GH100" s="1318">
        <f>GH99-GG99</f>
        <v/>
      </c>
      <c r="GI100" s="1318">
        <f>GI99-GH99</f>
        <v/>
      </c>
      <c r="GJ100" s="1318">
        <f>GJ99-GI99</f>
        <v/>
      </c>
      <c r="GK100" s="1318">
        <f>GK99-GJ99</f>
        <v/>
      </c>
      <c r="GL100" s="1318">
        <f>GL99-GK99</f>
        <v/>
      </c>
      <c r="GM100" s="1318">
        <f>GM99-GL99</f>
        <v/>
      </c>
      <c r="GN100" s="1318">
        <f>GN99-GM99</f>
        <v/>
      </c>
      <c r="GO100" s="1318">
        <f>GO99-GN99</f>
        <v/>
      </c>
      <c r="GP100" s="1318">
        <f>GP99-GO99</f>
        <v/>
      </c>
      <c r="GQ100" s="1318">
        <f>GQ99-GP99</f>
        <v/>
      </c>
      <c r="GR100" s="1318">
        <f>GR99-GQ99</f>
        <v/>
      </c>
      <c r="GS100" s="1318">
        <f>GS99-GR99</f>
        <v/>
      </c>
      <c r="GT100" s="1318">
        <f>GT99-GS99</f>
        <v/>
      </c>
      <c r="GU100" s="1318">
        <f>GU99-GT99</f>
        <v/>
      </c>
      <c r="GV100" s="1318">
        <f>GV99-GU99</f>
        <v/>
      </c>
      <c r="GW100" s="1318">
        <f>GW99-GV99</f>
        <v/>
      </c>
      <c r="GX100" s="1318">
        <f>GX99-GW99</f>
        <v/>
      </c>
      <c r="GY100" s="1318">
        <f>GY99-GX99</f>
        <v/>
      </c>
      <c r="GZ100" s="1318">
        <f>GZ99-GY99</f>
        <v/>
      </c>
      <c r="HA100" s="1318">
        <f>HA99-GZ99</f>
        <v/>
      </c>
      <c r="HB100" s="1318">
        <f>HB99-HA99</f>
        <v/>
      </c>
      <c r="HC100" s="1318">
        <f>HC99-HB99</f>
        <v/>
      </c>
      <c r="HD100" s="1318">
        <f>HD99-HC99</f>
        <v/>
      </c>
      <c r="HE100" s="1318">
        <f>HE99-HD99</f>
        <v/>
      </c>
      <c r="HF100" s="1318">
        <f>HF99-HE99</f>
        <v/>
      </c>
      <c r="HG100" s="1318">
        <f>HG99-HF99</f>
        <v/>
      </c>
      <c r="HH100" s="1318">
        <f>HH99-HG99</f>
        <v/>
      </c>
      <c r="HI100" s="1318">
        <f>HI99-HH99</f>
        <v/>
      </c>
      <c r="HJ100" s="1318">
        <f>HJ99-HI99</f>
        <v/>
      </c>
      <c r="HK100" s="1318">
        <f>HK99-HJ99</f>
        <v/>
      </c>
      <c r="HL100" s="1318">
        <f>HL99-HK99</f>
        <v/>
      </c>
      <c r="HM100" s="1318">
        <f>HM99-HL99</f>
        <v/>
      </c>
      <c r="HN100" s="1318">
        <f>HN99-HM99</f>
        <v/>
      </c>
      <c r="HO100" s="1318">
        <f>HO99-HN99</f>
        <v/>
      </c>
      <c r="HP100" s="1318">
        <f>HP99-HO99</f>
        <v/>
      </c>
      <c r="HQ100" s="1318">
        <f>HQ99-HP99</f>
        <v/>
      </c>
      <c r="HR100" s="1318">
        <f>HR99-HQ99</f>
        <v/>
      </c>
      <c r="HS100" s="1318">
        <f>HS99-HR99</f>
        <v/>
      </c>
      <c r="HT100" s="1318">
        <f>HT99-HS99</f>
        <v/>
      </c>
      <c r="HU100" s="1318">
        <f>HU99-HT99</f>
        <v/>
      </c>
      <c r="HV100" s="1318">
        <f>HV99-HU99</f>
        <v/>
      </c>
      <c r="HW100" s="1318">
        <f>HW99-HV99</f>
        <v/>
      </c>
      <c r="HX100" s="1318">
        <f>HX99-HW99</f>
        <v/>
      </c>
      <c r="HY100" s="1318">
        <f>HY99-HX99</f>
        <v/>
      </c>
      <c r="HZ100" s="1318">
        <f>HZ99-HY99</f>
        <v/>
      </c>
      <c r="IA100" s="1318">
        <f>IA99-HZ99</f>
        <v/>
      </c>
      <c r="IB100" s="1318">
        <f>IB99-IA99</f>
        <v/>
      </c>
      <c r="IC100" s="1318">
        <f>IC99-IB99</f>
        <v/>
      </c>
      <c r="ID100" s="1318">
        <f>ID99-IC99</f>
        <v/>
      </c>
      <c r="IE100" s="1318">
        <f>IE99-ID99</f>
        <v/>
      </c>
      <c r="IF100" s="1318">
        <f>IF99-IE99</f>
        <v/>
      </c>
      <c r="IG100" s="1318">
        <f>IG99-IF99</f>
        <v/>
      </c>
      <c r="IH100" s="1318">
        <f>IH99-IG99</f>
        <v/>
      </c>
      <c r="II100" s="1318">
        <f>II99-IH99</f>
        <v/>
      </c>
      <c r="IJ100" s="1318">
        <f>IJ99-II99</f>
        <v/>
      </c>
      <c r="IK100" s="1318">
        <f>IK99-IJ99</f>
        <v/>
      </c>
      <c r="IL100" s="1318">
        <f>IL99-IK99</f>
        <v/>
      </c>
      <c r="IM100" s="1318">
        <f>IM99-IL99</f>
        <v/>
      </c>
      <c r="IN100" s="1318">
        <f>IN99-IM99</f>
        <v/>
      </c>
      <c r="IO100" s="1318">
        <f>IO99-IN99</f>
        <v/>
      </c>
      <c r="IP100" s="1318">
        <f>IP99-IO99</f>
        <v/>
      </c>
      <c r="IQ100" s="1318">
        <f>IQ99-IP99</f>
        <v/>
      </c>
      <c r="IR100" s="1318">
        <f>IR99-IQ99</f>
        <v/>
      </c>
      <c r="IS100" s="1318">
        <f>IS99-IR99</f>
        <v/>
      </c>
      <c r="IT100" s="1318">
        <f>IT99-IS99</f>
        <v/>
      </c>
      <c r="IU100" s="1318">
        <f>IU99-IT99</f>
        <v/>
      </c>
      <c r="IV100" s="1318">
        <f>IV99-IU99</f>
        <v/>
      </c>
      <c r="IW100" s="1318">
        <f>IW99-IV99</f>
        <v/>
      </c>
      <c r="IX100" s="1318">
        <f>IX99-IW99</f>
        <v/>
      </c>
      <c r="IY100" s="1318">
        <f>IY99-IX99</f>
        <v/>
      </c>
      <c r="IZ100" s="1318">
        <f>IZ99-IY99</f>
        <v/>
      </c>
      <c r="JA100" s="1318">
        <f>JA99-IZ99</f>
        <v/>
      </c>
      <c r="JB100" s="1318">
        <f>JB99-JA99</f>
        <v/>
      </c>
      <c r="JC100" s="1318">
        <f>JC99-JB99</f>
        <v/>
      </c>
      <c r="JD100" s="1318">
        <f>JD99-JC99</f>
        <v/>
      </c>
      <c r="JE100" s="1318">
        <f>JE99-JD99</f>
        <v/>
      </c>
      <c r="JF100" s="1318">
        <f>JF99-JE99</f>
        <v/>
      </c>
      <c r="JG100" s="1318">
        <f>JG99-JF99</f>
        <v/>
      </c>
      <c r="JH100" s="1318">
        <f>JH99-JG99</f>
        <v/>
      </c>
      <c r="JI100" s="1318">
        <f>JI99-JH99</f>
        <v/>
      </c>
      <c r="JJ100" s="1318">
        <f>JJ99-JI99</f>
        <v/>
      </c>
      <c r="JK100" s="1318">
        <f>JK99-JJ99</f>
        <v/>
      </c>
      <c r="JL100" s="1318">
        <f>JL99-JK99</f>
        <v/>
      </c>
      <c r="JM100" s="1318">
        <f>JM99-JL99</f>
        <v/>
      </c>
      <c r="JN100" s="1318">
        <f>JN99-JM99</f>
        <v/>
      </c>
      <c r="JO100" s="1318">
        <f>JO99-JN99</f>
        <v/>
      </c>
      <c r="JP100" s="1318">
        <f>JP99-JO99</f>
        <v/>
      </c>
      <c r="JQ100" s="1318">
        <f>JQ99-JP99</f>
        <v/>
      </c>
      <c r="JR100" s="1318">
        <f>JR99-JQ99</f>
        <v/>
      </c>
      <c r="JS100" s="1318">
        <f>JS99-JR99</f>
        <v/>
      </c>
      <c r="JT100" s="1318">
        <f>JT99-JS99</f>
        <v/>
      </c>
      <c r="JU100" s="1318">
        <f>JU99-JT99</f>
        <v/>
      </c>
      <c r="JV100" s="1318">
        <f>JV99-JU99</f>
        <v/>
      </c>
      <c r="JW100" s="1318">
        <f>JW99-JV99</f>
        <v/>
      </c>
      <c r="JX100" s="1318">
        <f>JX99-JW99</f>
        <v/>
      </c>
      <c r="JY100" s="1318">
        <f>JY99-JX99</f>
        <v/>
      </c>
      <c r="JZ100" s="1318">
        <f>JZ99-JY99</f>
        <v/>
      </c>
      <c r="KA100" s="1318">
        <f>KA99-JZ99</f>
        <v/>
      </c>
      <c r="KB100" s="1318">
        <f>KB99-KA99</f>
        <v/>
      </c>
      <c r="KC100" s="1318">
        <f>KC99-KB99</f>
        <v/>
      </c>
      <c r="KD100" s="1318">
        <f>KD99-KC99</f>
        <v/>
      </c>
      <c r="KE100" s="1318">
        <f>KE99-KD99</f>
        <v/>
      </c>
      <c r="KF100" s="1318">
        <f>KF99-KE99</f>
        <v/>
      </c>
      <c r="KG100" s="1318">
        <f>KG99-KF99</f>
        <v/>
      </c>
      <c r="KH100" s="1318">
        <f>KH99-KG99</f>
        <v/>
      </c>
      <c r="KI100" s="1318">
        <f>KI99-KH99</f>
        <v/>
      </c>
      <c r="KJ100" s="1318">
        <f>KJ99-KI99</f>
        <v/>
      </c>
      <c r="KK100" s="1318">
        <f>KK99-KJ99</f>
        <v/>
      </c>
      <c r="KL100" s="1318">
        <f>KL99-KK99</f>
        <v/>
      </c>
      <c r="KM100" s="1318">
        <f>KM99-KL99</f>
        <v/>
      </c>
      <c r="KN100" s="1318">
        <f>KN99-KM99</f>
        <v/>
      </c>
      <c r="KO100" s="1318">
        <f>KO99-KN99</f>
        <v/>
      </c>
      <c r="KP100" s="1318">
        <f>KP99-KO99</f>
        <v/>
      </c>
      <c r="KQ100" s="1318">
        <f>KQ99-KP99</f>
        <v/>
      </c>
      <c r="KR100" s="1318">
        <f>KR99-KQ99</f>
        <v/>
      </c>
      <c r="KS100" s="1318">
        <f>KS99-KR99</f>
        <v/>
      </c>
      <c r="KT100" s="1318">
        <f>KT99-KS99</f>
        <v/>
      </c>
      <c r="KU100" s="1318">
        <f>KU99-KT99</f>
        <v/>
      </c>
      <c r="KV100" s="1318">
        <f>KV99-KU99</f>
        <v/>
      </c>
      <c r="KW100" s="1318">
        <f>KW99-KV99</f>
        <v/>
      </c>
      <c r="KX100" s="1318">
        <f>KX99-KW99</f>
        <v/>
      </c>
      <c r="KY100" s="1318">
        <f>KY99-KX99</f>
        <v/>
      </c>
      <c r="KZ100" s="1318">
        <f>KZ99-KY99</f>
        <v/>
      </c>
      <c r="LA100" s="1318">
        <f>LA99-KZ99</f>
        <v/>
      </c>
      <c r="LB100" s="1318" t="n"/>
      <c r="LC100" s="1318" t="n"/>
      <c r="LD100" s="1318" t="n"/>
      <c r="LE100" s="1318" t="n"/>
      <c r="LF100" s="1318" t="n"/>
      <c r="LG100" s="1318" t="n"/>
      <c r="LH100" s="1318" t="n"/>
      <c r="LI100" s="1318" t="n"/>
      <c r="LJ100" s="1318" t="n"/>
      <c r="LK100" s="1318" t="n"/>
      <c r="LL100" s="1318" t="n"/>
      <c r="LM100" s="1318" t="n"/>
      <c r="LN100" s="1318" t="n"/>
      <c r="LO100" s="1318" t="n"/>
      <c r="LP100" s="1318" t="n"/>
      <c r="LQ100" s="1318" t="n"/>
      <c r="LR100" s="1318" t="n"/>
      <c r="LS100" s="1318" t="n"/>
    </row>
    <row r="101">
      <c r="A101" s="885" t="inlineStr">
        <is>
          <t>YoY pointsCg %</t>
        </is>
      </c>
      <c r="B101" s="1318" t="n"/>
      <c r="C101" s="1318" t="n"/>
      <c r="D101" s="1318" t="n"/>
      <c r="E101" s="1318" t="n"/>
      <c r="F101" s="1318" t="n"/>
      <c r="G101" s="1318" t="n"/>
      <c r="H101" s="1318" t="n"/>
      <c r="I101" s="1318" t="n"/>
      <c r="J101" s="1318" t="n"/>
      <c r="K101" s="1318" t="n"/>
      <c r="L101" s="1318" t="n"/>
      <c r="M101" s="1318" t="n"/>
      <c r="N101" s="1318">
        <f>N99-B99</f>
        <v/>
      </c>
      <c r="O101" s="1318">
        <f>O99-C99</f>
        <v/>
      </c>
      <c r="P101" s="1318">
        <f>P99-D99</f>
        <v/>
      </c>
      <c r="Q101" s="1318">
        <f>Q99-E99</f>
        <v/>
      </c>
      <c r="R101" s="1318">
        <f>R99-F99</f>
        <v/>
      </c>
      <c r="S101" s="1318">
        <f>S99-G99</f>
        <v/>
      </c>
      <c r="T101" s="1318">
        <f>T99-H99</f>
        <v/>
      </c>
      <c r="U101" s="1318">
        <f>U99-I99</f>
        <v/>
      </c>
      <c r="V101" s="1318">
        <f>V99-J99</f>
        <v/>
      </c>
      <c r="W101" s="1318">
        <f>W99-K99</f>
        <v/>
      </c>
      <c r="X101" s="1318">
        <f>X99-L99</f>
        <v/>
      </c>
      <c r="Y101" s="1318">
        <f>Y99-M99</f>
        <v/>
      </c>
      <c r="Z101" s="1318">
        <f>Z99-N99</f>
        <v/>
      </c>
      <c r="AA101" s="1318">
        <f>AA99-O99</f>
        <v/>
      </c>
      <c r="AB101" s="1318">
        <f>AB99-P99</f>
        <v/>
      </c>
      <c r="AC101" s="1318">
        <f>AC99-Q99</f>
        <v/>
      </c>
      <c r="AD101" s="1318">
        <f>AD99-R99</f>
        <v/>
      </c>
      <c r="AE101" s="1318">
        <f>AE99-S99</f>
        <v/>
      </c>
      <c r="AF101" s="1318">
        <f>AF99-T99</f>
        <v/>
      </c>
      <c r="AG101" s="1318">
        <f>AG99-U99</f>
        <v/>
      </c>
      <c r="AH101" s="1318">
        <f>AH99-V99</f>
        <v/>
      </c>
      <c r="AI101" s="1318">
        <f>AI99-W99</f>
        <v/>
      </c>
      <c r="AJ101" s="1318">
        <f>AJ99-X99</f>
        <v/>
      </c>
      <c r="AK101" s="1318">
        <f>AK99-Y99</f>
        <v/>
      </c>
      <c r="AL101" s="1318">
        <f>AL99-Z99</f>
        <v/>
      </c>
      <c r="AM101" s="1318">
        <f>AM99-AA99</f>
        <v/>
      </c>
      <c r="AN101" s="1318">
        <f>AN99-AB99</f>
        <v/>
      </c>
      <c r="AO101" s="1318">
        <f>AO99-AC99</f>
        <v/>
      </c>
      <c r="AP101" s="1318">
        <f>AP99-AD99</f>
        <v/>
      </c>
      <c r="AQ101" s="1318">
        <f>AQ99-AE99</f>
        <v/>
      </c>
      <c r="AR101" s="1318">
        <f>AR99-AF99</f>
        <v/>
      </c>
      <c r="AS101" s="1318">
        <f>AS99-AG99</f>
        <v/>
      </c>
      <c r="AT101" s="1318">
        <f>AT99-AH99</f>
        <v/>
      </c>
      <c r="AU101" s="1318">
        <f>AU99-AI99</f>
        <v/>
      </c>
      <c r="AV101" s="1318">
        <f>AV99-AJ99</f>
        <v/>
      </c>
      <c r="AW101" s="1318">
        <f>AW99-AK99</f>
        <v/>
      </c>
      <c r="AX101" s="1318">
        <f>AX99-AL99</f>
        <v/>
      </c>
      <c r="AY101" s="1318">
        <f>AY99-AM99</f>
        <v/>
      </c>
      <c r="AZ101" s="1318">
        <f>AZ99-AN99</f>
        <v/>
      </c>
      <c r="BA101" s="1318">
        <f>BA99-AO99</f>
        <v/>
      </c>
      <c r="BB101" s="1318">
        <f>BB99-AP99</f>
        <v/>
      </c>
      <c r="BC101" s="1318">
        <f>BC99-AQ99</f>
        <v/>
      </c>
      <c r="BD101" s="1318">
        <f>BD99-AR99</f>
        <v/>
      </c>
      <c r="BE101" s="1318">
        <f>BE99-AS99</f>
        <v/>
      </c>
      <c r="BF101" s="1318">
        <f>BF99-AT99</f>
        <v/>
      </c>
      <c r="BG101" s="1318">
        <f>BG99-AU99</f>
        <v/>
      </c>
      <c r="BH101" s="1318">
        <f>BH99-AV99</f>
        <v/>
      </c>
      <c r="BI101" s="1318">
        <f>BI99-AW99</f>
        <v/>
      </c>
      <c r="BJ101" s="1318">
        <f>BJ99-AX99</f>
        <v/>
      </c>
      <c r="BK101" s="1318">
        <f>BK99-AY99</f>
        <v/>
      </c>
      <c r="BL101" s="1318">
        <f>BL99-AZ99</f>
        <v/>
      </c>
      <c r="BM101" s="1318">
        <f>BM99-BA99</f>
        <v/>
      </c>
      <c r="BN101" s="1318">
        <f>BN99-BB99</f>
        <v/>
      </c>
      <c r="BO101" s="1318">
        <f>BO99-BC99</f>
        <v/>
      </c>
      <c r="BP101" s="1318">
        <f>BP99-BD99</f>
        <v/>
      </c>
      <c r="BQ101" s="1318">
        <f>BQ99-BE99</f>
        <v/>
      </c>
      <c r="BR101" s="1318">
        <f>BR99-BF99</f>
        <v/>
      </c>
      <c r="BS101" s="1318">
        <f>BS99-BG99</f>
        <v/>
      </c>
      <c r="BT101" s="1318">
        <f>BT99-BH99</f>
        <v/>
      </c>
      <c r="BU101" s="1318">
        <f>BU99-BI99</f>
        <v/>
      </c>
      <c r="BV101" s="1318">
        <f>BV99-BJ99</f>
        <v/>
      </c>
      <c r="BW101" s="1318">
        <f>BW99-BK99</f>
        <v/>
      </c>
      <c r="BX101" s="1318">
        <f>BX99-BL99</f>
        <v/>
      </c>
      <c r="BY101" s="1318">
        <f>BY99-BM99</f>
        <v/>
      </c>
      <c r="BZ101" s="1318">
        <f>BZ99-BN99</f>
        <v/>
      </c>
      <c r="CA101" s="1318">
        <f>CA99-BO99</f>
        <v/>
      </c>
      <c r="CB101" s="1318">
        <f>CB99-BP99</f>
        <v/>
      </c>
      <c r="CC101" s="1318">
        <f>CC99-BQ99</f>
        <v/>
      </c>
      <c r="CD101" s="1318">
        <f>CD99-BR99</f>
        <v/>
      </c>
      <c r="CE101" s="1318">
        <f>CE99-BS99</f>
        <v/>
      </c>
      <c r="CF101" s="1318">
        <f>CF99-BT99</f>
        <v/>
      </c>
      <c r="CG101" s="1318">
        <f>CG99-BU99</f>
        <v/>
      </c>
      <c r="CH101" s="1318">
        <f>CH99-BV99</f>
        <v/>
      </c>
      <c r="CI101" s="1318">
        <f>CI99-BW99</f>
        <v/>
      </c>
      <c r="CJ101" s="1318">
        <f>CJ99-BX99</f>
        <v/>
      </c>
      <c r="CK101" s="1318">
        <f>CK99-BY99</f>
        <v/>
      </c>
      <c r="CL101" s="1318">
        <f>CL99-BZ99</f>
        <v/>
      </c>
      <c r="CM101" s="1318">
        <f>CM99-CA99</f>
        <v/>
      </c>
      <c r="CN101" s="1318">
        <f>CN99-CB99</f>
        <v/>
      </c>
      <c r="CO101" s="1318">
        <f>CO99-CC99</f>
        <v/>
      </c>
      <c r="CP101" s="1318">
        <f>CP99-CD99</f>
        <v/>
      </c>
      <c r="CQ101" s="1318">
        <f>CQ99-CE99</f>
        <v/>
      </c>
      <c r="CR101" s="1318">
        <f>CR99-CF99</f>
        <v/>
      </c>
      <c r="CS101" s="1318">
        <f>CS99-CG99</f>
        <v/>
      </c>
      <c r="CT101" s="1318">
        <f>CT99-CH99</f>
        <v/>
      </c>
      <c r="CU101" s="1318">
        <f>CU99-CI99</f>
        <v/>
      </c>
      <c r="CV101" s="1318">
        <f>CV99-CJ99</f>
        <v/>
      </c>
      <c r="CW101" s="1318">
        <f>CW99-CK99</f>
        <v/>
      </c>
      <c r="CX101" s="1318">
        <f>CX99-CL99</f>
        <v/>
      </c>
      <c r="CY101" s="1318">
        <f>CY99-CM99</f>
        <v/>
      </c>
      <c r="CZ101" s="1318">
        <f>CZ99-CN99</f>
        <v/>
      </c>
      <c r="DA101" s="1318">
        <f>DA99-CO99</f>
        <v/>
      </c>
      <c r="DB101" s="1318">
        <f>DB99-CP99</f>
        <v/>
      </c>
      <c r="DC101" s="1318">
        <f>DC99-CQ99</f>
        <v/>
      </c>
      <c r="DD101" s="1318">
        <f>DD99-CR99</f>
        <v/>
      </c>
      <c r="DE101" s="1318">
        <f>DE99-CS99</f>
        <v/>
      </c>
      <c r="DF101" s="1318">
        <f>DF99-CT99</f>
        <v/>
      </c>
      <c r="DG101" s="1318">
        <f>DG99-CU99</f>
        <v/>
      </c>
      <c r="DH101" s="1318">
        <f>DH99-CV99</f>
        <v/>
      </c>
      <c r="DI101" s="1318">
        <f>DI99-CW99</f>
        <v/>
      </c>
      <c r="DJ101" s="1318">
        <f>DJ99-CX99</f>
        <v/>
      </c>
      <c r="DK101" s="1318">
        <f>DK99-CY99</f>
        <v/>
      </c>
      <c r="DL101" s="1318">
        <f>DL99-CZ99</f>
        <v/>
      </c>
      <c r="DM101" s="1318">
        <f>DM99-DA99</f>
        <v/>
      </c>
      <c r="DN101" s="1318">
        <f>DN99-DB99</f>
        <v/>
      </c>
      <c r="DO101" s="1318">
        <f>DO99-DC99</f>
        <v/>
      </c>
      <c r="DP101" s="1318">
        <f>DP99-DD99</f>
        <v/>
      </c>
      <c r="DQ101" s="1318">
        <f>DQ99-DE99</f>
        <v/>
      </c>
      <c r="DR101" s="1318">
        <f>DR99-DF99</f>
        <v/>
      </c>
      <c r="DS101" s="1318">
        <f>DS99-DG99</f>
        <v/>
      </c>
      <c r="DT101" s="1318">
        <f>DT99-DH99</f>
        <v/>
      </c>
      <c r="DU101" s="1318">
        <f>DU99-DI99</f>
        <v/>
      </c>
      <c r="DV101" s="1318">
        <f>DV99-DJ99</f>
        <v/>
      </c>
      <c r="DW101" s="1318">
        <f>DW99-DK99</f>
        <v/>
      </c>
      <c r="DX101" s="1318">
        <f>DX99-DL99</f>
        <v/>
      </c>
      <c r="DY101" s="1318">
        <f>DY99-DM99</f>
        <v/>
      </c>
      <c r="DZ101" s="1318">
        <f>DZ99-DN99</f>
        <v/>
      </c>
      <c r="EA101" s="1318">
        <f>EA99-DO99</f>
        <v/>
      </c>
      <c r="EB101" s="1318">
        <f>EB99-DP99</f>
        <v/>
      </c>
      <c r="EC101" s="1318">
        <f>EC99-DQ99</f>
        <v/>
      </c>
      <c r="ED101" s="1318">
        <f>ED99-DR99</f>
        <v/>
      </c>
      <c r="EE101" s="1318">
        <f>EE99-DS99</f>
        <v/>
      </c>
      <c r="EF101" s="1318">
        <f>EF99-DT99</f>
        <v/>
      </c>
      <c r="EG101" s="1318">
        <f>EG99-DU99</f>
        <v/>
      </c>
      <c r="EH101" s="1318">
        <f>EH99-DV99</f>
        <v/>
      </c>
      <c r="EI101" s="1318">
        <f>EI99-DW99</f>
        <v/>
      </c>
      <c r="EJ101" s="1318">
        <f>EJ99-DX99</f>
        <v/>
      </c>
      <c r="EK101" s="1318">
        <f>EK99-DY99</f>
        <v/>
      </c>
      <c r="EL101" s="1318">
        <f>EL99-DZ99</f>
        <v/>
      </c>
      <c r="EM101" s="1318">
        <f>EM99-EA99</f>
        <v/>
      </c>
      <c r="EN101" s="1318">
        <f>EN99-EB99</f>
        <v/>
      </c>
      <c r="EO101" s="1318">
        <f>EO99-EC99</f>
        <v/>
      </c>
      <c r="EP101" s="1318">
        <f>EP99-ED99</f>
        <v/>
      </c>
      <c r="EQ101" s="1318">
        <f>EQ99-EE99</f>
        <v/>
      </c>
      <c r="ER101" s="1318">
        <f>ER99-EF99</f>
        <v/>
      </c>
      <c r="ES101" s="1318">
        <f>ES99-EG99</f>
        <v/>
      </c>
      <c r="ET101" s="1318">
        <f>ET99-EH99</f>
        <v/>
      </c>
      <c r="EU101" s="1318">
        <f>EU99-EI99</f>
        <v/>
      </c>
      <c r="EV101" s="1318">
        <f>EV99-EJ99</f>
        <v/>
      </c>
      <c r="EW101" s="1318">
        <f>EW99-EK99</f>
        <v/>
      </c>
      <c r="EX101" s="1318">
        <f>EX99-EL99</f>
        <v/>
      </c>
      <c r="EY101" s="1318">
        <f>EY99-EM99</f>
        <v/>
      </c>
      <c r="EZ101" s="1318">
        <f>EZ99-EN99</f>
        <v/>
      </c>
      <c r="FA101" s="1318">
        <f>FA99-EO99</f>
        <v/>
      </c>
      <c r="FB101" s="1318">
        <f>FB99-EP99</f>
        <v/>
      </c>
      <c r="FC101" s="1318">
        <f>FC99-EQ99</f>
        <v/>
      </c>
      <c r="FD101" s="1318">
        <f>FD99-ER99</f>
        <v/>
      </c>
      <c r="FE101" s="1318">
        <f>FE99-ES99</f>
        <v/>
      </c>
      <c r="FF101" s="1318">
        <f>FF99-ET99</f>
        <v/>
      </c>
      <c r="FG101" s="1318">
        <f>FG99-EU99</f>
        <v/>
      </c>
      <c r="FH101" s="1318">
        <f>FH99-EV99</f>
        <v/>
      </c>
      <c r="FI101" s="1318">
        <f>FI99-EW99</f>
        <v/>
      </c>
      <c r="FJ101" s="1318">
        <f>FJ99-EX99</f>
        <v/>
      </c>
      <c r="FK101" s="1318">
        <f>FK99-EY99</f>
        <v/>
      </c>
      <c r="FL101" s="1318">
        <f>FL99-EZ99</f>
        <v/>
      </c>
      <c r="FM101" s="1318">
        <f>FM99-FA99</f>
        <v/>
      </c>
      <c r="FN101" s="1318">
        <f>FN99-FB99</f>
        <v/>
      </c>
      <c r="FO101" s="1318">
        <f>FO99-FC99</f>
        <v/>
      </c>
      <c r="FP101" s="1318">
        <f>FP99-FD99</f>
        <v/>
      </c>
      <c r="FQ101" s="1318">
        <f>FQ99-FE99</f>
        <v/>
      </c>
      <c r="FR101" s="1318">
        <f>FR99-FF99</f>
        <v/>
      </c>
      <c r="FS101" s="1318">
        <f>FS99-FG99</f>
        <v/>
      </c>
      <c r="FT101" s="1318">
        <f>FT99-FH99</f>
        <v/>
      </c>
      <c r="FU101" s="1318">
        <f>FU99-FI99</f>
        <v/>
      </c>
      <c r="FV101" s="1318">
        <f>FV99-FJ99</f>
        <v/>
      </c>
      <c r="FW101" s="1318">
        <f>FW99-FK99</f>
        <v/>
      </c>
      <c r="FX101" s="1318">
        <f>FX99-FL99</f>
        <v/>
      </c>
      <c r="FY101" s="1318">
        <f>FY99-FM99</f>
        <v/>
      </c>
      <c r="FZ101" s="1318">
        <f>FZ99-FN99</f>
        <v/>
      </c>
      <c r="GA101" s="1318">
        <f>GA99-FO99</f>
        <v/>
      </c>
      <c r="GB101" s="1318">
        <f>GB99-FP99</f>
        <v/>
      </c>
      <c r="GC101" s="1318">
        <f>GC99-FQ99</f>
        <v/>
      </c>
      <c r="GD101" s="1318">
        <f>GD99-FR99</f>
        <v/>
      </c>
      <c r="GE101" s="1318">
        <f>GE99-FS99</f>
        <v/>
      </c>
      <c r="GF101" s="1318">
        <f>GF99-FT99</f>
        <v/>
      </c>
      <c r="GG101" s="1318">
        <f>GG99-FU99</f>
        <v/>
      </c>
      <c r="GH101" s="1318">
        <f>GH99-FV99</f>
        <v/>
      </c>
      <c r="GI101" s="1318">
        <f>GI99-FW99</f>
        <v/>
      </c>
      <c r="GJ101" s="1318">
        <f>GJ99-FX99</f>
        <v/>
      </c>
      <c r="GK101" s="1318">
        <f>GK99-FY99</f>
        <v/>
      </c>
      <c r="GL101" s="1318">
        <f>GL99-FZ99</f>
        <v/>
      </c>
      <c r="GM101" s="1318">
        <f>GM99-GA99</f>
        <v/>
      </c>
      <c r="GN101" s="1318">
        <f>GN99-GB99</f>
        <v/>
      </c>
      <c r="GO101" s="1318">
        <f>GO99-GC99</f>
        <v/>
      </c>
      <c r="GP101" s="1318">
        <f>GP99-GD99</f>
        <v/>
      </c>
      <c r="GQ101" s="1318">
        <f>GQ99-GE99</f>
        <v/>
      </c>
      <c r="GR101" s="1318">
        <f>GR99-GF99</f>
        <v/>
      </c>
      <c r="GS101" s="1318">
        <f>GS99-GG99</f>
        <v/>
      </c>
      <c r="GT101" s="1318">
        <f>GT99-GH99</f>
        <v/>
      </c>
      <c r="GU101" s="1318">
        <f>GU99-GI99</f>
        <v/>
      </c>
      <c r="GV101" s="1318">
        <f>GV99-GJ99</f>
        <v/>
      </c>
      <c r="GW101" s="1318">
        <f>GW99-GK99</f>
        <v/>
      </c>
      <c r="GX101" s="1318">
        <f>GX99-GL99</f>
        <v/>
      </c>
      <c r="GY101" s="1318">
        <f>GY99-GM99</f>
        <v/>
      </c>
      <c r="GZ101" s="1318">
        <f>GZ99-GN99</f>
        <v/>
      </c>
      <c r="HA101" s="1318">
        <f>HA99-GO99</f>
        <v/>
      </c>
      <c r="HB101" s="1318">
        <f>HB99-GP99</f>
        <v/>
      </c>
      <c r="HC101" s="1318">
        <f>HC99-GQ99</f>
        <v/>
      </c>
      <c r="HD101" s="1318">
        <f>HD99-GR99</f>
        <v/>
      </c>
      <c r="HE101" s="1318">
        <f>HE99-GS99</f>
        <v/>
      </c>
      <c r="HF101" s="1318">
        <f>HF99-GT99</f>
        <v/>
      </c>
      <c r="HG101" s="1318">
        <f>HG99-GU99</f>
        <v/>
      </c>
      <c r="HH101" s="1318">
        <f>HH99-GV99</f>
        <v/>
      </c>
      <c r="HI101" s="1318">
        <f>HI99-GW99</f>
        <v/>
      </c>
      <c r="HJ101" s="1318">
        <f>HJ99-GX99</f>
        <v/>
      </c>
      <c r="HK101" s="1318">
        <f>HK99-GY99</f>
        <v/>
      </c>
      <c r="HL101" s="1318">
        <f>HL99-GZ99</f>
        <v/>
      </c>
      <c r="HM101" s="1318">
        <f>HM99-HA99</f>
        <v/>
      </c>
      <c r="HN101" s="1318">
        <f>HN99-HB99</f>
        <v/>
      </c>
      <c r="HO101" s="1318">
        <f>HO99-HC99</f>
        <v/>
      </c>
      <c r="HP101" s="1318">
        <f>HP99-HD99</f>
        <v/>
      </c>
      <c r="HQ101" s="1318">
        <f>HQ99-HE99</f>
        <v/>
      </c>
      <c r="HR101" s="1318">
        <f>HR99-HF99</f>
        <v/>
      </c>
      <c r="HS101" s="1318">
        <f>HS99-HG99</f>
        <v/>
      </c>
      <c r="HT101" s="1318">
        <f>HT99-HH99</f>
        <v/>
      </c>
      <c r="HU101" s="1318">
        <f>HU99-HI99</f>
        <v/>
      </c>
      <c r="HV101" s="1318">
        <f>HV99-HJ99</f>
        <v/>
      </c>
      <c r="HW101" s="1318">
        <f>HW99-HK99</f>
        <v/>
      </c>
      <c r="HX101" s="1318">
        <f>HX99-HL99</f>
        <v/>
      </c>
      <c r="HY101" s="1318">
        <f>HY99-HM99</f>
        <v/>
      </c>
      <c r="HZ101" s="1318">
        <f>HZ99-HN99</f>
        <v/>
      </c>
      <c r="IA101" s="1318">
        <f>IA99-HO99</f>
        <v/>
      </c>
      <c r="IB101" s="1318">
        <f>IB99-HP99</f>
        <v/>
      </c>
      <c r="IC101" s="1318">
        <f>IC99-HQ99</f>
        <v/>
      </c>
      <c r="ID101" s="1318">
        <f>ID99-HR99</f>
        <v/>
      </c>
      <c r="IE101" s="1318">
        <f>IE99-HS99</f>
        <v/>
      </c>
      <c r="IF101" s="1318">
        <f>IF99-HT99</f>
        <v/>
      </c>
      <c r="IG101" s="1318">
        <f>IG99-HU99</f>
        <v/>
      </c>
      <c r="IH101" s="1318">
        <f>IH99-HV99</f>
        <v/>
      </c>
      <c r="II101" s="1318">
        <f>II99-HW99</f>
        <v/>
      </c>
      <c r="IJ101" s="1318">
        <f>IJ99-HX99</f>
        <v/>
      </c>
      <c r="IK101" s="1318">
        <f>IK99-HY99</f>
        <v/>
      </c>
      <c r="IL101" s="1318">
        <f>IL99-HZ99</f>
        <v/>
      </c>
      <c r="IM101" s="1318">
        <f>IM99-IA99</f>
        <v/>
      </c>
      <c r="IN101" s="1318">
        <f>IN99-IB99</f>
        <v/>
      </c>
      <c r="IO101" s="1318">
        <f>IO99-IC99</f>
        <v/>
      </c>
      <c r="IP101" s="1318">
        <f>IP99-ID99</f>
        <v/>
      </c>
      <c r="IQ101" s="1318">
        <f>IQ99-IE99</f>
        <v/>
      </c>
      <c r="IR101" s="1318">
        <f>IR99-IF99</f>
        <v/>
      </c>
      <c r="IS101" s="1318">
        <f>IS99-IG99</f>
        <v/>
      </c>
      <c r="IT101" s="1318">
        <f>IT99-IH99</f>
        <v/>
      </c>
      <c r="IU101" s="1318">
        <f>IU99-II99</f>
        <v/>
      </c>
      <c r="IV101" s="1318">
        <f>IV99-IJ99</f>
        <v/>
      </c>
      <c r="IW101" s="1318">
        <f>IW99-IK99</f>
        <v/>
      </c>
      <c r="IX101" s="1318">
        <f>IX99-IL99</f>
        <v/>
      </c>
      <c r="IY101" s="1318">
        <f>IY99-IM99</f>
        <v/>
      </c>
      <c r="IZ101" s="1318">
        <f>IZ99-IN99</f>
        <v/>
      </c>
      <c r="JA101" s="1318">
        <f>JA99-IO99</f>
        <v/>
      </c>
      <c r="JB101" s="1318">
        <f>JB99-IP99</f>
        <v/>
      </c>
      <c r="JC101" s="1318">
        <f>JC99-IQ99</f>
        <v/>
      </c>
      <c r="JD101" s="1318">
        <f>JD99-IR99</f>
        <v/>
      </c>
      <c r="JE101" s="1318">
        <f>JE99-IS99</f>
        <v/>
      </c>
      <c r="JF101" s="1318">
        <f>JF99-IT99</f>
        <v/>
      </c>
      <c r="JG101" s="1318">
        <f>JG99-IU99</f>
        <v/>
      </c>
      <c r="JH101" s="1318">
        <f>JH99-IV99</f>
        <v/>
      </c>
      <c r="JI101" s="1318">
        <f>JI99-IW99</f>
        <v/>
      </c>
      <c r="JJ101" s="1318">
        <f>JJ99-IX99</f>
        <v/>
      </c>
      <c r="JK101" s="1318">
        <f>JK99-IY99</f>
        <v/>
      </c>
      <c r="JL101" s="1318">
        <f>JL99-IZ99</f>
        <v/>
      </c>
      <c r="JM101" s="1318">
        <f>JM99-JA99</f>
        <v/>
      </c>
      <c r="JN101" s="1318">
        <f>JN99-JB99</f>
        <v/>
      </c>
      <c r="JO101" s="1318">
        <f>JO99-JC99</f>
        <v/>
      </c>
      <c r="JP101" s="1318">
        <f>JP99-JD99</f>
        <v/>
      </c>
      <c r="JQ101" s="1318">
        <f>JQ99-JE99</f>
        <v/>
      </c>
      <c r="JR101" s="1318">
        <f>JR99-JF99</f>
        <v/>
      </c>
      <c r="JS101" s="1318">
        <f>JS99-JG99</f>
        <v/>
      </c>
      <c r="JT101" s="1318">
        <f>JT99-JH99</f>
        <v/>
      </c>
      <c r="JU101" s="1318">
        <f>JU99-JI99</f>
        <v/>
      </c>
      <c r="JV101" s="1318">
        <f>JV99-JJ99</f>
        <v/>
      </c>
      <c r="JW101" s="1318">
        <f>JW99-JK99</f>
        <v/>
      </c>
      <c r="JX101" s="1318">
        <f>JX99-JL99</f>
        <v/>
      </c>
      <c r="JY101" s="1318">
        <f>JY99-JM99</f>
        <v/>
      </c>
      <c r="JZ101" s="1318">
        <f>JZ99-JN99</f>
        <v/>
      </c>
      <c r="KA101" s="1318">
        <f>KA99-JO99</f>
        <v/>
      </c>
      <c r="KB101" s="1318">
        <f>KB99-JP99</f>
        <v/>
      </c>
      <c r="KC101" s="1318">
        <f>KC99-JQ99</f>
        <v/>
      </c>
      <c r="KD101" s="1318">
        <f>KD99-JR99</f>
        <v/>
      </c>
      <c r="KE101" s="1318">
        <f>KE99-JS99</f>
        <v/>
      </c>
      <c r="KF101" s="1318">
        <f>KF99-JT99</f>
        <v/>
      </c>
      <c r="KG101" s="1318">
        <f>KG99-JU99</f>
        <v/>
      </c>
      <c r="KH101" s="1318">
        <f>KH99-JV99</f>
        <v/>
      </c>
      <c r="KI101" s="1318">
        <f>KI99-JW99</f>
        <v/>
      </c>
      <c r="KJ101" s="1318">
        <f>KJ99-JX99</f>
        <v/>
      </c>
      <c r="KK101" s="1318">
        <f>KK99-JY99</f>
        <v/>
      </c>
      <c r="KL101" s="1318">
        <f>KL99-JZ99</f>
        <v/>
      </c>
      <c r="KM101" s="1318">
        <f>KM99-KA99</f>
        <v/>
      </c>
      <c r="KN101" s="1318">
        <f>KN99-KB99</f>
        <v/>
      </c>
      <c r="KO101" s="1318">
        <f>KO99-KC99</f>
        <v/>
      </c>
      <c r="KP101" s="1318">
        <f>KP99-KD99</f>
        <v/>
      </c>
      <c r="KQ101" s="1318">
        <f>KQ99-KE99</f>
        <v/>
      </c>
      <c r="KR101" s="1318">
        <f>KR99-KF99</f>
        <v/>
      </c>
      <c r="KS101" s="1318">
        <f>KS99-KG99</f>
        <v/>
      </c>
      <c r="KT101" s="1318">
        <f>KT99-KH99</f>
        <v/>
      </c>
      <c r="KU101" s="1318">
        <f>KU99-KI99</f>
        <v/>
      </c>
      <c r="KV101" s="1318">
        <f>KV99-KJ99</f>
        <v/>
      </c>
      <c r="KW101" s="1318">
        <f>KW99-KK99</f>
        <v/>
      </c>
      <c r="KX101" s="1318">
        <f>KX99-KL99</f>
        <v/>
      </c>
      <c r="KY101" s="1318">
        <f>KY99-KM99</f>
        <v/>
      </c>
      <c r="KZ101" s="1318">
        <f>KZ99-KN99</f>
        <v/>
      </c>
      <c r="LA101" s="1318">
        <f>LA99-KO99</f>
        <v/>
      </c>
      <c r="LB101" s="1318" t="n"/>
      <c r="LC101" s="1318" t="n"/>
      <c r="LD101" s="1318" t="n"/>
      <c r="LE101" s="1318" t="n"/>
      <c r="LF101" s="1318" t="n"/>
      <c r="LG101" s="1318" t="n"/>
      <c r="LH101" s="1318" t="n"/>
      <c r="LI101" s="1318" t="n"/>
      <c r="LJ101" s="1318" t="n"/>
      <c r="LK101" s="1318" t="n"/>
      <c r="LL101" s="1318" t="n"/>
      <c r="LM101" s="1318" t="n"/>
      <c r="LN101" s="1318" t="n"/>
      <c r="LO101" s="1318" t="n"/>
      <c r="LP101" s="1318" t="n"/>
      <c r="LQ101" s="1318" t="n"/>
      <c r="LR101" s="1318" t="n"/>
      <c r="LS101" s="1318" t="n"/>
    </row>
    <row r="102">
      <c r="A102" s="885" t="inlineStr">
        <is>
          <t>YTD</t>
        </is>
      </c>
      <c r="B102" s="1318" t="n"/>
      <c r="C102" s="1318" t="n"/>
      <c r="D102" s="1318" t="n"/>
      <c r="E102" s="1318" t="n"/>
      <c r="F102" s="1318" t="n"/>
      <c r="G102" s="1318" t="n"/>
      <c r="H102" s="1318" t="n"/>
      <c r="I102" s="1318" t="n"/>
      <c r="J102" s="1318" t="n"/>
      <c r="K102" s="1318" t="n"/>
      <c r="L102" s="1318" t="n"/>
      <c r="M102" s="1318" t="n"/>
      <c r="N102" s="1318">
        <f>SUMIFS(50:50,$8:$8,"&gt;="&amp;DATE(YEAR(N$8),1,1),$8:$8,"&lt;="&amp;EOMONTH(N$8,0))/SUMIFS(14:14,$8:$8,"&gt;="&amp;DATE(YEAR(N$8),1,1),$8:$8,"&lt;="&amp;EOMONTH(N$8,0))</f>
        <v/>
      </c>
      <c r="O102" s="1318">
        <f>SUMIFS(50:50,$8:$8,"&gt;="&amp;DATE(YEAR(O$8),1,1),$8:$8,"&lt;="&amp;EOMONTH(O$8,0))/SUMIFS(14:14,$8:$8,"&gt;="&amp;DATE(YEAR(O$8),1,1),$8:$8,"&lt;="&amp;EOMONTH(O$8,0))</f>
        <v/>
      </c>
      <c r="P102" s="1318">
        <f>SUMIFS(50:50,$8:$8,"&gt;="&amp;DATE(YEAR(P$8),1,1),$8:$8,"&lt;="&amp;EOMONTH(P$8,0))/SUMIFS(14:14,$8:$8,"&gt;="&amp;DATE(YEAR(P$8),1,1),$8:$8,"&lt;="&amp;EOMONTH(P$8,0))</f>
        <v/>
      </c>
      <c r="Q102" s="1318">
        <f>SUMIFS(50:50,$8:$8,"&gt;="&amp;DATE(YEAR(Q$8),1,1),$8:$8,"&lt;="&amp;EOMONTH(Q$8,0))/SUMIFS(14:14,$8:$8,"&gt;="&amp;DATE(YEAR(Q$8),1,1),$8:$8,"&lt;="&amp;EOMONTH(Q$8,0))</f>
        <v/>
      </c>
      <c r="R102" s="1318">
        <f>SUMIFS(50:50,$8:$8,"&gt;="&amp;DATE(YEAR(R$8),1,1),$8:$8,"&lt;="&amp;EOMONTH(R$8,0))/SUMIFS(14:14,$8:$8,"&gt;="&amp;DATE(YEAR(R$8),1,1),$8:$8,"&lt;="&amp;EOMONTH(R$8,0))</f>
        <v/>
      </c>
      <c r="S102" s="1318">
        <f>SUMIFS(50:50,$8:$8,"&gt;="&amp;DATE(YEAR(S$8),1,1),$8:$8,"&lt;="&amp;EOMONTH(S$8,0))/SUMIFS(14:14,$8:$8,"&gt;="&amp;DATE(YEAR(S$8),1,1),$8:$8,"&lt;="&amp;EOMONTH(S$8,0))</f>
        <v/>
      </c>
      <c r="T102" s="1318">
        <f>SUMIFS(50:50,$8:$8,"&gt;="&amp;DATE(YEAR(T$8),1,1),$8:$8,"&lt;="&amp;EOMONTH(T$8,0))/SUMIFS(14:14,$8:$8,"&gt;="&amp;DATE(YEAR(T$8),1,1),$8:$8,"&lt;="&amp;EOMONTH(T$8,0))</f>
        <v/>
      </c>
      <c r="U102" s="1318">
        <f>SUMIFS(50:50,$8:$8,"&gt;="&amp;DATE(YEAR(U$8),1,1),$8:$8,"&lt;="&amp;EOMONTH(U$8,0))/SUMIFS(14:14,$8:$8,"&gt;="&amp;DATE(YEAR(U$8),1,1),$8:$8,"&lt;="&amp;EOMONTH(U$8,0))</f>
        <v/>
      </c>
      <c r="V102" s="1318">
        <f>SUMIFS(50:50,$8:$8,"&gt;="&amp;DATE(YEAR(V$8),1,1),$8:$8,"&lt;="&amp;EOMONTH(V$8,0))/SUMIFS(14:14,$8:$8,"&gt;="&amp;DATE(YEAR(V$8),1,1),$8:$8,"&lt;="&amp;EOMONTH(V$8,0))</f>
        <v/>
      </c>
      <c r="W102" s="1318">
        <f>SUMIFS(50:50,$8:$8,"&gt;="&amp;DATE(YEAR(W$8),1,1),$8:$8,"&lt;="&amp;EOMONTH(W$8,0))/SUMIFS(14:14,$8:$8,"&gt;="&amp;DATE(YEAR(W$8),1,1),$8:$8,"&lt;="&amp;EOMONTH(W$8,0))</f>
        <v/>
      </c>
      <c r="X102" s="1318">
        <f>SUMIFS(50:50,$8:$8,"&gt;="&amp;DATE(YEAR(X$8),1,1),$8:$8,"&lt;="&amp;EOMONTH(X$8,0))/SUMIFS(14:14,$8:$8,"&gt;="&amp;DATE(YEAR(X$8),1,1),$8:$8,"&lt;="&amp;EOMONTH(X$8,0))</f>
        <v/>
      </c>
      <c r="Y102" s="1318">
        <f>SUMIFS(50:50,$8:$8,"&gt;="&amp;DATE(YEAR(Y$8),1,1),$8:$8,"&lt;="&amp;EOMONTH(Y$8,0))/SUMIFS(14:14,$8:$8,"&gt;="&amp;DATE(YEAR(Y$8),1,1),$8:$8,"&lt;="&amp;EOMONTH(Y$8,0))</f>
        <v/>
      </c>
      <c r="Z102" s="1318">
        <f>SUMIFS(50:50,$8:$8,"&gt;="&amp;DATE(YEAR(Z$8),1,1),$8:$8,"&lt;="&amp;EOMONTH(Z$8,0))/SUMIFS(14:14,$8:$8,"&gt;="&amp;DATE(YEAR(Z$8),1,1),$8:$8,"&lt;="&amp;EOMONTH(Z$8,0))</f>
        <v/>
      </c>
      <c r="AA102" s="1318">
        <f>SUMIFS(50:50,$8:$8,"&gt;="&amp;DATE(YEAR(AA$8),1,1),$8:$8,"&lt;="&amp;EOMONTH(AA$8,0))/SUMIFS(14:14,$8:$8,"&gt;="&amp;DATE(YEAR(AA$8),1,1),$8:$8,"&lt;="&amp;EOMONTH(AA$8,0))</f>
        <v/>
      </c>
      <c r="AB102" s="1318">
        <f>SUMIFS(50:50,$8:$8,"&gt;="&amp;DATE(YEAR(AB$8),1,1),$8:$8,"&lt;="&amp;EOMONTH(AB$8,0))/SUMIFS(14:14,$8:$8,"&gt;="&amp;DATE(YEAR(AB$8),1,1),$8:$8,"&lt;="&amp;EOMONTH(AB$8,0))</f>
        <v/>
      </c>
      <c r="AC102" s="1318">
        <f>SUMIFS(50:50,$8:$8,"&gt;="&amp;DATE(YEAR(AC$8),1,1),$8:$8,"&lt;="&amp;EOMONTH(AC$8,0))/SUMIFS(14:14,$8:$8,"&gt;="&amp;DATE(YEAR(AC$8),1,1),$8:$8,"&lt;="&amp;EOMONTH(AC$8,0))</f>
        <v/>
      </c>
      <c r="AD102" s="1318">
        <f>SUMIFS(50:50,$8:$8,"&gt;="&amp;DATE(YEAR(AD$8),1,1),$8:$8,"&lt;="&amp;EOMONTH(AD$8,0))/SUMIFS(14:14,$8:$8,"&gt;="&amp;DATE(YEAR(AD$8),1,1),$8:$8,"&lt;="&amp;EOMONTH(AD$8,0))</f>
        <v/>
      </c>
      <c r="AE102" s="1318">
        <f>SUMIFS(50:50,$8:$8,"&gt;="&amp;DATE(YEAR(AE$8),1,1),$8:$8,"&lt;="&amp;EOMONTH(AE$8,0))/SUMIFS(14:14,$8:$8,"&gt;="&amp;DATE(YEAR(AE$8),1,1),$8:$8,"&lt;="&amp;EOMONTH(AE$8,0))</f>
        <v/>
      </c>
      <c r="AF102" s="1318">
        <f>SUMIFS(50:50,$8:$8,"&gt;="&amp;DATE(YEAR(AF$8),1,1),$8:$8,"&lt;="&amp;EOMONTH(AF$8,0))/SUMIFS(14:14,$8:$8,"&gt;="&amp;DATE(YEAR(AF$8),1,1),$8:$8,"&lt;="&amp;EOMONTH(AF$8,0))</f>
        <v/>
      </c>
      <c r="AG102" s="1318">
        <f>SUMIFS(50:50,$8:$8,"&gt;="&amp;DATE(YEAR(AG$8),1,1),$8:$8,"&lt;="&amp;EOMONTH(AG$8,0))/SUMIFS(14:14,$8:$8,"&gt;="&amp;DATE(YEAR(AG$8),1,1),$8:$8,"&lt;="&amp;EOMONTH(AG$8,0))</f>
        <v/>
      </c>
      <c r="AH102" s="1318">
        <f>SUMIFS(50:50,$8:$8,"&gt;="&amp;DATE(YEAR(AH$8),1,1),$8:$8,"&lt;="&amp;EOMONTH(AH$8,0))/SUMIFS(14:14,$8:$8,"&gt;="&amp;DATE(YEAR(AH$8),1,1),$8:$8,"&lt;="&amp;EOMONTH(AH$8,0))</f>
        <v/>
      </c>
      <c r="AI102" s="1318">
        <f>SUMIFS(50:50,$8:$8,"&gt;="&amp;DATE(YEAR(AI$8),1,1),$8:$8,"&lt;="&amp;EOMONTH(AI$8,0))/SUMIFS(14:14,$8:$8,"&gt;="&amp;DATE(YEAR(AI$8),1,1),$8:$8,"&lt;="&amp;EOMONTH(AI$8,0))</f>
        <v/>
      </c>
      <c r="AJ102" s="1318">
        <f>SUMIFS(50:50,$8:$8,"&gt;="&amp;DATE(YEAR(AJ$8),1,1),$8:$8,"&lt;="&amp;EOMONTH(AJ$8,0))/SUMIFS(14:14,$8:$8,"&gt;="&amp;DATE(YEAR(AJ$8),1,1),$8:$8,"&lt;="&amp;EOMONTH(AJ$8,0))</f>
        <v/>
      </c>
      <c r="AK102" s="1318">
        <f>SUMIFS(50:50,$8:$8,"&gt;="&amp;DATE(YEAR(AK$8),1,1),$8:$8,"&lt;="&amp;EOMONTH(AK$8,0))/SUMIFS(14:14,$8:$8,"&gt;="&amp;DATE(YEAR(AK$8),1,1),$8:$8,"&lt;="&amp;EOMONTH(AK$8,0))</f>
        <v/>
      </c>
      <c r="AL102" s="1318">
        <f>SUMIFS(50:50,$8:$8,"&gt;="&amp;DATE(YEAR(AL$8),1,1),$8:$8,"&lt;="&amp;EOMONTH(AL$8,0))/SUMIFS(14:14,$8:$8,"&gt;="&amp;DATE(YEAR(AL$8),1,1),$8:$8,"&lt;="&amp;EOMONTH(AL$8,0))</f>
        <v/>
      </c>
      <c r="AM102" s="1318">
        <f>SUMIFS(50:50,$8:$8,"&gt;="&amp;DATE(YEAR(AM$8),1,1),$8:$8,"&lt;="&amp;EOMONTH(AM$8,0))/SUMIFS(14:14,$8:$8,"&gt;="&amp;DATE(YEAR(AM$8),1,1),$8:$8,"&lt;="&amp;EOMONTH(AM$8,0))</f>
        <v/>
      </c>
      <c r="AN102" s="1318">
        <f>SUMIFS(50:50,$8:$8,"&gt;="&amp;DATE(YEAR(AN$8),1,1),$8:$8,"&lt;="&amp;EOMONTH(AN$8,0))/SUMIFS(14:14,$8:$8,"&gt;="&amp;DATE(YEAR(AN$8),1,1),$8:$8,"&lt;="&amp;EOMONTH(AN$8,0))</f>
        <v/>
      </c>
      <c r="AO102" s="1318">
        <f>SUMIFS(50:50,$8:$8,"&gt;="&amp;DATE(YEAR(AO$8),1,1),$8:$8,"&lt;="&amp;EOMONTH(AO$8,0))/SUMIFS(14:14,$8:$8,"&gt;="&amp;DATE(YEAR(AO$8),1,1),$8:$8,"&lt;="&amp;EOMONTH(AO$8,0))</f>
        <v/>
      </c>
      <c r="AP102" s="1318">
        <f>SUMIFS(50:50,$8:$8,"&gt;="&amp;DATE(YEAR(AP$8),1,1),$8:$8,"&lt;="&amp;EOMONTH(AP$8,0))/SUMIFS(14:14,$8:$8,"&gt;="&amp;DATE(YEAR(AP$8),1,1),$8:$8,"&lt;="&amp;EOMONTH(AP$8,0))</f>
        <v/>
      </c>
      <c r="AQ102" s="1318">
        <f>SUMIFS(50:50,$8:$8,"&gt;="&amp;DATE(YEAR(AQ$8),1,1),$8:$8,"&lt;="&amp;EOMONTH(AQ$8,0))/SUMIFS(14:14,$8:$8,"&gt;="&amp;DATE(YEAR(AQ$8),1,1),$8:$8,"&lt;="&amp;EOMONTH(AQ$8,0))</f>
        <v/>
      </c>
      <c r="AR102" s="1318">
        <f>SUMIFS(50:50,$8:$8,"&gt;="&amp;DATE(YEAR(AR$8),1,1),$8:$8,"&lt;="&amp;EOMONTH(AR$8,0))/SUMIFS(14:14,$8:$8,"&gt;="&amp;DATE(YEAR(AR$8),1,1),$8:$8,"&lt;="&amp;EOMONTH(AR$8,0))</f>
        <v/>
      </c>
      <c r="AS102" s="1318">
        <f>SUMIFS(50:50,$8:$8,"&gt;="&amp;DATE(YEAR(AS$8),1,1),$8:$8,"&lt;="&amp;EOMONTH(AS$8,0))/SUMIFS(14:14,$8:$8,"&gt;="&amp;DATE(YEAR(AS$8),1,1),$8:$8,"&lt;="&amp;EOMONTH(AS$8,0))</f>
        <v/>
      </c>
      <c r="AT102" s="1318">
        <f>SUMIFS(50:50,$8:$8,"&gt;="&amp;DATE(YEAR(AT$8),1,1),$8:$8,"&lt;="&amp;EOMONTH(AT$8,0))/SUMIFS(14:14,$8:$8,"&gt;="&amp;DATE(YEAR(AT$8),1,1),$8:$8,"&lt;="&amp;EOMONTH(AT$8,0))</f>
        <v/>
      </c>
      <c r="AU102" s="1318">
        <f>SUMIFS(50:50,$8:$8,"&gt;="&amp;DATE(YEAR(AU$8),1,1),$8:$8,"&lt;="&amp;EOMONTH(AU$8,0))/SUMIFS(14:14,$8:$8,"&gt;="&amp;DATE(YEAR(AU$8),1,1),$8:$8,"&lt;="&amp;EOMONTH(AU$8,0))</f>
        <v/>
      </c>
      <c r="AV102" s="1318">
        <f>SUMIFS(50:50,$8:$8,"&gt;="&amp;DATE(YEAR(AV$8),1,1),$8:$8,"&lt;="&amp;EOMONTH(AV$8,0))/SUMIFS(14:14,$8:$8,"&gt;="&amp;DATE(YEAR(AV$8),1,1),$8:$8,"&lt;="&amp;EOMONTH(AV$8,0))</f>
        <v/>
      </c>
      <c r="AW102" s="1318">
        <f>SUMIFS(50:50,$8:$8,"&gt;="&amp;DATE(YEAR(AW$8),1,1),$8:$8,"&lt;="&amp;EOMONTH(AW$8,0))/SUMIFS(14:14,$8:$8,"&gt;="&amp;DATE(YEAR(AW$8),1,1),$8:$8,"&lt;="&amp;EOMONTH(AW$8,0))</f>
        <v/>
      </c>
      <c r="AX102" s="1318">
        <f>SUMIFS(50:50,$8:$8,"&gt;="&amp;DATE(YEAR(AX$8),1,1),$8:$8,"&lt;="&amp;EOMONTH(AX$8,0))/SUMIFS(14:14,$8:$8,"&gt;="&amp;DATE(YEAR(AX$8),1,1),$8:$8,"&lt;="&amp;EOMONTH(AX$8,0))</f>
        <v/>
      </c>
      <c r="AY102" s="1318">
        <f>SUMIFS(50:50,$8:$8,"&gt;="&amp;DATE(YEAR(AY$8),1,1),$8:$8,"&lt;="&amp;EOMONTH(AY$8,0))/SUMIFS(14:14,$8:$8,"&gt;="&amp;DATE(YEAR(AY$8),1,1),$8:$8,"&lt;="&amp;EOMONTH(AY$8,0))</f>
        <v/>
      </c>
      <c r="AZ102" s="1318">
        <f>SUMIFS(50:50,$8:$8,"&gt;="&amp;DATE(YEAR(AZ$8),1,1),$8:$8,"&lt;="&amp;EOMONTH(AZ$8,0))/SUMIFS(14:14,$8:$8,"&gt;="&amp;DATE(YEAR(AZ$8),1,1),$8:$8,"&lt;="&amp;EOMONTH(AZ$8,0))</f>
        <v/>
      </c>
      <c r="BA102" s="1318">
        <f>SUMIFS(50:50,$8:$8,"&gt;="&amp;DATE(YEAR(BA$8),1,1),$8:$8,"&lt;="&amp;EOMONTH(BA$8,0))/SUMIFS(14:14,$8:$8,"&gt;="&amp;DATE(YEAR(BA$8),1,1),$8:$8,"&lt;="&amp;EOMONTH(BA$8,0))</f>
        <v/>
      </c>
      <c r="BB102" s="1318">
        <f>SUMIFS(50:50,$8:$8,"&gt;="&amp;DATE(YEAR(BB$8),1,1),$8:$8,"&lt;="&amp;EOMONTH(BB$8,0))/SUMIFS(14:14,$8:$8,"&gt;="&amp;DATE(YEAR(BB$8),1,1),$8:$8,"&lt;="&amp;EOMONTH(BB$8,0))</f>
        <v/>
      </c>
      <c r="BC102" s="1318">
        <f>SUMIFS(50:50,$8:$8,"&gt;="&amp;DATE(YEAR(BC$8),1,1),$8:$8,"&lt;="&amp;EOMONTH(BC$8,0))/SUMIFS(14:14,$8:$8,"&gt;="&amp;DATE(YEAR(BC$8),1,1),$8:$8,"&lt;="&amp;EOMONTH(BC$8,0))</f>
        <v/>
      </c>
      <c r="BD102" s="1318">
        <f>SUMIFS(50:50,$8:$8,"&gt;="&amp;DATE(YEAR(BD$8),1,1),$8:$8,"&lt;="&amp;EOMONTH(BD$8,0))/SUMIFS(14:14,$8:$8,"&gt;="&amp;DATE(YEAR(BD$8),1,1),$8:$8,"&lt;="&amp;EOMONTH(BD$8,0))</f>
        <v/>
      </c>
      <c r="BE102" s="1318">
        <f>SUMIFS(50:50,$8:$8,"&gt;="&amp;DATE(YEAR(BE$8),1,1),$8:$8,"&lt;="&amp;EOMONTH(BE$8,0))/SUMIFS(14:14,$8:$8,"&gt;="&amp;DATE(YEAR(BE$8),1,1),$8:$8,"&lt;="&amp;EOMONTH(BE$8,0))</f>
        <v/>
      </c>
      <c r="BF102" s="1318">
        <f>SUMIFS(50:50,$8:$8,"&gt;="&amp;DATE(YEAR(BF$8),1,1),$8:$8,"&lt;="&amp;EOMONTH(BF$8,0))/SUMIFS(14:14,$8:$8,"&gt;="&amp;DATE(YEAR(BF$8),1,1),$8:$8,"&lt;="&amp;EOMONTH(BF$8,0))</f>
        <v/>
      </c>
      <c r="BG102" s="1318">
        <f>SUMIFS(50:50,$8:$8,"&gt;="&amp;DATE(YEAR(BG$8),1,1),$8:$8,"&lt;="&amp;EOMONTH(BG$8,0))/SUMIFS(14:14,$8:$8,"&gt;="&amp;DATE(YEAR(BG$8),1,1),$8:$8,"&lt;="&amp;EOMONTH(BG$8,0))</f>
        <v/>
      </c>
      <c r="BH102" s="1318">
        <f>SUMIFS(50:50,$8:$8,"&gt;="&amp;DATE(YEAR(BH$8),1,1),$8:$8,"&lt;="&amp;EOMONTH(BH$8,0))/SUMIFS(14:14,$8:$8,"&gt;="&amp;DATE(YEAR(BH$8),1,1),$8:$8,"&lt;="&amp;EOMONTH(BH$8,0))</f>
        <v/>
      </c>
      <c r="BI102" s="1318">
        <f>SUMIFS(50:50,$8:$8,"&gt;="&amp;DATE(YEAR(BI$8),1,1),$8:$8,"&lt;="&amp;EOMONTH(BI$8,0))/SUMIFS(14:14,$8:$8,"&gt;="&amp;DATE(YEAR(BI$8),1,1),$8:$8,"&lt;="&amp;EOMONTH(BI$8,0))</f>
        <v/>
      </c>
      <c r="BJ102" s="1318">
        <f>SUMIFS(50:50,$8:$8,"&gt;="&amp;DATE(YEAR(BJ$8),1,1),$8:$8,"&lt;="&amp;EOMONTH(BJ$8,0))/SUMIFS(14:14,$8:$8,"&gt;="&amp;DATE(YEAR(BJ$8),1,1),$8:$8,"&lt;="&amp;EOMONTH(BJ$8,0))</f>
        <v/>
      </c>
      <c r="BK102" s="1318">
        <f>SUMIFS(50:50,$8:$8,"&gt;="&amp;DATE(YEAR(BK$8),1,1),$8:$8,"&lt;="&amp;EOMONTH(BK$8,0))/SUMIFS(14:14,$8:$8,"&gt;="&amp;DATE(YEAR(BK$8),1,1),$8:$8,"&lt;="&amp;EOMONTH(BK$8,0))</f>
        <v/>
      </c>
      <c r="BL102" s="1318">
        <f>SUMIFS(50:50,$8:$8,"&gt;="&amp;DATE(YEAR(BL$8),1,1),$8:$8,"&lt;="&amp;EOMONTH(BL$8,0))/SUMIFS(14:14,$8:$8,"&gt;="&amp;DATE(YEAR(BL$8),1,1),$8:$8,"&lt;="&amp;EOMONTH(BL$8,0))</f>
        <v/>
      </c>
      <c r="BM102" s="1318">
        <f>SUMIFS(50:50,$8:$8,"&gt;="&amp;DATE(YEAR(BM$8),1,1),$8:$8,"&lt;="&amp;EOMONTH(BM$8,0))/SUMIFS(14:14,$8:$8,"&gt;="&amp;DATE(YEAR(BM$8),1,1),$8:$8,"&lt;="&amp;EOMONTH(BM$8,0))</f>
        <v/>
      </c>
      <c r="BN102" s="1318">
        <f>SUMIFS(50:50,$8:$8,"&gt;="&amp;DATE(YEAR(BN$8),1,1),$8:$8,"&lt;="&amp;EOMONTH(BN$8,0))/SUMIFS(14:14,$8:$8,"&gt;="&amp;DATE(YEAR(BN$8),1,1),$8:$8,"&lt;="&amp;EOMONTH(BN$8,0))</f>
        <v/>
      </c>
      <c r="BO102" s="1318">
        <f>SUMIFS(50:50,$8:$8,"&gt;="&amp;DATE(YEAR(BO$8),1,1),$8:$8,"&lt;="&amp;EOMONTH(BO$8,0))/SUMIFS(14:14,$8:$8,"&gt;="&amp;DATE(YEAR(BO$8),1,1),$8:$8,"&lt;="&amp;EOMONTH(BO$8,0))</f>
        <v/>
      </c>
      <c r="BP102" s="1318">
        <f>SUMIFS(50:50,$8:$8,"&gt;="&amp;DATE(YEAR(BP$8),1,1),$8:$8,"&lt;="&amp;EOMONTH(BP$8,0))/SUMIFS(14:14,$8:$8,"&gt;="&amp;DATE(YEAR(BP$8),1,1),$8:$8,"&lt;="&amp;EOMONTH(BP$8,0))</f>
        <v/>
      </c>
      <c r="BQ102" s="1318">
        <f>SUMIFS(50:50,$8:$8,"&gt;="&amp;DATE(YEAR(BQ$8),1,1),$8:$8,"&lt;="&amp;EOMONTH(BQ$8,0))/SUMIFS(14:14,$8:$8,"&gt;="&amp;DATE(YEAR(BQ$8),1,1),$8:$8,"&lt;="&amp;EOMONTH(BQ$8,0))</f>
        <v/>
      </c>
      <c r="BR102" s="1318">
        <f>SUMIFS(50:50,$8:$8,"&gt;="&amp;DATE(YEAR(BR$8),1,1),$8:$8,"&lt;="&amp;EOMONTH(BR$8,0))/SUMIFS(14:14,$8:$8,"&gt;="&amp;DATE(YEAR(BR$8),1,1),$8:$8,"&lt;="&amp;EOMONTH(BR$8,0))</f>
        <v/>
      </c>
      <c r="BS102" s="1318">
        <f>SUMIFS(50:50,$8:$8,"&gt;="&amp;DATE(YEAR(BS$8),1,1),$8:$8,"&lt;="&amp;EOMONTH(BS$8,0))/SUMIFS(14:14,$8:$8,"&gt;="&amp;DATE(YEAR(BS$8),1,1),$8:$8,"&lt;="&amp;EOMONTH(BS$8,0))</f>
        <v/>
      </c>
      <c r="BT102" s="1318">
        <f>SUMIFS(50:50,$8:$8,"&gt;="&amp;DATE(YEAR(BT$8),1,1),$8:$8,"&lt;="&amp;EOMONTH(BT$8,0))/SUMIFS(14:14,$8:$8,"&gt;="&amp;DATE(YEAR(BT$8),1,1),$8:$8,"&lt;="&amp;EOMONTH(BT$8,0))</f>
        <v/>
      </c>
      <c r="BU102" s="1318">
        <f>SUMIFS(50:50,$8:$8,"&gt;="&amp;DATE(YEAR(BU$8),1,1),$8:$8,"&lt;="&amp;EOMONTH(BU$8,0))/SUMIFS(14:14,$8:$8,"&gt;="&amp;DATE(YEAR(BU$8),1,1),$8:$8,"&lt;="&amp;EOMONTH(BU$8,0))</f>
        <v/>
      </c>
      <c r="BV102" s="1318">
        <f>SUMIFS(50:50,$8:$8,"&gt;="&amp;DATE(YEAR(BV$8),1,1),$8:$8,"&lt;="&amp;EOMONTH(BV$8,0))/SUMIFS(14:14,$8:$8,"&gt;="&amp;DATE(YEAR(BV$8),1,1),$8:$8,"&lt;="&amp;EOMONTH(BV$8,0))</f>
        <v/>
      </c>
      <c r="BW102" s="1318">
        <f>SUMIFS(50:50,$8:$8,"&gt;="&amp;DATE(YEAR(BW$8),1,1),$8:$8,"&lt;="&amp;EOMONTH(BW$8,0))/SUMIFS(14:14,$8:$8,"&gt;="&amp;DATE(YEAR(BW$8),1,1),$8:$8,"&lt;="&amp;EOMONTH(BW$8,0))</f>
        <v/>
      </c>
      <c r="BX102" s="1318">
        <f>SUMIFS(50:50,$8:$8,"&gt;="&amp;DATE(YEAR(BX$8),1,1),$8:$8,"&lt;="&amp;EOMONTH(BX$8,0))/SUMIFS(14:14,$8:$8,"&gt;="&amp;DATE(YEAR(BX$8),1,1),$8:$8,"&lt;="&amp;EOMONTH(BX$8,0))</f>
        <v/>
      </c>
      <c r="BY102" s="1318">
        <f>SUMIFS(50:50,$8:$8,"&gt;="&amp;DATE(YEAR(BY$8),1,1),$8:$8,"&lt;="&amp;EOMONTH(BY$8,0))/SUMIFS(14:14,$8:$8,"&gt;="&amp;DATE(YEAR(BY$8),1,1),$8:$8,"&lt;="&amp;EOMONTH(BY$8,0))</f>
        <v/>
      </c>
      <c r="BZ102" s="1318">
        <f>SUMIFS(50:50,$8:$8,"&gt;="&amp;DATE(YEAR(BZ$8),1,1),$8:$8,"&lt;="&amp;EOMONTH(BZ$8,0))/SUMIFS(14:14,$8:$8,"&gt;="&amp;DATE(YEAR(BZ$8),1,1),$8:$8,"&lt;="&amp;EOMONTH(BZ$8,0))</f>
        <v/>
      </c>
      <c r="CA102" s="1318">
        <f>SUMIFS(50:50,$8:$8,"&gt;="&amp;DATE(YEAR(CA$8),1,1),$8:$8,"&lt;="&amp;EOMONTH(CA$8,0))/SUMIFS(14:14,$8:$8,"&gt;="&amp;DATE(YEAR(CA$8),1,1),$8:$8,"&lt;="&amp;EOMONTH(CA$8,0))</f>
        <v/>
      </c>
      <c r="CB102" s="1318">
        <f>SUMIFS(50:50,$8:$8,"&gt;="&amp;DATE(YEAR(CB$8),1,1),$8:$8,"&lt;="&amp;EOMONTH(CB$8,0))/SUMIFS(14:14,$8:$8,"&gt;="&amp;DATE(YEAR(CB$8),1,1),$8:$8,"&lt;="&amp;EOMONTH(CB$8,0))</f>
        <v/>
      </c>
      <c r="CC102" s="1318">
        <f>SUMIFS(50:50,$8:$8,"&gt;="&amp;DATE(YEAR(CC$8),1,1),$8:$8,"&lt;="&amp;EOMONTH(CC$8,0))/SUMIFS(14:14,$8:$8,"&gt;="&amp;DATE(YEAR(CC$8),1,1),$8:$8,"&lt;="&amp;EOMONTH(CC$8,0))</f>
        <v/>
      </c>
      <c r="CD102" s="1318">
        <f>SUMIFS(50:50,$8:$8,"&gt;="&amp;DATE(YEAR(CD$8),1,1),$8:$8,"&lt;="&amp;EOMONTH(CD$8,0))/SUMIFS(14:14,$8:$8,"&gt;="&amp;DATE(YEAR(CD$8),1,1),$8:$8,"&lt;="&amp;EOMONTH(CD$8,0))</f>
        <v/>
      </c>
      <c r="CE102" s="1318">
        <f>SUMIFS(50:50,$8:$8,"&gt;="&amp;DATE(YEAR(CE$8),1,1),$8:$8,"&lt;="&amp;EOMONTH(CE$8,0))/SUMIFS(14:14,$8:$8,"&gt;="&amp;DATE(YEAR(CE$8),1,1),$8:$8,"&lt;="&amp;EOMONTH(CE$8,0))</f>
        <v/>
      </c>
      <c r="CF102" s="1318">
        <f>SUMIFS(50:50,$8:$8,"&gt;="&amp;DATE(YEAR(CF$8),1,1),$8:$8,"&lt;="&amp;EOMONTH(CF$8,0))/SUMIFS(14:14,$8:$8,"&gt;="&amp;DATE(YEAR(CF$8),1,1),$8:$8,"&lt;="&amp;EOMONTH(CF$8,0))</f>
        <v/>
      </c>
      <c r="CG102" s="1318">
        <f>SUMIFS(50:50,$8:$8,"&gt;="&amp;DATE(YEAR(CG$8),1,1),$8:$8,"&lt;="&amp;EOMONTH(CG$8,0))/SUMIFS(14:14,$8:$8,"&gt;="&amp;DATE(YEAR(CG$8),1,1),$8:$8,"&lt;="&amp;EOMONTH(CG$8,0))</f>
        <v/>
      </c>
      <c r="CH102" s="1318">
        <f>SUMIFS(50:50,$8:$8,"&gt;="&amp;DATE(YEAR(CH$8),1,1),$8:$8,"&lt;="&amp;EOMONTH(CH$8,0))/SUMIFS(14:14,$8:$8,"&gt;="&amp;DATE(YEAR(CH$8),1,1),$8:$8,"&lt;="&amp;EOMONTH(CH$8,0))</f>
        <v/>
      </c>
      <c r="CI102" s="1318">
        <f>SUMIFS(50:50,$8:$8,"&gt;="&amp;DATE(YEAR(CI$8),1,1),$8:$8,"&lt;="&amp;EOMONTH(CI$8,0))/SUMIFS(14:14,$8:$8,"&gt;="&amp;DATE(YEAR(CI$8),1,1),$8:$8,"&lt;="&amp;EOMONTH(CI$8,0))</f>
        <v/>
      </c>
      <c r="CJ102" s="1318">
        <f>SUMIFS(50:50,$8:$8,"&gt;="&amp;DATE(YEAR(CJ$8),1,1),$8:$8,"&lt;="&amp;EOMONTH(CJ$8,0))/SUMIFS(14:14,$8:$8,"&gt;="&amp;DATE(YEAR(CJ$8),1,1),$8:$8,"&lt;="&amp;EOMONTH(CJ$8,0))</f>
        <v/>
      </c>
      <c r="CK102" s="1318">
        <f>SUMIFS(50:50,$8:$8,"&gt;="&amp;DATE(YEAR(CK$8),1,1),$8:$8,"&lt;="&amp;EOMONTH(CK$8,0))/SUMIFS(14:14,$8:$8,"&gt;="&amp;DATE(YEAR(CK$8),1,1),$8:$8,"&lt;="&amp;EOMONTH(CK$8,0))</f>
        <v/>
      </c>
      <c r="CL102" s="1318">
        <f>SUMIFS(50:50,$8:$8,"&gt;="&amp;DATE(YEAR(CL$8),1,1),$8:$8,"&lt;="&amp;EOMONTH(CL$8,0))/SUMIFS(14:14,$8:$8,"&gt;="&amp;DATE(YEAR(CL$8),1,1),$8:$8,"&lt;="&amp;EOMONTH(CL$8,0))</f>
        <v/>
      </c>
      <c r="CM102" s="1318">
        <f>SUMIFS(50:50,$8:$8,"&gt;="&amp;DATE(YEAR(CM$8),1,1),$8:$8,"&lt;="&amp;EOMONTH(CM$8,0))/SUMIFS(14:14,$8:$8,"&gt;="&amp;DATE(YEAR(CM$8),1,1),$8:$8,"&lt;="&amp;EOMONTH(CM$8,0))</f>
        <v/>
      </c>
      <c r="CN102" s="1318">
        <f>SUMIFS(50:50,$8:$8,"&gt;="&amp;DATE(YEAR(CN$8),1,1),$8:$8,"&lt;="&amp;EOMONTH(CN$8,0))/SUMIFS(14:14,$8:$8,"&gt;="&amp;DATE(YEAR(CN$8),1,1),$8:$8,"&lt;="&amp;EOMONTH(CN$8,0))</f>
        <v/>
      </c>
      <c r="CO102" s="1318">
        <f>SUMIFS(50:50,$8:$8,"&gt;="&amp;DATE(YEAR(CO$8),1,1),$8:$8,"&lt;="&amp;EOMONTH(CO$8,0))/SUMIFS(14:14,$8:$8,"&gt;="&amp;DATE(YEAR(CO$8),1,1),$8:$8,"&lt;="&amp;EOMONTH(CO$8,0))</f>
        <v/>
      </c>
      <c r="CP102" s="1318">
        <f>SUMIFS(50:50,$8:$8,"&gt;="&amp;DATE(YEAR(CP$8),1,1),$8:$8,"&lt;="&amp;EOMONTH(CP$8,0))/SUMIFS(14:14,$8:$8,"&gt;="&amp;DATE(YEAR(CP$8),1,1),$8:$8,"&lt;="&amp;EOMONTH(CP$8,0))</f>
        <v/>
      </c>
      <c r="CQ102" s="1318">
        <f>SUMIFS(50:50,$8:$8,"&gt;="&amp;DATE(YEAR(CQ$8),1,1),$8:$8,"&lt;="&amp;EOMONTH(CQ$8,0))/SUMIFS(14:14,$8:$8,"&gt;="&amp;DATE(YEAR(CQ$8),1,1),$8:$8,"&lt;="&amp;EOMONTH(CQ$8,0))</f>
        <v/>
      </c>
      <c r="CR102" s="1318">
        <f>SUMIFS(50:50,$8:$8,"&gt;="&amp;DATE(YEAR(CR$8),1,1),$8:$8,"&lt;="&amp;EOMONTH(CR$8,0))/SUMIFS(14:14,$8:$8,"&gt;="&amp;DATE(YEAR(CR$8),1,1),$8:$8,"&lt;="&amp;EOMONTH(CR$8,0))</f>
        <v/>
      </c>
      <c r="CS102" s="1318">
        <f>SUMIFS(50:50,$8:$8,"&gt;="&amp;DATE(YEAR(CS$8),1,1),$8:$8,"&lt;="&amp;EOMONTH(CS$8,0))/SUMIFS(14:14,$8:$8,"&gt;="&amp;DATE(YEAR(CS$8),1,1),$8:$8,"&lt;="&amp;EOMONTH(CS$8,0))</f>
        <v/>
      </c>
      <c r="CT102" s="1318">
        <f>SUMIFS(50:50,$8:$8,"&gt;="&amp;DATE(YEAR(CT$8),1,1),$8:$8,"&lt;="&amp;EOMONTH(CT$8,0))/SUMIFS(14:14,$8:$8,"&gt;="&amp;DATE(YEAR(CT$8),1,1),$8:$8,"&lt;="&amp;EOMONTH(CT$8,0))</f>
        <v/>
      </c>
      <c r="CU102" s="1318">
        <f>SUMIFS(50:50,$8:$8,"&gt;="&amp;DATE(YEAR(CU$8),1,1),$8:$8,"&lt;="&amp;EOMONTH(CU$8,0))/SUMIFS(14:14,$8:$8,"&gt;="&amp;DATE(YEAR(CU$8),1,1),$8:$8,"&lt;="&amp;EOMONTH(CU$8,0))</f>
        <v/>
      </c>
      <c r="CV102" s="1318">
        <f>SUMIFS(50:50,$8:$8,"&gt;="&amp;DATE(YEAR(CV$8),1,1),$8:$8,"&lt;="&amp;EOMONTH(CV$8,0))/SUMIFS(14:14,$8:$8,"&gt;="&amp;DATE(YEAR(CV$8),1,1),$8:$8,"&lt;="&amp;EOMONTH(CV$8,0))</f>
        <v/>
      </c>
      <c r="CW102" s="1318">
        <f>SUMIFS(50:50,$8:$8,"&gt;="&amp;DATE(YEAR(CW$8),1,1),$8:$8,"&lt;="&amp;EOMONTH(CW$8,0))/SUMIFS(14:14,$8:$8,"&gt;="&amp;DATE(YEAR(CW$8),1,1),$8:$8,"&lt;="&amp;EOMONTH(CW$8,0))</f>
        <v/>
      </c>
      <c r="CX102" s="1318">
        <f>SUMIFS(50:50,$8:$8,"&gt;="&amp;DATE(YEAR(CX$8),1,1),$8:$8,"&lt;="&amp;EOMONTH(CX$8,0))/SUMIFS(14:14,$8:$8,"&gt;="&amp;DATE(YEAR(CX$8),1,1),$8:$8,"&lt;="&amp;EOMONTH(CX$8,0))</f>
        <v/>
      </c>
      <c r="CY102" s="1318">
        <f>SUMIFS(50:50,$8:$8,"&gt;="&amp;DATE(YEAR(CY$8),1,1),$8:$8,"&lt;="&amp;EOMONTH(CY$8,0))/SUMIFS(14:14,$8:$8,"&gt;="&amp;DATE(YEAR(CY$8),1,1),$8:$8,"&lt;="&amp;EOMONTH(CY$8,0))</f>
        <v/>
      </c>
      <c r="CZ102" s="1318">
        <f>SUMIFS(50:50,$8:$8,"&gt;="&amp;DATE(YEAR(CZ$8),1,1),$8:$8,"&lt;="&amp;EOMONTH(CZ$8,0))/SUMIFS(14:14,$8:$8,"&gt;="&amp;DATE(YEAR(CZ$8),1,1),$8:$8,"&lt;="&amp;EOMONTH(CZ$8,0))</f>
        <v/>
      </c>
      <c r="DA102" s="1318">
        <f>SUMIFS(50:50,$8:$8,"&gt;="&amp;DATE(YEAR(DA$8),1,1),$8:$8,"&lt;="&amp;EOMONTH(DA$8,0))/SUMIFS(14:14,$8:$8,"&gt;="&amp;DATE(YEAR(DA$8),1,1),$8:$8,"&lt;="&amp;EOMONTH(DA$8,0))</f>
        <v/>
      </c>
      <c r="DB102" s="1318">
        <f>SUMIFS(50:50,$8:$8,"&gt;="&amp;DATE(YEAR(DB$8),1,1),$8:$8,"&lt;="&amp;EOMONTH(DB$8,0))/SUMIFS(14:14,$8:$8,"&gt;="&amp;DATE(YEAR(DB$8),1,1),$8:$8,"&lt;="&amp;EOMONTH(DB$8,0))</f>
        <v/>
      </c>
      <c r="DC102" s="1318">
        <f>SUMIFS(50:50,$8:$8,"&gt;="&amp;DATE(YEAR(DC$8),1,1),$8:$8,"&lt;="&amp;EOMONTH(DC$8,0))/SUMIFS(14:14,$8:$8,"&gt;="&amp;DATE(YEAR(DC$8),1,1),$8:$8,"&lt;="&amp;EOMONTH(DC$8,0))</f>
        <v/>
      </c>
      <c r="DD102" s="1318">
        <f>SUMIFS(50:50,$8:$8,"&gt;="&amp;DATE(YEAR(DD$8),1,1),$8:$8,"&lt;="&amp;EOMONTH(DD$8,0))/SUMIFS(14:14,$8:$8,"&gt;="&amp;DATE(YEAR(DD$8),1,1),$8:$8,"&lt;="&amp;EOMONTH(DD$8,0))</f>
        <v/>
      </c>
      <c r="DE102" s="1318">
        <f>SUMIFS(50:50,$8:$8,"&gt;="&amp;DATE(YEAR(DE$8),1,1),$8:$8,"&lt;="&amp;EOMONTH(DE$8,0))/SUMIFS(14:14,$8:$8,"&gt;="&amp;DATE(YEAR(DE$8),1,1),$8:$8,"&lt;="&amp;EOMONTH(DE$8,0))</f>
        <v/>
      </c>
      <c r="DF102" s="1318">
        <f>SUMIFS(50:50,$8:$8,"&gt;="&amp;DATE(YEAR(DF$8),1,1),$8:$8,"&lt;="&amp;EOMONTH(DF$8,0))/SUMIFS(14:14,$8:$8,"&gt;="&amp;DATE(YEAR(DF$8),1,1),$8:$8,"&lt;="&amp;EOMONTH(DF$8,0))</f>
        <v/>
      </c>
      <c r="DG102" s="1318">
        <f>SUMIFS(50:50,$8:$8,"&gt;="&amp;DATE(YEAR(DG$8),1,1),$8:$8,"&lt;="&amp;EOMONTH(DG$8,0))/SUMIFS(14:14,$8:$8,"&gt;="&amp;DATE(YEAR(DG$8),1,1),$8:$8,"&lt;="&amp;EOMONTH(DG$8,0))</f>
        <v/>
      </c>
      <c r="DH102" s="1318">
        <f>SUMIFS(50:50,$8:$8,"&gt;="&amp;DATE(YEAR(DH$8),1,1),$8:$8,"&lt;="&amp;EOMONTH(DH$8,0))/SUMIFS(14:14,$8:$8,"&gt;="&amp;DATE(YEAR(DH$8),1,1),$8:$8,"&lt;="&amp;EOMONTH(DH$8,0))</f>
        <v/>
      </c>
      <c r="DI102" s="1318">
        <f>SUMIFS(50:50,$8:$8,"&gt;="&amp;DATE(YEAR(DI$8),1,1),$8:$8,"&lt;="&amp;EOMONTH(DI$8,0))/SUMIFS(14:14,$8:$8,"&gt;="&amp;DATE(YEAR(DI$8),1,1),$8:$8,"&lt;="&amp;EOMONTH(DI$8,0))</f>
        <v/>
      </c>
      <c r="DJ102" s="1318">
        <f>SUMIFS(50:50,$8:$8,"&gt;="&amp;DATE(YEAR(DJ$8),1,1),$8:$8,"&lt;="&amp;EOMONTH(DJ$8,0))/SUMIFS(14:14,$8:$8,"&gt;="&amp;DATE(YEAR(DJ$8),1,1),$8:$8,"&lt;="&amp;EOMONTH(DJ$8,0))</f>
        <v/>
      </c>
      <c r="DK102" s="1318">
        <f>SUMIFS(50:50,$8:$8,"&gt;="&amp;DATE(YEAR(DK$8),1,1),$8:$8,"&lt;="&amp;EOMONTH(DK$8,0))/SUMIFS(14:14,$8:$8,"&gt;="&amp;DATE(YEAR(DK$8),1,1),$8:$8,"&lt;="&amp;EOMONTH(DK$8,0))</f>
        <v/>
      </c>
      <c r="DL102" s="1318">
        <f>SUMIFS(50:50,$8:$8,"&gt;="&amp;DATE(YEAR(DL$8),1,1),$8:$8,"&lt;="&amp;EOMONTH(DL$8,0))/SUMIFS(14:14,$8:$8,"&gt;="&amp;DATE(YEAR(DL$8),1,1),$8:$8,"&lt;="&amp;EOMONTH(DL$8,0))</f>
        <v/>
      </c>
      <c r="DM102" s="1318">
        <f>SUMIFS(50:50,$8:$8,"&gt;="&amp;DATE(YEAR(DM$8),1,1),$8:$8,"&lt;="&amp;EOMONTH(DM$8,0))/SUMIFS(14:14,$8:$8,"&gt;="&amp;DATE(YEAR(DM$8),1,1),$8:$8,"&lt;="&amp;EOMONTH(DM$8,0))</f>
        <v/>
      </c>
      <c r="DN102" s="1318">
        <f>SUMIFS(50:50,$8:$8,"&gt;="&amp;DATE(YEAR(DN$8),1,1),$8:$8,"&lt;="&amp;EOMONTH(DN$8,0))/SUMIFS(14:14,$8:$8,"&gt;="&amp;DATE(YEAR(DN$8),1,1),$8:$8,"&lt;="&amp;EOMONTH(DN$8,0))</f>
        <v/>
      </c>
      <c r="DO102" s="1318">
        <f>SUMIFS(50:50,$8:$8,"&gt;="&amp;DATE(YEAR(DO$8),1,1),$8:$8,"&lt;="&amp;EOMONTH(DO$8,0))/SUMIFS(14:14,$8:$8,"&gt;="&amp;DATE(YEAR(DO$8),1,1),$8:$8,"&lt;="&amp;EOMONTH(DO$8,0))</f>
        <v/>
      </c>
      <c r="DP102" s="1318">
        <f>SUMIFS(50:50,$8:$8,"&gt;="&amp;DATE(YEAR(DP$8),1,1),$8:$8,"&lt;="&amp;EOMONTH(DP$8,0))/SUMIFS(14:14,$8:$8,"&gt;="&amp;DATE(YEAR(DP$8),1,1),$8:$8,"&lt;="&amp;EOMONTH(DP$8,0))</f>
        <v/>
      </c>
      <c r="DQ102" s="1318">
        <f>SUMIFS(50:50,$8:$8,"&gt;="&amp;DATE(YEAR(DQ$8),1,1),$8:$8,"&lt;="&amp;EOMONTH(DQ$8,0))/SUMIFS(14:14,$8:$8,"&gt;="&amp;DATE(YEAR(DQ$8),1,1),$8:$8,"&lt;="&amp;EOMONTH(DQ$8,0))</f>
        <v/>
      </c>
      <c r="DR102" s="1318">
        <f>SUMIFS(50:50,$8:$8,"&gt;="&amp;DATE(YEAR(DR$8),1,1),$8:$8,"&lt;="&amp;EOMONTH(DR$8,0))/SUMIFS(14:14,$8:$8,"&gt;="&amp;DATE(YEAR(DR$8),1,1),$8:$8,"&lt;="&amp;EOMONTH(DR$8,0))</f>
        <v/>
      </c>
      <c r="DS102" s="1318">
        <f>SUMIFS(50:50,$8:$8,"&gt;="&amp;DATE(YEAR(DS$8),1,1),$8:$8,"&lt;="&amp;EOMONTH(DS$8,0))/SUMIFS(14:14,$8:$8,"&gt;="&amp;DATE(YEAR(DS$8),1,1),$8:$8,"&lt;="&amp;EOMONTH(DS$8,0))</f>
        <v/>
      </c>
      <c r="DT102" s="1318">
        <f>SUMIFS(50:50,$8:$8,"&gt;="&amp;DATE(YEAR(DT$8),1,1),$8:$8,"&lt;="&amp;EOMONTH(DT$8,0))/SUMIFS(14:14,$8:$8,"&gt;="&amp;DATE(YEAR(DT$8),1,1),$8:$8,"&lt;="&amp;EOMONTH(DT$8,0))</f>
        <v/>
      </c>
      <c r="DU102" s="1318">
        <f>SUMIFS(50:50,$8:$8,"&gt;="&amp;DATE(YEAR(DU$8),1,1),$8:$8,"&lt;="&amp;EOMONTH(DU$8,0))/SUMIFS(14:14,$8:$8,"&gt;="&amp;DATE(YEAR(DU$8),1,1),$8:$8,"&lt;="&amp;EOMONTH(DU$8,0))</f>
        <v/>
      </c>
      <c r="DV102" s="1318">
        <f>SUMIFS(50:50,$8:$8,"&gt;="&amp;DATE(YEAR(DV$8),1,1),$8:$8,"&lt;="&amp;EOMONTH(DV$8,0))/SUMIFS(14:14,$8:$8,"&gt;="&amp;DATE(YEAR(DV$8),1,1),$8:$8,"&lt;="&amp;EOMONTH(DV$8,0))</f>
        <v/>
      </c>
      <c r="DW102" s="1318">
        <f>SUMIFS(50:50,$8:$8,"&gt;="&amp;DATE(YEAR(DW$8),1,1),$8:$8,"&lt;="&amp;EOMONTH(DW$8,0))/SUMIFS(14:14,$8:$8,"&gt;="&amp;DATE(YEAR(DW$8),1,1),$8:$8,"&lt;="&amp;EOMONTH(DW$8,0))</f>
        <v/>
      </c>
      <c r="DX102" s="1318">
        <f>SUMIFS(50:50,$8:$8,"&gt;="&amp;DATE(YEAR(DX$8),1,1),$8:$8,"&lt;="&amp;EOMONTH(DX$8,0))/SUMIFS(14:14,$8:$8,"&gt;="&amp;DATE(YEAR(DX$8),1,1),$8:$8,"&lt;="&amp;EOMONTH(DX$8,0))</f>
        <v/>
      </c>
      <c r="DY102" s="1318">
        <f>SUMIFS(50:50,$8:$8,"&gt;="&amp;DATE(YEAR(DY$8),1,1),$8:$8,"&lt;="&amp;EOMONTH(DY$8,0))/SUMIFS(14:14,$8:$8,"&gt;="&amp;DATE(YEAR(DY$8),1,1),$8:$8,"&lt;="&amp;EOMONTH(DY$8,0))</f>
        <v/>
      </c>
      <c r="DZ102" s="1318">
        <f>SUMIFS(50:50,$8:$8,"&gt;="&amp;DATE(YEAR(DZ$8),1,1),$8:$8,"&lt;="&amp;EOMONTH(DZ$8,0))/SUMIFS(14:14,$8:$8,"&gt;="&amp;DATE(YEAR(DZ$8),1,1),$8:$8,"&lt;="&amp;EOMONTH(DZ$8,0))</f>
        <v/>
      </c>
      <c r="EA102" s="1318">
        <f>SUMIFS(50:50,$8:$8,"&gt;="&amp;DATE(YEAR(EA$8),1,1),$8:$8,"&lt;="&amp;EOMONTH(EA$8,0))/SUMIFS(14:14,$8:$8,"&gt;="&amp;DATE(YEAR(EA$8),1,1),$8:$8,"&lt;="&amp;EOMONTH(EA$8,0))</f>
        <v/>
      </c>
      <c r="EB102" s="1318">
        <f>SUMIFS(50:50,$8:$8,"&gt;="&amp;DATE(YEAR(EB$8),1,1),$8:$8,"&lt;="&amp;EOMONTH(EB$8,0))/SUMIFS(14:14,$8:$8,"&gt;="&amp;DATE(YEAR(EB$8),1,1),$8:$8,"&lt;="&amp;EOMONTH(EB$8,0))</f>
        <v/>
      </c>
      <c r="EC102" s="1318">
        <f>SUMIFS(50:50,$8:$8,"&gt;="&amp;DATE(YEAR(EC$8),1,1),$8:$8,"&lt;="&amp;EOMONTH(EC$8,0))/SUMIFS(14:14,$8:$8,"&gt;="&amp;DATE(YEAR(EC$8),1,1),$8:$8,"&lt;="&amp;EOMONTH(EC$8,0))</f>
        <v/>
      </c>
      <c r="ED102" s="1318">
        <f>SUMIFS(50:50,$8:$8,"&gt;="&amp;DATE(YEAR(ED$8),1,1),$8:$8,"&lt;="&amp;EOMONTH(ED$8,0))/SUMIFS(14:14,$8:$8,"&gt;="&amp;DATE(YEAR(ED$8),1,1),$8:$8,"&lt;="&amp;EOMONTH(ED$8,0))</f>
        <v/>
      </c>
      <c r="EE102" s="1318">
        <f>SUMIFS(50:50,$8:$8,"&gt;="&amp;DATE(YEAR(EE$8),1,1),$8:$8,"&lt;="&amp;EOMONTH(EE$8,0))/SUMIFS(14:14,$8:$8,"&gt;="&amp;DATE(YEAR(EE$8),1,1),$8:$8,"&lt;="&amp;EOMONTH(EE$8,0))</f>
        <v/>
      </c>
      <c r="EF102" s="1318">
        <f>SUMIFS(50:50,$8:$8,"&gt;="&amp;DATE(YEAR(EF$8),1,1),$8:$8,"&lt;="&amp;EOMONTH(EF$8,0))/SUMIFS(14:14,$8:$8,"&gt;="&amp;DATE(YEAR(EF$8),1,1),$8:$8,"&lt;="&amp;EOMONTH(EF$8,0))</f>
        <v/>
      </c>
      <c r="EG102" s="1318">
        <f>SUMIFS(50:50,$8:$8,"&gt;="&amp;DATE(YEAR(EG$8),1,1),$8:$8,"&lt;="&amp;EOMONTH(EG$8,0))/SUMIFS(14:14,$8:$8,"&gt;="&amp;DATE(YEAR(EG$8),1,1),$8:$8,"&lt;="&amp;EOMONTH(EG$8,0))</f>
        <v/>
      </c>
      <c r="EH102" s="1318">
        <f>SUMIFS(50:50,$8:$8,"&gt;="&amp;DATE(YEAR(EH$8),1,1),$8:$8,"&lt;="&amp;EOMONTH(EH$8,0))/SUMIFS(14:14,$8:$8,"&gt;="&amp;DATE(YEAR(EH$8),1,1),$8:$8,"&lt;="&amp;EOMONTH(EH$8,0))</f>
        <v/>
      </c>
      <c r="EI102" s="1318">
        <f>SUMIFS(50:50,$8:$8,"&gt;="&amp;DATE(YEAR(EI$8),1,1),$8:$8,"&lt;="&amp;EOMONTH(EI$8,0))/SUMIFS(14:14,$8:$8,"&gt;="&amp;DATE(YEAR(EI$8),1,1),$8:$8,"&lt;="&amp;EOMONTH(EI$8,0))</f>
        <v/>
      </c>
      <c r="EJ102" s="1318">
        <f>SUMIFS(50:50,$8:$8,"&gt;="&amp;DATE(YEAR(EJ$8),1,1),$8:$8,"&lt;="&amp;EOMONTH(EJ$8,0))/SUMIFS(14:14,$8:$8,"&gt;="&amp;DATE(YEAR(EJ$8),1,1),$8:$8,"&lt;="&amp;EOMONTH(EJ$8,0))</f>
        <v/>
      </c>
      <c r="EK102" s="1318">
        <f>SUMIFS(50:50,$8:$8,"&gt;="&amp;DATE(YEAR(EK$8),1,1),$8:$8,"&lt;="&amp;EOMONTH(EK$8,0))/SUMIFS(14:14,$8:$8,"&gt;="&amp;DATE(YEAR(EK$8),1,1),$8:$8,"&lt;="&amp;EOMONTH(EK$8,0))</f>
        <v/>
      </c>
      <c r="EL102" s="1318">
        <f>SUMIFS(50:50,$8:$8,"&gt;="&amp;DATE(YEAR(EL$8),1,1),$8:$8,"&lt;="&amp;EOMONTH(EL$8,0))/SUMIFS(14:14,$8:$8,"&gt;="&amp;DATE(YEAR(EL$8),1,1),$8:$8,"&lt;="&amp;EOMONTH(EL$8,0))</f>
        <v/>
      </c>
      <c r="EM102" s="1318">
        <f>SUMIFS(50:50,$8:$8,"&gt;="&amp;DATE(YEAR(EM$8),1,1),$8:$8,"&lt;="&amp;EOMONTH(EM$8,0))/SUMIFS(14:14,$8:$8,"&gt;="&amp;DATE(YEAR(EM$8),1,1),$8:$8,"&lt;="&amp;EOMONTH(EM$8,0))</f>
        <v/>
      </c>
      <c r="EN102" s="1318">
        <f>SUMIFS(50:50,$8:$8,"&gt;="&amp;DATE(YEAR(EN$8),1,1),$8:$8,"&lt;="&amp;EOMONTH(EN$8,0))/SUMIFS(14:14,$8:$8,"&gt;="&amp;DATE(YEAR(EN$8),1,1),$8:$8,"&lt;="&amp;EOMONTH(EN$8,0))</f>
        <v/>
      </c>
      <c r="EO102" s="1318">
        <f>SUMIFS(50:50,$8:$8,"&gt;="&amp;DATE(YEAR(EO$8),1,1),$8:$8,"&lt;="&amp;EOMONTH(EO$8,0))/SUMIFS(14:14,$8:$8,"&gt;="&amp;DATE(YEAR(EO$8),1,1),$8:$8,"&lt;="&amp;EOMONTH(EO$8,0))</f>
        <v/>
      </c>
      <c r="EP102" s="1318">
        <f>SUMIFS(50:50,$8:$8,"&gt;="&amp;DATE(YEAR(EP$8),1,1),$8:$8,"&lt;="&amp;EOMONTH(EP$8,0))/SUMIFS(14:14,$8:$8,"&gt;="&amp;DATE(YEAR(EP$8),1,1),$8:$8,"&lt;="&amp;EOMONTH(EP$8,0))</f>
        <v/>
      </c>
      <c r="EQ102" s="1318">
        <f>SUMIFS(50:50,$8:$8,"&gt;="&amp;DATE(YEAR(EQ$8),1,1),$8:$8,"&lt;="&amp;EOMONTH(EQ$8,0))/SUMIFS(14:14,$8:$8,"&gt;="&amp;DATE(YEAR(EQ$8),1,1),$8:$8,"&lt;="&amp;EOMONTH(EQ$8,0))</f>
        <v/>
      </c>
      <c r="ER102" s="1318">
        <f>SUMIFS(50:50,$8:$8,"&gt;="&amp;DATE(YEAR(ER$8),1,1),$8:$8,"&lt;="&amp;EOMONTH(ER$8,0))/SUMIFS(14:14,$8:$8,"&gt;="&amp;DATE(YEAR(ER$8),1,1),$8:$8,"&lt;="&amp;EOMONTH(ER$8,0))</f>
        <v/>
      </c>
      <c r="ES102" s="1318">
        <f>SUMIFS(50:50,$8:$8,"&gt;="&amp;DATE(YEAR(ES$8),1,1),$8:$8,"&lt;="&amp;EOMONTH(ES$8,0))/SUMIFS(14:14,$8:$8,"&gt;="&amp;DATE(YEAR(ES$8),1,1),$8:$8,"&lt;="&amp;EOMONTH(ES$8,0))</f>
        <v/>
      </c>
      <c r="ET102" s="1318">
        <f>SUMIFS(50:50,$8:$8,"&gt;="&amp;DATE(YEAR(ET$8),1,1),$8:$8,"&lt;="&amp;EOMONTH(ET$8,0))/SUMIFS(14:14,$8:$8,"&gt;="&amp;DATE(YEAR(ET$8),1,1),$8:$8,"&lt;="&amp;EOMONTH(ET$8,0))</f>
        <v/>
      </c>
      <c r="EU102" s="1318">
        <f>SUMIFS(50:50,$8:$8,"&gt;="&amp;DATE(YEAR(EU$8),1,1),$8:$8,"&lt;="&amp;EOMONTH(EU$8,0))/SUMIFS(14:14,$8:$8,"&gt;="&amp;DATE(YEAR(EU$8),1,1),$8:$8,"&lt;="&amp;EOMONTH(EU$8,0))</f>
        <v/>
      </c>
      <c r="EV102" s="1318">
        <f>SUMIFS(50:50,$8:$8,"&gt;="&amp;DATE(YEAR(EV$8),1,1),$8:$8,"&lt;="&amp;EOMONTH(EV$8,0))/SUMIFS(14:14,$8:$8,"&gt;="&amp;DATE(YEAR(EV$8),1,1),$8:$8,"&lt;="&amp;EOMONTH(EV$8,0))</f>
        <v/>
      </c>
      <c r="EW102" s="1318">
        <f>SUMIFS(50:50,$8:$8,"&gt;="&amp;DATE(YEAR(EW$8),1,1),$8:$8,"&lt;="&amp;EOMONTH(EW$8,0))/SUMIFS(14:14,$8:$8,"&gt;="&amp;DATE(YEAR(EW$8),1,1),$8:$8,"&lt;="&amp;EOMONTH(EW$8,0))</f>
        <v/>
      </c>
      <c r="EX102" s="1318">
        <f>SUMIFS(50:50,$8:$8,"&gt;="&amp;DATE(YEAR(EX$8),1,1),$8:$8,"&lt;="&amp;EOMONTH(EX$8,0))/SUMIFS(14:14,$8:$8,"&gt;="&amp;DATE(YEAR(EX$8),1,1),$8:$8,"&lt;="&amp;EOMONTH(EX$8,0))</f>
        <v/>
      </c>
      <c r="EY102" s="1318">
        <f>SUMIFS(50:50,$8:$8,"&gt;="&amp;DATE(YEAR(EY$8),1,1),$8:$8,"&lt;="&amp;EOMONTH(EY$8,0))/SUMIFS(14:14,$8:$8,"&gt;="&amp;DATE(YEAR(EY$8),1,1),$8:$8,"&lt;="&amp;EOMONTH(EY$8,0))</f>
        <v/>
      </c>
      <c r="EZ102" s="1318">
        <f>SUMIFS(50:50,$8:$8,"&gt;="&amp;DATE(YEAR(EZ$8),1,1),$8:$8,"&lt;="&amp;EOMONTH(EZ$8,0))/SUMIFS(14:14,$8:$8,"&gt;="&amp;DATE(YEAR(EZ$8),1,1),$8:$8,"&lt;="&amp;EOMONTH(EZ$8,0))</f>
        <v/>
      </c>
      <c r="FA102" s="1318">
        <f>SUMIFS(50:50,$8:$8,"&gt;="&amp;DATE(YEAR(FA$8),1,1),$8:$8,"&lt;="&amp;EOMONTH(FA$8,0))/SUMIFS(14:14,$8:$8,"&gt;="&amp;DATE(YEAR(FA$8),1,1),$8:$8,"&lt;="&amp;EOMONTH(FA$8,0))</f>
        <v/>
      </c>
      <c r="FB102" s="1318">
        <f>SUMIFS(50:50,$8:$8,"&gt;="&amp;DATE(YEAR(FB$8),1,1),$8:$8,"&lt;="&amp;EOMONTH(FB$8,0))/SUMIFS(14:14,$8:$8,"&gt;="&amp;DATE(YEAR(FB$8),1,1),$8:$8,"&lt;="&amp;EOMONTH(FB$8,0))</f>
        <v/>
      </c>
      <c r="FC102" s="1318">
        <f>SUMIFS(50:50,$8:$8,"&gt;="&amp;DATE(YEAR(FC$8),1,1),$8:$8,"&lt;="&amp;EOMONTH(FC$8,0))/SUMIFS(14:14,$8:$8,"&gt;="&amp;DATE(YEAR(FC$8),1,1),$8:$8,"&lt;="&amp;EOMONTH(FC$8,0))</f>
        <v/>
      </c>
      <c r="FD102" s="1318">
        <f>SUMIFS(50:50,$8:$8,"&gt;="&amp;DATE(YEAR(FD$8),1,1),$8:$8,"&lt;="&amp;EOMONTH(FD$8,0))/SUMIFS(14:14,$8:$8,"&gt;="&amp;DATE(YEAR(FD$8),1,1),$8:$8,"&lt;="&amp;EOMONTH(FD$8,0))</f>
        <v/>
      </c>
      <c r="FE102" s="1318">
        <f>SUMIFS(50:50,$8:$8,"&gt;="&amp;DATE(YEAR(FE$8),1,1),$8:$8,"&lt;="&amp;EOMONTH(FE$8,0))/SUMIFS(14:14,$8:$8,"&gt;="&amp;DATE(YEAR(FE$8),1,1),$8:$8,"&lt;="&amp;EOMONTH(FE$8,0))</f>
        <v/>
      </c>
      <c r="FF102" s="1318">
        <f>SUMIFS(50:50,$8:$8,"&gt;="&amp;DATE(YEAR(FF$8),1,1),$8:$8,"&lt;="&amp;EOMONTH(FF$8,0))/SUMIFS(14:14,$8:$8,"&gt;="&amp;DATE(YEAR(FF$8),1,1),$8:$8,"&lt;="&amp;EOMONTH(FF$8,0))</f>
        <v/>
      </c>
      <c r="FG102" s="1318">
        <f>SUMIFS(50:50,$8:$8,"&gt;="&amp;DATE(YEAR(FG$8),1,1),$8:$8,"&lt;="&amp;EOMONTH(FG$8,0))/SUMIFS(14:14,$8:$8,"&gt;="&amp;DATE(YEAR(FG$8),1,1),$8:$8,"&lt;="&amp;EOMONTH(FG$8,0))</f>
        <v/>
      </c>
      <c r="FH102" s="1318">
        <f>SUMIFS(50:50,$8:$8,"&gt;="&amp;DATE(YEAR(FH$8),1,1),$8:$8,"&lt;="&amp;EOMONTH(FH$8,0))/SUMIFS(14:14,$8:$8,"&gt;="&amp;DATE(YEAR(FH$8),1,1),$8:$8,"&lt;="&amp;EOMONTH(FH$8,0))</f>
        <v/>
      </c>
      <c r="FI102" s="1318">
        <f>SUMIFS(50:50,$8:$8,"&gt;="&amp;DATE(YEAR(FI$8),1,1),$8:$8,"&lt;="&amp;EOMONTH(FI$8,0))/SUMIFS(14:14,$8:$8,"&gt;="&amp;DATE(YEAR(FI$8),1,1),$8:$8,"&lt;="&amp;EOMONTH(FI$8,0))</f>
        <v/>
      </c>
      <c r="FJ102" s="1318">
        <f>SUMIFS(50:50,$8:$8,"&gt;="&amp;DATE(YEAR(FJ$8),1,1),$8:$8,"&lt;="&amp;EOMONTH(FJ$8,0))/SUMIFS(14:14,$8:$8,"&gt;="&amp;DATE(YEAR(FJ$8),1,1),$8:$8,"&lt;="&amp;EOMONTH(FJ$8,0))</f>
        <v/>
      </c>
      <c r="FK102" s="1318">
        <f>SUMIFS(50:50,$8:$8,"&gt;="&amp;DATE(YEAR(FK$8),1,1),$8:$8,"&lt;="&amp;EOMONTH(FK$8,0))/SUMIFS(14:14,$8:$8,"&gt;="&amp;DATE(YEAR(FK$8),1,1),$8:$8,"&lt;="&amp;EOMONTH(FK$8,0))</f>
        <v/>
      </c>
      <c r="FL102" s="1318">
        <f>SUMIFS(50:50,$8:$8,"&gt;="&amp;DATE(YEAR(FL$8),1,1),$8:$8,"&lt;="&amp;EOMONTH(FL$8,0))/SUMIFS(14:14,$8:$8,"&gt;="&amp;DATE(YEAR(FL$8),1,1),$8:$8,"&lt;="&amp;EOMONTH(FL$8,0))</f>
        <v/>
      </c>
      <c r="FM102" s="1318">
        <f>SUMIFS(50:50,$8:$8,"&gt;="&amp;DATE(YEAR(FM$8),1,1),$8:$8,"&lt;="&amp;EOMONTH(FM$8,0))/SUMIFS(14:14,$8:$8,"&gt;="&amp;DATE(YEAR(FM$8),1,1),$8:$8,"&lt;="&amp;EOMONTH(FM$8,0))</f>
        <v/>
      </c>
      <c r="FN102" s="1318">
        <f>SUMIFS(50:50,$8:$8,"&gt;="&amp;DATE(YEAR(FN$8),1,1),$8:$8,"&lt;="&amp;EOMONTH(FN$8,0))/SUMIFS(14:14,$8:$8,"&gt;="&amp;DATE(YEAR(FN$8),1,1),$8:$8,"&lt;="&amp;EOMONTH(FN$8,0))</f>
        <v/>
      </c>
      <c r="FO102" s="1318">
        <f>SUMIFS(50:50,$8:$8,"&gt;="&amp;DATE(YEAR(FO$8),1,1),$8:$8,"&lt;="&amp;EOMONTH(FO$8,0))/SUMIFS(14:14,$8:$8,"&gt;="&amp;DATE(YEAR(FO$8),1,1),$8:$8,"&lt;="&amp;EOMONTH(FO$8,0))</f>
        <v/>
      </c>
      <c r="FP102" s="1318">
        <f>SUMIFS(50:50,$8:$8,"&gt;="&amp;DATE(YEAR(FP$8),1,1),$8:$8,"&lt;="&amp;EOMONTH(FP$8,0))/SUMIFS(14:14,$8:$8,"&gt;="&amp;DATE(YEAR(FP$8),1,1),$8:$8,"&lt;="&amp;EOMONTH(FP$8,0))</f>
        <v/>
      </c>
      <c r="FQ102" s="1318">
        <f>SUMIFS(50:50,$8:$8,"&gt;="&amp;DATE(YEAR(FQ$8),1,1),$8:$8,"&lt;="&amp;EOMONTH(FQ$8,0))/SUMIFS(14:14,$8:$8,"&gt;="&amp;DATE(YEAR(FQ$8),1,1),$8:$8,"&lt;="&amp;EOMONTH(FQ$8,0))</f>
        <v/>
      </c>
      <c r="FR102" s="1318">
        <f>SUMIFS(50:50,$8:$8,"&gt;="&amp;DATE(YEAR(FR$8),1,1),$8:$8,"&lt;="&amp;EOMONTH(FR$8,0))/SUMIFS(14:14,$8:$8,"&gt;="&amp;DATE(YEAR(FR$8),1,1),$8:$8,"&lt;="&amp;EOMONTH(FR$8,0))</f>
        <v/>
      </c>
      <c r="FS102" s="1318">
        <f>SUMIFS(50:50,$8:$8,"&gt;="&amp;DATE(YEAR(FS$8),1,1),$8:$8,"&lt;="&amp;EOMONTH(FS$8,0))/SUMIFS(14:14,$8:$8,"&gt;="&amp;DATE(YEAR(FS$8),1,1),$8:$8,"&lt;="&amp;EOMONTH(FS$8,0))</f>
        <v/>
      </c>
      <c r="FT102" s="1318">
        <f>SUMIFS(50:50,$8:$8,"&gt;="&amp;DATE(YEAR(FT$8),1,1),$8:$8,"&lt;="&amp;EOMONTH(FT$8,0))/SUMIFS(14:14,$8:$8,"&gt;="&amp;DATE(YEAR(FT$8),1,1),$8:$8,"&lt;="&amp;EOMONTH(FT$8,0))</f>
        <v/>
      </c>
      <c r="FU102" s="1318">
        <f>SUMIFS(50:50,$8:$8,"&gt;="&amp;DATE(YEAR(FU$8),1,1),$8:$8,"&lt;="&amp;EOMONTH(FU$8,0))/SUMIFS(14:14,$8:$8,"&gt;="&amp;DATE(YEAR(FU$8),1,1),$8:$8,"&lt;="&amp;EOMONTH(FU$8,0))</f>
        <v/>
      </c>
      <c r="FV102" s="1318">
        <f>SUMIFS(50:50,$8:$8,"&gt;="&amp;DATE(YEAR(FV$8),1,1),$8:$8,"&lt;="&amp;EOMONTH(FV$8,0))/SUMIFS(14:14,$8:$8,"&gt;="&amp;DATE(YEAR(FV$8),1,1),$8:$8,"&lt;="&amp;EOMONTH(FV$8,0))</f>
        <v/>
      </c>
      <c r="FW102" s="1318">
        <f>SUMIFS(50:50,$8:$8,"&gt;="&amp;DATE(YEAR(FW$8),1,1),$8:$8,"&lt;="&amp;EOMONTH(FW$8,0))/SUMIFS(14:14,$8:$8,"&gt;="&amp;DATE(YEAR(FW$8),1,1),$8:$8,"&lt;="&amp;EOMONTH(FW$8,0))</f>
        <v/>
      </c>
      <c r="FX102" s="1318">
        <f>SUMIFS(50:50,$8:$8,"&gt;="&amp;DATE(YEAR(FX$8),1,1),$8:$8,"&lt;="&amp;EOMONTH(FX$8,0))/SUMIFS(14:14,$8:$8,"&gt;="&amp;DATE(YEAR(FX$8),1,1),$8:$8,"&lt;="&amp;EOMONTH(FX$8,0))</f>
        <v/>
      </c>
      <c r="FY102" s="1318">
        <f>SUMIFS(50:50,$8:$8,"&gt;="&amp;DATE(YEAR(FY$8),1,1),$8:$8,"&lt;="&amp;EOMONTH(FY$8,0))/SUMIFS(14:14,$8:$8,"&gt;="&amp;DATE(YEAR(FY$8),1,1),$8:$8,"&lt;="&amp;EOMONTH(FY$8,0))</f>
        <v/>
      </c>
      <c r="FZ102" s="1318">
        <f>SUMIFS(50:50,$8:$8,"&gt;="&amp;DATE(YEAR(FZ$8),1,1),$8:$8,"&lt;="&amp;EOMONTH(FZ$8,0))/SUMIFS(14:14,$8:$8,"&gt;="&amp;DATE(YEAR(FZ$8),1,1),$8:$8,"&lt;="&amp;EOMONTH(FZ$8,0))</f>
        <v/>
      </c>
      <c r="GA102" s="1318">
        <f>SUMIFS(50:50,$8:$8,"&gt;="&amp;DATE(YEAR(GA$8),1,1),$8:$8,"&lt;="&amp;EOMONTH(GA$8,0))/SUMIFS(14:14,$8:$8,"&gt;="&amp;DATE(YEAR(GA$8),1,1),$8:$8,"&lt;="&amp;EOMONTH(GA$8,0))</f>
        <v/>
      </c>
      <c r="GB102" s="1318">
        <f>SUMIFS(50:50,$8:$8,"&gt;="&amp;DATE(YEAR(GB$8),1,1),$8:$8,"&lt;="&amp;EOMONTH(GB$8,0))/SUMIFS(14:14,$8:$8,"&gt;="&amp;DATE(YEAR(GB$8),1,1),$8:$8,"&lt;="&amp;EOMONTH(GB$8,0))</f>
        <v/>
      </c>
      <c r="GC102" s="1318">
        <f>SUMIFS(50:50,$8:$8,"&gt;="&amp;DATE(YEAR(GC$8),1,1),$8:$8,"&lt;="&amp;EOMONTH(GC$8,0))/SUMIFS(14:14,$8:$8,"&gt;="&amp;DATE(YEAR(GC$8),1,1),$8:$8,"&lt;="&amp;EOMONTH(GC$8,0))</f>
        <v/>
      </c>
      <c r="GD102" s="1318">
        <f>SUMIFS(50:50,$8:$8,"&gt;="&amp;DATE(YEAR(GD$8),1,1),$8:$8,"&lt;="&amp;EOMONTH(GD$8,0))/SUMIFS(14:14,$8:$8,"&gt;="&amp;DATE(YEAR(GD$8),1,1),$8:$8,"&lt;="&amp;EOMONTH(GD$8,0))</f>
        <v/>
      </c>
      <c r="GE102" s="1318">
        <f>SUMIFS(50:50,$8:$8,"&gt;="&amp;DATE(YEAR(GE$8),1,1),$8:$8,"&lt;="&amp;EOMONTH(GE$8,0))/SUMIFS(14:14,$8:$8,"&gt;="&amp;DATE(YEAR(GE$8),1,1),$8:$8,"&lt;="&amp;EOMONTH(GE$8,0))</f>
        <v/>
      </c>
      <c r="GF102" s="1318">
        <f>SUMIFS(50:50,$8:$8,"&gt;="&amp;DATE(YEAR(GF$8),1,1),$8:$8,"&lt;="&amp;EOMONTH(GF$8,0))/SUMIFS(14:14,$8:$8,"&gt;="&amp;DATE(YEAR(GF$8),1,1),$8:$8,"&lt;="&amp;EOMONTH(GF$8,0))</f>
        <v/>
      </c>
      <c r="GG102" s="1318">
        <f>SUMIFS(50:50,$8:$8,"&gt;="&amp;DATE(YEAR(GG$8),1,1),$8:$8,"&lt;="&amp;EOMONTH(GG$8,0))/SUMIFS(14:14,$8:$8,"&gt;="&amp;DATE(YEAR(GG$8),1,1),$8:$8,"&lt;="&amp;EOMONTH(GG$8,0))</f>
        <v/>
      </c>
      <c r="GH102" s="1318">
        <f>SUMIFS(50:50,$8:$8,"&gt;="&amp;DATE(YEAR(GH$8),1,1),$8:$8,"&lt;="&amp;EOMONTH(GH$8,0))/SUMIFS(14:14,$8:$8,"&gt;="&amp;DATE(YEAR(GH$8),1,1),$8:$8,"&lt;="&amp;EOMONTH(GH$8,0))</f>
        <v/>
      </c>
      <c r="GI102" s="1318">
        <f>SUMIFS(50:50,$8:$8,"&gt;="&amp;DATE(YEAR(GI$8),1,1),$8:$8,"&lt;="&amp;EOMONTH(GI$8,0))/SUMIFS(14:14,$8:$8,"&gt;="&amp;DATE(YEAR(GI$8),1,1),$8:$8,"&lt;="&amp;EOMONTH(GI$8,0))</f>
        <v/>
      </c>
      <c r="GJ102" s="1318">
        <f>SUMIFS(50:50,$8:$8,"&gt;="&amp;DATE(YEAR(GJ$8),1,1),$8:$8,"&lt;="&amp;EOMONTH(GJ$8,0))/SUMIFS(14:14,$8:$8,"&gt;="&amp;DATE(YEAR(GJ$8),1,1),$8:$8,"&lt;="&amp;EOMONTH(GJ$8,0))</f>
        <v/>
      </c>
      <c r="GK102" s="1318">
        <f>SUMIFS(50:50,$8:$8,"&gt;="&amp;DATE(YEAR(GK$8),1,1),$8:$8,"&lt;="&amp;EOMONTH(GK$8,0))/SUMIFS(14:14,$8:$8,"&gt;="&amp;DATE(YEAR(GK$8),1,1),$8:$8,"&lt;="&amp;EOMONTH(GK$8,0))</f>
        <v/>
      </c>
      <c r="GL102" s="1318">
        <f>SUMIFS(50:50,$8:$8,"&gt;="&amp;DATE(YEAR(GL$8),1,1),$8:$8,"&lt;="&amp;EOMONTH(GL$8,0))/SUMIFS(14:14,$8:$8,"&gt;="&amp;DATE(YEAR(GL$8),1,1),$8:$8,"&lt;="&amp;EOMONTH(GL$8,0))</f>
        <v/>
      </c>
      <c r="GM102" s="1318">
        <f>SUMIFS(50:50,$8:$8,"&gt;="&amp;DATE(YEAR(GM$8),1,1),$8:$8,"&lt;="&amp;EOMONTH(GM$8,0))/SUMIFS(14:14,$8:$8,"&gt;="&amp;DATE(YEAR(GM$8),1,1),$8:$8,"&lt;="&amp;EOMONTH(GM$8,0))</f>
        <v/>
      </c>
      <c r="GN102" s="1318">
        <f>SUMIFS(50:50,$8:$8,"&gt;="&amp;DATE(YEAR(GN$8),1,1),$8:$8,"&lt;="&amp;EOMONTH(GN$8,0))/SUMIFS(14:14,$8:$8,"&gt;="&amp;DATE(YEAR(GN$8),1,1),$8:$8,"&lt;="&amp;EOMONTH(GN$8,0))</f>
        <v/>
      </c>
      <c r="GO102" s="1318">
        <f>SUMIFS(50:50,$8:$8,"&gt;="&amp;DATE(YEAR(GO$8),1,1),$8:$8,"&lt;="&amp;EOMONTH(GO$8,0))/SUMIFS(14:14,$8:$8,"&gt;="&amp;DATE(YEAR(GO$8),1,1),$8:$8,"&lt;="&amp;EOMONTH(GO$8,0))</f>
        <v/>
      </c>
      <c r="GP102" s="1318">
        <f>SUMIFS(50:50,$8:$8,"&gt;="&amp;DATE(YEAR(GP$8),1,1),$8:$8,"&lt;="&amp;EOMONTH(GP$8,0))/SUMIFS(14:14,$8:$8,"&gt;="&amp;DATE(YEAR(GP$8),1,1),$8:$8,"&lt;="&amp;EOMONTH(GP$8,0))</f>
        <v/>
      </c>
      <c r="GQ102" s="1318">
        <f>SUMIFS(50:50,$8:$8,"&gt;="&amp;DATE(YEAR(GQ$8),1,1),$8:$8,"&lt;="&amp;EOMONTH(GQ$8,0))/SUMIFS(14:14,$8:$8,"&gt;="&amp;DATE(YEAR(GQ$8),1,1),$8:$8,"&lt;="&amp;EOMONTH(GQ$8,0))</f>
        <v/>
      </c>
      <c r="GR102" s="1318">
        <f>SUMIFS(50:50,$8:$8,"&gt;="&amp;DATE(YEAR(GR$8),1,1),$8:$8,"&lt;="&amp;EOMONTH(GR$8,0))/SUMIFS(14:14,$8:$8,"&gt;="&amp;DATE(YEAR(GR$8),1,1),$8:$8,"&lt;="&amp;EOMONTH(GR$8,0))</f>
        <v/>
      </c>
      <c r="GS102" s="1318">
        <f>SUMIFS(50:50,$8:$8,"&gt;="&amp;DATE(YEAR(GS$8),1,1),$8:$8,"&lt;="&amp;EOMONTH(GS$8,0))/SUMIFS(14:14,$8:$8,"&gt;="&amp;DATE(YEAR(GS$8),1,1),$8:$8,"&lt;="&amp;EOMONTH(GS$8,0))</f>
        <v/>
      </c>
      <c r="GT102" s="1318">
        <f>SUMIFS(50:50,$8:$8,"&gt;="&amp;DATE(YEAR(GT$8),1,1),$8:$8,"&lt;="&amp;EOMONTH(GT$8,0))/SUMIFS(14:14,$8:$8,"&gt;="&amp;DATE(YEAR(GT$8),1,1),$8:$8,"&lt;="&amp;EOMONTH(GT$8,0))</f>
        <v/>
      </c>
      <c r="GU102" s="1318">
        <f>SUMIFS(50:50,$8:$8,"&gt;="&amp;DATE(YEAR(GU$8),1,1),$8:$8,"&lt;="&amp;EOMONTH(GU$8,0))/SUMIFS(14:14,$8:$8,"&gt;="&amp;DATE(YEAR(GU$8),1,1),$8:$8,"&lt;="&amp;EOMONTH(GU$8,0))</f>
        <v/>
      </c>
      <c r="GV102" s="1318">
        <f>SUMIFS(50:50,$8:$8,"&gt;="&amp;DATE(YEAR(GV$8),1,1),$8:$8,"&lt;="&amp;EOMONTH(GV$8,0))/SUMIFS(14:14,$8:$8,"&gt;="&amp;DATE(YEAR(GV$8),1,1),$8:$8,"&lt;="&amp;EOMONTH(GV$8,0))</f>
        <v/>
      </c>
      <c r="GW102" s="1318">
        <f>SUMIFS(50:50,$8:$8,"&gt;="&amp;DATE(YEAR(GW$8),1,1),$8:$8,"&lt;="&amp;EOMONTH(GW$8,0))/SUMIFS(14:14,$8:$8,"&gt;="&amp;DATE(YEAR(GW$8),1,1),$8:$8,"&lt;="&amp;EOMONTH(GW$8,0))</f>
        <v/>
      </c>
      <c r="GX102" s="1318">
        <f>SUMIFS(50:50,$8:$8,"&gt;="&amp;DATE(YEAR(GX$8),1,1),$8:$8,"&lt;="&amp;EOMONTH(GX$8,0))/SUMIFS(14:14,$8:$8,"&gt;="&amp;DATE(YEAR(GX$8),1,1),$8:$8,"&lt;="&amp;EOMONTH(GX$8,0))</f>
        <v/>
      </c>
      <c r="GY102" s="1318">
        <f>SUMIFS(50:50,$8:$8,"&gt;="&amp;DATE(YEAR(GY$8),1,1),$8:$8,"&lt;="&amp;EOMONTH(GY$8,0))/SUMIFS(14:14,$8:$8,"&gt;="&amp;DATE(YEAR(GY$8),1,1),$8:$8,"&lt;="&amp;EOMONTH(GY$8,0))</f>
        <v/>
      </c>
      <c r="GZ102" s="1318">
        <f>SUMIFS(50:50,$8:$8,"&gt;="&amp;DATE(YEAR(GZ$8),1,1),$8:$8,"&lt;="&amp;EOMONTH(GZ$8,0))/SUMIFS(14:14,$8:$8,"&gt;="&amp;DATE(YEAR(GZ$8),1,1),$8:$8,"&lt;="&amp;EOMONTH(GZ$8,0))</f>
        <v/>
      </c>
      <c r="HA102" s="1318">
        <f>SUMIFS(50:50,$8:$8,"&gt;="&amp;DATE(YEAR(HA$8),1,1),$8:$8,"&lt;="&amp;EOMONTH(HA$8,0))/SUMIFS(14:14,$8:$8,"&gt;="&amp;DATE(YEAR(HA$8),1,1),$8:$8,"&lt;="&amp;EOMONTH(HA$8,0))</f>
        <v/>
      </c>
      <c r="HB102" s="1318">
        <f>SUMIFS(50:50,$8:$8,"&gt;="&amp;DATE(YEAR(HB$8),1,1),$8:$8,"&lt;="&amp;EOMONTH(HB$8,0))/SUMIFS(14:14,$8:$8,"&gt;="&amp;DATE(YEAR(HB$8),1,1),$8:$8,"&lt;="&amp;EOMONTH(HB$8,0))</f>
        <v/>
      </c>
      <c r="HC102" s="1318">
        <f>SUMIFS(50:50,$8:$8,"&gt;="&amp;DATE(YEAR(HC$8),1,1),$8:$8,"&lt;="&amp;EOMONTH(HC$8,0))/SUMIFS(14:14,$8:$8,"&gt;="&amp;DATE(YEAR(HC$8),1,1),$8:$8,"&lt;="&amp;EOMONTH(HC$8,0))</f>
        <v/>
      </c>
      <c r="HD102" s="1318">
        <f>SUMIFS(50:50,$8:$8,"&gt;="&amp;DATE(YEAR(HD$8),1,1),$8:$8,"&lt;="&amp;EOMONTH(HD$8,0))/SUMIFS(14:14,$8:$8,"&gt;="&amp;DATE(YEAR(HD$8),1,1),$8:$8,"&lt;="&amp;EOMONTH(HD$8,0))</f>
        <v/>
      </c>
      <c r="HE102" s="1318">
        <f>SUMIFS(50:50,$8:$8,"&gt;="&amp;DATE(YEAR(HE$8),1,1),$8:$8,"&lt;="&amp;EOMONTH(HE$8,0))/SUMIFS(14:14,$8:$8,"&gt;="&amp;DATE(YEAR(HE$8),1,1),$8:$8,"&lt;="&amp;EOMONTH(HE$8,0))</f>
        <v/>
      </c>
      <c r="HF102" s="1318">
        <f>SUMIFS(50:50,$8:$8,"&gt;="&amp;DATE(YEAR(HF$8),1,1),$8:$8,"&lt;="&amp;EOMONTH(HF$8,0))/SUMIFS(14:14,$8:$8,"&gt;="&amp;DATE(YEAR(HF$8),1,1),$8:$8,"&lt;="&amp;EOMONTH(HF$8,0))</f>
        <v/>
      </c>
      <c r="HG102" s="1318">
        <f>SUMIFS(50:50,$8:$8,"&gt;="&amp;DATE(YEAR(HG$8),1,1),$8:$8,"&lt;="&amp;EOMONTH(HG$8,0))/SUMIFS(14:14,$8:$8,"&gt;="&amp;DATE(YEAR(HG$8),1,1),$8:$8,"&lt;="&amp;EOMONTH(HG$8,0))</f>
        <v/>
      </c>
      <c r="HH102" s="1318">
        <f>SUMIFS(50:50,$8:$8,"&gt;="&amp;DATE(YEAR(HH$8),1,1),$8:$8,"&lt;="&amp;EOMONTH(HH$8,0))/SUMIFS(14:14,$8:$8,"&gt;="&amp;DATE(YEAR(HH$8),1,1),$8:$8,"&lt;="&amp;EOMONTH(HH$8,0))</f>
        <v/>
      </c>
      <c r="HI102" s="1318">
        <f>SUMIFS(50:50,$8:$8,"&gt;="&amp;DATE(YEAR(HI$8),1,1),$8:$8,"&lt;="&amp;EOMONTH(HI$8,0))/SUMIFS(14:14,$8:$8,"&gt;="&amp;DATE(YEAR(HI$8),1,1),$8:$8,"&lt;="&amp;EOMONTH(HI$8,0))</f>
        <v/>
      </c>
      <c r="HJ102" s="1318">
        <f>SUMIFS(50:50,$8:$8,"&gt;="&amp;DATE(YEAR(HJ$8),1,1),$8:$8,"&lt;="&amp;EOMONTH(HJ$8,0))/SUMIFS(14:14,$8:$8,"&gt;="&amp;DATE(YEAR(HJ$8),1,1),$8:$8,"&lt;="&amp;EOMONTH(HJ$8,0))</f>
        <v/>
      </c>
      <c r="HK102" s="1318">
        <f>SUMIFS(50:50,$8:$8,"&gt;="&amp;DATE(YEAR(HK$8),1,1),$8:$8,"&lt;="&amp;EOMONTH(HK$8,0))/SUMIFS(14:14,$8:$8,"&gt;="&amp;DATE(YEAR(HK$8),1,1),$8:$8,"&lt;="&amp;EOMONTH(HK$8,0))</f>
        <v/>
      </c>
      <c r="HL102" s="1318">
        <f>SUMIFS(50:50,$8:$8,"&gt;="&amp;DATE(YEAR(HL$8),1,1),$8:$8,"&lt;="&amp;EOMONTH(HL$8,0))/SUMIFS(14:14,$8:$8,"&gt;="&amp;DATE(YEAR(HL$8),1,1),$8:$8,"&lt;="&amp;EOMONTH(HL$8,0))</f>
        <v/>
      </c>
      <c r="HM102" s="1318">
        <f>SUMIFS(50:50,$8:$8,"&gt;="&amp;DATE(YEAR(HM$8),1,1),$8:$8,"&lt;="&amp;EOMONTH(HM$8,0))/SUMIFS(14:14,$8:$8,"&gt;="&amp;DATE(YEAR(HM$8),1,1),$8:$8,"&lt;="&amp;EOMONTH(HM$8,0))</f>
        <v/>
      </c>
      <c r="HN102" s="1318">
        <f>SUMIFS(50:50,$8:$8,"&gt;="&amp;DATE(YEAR(HN$8),1,1),$8:$8,"&lt;="&amp;EOMONTH(HN$8,0))/SUMIFS(14:14,$8:$8,"&gt;="&amp;DATE(YEAR(HN$8),1,1),$8:$8,"&lt;="&amp;EOMONTH(HN$8,0))</f>
        <v/>
      </c>
      <c r="HO102" s="1318">
        <f>SUMIFS(50:50,$8:$8,"&gt;="&amp;DATE(YEAR(HO$8),1,1),$8:$8,"&lt;="&amp;EOMONTH(HO$8,0))/SUMIFS(14:14,$8:$8,"&gt;="&amp;DATE(YEAR(HO$8),1,1),$8:$8,"&lt;="&amp;EOMONTH(HO$8,0))</f>
        <v/>
      </c>
      <c r="HP102" s="1318">
        <f>SUMIFS(50:50,$8:$8,"&gt;="&amp;DATE(YEAR(HP$8),1,1),$8:$8,"&lt;="&amp;EOMONTH(HP$8,0))/SUMIFS(14:14,$8:$8,"&gt;="&amp;DATE(YEAR(HP$8),1,1),$8:$8,"&lt;="&amp;EOMONTH(HP$8,0))</f>
        <v/>
      </c>
      <c r="HQ102" s="1318">
        <f>SUMIFS(50:50,$8:$8,"&gt;="&amp;DATE(YEAR(HQ$8),1,1),$8:$8,"&lt;="&amp;EOMONTH(HQ$8,0))/SUMIFS(14:14,$8:$8,"&gt;="&amp;DATE(YEAR(HQ$8),1,1),$8:$8,"&lt;="&amp;EOMONTH(HQ$8,0))</f>
        <v/>
      </c>
      <c r="HR102" s="1318">
        <f>SUMIFS(50:50,$8:$8,"&gt;="&amp;DATE(YEAR(HR$8),1,1),$8:$8,"&lt;="&amp;EOMONTH(HR$8,0))/SUMIFS(14:14,$8:$8,"&gt;="&amp;DATE(YEAR(HR$8),1,1),$8:$8,"&lt;="&amp;EOMONTH(HR$8,0))</f>
        <v/>
      </c>
      <c r="HS102" s="1318">
        <f>SUMIFS(50:50,$8:$8,"&gt;="&amp;DATE(YEAR(HS$8),1,1),$8:$8,"&lt;="&amp;EOMONTH(HS$8,0))/SUMIFS(14:14,$8:$8,"&gt;="&amp;DATE(YEAR(HS$8),1,1),$8:$8,"&lt;="&amp;EOMONTH(HS$8,0))</f>
        <v/>
      </c>
      <c r="HT102" s="1318">
        <f>SUMIFS(50:50,$8:$8,"&gt;="&amp;DATE(YEAR(HT$8),1,1),$8:$8,"&lt;="&amp;EOMONTH(HT$8,0))/SUMIFS(14:14,$8:$8,"&gt;="&amp;DATE(YEAR(HT$8),1,1),$8:$8,"&lt;="&amp;EOMONTH(HT$8,0))</f>
        <v/>
      </c>
      <c r="HU102" s="1318">
        <f>SUMIFS(50:50,$8:$8,"&gt;="&amp;DATE(YEAR(HU$8),1,1),$8:$8,"&lt;="&amp;EOMONTH(HU$8,0))/SUMIFS(14:14,$8:$8,"&gt;="&amp;DATE(YEAR(HU$8),1,1),$8:$8,"&lt;="&amp;EOMONTH(HU$8,0))</f>
        <v/>
      </c>
      <c r="HV102" s="1318">
        <f>SUMIFS(50:50,$8:$8,"&gt;="&amp;DATE(YEAR(HV$8),1,1),$8:$8,"&lt;="&amp;EOMONTH(HV$8,0))/SUMIFS(14:14,$8:$8,"&gt;="&amp;DATE(YEAR(HV$8),1,1),$8:$8,"&lt;="&amp;EOMONTH(HV$8,0))</f>
        <v/>
      </c>
      <c r="HW102" s="1318">
        <f>SUMIFS(50:50,$8:$8,"&gt;="&amp;DATE(YEAR(HW$8),1,1),$8:$8,"&lt;="&amp;EOMONTH(HW$8,0))/SUMIFS(14:14,$8:$8,"&gt;="&amp;DATE(YEAR(HW$8),1,1),$8:$8,"&lt;="&amp;EOMONTH(HW$8,0))</f>
        <v/>
      </c>
      <c r="HX102" s="1318">
        <f>SUMIFS(50:50,$8:$8,"&gt;="&amp;DATE(YEAR(HX$8),1,1),$8:$8,"&lt;="&amp;EOMONTH(HX$8,0))/SUMIFS(14:14,$8:$8,"&gt;="&amp;DATE(YEAR(HX$8),1,1),$8:$8,"&lt;="&amp;EOMONTH(HX$8,0))</f>
        <v/>
      </c>
      <c r="HY102" s="1318">
        <f>SUMIFS(50:50,$8:$8,"&gt;="&amp;DATE(YEAR(HY$8),1,1),$8:$8,"&lt;="&amp;EOMONTH(HY$8,0))/SUMIFS(14:14,$8:$8,"&gt;="&amp;DATE(YEAR(HY$8),1,1),$8:$8,"&lt;="&amp;EOMONTH(HY$8,0))</f>
        <v/>
      </c>
      <c r="HZ102" s="1318">
        <f>SUMIFS(50:50,$8:$8,"&gt;="&amp;DATE(YEAR(HZ$8),1,1),$8:$8,"&lt;="&amp;EOMONTH(HZ$8,0))/SUMIFS(14:14,$8:$8,"&gt;="&amp;DATE(YEAR(HZ$8),1,1),$8:$8,"&lt;="&amp;EOMONTH(HZ$8,0))</f>
        <v/>
      </c>
      <c r="IA102" s="1318">
        <f>SUMIFS(50:50,$8:$8,"&gt;="&amp;DATE(YEAR(IA$8),1,1),$8:$8,"&lt;="&amp;EOMONTH(IA$8,0))/SUMIFS(14:14,$8:$8,"&gt;="&amp;DATE(YEAR(IA$8),1,1),$8:$8,"&lt;="&amp;EOMONTH(IA$8,0))</f>
        <v/>
      </c>
      <c r="IB102" s="1318">
        <f>SUMIFS(50:50,$8:$8,"&gt;="&amp;DATE(YEAR(IB$8),1,1),$8:$8,"&lt;="&amp;EOMONTH(IB$8,0))/SUMIFS(14:14,$8:$8,"&gt;="&amp;DATE(YEAR(IB$8),1,1),$8:$8,"&lt;="&amp;EOMONTH(IB$8,0))</f>
        <v/>
      </c>
      <c r="IC102" s="1318">
        <f>SUMIFS(50:50,$8:$8,"&gt;="&amp;DATE(YEAR(IC$8),1,1),$8:$8,"&lt;="&amp;EOMONTH(IC$8,0))/SUMIFS(14:14,$8:$8,"&gt;="&amp;DATE(YEAR(IC$8),1,1),$8:$8,"&lt;="&amp;EOMONTH(IC$8,0))</f>
        <v/>
      </c>
      <c r="ID102" s="1318">
        <f>SUMIFS(50:50,$8:$8,"&gt;="&amp;DATE(YEAR(ID$8),1,1),$8:$8,"&lt;="&amp;EOMONTH(ID$8,0))/SUMIFS(14:14,$8:$8,"&gt;="&amp;DATE(YEAR(ID$8),1,1),$8:$8,"&lt;="&amp;EOMONTH(ID$8,0))</f>
        <v/>
      </c>
      <c r="IE102" s="1318">
        <f>SUMIFS(50:50,$8:$8,"&gt;="&amp;DATE(YEAR(IE$8),1,1),$8:$8,"&lt;="&amp;EOMONTH(IE$8,0))/SUMIFS(14:14,$8:$8,"&gt;="&amp;DATE(YEAR(IE$8),1,1),$8:$8,"&lt;="&amp;EOMONTH(IE$8,0))</f>
        <v/>
      </c>
      <c r="IF102" s="1318">
        <f>SUMIFS(50:50,$8:$8,"&gt;="&amp;DATE(YEAR(IF$8),1,1),$8:$8,"&lt;="&amp;EOMONTH(IF$8,0))/SUMIFS(14:14,$8:$8,"&gt;="&amp;DATE(YEAR(IF$8),1,1),$8:$8,"&lt;="&amp;EOMONTH(IF$8,0))</f>
        <v/>
      </c>
      <c r="IG102" s="1318">
        <f>SUMIFS(50:50,$8:$8,"&gt;="&amp;DATE(YEAR(IG$8),1,1),$8:$8,"&lt;="&amp;EOMONTH(IG$8,0))/SUMIFS(14:14,$8:$8,"&gt;="&amp;DATE(YEAR(IG$8),1,1),$8:$8,"&lt;="&amp;EOMONTH(IG$8,0))</f>
        <v/>
      </c>
      <c r="IH102" s="1318">
        <f>SUMIFS(50:50,$8:$8,"&gt;="&amp;DATE(YEAR(IH$8),1,1),$8:$8,"&lt;="&amp;EOMONTH(IH$8,0))/SUMIFS(14:14,$8:$8,"&gt;="&amp;DATE(YEAR(IH$8),1,1),$8:$8,"&lt;="&amp;EOMONTH(IH$8,0))</f>
        <v/>
      </c>
      <c r="II102" s="1318">
        <f>SUMIFS(50:50,$8:$8,"&gt;="&amp;DATE(YEAR(II$8),1,1),$8:$8,"&lt;="&amp;EOMONTH(II$8,0))/SUMIFS(14:14,$8:$8,"&gt;="&amp;DATE(YEAR(II$8),1,1),$8:$8,"&lt;="&amp;EOMONTH(II$8,0))</f>
        <v/>
      </c>
      <c r="IJ102" s="1318">
        <f>SUMIFS(50:50,$8:$8,"&gt;="&amp;DATE(YEAR(IJ$8),1,1),$8:$8,"&lt;="&amp;EOMONTH(IJ$8,0))/SUMIFS(14:14,$8:$8,"&gt;="&amp;DATE(YEAR(IJ$8),1,1),$8:$8,"&lt;="&amp;EOMONTH(IJ$8,0))</f>
        <v/>
      </c>
      <c r="IK102" s="1318">
        <f>SUMIFS(50:50,$8:$8,"&gt;="&amp;DATE(YEAR(IK$8),1,1),$8:$8,"&lt;="&amp;EOMONTH(IK$8,0))/SUMIFS(14:14,$8:$8,"&gt;="&amp;DATE(YEAR(IK$8),1,1),$8:$8,"&lt;="&amp;EOMONTH(IK$8,0))</f>
        <v/>
      </c>
      <c r="IL102" s="1318">
        <f>SUMIFS(50:50,$8:$8,"&gt;="&amp;DATE(YEAR(IL$8),1,1),$8:$8,"&lt;="&amp;EOMONTH(IL$8,0))/SUMIFS(14:14,$8:$8,"&gt;="&amp;DATE(YEAR(IL$8),1,1),$8:$8,"&lt;="&amp;EOMONTH(IL$8,0))</f>
        <v/>
      </c>
      <c r="IM102" s="1318">
        <f>SUMIFS(50:50,$8:$8,"&gt;="&amp;DATE(YEAR(IM$8),1,1),$8:$8,"&lt;="&amp;EOMONTH(IM$8,0))/SUMIFS(14:14,$8:$8,"&gt;="&amp;DATE(YEAR(IM$8),1,1),$8:$8,"&lt;="&amp;EOMONTH(IM$8,0))</f>
        <v/>
      </c>
      <c r="IN102" s="1318">
        <f>SUMIFS(50:50,$8:$8,"&gt;="&amp;DATE(YEAR(IN$8),1,1),$8:$8,"&lt;="&amp;EOMONTH(IN$8,0))/SUMIFS(14:14,$8:$8,"&gt;="&amp;DATE(YEAR(IN$8),1,1),$8:$8,"&lt;="&amp;EOMONTH(IN$8,0))</f>
        <v/>
      </c>
      <c r="IO102" s="1318">
        <f>SUMIFS(50:50,$8:$8,"&gt;="&amp;DATE(YEAR(IO$8),1,1),$8:$8,"&lt;="&amp;EOMONTH(IO$8,0))/SUMIFS(14:14,$8:$8,"&gt;="&amp;DATE(YEAR(IO$8),1,1),$8:$8,"&lt;="&amp;EOMONTH(IO$8,0))</f>
        <v/>
      </c>
      <c r="IP102" s="1318">
        <f>SUMIFS(50:50,$8:$8,"&gt;="&amp;DATE(YEAR(IP$8),1,1),$8:$8,"&lt;="&amp;EOMONTH(IP$8,0))/SUMIFS(14:14,$8:$8,"&gt;="&amp;DATE(YEAR(IP$8),1,1),$8:$8,"&lt;="&amp;EOMONTH(IP$8,0))</f>
        <v/>
      </c>
      <c r="IQ102" s="1318">
        <f>SUMIFS(50:50,$8:$8,"&gt;="&amp;DATE(YEAR(IQ$8),1,1),$8:$8,"&lt;="&amp;EOMONTH(IQ$8,0))/SUMIFS(14:14,$8:$8,"&gt;="&amp;DATE(YEAR(IQ$8),1,1),$8:$8,"&lt;="&amp;EOMONTH(IQ$8,0))</f>
        <v/>
      </c>
      <c r="IR102" s="1318">
        <f>SUMIFS(50:50,$8:$8,"&gt;="&amp;DATE(YEAR(IR$8),1,1),$8:$8,"&lt;="&amp;EOMONTH(IR$8,0))/SUMIFS(14:14,$8:$8,"&gt;="&amp;DATE(YEAR(IR$8),1,1),$8:$8,"&lt;="&amp;EOMONTH(IR$8,0))</f>
        <v/>
      </c>
      <c r="IS102" s="1318">
        <f>SUMIFS(50:50,$8:$8,"&gt;="&amp;DATE(YEAR(IS$8),1,1),$8:$8,"&lt;="&amp;EOMONTH(IS$8,0))/SUMIFS(14:14,$8:$8,"&gt;="&amp;DATE(YEAR(IS$8),1,1),$8:$8,"&lt;="&amp;EOMONTH(IS$8,0))</f>
        <v/>
      </c>
      <c r="IT102" s="1318">
        <f>SUMIFS(50:50,$8:$8,"&gt;="&amp;DATE(YEAR(IT$8),1,1),$8:$8,"&lt;="&amp;EOMONTH(IT$8,0))/SUMIFS(14:14,$8:$8,"&gt;="&amp;DATE(YEAR(IT$8),1,1),$8:$8,"&lt;="&amp;EOMONTH(IT$8,0))</f>
        <v/>
      </c>
      <c r="IU102" s="1318">
        <f>SUMIFS(50:50,$8:$8,"&gt;="&amp;DATE(YEAR(IU$8),1,1),$8:$8,"&lt;="&amp;EOMONTH(IU$8,0))/SUMIFS(14:14,$8:$8,"&gt;="&amp;DATE(YEAR(IU$8),1,1),$8:$8,"&lt;="&amp;EOMONTH(IU$8,0))</f>
        <v/>
      </c>
      <c r="IV102" s="1318">
        <f>SUMIFS(50:50,$8:$8,"&gt;="&amp;DATE(YEAR(IV$8),1,1),$8:$8,"&lt;="&amp;EOMONTH(IV$8,0))/SUMIFS(14:14,$8:$8,"&gt;="&amp;DATE(YEAR(IV$8),1,1),$8:$8,"&lt;="&amp;EOMONTH(IV$8,0))</f>
        <v/>
      </c>
      <c r="IW102" s="1318">
        <f>SUMIFS(50:50,$8:$8,"&gt;="&amp;DATE(YEAR(IW$8),1,1),$8:$8,"&lt;="&amp;EOMONTH(IW$8,0))/SUMIFS(14:14,$8:$8,"&gt;="&amp;DATE(YEAR(IW$8),1,1),$8:$8,"&lt;="&amp;EOMONTH(IW$8,0))</f>
        <v/>
      </c>
      <c r="IX102" s="1318">
        <f>SUMIFS(50:50,$8:$8,"&gt;="&amp;DATE(YEAR(IX$8),1,1),$8:$8,"&lt;="&amp;EOMONTH(IX$8,0))/SUMIFS(14:14,$8:$8,"&gt;="&amp;DATE(YEAR(IX$8),1,1),$8:$8,"&lt;="&amp;EOMONTH(IX$8,0))</f>
        <v/>
      </c>
      <c r="IY102" s="1318">
        <f>SUMIFS(50:50,$8:$8,"&gt;="&amp;DATE(YEAR(IY$8),1,1),$8:$8,"&lt;="&amp;EOMONTH(IY$8,0))/SUMIFS(14:14,$8:$8,"&gt;="&amp;DATE(YEAR(IY$8),1,1),$8:$8,"&lt;="&amp;EOMONTH(IY$8,0))</f>
        <v/>
      </c>
      <c r="IZ102" s="1318">
        <f>SUMIFS(50:50,$8:$8,"&gt;="&amp;DATE(YEAR(IZ$8),1,1),$8:$8,"&lt;="&amp;EOMONTH(IZ$8,0))/SUMIFS(14:14,$8:$8,"&gt;="&amp;DATE(YEAR(IZ$8),1,1),$8:$8,"&lt;="&amp;EOMONTH(IZ$8,0))</f>
        <v/>
      </c>
      <c r="JA102" s="1318">
        <f>SUMIFS(50:50,$8:$8,"&gt;="&amp;DATE(YEAR(JA$8),1,1),$8:$8,"&lt;="&amp;EOMONTH(JA$8,0))/SUMIFS(14:14,$8:$8,"&gt;="&amp;DATE(YEAR(JA$8),1,1),$8:$8,"&lt;="&amp;EOMONTH(JA$8,0))</f>
        <v/>
      </c>
      <c r="JB102" s="1318">
        <f>SUMIFS(50:50,$8:$8,"&gt;="&amp;DATE(YEAR(JB$8),1,1),$8:$8,"&lt;="&amp;EOMONTH(JB$8,0))/SUMIFS(14:14,$8:$8,"&gt;="&amp;DATE(YEAR(JB$8),1,1),$8:$8,"&lt;="&amp;EOMONTH(JB$8,0))</f>
        <v/>
      </c>
      <c r="JC102" s="1318">
        <f>SUMIFS(50:50,$8:$8,"&gt;="&amp;DATE(YEAR(JC$8),1,1),$8:$8,"&lt;="&amp;EOMONTH(JC$8,0))/SUMIFS(14:14,$8:$8,"&gt;="&amp;DATE(YEAR(JC$8),1,1),$8:$8,"&lt;="&amp;EOMONTH(JC$8,0))</f>
        <v/>
      </c>
      <c r="JD102" s="1318">
        <f>SUMIFS(50:50,$8:$8,"&gt;="&amp;DATE(YEAR(JD$8),1,1),$8:$8,"&lt;="&amp;EOMONTH(JD$8,0))/SUMIFS(14:14,$8:$8,"&gt;="&amp;DATE(YEAR(JD$8),1,1),$8:$8,"&lt;="&amp;EOMONTH(JD$8,0))</f>
        <v/>
      </c>
      <c r="JE102" s="1318">
        <f>SUMIFS(50:50,$8:$8,"&gt;="&amp;DATE(YEAR(JE$8),1,1),$8:$8,"&lt;="&amp;EOMONTH(JE$8,0))/SUMIFS(14:14,$8:$8,"&gt;="&amp;DATE(YEAR(JE$8),1,1),$8:$8,"&lt;="&amp;EOMONTH(JE$8,0))</f>
        <v/>
      </c>
      <c r="JF102" s="1318">
        <f>SUMIFS(50:50,$8:$8,"&gt;="&amp;DATE(YEAR(JF$8),1,1),$8:$8,"&lt;="&amp;EOMONTH(JF$8,0))/SUMIFS(14:14,$8:$8,"&gt;="&amp;DATE(YEAR(JF$8),1,1),$8:$8,"&lt;="&amp;EOMONTH(JF$8,0))</f>
        <v/>
      </c>
      <c r="JG102" s="1318">
        <f>SUMIFS(50:50,$8:$8,"&gt;="&amp;DATE(YEAR(JG$8),1,1),$8:$8,"&lt;="&amp;EOMONTH(JG$8,0))/SUMIFS(14:14,$8:$8,"&gt;="&amp;DATE(YEAR(JG$8),1,1),$8:$8,"&lt;="&amp;EOMONTH(JG$8,0))</f>
        <v/>
      </c>
      <c r="JH102" s="1318">
        <f>SUMIFS(50:50,$8:$8,"&gt;="&amp;DATE(YEAR(JH$8),1,1),$8:$8,"&lt;="&amp;EOMONTH(JH$8,0))/SUMIFS(14:14,$8:$8,"&gt;="&amp;DATE(YEAR(JH$8),1,1),$8:$8,"&lt;="&amp;EOMONTH(JH$8,0))</f>
        <v/>
      </c>
      <c r="JI102" s="1318">
        <f>SUMIFS(50:50,$8:$8,"&gt;="&amp;DATE(YEAR(JI$8),1,1),$8:$8,"&lt;="&amp;EOMONTH(JI$8,0))/SUMIFS(14:14,$8:$8,"&gt;="&amp;DATE(YEAR(JI$8),1,1),$8:$8,"&lt;="&amp;EOMONTH(JI$8,0))</f>
        <v/>
      </c>
      <c r="JJ102" s="1318">
        <f>SUMIFS(50:50,$8:$8,"&gt;="&amp;DATE(YEAR(JJ$8),1,1),$8:$8,"&lt;="&amp;EOMONTH(JJ$8,0))/SUMIFS(14:14,$8:$8,"&gt;="&amp;DATE(YEAR(JJ$8),1,1),$8:$8,"&lt;="&amp;EOMONTH(JJ$8,0))</f>
        <v/>
      </c>
      <c r="JK102" s="1318">
        <f>SUMIFS(50:50,$8:$8,"&gt;="&amp;DATE(YEAR(JK$8),1,1),$8:$8,"&lt;="&amp;EOMONTH(JK$8,0))/SUMIFS(14:14,$8:$8,"&gt;="&amp;DATE(YEAR(JK$8),1,1),$8:$8,"&lt;="&amp;EOMONTH(JK$8,0))</f>
        <v/>
      </c>
      <c r="JL102" s="1318">
        <f>SUMIFS(50:50,$8:$8,"&gt;="&amp;DATE(YEAR(JL$8),1,1),$8:$8,"&lt;="&amp;EOMONTH(JL$8,0))/SUMIFS(14:14,$8:$8,"&gt;="&amp;DATE(YEAR(JL$8),1,1),$8:$8,"&lt;="&amp;EOMONTH(JL$8,0))</f>
        <v/>
      </c>
      <c r="JM102" s="1318">
        <f>SUMIFS(50:50,$8:$8,"&gt;="&amp;DATE(YEAR(JM$8),1,1),$8:$8,"&lt;="&amp;EOMONTH(JM$8,0))/SUMIFS(14:14,$8:$8,"&gt;="&amp;DATE(YEAR(JM$8),1,1),$8:$8,"&lt;="&amp;EOMONTH(JM$8,0))</f>
        <v/>
      </c>
      <c r="JN102" s="1318">
        <f>SUMIFS(50:50,$8:$8,"&gt;="&amp;DATE(YEAR(JN$8),1,1),$8:$8,"&lt;="&amp;EOMONTH(JN$8,0))/SUMIFS(14:14,$8:$8,"&gt;="&amp;DATE(YEAR(JN$8),1,1),$8:$8,"&lt;="&amp;EOMONTH(JN$8,0))</f>
        <v/>
      </c>
      <c r="JO102" s="1318">
        <f>SUMIFS(50:50,$8:$8,"&gt;="&amp;DATE(YEAR(JO$8),1,1),$8:$8,"&lt;="&amp;EOMONTH(JO$8,0))/SUMIFS(14:14,$8:$8,"&gt;="&amp;DATE(YEAR(JO$8),1,1),$8:$8,"&lt;="&amp;EOMONTH(JO$8,0))</f>
        <v/>
      </c>
      <c r="JP102" s="1318">
        <f>SUMIFS(50:50,$8:$8,"&gt;="&amp;DATE(YEAR(JP$8),1,1),$8:$8,"&lt;="&amp;EOMONTH(JP$8,0))/SUMIFS(14:14,$8:$8,"&gt;="&amp;DATE(YEAR(JP$8),1,1),$8:$8,"&lt;="&amp;EOMONTH(JP$8,0))</f>
        <v/>
      </c>
      <c r="JQ102" s="1318">
        <f>SUMIFS(50:50,$8:$8,"&gt;="&amp;DATE(YEAR(JQ$8),1,1),$8:$8,"&lt;="&amp;EOMONTH(JQ$8,0))/SUMIFS(14:14,$8:$8,"&gt;="&amp;DATE(YEAR(JQ$8),1,1),$8:$8,"&lt;="&amp;EOMONTH(JQ$8,0))</f>
        <v/>
      </c>
      <c r="JR102" s="1318">
        <f>SUMIFS(50:50,$8:$8,"&gt;="&amp;DATE(YEAR(JR$8),1,1),$8:$8,"&lt;="&amp;EOMONTH(JR$8,0))/SUMIFS(14:14,$8:$8,"&gt;="&amp;DATE(YEAR(JR$8),1,1),$8:$8,"&lt;="&amp;EOMONTH(JR$8,0))</f>
        <v/>
      </c>
      <c r="JS102" s="1318">
        <f>SUMIFS(50:50,$8:$8,"&gt;="&amp;DATE(YEAR(JS$8),1,1),$8:$8,"&lt;="&amp;EOMONTH(JS$8,0))/SUMIFS(14:14,$8:$8,"&gt;="&amp;DATE(YEAR(JS$8),1,1),$8:$8,"&lt;="&amp;EOMONTH(JS$8,0))</f>
        <v/>
      </c>
      <c r="JT102" s="1318">
        <f>SUMIFS(50:50,$8:$8,"&gt;="&amp;DATE(YEAR(JT$8),1,1),$8:$8,"&lt;="&amp;EOMONTH(JT$8,0))/SUMIFS(14:14,$8:$8,"&gt;="&amp;DATE(YEAR(JT$8),1,1),$8:$8,"&lt;="&amp;EOMONTH(JT$8,0))</f>
        <v/>
      </c>
      <c r="JU102" s="1318">
        <f>SUMIFS(50:50,$8:$8,"&gt;="&amp;DATE(YEAR(JU$8),1,1),$8:$8,"&lt;="&amp;EOMONTH(JU$8,0))/SUMIFS(14:14,$8:$8,"&gt;="&amp;DATE(YEAR(JU$8),1,1),$8:$8,"&lt;="&amp;EOMONTH(JU$8,0))</f>
        <v/>
      </c>
      <c r="JV102" s="1318">
        <f>SUMIFS(50:50,$8:$8,"&gt;="&amp;DATE(YEAR(JV$8),1,1),$8:$8,"&lt;="&amp;EOMONTH(JV$8,0))/SUMIFS(14:14,$8:$8,"&gt;="&amp;DATE(YEAR(JV$8),1,1),$8:$8,"&lt;="&amp;EOMONTH(JV$8,0))</f>
        <v/>
      </c>
      <c r="JW102" s="1318">
        <f>SUMIFS(50:50,$8:$8,"&gt;="&amp;DATE(YEAR(JW$8),1,1),$8:$8,"&lt;="&amp;EOMONTH(JW$8,0))/SUMIFS(14:14,$8:$8,"&gt;="&amp;DATE(YEAR(JW$8),1,1),$8:$8,"&lt;="&amp;EOMONTH(JW$8,0))</f>
        <v/>
      </c>
      <c r="JX102" s="1318">
        <f>SUMIFS(50:50,$8:$8,"&gt;="&amp;DATE(YEAR(JX$8),1,1),$8:$8,"&lt;="&amp;EOMONTH(JX$8,0))/SUMIFS(14:14,$8:$8,"&gt;="&amp;DATE(YEAR(JX$8),1,1),$8:$8,"&lt;="&amp;EOMONTH(JX$8,0))</f>
        <v/>
      </c>
      <c r="JY102" s="1318">
        <f>SUMIFS(50:50,$8:$8,"&gt;="&amp;DATE(YEAR(JY$8),1,1),$8:$8,"&lt;="&amp;EOMONTH(JY$8,0))/SUMIFS(14:14,$8:$8,"&gt;="&amp;DATE(YEAR(JY$8),1,1),$8:$8,"&lt;="&amp;EOMONTH(JY$8,0))</f>
        <v/>
      </c>
      <c r="JZ102" s="1318">
        <f>SUMIFS(50:50,$8:$8,"&gt;="&amp;DATE(YEAR(JZ$8),1,1),$8:$8,"&lt;="&amp;EOMONTH(JZ$8,0))/SUMIFS(14:14,$8:$8,"&gt;="&amp;DATE(YEAR(JZ$8),1,1),$8:$8,"&lt;="&amp;EOMONTH(JZ$8,0))</f>
        <v/>
      </c>
      <c r="KA102" s="1318">
        <f>SUMIFS(50:50,$8:$8,"&gt;="&amp;DATE(YEAR(KA$8),1,1),$8:$8,"&lt;="&amp;EOMONTH(KA$8,0))/SUMIFS(14:14,$8:$8,"&gt;="&amp;DATE(YEAR(KA$8),1,1),$8:$8,"&lt;="&amp;EOMONTH(KA$8,0))</f>
        <v/>
      </c>
      <c r="KB102" s="1318">
        <f>SUMIFS(50:50,$8:$8,"&gt;="&amp;DATE(YEAR(KB$8),1,1),$8:$8,"&lt;="&amp;EOMONTH(KB$8,0))/SUMIFS(14:14,$8:$8,"&gt;="&amp;DATE(YEAR(KB$8),1,1),$8:$8,"&lt;="&amp;EOMONTH(KB$8,0))</f>
        <v/>
      </c>
      <c r="KC102" s="1318">
        <f>SUMIFS(50:50,$8:$8,"&gt;="&amp;DATE(YEAR(KC$8),1,1),$8:$8,"&lt;="&amp;EOMONTH(KC$8,0))/SUMIFS(14:14,$8:$8,"&gt;="&amp;DATE(YEAR(KC$8),1,1),$8:$8,"&lt;="&amp;EOMONTH(KC$8,0))</f>
        <v/>
      </c>
      <c r="KD102" s="1318">
        <f>SUMIFS(50:50,$8:$8,"&gt;="&amp;DATE(YEAR(KD$8),1,1),$8:$8,"&lt;="&amp;EOMONTH(KD$8,0))/SUMIFS(14:14,$8:$8,"&gt;="&amp;DATE(YEAR(KD$8),1,1),$8:$8,"&lt;="&amp;EOMONTH(KD$8,0))</f>
        <v/>
      </c>
      <c r="KE102" s="1318">
        <f>SUMIFS(50:50,$8:$8,"&gt;="&amp;DATE(YEAR(KE$8),1,1),$8:$8,"&lt;="&amp;EOMONTH(KE$8,0))/SUMIFS(14:14,$8:$8,"&gt;="&amp;DATE(YEAR(KE$8),1,1),$8:$8,"&lt;="&amp;EOMONTH(KE$8,0))</f>
        <v/>
      </c>
      <c r="KF102" s="1318">
        <f>SUMIFS(50:50,$8:$8,"&gt;="&amp;DATE(YEAR(KF$8),1,1),$8:$8,"&lt;="&amp;EOMONTH(KF$8,0))/SUMIFS(14:14,$8:$8,"&gt;="&amp;DATE(YEAR(KF$8),1,1),$8:$8,"&lt;="&amp;EOMONTH(KF$8,0))</f>
        <v/>
      </c>
      <c r="KG102" s="1318">
        <f>SUMIFS(50:50,$8:$8,"&gt;="&amp;DATE(YEAR(KG$8),1,1),$8:$8,"&lt;="&amp;EOMONTH(KG$8,0))/SUMIFS(14:14,$8:$8,"&gt;="&amp;DATE(YEAR(KG$8),1,1),$8:$8,"&lt;="&amp;EOMONTH(KG$8,0))</f>
        <v/>
      </c>
      <c r="KH102" s="1318">
        <f>SUMIFS(50:50,$8:$8,"&gt;="&amp;DATE(YEAR(KH$8),1,1),$8:$8,"&lt;="&amp;EOMONTH(KH$8,0))/SUMIFS(14:14,$8:$8,"&gt;="&amp;DATE(YEAR(KH$8),1,1),$8:$8,"&lt;="&amp;EOMONTH(KH$8,0))</f>
        <v/>
      </c>
      <c r="KI102" s="1318">
        <f>SUMIFS(50:50,$8:$8,"&gt;="&amp;DATE(YEAR(KI$8),1,1),$8:$8,"&lt;="&amp;EOMONTH(KI$8,0))/SUMIFS(14:14,$8:$8,"&gt;="&amp;DATE(YEAR(KI$8),1,1),$8:$8,"&lt;="&amp;EOMONTH(KI$8,0))</f>
        <v/>
      </c>
      <c r="KJ102" s="1318">
        <f>SUMIFS(50:50,$8:$8,"&gt;="&amp;DATE(YEAR(KJ$8),1,1),$8:$8,"&lt;="&amp;EOMONTH(KJ$8,0))/SUMIFS(14:14,$8:$8,"&gt;="&amp;DATE(YEAR(KJ$8),1,1),$8:$8,"&lt;="&amp;EOMONTH(KJ$8,0))</f>
        <v/>
      </c>
      <c r="KK102" s="1318">
        <f>SUMIFS(50:50,$8:$8,"&gt;="&amp;DATE(YEAR(KK$8),1,1),$8:$8,"&lt;="&amp;EOMONTH(KK$8,0))/SUMIFS(14:14,$8:$8,"&gt;="&amp;DATE(YEAR(KK$8),1,1),$8:$8,"&lt;="&amp;EOMONTH(KK$8,0))</f>
        <v/>
      </c>
      <c r="KL102" s="1318">
        <f>SUMIFS(50:50,$8:$8,"&gt;="&amp;DATE(YEAR(KL$8),1,1),$8:$8,"&lt;="&amp;EOMONTH(KL$8,0))/SUMIFS(14:14,$8:$8,"&gt;="&amp;DATE(YEAR(KL$8),1,1),$8:$8,"&lt;="&amp;EOMONTH(KL$8,0))</f>
        <v/>
      </c>
      <c r="KM102" s="1318">
        <f>SUMIFS(50:50,$8:$8,"&gt;="&amp;DATE(YEAR(KM$8),1,1),$8:$8,"&lt;="&amp;EOMONTH(KM$8,0))/SUMIFS(14:14,$8:$8,"&gt;="&amp;DATE(YEAR(KM$8),1,1),$8:$8,"&lt;="&amp;EOMONTH(KM$8,0))</f>
        <v/>
      </c>
      <c r="KN102" s="1318">
        <f>SUMIFS(50:50,$8:$8,"&gt;="&amp;DATE(YEAR(KN$8),1,1),$8:$8,"&lt;="&amp;EOMONTH(KN$8,0))/SUMIFS(14:14,$8:$8,"&gt;="&amp;DATE(YEAR(KN$8),1,1),$8:$8,"&lt;="&amp;EOMONTH(KN$8,0))</f>
        <v/>
      </c>
      <c r="KO102" s="1318">
        <f>SUMIFS(50:50,$8:$8,"&gt;="&amp;DATE(YEAR(KO$8),1,1),$8:$8,"&lt;="&amp;EOMONTH(KO$8,0))/SUMIFS(14:14,$8:$8,"&gt;="&amp;DATE(YEAR(KO$8),1,1),$8:$8,"&lt;="&amp;EOMONTH(KO$8,0))</f>
        <v/>
      </c>
      <c r="KP102" s="1318">
        <f>SUMIFS(50:50,$8:$8,"&gt;="&amp;DATE(YEAR(KP$8),1,1),$8:$8,"&lt;="&amp;EOMONTH(KP$8,0))/SUMIFS(14:14,$8:$8,"&gt;="&amp;DATE(YEAR(KP$8),1,1),$8:$8,"&lt;="&amp;EOMONTH(KP$8,0))</f>
        <v/>
      </c>
      <c r="KQ102" s="1318">
        <f>SUMIFS(50:50,$8:$8,"&gt;="&amp;DATE(YEAR(KQ$8),1,1),$8:$8,"&lt;="&amp;EOMONTH(KQ$8,0))/SUMIFS(14:14,$8:$8,"&gt;="&amp;DATE(YEAR(KQ$8),1,1),$8:$8,"&lt;="&amp;EOMONTH(KQ$8,0))</f>
        <v/>
      </c>
      <c r="KR102" s="1318">
        <f>SUMIFS(50:50,$8:$8,"&gt;="&amp;DATE(YEAR(KR$8),1,1),$8:$8,"&lt;="&amp;EOMONTH(KR$8,0))/SUMIFS(14:14,$8:$8,"&gt;="&amp;DATE(YEAR(KR$8),1,1),$8:$8,"&lt;="&amp;EOMONTH(KR$8,0))</f>
        <v/>
      </c>
      <c r="KS102" s="1318">
        <f>SUMIFS(50:50,$8:$8,"&gt;="&amp;DATE(YEAR(KS$8),1,1),$8:$8,"&lt;="&amp;EOMONTH(KS$8,0))/SUMIFS(14:14,$8:$8,"&gt;="&amp;DATE(YEAR(KS$8),1,1),$8:$8,"&lt;="&amp;EOMONTH(KS$8,0))</f>
        <v/>
      </c>
      <c r="KT102" s="1318">
        <f>SUMIFS(50:50,$8:$8,"&gt;="&amp;DATE(YEAR(KT$8),1,1),$8:$8,"&lt;="&amp;EOMONTH(KT$8,0))/SUMIFS(14:14,$8:$8,"&gt;="&amp;DATE(YEAR(KT$8),1,1),$8:$8,"&lt;="&amp;EOMONTH(KT$8,0))</f>
        <v/>
      </c>
      <c r="KU102" s="1318">
        <f>SUMIFS(50:50,$8:$8,"&gt;="&amp;DATE(YEAR(KU$8),1,1),$8:$8,"&lt;="&amp;EOMONTH(KU$8,0))/SUMIFS(14:14,$8:$8,"&gt;="&amp;DATE(YEAR(KU$8),1,1),$8:$8,"&lt;="&amp;EOMONTH(KU$8,0))</f>
        <v/>
      </c>
      <c r="KV102" s="1318">
        <f>SUMIFS(50:50,$8:$8,"&gt;="&amp;DATE(YEAR(KV$8),1,1),$8:$8,"&lt;="&amp;EOMONTH(KV$8,0))/SUMIFS(14:14,$8:$8,"&gt;="&amp;DATE(YEAR(KV$8),1,1),$8:$8,"&lt;="&amp;EOMONTH(KV$8,0))</f>
        <v/>
      </c>
      <c r="KW102" s="1318">
        <f>SUMIFS(50:50,$8:$8,"&gt;="&amp;DATE(YEAR(KW$8),1,1),$8:$8,"&lt;="&amp;EOMONTH(KW$8,0))/SUMIFS(14:14,$8:$8,"&gt;="&amp;DATE(YEAR(KW$8),1,1),$8:$8,"&lt;="&amp;EOMONTH(KW$8,0))</f>
        <v/>
      </c>
      <c r="KX102" s="1318">
        <f>SUMIFS(50:50,$8:$8,"&gt;="&amp;DATE(YEAR(KX$8),1,1),$8:$8,"&lt;="&amp;EOMONTH(KX$8,0))/SUMIFS(14:14,$8:$8,"&gt;="&amp;DATE(YEAR(KX$8),1,1),$8:$8,"&lt;="&amp;EOMONTH(KX$8,0))</f>
        <v/>
      </c>
      <c r="KY102" s="1318">
        <f>SUMIFS(50:50,$8:$8,"&gt;="&amp;DATE(YEAR(KY$8),1,1),$8:$8,"&lt;="&amp;EOMONTH(KY$8,0))/SUMIFS(14:14,$8:$8,"&gt;="&amp;DATE(YEAR(KY$8),1,1),$8:$8,"&lt;="&amp;EOMONTH(KY$8,0))</f>
        <v/>
      </c>
      <c r="KZ102" s="1318">
        <f>SUMIFS(50:50,$8:$8,"&gt;="&amp;DATE(YEAR(KZ$8),1,1),$8:$8,"&lt;="&amp;EOMONTH(KZ$8,0))/SUMIFS(14:14,$8:$8,"&gt;="&amp;DATE(YEAR(KZ$8),1,1),$8:$8,"&lt;="&amp;EOMONTH(KZ$8,0))</f>
        <v/>
      </c>
      <c r="LA102" s="1318">
        <f>SUMIFS(50:50,$8:$8,"&gt;="&amp;DATE(YEAR(LA$8),1,1),$8:$8,"&lt;="&amp;EOMONTH(LA$8,0))/SUMIFS(14:14,$8:$8,"&gt;="&amp;DATE(YEAR(LA$8),1,1),$8:$8,"&lt;="&amp;EOMONTH(LA$8,0))</f>
        <v/>
      </c>
      <c r="LB102" s="1318" t="n"/>
      <c r="LC102" s="1318" t="n"/>
      <c r="LD102" s="1318" t="n"/>
      <c r="LE102" s="1318" t="n"/>
      <c r="LF102" s="1318" t="n"/>
      <c r="LG102" s="1318" t="n"/>
      <c r="LH102" s="1318" t="n"/>
      <c r="LI102" s="1318" t="n"/>
      <c r="LJ102" s="1318" t="n"/>
      <c r="LK102" s="1318" t="n"/>
      <c r="LL102" s="1318" t="n"/>
      <c r="LM102" s="1318" t="n"/>
      <c r="LN102" s="1318" t="n"/>
      <c r="LO102" s="1318" t="n"/>
      <c r="LP102" s="1318" t="n"/>
      <c r="LQ102" s="1318" t="n"/>
      <c r="LR102" s="1318" t="n"/>
      <c r="LS102" s="1318" t="n"/>
    </row>
    <row r="103">
      <c r="A103" s="885" t="inlineStr">
        <is>
          <t>YTDYOY%</t>
        </is>
      </c>
      <c r="B103" s="1318" t="n"/>
      <c r="C103" s="1318" t="n"/>
      <c r="D103" s="1318" t="n"/>
      <c r="E103" s="1318" t="n"/>
      <c r="F103" s="1318" t="n"/>
      <c r="G103" s="1318" t="n"/>
      <c r="H103" s="1318" t="n"/>
      <c r="I103" s="1318" t="n"/>
      <c r="J103" s="1318" t="n"/>
      <c r="K103" s="1318" t="n"/>
      <c r="L103" s="1318" t="n"/>
      <c r="M103" s="1318" t="n"/>
      <c r="N103" s="1318" t="n"/>
      <c r="O103" s="1318" t="n"/>
      <c r="P103" s="1318" t="n"/>
      <c r="Q103" s="1318" t="n"/>
      <c r="R103" s="1318" t="n"/>
      <c r="S103" s="1318" t="n"/>
      <c r="T103" s="1318" t="n"/>
      <c r="U103" s="1318" t="n"/>
      <c r="V103" s="1318" t="n"/>
      <c r="W103" s="1318" t="n"/>
      <c r="X103" s="1318" t="n"/>
      <c r="Y103" s="1318" t="n"/>
      <c r="Z103" s="1318">
        <f>Z102-N102</f>
        <v/>
      </c>
      <c r="AA103" s="1318">
        <f>AA102-O102</f>
        <v/>
      </c>
      <c r="AB103" s="1318">
        <f>AB102-P102</f>
        <v/>
      </c>
      <c r="AC103" s="1318">
        <f>AC102-Q102</f>
        <v/>
      </c>
      <c r="AD103" s="1318">
        <f>AD102-R102</f>
        <v/>
      </c>
      <c r="AE103" s="1318">
        <f>AE102-S102</f>
        <v/>
      </c>
      <c r="AF103" s="1318">
        <f>AF102-T102</f>
        <v/>
      </c>
      <c r="AG103" s="1318">
        <f>AG102-U102</f>
        <v/>
      </c>
      <c r="AH103" s="1318">
        <f>AH102-V102</f>
        <v/>
      </c>
      <c r="AI103" s="1318">
        <f>AI102-W102</f>
        <v/>
      </c>
      <c r="AJ103" s="1318">
        <f>AJ102-X102</f>
        <v/>
      </c>
      <c r="AK103" s="1318">
        <f>AK102-Y102</f>
        <v/>
      </c>
      <c r="AL103" s="1318">
        <f>AL102-Z102</f>
        <v/>
      </c>
      <c r="AM103" s="1318">
        <f>AM102-AA102</f>
        <v/>
      </c>
      <c r="AN103" s="1318">
        <f>AN102-AB102</f>
        <v/>
      </c>
      <c r="AO103" s="1318">
        <f>AO102-AC102</f>
        <v/>
      </c>
      <c r="AP103" s="1318">
        <f>AP102-AD102</f>
        <v/>
      </c>
      <c r="AQ103" s="1318">
        <f>AQ102-AE102</f>
        <v/>
      </c>
      <c r="AR103" s="1318">
        <f>AR102-AF102</f>
        <v/>
      </c>
      <c r="AS103" s="1318">
        <f>AS102-AG102</f>
        <v/>
      </c>
      <c r="AT103" s="1318">
        <f>AT102-AH102</f>
        <v/>
      </c>
      <c r="AU103" s="1318">
        <f>AU102-AI102</f>
        <v/>
      </c>
      <c r="AV103" s="1318">
        <f>AV102-AJ102</f>
        <v/>
      </c>
      <c r="AW103" s="1318">
        <f>AW102-AK102</f>
        <v/>
      </c>
      <c r="AX103" s="1318">
        <f>AX102-AL102</f>
        <v/>
      </c>
      <c r="AY103" s="1318">
        <f>AY102-AM102</f>
        <v/>
      </c>
      <c r="AZ103" s="1318">
        <f>AZ102-AN102</f>
        <v/>
      </c>
      <c r="BA103" s="1318">
        <f>BA102-AO102</f>
        <v/>
      </c>
      <c r="BB103" s="1318">
        <f>BB102-AP102</f>
        <v/>
      </c>
      <c r="BC103" s="1318">
        <f>BC102-AQ102</f>
        <v/>
      </c>
      <c r="BD103" s="1318">
        <f>BD102-AR102</f>
        <v/>
      </c>
      <c r="BE103" s="1318">
        <f>BE102-AS102</f>
        <v/>
      </c>
      <c r="BF103" s="1318">
        <f>BF102-AT102</f>
        <v/>
      </c>
      <c r="BG103" s="1318">
        <f>BG102-AU102</f>
        <v/>
      </c>
      <c r="BH103" s="1318">
        <f>BH102-AV102</f>
        <v/>
      </c>
      <c r="BI103" s="1318">
        <f>BI102-AW102</f>
        <v/>
      </c>
      <c r="BJ103" s="1318">
        <f>BJ102-AX102</f>
        <v/>
      </c>
      <c r="BK103" s="1318">
        <f>BK102-AY102</f>
        <v/>
      </c>
      <c r="BL103" s="1318">
        <f>BL102-AZ102</f>
        <v/>
      </c>
      <c r="BM103" s="1318">
        <f>BM102-BA102</f>
        <v/>
      </c>
      <c r="BN103" s="1318">
        <f>BN102-BB102</f>
        <v/>
      </c>
      <c r="BO103" s="1318">
        <f>BO102-BC102</f>
        <v/>
      </c>
      <c r="BP103" s="1318">
        <f>BP102-BD102</f>
        <v/>
      </c>
      <c r="BQ103" s="1318">
        <f>BQ102-BE102</f>
        <v/>
      </c>
      <c r="BR103" s="1318">
        <f>BR102-BF102</f>
        <v/>
      </c>
      <c r="BS103" s="1318">
        <f>BS102-BG102</f>
        <v/>
      </c>
      <c r="BT103" s="1318">
        <f>BT102-BH102</f>
        <v/>
      </c>
      <c r="BU103" s="1318">
        <f>BU102-BI102</f>
        <v/>
      </c>
      <c r="BV103" s="1318">
        <f>BV102-BJ102</f>
        <v/>
      </c>
      <c r="BW103" s="1318">
        <f>BW102-BK102</f>
        <v/>
      </c>
      <c r="BX103" s="1318">
        <f>BX102-BL102</f>
        <v/>
      </c>
      <c r="BY103" s="1318">
        <f>BY102-BM102</f>
        <v/>
      </c>
      <c r="BZ103" s="1318">
        <f>BZ102-BN102</f>
        <v/>
      </c>
      <c r="CA103" s="1318">
        <f>CA102-BO102</f>
        <v/>
      </c>
      <c r="CB103" s="1318">
        <f>CB102-BP102</f>
        <v/>
      </c>
      <c r="CC103" s="1318">
        <f>CC102-BQ102</f>
        <v/>
      </c>
      <c r="CD103" s="1318">
        <f>CD102-BR102</f>
        <v/>
      </c>
      <c r="CE103" s="1318">
        <f>CE102-BS102</f>
        <v/>
      </c>
      <c r="CF103" s="1318">
        <f>CF102-BT102</f>
        <v/>
      </c>
      <c r="CG103" s="1318">
        <f>CG102-BU102</f>
        <v/>
      </c>
      <c r="CH103" s="1318">
        <f>CH102-BV102</f>
        <v/>
      </c>
      <c r="CI103" s="1318">
        <f>CI102-BW102</f>
        <v/>
      </c>
      <c r="CJ103" s="1318">
        <f>CJ102-BX102</f>
        <v/>
      </c>
      <c r="CK103" s="1318">
        <f>CK102-BY102</f>
        <v/>
      </c>
      <c r="CL103" s="1318">
        <f>CL102-BZ102</f>
        <v/>
      </c>
      <c r="CM103" s="1318">
        <f>CM102-CA102</f>
        <v/>
      </c>
      <c r="CN103" s="1318">
        <f>CN102-CB102</f>
        <v/>
      </c>
      <c r="CO103" s="1318">
        <f>CO102-CC102</f>
        <v/>
      </c>
      <c r="CP103" s="1318">
        <f>CP102-CD102</f>
        <v/>
      </c>
      <c r="CQ103" s="1318">
        <f>CQ102-CE102</f>
        <v/>
      </c>
      <c r="CR103" s="1318">
        <f>CR102-CF102</f>
        <v/>
      </c>
      <c r="CS103" s="1318">
        <f>CS102-CG102</f>
        <v/>
      </c>
      <c r="CT103" s="1318">
        <f>CT102-CH102</f>
        <v/>
      </c>
      <c r="CU103" s="1318">
        <f>CU102-CI102</f>
        <v/>
      </c>
      <c r="CV103" s="1318">
        <f>CV102-CJ102</f>
        <v/>
      </c>
      <c r="CW103" s="1318">
        <f>CW102-CK102</f>
        <v/>
      </c>
      <c r="CX103" s="1318">
        <f>CX102-CL102</f>
        <v/>
      </c>
      <c r="CY103" s="1318">
        <f>CY102-CM102</f>
        <v/>
      </c>
      <c r="CZ103" s="1318">
        <f>CZ102-CN102</f>
        <v/>
      </c>
      <c r="DA103" s="1318">
        <f>DA102-CO102</f>
        <v/>
      </c>
      <c r="DB103" s="1318">
        <f>DB102-CP102</f>
        <v/>
      </c>
      <c r="DC103" s="1318">
        <f>DC102-CQ102</f>
        <v/>
      </c>
      <c r="DD103" s="1318">
        <f>DD102-CR102</f>
        <v/>
      </c>
      <c r="DE103" s="1318">
        <f>DE102-CS102</f>
        <v/>
      </c>
      <c r="DF103" s="1318">
        <f>DF102-CT102</f>
        <v/>
      </c>
      <c r="DG103" s="1318">
        <f>DG102-CU102</f>
        <v/>
      </c>
      <c r="DH103" s="1318">
        <f>DH102-CV102</f>
        <v/>
      </c>
      <c r="DI103" s="1318">
        <f>DI102-CW102</f>
        <v/>
      </c>
      <c r="DJ103" s="1318">
        <f>DJ102-CX102</f>
        <v/>
      </c>
      <c r="DK103" s="1318">
        <f>DK102-CY102</f>
        <v/>
      </c>
      <c r="DL103" s="1318">
        <f>DL102-CZ102</f>
        <v/>
      </c>
      <c r="DM103" s="1318">
        <f>DM102-DA102</f>
        <v/>
      </c>
      <c r="DN103" s="1318">
        <f>DN102-DB102</f>
        <v/>
      </c>
      <c r="DO103" s="1318">
        <f>DO102-DC102</f>
        <v/>
      </c>
      <c r="DP103" s="1318">
        <f>DP102-DD102</f>
        <v/>
      </c>
      <c r="DQ103" s="1318">
        <f>DQ102-DE102</f>
        <v/>
      </c>
      <c r="DR103" s="1318">
        <f>DR102-DF102</f>
        <v/>
      </c>
      <c r="DS103" s="1318">
        <f>DS102-DG102</f>
        <v/>
      </c>
      <c r="DT103" s="1318">
        <f>DT102-DH102</f>
        <v/>
      </c>
      <c r="DU103" s="1318">
        <f>DU102-DI102</f>
        <v/>
      </c>
      <c r="DV103" s="1318">
        <f>DV102-DJ102</f>
        <v/>
      </c>
      <c r="DW103" s="1318">
        <f>DW102-DK102</f>
        <v/>
      </c>
      <c r="DX103" s="1318">
        <f>DX102-DL102</f>
        <v/>
      </c>
      <c r="DY103" s="1318">
        <f>DY102-DM102</f>
        <v/>
      </c>
      <c r="DZ103" s="1318">
        <f>DZ102-DN102</f>
        <v/>
      </c>
      <c r="EA103" s="1318">
        <f>EA102-DO102</f>
        <v/>
      </c>
      <c r="EB103" s="1318">
        <f>EB102-DP102</f>
        <v/>
      </c>
      <c r="EC103" s="1318">
        <f>EC102-DQ102</f>
        <v/>
      </c>
      <c r="ED103" s="1318">
        <f>ED102-DR102</f>
        <v/>
      </c>
      <c r="EE103" s="1318">
        <f>EE102-DS102</f>
        <v/>
      </c>
      <c r="EF103" s="1318">
        <f>EF102-DT102</f>
        <v/>
      </c>
      <c r="EG103" s="1318">
        <f>EG102-DU102</f>
        <v/>
      </c>
      <c r="EH103" s="1318">
        <f>EH102-DV102</f>
        <v/>
      </c>
      <c r="EI103" s="1318">
        <f>EI102-DW102</f>
        <v/>
      </c>
      <c r="EJ103" s="1318">
        <f>EJ102-DX102</f>
        <v/>
      </c>
      <c r="EK103" s="1318">
        <f>EK102-DY102</f>
        <v/>
      </c>
      <c r="EL103" s="1318">
        <f>EL102-DZ102</f>
        <v/>
      </c>
      <c r="EM103" s="1318">
        <f>EM102-EA102</f>
        <v/>
      </c>
      <c r="EN103" s="1318">
        <f>EN102-EB102</f>
        <v/>
      </c>
      <c r="EO103" s="1318">
        <f>EO102-EC102</f>
        <v/>
      </c>
      <c r="EP103" s="1318">
        <f>EP102-ED102</f>
        <v/>
      </c>
      <c r="EQ103" s="1318">
        <f>EQ102-EE102</f>
        <v/>
      </c>
      <c r="ER103" s="1318">
        <f>ER102-EF102</f>
        <v/>
      </c>
      <c r="ES103" s="1318">
        <f>ES102-EG102</f>
        <v/>
      </c>
      <c r="ET103" s="1318">
        <f>ET102-EH102</f>
        <v/>
      </c>
      <c r="EU103" s="1318">
        <f>EU102-EI102</f>
        <v/>
      </c>
      <c r="EV103" s="1318">
        <f>EV102-EJ102</f>
        <v/>
      </c>
      <c r="EW103" s="1318">
        <f>EW102-EK102</f>
        <v/>
      </c>
      <c r="EX103" s="1318">
        <f>EX102-EL102</f>
        <v/>
      </c>
      <c r="EY103" s="1318">
        <f>EY102-EM102</f>
        <v/>
      </c>
      <c r="EZ103" s="1318">
        <f>EZ102-EN102</f>
        <v/>
      </c>
      <c r="FA103" s="1318">
        <f>FA102-EO102</f>
        <v/>
      </c>
      <c r="FB103" s="1318">
        <f>FB102-EP102</f>
        <v/>
      </c>
      <c r="FC103" s="1318">
        <f>FC102-EQ102</f>
        <v/>
      </c>
      <c r="FD103" s="1318">
        <f>FD102-ER102</f>
        <v/>
      </c>
      <c r="FE103" s="1318">
        <f>FE102-ES102</f>
        <v/>
      </c>
      <c r="FF103" s="1318">
        <f>FF102-ET102</f>
        <v/>
      </c>
      <c r="FG103" s="1318">
        <f>FG102-EU102</f>
        <v/>
      </c>
      <c r="FH103" s="1318">
        <f>FH102-EV102</f>
        <v/>
      </c>
      <c r="FI103" s="1318">
        <f>FI102-EW102</f>
        <v/>
      </c>
      <c r="FJ103" s="1318">
        <f>FJ102-EX102</f>
        <v/>
      </c>
      <c r="FK103" s="1318">
        <f>FK102-EY102</f>
        <v/>
      </c>
      <c r="FL103" s="1318">
        <f>FL102-EZ102</f>
        <v/>
      </c>
      <c r="FM103" s="1318">
        <f>FM102-FA102</f>
        <v/>
      </c>
      <c r="FN103" s="1318">
        <f>FN102-FB102</f>
        <v/>
      </c>
      <c r="FO103" s="1318">
        <f>FO102-FC102</f>
        <v/>
      </c>
      <c r="FP103" s="1318">
        <f>FP102-FD102</f>
        <v/>
      </c>
      <c r="FQ103" s="1318">
        <f>FQ102-FE102</f>
        <v/>
      </c>
      <c r="FR103" s="1318">
        <f>FR102-FF102</f>
        <v/>
      </c>
      <c r="FS103" s="1318">
        <f>FS102-FG102</f>
        <v/>
      </c>
      <c r="FT103" s="1318">
        <f>FT102-FH102</f>
        <v/>
      </c>
      <c r="FU103" s="1318">
        <f>FU102-FI102</f>
        <v/>
      </c>
      <c r="FV103" s="1318">
        <f>FV102-FJ102</f>
        <v/>
      </c>
      <c r="FW103" s="1318">
        <f>FW102-FK102</f>
        <v/>
      </c>
      <c r="FX103" s="1318">
        <f>FX102-FL102</f>
        <v/>
      </c>
      <c r="FY103" s="1318">
        <f>FY102-FM102</f>
        <v/>
      </c>
      <c r="FZ103" s="1318">
        <f>FZ102-FN102</f>
        <v/>
      </c>
      <c r="GA103" s="1318">
        <f>GA102-FO102</f>
        <v/>
      </c>
      <c r="GB103" s="1318">
        <f>GB102-FP102</f>
        <v/>
      </c>
      <c r="GC103" s="1318">
        <f>GC102-FQ102</f>
        <v/>
      </c>
      <c r="GD103" s="1318">
        <f>GD102-FR102</f>
        <v/>
      </c>
      <c r="GE103" s="1318">
        <f>GE102-FS102</f>
        <v/>
      </c>
      <c r="GF103" s="1318">
        <f>GF102-FT102</f>
        <v/>
      </c>
      <c r="GG103" s="1318">
        <f>GG102-FU102</f>
        <v/>
      </c>
      <c r="GH103" s="1318">
        <f>GH102-FV102</f>
        <v/>
      </c>
      <c r="GI103" s="1318">
        <f>GI102-FW102</f>
        <v/>
      </c>
      <c r="GJ103" s="1318">
        <f>GJ102-FX102</f>
        <v/>
      </c>
      <c r="GK103" s="1318">
        <f>GK102-FY102</f>
        <v/>
      </c>
      <c r="GL103" s="1318">
        <f>GL102-FZ102</f>
        <v/>
      </c>
      <c r="GM103" s="1318">
        <f>GM102-GA102</f>
        <v/>
      </c>
      <c r="GN103" s="1318">
        <f>GN102-GB102</f>
        <v/>
      </c>
      <c r="GO103" s="1318">
        <f>GO102-GC102</f>
        <v/>
      </c>
      <c r="GP103" s="1318">
        <f>GP102-GD102</f>
        <v/>
      </c>
      <c r="GQ103" s="1318">
        <f>GQ102-GE102</f>
        <v/>
      </c>
      <c r="GR103" s="1318">
        <f>GR102-GF102</f>
        <v/>
      </c>
      <c r="GS103" s="1318">
        <f>GS102-GG102</f>
        <v/>
      </c>
      <c r="GT103" s="1318">
        <f>GT102-GH102</f>
        <v/>
      </c>
      <c r="GU103" s="1318">
        <f>GU102-GI102</f>
        <v/>
      </c>
      <c r="GV103" s="1318">
        <f>GV102-GJ102</f>
        <v/>
      </c>
      <c r="GW103" s="1318">
        <f>GW102-GK102</f>
        <v/>
      </c>
      <c r="GX103" s="1318">
        <f>GX102-GL102</f>
        <v/>
      </c>
      <c r="GY103" s="1318">
        <f>GY102-GM102</f>
        <v/>
      </c>
      <c r="GZ103" s="1318">
        <f>GZ102-GN102</f>
        <v/>
      </c>
      <c r="HA103" s="1318">
        <f>HA102-GO102</f>
        <v/>
      </c>
      <c r="HB103" s="1318">
        <f>HB102-GP102</f>
        <v/>
      </c>
      <c r="HC103" s="1318">
        <f>HC102-GQ102</f>
        <v/>
      </c>
      <c r="HD103" s="1318">
        <f>HD102-GR102</f>
        <v/>
      </c>
      <c r="HE103" s="1318">
        <f>HE102-GS102</f>
        <v/>
      </c>
      <c r="HF103" s="1318">
        <f>HF102-GT102</f>
        <v/>
      </c>
      <c r="HG103" s="1318">
        <f>HG102-GU102</f>
        <v/>
      </c>
      <c r="HH103" s="1318">
        <f>HH102-GV102</f>
        <v/>
      </c>
      <c r="HI103" s="1318">
        <f>HI102-GW102</f>
        <v/>
      </c>
      <c r="HJ103" s="1318">
        <f>HJ102-GX102</f>
        <v/>
      </c>
      <c r="HK103" s="1318">
        <f>HK102-GY102</f>
        <v/>
      </c>
      <c r="HL103" s="1318">
        <f>HL102-GZ102</f>
        <v/>
      </c>
      <c r="HM103" s="1318">
        <f>HM102-HA102</f>
        <v/>
      </c>
      <c r="HN103" s="1318">
        <f>HN102-HB102</f>
        <v/>
      </c>
      <c r="HO103" s="1318">
        <f>HO102-HC102</f>
        <v/>
      </c>
      <c r="HP103" s="1318">
        <f>HP102-HD102</f>
        <v/>
      </c>
      <c r="HQ103" s="1318">
        <f>HQ102-HE102</f>
        <v/>
      </c>
      <c r="HR103" s="1318">
        <f>HR102-HF102</f>
        <v/>
      </c>
      <c r="HS103" s="1318">
        <f>HS102-HG102</f>
        <v/>
      </c>
      <c r="HT103" s="1318">
        <f>HT102-HH102</f>
        <v/>
      </c>
      <c r="HU103" s="1318">
        <f>HU102-HI102</f>
        <v/>
      </c>
      <c r="HV103" s="1318">
        <f>HV102-HJ102</f>
        <v/>
      </c>
      <c r="HW103" s="1318">
        <f>HW102-HK102</f>
        <v/>
      </c>
      <c r="HX103" s="1318">
        <f>HX102-HL102</f>
        <v/>
      </c>
      <c r="HY103" s="1318">
        <f>HY102-HM102</f>
        <v/>
      </c>
      <c r="HZ103" s="1318">
        <f>HZ102-HN102</f>
        <v/>
      </c>
      <c r="IA103" s="1318">
        <f>IA102-HO102</f>
        <v/>
      </c>
      <c r="IB103" s="1318">
        <f>IB102-HP102</f>
        <v/>
      </c>
      <c r="IC103" s="1318">
        <f>IC102-HQ102</f>
        <v/>
      </c>
      <c r="ID103" s="1318">
        <f>ID102-HR102</f>
        <v/>
      </c>
      <c r="IE103" s="1318">
        <f>IE102-HS102</f>
        <v/>
      </c>
      <c r="IF103" s="1318">
        <f>IF102-HT102</f>
        <v/>
      </c>
      <c r="IG103" s="1318">
        <f>IG102-HU102</f>
        <v/>
      </c>
      <c r="IH103" s="1318">
        <f>IH102-HV102</f>
        <v/>
      </c>
      <c r="II103" s="1318">
        <f>II102-HW102</f>
        <v/>
      </c>
      <c r="IJ103" s="1318">
        <f>IJ102-HX102</f>
        <v/>
      </c>
      <c r="IK103" s="1318">
        <f>IK102-HY102</f>
        <v/>
      </c>
      <c r="IL103" s="1318">
        <f>IL102-HZ102</f>
        <v/>
      </c>
      <c r="IM103" s="1318">
        <f>IM102-IA102</f>
        <v/>
      </c>
      <c r="IN103" s="1318">
        <f>IN102-IB102</f>
        <v/>
      </c>
      <c r="IO103" s="1318">
        <f>IO102-IC102</f>
        <v/>
      </c>
      <c r="IP103" s="1318">
        <f>IP102-ID102</f>
        <v/>
      </c>
      <c r="IQ103" s="1318">
        <f>IQ102-IE102</f>
        <v/>
      </c>
      <c r="IR103" s="1318">
        <f>IR102-IF102</f>
        <v/>
      </c>
      <c r="IS103" s="1318">
        <f>IS102-IG102</f>
        <v/>
      </c>
      <c r="IT103" s="1318">
        <f>IT102-IH102</f>
        <v/>
      </c>
      <c r="IU103" s="1318">
        <f>IU102-II102</f>
        <v/>
      </c>
      <c r="IV103" s="1318">
        <f>IV102-IJ102</f>
        <v/>
      </c>
      <c r="IW103" s="1318">
        <f>IW102-IK102</f>
        <v/>
      </c>
      <c r="IX103" s="1318">
        <f>IX102-IL102</f>
        <v/>
      </c>
      <c r="IY103" s="1318">
        <f>IY102-IM102</f>
        <v/>
      </c>
      <c r="IZ103" s="1318">
        <f>IZ102-IN102</f>
        <v/>
      </c>
      <c r="JA103" s="1318">
        <f>JA102-IO102</f>
        <v/>
      </c>
      <c r="JB103" s="1318">
        <f>JB102-IP102</f>
        <v/>
      </c>
      <c r="JC103" s="1318">
        <f>JC102-IQ102</f>
        <v/>
      </c>
      <c r="JD103" s="1318">
        <f>JD102-IR102</f>
        <v/>
      </c>
      <c r="JE103" s="1318">
        <f>JE102-IS102</f>
        <v/>
      </c>
      <c r="JF103" s="1318">
        <f>JF102-IT102</f>
        <v/>
      </c>
      <c r="JG103" s="1318">
        <f>JG102-IU102</f>
        <v/>
      </c>
      <c r="JH103" s="1318">
        <f>JH102-IV102</f>
        <v/>
      </c>
      <c r="JI103" s="1318">
        <f>JI102-IW102</f>
        <v/>
      </c>
      <c r="JJ103" s="1318">
        <f>JJ102-IX102</f>
        <v/>
      </c>
      <c r="JK103" s="1318">
        <f>JK102-IY102</f>
        <v/>
      </c>
      <c r="JL103" s="1318">
        <f>JL102-IZ102</f>
        <v/>
      </c>
      <c r="JM103" s="1318">
        <f>JM102-JA102</f>
        <v/>
      </c>
      <c r="JN103" s="1318">
        <f>JN102-JB102</f>
        <v/>
      </c>
      <c r="JO103" s="1318">
        <f>JO102-JC102</f>
        <v/>
      </c>
      <c r="JP103" s="1318">
        <f>JP102-JD102</f>
        <v/>
      </c>
      <c r="JQ103" s="1318">
        <f>JQ102-JE102</f>
        <v/>
      </c>
      <c r="JR103" s="1318">
        <f>JR102-JF102</f>
        <v/>
      </c>
      <c r="JS103" s="1318">
        <f>JS102-JG102</f>
        <v/>
      </c>
      <c r="JT103" s="1318">
        <f>JT102-JH102</f>
        <v/>
      </c>
      <c r="JU103" s="1318">
        <f>JU102-JI102</f>
        <v/>
      </c>
      <c r="JV103" s="1318">
        <f>JV102-JJ102</f>
        <v/>
      </c>
      <c r="JW103" s="1318">
        <f>JW102-JK102</f>
        <v/>
      </c>
      <c r="JX103" s="1318">
        <f>JX102-JL102</f>
        <v/>
      </c>
      <c r="JY103" s="1318">
        <f>JY102-JM102</f>
        <v/>
      </c>
      <c r="JZ103" s="1318">
        <f>JZ102-JN102</f>
        <v/>
      </c>
      <c r="KA103" s="1318">
        <f>KA102-JO102</f>
        <v/>
      </c>
      <c r="KB103" s="1318">
        <f>KB102-JP102</f>
        <v/>
      </c>
      <c r="KC103" s="1318">
        <f>KC102-JQ102</f>
        <v/>
      </c>
      <c r="KD103" s="1318">
        <f>KD102-JR102</f>
        <v/>
      </c>
      <c r="KE103" s="1318">
        <f>KE102-JS102</f>
        <v/>
      </c>
      <c r="KF103" s="1318">
        <f>KF102-JT102</f>
        <v/>
      </c>
      <c r="KG103" s="1318">
        <f>KG102-JU102</f>
        <v/>
      </c>
      <c r="KH103" s="1318">
        <f>KH102-JV102</f>
        <v/>
      </c>
      <c r="KI103" s="1318">
        <f>KI102-JW102</f>
        <v/>
      </c>
      <c r="KJ103" s="1318">
        <f>KJ102-JX102</f>
        <v/>
      </c>
      <c r="KK103" s="1318">
        <f>KK102-JY102</f>
        <v/>
      </c>
      <c r="KL103" s="1318">
        <f>KL102-JZ102</f>
        <v/>
      </c>
      <c r="KM103" s="1318">
        <f>KM102-KA102</f>
        <v/>
      </c>
      <c r="KN103" s="1318">
        <f>KN102-KB102</f>
        <v/>
      </c>
      <c r="KO103" s="1318">
        <f>KO102-KC102</f>
        <v/>
      </c>
      <c r="KP103" s="1318">
        <f>KP102-KD102</f>
        <v/>
      </c>
      <c r="KQ103" s="1318">
        <f>KQ102-KE102</f>
        <v/>
      </c>
      <c r="KR103" s="1318">
        <f>KR102-KF102</f>
        <v/>
      </c>
      <c r="KS103" s="1318">
        <f>KS102-KG102</f>
        <v/>
      </c>
      <c r="KT103" s="1318">
        <f>KT102-KH102</f>
        <v/>
      </c>
      <c r="KU103" s="1318">
        <f>KU102-KI102</f>
        <v/>
      </c>
      <c r="KV103" s="1318">
        <f>KV102-KJ102</f>
        <v/>
      </c>
      <c r="KW103" s="1318">
        <f>KW102-KK102</f>
        <v/>
      </c>
      <c r="KX103" s="1318">
        <f>KX102-KL102</f>
        <v/>
      </c>
      <c r="KY103" s="1318">
        <f>KY102-KM102</f>
        <v/>
      </c>
      <c r="KZ103" s="1318">
        <f>KZ102-KN102</f>
        <v/>
      </c>
      <c r="LA103" s="1318">
        <f>LA102-KO102</f>
        <v/>
      </c>
      <c r="LB103" s="1318" t="n"/>
      <c r="LC103" s="1318" t="n"/>
      <c r="LD103" s="1318" t="n"/>
      <c r="LE103" s="1318" t="n"/>
      <c r="LF103" s="1318" t="n"/>
      <c r="LG103" s="1318" t="n"/>
      <c r="LH103" s="1318" t="n"/>
      <c r="LI103" s="1318" t="n"/>
      <c r="LJ103" s="1318" t="n"/>
      <c r="LK103" s="1318" t="n"/>
      <c r="LL103" s="1318" t="n"/>
      <c r="LM103" s="1318" t="n"/>
      <c r="LN103" s="1318" t="n"/>
      <c r="LO103" s="1318" t="n"/>
      <c r="LP103" s="1318" t="n"/>
      <c r="LQ103" s="1318" t="n"/>
      <c r="LR103" s="1318" t="n"/>
      <c r="LS103" s="1318" t="n"/>
    </row>
    <row r="104" ht="15" customHeight="1" s="239">
      <c r="A104" s="1319" t="inlineStr">
        <is>
          <t>SW Pacific</t>
        </is>
      </c>
      <c r="B104" s="1342">
        <f>B54/B18</f>
        <v/>
      </c>
      <c r="C104" s="1342">
        <f>C54/C18</f>
        <v/>
      </c>
      <c r="D104" s="1342">
        <f>D54/D18</f>
        <v/>
      </c>
      <c r="E104" s="1342">
        <f>E54/E18</f>
        <v/>
      </c>
      <c r="F104" s="1342">
        <f>F54/F18</f>
        <v/>
      </c>
      <c r="G104" s="1342">
        <f>G54/G18</f>
        <v/>
      </c>
      <c r="H104" s="1342">
        <f>H54/H18</f>
        <v/>
      </c>
      <c r="I104" s="1342">
        <f>I54/I18</f>
        <v/>
      </c>
      <c r="J104" s="1342">
        <f>J54/J18</f>
        <v/>
      </c>
      <c r="K104" s="1342">
        <f>K54/K18</f>
        <v/>
      </c>
      <c r="L104" s="1342">
        <f>L54/L18</f>
        <v/>
      </c>
      <c r="M104" s="1342">
        <f>M54/M18</f>
        <v/>
      </c>
      <c r="N104" s="1342">
        <f>N54/N18</f>
        <v/>
      </c>
      <c r="O104" s="1342">
        <f>O54/O18</f>
        <v/>
      </c>
      <c r="P104" s="1342">
        <f>P54/P18</f>
        <v/>
      </c>
      <c r="Q104" s="1342">
        <f>Q54/Q18</f>
        <v/>
      </c>
      <c r="R104" s="1342">
        <f>R54/R18</f>
        <v/>
      </c>
      <c r="S104" s="1342">
        <f>S54/S18</f>
        <v/>
      </c>
      <c r="T104" s="1342">
        <f>T54/T18</f>
        <v/>
      </c>
      <c r="U104" s="1342">
        <f>U54/U18</f>
        <v/>
      </c>
      <c r="V104" s="1342">
        <f>V54/V18</f>
        <v/>
      </c>
      <c r="W104" s="1342">
        <f>W54/W18</f>
        <v/>
      </c>
      <c r="X104" s="1342">
        <f>X54/X18</f>
        <v/>
      </c>
      <c r="Y104" s="1342">
        <f>Y54/Y18</f>
        <v/>
      </c>
      <c r="Z104" s="1342">
        <f>Z54/Z18</f>
        <v/>
      </c>
      <c r="AA104" s="1342">
        <f>AA54/AA18</f>
        <v/>
      </c>
      <c r="AB104" s="1342">
        <f>AB54/AB18</f>
        <v/>
      </c>
      <c r="AC104" s="1342">
        <f>AC54/AC18</f>
        <v/>
      </c>
      <c r="AD104" s="1342">
        <f>AD54/AD18</f>
        <v/>
      </c>
      <c r="AE104" s="1342">
        <f>AE54/AE18</f>
        <v/>
      </c>
      <c r="AF104" s="1342">
        <f>AF54/AF18</f>
        <v/>
      </c>
      <c r="AG104" s="1342">
        <f>AG54/AG18</f>
        <v/>
      </c>
      <c r="AH104" s="1342">
        <f>AH54/AH18</f>
        <v/>
      </c>
      <c r="AI104" s="1342">
        <f>AI54/AI18</f>
        <v/>
      </c>
      <c r="AJ104" s="1342">
        <f>AJ54/AJ18</f>
        <v/>
      </c>
      <c r="AK104" s="1342">
        <f>AK54/AK18</f>
        <v/>
      </c>
      <c r="AL104" s="1342">
        <f>AL54/AL18</f>
        <v/>
      </c>
      <c r="AM104" s="1342">
        <f>AM54/AM18</f>
        <v/>
      </c>
      <c r="AN104" s="1342">
        <f>AN54/AN18</f>
        <v/>
      </c>
      <c r="AO104" s="1342">
        <f>AO54/AO18</f>
        <v/>
      </c>
      <c r="AP104" s="1342">
        <f>AP54/AP18</f>
        <v/>
      </c>
      <c r="AQ104" s="1342">
        <f>AQ54/AQ18</f>
        <v/>
      </c>
      <c r="AR104" s="1342">
        <f>AR54/AR18</f>
        <v/>
      </c>
      <c r="AS104" s="1342">
        <f>AS54/AS18</f>
        <v/>
      </c>
      <c r="AT104" s="1342">
        <f>AT54/AT18</f>
        <v/>
      </c>
      <c r="AU104" s="1342">
        <f>AU54/AU18</f>
        <v/>
      </c>
      <c r="AV104" s="1342">
        <f>AV54/AV18</f>
        <v/>
      </c>
      <c r="AW104" s="1342">
        <f>AW54/AW18</f>
        <v/>
      </c>
      <c r="AX104" s="1342">
        <f>AX54/AX18</f>
        <v/>
      </c>
      <c r="AY104" s="1342">
        <f>AY54/AY18</f>
        <v/>
      </c>
      <c r="AZ104" s="1342">
        <f>AZ54/AZ18</f>
        <v/>
      </c>
      <c r="BA104" s="1342">
        <f>BA54/BA18</f>
        <v/>
      </c>
      <c r="BB104" s="1342">
        <f>BB54/BB18</f>
        <v/>
      </c>
      <c r="BC104" s="1342">
        <f>BC54/BC18</f>
        <v/>
      </c>
      <c r="BD104" s="1342">
        <f>BD54/BD18</f>
        <v/>
      </c>
      <c r="BE104" s="1342">
        <f>BE54/BE18</f>
        <v/>
      </c>
      <c r="BF104" s="1342">
        <f>BF54/BF18</f>
        <v/>
      </c>
      <c r="BG104" s="1342">
        <f>BG54/BG18</f>
        <v/>
      </c>
      <c r="BH104" s="1342">
        <f>BH54/BH18</f>
        <v/>
      </c>
      <c r="BI104" s="1342">
        <f>BI54/BI18</f>
        <v/>
      </c>
      <c r="BJ104" s="1342">
        <f>BJ54/BJ18</f>
        <v/>
      </c>
      <c r="BK104" s="1342">
        <f>BK54/BK18</f>
        <v/>
      </c>
      <c r="BL104" s="1342">
        <f>BL54/BL18</f>
        <v/>
      </c>
      <c r="BM104" s="1342">
        <f>BM54/BM18</f>
        <v/>
      </c>
      <c r="BN104" s="1342">
        <f>BN54/BN18</f>
        <v/>
      </c>
      <c r="BO104" s="1342">
        <f>BO54/BO18</f>
        <v/>
      </c>
      <c r="BP104" s="1342">
        <f>BP54/BP18</f>
        <v/>
      </c>
      <c r="BQ104" s="1342">
        <f>BQ54/BQ18</f>
        <v/>
      </c>
      <c r="BR104" s="1342">
        <f>BR54/BR18</f>
        <v/>
      </c>
      <c r="BS104" s="1342">
        <f>BS54/BS18</f>
        <v/>
      </c>
      <c r="BT104" s="1342">
        <f>BT54/BT18</f>
        <v/>
      </c>
      <c r="BU104" s="1342">
        <f>BU54/BU18</f>
        <v/>
      </c>
      <c r="BV104" s="1342">
        <f>BV54/BV18</f>
        <v/>
      </c>
      <c r="BW104" s="1342">
        <f>BW54/BW18</f>
        <v/>
      </c>
      <c r="BX104" s="1342">
        <f>BX54/BX18</f>
        <v/>
      </c>
      <c r="BY104" s="1342">
        <f>BY54/BY18</f>
        <v/>
      </c>
      <c r="BZ104" s="1342">
        <f>BZ54/BZ18</f>
        <v/>
      </c>
      <c r="CA104" s="1342">
        <f>CA54/CA18</f>
        <v/>
      </c>
      <c r="CB104" s="1342">
        <f>CB54/CB18</f>
        <v/>
      </c>
      <c r="CC104" s="1342">
        <f>CC54/CC18</f>
        <v/>
      </c>
      <c r="CD104" s="1342">
        <f>CD54/CD18</f>
        <v/>
      </c>
      <c r="CE104" s="1342">
        <f>CE54/CE18</f>
        <v/>
      </c>
      <c r="CF104" s="1342">
        <f>CF54/CF18</f>
        <v/>
      </c>
      <c r="CG104" s="1342">
        <f>CG54/CG18</f>
        <v/>
      </c>
      <c r="CH104" s="1342">
        <f>CH54/CH18</f>
        <v/>
      </c>
      <c r="CI104" s="1342">
        <f>CI54/CI18</f>
        <v/>
      </c>
      <c r="CJ104" s="1342">
        <f>CJ54/CJ18</f>
        <v/>
      </c>
      <c r="CK104" s="1342">
        <f>CK54/CK18</f>
        <v/>
      </c>
      <c r="CL104" s="1342">
        <f>CL54/CL18</f>
        <v/>
      </c>
      <c r="CM104" s="1342">
        <f>CM54/CM18</f>
        <v/>
      </c>
      <c r="CN104" s="1342">
        <f>CN54/CN18</f>
        <v/>
      </c>
      <c r="CO104" s="1342">
        <f>CO54/CO18</f>
        <v/>
      </c>
      <c r="CP104" s="1342">
        <f>CP54/CP18</f>
        <v/>
      </c>
      <c r="CQ104" s="1342">
        <f>CQ54/CQ18</f>
        <v/>
      </c>
      <c r="CR104" s="1342">
        <f>CR54/CR18</f>
        <v/>
      </c>
      <c r="CS104" s="1342">
        <f>CS54/CS18</f>
        <v/>
      </c>
      <c r="CT104" s="1342">
        <f>CT54/CT18</f>
        <v/>
      </c>
      <c r="CU104" s="1342">
        <f>CU54/CU18</f>
        <v/>
      </c>
      <c r="CV104" s="1342">
        <f>CV54/CV18</f>
        <v/>
      </c>
      <c r="CW104" s="1342">
        <f>CW54/CW18</f>
        <v/>
      </c>
      <c r="CX104" s="1342">
        <f>CX54/CX18</f>
        <v/>
      </c>
      <c r="CY104" s="1342">
        <f>CY54/CY18</f>
        <v/>
      </c>
      <c r="CZ104" s="1342">
        <f>CZ54/CZ18</f>
        <v/>
      </c>
      <c r="DA104" s="1342">
        <f>DA54/DA18</f>
        <v/>
      </c>
      <c r="DB104" s="1342">
        <f>DB54/DB18</f>
        <v/>
      </c>
      <c r="DC104" s="1342">
        <f>DC54/DC18</f>
        <v/>
      </c>
      <c r="DD104" s="1342">
        <f>DD54/DD18</f>
        <v/>
      </c>
      <c r="DE104" s="1342">
        <f>DE54/DE18</f>
        <v/>
      </c>
      <c r="DF104" s="1342">
        <f>DF54/DF18</f>
        <v/>
      </c>
      <c r="DG104" s="1342">
        <f>DG54/DG18</f>
        <v/>
      </c>
      <c r="DH104" s="1342">
        <f>DH54/DH18</f>
        <v/>
      </c>
      <c r="DI104" s="1342">
        <f>DI54/DI18</f>
        <v/>
      </c>
      <c r="DJ104" s="1342">
        <f>DJ54/DJ18</f>
        <v/>
      </c>
      <c r="DK104" s="1342">
        <f>DK54/DK18</f>
        <v/>
      </c>
      <c r="DL104" s="1342">
        <f>DL54/DL18</f>
        <v/>
      </c>
      <c r="DM104" s="1342">
        <f>DM54/DM18</f>
        <v/>
      </c>
      <c r="DN104" s="1342">
        <f>DN54/DN18</f>
        <v/>
      </c>
      <c r="DO104" s="1342">
        <f>DO54/DO18</f>
        <v/>
      </c>
      <c r="DP104" s="1342">
        <f>DP54/DP18</f>
        <v/>
      </c>
      <c r="DQ104" s="1342">
        <f>DQ54/DQ18</f>
        <v/>
      </c>
      <c r="DR104" s="1342">
        <f>DR54/DR18</f>
        <v/>
      </c>
      <c r="DS104" s="1342">
        <f>DS54/DS18</f>
        <v/>
      </c>
      <c r="DT104" s="1342">
        <f>DT54/DT18</f>
        <v/>
      </c>
      <c r="DU104" s="1342">
        <f>DU54/DU18</f>
        <v/>
      </c>
      <c r="DV104" s="1342">
        <f>DV54/DV18</f>
        <v/>
      </c>
      <c r="DW104" s="1342">
        <f>DW54/DW18</f>
        <v/>
      </c>
      <c r="DX104" s="1342">
        <f>DX54/DX18</f>
        <v/>
      </c>
      <c r="DY104" s="1342">
        <f>DY54/DY18</f>
        <v/>
      </c>
      <c r="DZ104" s="1342">
        <f>DZ54/DZ18</f>
        <v/>
      </c>
      <c r="EA104" s="1342">
        <f>EA54/EA18</f>
        <v/>
      </c>
      <c r="EB104" s="1342">
        <f>EB54/EB18</f>
        <v/>
      </c>
      <c r="EC104" s="1342">
        <f>EC54/EC18</f>
        <v/>
      </c>
      <c r="ED104" s="1342">
        <f>ED54/ED18</f>
        <v/>
      </c>
      <c r="EE104" s="1342">
        <f>EE54/EE18</f>
        <v/>
      </c>
      <c r="EF104" s="1342">
        <f>EF54/EF18</f>
        <v/>
      </c>
      <c r="EG104" s="1342">
        <f>EG54/EG18</f>
        <v/>
      </c>
      <c r="EH104" s="1342">
        <f>EH54/EH18</f>
        <v/>
      </c>
      <c r="EI104" s="1342">
        <f>EI54/EI18</f>
        <v/>
      </c>
      <c r="EJ104" s="1342">
        <f>EJ54/EJ18</f>
        <v/>
      </c>
      <c r="EK104" s="1342">
        <f>EK54/EK18</f>
        <v/>
      </c>
      <c r="EL104" s="1342">
        <f>EL54/EL18</f>
        <v/>
      </c>
      <c r="EM104" s="1342">
        <f>EM54/EM18</f>
        <v/>
      </c>
      <c r="EN104" s="1342">
        <f>EN54/EN18</f>
        <v/>
      </c>
      <c r="EO104" s="1342">
        <f>EO54/EO18</f>
        <v/>
      </c>
      <c r="EP104" s="1342">
        <f>EP54/EP18</f>
        <v/>
      </c>
      <c r="EQ104" s="1342">
        <f>EQ54/EQ18</f>
        <v/>
      </c>
      <c r="ER104" s="1342">
        <f>ER54/ER18</f>
        <v/>
      </c>
      <c r="ES104" s="1342">
        <f>ES54/ES18</f>
        <v/>
      </c>
      <c r="ET104" s="1342">
        <f>ET54/ET18</f>
        <v/>
      </c>
      <c r="EU104" s="1342">
        <f>EU54/EU18</f>
        <v/>
      </c>
      <c r="EV104" s="1342">
        <f>EV54/EV18</f>
        <v/>
      </c>
      <c r="EW104" s="1342">
        <f>EW54/EW18</f>
        <v/>
      </c>
      <c r="EX104" s="1342">
        <f>EX54/EX18</f>
        <v/>
      </c>
      <c r="EY104" s="1342">
        <f>EY54/EY18</f>
        <v/>
      </c>
      <c r="EZ104" s="1342">
        <f>EZ54/EZ18</f>
        <v/>
      </c>
      <c r="FA104" s="1342">
        <f>FA54/FA18</f>
        <v/>
      </c>
      <c r="FB104" s="1342">
        <f>FB54/FB18</f>
        <v/>
      </c>
      <c r="FC104" s="1342">
        <f>FC54/FC18</f>
        <v/>
      </c>
      <c r="FD104" s="1342">
        <f>FD54/FD18</f>
        <v/>
      </c>
      <c r="FE104" s="1342">
        <f>FE54/FE18</f>
        <v/>
      </c>
      <c r="FF104" s="1342">
        <f>FF54/FF18</f>
        <v/>
      </c>
      <c r="FG104" s="1342">
        <f>FG54/FG18</f>
        <v/>
      </c>
      <c r="FH104" s="1342">
        <f>FH54/FH18</f>
        <v/>
      </c>
      <c r="FI104" s="1342">
        <f>FI54/FI18</f>
        <v/>
      </c>
      <c r="FJ104" s="1342">
        <f>FJ54/FJ18</f>
        <v/>
      </c>
      <c r="FK104" s="1342">
        <f>FK54/FK18</f>
        <v/>
      </c>
      <c r="FL104" s="1342">
        <f>FL54/FL18</f>
        <v/>
      </c>
      <c r="FM104" s="1342">
        <f>FM54/FM18</f>
        <v/>
      </c>
      <c r="FN104" s="1342">
        <f>FN54/FN18</f>
        <v/>
      </c>
      <c r="FO104" s="1342">
        <f>FO54/FO18</f>
        <v/>
      </c>
      <c r="FP104" s="1342">
        <f>FP54/FP18</f>
        <v/>
      </c>
      <c r="FQ104" s="1342">
        <f>FQ54/FQ18</f>
        <v/>
      </c>
      <c r="FR104" s="1342">
        <f>FR54/FR18</f>
        <v/>
      </c>
      <c r="FS104" s="1342">
        <f>FS54/FS18</f>
        <v/>
      </c>
      <c r="FT104" s="1342">
        <f>FT54/FT18</f>
        <v/>
      </c>
      <c r="FU104" s="1342">
        <f>FU54/FU18</f>
        <v/>
      </c>
      <c r="FV104" s="1342">
        <f>FV54/FV18</f>
        <v/>
      </c>
      <c r="FW104" s="1342">
        <f>FW54/FW18</f>
        <v/>
      </c>
      <c r="FX104" s="1342">
        <f>FX54/FX18</f>
        <v/>
      </c>
      <c r="FY104" s="1342">
        <f>FY54/FY18</f>
        <v/>
      </c>
      <c r="FZ104" s="1342">
        <f>FZ54/FZ18</f>
        <v/>
      </c>
      <c r="GA104" s="1342">
        <f>GA54/GA18</f>
        <v/>
      </c>
      <c r="GB104" s="1342">
        <f>GB54/GB18</f>
        <v/>
      </c>
      <c r="GC104" s="1342">
        <f>GC54/GC18</f>
        <v/>
      </c>
      <c r="GD104" s="1342">
        <f>GD54/GD18</f>
        <v/>
      </c>
      <c r="GE104" s="1342">
        <f>GE54/GE18</f>
        <v/>
      </c>
      <c r="GF104" s="1342">
        <f>GF54/GF18</f>
        <v/>
      </c>
      <c r="GG104" s="1342">
        <f>GG54/GG18</f>
        <v/>
      </c>
      <c r="GH104" s="1342">
        <f>GH54/GH18</f>
        <v/>
      </c>
      <c r="GI104" s="1342">
        <f>GI54/GI18</f>
        <v/>
      </c>
      <c r="GJ104" s="1342">
        <f>GJ54/GJ18</f>
        <v/>
      </c>
      <c r="GK104" s="1342">
        <f>GK54/GK18</f>
        <v/>
      </c>
      <c r="GL104" s="1342">
        <f>GL54/GL18</f>
        <v/>
      </c>
      <c r="GM104" s="1342">
        <f>GM54/GM18</f>
        <v/>
      </c>
      <c r="GN104" s="1342">
        <f>GN54/GN18</f>
        <v/>
      </c>
      <c r="GO104" s="1342">
        <f>GO54/GO18</f>
        <v/>
      </c>
      <c r="GP104" s="1342">
        <f>GP54/GP18</f>
        <v/>
      </c>
      <c r="GQ104" s="1342">
        <f>GQ54/GQ18</f>
        <v/>
      </c>
      <c r="GR104" s="1342">
        <f>GR54/GR18</f>
        <v/>
      </c>
      <c r="GS104" s="1342">
        <f>GS54/GS18</f>
        <v/>
      </c>
      <c r="GT104" s="1342">
        <f>GT54/GT18</f>
        <v/>
      </c>
      <c r="GU104" s="1342">
        <f>GU54/GU18</f>
        <v/>
      </c>
      <c r="GV104" s="1342">
        <f>GV54/GV18</f>
        <v/>
      </c>
      <c r="GW104" s="1342">
        <f>GW54/GW18</f>
        <v/>
      </c>
      <c r="GX104" s="1342">
        <f>GX54/GX18</f>
        <v/>
      </c>
      <c r="GY104" s="1342">
        <f>GY54/GY18</f>
        <v/>
      </c>
      <c r="GZ104" s="1342">
        <f>GZ54/GZ18</f>
        <v/>
      </c>
      <c r="HA104" s="1342">
        <f>HA54/HA18</f>
        <v/>
      </c>
      <c r="HB104" s="1342">
        <f>HB54/HB18</f>
        <v/>
      </c>
      <c r="HC104" s="1342">
        <f>HC54/HC18</f>
        <v/>
      </c>
      <c r="HD104" s="1342">
        <f>HD54/HD18</f>
        <v/>
      </c>
      <c r="HE104" s="1342">
        <f>HE54/HE18</f>
        <v/>
      </c>
      <c r="HF104" s="1342">
        <f>HF54/HF18</f>
        <v/>
      </c>
      <c r="HG104" s="1342">
        <f>HG54/HG18</f>
        <v/>
      </c>
      <c r="HH104" s="1342">
        <f>HH54/HH18</f>
        <v/>
      </c>
      <c r="HI104" s="1342">
        <f>HI54/HI18</f>
        <v/>
      </c>
      <c r="HJ104" s="1342">
        <f>HJ54/HJ18</f>
        <v/>
      </c>
      <c r="HK104" s="1342">
        <f>HK54/HK18</f>
        <v/>
      </c>
      <c r="HL104" s="1342">
        <f>HL54/HL18</f>
        <v/>
      </c>
      <c r="HM104" s="1342">
        <f>HM54/HM18</f>
        <v/>
      </c>
      <c r="HN104" s="1342">
        <f>HN54/HN18</f>
        <v/>
      </c>
      <c r="HO104" s="1342">
        <f>HO54/HO18</f>
        <v/>
      </c>
      <c r="HP104" s="1342">
        <f>HP54/HP18</f>
        <v/>
      </c>
      <c r="HQ104" s="1342">
        <f>HQ54/HQ18</f>
        <v/>
      </c>
      <c r="HR104" s="1342">
        <f>HR54/HR18</f>
        <v/>
      </c>
      <c r="HS104" s="1342">
        <f>HS54/HS18</f>
        <v/>
      </c>
      <c r="HT104" s="1342">
        <f>HT54/HT18</f>
        <v/>
      </c>
      <c r="HU104" s="1342">
        <f>HU54/HU18</f>
        <v/>
      </c>
      <c r="HV104" s="1342">
        <f>HV54/HV18</f>
        <v/>
      </c>
      <c r="HW104" s="1342">
        <f>HW54/HW18</f>
        <v/>
      </c>
      <c r="HX104" s="1342">
        <f>HX54/HX18</f>
        <v/>
      </c>
      <c r="HY104" s="1342">
        <f>HY54/HY18</f>
        <v/>
      </c>
      <c r="HZ104" s="1342">
        <f>HZ54/HZ18</f>
        <v/>
      </c>
      <c r="IA104" s="1342">
        <f>IA54/IA18</f>
        <v/>
      </c>
      <c r="IB104" s="1342">
        <f>IB54/IB18</f>
        <v/>
      </c>
      <c r="IC104" s="1342">
        <f>IC54/IC18</f>
        <v/>
      </c>
      <c r="ID104" s="1342">
        <f>ID54/ID18</f>
        <v/>
      </c>
      <c r="IE104" s="1342">
        <f>IE54/IE18</f>
        <v/>
      </c>
      <c r="IF104" s="1342">
        <f>IF54/IF18</f>
        <v/>
      </c>
      <c r="IG104" s="1342">
        <f>IG54/IG18</f>
        <v/>
      </c>
      <c r="IH104" s="1342">
        <f>IH54/IH18</f>
        <v/>
      </c>
      <c r="II104" s="1342">
        <f>II54/II18</f>
        <v/>
      </c>
      <c r="IJ104" s="1342">
        <f>IJ54/IJ18</f>
        <v/>
      </c>
      <c r="IK104" s="1342">
        <f>IK54/IK18</f>
        <v/>
      </c>
      <c r="IL104" s="1342">
        <f>IL54/IL18</f>
        <v/>
      </c>
      <c r="IM104" s="1342">
        <f>IM54/IM18</f>
        <v/>
      </c>
      <c r="IN104" s="1342">
        <f>IN54/IN18</f>
        <v/>
      </c>
      <c r="IO104" s="1342">
        <f>IO54/IO18</f>
        <v/>
      </c>
      <c r="IP104" s="1342">
        <f>IP54/IP18</f>
        <v/>
      </c>
      <c r="IQ104" s="1342">
        <f>IQ54/IQ18</f>
        <v/>
      </c>
      <c r="IR104" s="1342">
        <f>IR54/IR18</f>
        <v/>
      </c>
      <c r="IS104" s="1342">
        <f>IS54/IS18</f>
        <v/>
      </c>
      <c r="IT104" s="1342">
        <f>IT54/IT18</f>
        <v/>
      </c>
      <c r="IU104" s="1342">
        <f>IU54/IU18</f>
        <v/>
      </c>
      <c r="IV104" s="1342">
        <f>IV54/IV18</f>
        <v/>
      </c>
      <c r="IW104" s="1342">
        <f>IW54/IW18</f>
        <v/>
      </c>
      <c r="IX104" s="1342">
        <f>IX54/IX18</f>
        <v/>
      </c>
      <c r="IY104" s="1342">
        <f>IY54/IY18</f>
        <v/>
      </c>
      <c r="IZ104" s="1342">
        <f>IZ54/IZ18</f>
        <v/>
      </c>
      <c r="JA104" s="1342">
        <f>JA54/JA18</f>
        <v/>
      </c>
      <c r="JB104" s="1342">
        <f>JB54/JB18</f>
        <v/>
      </c>
      <c r="JC104" s="1342">
        <f>JC54/JC18</f>
        <v/>
      </c>
      <c r="JD104" s="1342">
        <f>JD54/JD18</f>
        <v/>
      </c>
      <c r="JE104" s="1342">
        <f>JE54/JE18</f>
        <v/>
      </c>
      <c r="JF104" s="1342">
        <f>JF54/JF18</f>
        <v/>
      </c>
      <c r="JG104" s="1342">
        <f>JG54/JG18</f>
        <v/>
      </c>
      <c r="JH104" s="1342">
        <f>JH54/JH18</f>
        <v/>
      </c>
      <c r="JI104" s="1342">
        <f>JI54/JI18</f>
        <v/>
      </c>
      <c r="JJ104" s="1342">
        <f>JJ54/JJ18</f>
        <v/>
      </c>
      <c r="JK104" s="1342">
        <f>JK54/JK18</f>
        <v/>
      </c>
      <c r="JL104" s="1342">
        <f>JL54/JL18</f>
        <v/>
      </c>
      <c r="JM104" s="1342">
        <f>JM54/JM18</f>
        <v/>
      </c>
      <c r="JN104" s="1342">
        <f>JN54/JN18</f>
        <v/>
      </c>
      <c r="JO104" s="1342">
        <f>JO54/JO18</f>
        <v/>
      </c>
      <c r="JP104" s="1342">
        <f>JP54/JP18</f>
        <v/>
      </c>
      <c r="JQ104" s="1342">
        <f>JQ54/JQ18</f>
        <v/>
      </c>
      <c r="JR104" s="1342">
        <f>JR54/JR18</f>
        <v/>
      </c>
      <c r="JS104" s="1342">
        <f>JS54/JS18</f>
        <v/>
      </c>
      <c r="JT104" s="1342">
        <f>JT54/JT18</f>
        <v/>
      </c>
      <c r="JU104" s="1342">
        <f>JU54/JU18</f>
        <v/>
      </c>
      <c r="JV104" s="1342">
        <f>JV54/JV18</f>
        <v/>
      </c>
      <c r="JW104" s="1342">
        <f>JW54/JW18</f>
        <v/>
      </c>
      <c r="JX104" s="1342">
        <f>JX54/JX18</f>
        <v/>
      </c>
      <c r="JY104" s="1342">
        <f>JY54/JY18</f>
        <v/>
      </c>
      <c r="JZ104" s="1342">
        <f>JZ54/JZ18</f>
        <v/>
      </c>
      <c r="KA104" s="1342">
        <f>KA54/KA18</f>
        <v/>
      </c>
      <c r="KB104" s="1342">
        <f>KB54/KB18</f>
        <v/>
      </c>
      <c r="KC104" s="1342">
        <f>KC54/KC18</f>
        <v/>
      </c>
      <c r="KD104" s="1342">
        <f>KD54/KD18</f>
        <v/>
      </c>
      <c r="KE104" s="1342">
        <f>KE54/KE18</f>
        <v/>
      </c>
      <c r="KF104" s="1342">
        <f>KF54/KF18</f>
        <v/>
      </c>
      <c r="KG104" s="1342">
        <f>KG54/KG18</f>
        <v/>
      </c>
      <c r="KH104" s="1342">
        <f>KH54/KH18</f>
        <v/>
      </c>
      <c r="KI104" s="1342">
        <f>KI54/KI18</f>
        <v/>
      </c>
      <c r="KJ104" s="1342">
        <f>KJ54/KJ18</f>
        <v/>
      </c>
      <c r="KK104" s="1342">
        <f>KK54/KK18</f>
        <v/>
      </c>
      <c r="KL104" s="1342">
        <f>KL54/KL18</f>
        <v/>
      </c>
      <c r="KM104" s="1342">
        <f>KM54/KM18</f>
        <v/>
      </c>
      <c r="KN104" s="1342">
        <f>KN54/KN18</f>
        <v/>
      </c>
      <c r="KO104" s="1342">
        <f>KO54/KO18</f>
        <v/>
      </c>
      <c r="KP104" s="1342">
        <f>KP54/KP18</f>
        <v/>
      </c>
      <c r="KQ104" s="1342">
        <f>KQ54/KQ18</f>
        <v/>
      </c>
      <c r="KR104" s="1342">
        <f>KR54/KR18</f>
        <v/>
      </c>
      <c r="KS104" s="1342">
        <f>KS54/KS18</f>
        <v/>
      </c>
      <c r="KT104" s="1342">
        <f>KT54/KT18</f>
        <v/>
      </c>
      <c r="KU104" s="1342">
        <f>KU54/KU18</f>
        <v/>
      </c>
      <c r="KV104" s="1342">
        <f>KV54/KV18</f>
        <v/>
      </c>
      <c r="KW104" s="1342">
        <f>KW54/KW18</f>
        <v/>
      </c>
      <c r="KX104" s="1342">
        <f>KX54/KX18</f>
        <v/>
      </c>
      <c r="KY104" s="1342">
        <f>KY54/KY18</f>
        <v/>
      </c>
      <c r="KZ104" s="1342">
        <f>KZ54/KZ18</f>
        <v/>
      </c>
      <c r="LA104" s="1342">
        <f>LA54/LA18</f>
        <v/>
      </c>
      <c r="LB104" s="1342" t="n"/>
      <c r="LC104" s="1342" t="n"/>
      <c r="LD104" s="1342" t="n"/>
      <c r="LE104" s="1342" t="n"/>
      <c r="LF104" s="1342" t="n"/>
      <c r="LG104" s="1342" t="n"/>
      <c r="LH104" s="1342" t="n"/>
      <c r="LI104" s="1342" t="n"/>
      <c r="LJ104" s="1342" t="n"/>
      <c r="LK104" s="1342" t="n"/>
      <c r="LL104" s="1342" t="n"/>
      <c r="LM104" s="1342" t="n"/>
      <c r="LN104" s="1342" t="n"/>
      <c r="LO104" s="1342" t="n"/>
      <c r="LP104" s="1342" t="n"/>
      <c r="LQ104" s="1342" t="n"/>
      <c r="LR104" s="1342" t="n"/>
      <c r="LS104" s="1342" t="n"/>
    </row>
    <row r="105">
      <c r="A105" s="885" t="inlineStr">
        <is>
          <t>m cg %</t>
        </is>
      </c>
      <c r="B105" s="1318" t="n"/>
      <c r="C105" s="1318">
        <f>C104-B104</f>
        <v/>
      </c>
      <c r="D105" s="1318">
        <f>D104-C104</f>
        <v/>
      </c>
      <c r="E105" s="1318">
        <f>E104-D104</f>
        <v/>
      </c>
      <c r="F105" s="1318">
        <f>F104-E104</f>
        <v/>
      </c>
      <c r="G105" s="1318">
        <f>G104-F104</f>
        <v/>
      </c>
      <c r="H105" s="1318">
        <f>H104-G104</f>
        <v/>
      </c>
      <c r="I105" s="1318">
        <f>I104-H104</f>
        <v/>
      </c>
      <c r="J105" s="1318">
        <f>J104-I104</f>
        <v/>
      </c>
      <c r="K105" s="1318">
        <f>K104-J104</f>
        <v/>
      </c>
      <c r="L105" s="1318">
        <f>L104-K104</f>
        <v/>
      </c>
      <c r="M105" s="1318">
        <f>M104-L104</f>
        <v/>
      </c>
      <c r="N105" s="1318">
        <f>N104-M104</f>
        <v/>
      </c>
      <c r="O105" s="1318">
        <f>O104-N104</f>
        <v/>
      </c>
      <c r="P105" s="1318">
        <f>P104-O104</f>
        <v/>
      </c>
      <c r="Q105" s="1318">
        <f>Q104-P104</f>
        <v/>
      </c>
      <c r="R105" s="1318">
        <f>R104-Q104</f>
        <v/>
      </c>
      <c r="S105" s="1318">
        <f>S104-R104</f>
        <v/>
      </c>
      <c r="T105" s="1318">
        <f>T104-S104</f>
        <v/>
      </c>
      <c r="U105" s="1318">
        <f>U104-T104</f>
        <v/>
      </c>
      <c r="V105" s="1318">
        <f>V104-U104</f>
        <v/>
      </c>
      <c r="W105" s="1318">
        <f>W104-V104</f>
        <v/>
      </c>
      <c r="X105" s="1318">
        <f>X104-W104</f>
        <v/>
      </c>
      <c r="Y105" s="1318">
        <f>Y104-X104</f>
        <v/>
      </c>
      <c r="Z105" s="1318">
        <f>Z104-Y104</f>
        <v/>
      </c>
      <c r="AA105" s="1318">
        <f>AA104-Z104</f>
        <v/>
      </c>
      <c r="AB105" s="1318">
        <f>AB104-AA104</f>
        <v/>
      </c>
      <c r="AC105" s="1318">
        <f>AC104-AB104</f>
        <v/>
      </c>
      <c r="AD105" s="1318">
        <f>AD104-AC104</f>
        <v/>
      </c>
      <c r="AE105" s="1318">
        <f>AE104-AD104</f>
        <v/>
      </c>
      <c r="AF105" s="1318">
        <f>AF104-AE104</f>
        <v/>
      </c>
      <c r="AG105" s="1318">
        <f>AG104-AF104</f>
        <v/>
      </c>
      <c r="AH105" s="1318">
        <f>AH104-AG104</f>
        <v/>
      </c>
      <c r="AI105" s="1318">
        <f>AI104-AH104</f>
        <v/>
      </c>
      <c r="AJ105" s="1318">
        <f>AJ104-AI104</f>
        <v/>
      </c>
      <c r="AK105" s="1318">
        <f>AK104-AJ104</f>
        <v/>
      </c>
      <c r="AL105" s="1318">
        <f>AL104-AK104</f>
        <v/>
      </c>
      <c r="AM105" s="1318">
        <f>AM104-AL104</f>
        <v/>
      </c>
      <c r="AN105" s="1318">
        <f>AN104-AM104</f>
        <v/>
      </c>
      <c r="AO105" s="1318">
        <f>AO104-AN104</f>
        <v/>
      </c>
      <c r="AP105" s="1318">
        <f>AP104-AO104</f>
        <v/>
      </c>
      <c r="AQ105" s="1318">
        <f>AQ104-AP104</f>
        <v/>
      </c>
      <c r="AR105" s="1318">
        <f>AR104-AQ104</f>
        <v/>
      </c>
      <c r="AS105" s="1318">
        <f>AS104-AR104</f>
        <v/>
      </c>
      <c r="AT105" s="1318">
        <f>AT104-AS104</f>
        <v/>
      </c>
      <c r="AU105" s="1318">
        <f>AU104-AT104</f>
        <v/>
      </c>
      <c r="AV105" s="1318">
        <f>AV104-AU104</f>
        <v/>
      </c>
      <c r="AW105" s="1318">
        <f>AW104-AV104</f>
        <v/>
      </c>
      <c r="AX105" s="1318">
        <f>AX104-AW104</f>
        <v/>
      </c>
      <c r="AY105" s="1318">
        <f>AY104-AX104</f>
        <v/>
      </c>
      <c r="AZ105" s="1318">
        <f>AZ104-AY104</f>
        <v/>
      </c>
      <c r="BA105" s="1318">
        <f>BA104-AZ104</f>
        <v/>
      </c>
      <c r="BB105" s="1318">
        <f>BB104-BA104</f>
        <v/>
      </c>
      <c r="BC105" s="1318">
        <f>BC104-BB104</f>
        <v/>
      </c>
      <c r="BD105" s="1318">
        <f>BD104-BC104</f>
        <v/>
      </c>
      <c r="BE105" s="1318">
        <f>BE104-BD104</f>
        <v/>
      </c>
      <c r="BF105" s="1318">
        <f>BF104-BE104</f>
        <v/>
      </c>
      <c r="BG105" s="1318">
        <f>BG104-BF104</f>
        <v/>
      </c>
      <c r="BH105" s="1318">
        <f>BH104-BG104</f>
        <v/>
      </c>
      <c r="BI105" s="1318">
        <f>BI104-BH104</f>
        <v/>
      </c>
      <c r="BJ105" s="1318">
        <f>BJ104-BI104</f>
        <v/>
      </c>
      <c r="BK105" s="1318">
        <f>BK104-BJ104</f>
        <v/>
      </c>
      <c r="BL105" s="1318">
        <f>BL104-BK104</f>
        <v/>
      </c>
      <c r="BM105" s="1318">
        <f>BM104-BL104</f>
        <v/>
      </c>
      <c r="BN105" s="1318">
        <f>BN104-BM104</f>
        <v/>
      </c>
      <c r="BO105" s="1318">
        <f>BO104-BN104</f>
        <v/>
      </c>
      <c r="BP105" s="1318">
        <f>BP104-BO104</f>
        <v/>
      </c>
      <c r="BQ105" s="1318">
        <f>BQ104-BP104</f>
        <v/>
      </c>
      <c r="BR105" s="1318">
        <f>BR104-BQ104</f>
        <v/>
      </c>
      <c r="BS105" s="1318">
        <f>BS104-BR104</f>
        <v/>
      </c>
      <c r="BT105" s="1318">
        <f>BT104-BS104</f>
        <v/>
      </c>
      <c r="BU105" s="1318">
        <f>BU104-BT104</f>
        <v/>
      </c>
      <c r="BV105" s="1318">
        <f>BV104-BU104</f>
        <v/>
      </c>
      <c r="BW105" s="1318">
        <f>BW104-BV104</f>
        <v/>
      </c>
      <c r="BX105" s="1318">
        <f>BX104-BW104</f>
        <v/>
      </c>
      <c r="BY105" s="1318">
        <f>BY104-BX104</f>
        <v/>
      </c>
      <c r="BZ105" s="1318">
        <f>BZ104-BY104</f>
        <v/>
      </c>
      <c r="CA105" s="1318">
        <f>CA104-BZ104</f>
        <v/>
      </c>
      <c r="CB105" s="1318">
        <f>CB104-CA104</f>
        <v/>
      </c>
      <c r="CC105" s="1318">
        <f>CC104-CB104</f>
        <v/>
      </c>
      <c r="CD105" s="1318">
        <f>CD104-CC104</f>
        <v/>
      </c>
      <c r="CE105" s="1318">
        <f>CE104-CD104</f>
        <v/>
      </c>
      <c r="CF105" s="1318">
        <f>CF104-CE104</f>
        <v/>
      </c>
      <c r="CG105" s="1318">
        <f>CG104-CF104</f>
        <v/>
      </c>
      <c r="CH105" s="1318">
        <f>CH104-CG104</f>
        <v/>
      </c>
      <c r="CI105" s="1318">
        <f>CI104-CH104</f>
        <v/>
      </c>
      <c r="CJ105" s="1318">
        <f>CJ104-CI104</f>
        <v/>
      </c>
      <c r="CK105" s="1318">
        <f>CK104-CJ104</f>
        <v/>
      </c>
      <c r="CL105" s="1318">
        <f>CL104-CK104</f>
        <v/>
      </c>
      <c r="CM105" s="1318">
        <f>CM104-CL104</f>
        <v/>
      </c>
      <c r="CN105" s="1318">
        <f>CN104-CM104</f>
        <v/>
      </c>
      <c r="CO105" s="1318">
        <f>CO104-CN104</f>
        <v/>
      </c>
      <c r="CP105" s="1318">
        <f>CP104-CO104</f>
        <v/>
      </c>
      <c r="CQ105" s="1318">
        <f>CQ104-CP104</f>
        <v/>
      </c>
      <c r="CR105" s="1318">
        <f>CR104-CQ104</f>
        <v/>
      </c>
      <c r="CS105" s="1318">
        <f>CS104-CR104</f>
        <v/>
      </c>
      <c r="CT105" s="1318">
        <f>CT104-CS104</f>
        <v/>
      </c>
      <c r="CU105" s="1318">
        <f>CU104-CT104</f>
        <v/>
      </c>
      <c r="CV105" s="1318">
        <f>CV104-CU104</f>
        <v/>
      </c>
      <c r="CW105" s="1318">
        <f>CW104-CV104</f>
        <v/>
      </c>
      <c r="CX105" s="1318">
        <f>CX104-CW104</f>
        <v/>
      </c>
      <c r="CY105" s="1318">
        <f>CY104-CX104</f>
        <v/>
      </c>
      <c r="CZ105" s="1318">
        <f>CZ104-CY104</f>
        <v/>
      </c>
      <c r="DA105" s="1318">
        <f>DA104-CZ104</f>
        <v/>
      </c>
      <c r="DB105" s="1318">
        <f>DB104-DA104</f>
        <v/>
      </c>
      <c r="DC105" s="1318">
        <f>DC104-DB104</f>
        <v/>
      </c>
      <c r="DD105" s="1318">
        <f>DD104-DC104</f>
        <v/>
      </c>
      <c r="DE105" s="1318">
        <f>DE104-DD104</f>
        <v/>
      </c>
      <c r="DF105" s="1318">
        <f>DF104-DE104</f>
        <v/>
      </c>
      <c r="DG105" s="1318">
        <f>DG104-DF104</f>
        <v/>
      </c>
      <c r="DH105" s="1318">
        <f>DH104-DG104</f>
        <v/>
      </c>
      <c r="DI105" s="1318">
        <f>DI104-DH104</f>
        <v/>
      </c>
      <c r="DJ105" s="1318">
        <f>DJ104-DI104</f>
        <v/>
      </c>
      <c r="DK105" s="1318">
        <f>DK104-DJ104</f>
        <v/>
      </c>
      <c r="DL105" s="1318">
        <f>DL104-DK104</f>
        <v/>
      </c>
      <c r="DM105" s="1318">
        <f>DM104-DL104</f>
        <v/>
      </c>
      <c r="DN105" s="1318">
        <f>DN104-DM104</f>
        <v/>
      </c>
      <c r="DO105" s="1318">
        <f>DO104-DN104</f>
        <v/>
      </c>
      <c r="DP105" s="1318">
        <f>DP104-DO104</f>
        <v/>
      </c>
      <c r="DQ105" s="1318">
        <f>DQ104-DP104</f>
        <v/>
      </c>
      <c r="DR105" s="1318">
        <f>DR104-DQ104</f>
        <v/>
      </c>
      <c r="DS105" s="1318">
        <f>DS104-DR104</f>
        <v/>
      </c>
      <c r="DT105" s="1318">
        <f>DT104-DS104</f>
        <v/>
      </c>
      <c r="DU105" s="1318">
        <f>DU104-DT104</f>
        <v/>
      </c>
      <c r="DV105" s="1318">
        <f>DV104-DU104</f>
        <v/>
      </c>
      <c r="DW105" s="1318">
        <f>DW104-DV104</f>
        <v/>
      </c>
      <c r="DX105" s="1318">
        <f>DX104-DW104</f>
        <v/>
      </c>
      <c r="DY105" s="1318">
        <f>DY104-DX104</f>
        <v/>
      </c>
      <c r="DZ105" s="1318">
        <f>DZ104-DY104</f>
        <v/>
      </c>
      <c r="EA105" s="1318">
        <f>EA104-DZ104</f>
        <v/>
      </c>
      <c r="EB105" s="1318">
        <f>EB104-EA104</f>
        <v/>
      </c>
      <c r="EC105" s="1318">
        <f>EC104-EB104</f>
        <v/>
      </c>
      <c r="ED105" s="1318">
        <f>ED104-EC104</f>
        <v/>
      </c>
      <c r="EE105" s="1318">
        <f>EE104-ED104</f>
        <v/>
      </c>
      <c r="EF105" s="1318">
        <f>EF104-EE104</f>
        <v/>
      </c>
      <c r="EG105" s="1318">
        <f>EG104-EF104</f>
        <v/>
      </c>
      <c r="EH105" s="1318">
        <f>EH104-EG104</f>
        <v/>
      </c>
      <c r="EI105" s="1318">
        <f>EI104-EH104</f>
        <v/>
      </c>
      <c r="EJ105" s="1318">
        <f>EJ104-EI104</f>
        <v/>
      </c>
      <c r="EK105" s="1318">
        <f>EK104-EJ104</f>
        <v/>
      </c>
      <c r="EL105" s="1318">
        <f>EL104-EK104</f>
        <v/>
      </c>
      <c r="EM105" s="1318">
        <f>EM104-EL104</f>
        <v/>
      </c>
      <c r="EN105" s="1318">
        <f>EN104-EM104</f>
        <v/>
      </c>
      <c r="EO105" s="1318">
        <f>EO104-EN104</f>
        <v/>
      </c>
      <c r="EP105" s="1318">
        <f>EP104-EO104</f>
        <v/>
      </c>
      <c r="EQ105" s="1318">
        <f>EQ104-EP104</f>
        <v/>
      </c>
      <c r="ER105" s="1318">
        <f>ER104-EQ104</f>
        <v/>
      </c>
      <c r="ES105" s="1318">
        <f>ES104-ER104</f>
        <v/>
      </c>
      <c r="ET105" s="1318">
        <f>ET104-ES104</f>
        <v/>
      </c>
      <c r="EU105" s="1318">
        <f>EU104-ET104</f>
        <v/>
      </c>
      <c r="EV105" s="1318">
        <f>EV104-EU104</f>
        <v/>
      </c>
      <c r="EW105" s="1318">
        <f>EW104-EV104</f>
        <v/>
      </c>
      <c r="EX105" s="1318">
        <f>EX104-EW104</f>
        <v/>
      </c>
      <c r="EY105" s="1318">
        <f>EY104-EX104</f>
        <v/>
      </c>
      <c r="EZ105" s="1318">
        <f>EZ104-EY104</f>
        <v/>
      </c>
      <c r="FA105" s="1318">
        <f>FA104-EZ104</f>
        <v/>
      </c>
      <c r="FB105" s="1318">
        <f>FB104-FA104</f>
        <v/>
      </c>
      <c r="FC105" s="1318">
        <f>FC104-FB104</f>
        <v/>
      </c>
      <c r="FD105" s="1318">
        <f>FD104-FC104</f>
        <v/>
      </c>
      <c r="FE105" s="1318">
        <f>FE104-FD104</f>
        <v/>
      </c>
      <c r="FF105" s="1318">
        <f>FF104-FE104</f>
        <v/>
      </c>
      <c r="FG105" s="1318">
        <f>FG104-FF104</f>
        <v/>
      </c>
      <c r="FH105" s="1318">
        <f>FH104-FG104</f>
        <v/>
      </c>
      <c r="FI105" s="1318">
        <f>FI104-FH104</f>
        <v/>
      </c>
      <c r="FJ105" s="1318">
        <f>FJ104-FI104</f>
        <v/>
      </c>
      <c r="FK105" s="1318">
        <f>FK104-FJ104</f>
        <v/>
      </c>
      <c r="FL105" s="1318">
        <f>FL104-FK104</f>
        <v/>
      </c>
      <c r="FM105" s="1318">
        <f>FM104-FL104</f>
        <v/>
      </c>
      <c r="FN105" s="1318">
        <f>FN104-FM104</f>
        <v/>
      </c>
      <c r="FO105" s="1318">
        <f>FO104-FN104</f>
        <v/>
      </c>
      <c r="FP105" s="1318">
        <f>FP104-FO104</f>
        <v/>
      </c>
      <c r="FQ105" s="1318">
        <f>FQ104-FP104</f>
        <v/>
      </c>
      <c r="FR105" s="1318">
        <f>FR104-FQ104</f>
        <v/>
      </c>
      <c r="FS105" s="1318">
        <f>FS104-FR104</f>
        <v/>
      </c>
      <c r="FT105" s="1318">
        <f>FT104-FS104</f>
        <v/>
      </c>
      <c r="FU105" s="1318">
        <f>FU104-FT104</f>
        <v/>
      </c>
      <c r="FV105" s="1318">
        <f>FV104-FU104</f>
        <v/>
      </c>
      <c r="FW105" s="1318">
        <f>FW104-FV104</f>
        <v/>
      </c>
      <c r="FX105" s="1318">
        <f>FX104-FW104</f>
        <v/>
      </c>
      <c r="FY105" s="1318">
        <f>FY104-FX104</f>
        <v/>
      </c>
      <c r="FZ105" s="1318">
        <f>FZ104-FY104</f>
        <v/>
      </c>
      <c r="GA105" s="1318">
        <f>GA104-FZ104</f>
        <v/>
      </c>
      <c r="GB105" s="1318">
        <f>GB104-GA104</f>
        <v/>
      </c>
      <c r="GC105" s="1318">
        <f>GC104-GB104</f>
        <v/>
      </c>
      <c r="GD105" s="1318">
        <f>GD104-GC104</f>
        <v/>
      </c>
      <c r="GE105" s="1318">
        <f>GE104-GD104</f>
        <v/>
      </c>
      <c r="GF105" s="1318">
        <f>GF104-GE104</f>
        <v/>
      </c>
      <c r="GG105" s="1318">
        <f>GG104-GF104</f>
        <v/>
      </c>
      <c r="GH105" s="1318">
        <f>GH104-GG104</f>
        <v/>
      </c>
      <c r="GI105" s="1318">
        <f>GI104-GH104</f>
        <v/>
      </c>
      <c r="GJ105" s="1318">
        <f>GJ104-GI104</f>
        <v/>
      </c>
      <c r="GK105" s="1318">
        <f>GK104-GJ104</f>
        <v/>
      </c>
      <c r="GL105" s="1318">
        <f>GL104-GK104</f>
        <v/>
      </c>
      <c r="GM105" s="1318">
        <f>GM104-GL104</f>
        <v/>
      </c>
      <c r="GN105" s="1318">
        <f>GN104-GM104</f>
        <v/>
      </c>
      <c r="GO105" s="1318">
        <f>GO104-GN104</f>
        <v/>
      </c>
      <c r="GP105" s="1318">
        <f>GP104-GO104</f>
        <v/>
      </c>
      <c r="GQ105" s="1318">
        <f>GQ104-GP104</f>
        <v/>
      </c>
      <c r="GR105" s="1318">
        <f>GR104-GQ104</f>
        <v/>
      </c>
      <c r="GS105" s="1318">
        <f>GS104-GR104</f>
        <v/>
      </c>
      <c r="GT105" s="1318">
        <f>GT104-GS104</f>
        <v/>
      </c>
      <c r="GU105" s="1318">
        <f>GU104-GT104</f>
        <v/>
      </c>
      <c r="GV105" s="1318">
        <f>GV104-GU104</f>
        <v/>
      </c>
      <c r="GW105" s="1318">
        <f>GW104-GV104</f>
        <v/>
      </c>
      <c r="GX105" s="1318">
        <f>GX104-GW104</f>
        <v/>
      </c>
      <c r="GY105" s="1318">
        <f>GY104-GX104</f>
        <v/>
      </c>
      <c r="GZ105" s="1318">
        <f>GZ104-GY104</f>
        <v/>
      </c>
      <c r="HA105" s="1318">
        <f>HA104-GZ104</f>
        <v/>
      </c>
      <c r="HB105" s="1318">
        <f>HB104-HA104</f>
        <v/>
      </c>
      <c r="HC105" s="1318">
        <f>HC104-HB104</f>
        <v/>
      </c>
      <c r="HD105" s="1318">
        <f>HD104-HC104</f>
        <v/>
      </c>
      <c r="HE105" s="1318">
        <f>HE104-HD104</f>
        <v/>
      </c>
      <c r="HF105" s="1318">
        <f>HF104-HE104</f>
        <v/>
      </c>
      <c r="HG105" s="1318">
        <f>HG104-HF104</f>
        <v/>
      </c>
      <c r="HH105" s="1318">
        <f>HH104-HG104</f>
        <v/>
      </c>
      <c r="HI105" s="1318">
        <f>HI104-HH104</f>
        <v/>
      </c>
      <c r="HJ105" s="1318">
        <f>HJ104-HI104</f>
        <v/>
      </c>
      <c r="HK105" s="1318">
        <f>HK104-HJ104</f>
        <v/>
      </c>
      <c r="HL105" s="1318">
        <f>HL104-HK104</f>
        <v/>
      </c>
      <c r="HM105" s="1318">
        <f>HM104-HL104</f>
        <v/>
      </c>
      <c r="HN105" s="1318">
        <f>HN104-HM104</f>
        <v/>
      </c>
      <c r="HO105" s="1318">
        <f>HO104-HN104</f>
        <v/>
      </c>
      <c r="HP105" s="1318">
        <f>HP104-HO104</f>
        <v/>
      </c>
      <c r="HQ105" s="1318">
        <f>HQ104-HP104</f>
        <v/>
      </c>
      <c r="HR105" s="1318">
        <f>HR104-HQ104</f>
        <v/>
      </c>
      <c r="HS105" s="1318">
        <f>HS104-HR104</f>
        <v/>
      </c>
      <c r="HT105" s="1318">
        <f>HT104-HS104</f>
        <v/>
      </c>
      <c r="HU105" s="1318">
        <f>HU104-HT104</f>
        <v/>
      </c>
      <c r="HV105" s="1318">
        <f>HV104-HU104</f>
        <v/>
      </c>
      <c r="HW105" s="1318">
        <f>HW104-HV104</f>
        <v/>
      </c>
      <c r="HX105" s="1318">
        <f>HX104-HW104</f>
        <v/>
      </c>
      <c r="HY105" s="1318">
        <f>HY104-HX104</f>
        <v/>
      </c>
      <c r="HZ105" s="1318">
        <f>HZ104-HY104</f>
        <v/>
      </c>
      <c r="IA105" s="1318">
        <f>IA104-HZ104</f>
        <v/>
      </c>
      <c r="IB105" s="1318">
        <f>IB104-IA104</f>
        <v/>
      </c>
      <c r="IC105" s="1318">
        <f>IC104-IB104</f>
        <v/>
      </c>
      <c r="ID105" s="1318">
        <f>ID104-IC104</f>
        <v/>
      </c>
      <c r="IE105" s="1318">
        <f>IE104-ID104</f>
        <v/>
      </c>
      <c r="IF105" s="1318">
        <f>IF104-IE104</f>
        <v/>
      </c>
      <c r="IG105" s="1318">
        <f>IG104-IF104</f>
        <v/>
      </c>
      <c r="IH105" s="1318">
        <f>IH104-IG104</f>
        <v/>
      </c>
      <c r="II105" s="1318">
        <f>II104-IH104</f>
        <v/>
      </c>
      <c r="IJ105" s="1318">
        <f>IJ104-II104</f>
        <v/>
      </c>
      <c r="IK105" s="1318">
        <f>IK104-IJ104</f>
        <v/>
      </c>
      <c r="IL105" s="1318">
        <f>IL104-IK104</f>
        <v/>
      </c>
      <c r="IM105" s="1318">
        <f>IM104-IL104</f>
        <v/>
      </c>
      <c r="IN105" s="1318">
        <f>IN104-IM104</f>
        <v/>
      </c>
      <c r="IO105" s="1318">
        <f>IO104-IN104</f>
        <v/>
      </c>
      <c r="IP105" s="1318">
        <f>IP104-IO104</f>
        <v/>
      </c>
      <c r="IQ105" s="1318">
        <f>IQ104-IP104</f>
        <v/>
      </c>
      <c r="IR105" s="1318">
        <f>IR104-IQ104</f>
        <v/>
      </c>
      <c r="IS105" s="1318">
        <f>IS104-IR104</f>
        <v/>
      </c>
      <c r="IT105" s="1318">
        <f>IT104-IS104</f>
        <v/>
      </c>
      <c r="IU105" s="1318">
        <f>IU104-IT104</f>
        <v/>
      </c>
      <c r="IV105" s="1318">
        <f>IV104-IU104</f>
        <v/>
      </c>
      <c r="IW105" s="1318">
        <f>IW104-IV104</f>
        <v/>
      </c>
      <c r="IX105" s="1318">
        <f>IX104-IW104</f>
        <v/>
      </c>
      <c r="IY105" s="1318">
        <f>IY104-IX104</f>
        <v/>
      </c>
      <c r="IZ105" s="1318">
        <f>IZ104-IY104</f>
        <v/>
      </c>
      <c r="JA105" s="1318">
        <f>JA104-IZ104</f>
        <v/>
      </c>
      <c r="JB105" s="1318">
        <f>JB104-JA104</f>
        <v/>
      </c>
      <c r="JC105" s="1318">
        <f>JC104-JB104</f>
        <v/>
      </c>
      <c r="JD105" s="1318">
        <f>JD104-JC104</f>
        <v/>
      </c>
      <c r="JE105" s="1318">
        <f>JE104-JD104</f>
        <v/>
      </c>
      <c r="JF105" s="1318">
        <f>JF104-JE104</f>
        <v/>
      </c>
      <c r="JG105" s="1318">
        <f>JG104-JF104</f>
        <v/>
      </c>
      <c r="JH105" s="1318">
        <f>JH104-JG104</f>
        <v/>
      </c>
      <c r="JI105" s="1318">
        <f>JI104-JH104</f>
        <v/>
      </c>
      <c r="JJ105" s="1318">
        <f>JJ104-JI104</f>
        <v/>
      </c>
      <c r="JK105" s="1318">
        <f>JK104-JJ104</f>
        <v/>
      </c>
      <c r="JL105" s="1318">
        <f>JL104-JK104</f>
        <v/>
      </c>
      <c r="JM105" s="1318">
        <f>JM104-JL104</f>
        <v/>
      </c>
      <c r="JN105" s="1318">
        <f>JN104-JM104</f>
        <v/>
      </c>
      <c r="JO105" s="1318">
        <f>JO104-JN104</f>
        <v/>
      </c>
      <c r="JP105" s="1318">
        <f>JP104-JO104</f>
        <v/>
      </c>
      <c r="JQ105" s="1318">
        <f>JQ104-JP104</f>
        <v/>
      </c>
      <c r="JR105" s="1318">
        <f>JR104-JQ104</f>
        <v/>
      </c>
      <c r="JS105" s="1318">
        <f>JS104-JR104</f>
        <v/>
      </c>
      <c r="JT105" s="1318">
        <f>JT104-JS104</f>
        <v/>
      </c>
      <c r="JU105" s="1318">
        <f>JU104-JT104</f>
        <v/>
      </c>
      <c r="JV105" s="1318">
        <f>JV104-JU104</f>
        <v/>
      </c>
      <c r="JW105" s="1318">
        <f>JW104-JV104</f>
        <v/>
      </c>
      <c r="JX105" s="1318">
        <f>JX104-JW104</f>
        <v/>
      </c>
      <c r="JY105" s="1318">
        <f>JY104-JX104</f>
        <v/>
      </c>
      <c r="JZ105" s="1318">
        <f>JZ104-JY104</f>
        <v/>
      </c>
      <c r="KA105" s="1318">
        <f>KA104-JZ104</f>
        <v/>
      </c>
      <c r="KB105" s="1318">
        <f>KB104-KA104</f>
        <v/>
      </c>
      <c r="KC105" s="1318">
        <f>KC104-KB104</f>
        <v/>
      </c>
      <c r="KD105" s="1318">
        <f>KD104-KC104</f>
        <v/>
      </c>
      <c r="KE105" s="1318">
        <f>KE104-KD104</f>
        <v/>
      </c>
      <c r="KF105" s="1318">
        <f>KF104-KE104</f>
        <v/>
      </c>
      <c r="KG105" s="1318">
        <f>KG104-KF104</f>
        <v/>
      </c>
      <c r="KH105" s="1318">
        <f>KH104-KG104</f>
        <v/>
      </c>
      <c r="KI105" s="1318">
        <f>KI104-KH104</f>
        <v/>
      </c>
      <c r="KJ105" s="1318">
        <f>KJ104-KI104</f>
        <v/>
      </c>
      <c r="KK105" s="1318">
        <f>KK104-KJ104</f>
        <v/>
      </c>
      <c r="KL105" s="1318">
        <f>KL104-KK104</f>
        <v/>
      </c>
      <c r="KM105" s="1318">
        <f>KM104-KL104</f>
        <v/>
      </c>
      <c r="KN105" s="1318">
        <f>KN104-KM104</f>
        <v/>
      </c>
      <c r="KO105" s="1318">
        <f>KO104-KN104</f>
        <v/>
      </c>
      <c r="KP105" s="1318">
        <f>KP104-KO104</f>
        <v/>
      </c>
      <c r="KQ105" s="1318">
        <f>KQ104-KP104</f>
        <v/>
      </c>
      <c r="KR105" s="1318">
        <f>KR104-KQ104</f>
        <v/>
      </c>
      <c r="KS105" s="1318">
        <f>KS104-KR104</f>
        <v/>
      </c>
      <c r="KT105" s="1318">
        <f>KT104-KS104</f>
        <v/>
      </c>
      <c r="KU105" s="1318">
        <f>KU104-KT104</f>
        <v/>
      </c>
      <c r="KV105" s="1318">
        <f>KV104-KU104</f>
        <v/>
      </c>
      <c r="KW105" s="1318">
        <f>KW104-KV104</f>
        <v/>
      </c>
      <c r="KX105" s="1318">
        <f>KX104-KW104</f>
        <v/>
      </c>
      <c r="KY105" s="1318">
        <f>KY104-KX104</f>
        <v/>
      </c>
      <c r="KZ105" s="1318">
        <f>KZ104-KY104</f>
        <v/>
      </c>
      <c r="LA105" s="1318">
        <f>LA104-KZ104</f>
        <v/>
      </c>
      <c r="LB105" s="1318" t="n"/>
      <c r="LC105" s="1318" t="n"/>
      <c r="LD105" s="1318" t="n"/>
      <c r="LE105" s="1318" t="n"/>
      <c r="LF105" s="1318" t="n"/>
      <c r="LG105" s="1318" t="n"/>
      <c r="LH105" s="1318" t="n"/>
      <c r="LI105" s="1318" t="n"/>
      <c r="LJ105" s="1318" t="n"/>
      <c r="LK105" s="1318" t="n"/>
      <c r="LL105" s="1318" t="n"/>
      <c r="LM105" s="1318" t="n"/>
      <c r="LN105" s="1318" t="n"/>
      <c r="LO105" s="1318" t="n"/>
      <c r="LP105" s="1318" t="n"/>
      <c r="LQ105" s="1318" t="n"/>
      <c r="LR105" s="1318" t="n"/>
      <c r="LS105" s="1318" t="n"/>
    </row>
    <row r="106">
      <c r="A106" s="885" t="inlineStr">
        <is>
          <t>YoY pointsCg %</t>
        </is>
      </c>
      <c r="B106" s="1318" t="n"/>
      <c r="C106" s="1318" t="n"/>
      <c r="D106" s="1318" t="n"/>
      <c r="E106" s="1318" t="n"/>
      <c r="F106" s="1318" t="n"/>
      <c r="G106" s="1318" t="n"/>
      <c r="H106" s="1318" t="n"/>
      <c r="I106" s="1318" t="n"/>
      <c r="J106" s="1318" t="n"/>
      <c r="K106" s="1318" t="n"/>
      <c r="L106" s="1318" t="n"/>
      <c r="M106" s="1318" t="n"/>
      <c r="N106" s="1318">
        <f>N104-B104</f>
        <v/>
      </c>
      <c r="O106" s="1318">
        <f>O104-C104</f>
        <v/>
      </c>
      <c r="P106" s="1318">
        <f>P104-D104</f>
        <v/>
      </c>
      <c r="Q106" s="1318">
        <f>Q104-E104</f>
        <v/>
      </c>
      <c r="R106" s="1318">
        <f>R104-F104</f>
        <v/>
      </c>
      <c r="S106" s="1318">
        <f>S104-G104</f>
        <v/>
      </c>
      <c r="T106" s="1318">
        <f>T104-H104</f>
        <v/>
      </c>
      <c r="U106" s="1318">
        <f>U104-I104</f>
        <v/>
      </c>
      <c r="V106" s="1318">
        <f>V104-J104</f>
        <v/>
      </c>
      <c r="W106" s="1318">
        <f>W104-K104</f>
        <v/>
      </c>
      <c r="X106" s="1318">
        <f>X104-L104</f>
        <v/>
      </c>
      <c r="Y106" s="1318">
        <f>Y104-M104</f>
        <v/>
      </c>
      <c r="Z106" s="1318">
        <f>Z104-N104</f>
        <v/>
      </c>
      <c r="AA106" s="1318">
        <f>AA104-O104</f>
        <v/>
      </c>
      <c r="AB106" s="1318">
        <f>AB104-P104</f>
        <v/>
      </c>
      <c r="AC106" s="1318">
        <f>AC104-Q104</f>
        <v/>
      </c>
      <c r="AD106" s="1318">
        <f>AD104-R104</f>
        <v/>
      </c>
      <c r="AE106" s="1318">
        <f>AE104-S104</f>
        <v/>
      </c>
      <c r="AF106" s="1318">
        <f>AF104-T104</f>
        <v/>
      </c>
      <c r="AG106" s="1318">
        <f>AG104-U104</f>
        <v/>
      </c>
      <c r="AH106" s="1318">
        <f>AH104-V104</f>
        <v/>
      </c>
      <c r="AI106" s="1318">
        <f>AI104-W104</f>
        <v/>
      </c>
      <c r="AJ106" s="1318">
        <f>AJ104-X104</f>
        <v/>
      </c>
      <c r="AK106" s="1318">
        <f>AK104-Y104</f>
        <v/>
      </c>
      <c r="AL106" s="1318">
        <f>AL104-Z104</f>
        <v/>
      </c>
      <c r="AM106" s="1318">
        <f>AM104-AA104</f>
        <v/>
      </c>
      <c r="AN106" s="1318">
        <f>AN104-AB104</f>
        <v/>
      </c>
      <c r="AO106" s="1318">
        <f>AO104-AC104</f>
        <v/>
      </c>
      <c r="AP106" s="1318">
        <f>AP104-AD104</f>
        <v/>
      </c>
      <c r="AQ106" s="1318">
        <f>AQ104-AE104</f>
        <v/>
      </c>
      <c r="AR106" s="1318">
        <f>AR104-AF104</f>
        <v/>
      </c>
      <c r="AS106" s="1318">
        <f>AS104-AG104</f>
        <v/>
      </c>
      <c r="AT106" s="1318">
        <f>AT104-AH104</f>
        <v/>
      </c>
      <c r="AU106" s="1318">
        <f>AU104-AI104</f>
        <v/>
      </c>
      <c r="AV106" s="1318">
        <f>AV104-AJ104</f>
        <v/>
      </c>
      <c r="AW106" s="1318">
        <f>AW104-AK104</f>
        <v/>
      </c>
      <c r="AX106" s="1318">
        <f>AX104-AL104</f>
        <v/>
      </c>
      <c r="AY106" s="1318">
        <f>AY104-AM104</f>
        <v/>
      </c>
      <c r="AZ106" s="1318">
        <f>AZ104-AN104</f>
        <v/>
      </c>
      <c r="BA106" s="1318">
        <f>BA104-AO104</f>
        <v/>
      </c>
      <c r="BB106" s="1318">
        <f>BB104-AP104</f>
        <v/>
      </c>
      <c r="BC106" s="1318">
        <f>BC104-AQ104</f>
        <v/>
      </c>
      <c r="BD106" s="1318">
        <f>BD104-AR104</f>
        <v/>
      </c>
      <c r="BE106" s="1318">
        <f>BE104-AS104</f>
        <v/>
      </c>
      <c r="BF106" s="1318">
        <f>BF104-AT104</f>
        <v/>
      </c>
      <c r="BG106" s="1318">
        <f>BG104-AU104</f>
        <v/>
      </c>
      <c r="BH106" s="1318">
        <f>BH104-AV104</f>
        <v/>
      </c>
      <c r="BI106" s="1318">
        <f>BI104-AW104</f>
        <v/>
      </c>
      <c r="BJ106" s="1318">
        <f>BJ104-AX104</f>
        <v/>
      </c>
      <c r="BK106" s="1318">
        <f>BK104-AY104</f>
        <v/>
      </c>
      <c r="BL106" s="1318">
        <f>BL104-AZ104</f>
        <v/>
      </c>
      <c r="BM106" s="1318">
        <f>BM104-BA104</f>
        <v/>
      </c>
      <c r="BN106" s="1318">
        <f>BN104-BB104</f>
        <v/>
      </c>
      <c r="BO106" s="1318">
        <f>BO104-BC104</f>
        <v/>
      </c>
      <c r="BP106" s="1318">
        <f>BP104-BD104</f>
        <v/>
      </c>
      <c r="BQ106" s="1318">
        <f>BQ104-BE104</f>
        <v/>
      </c>
      <c r="BR106" s="1318">
        <f>BR104-BF104</f>
        <v/>
      </c>
      <c r="BS106" s="1318">
        <f>BS104-BG104</f>
        <v/>
      </c>
      <c r="BT106" s="1318">
        <f>BT104-BH104</f>
        <v/>
      </c>
      <c r="BU106" s="1318">
        <f>BU104-BI104</f>
        <v/>
      </c>
      <c r="BV106" s="1318">
        <f>BV104-BJ104</f>
        <v/>
      </c>
      <c r="BW106" s="1318">
        <f>BW104-BK104</f>
        <v/>
      </c>
      <c r="BX106" s="1318">
        <f>BX104-BL104</f>
        <v/>
      </c>
      <c r="BY106" s="1318">
        <f>BY104-BM104</f>
        <v/>
      </c>
      <c r="BZ106" s="1318">
        <f>BZ104-BN104</f>
        <v/>
      </c>
      <c r="CA106" s="1318">
        <f>CA104-BO104</f>
        <v/>
      </c>
      <c r="CB106" s="1318">
        <f>CB104-BP104</f>
        <v/>
      </c>
      <c r="CC106" s="1318">
        <f>CC104-BQ104</f>
        <v/>
      </c>
      <c r="CD106" s="1318">
        <f>CD104-BR104</f>
        <v/>
      </c>
      <c r="CE106" s="1318">
        <f>CE104-BS104</f>
        <v/>
      </c>
      <c r="CF106" s="1318">
        <f>CF104-BT104</f>
        <v/>
      </c>
      <c r="CG106" s="1318">
        <f>CG104-BU104</f>
        <v/>
      </c>
      <c r="CH106" s="1318">
        <f>CH104-BV104</f>
        <v/>
      </c>
      <c r="CI106" s="1318">
        <f>CI104-BW104</f>
        <v/>
      </c>
      <c r="CJ106" s="1318">
        <f>CJ104-BX104</f>
        <v/>
      </c>
      <c r="CK106" s="1318">
        <f>CK104-BY104</f>
        <v/>
      </c>
      <c r="CL106" s="1318">
        <f>CL104-BZ104</f>
        <v/>
      </c>
      <c r="CM106" s="1318">
        <f>CM104-CA104</f>
        <v/>
      </c>
      <c r="CN106" s="1318">
        <f>CN104-CB104</f>
        <v/>
      </c>
      <c r="CO106" s="1318">
        <f>CO104-CC104</f>
        <v/>
      </c>
      <c r="CP106" s="1318">
        <f>CP104-CD104</f>
        <v/>
      </c>
      <c r="CQ106" s="1318">
        <f>CQ104-CE104</f>
        <v/>
      </c>
      <c r="CR106" s="1318">
        <f>CR104-CF104</f>
        <v/>
      </c>
      <c r="CS106" s="1318">
        <f>CS104-CG104</f>
        <v/>
      </c>
      <c r="CT106" s="1318">
        <f>CT104-CH104</f>
        <v/>
      </c>
      <c r="CU106" s="1318">
        <f>CU104-CI104</f>
        <v/>
      </c>
      <c r="CV106" s="1318">
        <f>CV104-CJ104</f>
        <v/>
      </c>
      <c r="CW106" s="1318">
        <f>CW104-CK104</f>
        <v/>
      </c>
      <c r="CX106" s="1318">
        <f>CX104-CL104</f>
        <v/>
      </c>
      <c r="CY106" s="1318">
        <f>CY104-CM104</f>
        <v/>
      </c>
      <c r="CZ106" s="1318">
        <f>CZ104-CN104</f>
        <v/>
      </c>
      <c r="DA106" s="1318">
        <f>DA104-CO104</f>
        <v/>
      </c>
      <c r="DB106" s="1318">
        <f>DB104-CP104</f>
        <v/>
      </c>
      <c r="DC106" s="1318">
        <f>DC104-CQ104</f>
        <v/>
      </c>
      <c r="DD106" s="1318">
        <f>DD104-CR104</f>
        <v/>
      </c>
      <c r="DE106" s="1318">
        <f>DE104-CS104</f>
        <v/>
      </c>
      <c r="DF106" s="1318">
        <f>DF104-CT104</f>
        <v/>
      </c>
      <c r="DG106" s="1318">
        <f>DG104-CU104</f>
        <v/>
      </c>
      <c r="DH106" s="1318">
        <f>DH104-CV104</f>
        <v/>
      </c>
      <c r="DI106" s="1318">
        <f>DI104-CW104</f>
        <v/>
      </c>
      <c r="DJ106" s="1318">
        <f>DJ104-CX104</f>
        <v/>
      </c>
      <c r="DK106" s="1318">
        <f>DK104-CY104</f>
        <v/>
      </c>
      <c r="DL106" s="1318">
        <f>DL104-CZ104</f>
        <v/>
      </c>
      <c r="DM106" s="1318">
        <f>DM104-DA104</f>
        <v/>
      </c>
      <c r="DN106" s="1318">
        <f>DN104-DB104</f>
        <v/>
      </c>
      <c r="DO106" s="1318">
        <f>DO104-DC104</f>
        <v/>
      </c>
      <c r="DP106" s="1318">
        <f>DP104-DD104</f>
        <v/>
      </c>
      <c r="DQ106" s="1318">
        <f>DQ104-DE104</f>
        <v/>
      </c>
      <c r="DR106" s="1318">
        <f>DR104-DF104</f>
        <v/>
      </c>
      <c r="DS106" s="1318">
        <f>DS104-DG104</f>
        <v/>
      </c>
      <c r="DT106" s="1318">
        <f>DT104-DH104</f>
        <v/>
      </c>
      <c r="DU106" s="1318">
        <f>DU104-DI104</f>
        <v/>
      </c>
      <c r="DV106" s="1318">
        <f>DV104-DJ104</f>
        <v/>
      </c>
      <c r="DW106" s="1318">
        <f>DW104-DK104</f>
        <v/>
      </c>
      <c r="DX106" s="1318">
        <f>DX104-DL104</f>
        <v/>
      </c>
      <c r="DY106" s="1318">
        <f>DY104-DM104</f>
        <v/>
      </c>
      <c r="DZ106" s="1318">
        <f>DZ104-DN104</f>
        <v/>
      </c>
      <c r="EA106" s="1318">
        <f>EA104-DO104</f>
        <v/>
      </c>
      <c r="EB106" s="1318">
        <f>EB104-DP104</f>
        <v/>
      </c>
      <c r="EC106" s="1318">
        <f>EC104-DQ104</f>
        <v/>
      </c>
      <c r="ED106" s="1318">
        <f>ED104-DR104</f>
        <v/>
      </c>
      <c r="EE106" s="1318">
        <f>EE104-DS104</f>
        <v/>
      </c>
      <c r="EF106" s="1318">
        <f>EF104-DT104</f>
        <v/>
      </c>
      <c r="EG106" s="1318">
        <f>EG104-DU104</f>
        <v/>
      </c>
      <c r="EH106" s="1318">
        <f>EH104-DV104</f>
        <v/>
      </c>
      <c r="EI106" s="1318">
        <f>EI104-DW104</f>
        <v/>
      </c>
      <c r="EJ106" s="1318">
        <f>EJ104-DX104</f>
        <v/>
      </c>
      <c r="EK106" s="1318">
        <f>EK104-DY104</f>
        <v/>
      </c>
      <c r="EL106" s="1318">
        <f>EL104-DZ104</f>
        <v/>
      </c>
      <c r="EM106" s="1318">
        <f>EM104-EA104</f>
        <v/>
      </c>
      <c r="EN106" s="1318">
        <f>EN104-EB104</f>
        <v/>
      </c>
      <c r="EO106" s="1318">
        <f>EO104-EC104</f>
        <v/>
      </c>
      <c r="EP106" s="1318">
        <f>EP104-ED104</f>
        <v/>
      </c>
      <c r="EQ106" s="1318">
        <f>EQ104-EE104</f>
        <v/>
      </c>
      <c r="ER106" s="1318">
        <f>ER104-EF104</f>
        <v/>
      </c>
      <c r="ES106" s="1318">
        <f>ES104-EG104</f>
        <v/>
      </c>
      <c r="ET106" s="1318">
        <f>ET104-EH104</f>
        <v/>
      </c>
      <c r="EU106" s="1318">
        <f>EU104-EI104</f>
        <v/>
      </c>
      <c r="EV106" s="1318">
        <f>EV104-EJ104</f>
        <v/>
      </c>
      <c r="EW106" s="1318">
        <f>EW104-EK104</f>
        <v/>
      </c>
      <c r="EX106" s="1318">
        <f>EX104-EL104</f>
        <v/>
      </c>
      <c r="EY106" s="1318">
        <f>EY104-EM104</f>
        <v/>
      </c>
      <c r="EZ106" s="1318">
        <f>EZ104-EN104</f>
        <v/>
      </c>
      <c r="FA106" s="1318">
        <f>FA104-EO104</f>
        <v/>
      </c>
      <c r="FB106" s="1318">
        <f>FB104-EP104</f>
        <v/>
      </c>
      <c r="FC106" s="1318">
        <f>FC104-EQ104</f>
        <v/>
      </c>
      <c r="FD106" s="1318">
        <f>FD104-ER104</f>
        <v/>
      </c>
      <c r="FE106" s="1318">
        <f>FE104-ES104</f>
        <v/>
      </c>
      <c r="FF106" s="1318">
        <f>FF104-ET104</f>
        <v/>
      </c>
      <c r="FG106" s="1318">
        <f>FG104-EU104</f>
        <v/>
      </c>
      <c r="FH106" s="1318">
        <f>FH104-EV104</f>
        <v/>
      </c>
      <c r="FI106" s="1318">
        <f>FI104-EW104</f>
        <v/>
      </c>
      <c r="FJ106" s="1318">
        <f>FJ104-EX104</f>
        <v/>
      </c>
      <c r="FK106" s="1318">
        <f>FK104-EY104</f>
        <v/>
      </c>
      <c r="FL106" s="1318">
        <f>FL104-EZ104</f>
        <v/>
      </c>
      <c r="FM106" s="1318">
        <f>FM104-FA104</f>
        <v/>
      </c>
      <c r="FN106" s="1318">
        <f>FN104-FB104</f>
        <v/>
      </c>
      <c r="FO106" s="1318">
        <f>FO104-FC104</f>
        <v/>
      </c>
      <c r="FP106" s="1318">
        <f>FP104-FD104</f>
        <v/>
      </c>
      <c r="FQ106" s="1318">
        <f>FQ104-FE104</f>
        <v/>
      </c>
      <c r="FR106" s="1318">
        <f>FR104-FF104</f>
        <v/>
      </c>
      <c r="FS106" s="1318">
        <f>FS104-FG104</f>
        <v/>
      </c>
      <c r="FT106" s="1318">
        <f>FT104-FH104</f>
        <v/>
      </c>
      <c r="FU106" s="1318">
        <f>FU104-FI104</f>
        <v/>
      </c>
      <c r="FV106" s="1318">
        <f>FV104-FJ104</f>
        <v/>
      </c>
      <c r="FW106" s="1318">
        <f>FW104-FK104</f>
        <v/>
      </c>
      <c r="FX106" s="1318">
        <f>FX104-FL104</f>
        <v/>
      </c>
      <c r="FY106" s="1318">
        <f>FY104-FM104</f>
        <v/>
      </c>
      <c r="FZ106" s="1318">
        <f>FZ104-FN104</f>
        <v/>
      </c>
      <c r="GA106" s="1318">
        <f>GA104-FO104</f>
        <v/>
      </c>
      <c r="GB106" s="1318">
        <f>GB104-FP104</f>
        <v/>
      </c>
      <c r="GC106" s="1318">
        <f>GC104-FQ104</f>
        <v/>
      </c>
      <c r="GD106" s="1318">
        <f>GD104-FR104</f>
        <v/>
      </c>
      <c r="GE106" s="1318">
        <f>GE104-FS104</f>
        <v/>
      </c>
      <c r="GF106" s="1318">
        <f>GF104-FT104</f>
        <v/>
      </c>
      <c r="GG106" s="1318">
        <f>GG104-FU104</f>
        <v/>
      </c>
      <c r="GH106" s="1318">
        <f>GH104-FV104</f>
        <v/>
      </c>
      <c r="GI106" s="1318">
        <f>GI104-FW104</f>
        <v/>
      </c>
      <c r="GJ106" s="1318">
        <f>GJ104-FX104</f>
        <v/>
      </c>
      <c r="GK106" s="1318">
        <f>GK104-FY104</f>
        <v/>
      </c>
      <c r="GL106" s="1318">
        <f>GL104-FZ104</f>
        <v/>
      </c>
      <c r="GM106" s="1318">
        <f>GM104-GA104</f>
        <v/>
      </c>
      <c r="GN106" s="1318">
        <f>GN104-GB104</f>
        <v/>
      </c>
      <c r="GO106" s="1318">
        <f>GO104-GC104</f>
        <v/>
      </c>
      <c r="GP106" s="1318">
        <f>GP104-GD104</f>
        <v/>
      </c>
      <c r="GQ106" s="1318">
        <f>GQ104-GE104</f>
        <v/>
      </c>
      <c r="GR106" s="1318">
        <f>GR104-GF104</f>
        <v/>
      </c>
      <c r="GS106" s="1318">
        <f>GS104-GG104</f>
        <v/>
      </c>
      <c r="GT106" s="1318">
        <f>GT104-GH104</f>
        <v/>
      </c>
      <c r="GU106" s="1318">
        <f>GU104-GI104</f>
        <v/>
      </c>
      <c r="GV106" s="1318">
        <f>GV104-GJ104</f>
        <v/>
      </c>
      <c r="GW106" s="1318">
        <f>GW104-GK104</f>
        <v/>
      </c>
      <c r="GX106" s="1318">
        <f>GX104-GL104</f>
        <v/>
      </c>
      <c r="GY106" s="1318">
        <f>GY104-GM104</f>
        <v/>
      </c>
      <c r="GZ106" s="1318">
        <f>GZ104-GN104</f>
        <v/>
      </c>
      <c r="HA106" s="1318">
        <f>HA104-GO104</f>
        <v/>
      </c>
      <c r="HB106" s="1318">
        <f>HB104-GP104</f>
        <v/>
      </c>
      <c r="HC106" s="1318">
        <f>HC104-GQ104</f>
        <v/>
      </c>
      <c r="HD106" s="1318">
        <f>HD104-GR104</f>
        <v/>
      </c>
      <c r="HE106" s="1318">
        <f>HE104-GS104</f>
        <v/>
      </c>
      <c r="HF106" s="1318">
        <f>HF104-GT104</f>
        <v/>
      </c>
      <c r="HG106" s="1318">
        <f>HG104-GU104</f>
        <v/>
      </c>
      <c r="HH106" s="1318">
        <f>HH104-GV104</f>
        <v/>
      </c>
      <c r="HI106" s="1318">
        <f>HI104-GW104</f>
        <v/>
      </c>
      <c r="HJ106" s="1318">
        <f>HJ104-GX104</f>
        <v/>
      </c>
      <c r="HK106" s="1318">
        <f>HK104-GY104</f>
        <v/>
      </c>
      <c r="HL106" s="1318">
        <f>HL104-GZ104</f>
        <v/>
      </c>
      <c r="HM106" s="1318">
        <f>HM104-HA104</f>
        <v/>
      </c>
      <c r="HN106" s="1318">
        <f>HN104-HB104</f>
        <v/>
      </c>
      <c r="HO106" s="1318">
        <f>HO104-HC104</f>
        <v/>
      </c>
      <c r="HP106" s="1318">
        <f>HP104-HD104</f>
        <v/>
      </c>
      <c r="HQ106" s="1318">
        <f>HQ104-HE104</f>
        <v/>
      </c>
      <c r="HR106" s="1318">
        <f>HR104-HF104</f>
        <v/>
      </c>
      <c r="HS106" s="1318">
        <f>HS104-HG104</f>
        <v/>
      </c>
      <c r="HT106" s="1318">
        <f>HT104-HH104</f>
        <v/>
      </c>
      <c r="HU106" s="1318">
        <f>HU104-HI104</f>
        <v/>
      </c>
      <c r="HV106" s="1318">
        <f>HV104-HJ104</f>
        <v/>
      </c>
      <c r="HW106" s="1318">
        <f>HW104-HK104</f>
        <v/>
      </c>
      <c r="HX106" s="1318">
        <f>HX104-HL104</f>
        <v/>
      </c>
      <c r="HY106" s="1318">
        <f>HY104-HM104</f>
        <v/>
      </c>
      <c r="HZ106" s="1318">
        <f>HZ104-HN104</f>
        <v/>
      </c>
      <c r="IA106" s="1318">
        <f>IA104-HO104</f>
        <v/>
      </c>
      <c r="IB106" s="1318">
        <f>IB104-HP104</f>
        <v/>
      </c>
      <c r="IC106" s="1318">
        <f>IC104-HQ104</f>
        <v/>
      </c>
      <c r="ID106" s="1318">
        <f>ID104-HR104</f>
        <v/>
      </c>
      <c r="IE106" s="1318">
        <f>IE104-HS104</f>
        <v/>
      </c>
      <c r="IF106" s="1318">
        <f>IF104-HT104</f>
        <v/>
      </c>
      <c r="IG106" s="1318">
        <f>IG104-HU104</f>
        <v/>
      </c>
      <c r="IH106" s="1318">
        <f>IH104-HV104</f>
        <v/>
      </c>
      <c r="II106" s="1318">
        <f>II104-HW104</f>
        <v/>
      </c>
      <c r="IJ106" s="1318">
        <f>IJ104-HX104</f>
        <v/>
      </c>
      <c r="IK106" s="1318">
        <f>IK104-HY104</f>
        <v/>
      </c>
      <c r="IL106" s="1318">
        <f>IL104-HZ104</f>
        <v/>
      </c>
      <c r="IM106" s="1318">
        <f>IM104-IA104</f>
        <v/>
      </c>
      <c r="IN106" s="1318">
        <f>IN104-IB104</f>
        <v/>
      </c>
      <c r="IO106" s="1318">
        <f>IO104-IC104</f>
        <v/>
      </c>
      <c r="IP106" s="1318">
        <f>IP104-ID104</f>
        <v/>
      </c>
      <c r="IQ106" s="1318">
        <f>IQ104-IE104</f>
        <v/>
      </c>
      <c r="IR106" s="1318">
        <f>IR104-IF104</f>
        <v/>
      </c>
      <c r="IS106" s="1318">
        <f>IS104-IG104</f>
        <v/>
      </c>
      <c r="IT106" s="1318">
        <f>IT104-IH104</f>
        <v/>
      </c>
      <c r="IU106" s="1318">
        <f>IU104-II104</f>
        <v/>
      </c>
      <c r="IV106" s="1318">
        <f>IV104-IJ104</f>
        <v/>
      </c>
      <c r="IW106" s="1318">
        <f>IW104-IK104</f>
        <v/>
      </c>
      <c r="IX106" s="1318">
        <f>IX104-IL104</f>
        <v/>
      </c>
      <c r="IY106" s="1318">
        <f>IY104-IM104</f>
        <v/>
      </c>
      <c r="IZ106" s="1318">
        <f>IZ104-IN104</f>
        <v/>
      </c>
      <c r="JA106" s="1318">
        <f>JA104-IO104</f>
        <v/>
      </c>
      <c r="JB106" s="1318">
        <f>JB104-IP104</f>
        <v/>
      </c>
      <c r="JC106" s="1318">
        <f>JC104-IQ104</f>
        <v/>
      </c>
      <c r="JD106" s="1318">
        <f>JD104-IR104</f>
        <v/>
      </c>
      <c r="JE106" s="1318">
        <f>JE104-IS104</f>
        <v/>
      </c>
      <c r="JF106" s="1318">
        <f>JF104-IT104</f>
        <v/>
      </c>
      <c r="JG106" s="1318">
        <f>JG104-IU104</f>
        <v/>
      </c>
      <c r="JH106" s="1318">
        <f>JH104-IV104</f>
        <v/>
      </c>
      <c r="JI106" s="1318">
        <f>JI104-IW104</f>
        <v/>
      </c>
      <c r="JJ106" s="1318">
        <f>JJ104-IX104</f>
        <v/>
      </c>
      <c r="JK106" s="1318">
        <f>JK104-IY104</f>
        <v/>
      </c>
      <c r="JL106" s="1318">
        <f>JL104-IZ104</f>
        <v/>
      </c>
      <c r="JM106" s="1318">
        <f>JM104-JA104</f>
        <v/>
      </c>
      <c r="JN106" s="1318">
        <f>JN104-JB104</f>
        <v/>
      </c>
      <c r="JO106" s="1318">
        <f>JO104-JC104</f>
        <v/>
      </c>
      <c r="JP106" s="1318">
        <f>JP104-JD104</f>
        <v/>
      </c>
      <c r="JQ106" s="1318">
        <f>JQ104-JE104</f>
        <v/>
      </c>
      <c r="JR106" s="1318">
        <f>JR104-JF104</f>
        <v/>
      </c>
      <c r="JS106" s="1318">
        <f>JS104-JG104</f>
        <v/>
      </c>
      <c r="JT106" s="1318">
        <f>JT104-JH104</f>
        <v/>
      </c>
      <c r="JU106" s="1318">
        <f>JU104-JI104</f>
        <v/>
      </c>
      <c r="JV106" s="1318">
        <f>JV104-JJ104</f>
        <v/>
      </c>
      <c r="JW106" s="1318">
        <f>JW104-JK104</f>
        <v/>
      </c>
      <c r="JX106" s="1318">
        <f>JX104-JL104</f>
        <v/>
      </c>
      <c r="JY106" s="1318">
        <f>JY104-JM104</f>
        <v/>
      </c>
      <c r="JZ106" s="1318">
        <f>JZ104-JN104</f>
        <v/>
      </c>
      <c r="KA106" s="1318">
        <f>KA104-JO104</f>
        <v/>
      </c>
      <c r="KB106" s="1318">
        <f>KB104-JP104</f>
        <v/>
      </c>
      <c r="KC106" s="1318">
        <f>KC104-JQ104</f>
        <v/>
      </c>
      <c r="KD106" s="1318">
        <f>KD104-JR104</f>
        <v/>
      </c>
      <c r="KE106" s="1318">
        <f>KE104-JS104</f>
        <v/>
      </c>
      <c r="KF106" s="1318">
        <f>KF104-JT104</f>
        <v/>
      </c>
      <c r="KG106" s="1318">
        <f>KG104-JU104</f>
        <v/>
      </c>
      <c r="KH106" s="1318">
        <f>KH104-JV104</f>
        <v/>
      </c>
      <c r="KI106" s="1318">
        <f>KI104-JW104</f>
        <v/>
      </c>
      <c r="KJ106" s="1318">
        <f>KJ104-JX104</f>
        <v/>
      </c>
      <c r="KK106" s="1318">
        <f>KK104-JY104</f>
        <v/>
      </c>
      <c r="KL106" s="1318">
        <f>KL104-JZ104</f>
        <v/>
      </c>
      <c r="KM106" s="1318">
        <f>KM104-KA104</f>
        <v/>
      </c>
      <c r="KN106" s="1318">
        <f>KN104-KB104</f>
        <v/>
      </c>
      <c r="KO106" s="1318">
        <f>KO104-KC104</f>
        <v/>
      </c>
      <c r="KP106" s="1318">
        <f>KP104-KD104</f>
        <v/>
      </c>
      <c r="KQ106" s="1318">
        <f>KQ104-KE104</f>
        <v/>
      </c>
      <c r="KR106" s="1318">
        <f>KR104-KF104</f>
        <v/>
      </c>
      <c r="KS106" s="1318">
        <f>KS104-KG104</f>
        <v/>
      </c>
      <c r="KT106" s="1318">
        <f>KT104-KH104</f>
        <v/>
      </c>
      <c r="KU106" s="1318">
        <f>KU104-KI104</f>
        <v/>
      </c>
      <c r="KV106" s="1318">
        <f>KV104-KJ104</f>
        <v/>
      </c>
      <c r="KW106" s="1318">
        <f>KW104-KK104</f>
        <v/>
      </c>
      <c r="KX106" s="1318">
        <f>KX104-KL104</f>
        <v/>
      </c>
      <c r="KY106" s="1318">
        <f>KY104-KM104</f>
        <v/>
      </c>
      <c r="KZ106" s="1318">
        <f>KZ104-KN104</f>
        <v/>
      </c>
      <c r="LA106" s="1318">
        <f>LA104-KO104</f>
        <v/>
      </c>
      <c r="LB106" s="1318" t="n"/>
      <c r="LC106" s="1318" t="n"/>
      <c r="LD106" s="1318" t="n"/>
      <c r="LE106" s="1318" t="n"/>
      <c r="LF106" s="1318" t="n"/>
      <c r="LG106" s="1318" t="n"/>
      <c r="LH106" s="1318" t="n"/>
      <c r="LI106" s="1318" t="n"/>
      <c r="LJ106" s="1318" t="n"/>
      <c r="LK106" s="1318" t="n"/>
      <c r="LL106" s="1318" t="n"/>
      <c r="LM106" s="1318" t="n"/>
      <c r="LN106" s="1318" t="n"/>
      <c r="LO106" s="1318" t="n"/>
      <c r="LP106" s="1318" t="n"/>
      <c r="LQ106" s="1318" t="n"/>
      <c r="LR106" s="1318" t="n"/>
      <c r="LS106" s="1318" t="n"/>
    </row>
    <row r="107">
      <c r="A107" s="885" t="inlineStr">
        <is>
          <t>YTD</t>
        </is>
      </c>
      <c r="B107" s="1318" t="n"/>
      <c r="C107" s="1318" t="n"/>
      <c r="D107" s="1318" t="n"/>
      <c r="E107" s="1318" t="n"/>
      <c r="F107" s="1318" t="n"/>
      <c r="G107" s="1318" t="n"/>
      <c r="H107" s="1318" t="n"/>
      <c r="I107" s="1318" t="n"/>
      <c r="J107" s="1318" t="n"/>
      <c r="K107" s="1318" t="n"/>
      <c r="L107" s="1318" t="n"/>
      <c r="M107" s="1318" t="n"/>
      <c r="N107" s="1318">
        <f>SUMIFS(54:54,$8:$8,"&gt;="&amp;DATE(YEAR(N$8),1,1),$8:$8,"&lt;="&amp;EOMONTH(N$8,0))/SUMIFS(18:18,$8:$8,"&gt;="&amp;DATE(YEAR(N$8),1,1),$8:$8,"&lt;="&amp;EOMONTH(N$8,0))</f>
        <v/>
      </c>
      <c r="O107" s="1318">
        <f>SUMIFS(54:54,$8:$8,"&gt;="&amp;DATE(YEAR(O$8),1,1),$8:$8,"&lt;="&amp;EOMONTH(O$8,0))/SUMIFS(18:18,$8:$8,"&gt;="&amp;DATE(YEAR(O$8),1,1),$8:$8,"&lt;="&amp;EOMONTH(O$8,0))</f>
        <v/>
      </c>
      <c r="P107" s="1318">
        <f>SUMIFS(54:54,$8:$8,"&gt;="&amp;DATE(YEAR(P$8),1,1),$8:$8,"&lt;="&amp;EOMONTH(P$8,0))/SUMIFS(18:18,$8:$8,"&gt;="&amp;DATE(YEAR(P$8),1,1),$8:$8,"&lt;="&amp;EOMONTH(P$8,0))</f>
        <v/>
      </c>
      <c r="Q107" s="1318">
        <f>SUMIFS(54:54,$8:$8,"&gt;="&amp;DATE(YEAR(Q$8),1,1),$8:$8,"&lt;="&amp;EOMONTH(Q$8,0))/SUMIFS(18:18,$8:$8,"&gt;="&amp;DATE(YEAR(Q$8),1,1),$8:$8,"&lt;="&amp;EOMONTH(Q$8,0))</f>
        <v/>
      </c>
      <c r="R107" s="1318">
        <f>SUMIFS(54:54,$8:$8,"&gt;="&amp;DATE(YEAR(R$8),1,1),$8:$8,"&lt;="&amp;EOMONTH(R$8,0))/SUMIFS(18:18,$8:$8,"&gt;="&amp;DATE(YEAR(R$8),1,1),$8:$8,"&lt;="&amp;EOMONTH(R$8,0))</f>
        <v/>
      </c>
      <c r="S107" s="1318">
        <f>SUMIFS(54:54,$8:$8,"&gt;="&amp;DATE(YEAR(S$8),1,1),$8:$8,"&lt;="&amp;EOMONTH(S$8,0))/SUMIFS(18:18,$8:$8,"&gt;="&amp;DATE(YEAR(S$8),1,1),$8:$8,"&lt;="&amp;EOMONTH(S$8,0))</f>
        <v/>
      </c>
      <c r="T107" s="1318">
        <f>SUMIFS(54:54,$8:$8,"&gt;="&amp;DATE(YEAR(T$8),1,1),$8:$8,"&lt;="&amp;EOMONTH(T$8,0))/SUMIFS(18:18,$8:$8,"&gt;="&amp;DATE(YEAR(T$8),1,1),$8:$8,"&lt;="&amp;EOMONTH(T$8,0))</f>
        <v/>
      </c>
      <c r="U107" s="1318">
        <f>SUMIFS(54:54,$8:$8,"&gt;="&amp;DATE(YEAR(U$8),1,1),$8:$8,"&lt;="&amp;EOMONTH(U$8,0))/SUMIFS(18:18,$8:$8,"&gt;="&amp;DATE(YEAR(U$8),1,1),$8:$8,"&lt;="&amp;EOMONTH(U$8,0))</f>
        <v/>
      </c>
      <c r="V107" s="1318">
        <f>SUMIFS(54:54,$8:$8,"&gt;="&amp;DATE(YEAR(V$8),1,1),$8:$8,"&lt;="&amp;EOMONTH(V$8,0))/SUMIFS(18:18,$8:$8,"&gt;="&amp;DATE(YEAR(V$8),1,1),$8:$8,"&lt;="&amp;EOMONTH(V$8,0))</f>
        <v/>
      </c>
      <c r="W107" s="1318">
        <f>SUMIFS(54:54,$8:$8,"&gt;="&amp;DATE(YEAR(W$8),1,1),$8:$8,"&lt;="&amp;EOMONTH(W$8,0))/SUMIFS(18:18,$8:$8,"&gt;="&amp;DATE(YEAR(W$8),1,1),$8:$8,"&lt;="&amp;EOMONTH(W$8,0))</f>
        <v/>
      </c>
      <c r="X107" s="1318">
        <f>SUMIFS(54:54,$8:$8,"&gt;="&amp;DATE(YEAR(X$8),1,1),$8:$8,"&lt;="&amp;EOMONTH(X$8,0))/SUMIFS(18:18,$8:$8,"&gt;="&amp;DATE(YEAR(X$8),1,1),$8:$8,"&lt;="&amp;EOMONTH(X$8,0))</f>
        <v/>
      </c>
      <c r="Y107" s="1318">
        <f>SUMIFS(54:54,$8:$8,"&gt;="&amp;DATE(YEAR(Y$8),1,1),$8:$8,"&lt;="&amp;EOMONTH(Y$8,0))/SUMIFS(18:18,$8:$8,"&gt;="&amp;DATE(YEAR(Y$8),1,1),$8:$8,"&lt;="&amp;EOMONTH(Y$8,0))</f>
        <v/>
      </c>
      <c r="Z107" s="1318">
        <f>SUMIFS(54:54,$8:$8,"&gt;="&amp;DATE(YEAR(Z$8),1,1),$8:$8,"&lt;="&amp;EOMONTH(Z$8,0))/SUMIFS(18:18,$8:$8,"&gt;="&amp;DATE(YEAR(Z$8),1,1),$8:$8,"&lt;="&amp;EOMONTH(Z$8,0))</f>
        <v/>
      </c>
      <c r="AA107" s="1318">
        <f>SUMIFS(54:54,$8:$8,"&gt;="&amp;DATE(YEAR(AA$8),1,1),$8:$8,"&lt;="&amp;EOMONTH(AA$8,0))/SUMIFS(18:18,$8:$8,"&gt;="&amp;DATE(YEAR(AA$8),1,1),$8:$8,"&lt;="&amp;EOMONTH(AA$8,0))</f>
        <v/>
      </c>
      <c r="AB107" s="1318">
        <f>SUMIFS(54:54,$8:$8,"&gt;="&amp;DATE(YEAR(AB$8),1,1),$8:$8,"&lt;="&amp;EOMONTH(AB$8,0))/SUMIFS(18:18,$8:$8,"&gt;="&amp;DATE(YEAR(AB$8),1,1),$8:$8,"&lt;="&amp;EOMONTH(AB$8,0))</f>
        <v/>
      </c>
      <c r="AC107" s="1318">
        <f>SUMIFS(54:54,$8:$8,"&gt;="&amp;DATE(YEAR(AC$8),1,1),$8:$8,"&lt;="&amp;EOMONTH(AC$8,0))/SUMIFS(18:18,$8:$8,"&gt;="&amp;DATE(YEAR(AC$8),1,1),$8:$8,"&lt;="&amp;EOMONTH(AC$8,0))</f>
        <v/>
      </c>
      <c r="AD107" s="1318">
        <f>SUMIFS(54:54,$8:$8,"&gt;="&amp;DATE(YEAR(AD$8),1,1),$8:$8,"&lt;="&amp;EOMONTH(AD$8,0))/SUMIFS(18:18,$8:$8,"&gt;="&amp;DATE(YEAR(AD$8),1,1),$8:$8,"&lt;="&amp;EOMONTH(AD$8,0))</f>
        <v/>
      </c>
      <c r="AE107" s="1318">
        <f>SUMIFS(54:54,$8:$8,"&gt;="&amp;DATE(YEAR(AE$8),1,1),$8:$8,"&lt;="&amp;EOMONTH(AE$8,0))/SUMIFS(18:18,$8:$8,"&gt;="&amp;DATE(YEAR(AE$8),1,1),$8:$8,"&lt;="&amp;EOMONTH(AE$8,0))</f>
        <v/>
      </c>
      <c r="AF107" s="1318">
        <f>SUMIFS(54:54,$8:$8,"&gt;="&amp;DATE(YEAR(AF$8),1,1),$8:$8,"&lt;="&amp;EOMONTH(AF$8,0))/SUMIFS(18:18,$8:$8,"&gt;="&amp;DATE(YEAR(AF$8),1,1),$8:$8,"&lt;="&amp;EOMONTH(AF$8,0))</f>
        <v/>
      </c>
      <c r="AG107" s="1318">
        <f>SUMIFS(54:54,$8:$8,"&gt;="&amp;DATE(YEAR(AG$8),1,1),$8:$8,"&lt;="&amp;EOMONTH(AG$8,0))/SUMIFS(18:18,$8:$8,"&gt;="&amp;DATE(YEAR(AG$8),1,1),$8:$8,"&lt;="&amp;EOMONTH(AG$8,0))</f>
        <v/>
      </c>
      <c r="AH107" s="1318">
        <f>SUMIFS(54:54,$8:$8,"&gt;="&amp;DATE(YEAR(AH$8),1,1),$8:$8,"&lt;="&amp;EOMONTH(AH$8,0))/SUMIFS(18:18,$8:$8,"&gt;="&amp;DATE(YEAR(AH$8),1,1),$8:$8,"&lt;="&amp;EOMONTH(AH$8,0))</f>
        <v/>
      </c>
      <c r="AI107" s="1318">
        <f>SUMIFS(54:54,$8:$8,"&gt;="&amp;DATE(YEAR(AI$8),1,1),$8:$8,"&lt;="&amp;EOMONTH(AI$8,0))/SUMIFS(18:18,$8:$8,"&gt;="&amp;DATE(YEAR(AI$8),1,1),$8:$8,"&lt;="&amp;EOMONTH(AI$8,0))</f>
        <v/>
      </c>
      <c r="AJ107" s="1318">
        <f>SUMIFS(54:54,$8:$8,"&gt;="&amp;DATE(YEAR(AJ$8),1,1),$8:$8,"&lt;="&amp;EOMONTH(AJ$8,0))/SUMIFS(18:18,$8:$8,"&gt;="&amp;DATE(YEAR(AJ$8),1,1),$8:$8,"&lt;="&amp;EOMONTH(AJ$8,0))</f>
        <v/>
      </c>
      <c r="AK107" s="1318">
        <f>SUMIFS(54:54,$8:$8,"&gt;="&amp;DATE(YEAR(AK$8),1,1),$8:$8,"&lt;="&amp;EOMONTH(AK$8,0))/SUMIFS(18:18,$8:$8,"&gt;="&amp;DATE(YEAR(AK$8),1,1),$8:$8,"&lt;="&amp;EOMONTH(AK$8,0))</f>
        <v/>
      </c>
      <c r="AL107" s="1318">
        <f>SUMIFS(54:54,$8:$8,"&gt;="&amp;DATE(YEAR(AL$8),1,1),$8:$8,"&lt;="&amp;EOMONTH(AL$8,0))/SUMIFS(18:18,$8:$8,"&gt;="&amp;DATE(YEAR(AL$8),1,1),$8:$8,"&lt;="&amp;EOMONTH(AL$8,0))</f>
        <v/>
      </c>
      <c r="AM107" s="1318">
        <f>SUMIFS(54:54,$8:$8,"&gt;="&amp;DATE(YEAR(AM$8),1,1),$8:$8,"&lt;="&amp;EOMONTH(AM$8,0))/SUMIFS(18:18,$8:$8,"&gt;="&amp;DATE(YEAR(AM$8),1,1),$8:$8,"&lt;="&amp;EOMONTH(AM$8,0))</f>
        <v/>
      </c>
      <c r="AN107" s="1318">
        <f>SUMIFS(54:54,$8:$8,"&gt;="&amp;DATE(YEAR(AN$8),1,1),$8:$8,"&lt;="&amp;EOMONTH(AN$8,0))/SUMIFS(18:18,$8:$8,"&gt;="&amp;DATE(YEAR(AN$8),1,1),$8:$8,"&lt;="&amp;EOMONTH(AN$8,0))</f>
        <v/>
      </c>
      <c r="AO107" s="1318">
        <f>SUMIFS(54:54,$8:$8,"&gt;="&amp;DATE(YEAR(AO$8),1,1),$8:$8,"&lt;="&amp;EOMONTH(AO$8,0))/SUMIFS(18:18,$8:$8,"&gt;="&amp;DATE(YEAR(AO$8),1,1),$8:$8,"&lt;="&amp;EOMONTH(AO$8,0))</f>
        <v/>
      </c>
      <c r="AP107" s="1318">
        <f>SUMIFS(54:54,$8:$8,"&gt;="&amp;DATE(YEAR(AP$8),1,1),$8:$8,"&lt;="&amp;EOMONTH(AP$8,0))/SUMIFS(18:18,$8:$8,"&gt;="&amp;DATE(YEAR(AP$8),1,1),$8:$8,"&lt;="&amp;EOMONTH(AP$8,0))</f>
        <v/>
      </c>
      <c r="AQ107" s="1318">
        <f>SUMIFS(54:54,$8:$8,"&gt;="&amp;DATE(YEAR(AQ$8),1,1),$8:$8,"&lt;="&amp;EOMONTH(AQ$8,0))/SUMIFS(18:18,$8:$8,"&gt;="&amp;DATE(YEAR(AQ$8),1,1),$8:$8,"&lt;="&amp;EOMONTH(AQ$8,0))</f>
        <v/>
      </c>
      <c r="AR107" s="1318">
        <f>SUMIFS(54:54,$8:$8,"&gt;="&amp;DATE(YEAR(AR$8),1,1),$8:$8,"&lt;="&amp;EOMONTH(AR$8,0))/SUMIFS(18:18,$8:$8,"&gt;="&amp;DATE(YEAR(AR$8),1,1),$8:$8,"&lt;="&amp;EOMONTH(AR$8,0))</f>
        <v/>
      </c>
      <c r="AS107" s="1318">
        <f>SUMIFS(54:54,$8:$8,"&gt;="&amp;DATE(YEAR(AS$8),1,1),$8:$8,"&lt;="&amp;EOMONTH(AS$8,0))/SUMIFS(18:18,$8:$8,"&gt;="&amp;DATE(YEAR(AS$8),1,1),$8:$8,"&lt;="&amp;EOMONTH(AS$8,0))</f>
        <v/>
      </c>
      <c r="AT107" s="1318">
        <f>SUMIFS(54:54,$8:$8,"&gt;="&amp;DATE(YEAR(AT$8),1,1),$8:$8,"&lt;="&amp;EOMONTH(AT$8,0))/SUMIFS(18:18,$8:$8,"&gt;="&amp;DATE(YEAR(AT$8),1,1),$8:$8,"&lt;="&amp;EOMONTH(AT$8,0))</f>
        <v/>
      </c>
      <c r="AU107" s="1318">
        <f>SUMIFS(54:54,$8:$8,"&gt;="&amp;DATE(YEAR(AU$8),1,1),$8:$8,"&lt;="&amp;EOMONTH(AU$8,0))/SUMIFS(18:18,$8:$8,"&gt;="&amp;DATE(YEAR(AU$8),1,1),$8:$8,"&lt;="&amp;EOMONTH(AU$8,0))</f>
        <v/>
      </c>
      <c r="AV107" s="1318">
        <f>SUMIFS(54:54,$8:$8,"&gt;="&amp;DATE(YEAR(AV$8),1,1),$8:$8,"&lt;="&amp;EOMONTH(AV$8,0))/SUMIFS(18:18,$8:$8,"&gt;="&amp;DATE(YEAR(AV$8),1,1),$8:$8,"&lt;="&amp;EOMONTH(AV$8,0))</f>
        <v/>
      </c>
      <c r="AW107" s="1318">
        <f>SUMIFS(54:54,$8:$8,"&gt;="&amp;DATE(YEAR(AW$8),1,1),$8:$8,"&lt;="&amp;EOMONTH(AW$8,0))/SUMIFS(18:18,$8:$8,"&gt;="&amp;DATE(YEAR(AW$8),1,1),$8:$8,"&lt;="&amp;EOMONTH(AW$8,0))</f>
        <v/>
      </c>
      <c r="AX107" s="1318">
        <f>SUMIFS(54:54,$8:$8,"&gt;="&amp;DATE(YEAR(AX$8),1,1),$8:$8,"&lt;="&amp;EOMONTH(AX$8,0))/SUMIFS(18:18,$8:$8,"&gt;="&amp;DATE(YEAR(AX$8),1,1),$8:$8,"&lt;="&amp;EOMONTH(AX$8,0))</f>
        <v/>
      </c>
      <c r="AY107" s="1318">
        <f>SUMIFS(54:54,$8:$8,"&gt;="&amp;DATE(YEAR(AY$8),1,1),$8:$8,"&lt;="&amp;EOMONTH(AY$8,0))/SUMIFS(18:18,$8:$8,"&gt;="&amp;DATE(YEAR(AY$8),1,1),$8:$8,"&lt;="&amp;EOMONTH(AY$8,0))</f>
        <v/>
      </c>
      <c r="AZ107" s="1318">
        <f>SUMIFS(54:54,$8:$8,"&gt;="&amp;DATE(YEAR(AZ$8),1,1),$8:$8,"&lt;="&amp;EOMONTH(AZ$8,0))/SUMIFS(18:18,$8:$8,"&gt;="&amp;DATE(YEAR(AZ$8),1,1),$8:$8,"&lt;="&amp;EOMONTH(AZ$8,0))</f>
        <v/>
      </c>
      <c r="BA107" s="1318">
        <f>SUMIFS(54:54,$8:$8,"&gt;="&amp;DATE(YEAR(BA$8),1,1),$8:$8,"&lt;="&amp;EOMONTH(BA$8,0))/SUMIFS(18:18,$8:$8,"&gt;="&amp;DATE(YEAR(BA$8),1,1),$8:$8,"&lt;="&amp;EOMONTH(BA$8,0))</f>
        <v/>
      </c>
      <c r="BB107" s="1318">
        <f>SUMIFS(54:54,$8:$8,"&gt;="&amp;DATE(YEAR(BB$8),1,1),$8:$8,"&lt;="&amp;EOMONTH(BB$8,0))/SUMIFS(18:18,$8:$8,"&gt;="&amp;DATE(YEAR(BB$8),1,1),$8:$8,"&lt;="&amp;EOMONTH(BB$8,0))</f>
        <v/>
      </c>
      <c r="BC107" s="1318">
        <f>SUMIFS(54:54,$8:$8,"&gt;="&amp;DATE(YEAR(BC$8),1,1),$8:$8,"&lt;="&amp;EOMONTH(BC$8,0))/SUMIFS(18:18,$8:$8,"&gt;="&amp;DATE(YEAR(BC$8),1,1),$8:$8,"&lt;="&amp;EOMONTH(BC$8,0))</f>
        <v/>
      </c>
      <c r="BD107" s="1318">
        <f>SUMIFS(54:54,$8:$8,"&gt;="&amp;DATE(YEAR(BD$8),1,1),$8:$8,"&lt;="&amp;EOMONTH(BD$8,0))/SUMIFS(18:18,$8:$8,"&gt;="&amp;DATE(YEAR(BD$8),1,1),$8:$8,"&lt;="&amp;EOMONTH(BD$8,0))</f>
        <v/>
      </c>
      <c r="BE107" s="1318">
        <f>SUMIFS(54:54,$8:$8,"&gt;="&amp;DATE(YEAR(BE$8),1,1),$8:$8,"&lt;="&amp;EOMONTH(BE$8,0))/SUMIFS(18:18,$8:$8,"&gt;="&amp;DATE(YEAR(BE$8),1,1),$8:$8,"&lt;="&amp;EOMONTH(BE$8,0))</f>
        <v/>
      </c>
      <c r="BF107" s="1318">
        <f>SUMIFS(54:54,$8:$8,"&gt;="&amp;DATE(YEAR(BF$8),1,1),$8:$8,"&lt;="&amp;EOMONTH(BF$8,0))/SUMIFS(18:18,$8:$8,"&gt;="&amp;DATE(YEAR(BF$8),1,1),$8:$8,"&lt;="&amp;EOMONTH(BF$8,0))</f>
        <v/>
      </c>
      <c r="BG107" s="1318">
        <f>SUMIFS(54:54,$8:$8,"&gt;="&amp;DATE(YEAR(BG$8),1,1),$8:$8,"&lt;="&amp;EOMONTH(BG$8,0))/SUMIFS(18:18,$8:$8,"&gt;="&amp;DATE(YEAR(BG$8),1,1),$8:$8,"&lt;="&amp;EOMONTH(BG$8,0))</f>
        <v/>
      </c>
      <c r="BH107" s="1318">
        <f>SUMIFS(54:54,$8:$8,"&gt;="&amp;DATE(YEAR(BH$8),1,1),$8:$8,"&lt;="&amp;EOMONTH(BH$8,0))/SUMIFS(18:18,$8:$8,"&gt;="&amp;DATE(YEAR(BH$8),1,1),$8:$8,"&lt;="&amp;EOMONTH(BH$8,0))</f>
        <v/>
      </c>
      <c r="BI107" s="1318">
        <f>SUMIFS(54:54,$8:$8,"&gt;="&amp;DATE(YEAR(BI$8),1,1),$8:$8,"&lt;="&amp;EOMONTH(BI$8,0))/SUMIFS(18:18,$8:$8,"&gt;="&amp;DATE(YEAR(BI$8),1,1),$8:$8,"&lt;="&amp;EOMONTH(BI$8,0))</f>
        <v/>
      </c>
      <c r="BJ107" s="1318">
        <f>SUMIFS(54:54,$8:$8,"&gt;="&amp;DATE(YEAR(BJ$8),1,1),$8:$8,"&lt;="&amp;EOMONTH(BJ$8,0))/SUMIFS(18:18,$8:$8,"&gt;="&amp;DATE(YEAR(BJ$8),1,1),$8:$8,"&lt;="&amp;EOMONTH(BJ$8,0))</f>
        <v/>
      </c>
      <c r="BK107" s="1318">
        <f>SUMIFS(54:54,$8:$8,"&gt;="&amp;DATE(YEAR(BK$8),1,1),$8:$8,"&lt;="&amp;EOMONTH(BK$8,0))/SUMIFS(18:18,$8:$8,"&gt;="&amp;DATE(YEAR(BK$8),1,1),$8:$8,"&lt;="&amp;EOMONTH(BK$8,0))</f>
        <v/>
      </c>
      <c r="BL107" s="1318">
        <f>SUMIFS(54:54,$8:$8,"&gt;="&amp;DATE(YEAR(BL$8),1,1),$8:$8,"&lt;="&amp;EOMONTH(BL$8,0))/SUMIFS(18:18,$8:$8,"&gt;="&amp;DATE(YEAR(BL$8),1,1),$8:$8,"&lt;="&amp;EOMONTH(BL$8,0))</f>
        <v/>
      </c>
      <c r="BM107" s="1318">
        <f>SUMIFS(54:54,$8:$8,"&gt;="&amp;DATE(YEAR(BM$8),1,1),$8:$8,"&lt;="&amp;EOMONTH(BM$8,0))/SUMIFS(18:18,$8:$8,"&gt;="&amp;DATE(YEAR(BM$8),1,1),$8:$8,"&lt;="&amp;EOMONTH(BM$8,0))</f>
        <v/>
      </c>
      <c r="BN107" s="1318">
        <f>SUMIFS(54:54,$8:$8,"&gt;="&amp;DATE(YEAR(BN$8),1,1),$8:$8,"&lt;="&amp;EOMONTH(BN$8,0))/SUMIFS(18:18,$8:$8,"&gt;="&amp;DATE(YEAR(BN$8),1,1),$8:$8,"&lt;="&amp;EOMONTH(BN$8,0))</f>
        <v/>
      </c>
      <c r="BO107" s="1318">
        <f>SUMIFS(54:54,$8:$8,"&gt;="&amp;DATE(YEAR(BO$8),1,1),$8:$8,"&lt;="&amp;EOMONTH(BO$8,0))/SUMIFS(18:18,$8:$8,"&gt;="&amp;DATE(YEAR(BO$8),1,1),$8:$8,"&lt;="&amp;EOMONTH(BO$8,0))</f>
        <v/>
      </c>
      <c r="BP107" s="1318">
        <f>SUMIFS(54:54,$8:$8,"&gt;="&amp;DATE(YEAR(BP$8),1,1),$8:$8,"&lt;="&amp;EOMONTH(BP$8,0))/SUMIFS(18:18,$8:$8,"&gt;="&amp;DATE(YEAR(BP$8),1,1),$8:$8,"&lt;="&amp;EOMONTH(BP$8,0))</f>
        <v/>
      </c>
      <c r="BQ107" s="1318">
        <f>SUMIFS(54:54,$8:$8,"&gt;="&amp;DATE(YEAR(BQ$8),1,1),$8:$8,"&lt;="&amp;EOMONTH(BQ$8,0))/SUMIFS(18:18,$8:$8,"&gt;="&amp;DATE(YEAR(BQ$8),1,1),$8:$8,"&lt;="&amp;EOMONTH(BQ$8,0))</f>
        <v/>
      </c>
      <c r="BR107" s="1318">
        <f>SUMIFS(54:54,$8:$8,"&gt;="&amp;DATE(YEAR(BR$8),1,1),$8:$8,"&lt;="&amp;EOMONTH(BR$8,0))/SUMIFS(18:18,$8:$8,"&gt;="&amp;DATE(YEAR(BR$8),1,1),$8:$8,"&lt;="&amp;EOMONTH(BR$8,0))</f>
        <v/>
      </c>
      <c r="BS107" s="1318">
        <f>SUMIFS(54:54,$8:$8,"&gt;="&amp;DATE(YEAR(BS$8),1,1),$8:$8,"&lt;="&amp;EOMONTH(BS$8,0))/SUMIFS(18:18,$8:$8,"&gt;="&amp;DATE(YEAR(BS$8),1,1),$8:$8,"&lt;="&amp;EOMONTH(BS$8,0))</f>
        <v/>
      </c>
      <c r="BT107" s="1318">
        <f>SUMIFS(54:54,$8:$8,"&gt;="&amp;DATE(YEAR(BT$8),1,1),$8:$8,"&lt;="&amp;EOMONTH(BT$8,0))/SUMIFS(18:18,$8:$8,"&gt;="&amp;DATE(YEAR(BT$8),1,1),$8:$8,"&lt;="&amp;EOMONTH(BT$8,0))</f>
        <v/>
      </c>
      <c r="BU107" s="1318">
        <f>SUMIFS(54:54,$8:$8,"&gt;="&amp;DATE(YEAR(BU$8),1,1),$8:$8,"&lt;="&amp;EOMONTH(BU$8,0))/SUMIFS(18:18,$8:$8,"&gt;="&amp;DATE(YEAR(BU$8),1,1),$8:$8,"&lt;="&amp;EOMONTH(BU$8,0))</f>
        <v/>
      </c>
      <c r="BV107" s="1318">
        <f>SUMIFS(54:54,$8:$8,"&gt;="&amp;DATE(YEAR(BV$8),1,1),$8:$8,"&lt;="&amp;EOMONTH(BV$8,0))/SUMIFS(18:18,$8:$8,"&gt;="&amp;DATE(YEAR(BV$8),1,1),$8:$8,"&lt;="&amp;EOMONTH(BV$8,0))</f>
        <v/>
      </c>
      <c r="BW107" s="1318">
        <f>SUMIFS(54:54,$8:$8,"&gt;="&amp;DATE(YEAR(BW$8),1,1),$8:$8,"&lt;="&amp;EOMONTH(BW$8,0))/SUMIFS(18:18,$8:$8,"&gt;="&amp;DATE(YEAR(BW$8),1,1),$8:$8,"&lt;="&amp;EOMONTH(BW$8,0))</f>
        <v/>
      </c>
      <c r="BX107" s="1318">
        <f>SUMIFS(54:54,$8:$8,"&gt;="&amp;DATE(YEAR(BX$8),1,1),$8:$8,"&lt;="&amp;EOMONTH(BX$8,0))/SUMIFS(18:18,$8:$8,"&gt;="&amp;DATE(YEAR(BX$8),1,1),$8:$8,"&lt;="&amp;EOMONTH(BX$8,0))</f>
        <v/>
      </c>
      <c r="BY107" s="1318">
        <f>SUMIFS(54:54,$8:$8,"&gt;="&amp;DATE(YEAR(BY$8),1,1),$8:$8,"&lt;="&amp;EOMONTH(BY$8,0))/SUMIFS(18:18,$8:$8,"&gt;="&amp;DATE(YEAR(BY$8),1,1),$8:$8,"&lt;="&amp;EOMONTH(BY$8,0))</f>
        <v/>
      </c>
      <c r="BZ107" s="1318">
        <f>SUMIFS(54:54,$8:$8,"&gt;="&amp;DATE(YEAR(BZ$8),1,1),$8:$8,"&lt;="&amp;EOMONTH(BZ$8,0))/SUMIFS(18:18,$8:$8,"&gt;="&amp;DATE(YEAR(BZ$8),1,1),$8:$8,"&lt;="&amp;EOMONTH(BZ$8,0))</f>
        <v/>
      </c>
      <c r="CA107" s="1318">
        <f>SUMIFS(54:54,$8:$8,"&gt;="&amp;DATE(YEAR(CA$8),1,1),$8:$8,"&lt;="&amp;EOMONTH(CA$8,0))/SUMIFS(18:18,$8:$8,"&gt;="&amp;DATE(YEAR(CA$8),1,1),$8:$8,"&lt;="&amp;EOMONTH(CA$8,0))</f>
        <v/>
      </c>
      <c r="CB107" s="1318">
        <f>SUMIFS(54:54,$8:$8,"&gt;="&amp;DATE(YEAR(CB$8),1,1),$8:$8,"&lt;="&amp;EOMONTH(CB$8,0))/SUMIFS(18:18,$8:$8,"&gt;="&amp;DATE(YEAR(CB$8),1,1),$8:$8,"&lt;="&amp;EOMONTH(CB$8,0))</f>
        <v/>
      </c>
      <c r="CC107" s="1318">
        <f>SUMIFS(54:54,$8:$8,"&gt;="&amp;DATE(YEAR(CC$8),1,1),$8:$8,"&lt;="&amp;EOMONTH(CC$8,0))/SUMIFS(18:18,$8:$8,"&gt;="&amp;DATE(YEAR(CC$8),1,1),$8:$8,"&lt;="&amp;EOMONTH(CC$8,0))</f>
        <v/>
      </c>
      <c r="CD107" s="1318">
        <f>SUMIFS(54:54,$8:$8,"&gt;="&amp;DATE(YEAR(CD$8),1,1),$8:$8,"&lt;="&amp;EOMONTH(CD$8,0))/SUMIFS(18:18,$8:$8,"&gt;="&amp;DATE(YEAR(CD$8),1,1),$8:$8,"&lt;="&amp;EOMONTH(CD$8,0))</f>
        <v/>
      </c>
      <c r="CE107" s="1318">
        <f>SUMIFS(54:54,$8:$8,"&gt;="&amp;DATE(YEAR(CE$8),1,1),$8:$8,"&lt;="&amp;EOMONTH(CE$8,0))/SUMIFS(18:18,$8:$8,"&gt;="&amp;DATE(YEAR(CE$8),1,1),$8:$8,"&lt;="&amp;EOMONTH(CE$8,0))</f>
        <v/>
      </c>
      <c r="CF107" s="1318">
        <f>SUMIFS(54:54,$8:$8,"&gt;="&amp;DATE(YEAR(CF$8),1,1),$8:$8,"&lt;="&amp;EOMONTH(CF$8,0))/SUMIFS(18:18,$8:$8,"&gt;="&amp;DATE(YEAR(CF$8),1,1),$8:$8,"&lt;="&amp;EOMONTH(CF$8,0))</f>
        <v/>
      </c>
      <c r="CG107" s="1318">
        <f>SUMIFS(54:54,$8:$8,"&gt;="&amp;DATE(YEAR(CG$8),1,1),$8:$8,"&lt;="&amp;EOMONTH(CG$8,0))/SUMIFS(18:18,$8:$8,"&gt;="&amp;DATE(YEAR(CG$8),1,1),$8:$8,"&lt;="&amp;EOMONTH(CG$8,0))</f>
        <v/>
      </c>
      <c r="CH107" s="1318">
        <f>SUMIFS(54:54,$8:$8,"&gt;="&amp;DATE(YEAR(CH$8),1,1),$8:$8,"&lt;="&amp;EOMONTH(CH$8,0))/SUMIFS(18:18,$8:$8,"&gt;="&amp;DATE(YEAR(CH$8),1,1),$8:$8,"&lt;="&amp;EOMONTH(CH$8,0))</f>
        <v/>
      </c>
      <c r="CI107" s="1318">
        <f>SUMIFS(54:54,$8:$8,"&gt;="&amp;DATE(YEAR(CI$8),1,1),$8:$8,"&lt;="&amp;EOMONTH(CI$8,0))/SUMIFS(18:18,$8:$8,"&gt;="&amp;DATE(YEAR(CI$8),1,1),$8:$8,"&lt;="&amp;EOMONTH(CI$8,0))</f>
        <v/>
      </c>
      <c r="CJ107" s="1318">
        <f>SUMIFS(54:54,$8:$8,"&gt;="&amp;DATE(YEAR(CJ$8),1,1),$8:$8,"&lt;="&amp;EOMONTH(CJ$8,0))/SUMIFS(18:18,$8:$8,"&gt;="&amp;DATE(YEAR(CJ$8),1,1),$8:$8,"&lt;="&amp;EOMONTH(CJ$8,0))</f>
        <v/>
      </c>
      <c r="CK107" s="1318">
        <f>SUMIFS(54:54,$8:$8,"&gt;="&amp;DATE(YEAR(CK$8),1,1),$8:$8,"&lt;="&amp;EOMONTH(CK$8,0))/SUMIFS(18:18,$8:$8,"&gt;="&amp;DATE(YEAR(CK$8),1,1),$8:$8,"&lt;="&amp;EOMONTH(CK$8,0))</f>
        <v/>
      </c>
      <c r="CL107" s="1318">
        <f>SUMIFS(54:54,$8:$8,"&gt;="&amp;DATE(YEAR(CL$8),1,1),$8:$8,"&lt;="&amp;EOMONTH(CL$8,0))/SUMIFS(18:18,$8:$8,"&gt;="&amp;DATE(YEAR(CL$8),1,1),$8:$8,"&lt;="&amp;EOMONTH(CL$8,0))</f>
        <v/>
      </c>
      <c r="CM107" s="1318">
        <f>SUMIFS(54:54,$8:$8,"&gt;="&amp;DATE(YEAR(CM$8),1,1),$8:$8,"&lt;="&amp;EOMONTH(CM$8,0))/SUMIFS(18:18,$8:$8,"&gt;="&amp;DATE(YEAR(CM$8),1,1),$8:$8,"&lt;="&amp;EOMONTH(CM$8,0))</f>
        <v/>
      </c>
      <c r="CN107" s="1318">
        <f>SUMIFS(54:54,$8:$8,"&gt;="&amp;DATE(YEAR(CN$8),1,1),$8:$8,"&lt;="&amp;EOMONTH(CN$8,0))/SUMIFS(18:18,$8:$8,"&gt;="&amp;DATE(YEAR(CN$8),1,1),$8:$8,"&lt;="&amp;EOMONTH(CN$8,0))</f>
        <v/>
      </c>
      <c r="CO107" s="1318">
        <f>SUMIFS(54:54,$8:$8,"&gt;="&amp;DATE(YEAR(CO$8),1,1),$8:$8,"&lt;="&amp;EOMONTH(CO$8,0))/SUMIFS(18:18,$8:$8,"&gt;="&amp;DATE(YEAR(CO$8),1,1),$8:$8,"&lt;="&amp;EOMONTH(CO$8,0))</f>
        <v/>
      </c>
      <c r="CP107" s="1318">
        <f>SUMIFS(54:54,$8:$8,"&gt;="&amp;DATE(YEAR(CP$8),1,1),$8:$8,"&lt;="&amp;EOMONTH(CP$8,0))/SUMIFS(18:18,$8:$8,"&gt;="&amp;DATE(YEAR(CP$8),1,1),$8:$8,"&lt;="&amp;EOMONTH(CP$8,0))</f>
        <v/>
      </c>
      <c r="CQ107" s="1318">
        <f>SUMIFS(54:54,$8:$8,"&gt;="&amp;DATE(YEAR(CQ$8),1,1),$8:$8,"&lt;="&amp;EOMONTH(CQ$8,0))/SUMIFS(18:18,$8:$8,"&gt;="&amp;DATE(YEAR(CQ$8),1,1),$8:$8,"&lt;="&amp;EOMONTH(CQ$8,0))</f>
        <v/>
      </c>
      <c r="CR107" s="1318">
        <f>SUMIFS(54:54,$8:$8,"&gt;="&amp;DATE(YEAR(CR$8),1,1),$8:$8,"&lt;="&amp;EOMONTH(CR$8,0))/SUMIFS(18:18,$8:$8,"&gt;="&amp;DATE(YEAR(CR$8),1,1),$8:$8,"&lt;="&amp;EOMONTH(CR$8,0))</f>
        <v/>
      </c>
      <c r="CS107" s="1318">
        <f>SUMIFS(54:54,$8:$8,"&gt;="&amp;DATE(YEAR(CS$8),1,1),$8:$8,"&lt;="&amp;EOMONTH(CS$8,0))/SUMIFS(18:18,$8:$8,"&gt;="&amp;DATE(YEAR(CS$8),1,1),$8:$8,"&lt;="&amp;EOMONTH(CS$8,0))</f>
        <v/>
      </c>
      <c r="CT107" s="1318">
        <f>SUMIFS(54:54,$8:$8,"&gt;="&amp;DATE(YEAR(CT$8),1,1),$8:$8,"&lt;="&amp;EOMONTH(CT$8,0))/SUMIFS(18:18,$8:$8,"&gt;="&amp;DATE(YEAR(CT$8),1,1),$8:$8,"&lt;="&amp;EOMONTH(CT$8,0))</f>
        <v/>
      </c>
      <c r="CU107" s="1318">
        <f>SUMIFS(54:54,$8:$8,"&gt;="&amp;DATE(YEAR(CU$8),1,1),$8:$8,"&lt;="&amp;EOMONTH(CU$8,0))/SUMIFS(18:18,$8:$8,"&gt;="&amp;DATE(YEAR(CU$8),1,1),$8:$8,"&lt;="&amp;EOMONTH(CU$8,0))</f>
        <v/>
      </c>
      <c r="CV107" s="1318">
        <f>SUMIFS(54:54,$8:$8,"&gt;="&amp;DATE(YEAR(CV$8),1,1),$8:$8,"&lt;="&amp;EOMONTH(CV$8,0))/SUMIFS(18:18,$8:$8,"&gt;="&amp;DATE(YEAR(CV$8),1,1),$8:$8,"&lt;="&amp;EOMONTH(CV$8,0))</f>
        <v/>
      </c>
      <c r="CW107" s="1318">
        <f>SUMIFS(54:54,$8:$8,"&gt;="&amp;DATE(YEAR(CW$8),1,1),$8:$8,"&lt;="&amp;EOMONTH(CW$8,0))/SUMIFS(18:18,$8:$8,"&gt;="&amp;DATE(YEAR(CW$8),1,1),$8:$8,"&lt;="&amp;EOMONTH(CW$8,0))</f>
        <v/>
      </c>
      <c r="CX107" s="1318">
        <f>SUMIFS(54:54,$8:$8,"&gt;="&amp;DATE(YEAR(CX$8),1,1),$8:$8,"&lt;="&amp;EOMONTH(CX$8,0))/SUMIFS(18:18,$8:$8,"&gt;="&amp;DATE(YEAR(CX$8),1,1),$8:$8,"&lt;="&amp;EOMONTH(CX$8,0))</f>
        <v/>
      </c>
      <c r="CY107" s="1318">
        <f>SUMIFS(54:54,$8:$8,"&gt;="&amp;DATE(YEAR(CY$8),1,1),$8:$8,"&lt;="&amp;EOMONTH(CY$8,0))/SUMIFS(18:18,$8:$8,"&gt;="&amp;DATE(YEAR(CY$8),1,1),$8:$8,"&lt;="&amp;EOMONTH(CY$8,0))</f>
        <v/>
      </c>
      <c r="CZ107" s="1318">
        <f>SUMIFS(54:54,$8:$8,"&gt;="&amp;DATE(YEAR(CZ$8),1,1),$8:$8,"&lt;="&amp;EOMONTH(CZ$8,0))/SUMIFS(18:18,$8:$8,"&gt;="&amp;DATE(YEAR(CZ$8),1,1),$8:$8,"&lt;="&amp;EOMONTH(CZ$8,0))</f>
        <v/>
      </c>
      <c r="DA107" s="1318">
        <f>SUMIFS(54:54,$8:$8,"&gt;="&amp;DATE(YEAR(DA$8),1,1),$8:$8,"&lt;="&amp;EOMONTH(DA$8,0))/SUMIFS(18:18,$8:$8,"&gt;="&amp;DATE(YEAR(DA$8),1,1),$8:$8,"&lt;="&amp;EOMONTH(DA$8,0))</f>
        <v/>
      </c>
      <c r="DB107" s="1318">
        <f>SUMIFS(54:54,$8:$8,"&gt;="&amp;DATE(YEAR(DB$8),1,1),$8:$8,"&lt;="&amp;EOMONTH(DB$8,0))/SUMIFS(18:18,$8:$8,"&gt;="&amp;DATE(YEAR(DB$8),1,1),$8:$8,"&lt;="&amp;EOMONTH(DB$8,0))</f>
        <v/>
      </c>
      <c r="DC107" s="1318">
        <f>SUMIFS(54:54,$8:$8,"&gt;="&amp;DATE(YEAR(DC$8),1,1),$8:$8,"&lt;="&amp;EOMONTH(DC$8,0))/SUMIFS(18:18,$8:$8,"&gt;="&amp;DATE(YEAR(DC$8),1,1),$8:$8,"&lt;="&amp;EOMONTH(DC$8,0))</f>
        <v/>
      </c>
      <c r="DD107" s="1318">
        <f>SUMIFS(54:54,$8:$8,"&gt;="&amp;DATE(YEAR(DD$8),1,1),$8:$8,"&lt;="&amp;EOMONTH(DD$8,0))/SUMIFS(18:18,$8:$8,"&gt;="&amp;DATE(YEAR(DD$8),1,1),$8:$8,"&lt;="&amp;EOMONTH(DD$8,0))</f>
        <v/>
      </c>
      <c r="DE107" s="1318">
        <f>SUMIFS(54:54,$8:$8,"&gt;="&amp;DATE(YEAR(DE$8),1,1),$8:$8,"&lt;="&amp;EOMONTH(DE$8,0))/SUMIFS(18:18,$8:$8,"&gt;="&amp;DATE(YEAR(DE$8),1,1),$8:$8,"&lt;="&amp;EOMONTH(DE$8,0))</f>
        <v/>
      </c>
      <c r="DF107" s="1318">
        <f>SUMIFS(54:54,$8:$8,"&gt;="&amp;DATE(YEAR(DF$8),1,1),$8:$8,"&lt;="&amp;EOMONTH(DF$8,0))/SUMIFS(18:18,$8:$8,"&gt;="&amp;DATE(YEAR(DF$8),1,1),$8:$8,"&lt;="&amp;EOMONTH(DF$8,0))</f>
        <v/>
      </c>
      <c r="DG107" s="1318">
        <f>SUMIFS(54:54,$8:$8,"&gt;="&amp;DATE(YEAR(DG$8),1,1),$8:$8,"&lt;="&amp;EOMONTH(DG$8,0))/SUMIFS(18:18,$8:$8,"&gt;="&amp;DATE(YEAR(DG$8),1,1),$8:$8,"&lt;="&amp;EOMONTH(DG$8,0))</f>
        <v/>
      </c>
      <c r="DH107" s="1318">
        <f>SUMIFS(54:54,$8:$8,"&gt;="&amp;DATE(YEAR(DH$8),1,1),$8:$8,"&lt;="&amp;EOMONTH(DH$8,0))/SUMIFS(18:18,$8:$8,"&gt;="&amp;DATE(YEAR(DH$8),1,1),$8:$8,"&lt;="&amp;EOMONTH(DH$8,0))</f>
        <v/>
      </c>
      <c r="DI107" s="1318">
        <f>SUMIFS(54:54,$8:$8,"&gt;="&amp;DATE(YEAR(DI$8),1,1),$8:$8,"&lt;="&amp;EOMONTH(DI$8,0))/SUMIFS(18:18,$8:$8,"&gt;="&amp;DATE(YEAR(DI$8),1,1),$8:$8,"&lt;="&amp;EOMONTH(DI$8,0))</f>
        <v/>
      </c>
      <c r="DJ107" s="1318">
        <f>SUMIFS(54:54,$8:$8,"&gt;="&amp;DATE(YEAR(DJ$8),1,1),$8:$8,"&lt;="&amp;EOMONTH(DJ$8,0))/SUMIFS(18:18,$8:$8,"&gt;="&amp;DATE(YEAR(DJ$8),1,1),$8:$8,"&lt;="&amp;EOMONTH(DJ$8,0))</f>
        <v/>
      </c>
      <c r="DK107" s="1318">
        <f>SUMIFS(54:54,$8:$8,"&gt;="&amp;DATE(YEAR(DK$8),1,1),$8:$8,"&lt;="&amp;EOMONTH(DK$8,0))/SUMIFS(18:18,$8:$8,"&gt;="&amp;DATE(YEAR(DK$8),1,1),$8:$8,"&lt;="&amp;EOMONTH(DK$8,0))</f>
        <v/>
      </c>
      <c r="DL107" s="1318">
        <f>SUMIFS(54:54,$8:$8,"&gt;="&amp;DATE(YEAR(DL$8),1,1),$8:$8,"&lt;="&amp;EOMONTH(DL$8,0))/SUMIFS(18:18,$8:$8,"&gt;="&amp;DATE(YEAR(DL$8),1,1),$8:$8,"&lt;="&amp;EOMONTH(DL$8,0))</f>
        <v/>
      </c>
      <c r="DM107" s="1318">
        <f>SUMIFS(54:54,$8:$8,"&gt;="&amp;DATE(YEAR(DM$8),1,1),$8:$8,"&lt;="&amp;EOMONTH(DM$8,0))/SUMIFS(18:18,$8:$8,"&gt;="&amp;DATE(YEAR(DM$8),1,1),$8:$8,"&lt;="&amp;EOMONTH(DM$8,0))</f>
        <v/>
      </c>
      <c r="DN107" s="1318">
        <f>SUMIFS(54:54,$8:$8,"&gt;="&amp;DATE(YEAR(DN$8),1,1),$8:$8,"&lt;="&amp;EOMONTH(DN$8,0))/SUMIFS(18:18,$8:$8,"&gt;="&amp;DATE(YEAR(DN$8),1,1),$8:$8,"&lt;="&amp;EOMONTH(DN$8,0))</f>
        <v/>
      </c>
      <c r="DO107" s="1318">
        <f>SUMIFS(54:54,$8:$8,"&gt;="&amp;DATE(YEAR(DO$8),1,1),$8:$8,"&lt;="&amp;EOMONTH(DO$8,0))/SUMIFS(18:18,$8:$8,"&gt;="&amp;DATE(YEAR(DO$8),1,1),$8:$8,"&lt;="&amp;EOMONTH(DO$8,0))</f>
        <v/>
      </c>
      <c r="DP107" s="1318">
        <f>SUMIFS(54:54,$8:$8,"&gt;="&amp;DATE(YEAR(DP$8),1,1),$8:$8,"&lt;="&amp;EOMONTH(DP$8,0))/SUMIFS(18:18,$8:$8,"&gt;="&amp;DATE(YEAR(DP$8),1,1),$8:$8,"&lt;="&amp;EOMONTH(DP$8,0))</f>
        <v/>
      </c>
      <c r="DQ107" s="1318">
        <f>SUMIFS(54:54,$8:$8,"&gt;="&amp;DATE(YEAR(DQ$8),1,1),$8:$8,"&lt;="&amp;EOMONTH(DQ$8,0))/SUMIFS(18:18,$8:$8,"&gt;="&amp;DATE(YEAR(DQ$8),1,1),$8:$8,"&lt;="&amp;EOMONTH(DQ$8,0))</f>
        <v/>
      </c>
      <c r="DR107" s="1318">
        <f>SUMIFS(54:54,$8:$8,"&gt;="&amp;DATE(YEAR(DR$8),1,1),$8:$8,"&lt;="&amp;EOMONTH(DR$8,0))/SUMIFS(18:18,$8:$8,"&gt;="&amp;DATE(YEAR(DR$8),1,1),$8:$8,"&lt;="&amp;EOMONTH(DR$8,0))</f>
        <v/>
      </c>
      <c r="DS107" s="1318">
        <f>SUMIFS(54:54,$8:$8,"&gt;="&amp;DATE(YEAR(DS$8),1,1),$8:$8,"&lt;="&amp;EOMONTH(DS$8,0))/SUMIFS(18:18,$8:$8,"&gt;="&amp;DATE(YEAR(DS$8),1,1),$8:$8,"&lt;="&amp;EOMONTH(DS$8,0))</f>
        <v/>
      </c>
      <c r="DT107" s="1318">
        <f>SUMIFS(54:54,$8:$8,"&gt;="&amp;DATE(YEAR(DT$8),1,1),$8:$8,"&lt;="&amp;EOMONTH(DT$8,0))/SUMIFS(18:18,$8:$8,"&gt;="&amp;DATE(YEAR(DT$8),1,1),$8:$8,"&lt;="&amp;EOMONTH(DT$8,0))</f>
        <v/>
      </c>
      <c r="DU107" s="1318">
        <f>SUMIFS(54:54,$8:$8,"&gt;="&amp;DATE(YEAR(DU$8),1,1),$8:$8,"&lt;="&amp;EOMONTH(DU$8,0))/SUMIFS(18:18,$8:$8,"&gt;="&amp;DATE(YEAR(DU$8),1,1),$8:$8,"&lt;="&amp;EOMONTH(DU$8,0))</f>
        <v/>
      </c>
      <c r="DV107" s="1318">
        <f>SUMIFS(54:54,$8:$8,"&gt;="&amp;DATE(YEAR(DV$8),1,1),$8:$8,"&lt;="&amp;EOMONTH(DV$8,0))/SUMIFS(18:18,$8:$8,"&gt;="&amp;DATE(YEAR(DV$8),1,1),$8:$8,"&lt;="&amp;EOMONTH(DV$8,0))</f>
        <v/>
      </c>
      <c r="DW107" s="1318">
        <f>SUMIFS(54:54,$8:$8,"&gt;="&amp;DATE(YEAR(DW$8),1,1),$8:$8,"&lt;="&amp;EOMONTH(DW$8,0))/SUMIFS(18:18,$8:$8,"&gt;="&amp;DATE(YEAR(DW$8),1,1),$8:$8,"&lt;="&amp;EOMONTH(DW$8,0))</f>
        <v/>
      </c>
      <c r="DX107" s="1318">
        <f>SUMIFS(54:54,$8:$8,"&gt;="&amp;DATE(YEAR(DX$8),1,1),$8:$8,"&lt;="&amp;EOMONTH(DX$8,0))/SUMIFS(18:18,$8:$8,"&gt;="&amp;DATE(YEAR(DX$8),1,1),$8:$8,"&lt;="&amp;EOMONTH(DX$8,0))</f>
        <v/>
      </c>
      <c r="DY107" s="1318">
        <f>SUMIFS(54:54,$8:$8,"&gt;="&amp;DATE(YEAR(DY$8),1,1),$8:$8,"&lt;="&amp;EOMONTH(DY$8,0))/SUMIFS(18:18,$8:$8,"&gt;="&amp;DATE(YEAR(DY$8),1,1),$8:$8,"&lt;="&amp;EOMONTH(DY$8,0))</f>
        <v/>
      </c>
      <c r="DZ107" s="1318">
        <f>SUMIFS(54:54,$8:$8,"&gt;="&amp;DATE(YEAR(DZ$8),1,1),$8:$8,"&lt;="&amp;EOMONTH(DZ$8,0))/SUMIFS(18:18,$8:$8,"&gt;="&amp;DATE(YEAR(DZ$8),1,1),$8:$8,"&lt;="&amp;EOMONTH(DZ$8,0))</f>
        <v/>
      </c>
      <c r="EA107" s="1318">
        <f>SUMIFS(54:54,$8:$8,"&gt;="&amp;DATE(YEAR(EA$8),1,1),$8:$8,"&lt;="&amp;EOMONTH(EA$8,0))/SUMIFS(18:18,$8:$8,"&gt;="&amp;DATE(YEAR(EA$8),1,1),$8:$8,"&lt;="&amp;EOMONTH(EA$8,0))</f>
        <v/>
      </c>
      <c r="EB107" s="1318">
        <f>SUMIFS(54:54,$8:$8,"&gt;="&amp;DATE(YEAR(EB$8),1,1),$8:$8,"&lt;="&amp;EOMONTH(EB$8,0))/SUMIFS(18:18,$8:$8,"&gt;="&amp;DATE(YEAR(EB$8),1,1),$8:$8,"&lt;="&amp;EOMONTH(EB$8,0))</f>
        <v/>
      </c>
      <c r="EC107" s="1318">
        <f>SUMIFS(54:54,$8:$8,"&gt;="&amp;DATE(YEAR(EC$8),1,1),$8:$8,"&lt;="&amp;EOMONTH(EC$8,0))/SUMIFS(18:18,$8:$8,"&gt;="&amp;DATE(YEAR(EC$8),1,1),$8:$8,"&lt;="&amp;EOMONTH(EC$8,0))</f>
        <v/>
      </c>
      <c r="ED107" s="1318">
        <f>SUMIFS(54:54,$8:$8,"&gt;="&amp;DATE(YEAR(ED$8),1,1),$8:$8,"&lt;="&amp;EOMONTH(ED$8,0))/SUMIFS(18:18,$8:$8,"&gt;="&amp;DATE(YEAR(ED$8),1,1),$8:$8,"&lt;="&amp;EOMONTH(ED$8,0))</f>
        <v/>
      </c>
      <c r="EE107" s="1318">
        <f>SUMIFS(54:54,$8:$8,"&gt;="&amp;DATE(YEAR(EE$8),1,1),$8:$8,"&lt;="&amp;EOMONTH(EE$8,0))/SUMIFS(18:18,$8:$8,"&gt;="&amp;DATE(YEAR(EE$8),1,1),$8:$8,"&lt;="&amp;EOMONTH(EE$8,0))</f>
        <v/>
      </c>
      <c r="EF107" s="1318">
        <f>SUMIFS(54:54,$8:$8,"&gt;="&amp;DATE(YEAR(EF$8),1,1),$8:$8,"&lt;="&amp;EOMONTH(EF$8,0))/SUMIFS(18:18,$8:$8,"&gt;="&amp;DATE(YEAR(EF$8),1,1),$8:$8,"&lt;="&amp;EOMONTH(EF$8,0))</f>
        <v/>
      </c>
      <c r="EG107" s="1318">
        <f>SUMIFS(54:54,$8:$8,"&gt;="&amp;DATE(YEAR(EG$8),1,1),$8:$8,"&lt;="&amp;EOMONTH(EG$8,0))/SUMIFS(18:18,$8:$8,"&gt;="&amp;DATE(YEAR(EG$8),1,1),$8:$8,"&lt;="&amp;EOMONTH(EG$8,0))</f>
        <v/>
      </c>
      <c r="EH107" s="1318">
        <f>SUMIFS(54:54,$8:$8,"&gt;="&amp;DATE(YEAR(EH$8),1,1),$8:$8,"&lt;="&amp;EOMONTH(EH$8,0))/SUMIFS(18:18,$8:$8,"&gt;="&amp;DATE(YEAR(EH$8),1,1),$8:$8,"&lt;="&amp;EOMONTH(EH$8,0))</f>
        <v/>
      </c>
      <c r="EI107" s="1318">
        <f>SUMIFS(54:54,$8:$8,"&gt;="&amp;DATE(YEAR(EI$8),1,1),$8:$8,"&lt;="&amp;EOMONTH(EI$8,0))/SUMIFS(18:18,$8:$8,"&gt;="&amp;DATE(YEAR(EI$8),1,1),$8:$8,"&lt;="&amp;EOMONTH(EI$8,0))</f>
        <v/>
      </c>
      <c r="EJ107" s="1318">
        <f>SUMIFS(54:54,$8:$8,"&gt;="&amp;DATE(YEAR(EJ$8),1,1),$8:$8,"&lt;="&amp;EOMONTH(EJ$8,0))/SUMIFS(18:18,$8:$8,"&gt;="&amp;DATE(YEAR(EJ$8),1,1),$8:$8,"&lt;="&amp;EOMONTH(EJ$8,0))</f>
        <v/>
      </c>
      <c r="EK107" s="1318">
        <f>SUMIFS(54:54,$8:$8,"&gt;="&amp;DATE(YEAR(EK$8),1,1),$8:$8,"&lt;="&amp;EOMONTH(EK$8,0))/SUMIFS(18:18,$8:$8,"&gt;="&amp;DATE(YEAR(EK$8),1,1),$8:$8,"&lt;="&amp;EOMONTH(EK$8,0))</f>
        <v/>
      </c>
      <c r="EL107" s="1318">
        <f>SUMIFS(54:54,$8:$8,"&gt;="&amp;DATE(YEAR(EL$8),1,1),$8:$8,"&lt;="&amp;EOMONTH(EL$8,0))/SUMIFS(18:18,$8:$8,"&gt;="&amp;DATE(YEAR(EL$8),1,1),$8:$8,"&lt;="&amp;EOMONTH(EL$8,0))</f>
        <v/>
      </c>
      <c r="EM107" s="1318">
        <f>SUMIFS(54:54,$8:$8,"&gt;="&amp;DATE(YEAR(EM$8),1,1),$8:$8,"&lt;="&amp;EOMONTH(EM$8,0))/SUMIFS(18:18,$8:$8,"&gt;="&amp;DATE(YEAR(EM$8),1,1),$8:$8,"&lt;="&amp;EOMONTH(EM$8,0))</f>
        <v/>
      </c>
      <c r="EN107" s="1318">
        <f>SUMIFS(54:54,$8:$8,"&gt;="&amp;DATE(YEAR(EN$8),1,1),$8:$8,"&lt;="&amp;EOMONTH(EN$8,0))/SUMIFS(18:18,$8:$8,"&gt;="&amp;DATE(YEAR(EN$8),1,1),$8:$8,"&lt;="&amp;EOMONTH(EN$8,0))</f>
        <v/>
      </c>
      <c r="EO107" s="1318">
        <f>SUMIFS(54:54,$8:$8,"&gt;="&amp;DATE(YEAR(EO$8),1,1),$8:$8,"&lt;="&amp;EOMONTH(EO$8,0))/SUMIFS(18:18,$8:$8,"&gt;="&amp;DATE(YEAR(EO$8),1,1),$8:$8,"&lt;="&amp;EOMONTH(EO$8,0))</f>
        <v/>
      </c>
      <c r="EP107" s="1318">
        <f>SUMIFS(54:54,$8:$8,"&gt;="&amp;DATE(YEAR(EP$8),1,1),$8:$8,"&lt;="&amp;EOMONTH(EP$8,0))/SUMIFS(18:18,$8:$8,"&gt;="&amp;DATE(YEAR(EP$8),1,1),$8:$8,"&lt;="&amp;EOMONTH(EP$8,0))</f>
        <v/>
      </c>
      <c r="EQ107" s="1318">
        <f>SUMIFS(54:54,$8:$8,"&gt;="&amp;DATE(YEAR(EQ$8),1,1),$8:$8,"&lt;="&amp;EOMONTH(EQ$8,0))/SUMIFS(18:18,$8:$8,"&gt;="&amp;DATE(YEAR(EQ$8),1,1),$8:$8,"&lt;="&amp;EOMONTH(EQ$8,0))</f>
        <v/>
      </c>
      <c r="ER107" s="1318">
        <f>SUMIFS(54:54,$8:$8,"&gt;="&amp;DATE(YEAR(ER$8),1,1),$8:$8,"&lt;="&amp;EOMONTH(ER$8,0))/SUMIFS(18:18,$8:$8,"&gt;="&amp;DATE(YEAR(ER$8),1,1),$8:$8,"&lt;="&amp;EOMONTH(ER$8,0))</f>
        <v/>
      </c>
      <c r="ES107" s="1318">
        <f>SUMIFS(54:54,$8:$8,"&gt;="&amp;DATE(YEAR(ES$8),1,1),$8:$8,"&lt;="&amp;EOMONTH(ES$8,0))/SUMIFS(18:18,$8:$8,"&gt;="&amp;DATE(YEAR(ES$8),1,1),$8:$8,"&lt;="&amp;EOMONTH(ES$8,0))</f>
        <v/>
      </c>
      <c r="ET107" s="1318">
        <f>SUMIFS(54:54,$8:$8,"&gt;="&amp;DATE(YEAR(ET$8),1,1),$8:$8,"&lt;="&amp;EOMONTH(ET$8,0))/SUMIFS(18:18,$8:$8,"&gt;="&amp;DATE(YEAR(ET$8),1,1),$8:$8,"&lt;="&amp;EOMONTH(ET$8,0))</f>
        <v/>
      </c>
      <c r="EU107" s="1318">
        <f>SUMIFS(54:54,$8:$8,"&gt;="&amp;DATE(YEAR(EU$8),1,1),$8:$8,"&lt;="&amp;EOMONTH(EU$8,0))/SUMIFS(18:18,$8:$8,"&gt;="&amp;DATE(YEAR(EU$8),1,1),$8:$8,"&lt;="&amp;EOMONTH(EU$8,0))</f>
        <v/>
      </c>
      <c r="EV107" s="1318">
        <f>SUMIFS(54:54,$8:$8,"&gt;="&amp;DATE(YEAR(EV$8),1,1),$8:$8,"&lt;="&amp;EOMONTH(EV$8,0))/SUMIFS(18:18,$8:$8,"&gt;="&amp;DATE(YEAR(EV$8),1,1),$8:$8,"&lt;="&amp;EOMONTH(EV$8,0))</f>
        <v/>
      </c>
      <c r="EW107" s="1318">
        <f>SUMIFS(54:54,$8:$8,"&gt;="&amp;DATE(YEAR(EW$8),1,1),$8:$8,"&lt;="&amp;EOMONTH(EW$8,0))/SUMIFS(18:18,$8:$8,"&gt;="&amp;DATE(YEAR(EW$8),1,1),$8:$8,"&lt;="&amp;EOMONTH(EW$8,0))</f>
        <v/>
      </c>
      <c r="EX107" s="1318">
        <f>SUMIFS(54:54,$8:$8,"&gt;="&amp;DATE(YEAR(EX$8),1,1),$8:$8,"&lt;="&amp;EOMONTH(EX$8,0))/SUMIFS(18:18,$8:$8,"&gt;="&amp;DATE(YEAR(EX$8),1,1),$8:$8,"&lt;="&amp;EOMONTH(EX$8,0))</f>
        <v/>
      </c>
      <c r="EY107" s="1318">
        <f>SUMIFS(54:54,$8:$8,"&gt;="&amp;DATE(YEAR(EY$8),1,1),$8:$8,"&lt;="&amp;EOMONTH(EY$8,0))/SUMIFS(18:18,$8:$8,"&gt;="&amp;DATE(YEAR(EY$8),1,1),$8:$8,"&lt;="&amp;EOMONTH(EY$8,0))</f>
        <v/>
      </c>
      <c r="EZ107" s="1318">
        <f>SUMIFS(54:54,$8:$8,"&gt;="&amp;DATE(YEAR(EZ$8),1,1),$8:$8,"&lt;="&amp;EOMONTH(EZ$8,0))/SUMIFS(18:18,$8:$8,"&gt;="&amp;DATE(YEAR(EZ$8),1,1),$8:$8,"&lt;="&amp;EOMONTH(EZ$8,0))</f>
        <v/>
      </c>
      <c r="FA107" s="1318">
        <f>SUMIFS(54:54,$8:$8,"&gt;="&amp;DATE(YEAR(FA$8),1,1),$8:$8,"&lt;="&amp;EOMONTH(FA$8,0))/SUMIFS(18:18,$8:$8,"&gt;="&amp;DATE(YEAR(FA$8),1,1),$8:$8,"&lt;="&amp;EOMONTH(FA$8,0))</f>
        <v/>
      </c>
      <c r="FB107" s="1318">
        <f>SUMIFS(54:54,$8:$8,"&gt;="&amp;DATE(YEAR(FB$8),1,1),$8:$8,"&lt;="&amp;EOMONTH(FB$8,0))/SUMIFS(18:18,$8:$8,"&gt;="&amp;DATE(YEAR(FB$8),1,1),$8:$8,"&lt;="&amp;EOMONTH(FB$8,0))</f>
        <v/>
      </c>
      <c r="FC107" s="1318">
        <f>SUMIFS(54:54,$8:$8,"&gt;="&amp;DATE(YEAR(FC$8),1,1),$8:$8,"&lt;="&amp;EOMONTH(FC$8,0))/SUMIFS(18:18,$8:$8,"&gt;="&amp;DATE(YEAR(FC$8),1,1),$8:$8,"&lt;="&amp;EOMONTH(FC$8,0))</f>
        <v/>
      </c>
      <c r="FD107" s="1318">
        <f>SUMIFS(54:54,$8:$8,"&gt;="&amp;DATE(YEAR(FD$8),1,1),$8:$8,"&lt;="&amp;EOMONTH(FD$8,0))/SUMIFS(18:18,$8:$8,"&gt;="&amp;DATE(YEAR(FD$8),1,1),$8:$8,"&lt;="&amp;EOMONTH(FD$8,0))</f>
        <v/>
      </c>
      <c r="FE107" s="1318">
        <f>SUMIFS(54:54,$8:$8,"&gt;="&amp;DATE(YEAR(FE$8),1,1),$8:$8,"&lt;="&amp;EOMONTH(FE$8,0))/SUMIFS(18:18,$8:$8,"&gt;="&amp;DATE(YEAR(FE$8),1,1),$8:$8,"&lt;="&amp;EOMONTH(FE$8,0))</f>
        <v/>
      </c>
      <c r="FF107" s="1318">
        <f>SUMIFS(54:54,$8:$8,"&gt;="&amp;DATE(YEAR(FF$8),1,1),$8:$8,"&lt;="&amp;EOMONTH(FF$8,0))/SUMIFS(18:18,$8:$8,"&gt;="&amp;DATE(YEAR(FF$8),1,1),$8:$8,"&lt;="&amp;EOMONTH(FF$8,0))</f>
        <v/>
      </c>
      <c r="FG107" s="1318">
        <f>SUMIFS(54:54,$8:$8,"&gt;="&amp;DATE(YEAR(FG$8),1,1),$8:$8,"&lt;="&amp;EOMONTH(FG$8,0))/SUMIFS(18:18,$8:$8,"&gt;="&amp;DATE(YEAR(FG$8),1,1),$8:$8,"&lt;="&amp;EOMONTH(FG$8,0))</f>
        <v/>
      </c>
      <c r="FH107" s="1318">
        <f>SUMIFS(54:54,$8:$8,"&gt;="&amp;DATE(YEAR(FH$8),1,1),$8:$8,"&lt;="&amp;EOMONTH(FH$8,0))/SUMIFS(18:18,$8:$8,"&gt;="&amp;DATE(YEAR(FH$8),1,1),$8:$8,"&lt;="&amp;EOMONTH(FH$8,0))</f>
        <v/>
      </c>
      <c r="FI107" s="1318">
        <f>SUMIFS(54:54,$8:$8,"&gt;="&amp;DATE(YEAR(FI$8),1,1),$8:$8,"&lt;="&amp;EOMONTH(FI$8,0))/SUMIFS(18:18,$8:$8,"&gt;="&amp;DATE(YEAR(FI$8),1,1),$8:$8,"&lt;="&amp;EOMONTH(FI$8,0))</f>
        <v/>
      </c>
      <c r="FJ107" s="1318">
        <f>SUMIFS(54:54,$8:$8,"&gt;="&amp;DATE(YEAR(FJ$8),1,1),$8:$8,"&lt;="&amp;EOMONTH(FJ$8,0))/SUMIFS(18:18,$8:$8,"&gt;="&amp;DATE(YEAR(FJ$8),1,1),$8:$8,"&lt;="&amp;EOMONTH(FJ$8,0))</f>
        <v/>
      </c>
      <c r="FK107" s="1318">
        <f>SUMIFS(54:54,$8:$8,"&gt;="&amp;DATE(YEAR(FK$8),1,1),$8:$8,"&lt;="&amp;EOMONTH(FK$8,0))/SUMIFS(18:18,$8:$8,"&gt;="&amp;DATE(YEAR(FK$8),1,1),$8:$8,"&lt;="&amp;EOMONTH(FK$8,0))</f>
        <v/>
      </c>
      <c r="FL107" s="1318">
        <f>SUMIFS(54:54,$8:$8,"&gt;="&amp;DATE(YEAR(FL$8),1,1),$8:$8,"&lt;="&amp;EOMONTH(FL$8,0))/SUMIFS(18:18,$8:$8,"&gt;="&amp;DATE(YEAR(FL$8),1,1),$8:$8,"&lt;="&amp;EOMONTH(FL$8,0))</f>
        <v/>
      </c>
      <c r="FM107" s="1318">
        <f>SUMIFS(54:54,$8:$8,"&gt;="&amp;DATE(YEAR(FM$8),1,1),$8:$8,"&lt;="&amp;EOMONTH(FM$8,0))/SUMIFS(18:18,$8:$8,"&gt;="&amp;DATE(YEAR(FM$8),1,1),$8:$8,"&lt;="&amp;EOMONTH(FM$8,0))</f>
        <v/>
      </c>
      <c r="FN107" s="1318">
        <f>SUMIFS(54:54,$8:$8,"&gt;="&amp;DATE(YEAR(FN$8),1,1),$8:$8,"&lt;="&amp;EOMONTH(FN$8,0))/SUMIFS(18:18,$8:$8,"&gt;="&amp;DATE(YEAR(FN$8),1,1),$8:$8,"&lt;="&amp;EOMONTH(FN$8,0))</f>
        <v/>
      </c>
      <c r="FO107" s="1318">
        <f>SUMIFS(54:54,$8:$8,"&gt;="&amp;DATE(YEAR(FO$8),1,1),$8:$8,"&lt;="&amp;EOMONTH(FO$8,0))/SUMIFS(18:18,$8:$8,"&gt;="&amp;DATE(YEAR(FO$8),1,1),$8:$8,"&lt;="&amp;EOMONTH(FO$8,0))</f>
        <v/>
      </c>
      <c r="FP107" s="1318">
        <f>SUMIFS(54:54,$8:$8,"&gt;="&amp;DATE(YEAR(FP$8),1,1),$8:$8,"&lt;="&amp;EOMONTH(FP$8,0))/SUMIFS(18:18,$8:$8,"&gt;="&amp;DATE(YEAR(FP$8),1,1),$8:$8,"&lt;="&amp;EOMONTH(FP$8,0))</f>
        <v/>
      </c>
      <c r="FQ107" s="1318">
        <f>SUMIFS(54:54,$8:$8,"&gt;="&amp;DATE(YEAR(FQ$8),1,1),$8:$8,"&lt;="&amp;EOMONTH(FQ$8,0))/SUMIFS(18:18,$8:$8,"&gt;="&amp;DATE(YEAR(FQ$8),1,1),$8:$8,"&lt;="&amp;EOMONTH(FQ$8,0))</f>
        <v/>
      </c>
      <c r="FR107" s="1318">
        <f>SUMIFS(54:54,$8:$8,"&gt;="&amp;DATE(YEAR(FR$8),1,1),$8:$8,"&lt;="&amp;EOMONTH(FR$8,0))/SUMIFS(18:18,$8:$8,"&gt;="&amp;DATE(YEAR(FR$8),1,1),$8:$8,"&lt;="&amp;EOMONTH(FR$8,0))</f>
        <v/>
      </c>
      <c r="FS107" s="1318">
        <f>SUMIFS(54:54,$8:$8,"&gt;="&amp;DATE(YEAR(FS$8),1,1),$8:$8,"&lt;="&amp;EOMONTH(FS$8,0))/SUMIFS(18:18,$8:$8,"&gt;="&amp;DATE(YEAR(FS$8),1,1),$8:$8,"&lt;="&amp;EOMONTH(FS$8,0))</f>
        <v/>
      </c>
      <c r="FT107" s="1318">
        <f>SUMIFS(54:54,$8:$8,"&gt;="&amp;DATE(YEAR(FT$8),1,1),$8:$8,"&lt;="&amp;EOMONTH(FT$8,0))/SUMIFS(18:18,$8:$8,"&gt;="&amp;DATE(YEAR(FT$8),1,1),$8:$8,"&lt;="&amp;EOMONTH(FT$8,0))</f>
        <v/>
      </c>
      <c r="FU107" s="1318">
        <f>SUMIFS(54:54,$8:$8,"&gt;="&amp;DATE(YEAR(FU$8),1,1),$8:$8,"&lt;="&amp;EOMONTH(FU$8,0))/SUMIFS(18:18,$8:$8,"&gt;="&amp;DATE(YEAR(FU$8),1,1),$8:$8,"&lt;="&amp;EOMONTH(FU$8,0))</f>
        <v/>
      </c>
      <c r="FV107" s="1318">
        <f>SUMIFS(54:54,$8:$8,"&gt;="&amp;DATE(YEAR(FV$8),1,1),$8:$8,"&lt;="&amp;EOMONTH(FV$8,0))/SUMIFS(18:18,$8:$8,"&gt;="&amp;DATE(YEAR(FV$8),1,1),$8:$8,"&lt;="&amp;EOMONTH(FV$8,0))</f>
        <v/>
      </c>
      <c r="FW107" s="1318">
        <f>SUMIFS(54:54,$8:$8,"&gt;="&amp;DATE(YEAR(FW$8),1,1),$8:$8,"&lt;="&amp;EOMONTH(FW$8,0))/SUMIFS(18:18,$8:$8,"&gt;="&amp;DATE(YEAR(FW$8),1,1),$8:$8,"&lt;="&amp;EOMONTH(FW$8,0))</f>
        <v/>
      </c>
      <c r="FX107" s="1318">
        <f>SUMIFS(54:54,$8:$8,"&gt;="&amp;DATE(YEAR(FX$8),1,1),$8:$8,"&lt;="&amp;EOMONTH(FX$8,0))/SUMIFS(18:18,$8:$8,"&gt;="&amp;DATE(YEAR(FX$8),1,1),$8:$8,"&lt;="&amp;EOMONTH(FX$8,0))</f>
        <v/>
      </c>
      <c r="FY107" s="1318">
        <f>SUMIFS(54:54,$8:$8,"&gt;="&amp;DATE(YEAR(FY$8),1,1),$8:$8,"&lt;="&amp;EOMONTH(FY$8,0))/SUMIFS(18:18,$8:$8,"&gt;="&amp;DATE(YEAR(FY$8),1,1),$8:$8,"&lt;="&amp;EOMONTH(FY$8,0))</f>
        <v/>
      </c>
      <c r="FZ107" s="1318">
        <f>SUMIFS(54:54,$8:$8,"&gt;="&amp;DATE(YEAR(FZ$8),1,1),$8:$8,"&lt;="&amp;EOMONTH(FZ$8,0))/SUMIFS(18:18,$8:$8,"&gt;="&amp;DATE(YEAR(FZ$8),1,1),$8:$8,"&lt;="&amp;EOMONTH(FZ$8,0))</f>
        <v/>
      </c>
      <c r="GA107" s="1318">
        <f>SUMIFS(54:54,$8:$8,"&gt;="&amp;DATE(YEAR(GA$8),1,1),$8:$8,"&lt;="&amp;EOMONTH(GA$8,0))/SUMIFS(18:18,$8:$8,"&gt;="&amp;DATE(YEAR(GA$8),1,1),$8:$8,"&lt;="&amp;EOMONTH(GA$8,0))</f>
        <v/>
      </c>
      <c r="GB107" s="1318">
        <f>SUMIFS(54:54,$8:$8,"&gt;="&amp;DATE(YEAR(GB$8),1,1),$8:$8,"&lt;="&amp;EOMONTH(GB$8,0))/SUMIFS(18:18,$8:$8,"&gt;="&amp;DATE(YEAR(GB$8),1,1),$8:$8,"&lt;="&amp;EOMONTH(GB$8,0))</f>
        <v/>
      </c>
      <c r="GC107" s="1318">
        <f>SUMIFS(54:54,$8:$8,"&gt;="&amp;DATE(YEAR(GC$8),1,1),$8:$8,"&lt;="&amp;EOMONTH(GC$8,0))/SUMIFS(18:18,$8:$8,"&gt;="&amp;DATE(YEAR(GC$8),1,1),$8:$8,"&lt;="&amp;EOMONTH(GC$8,0))</f>
        <v/>
      </c>
      <c r="GD107" s="1318">
        <f>SUMIFS(54:54,$8:$8,"&gt;="&amp;DATE(YEAR(GD$8),1,1),$8:$8,"&lt;="&amp;EOMONTH(GD$8,0))/SUMIFS(18:18,$8:$8,"&gt;="&amp;DATE(YEAR(GD$8),1,1),$8:$8,"&lt;="&amp;EOMONTH(GD$8,0))</f>
        <v/>
      </c>
      <c r="GE107" s="1318">
        <f>SUMIFS(54:54,$8:$8,"&gt;="&amp;DATE(YEAR(GE$8),1,1),$8:$8,"&lt;="&amp;EOMONTH(GE$8,0))/SUMIFS(18:18,$8:$8,"&gt;="&amp;DATE(YEAR(GE$8),1,1),$8:$8,"&lt;="&amp;EOMONTH(GE$8,0))</f>
        <v/>
      </c>
      <c r="GF107" s="1318">
        <f>SUMIFS(54:54,$8:$8,"&gt;="&amp;DATE(YEAR(GF$8),1,1),$8:$8,"&lt;="&amp;EOMONTH(GF$8,0))/SUMIFS(18:18,$8:$8,"&gt;="&amp;DATE(YEAR(GF$8),1,1),$8:$8,"&lt;="&amp;EOMONTH(GF$8,0))</f>
        <v/>
      </c>
      <c r="GG107" s="1318">
        <f>SUMIFS(54:54,$8:$8,"&gt;="&amp;DATE(YEAR(GG$8),1,1),$8:$8,"&lt;="&amp;EOMONTH(GG$8,0))/SUMIFS(18:18,$8:$8,"&gt;="&amp;DATE(YEAR(GG$8),1,1),$8:$8,"&lt;="&amp;EOMONTH(GG$8,0))</f>
        <v/>
      </c>
      <c r="GH107" s="1318">
        <f>SUMIFS(54:54,$8:$8,"&gt;="&amp;DATE(YEAR(GH$8),1,1),$8:$8,"&lt;="&amp;EOMONTH(GH$8,0))/SUMIFS(18:18,$8:$8,"&gt;="&amp;DATE(YEAR(GH$8),1,1),$8:$8,"&lt;="&amp;EOMONTH(GH$8,0))</f>
        <v/>
      </c>
      <c r="GI107" s="1318">
        <f>SUMIFS(54:54,$8:$8,"&gt;="&amp;DATE(YEAR(GI$8),1,1),$8:$8,"&lt;="&amp;EOMONTH(GI$8,0))/SUMIFS(18:18,$8:$8,"&gt;="&amp;DATE(YEAR(GI$8),1,1),$8:$8,"&lt;="&amp;EOMONTH(GI$8,0))</f>
        <v/>
      </c>
      <c r="GJ107" s="1318">
        <f>SUMIFS(54:54,$8:$8,"&gt;="&amp;DATE(YEAR(GJ$8),1,1),$8:$8,"&lt;="&amp;EOMONTH(GJ$8,0))/SUMIFS(18:18,$8:$8,"&gt;="&amp;DATE(YEAR(GJ$8),1,1),$8:$8,"&lt;="&amp;EOMONTH(GJ$8,0))</f>
        <v/>
      </c>
      <c r="GK107" s="1318">
        <f>SUMIFS(54:54,$8:$8,"&gt;="&amp;DATE(YEAR(GK$8),1,1),$8:$8,"&lt;="&amp;EOMONTH(GK$8,0))/SUMIFS(18:18,$8:$8,"&gt;="&amp;DATE(YEAR(GK$8),1,1),$8:$8,"&lt;="&amp;EOMONTH(GK$8,0))</f>
        <v/>
      </c>
      <c r="GL107" s="1318">
        <f>SUMIFS(54:54,$8:$8,"&gt;="&amp;DATE(YEAR(GL$8),1,1),$8:$8,"&lt;="&amp;EOMONTH(GL$8,0))/SUMIFS(18:18,$8:$8,"&gt;="&amp;DATE(YEAR(GL$8),1,1),$8:$8,"&lt;="&amp;EOMONTH(GL$8,0))</f>
        <v/>
      </c>
      <c r="GM107" s="1318">
        <f>SUMIFS(54:54,$8:$8,"&gt;="&amp;DATE(YEAR(GM$8),1,1),$8:$8,"&lt;="&amp;EOMONTH(GM$8,0))/SUMIFS(18:18,$8:$8,"&gt;="&amp;DATE(YEAR(GM$8),1,1),$8:$8,"&lt;="&amp;EOMONTH(GM$8,0))</f>
        <v/>
      </c>
      <c r="GN107" s="1318">
        <f>SUMIFS(54:54,$8:$8,"&gt;="&amp;DATE(YEAR(GN$8),1,1),$8:$8,"&lt;="&amp;EOMONTH(GN$8,0))/SUMIFS(18:18,$8:$8,"&gt;="&amp;DATE(YEAR(GN$8),1,1),$8:$8,"&lt;="&amp;EOMONTH(GN$8,0))</f>
        <v/>
      </c>
      <c r="GO107" s="1318">
        <f>SUMIFS(54:54,$8:$8,"&gt;="&amp;DATE(YEAR(GO$8),1,1),$8:$8,"&lt;="&amp;EOMONTH(GO$8,0))/SUMIFS(18:18,$8:$8,"&gt;="&amp;DATE(YEAR(GO$8),1,1),$8:$8,"&lt;="&amp;EOMONTH(GO$8,0))</f>
        <v/>
      </c>
      <c r="GP107" s="1318">
        <f>SUMIFS(54:54,$8:$8,"&gt;="&amp;DATE(YEAR(GP$8),1,1),$8:$8,"&lt;="&amp;EOMONTH(GP$8,0))/SUMIFS(18:18,$8:$8,"&gt;="&amp;DATE(YEAR(GP$8),1,1),$8:$8,"&lt;="&amp;EOMONTH(GP$8,0))</f>
        <v/>
      </c>
      <c r="GQ107" s="1318">
        <f>SUMIFS(54:54,$8:$8,"&gt;="&amp;DATE(YEAR(GQ$8),1,1),$8:$8,"&lt;="&amp;EOMONTH(GQ$8,0))/SUMIFS(18:18,$8:$8,"&gt;="&amp;DATE(YEAR(GQ$8),1,1),$8:$8,"&lt;="&amp;EOMONTH(GQ$8,0))</f>
        <v/>
      </c>
      <c r="GR107" s="1318">
        <f>SUMIFS(54:54,$8:$8,"&gt;="&amp;DATE(YEAR(GR$8),1,1),$8:$8,"&lt;="&amp;EOMONTH(GR$8,0))/SUMIFS(18:18,$8:$8,"&gt;="&amp;DATE(YEAR(GR$8),1,1),$8:$8,"&lt;="&amp;EOMONTH(GR$8,0))</f>
        <v/>
      </c>
      <c r="GS107" s="1318">
        <f>SUMIFS(54:54,$8:$8,"&gt;="&amp;DATE(YEAR(GS$8),1,1),$8:$8,"&lt;="&amp;EOMONTH(GS$8,0))/SUMIFS(18:18,$8:$8,"&gt;="&amp;DATE(YEAR(GS$8),1,1),$8:$8,"&lt;="&amp;EOMONTH(GS$8,0))</f>
        <v/>
      </c>
      <c r="GT107" s="1318">
        <f>SUMIFS(54:54,$8:$8,"&gt;="&amp;DATE(YEAR(GT$8),1,1),$8:$8,"&lt;="&amp;EOMONTH(GT$8,0))/SUMIFS(18:18,$8:$8,"&gt;="&amp;DATE(YEAR(GT$8),1,1),$8:$8,"&lt;="&amp;EOMONTH(GT$8,0))</f>
        <v/>
      </c>
      <c r="GU107" s="1318">
        <f>SUMIFS(54:54,$8:$8,"&gt;="&amp;DATE(YEAR(GU$8),1,1),$8:$8,"&lt;="&amp;EOMONTH(GU$8,0))/SUMIFS(18:18,$8:$8,"&gt;="&amp;DATE(YEAR(GU$8),1,1),$8:$8,"&lt;="&amp;EOMONTH(GU$8,0))</f>
        <v/>
      </c>
      <c r="GV107" s="1318">
        <f>SUMIFS(54:54,$8:$8,"&gt;="&amp;DATE(YEAR(GV$8),1,1),$8:$8,"&lt;="&amp;EOMONTH(GV$8,0))/SUMIFS(18:18,$8:$8,"&gt;="&amp;DATE(YEAR(GV$8),1,1),$8:$8,"&lt;="&amp;EOMONTH(GV$8,0))</f>
        <v/>
      </c>
      <c r="GW107" s="1318">
        <f>SUMIFS(54:54,$8:$8,"&gt;="&amp;DATE(YEAR(GW$8),1,1),$8:$8,"&lt;="&amp;EOMONTH(GW$8,0))/SUMIFS(18:18,$8:$8,"&gt;="&amp;DATE(YEAR(GW$8),1,1),$8:$8,"&lt;="&amp;EOMONTH(GW$8,0))</f>
        <v/>
      </c>
      <c r="GX107" s="1318">
        <f>SUMIFS(54:54,$8:$8,"&gt;="&amp;DATE(YEAR(GX$8),1,1),$8:$8,"&lt;="&amp;EOMONTH(GX$8,0))/SUMIFS(18:18,$8:$8,"&gt;="&amp;DATE(YEAR(GX$8),1,1),$8:$8,"&lt;="&amp;EOMONTH(GX$8,0))</f>
        <v/>
      </c>
      <c r="GY107" s="1318">
        <f>SUMIFS(54:54,$8:$8,"&gt;="&amp;DATE(YEAR(GY$8),1,1),$8:$8,"&lt;="&amp;EOMONTH(GY$8,0))/SUMIFS(18:18,$8:$8,"&gt;="&amp;DATE(YEAR(GY$8),1,1),$8:$8,"&lt;="&amp;EOMONTH(GY$8,0))</f>
        <v/>
      </c>
      <c r="GZ107" s="1318">
        <f>SUMIFS(54:54,$8:$8,"&gt;="&amp;DATE(YEAR(GZ$8),1,1),$8:$8,"&lt;="&amp;EOMONTH(GZ$8,0))/SUMIFS(18:18,$8:$8,"&gt;="&amp;DATE(YEAR(GZ$8),1,1),$8:$8,"&lt;="&amp;EOMONTH(GZ$8,0))</f>
        <v/>
      </c>
      <c r="HA107" s="1318">
        <f>SUMIFS(54:54,$8:$8,"&gt;="&amp;DATE(YEAR(HA$8),1,1),$8:$8,"&lt;="&amp;EOMONTH(HA$8,0))/SUMIFS(18:18,$8:$8,"&gt;="&amp;DATE(YEAR(HA$8),1,1),$8:$8,"&lt;="&amp;EOMONTH(HA$8,0))</f>
        <v/>
      </c>
      <c r="HB107" s="1318">
        <f>SUMIFS(54:54,$8:$8,"&gt;="&amp;DATE(YEAR(HB$8),1,1),$8:$8,"&lt;="&amp;EOMONTH(HB$8,0))/SUMIFS(18:18,$8:$8,"&gt;="&amp;DATE(YEAR(HB$8),1,1),$8:$8,"&lt;="&amp;EOMONTH(HB$8,0))</f>
        <v/>
      </c>
      <c r="HC107" s="1318">
        <f>SUMIFS(54:54,$8:$8,"&gt;="&amp;DATE(YEAR(HC$8),1,1),$8:$8,"&lt;="&amp;EOMONTH(HC$8,0))/SUMIFS(18:18,$8:$8,"&gt;="&amp;DATE(YEAR(HC$8),1,1),$8:$8,"&lt;="&amp;EOMONTH(HC$8,0))</f>
        <v/>
      </c>
      <c r="HD107" s="1318">
        <f>SUMIFS(54:54,$8:$8,"&gt;="&amp;DATE(YEAR(HD$8),1,1),$8:$8,"&lt;="&amp;EOMONTH(HD$8,0))/SUMIFS(18:18,$8:$8,"&gt;="&amp;DATE(YEAR(HD$8),1,1),$8:$8,"&lt;="&amp;EOMONTH(HD$8,0))</f>
        <v/>
      </c>
      <c r="HE107" s="1318">
        <f>SUMIFS(54:54,$8:$8,"&gt;="&amp;DATE(YEAR(HE$8),1,1),$8:$8,"&lt;="&amp;EOMONTH(HE$8,0))/SUMIFS(18:18,$8:$8,"&gt;="&amp;DATE(YEAR(HE$8),1,1),$8:$8,"&lt;="&amp;EOMONTH(HE$8,0))</f>
        <v/>
      </c>
      <c r="HF107" s="1318">
        <f>SUMIFS(54:54,$8:$8,"&gt;="&amp;DATE(YEAR(HF$8),1,1),$8:$8,"&lt;="&amp;EOMONTH(HF$8,0))/SUMIFS(18:18,$8:$8,"&gt;="&amp;DATE(YEAR(HF$8),1,1),$8:$8,"&lt;="&amp;EOMONTH(HF$8,0))</f>
        <v/>
      </c>
      <c r="HG107" s="1318">
        <f>SUMIFS(54:54,$8:$8,"&gt;="&amp;DATE(YEAR(HG$8),1,1),$8:$8,"&lt;="&amp;EOMONTH(HG$8,0))/SUMIFS(18:18,$8:$8,"&gt;="&amp;DATE(YEAR(HG$8),1,1),$8:$8,"&lt;="&amp;EOMONTH(HG$8,0))</f>
        <v/>
      </c>
      <c r="HH107" s="1318">
        <f>SUMIFS(54:54,$8:$8,"&gt;="&amp;DATE(YEAR(HH$8),1,1),$8:$8,"&lt;="&amp;EOMONTH(HH$8,0))/SUMIFS(18:18,$8:$8,"&gt;="&amp;DATE(YEAR(HH$8),1,1),$8:$8,"&lt;="&amp;EOMONTH(HH$8,0))</f>
        <v/>
      </c>
      <c r="HI107" s="1318">
        <f>SUMIFS(54:54,$8:$8,"&gt;="&amp;DATE(YEAR(HI$8),1,1),$8:$8,"&lt;="&amp;EOMONTH(HI$8,0))/SUMIFS(18:18,$8:$8,"&gt;="&amp;DATE(YEAR(HI$8),1,1),$8:$8,"&lt;="&amp;EOMONTH(HI$8,0))</f>
        <v/>
      </c>
      <c r="HJ107" s="1318">
        <f>SUMIFS(54:54,$8:$8,"&gt;="&amp;DATE(YEAR(HJ$8),1,1),$8:$8,"&lt;="&amp;EOMONTH(HJ$8,0))/SUMIFS(18:18,$8:$8,"&gt;="&amp;DATE(YEAR(HJ$8),1,1),$8:$8,"&lt;="&amp;EOMONTH(HJ$8,0))</f>
        <v/>
      </c>
      <c r="HK107" s="1318">
        <f>SUMIFS(54:54,$8:$8,"&gt;="&amp;DATE(YEAR(HK$8),1,1),$8:$8,"&lt;="&amp;EOMONTH(HK$8,0))/SUMIFS(18:18,$8:$8,"&gt;="&amp;DATE(YEAR(HK$8),1,1),$8:$8,"&lt;="&amp;EOMONTH(HK$8,0))</f>
        <v/>
      </c>
      <c r="HL107" s="1318">
        <f>SUMIFS(54:54,$8:$8,"&gt;="&amp;DATE(YEAR(HL$8),1,1),$8:$8,"&lt;="&amp;EOMONTH(HL$8,0))/SUMIFS(18:18,$8:$8,"&gt;="&amp;DATE(YEAR(HL$8),1,1),$8:$8,"&lt;="&amp;EOMONTH(HL$8,0))</f>
        <v/>
      </c>
      <c r="HM107" s="1318">
        <f>SUMIFS(54:54,$8:$8,"&gt;="&amp;DATE(YEAR(HM$8),1,1),$8:$8,"&lt;="&amp;EOMONTH(HM$8,0))/SUMIFS(18:18,$8:$8,"&gt;="&amp;DATE(YEAR(HM$8),1,1),$8:$8,"&lt;="&amp;EOMONTH(HM$8,0))</f>
        <v/>
      </c>
      <c r="HN107" s="1318">
        <f>SUMIFS(54:54,$8:$8,"&gt;="&amp;DATE(YEAR(HN$8),1,1),$8:$8,"&lt;="&amp;EOMONTH(HN$8,0))/SUMIFS(18:18,$8:$8,"&gt;="&amp;DATE(YEAR(HN$8),1,1),$8:$8,"&lt;="&amp;EOMONTH(HN$8,0))</f>
        <v/>
      </c>
      <c r="HO107" s="1318">
        <f>SUMIFS(54:54,$8:$8,"&gt;="&amp;DATE(YEAR(HO$8),1,1),$8:$8,"&lt;="&amp;EOMONTH(HO$8,0))/SUMIFS(18:18,$8:$8,"&gt;="&amp;DATE(YEAR(HO$8),1,1),$8:$8,"&lt;="&amp;EOMONTH(HO$8,0))</f>
        <v/>
      </c>
      <c r="HP107" s="1318">
        <f>SUMIFS(54:54,$8:$8,"&gt;="&amp;DATE(YEAR(HP$8),1,1),$8:$8,"&lt;="&amp;EOMONTH(HP$8,0))/SUMIFS(18:18,$8:$8,"&gt;="&amp;DATE(YEAR(HP$8),1,1),$8:$8,"&lt;="&amp;EOMONTH(HP$8,0))</f>
        <v/>
      </c>
      <c r="HQ107" s="1318">
        <f>SUMIFS(54:54,$8:$8,"&gt;="&amp;DATE(YEAR(HQ$8),1,1),$8:$8,"&lt;="&amp;EOMONTH(HQ$8,0))/SUMIFS(18:18,$8:$8,"&gt;="&amp;DATE(YEAR(HQ$8),1,1),$8:$8,"&lt;="&amp;EOMONTH(HQ$8,0))</f>
        <v/>
      </c>
      <c r="HR107" s="1318">
        <f>SUMIFS(54:54,$8:$8,"&gt;="&amp;DATE(YEAR(HR$8),1,1),$8:$8,"&lt;="&amp;EOMONTH(HR$8,0))/SUMIFS(18:18,$8:$8,"&gt;="&amp;DATE(YEAR(HR$8),1,1),$8:$8,"&lt;="&amp;EOMONTH(HR$8,0))</f>
        <v/>
      </c>
      <c r="HS107" s="1318">
        <f>SUMIFS(54:54,$8:$8,"&gt;="&amp;DATE(YEAR(HS$8),1,1),$8:$8,"&lt;="&amp;EOMONTH(HS$8,0))/SUMIFS(18:18,$8:$8,"&gt;="&amp;DATE(YEAR(HS$8),1,1),$8:$8,"&lt;="&amp;EOMONTH(HS$8,0))</f>
        <v/>
      </c>
      <c r="HT107" s="1318">
        <f>SUMIFS(54:54,$8:$8,"&gt;="&amp;DATE(YEAR(HT$8),1,1),$8:$8,"&lt;="&amp;EOMONTH(HT$8,0))/SUMIFS(18:18,$8:$8,"&gt;="&amp;DATE(YEAR(HT$8),1,1),$8:$8,"&lt;="&amp;EOMONTH(HT$8,0))</f>
        <v/>
      </c>
      <c r="HU107" s="1318">
        <f>SUMIFS(54:54,$8:$8,"&gt;="&amp;DATE(YEAR(HU$8),1,1),$8:$8,"&lt;="&amp;EOMONTH(HU$8,0))/SUMIFS(18:18,$8:$8,"&gt;="&amp;DATE(YEAR(HU$8),1,1),$8:$8,"&lt;="&amp;EOMONTH(HU$8,0))</f>
        <v/>
      </c>
      <c r="HV107" s="1318">
        <f>SUMIFS(54:54,$8:$8,"&gt;="&amp;DATE(YEAR(HV$8),1,1),$8:$8,"&lt;="&amp;EOMONTH(HV$8,0))/SUMIFS(18:18,$8:$8,"&gt;="&amp;DATE(YEAR(HV$8),1,1),$8:$8,"&lt;="&amp;EOMONTH(HV$8,0))</f>
        <v/>
      </c>
      <c r="HW107" s="1318">
        <f>SUMIFS(54:54,$8:$8,"&gt;="&amp;DATE(YEAR(HW$8),1,1),$8:$8,"&lt;="&amp;EOMONTH(HW$8,0))/SUMIFS(18:18,$8:$8,"&gt;="&amp;DATE(YEAR(HW$8),1,1),$8:$8,"&lt;="&amp;EOMONTH(HW$8,0))</f>
        <v/>
      </c>
      <c r="HX107" s="1318">
        <f>SUMIFS(54:54,$8:$8,"&gt;="&amp;DATE(YEAR(HX$8),1,1),$8:$8,"&lt;="&amp;EOMONTH(HX$8,0))/SUMIFS(18:18,$8:$8,"&gt;="&amp;DATE(YEAR(HX$8),1,1),$8:$8,"&lt;="&amp;EOMONTH(HX$8,0))</f>
        <v/>
      </c>
      <c r="HY107" s="1318">
        <f>SUMIFS(54:54,$8:$8,"&gt;="&amp;DATE(YEAR(HY$8),1,1),$8:$8,"&lt;="&amp;EOMONTH(HY$8,0))/SUMIFS(18:18,$8:$8,"&gt;="&amp;DATE(YEAR(HY$8),1,1),$8:$8,"&lt;="&amp;EOMONTH(HY$8,0))</f>
        <v/>
      </c>
      <c r="HZ107" s="1318">
        <f>SUMIFS(54:54,$8:$8,"&gt;="&amp;DATE(YEAR(HZ$8),1,1),$8:$8,"&lt;="&amp;EOMONTH(HZ$8,0))/SUMIFS(18:18,$8:$8,"&gt;="&amp;DATE(YEAR(HZ$8),1,1),$8:$8,"&lt;="&amp;EOMONTH(HZ$8,0))</f>
        <v/>
      </c>
      <c r="IA107" s="1318">
        <f>SUMIFS(54:54,$8:$8,"&gt;="&amp;DATE(YEAR(IA$8),1,1),$8:$8,"&lt;="&amp;EOMONTH(IA$8,0))/SUMIFS(18:18,$8:$8,"&gt;="&amp;DATE(YEAR(IA$8),1,1),$8:$8,"&lt;="&amp;EOMONTH(IA$8,0))</f>
        <v/>
      </c>
      <c r="IB107" s="1318">
        <f>SUMIFS(54:54,$8:$8,"&gt;="&amp;DATE(YEAR(IB$8),1,1),$8:$8,"&lt;="&amp;EOMONTH(IB$8,0))/SUMIFS(18:18,$8:$8,"&gt;="&amp;DATE(YEAR(IB$8),1,1),$8:$8,"&lt;="&amp;EOMONTH(IB$8,0))</f>
        <v/>
      </c>
      <c r="IC107" s="1318">
        <f>SUMIFS(54:54,$8:$8,"&gt;="&amp;DATE(YEAR(IC$8),1,1),$8:$8,"&lt;="&amp;EOMONTH(IC$8,0))/SUMIFS(18:18,$8:$8,"&gt;="&amp;DATE(YEAR(IC$8),1,1),$8:$8,"&lt;="&amp;EOMONTH(IC$8,0))</f>
        <v/>
      </c>
      <c r="ID107" s="1318">
        <f>SUMIFS(54:54,$8:$8,"&gt;="&amp;DATE(YEAR(ID$8),1,1),$8:$8,"&lt;="&amp;EOMONTH(ID$8,0))/SUMIFS(18:18,$8:$8,"&gt;="&amp;DATE(YEAR(ID$8),1,1),$8:$8,"&lt;="&amp;EOMONTH(ID$8,0))</f>
        <v/>
      </c>
      <c r="IE107" s="1318">
        <f>SUMIFS(54:54,$8:$8,"&gt;="&amp;DATE(YEAR(IE$8),1,1),$8:$8,"&lt;="&amp;EOMONTH(IE$8,0))/SUMIFS(18:18,$8:$8,"&gt;="&amp;DATE(YEAR(IE$8),1,1),$8:$8,"&lt;="&amp;EOMONTH(IE$8,0))</f>
        <v/>
      </c>
      <c r="IF107" s="1318">
        <f>SUMIFS(54:54,$8:$8,"&gt;="&amp;DATE(YEAR(IF$8),1,1),$8:$8,"&lt;="&amp;EOMONTH(IF$8,0))/SUMIFS(18:18,$8:$8,"&gt;="&amp;DATE(YEAR(IF$8),1,1),$8:$8,"&lt;="&amp;EOMONTH(IF$8,0))</f>
        <v/>
      </c>
      <c r="IG107" s="1318">
        <f>SUMIFS(54:54,$8:$8,"&gt;="&amp;DATE(YEAR(IG$8),1,1),$8:$8,"&lt;="&amp;EOMONTH(IG$8,0))/SUMIFS(18:18,$8:$8,"&gt;="&amp;DATE(YEAR(IG$8),1,1),$8:$8,"&lt;="&amp;EOMONTH(IG$8,0))</f>
        <v/>
      </c>
      <c r="IH107" s="1318">
        <f>SUMIFS(54:54,$8:$8,"&gt;="&amp;DATE(YEAR(IH$8),1,1),$8:$8,"&lt;="&amp;EOMONTH(IH$8,0))/SUMIFS(18:18,$8:$8,"&gt;="&amp;DATE(YEAR(IH$8),1,1),$8:$8,"&lt;="&amp;EOMONTH(IH$8,0))</f>
        <v/>
      </c>
      <c r="II107" s="1318">
        <f>SUMIFS(54:54,$8:$8,"&gt;="&amp;DATE(YEAR(II$8),1,1),$8:$8,"&lt;="&amp;EOMONTH(II$8,0))/SUMIFS(18:18,$8:$8,"&gt;="&amp;DATE(YEAR(II$8),1,1),$8:$8,"&lt;="&amp;EOMONTH(II$8,0))</f>
        <v/>
      </c>
      <c r="IJ107" s="1318">
        <f>SUMIFS(54:54,$8:$8,"&gt;="&amp;DATE(YEAR(IJ$8),1,1),$8:$8,"&lt;="&amp;EOMONTH(IJ$8,0))/SUMIFS(18:18,$8:$8,"&gt;="&amp;DATE(YEAR(IJ$8),1,1),$8:$8,"&lt;="&amp;EOMONTH(IJ$8,0))</f>
        <v/>
      </c>
      <c r="IK107" s="1318">
        <f>SUMIFS(54:54,$8:$8,"&gt;="&amp;DATE(YEAR(IK$8),1,1),$8:$8,"&lt;="&amp;EOMONTH(IK$8,0))/SUMIFS(18:18,$8:$8,"&gt;="&amp;DATE(YEAR(IK$8),1,1),$8:$8,"&lt;="&amp;EOMONTH(IK$8,0))</f>
        <v/>
      </c>
      <c r="IL107" s="1318">
        <f>SUMIFS(54:54,$8:$8,"&gt;="&amp;DATE(YEAR(IL$8),1,1),$8:$8,"&lt;="&amp;EOMONTH(IL$8,0))/SUMIFS(18:18,$8:$8,"&gt;="&amp;DATE(YEAR(IL$8),1,1),$8:$8,"&lt;="&amp;EOMONTH(IL$8,0))</f>
        <v/>
      </c>
      <c r="IM107" s="1318">
        <f>SUMIFS(54:54,$8:$8,"&gt;="&amp;DATE(YEAR(IM$8),1,1),$8:$8,"&lt;="&amp;EOMONTH(IM$8,0))/SUMIFS(18:18,$8:$8,"&gt;="&amp;DATE(YEAR(IM$8),1,1),$8:$8,"&lt;="&amp;EOMONTH(IM$8,0))</f>
        <v/>
      </c>
      <c r="IN107" s="1318">
        <f>SUMIFS(54:54,$8:$8,"&gt;="&amp;DATE(YEAR(IN$8),1,1),$8:$8,"&lt;="&amp;EOMONTH(IN$8,0))/SUMIFS(18:18,$8:$8,"&gt;="&amp;DATE(YEAR(IN$8),1,1),$8:$8,"&lt;="&amp;EOMONTH(IN$8,0))</f>
        <v/>
      </c>
      <c r="IO107" s="1318">
        <f>SUMIFS(54:54,$8:$8,"&gt;="&amp;DATE(YEAR(IO$8),1,1),$8:$8,"&lt;="&amp;EOMONTH(IO$8,0))/SUMIFS(18:18,$8:$8,"&gt;="&amp;DATE(YEAR(IO$8),1,1),$8:$8,"&lt;="&amp;EOMONTH(IO$8,0))</f>
        <v/>
      </c>
      <c r="IP107" s="1318">
        <f>SUMIFS(54:54,$8:$8,"&gt;="&amp;DATE(YEAR(IP$8),1,1),$8:$8,"&lt;="&amp;EOMONTH(IP$8,0))/SUMIFS(18:18,$8:$8,"&gt;="&amp;DATE(YEAR(IP$8),1,1),$8:$8,"&lt;="&amp;EOMONTH(IP$8,0))</f>
        <v/>
      </c>
      <c r="IQ107" s="1318">
        <f>SUMIFS(54:54,$8:$8,"&gt;="&amp;DATE(YEAR(IQ$8),1,1),$8:$8,"&lt;="&amp;EOMONTH(IQ$8,0))/SUMIFS(18:18,$8:$8,"&gt;="&amp;DATE(YEAR(IQ$8),1,1),$8:$8,"&lt;="&amp;EOMONTH(IQ$8,0))</f>
        <v/>
      </c>
      <c r="IR107" s="1318">
        <f>SUMIFS(54:54,$8:$8,"&gt;="&amp;DATE(YEAR(IR$8),1,1),$8:$8,"&lt;="&amp;EOMONTH(IR$8,0))/SUMIFS(18:18,$8:$8,"&gt;="&amp;DATE(YEAR(IR$8),1,1),$8:$8,"&lt;="&amp;EOMONTH(IR$8,0))</f>
        <v/>
      </c>
      <c r="IS107" s="1318">
        <f>SUMIFS(54:54,$8:$8,"&gt;="&amp;DATE(YEAR(IS$8),1,1),$8:$8,"&lt;="&amp;EOMONTH(IS$8,0))/SUMIFS(18:18,$8:$8,"&gt;="&amp;DATE(YEAR(IS$8),1,1),$8:$8,"&lt;="&amp;EOMONTH(IS$8,0))</f>
        <v/>
      </c>
      <c r="IT107" s="1318">
        <f>SUMIFS(54:54,$8:$8,"&gt;="&amp;DATE(YEAR(IT$8),1,1),$8:$8,"&lt;="&amp;EOMONTH(IT$8,0))/SUMIFS(18:18,$8:$8,"&gt;="&amp;DATE(YEAR(IT$8),1,1),$8:$8,"&lt;="&amp;EOMONTH(IT$8,0))</f>
        <v/>
      </c>
      <c r="IU107" s="1318">
        <f>SUMIFS(54:54,$8:$8,"&gt;="&amp;DATE(YEAR(IU$8),1,1),$8:$8,"&lt;="&amp;EOMONTH(IU$8,0))/SUMIFS(18:18,$8:$8,"&gt;="&amp;DATE(YEAR(IU$8),1,1),$8:$8,"&lt;="&amp;EOMONTH(IU$8,0))</f>
        <v/>
      </c>
      <c r="IV107" s="1318">
        <f>SUMIFS(54:54,$8:$8,"&gt;="&amp;DATE(YEAR(IV$8),1,1),$8:$8,"&lt;="&amp;EOMONTH(IV$8,0))/SUMIFS(18:18,$8:$8,"&gt;="&amp;DATE(YEAR(IV$8),1,1),$8:$8,"&lt;="&amp;EOMONTH(IV$8,0))</f>
        <v/>
      </c>
      <c r="IW107" s="1318">
        <f>SUMIFS(54:54,$8:$8,"&gt;="&amp;DATE(YEAR(IW$8),1,1),$8:$8,"&lt;="&amp;EOMONTH(IW$8,0))/SUMIFS(18:18,$8:$8,"&gt;="&amp;DATE(YEAR(IW$8),1,1),$8:$8,"&lt;="&amp;EOMONTH(IW$8,0))</f>
        <v/>
      </c>
      <c r="IX107" s="1318">
        <f>SUMIFS(54:54,$8:$8,"&gt;="&amp;DATE(YEAR(IX$8),1,1),$8:$8,"&lt;="&amp;EOMONTH(IX$8,0))/SUMIFS(18:18,$8:$8,"&gt;="&amp;DATE(YEAR(IX$8),1,1),$8:$8,"&lt;="&amp;EOMONTH(IX$8,0))</f>
        <v/>
      </c>
      <c r="IY107" s="1318">
        <f>SUMIFS(54:54,$8:$8,"&gt;="&amp;DATE(YEAR(IY$8),1,1),$8:$8,"&lt;="&amp;EOMONTH(IY$8,0))/SUMIFS(18:18,$8:$8,"&gt;="&amp;DATE(YEAR(IY$8),1,1),$8:$8,"&lt;="&amp;EOMONTH(IY$8,0))</f>
        <v/>
      </c>
      <c r="IZ107" s="1318">
        <f>SUMIFS(54:54,$8:$8,"&gt;="&amp;DATE(YEAR(IZ$8),1,1),$8:$8,"&lt;="&amp;EOMONTH(IZ$8,0))/SUMIFS(18:18,$8:$8,"&gt;="&amp;DATE(YEAR(IZ$8),1,1),$8:$8,"&lt;="&amp;EOMONTH(IZ$8,0))</f>
        <v/>
      </c>
      <c r="JA107" s="1318">
        <f>SUMIFS(54:54,$8:$8,"&gt;="&amp;DATE(YEAR(JA$8),1,1),$8:$8,"&lt;="&amp;EOMONTH(JA$8,0))/SUMIFS(18:18,$8:$8,"&gt;="&amp;DATE(YEAR(JA$8),1,1),$8:$8,"&lt;="&amp;EOMONTH(JA$8,0))</f>
        <v/>
      </c>
      <c r="JB107" s="1318">
        <f>SUMIFS(54:54,$8:$8,"&gt;="&amp;DATE(YEAR(JB$8),1,1),$8:$8,"&lt;="&amp;EOMONTH(JB$8,0))/SUMIFS(18:18,$8:$8,"&gt;="&amp;DATE(YEAR(JB$8),1,1),$8:$8,"&lt;="&amp;EOMONTH(JB$8,0))</f>
        <v/>
      </c>
      <c r="JC107" s="1318">
        <f>SUMIFS(54:54,$8:$8,"&gt;="&amp;DATE(YEAR(JC$8),1,1),$8:$8,"&lt;="&amp;EOMONTH(JC$8,0))/SUMIFS(18:18,$8:$8,"&gt;="&amp;DATE(YEAR(JC$8),1,1),$8:$8,"&lt;="&amp;EOMONTH(JC$8,0))</f>
        <v/>
      </c>
      <c r="JD107" s="1318">
        <f>SUMIFS(54:54,$8:$8,"&gt;="&amp;DATE(YEAR(JD$8),1,1),$8:$8,"&lt;="&amp;EOMONTH(JD$8,0))/SUMIFS(18:18,$8:$8,"&gt;="&amp;DATE(YEAR(JD$8),1,1),$8:$8,"&lt;="&amp;EOMONTH(JD$8,0))</f>
        <v/>
      </c>
      <c r="JE107" s="1318">
        <f>SUMIFS(54:54,$8:$8,"&gt;="&amp;DATE(YEAR(JE$8),1,1),$8:$8,"&lt;="&amp;EOMONTH(JE$8,0))/SUMIFS(18:18,$8:$8,"&gt;="&amp;DATE(YEAR(JE$8),1,1),$8:$8,"&lt;="&amp;EOMONTH(JE$8,0))</f>
        <v/>
      </c>
      <c r="JF107" s="1318">
        <f>SUMIFS(54:54,$8:$8,"&gt;="&amp;DATE(YEAR(JF$8),1,1),$8:$8,"&lt;="&amp;EOMONTH(JF$8,0))/SUMIFS(18:18,$8:$8,"&gt;="&amp;DATE(YEAR(JF$8),1,1),$8:$8,"&lt;="&amp;EOMONTH(JF$8,0))</f>
        <v/>
      </c>
      <c r="JG107" s="1318">
        <f>SUMIFS(54:54,$8:$8,"&gt;="&amp;DATE(YEAR(JG$8),1,1),$8:$8,"&lt;="&amp;EOMONTH(JG$8,0))/SUMIFS(18:18,$8:$8,"&gt;="&amp;DATE(YEAR(JG$8),1,1),$8:$8,"&lt;="&amp;EOMONTH(JG$8,0))</f>
        <v/>
      </c>
      <c r="JH107" s="1318">
        <f>SUMIFS(54:54,$8:$8,"&gt;="&amp;DATE(YEAR(JH$8),1,1),$8:$8,"&lt;="&amp;EOMONTH(JH$8,0))/SUMIFS(18:18,$8:$8,"&gt;="&amp;DATE(YEAR(JH$8),1,1),$8:$8,"&lt;="&amp;EOMONTH(JH$8,0))</f>
        <v/>
      </c>
      <c r="JI107" s="1318">
        <f>SUMIFS(54:54,$8:$8,"&gt;="&amp;DATE(YEAR(JI$8),1,1),$8:$8,"&lt;="&amp;EOMONTH(JI$8,0))/SUMIFS(18:18,$8:$8,"&gt;="&amp;DATE(YEAR(JI$8),1,1),$8:$8,"&lt;="&amp;EOMONTH(JI$8,0))</f>
        <v/>
      </c>
      <c r="JJ107" s="1318">
        <f>SUMIFS(54:54,$8:$8,"&gt;="&amp;DATE(YEAR(JJ$8),1,1),$8:$8,"&lt;="&amp;EOMONTH(JJ$8,0))/SUMIFS(18:18,$8:$8,"&gt;="&amp;DATE(YEAR(JJ$8),1,1),$8:$8,"&lt;="&amp;EOMONTH(JJ$8,0))</f>
        <v/>
      </c>
      <c r="JK107" s="1318">
        <f>SUMIFS(54:54,$8:$8,"&gt;="&amp;DATE(YEAR(JK$8),1,1),$8:$8,"&lt;="&amp;EOMONTH(JK$8,0))/SUMIFS(18:18,$8:$8,"&gt;="&amp;DATE(YEAR(JK$8),1,1),$8:$8,"&lt;="&amp;EOMONTH(JK$8,0))</f>
        <v/>
      </c>
      <c r="JL107" s="1318">
        <f>SUMIFS(54:54,$8:$8,"&gt;="&amp;DATE(YEAR(JL$8),1,1),$8:$8,"&lt;="&amp;EOMONTH(JL$8,0))/SUMIFS(18:18,$8:$8,"&gt;="&amp;DATE(YEAR(JL$8),1,1),$8:$8,"&lt;="&amp;EOMONTH(JL$8,0))</f>
        <v/>
      </c>
      <c r="JM107" s="1318">
        <f>SUMIFS(54:54,$8:$8,"&gt;="&amp;DATE(YEAR(JM$8),1,1),$8:$8,"&lt;="&amp;EOMONTH(JM$8,0))/SUMIFS(18:18,$8:$8,"&gt;="&amp;DATE(YEAR(JM$8),1,1),$8:$8,"&lt;="&amp;EOMONTH(JM$8,0))</f>
        <v/>
      </c>
      <c r="JN107" s="1318">
        <f>SUMIFS(54:54,$8:$8,"&gt;="&amp;DATE(YEAR(JN$8),1,1),$8:$8,"&lt;="&amp;EOMONTH(JN$8,0))/SUMIFS(18:18,$8:$8,"&gt;="&amp;DATE(YEAR(JN$8),1,1),$8:$8,"&lt;="&amp;EOMONTH(JN$8,0))</f>
        <v/>
      </c>
      <c r="JO107" s="1318">
        <f>SUMIFS(54:54,$8:$8,"&gt;="&amp;DATE(YEAR(JO$8),1,1),$8:$8,"&lt;="&amp;EOMONTH(JO$8,0))/SUMIFS(18:18,$8:$8,"&gt;="&amp;DATE(YEAR(JO$8),1,1),$8:$8,"&lt;="&amp;EOMONTH(JO$8,0))</f>
        <v/>
      </c>
      <c r="JP107" s="1318">
        <f>SUMIFS(54:54,$8:$8,"&gt;="&amp;DATE(YEAR(JP$8),1,1),$8:$8,"&lt;="&amp;EOMONTH(JP$8,0))/SUMIFS(18:18,$8:$8,"&gt;="&amp;DATE(YEAR(JP$8),1,1),$8:$8,"&lt;="&amp;EOMONTH(JP$8,0))</f>
        <v/>
      </c>
      <c r="JQ107" s="1318">
        <f>SUMIFS(54:54,$8:$8,"&gt;="&amp;DATE(YEAR(JQ$8),1,1),$8:$8,"&lt;="&amp;EOMONTH(JQ$8,0))/SUMIFS(18:18,$8:$8,"&gt;="&amp;DATE(YEAR(JQ$8),1,1),$8:$8,"&lt;="&amp;EOMONTH(JQ$8,0))</f>
        <v/>
      </c>
      <c r="JR107" s="1318">
        <f>SUMIFS(54:54,$8:$8,"&gt;="&amp;DATE(YEAR(JR$8),1,1),$8:$8,"&lt;="&amp;EOMONTH(JR$8,0))/SUMIFS(18:18,$8:$8,"&gt;="&amp;DATE(YEAR(JR$8),1,1),$8:$8,"&lt;="&amp;EOMONTH(JR$8,0))</f>
        <v/>
      </c>
      <c r="JS107" s="1318">
        <f>SUMIFS(54:54,$8:$8,"&gt;="&amp;DATE(YEAR(JS$8),1,1),$8:$8,"&lt;="&amp;EOMONTH(JS$8,0))/SUMIFS(18:18,$8:$8,"&gt;="&amp;DATE(YEAR(JS$8),1,1),$8:$8,"&lt;="&amp;EOMONTH(JS$8,0))</f>
        <v/>
      </c>
      <c r="JT107" s="1318">
        <f>SUMIFS(54:54,$8:$8,"&gt;="&amp;DATE(YEAR(JT$8),1,1),$8:$8,"&lt;="&amp;EOMONTH(JT$8,0))/SUMIFS(18:18,$8:$8,"&gt;="&amp;DATE(YEAR(JT$8),1,1),$8:$8,"&lt;="&amp;EOMONTH(JT$8,0))</f>
        <v/>
      </c>
      <c r="JU107" s="1318">
        <f>SUMIFS(54:54,$8:$8,"&gt;="&amp;DATE(YEAR(JU$8),1,1),$8:$8,"&lt;="&amp;EOMONTH(JU$8,0))/SUMIFS(18:18,$8:$8,"&gt;="&amp;DATE(YEAR(JU$8),1,1),$8:$8,"&lt;="&amp;EOMONTH(JU$8,0))</f>
        <v/>
      </c>
      <c r="JV107" s="1318">
        <f>SUMIFS(54:54,$8:$8,"&gt;="&amp;DATE(YEAR(JV$8),1,1),$8:$8,"&lt;="&amp;EOMONTH(JV$8,0))/SUMIFS(18:18,$8:$8,"&gt;="&amp;DATE(YEAR(JV$8),1,1),$8:$8,"&lt;="&amp;EOMONTH(JV$8,0))</f>
        <v/>
      </c>
      <c r="JW107" s="1318">
        <f>SUMIFS(54:54,$8:$8,"&gt;="&amp;DATE(YEAR(JW$8),1,1),$8:$8,"&lt;="&amp;EOMONTH(JW$8,0))/SUMIFS(18:18,$8:$8,"&gt;="&amp;DATE(YEAR(JW$8),1,1),$8:$8,"&lt;="&amp;EOMONTH(JW$8,0))</f>
        <v/>
      </c>
      <c r="JX107" s="1318">
        <f>SUMIFS(54:54,$8:$8,"&gt;="&amp;DATE(YEAR(JX$8),1,1),$8:$8,"&lt;="&amp;EOMONTH(JX$8,0))/SUMIFS(18:18,$8:$8,"&gt;="&amp;DATE(YEAR(JX$8),1,1),$8:$8,"&lt;="&amp;EOMONTH(JX$8,0))</f>
        <v/>
      </c>
      <c r="JY107" s="1318">
        <f>SUMIFS(54:54,$8:$8,"&gt;="&amp;DATE(YEAR(JY$8),1,1),$8:$8,"&lt;="&amp;EOMONTH(JY$8,0))/SUMIFS(18:18,$8:$8,"&gt;="&amp;DATE(YEAR(JY$8),1,1),$8:$8,"&lt;="&amp;EOMONTH(JY$8,0))</f>
        <v/>
      </c>
      <c r="JZ107" s="1318">
        <f>SUMIFS(54:54,$8:$8,"&gt;="&amp;DATE(YEAR(JZ$8),1,1),$8:$8,"&lt;="&amp;EOMONTH(JZ$8,0))/SUMIFS(18:18,$8:$8,"&gt;="&amp;DATE(YEAR(JZ$8),1,1),$8:$8,"&lt;="&amp;EOMONTH(JZ$8,0))</f>
        <v/>
      </c>
      <c r="KA107" s="1318">
        <f>SUMIFS(54:54,$8:$8,"&gt;="&amp;DATE(YEAR(KA$8),1,1),$8:$8,"&lt;="&amp;EOMONTH(KA$8,0))/SUMIFS(18:18,$8:$8,"&gt;="&amp;DATE(YEAR(KA$8),1,1),$8:$8,"&lt;="&amp;EOMONTH(KA$8,0))</f>
        <v/>
      </c>
      <c r="KB107" s="1318">
        <f>SUMIFS(54:54,$8:$8,"&gt;="&amp;DATE(YEAR(KB$8),1,1),$8:$8,"&lt;="&amp;EOMONTH(KB$8,0))/SUMIFS(18:18,$8:$8,"&gt;="&amp;DATE(YEAR(KB$8),1,1),$8:$8,"&lt;="&amp;EOMONTH(KB$8,0))</f>
        <v/>
      </c>
      <c r="KC107" s="1318">
        <f>SUMIFS(54:54,$8:$8,"&gt;="&amp;DATE(YEAR(KC$8),1,1),$8:$8,"&lt;="&amp;EOMONTH(KC$8,0))/SUMIFS(18:18,$8:$8,"&gt;="&amp;DATE(YEAR(KC$8),1,1),$8:$8,"&lt;="&amp;EOMONTH(KC$8,0))</f>
        <v/>
      </c>
      <c r="KD107" s="1318">
        <f>SUMIFS(54:54,$8:$8,"&gt;="&amp;DATE(YEAR(KD$8),1,1),$8:$8,"&lt;="&amp;EOMONTH(KD$8,0))/SUMIFS(18:18,$8:$8,"&gt;="&amp;DATE(YEAR(KD$8),1,1),$8:$8,"&lt;="&amp;EOMONTH(KD$8,0))</f>
        <v/>
      </c>
      <c r="KE107" s="1318">
        <f>SUMIFS(54:54,$8:$8,"&gt;="&amp;DATE(YEAR(KE$8),1,1),$8:$8,"&lt;="&amp;EOMONTH(KE$8,0))/SUMIFS(18:18,$8:$8,"&gt;="&amp;DATE(YEAR(KE$8),1,1),$8:$8,"&lt;="&amp;EOMONTH(KE$8,0))</f>
        <v/>
      </c>
      <c r="KF107" s="1318">
        <f>SUMIFS(54:54,$8:$8,"&gt;="&amp;DATE(YEAR(KF$8),1,1),$8:$8,"&lt;="&amp;EOMONTH(KF$8,0))/SUMIFS(18:18,$8:$8,"&gt;="&amp;DATE(YEAR(KF$8),1,1),$8:$8,"&lt;="&amp;EOMONTH(KF$8,0))</f>
        <v/>
      </c>
      <c r="KG107" s="1318">
        <f>SUMIFS(54:54,$8:$8,"&gt;="&amp;DATE(YEAR(KG$8),1,1),$8:$8,"&lt;="&amp;EOMONTH(KG$8,0))/SUMIFS(18:18,$8:$8,"&gt;="&amp;DATE(YEAR(KG$8),1,1),$8:$8,"&lt;="&amp;EOMONTH(KG$8,0))</f>
        <v/>
      </c>
      <c r="KH107" s="1318">
        <f>SUMIFS(54:54,$8:$8,"&gt;="&amp;DATE(YEAR(KH$8),1,1),$8:$8,"&lt;="&amp;EOMONTH(KH$8,0))/SUMIFS(18:18,$8:$8,"&gt;="&amp;DATE(YEAR(KH$8),1,1),$8:$8,"&lt;="&amp;EOMONTH(KH$8,0))</f>
        <v/>
      </c>
      <c r="KI107" s="1318">
        <f>SUMIFS(54:54,$8:$8,"&gt;="&amp;DATE(YEAR(KI$8),1,1),$8:$8,"&lt;="&amp;EOMONTH(KI$8,0))/SUMIFS(18:18,$8:$8,"&gt;="&amp;DATE(YEAR(KI$8),1,1),$8:$8,"&lt;="&amp;EOMONTH(KI$8,0))</f>
        <v/>
      </c>
      <c r="KJ107" s="1318">
        <f>SUMIFS(54:54,$8:$8,"&gt;="&amp;DATE(YEAR(KJ$8),1,1),$8:$8,"&lt;="&amp;EOMONTH(KJ$8,0))/SUMIFS(18:18,$8:$8,"&gt;="&amp;DATE(YEAR(KJ$8),1,1),$8:$8,"&lt;="&amp;EOMONTH(KJ$8,0))</f>
        <v/>
      </c>
      <c r="KK107" s="1318">
        <f>SUMIFS(54:54,$8:$8,"&gt;="&amp;DATE(YEAR(KK$8),1,1),$8:$8,"&lt;="&amp;EOMONTH(KK$8,0))/SUMIFS(18:18,$8:$8,"&gt;="&amp;DATE(YEAR(KK$8),1,1),$8:$8,"&lt;="&amp;EOMONTH(KK$8,0))</f>
        <v/>
      </c>
      <c r="KL107" s="1318">
        <f>SUMIFS(54:54,$8:$8,"&gt;="&amp;DATE(YEAR(KL$8),1,1),$8:$8,"&lt;="&amp;EOMONTH(KL$8,0))/SUMIFS(18:18,$8:$8,"&gt;="&amp;DATE(YEAR(KL$8),1,1),$8:$8,"&lt;="&amp;EOMONTH(KL$8,0))</f>
        <v/>
      </c>
      <c r="KM107" s="1318">
        <f>SUMIFS(54:54,$8:$8,"&gt;="&amp;DATE(YEAR(KM$8),1,1),$8:$8,"&lt;="&amp;EOMONTH(KM$8,0))/SUMIFS(18:18,$8:$8,"&gt;="&amp;DATE(YEAR(KM$8),1,1),$8:$8,"&lt;="&amp;EOMONTH(KM$8,0))</f>
        <v/>
      </c>
      <c r="KN107" s="1318">
        <f>SUMIFS(54:54,$8:$8,"&gt;="&amp;DATE(YEAR(KN$8),1,1),$8:$8,"&lt;="&amp;EOMONTH(KN$8,0))/SUMIFS(18:18,$8:$8,"&gt;="&amp;DATE(YEAR(KN$8),1,1),$8:$8,"&lt;="&amp;EOMONTH(KN$8,0))</f>
        <v/>
      </c>
      <c r="KO107" s="1318">
        <f>SUMIFS(54:54,$8:$8,"&gt;="&amp;DATE(YEAR(KO$8),1,1),$8:$8,"&lt;="&amp;EOMONTH(KO$8,0))/SUMIFS(18:18,$8:$8,"&gt;="&amp;DATE(YEAR(KO$8),1,1),$8:$8,"&lt;="&amp;EOMONTH(KO$8,0))</f>
        <v/>
      </c>
      <c r="KP107" s="1318">
        <f>SUMIFS(54:54,$8:$8,"&gt;="&amp;DATE(YEAR(KP$8),1,1),$8:$8,"&lt;="&amp;EOMONTH(KP$8,0))/SUMIFS(18:18,$8:$8,"&gt;="&amp;DATE(YEAR(KP$8),1,1),$8:$8,"&lt;="&amp;EOMONTH(KP$8,0))</f>
        <v/>
      </c>
      <c r="KQ107" s="1318">
        <f>SUMIFS(54:54,$8:$8,"&gt;="&amp;DATE(YEAR(KQ$8),1,1),$8:$8,"&lt;="&amp;EOMONTH(KQ$8,0))/SUMIFS(18:18,$8:$8,"&gt;="&amp;DATE(YEAR(KQ$8),1,1),$8:$8,"&lt;="&amp;EOMONTH(KQ$8,0))</f>
        <v/>
      </c>
      <c r="KR107" s="1318">
        <f>SUMIFS(54:54,$8:$8,"&gt;="&amp;DATE(YEAR(KR$8),1,1),$8:$8,"&lt;="&amp;EOMONTH(KR$8,0))/SUMIFS(18:18,$8:$8,"&gt;="&amp;DATE(YEAR(KR$8),1,1),$8:$8,"&lt;="&amp;EOMONTH(KR$8,0))</f>
        <v/>
      </c>
      <c r="KS107" s="1318">
        <f>SUMIFS(54:54,$8:$8,"&gt;="&amp;DATE(YEAR(KS$8),1,1),$8:$8,"&lt;="&amp;EOMONTH(KS$8,0))/SUMIFS(18:18,$8:$8,"&gt;="&amp;DATE(YEAR(KS$8),1,1),$8:$8,"&lt;="&amp;EOMONTH(KS$8,0))</f>
        <v/>
      </c>
      <c r="KT107" s="1318">
        <f>SUMIFS(54:54,$8:$8,"&gt;="&amp;DATE(YEAR(KT$8),1,1),$8:$8,"&lt;="&amp;EOMONTH(KT$8,0))/SUMIFS(18:18,$8:$8,"&gt;="&amp;DATE(YEAR(KT$8),1,1),$8:$8,"&lt;="&amp;EOMONTH(KT$8,0))</f>
        <v/>
      </c>
      <c r="KU107" s="1318">
        <f>SUMIFS(54:54,$8:$8,"&gt;="&amp;DATE(YEAR(KU$8),1,1),$8:$8,"&lt;="&amp;EOMONTH(KU$8,0))/SUMIFS(18:18,$8:$8,"&gt;="&amp;DATE(YEAR(KU$8),1,1),$8:$8,"&lt;="&amp;EOMONTH(KU$8,0))</f>
        <v/>
      </c>
      <c r="KV107" s="1318">
        <f>SUMIFS(54:54,$8:$8,"&gt;="&amp;DATE(YEAR(KV$8),1,1),$8:$8,"&lt;="&amp;EOMONTH(KV$8,0))/SUMIFS(18:18,$8:$8,"&gt;="&amp;DATE(YEAR(KV$8),1,1),$8:$8,"&lt;="&amp;EOMONTH(KV$8,0))</f>
        <v/>
      </c>
      <c r="KW107" s="1318">
        <f>SUMIFS(54:54,$8:$8,"&gt;="&amp;DATE(YEAR(KW$8),1,1),$8:$8,"&lt;="&amp;EOMONTH(KW$8,0))/SUMIFS(18:18,$8:$8,"&gt;="&amp;DATE(YEAR(KW$8),1,1),$8:$8,"&lt;="&amp;EOMONTH(KW$8,0))</f>
        <v/>
      </c>
      <c r="KX107" s="1318">
        <f>SUMIFS(54:54,$8:$8,"&gt;="&amp;DATE(YEAR(KX$8),1,1),$8:$8,"&lt;="&amp;EOMONTH(KX$8,0))/SUMIFS(18:18,$8:$8,"&gt;="&amp;DATE(YEAR(KX$8),1,1),$8:$8,"&lt;="&amp;EOMONTH(KX$8,0))</f>
        <v/>
      </c>
      <c r="KY107" s="1318">
        <f>SUMIFS(54:54,$8:$8,"&gt;="&amp;DATE(YEAR(KY$8),1,1),$8:$8,"&lt;="&amp;EOMONTH(KY$8,0))/SUMIFS(18:18,$8:$8,"&gt;="&amp;DATE(YEAR(KY$8),1,1),$8:$8,"&lt;="&amp;EOMONTH(KY$8,0))</f>
        <v/>
      </c>
      <c r="KZ107" s="1318">
        <f>SUMIFS(54:54,$8:$8,"&gt;="&amp;DATE(YEAR(KZ$8),1,1),$8:$8,"&lt;="&amp;EOMONTH(KZ$8,0))/SUMIFS(18:18,$8:$8,"&gt;="&amp;DATE(YEAR(KZ$8),1,1),$8:$8,"&lt;="&amp;EOMONTH(KZ$8,0))</f>
        <v/>
      </c>
      <c r="LA107" s="1318">
        <f>SUMIFS(54:54,$8:$8,"&gt;="&amp;DATE(YEAR(LA$8),1,1),$8:$8,"&lt;="&amp;EOMONTH(LA$8,0))/SUMIFS(18:18,$8:$8,"&gt;="&amp;DATE(YEAR(LA$8),1,1),$8:$8,"&lt;="&amp;EOMONTH(LA$8,0))</f>
        <v/>
      </c>
      <c r="LB107" s="1318" t="n"/>
      <c r="LC107" s="1318" t="n"/>
      <c r="LD107" s="1318" t="n"/>
      <c r="LE107" s="1318" t="n"/>
      <c r="LF107" s="1318" t="n"/>
      <c r="LG107" s="1318" t="n"/>
      <c r="LH107" s="1318" t="n"/>
      <c r="LI107" s="1318" t="n"/>
      <c r="LJ107" s="1318" t="n"/>
      <c r="LK107" s="1318" t="n"/>
      <c r="LL107" s="1318" t="n"/>
      <c r="LM107" s="1318" t="n"/>
      <c r="LN107" s="1318" t="n"/>
      <c r="LO107" s="1318" t="n"/>
      <c r="LP107" s="1318" t="n"/>
      <c r="LQ107" s="1318" t="n"/>
      <c r="LR107" s="1318" t="n"/>
      <c r="LS107" s="1318" t="n"/>
    </row>
    <row r="108">
      <c r="A108" s="885" t="inlineStr">
        <is>
          <t>YTDYOY%</t>
        </is>
      </c>
      <c r="B108" s="1318" t="n"/>
      <c r="C108" s="1318" t="n"/>
      <c r="D108" s="1318" t="n"/>
      <c r="E108" s="1318" t="n"/>
      <c r="F108" s="1318" t="n"/>
      <c r="G108" s="1318" t="n"/>
      <c r="H108" s="1318" t="n"/>
      <c r="I108" s="1318" t="n"/>
      <c r="J108" s="1318" t="n"/>
      <c r="K108" s="1318" t="n"/>
      <c r="L108" s="1318" t="n"/>
      <c r="M108" s="1318" t="n"/>
      <c r="N108" s="1318" t="n"/>
      <c r="O108" s="1318" t="n"/>
      <c r="P108" s="1318" t="n"/>
      <c r="Q108" s="1318" t="n"/>
      <c r="R108" s="1318" t="n"/>
      <c r="S108" s="1318" t="n"/>
      <c r="T108" s="1318" t="n"/>
      <c r="U108" s="1318" t="n"/>
      <c r="V108" s="1318" t="n"/>
      <c r="W108" s="1318" t="n"/>
      <c r="X108" s="1318" t="n"/>
      <c r="Y108" s="1318" t="n"/>
      <c r="Z108" s="1318">
        <f>Z107-N107</f>
        <v/>
      </c>
      <c r="AA108" s="1318">
        <f>AA107-O107</f>
        <v/>
      </c>
      <c r="AB108" s="1318">
        <f>AB107-P107</f>
        <v/>
      </c>
      <c r="AC108" s="1318">
        <f>AC107-Q107</f>
        <v/>
      </c>
      <c r="AD108" s="1318">
        <f>AD107-R107</f>
        <v/>
      </c>
      <c r="AE108" s="1318">
        <f>AE107-S107</f>
        <v/>
      </c>
      <c r="AF108" s="1318">
        <f>AF107-T107</f>
        <v/>
      </c>
      <c r="AG108" s="1318">
        <f>AG107-U107</f>
        <v/>
      </c>
      <c r="AH108" s="1318">
        <f>AH107-V107</f>
        <v/>
      </c>
      <c r="AI108" s="1318">
        <f>AI107-W107</f>
        <v/>
      </c>
      <c r="AJ108" s="1318">
        <f>AJ107-X107</f>
        <v/>
      </c>
      <c r="AK108" s="1318">
        <f>AK107-Y107</f>
        <v/>
      </c>
      <c r="AL108" s="1318">
        <f>AL107-Z107</f>
        <v/>
      </c>
      <c r="AM108" s="1318">
        <f>AM107-AA107</f>
        <v/>
      </c>
      <c r="AN108" s="1318">
        <f>AN107-AB107</f>
        <v/>
      </c>
      <c r="AO108" s="1318">
        <f>AO107-AC107</f>
        <v/>
      </c>
      <c r="AP108" s="1318">
        <f>AP107-AD107</f>
        <v/>
      </c>
      <c r="AQ108" s="1318">
        <f>AQ107-AE107</f>
        <v/>
      </c>
      <c r="AR108" s="1318">
        <f>AR107-AF107</f>
        <v/>
      </c>
      <c r="AS108" s="1318">
        <f>AS107-AG107</f>
        <v/>
      </c>
      <c r="AT108" s="1318">
        <f>AT107-AH107</f>
        <v/>
      </c>
      <c r="AU108" s="1318">
        <f>AU107-AI107</f>
        <v/>
      </c>
      <c r="AV108" s="1318">
        <f>AV107-AJ107</f>
        <v/>
      </c>
      <c r="AW108" s="1318">
        <f>AW107-AK107</f>
        <v/>
      </c>
      <c r="AX108" s="1318">
        <f>AX107-AL107</f>
        <v/>
      </c>
      <c r="AY108" s="1318">
        <f>AY107-AM107</f>
        <v/>
      </c>
      <c r="AZ108" s="1318">
        <f>AZ107-AN107</f>
        <v/>
      </c>
      <c r="BA108" s="1318">
        <f>BA107-AO107</f>
        <v/>
      </c>
      <c r="BB108" s="1318">
        <f>BB107-AP107</f>
        <v/>
      </c>
      <c r="BC108" s="1318">
        <f>BC107-AQ107</f>
        <v/>
      </c>
      <c r="BD108" s="1318">
        <f>BD107-AR107</f>
        <v/>
      </c>
      <c r="BE108" s="1318">
        <f>BE107-AS107</f>
        <v/>
      </c>
      <c r="BF108" s="1318">
        <f>BF107-AT107</f>
        <v/>
      </c>
      <c r="BG108" s="1318">
        <f>BG107-AU107</f>
        <v/>
      </c>
      <c r="BH108" s="1318">
        <f>BH107-AV107</f>
        <v/>
      </c>
      <c r="BI108" s="1318">
        <f>BI107-AW107</f>
        <v/>
      </c>
      <c r="BJ108" s="1318">
        <f>BJ107-AX107</f>
        <v/>
      </c>
      <c r="BK108" s="1318">
        <f>BK107-AY107</f>
        <v/>
      </c>
      <c r="BL108" s="1318">
        <f>BL107-AZ107</f>
        <v/>
      </c>
      <c r="BM108" s="1318">
        <f>BM107-BA107</f>
        <v/>
      </c>
      <c r="BN108" s="1318">
        <f>BN107-BB107</f>
        <v/>
      </c>
      <c r="BO108" s="1318">
        <f>BO107-BC107</f>
        <v/>
      </c>
      <c r="BP108" s="1318">
        <f>BP107-BD107</f>
        <v/>
      </c>
      <c r="BQ108" s="1318">
        <f>BQ107-BE107</f>
        <v/>
      </c>
      <c r="BR108" s="1318">
        <f>BR107-BF107</f>
        <v/>
      </c>
      <c r="BS108" s="1318">
        <f>BS107-BG107</f>
        <v/>
      </c>
      <c r="BT108" s="1318">
        <f>BT107-BH107</f>
        <v/>
      </c>
      <c r="BU108" s="1318">
        <f>BU107-BI107</f>
        <v/>
      </c>
      <c r="BV108" s="1318">
        <f>BV107-BJ107</f>
        <v/>
      </c>
      <c r="BW108" s="1318">
        <f>BW107-BK107</f>
        <v/>
      </c>
      <c r="BX108" s="1318">
        <f>BX107-BL107</f>
        <v/>
      </c>
      <c r="BY108" s="1318">
        <f>BY107-BM107</f>
        <v/>
      </c>
      <c r="BZ108" s="1318">
        <f>BZ107-BN107</f>
        <v/>
      </c>
      <c r="CA108" s="1318">
        <f>CA107-BO107</f>
        <v/>
      </c>
      <c r="CB108" s="1318">
        <f>CB107-BP107</f>
        <v/>
      </c>
      <c r="CC108" s="1318">
        <f>CC107-BQ107</f>
        <v/>
      </c>
      <c r="CD108" s="1318">
        <f>CD107-BR107</f>
        <v/>
      </c>
      <c r="CE108" s="1318">
        <f>CE107-BS107</f>
        <v/>
      </c>
      <c r="CF108" s="1318">
        <f>CF107-BT107</f>
        <v/>
      </c>
      <c r="CG108" s="1318">
        <f>CG107-BU107</f>
        <v/>
      </c>
      <c r="CH108" s="1318">
        <f>CH107-BV107</f>
        <v/>
      </c>
      <c r="CI108" s="1318">
        <f>CI107-BW107</f>
        <v/>
      </c>
      <c r="CJ108" s="1318">
        <f>CJ107-BX107</f>
        <v/>
      </c>
      <c r="CK108" s="1318">
        <f>CK107-BY107</f>
        <v/>
      </c>
      <c r="CL108" s="1318">
        <f>CL107-BZ107</f>
        <v/>
      </c>
      <c r="CM108" s="1318">
        <f>CM107-CA107</f>
        <v/>
      </c>
      <c r="CN108" s="1318">
        <f>CN107-CB107</f>
        <v/>
      </c>
      <c r="CO108" s="1318">
        <f>CO107-CC107</f>
        <v/>
      </c>
      <c r="CP108" s="1318">
        <f>CP107-CD107</f>
        <v/>
      </c>
      <c r="CQ108" s="1318">
        <f>CQ107-CE107</f>
        <v/>
      </c>
      <c r="CR108" s="1318">
        <f>CR107-CF107</f>
        <v/>
      </c>
      <c r="CS108" s="1318">
        <f>CS107-CG107</f>
        <v/>
      </c>
      <c r="CT108" s="1318">
        <f>CT107-CH107</f>
        <v/>
      </c>
      <c r="CU108" s="1318">
        <f>CU107-CI107</f>
        <v/>
      </c>
      <c r="CV108" s="1318">
        <f>CV107-CJ107</f>
        <v/>
      </c>
      <c r="CW108" s="1318">
        <f>CW107-CK107</f>
        <v/>
      </c>
      <c r="CX108" s="1318">
        <f>CX107-CL107</f>
        <v/>
      </c>
      <c r="CY108" s="1318">
        <f>CY107-CM107</f>
        <v/>
      </c>
      <c r="CZ108" s="1318">
        <f>CZ107-CN107</f>
        <v/>
      </c>
      <c r="DA108" s="1318">
        <f>DA107-CO107</f>
        <v/>
      </c>
      <c r="DB108" s="1318">
        <f>DB107-CP107</f>
        <v/>
      </c>
      <c r="DC108" s="1318">
        <f>DC107-CQ107</f>
        <v/>
      </c>
      <c r="DD108" s="1318">
        <f>DD107-CR107</f>
        <v/>
      </c>
      <c r="DE108" s="1318">
        <f>DE107-CS107</f>
        <v/>
      </c>
      <c r="DF108" s="1318">
        <f>DF107-CT107</f>
        <v/>
      </c>
      <c r="DG108" s="1318">
        <f>DG107-CU107</f>
        <v/>
      </c>
      <c r="DH108" s="1318">
        <f>DH107-CV107</f>
        <v/>
      </c>
      <c r="DI108" s="1318">
        <f>DI107-CW107</f>
        <v/>
      </c>
      <c r="DJ108" s="1318">
        <f>DJ107-CX107</f>
        <v/>
      </c>
      <c r="DK108" s="1318">
        <f>DK107-CY107</f>
        <v/>
      </c>
      <c r="DL108" s="1318">
        <f>DL107-CZ107</f>
        <v/>
      </c>
      <c r="DM108" s="1318">
        <f>DM107-DA107</f>
        <v/>
      </c>
      <c r="DN108" s="1318">
        <f>DN107-DB107</f>
        <v/>
      </c>
      <c r="DO108" s="1318">
        <f>DO107-DC107</f>
        <v/>
      </c>
      <c r="DP108" s="1318">
        <f>DP107-DD107</f>
        <v/>
      </c>
      <c r="DQ108" s="1318">
        <f>DQ107-DE107</f>
        <v/>
      </c>
      <c r="DR108" s="1318">
        <f>DR107-DF107</f>
        <v/>
      </c>
      <c r="DS108" s="1318">
        <f>DS107-DG107</f>
        <v/>
      </c>
      <c r="DT108" s="1318">
        <f>DT107-DH107</f>
        <v/>
      </c>
      <c r="DU108" s="1318">
        <f>DU107-DI107</f>
        <v/>
      </c>
      <c r="DV108" s="1318">
        <f>DV107-DJ107</f>
        <v/>
      </c>
      <c r="DW108" s="1318">
        <f>DW107-DK107</f>
        <v/>
      </c>
      <c r="DX108" s="1318">
        <f>DX107-DL107</f>
        <v/>
      </c>
      <c r="DY108" s="1318">
        <f>DY107-DM107</f>
        <v/>
      </c>
      <c r="DZ108" s="1318">
        <f>DZ107-DN107</f>
        <v/>
      </c>
      <c r="EA108" s="1318">
        <f>EA107-DO107</f>
        <v/>
      </c>
      <c r="EB108" s="1318">
        <f>EB107-DP107</f>
        <v/>
      </c>
      <c r="EC108" s="1318">
        <f>EC107-DQ107</f>
        <v/>
      </c>
      <c r="ED108" s="1318">
        <f>ED107-DR107</f>
        <v/>
      </c>
      <c r="EE108" s="1318">
        <f>EE107-DS107</f>
        <v/>
      </c>
      <c r="EF108" s="1318">
        <f>EF107-DT107</f>
        <v/>
      </c>
      <c r="EG108" s="1318">
        <f>EG107-DU107</f>
        <v/>
      </c>
      <c r="EH108" s="1318">
        <f>EH107-DV107</f>
        <v/>
      </c>
      <c r="EI108" s="1318">
        <f>EI107-DW107</f>
        <v/>
      </c>
      <c r="EJ108" s="1318">
        <f>EJ107-DX107</f>
        <v/>
      </c>
      <c r="EK108" s="1318">
        <f>EK107-DY107</f>
        <v/>
      </c>
      <c r="EL108" s="1318">
        <f>EL107-DZ107</f>
        <v/>
      </c>
      <c r="EM108" s="1318">
        <f>EM107-EA107</f>
        <v/>
      </c>
      <c r="EN108" s="1318">
        <f>EN107-EB107</f>
        <v/>
      </c>
      <c r="EO108" s="1318">
        <f>EO107-EC107</f>
        <v/>
      </c>
      <c r="EP108" s="1318">
        <f>EP107-ED107</f>
        <v/>
      </c>
      <c r="EQ108" s="1318">
        <f>EQ107-EE107</f>
        <v/>
      </c>
      <c r="ER108" s="1318">
        <f>ER107-EF107</f>
        <v/>
      </c>
      <c r="ES108" s="1318">
        <f>ES107-EG107</f>
        <v/>
      </c>
      <c r="ET108" s="1318">
        <f>ET107-EH107</f>
        <v/>
      </c>
      <c r="EU108" s="1318">
        <f>EU107-EI107</f>
        <v/>
      </c>
      <c r="EV108" s="1318">
        <f>EV107-EJ107</f>
        <v/>
      </c>
      <c r="EW108" s="1318">
        <f>EW107-EK107</f>
        <v/>
      </c>
      <c r="EX108" s="1318">
        <f>EX107-EL107</f>
        <v/>
      </c>
      <c r="EY108" s="1318">
        <f>EY107-EM107</f>
        <v/>
      </c>
      <c r="EZ108" s="1318">
        <f>EZ107-EN107</f>
        <v/>
      </c>
      <c r="FA108" s="1318">
        <f>FA107-EO107</f>
        <v/>
      </c>
      <c r="FB108" s="1318">
        <f>FB107-EP107</f>
        <v/>
      </c>
      <c r="FC108" s="1318">
        <f>FC107-EQ107</f>
        <v/>
      </c>
      <c r="FD108" s="1318">
        <f>FD107-ER107</f>
        <v/>
      </c>
      <c r="FE108" s="1318">
        <f>FE107-ES107</f>
        <v/>
      </c>
      <c r="FF108" s="1318">
        <f>FF107-ET107</f>
        <v/>
      </c>
      <c r="FG108" s="1318">
        <f>FG107-EU107</f>
        <v/>
      </c>
      <c r="FH108" s="1318">
        <f>FH107-EV107</f>
        <v/>
      </c>
      <c r="FI108" s="1318">
        <f>FI107-EW107</f>
        <v/>
      </c>
      <c r="FJ108" s="1318">
        <f>FJ107-EX107</f>
        <v/>
      </c>
      <c r="FK108" s="1318">
        <f>FK107-EY107</f>
        <v/>
      </c>
      <c r="FL108" s="1318">
        <f>FL107-EZ107</f>
        <v/>
      </c>
      <c r="FM108" s="1318">
        <f>FM107-FA107</f>
        <v/>
      </c>
      <c r="FN108" s="1318">
        <f>FN107-FB107</f>
        <v/>
      </c>
      <c r="FO108" s="1318">
        <f>FO107-FC107</f>
        <v/>
      </c>
      <c r="FP108" s="1318">
        <f>FP107-FD107</f>
        <v/>
      </c>
      <c r="FQ108" s="1318">
        <f>FQ107-FE107</f>
        <v/>
      </c>
      <c r="FR108" s="1318">
        <f>FR107-FF107</f>
        <v/>
      </c>
      <c r="FS108" s="1318">
        <f>FS107-FG107</f>
        <v/>
      </c>
      <c r="FT108" s="1318">
        <f>FT107-FH107</f>
        <v/>
      </c>
      <c r="FU108" s="1318">
        <f>FU107-FI107</f>
        <v/>
      </c>
      <c r="FV108" s="1318">
        <f>FV107-FJ107</f>
        <v/>
      </c>
      <c r="FW108" s="1318">
        <f>FW107-FK107</f>
        <v/>
      </c>
      <c r="FX108" s="1318">
        <f>FX107-FL107</f>
        <v/>
      </c>
      <c r="FY108" s="1318">
        <f>FY107-FM107</f>
        <v/>
      </c>
      <c r="FZ108" s="1318">
        <f>FZ107-FN107</f>
        <v/>
      </c>
      <c r="GA108" s="1318">
        <f>GA107-FO107</f>
        <v/>
      </c>
      <c r="GB108" s="1318">
        <f>GB107-FP107</f>
        <v/>
      </c>
      <c r="GC108" s="1318">
        <f>GC107-FQ107</f>
        <v/>
      </c>
      <c r="GD108" s="1318">
        <f>GD107-FR107</f>
        <v/>
      </c>
      <c r="GE108" s="1318">
        <f>GE107-FS107</f>
        <v/>
      </c>
      <c r="GF108" s="1318">
        <f>GF107-FT107</f>
        <v/>
      </c>
      <c r="GG108" s="1318">
        <f>GG107-FU107</f>
        <v/>
      </c>
      <c r="GH108" s="1318">
        <f>GH107-FV107</f>
        <v/>
      </c>
      <c r="GI108" s="1318">
        <f>GI107-FW107</f>
        <v/>
      </c>
      <c r="GJ108" s="1318">
        <f>GJ107-FX107</f>
        <v/>
      </c>
      <c r="GK108" s="1318">
        <f>GK107-FY107</f>
        <v/>
      </c>
      <c r="GL108" s="1318">
        <f>GL107-FZ107</f>
        <v/>
      </c>
      <c r="GM108" s="1318">
        <f>GM107-GA107</f>
        <v/>
      </c>
      <c r="GN108" s="1318">
        <f>GN107-GB107</f>
        <v/>
      </c>
      <c r="GO108" s="1318">
        <f>GO107-GC107</f>
        <v/>
      </c>
      <c r="GP108" s="1318">
        <f>GP107-GD107</f>
        <v/>
      </c>
      <c r="GQ108" s="1318">
        <f>GQ107-GE107</f>
        <v/>
      </c>
      <c r="GR108" s="1318">
        <f>GR107-GF107</f>
        <v/>
      </c>
      <c r="GS108" s="1318">
        <f>GS107-GG107</f>
        <v/>
      </c>
      <c r="GT108" s="1318">
        <f>GT107-GH107</f>
        <v/>
      </c>
      <c r="GU108" s="1318">
        <f>GU107-GI107</f>
        <v/>
      </c>
      <c r="GV108" s="1318">
        <f>GV107-GJ107</f>
        <v/>
      </c>
      <c r="GW108" s="1318">
        <f>GW107-GK107</f>
        <v/>
      </c>
      <c r="GX108" s="1318">
        <f>GX107-GL107</f>
        <v/>
      </c>
      <c r="GY108" s="1318">
        <f>GY107-GM107</f>
        <v/>
      </c>
      <c r="GZ108" s="1318">
        <f>GZ107-GN107</f>
        <v/>
      </c>
      <c r="HA108" s="1318">
        <f>HA107-GO107</f>
        <v/>
      </c>
      <c r="HB108" s="1318">
        <f>HB107-GP107</f>
        <v/>
      </c>
      <c r="HC108" s="1318">
        <f>HC107-GQ107</f>
        <v/>
      </c>
      <c r="HD108" s="1318">
        <f>HD107-GR107</f>
        <v/>
      </c>
      <c r="HE108" s="1318">
        <f>HE107-GS107</f>
        <v/>
      </c>
      <c r="HF108" s="1318">
        <f>HF107-GT107</f>
        <v/>
      </c>
      <c r="HG108" s="1318">
        <f>HG107-GU107</f>
        <v/>
      </c>
      <c r="HH108" s="1318">
        <f>HH107-GV107</f>
        <v/>
      </c>
      <c r="HI108" s="1318">
        <f>HI107-GW107</f>
        <v/>
      </c>
      <c r="HJ108" s="1318">
        <f>HJ107-GX107</f>
        <v/>
      </c>
      <c r="HK108" s="1318">
        <f>HK107-GY107</f>
        <v/>
      </c>
      <c r="HL108" s="1318">
        <f>HL107-GZ107</f>
        <v/>
      </c>
      <c r="HM108" s="1318">
        <f>HM107-HA107</f>
        <v/>
      </c>
      <c r="HN108" s="1318">
        <f>HN107-HB107</f>
        <v/>
      </c>
      <c r="HO108" s="1318">
        <f>HO107-HC107</f>
        <v/>
      </c>
      <c r="HP108" s="1318">
        <f>HP107-HD107</f>
        <v/>
      </c>
      <c r="HQ108" s="1318">
        <f>HQ107-HE107</f>
        <v/>
      </c>
      <c r="HR108" s="1318">
        <f>HR107-HF107</f>
        <v/>
      </c>
      <c r="HS108" s="1318">
        <f>HS107-HG107</f>
        <v/>
      </c>
      <c r="HT108" s="1318">
        <f>HT107-HH107</f>
        <v/>
      </c>
      <c r="HU108" s="1318">
        <f>HU107-HI107</f>
        <v/>
      </c>
      <c r="HV108" s="1318">
        <f>HV107-HJ107</f>
        <v/>
      </c>
      <c r="HW108" s="1318">
        <f>HW107-HK107</f>
        <v/>
      </c>
      <c r="HX108" s="1318">
        <f>HX107-HL107</f>
        <v/>
      </c>
      <c r="HY108" s="1318">
        <f>HY107-HM107</f>
        <v/>
      </c>
      <c r="HZ108" s="1318">
        <f>HZ107-HN107</f>
        <v/>
      </c>
      <c r="IA108" s="1318">
        <f>IA107-HO107</f>
        <v/>
      </c>
      <c r="IB108" s="1318">
        <f>IB107-HP107</f>
        <v/>
      </c>
      <c r="IC108" s="1318">
        <f>IC107-HQ107</f>
        <v/>
      </c>
      <c r="ID108" s="1318">
        <f>ID107-HR107</f>
        <v/>
      </c>
      <c r="IE108" s="1318">
        <f>IE107-HS107</f>
        <v/>
      </c>
      <c r="IF108" s="1318">
        <f>IF107-HT107</f>
        <v/>
      </c>
      <c r="IG108" s="1318">
        <f>IG107-HU107</f>
        <v/>
      </c>
      <c r="IH108" s="1318">
        <f>IH107-HV107</f>
        <v/>
      </c>
      <c r="II108" s="1318">
        <f>II107-HW107</f>
        <v/>
      </c>
      <c r="IJ108" s="1318">
        <f>IJ107-HX107</f>
        <v/>
      </c>
      <c r="IK108" s="1318">
        <f>IK107-HY107</f>
        <v/>
      </c>
      <c r="IL108" s="1318">
        <f>IL107-HZ107</f>
        <v/>
      </c>
      <c r="IM108" s="1318">
        <f>IM107-IA107</f>
        <v/>
      </c>
      <c r="IN108" s="1318">
        <f>IN107-IB107</f>
        <v/>
      </c>
      <c r="IO108" s="1318">
        <f>IO107-IC107</f>
        <v/>
      </c>
      <c r="IP108" s="1318">
        <f>IP107-ID107</f>
        <v/>
      </c>
      <c r="IQ108" s="1318">
        <f>IQ107-IE107</f>
        <v/>
      </c>
      <c r="IR108" s="1318">
        <f>IR107-IF107</f>
        <v/>
      </c>
      <c r="IS108" s="1318">
        <f>IS107-IG107</f>
        <v/>
      </c>
      <c r="IT108" s="1318">
        <f>IT107-IH107</f>
        <v/>
      </c>
      <c r="IU108" s="1318">
        <f>IU107-II107</f>
        <v/>
      </c>
      <c r="IV108" s="1318">
        <f>IV107-IJ107</f>
        <v/>
      </c>
      <c r="IW108" s="1318">
        <f>IW107-IK107</f>
        <v/>
      </c>
      <c r="IX108" s="1318">
        <f>IX107-IL107</f>
        <v/>
      </c>
      <c r="IY108" s="1318">
        <f>IY107-IM107</f>
        <v/>
      </c>
      <c r="IZ108" s="1318">
        <f>IZ107-IN107</f>
        <v/>
      </c>
      <c r="JA108" s="1318">
        <f>JA107-IO107</f>
        <v/>
      </c>
      <c r="JB108" s="1318">
        <f>JB107-IP107</f>
        <v/>
      </c>
      <c r="JC108" s="1318">
        <f>JC107-IQ107</f>
        <v/>
      </c>
      <c r="JD108" s="1318">
        <f>JD107-IR107</f>
        <v/>
      </c>
      <c r="JE108" s="1318">
        <f>JE107-IS107</f>
        <v/>
      </c>
      <c r="JF108" s="1318">
        <f>JF107-IT107</f>
        <v/>
      </c>
      <c r="JG108" s="1318">
        <f>JG107-IU107</f>
        <v/>
      </c>
      <c r="JH108" s="1318">
        <f>JH107-IV107</f>
        <v/>
      </c>
      <c r="JI108" s="1318">
        <f>JI107-IW107</f>
        <v/>
      </c>
      <c r="JJ108" s="1318">
        <f>JJ107-IX107</f>
        <v/>
      </c>
      <c r="JK108" s="1318">
        <f>JK107-IY107</f>
        <v/>
      </c>
      <c r="JL108" s="1318">
        <f>JL107-IZ107</f>
        <v/>
      </c>
      <c r="JM108" s="1318">
        <f>JM107-JA107</f>
        <v/>
      </c>
      <c r="JN108" s="1318">
        <f>JN107-JB107</f>
        <v/>
      </c>
      <c r="JO108" s="1318">
        <f>JO107-JC107</f>
        <v/>
      </c>
      <c r="JP108" s="1318">
        <f>JP107-JD107</f>
        <v/>
      </c>
      <c r="JQ108" s="1318">
        <f>JQ107-JE107</f>
        <v/>
      </c>
      <c r="JR108" s="1318">
        <f>JR107-JF107</f>
        <v/>
      </c>
      <c r="JS108" s="1318">
        <f>JS107-JG107</f>
        <v/>
      </c>
      <c r="JT108" s="1318">
        <f>JT107-JH107</f>
        <v/>
      </c>
      <c r="JU108" s="1318">
        <f>JU107-JI107</f>
        <v/>
      </c>
      <c r="JV108" s="1318">
        <f>JV107-JJ107</f>
        <v/>
      </c>
      <c r="JW108" s="1318">
        <f>JW107-JK107</f>
        <v/>
      </c>
      <c r="JX108" s="1318">
        <f>JX107-JL107</f>
        <v/>
      </c>
      <c r="JY108" s="1318">
        <f>JY107-JM107</f>
        <v/>
      </c>
      <c r="JZ108" s="1318">
        <f>JZ107-JN107</f>
        <v/>
      </c>
      <c r="KA108" s="1318">
        <f>KA107-JO107</f>
        <v/>
      </c>
      <c r="KB108" s="1318">
        <f>KB107-JP107</f>
        <v/>
      </c>
      <c r="KC108" s="1318">
        <f>KC107-JQ107</f>
        <v/>
      </c>
      <c r="KD108" s="1318">
        <f>KD107-JR107</f>
        <v/>
      </c>
      <c r="KE108" s="1318">
        <f>KE107-JS107</f>
        <v/>
      </c>
      <c r="KF108" s="1318">
        <f>KF107-JT107</f>
        <v/>
      </c>
      <c r="KG108" s="1318">
        <f>KG107-JU107</f>
        <v/>
      </c>
      <c r="KH108" s="1318">
        <f>KH107-JV107</f>
        <v/>
      </c>
      <c r="KI108" s="1318">
        <f>KI107-JW107</f>
        <v/>
      </c>
      <c r="KJ108" s="1318">
        <f>KJ107-JX107</f>
        <v/>
      </c>
      <c r="KK108" s="1318">
        <f>KK107-JY107</f>
        <v/>
      </c>
      <c r="KL108" s="1318">
        <f>KL107-JZ107</f>
        <v/>
      </c>
      <c r="KM108" s="1318">
        <f>KM107-KA107</f>
        <v/>
      </c>
      <c r="KN108" s="1318">
        <f>KN107-KB107</f>
        <v/>
      </c>
      <c r="KO108" s="1318">
        <f>KO107-KC107</f>
        <v/>
      </c>
      <c r="KP108" s="1318">
        <f>KP107-KD107</f>
        <v/>
      </c>
      <c r="KQ108" s="1318">
        <f>KQ107-KE107</f>
        <v/>
      </c>
      <c r="KR108" s="1318">
        <f>KR107-KF107</f>
        <v/>
      </c>
      <c r="KS108" s="1318">
        <f>KS107-KG107</f>
        <v/>
      </c>
      <c r="KT108" s="1318">
        <f>KT107-KH107</f>
        <v/>
      </c>
      <c r="KU108" s="1318">
        <f>KU107-KI107</f>
        <v/>
      </c>
      <c r="KV108" s="1318">
        <f>KV107-KJ107</f>
        <v/>
      </c>
      <c r="KW108" s="1318">
        <f>KW107-KK107</f>
        <v/>
      </c>
      <c r="KX108" s="1318">
        <f>KX107-KL107</f>
        <v/>
      </c>
      <c r="KY108" s="1318">
        <f>KY107-KM107</f>
        <v/>
      </c>
      <c r="KZ108" s="1318">
        <f>KZ107-KN107</f>
        <v/>
      </c>
      <c r="LA108" s="1318">
        <f>LA107-KO107</f>
        <v/>
      </c>
      <c r="LB108" s="1318" t="n"/>
      <c r="LC108" s="1318" t="n"/>
      <c r="LD108" s="1318" t="n"/>
      <c r="LE108" s="1318" t="n"/>
      <c r="LF108" s="1318" t="n"/>
      <c r="LG108" s="1318" t="n"/>
      <c r="LH108" s="1318" t="n"/>
      <c r="LI108" s="1318" t="n"/>
      <c r="LJ108" s="1318" t="n"/>
      <c r="LK108" s="1318" t="n"/>
      <c r="LL108" s="1318" t="n"/>
      <c r="LM108" s="1318" t="n"/>
      <c r="LN108" s="1318" t="n"/>
      <c r="LO108" s="1318" t="n"/>
      <c r="LP108" s="1318" t="n"/>
      <c r="LQ108" s="1318" t="n"/>
      <c r="LR108" s="1318" t="n"/>
      <c r="LS108" s="1318" t="n"/>
    </row>
    <row r="109" ht="15" customHeight="1" s="239">
      <c r="A109" s="1341" t="inlineStr">
        <is>
          <t>Nth America</t>
        </is>
      </c>
      <c r="B109" s="1342" t="n"/>
      <c r="C109" s="1342" t="n"/>
      <c r="D109" s="1342" t="n"/>
      <c r="E109" s="1342" t="n"/>
      <c r="F109" s="1342" t="n"/>
      <c r="G109" s="1342" t="n"/>
      <c r="H109" s="1342" t="n"/>
      <c r="I109" s="1342" t="n"/>
      <c r="J109" s="1342" t="n"/>
      <c r="K109" s="1342" t="n"/>
      <c r="L109" s="1342" t="n"/>
      <c r="M109" s="1342" t="n"/>
      <c r="N109" s="1342" t="n"/>
      <c r="O109" s="1342" t="n"/>
      <c r="P109" s="1342" t="n"/>
      <c r="Q109" s="1342" t="n"/>
      <c r="R109" s="1342" t="n"/>
      <c r="S109" s="1342" t="n"/>
      <c r="T109" s="1342" t="n"/>
      <c r="U109" s="1342" t="n"/>
      <c r="V109" s="1342" t="n"/>
      <c r="W109" s="1342" t="n"/>
      <c r="X109" s="1342" t="n"/>
      <c r="Y109" s="1342" t="n"/>
      <c r="Z109" s="1342" t="n"/>
      <c r="AA109" s="1342" t="n"/>
      <c r="AB109" s="1342" t="n"/>
      <c r="AC109" s="1342" t="n"/>
      <c r="AD109" s="1342" t="n"/>
      <c r="AE109" s="1342" t="n"/>
      <c r="AF109" s="1342" t="n"/>
      <c r="AG109" s="1342" t="n"/>
      <c r="AH109" s="1342" t="n"/>
      <c r="AI109" s="1342" t="n"/>
      <c r="AJ109" s="1342" t="n"/>
      <c r="AK109" s="1342" t="n"/>
      <c r="AL109" s="1342" t="n"/>
      <c r="AM109" s="1342" t="n"/>
      <c r="AN109" s="1342" t="n"/>
      <c r="AO109" s="1342" t="n"/>
      <c r="AP109" s="1342" t="n"/>
      <c r="AQ109" s="1342" t="n"/>
      <c r="AR109" s="1342" t="n"/>
      <c r="AS109" s="1342" t="n"/>
      <c r="AT109" s="1342" t="n"/>
      <c r="AU109" s="1342" t="n"/>
      <c r="AV109" s="1342" t="n"/>
      <c r="AW109" s="1342" t="n"/>
      <c r="AX109" s="1342">
        <f>AX58/AX22</f>
        <v/>
      </c>
      <c r="AY109" s="1342">
        <f>AY58/AY22</f>
        <v/>
      </c>
      <c r="AZ109" s="1342">
        <f>AZ58/AZ22</f>
        <v/>
      </c>
      <c r="BA109" s="1342">
        <f>BA58/BA22</f>
        <v/>
      </c>
      <c r="BB109" s="1342">
        <f>BB58/BB22</f>
        <v/>
      </c>
      <c r="BC109" s="1342">
        <f>BC58/BC22</f>
        <v/>
      </c>
      <c r="BD109" s="1342">
        <f>BD58/BD22</f>
        <v/>
      </c>
      <c r="BE109" s="1342">
        <f>BE58/BE22</f>
        <v/>
      </c>
      <c r="BF109" s="1342">
        <f>BF58/BF22</f>
        <v/>
      </c>
      <c r="BG109" s="1342">
        <f>BG58/BG22</f>
        <v/>
      </c>
      <c r="BH109" s="1342">
        <f>BH58/BH22</f>
        <v/>
      </c>
      <c r="BI109" s="1342">
        <f>BI58/BI22</f>
        <v/>
      </c>
      <c r="BJ109" s="1342">
        <f>BJ58/BJ22</f>
        <v/>
      </c>
      <c r="BK109" s="1342">
        <f>BK58/BK22</f>
        <v/>
      </c>
      <c r="BL109" s="1342">
        <f>BL58/BL22</f>
        <v/>
      </c>
      <c r="BM109" s="1342">
        <f>BM58/BM22</f>
        <v/>
      </c>
      <c r="BN109" s="1342">
        <f>BN58/BN22</f>
        <v/>
      </c>
      <c r="BO109" s="1342">
        <f>BO58/BO22</f>
        <v/>
      </c>
      <c r="BP109" s="1342">
        <f>BP58/BP22</f>
        <v/>
      </c>
      <c r="BQ109" s="1342">
        <f>BQ58/BQ22</f>
        <v/>
      </c>
      <c r="BR109" s="1342">
        <f>BR58/BR22</f>
        <v/>
      </c>
      <c r="BS109" s="1342">
        <f>BS58/BS22</f>
        <v/>
      </c>
      <c r="BT109" s="1342">
        <f>BT58/BT22</f>
        <v/>
      </c>
      <c r="BU109" s="1342">
        <f>BU58/BU22</f>
        <v/>
      </c>
      <c r="BV109" s="1342">
        <f>BV58/BV22</f>
        <v/>
      </c>
      <c r="BW109" s="1342">
        <f>BW58/BW22</f>
        <v/>
      </c>
      <c r="BX109" s="1342">
        <f>BX58/BX22</f>
        <v/>
      </c>
      <c r="BY109" s="1342">
        <f>BY58/BY22</f>
        <v/>
      </c>
      <c r="BZ109" s="1342">
        <f>BZ58/BZ22</f>
        <v/>
      </c>
      <c r="CA109" s="1342">
        <f>CA58/CA22</f>
        <v/>
      </c>
      <c r="CB109" s="1342">
        <f>CB58/CB22</f>
        <v/>
      </c>
      <c r="CC109" s="1342">
        <f>CC58/CC22</f>
        <v/>
      </c>
      <c r="CD109" s="1342">
        <f>CD58/CD22</f>
        <v/>
      </c>
      <c r="CE109" s="1342">
        <f>CE58/CE22</f>
        <v/>
      </c>
      <c r="CF109" s="1342">
        <f>CF58/CF22</f>
        <v/>
      </c>
      <c r="CG109" s="1342">
        <f>CG58/CG22</f>
        <v/>
      </c>
      <c r="CH109" s="1342">
        <f>CH58/CH22</f>
        <v/>
      </c>
      <c r="CI109" s="1342">
        <f>CI58/CI22</f>
        <v/>
      </c>
      <c r="CJ109" s="1342">
        <f>CJ58/CJ22</f>
        <v/>
      </c>
      <c r="CK109" s="1342">
        <f>CK58/CK22</f>
        <v/>
      </c>
      <c r="CL109" s="1342">
        <f>CL58/CL22</f>
        <v/>
      </c>
      <c r="CM109" s="1342">
        <f>CM58/CM22</f>
        <v/>
      </c>
      <c r="CN109" s="1342">
        <f>CN58/CN22</f>
        <v/>
      </c>
      <c r="CO109" s="1342">
        <f>CO58/CO22</f>
        <v/>
      </c>
      <c r="CP109" s="1342">
        <f>CP58/CP22</f>
        <v/>
      </c>
      <c r="CQ109" s="1342">
        <f>CQ58/CQ22</f>
        <v/>
      </c>
      <c r="CR109" s="1342">
        <f>CR58/CR22</f>
        <v/>
      </c>
      <c r="CS109" s="1342">
        <f>CS58/CS22</f>
        <v/>
      </c>
      <c r="CT109" s="1342">
        <f>CT58/CT22</f>
        <v/>
      </c>
      <c r="CU109" s="1342">
        <f>CU58/CU22</f>
        <v/>
      </c>
      <c r="CV109" s="1342">
        <f>CV58/CV22</f>
        <v/>
      </c>
      <c r="CW109" s="1342">
        <f>CW58/CW22</f>
        <v/>
      </c>
      <c r="CX109" s="1342">
        <f>CX58/CX22</f>
        <v/>
      </c>
      <c r="CY109" s="1342">
        <f>CY58/CY22</f>
        <v/>
      </c>
      <c r="CZ109" s="1342">
        <f>CZ58/CZ22</f>
        <v/>
      </c>
      <c r="DA109" s="1342">
        <f>DA58/DA22</f>
        <v/>
      </c>
      <c r="DB109" s="1342">
        <f>DB58/DB22</f>
        <v/>
      </c>
      <c r="DC109" s="1342">
        <f>DC58/DC22</f>
        <v/>
      </c>
      <c r="DD109" s="1342">
        <f>DD58/DD22</f>
        <v/>
      </c>
      <c r="DE109" s="1342">
        <f>DE58/DE22</f>
        <v/>
      </c>
      <c r="DF109" s="1342">
        <f>DF58/DF22</f>
        <v/>
      </c>
      <c r="DG109" s="1342">
        <f>DG58/DG22</f>
        <v/>
      </c>
      <c r="DH109" s="1342">
        <f>DH58/DH22</f>
        <v/>
      </c>
      <c r="DI109" s="1342">
        <f>DI58/DI22</f>
        <v/>
      </c>
      <c r="DJ109" s="1342">
        <f>DJ58/DJ22</f>
        <v/>
      </c>
      <c r="DK109" s="1342">
        <f>DK58/DK22</f>
        <v/>
      </c>
      <c r="DL109" s="1342">
        <f>DL58/DL22</f>
        <v/>
      </c>
      <c r="DM109" s="1342">
        <f>DM58/DM22</f>
        <v/>
      </c>
      <c r="DN109" s="1342">
        <f>DN58/DN22</f>
        <v/>
      </c>
      <c r="DO109" s="1342">
        <f>DO58/DO22</f>
        <v/>
      </c>
      <c r="DP109" s="1342">
        <f>DP58/DP22</f>
        <v/>
      </c>
      <c r="DQ109" s="1342">
        <f>DQ58/DQ22</f>
        <v/>
      </c>
      <c r="DR109" s="1342">
        <f>DR58/DR22</f>
        <v/>
      </c>
      <c r="DS109" s="1342">
        <f>DS58/DS22</f>
        <v/>
      </c>
      <c r="DT109" s="1342">
        <f>DT58/DT22</f>
        <v/>
      </c>
      <c r="DU109" s="1342">
        <f>DU58/DU22</f>
        <v/>
      </c>
      <c r="DV109" s="1342">
        <f>DV58/DV22</f>
        <v/>
      </c>
      <c r="DW109" s="1342">
        <f>DW58/DW22</f>
        <v/>
      </c>
      <c r="DX109" s="1342">
        <f>DX58/DX22</f>
        <v/>
      </c>
      <c r="DY109" s="1342">
        <f>DY58/DY22</f>
        <v/>
      </c>
      <c r="DZ109" s="1342">
        <f>DZ58/DZ22</f>
        <v/>
      </c>
      <c r="EA109" s="1342">
        <f>EA58/EA22</f>
        <v/>
      </c>
      <c r="EB109" s="1342">
        <f>EB58/EB22</f>
        <v/>
      </c>
      <c r="EC109" s="1342">
        <f>EC58/EC22</f>
        <v/>
      </c>
      <c r="ED109" s="1342">
        <f>ED58/ED22</f>
        <v/>
      </c>
      <c r="EE109" s="1342">
        <f>EE58/EE22</f>
        <v/>
      </c>
      <c r="EF109" s="1342">
        <f>EF58/EF22</f>
        <v/>
      </c>
      <c r="EG109" s="1342">
        <f>EG58/EG22</f>
        <v/>
      </c>
      <c r="EH109" s="1342">
        <f>EH58/EH22</f>
        <v/>
      </c>
      <c r="EI109" s="1342">
        <f>EI58/EI22</f>
        <v/>
      </c>
      <c r="EJ109" s="1342">
        <f>EJ58/EJ22</f>
        <v/>
      </c>
      <c r="EK109" s="1342">
        <f>EK58/EK22</f>
        <v/>
      </c>
      <c r="EL109" s="1342">
        <f>EL58/EL22</f>
        <v/>
      </c>
      <c r="EM109" s="1342">
        <f>EM58/EM22</f>
        <v/>
      </c>
      <c r="EN109" s="1342">
        <f>EN58/EN22</f>
        <v/>
      </c>
      <c r="EO109" s="1342">
        <f>EO58/EO22</f>
        <v/>
      </c>
      <c r="EP109" s="1342">
        <f>EP58/EP22</f>
        <v/>
      </c>
      <c r="EQ109" s="1342">
        <f>EQ58/EQ22</f>
        <v/>
      </c>
      <c r="ER109" s="1342">
        <f>ER58/ER22</f>
        <v/>
      </c>
      <c r="ES109" s="1342">
        <f>ES58/ES22</f>
        <v/>
      </c>
      <c r="ET109" s="1342">
        <f>ET58/ET22</f>
        <v/>
      </c>
      <c r="EU109" s="1342">
        <f>EU58/EU22</f>
        <v/>
      </c>
      <c r="EV109" s="1342">
        <f>EV58/EV22</f>
        <v/>
      </c>
      <c r="EW109" s="1342">
        <f>EW58/EW22</f>
        <v/>
      </c>
      <c r="EX109" s="1342">
        <f>EX58/EX22</f>
        <v/>
      </c>
      <c r="EY109" s="1342">
        <f>EY58/EY22</f>
        <v/>
      </c>
      <c r="EZ109" s="1342">
        <f>EZ58/EZ22</f>
        <v/>
      </c>
      <c r="FA109" s="1342">
        <f>FA58/FA22</f>
        <v/>
      </c>
      <c r="FB109" s="1342">
        <f>FB58/FB22</f>
        <v/>
      </c>
      <c r="FC109" s="1342">
        <f>FC58/FC22</f>
        <v/>
      </c>
      <c r="FD109" s="1342">
        <f>FD58/FD22</f>
        <v/>
      </c>
      <c r="FE109" s="1342">
        <f>FE58/FE22</f>
        <v/>
      </c>
      <c r="FF109" s="1342">
        <f>FF58/FF22</f>
        <v/>
      </c>
      <c r="FG109" s="1342">
        <f>FG58/FG22</f>
        <v/>
      </c>
      <c r="FH109" s="1342">
        <f>FH58/FH22</f>
        <v/>
      </c>
      <c r="FI109" s="1342">
        <f>FI58/FI22</f>
        <v/>
      </c>
      <c r="FJ109" s="1342">
        <f>FJ58/FJ22</f>
        <v/>
      </c>
      <c r="FK109" s="1342">
        <f>FK58/FK22</f>
        <v/>
      </c>
      <c r="FL109" s="1342">
        <f>FL58/FL22</f>
        <v/>
      </c>
      <c r="FM109" s="1342">
        <f>FM58/FM22</f>
        <v/>
      </c>
      <c r="FN109" s="1342">
        <f>FN58/FN22</f>
        <v/>
      </c>
      <c r="FO109" s="1342">
        <f>FO58/FO22</f>
        <v/>
      </c>
      <c r="FP109" s="1342">
        <f>FP58/FP22</f>
        <v/>
      </c>
      <c r="FQ109" s="1342">
        <f>FQ58/FQ22</f>
        <v/>
      </c>
      <c r="FR109" s="1342">
        <f>FR58/FR22</f>
        <v/>
      </c>
      <c r="FS109" s="1342">
        <f>FS58/FS22</f>
        <v/>
      </c>
      <c r="FT109" s="1342">
        <f>FT58/FT22</f>
        <v/>
      </c>
      <c r="FU109" s="1342">
        <f>FU58/FU22</f>
        <v/>
      </c>
      <c r="FV109" s="1342">
        <f>FV58/FV22</f>
        <v/>
      </c>
      <c r="FW109" s="1342">
        <f>FW58/FW22</f>
        <v/>
      </c>
      <c r="FX109" s="1342">
        <f>FX58/FX22</f>
        <v/>
      </c>
      <c r="FY109" s="1342">
        <f>FY58/FY22</f>
        <v/>
      </c>
      <c r="FZ109" s="1342">
        <f>FZ58/FZ22</f>
        <v/>
      </c>
      <c r="GA109" s="1342">
        <f>GA58/GA22</f>
        <v/>
      </c>
      <c r="GB109" s="1342">
        <f>GB58/GB22</f>
        <v/>
      </c>
      <c r="GC109" s="1342">
        <f>GC58/GC22</f>
        <v/>
      </c>
      <c r="GD109" s="1342">
        <f>GD58/GD22</f>
        <v/>
      </c>
      <c r="GE109" s="1342">
        <f>GE58/GE22</f>
        <v/>
      </c>
      <c r="GF109" s="1342">
        <f>GF58/GF22</f>
        <v/>
      </c>
      <c r="GG109" s="1342">
        <f>GG58/GG22</f>
        <v/>
      </c>
      <c r="GH109" s="1342">
        <f>GH58/GH22</f>
        <v/>
      </c>
      <c r="GI109" s="1342">
        <f>GI58/GI22</f>
        <v/>
      </c>
      <c r="GJ109" s="1342">
        <f>GJ58/GJ22</f>
        <v/>
      </c>
      <c r="GK109" s="1342">
        <f>GK58/GK22</f>
        <v/>
      </c>
      <c r="GL109" s="1342">
        <f>GL58/GL22</f>
        <v/>
      </c>
      <c r="GM109" s="1342">
        <f>GM58/GM22</f>
        <v/>
      </c>
      <c r="GN109" s="1342">
        <f>GN58/GN22</f>
        <v/>
      </c>
      <c r="GO109" s="1342">
        <f>GO58/GO22</f>
        <v/>
      </c>
      <c r="GP109" s="1342">
        <f>GP58/GP22</f>
        <v/>
      </c>
      <c r="GQ109" s="1342">
        <f>GQ58/GQ22</f>
        <v/>
      </c>
      <c r="GR109" s="1342">
        <f>GR58/GR22</f>
        <v/>
      </c>
      <c r="GS109" s="1342">
        <f>GS58/GS22</f>
        <v/>
      </c>
      <c r="GT109" s="1342">
        <f>GT58/GT22</f>
        <v/>
      </c>
      <c r="GU109" s="1342">
        <f>GU58/GU22</f>
        <v/>
      </c>
      <c r="GV109" s="1342">
        <f>GV58/GV22</f>
        <v/>
      </c>
      <c r="GW109" s="1342">
        <f>GW58/GW22</f>
        <v/>
      </c>
      <c r="GX109" s="1342">
        <f>GX58/GX22</f>
        <v/>
      </c>
      <c r="GY109" s="1342">
        <f>GY58/GY22</f>
        <v/>
      </c>
      <c r="GZ109" s="1342">
        <f>GZ58/GZ22</f>
        <v/>
      </c>
      <c r="HA109" s="1342">
        <f>HA58/HA22</f>
        <v/>
      </c>
      <c r="HB109" s="1342">
        <f>HB58/HB22</f>
        <v/>
      </c>
      <c r="HC109" s="1342">
        <f>HC58/HC22</f>
        <v/>
      </c>
      <c r="HD109" s="1342">
        <f>HD58/HD22</f>
        <v/>
      </c>
      <c r="HE109" s="1342">
        <f>HE58/HE22</f>
        <v/>
      </c>
      <c r="HF109" s="1342">
        <f>HF58/HF22</f>
        <v/>
      </c>
      <c r="HG109" s="1342">
        <f>HG58/HG22</f>
        <v/>
      </c>
      <c r="HH109" s="1342">
        <f>HH58/HH22</f>
        <v/>
      </c>
      <c r="HI109" s="1342">
        <f>HI58/HI22</f>
        <v/>
      </c>
      <c r="HJ109" s="1342">
        <f>HJ58/HJ22</f>
        <v/>
      </c>
      <c r="HK109" s="1342">
        <f>HK58/HK22</f>
        <v/>
      </c>
      <c r="HL109" s="1342">
        <f>HL58/HL22</f>
        <v/>
      </c>
      <c r="HM109" s="1342">
        <f>HM58/HM22</f>
        <v/>
      </c>
      <c r="HN109" s="1342">
        <f>HN58/HN22</f>
        <v/>
      </c>
      <c r="HO109" s="1342">
        <f>HO58/HO22</f>
        <v/>
      </c>
      <c r="HP109" s="1342">
        <f>HP58/HP22</f>
        <v/>
      </c>
      <c r="HQ109" s="1342">
        <f>HQ58/HQ22</f>
        <v/>
      </c>
      <c r="HR109" s="1342">
        <f>HR58/HR22</f>
        <v/>
      </c>
      <c r="HS109" s="1342">
        <f>HS58/HS22</f>
        <v/>
      </c>
      <c r="HT109" s="1342">
        <f>HT58/HT22</f>
        <v/>
      </c>
      <c r="HU109" s="1342">
        <f>HU58/HU22</f>
        <v/>
      </c>
      <c r="HV109" s="1342">
        <f>HV58/HV22</f>
        <v/>
      </c>
      <c r="HW109" s="1342">
        <f>HW58/HW22</f>
        <v/>
      </c>
      <c r="HX109" s="1342">
        <f>HX58/HX22</f>
        <v/>
      </c>
      <c r="HY109" s="1342">
        <f>HY58/HY22</f>
        <v/>
      </c>
      <c r="HZ109" s="1342">
        <f>HZ58/HZ22</f>
        <v/>
      </c>
      <c r="IA109" s="1342">
        <f>IA58/IA22</f>
        <v/>
      </c>
      <c r="IB109" s="1342">
        <f>IB58/IB22</f>
        <v/>
      </c>
      <c r="IC109" s="1342">
        <f>IC58/IC22</f>
        <v/>
      </c>
      <c r="ID109" s="1342">
        <f>ID58/ID22</f>
        <v/>
      </c>
      <c r="IE109" s="1342">
        <f>IE58/IE22</f>
        <v/>
      </c>
      <c r="IF109" s="1342">
        <f>IF58/IF22</f>
        <v/>
      </c>
      <c r="IG109" s="1342">
        <f>IG58/IG22</f>
        <v/>
      </c>
      <c r="IH109" s="1342">
        <f>IH58/IH22</f>
        <v/>
      </c>
      <c r="II109" s="1342">
        <f>II58/II22</f>
        <v/>
      </c>
      <c r="IJ109" s="1342">
        <f>IJ58/IJ22</f>
        <v/>
      </c>
      <c r="IK109" s="1342">
        <f>IK58/IK22</f>
        <v/>
      </c>
      <c r="IL109" s="1342">
        <f>IL58/IL22</f>
        <v/>
      </c>
      <c r="IM109" s="1342">
        <f>IM58/IM22</f>
        <v/>
      </c>
      <c r="IN109" s="1342">
        <f>IN58/IN22</f>
        <v/>
      </c>
      <c r="IO109" s="1342">
        <f>IO58/IO22</f>
        <v/>
      </c>
      <c r="IP109" s="1342">
        <f>IP58/IP22</f>
        <v/>
      </c>
      <c r="IQ109" s="1342">
        <f>IQ58/IQ22</f>
        <v/>
      </c>
      <c r="IR109" s="1342">
        <f>IR58/IR22</f>
        <v/>
      </c>
      <c r="IS109" s="1342">
        <f>IS58/IS22</f>
        <v/>
      </c>
      <c r="IT109" s="1342">
        <f>IT58/IT22</f>
        <v/>
      </c>
      <c r="IU109" s="1342">
        <f>IU58/IU22</f>
        <v/>
      </c>
      <c r="IV109" s="1342">
        <f>IV58/IV22</f>
        <v/>
      </c>
      <c r="IW109" s="1342">
        <f>IW58/IW22</f>
        <v/>
      </c>
      <c r="IX109" s="1342">
        <f>IX58/IX22</f>
        <v/>
      </c>
      <c r="IY109" s="1342">
        <f>IY58/IY22</f>
        <v/>
      </c>
      <c r="IZ109" s="1342">
        <f>IZ58/IZ22</f>
        <v/>
      </c>
      <c r="JA109" s="1342">
        <f>JA58/JA22</f>
        <v/>
      </c>
      <c r="JB109" s="1342">
        <f>JB58/JB22</f>
        <v/>
      </c>
      <c r="JC109" s="1342">
        <f>JC58/JC22</f>
        <v/>
      </c>
      <c r="JD109" s="1342">
        <f>JD58/JD22</f>
        <v/>
      </c>
      <c r="JE109" s="1342">
        <f>JE58/JE22</f>
        <v/>
      </c>
      <c r="JF109" s="1342">
        <f>JF58/JF22</f>
        <v/>
      </c>
      <c r="JG109" s="1342">
        <f>JG58/JG22</f>
        <v/>
      </c>
      <c r="JH109" s="1342">
        <f>JH58/JH22</f>
        <v/>
      </c>
      <c r="JI109" s="1342">
        <f>JI58/JI22</f>
        <v/>
      </c>
      <c r="JJ109" s="1342">
        <f>JJ58/JJ22</f>
        <v/>
      </c>
      <c r="JK109" s="1342">
        <f>JK58/JK22</f>
        <v/>
      </c>
      <c r="JL109" s="1342">
        <f>JL58/JL22</f>
        <v/>
      </c>
      <c r="JM109" s="1342">
        <f>JM58/JM22</f>
        <v/>
      </c>
      <c r="JN109" s="1342">
        <f>JN58/JN22</f>
        <v/>
      </c>
      <c r="JO109" s="1342">
        <f>JO58/JO22</f>
        <v/>
      </c>
      <c r="JP109" s="1342">
        <f>JP58/JP22</f>
        <v/>
      </c>
      <c r="JQ109" s="1342">
        <f>JQ58/JQ22</f>
        <v/>
      </c>
      <c r="JR109" s="1342">
        <f>JR58/JR22</f>
        <v/>
      </c>
      <c r="JS109" s="1342">
        <f>JS58/JS22</f>
        <v/>
      </c>
      <c r="JT109" s="1342">
        <f>JT58/JT22</f>
        <v/>
      </c>
      <c r="JU109" s="1342">
        <f>JU58/JU22</f>
        <v/>
      </c>
      <c r="JV109" s="1342">
        <f>JV58/JV22</f>
        <v/>
      </c>
      <c r="JW109" s="1342">
        <f>JW58/JW22</f>
        <v/>
      </c>
      <c r="JX109" s="1342">
        <f>JX58/JX22</f>
        <v/>
      </c>
      <c r="JY109" s="1342">
        <f>JY58/JY22</f>
        <v/>
      </c>
      <c r="JZ109" s="1342">
        <f>JZ58/JZ22</f>
        <v/>
      </c>
      <c r="KA109" s="1342">
        <f>KA58/KA22</f>
        <v/>
      </c>
      <c r="KB109" s="1342">
        <f>KB58/KB22</f>
        <v/>
      </c>
      <c r="KC109" s="1342">
        <f>KC58/KC22</f>
        <v/>
      </c>
      <c r="KD109" s="1342">
        <f>KD58/KD22</f>
        <v/>
      </c>
      <c r="KE109" s="1342">
        <f>KE58/KE22</f>
        <v/>
      </c>
      <c r="KF109" s="1342">
        <f>KF58/KF22</f>
        <v/>
      </c>
      <c r="KG109" s="1342">
        <f>KG58/KG22</f>
        <v/>
      </c>
      <c r="KH109" s="1342">
        <f>KH58/KH22</f>
        <v/>
      </c>
      <c r="KI109" s="1342">
        <f>KI58/KI22</f>
        <v/>
      </c>
      <c r="KJ109" s="1342">
        <f>KJ58/KJ22</f>
        <v/>
      </c>
      <c r="KK109" s="1342">
        <f>KK58/KK22</f>
        <v/>
      </c>
      <c r="KL109" s="1342">
        <f>KL58/KL22</f>
        <v/>
      </c>
      <c r="KM109" s="1342">
        <f>KM58/KM22</f>
        <v/>
      </c>
      <c r="KN109" s="1342">
        <f>KN58/KN22</f>
        <v/>
      </c>
      <c r="KO109" s="1342">
        <f>KO58/KO22</f>
        <v/>
      </c>
      <c r="KP109" s="1342">
        <f>KP58/KP22</f>
        <v/>
      </c>
      <c r="KQ109" s="1342">
        <f>KQ58/KQ22</f>
        <v/>
      </c>
      <c r="KR109" s="1342">
        <f>KR58/KR22</f>
        <v/>
      </c>
      <c r="KS109" s="1342">
        <f>KS58/KS22</f>
        <v/>
      </c>
      <c r="KT109" s="1342">
        <f>KT58/KT22</f>
        <v/>
      </c>
      <c r="KU109" s="1342">
        <f>KU58/KU22</f>
        <v/>
      </c>
      <c r="KV109" s="1342">
        <f>KV58/KV22</f>
        <v/>
      </c>
      <c r="KW109" s="1342">
        <f>KW58/KW22</f>
        <v/>
      </c>
      <c r="KX109" s="1342">
        <f>KX58/KX22</f>
        <v/>
      </c>
      <c r="KY109" s="1342">
        <f>KY58/KY22</f>
        <v/>
      </c>
      <c r="KZ109" s="1342">
        <f>KZ58/KZ22</f>
        <v/>
      </c>
      <c r="LA109" s="1342">
        <f>LA58/LA22</f>
        <v/>
      </c>
      <c r="LB109" s="1342" t="n"/>
      <c r="LC109" s="1342" t="n"/>
      <c r="LD109" s="1342" t="n"/>
      <c r="LE109" s="1342" t="n"/>
      <c r="LF109" s="1342" t="n"/>
      <c r="LG109" s="1342" t="n"/>
      <c r="LH109" s="1342" t="n"/>
      <c r="LI109" s="1342" t="n"/>
      <c r="LJ109" s="1342" t="n"/>
      <c r="LK109" s="1342" t="n"/>
      <c r="LL109" s="1342" t="n"/>
      <c r="LM109" s="1342" t="n"/>
      <c r="LN109" s="1342" t="n"/>
      <c r="LO109" s="1342" t="n"/>
      <c r="LP109" s="1342" t="n"/>
      <c r="LQ109" s="1342" t="n"/>
      <c r="LR109" s="1342" t="n"/>
      <c r="LS109" s="1342" t="n"/>
    </row>
    <row r="110">
      <c r="A110" s="885" t="inlineStr">
        <is>
          <t>m cg %</t>
        </is>
      </c>
      <c r="B110" s="1318" t="n"/>
      <c r="C110" s="1318" t="n"/>
      <c r="D110" s="1318" t="n"/>
      <c r="E110" s="1318" t="n"/>
      <c r="F110" s="1318" t="n"/>
      <c r="G110" s="1318" t="n"/>
      <c r="H110" s="1318" t="n"/>
      <c r="I110" s="1318" t="n"/>
      <c r="J110" s="1318" t="n"/>
      <c r="K110" s="1318" t="n"/>
      <c r="L110" s="1318" t="n"/>
      <c r="M110" s="1318" t="n"/>
      <c r="N110" s="1318" t="n"/>
      <c r="O110" s="1318" t="n"/>
      <c r="P110" s="1318" t="n"/>
      <c r="Q110" s="1318" t="n"/>
      <c r="R110" s="1318" t="n"/>
      <c r="S110" s="1318" t="n"/>
      <c r="T110" s="1318" t="n"/>
      <c r="U110" s="1318" t="n"/>
      <c r="V110" s="1318" t="n"/>
      <c r="W110" s="1318" t="n"/>
      <c r="X110" s="1318" t="n"/>
      <c r="Y110" s="1318" t="n"/>
      <c r="Z110" s="1318" t="n"/>
      <c r="AA110" s="1318" t="n"/>
      <c r="AB110" s="1318" t="n"/>
      <c r="AC110" s="1318" t="n"/>
      <c r="AD110" s="1318" t="n"/>
      <c r="AE110" s="1318" t="n"/>
      <c r="AF110" s="1318" t="n"/>
      <c r="AG110" s="1318" t="n"/>
      <c r="AH110" s="1318" t="n"/>
      <c r="AI110" s="1318" t="n"/>
      <c r="AJ110" s="1318" t="n"/>
      <c r="AK110" s="1318" t="n"/>
      <c r="AL110" s="1318" t="n"/>
      <c r="AM110" s="1318" t="n"/>
      <c r="AN110" s="1318" t="n"/>
      <c r="AO110" s="1318" t="n"/>
      <c r="AP110" s="1318" t="n"/>
      <c r="AQ110" s="1318" t="n"/>
      <c r="AR110" s="1318" t="n"/>
      <c r="AS110" s="1318" t="n"/>
      <c r="AT110" s="1318" t="n"/>
      <c r="AU110" s="1318" t="n"/>
      <c r="AV110" s="1318" t="n"/>
      <c r="AW110" s="1318" t="n"/>
      <c r="AX110" s="1318">
        <f>AX109-AW109</f>
        <v/>
      </c>
      <c r="AY110" s="1318">
        <f>AY109-AX109</f>
        <v/>
      </c>
      <c r="AZ110" s="1318">
        <f>AZ109-AY109</f>
        <v/>
      </c>
      <c r="BA110" s="1318">
        <f>BA109-AZ109</f>
        <v/>
      </c>
      <c r="BB110" s="1318">
        <f>BB109-BA109</f>
        <v/>
      </c>
      <c r="BC110" s="1318">
        <f>BC109-BB109</f>
        <v/>
      </c>
      <c r="BD110" s="1318">
        <f>BD109-BC109</f>
        <v/>
      </c>
      <c r="BE110" s="1318">
        <f>BE109-BD109</f>
        <v/>
      </c>
      <c r="BF110" s="1318">
        <f>BF109-BE109</f>
        <v/>
      </c>
      <c r="BG110" s="1318">
        <f>BG109-BF109</f>
        <v/>
      </c>
      <c r="BH110" s="1318">
        <f>BH109-BG109</f>
        <v/>
      </c>
      <c r="BI110" s="1318">
        <f>BI109-BH109</f>
        <v/>
      </c>
      <c r="BJ110" s="1318">
        <f>BJ109-BI109</f>
        <v/>
      </c>
      <c r="BK110" s="1318">
        <f>BK109-BJ109</f>
        <v/>
      </c>
      <c r="BL110" s="1318">
        <f>BL109-BK109</f>
        <v/>
      </c>
      <c r="BM110" s="1318">
        <f>BM109-BL109</f>
        <v/>
      </c>
      <c r="BN110" s="1318">
        <f>BN109-BM109</f>
        <v/>
      </c>
      <c r="BO110" s="1318">
        <f>BO109-BN109</f>
        <v/>
      </c>
      <c r="BP110" s="1318">
        <f>BP109-BO109</f>
        <v/>
      </c>
      <c r="BQ110" s="1318">
        <f>BQ109-BP109</f>
        <v/>
      </c>
      <c r="BR110" s="1318">
        <f>BR109-BQ109</f>
        <v/>
      </c>
      <c r="BS110" s="1318">
        <f>BS109-BR109</f>
        <v/>
      </c>
      <c r="BT110" s="1318">
        <f>BT109-BS109</f>
        <v/>
      </c>
      <c r="BU110" s="1318">
        <f>BU109-BT109</f>
        <v/>
      </c>
      <c r="BV110" s="1318">
        <f>BV109-BU109</f>
        <v/>
      </c>
      <c r="BW110" s="1318">
        <f>BW109-BV109</f>
        <v/>
      </c>
      <c r="BX110" s="1318">
        <f>BX109-BW109</f>
        <v/>
      </c>
      <c r="BY110" s="1318">
        <f>BY109-BX109</f>
        <v/>
      </c>
      <c r="BZ110" s="1318">
        <f>BZ109-BY109</f>
        <v/>
      </c>
      <c r="CA110" s="1318">
        <f>CA109-BZ109</f>
        <v/>
      </c>
      <c r="CB110" s="1318">
        <f>CB109-CA109</f>
        <v/>
      </c>
      <c r="CC110" s="1318">
        <f>CC109-CB109</f>
        <v/>
      </c>
      <c r="CD110" s="1318">
        <f>CD109-CC109</f>
        <v/>
      </c>
      <c r="CE110" s="1318">
        <f>CE109-CD109</f>
        <v/>
      </c>
      <c r="CF110" s="1318">
        <f>CF109-CE109</f>
        <v/>
      </c>
      <c r="CG110" s="1318">
        <f>CG109-CF109</f>
        <v/>
      </c>
      <c r="CH110" s="1318">
        <f>CH109-CG109</f>
        <v/>
      </c>
      <c r="CI110" s="1318">
        <f>CI109-CH109</f>
        <v/>
      </c>
      <c r="CJ110" s="1318">
        <f>CJ109-CI109</f>
        <v/>
      </c>
      <c r="CK110" s="1318">
        <f>CK109-CJ109</f>
        <v/>
      </c>
      <c r="CL110" s="1318">
        <f>CL109-CK109</f>
        <v/>
      </c>
      <c r="CM110" s="1318">
        <f>CM109-CL109</f>
        <v/>
      </c>
      <c r="CN110" s="1318">
        <f>CN109-CM109</f>
        <v/>
      </c>
      <c r="CO110" s="1318">
        <f>CO109-CN109</f>
        <v/>
      </c>
      <c r="CP110" s="1318">
        <f>CP109-CO109</f>
        <v/>
      </c>
      <c r="CQ110" s="1318">
        <f>CQ109-CP109</f>
        <v/>
      </c>
      <c r="CR110" s="1318">
        <f>CR109-CQ109</f>
        <v/>
      </c>
      <c r="CS110" s="1318">
        <f>CS109-CR109</f>
        <v/>
      </c>
      <c r="CT110" s="1318">
        <f>CT109-CS109</f>
        <v/>
      </c>
      <c r="CU110" s="1318">
        <f>CU109-CT109</f>
        <v/>
      </c>
      <c r="CV110" s="1318">
        <f>CV109-CU109</f>
        <v/>
      </c>
      <c r="CW110" s="1318">
        <f>CW109-CV109</f>
        <v/>
      </c>
      <c r="CX110" s="1318">
        <f>CX109-CW109</f>
        <v/>
      </c>
      <c r="CY110" s="1318">
        <f>CY109-CX109</f>
        <v/>
      </c>
      <c r="CZ110" s="1318">
        <f>CZ109-CY109</f>
        <v/>
      </c>
      <c r="DA110" s="1318">
        <f>DA109-CZ109</f>
        <v/>
      </c>
      <c r="DB110" s="1318">
        <f>DB109-DA109</f>
        <v/>
      </c>
      <c r="DC110" s="1318">
        <f>DC109-DB109</f>
        <v/>
      </c>
      <c r="DD110" s="1318">
        <f>DD109-DC109</f>
        <v/>
      </c>
      <c r="DE110" s="1318">
        <f>DE109-DD109</f>
        <v/>
      </c>
      <c r="DF110" s="1318">
        <f>DF109-DE109</f>
        <v/>
      </c>
      <c r="DG110" s="1318">
        <f>DG109-DF109</f>
        <v/>
      </c>
      <c r="DH110" s="1318">
        <f>DH109-DG109</f>
        <v/>
      </c>
      <c r="DI110" s="1318">
        <f>DI109-DH109</f>
        <v/>
      </c>
      <c r="DJ110" s="1318">
        <f>DJ109-DI109</f>
        <v/>
      </c>
      <c r="DK110" s="1318">
        <f>DK109-DJ109</f>
        <v/>
      </c>
      <c r="DL110" s="1318">
        <f>DL109-DK109</f>
        <v/>
      </c>
      <c r="DM110" s="1318">
        <f>DM109-DL109</f>
        <v/>
      </c>
      <c r="DN110" s="1318">
        <f>DN109-DM109</f>
        <v/>
      </c>
      <c r="DO110" s="1318">
        <f>DO109-DN109</f>
        <v/>
      </c>
      <c r="DP110" s="1318">
        <f>DP109-DO109</f>
        <v/>
      </c>
      <c r="DQ110" s="1318">
        <f>DQ109-DP109</f>
        <v/>
      </c>
      <c r="DR110" s="1318">
        <f>DR109-DQ109</f>
        <v/>
      </c>
      <c r="DS110" s="1318">
        <f>DS109-DR109</f>
        <v/>
      </c>
      <c r="DT110" s="1318">
        <f>DT109-DS109</f>
        <v/>
      </c>
      <c r="DU110" s="1318">
        <f>DU109-DT109</f>
        <v/>
      </c>
      <c r="DV110" s="1318">
        <f>DV109-DU109</f>
        <v/>
      </c>
      <c r="DW110" s="1318">
        <f>DW109-DV109</f>
        <v/>
      </c>
      <c r="DX110" s="1318">
        <f>DX109-DW109</f>
        <v/>
      </c>
      <c r="DY110" s="1318">
        <f>DY109-DX109</f>
        <v/>
      </c>
      <c r="DZ110" s="1318">
        <f>DZ109-DY109</f>
        <v/>
      </c>
      <c r="EA110" s="1318">
        <f>EA109-DZ109</f>
        <v/>
      </c>
      <c r="EB110" s="1318">
        <f>EB109-EA109</f>
        <v/>
      </c>
      <c r="EC110" s="1318">
        <f>EC109-EB109</f>
        <v/>
      </c>
      <c r="ED110" s="1318">
        <f>ED109-EC109</f>
        <v/>
      </c>
      <c r="EE110" s="1318">
        <f>EE109-ED109</f>
        <v/>
      </c>
      <c r="EF110" s="1318">
        <f>EF109-EE109</f>
        <v/>
      </c>
      <c r="EG110" s="1318">
        <f>EG109-EF109</f>
        <v/>
      </c>
      <c r="EH110" s="1318">
        <f>EH109-EG109</f>
        <v/>
      </c>
      <c r="EI110" s="1318">
        <f>EI109-EH109</f>
        <v/>
      </c>
      <c r="EJ110" s="1318">
        <f>EJ109-EI109</f>
        <v/>
      </c>
      <c r="EK110" s="1318">
        <f>EK109-EJ109</f>
        <v/>
      </c>
      <c r="EL110" s="1318">
        <f>EL109-EK109</f>
        <v/>
      </c>
      <c r="EM110" s="1318">
        <f>EM109-EL109</f>
        <v/>
      </c>
      <c r="EN110" s="1318">
        <f>EN109-EM109</f>
        <v/>
      </c>
      <c r="EO110" s="1318">
        <f>EO109-EN109</f>
        <v/>
      </c>
      <c r="EP110" s="1318">
        <f>EP109-EO109</f>
        <v/>
      </c>
      <c r="EQ110" s="1318">
        <f>EQ109-EP109</f>
        <v/>
      </c>
      <c r="ER110" s="1318">
        <f>ER109-EQ109</f>
        <v/>
      </c>
      <c r="ES110" s="1318">
        <f>ES109-ER109</f>
        <v/>
      </c>
      <c r="ET110" s="1318">
        <f>ET109-ES109</f>
        <v/>
      </c>
      <c r="EU110" s="1318">
        <f>EU109-ET109</f>
        <v/>
      </c>
      <c r="EV110" s="1318">
        <f>EV109-EU109</f>
        <v/>
      </c>
      <c r="EW110" s="1318">
        <f>EW109-EV109</f>
        <v/>
      </c>
      <c r="EX110" s="1318">
        <f>EX109-EW109</f>
        <v/>
      </c>
      <c r="EY110" s="1318">
        <f>EY109-EX109</f>
        <v/>
      </c>
      <c r="EZ110" s="1318">
        <f>EZ109-EY109</f>
        <v/>
      </c>
      <c r="FA110" s="1318">
        <f>FA109-EZ109</f>
        <v/>
      </c>
      <c r="FB110" s="1318">
        <f>FB109-FA109</f>
        <v/>
      </c>
      <c r="FC110" s="1318">
        <f>FC109-FB109</f>
        <v/>
      </c>
      <c r="FD110" s="1318">
        <f>FD109-FC109</f>
        <v/>
      </c>
      <c r="FE110" s="1318">
        <f>FE109-FD109</f>
        <v/>
      </c>
      <c r="FF110" s="1318">
        <f>FF109-FE109</f>
        <v/>
      </c>
      <c r="FG110" s="1318">
        <f>FG109-FF109</f>
        <v/>
      </c>
      <c r="FH110" s="1318">
        <f>FH109-FG109</f>
        <v/>
      </c>
      <c r="FI110" s="1318">
        <f>FI109-FH109</f>
        <v/>
      </c>
      <c r="FJ110" s="1318">
        <f>FJ109-FI109</f>
        <v/>
      </c>
      <c r="FK110" s="1318">
        <f>FK109-FJ109</f>
        <v/>
      </c>
      <c r="FL110" s="1318">
        <f>FL109-FK109</f>
        <v/>
      </c>
      <c r="FM110" s="1318">
        <f>FM109-FL109</f>
        <v/>
      </c>
      <c r="FN110" s="1318">
        <f>FN109-FM109</f>
        <v/>
      </c>
      <c r="FO110" s="1318">
        <f>FO109-FN109</f>
        <v/>
      </c>
      <c r="FP110" s="1318">
        <f>FP109-FO109</f>
        <v/>
      </c>
      <c r="FQ110" s="1318">
        <f>FQ109-FP109</f>
        <v/>
      </c>
      <c r="FR110" s="1318">
        <f>FR109-FQ109</f>
        <v/>
      </c>
      <c r="FS110" s="1318">
        <f>FS109-FR109</f>
        <v/>
      </c>
      <c r="FT110" s="1318">
        <f>FT109-FS109</f>
        <v/>
      </c>
      <c r="FU110" s="1318">
        <f>FU109-FT109</f>
        <v/>
      </c>
      <c r="FV110" s="1318">
        <f>FV109-FU109</f>
        <v/>
      </c>
      <c r="FW110" s="1318">
        <f>FW109-FV109</f>
        <v/>
      </c>
      <c r="FX110" s="1318">
        <f>FX109-FW109</f>
        <v/>
      </c>
      <c r="FY110" s="1318">
        <f>FY109-FX109</f>
        <v/>
      </c>
      <c r="FZ110" s="1318">
        <f>FZ109-FY109</f>
        <v/>
      </c>
      <c r="GA110" s="1318">
        <f>GA109-FZ109</f>
        <v/>
      </c>
      <c r="GB110" s="1318">
        <f>GB109-GA109</f>
        <v/>
      </c>
      <c r="GC110" s="1318">
        <f>GC109-GB109</f>
        <v/>
      </c>
      <c r="GD110" s="1318">
        <f>GD109-GC109</f>
        <v/>
      </c>
      <c r="GE110" s="1318">
        <f>GE109-GD109</f>
        <v/>
      </c>
      <c r="GF110" s="1318">
        <f>GF109-GE109</f>
        <v/>
      </c>
      <c r="GG110" s="1318">
        <f>GG109-GF109</f>
        <v/>
      </c>
      <c r="GH110" s="1318">
        <f>GH109-GG109</f>
        <v/>
      </c>
      <c r="GI110" s="1318">
        <f>GI109-GH109</f>
        <v/>
      </c>
      <c r="GJ110" s="1318">
        <f>GJ109-GI109</f>
        <v/>
      </c>
      <c r="GK110" s="1318">
        <f>GK109-GJ109</f>
        <v/>
      </c>
      <c r="GL110" s="1318">
        <f>GL109-GK109</f>
        <v/>
      </c>
      <c r="GM110" s="1318">
        <f>GM109-GL109</f>
        <v/>
      </c>
      <c r="GN110" s="1318">
        <f>GN109-GM109</f>
        <v/>
      </c>
      <c r="GO110" s="1318">
        <f>GO109-GN109</f>
        <v/>
      </c>
      <c r="GP110" s="1318">
        <f>GP109-GO109</f>
        <v/>
      </c>
      <c r="GQ110" s="1318">
        <f>GQ109-GP109</f>
        <v/>
      </c>
      <c r="GR110" s="1318">
        <f>GR109-GQ109</f>
        <v/>
      </c>
      <c r="GS110" s="1318">
        <f>GS109-GR109</f>
        <v/>
      </c>
      <c r="GT110" s="1318">
        <f>GT109-GS109</f>
        <v/>
      </c>
      <c r="GU110" s="1318">
        <f>GU109-GT109</f>
        <v/>
      </c>
      <c r="GV110" s="1318">
        <f>GV109-GU109</f>
        <v/>
      </c>
      <c r="GW110" s="1318">
        <f>GW109-GV109</f>
        <v/>
      </c>
      <c r="GX110" s="1318">
        <f>GX109-GW109</f>
        <v/>
      </c>
      <c r="GY110" s="1318">
        <f>GY109-GX109</f>
        <v/>
      </c>
      <c r="GZ110" s="1318">
        <f>GZ109-GY109</f>
        <v/>
      </c>
      <c r="HA110" s="1318">
        <f>HA109-GZ109</f>
        <v/>
      </c>
      <c r="HB110" s="1318">
        <f>HB109-HA109</f>
        <v/>
      </c>
      <c r="HC110" s="1318">
        <f>HC109-HB109</f>
        <v/>
      </c>
      <c r="HD110" s="1318">
        <f>HD109-HC109</f>
        <v/>
      </c>
      <c r="HE110" s="1318">
        <f>HE109-HD109</f>
        <v/>
      </c>
      <c r="HF110" s="1318">
        <f>HF109-HE109</f>
        <v/>
      </c>
      <c r="HG110" s="1318">
        <f>HG109-HF109</f>
        <v/>
      </c>
      <c r="HH110" s="1318">
        <f>HH109-HG109</f>
        <v/>
      </c>
      <c r="HI110" s="1318">
        <f>HI109-HH109</f>
        <v/>
      </c>
      <c r="HJ110" s="1318">
        <f>HJ109-HI109</f>
        <v/>
      </c>
      <c r="HK110" s="1318">
        <f>HK109-HJ109</f>
        <v/>
      </c>
      <c r="HL110" s="1318">
        <f>HL109-HK109</f>
        <v/>
      </c>
      <c r="HM110" s="1318">
        <f>HM109-HL109</f>
        <v/>
      </c>
      <c r="HN110" s="1318">
        <f>HN109-HM109</f>
        <v/>
      </c>
      <c r="HO110" s="1318">
        <f>HO109-HN109</f>
        <v/>
      </c>
      <c r="HP110" s="1318">
        <f>HP109-HO109</f>
        <v/>
      </c>
      <c r="HQ110" s="1318">
        <f>HQ109-HP109</f>
        <v/>
      </c>
      <c r="HR110" s="1318">
        <f>HR109-HQ109</f>
        <v/>
      </c>
      <c r="HS110" s="1318">
        <f>HS109-HR109</f>
        <v/>
      </c>
      <c r="HT110" s="1318">
        <f>HT109-HS109</f>
        <v/>
      </c>
      <c r="HU110" s="1318">
        <f>HU109-HT109</f>
        <v/>
      </c>
      <c r="HV110" s="1318">
        <f>HV109-HU109</f>
        <v/>
      </c>
      <c r="HW110" s="1318">
        <f>HW109-HV109</f>
        <v/>
      </c>
      <c r="HX110" s="1318">
        <f>HX109-HW109</f>
        <v/>
      </c>
      <c r="HY110" s="1318">
        <f>HY109-HX109</f>
        <v/>
      </c>
      <c r="HZ110" s="1318">
        <f>HZ109-HY109</f>
        <v/>
      </c>
      <c r="IA110" s="1318">
        <f>IA109-HZ109</f>
        <v/>
      </c>
      <c r="IB110" s="1318">
        <f>IB109-IA109</f>
        <v/>
      </c>
      <c r="IC110" s="1318">
        <f>IC109-IB109</f>
        <v/>
      </c>
      <c r="ID110" s="1318">
        <f>ID109-IC109</f>
        <v/>
      </c>
      <c r="IE110" s="1318">
        <f>IE109-ID109</f>
        <v/>
      </c>
      <c r="IF110" s="1318">
        <f>IF109-IE109</f>
        <v/>
      </c>
      <c r="IG110" s="1318">
        <f>IG109-IF109</f>
        <v/>
      </c>
      <c r="IH110" s="1318">
        <f>IH109-IG109</f>
        <v/>
      </c>
      <c r="II110" s="1318">
        <f>II109-IH109</f>
        <v/>
      </c>
      <c r="IJ110" s="1318">
        <f>IJ109-II109</f>
        <v/>
      </c>
      <c r="IK110" s="1318">
        <f>IK109-IJ109</f>
        <v/>
      </c>
      <c r="IL110" s="1318">
        <f>IL109-IK109</f>
        <v/>
      </c>
      <c r="IM110" s="1318">
        <f>IM109-IL109</f>
        <v/>
      </c>
      <c r="IN110" s="1318">
        <f>IN109-IM109</f>
        <v/>
      </c>
      <c r="IO110" s="1318">
        <f>IO109-IN109</f>
        <v/>
      </c>
      <c r="IP110" s="1318">
        <f>IP109-IO109</f>
        <v/>
      </c>
      <c r="IQ110" s="1318">
        <f>IQ109-IP109</f>
        <v/>
      </c>
      <c r="IR110" s="1318">
        <f>IR109-IQ109</f>
        <v/>
      </c>
      <c r="IS110" s="1318">
        <f>IS109-IR109</f>
        <v/>
      </c>
      <c r="IT110" s="1318">
        <f>IT109-IS109</f>
        <v/>
      </c>
      <c r="IU110" s="1318">
        <f>IU109-IT109</f>
        <v/>
      </c>
      <c r="IV110" s="1318">
        <f>IV109-IU109</f>
        <v/>
      </c>
      <c r="IW110" s="1318">
        <f>IW109-IV109</f>
        <v/>
      </c>
      <c r="IX110" s="1318">
        <f>IX109-IW109</f>
        <v/>
      </c>
      <c r="IY110" s="1318">
        <f>IY109-IX109</f>
        <v/>
      </c>
      <c r="IZ110" s="1318">
        <f>IZ109-IY109</f>
        <v/>
      </c>
      <c r="JA110" s="1318">
        <f>JA109-IZ109</f>
        <v/>
      </c>
      <c r="JB110" s="1318">
        <f>JB109-JA109</f>
        <v/>
      </c>
      <c r="JC110" s="1318">
        <f>JC109-JB109</f>
        <v/>
      </c>
      <c r="JD110" s="1318">
        <f>JD109-JC109</f>
        <v/>
      </c>
      <c r="JE110" s="1318">
        <f>JE109-JD109</f>
        <v/>
      </c>
      <c r="JF110" s="1318">
        <f>JF109-JE109</f>
        <v/>
      </c>
      <c r="JG110" s="1318">
        <f>JG109-JF109</f>
        <v/>
      </c>
      <c r="JH110" s="1318">
        <f>JH109-JG109</f>
        <v/>
      </c>
      <c r="JI110" s="1318">
        <f>JI109-JH109</f>
        <v/>
      </c>
      <c r="JJ110" s="1318">
        <f>JJ109-JI109</f>
        <v/>
      </c>
      <c r="JK110" s="1318">
        <f>JK109-JJ109</f>
        <v/>
      </c>
      <c r="JL110" s="1318">
        <f>JL109-JK109</f>
        <v/>
      </c>
      <c r="JM110" s="1318">
        <f>JM109-JL109</f>
        <v/>
      </c>
      <c r="JN110" s="1318">
        <f>JN109-JM109</f>
        <v/>
      </c>
      <c r="JO110" s="1318">
        <f>JO109-JN109</f>
        <v/>
      </c>
      <c r="JP110" s="1318">
        <f>JP109-JO109</f>
        <v/>
      </c>
      <c r="JQ110" s="1318">
        <f>JQ109-JP109</f>
        <v/>
      </c>
      <c r="JR110" s="1318">
        <f>JR109-JQ109</f>
        <v/>
      </c>
      <c r="JS110" s="1318">
        <f>JS109-JR109</f>
        <v/>
      </c>
      <c r="JT110" s="1318">
        <f>JT109-JS109</f>
        <v/>
      </c>
      <c r="JU110" s="1318">
        <f>JU109-JT109</f>
        <v/>
      </c>
      <c r="JV110" s="1318">
        <f>JV109-JU109</f>
        <v/>
      </c>
      <c r="JW110" s="1318">
        <f>JW109-JV109</f>
        <v/>
      </c>
      <c r="JX110" s="1318">
        <f>JX109-JW109</f>
        <v/>
      </c>
      <c r="JY110" s="1318">
        <f>JY109-JX109</f>
        <v/>
      </c>
      <c r="JZ110" s="1318">
        <f>JZ109-JY109</f>
        <v/>
      </c>
      <c r="KA110" s="1318">
        <f>KA109-JZ109</f>
        <v/>
      </c>
      <c r="KB110" s="1318">
        <f>KB109-KA109</f>
        <v/>
      </c>
      <c r="KC110" s="1318">
        <f>KC109-KB109</f>
        <v/>
      </c>
      <c r="KD110" s="1318">
        <f>KD109-KC109</f>
        <v/>
      </c>
      <c r="KE110" s="1318">
        <f>KE109-KD109</f>
        <v/>
      </c>
      <c r="KF110" s="1318">
        <f>KF109-KE109</f>
        <v/>
      </c>
      <c r="KG110" s="1318">
        <f>KG109-KF109</f>
        <v/>
      </c>
      <c r="KH110" s="1318">
        <f>KH109-KG109</f>
        <v/>
      </c>
      <c r="KI110" s="1318">
        <f>KI109-KH109</f>
        <v/>
      </c>
      <c r="KJ110" s="1318">
        <f>KJ109-KI109</f>
        <v/>
      </c>
      <c r="KK110" s="1318">
        <f>KK109-KJ109</f>
        <v/>
      </c>
      <c r="KL110" s="1318">
        <f>KL109-KK109</f>
        <v/>
      </c>
      <c r="KM110" s="1318">
        <f>KM109-KL109</f>
        <v/>
      </c>
      <c r="KN110" s="1318">
        <f>KN109-KM109</f>
        <v/>
      </c>
      <c r="KO110" s="1318">
        <f>KO109-KN109</f>
        <v/>
      </c>
      <c r="KP110" s="1318">
        <f>KP109-KO109</f>
        <v/>
      </c>
      <c r="KQ110" s="1318">
        <f>KQ109-KP109</f>
        <v/>
      </c>
      <c r="KR110" s="1318">
        <f>KR109-KQ109</f>
        <v/>
      </c>
      <c r="KS110" s="1318">
        <f>KS109-KR109</f>
        <v/>
      </c>
      <c r="KT110" s="1318">
        <f>KT109-KS109</f>
        <v/>
      </c>
      <c r="KU110" s="1318">
        <f>KU109-KT109</f>
        <v/>
      </c>
      <c r="KV110" s="1318">
        <f>KV109-KU109</f>
        <v/>
      </c>
      <c r="KW110" s="1318">
        <f>KW109-KV109</f>
        <v/>
      </c>
      <c r="KX110" s="1318">
        <f>KX109-KW109</f>
        <v/>
      </c>
      <c r="KY110" s="1318">
        <f>KY109-KX109</f>
        <v/>
      </c>
      <c r="KZ110" s="1318">
        <f>KZ109-KY109</f>
        <v/>
      </c>
      <c r="LA110" s="1318">
        <f>LA109-KZ109</f>
        <v/>
      </c>
      <c r="LB110" s="1318" t="n"/>
      <c r="LC110" s="1318" t="n"/>
      <c r="LD110" s="1318" t="n"/>
      <c r="LE110" s="1318" t="n"/>
      <c r="LF110" s="1318" t="n"/>
      <c r="LG110" s="1318" t="n"/>
      <c r="LH110" s="1318" t="n"/>
      <c r="LI110" s="1318" t="n"/>
      <c r="LJ110" s="1318" t="n"/>
      <c r="LK110" s="1318" t="n"/>
      <c r="LL110" s="1318" t="n"/>
      <c r="LM110" s="1318" t="n"/>
      <c r="LN110" s="1318" t="n"/>
      <c r="LO110" s="1318" t="n"/>
      <c r="LP110" s="1318" t="n"/>
      <c r="LQ110" s="1318" t="n"/>
      <c r="LR110" s="1318" t="n"/>
      <c r="LS110" s="1318" t="n"/>
    </row>
    <row r="111">
      <c r="A111" s="885" t="inlineStr">
        <is>
          <t>YoY pointsCg %</t>
        </is>
      </c>
      <c r="B111" s="1318" t="n"/>
      <c r="C111" s="1318" t="n"/>
      <c r="D111" s="1318" t="n"/>
      <c r="E111" s="1318" t="n"/>
      <c r="F111" s="1318" t="n"/>
      <c r="G111" s="1318" t="n"/>
      <c r="H111" s="1318" t="n"/>
      <c r="I111" s="1318" t="n"/>
      <c r="J111" s="1318" t="n"/>
      <c r="K111" s="1318" t="n"/>
      <c r="L111" s="1318" t="n"/>
      <c r="M111" s="1318" t="n"/>
      <c r="N111" s="1318" t="n"/>
      <c r="O111" s="1318" t="n"/>
      <c r="P111" s="1318" t="n"/>
      <c r="Q111" s="1318" t="n"/>
      <c r="R111" s="1318" t="n"/>
      <c r="S111" s="1318" t="n"/>
      <c r="T111" s="1318" t="n"/>
      <c r="U111" s="1318" t="n"/>
      <c r="V111" s="1318" t="n"/>
      <c r="W111" s="1318" t="n"/>
      <c r="X111" s="1318" t="n"/>
      <c r="Y111" s="1318" t="n"/>
      <c r="Z111" s="1318" t="n"/>
      <c r="AA111" s="1318" t="n"/>
      <c r="AB111" s="1318" t="n"/>
      <c r="AC111" s="1318" t="n"/>
      <c r="AD111" s="1318" t="n"/>
      <c r="AE111" s="1318" t="n"/>
      <c r="AF111" s="1318" t="n"/>
      <c r="AG111" s="1318" t="n"/>
      <c r="AH111" s="1318" t="n"/>
      <c r="AI111" s="1318" t="n"/>
      <c r="AJ111" s="1318" t="n"/>
      <c r="AK111" s="1318" t="n"/>
      <c r="AL111" s="1318" t="n"/>
      <c r="AM111" s="1318" t="n"/>
      <c r="AN111" s="1318" t="n"/>
      <c r="AO111" s="1318" t="n"/>
      <c r="AP111" s="1318" t="n"/>
      <c r="AQ111" s="1318" t="n"/>
      <c r="AR111" s="1318" t="n"/>
      <c r="AS111" s="1318" t="n"/>
      <c r="AT111" s="1318" t="n"/>
      <c r="AU111" s="1318" t="n"/>
      <c r="AV111" s="1318" t="n"/>
      <c r="AW111" s="1318" t="n"/>
      <c r="AX111" s="1318">
        <f>AX109-AL109</f>
        <v/>
      </c>
      <c r="AY111" s="1318">
        <f>AY109-AM109</f>
        <v/>
      </c>
      <c r="AZ111" s="1318">
        <f>AZ109-AN109</f>
        <v/>
      </c>
      <c r="BA111" s="1318">
        <f>BA109-AO109</f>
        <v/>
      </c>
      <c r="BB111" s="1318">
        <f>BB109-AP109</f>
        <v/>
      </c>
      <c r="BC111" s="1318">
        <f>BC109-AQ109</f>
        <v/>
      </c>
      <c r="BD111" s="1318">
        <f>BD109-AR109</f>
        <v/>
      </c>
      <c r="BE111" s="1318">
        <f>BE109-AS109</f>
        <v/>
      </c>
      <c r="BF111" s="1318">
        <f>BF109-AT109</f>
        <v/>
      </c>
      <c r="BG111" s="1318">
        <f>BG109-AU109</f>
        <v/>
      </c>
      <c r="BH111" s="1318">
        <f>BH109-AV109</f>
        <v/>
      </c>
      <c r="BI111" s="1318">
        <f>BI109-AW109</f>
        <v/>
      </c>
      <c r="BJ111" s="1318">
        <f>BJ109-AX109</f>
        <v/>
      </c>
      <c r="BK111" s="1318">
        <f>BK109-AY109</f>
        <v/>
      </c>
      <c r="BL111" s="1318">
        <f>BL109-AZ109</f>
        <v/>
      </c>
      <c r="BM111" s="1318">
        <f>BM109-BA109</f>
        <v/>
      </c>
      <c r="BN111" s="1318">
        <f>BN109-BB109</f>
        <v/>
      </c>
      <c r="BO111" s="1318">
        <f>BO109-BC109</f>
        <v/>
      </c>
      <c r="BP111" s="1318">
        <f>BP109-BD109</f>
        <v/>
      </c>
      <c r="BQ111" s="1318">
        <f>BQ109-BE109</f>
        <v/>
      </c>
      <c r="BR111" s="1318">
        <f>BR109-BF109</f>
        <v/>
      </c>
      <c r="BS111" s="1318">
        <f>BS109-BG109</f>
        <v/>
      </c>
      <c r="BT111" s="1318">
        <f>BT109-BH109</f>
        <v/>
      </c>
      <c r="BU111" s="1318">
        <f>BU109-BI109</f>
        <v/>
      </c>
      <c r="BV111" s="1318">
        <f>BV109-BJ109</f>
        <v/>
      </c>
      <c r="BW111" s="1318">
        <f>BW109-BK109</f>
        <v/>
      </c>
      <c r="BX111" s="1318">
        <f>BX109-BL109</f>
        <v/>
      </c>
      <c r="BY111" s="1318">
        <f>BY109-BM109</f>
        <v/>
      </c>
      <c r="BZ111" s="1318">
        <f>BZ109-BN109</f>
        <v/>
      </c>
      <c r="CA111" s="1318">
        <f>CA109-BO109</f>
        <v/>
      </c>
      <c r="CB111" s="1318">
        <f>CB109-BP109</f>
        <v/>
      </c>
      <c r="CC111" s="1318">
        <f>CC109-BQ109</f>
        <v/>
      </c>
      <c r="CD111" s="1318">
        <f>CD109-BR109</f>
        <v/>
      </c>
      <c r="CE111" s="1318">
        <f>CE109-BS109</f>
        <v/>
      </c>
      <c r="CF111" s="1318">
        <f>CF109-BT109</f>
        <v/>
      </c>
      <c r="CG111" s="1318">
        <f>CG109-BU109</f>
        <v/>
      </c>
      <c r="CH111" s="1318">
        <f>CH109-BV109</f>
        <v/>
      </c>
      <c r="CI111" s="1318">
        <f>CI109-BW109</f>
        <v/>
      </c>
      <c r="CJ111" s="1318">
        <f>CJ109-BX109</f>
        <v/>
      </c>
      <c r="CK111" s="1318">
        <f>CK109-BY109</f>
        <v/>
      </c>
      <c r="CL111" s="1318">
        <f>CL109-BZ109</f>
        <v/>
      </c>
      <c r="CM111" s="1318">
        <f>CM109-CA109</f>
        <v/>
      </c>
      <c r="CN111" s="1318">
        <f>CN109-CB109</f>
        <v/>
      </c>
      <c r="CO111" s="1318">
        <f>CO109-CC109</f>
        <v/>
      </c>
      <c r="CP111" s="1318">
        <f>CP109-CD109</f>
        <v/>
      </c>
      <c r="CQ111" s="1318">
        <f>CQ109-CE109</f>
        <v/>
      </c>
      <c r="CR111" s="1318">
        <f>CR109-CF109</f>
        <v/>
      </c>
      <c r="CS111" s="1318">
        <f>CS109-CG109</f>
        <v/>
      </c>
      <c r="CT111" s="1318">
        <f>CT109-CH109</f>
        <v/>
      </c>
      <c r="CU111" s="1318">
        <f>CU109-CI109</f>
        <v/>
      </c>
      <c r="CV111" s="1318">
        <f>CV109-CJ109</f>
        <v/>
      </c>
      <c r="CW111" s="1318">
        <f>CW109-CK109</f>
        <v/>
      </c>
      <c r="CX111" s="1318">
        <f>CX109-CL109</f>
        <v/>
      </c>
      <c r="CY111" s="1318">
        <f>CY109-CM109</f>
        <v/>
      </c>
      <c r="CZ111" s="1318">
        <f>CZ109-CN109</f>
        <v/>
      </c>
      <c r="DA111" s="1318">
        <f>DA109-CO109</f>
        <v/>
      </c>
      <c r="DB111" s="1318">
        <f>DB109-CP109</f>
        <v/>
      </c>
      <c r="DC111" s="1318">
        <f>DC109-CQ109</f>
        <v/>
      </c>
      <c r="DD111" s="1318">
        <f>DD109-CR109</f>
        <v/>
      </c>
      <c r="DE111" s="1318">
        <f>DE109-CS109</f>
        <v/>
      </c>
      <c r="DF111" s="1318">
        <f>DF109-CT109</f>
        <v/>
      </c>
      <c r="DG111" s="1318">
        <f>DG109-CU109</f>
        <v/>
      </c>
      <c r="DH111" s="1318">
        <f>DH109-CV109</f>
        <v/>
      </c>
      <c r="DI111" s="1318">
        <f>DI109-CW109</f>
        <v/>
      </c>
      <c r="DJ111" s="1318">
        <f>DJ109-CX109</f>
        <v/>
      </c>
      <c r="DK111" s="1318">
        <f>DK109-CY109</f>
        <v/>
      </c>
      <c r="DL111" s="1318">
        <f>DL109-CZ109</f>
        <v/>
      </c>
      <c r="DM111" s="1318">
        <f>DM109-DA109</f>
        <v/>
      </c>
      <c r="DN111" s="1318">
        <f>DN109-DB109</f>
        <v/>
      </c>
      <c r="DO111" s="1318">
        <f>DO109-DC109</f>
        <v/>
      </c>
      <c r="DP111" s="1318">
        <f>DP109-DD109</f>
        <v/>
      </c>
      <c r="DQ111" s="1318">
        <f>DQ109-DE109</f>
        <v/>
      </c>
      <c r="DR111" s="1318">
        <f>DR109-DF109</f>
        <v/>
      </c>
      <c r="DS111" s="1318">
        <f>DS109-DG109</f>
        <v/>
      </c>
      <c r="DT111" s="1318">
        <f>DT109-DH109</f>
        <v/>
      </c>
      <c r="DU111" s="1318">
        <f>DU109-DI109</f>
        <v/>
      </c>
      <c r="DV111" s="1318">
        <f>DV109-DJ109</f>
        <v/>
      </c>
      <c r="DW111" s="1318">
        <f>DW109-DK109</f>
        <v/>
      </c>
      <c r="DX111" s="1318">
        <f>DX109-DL109</f>
        <v/>
      </c>
      <c r="DY111" s="1318">
        <f>DY109-DM109</f>
        <v/>
      </c>
      <c r="DZ111" s="1318">
        <f>DZ109-DN109</f>
        <v/>
      </c>
      <c r="EA111" s="1318">
        <f>EA109-DO109</f>
        <v/>
      </c>
      <c r="EB111" s="1318">
        <f>EB109-DP109</f>
        <v/>
      </c>
      <c r="EC111" s="1318">
        <f>EC109-DQ109</f>
        <v/>
      </c>
      <c r="ED111" s="1318">
        <f>ED109-DR109</f>
        <v/>
      </c>
      <c r="EE111" s="1318">
        <f>EE109-DS109</f>
        <v/>
      </c>
      <c r="EF111" s="1318">
        <f>EF109-DT109</f>
        <v/>
      </c>
      <c r="EG111" s="1318">
        <f>EG109-DU109</f>
        <v/>
      </c>
      <c r="EH111" s="1318">
        <f>EH109-DV109</f>
        <v/>
      </c>
      <c r="EI111" s="1318">
        <f>EI109-DW109</f>
        <v/>
      </c>
      <c r="EJ111" s="1318">
        <f>EJ109-DX109</f>
        <v/>
      </c>
      <c r="EK111" s="1318">
        <f>EK109-DY109</f>
        <v/>
      </c>
      <c r="EL111" s="1318">
        <f>EL109-DZ109</f>
        <v/>
      </c>
      <c r="EM111" s="1318">
        <f>EM109-EA109</f>
        <v/>
      </c>
      <c r="EN111" s="1318">
        <f>EN109-EB109</f>
        <v/>
      </c>
      <c r="EO111" s="1318">
        <f>EO109-EC109</f>
        <v/>
      </c>
      <c r="EP111" s="1318">
        <f>EP109-ED109</f>
        <v/>
      </c>
      <c r="EQ111" s="1318">
        <f>EQ109-EE109</f>
        <v/>
      </c>
      <c r="ER111" s="1318">
        <f>ER109-EF109</f>
        <v/>
      </c>
      <c r="ES111" s="1318">
        <f>ES109-EG109</f>
        <v/>
      </c>
      <c r="ET111" s="1318">
        <f>ET109-EH109</f>
        <v/>
      </c>
      <c r="EU111" s="1318">
        <f>EU109-EI109</f>
        <v/>
      </c>
      <c r="EV111" s="1318">
        <f>EV109-EJ109</f>
        <v/>
      </c>
      <c r="EW111" s="1318">
        <f>EW109-EK109</f>
        <v/>
      </c>
      <c r="EX111" s="1318">
        <f>EX109-EL109</f>
        <v/>
      </c>
      <c r="EY111" s="1318">
        <f>EY109-EM109</f>
        <v/>
      </c>
      <c r="EZ111" s="1318">
        <f>EZ109-EN109</f>
        <v/>
      </c>
      <c r="FA111" s="1318">
        <f>FA109-EO109</f>
        <v/>
      </c>
      <c r="FB111" s="1318">
        <f>FB109-EP109</f>
        <v/>
      </c>
      <c r="FC111" s="1318">
        <f>FC109-EQ109</f>
        <v/>
      </c>
      <c r="FD111" s="1318">
        <f>FD109-ER109</f>
        <v/>
      </c>
      <c r="FE111" s="1318">
        <f>FE109-ES109</f>
        <v/>
      </c>
      <c r="FF111" s="1318">
        <f>FF109-ET109</f>
        <v/>
      </c>
      <c r="FG111" s="1318">
        <f>FG109-EU109</f>
        <v/>
      </c>
      <c r="FH111" s="1318">
        <f>FH109-EV109</f>
        <v/>
      </c>
      <c r="FI111" s="1318">
        <f>FI109-EW109</f>
        <v/>
      </c>
      <c r="FJ111" s="1318">
        <f>FJ109-EX109</f>
        <v/>
      </c>
      <c r="FK111" s="1318">
        <f>FK109-EY109</f>
        <v/>
      </c>
      <c r="FL111" s="1318">
        <f>FL109-EZ109</f>
        <v/>
      </c>
      <c r="FM111" s="1318">
        <f>FM109-FA109</f>
        <v/>
      </c>
      <c r="FN111" s="1318">
        <f>FN109-FB109</f>
        <v/>
      </c>
      <c r="FO111" s="1318">
        <f>FO109-FC109</f>
        <v/>
      </c>
      <c r="FP111" s="1318">
        <f>FP109-FD109</f>
        <v/>
      </c>
      <c r="FQ111" s="1318">
        <f>FQ109-FE109</f>
        <v/>
      </c>
      <c r="FR111" s="1318">
        <f>FR109-FF109</f>
        <v/>
      </c>
      <c r="FS111" s="1318">
        <f>FS109-FG109</f>
        <v/>
      </c>
      <c r="FT111" s="1318">
        <f>FT109-FH109</f>
        <v/>
      </c>
      <c r="FU111" s="1318">
        <f>FU109-FI109</f>
        <v/>
      </c>
      <c r="FV111" s="1318">
        <f>FV109-FJ109</f>
        <v/>
      </c>
      <c r="FW111" s="1318">
        <f>FW109-FK109</f>
        <v/>
      </c>
      <c r="FX111" s="1318">
        <f>FX109-FL109</f>
        <v/>
      </c>
      <c r="FY111" s="1318">
        <f>FY109-FM109</f>
        <v/>
      </c>
      <c r="FZ111" s="1318">
        <f>FZ109-FN109</f>
        <v/>
      </c>
      <c r="GA111" s="1318">
        <f>GA109-FO109</f>
        <v/>
      </c>
      <c r="GB111" s="1318">
        <f>GB109-FP109</f>
        <v/>
      </c>
      <c r="GC111" s="1318">
        <f>GC109-FQ109</f>
        <v/>
      </c>
      <c r="GD111" s="1318">
        <f>GD109-FR109</f>
        <v/>
      </c>
      <c r="GE111" s="1318">
        <f>GE109-FS109</f>
        <v/>
      </c>
      <c r="GF111" s="1318">
        <f>GF109-FT109</f>
        <v/>
      </c>
      <c r="GG111" s="1318">
        <f>GG109-FU109</f>
        <v/>
      </c>
      <c r="GH111" s="1318">
        <f>GH109-FV109</f>
        <v/>
      </c>
      <c r="GI111" s="1318">
        <f>GI109-FW109</f>
        <v/>
      </c>
      <c r="GJ111" s="1318">
        <f>GJ109-FX109</f>
        <v/>
      </c>
      <c r="GK111" s="1318">
        <f>GK109-FY109</f>
        <v/>
      </c>
      <c r="GL111" s="1318">
        <f>GL109-FZ109</f>
        <v/>
      </c>
      <c r="GM111" s="1318">
        <f>GM109-GA109</f>
        <v/>
      </c>
      <c r="GN111" s="1318">
        <f>GN109-GB109</f>
        <v/>
      </c>
      <c r="GO111" s="1318">
        <f>GO109-GC109</f>
        <v/>
      </c>
      <c r="GP111" s="1318">
        <f>GP109-GD109</f>
        <v/>
      </c>
      <c r="GQ111" s="1318">
        <f>GQ109-GE109</f>
        <v/>
      </c>
      <c r="GR111" s="1318">
        <f>GR109-GF109</f>
        <v/>
      </c>
      <c r="GS111" s="1318">
        <f>GS109-GG109</f>
        <v/>
      </c>
      <c r="GT111" s="1318">
        <f>GT109-GH109</f>
        <v/>
      </c>
      <c r="GU111" s="1318">
        <f>GU109-GI109</f>
        <v/>
      </c>
      <c r="GV111" s="1318">
        <f>GV109-GJ109</f>
        <v/>
      </c>
      <c r="GW111" s="1318">
        <f>GW109-GK109</f>
        <v/>
      </c>
      <c r="GX111" s="1318">
        <f>GX109-GL109</f>
        <v/>
      </c>
      <c r="GY111" s="1318">
        <f>GY109-GM109</f>
        <v/>
      </c>
      <c r="GZ111" s="1318">
        <f>GZ109-GN109</f>
        <v/>
      </c>
      <c r="HA111" s="1318">
        <f>HA109-GO109</f>
        <v/>
      </c>
      <c r="HB111" s="1318">
        <f>HB109-GP109</f>
        <v/>
      </c>
      <c r="HC111" s="1318">
        <f>HC109-GQ109</f>
        <v/>
      </c>
      <c r="HD111" s="1318">
        <f>HD109-GR109</f>
        <v/>
      </c>
      <c r="HE111" s="1318">
        <f>HE109-GS109</f>
        <v/>
      </c>
      <c r="HF111" s="1318">
        <f>HF109-GT109</f>
        <v/>
      </c>
      <c r="HG111" s="1318">
        <f>HG109-GU109</f>
        <v/>
      </c>
      <c r="HH111" s="1318">
        <f>HH109-GV109</f>
        <v/>
      </c>
      <c r="HI111" s="1318">
        <f>HI109-GW109</f>
        <v/>
      </c>
      <c r="HJ111" s="1318">
        <f>HJ109-GX109</f>
        <v/>
      </c>
      <c r="HK111" s="1318">
        <f>HK109-GY109</f>
        <v/>
      </c>
      <c r="HL111" s="1318">
        <f>HL109-GZ109</f>
        <v/>
      </c>
      <c r="HM111" s="1318">
        <f>HM109-HA109</f>
        <v/>
      </c>
      <c r="HN111" s="1318">
        <f>HN109-HB109</f>
        <v/>
      </c>
      <c r="HO111" s="1318">
        <f>HO109-HC109</f>
        <v/>
      </c>
      <c r="HP111" s="1318">
        <f>HP109-HD109</f>
        <v/>
      </c>
      <c r="HQ111" s="1318">
        <f>HQ109-HE109</f>
        <v/>
      </c>
      <c r="HR111" s="1318">
        <f>HR109-HF109</f>
        <v/>
      </c>
      <c r="HS111" s="1318">
        <f>HS109-HG109</f>
        <v/>
      </c>
      <c r="HT111" s="1318">
        <f>HT109-HH109</f>
        <v/>
      </c>
      <c r="HU111" s="1318">
        <f>HU109-HI109</f>
        <v/>
      </c>
      <c r="HV111" s="1318">
        <f>HV109-HJ109</f>
        <v/>
      </c>
      <c r="HW111" s="1318">
        <f>HW109-HK109</f>
        <v/>
      </c>
      <c r="HX111" s="1318">
        <f>HX109-HL109</f>
        <v/>
      </c>
      <c r="HY111" s="1318">
        <f>HY109-HM109</f>
        <v/>
      </c>
      <c r="HZ111" s="1318">
        <f>HZ109-HN109</f>
        <v/>
      </c>
      <c r="IA111" s="1318">
        <f>IA109-HO109</f>
        <v/>
      </c>
      <c r="IB111" s="1318">
        <f>IB109-HP109</f>
        <v/>
      </c>
      <c r="IC111" s="1318">
        <f>IC109-HQ109</f>
        <v/>
      </c>
      <c r="ID111" s="1318">
        <f>ID109-HR109</f>
        <v/>
      </c>
      <c r="IE111" s="1318">
        <f>IE109-HS109</f>
        <v/>
      </c>
      <c r="IF111" s="1318">
        <f>IF109-HT109</f>
        <v/>
      </c>
      <c r="IG111" s="1318">
        <f>IG109-HU109</f>
        <v/>
      </c>
      <c r="IH111" s="1318">
        <f>IH109-HV109</f>
        <v/>
      </c>
      <c r="II111" s="1318">
        <f>II109-HW109</f>
        <v/>
      </c>
      <c r="IJ111" s="1318">
        <f>IJ109-HX109</f>
        <v/>
      </c>
      <c r="IK111" s="1318">
        <f>IK109-HY109</f>
        <v/>
      </c>
      <c r="IL111" s="1318">
        <f>IL109-HZ109</f>
        <v/>
      </c>
      <c r="IM111" s="1318">
        <f>IM109-IA109</f>
        <v/>
      </c>
      <c r="IN111" s="1318">
        <f>IN109-IB109</f>
        <v/>
      </c>
      <c r="IO111" s="1318">
        <f>IO109-IC109</f>
        <v/>
      </c>
      <c r="IP111" s="1318">
        <f>IP109-ID109</f>
        <v/>
      </c>
      <c r="IQ111" s="1318">
        <f>IQ109-IE109</f>
        <v/>
      </c>
      <c r="IR111" s="1318">
        <f>IR109-IF109</f>
        <v/>
      </c>
      <c r="IS111" s="1318">
        <f>IS109-IG109</f>
        <v/>
      </c>
      <c r="IT111" s="1318">
        <f>IT109-IH109</f>
        <v/>
      </c>
      <c r="IU111" s="1318">
        <f>IU109-II109</f>
        <v/>
      </c>
      <c r="IV111" s="1318">
        <f>IV109-IJ109</f>
        <v/>
      </c>
      <c r="IW111" s="1318">
        <f>IW109-IK109</f>
        <v/>
      </c>
      <c r="IX111" s="1318">
        <f>IX109-IL109</f>
        <v/>
      </c>
      <c r="IY111" s="1318">
        <f>IY109-IM109</f>
        <v/>
      </c>
      <c r="IZ111" s="1318">
        <f>IZ109-IN109</f>
        <v/>
      </c>
      <c r="JA111" s="1318">
        <f>JA109-IO109</f>
        <v/>
      </c>
      <c r="JB111" s="1318">
        <f>JB109-IP109</f>
        <v/>
      </c>
      <c r="JC111" s="1318">
        <f>JC109-IQ109</f>
        <v/>
      </c>
      <c r="JD111" s="1318">
        <f>JD109-IR109</f>
        <v/>
      </c>
      <c r="JE111" s="1318">
        <f>JE109-IS109</f>
        <v/>
      </c>
      <c r="JF111" s="1318">
        <f>JF109-IT109</f>
        <v/>
      </c>
      <c r="JG111" s="1318">
        <f>JG109-IU109</f>
        <v/>
      </c>
      <c r="JH111" s="1318">
        <f>JH109-IV109</f>
        <v/>
      </c>
      <c r="JI111" s="1318">
        <f>JI109-IW109</f>
        <v/>
      </c>
      <c r="JJ111" s="1318">
        <f>JJ109-IX109</f>
        <v/>
      </c>
      <c r="JK111" s="1318">
        <f>JK109-IY109</f>
        <v/>
      </c>
      <c r="JL111" s="1318">
        <f>JL109-IZ109</f>
        <v/>
      </c>
      <c r="JM111" s="1318">
        <f>JM109-JA109</f>
        <v/>
      </c>
      <c r="JN111" s="1318">
        <f>JN109-JB109</f>
        <v/>
      </c>
      <c r="JO111" s="1318">
        <f>JO109-JC109</f>
        <v/>
      </c>
      <c r="JP111" s="1318">
        <f>JP109-JD109</f>
        <v/>
      </c>
      <c r="JQ111" s="1318">
        <f>JQ109-JE109</f>
        <v/>
      </c>
      <c r="JR111" s="1318">
        <f>JR109-JF109</f>
        <v/>
      </c>
      <c r="JS111" s="1318">
        <f>JS109-JG109</f>
        <v/>
      </c>
      <c r="JT111" s="1318">
        <f>JT109-JH109</f>
        <v/>
      </c>
      <c r="JU111" s="1318">
        <f>JU109-JI109</f>
        <v/>
      </c>
      <c r="JV111" s="1318">
        <f>JV109-JJ109</f>
        <v/>
      </c>
      <c r="JW111" s="1318">
        <f>JW109-JK109</f>
        <v/>
      </c>
      <c r="JX111" s="1318">
        <f>JX109-JL109</f>
        <v/>
      </c>
      <c r="JY111" s="1318">
        <f>JY109-JM109</f>
        <v/>
      </c>
      <c r="JZ111" s="1318">
        <f>JZ109-JN109</f>
        <v/>
      </c>
      <c r="KA111" s="1318">
        <f>KA109-JO109</f>
        <v/>
      </c>
      <c r="KB111" s="1318">
        <f>KB109-JP109</f>
        <v/>
      </c>
      <c r="KC111" s="1318">
        <f>KC109-JQ109</f>
        <v/>
      </c>
      <c r="KD111" s="1318">
        <f>KD109-JR109</f>
        <v/>
      </c>
      <c r="KE111" s="1318">
        <f>KE109-JS109</f>
        <v/>
      </c>
      <c r="KF111" s="1318">
        <f>KF109-JT109</f>
        <v/>
      </c>
      <c r="KG111" s="1318">
        <f>KG109-JU109</f>
        <v/>
      </c>
      <c r="KH111" s="1318">
        <f>KH109-JV109</f>
        <v/>
      </c>
      <c r="KI111" s="1318">
        <f>KI109-JW109</f>
        <v/>
      </c>
      <c r="KJ111" s="1318">
        <f>KJ109-JX109</f>
        <v/>
      </c>
      <c r="KK111" s="1318">
        <f>KK109-JY109</f>
        <v/>
      </c>
      <c r="KL111" s="1318">
        <f>KL109-JZ109</f>
        <v/>
      </c>
      <c r="KM111" s="1318">
        <f>KM109-KA109</f>
        <v/>
      </c>
      <c r="KN111" s="1318">
        <f>KN109-KB109</f>
        <v/>
      </c>
      <c r="KO111" s="1318">
        <f>KO109-KC109</f>
        <v/>
      </c>
      <c r="KP111" s="1318">
        <f>KP109-KD109</f>
        <v/>
      </c>
      <c r="KQ111" s="1318">
        <f>KQ109-KE109</f>
        <v/>
      </c>
      <c r="KR111" s="1318">
        <f>KR109-KF109</f>
        <v/>
      </c>
      <c r="KS111" s="1318">
        <f>KS109-KG109</f>
        <v/>
      </c>
      <c r="KT111" s="1318">
        <f>KT109-KH109</f>
        <v/>
      </c>
      <c r="KU111" s="1318">
        <f>KU109-KI109</f>
        <v/>
      </c>
      <c r="KV111" s="1318">
        <f>KV109-KJ109</f>
        <v/>
      </c>
      <c r="KW111" s="1318">
        <f>KW109-KK109</f>
        <v/>
      </c>
      <c r="KX111" s="1318">
        <f>KX109-KL109</f>
        <v/>
      </c>
      <c r="KY111" s="1318">
        <f>KY109-KM109</f>
        <v/>
      </c>
      <c r="KZ111" s="1318">
        <f>KZ109-KN109</f>
        <v/>
      </c>
      <c r="LA111" s="1318">
        <f>LA109-KO109</f>
        <v/>
      </c>
      <c r="LB111" s="1318" t="n"/>
      <c r="LC111" s="1318" t="n"/>
      <c r="LD111" s="1318" t="n"/>
      <c r="LE111" s="1318" t="n"/>
      <c r="LF111" s="1318" t="n"/>
      <c r="LG111" s="1318" t="n"/>
      <c r="LH111" s="1318" t="n"/>
      <c r="LI111" s="1318" t="n"/>
      <c r="LJ111" s="1318" t="n"/>
      <c r="LK111" s="1318" t="n"/>
      <c r="LL111" s="1318" t="n"/>
      <c r="LM111" s="1318" t="n"/>
      <c r="LN111" s="1318" t="n"/>
      <c r="LO111" s="1318" t="n"/>
      <c r="LP111" s="1318" t="n"/>
      <c r="LQ111" s="1318" t="n"/>
      <c r="LR111" s="1318" t="n"/>
      <c r="LS111" s="1318" t="n"/>
    </row>
    <row r="112">
      <c r="A112" s="885" t="inlineStr">
        <is>
          <t>YTD</t>
        </is>
      </c>
      <c r="B112" s="1318" t="n"/>
      <c r="C112" s="1318" t="n"/>
      <c r="D112" s="1318" t="n"/>
      <c r="E112" s="1318" t="n"/>
      <c r="F112" s="1318" t="n"/>
      <c r="G112" s="1318" t="n"/>
      <c r="H112" s="1318" t="n"/>
      <c r="I112" s="1318" t="n"/>
      <c r="J112" s="1318" t="n"/>
      <c r="K112" s="1318" t="n"/>
      <c r="L112" s="1318" t="n"/>
      <c r="M112" s="1318" t="n"/>
      <c r="N112" s="1318" t="n"/>
      <c r="O112" s="1318" t="n"/>
      <c r="P112" s="1318" t="n"/>
      <c r="Q112" s="1318" t="n"/>
      <c r="R112" s="1318" t="n"/>
      <c r="S112" s="1318" t="n"/>
      <c r="T112" s="1318" t="n"/>
      <c r="U112" s="1318" t="n"/>
      <c r="V112" s="1318" t="n"/>
      <c r="W112" s="1318" t="n"/>
      <c r="X112" s="1318" t="n"/>
      <c r="Y112" s="1318" t="n"/>
      <c r="Z112" s="1318" t="n"/>
      <c r="AA112" s="1318" t="n"/>
      <c r="AB112" s="1318" t="n"/>
      <c r="AC112" s="1318" t="n"/>
      <c r="AD112" s="1318" t="n"/>
      <c r="AE112" s="1318" t="n"/>
      <c r="AF112" s="1318" t="n"/>
      <c r="AG112" s="1318" t="n"/>
      <c r="AH112" s="1318" t="n"/>
      <c r="AI112" s="1318" t="n"/>
      <c r="AJ112" s="1318" t="n"/>
      <c r="AK112" s="1318" t="n"/>
      <c r="AL112" s="1318" t="n"/>
      <c r="AM112" s="1318" t="n"/>
      <c r="AN112" s="1318" t="n"/>
      <c r="AO112" s="1318" t="n"/>
      <c r="AP112" s="1318" t="n"/>
      <c r="AQ112" s="1318" t="n"/>
      <c r="AR112" s="1318" t="n"/>
      <c r="AS112" s="1318" t="n"/>
      <c r="AT112" s="1318" t="n"/>
      <c r="AU112" s="1318" t="n"/>
      <c r="AV112" s="1318" t="n"/>
      <c r="AW112" s="1318" t="n"/>
      <c r="AX112" s="1318">
        <f>SUMIFS(58:58,$8:$8,"&gt;="&amp;DATE(YEAR(AX$8),1,1),$8:$8,"&lt;="&amp;EOMONTH(AX$8,0))/SUMIFS(22:22,$8:$8,"&gt;="&amp;DATE(YEAR(AX$8),1,1),$8:$8,"&lt;="&amp;EOMONTH(AX$8,0))</f>
        <v/>
      </c>
      <c r="AY112" s="1318">
        <f>SUMIFS(58:58,$8:$8,"&gt;="&amp;DATE(YEAR(AY$8),1,1),$8:$8,"&lt;="&amp;EOMONTH(AY$8,0))/SUMIFS(22:22,$8:$8,"&gt;="&amp;DATE(YEAR(AY$8),1,1),$8:$8,"&lt;="&amp;EOMONTH(AY$8,0))</f>
        <v/>
      </c>
      <c r="AZ112" s="1318">
        <f>SUMIFS(58:58,$8:$8,"&gt;="&amp;DATE(YEAR(AZ$8),1,1),$8:$8,"&lt;="&amp;EOMONTH(AZ$8,0))/SUMIFS(22:22,$8:$8,"&gt;="&amp;DATE(YEAR(AZ$8),1,1),$8:$8,"&lt;="&amp;EOMONTH(AZ$8,0))</f>
        <v/>
      </c>
      <c r="BA112" s="1318">
        <f>SUMIFS(58:58,$8:$8,"&gt;="&amp;DATE(YEAR(BA$8),1,1),$8:$8,"&lt;="&amp;EOMONTH(BA$8,0))/SUMIFS(22:22,$8:$8,"&gt;="&amp;DATE(YEAR(BA$8),1,1),$8:$8,"&lt;="&amp;EOMONTH(BA$8,0))</f>
        <v/>
      </c>
      <c r="BB112" s="1318">
        <f>SUMIFS(58:58,$8:$8,"&gt;="&amp;DATE(YEAR(BB$8),1,1),$8:$8,"&lt;="&amp;EOMONTH(BB$8,0))/SUMIFS(22:22,$8:$8,"&gt;="&amp;DATE(YEAR(BB$8),1,1),$8:$8,"&lt;="&amp;EOMONTH(BB$8,0))</f>
        <v/>
      </c>
      <c r="BC112" s="1318">
        <f>SUMIFS(58:58,$8:$8,"&gt;="&amp;DATE(YEAR(BC$8),1,1),$8:$8,"&lt;="&amp;EOMONTH(BC$8,0))/SUMIFS(22:22,$8:$8,"&gt;="&amp;DATE(YEAR(BC$8),1,1),$8:$8,"&lt;="&amp;EOMONTH(BC$8,0))</f>
        <v/>
      </c>
      <c r="BD112" s="1318">
        <f>SUMIFS(58:58,$8:$8,"&gt;="&amp;DATE(YEAR(BD$8),1,1),$8:$8,"&lt;="&amp;EOMONTH(BD$8,0))/SUMIFS(22:22,$8:$8,"&gt;="&amp;DATE(YEAR(BD$8),1,1),$8:$8,"&lt;="&amp;EOMONTH(BD$8,0))</f>
        <v/>
      </c>
      <c r="BE112" s="1318">
        <f>SUMIFS(58:58,$8:$8,"&gt;="&amp;DATE(YEAR(BE$8),1,1),$8:$8,"&lt;="&amp;EOMONTH(BE$8,0))/SUMIFS(22:22,$8:$8,"&gt;="&amp;DATE(YEAR(BE$8),1,1),$8:$8,"&lt;="&amp;EOMONTH(BE$8,0))</f>
        <v/>
      </c>
      <c r="BF112" s="1318">
        <f>SUMIFS(58:58,$8:$8,"&gt;="&amp;DATE(YEAR(BF$8),1,1),$8:$8,"&lt;="&amp;EOMONTH(BF$8,0))/SUMIFS(22:22,$8:$8,"&gt;="&amp;DATE(YEAR(BF$8),1,1),$8:$8,"&lt;="&amp;EOMONTH(BF$8,0))</f>
        <v/>
      </c>
      <c r="BG112" s="1318">
        <f>SUMIFS(58:58,$8:$8,"&gt;="&amp;DATE(YEAR(BG$8),1,1),$8:$8,"&lt;="&amp;EOMONTH(BG$8,0))/SUMIFS(22:22,$8:$8,"&gt;="&amp;DATE(YEAR(BG$8),1,1),$8:$8,"&lt;="&amp;EOMONTH(BG$8,0))</f>
        <v/>
      </c>
      <c r="BH112" s="1318">
        <f>SUMIFS(58:58,$8:$8,"&gt;="&amp;DATE(YEAR(BH$8),1,1),$8:$8,"&lt;="&amp;EOMONTH(BH$8,0))/SUMIFS(22:22,$8:$8,"&gt;="&amp;DATE(YEAR(BH$8),1,1),$8:$8,"&lt;="&amp;EOMONTH(BH$8,0))</f>
        <v/>
      </c>
      <c r="BI112" s="1318">
        <f>SUMIFS(58:58,$8:$8,"&gt;="&amp;DATE(YEAR(BI$8),1,1),$8:$8,"&lt;="&amp;EOMONTH(BI$8,0))/SUMIFS(22:22,$8:$8,"&gt;="&amp;DATE(YEAR(BI$8),1,1),$8:$8,"&lt;="&amp;EOMONTH(BI$8,0))</f>
        <v/>
      </c>
      <c r="BJ112" s="1318">
        <f>SUMIFS(58:58,$8:$8,"&gt;="&amp;DATE(YEAR(BJ$8),1,1),$8:$8,"&lt;="&amp;EOMONTH(BJ$8,0))/SUMIFS(22:22,$8:$8,"&gt;="&amp;DATE(YEAR(BJ$8),1,1),$8:$8,"&lt;="&amp;EOMONTH(BJ$8,0))</f>
        <v/>
      </c>
      <c r="BK112" s="1318">
        <f>SUMIFS(58:58,$8:$8,"&gt;="&amp;DATE(YEAR(BK$8),1,1),$8:$8,"&lt;="&amp;EOMONTH(BK$8,0))/SUMIFS(22:22,$8:$8,"&gt;="&amp;DATE(YEAR(BK$8),1,1),$8:$8,"&lt;="&amp;EOMONTH(BK$8,0))</f>
        <v/>
      </c>
      <c r="BL112" s="1318">
        <f>SUMIFS(58:58,$8:$8,"&gt;="&amp;DATE(YEAR(BL$8),1,1),$8:$8,"&lt;="&amp;EOMONTH(BL$8,0))/SUMIFS(22:22,$8:$8,"&gt;="&amp;DATE(YEAR(BL$8),1,1),$8:$8,"&lt;="&amp;EOMONTH(BL$8,0))</f>
        <v/>
      </c>
      <c r="BM112" s="1318">
        <f>SUMIFS(58:58,$8:$8,"&gt;="&amp;DATE(YEAR(BM$8),1,1),$8:$8,"&lt;="&amp;EOMONTH(BM$8,0))/SUMIFS(22:22,$8:$8,"&gt;="&amp;DATE(YEAR(BM$8),1,1),$8:$8,"&lt;="&amp;EOMONTH(BM$8,0))</f>
        <v/>
      </c>
      <c r="BN112" s="1318">
        <f>SUMIFS(58:58,$8:$8,"&gt;="&amp;DATE(YEAR(BN$8),1,1),$8:$8,"&lt;="&amp;EOMONTH(BN$8,0))/SUMIFS(22:22,$8:$8,"&gt;="&amp;DATE(YEAR(BN$8),1,1),$8:$8,"&lt;="&amp;EOMONTH(BN$8,0))</f>
        <v/>
      </c>
      <c r="BO112" s="1318">
        <f>SUMIFS(58:58,$8:$8,"&gt;="&amp;DATE(YEAR(BO$8),1,1),$8:$8,"&lt;="&amp;EOMONTH(BO$8,0))/SUMIFS(22:22,$8:$8,"&gt;="&amp;DATE(YEAR(BO$8),1,1),$8:$8,"&lt;="&amp;EOMONTH(BO$8,0))</f>
        <v/>
      </c>
      <c r="BP112" s="1318">
        <f>SUMIFS(58:58,$8:$8,"&gt;="&amp;DATE(YEAR(BP$8),1,1),$8:$8,"&lt;="&amp;EOMONTH(BP$8,0))/SUMIFS(22:22,$8:$8,"&gt;="&amp;DATE(YEAR(BP$8),1,1),$8:$8,"&lt;="&amp;EOMONTH(BP$8,0))</f>
        <v/>
      </c>
      <c r="BQ112" s="1318">
        <f>SUMIFS(58:58,$8:$8,"&gt;="&amp;DATE(YEAR(BQ$8),1,1),$8:$8,"&lt;="&amp;EOMONTH(BQ$8,0))/SUMIFS(22:22,$8:$8,"&gt;="&amp;DATE(YEAR(BQ$8),1,1),$8:$8,"&lt;="&amp;EOMONTH(BQ$8,0))</f>
        <v/>
      </c>
      <c r="BR112" s="1318">
        <f>SUMIFS(58:58,$8:$8,"&gt;="&amp;DATE(YEAR(BR$8),1,1),$8:$8,"&lt;="&amp;EOMONTH(BR$8,0))/SUMIFS(22:22,$8:$8,"&gt;="&amp;DATE(YEAR(BR$8),1,1),$8:$8,"&lt;="&amp;EOMONTH(BR$8,0))</f>
        <v/>
      </c>
      <c r="BS112" s="1318">
        <f>SUMIFS(58:58,$8:$8,"&gt;="&amp;DATE(YEAR(BS$8),1,1),$8:$8,"&lt;="&amp;EOMONTH(BS$8,0))/SUMIFS(22:22,$8:$8,"&gt;="&amp;DATE(YEAR(BS$8),1,1),$8:$8,"&lt;="&amp;EOMONTH(BS$8,0))</f>
        <v/>
      </c>
      <c r="BT112" s="1318">
        <f>SUMIFS(58:58,$8:$8,"&gt;="&amp;DATE(YEAR(BT$8),1,1),$8:$8,"&lt;="&amp;EOMONTH(BT$8,0))/SUMIFS(22:22,$8:$8,"&gt;="&amp;DATE(YEAR(BT$8),1,1),$8:$8,"&lt;="&amp;EOMONTH(BT$8,0))</f>
        <v/>
      </c>
      <c r="BU112" s="1318">
        <f>SUMIFS(58:58,$8:$8,"&gt;="&amp;DATE(YEAR(BU$8),1,1),$8:$8,"&lt;="&amp;EOMONTH(BU$8,0))/SUMIFS(22:22,$8:$8,"&gt;="&amp;DATE(YEAR(BU$8),1,1),$8:$8,"&lt;="&amp;EOMONTH(BU$8,0))</f>
        <v/>
      </c>
      <c r="BV112" s="1318">
        <f>SUMIFS(58:58,$8:$8,"&gt;="&amp;DATE(YEAR(BV$8),1,1),$8:$8,"&lt;="&amp;EOMONTH(BV$8,0))/SUMIFS(22:22,$8:$8,"&gt;="&amp;DATE(YEAR(BV$8),1,1),$8:$8,"&lt;="&amp;EOMONTH(BV$8,0))</f>
        <v/>
      </c>
      <c r="BW112" s="1318">
        <f>SUMIFS(58:58,$8:$8,"&gt;="&amp;DATE(YEAR(BW$8),1,1),$8:$8,"&lt;="&amp;EOMONTH(BW$8,0))/SUMIFS(22:22,$8:$8,"&gt;="&amp;DATE(YEAR(BW$8),1,1),$8:$8,"&lt;="&amp;EOMONTH(BW$8,0))</f>
        <v/>
      </c>
      <c r="BX112" s="1318">
        <f>SUMIFS(58:58,$8:$8,"&gt;="&amp;DATE(YEAR(BX$8),1,1),$8:$8,"&lt;="&amp;EOMONTH(BX$8,0))/SUMIFS(22:22,$8:$8,"&gt;="&amp;DATE(YEAR(BX$8),1,1),$8:$8,"&lt;="&amp;EOMONTH(BX$8,0))</f>
        <v/>
      </c>
      <c r="BY112" s="1318">
        <f>SUMIFS(58:58,$8:$8,"&gt;="&amp;DATE(YEAR(BY$8),1,1),$8:$8,"&lt;="&amp;EOMONTH(BY$8,0))/SUMIFS(22:22,$8:$8,"&gt;="&amp;DATE(YEAR(BY$8),1,1),$8:$8,"&lt;="&amp;EOMONTH(BY$8,0))</f>
        <v/>
      </c>
      <c r="BZ112" s="1318">
        <f>SUMIFS(58:58,$8:$8,"&gt;="&amp;DATE(YEAR(BZ$8),1,1),$8:$8,"&lt;="&amp;EOMONTH(BZ$8,0))/SUMIFS(22:22,$8:$8,"&gt;="&amp;DATE(YEAR(BZ$8),1,1),$8:$8,"&lt;="&amp;EOMONTH(BZ$8,0))</f>
        <v/>
      </c>
      <c r="CA112" s="1318">
        <f>SUMIFS(58:58,$8:$8,"&gt;="&amp;DATE(YEAR(CA$8),1,1),$8:$8,"&lt;="&amp;EOMONTH(CA$8,0))/SUMIFS(22:22,$8:$8,"&gt;="&amp;DATE(YEAR(CA$8),1,1),$8:$8,"&lt;="&amp;EOMONTH(CA$8,0))</f>
        <v/>
      </c>
      <c r="CB112" s="1318">
        <f>SUMIFS(58:58,$8:$8,"&gt;="&amp;DATE(YEAR(CB$8),1,1),$8:$8,"&lt;="&amp;EOMONTH(CB$8,0))/SUMIFS(22:22,$8:$8,"&gt;="&amp;DATE(YEAR(CB$8),1,1),$8:$8,"&lt;="&amp;EOMONTH(CB$8,0))</f>
        <v/>
      </c>
      <c r="CC112" s="1318">
        <f>SUMIFS(58:58,$8:$8,"&gt;="&amp;DATE(YEAR(CC$8),1,1),$8:$8,"&lt;="&amp;EOMONTH(CC$8,0))/SUMIFS(22:22,$8:$8,"&gt;="&amp;DATE(YEAR(CC$8),1,1),$8:$8,"&lt;="&amp;EOMONTH(CC$8,0))</f>
        <v/>
      </c>
      <c r="CD112" s="1318">
        <f>SUMIFS(58:58,$8:$8,"&gt;="&amp;DATE(YEAR(CD$8),1,1),$8:$8,"&lt;="&amp;EOMONTH(CD$8,0))/SUMIFS(22:22,$8:$8,"&gt;="&amp;DATE(YEAR(CD$8),1,1),$8:$8,"&lt;="&amp;EOMONTH(CD$8,0))</f>
        <v/>
      </c>
      <c r="CE112" s="1318">
        <f>SUMIFS(58:58,$8:$8,"&gt;="&amp;DATE(YEAR(CE$8),1,1),$8:$8,"&lt;="&amp;EOMONTH(CE$8,0))/SUMIFS(22:22,$8:$8,"&gt;="&amp;DATE(YEAR(CE$8),1,1),$8:$8,"&lt;="&amp;EOMONTH(CE$8,0))</f>
        <v/>
      </c>
      <c r="CF112" s="1318">
        <f>SUMIFS(58:58,$8:$8,"&gt;="&amp;DATE(YEAR(CF$8),1,1),$8:$8,"&lt;="&amp;EOMONTH(CF$8,0))/SUMIFS(22:22,$8:$8,"&gt;="&amp;DATE(YEAR(CF$8),1,1),$8:$8,"&lt;="&amp;EOMONTH(CF$8,0))</f>
        <v/>
      </c>
      <c r="CG112" s="1318">
        <f>SUMIFS(58:58,$8:$8,"&gt;="&amp;DATE(YEAR(CG$8),1,1),$8:$8,"&lt;="&amp;EOMONTH(CG$8,0))/SUMIFS(22:22,$8:$8,"&gt;="&amp;DATE(YEAR(CG$8),1,1),$8:$8,"&lt;="&amp;EOMONTH(CG$8,0))</f>
        <v/>
      </c>
      <c r="CH112" s="1318">
        <f>SUMIFS(58:58,$8:$8,"&gt;="&amp;DATE(YEAR(CH$8),1,1),$8:$8,"&lt;="&amp;EOMONTH(CH$8,0))/SUMIFS(22:22,$8:$8,"&gt;="&amp;DATE(YEAR(CH$8),1,1),$8:$8,"&lt;="&amp;EOMONTH(CH$8,0))</f>
        <v/>
      </c>
      <c r="CI112" s="1318">
        <f>SUMIFS(58:58,$8:$8,"&gt;="&amp;DATE(YEAR(CI$8),1,1),$8:$8,"&lt;="&amp;EOMONTH(CI$8,0))/SUMIFS(22:22,$8:$8,"&gt;="&amp;DATE(YEAR(CI$8),1,1),$8:$8,"&lt;="&amp;EOMONTH(CI$8,0))</f>
        <v/>
      </c>
      <c r="CJ112" s="1318">
        <f>SUMIFS(58:58,$8:$8,"&gt;="&amp;DATE(YEAR(CJ$8),1,1),$8:$8,"&lt;="&amp;EOMONTH(CJ$8,0))/SUMIFS(22:22,$8:$8,"&gt;="&amp;DATE(YEAR(CJ$8),1,1),$8:$8,"&lt;="&amp;EOMONTH(CJ$8,0))</f>
        <v/>
      </c>
      <c r="CK112" s="1318">
        <f>SUMIFS(58:58,$8:$8,"&gt;="&amp;DATE(YEAR(CK$8),1,1),$8:$8,"&lt;="&amp;EOMONTH(CK$8,0))/SUMIFS(22:22,$8:$8,"&gt;="&amp;DATE(YEAR(CK$8),1,1),$8:$8,"&lt;="&amp;EOMONTH(CK$8,0))</f>
        <v/>
      </c>
      <c r="CL112" s="1318">
        <f>SUMIFS(58:58,$8:$8,"&gt;="&amp;DATE(YEAR(CL$8),1,1),$8:$8,"&lt;="&amp;EOMONTH(CL$8,0))/SUMIFS(22:22,$8:$8,"&gt;="&amp;DATE(YEAR(CL$8),1,1),$8:$8,"&lt;="&amp;EOMONTH(CL$8,0))</f>
        <v/>
      </c>
      <c r="CM112" s="1318">
        <f>SUMIFS(58:58,$8:$8,"&gt;="&amp;DATE(YEAR(CM$8),1,1),$8:$8,"&lt;="&amp;EOMONTH(CM$8,0))/SUMIFS(22:22,$8:$8,"&gt;="&amp;DATE(YEAR(CM$8),1,1),$8:$8,"&lt;="&amp;EOMONTH(CM$8,0))</f>
        <v/>
      </c>
      <c r="CN112" s="1318">
        <f>SUMIFS(58:58,$8:$8,"&gt;="&amp;DATE(YEAR(CN$8),1,1),$8:$8,"&lt;="&amp;EOMONTH(CN$8,0))/SUMIFS(22:22,$8:$8,"&gt;="&amp;DATE(YEAR(CN$8),1,1),$8:$8,"&lt;="&amp;EOMONTH(CN$8,0))</f>
        <v/>
      </c>
      <c r="CO112" s="1318">
        <f>SUMIFS(58:58,$8:$8,"&gt;="&amp;DATE(YEAR(CO$8),1,1),$8:$8,"&lt;="&amp;EOMONTH(CO$8,0))/SUMIFS(22:22,$8:$8,"&gt;="&amp;DATE(YEAR(CO$8),1,1),$8:$8,"&lt;="&amp;EOMONTH(CO$8,0))</f>
        <v/>
      </c>
      <c r="CP112" s="1318">
        <f>SUMIFS(58:58,$8:$8,"&gt;="&amp;DATE(YEAR(CP$8),1,1),$8:$8,"&lt;="&amp;EOMONTH(CP$8,0))/SUMIFS(22:22,$8:$8,"&gt;="&amp;DATE(YEAR(CP$8),1,1),$8:$8,"&lt;="&amp;EOMONTH(CP$8,0))</f>
        <v/>
      </c>
      <c r="CQ112" s="1318">
        <f>SUMIFS(58:58,$8:$8,"&gt;="&amp;DATE(YEAR(CQ$8),1,1),$8:$8,"&lt;="&amp;EOMONTH(CQ$8,0))/SUMIFS(22:22,$8:$8,"&gt;="&amp;DATE(YEAR(CQ$8),1,1),$8:$8,"&lt;="&amp;EOMONTH(CQ$8,0))</f>
        <v/>
      </c>
      <c r="CR112" s="1318">
        <f>SUMIFS(58:58,$8:$8,"&gt;="&amp;DATE(YEAR(CR$8),1,1),$8:$8,"&lt;="&amp;EOMONTH(CR$8,0))/SUMIFS(22:22,$8:$8,"&gt;="&amp;DATE(YEAR(CR$8),1,1),$8:$8,"&lt;="&amp;EOMONTH(CR$8,0))</f>
        <v/>
      </c>
      <c r="CS112" s="1318">
        <f>SUMIFS(58:58,$8:$8,"&gt;="&amp;DATE(YEAR(CS$8),1,1),$8:$8,"&lt;="&amp;EOMONTH(CS$8,0))/SUMIFS(22:22,$8:$8,"&gt;="&amp;DATE(YEAR(CS$8),1,1),$8:$8,"&lt;="&amp;EOMONTH(CS$8,0))</f>
        <v/>
      </c>
      <c r="CT112" s="1318">
        <f>SUMIFS(58:58,$8:$8,"&gt;="&amp;DATE(YEAR(CT$8),1,1),$8:$8,"&lt;="&amp;EOMONTH(CT$8,0))/SUMIFS(22:22,$8:$8,"&gt;="&amp;DATE(YEAR(CT$8),1,1),$8:$8,"&lt;="&amp;EOMONTH(CT$8,0))</f>
        <v/>
      </c>
      <c r="CU112" s="1318">
        <f>SUMIFS(58:58,$8:$8,"&gt;="&amp;DATE(YEAR(CU$8),1,1),$8:$8,"&lt;="&amp;EOMONTH(CU$8,0))/SUMIFS(22:22,$8:$8,"&gt;="&amp;DATE(YEAR(CU$8),1,1),$8:$8,"&lt;="&amp;EOMONTH(CU$8,0))</f>
        <v/>
      </c>
      <c r="CV112" s="1318">
        <f>SUMIFS(58:58,$8:$8,"&gt;="&amp;DATE(YEAR(CV$8),1,1),$8:$8,"&lt;="&amp;EOMONTH(CV$8,0))/SUMIFS(22:22,$8:$8,"&gt;="&amp;DATE(YEAR(CV$8),1,1),$8:$8,"&lt;="&amp;EOMONTH(CV$8,0))</f>
        <v/>
      </c>
      <c r="CW112" s="1318">
        <f>SUMIFS(58:58,$8:$8,"&gt;="&amp;DATE(YEAR(CW$8),1,1),$8:$8,"&lt;="&amp;EOMONTH(CW$8,0))/SUMIFS(22:22,$8:$8,"&gt;="&amp;DATE(YEAR(CW$8),1,1),$8:$8,"&lt;="&amp;EOMONTH(CW$8,0))</f>
        <v/>
      </c>
      <c r="CX112" s="1318">
        <f>SUMIFS(58:58,$8:$8,"&gt;="&amp;DATE(YEAR(CX$8),1,1),$8:$8,"&lt;="&amp;EOMONTH(CX$8,0))/SUMIFS(22:22,$8:$8,"&gt;="&amp;DATE(YEAR(CX$8),1,1),$8:$8,"&lt;="&amp;EOMONTH(CX$8,0))</f>
        <v/>
      </c>
      <c r="CY112" s="1318">
        <f>SUMIFS(58:58,$8:$8,"&gt;="&amp;DATE(YEAR(CY$8),1,1),$8:$8,"&lt;="&amp;EOMONTH(CY$8,0))/SUMIFS(22:22,$8:$8,"&gt;="&amp;DATE(YEAR(CY$8),1,1),$8:$8,"&lt;="&amp;EOMONTH(CY$8,0))</f>
        <v/>
      </c>
      <c r="CZ112" s="1318">
        <f>SUMIFS(58:58,$8:$8,"&gt;="&amp;DATE(YEAR(CZ$8),1,1),$8:$8,"&lt;="&amp;EOMONTH(CZ$8,0))/SUMIFS(22:22,$8:$8,"&gt;="&amp;DATE(YEAR(CZ$8),1,1),$8:$8,"&lt;="&amp;EOMONTH(CZ$8,0))</f>
        <v/>
      </c>
      <c r="DA112" s="1318">
        <f>SUMIFS(58:58,$8:$8,"&gt;="&amp;DATE(YEAR(DA$8),1,1),$8:$8,"&lt;="&amp;EOMONTH(DA$8,0))/SUMIFS(22:22,$8:$8,"&gt;="&amp;DATE(YEAR(DA$8),1,1),$8:$8,"&lt;="&amp;EOMONTH(DA$8,0))</f>
        <v/>
      </c>
      <c r="DB112" s="1318">
        <f>SUMIFS(58:58,$8:$8,"&gt;="&amp;DATE(YEAR(DB$8),1,1),$8:$8,"&lt;="&amp;EOMONTH(DB$8,0))/SUMIFS(22:22,$8:$8,"&gt;="&amp;DATE(YEAR(DB$8),1,1),$8:$8,"&lt;="&amp;EOMONTH(DB$8,0))</f>
        <v/>
      </c>
      <c r="DC112" s="1318">
        <f>SUMIFS(58:58,$8:$8,"&gt;="&amp;DATE(YEAR(DC$8),1,1),$8:$8,"&lt;="&amp;EOMONTH(DC$8,0))/SUMIFS(22:22,$8:$8,"&gt;="&amp;DATE(YEAR(DC$8),1,1),$8:$8,"&lt;="&amp;EOMONTH(DC$8,0))</f>
        <v/>
      </c>
      <c r="DD112" s="1318">
        <f>SUMIFS(58:58,$8:$8,"&gt;="&amp;DATE(YEAR(DD$8),1,1),$8:$8,"&lt;="&amp;EOMONTH(DD$8,0))/SUMIFS(22:22,$8:$8,"&gt;="&amp;DATE(YEAR(DD$8),1,1),$8:$8,"&lt;="&amp;EOMONTH(DD$8,0))</f>
        <v/>
      </c>
      <c r="DE112" s="1318">
        <f>SUMIFS(58:58,$8:$8,"&gt;="&amp;DATE(YEAR(DE$8),1,1),$8:$8,"&lt;="&amp;EOMONTH(DE$8,0))/SUMIFS(22:22,$8:$8,"&gt;="&amp;DATE(YEAR(DE$8),1,1),$8:$8,"&lt;="&amp;EOMONTH(DE$8,0))</f>
        <v/>
      </c>
      <c r="DF112" s="1318">
        <f>SUMIFS(58:58,$8:$8,"&gt;="&amp;DATE(YEAR(DF$8),1,1),$8:$8,"&lt;="&amp;EOMONTH(DF$8,0))/SUMIFS(22:22,$8:$8,"&gt;="&amp;DATE(YEAR(DF$8),1,1),$8:$8,"&lt;="&amp;EOMONTH(DF$8,0))</f>
        <v/>
      </c>
      <c r="DG112" s="1318">
        <f>SUMIFS(58:58,$8:$8,"&gt;="&amp;DATE(YEAR(DG$8),1,1),$8:$8,"&lt;="&amp;EOMONTH(DG$8,0))/SUMIFS(22:22,$8:$8,"&gt;="&amp;DATE(YEAR(DG$8),1,1),$8:$8,"&lt;="&amp;EOMONTH(DG$8,0))</f>
        <v/>
      </c>
      <c r="DH112" s="1318">
        <f>SUMIFS(58:58,$8:$8,"&gt;="&amp;DATE(YEAR(DH$8),1,1),$8:$8,"&lt;="&amp;EOMONTH(DH$8,0))/SUMIFS(22:22,$8:$8,"&gt;="&amp;DATE(YEAR(DH$8),1,1),$8:$8,"&lt;="&amp;EOMONTH(DH$8,0))</f>
        <v/>
      </c>
      <c r="DI112" s="1318">
        <f>SUMIFS(58:58,$8:$8,"&gt;="&amp;DATE(YEAR(DI$8),1,1),$8:$8,"&lt;="&amp;EOMONTH(DI$8,0))/SUMIFS(22:22,$8:$8,"&gt;="&amp;DATE(YEAR(DI$8),1,1),$8:$8,"&lt;="&amp;EOMONTH(DI$8,0))</f>
        <v/>
      </c>
      <c r="DJ112" s="1318">
        <f>SUMIFS(58:58,$8:$8,"&gt;="&amp;DATE(YEAR(DJ$8),1,1),$8:$8,"&lt;="&amp;EOMONTH(DJ$8,0))/SUMIFS(22:22,$8:$8,"&gt;="&amp;DATE(YEAR(DJ$8),1,1),$8:$8,"&lt;="&amp;EOMONTH(DJ$8,0))</f>
        <v/>
      </c>
      <c r="DK112" s="1318">
        <f>SUMIFS(58:58,$8:$8,"&gt;="&amp;DATE(YEAR(DK$8),1,1),$8:$8,"&lt;="&amp;EOMONTH(DK$8,0))/SUMIFS(22:22,$8:$8,"&gt;="&amp;DATE(YEAR(DK$8),1,1),$8:$8,"&lt;="&amp;EOMONTH(DK$8,0))</f>
        <v/>
      </c>
      <c r="DL112" s="1318">
        <f>SUMIFS(58:58,$8:$8,"&gt;="&amp;DATE(YEAR(DL$8),1,1),$8:$8,"&lt;="&amp;EOMONTH(DL$8,0))/SUMIFS(22:22,$8:$8,"&gt;="&amp;DATE(YEAR(DL$8),1,1),$8:$8,"&lt;="&amp;EOMONTH(DL$8,0))</f>
        <v/>
      </c>
      <c r="DM112" s="1318">
        <f>SUMIFS(58:58,$8:$8,"&gt;="&amp;DATE(YEAR(DM$8),1,1),$8:$8,"&lt;="&amp;EOMONTH(DM$8,0))/SUMIFS(22:22,$8:$8,"&gt;="&amp;DATE(YEAR(DM$8),1,1),$8:$8,"&lt;="&amp;EOMONTH(DM$8,0))</f>
        <v/>
      </c>
      <c r="DN112" s="1318">
        <f>SUMIFS(58:58,$8:$8,"&gt;="&amp;DATE(YEAR(DN$8),1,1),$8:$8,"&lt;="&amp;EOMONTH(DN$8,0))/SUMIFS(22:22,$8:$8,"&gt;="&amp;DATE(YEAR(DN$8),1,1),$8:$8,"&lt;="&amp;EOMONTH(DN$8,0))</f>
        <v/>
      </c>
      <c r="DO112" s="1318">
        <f>SUMIFS(58:58,$8:$8,"&gt;="&amp;DATE(YEAR(DO$8),1,1),$8:$8,"&lt;="&amp;EOMONTH(DO$8,0))/SUMIFS(22:22,$8:$8,"&gt;="&amp;DATE(YEAR(DO$8),1,1),$8:$8,"&lt;="&amp;EOMONTH(DO$8,0))</f>
        <v/>
      </c>
      <c r="DP112" s="1318">
        <f>SUMIFS(58:58,$8:$8,"&gt;="&amp;DATE(YEAR(DP$8),1,1),$8:$8,"&lt;="&amp;EOMONTH(DP$8,0))/SUMIFS(22:22,$8:$8,"&gt;="&amp;DATE(YEAR(DP$8),1,1),$8:$8,"&lt;="&amp;EOMONTH(DP$8,0))</f>
        <v/>
      </c>
      <c r="DQ112" s="1318">
        <f>SUMIFS(58:58,$8:$8,"&gt;="&amp;DATE(YEAR(DQ$8),1,1),$8:$8,"&lt;="&amp;EOMONTH(DQ$8,0))/SUMIFS(22:22,$8:$8,"&gt;="&amp;DATE(YEAR(DQ$8),1,1),$8:$8,"&lt;="&amp;EOMONTH(DQ$8,0))</f>
        <v/>
      </c>
      <c r="DR112" s="1318">
        <f>SUMIFS(58:58,$8:$8,"&gt;="&amp;DATE(YEAR(DR$8),1,1),$8:$8,"&lt;="&amp;EOMONTH(DR$8,0))/SUMIFS(22:22,$8:$8,"&gt;="&amp;DATE(YEAR(DR$8),1,1),$8:$8,"&lt;="&amp;EOMONTH(DR$8,0))</f>
        <v/>
      </c>
      <c r="DS112" s="1318">
        <f>SUMIFS(58:58,$8:$8,"&gt;="&amp;DATE(YEAR(DS$8),1,1),$8:$8,"&lt;="&amp;EOMONTH(DS$8,0))/SUMIFS(22:22,$8:$8,"&gt;="&amp;DATE(YEAR(DS$8),1,1),$8:$8,"&lt;="&amp;EOMONTH(DS$8,0))</f>
        <v/>
      </c>
      <c r="DT112" s="1318">
        <f>SUMIFS(58:58,$8:$8,"&gt;="&amp;DATE(YEAR(DT$8),1,1),$8:$8,"&lt;="&amp;EOMONTH(DT$8,0))/SUMIFS(22:22,$8:$8,"&gt;="&amp;DATE(YEAR(DT$8),1,1),$8:$8,"&lt;="&amp;EOMONTH(DT$8,0))</f>
        <v/>
      </c>
      <c r="DU112" s="1318">
        <f>SUMIFS(58:58,$8:$8,"&gt;="&amp;DATE(YEAR(DU$8),1,1),$8:$8,"&lt;="&amp;EOMONTH(DU$8,0))/SUMIFS(22:22,$8:$8,"&gt;="&amp;DATE(YEAR(DU$8),1,1),$8:$8,"&lt;="&amp;EOMONTH(DU$8,0))</f>
        <v/>
      </c>
      <c r="DV112" s="1318">
        <f>SUMIFS(58:58,$8:$8,"&gt;="&amp;DATE(YEAR(DV$8),1,1),$8:$8,"&lt;="&amp;EOMONTH(DV$8,0))/SUMIFS(22:22,$8:$8,"&gt;="&amp;DATE(YEAR(DV$8),1,1),$8:$8,"&lt;="&amp;EOMONTH(DV$8,0))</f>
        <v/>
      </c>
      <c r="DW112" s="1318">
        <f>SUMIFS(58:58,$8:$8,"&gt;="&amp;DATE(YEAR(DW$8),1,1),$8:$8,"&lt;="&amp;EOMONTH(DW$8,0))/SUMIFS(22:22,$8:$8,"&gt;="&amp;DATE(YEAR(DW$8),1,1),$8:$8,"&lt;="&amp;EOMONTH(DW$8,0))</f>
        <v/>
      </c>
      <c r="DX112" s="1318">
        <f>SUMIFS(58:58,$8:$8,"&gt;="&amp;DATE(YEAR(DX$8),1,1),$8:$8,"&lt;="&amp;EOMONTH(DX$8,0))/SUMIFS(22:22,$8:$8,"&gt;="&amp;DATE(YEAR(DX$8),1,1),$8:$8,"&lt;="&amp;EOMONTH(DX$8,0))</f>
        <v/>
      </c>
      <c r="DY112" s="1318">
        <f>SUMIFS(58:58,$8:$8,"&gt;="&amp;DATE(YEAR(DY$8),1,1),$8:$8,"&lt;="&amp;EOMONTH(DY$8,0))/SUMIFS(22:22,$8:$8,"&gt;="&amp;DATE(YEAR(DY$8),1,1),$8:$8,"&lt;="&amp;EOMONTH(DY$8,0))</f>
        <v/>
      </c>
      <c r="DZ112" s="1318">
        <f>SUMIFS(58:58,$8:$8,"&gt;="&amp;DATE(YEAR(DZ$8),1,1),$8:$8,"&lt;="&amp;EOMONTH(DZ$8,0))/SUMIFS(22:22,$8:$8,"&gt;="&amp;DATE(YEAR(DZ$8),1,1),$8:$8,"&lt;="&amp;EOMONTH(DZ$8,0))</f>
        <v/>
      </c>
      <c r="EA112" s="1318">
        <f>SUMIFS(58:58,$8:$8,"&gt;="&amp;DATE(YEAR(EA$8),1,1),$8:$8,"&lt;="&amp;EOMONTH(EA$8,0))/SUMIFS(22:22,$8:$8,"&gt;="&amp;DATE(YEAR(EA$8),1,1),$8:$8,"&lt;="&amp;EOMONTH(EA$8,0))</f>
        <v/>
      </c>
      <c r="EB112" s="1318">
        <f>SUMIFS(58:58,$8:$8,"&gt;="&amp;DATE(YEAR(EB$8),1,1),$8:$8,"&lt;="&amp;EOMONTH(EB$8,0))/SUMIFS(22:22,$8:$8,"&gt;="&amp;DATE(YEAR(EB$8),1,1),$8:$8,"&lt;="&amp;EOMONTH(EB$8,0))</f>
        <v/>
      </c>
      <c r="EC112" s="1318">
        <f>SUMIFS(58:58,$8:$8,"&gt;="&amp;DATE(YEAR(EC$8),1,1),$8:$8,"&lt;="&amp;EOMONTH(EC$8,0))/SUMIFS(22:22,$8:$8,"&gt;="&amp;DATE(YEAR(EC$8),1,1),$8:$8,"&lt;="&amp;EOMONTH(EC$8,0))</f>
        <v/>
      </c>
      <c r="ED112" s="1318">
        <f>SUMIFS(58:58,$8:$8,"&gt;="&amp;DATE(YEAR(ED$8),1,1),$8:$8,"&lt;="&amp;EOMONTH(ED$8,0))/SUMIFS(22:22,$8:$8,"&gt;="&amp;DATE(YEAR(ED$8),1,1),$8:$8,"&lt;="&amp;EOMONTH(ED$8,0))</f>
        <v/>
      </c>
      <c r="EE112" s="1318">
        <f>SUMIFS(58:58,$8:$8,"&gt;="&amp;DATE(YEAR(EE$8),1,1),$8:$8,"&lt;="&amp;EOMONTH(EE$8,0))/SUMIFS(22:22,$8:$8,"&gt;="&amp;DATE(YEAR(EE$8),1,1),$8:$8,"&lt;="&amp;EOMONTH(EE$8,0))</f>
        <v/>
      </c>
      <c r="EF112" s="1318">
        <f>SUMIFS(58:58,$8:$8,"&gt;="&amp;DATE(YEAR(EF$8),1,1),$8:$8,"&lt;="&amp;EOMONTH(EF$8,0))/SUMIFS(22:22,$8:$8,"&gt;="&amp;DATE(YEAR(EF$8),1,1),$8:$8,"&lt;="&amp;EOMONTH(EF$8,0))</f>
        <v/>
      </c>
      <c r="EG112" s="1318">
        <f>SUMIFS(58:58,$8:$8,"&gt;="&amp;DATE(YEAR(EG$8),1,1),$8:$8,"&lt;="&amp;EOMONTH(EG$8,0))/SUMIFS(22:22,$8:$8,"&gt;="&amp;DATE(YEAR(EG$8),1,1),$8:$8,"&lt;="&amp;EOMONTH(EG$8,0))</f>
        <v/>
      </c>
      <c r="EH112" s="1318">
        <f>SUMIFS(58:58,$8:$8,"&gt;="&amp;DATE(YEAR(EH$8),1,1),$8:$8,"&lt;="&amp;EOMONTH(EH$8,0))/SUMIFS(22:22,$8:$8,"&gt;="&amp;DATE(YEAR(EH$8),1,1),$8:$8,"&lt;="&amp;EOMONTH(EH$8,0))</f>
        <v/>
      </c>
      <c r="EI112" s="1318">
        <f>SUMIFS(58:58,$8:$8,"&gt;="&amp;DATE(YEAR(EI$8),1,1),$8:$8,"&lt;="&amp;EOMONTH(EI$8,0))/SUMIFS(22:22,$8:$8,"&gt;="&amp;DATE(YEAR(EI$8),1,1),$8:$8,"&lt;="&amp;EOMONTH(EI$8,0))</f>
        <v/>
      </c>
      <c r="EJ112" s="1318">
        <f>SUMIFS(58:58,$8:$8,"&gt;="&amp;DATE(YEAR(EJ$8),1,1),$8:$8,"&lt;="&amp;EOMONTH(EJ$8,0))/SUMIFS(22:22,$8:$8,"&gt;="&amp;DATE(YEAR(EJ$8),1,1),$8:$8,"&lt;="&amp;EOMONTH(EJ$8,0))</f>
        <v/>
      </c>
      <c r="EK112" s="1318">
        <f>SUMIFS(58:58,$8:$8,"&gt;="&amp;DATE(YEAR(EK$8),1,1),$8:$8,"&lt;="&amp;EOMONTH(EK$8,0))/SUMIFS(22:22,$8:$8,"&gt;="&amp;DATE(YEAR(EK$8),1,1),$8:$8,"&lt;="&amp;EOMONTH(EK$8,0))</f>
        <v/>
      </c>
      <c r="EL112" s="1318">
        <f>SUMIFS(58:58,$8:$8,"&gt;="&amp;DATE(YEAR(EL$8),1,1),$8:$8,"&lt;="&amp;EOMONTH(EL$8,0))/SUMIFS(22:22,$8:$8,"&gt;="&amp;DATE(YEAR(EL$8),1,1),$8:$8,"&lt;="&amp;EOMONTH(EL$8,0))</f>
        <v/>
      </c>
      <c r="EM112" s="1318">
        <f>SUMIFS(58:58,$8:$8,"&gt;="&amp;DATE(YEAR(EM$8),1,1),$8:$8,"&lt;="&amp;EOMONTH(EM$8,0))/SUMIFS(22:22,$8:$8,"&gt;="&amp;DATE(YEAR(EM$8),1,1),$8:$8,"&lt;="&amp;EOMONTH(EM$8,0))</f>
        <v/>
      </c>
      <c r="EN112" s="1318">
        <f>SUMIFS(58:58,$8:$8,"&gt;="&amp;DATE(YEAR(EN$8),1,1),$8:$8,"&lt;="&amp;EOMONTH(EN$8,0))/SUMIFS(22:22,$8:$8,"&gt;="&amp;DATE(YEAR(EN$8),1,1),$8:$8,"&lt;="&amp;EOMONTH(EN$8,0))</f>
        <v/>
      </c>
      <c r="EO112" s="1318">
        <f>SUMIFS(58:58,$8:$8,"&gt;="&amp;DATE(YEAR(EO$8),1,1),$8:$8,"&lt;="&amp;EOMONTH(EO$8,0))/SUMIFS(22:22,$8:$8,"&gt;="&amp;DATE(YEAR(EO$8),1,1),$8:$8,"&lt;="&amp;EOMONTH(EO$8,0))</f>
        <v/>
      </c>
      <c r="EP112" s="1318">
        <f>SUMIFS(58:58,$8:$8,"&gt;="&amp;DATE(YEAR(EP$8),1,1),$8:$8,"&lt;="&amp;EOMONTH(EP$8,0))/SUMIFS(22:22,$8:$8,"&gt;="&amp;DATE(YEAR(EP$8),1,1),$8:$8,"&lt;="&amp;EOMONTH(EP$8,0))</f>
        <v/>
      </c>
      <c r="EQ112" s="1318">
        <f>SUMIFS(58:58,$8:$8,"&gt;="&amp;DATE(YEAR(EQ$8),1,1),$8:$8,"&lt;="&amp;EOMONTH(EQ$8,0))/SUMIFS(22:22,$8:$8,"&gt;="&amp;DATE(YEAR(EQ$8),1,1),$8:$8,"&lt;="&amp;EOMONTH(EQ$8,0))</f>
        <v/>
      </c>
      <c r="ER112" s="1318">
        <f>SUMIFS(58:58,$8:$8,"&gt;="&amp;DATE(YEAR(ER$8),1,1),$8:$8,"&lt;="&amp;EOMONTH(ER$8,0))/SUMIFS(22:22,$8:$8,"&gt;="&amp;DATE(YEAR(ER$8),1,1),$8:$8,"&lt;="&amp;EOMONTH(ER$8,0))</f>
        <v/>
      </c>
      <c r="ES112" s="1318">
        <f>SUMIFS(58:58,$8:$8,"&gt;="&amp;DATE(YEAR(ES$8),1,1),$8:$8,"&lt;="&amp;EOMONTH(ES$8,0))/SUMIFS(22:22,$8:$8,"&gt;="&amp;DATE(YEAR(ES$8),1,1),$8:$8,"&lt;="&amp;EOMONTH(ES$8,0))</f>
        <v/>
      </c>
      <c r="ET112" s="1318">
        <f>SUMIFS(58:58,$8:$8,"&gt;="&amp;DATE(YEAR(ET$8),1,1),$8:$8,"&lt;="&amp;EOMONTH(ET$8,0))/SUMIFS(22:22,$8:$8,"&gt;="&amp;DATE(YEAR(ET$8),1,1),$8:$8,"&lt;="&amp;EOMONTH(ET$8,0))</f>
        <v/>
      </c>
      <c r="EU112" s="1318">
        <f>SUMIFS(58:58,$8:$8,"&gt;="&amp;DATE(YEAR(EU$8),1,1),$8:$8,"&lt;="&amp;EOMONTH(EU$8,0))/SUMIFS(22:22,$8:$8,"&gt;="&amp;DATE(YEAR(EU$8),1,1),$8:$8,"&lt;="&amp;EOMONTH(EU$8,0))</f>
        <v/>
      </c>
      <c r="EV112" s="1318">
        <f>SUMIFS(58:58,$8:$8,"&gt;="&amp;DATE(YEAR(EV$8),1,1),$8:$8,"&lt;="&amp;EOMONTH(EV$8,0))/SUMIFS(22:22,$8:$8,"&gt;="&amp;DATE(YEAR(EV$8),1,1),$8:$8,"&lt;="&amp;EOMONTH(EV$8,0))</f>
        <v/>
      </c>
      <c r="EW112" s="1318">
        <f>SUMIFS(58:58,$8:$8,"&gt;="&amp;DATE(YEAR(EW$8),1,1),$8:$8,"&lt;="&amp;EOMONTH(EW$8,0))/SUMIFS(22:22,$8:$8,"&gt;="&amp;DATE(YEAR(EW$8),1,1),$8:$8,"&lt;="&amp;EOMONTH(EW$8,0))</f>
        <v/>
      </c>
      <c r="EX112" s="1318">
        <f>SUMIFS(58:58,$8:$8,"&gt;="&amp;DATE(YEAR(EX$8),1,1),$8:$8,"&lt;="&amp;EOMONTH(EX$8,0))/SUMIFS(22:22,$8:$8,"&gt;="&amp;DATE(YEAR(EX$8),1,1),$8:$8,"&lt;="&amp;EOMONTH(EX$8,0))</f>
        <v/>
      </c>
      <c r="EY112" s="1318">
        <f>SUMIFS(58:58,$8:$8,"&gt;="&amp;DATE(YEAR(EY$8),1,1),$8:$8,"&lt;="&amp;EOMONTH(EY$8,0))/SUMIFS(22:22,$8:$8,"&gt;="&amp;DATE(YEAR(EY$8),1,1),$8:$8,"&lt;="&amp;EOMONTH(EY$8,0))</f>
        <v/>
      </c>
      <c r="EZ112" s="1318">
        <f>SUMIFS(58:58,$8:$8,"&gt;="&amp;DATE(YEAR(EZ$8),1,1),$8:$8,"&lt;="&amp;EOMONTH(EZ$8,0))/SUMIFS(22:22,$8:$8,"&gt;="&amp;DATE(YEAR(EZ$8),1,1),$8:$8,"&lt;="&amp;EOMONTH(EZ$8,0))</f>
        <v/>
      </c>
      <c r="FA112" s="1318">
        <f>SUMIFS(58:58,$8:$8,"&gt;="&amp;DATE(YEAR(FA$8),1,1),$8:$8,"&lt;="&amp;EOMONTH(FA$8,0))/SUMIFS(22:22,$8:$8,"&gt;="&amp;DATE(YEAR(FA$8),1,1),$8:$8,"&lt;="&amp;EOMONTH(FA$8,0))</f>
        <v/>
      </c>
      <c r="FB112" s="1318">
        <f>SUMIFS(58:58,$8:$8,"&gt;="&amp;DATE(YEAR(FB$8),1,1),$8:$8,"&lt;="&amp;EOMONTH(FB$8,0))/SUMIFS(22:22,$8:$8,"&gt;="&amp;DATE(YEAR(FB$8),1,1),$8:$8,"&lt;="&amp;EOMONTH(FB$8,0))</f>
        <v/>
      </c>
      <c r="FC112" s="1318">
        <f>SUMIFS(58:58,$8:$8,"&gt;="&amp;DATE(YEAR(FC$8),1,1),$8:$8,"&lt;="&amp;EOMONTH(FC$8,0))/SUMIFS(22:22,$8:$8,"&gt;="&amp;DATE(YEAR(FC$8),1,1),$8:$8,"&lt;="&amp;EOMONTH(FC$8,0))</f>
        <v/>
      </c>
      <c r="FD112" s="1318">
        <f>SUMIFS(58:58,$8:$8,"&gt;="&amp;DATE(YEAR(FD$8),1,1),$8:$8,"&lt;="&amp;EOMONTH(FD$8,0))/SUMIFS(22:22,$8:$8,"&gt;="&amp;DATE(YEAR(FD$8),1,1),$8:$8,"&lt;="&amp;EOMONTH(FD$8,0))</f>
        <v/>
      </c>
      <c r="FE112" s="1318">
        <f>SUMIFS(58:58,$8:$8,"&gt;="&amp;DATE(YEAR(FE$8),1,1),$8:$8,"&lt;="&amp;EOMONTH(FE$8,0))/SUMIFS(22:22,$8:$8,"&gt;="&amp;DATE(YEAR(FE$8),1,1),$8:$8,"&lt;="&amp;EOMONTH(FE$8,0))</f>
        <v/>
      </c>
      <c r="FF112" s="1318">
        <f>SUMIFS(58:58,$8:$8,"&gt;="&amp;DATE(YEAR(FF$8),1,1),$8:$8,"&lt;="&amp;EOMONTH(FF$8,0))/SUMIFS(22:22,$8:$8,"&gt;="&amp;DATE(YEAR(FF$8),1,1),$8:$8,"&lt;="&amp;EOMONTH(FF$8,0))</f>
        <v/>
      </c>
      <c r="FG112" s="1318">
        <f>SUMIFS(58:58,$8:$8,"&gt;="&amp;DATE(YEAR(FG$8),1,1),$8:$8,"&lt;="&amp;EOMONTH(FG$8,0))/SUMIFS(22:22,$8:$8,"&gt;="&amp;DATE(YEAR(FG$8),1,1),$8:$8,"&lt;="&amp;EOMONTH(FG$8,0))</f>
        <v/>
      </c>
      <c r="FH112" s="1318">
        <f>SUMIFS(58:58,$8:$8,"&gt;="&amp;DATE(YEAR(FH$8),1,1),$8:$8,"&lt;="&amp;EOMONTH(FH$8,0))/SUMIFS(22:22,$8:$8,"&gt;="&amp;DATE(YEAR(FH$8),1,1),$8:$8,"&lt;="&amp;EOMONTH(FH$8,0))</f>
        <v/>
      </c>
      <c r="FI112" s="1318">
        <f>SUMIFS(58:58,$8:$8,"&gt;="&amp;DATE(YEAR(FI$8),1,1),$8:$8,"&lt;="&amp;EOMONTH(FI$8,0))/SUMIFS(22:22,$8:$8,"&gt;="&amp;DATE(YEAR(FI$8),1,1),$8:$8,"&lt;="&amp;EOMONTH(FI$8,0))</f>
        <v/>
      </c>
      <c r="FJ112" s="1318">
        <f>SUMIFS(58:58,$8:$8,"&gt;="&amp;DATE(YEAR(FJ$8),1,1),$8:$8,"&lt;="&amp;EOMONTH(FJ$8,0))/SUMIFS(22:22,$8:$8,"&gt;="&amp;DATE(YEAR(FJ$8),1,1),$8:$8,"&lt;="&amp;EOMONTH(FJ$8,0))</f>
        <v/>
      </c>
      <c r="FK112" s="1318">
        <f>SUMIFS(58:58,$8:$8,"&gt;="&amp;DATE(YEAR(FK$8),1,1),$8:$8,"&lt;="&amp;EOMONTH(FK$8,0))/SUMIFS(22:22,$8:$8,"&gt;="&amp;DATE(YEAR(FK$8),1,1),$8:$8,"&lt;="&amp;EOMONTH(FK$8,0))</f>
        <v/>
      </c>
      <c r="FL112" s="1318">
        <f>SUMIFS(58:58,$8:$8,"&gt;="&amp;DATE(YEAR(FL$8),1,1),$8:$8,"&lt;="&amp;EOMONTH(FL$8,0))/SUMIFS(22:22,$8:$8,"&gt;="&amp;DATE(YEAR(FL$8),1,1),$8:$8,"&lt;="&amp;EOMONTH(FL$8,0))</f>
        <v/>
      </c>
      <c r="FM112" s="1318">
        <f>SUMIFS(58:58,$8:$8,"&gt;="&amp;DATE(YEAR(FM$8),1,1),$8:$8,"&lt;="&amp;EOMONTH(FM$8,0))/SUMIFS(22:22,$8:$8,"&gt;="&amp;DATE(YEAR(FM$8),1,1),$8:$8,"&lt;="&amp;EOMONTH(FM$8,0))</f>
        <v/>
      </c>
      <c r="FN112" s="1318">
        <f>SUMIFS(58:58,$8:$8,"&gt;="&amp;DATE(YEAR(FN$8),1,1),$8:$8,"&lt;="&amp;EOMONTH(FN$8,0))/SUMIFS(22:22,$8:$8,"&gt;="&amp;DATE(YEAR(FN$8),1,1),$8:$8,"&lt;="&amp;EOMONTH(FN$8,0))</f>
        <v/>
      </c>
      <c r="FO112" s="1318">
        <f>SUMIFS(58:58,$8:$8,"&gt;="&amp;DATE(YEAR(FO$8),1,1),$8:$8,"&lt;="&amp;EOMONTH(FO$8,0))/SUMIFS(22:22,$8:$8,"&gt;="&amp;DATE(YEAR(FO$8),1,1),$8:$8,"&lt;="&amp;EOMONTH(FO$8,0))</f>
        <v/>
      </c>
      <c r="FP112" s="1318">
        <f>SUMIFS(58:58,$8:$8,"&gt;="&amp;DATE(YEAR(FP$8),1,1),$8:$8,"&lt;="&amp;EOMONTH(FP$8,0))/SUMIFS(22:22,$8:$8,"&gt;="&amp;DATE(YEAR(FP$8),1,1),$8:$8,"&lt;="&amp;EOMONTH(FP$8,0))</f>
        <v/>
      </c>
      <c r="FQ112" s="1318">
        <f>SUMIFS(58:58,$8:$8,"&gt;="&amp;DATE(YEAR(FQ$8),1,1),$8:$8,"&lt;="&amp;EOMONTH(FQ$8,0))/SUMIFS(22:22,$8:$8,"&gt;="&amp;DATE(YEAR(FQ$8),1,1),$8:$8,"&lt;="&amp;EOMONTH(FQ$8,0))</f>
        <v/>
      </c>
      <c r="FR112" s="1318">
        <f>SUMIFS(58:58,$8:$8,"&gt;="&amp;DATE(YEAR(FR$8),1,1),$8:$8,"&lt;="&amp;EOMONTH(FR$8,0))/SUMIFS(22:22,$8:$8,"&gt;="&amp;DATE(YEAR(FR$8),1,1),$8:$8,"&lt;="&amp;EOMONTH(FR$8,0))</f>
        <v/>
      </c>
      <c r="FS112" s="1318">
        <f>SUMIFS(58:58,$8:$8,"&gt;="&amp;DATE(YEAR(FS$8),1,1),$8:$8,"&lt;="&amp;EOMONTH(FS$8,0))/SUMIFS(22:22,$8:$8,"&gt;="&amp;DATE(YEAR(FS$8),1,1),$8:$8,"&lt;="&amp;EOMONTH(FS$8,0))</f>
        <v/>
      </c>
      <c r="FT112" s="1318">
        <f>SUMIFS(58:58,$8:$8,"&gt;="&amp;DATE(YEAR(FT$8),1,1),$8:$8,"&lt;="&amp;EOMONTH(FT$8,0))/SUMIFS(22:22,$8:$8,"&gt;="&amp;DATE(YEAR(FT$8),1,1),$8:$8,"&lt;="&amp;EOMONTH(FT$8,0))</f>
        <v/>
      </c>
      <c r="FU112" s="1318">
        <f>SUMIFS(58:58,$8:$8,"&gt;="&amp;DATE(YEAR(FU$8),1,1),$8:$8,"&lt;="&amp;EOMONTH(FU$8,0))/SUMIFS(22:22,$8:$8,"&gt;="&amp;DATE(YEAR(FU$8),1,1),$8:$8,"&lt;="&amp;EOMONTH(FU$8,0))</f>
        <v/>
      </c>
      <c r="FV112" s="1318">
        <f>SUMIFS(58:58,$8:$8,"&gt;="&amp;DATE(YEAR(FV$8),1,1),$8:$8,"&lt;="&amp;EOMONTH(FV$8,0))/SUMIFS(22:22,$8:$8,"&gt;="&amp;DATE(YEAR(FV$8),1,1),$8:$8,"&lt;="&amp;EOMONTH(FV$8,0))</f>
        <v/>
      </c>
      <c r="FW112" s="1318">
        <f>SUMIFS(58:58,$8:$8,"&gt;="&amp;DATE(YEAR(FW$8),1,1),$8:$8,"&lt;="&amp;EOMONTH(FW$8,0))/SUMIFS(22:22,$8:$8,"&gt;="&amp;DATE(YEAR(FW$8),1,1),$8:$8,"&lt;="&amp;EOMONTH(FW$8,0))</f>
        <v/>
      </c>
      <c r="FX112" s="1318">
        <f>SUMIFS(58:58,$8:$8,"&gt;="&amp;DATE(YEAR(FX$8),1,1),$8:$8,"&lt;="&amp;EOMONTH(FX$8,0))/SUMIFS(22:22,$8:$8,"&gt;="&amp;DATE(YEAR(FX$8),1,1),$8:$8,"&lt;="&amp;EOMONTH(FX$8,0))</f>
        <v/>
      </c>
      <c r="FY112" s="1318">
        <f>SUMIFS(58:58,$8:$8,"&gt;="&amp;DATE(YEAR(FY$8),1,1),$8:$8,"&lt;="&amp;EOMONTH(FY$8,0))/SUMIFS(22:22,$8:$8,"&gt;="&amp;DATE(YEAR(FY$8),1,1),$8:$8,"&lt;="&amp;EOMONTH(FY$8,0))</f>
        <v/>
      </c>
      <c r="FZ112" s="1318">
        <f>SUMIFS(58:58,$8:$8,"&gt;="&amp;DATE(YEAR(FZ$8),1,1),$8:$8,"&lt;="&amp;EOMONTH(FZ$8,0))/SUMIFS(22:22,$8:$8,"&gt;="&amp;DATE(YEAR(FZ$8),1,1),$8:$8,"&lt;="&amp;EOMONTH(FZ$8,0))</f>
        <v/>
      </c>
      <c r="GA112" s="1318">
        <f>SUMIFS(58:58,$8:$8,"&gt;="&amp;DATE(YEAR(GA$8),1,1),$8:$8,"&lt;="&amp;EOMONTH(GA$8,0))/SUMIFS(22:22,$8:$8,"&gt;="&amp;DATE(YEAR(GA$8),1,1),$8:$8,"&lt;="&amp;EOMONTH(GA$8,0))</f>
        <v/>
      </c>
      <c r="GB112" s="1318">
        <f>SUMIFS(58:58,$8:$8,"&gt;="&amp;DATE(YEAR(GB$8),1,1),$8:$8,"&lt;="&amp;EOMONTH(GB$8,0))/SUMIFS(22:22,$8:$8,"&gt;="&amp;DATE(YEAR(GB$8),1,1),$8:$8,"&lt;="&amp;EOMONTH(GB$8,0))</f>
        <v/>
      </c>
      <c r="GC112" s="1318">
        <f>SUMIFS(58:58,$8:$8,"&gt;="&amp;DATE(YEAR(GC$8),1,1),$8:$8,"&lt;="&amp;EOMONTH(GC$8,0))/SUMIFS(22:22,$8:$8,"&gt;="&amp;DATE(YEAR(GC$8),1,1),$8:$8,"&lt;="&amp;EOMONTH(GC$8,0))</f>
        <v/>
      </c>
      <c r="GD112" s="1318">
        <f>SUMIFS(58:58,$8:$8,"&gt;="&amp;DATE(YEAR(GD$8),1,1),$8:$8,"&lt;="&amp;EOMONTH(GD$8,0))/SUMIFS(22:22,$8:$8,"&gt;="&amp;DATE(YEAR(GD$8),1,1),$8:$8,"&lt;="&amp;EOMONTH(GD$8,0))</f>
        <v/>
      </c>
      <c r="GE112" s="1318">
        <f>SUMIFS(58:58,$8:$8,"&gt;="&amp;DATE(YEAR(GE$8),1,1),$8:$8,"&lt;="&amp;EOMONTH(GE$8,0))/SUMIFS(22:22,$8:$8,"&gt;="&amp;DATE(YEAR(GE$8),1,1),$8:$8,"&lt;="&amp;EOMONTH(GE$8,0))</f>
        <v/>
      </c>
      <c r="GF112" s="1318">
        <f>SUMIFS(58:58,$8:$8,"&gt;="&amp;DATE(YEAR(GF$8),1,1),$8:$8,"&lt;="&amp;EOMONTH(GF$8,0))/SUMIFS(22:22,$8:$8,"&gt;="&amp;DATE(YEAR(GF$8),1,1),$8:$8,"&lt;="&amp;EOMONTH(GF$8,0))</f>
        <v/>
      </c>
      <c r="GG112" s="1318">
        <f>SUMIFS(58:58,$8:$8,"&gt;="&amp;DATE(YEAR(GG$8),1,1),$8:$8,"&lt;="&amp;EOMONTH(GG$8,0))/SUMIFS(22:22,$8:$8,"&gt;="&amp;DATE(YEAR(GG$8),1,1),$8:$8,"&lt;="&amp;EOMONTH(GG$8,0))</f>
        <v/>
      </c>
      <c r="GH112" s="1318">
        <f>SUMIFS(58:58,$8:$8,"&gt;="&amp;DATE(YEAR(GH$8),1,1),$8:$8,"&lt;="&amp;EOMONTH(GH$8,0))/SUMIFS(22:22,$8:$8,"&gt;="&amp;DATE(YEAR(GH$8),1,1),$8:$8,"&lt;="&amp;EOMONTH(GH$8,0))</f>
        <v/>
      </c>
      <c r="GI112" s="1318">
        <f>SUMIFS(58:58,$8:$8,"&gt;="&amp;DATE(YEAR(GI$8),1,1),$8:$8,"&lt;="&amp;EOMONTH(GI$8,0))/SUMIFS(22:22,$8:$8,"&gt;="&amp;DATE(YEAR(GI$8),1,1),$8:$8,"&lt;="&amp;EOMONTH(GI$8,0))</f>
        <v/>
      </c>
      <c r="GJ112" s="1318">
        <f>SUMIFS(58:58,$8:$8,"&gt;="&amp;DATE(YEAR(GJ$8),1,1),$8:$8,"&lt;="&amp;EOMONTH(GJ$8,0))/SUMIFS(22:22,$8:$8,"&gt;="&amp;DATE(YEAR(GJ$8),1,1),$8:$8,"&lt;="&amp;EOMONTH(GJ$8,0))</f>
        <v/>
      </c>
      <c r="GK112" s="1318">
        <f>SUMIFS(58:58,$8:$8,"&gt;="&amp;DATE(YEAR(GK$8),1,1),$8:$8,"&lt;="&amp;EOMONTH(GK$8,0))/SUMIFS(22:22,$8:$8,"&gt;="&amp;DATE(YEAR(GK$8),1,1),$8:$8,"&lt;="&amp;EOMONTH(GK$8,0))</f>
        <v/>
      </c>
      <c r="GL112" s="1318">
        <f>SUMIFS(58:58,$8:$8,"&gt;="&amp;DATE(YEAR(GL$8),1,1),$8:$8,"&lt;="&amp;EOMONTH(GL$8,0))/SUMIFS(22:22,$8:$8,"&gt;="&amp;DATE(YEAR(GL$8),1,1),$8:$8,"&lt;="&amp;EOMONTH(GL$8,0))</f>
        <v/>
      </c>
      <c r="GM112" s="1318">
        <f>SUMIFS(58:58,$8:$8,"&gt;="&amp;DATE(YEAR(GM$8),1,1),$8:$8,"&lt;="&amp;EOMONTH(GM$8,0))/SUMIFS(22:22,$8:$8,"&gt;="&amp;DATE(YEAR(GM$8),1,1),$8:$8,"&lt;="&amp;EOMONTH(GM$8,0))</f>
        <v/>
      </c>
      <c r="GN112" s="1318">
        <f>SUMIFS(58:58,$8:$8,"&gt;="&amp;DATE(YEAR(GN$8),1,1),$8:$8,"&lt;="&amp;EOMONTH(GN$8,0))/SUMIFS(22:22,$8:$8,"&gt;="&amp;DATE(YEAR(GN$8),1,1),$8:$8,"&lt;="&amp;EOMONTH(GN$8,0))</f>
        <v/>
      </c>
      <c r="GO112" s="1318">
        <f>SUMIFS(58:58,$8:$8,"&gt;="&amp;DATE(YEAR(GO$8),1,1),$8:$8,"&lt;="&amp;EOMONTH(GO$8,0))/SUMIFS(22:22,$8:$8,"&gt;="&amp;DATE(YEAR(GO$8),1,1),$8:$8,"&lt;="&amp;EOMONTH(GO$8,0))</f>
        <v/>
      </c>
      <c r="GP112" s="1318">
        <f>SUMIFS(58:58,$8:$8,"&gt;="&amp;DATE(YEAR(GP$8),1,1),$8:$8,"&lt;="&amp;EOMONTH(GP$8,0))/SUMIFS(22:22,$8:$8,"&gt;="&amp;DATE(YEAR(GP$8),1,1),$8:$8,"&lt;="&amp;EOMONTH(GP$8,0))</f>
        <v/>
      </c>
      <c r="GQ112" s="1318">
        <f>SUMIFS(58:58,$8:$8,"&gt;="&amp;DATE(YEAR(GQ$8),1,1),$8:$8,"&lt;="&amp;EOMONTH(GQ$8,0))/SUMIFS(22:22,$8:$8,"&gt;="&amp;DATE(YEAR(GQ$8),1,1),$8:$8,"&lt;="&amp;EOMONTH(GQ$8,0))</f>
        <v/>
      </c>
      <c r="GR112" s="1318">
        <f>SUMIFS(58:58,$8:$8,"&gt;="&amp;DATE(YEAR(GR$8),1,1),$8:$8,"&lt;="&amp;EOMONTH(GR$8,0))/SUMIFS(22:22,$8:$8,"&gt;="&amp;DATE(YEAR(GR$8),1,1),$8:$8,"&lt;="&amp;EOMONTH(GR$8,0))</f>
        <v/>
      </c>
      <c r="GS112" s="1318">
        <f>SUMIFS(58:58,$8:$8,"&gt;="&amp;DATE(YEAR(GS$8),1,1),$8:$8,"&lt;="&amp;EOMONTH(GS$8,0))/SUMIFS(22:22,$8:$8,"&gt;="&amp;DATE(YEAR(GS$8),1,1),$8:$8,"&lt;="&amp;EOMONTH(GS$8,0))</f>
        <v/>
      </c>
      <c r="GT112" s="1318">
        <f>SUMIFS(58:58,$8:$8,"&gt;="&amp;DATE(YEAR(GT$8),1,1),$8:$8,"&lt;="&amp;EOMONTH(GT$8,0))/SUMIFS(22:22,$8:$8,"&gt;="&amp;DATE(YEAR(GT$8),1,1),$8:$8,"&lt;="&amp;EOMONTH(GT$8,0))</f>
        <v/>
      </c>
      <c r="GU112" s="1318">
        <f>SUMIFS(58:58,$8:$8,"&gt;="&amp;DATE(YEAR(GU$8),1,1),$8:$8,"&lt;="&amp;EOMONTH(GU$8,0))/SUMIFS(22:22,$8:$8,"&gt;="&amp;DATE(YEAR(GU$8),1,1),$8:$8,"&lt;="&amp;EOMONTH(GU$8,0))</f>
        <v/>
      </c>
      <c r="GV112" s="1318">
        <f>SUMIFS(58:58,$8:$8,"&gt;="&amp;DATE(YEAR(GV$8),1,1),$8:$8,"&lt;="&amp;EOMONTH(GV$8,0))/SUMIFS(22:22,$8:$8,"&gt;="&amp;DATE(YEAR(GV$8),1,1),$8:$8,"&lt;="&amp;EOMONTH(GV$8,0))</f>
        <v/>
      </c>
      <c r="GW112" s="1318">
        <f>SUMIFS(58:58,$8:$8,"&gt;="&amp;DATE(YEAR(GW$8),1,1),$8:$8,"&lt;="&amp;EOMONTH(GW$8,0))/SUMIFS(22:22,$8:$8,"&gt;="&amp;DATE(YEAR(GW$8),1,1),$8:$8,"&lt;="&amp;EOMONTH(GW$8,0))</f>
        <v/>
      </c>
      <c r="GX112" s="1318">
        <f>SUMIFS(58:58,$8:$8,"&gt;="&amp;DATE(YEAR(GX$8),1,1),$8:$8,"&lt;="&amp;EOMONTH(GX$8,0))/SUMIFS(22:22,$8:$8,"&gt;="&amp;DATE(YEAR(GX$8),1,1),$8:$8,"&lt;="&amp;EOMONTH(GX$8,0))</f>
        <v/>
      </c>
      <c r="GY112" s="1318">
        <f>SUMIFS(58:58,$8:$8,"&gt;="&amp;DATE(YEAR(GY$8),1,1),$8:$8,"&lt;="&amp;EOMONTH(GY$8,0))/SUMIFS(22:22,$8:$8,"&gt;="&amp;DATE(YEAR(GY$8),1,1),$8:$8,"&lt;="&amp;EOMONTH(GY$8,0))</f>
        <v/>
      </c>
      <c r="GZ112" s="1318">
        <f>SUMIFS(58:58,$8:$8,"&gt;="&amp;DATE(YEAR(GZ$8),1,1),$8:$8,"&lt;="&amp;EOMONTH(GZ$8,0))/SUMIFS(22:22,$8:$8,"&gt;="&amp;DATE(YEAR(GZ$8),1,1),$8:$8,"&lt;="&amp;EOMONTH(GZ$8,0))</f>
        <v/>
      </c>
      <c r="HA112" s="1318">
        <f>SUMIFS(58:58,$8:$8,"&gt;="&amp;DATE(YEAR(HA$8),1,1),$8:$8,"&lt;="&amp;EOMONTH(HA$8,0))/SUMIFS(22:22,$8:$8,"&gt;="&amp;DATE(YEAR(HA$8),1,1),$8:$8,"&lt;="&amp;EOMONTH(HA$8,0))</f>
        <v/>
      </c>
      <c r="HB112" s="1318">
        <f>SUMIFS(58:58,$8:$8,"&gt;="&amp;DATE(YEAR(HB$8),1,1),$8:$8,"&lt;="&amp;EOMONTH(HB$8,0))/SUMIFS(22:22,$8:$8,"&gt;="&amp;DATE(YEAR(HB$8),1,1),$8:$8,"&lt;="&amp;EOMONTH(HB$8,0))</f>
        <v/>
      </c>
      <c r="HC112" s="1318">
        <f>SUMIFS(58:58,$8:$8,"&gt;="&amp;DATE(YEAR(HC$8),1,1),$8:$8,"&lt;="&amp;EOMONTH(HC$8,0))/SUMIFS(22:22,$8:$8,"&gt;="&amp;DATE(YEAR(HC$8),1,1),$8:$8,"&lt;="&amp;EOMONTH(HC$8,0))</f>
        <v/>
      </c>
      <c r="HD112" s="1318">
        <f>SUMIFS(58:58,$8:$8,"&gt;="&amp;DATE(YEAR(HD$8),1,1),$8:$8,"&lt;="&amp;EOMONTH(HD$8,0))/SUMIFS(22:22,$8:$8,"&gt;="&amp;DATE(YEAR(HD$8),1,1),$8:$8,"&lt;="&amp;EOMONTH(HD$8,0))</f>
        <v/>
      </c>
      <c r="HE112" s="1318">
        <f>SUMIFS(58:58,$8:$8,"&gt;="&amp;DATE(YEAR(HE$8),1,1),$8:$8,"&lt;="&amp;EOMONTH(HE$8,0))/SUMIFS(22:22,$8:$8,"&gt;="&amp;DATE(YEAR(HE$8),1,1),$8:$8,"&lt;="&amp;EOMONTH(HE$8,0))</f>
        <v/>
      </c>
      <c r="HF112" s="1318">
        <f>SUMIFS(58:58,$8:$8,"&gt;="&amp;DATE(YEAR(HF$8),1,1),$8:$8,"&lt;="&amp;EOMONTH(HF$8,0))/SUMIFS(22:22,$8:$8,"&gt;="&amp;DATE(YEAR(HF$8),1,1),$8:$8,"&lt;="&amp;EOMONTH(HF$8,0))</f>
        <v/>
      </c>
      <c r="HG112" s="1318">
        <f>SUMIFS(58:58,$8:$8,"&gt;="&amp;DATE(YEAR(HG$8),1,1),$8:$8,"&lt;="&amp;EOMONTH(HG$8,0))/SUMIFS(22:22,$8:$8,"&gt;="&amp;DATE(YEAR(HG$8),1,1),$8:$8,"&lt;="&amp;EOMONTH(HG$8,0))</f>
        <v/>
      </c>
      <c r="HH112" s="1318">
        <f>SUMIFS(58:58,$8:$8,"&gt;="&amp;DATE(YEAR(HH$8),1,1),$8:$8,"&lt;="&amp;EOMONTH(HH$8,0))/SUMIFS(22:22,$8:$8,"&gt;="&amp;DATE(YEAR(HH$8),1,1),$8:$8,"&lt;="&amp;EOMONTH(HH$8,0))</f>
        <v/>
      </c>
      <c r="HI112" s="1318">
        <f>SUMIFS(58:58,$8:$8,"&gt;="&amp;DATE(YEAR(HI$8),1,1),$8:$8,"&lt;="&amp;EOMONTH(HI$8,0))/SUMIFS(22:22,$8:$8,"&gt;="&amp;DATE(YEAR(HI$8),1,1),$8:$8,"&lt;="&amp;EOMONTH(HI$8,0))</f>
        <v/>
      </c>
      <c r="HJ112" s="1318">
        <f>SUMIFS(58:58,$8:$8,"&gt;="&amp;DATE(YEAR(HJ$8),1,1),$8:$8,"&lt;="&amp;EOMONTH(HJ$8,0))/SUMIFS(22:22,$8:$8,"&gt;="&amp;DATE(YEAR(HJ$8),1,1),$8:$8,"&lt;="&amp;EOMONTH(HJ$8,0))</f>
        <v/>
      </c>
      <c r="HK112" s="1318">
        <f>SUMIFS(58:58,$8:$8,"&gt;="&amp;DATE(YEAR(HK$8),1,1),$8:$8,"&lt;="&amp;EOMONTH(HK$8,0))/SUMIFS(22:22,$8:$8,"&gt;="&amp;DATE(YEAR(HK$8),1,1),$8:$8,"&lt;="&amp;EOMONTH(HK$8,0))</f>
        <v/>
      </c>
      <c r="HL112" s="1318">
        <f>SUMIFS(58:58,$8:$8,"&gt;="&amp;DATE(YEAR(HL$8),1,1),$8:$8,"&lt;="&amp;EOMONTH(HL$8,0))/SUMIFS(22:22,$8:$8,"&gt;="&amp;DATE(YEAR(HL$8),1,1),$8:$8,"&lt;="&amp;EOMONTH(HL$8,0))</f>
        <v/>
      </c>
      <c r="HM112" s="1318">
        <f>SUMIFS(58:58,$8:$8,"&gt;="&amp;DATE(YEAR(HM$8),1,1),$8:$8,"&lt;="&amp;EOMONTH(HM$8,0))/SUMIFS(22:22,$8:$8,"&gt;="&amp;DATE(YEAR(HM$8),1,1),$8:$8,"&lt;="&amp;EOMONTH(HM$8,0))</f>
        <v/>
      </c>
      <c r="HN112" s="1318">
        <f>SUMIFS(58:58,$8:$8,"&gt;="&amp;DATE(YEAR(HN$8),1,1),$8:$8,"&lt;="&amp;EOMONTH(HN$8,0))/SUMIFS(22:22,$8:$8,"&gt;="&amp;DATE(YEAR(HN$8),1,1),$8:$8,"&lt;="&amp;EOMONTH(HN$8,0))</f>
        <v/>
      </c>
      <c r="HO112" s="1318">
        <f>SUMIFS(58:58,$8:$8,"&gt;="&amp;DATE(YEAR(HO$8),1,1),$8:$8,"&lt;="&amp;EOMONTH(HO$8,0))/SUMIFS(22:22,$8:$8,"&gt;="&amp;DATE(YEAR(HO$8),1,1),$8:$8,"&lt;="&amp;EOMONTH(HO$8,0))</f>
        <v/>
      </c>
      <c r="HP112" s="1318">
        <f>SUMIFS(58:58,$8:$8,"&gt;="&amp;DATE(YEAR(HP$8),1,1),$8:$8,"&lt;="&amp;EOMONTH(HP$8,0))/SUMIFS(22:22,$8:$8,"&gt;="&amp;DATE(YEAR(HP$8),1,1),$8:$8,"&lt;="&amp;EOMONTH(HP$8,0))</f>
        <v/>
      </c>
      <c r="HQ112" s="1318">
        <f>SUMIFS(58:58,$8:$8,"&gt;="&amp;DATE(YEAR(HQ$8),1,1),$8:$8,"&lt;="&amp;EOMONTH(HQ$8,0))/SUMIFS(22:22,$8:$8,"&gt;="&amp;DATE(YEAR(HQ$8),1,1),$8:$8,"&lt;="&amp;EOMONTH(HQ$8,0))</f>
        <v/>
      </c>
      <c r="HR112" s="1318">
        <f>SUMIFS(58:58,$8:$8,"&gt;="&amp;DATE(YEAR(HR$8),1,1),$8:$8,"&lt;="&amp;EOMONTH(HR$8,0))/SUMIFS(22:22,$8:$8,"&gt;="&amp;DATE(YEAR(HR$8),1,1),$8:$8,"&lt;="&amp;EOMONTH(HR$8,0))</f>
        <v/>
      </c>
      <c r="HS112" s="1318">
        <f>SUMIFS(58:58,$8:$8,"&gt;="&amp;DATE(YEAR(HS$8),1,1),$8:$8,"&lt;="&amp;EOMONTH(HS$8,0))/SUMIFS(22:22,$8:$8,"&gt;="&amp;DATE(YEAR(HS$8),1,1),$8:$8,"&lt;="&amp;EOMONTH(HS$8,0))</f>
        <v/>
      </c>
      <c r="HT112" s="1318">
        <f>SUMIFS(58:58,$8:$8,"&gt;="&amp;DATE(YEAR(HT$8),1,1),$8:$8,"&lt;="&amp;EOMONTH(HT$8,0))/SUMIFS(22:22,$8:$8,"&gt;="&amp;DATE(YEAR(HT$8),1,1),$8:$8,"&lt;="&amp;EOMONTH(HT$8,0))</f>
        <v/>
      </c>
      <c r="HU112" s="1318">
        <f>SUMIFS(58:58,$8:$8,"&gt;="&amp;DATE(YEAR(HU$8),1,1),$8:$8,"&lt;="&amp;EOMONTH(HU$8,0))/SUMIFS(22:22,$8:$8,"&gt;="&amp;DATE(YEAR(HU$8),1,1),$8:$8,"&lt;="&amp;EOMONTH(HU$8,0))</f>
        <v/>
      </c>
      <c r="HV112" s="1318">
        <f>SUMIFS(58:58,$8:$8,"&gt;="&amp;DATE(YEAR(HV$8),1,1),$8:$8,"&lt;="&amp;EOMONTH(HV$8,0))/SUMIFS(22:22,$8:$8,"&gt;="&amp;DATE(YEAR(HV$8),1,1),$8:$8,"&lt;="&amp;EOMONTH(HV$8,0))</f>
        <v/>
      </c>
      <c r="HW112" s="1318">
        <f>SUMIFS(58:58,$8:$8,"&gt;="&amp;DATE(YEAR(HW$8),1,1),$8:$8,"&lt;="&amp;EOMONTH(HW$8,0))/SUMIFS(22:22,$8:$8,"&gt;="&amp;DATE(YEAR(HW$8),1,1),$8:$8,"&lt;="&amp;EOMONTH(HW$8,0))</f>
        <v/>
      </c>
      <c r="HX112" s="1318">
        <f>SUMIFS(58:58,$8:$8,"&gt;="&amp;DATE(YEAR(HX$8),1,1),$8:$8,"&lt;="&amp;EOMONTH(HX$8,0))/SUMIFS(22:22,$8:$8,"&gt;="&amp;DATE(YEAR(HX$8),1,1),$8:$8,"&lt;="&amp;EOMONTH(HX$8,0))</f>
        <v/>
      </c>
      <c r="HY112" s="1318">
        <f>SUMIFS(58:58,$8:$8,"&gt;="&amp;DATE(YEAR(HY$8),1,1),$8:$8,"&lt;="&amp;EOMONTH(HY$8,0))/SUMIFS(22:22,$8:$8,"&gt;="&amp;DATE(YEAR(HY$8),1,1),$8:$8,"&lt;="&amp;EOMONTH(HY$8,0))</f>
        <v/>
      </c>
      <c r="HZ112" s="1318">
        <f>SUMIFS(58:58,$8:$8,"&gt;="&amp;DATE(YEAR(HZ$8),1,1),$8:$8,"&lt;="&amp;EOMONTH(HZ$8,0))/SUMIFS(22:22,$8:$8,"&gt;="&amp;DATE(YEAR(HZ$8),1,1),$8:$8,"&lt;="&amp;EOMONTH(HZ$8,0))</f>
        <v/>
      </c>
      <c r="IA112" s="1318">
        <f>SUMIFS(58:58,$8:$8,"&gt;="&amp;DATE(YEAR(IA$8),1,1),$8:$8,"&lt;="&amp;EOMONTH(IA$8,0))/SUMIFS(22:22,$8:$8,"&gt;="&amp;DATE(YEAR(IA$8),1,1),$8:$8,"&lt;="&amp;EOMONTH(IA$8,0))</f>
        <v/>
      </c>
      <c r="IB112" s="1318">
        <f>SUMIFS(58:58,$8:$8,"&gt;="&amp;DATE(YEAR(IB$8),1,1),$8:$8,"&lt;="&amp;EOMONTH(IB$8,0))/SUMIFS(22:22,$8:$8,"&gt;="&amp;DATE(YEAR(IB$8),1,1),$8:$8,"&lt;="&amp;EOMONTH(IB$8,0))</f>
        <v/>
      </c>
      <c r="IC112" s="1318">
        <f>SUMIFS(58:58,$8:$8,"&gt;="&amp;DATE(YEAR(IC$8),1,1),$8:$8,"&lt;="&amp;EOMONTH(IC$8,0))/SUMIFS(22:22,$8:$8,"&gt;="&amp;DATE(YEAR(IC$8),1,1),$8:$8,"&lt;="&amp;EOMONTH(IC$8,0))</f>
        <v/>
      </c>
      <c r="ID112" s="1318">
        <f>SUMIFS(58:58,$8:$8,"&gt;="&amp;DATE(YEAR(ID$8),1,1),$8:$8,"&lt;="&amp;EOMONTH(ID$8,0))/SUMIFS(22:22,$8:$8,"&gt;="&amp;DATE(YEAR(ID$8),1,1),$8:$8,"&lt;="&amp;EOMONTH(ID$8,0))</f>
        <v/>
      </c>
      <c r="IE112" s="1318">
        <f>SUMIFS(58:58,$8:$8,"&gt;="&amp;DATE(YEAR(IE$8),1,1),$8:$8,"&lt;="&amp;EOMONTH(IE$8,0))/SUMIFS(22:22,$8:$8,"&gt;="&amp;DATE(YEAR(IE$8),1,1),$8:$8,"&lt;="&amp;EOMONTH(IE$8,0))</f>
        <v/>
      </c>
      <c r="IF112" s="1318">
        <f>SUMIFS(58:58,$8:$8,"&gt;="&amp;DATE(YEAR(IF$8),1,1),$8:$8,"&lt;="&amp;EOMONTH(IF$8,0))/SUMIFS(22:22,$8:$8,"&gt;="&amp;DATE(YEAR(IF$8),1,1),$8:$8,"&lt;="&amp;EOMONTH(IF$8,0))</f>
        <v/>
      </c>
      <c r="IG112" s="1318">
        <f>SUMIFS(58:58,$8:$8,"&gt;="&amp;DATE(YEAR(IG$8),1,1),$8:$8,"&lt;="&amp;EOMONTH(IG$8,0))/SUMIFS(22:22,$8:$8,"&gt;="&amp;DATE(YEAR(IG$8),1,1),$8:$8,"&lt;="&amp;EOMONTH(IG$8,0))</f>
        <v/>
      </c>
      <c r="IH112" s="1318">
        <f>SUMIFS(58:58,$8:$8,"&gt;="&amp;DATE(YEAR(IH$8),1,1),$8:$8,"&lt;="&amp;EOMONTH(IH$8,0))/SUMIFS(22:22,$8:$8,"&gt;="&amp;DATE(YEAR(IH$8),1,1),$8:$8,"&lt;="&amp;EOMONTH(IH$8,0))</f>
        <v/>
      </c>
      <c r="II112" s="1318">
        <f>SUMIFS(58:58,$8:$8,"&gt;="&amp;DATE(YEAR(II$8),1,1),$8:$8,"&lt;="&amp;EOMONTH(II$8,0))/SUMIFS(22:22,$8:$8,"&gt;="&amp;DATE(YEAR(II$8),1,1),$8:$8,"&lt;="&amp;EOMONTH(II$8,0))</f>
        <v/>
      </c>
      <c r="IJ112" s="1318">
        <f>SUMIFS(58:58,$8:$8,"&gt;="&amp;DATE(YEAR(IJ$8),1,1),$8:$8,"&lt;="&amp;EOMONTH(IJ$8,0))/SUMIFS(22:22,$8:$8,"&gt;="&amp;DATE(YEAR(IJ$8),1,1),$8:$8,"&lt;="&amp;EOMONTH(IJ$8,0))</f>
        <v/>
      </c>
      <c r="IK112" s="1318">
        <f>SUMIFS(58:58,$8:$8,"&gt;="&amp;DATE(YEAR(IK$8),1,1),$8:$8,"&lt;="&amp;EOMONTH(IK$8,0))/SUMIFS(22:22,$8:$8,"&gt;="&amp;DATE(YEAR(IK$8),1,1),$8:$8,"&lt;="&amp;EOMONTH(IK$8,0))</f>
        <v/>
      </c>
      <c r="IL112" s="1318">
        <f>SUMIFS(58:58,$8:$8,"&gt;="&amp;DATE(YEAR(IL$8),1,1),$8:$8,"&lt;="&amp;EOMONTH(IL$8,0))/SUMIFS(22:22,$8:$8,"&gt;="&amp;DATE(YEAR(IL$8),1,1),$8:$8,"&lt;="&amp;EOMONTH(IL$8,0))</f>
        <v/>
      </c>
      <c r="IM112" s="1318">
        <f>SUMIFS(58:58,$8:$8,"&gt;="&amp;DATE(YEAR(IM$8),1,1),$8:$8,"&lt;="&amp;EOMONTH(IM$8,0))/SUMIFS(22:22,$8:$8,"&gt;="&amp;DATE(YEAR(IM$8),1,1),$8:$8,"&lt;="&amp;EOMONTH(IM$8,0))</f>
        <v/>
      </c>
      <c r="IN112" s="1318">
        <f>SUMIFS(58:58,$8:$8,"&gt;="&amp;DATE(YEAR(IN$8),1,1),$8:$8,"&lt;="&amp;EOMONTH(IN$8,0))/SUMIFS(22:22,$8:$8,"&gt;="&amp;DATE(YEAR(IN$8),1,1),$8:$8,"&lt;="&amp;EOMONTH(IN$8,0))</f>
        <v/>
      </c>
      <c r="IO112" s="1318">
        <f>SUMIFS(58:58,$8:$8,"&gt;="&amp;DATE(YEAR(IO$8),1,1),$8:$8,"&lt;="&amp;EOMONTH(IO$8,0))/SUMIFS(22:22,$8:$8,"&gt;="&amp;DATE(YEAR(IO$8),1,1),$8:$8,"&lt;="&amp;EOMONTH(IO$8,0))</f>
        <v/>
      </c>
      <c r="IP112" s="1318">
        <f>SUMIFS(58:58,$8:$8,"&gt;="&amp;DATE(YEAR(IP$8),1,1),$8:$8,"&lt;="&amp;EOMONTH(IP$8,0))/SUMIFS(22:22,$8:$8,"&gt;="&amp;DATE(YEAR(IP$8),1,1),$8:$8,"&lt;="&amp;EOMONTH(IP$8,0))</f>
        <v/>
      </c>
      <c r="IQ112" s="1318">
        <f>SUMIFS(58:58,$8:$8,"&gt;="&amp;DATE(YEAR(IQ$8),1,1),$8:$8,"&lt;="&amp;EOMONTH(IQ$8,0))/SUMIFS(22:22,$8:$8,"&gt;="&amp;DATE(YEAR(IQ$8),1,1),$8:$8,"&lt;="&amp;EOMONTH(IQ$8,0))</f>
        <v/>
      </c>
      <c r="IR112" s="1318">
        <f>SUMIFS(58:58,$8:$8,"&gt;="&amp;DATE(YEAR(IR$8),1,1),$8:$8,"&lt;="&amp;EOMONTH(IR$8,0))/SUMIFS(22:22,$8:$8,"&gt;="&amp;DATE(YEAR(IR$8),1,1),$8:$8,"&lt;="&amp;EOMONTH(IR$8,0))</f>
        <v/>
      </c>
      <c r="IS112" s="1318">
        <f>SUMIFS(58:58,$8:$8,"&gt;="&amp;DATE(YEAR(IS$8),1,1),$8:$8,"&lt;="&amp;EOMONTH(IS$8,0))/SUMIFS(22:22,$8:$8,"&gt;="&amp;DATE(YEAR(IS$8),1,1),$8:$8,"&lt;="&amp;EOMONTH(IS$8,0))</f>
        <v/>
      </c>
      <c r="IT112" s="1318">
        <f>SUMIFS(58:58,$8:$8,"&gt;="&amp;DATE(YEAR(IT$8),1,1),$8:$8,"&lt;="&amp;EOMONTH(IT$8,0))/SUMIFS(22:22,$8:$8,"&gt;="&amp;DATE(YEAR(IT$8),1,1),$8:$8,"&lt;="&amp;EOMONTH(IT$8,0))</f>
        <v/>
      </c>
      <c r="IU112" s="1318">
        <f>SUMIFS(58:58,$8:$8,"&gt;="&amp;DATE(YEAR(IU$8),1,1),$8:$8,"&lt;="&amp;EOMONTH(IU$8,0))/SUMIFS(22:22,$8:$8,"&gt;="&amp;DATE(YEAR(IU$8),1,1),$8:$8,"&lt;="&amp;EOMONTH(IU$8,0))</f>
        <v/>
      </c>
      <c r="IV112" s="1318">
        <f>SUMIFS(58:58,$8:$8,"&gt;="&amp;DATE(YEAR(IV$8),1,1),$8:$8,"&lt;="&amp;EOMONTH(IV$8,0))/SUMIFS(22:22,$8:$8,"&gt;="&amp;DATE(YEAR(IV$8),1,1),$8:$8,"&lt;="&amp;EOMONTH(IV$8,0))</f>
        <v/>
      </c>
      <c r="IW112" s="1318">
        <f>SUMIFS(58:58,$8:$8,"&gt;="&amp;DATE(YEAR(IW$8),1,1),$8:$8,"&lt;="&amp;EOMONTH(IW$8,0))/SUMIFS(22:22,$8:$8,"&gt;="&amp;DATE(YEAR(IW$8),1,1),$8:$8,"&lt;="&amp;EOMONTH(IW$8,0))</f>
        <v/>
      </c>
      <c r="IX112" s="1318">
        <f>SUMIFS(58:58,$8:$8,"&gt;="&amp;DATE(YEAR(IX$8),1,1),$8:$8,"&lt;="&amp;EOMONTH(IX$8,0))/SUMIFS(22:22,$8:$8,"&gt;="&amp;DATE(YEAR(IX$8),1,1),$8:$8,"&lt;="&amp;EOMONTH(IX$8,0))</f>
        <v/>
      </c>
      <c r="IY112" s="1318">
        <f>SUMIFS(58:58,$8:$8,"&gt;="&amp;DATE(YEAR(IY$8),1,1),$8:$8,"&lt;="&amp;EOMONTH(IY$8,0))/SUMIFS(22:22,$8:$8,"&gt;="&amp;DATE(YEAR(IY$8),1,1),$8:$8,"&lt;="&amp;EOMONTH(IY$8,0))</f>
        <v/>
      </c>
      <c r="IZ112" s="1318">
        <f>SUMIFS(58:58,$8:$8,"&gt;="&amp;DATE(YEAR(IZ$8),1,1),$8:$8,"&lt;="&amp;EOMONTH(IZ$8,0))/SUMIFS(22:22,$8:$8,"&gt;="&amp;DATE(YEAR(IZ$8),1,1),$8:$8,"&lt;="&amp;EOMONTH(IZ$8,0))</f>
        <v/>
      </c>
      <c r="JA112" s="1318">
        <f>SUMIFS(58:58,$8:$8,"&gt;="&amp;DATE(YEAR(JA$8),1,1),$8:$8,"&lt;="&amp;EOMONTH(JA$8,0))/SUMIFS(22:22,$8:$8,"&gt;="&amp;DATE(YEAR(JA$8),1,1),$8:$8,"&lt;="&amp;EOMONTH(JA$8,0))</f>
        <v/>
      </c>
      <c r="JB112" s="1318">
        <f>SUMIFS(58:58,$8:$8,"&gt;="&amp;DATE(YEAR(JB$8),1,1),$8:$8,"&lt;="&amp;EOMONTH(JB$8,0))/SUMIFS(22:22,$8:$8,"&gt;="&amp;DATE(YEAR(JB$8),1,1),$8:$8,"&lt;="&amp;EOMONTH(JB$8,0))</f>
        <v/>
      </c>
      <c r="JC112" s="1318">
        <f>SUMIFS(58:58,$8:$8,"&gt;="&amp;DATE(YEAR(JC$8),1,1),$8:$8,"&lt;="&amp;EOMONTH(JC$8,0))/SUMIFS(22:22,$8:$8,"&gt;="&amp;DATE(YEAR(JC$8),1,1),$8:$8,"&lt;="&amp;EOMONTH(JC$8,0))</f>
        <v/>
      </c>
      <c r="JD112" s="1318">
        <f>SUMIFS(58:58,$8:$8,"&gt;="&amp;DATE(YEAR(JD$8),1,1),$8:$8,"&lt;="&amp;EOMONTH(JD$8,0))/SUMIFS(22:22,$8:$8,"&gt;="&amp;DATE(YEAR(JD$8),1,1),$8:$8,"&lt;="&amp;EOMONTH(JD$8,0))</f>
        <v/>
      </c>
      <c r="JE112" s="1318">
        <f>SUMIFS(58:58,$8:$8,"&gt;="&amp;DATE(YEAR(JE$8),1,1),$8:$8,"&lt;="&amp;EOMONTH(JE$8,0))/SUMIFS(22:22,$8:$8,"&gt;="&amp;DATE(YEAR(JE$8),1,1),$8:$8,"&lt;="&amp;EOMONTH(JE$8,0))</f>
        <v/>
      </c>
      <c r="JF112" s="1318">
        <f>SUMIFS(58:58,$8:$8,"&gt;="&amp;DATE(YEAR(JF$8),1,1),$8:$8,"&lt;="&amp;EOMONTH(JF$8,0))/SUMIFS(22:22,$8:$8,"&gt;="&amp;DATE(YEAR(JF$8),1,1),$8:$8,"&lt;="&amp;EOMONTH(JF$8,0))</f>
        <v/>
      </c>
      <c r="JG112" s="1318">
        <f>SUMIFS(58:58,$8:$8,"&gt;="&amp;DATE(YEAR(JG$8),1,1),$8:$8,"&lt;="&amp;EOMONTH(JG$8,0))/SUMIFS(22:22,$8:$8,"&gt;="&amp;DATE(YEAR(JG$8),1,1),$8:$8,"&lt;="&amp;EOMONTH(JG$8,0))</f>
        <v/>
      </c>
      <c r="JH112" s="1318">
        <f>SUMIFS(58:58,$8:$8,"&gt;="&amp;DATE(YEAR(JH$8),1,1),$8:$8,"&lt;="&amp;EOMONTH(JH$8,0))/SUMIFS(22:22,$8:$8,"&gt;="&amp;DATE(YEAR(JH$8),1,1),$8:$8,"&lt;="&amp;EOMONTH(JH$8,0))</f>
        <v/>
      </c>
      <c r="JI112" s="1318">
        <f>SUMIFS(58:58,$8:$8,"&gt;="&amp;DATE(YEAR(JI$8),1,1),$8:$8,"&lt;="&amp;EOMONTH(JI$8,0))/SUMIFS(22:22,$8:$8,"&gt;="&amp;DATE(YEAR(JI$8),1,1),$8:$8,"&lt;="&amp;EOMONTH(JI$8,0))</f>
        <v/>
      </c>
      <c r="JJ112" s="1318">
        <f>SUMIFS(58:58,$8:$8,"&gt;="&amp;DATE(YEAR(JJ$8),1,1),$8:$8,"&lt;="&amp;EOMONTH(JJ$8,0))/SUMIFS(22:22,$8:$8,"&gt;="&amp;DATE(YEAR(JJ$8),1,1),$8:$8,"&lt;="&amp;EOMONTH(JJ$8,0))</f>
        <v/>
      </c>
      <c r="JK112" s="1318">
        <f>SUMIFS(58:58,$8:$8,"&gt;="&amp;DATE(YEAR(JK$8),1,1),$8:$8,"&lt;="&amp;EOMONTH(JK$8,0))/SUMIFS(22:22,$8:$8,"&gt;="&amp;DATE(YEAR(JK$8),1,1),$8:$8,"&lt;="&amp;EOMONTH(JK$8,0))</f>
        <v/>
      </c>
      <c r="JL112" s="1318">
        <f>SUMIFS(58:58,$8:$8,"&gt;="&amp;DATE(YEAR(JL$8),1,1),$8:$8,"&lt;="&amp;EOMONTH(JL$8,0))/SUMIFS(22:22,$8:$8,"&gt;="&amp;DATE(YEAR(JL$8),1,1),$8:$8,"&lt;="&amp;EOMONTH(JL$8,0))</f>
        <v/>
      </c>
      <c r="JM112" s="1318">
        <f>SUMIFS(58:58,$8:$8,"&gt;="&amp;DATE(YEAR(JM$8),1,1),$8:$8,"&lt;="&amp;EOMONTH(JM$8,0))/SUMIFS(22:22,$8:$8,"&gt;="&amp;DATE(YEAR(JM$8),1,1),$8:$8,"&lt;="&amp;EOMONTH(JM$8,0))</f>
        <v/>
      </c>
      <c r="JN112" s="1318">
        <f>SUMIFS(58:58,$8:$8,"&gt;="&amp;DATE(YEAR(JN$8),1,1),$8:$8,"&lt;="&amp;EOMONTH(JN$8,0))/SUMIFS(22:22,$8:$8,"&gt;="&amp;DATE(YEAR(JN$8),1,1),$8:$8,"&lt;="&amp;EOMONTH(JN$8,0))</f>
        <v/>
      </c>
      <c r="JO112" s="1318">
        <f>SUMIFS(58:58,$8:$8,"&gt;="&amp;DATE(YEAR(JO$8),1,1),$8:$8,"&lt;="&amp;EOMONTH(JO$8,0))/SUMIFS(22:22,$8:$8,"&gt;="&amp;DATE(YEAR(JO$8),1,1),$8:$8,"&lt;="&amp;EOMONTH(JO$8,0))</f>
        <v/>
      </c>
      <c r="JP112" s="1318">
        <f>SUMIFS(58:58,$8:$8,"&gt;="&amp;DATE(YEAR(JP$8),1,1),$8:$8,"&lt;="&amp;EOMONTH(JP$8,0))/SUMIFS(22:22,$8:$8,"&gt;="&amp;DATE(YEAR(JP$8),1,1),$8:$8,"&lt;="&amp;EOMONTH(JP$8,0))</f>
        <v/>
      </c>
      <c r="JQ112" s="1318">
        <f>SUMIFS(58:58,$8:$8,"&gt;="&amp;DATE(YEAR(JQ$8),1,1),$8:$8,"&lt;="&amp;EOMONTH(JQ$8,0))/SUMIFS(22:22,$8:$8,"&gt;="&amp;DATE(YEAR(JQ$8),1,1),$8:$8,"&lt;="&amp;EOMONTH(JQ$8,0))</f>
        <v/>
      </c>
      <c r="JR112" s="1318">
        <f>SUMIFS(58:58,$8:$8,"&gt;="&amp;DATE(YEAR(JR$8),1,1),$8:$8,"&lt;="&amp;EOMONTH(JR$8,0))/SUMIFS(22:22,$8:$8,"&gt;="&amp;DATE(YEAR(JR$8),1,1),$8:$8,"&lt;="&amp;EOMONTH(JR$8,0))</f>
        <v/>
      </c>
      <c r="JS112" s="1318">
        <f>SUMIFS(58:58,$8:$8,"&gt;="&amp;DATE(YEAR(JS$8),1,1),$8:$8,"&lt;="&amp;EOMONTH(JS$8,0))/SUMIFS(22:22,$8:$8,"&gt;="&amp;DATE(YEAR(JS$8),1,1),$8:$8,"&lt;="&amp;EOMONTH(JS$8,0))</f>
        <v/>
      </c>
      <c r="JT112" s="1318">
        <f>SUMIFS(58:58,$8:$8,"&gt;="&amp;DATE(YEAR(JT$8),1,1),$8:$8,"&lt;="&amp;EOMONTH(JT$8,0))/SUMIFS(22:22,$8:$8,"&gt;="&amp;DATE(YEAR(JT$8),1,1),$8:$8,"&lt;="&amp;EOMONTH(JT$8,0))</f>
        <v/>
      </c>
      <c r="JU112" s="1318">
        <f>SUMIFS(58:58,$8:$8,"&gt;="&amp;DATE(YEAR(JU$8),1,1),$8:$8,"&lt;="&amp;EOMONTH(JU$8,0))/SUMIFS(22:22,$8:$8,"&gt;="&amp;DATE(YEAR(JU$8),1,1),$8:$8,"&lt;="&amp;EOMONTH(JU$8,0))</f>
        <v/>
      </c>
      <c r="JV112" s="1318">
        <f>SUMIFS(58:58,$8:$8,"&gt;="&amp;DATE(YEAR(JV$8),1,1),$8:$8,"&lt;="&amp;EOMONTH(JV$8,0))/SUMIFS(22:22,$8:$8,"&gt;="&amp;DATE(YEAR(JV$8),1,1),$8:$8,"&lt;="&amp;EOMONTH(JV$8,0))</f>
        <v/>
      </c>
      <c r="JW112" s="1318">
        <f>SUMIFS(58:58,$8:$8,"&gt;="&amp;DATE(YEAR(JW$8),1,1),$8:$8,"&lt;="&amp;EOMONTH(JW$8,0))/SUMIFS(22:22,$8:$8,"&gt;="&amp;DATE(YEAR(JW$8),1,1),$8:$8,"&lt;="&amp;EOMONTH(JW$8,0))</f>
        <v/>
      </c>
      <c r="JX112" s="1318">
        <f>SUMIFS(58:58,$8:$8,"&gt;="&amp;DATE(YEAR(JX$8),1,1),$8:$8,"&lt;="&amp;EOMONTH(JX$8,0))/SUMIFS(22:22,$8:$8,"&gt;="&amp;DATE(YEAR(JX$8),1,1),$8:$8,"&lt;="&amp;EOMONTH(JX$8,0))</f>
        <v/>
      </c>
      <c r="JY112" s="1318">
        <f>SUMIFS(58:58,$8:$8,"&gt;="&amp;DATE(YEAR(JY$8),1,1),$8:$8,"&lt;="&amp;EOMONTH(JY$8,0))/SUMIFS(22:22,$8:$8,"&gt;="&amp;DATE(YEAR(JY$8),1,1),$8:$8,"&lt;="&amp;EOMONTH(JY$8,0))</f>
        <v/>
      </c>
      <c r="JZ112" s="1318">
        <f>SUMIFS(58:58,$8:$8,"&gt;="&amp;DATE(YEAR(JZ$8),1,1),$8:$8,"&lt;="&amp;EOMONTH(JZ$8,0))/SUMIFS(22:22,$8:$8,"&gt;="&amp;DATE(YEAR(JZ$8),1,1),$8:$8,"&lt;="&amp;EOMONTH(JZ$8,0))</f>
        <v/>
      </c>
      <c r="KA112" s="1318">
        <f>SUMIFS(58:58,$8:$8,"&gt;="&amp;DATE(YEAR(KA$8),1,1),$8:$8,"&lt;="&amp;EOMONTH(KA$8,0))/SUMIFS(22:22,$8:$8,"&gt;="&amp;DATE(YEAR(KA$8),1,1),$8:$8,"&lt;="&amp;EOMONTH(KA$8,0))</f>
        <v/>
      </c>
      <c r="KB112" s="1318">
        <f>SUMIFS(58:58,$8:$8,"&gt;="&amp;DATE(YEAR(KB$8),1,1),$8:$8,"&lt;="&amp;EOMONTH(KB$8,0))/SUMIFS(22:22,$8:$8,"&gt;="&amp;DATE(YEAR(KB$8),1,1),$8:$8,"&lt;="&amp;EOMONTH(KB$8,0))</f>
        <v/>
      </c>
      <c r="KC112" s="1318">
        <f>SUMIFS(58:58,$8:$8,"&gt;="&amp;DATE(YEAR(KC$8),1,1),$8:$8,"&lt;="&amp;EOMONTH(KC$8,0))/SUMIFS(22:22,$8:$8,"&gt;="&amp;DATE(YEAR(KC$8),1,1),$8:$8,"&lt;="&amp;EOMONTH(KC$8,0))</f>
        <v/>
      </c>
      <c r="KD112" s="1318">
        <f>SUMIFS(58:58,$8:$8,"&gt;="&amp;DATE(YEAR(KD$8),1,1),$8:$8,"&lt;="&amp;EOMONTH(KD$8,0))/SUMIFS(22:22,$8:$8,"&gt;="&amp;DATE(YEAR(KD$8),1,1),$8:$8,"&lt;="&amp;EOMONTH(KD$8,0))</f>
        <v/>
      </c>
      <c r="KE112" s="1318">
        <f>SUMIFS(58:58,$8:$8,"&gt;="&amp;DATE(YEAR(KE$8),1,1),$8:$8,"&lt;="&amp;EOMONTH(KE$8,0))/SUMIFS(22:22,$8:$8,"&gt;="&amp;DATE(YEAR(KE$8),1,1),$8:$8,"&lt;="&amp;EOMONTH(KE$8,0))</f>
        <v/>
      </c>
      <c r="KF112" s="1318">
        <f>SUMIFS(58:58,$8:$8,"&gt;="&amp;DATE(YEAR(KF$8),1,1),$8:$8,"&lt;="&amp;EOMONTH(KF$8,0))/SUMIFS(22:22,$8:$8,"&gt;="&amp;DATE(YEAR(KF$8),1,1),$8:$8,"&lt;="&amp;EOMONTH(KF$8,0))</f>
        <v/>
      </c>
      <c r="KG112" s="1318">
        <f>SUMIFS(58:58,$8:$8,"&gt;="&amp;DATE(YEAR(KG$8),1,1),$8:$8,"&lt;="&amp;EOMONTH(KG$8,0))/SUMIFS(22:22,$8:$8,"&gt;="&amp;DATE(YEAR(KG$8),1,1),$8:$8,"&lt;="&amp;EOMONTH(KG$8,0))</f>
        <v/>
      </c>
      <c r="KH112" s="1318">
        <f>SUMIFS(58:58,$8:$8,"&gt;="&amp;DATE(YEAR(KH$8),1,1),$8:$8,"&lt;="&amp;EOMONTH(KH$8,0))/SUMIFS(22:22,$8:$8,"&gt;="&amp;DATE(YEAR(KH$8),1,1),$8:$8,"&lt;="&amp;EOMONTH(KH$8,0))</f>
        <v/>
      </c>
      <c r="KI112" s="1318">
        <f>SUMIFS(58:58,$8:$8,"&gt;="&amp;DATE(YEAR(KI$8),1,1),$8:$8,"&lt;="&amp;EOMONTH(KI$8,0))/SUMIFS(22:22,$8:$8,"&gt;="&amp;DATE(YEAR(KI$8),1,1),$8:$8,"&lt;="&amp;EOMONTH(KI$8,0))</f>
        <v/>
      </c>
      <c r="KJ112" s="1318">
        <f>SUMIFS(58:58,$8:$8,"&gt;="&amp;DATE(YEAR(KJ$8),1,1),$8:$8,"&lt;="&amp;EOMONTH(KJ$8,0))/SUMIFS(22:22,$8:$8,"&gt;="&amp;DATE(YEAR(KJ$8),1,1),$8:$8,"&lt;="&amp;EOMONTH(KJ$8,0))</f>
        <v/>
      </c>
      <c r="KK112" s="1318">
        <f>SUMIFS(58:58,$8:$8,"&gt;="&amp;DATE(YEAR(KK$8),1,1),$8:$8,"&lt;="&amp;EOMONTH(KK$8,0))/SUMIFS(22:22,$8:$8,"&gt;="&amp;DATE(YEAR(KK$8),1,1),$8:$8,"&lt;="&amp;EOMONTH(KK$8,0))</f>
        <v/>
      </c>
      <c r="KL112" s="1318">
        <f>SUMIFS(58:58,$8:$8,"&gt;="&amp;DATE(YEAR(KL$8),1,1),$8:$8,"&lt;="&amp;EOMONTH(KL$8,0))/SUMIFS(22:22,$8:$8,"&gt;="&amp;DATE(YEAR(KL$8),1,1),$8:$8,"&lt;="&amp;EOMONTH(KL$8,0))</f>
        <v/>
      </c>
      <c r="KM112" s="1318">
        <f>SUMIFS(58:58,$8:$8,"&gt;="&amp;DATE(YEAR(KM$8),1,1),$8:$8,"&lt;="&amp;EOMONTH(KM$8,0))/SUMIFS(22:22,$8:$8,"&gt;="&amp;DATE(YEAR(KM$8),1,1),$8:$8,"&lt;="&amp;EOMONTH(KM$8,0))</f>
        <v/>
      </c>
      <c r="KN112" s="1318">
        <f>SUMIFS(58:58,$8:$8,"&gt;="&amp;DATE(YEAR(KN$8),1,1),$8:$8,"&lt;="&amp;EOMONTH(KN$8,0))/SUMIFS(22:22,$8:$8,"&gt;="&amp;DATE(YEAR(KN$8),1,1),$8:$8,"&lt;="&amp;EOMONTH(KN$8,0))</f>
        <v/>
      </c>
      <c r="KO112" s="1318">
        <f>SUMIFS(58:58,$8:$8,"&gt;="&amp;DATE(YEAR(KO$8),1,1),$8:$8,"&lt;="&amp;EOMONTH(KO$8,0))/SUMIFS(22:22,$8:$8,"&gt;="&amp;DATE(YEAR(KO$8),1,1),$8:$8,"&lt;="&amp;EOMONTH(KO$8,0))</f>
        <v/>
      </c>
      <c r="KP112" s="1318">
        <f>SUMIFS(58:58,$8:$8,"&gt;="&amp;DATE(YEAR(KP$8),1,1),$8:$8,"&lt;="&amp;EOMONTH(KP$8,0))/SUMIFS(22:22,$8:$8,"&gt;="&amp;DATE(YEAR(KP$8),1,1),$8:$8,"&lt;="&amp;EOMONTH(KP$8,0))</f>
        <v/>
      </c>
      <c r="KQ112" s="1318">
        <f>SUMIFS(58:58,$8:$8,"&gt;="&amp;DATE(YEAR(KQ$8),1,1),$8:$8,"&lt;="&amp;EOMONTH(KQ$8,0))/SUMIFS(22:22,$8:$8,"&gt;="&amp;DATE(YEAR(KQ$8),1,1),$8:$8,"&lt;="&amp;EOMONTH(KQ$8,0))</f>
        <v/>
      </c>
      <c r="KR112" s="1318">
        <f>SUMIFS(58:58,$8:$8,"&gt;="&amp;DATE(YEAR(KR$8),1,1),$8:$8,"&lt;="&amp;EOMONTH(KR$8,0))/SUMIFS(22:22,$8:$8,"&gt;="&amp;DATE(YEAR(KR$8),1,1),$8:$8,"&lt;="&amp;EOMONTH(KR$8,0))</f>
        <v/>
      </c>
      <c r="KS112" s="1318">
        <f>SUMIFS(58:58,$8:$8,"&gt;="&amp;DATE(YEAR(KS$8),1,1),$8:$8,"&lt;="&amp;EOMONTH(KS$8,0))/SUMIFS(22:22,$8:$8,"&gt;="&amp;DATE(YEAR(KS$8),1,1),$8:$8,"&lt;="&amp;EOMONTH(KS$8,0))</f>
        <v/>
      </c>
      <c r="KT112" s="1318">
        <f>SUMIFS(58:58,$8:$8,"&gt;="&amp;DATE(YEAR(KT$8),1,1),$8:$8,"&lt;="&amp;EOMONTH(KT$8,0))/SUMIFS(22:22,$8:$8,"&gt;="&amp;DATE(YEAR(KT$8),1,1),$8:$8,"&lt;="&amp;EOMONTH(KT$8,0))</f>
        <v/>
      </c>
      <c r="KU112" s="1318">
        <f>SUMIFS(58:58,$8:$8,"&gt;="&amp;DATE(YEAR(KU$8),1,1),$8:$8,"&lt;="&amp;EOMONTH(KU$8,0))/SUMIFS(22:22,$8:$8,"&gt;="&amp;DATE(YEAR(KU$8),1,1),$8:$8,"&lt;="&amp;EOMONTH(KU$8,0))</f>
        <v/>
      </c>
      <c r="KV112" s="1318">
        <f>SUMIFS(58:58,$8:$8,"&gt;="&amp;DATE(YEAR(KV$8),1,1),$8:$8,"&lt;="&amp;EOMONTH(KV$8,0))/SUMIFS(22:22,$8:$8,"&gt;="&amp;DATE(YEAR(KV$8),1,1),$8:$8,"&lt;="&amp;EOMONTH(KV$8,0))</f>
        <v/>
      </c>
      <c r="KW112" s="1318">
        <f>SUMIFS(58:58,$8:$8,"&gt;="&amp;DATE(YEAR(KW$8),1,1),$8:$8,"&lt;="&amp;EOMONTH(KW$8,0))/SUMIFS(22:22,$8:$8,"&gt;="&amp;DATE(YEAR(KW$8),1,1),$8:$8,"&lt;="&amp;EOMONTH(KW$8,0))</f>
        <v/>
      </c>
      <c r="KX112" s="1318">
        <f>SUMIFS(58:58,$8:$8,"&gt;="&amp;DATE(YEAR(KX$8),1,1),$8:$8,"&lt;="&amp;EOMONTH(KX$8,0))/SUMIFS(22:22,$8:$8,"&gt;="&amp;DATE(YEAR(KX$8),1,1),$8:$8,"&lt;="&amp;EOMONTH(KX$8,0))</f>
        <v/>
      </c>
      <c r="KY112" s="1318">
        <f>SUMIFS(58:58,$8:$8,"&gt;="&amp;DATE(YEAR(KY$8),1,1),$8:$8,"&lt;="&amp;EOMONTH(KY$8,0))/SUMIFS(22:22,$8:$8,"&gt;="&amp;DATE(YEAR(KY$8),1,1),$8:$8,"&lt;="&amp;EOMONTH(KY$8,0))</f>
        <v/>
      </c>
      <c r="KZ112" s="1318">
        <f>SUMIFS(58:58,$8:$8,"&gt;="&amp;DATE(YEAR(KZ$8),1,1),$8:$8,"&lt;="&amp;EOMONTH(KZ$8,0))/SUMIFS(22:22,$8:$8,"&gt;="&amp;DATE(YEAR(KZ$8),1,1),$8:$8,"&lt;="&amp;EOMONTH(KZ$8,0))</f>
        <v/>
      </c>
      <c r="LA112" s="1318">
        <f>SUMIFS(58:58,$8:$8,"&gt;="&amp;DATE(YEAR(LA$8),1,1),$8:$8,"&lt;="&amp;EOMONTH(LA$8,0))/SUMIFS(22:22,$8:$8,"&gt;="&amp;DATE(YEAR(LA$8),1,1),$8:$8,"&lt;="&amp;EOMONTH(LA$8,0))</f>
        <v/>
      </c>
      <c r="LB112" s="1318" t="n"/>
      <c r="LC112" s="1318" t="n"/>
      <c r="LD112" s="1318" t="n"/>
      <c r="LE112" s="1318" t="n"/>
      <c r="LF112" s="1318" t="n"/>
      <c r="LG112" s="1318" t="n"/>
      <c r="LH112" s="1318" t="n"/>
      <c r="LI112" s="1318" t="n"/>
      <c r="LJ112" s="1318" t="n"/>
      <c r="LK112" s="1318" t="n"/>
      <c r="LL112" s="1318" t="n"/>
      <c r="LM112" s="1318" t="n"/>
      <c r="LN112" s="1318" t="n"/>
      <c r="LO112" s="1318" t="n"/>
      <c r="LP112" s="1318" t="n"/>
      <c r="LQ112" s="1318" t="n"/>
      <c r="LR112" s="1318" t="n"/>
      <c r="LS112" s="1318" t="n"/>
    </row>
    <row r="113">
      <c r="A113" s="885" t="inlineStr">
        <is>
          <t>YTDYOY%</t>
        </is>
      </c>
      <c r="B113" s="1318" t="n"/>
      <c r="C113" s="1318" t="n"/>
      <c r="D113" s="1318" t="n"/>
      <c r="E113" s="1318" t="n"/>
      <c r="F113" s="1318" t="n"/>
      <c r="G113" s="1318" t="n"/>
      <c r="H113" s="1318" t="n"/>
      <c r="I113" s="1318" t="n"/>
      <c r="J113" s="1318" t="n"/>
      <c r="K113" s="1318" t="n"/>
      <c r="L113" s="1318" t="n"/>
      <c r="M113" s="1318" t="n"/>
      <c r="N113" s="1318" t="n"/>
      <c r="O113" s="1318" t="n"/>
      <c r="P113" s="1318" t="n"/>
      <c r="Q113" s="1318" t="n"/>
      <c r="R113" s="1318" t="n"/>
      <c r="S113" s="1318" t="n"/>
      <c r="T113" s="1318" t="n"/>
      <c r="U113" s="1318" t="n"/>
      <c r="V113" s="1318" t="n"/>
      <c r="W113" s="1318" t="n"/>
      <c r="X113" s="1318" t="n"/>
      <c r="Y113" s="1318" t="n"/>
      <c r="Z113" s="1318" t="n"/>
      <c r="AA113" s="1318" t="n"/>
      <c r="AB113" s="1318" t="n"/>
      <c r="AC113" s="1318" t="n"/>
      <c r="AD113" s="1318" t="n"/>
      <c r="AE113" s="1318" t="n"/>
      <c r="AF113" s="1318" t="n"/>
      <c r="AG113" s="1318" t="n"/>
      <c r="AH113" s="1318" t="n"/>
      <c r="AI113" s="1318" t="n"/>
      <c r="AJ113" s="1318" t="n"/>
      <c r="AK113" s="1318" t="n"/>
      <c r="AL113" s="1318" t="n"/>
      <c r="AM113" s="1318" t="n"/>
      <c r="AN113" s="1318" t="n"/>
      <c r="AO113" s="1318" t="n"/>
      <c r="AP113" s="1318" t="n"/>
      <c r="AQ113" s="1318" t="n"/>
      <c r="AR113" s="1318" t="n"/>
      <c r="AS113" s="1318" t="n"/>
      <c r="AT113" s="1318" t="n"/>
      <c r="AU113" s="1318" t="n"/>
      <c r="AV113" s="1318" t="n"/>
      <c r="AW113" s="1318" t="n"/>
      <c r="AX113" s="1318" t="n"/>
      <c r="AY113" s="1318" t="n"/>
      <c r="AZ113" s="1318" t="n"/>
      <c r="BA113" s="1318" t="n"/>
      <c r="BB113" s="1318" t="n"/>
      <c r="BC113" s="1318" t="n"/>
      <c r="BD113" s="1318" t="n"/>
      <c r="BE113" s="1318" t="n"/>
      <c r="BF113" s="1318" t="n"/>
      <c r="BG113" s="1318" t="n"/>
      <c r="BH113" s="1318" t="n"/>
      <c r="BI113" s="1318" t="n"/>
      <c r="BJ113" s="1318">
        <f>BJ112-AX112</f>
        <v/>
      </c>
      <c r="BK113" s="1318">
        <f>BK112-AY112</f>
        <v/>
      </c>
      <c r="BL113" s="1318">
        <f>BL112-AZ112</f>
        <v/>
      </c>
      <c r="BM113" s="1318">
        <f>BM112-BA112</f>
        <v/>
      </c>
      <c r="BN113" s="1318">
        <f>BN112-BB112</f>
        <v/>
      </c>
      <c r="BO113" s="1318">
        <f>BO112-BC112</f>
        <v/>
      </c>
      <c r="BP113" s="1318">
        <f>BP112-BD112</f>
        <v/>
      </c>
      <c r="BQ113" s="1318">
        <f>BQ112-BE112</f>
        <v/>
      </c>
      <c r="BR113" s="1318">
        <f>BR112-BF112</f>
        <v/>
      </c>
      <c r="BS113" s="1318">
        <f>BS112-BG112</f>
        <v/>
      </c>
      <c r="BT113" s="1318">
        <f>BT112-BH112</f>
        <v/>
      </c>
      <c r="BU113" s="1318">
        <f>BU112-BI112</f>
        <v/>
      </c>
      <c r="BV113" s="1318">
        <f>BV112-BJ112</f>
        <v/>
      </c>
      <c r="BW113" s="1318">
        <f>BW112-BK112</f>
        <v/>
      </c>
      <c r="BX113" s="1318">
        <f>BX112-BL112</f>
        <v/>
      </c>
      <c r="BY113" s="1318">
        <f>BY112-BM112</f>
        <v/>
      </c>
      <c r="BZ113" s="1318">
        <f>BZ112-BN112</f>
        <v/>
      </c>
      <c r="CA113" s="1318">
        <f>CA112-BO112</f>
        <v/>
      </c>
      <c r="CB113" s="1318">
        <f>CB112-BP112</f>
        <v/>
      </c>
      <c r="CC113" s="1318">
        <f>CC112-BQ112</f>
        <v/>
      </c>
      <c r="CD113" s="1318">
        <f>CD112-BR112</f>
        <v/>
      </c>
      <c r="CE113" s="1318">
        <f>CE112-BS112</f>
        <v/>
      </c>
      <c r="CF113" s="1318">
        <f>CF112-BT112</f>
        <v/>
      </c>
      <c r="CG113" s="1318">
        <f>CG112-BU112</f>
        <v/>
      </c>
      <c r="CH113" s="1318">
        <f>CH112-BV112</f>
        <v/>
      </c>
      <c r="CI113" s="1318">
        <f>CI112-BW112</f>
        <v/>
      </c>
      <c r="CJ113" s="1318">
        <f>CJ112-BX112</f>
        <v/>
      </c>
      <c r="CK113" s="1318">
        <f>CK112-BY112</f>
        <v/>
      </c>
      <c r="CL113" s="1318">
        <f>CL112-BZ112</f>
        <v/>
      </c>
      <c r="CM113" s="1318">
        <f>CM112-CA112</f>
        <v/>
      </c>
      <c r="CN113" s="1318">
        <f>CN112-CB112</f>
        <v/>
      </c>
      <c r="CO113" s="1318">
        <f>CO112-CC112</f>
        <v/>
      </c>
      <c r="CP113" s="1318">
        <f>CP112-CD112</f>
        <v/>
      </c>
      <c r="CQ113" s="1318">
        <f>CQ112-CE112</f>
        <v/>
      </c>
      <c r="CR113" s="1318">
        <f>CR112-CF112</f>
        <v/>
      </c>
      <c r="CS113" s="1318">
        <f>CS112-CG112</f>
        <v/>
      </c>
      <c r="CT113" s="1318">
        <f>CT112-CH112</f>
        <v/>
      </c>
      <c r="CU113" s="1318">
        <f>CU112-CI112</f>
        <v/>
      </c>
      <c r="CV113" s="1318">
        <f>CV112-CJ112</f>
        <v/>
      </c>
      <c r="CW113" s="1318">
        <f>CW112-CK112</f>
        <v/>
      </c>
      <c r="CX113" s="1318">
        <f>CX112-CL112</f>
        <v/>
      </c>
      <c r="CY113" s="1318">
        <f>CY112-CM112</f>
        <v/>
      </c>
      <c r="CZ113" s="1318">
        <f>CZ112-CN112</f>
        <v/>
      </c>
      <c r="DA113" s="1318">
        <f>DA112-CO112</f>
        <v/>
      </c>
      <c r="DB113" s="1318">
        <f>DB112-CP112</f>
        <v/>
      </c>
      <c r="DC113" s="1318">
        <f>DC112-CQ112</f>
        <v/>
      </c>
      <c r="DD113" s="1318">
        <f>DD112-CR112</f>
        <v/>
      </c>
      <c r="DE113" s="1318">
        <f>DE112-CS112</f>
        <v/>
      </c>
      <c r="DF113" s="1318">
        <f>DF112-CT112</f>
        <v/>
      </c>
      <c r="DG113" s="1318">
        <f>DG112-CU112</f>
        <v/>
      </c>
      <c r="DH113" s="1318">
        <f>DH112-CV112</f>
        <v/>
      </c>
      <c r="DI113" s="1318">
        <f>DI112-CW112</f>
        <v/>
      </c>
      <c r="DJ113" s="1318">
        <f>DJ112-CX112</f>
        <v/>
      </c>
      <c r="DK113" s="1318">
        <f>DK112-CY112</f>
        <v/>
      </c>
      <c r="DL113" s="1318">
        <f>DL112-CZ112</f>
        <v/>
      </c>
      <c r="DM113" s="1318">
        <f>DM112-DA112</f>
        <v/>
      </c>
      <c r="DN113" s="1318">
        <f>DN112-DB112</f>
        <v/>
      </c>
      <c r="DO113" s="1318">
        <f>DO112-DC112</f>
        <v/>
      </c>
      <c r="DP113" s="1318">
        <f>DP112-DD112</f>
        <v/>
      </c>
      <c r="DQ113" s="1318">
        <f>DQ112-DE112</f>
        <v/>
      </c>
      <c r="DR113" s="1318">
        <f>DR112-DF112</f>
        <v/>
      </c>
      <c r="DS113" s="1318">
        <f>DS112-DG112</f>
        <v/>
      </c>
      <c r="DT113" s="1318">
        <f>DT112-DH112</f>
        <v/>
      </c>
      <c r="DU113" s="1318">
        <f>DU112-DI112</f>
        <v/>
      </c>
      <c r="DV113" s="1318">
        <f>DV112-DJ112</f>
        <v/>
      </c>
      <c r="DW113" s="1318">
        <f>DW112-DK112</f>
        <v/>
      </c>
      <c r="DX113" s="1318">
        <f>DX112-DL112</f>
        <v/>
      </c>
      <c r="DY113" s="1318">
        <f>DY112-DM112</f>
        <v/>
      </c>
      <c r="DZ113" s="1318">
        <f>DZ112-DN112</f>
        <v/>
      </c>
      <c r="EA113" s="1318">
        <f>EA112-DO112</f>
        <v/>
      </c>
      <c r="EB113" s="1318">
        <f>EB112-DP112</f>
        <v/>
      </c>
      <c r="EC113" s="1318">
        <f>EC112-DQ112</f>
        <v/>
      </c>
      <c r="ED113" s="1318">
        <f>ED112-DR112</f>
        <v/>
      </c>
      <c r="EE113" s="1318">
        <f>EE112-DS112</f>
        <v/>
      </c>
      <c r="EF113" s="1318">
        <f>EF112-DT112</f>
        <v/>
      </c>
      <c r="EG113" s="1318">
        <f>EG112-DU112</f>
        <v/>
      </c>
      <c r="EH113" s="1318">
        <f>EH112-DV112</f>
        <v/>
      </c>
      <c r="EI113" s="1318">
        <f>EI112-DW112</f>
        <v/>
      </c>
      <c r="EJ113" s="1318">
        <f>EJ112-DX112</f>
        <v/>
      </c>
      <c r="EK113" s="1318">
        <f>EK112-DY112</f>
        <v/>
      </c>
      <c r="EL113" s="1318">
        <f>EL112-DZ112</f>
        <v/>
      </c>
      <c r="EM113" s="1318">
        <f>EM112-EA112</f>
        <v/>
      </c>
      <c r="EN113" s="1318">
        <f>EN112-EB112</f>
        <v/>
      </c>
      <c r="EO113" s="1318">
        <f>EO112-EC112</f>
        <v/>
      </c>
      <c r="EP113" s="1318">
        <f>EP112-ED112</f>
        <v/>
      </c>
      <c r="EQ113" s="1318">
        <f>EQ112-EE112</f>
        <v/>
      </c>
      <c r="ER113" s="1318">
        <f>ER112-EF112</f>
        <v/>
      </c>
      <c r="ES113" s="1318">
        <f>ES112-EG112</f>
        <v/>
      </c>
      <c r="ET113" s="1318">
        <f>ET112-EH112</f>
        <v/>
      </c>
      <c r="EU113" s="1318">
        <f>EU112-EI112</f>
        <v/>
      </c>
      <c r="EV113" s="1318">
        <f>EV112-EJ112</f>
        <v/>
      </c>
      <c r="EW113" s="1318">
        <f>EW112-EK112</f>
        <v/>
      </c>
      <c r="EX113" s="1318">
        <f>EX112-EL112</f>
        <v/>
      </c>
      <c r="EY113" s="1318">
        <f>EY112-EM112</f>
        <v/>
      </c>
      <c r="EZ113" s="1318">
        <f>EZ112-EN112</f>
        <v/>
      </c>
      <c r="FA113" s="1318">
        <f>FA112-EO112</f>
        <v/>
      </c>
      <c r="FB113" s="1318">
        <f>FB112-EP112</f>
        <v/>
      </c>
      <c r="FC113" s="1318">
        <f>FC112-EQ112</f>
        <v/>
      </c>
      <c r="FD113" s="1318">
        <f>FD112-ER112</f>
        <v/>
      </c>
      <c r="FE113" s="1318">
        <f>FE112-ES112</f>
        <v/>
      </c>
      <c r="FF113" s="1318">
        <f>FF112-ET112</f>
        <v/>
      </c>
      <c r="FG113" s="1318">
        <f>FG112-EU112</f>
        <v/>
      </c>
      <c r="FH113" s="1318">
        <f>FH112-EV112</f>
        <v/>
      </c>
      <c r="FI113" s="1318">
        <f>FI112-EW112</f>
        <v/>
      </c>
      <c r="FJ113" s="1318">
        <f>FJ112-EX112</f>
        <v/>
      </c>
      <c r="FK113" s="1318">
        <f>FK112-EY112</f>
        <v/>
      </c>
      <c r="FL113" s="1318">
        <f>FL112-EZ112</f>
        <v/>
      </c>
      <c r="FM113" s="1318">
        <f>FM112-FA112</f>
        <v/>
      </c>
      <c r="FN113" s="1318">
        <f>FN112-FB112</f>
        <v/>
      </c>
      <c r="FO113" s="1318">
        <f>FO112-FC112</f>
        <v/>
      </c>
      <c r="FP113" s="1318">
        <f>FP112-FD112</f>
        <v/>
      </c>
      <c r="FQ113" s="1318">
        <f>FQ112-FE112</f>
        <v/>
      </c>
      <c r="FR113" s="1318">
        <f>FR112-FF112</f>
        <v/>
      </c>
      <c r="FS113" s="1318">
        <f>FS112-FG112</f>
        <v/>
      </c>
      <c r="FT113" s="1318">
        <f>FT112-FH112</f>
        <v/>
      </c>
      <c r="FU113" s="1318">
        <f>FU112-FI112</f>
        <v/>
      </c>
      <c r="FV113" s="1318">
        <f>FV112-FJ112</f>
        <v/>
      </c>
      <c r="FW113" s="1318">
        <f>FW112-FK112</f>
        <v/>
      </c>
      <c r="FX113" s="1318">
        <f>FX112-FL112</f>
        <v/>
      </c>
      <c r="FY113" s="1318">
        <f>FY112-FM112</f>
        <v/>
      </c>
      <c r="FZ113" s="1318">
        <f>FZ112-FN112</f>
        <v/>
      </c>
      <c r="GA113" s="1318">
        <f>GA112-FO112</f>
        <v/>
      </c>
      <c r="GB113" s="1318">
        <f>GB112-FP112</f>
        <v/>
      </c>
      <c r="GC113" s="1318">
        <f>GC112-FQ112</f>
        <v/>
      </c>
      <c r="GD113" s="1318">
        <f>GD112-FR112</f>
        <v/>
      </c>
      <c r="GE113" s="1318">
        <f>GE112-FS112</f>
        <v/>
      </c>
      <c r="GF113" s="1318">
        <f>GF112-FT112</f>
        <v/>
      </c>
      <c r="GG113" s="1318">
        <f>GG112-FU112</f>
        <v/>
      </c>
      <c r="GH113" s="1318">
        <f>GH112-FV112</f>
        <v/>
      </c>
      <c r="GI113" s="1318">
        <f>GI112-FW112</f>
        <v/>
      </c>
      <c r="GJ113" s="1318">
        <f>GJ112-FX112</f>
        <v/>
      </c>
      <c r="GK113" s="1318">
        <f>GK112-FY112</f>
        <v/>
      </c>
      <c r="GL113" s="1318">
        <f>GL112-FZ112</f>
        <v/>
      </c>
      <c r="GM113" s="1318">
        <f>GM112-GA112</f>
        <v/>
      </c>
      <c r="GN113" s="1318">
        <f>GN112-GB112</f>
        <v/>
      </c>
      <c r="GO113" s="1318">
        <f>GO112-GC112</f>
        <v/>
      </c>
      <c r="GP113" s="1318">
        <f>GP112-GD112</f>
        <v/>
      </c>
      <c r="GQ113" s="1318">
        <f>GQ112-GE112</f>
        <v/>
      </c>
      <c r="GR113" s="1318">
        <f>GR112-GF112</f>
        <v/>
      </c>
      <c r="GS113" s="1318">
        <f>GS112-GG112</f>
        <v/>
      </c>
      <c r="GT113" s="1318">
        <f>GT112-GH112</f>
        <v/>
      </c>
      <c r="GU113" s="1318">
        <f>GU112-GI112</f>
        <v/>
      </c>
      <c r="GV113" s="1318">
        <f>GV112-GJ112</f>
        <v/>
      </c>
      <c r="GW113" s="1318">
        <f>GW112-GK112</f>
        <v/>
      </c>
      <c r="GX113" s="1318">
        <f>GX112-GL112</f>
        <v/>
      </c>
      <c r="GY113" s="1318">
        <f>GY112-GM112</f>
        <v/>
      </c>
      <c r="GZ113" s="1318">
        <f>GZ112-GN112</f>
        <v/>
      </c>
      <c r="HA113" s="1318">
        <f>HA112-GO112</f>
        <v/>
      </c>
      <c r="HB113" s="1318">
        <f>HB112-GP112</f>
        <v/>
      </c>
      <c r="HC113" s="1318">
        <f>HC112-GQ112</f>
        <v/>
      </c>
      <c r="HD113" s="1318">
        <f>HD112-GR112</f>
        <v/>
      </c>
      <c r="HE113" s="1318">
        <f>HE112-GS112</f>
        <v/>
      </c>
      <c r="HF113" s="1318">
        <f>HF112-GT112</f>
        <v/>
      </c>
      <c r="HG113" s="1318">
        <f>HG112-GU112</f>
        <v/>
      </c>
      <c r="HH113" s="1318">
        <f>HH112-GV112</f>
        <v/>
      </c>
      <c r="HI113" s="1318">
        <f>HI112-GW112</f>
        <v/>
      </c>
      <c r="HJ113" s="1318">
        <f>HJ112-GX112</f>
        <v/>
      </c>
      <c r="HK113" s="1318">
        <f>HK112-GY112</f>
        <v/>
      </c>
      <c r="HL113" s="1318">
        <f>HL112-GZ112</f>
        <v/>
      </c>
      <c r="HM113" s="1318">
        <f>HM112-HA112</f>
        <v/>
      </c>
      <c r="HN113" s="1318">
        <f>HN112-HB112</f>
        <v/>
      </c>
      <c r="HO113" s="1318">
        <f>HO112-HC112</f>
        <v/>
      </c>
      <c r="HP113" s="1318">
        <f>HP112-HD112</f>
        <v/>
      </c>
      <c r="HQ113" s="1318">
        <f>HQ112-HE112</f>
        <v/>
      </c>
      <c r="HR113" s="1318">
        <f>HR112-HF112</f>
        <v/>
      </c>
      <c r="HS113" s="1318">
        <f>HS112-HG112</f>
        <v/>
      </c>
      <c r="HT113" s="1318">
        <f>HT112-HH112</f>
        <v/>
      </c>
      <c r="HU113" s="1318">
        <f>HU112-HI112</f>
        <v/>
      </c>
      <c r="HV113" s="1318">
        <f>HV112-HJ112</f>
        <v/>
      </c>
      <c r="HW113" s="1318">
        <f>HW112-HK112</f>
        <v/>
      </c>
      <c r="HX113" s="1318">
        <f>HX112-HL112</f>
        <v/>
      </c>
      <c r="HY113" s="1318">
        <f>HY112-HM112</f>
        <v/>
      </c>
      <c r="HZ113" s="1318">
        <f>HZ112-HN112</f>
        <v/>
      </c>
      <c r="IA113" s="1318">
        <f>IA112-HO112</f>
        <v/>
      </c>
      <c r="IB113" s="1318">
        <f>IB112-HP112</f>
        <v/>
      </c>
      <c r="IC113" s="1318">
        <f>IC112-HQ112</f>
        <v/>
      </c>
      <c r="ID113" s="1318">
        <f>ID112-HR112</f>
        <v/>
      </c>
      <c r="IE113" s="1318">
        <f>IE112-HS112</f>
        <v/>
      </c>
      <c r="IF113" s="1318">
        <f>IF112-HT112</f>
        <v/>
      </c>
      <c r="IG113" s="1318">
        <f>IG112-HU112</f>
        <v/>
      </c>
      <c r="IH113" s="1318">
        <f>IH112-HV112</f>
        <v/>
      </c>
      <c r="II113" s="1318">
        <f>II112-HW112</f>
        <v/>
      </c>
      <c r="IJ113" s="1318">
        <f>IJ112-HX112</f>
        <v/>
      </c>
      <c r="IK113" s="1318">
        <f>IK112-HY112</f>
        <v/>
      </c>
      <c r="IL113" s="1318">
        <f>IL112-HZ112</f>
        <v/>
      </c>
      <c r="IM113" s="1318">
        <f>IM112-IA112</f>
        <v/>
      </c>
      <c r="IN113" s="1318">
        <f>IN112-IB112</f>
        <v/>
      </c>
      <c r="IO113" s="1318">
        <f>IO112-IC112</f>
        <v/>
      </c>
      <c r="IP113" s="1318">
        <f>IP112-ID112</f>
        <v/>
      </c>
      <c r="IQ113" s="1318">
        <f>IQ112-IE112</f>
        <v/>
      </c>
      <c r="IR113" s="1318">
        <f>IR112-IF112</f>
        <v/>
      </c>
      <c r="IS113" s="1318">
        <f>IS112-IG112</f>
        <v/>
      </c>
      <c r="IT113" s="1318">
        <f>IT112-IH112</f>
        <v/>
      </c>
      <c r="IU113" s="1318">
        <f>IU112-II112</f>
        <v/>
      </c>
      <c r="IV113" s="1318">
        <f>IV112-IJ112</f>
        <v/>
      </c>
      <c r="IW113" s="1318">
        <f>IW112-IK112</f>
        <v/>
      </c>
      <c r="IX113" s="1318">
        <f>IX112-IL112</f>
        <v/>
      </c>
      <c r="IY113" s="1318">
        <f>IY112-IM112</f>
        <v/>
      </c>
      <c r="IZ113" s="1318">
        <f>IZ112-IN112</f>
        <v/>
      </c>
      <c r="JA113" s="1318">
        <f>JA112-IO112</f>
        <v/>
      </c>
      <c r="JB113" s="1318">
        <f>JB112-IP112</f>
        <v/>
      </c>
      <c r="JC113" s="1318">
        <f>JC112-IQ112</f>
        <v/>
      </c>
      <c r="JD113" s="1318">
        <f>JD112-IR112</f>
        <v/>
      </c>
      <c r="JE113" s="1318">
        <f>JE112-IS112</f>
        <v/>
      </c>
      <c r="JF113" s="1318">
        <f>JF112-IT112</f>
        <v/>
      </c>
      <c r="JG113" s="1318">
        <f>JG112-IU112</f>
        <v/>
      </c>
      <c r="JH113" s="1318">
        <f>JH112-IV112</f>
        <v/>
      </c>
      <c r="JI113" s="1318">
        <f>JI112-IW112</f>
        <v/>
      </c>
      <c r="JJ113" s="1318">
        <f>JJ112-IX112</f>
        <v/>
      </c>
      <c r="JK113" s="1318">
        <f>JK112-IY112</f>
        <v/>
      </c>
      <c r="JL113" s="1318">
        <f>JL112-IZ112</f>
        <v/>
      </c>
      <c r="JM113" s="1318">
        <f>JM112-JA112</f>
        <v/>
      </c>
      <c r="JN113" s="1318">
        <f>JN112-JB112</f>
        <v/>
      </c>
      <c r="JO113" s="1318">
        <f>JO112-JC112</f>
        <v/>
      </c>
      <c r="JP113" s="1318">
        <f>JP112-JD112</f>
        <v/>
      </c>
      <c r="JQ113" s="1318">
        <f>JQ112-JE112</f>
        <v/>
      </c>
      <c r="JR113" s="1318">
        <f>JR112-JF112</f>
        <v/>
      </c>
      <c r="JS113" s="1318">
        <f>JS112-JG112</f>
        <v/>
      </c>
      <c r="JT113" s="1318">
        <f>JT112-JH112</f>
        <v/>
      </c>
      <c r="JU113" s="1318">
        <f>JU112-JI112</f>
        <v/>
      </c>
      <c r="JV113" s="1318">
        <f>JV112-JJ112</f>
        <v/>
      </c>
      <c r="JW113" s="1318">
        <f>JW112-JK112</f>
        <v/>
      </c>
      <c r="JX113" s="1318">
        <f>JX112-JL112</f>
        <v/>
      </c>
      <c r="JY113" s="1318">
        <f>JY112-JM112</f>
        <v/>
      </c>
      <c r="JZ113" s="1318">
        <f>JZ112-JN112</f>
        <v/>
      </c>
      <c r="KA113" s="1318">
        <f>KA112-JO112</f>
        <v/>
      </c>
      <c r="KB113" s="1318">
        <f>KB112-JP112</f>
        <v/>
      </c>
      <c r="KC113" s="1318">
        <f>KC112-JQ112</f>
        <v/>
      </c>
      <c r="KD113" s="1318">
        <f>KD112-JR112</f>
        <v/>
      </c>
      <c r="KE113" s="1318">
        <f>KE112-JS112</f>
        <v/>
      </c>
      <c r="KF113" s="1318">
        <f>KF112-JT112</f>
        <v/>
      </c>
      <c r="KG113" s="1318">
        <f>KG112-JU112</f>
        <v/>
      </c>
      <c r="KH113" s="1318">
        <f>KH112-JV112</f>
        <v/>
      </c>
      <c r="KI113" s="1318">
        <f>KI112-JW112</f>
        <v/>
      </c>
      <c r="KJ113" s="1318">
        <f>KJ112-JX112</f>
        <v/>
      </c>
      <c r="KK113" s="1318">
        <f>KK112-JY112</f>
        <v/>
      </c>
      <c r="KL113" s="1318">
        <f>KL112-JZ112</f>
        <v/>
      </c>
      <c r="KM113" s="1318">
        <f>KM112-KA112</f>
        <v/>
      </c>
      <c r="KN113" s="1318">
        <f>KN112-KB112</f>
        <v/>
      </c>
      <c r="KO113" s="1318">
        <f>KO112-KC112</f>
        <v/>
      </c>
      <c r="KP113" s="1318">
        <f>KP112-KD112</f>
        <v/>
      </c>
      <c r="KQ113" s="1318">
        <f>KQ112-KE112</f>
        <v/>
      </c>
      <c r="KR113" s="1318">
        <f>KR112-KF112</f>
        <v/>
      </c>
      <c r="KS113" s="1318">
        <f>KS112-KG112</f>
        <v/>
      </c>
      <c r="KT113" s="1318">
        <f>KT112-KH112</f>
        <v/>
      </c>
      <c r="KU113" s="1318">
        <f>KU112-KI112</f>
        <v/>
      </c>
      <c r="KV113" s="1318">
        <f>KV112-KJ112</f>
        <v/>
      </c>
      <c r="KW113" s="1318">
        <f>KW112-KK112</f>
        <v/>
      </c>
      <c r="KX113" s="1318">
        <f>KX112-KL112</f>
        <v/>
      </c>
      <c r="KY113" s="1318">
        <f>KY112-KM112</f>
        <v/>
      </c>
      <c r="KZ113" s="1318">
        <f>KZ112-KN112</f>
        <v/>
      </c>
      <c r="LA113" s="1318">
        <f>LA112-KO112</f>
        <v/>
      </c>
      <c r="LB113" s="1318" t="n"/>
      <c r="LC113" s="1318" t="n"/>
      <c r="LD113" s="1318" t="n"/>
      <c r="LE113" s="1318" t="n"/>
      <c r="LF113" s="1318" t="n"/>
      <c r="LG113" s="1318" t="n"/>
      <c r="LH113" s="1318" t="n"/>
      <c r="LI113" s="1318" t="n"/>
      <c r="LJ113" s="1318" t="n"/>
      <c r="LK113" s="1318" t="n"/>
      <c r="LL113" s="1318" t="n"/>
      <c r="LM113" s="1318" t="n"/>
      <c r="LN113" s="1318" t="n"/>
      <c r="LO113" s="1318" t="n"/>
      <c r="LP113" s="1318" t="n"/>
      <c r="LQ113" s="1318" t="n"/>
      <c r="LR113" s="1318" t="n"/>
      <c r="LS113" s="1318" t="n"/>
    </row>
    <row r="114" ht="15" customHeight="1" s="239">
      <c r="A114" s="1341" t="inlineStr">
        <is>
          <t>Nth Asia</t>
        </is>
      </c>
      <c r="B114" s="1342">
        <f>B62/B26</f>
        <v/>
      </c>
      <c r="C114" s="1342">
        <f>C62/C26</f>
        <v/>
      </c>
      <c r="D114" s="1342">
        <f>D62/D26</f>
        <v/>
      </c>
      <c r="E114" s="1342">
        <f>E62/E26</f>
        <v/>
      </c>
      <c r="F114" s="1342">
        <f>F62/F26</f>
        <v/>
      </c>
      <c r="G114" s="1342">
        <f>G62/G26</f>
        <v/>
      </c>
      <c r="H114" s="1342">
        <f>H62/H26</f>
        <v/>
      </c>
      <c r="I114" s="1342">
        <f>I62/I26</f>
        <v/>
      </c>
      <c r="J114" s="1342">
        <f>J62/J26</f>
        <v/>
      </c>
      <c r="K114" s="1342">
        <f>K62/K26</f>
        <v/>
      </c>
      <c r="L114" s="1342">
        <f>L62/L26</f>
        <v/>
      </c>
      <c r="M114" s="1342">
        <f>M62/M26</f>
        <v/>
      </c>
      <c r="N114" s="1342">
        <f>N62/N26</f>
        <v/>
      </c>
      <c r="O114" s="1342">
        <f>O62/O26</f>
        <v/>
      </c>
      <c r="P114" s="1342">
        <f>P62/P26</f>
        <v/>
      </c>
      <c r="Q114" s="1342">
        <f>Q62/Q26</f>
        <v/>
      </c>
      <c r="R114" s="1342">
        <f>R62/R26</f>
        <v/>
      </c>
      <c r="S114" s="1342">
        <f>S62/S26</f>
        <v/>
      </c>
      <c r="T114" s="1342">
        <f>T62/T26</f>
        <v/>
      </c>
      <c r="U114" s="1342">
        <f>U62/U26</f>
        <v/>
      </c>
      <c r="V114" s="1342">
        <f>V62/V26</f>
        <v/>
      </c>
      <c r="W114" s="1342">
        <f>W62/W26</f>
        <v/>
      </c>
      <c r="X114" s="1342">
        <f>X62/X26</f>
        <v/>
      </c>
      <c r="Y114" s="1342">
        <f>Y62/Y26</f>
        <v/>
      </c>
      <c r="Z114" s="1342">
        <f>Z62/Z26</f>
        <v/>
      </c>
      <c r="AA114" s="1342">
        <f>AA62/AA26</f>
        <v/>
      </c>
      <c r="AB114" s="1342">
        <f>AB62/AB26</f>
        <v/>
      </c>
      <c r="AC114" s="1342">
        <f>AC62/AC26</f>
        <v/>
      </c>
      <c r="AD114" s="1342">
        <f>AD62/AD26</f>
        <v/>
      </c>
      <c r="AE114" s="1342">
        <f>AE62/AE26</f>
        <v/>
      </c>
      <c r="AF114" s="1342">
        <f>AF62/AF26</f>
        <v/>
      </c>
      <c r="AG114" s="1342">
        <f>AG62/AG26</f>
        <v/>
      </c>
      <c r="AH114" s="1342">
        <f>AH62/AH26</f>
        <v/>
      </c>
      <c r="AI114" s="1342">
        <f>AI62/AI26</f>
        <v/>
      </c>
      <c r="AJ114" s="1342">
        <f>AJ62/AJ26</f>
        <v/>
      </c>
      <c r="AK114" s="1342">
        <f>AK62/AK26</f>
        <v/>
      </c>
      <c r="AL114" s="1342">
        <f>AL62/AL26</f>
        <v/>
      </c>
      <c r="AM114" s="1342">
        <f>AM62/AM26</f>
        <v/>
      </c>
      <c r="AN114" s="1342">
        <f>AN62/AN26</f>
        <v/>
      </c>
      <c r="AO114" s="1342">
        <f>AO62/AO26</f>
        <v/>
      </c>
      <c r="AP114" s="1342">
        <f>AP62/AP26</f>
        <v/>
      </c>
      <c r="AQ114" s="1342">
        <f>AQ62/AQ26</f>
        <v/>
      </c>
      <c r="AR114" s="1342">
        <f>AR62/AR26</f>
        <v/>
      </c>
      <c r="AS114" s="1342">
        <f>AS62/AS26</f>
        <v/>
      </c>
      <c r="AT114" s="1342">
        <f>AT62/AT26</f>
        <v/>
      </c>
      <c r="AU114" s="1342">
        <f>AU62/AU26</f>
        <v/>
      </c>
      <c r="AV114" s="1342">
        <f>AV62/AV26</f>
        <v/>
      </c>
      <c r="AW114" s="1342">
        <f>AW62/AW26</f>
        <v/>
      </c>
      <c r="AX114" s="1342">
        <f>AX62/AX26</f>
        <v/>
      </c>
      <c r="AY114" s="1342">
        <f>AY62/AY26</f>
        <v/>
      </c>
      <c r="AZ114" s="1342">
        <f>AZ62/AZ26</f>
        <v/>
      </c>
      <c r="BA114" s="1342">
        <f>BA62/BA26</f>
        <v/>
      </c>
      <c r="BB114" s="1342">
        <f>BB62/BB26</f>
        <v/>
      </c>
      <c r="BC114" s="1342">
        <f>BC62/BC26</f>
        <v/>
      </c>
      <c r="BD114" s="1342">
        <f>BD62/BD26</f>
        <v/>
      </c>
      <c r="BE114" s="1342">
        <f>BE62/BE26</f>
        <v/>
      </c>
      <c r="BF114" s="1342">
        <f>BF62/BF26</f>
        <v/>
      </c>
      <c r="BG114" s="1342">
        <f>BG62/BG26</f>
        <v/>
      </c>
      <c r="BH114" s="1342">
        <f>BH62/BH26</f>
        <v/>
      </c>
      <c r="BI114" s="1342">
        <f>BI62/BI26</f>
        <v/>
      </c>
      <c r="BJ114" s="1342">
        <f>BJ62/BJ26</f>
        <v/>
      </c>
      <c r="BK114" s="1342">
        <f>BK62/BK26</f>
        <v/>
      </c>
      <c r="BL114" s="1342">
        <f>BL62/BL26</f>
        <v/>
      </c>
      <c r="BM114" s="1342">
        <f>BM62/BM26</f>
        <v/>
      </c>
      <c r="BN114" s="1342">
        <f>BN62/BN26</f>
        <v/>
      </c>
      <c r="BO114" s="1342">
        <f>BO62/BO26</f>
        <v/>
      </c>
      <c r="BP114" s="1342">
        <f>BP62/BP26</f>
        <v/>
      </c>
      <c r="BQ114" s="1342">
        <f>BQ62/BQ26</f>
        <v/>
      </c>
      <c r="BR114" s="1342">
        <f>BR62/BR26</f>
        <v/>
      </c>
      <c r="BS114" s="1342">
        <f>BS62/BS26</f>
        <v/>
      </c>
      <c r="BT114" s="1342">
        <f>BT62/BT26</f>
        <v/>
      </c>
      <c r="BU114" s="1342">
        <f>BU62/BU26</f>
        <v/>
      </c>
      <c r="BV114" s="1342">
        <f>BV62/BV26</f>
        <v/>
      </c>
      <c r="BW114" s="1342">
        <f>BW62/BW26</f>
        <v/>
      </c>
      <c r="BX114" s="1342">
        <f>BX62/BX26</f>
        <v/>
      </c>
      <c r="BY114" s="1342">
        <f>BY62/BY26</f>
        <v/>
      </c>
      <c r="BZ114" s="1342">
        <f>BZ62/BZ26</f>
        <v/>
      </c>
      <c r="CA114" s="1342">
        <f>CA62/CA26</f>
        <v/>
      </c>
      <c r="CB114" s="1342">
        <f>CB62/CB26</f>
        <v/>
      </c>
      <c r="CC114" s="1342">
        <f>CC62/CC26</f>
        <v/>
      </c>
      <c r="CD114" s="1342">
        <f>CD62/CD26</f>
        <v/>
      </c>
      <c r="CE114" s="1342">
        <f>CE62/CE26</f>
        <v/>
      </c>
      <c r="CF114" s="1342">
        <f>CF62/CF26</f>
        <v/>
      </c>
      <c r="CG114" s="1342">
        <f>CG62/CG26</f>
        <v/>
      </c>
      <c r="CH114" s="1342">
        <f>CH62/CH26</f>
        <v/>
      </c>
      <c r="CI114" s="1342">
        <f>CI62/CI26</f>
        <v/>
      </c>
      <c r="CJ114" s="1342">
        <f>CJ62/CJ26</f>
        <v/>
      </c>
      <c r="CK114" s="1342">
        <f>CK62/CK26</f>
        <v/>
      </c>
      <c r="CL114" s="1342">
        <f>CL62/CL26</f>
        <v/>
      </c>
      <c r="CM114" s="1342">
        <f>CM62/CM26</f>
        <v/>
      </c>
      <c r="CN114" s="1342">
        <f>CN62/CN26</f>
        <v/>
      </c>
      <c r="CO114" s="1342">
        <f>CO62/CO26</f>
        <v/>
      </c>
      <c r="CP114" s="1342">
        <f>CP62/CP26</f>
        <v/>
      </c>
      <c r="CQ114" s="1342">
        <f>CQ62/CQ26</f>
        <v/>
      </c>
      <c r="CR114" s="1342">
        <f>CR62/CR26</f>
        <v/>
      </c>
      <c r="CS114" s="1342">
        <f>CS62/CS26</f>
        <v/>
      </c>
      <c r="CT114" s="1342">
        <f>CT62/CT26</f>
        <v/>
      </c>
      <c r="CU114" s="1342">
        <f>CU62/CU26</f>
        <v/>
      </c>
      <c r="CV114" s="1342">
        <f>CV62/CV26</f>
        <v/>
      </c>
      <c r="CW114" s="1342">
        <f>CW62/CW26</f>
        <v/>
      </c>
      <c r="CX114" s="1342">
        <f>CX62/CX26</f>
        <v/>
      </c>
      <c r="CY114" s="1342">
        <f>CY62/CY26</f>
        <v/>
      </c>
      <c r="CZ114" s="1342">
        <f>CZ62/CZ26</f>
        <v/>
      </c>
      <c r="DA114" s="1342">
        <f>DA62/DA26</f>
        <v/>
      </c>
      <c r="DB114" s="1342">
        <f>DB62/DB26</f>
        <v/>
      </c>
      <c r="DC114" s="1342">
        <f>DC62/DC26</f>
        <v/>
      </c>
      <c r="DD114" s="1342">
        <f>DD62/DD26</f>
        <v/>
      </c>
      <c r="DE114" s="1342">
        <f>DE62/DE26</f>
        <v/>
      </c>
      <c r="DF114" s="1342">
        <f>DF62/DF26</f>
        <v/>
      </c>
      <c r="DG114" s="1342">
        <f>DG62/DG26</f>
        <v/>
      </c>
      <c r="DH114" s="1342">
        <f>DH62/DH26</f>
        <v/>
      </c>
      <c r="DI114" s="1342">
        <f>DI62/DI26</f>
        <v/>
      </c>
      <c r="DJ114" s="1342">
        <f>DJ62/DJ26</f>
        <v/>
      </c>
      <c r="DK114" s="1342">
        <f>DK62/DK26</f>
        <v/>
      </c>
      <c r="DL114" s="1342">
        <f>DL62/DL26</f>
        <v/>
      </c>
      <c r="DM114" s="1342">
        <f>DM62/DM26</f>
        <v/>
      </c>
      <c r="DN114" s="1342">
        <f>DN62/DN26</f>
        <v/>
      </c>
      <c r="DO114" s="1342">
        <f>DO62/DO26</f>
        <v/>
      </c>
      <c r="DP114" s="1342">
        <f>DP62/DP26</f>
        <v/>
      </c>
      <c r="DQ114" s="1342">
        <f>DQ62/DQ26</f>
        <v/>
      </c>
      <c r="DR114" s="1342">
        <f>DR62/DR26</f>
        <v/>
      </c>
      <c r="DS114" s="1342">
        <f>DS62/DS26</f>
        <v/>
      </c>
      <c r="DT114" s="1342">
        <f>DT62/DT26</f>
        <v/>
      </c>
      <c r="DU114" s="1342">
        <f>DU62/DU26</f>
        <v/>
      </c>
      <c r="DV114" s="1342">
        <f>DV62/DV26</f>
        <v/>
      </c>
      <c r="DW114" s="1342">
        <f>DW62/DW26</f>
        <v/>
      </c>
      <c r="DX114" s="1342">
        <f>DX62/DX26</f>
        <v/>
      </c>
      <c r="DY114" s="1342">
        <f>DY62/DY26</f>
        <v/>
      </c>
      <c r="DZ114" s="1342">
        <f>DZ62/DZ26</f>
        <v/>
      </c>
      <c r="EA114" s="1342">
        <f>EA62/EA26</f>
        <v/>
      </c>
      <c r="EB114" s="1342">
        <f>EB62/EB26</f>
        <v/>
      </c>
      <c r="EC114" s="1342">
        <f>EC62/EC26</f>
        <v/>
      </c>
      <c r="ED114" s="1342">
        <f>ED62/ED26</f>
        <v/>
      </c>
      <c r="EE114" s="1342">
        <f>EE62/EE26</f>
        <v/>
      </c>
      <c r="EF114" s="1342">
        <f>EF62/EF26</f>
        <v/>
      </c>
      <c r="EG114" s="1342">
        <f>EG62/EG26</f>
        <v/>
      </c>
      <c r="EH114" s="1342">
        <f>EH62/EH26</f>
        <v/>
      </c>
      <c r="EI114" s="1342">
        <f>EI62/EI26</f>
        <v/>
      </c>
      <c r="EJ114" s="1342">
        <f>EJ62/EJ26</f>
        <v/>
      </c>
      <c r="EK114" s="1342">
        <f>EK62/EK26</f>
        <v/>
      </c>
      <c r="EL114" s="1342">
        <f>EL62/EL26</f>
        <v/>
      </c>
      <c r="EM114" s="1342">
        <f>EM62/EM26</f>
        <v/>
      </c>
      <c r="EN114" s="1342">
        <f>EN62/EN26</f>
        <v/>
      </c>
      <c r="EO114" s="1342">
        <f>EO62/EO26</f>
        <v/>
      </c>
      <c r="EP114" s="1342">
        <f>EP62/EP26</f>
        <v/>
      </c>
      <c r="EQ114" s="1342">
        <f>EQ62/EQ26</f>
        <v/>
      </c>
      <c r="ER114" s="1342">
        <f>ER62/ER26</f>
        <v/>
      </c>
      <c r="ES114" s="1342">
        <f>ES62/ES26</f>
        <v/>
      </c>
      <c r="ET114" s="1342">
        <f>ET62/ET26</f>
        <v/>
      </c>
      <c r="EU114" s="1342">
        <f>EU62/EU26</f>
        <v/>
      </c>
      <c r="EV114" s="1342">
        <f>EV62/EV26</f>
        <v/>
      </c>
      <c r="EW114" s="1342">
        <f>EW62/EW26</f>
        <v/>
      </c>
      <c r="EX114" s="1342">
        <f>EX62/EX26</f>
        <v/>
      </c>
      <c r="EY114" s="1342">
        <f>EY62/EY26</f>
        <v/>
      </c>
      <c r="EZ114" s="1342">
        <f>EZ62/EZ26</f>
        <v/>
      </c>
      <c r="FA114" s="1342">
        <f>FA62/FA26</f>
        <v/>
      </c>
      <c r="FB114" s="1342">
        <f>FB62/FB26</f>
        <v/>
      </c>
      <c r="FC114" s="1342">
        <f>FC62/FC26</f>
        <v/>
      </c>
      <c r="FD114" s="1342">
        <f>FD62/FD26</f>
        <v/>
      </c>
      <c r="FE114" s="1342">
        <f>FE62/FE26</f>
        <v/>
      </c>
      <c r="FF114" s="1342">
        <f>FF62/FF26</f>
        <v/>
      </c>
      <c r="FG114" s="1342">
        <f>FG62/FG26</f>
        <v/>
      </c>
      <c r="FH114" s="1342">
        <f>FH62/FH26</f>
        <v/>
      </c>
      <c r="FI114" s="1342">
        <f>FI62/FI26</f>
        <v/>
      </c>
      <c r="FJ114" s="1342">
        <f>FJ62/FJ26</f>
        <v/>
      </c>
      <c r="FK114" s="1342">
        <f>FK62/FK26</f>
        <v/>
      </c>
      <c r="FL114" s="1342">
        <f>FL62/FL26</f>
        <v/>
      </c>
      <c r="FM114" s="1342">
        <f>FM62/FM26</f>
        <v/>
      </c>
      <c r="FN114" s="1342">
        <f>FN62/FN26</f>
        <v/>
      </c>
      <c r="FO114" s="1342">
        <f>FO62/FO26</f>
        <v/>
      </c>
      <c r="FP114" s="1342">
        <f>FP62/FP26</f>
        <v/>
      </c>
      <c r="FQ114" s="1342">
        <f>FQ62/FQ26</f>
        <v/>
      </c>
      <c r="FR114" s="1342">
        <f>FR62/FR26</f>
        <v/>
      </c>
      <c r="FS114" s="1342">
        <f>FS62/FS26</f>
        <v/>
      </c>
      <c r="FT114" s="1342">
        <f>FT62/FT26</f>
        <v/>
      </c>
      <c r="FU114" s="1342">
        <f>FU62/FU26</f>
        <v/>
      </c>
      <c r="FV114" s="1342">
        <f>FV62/FV26</f>
        <v/>
      </c>
      <c r="FW114" s="1342">
        <f>FW62/FW26</f>
        <v/>
      </c>
      <c r="FX114" s="1342">
        <f>FX62/FX26</f>
        <v/>
      </c>
      <c r="FY114" s="1342">
        <f>FY62/FY26</f>
        <v/>
      </c>
      <c r="FZ114" s="1342">
        <f>FZ62/FZ26</f>
        <v/>
      </c>
      <c r="GA114" s="1342">
        <f>GA62/GA26</f>
        <v/>
      </c>
      <c r="GB114" s="1342">
        <f>GB62/GB26</f>
        <v/>
      </c>
      <c r="GC114" s="1342">
        <f>GC62/GC26</f>
        <v/>
      </c>
      <c r="GD114" s="1342">
        <f>GD62/GD26</f>
        <v/>
      </c>
      <c r="GE114" s="1342">
        <f>GE62/GE26</f>
        <v/>
      </c>
      <c r="GF114" s="1342">
        <f>GF62/GF26</f>
        <v/>
      </c>
      <c r="GG114" s="1342">
        <f>GG62/GG26</f>
        <v/>
      </c>
      <c r="GH114" s="1342">
        <f>GH62/GH26</f>
        <v/>
      </c>
      <c r="GI114" s="1342">
        <f>GI62/GI26</f>
        <v/>
      </c>
      <c r="GJ114" s="1342">
        <f>GJ62/GJ26</f>
        <v/>
      </c>
      <c r="GK114" s="1342">
        <f>GK62/GK26</f>
        <v/>
      </c>
      <c r="GL114" s="1342">
        <f>GL62/GL26</f>
        <v/>
      </c>
      <c r="GM114" s="1342">
        <f>GM62/GM26</f>
        <v/>
      </c>
      <c r="GN114" s="1342">
        <f>GN62/GN26</f>
        <v/>
      </c>
      <c r="GO114" s="1342">
        <f>GO62/GO26</f>
        <v/>
      </c>
      <c r="GP114" s="1342">
        <f>GP62/GP26</f>
        <v/>
      </c>
      <c r="GQ114" s="1342">
        <f>GQ62/GQ26</f>
        <v/>
      </c>
      <c r="GR114" s="1342">
        <f>GR62/GR26</f>
        <v/>
      </c>
      <c r="GS114" s="1342">
        <f>GS62/GS26</f>
        <v/>
      </c>
      <c r="GT114" s="1342">
        <f>GT62/GT26</f>
        <v/>
      </c>
      <c r="GU114" s="1342">
        <f>GU62/GU26</f>
        <v/>
      </c>
      <c r="GV114" s="1342">
        <f>GV62/GV26</f>
        <v/>
      </c>
      <c r="GW114" s="1342">
        <f>GW62/GW26</f>
        <v/>
      </c>
      <c r="GX114" s="1342">
        <f>GX62/GX26</f>
        <v/>
      </c>
      <c r="GY114" s="1342">
        <f>GY62/GY26</f>
        <v/>
      </c>
      <c r="GZ114" s="1342">
        <f>GZ62/GZ26</f>
        <v/>
      </c>
      <c r="HA114" s="1342">
        <f>HA62/HA26</f>
        <v/>
      </c>
      <c r="HB114" s="1342">
        <f>HB62/HB26</f>
        <v/>
      </c>
      <c r="HC114" s="1342">
        <f>HC62/HC26</f>
        <v/>
      </c>
      <c r="HD114" s="1342">
        <f>HD62/HD26</f>
        <v/>
      </c>
      <c r="HE114" s="1342">
        <f>HE62/HE26</f>
        <v/>
      </c>
      <c r="HF114" s="1342">
        <f>HF62/HF26</f>
        <v/>
      </c>
      <c r="HG114" s="1342">
        <f>HG62/HG26</f>
        <v/>
      </c>
      <c r="HH114" s="1342">
        <f>HH62/HH26</f>
        <v/>
      </c>
      <c r="HI114" s="1342">
        <f>HI62/HI26</f>
        <v/>
      </c>
      <c r="HJ114" s="1342">
        <f>HJ62/HJ26</f>
        <v/>
      </c>
      <c r="HK114" s="1342">
        <f>HK62/HK26</f>
        <v/>
      </c>
      <c r="HL114" s="1342">
        <f>HL62/HL26</f>
        <v/>
      </c>
      <c r="HM114" s="1342">
        <f>HM62/HM26</f>
        <v/>
      </c>
      <c r="HN114" s="1342">
        <f>HN62/HN26</f>
        <v/>
      </c>
      <c r="HO114" s="1342">
        <f>HO62/HO26</f>
        <v/>
      </c>
      <c r="HP114" s="1342">
        <f>HP62/HP26</f>
        <v/>
      </c>
      <c r="HQ114" s="1342">
        <f>HQ62/HQ26</f>
        <v/>
      </c>
      <c r="HR114" s="1342">
        <f>HR62/HR26</f>
        <v/>
      </c>
      <c r="HS114" s="1342">
        <f>HS62/HS26</f>
        <v/>
      </c>
      <c r="HT114" s="1342">
        <f>HT62/HT26</f>
        <v/>
      </c>
      <c r="HU114" s="1342">
        <f>HU62/HU26</f>
        <v/>
      </c>
      <c r="HV114" s="1342">
        <f>HV62/HV26</f>
        <v/>
      </c>
      <c r="HW114" s="1342">
        <f>HW62/HW26</f>
        <v/>
      </c>
      <c r="HX114" s="1342">
        <f>HX62/HX26</f>
        <v/>
      </c>
      <c r="HY114" s="1342">
        <f>HY62/HY26</f>
        <v/>
      </c>
      <c r="HZ114" s="1342">
        <f>HZ62/HZ26</f>
        <v/>
      </c>
      <c r="IA114" s="1342">
        <f>IA62/IA26</f>
        <v/>
      </c>
      <c r="IB114" s="1342">
        <f>IB62/IB26</f>
        <v/>
      </c>
      <c r="IC114" s="1342">
        <f>IC62/IC26</f>
        <v/>
      </c>
      <c r="ID114" s="1342">
        <f>ID62/ID26</f>
        <v/>
      </c>
      <c r="IE114" s="1342">
        <f>IE62/IE26</f>
        <v/>
      </c>
      <c r="IF114" s="1342">
        <f>IF62/IF26</f>
        <v/>
      </c>
      <c r="IG114" s="1342">
        <f>IG62/IG26</f>
        <v/>
      </c>
      <c r="IH114" s="1342">
        <f>IH62/IH26</f>
        <v/>
      </c>
      <c r="II114" s="1342">
        <f>II62/II26</f>
        <v/>
      </c>
      <c r="IJ114" s="1342">
        <f>IJ62/IJ26</f>
        <v/>
      </c>
      <c r="IK114" s="1342">
        <f>IK62/IK26</f>
        <v/>
      </c>
      <c r="IL114" s="1342">
        <f>IL62/IL26</f>
        <v/>
      </c>
      <c r="IM114" s="1342">
        <f>IM62/IM26</f>
        <v/>
      </c>
      <c r="IN114" s="1342">
        <f>IN62/IN26</f>
        <v/>
      </c>
      <c r="IO114" s="1342">
        <f>IO62/IO26</f>
        <v/>
      </c>
      <c r="IP114" s="1342">
        <f>IP62/IP26</f>
        <v/>
      </c>
      <c r="IQ114" s="1342">
        <f>IQ62/IQ26</f>
        <v/>
      </c>
      <c r="IR114" s="1342">
        <f>IR62/IR26</f>
        <v/>
      </c>
      <c r="IS114" s="1342">
        <f>IS62/IS26</f>
        <v/>
      </c>
      <c r="IT114" s="1342">
        <f>IT62/IT26</f>
        <v/>
      </c>
      <c r="IU114" s="1342">
        <f>IU62/IU26</f>
        <v/>
      </c>
      <c r="IV114" s="1342">
        <f>IV62/IV26</f>
        <v/>
      </c>
      <c r="IW114" s="1342">
        <f>IW62/IW26</f>
        <v/>
      </c>
      <c r="IX114" s="1342">
        <f>IX62/IX26</f>
        <v/>
      </c>
      <c r="IY114" s="1342">
        <f>IY62/IY26</f>
        <v/>
      </c>
      <c r="IZ114" s="1342">
        <f>IZ62/IZ26</f>
        <v/>
      </c>
      <c r="JA114" s="1342">
        <f>JA62/JA26</f>
        <v/>
      </c>
      <c r="JB114" s="1342">
        <f>JB62/JB26</f>
        <v/>
      </c>
      <c r="JC114" s="1342">
        <f>JC62/JC26</f>
        <v/>
      </c>
      <c r="JD114" s="1342">
        <f>JD62/JD26</f>
        <v/>
      </c>
      <c r="JE114" s="1342">
        <f>JE62/JE26</f>
        <v/>
      </c>
      <c r="JF114" s="1342">
        <f>JF62/JF26</f>
        <v/>
      </c>
      <c r="JG114" s="1342">
        <f>JG62/JG26</f>
        <v/>
      </c>
      <c r="JH114" s="1342">
        <f>JH62/JH26</f>
        <v/>
      </c>
      <c r="JI114" s="1342">
        <f>JI62/JI26</f>
        <v/>
      </c>
      <c r="JJ114" s="1342">
        <f>JJ62/JJ26</f>
        <v/>
      </c>
      <c r="JK114" s="1342">
        <f>JK62/JK26</f>
        <v/>
      </c>
      <c r="JL114" s="1342">
        <f>JL62/JL26</f>
        <v/>
      </c>
      <c r="JM114" s="1342">
        <f>JM62/JM26</f>
        <v/>
      </c>
      <c r="JN114" s="1342">
        <f>JN62/JN26</f>
        <v/>
      </c>
      <c r="JO114" s="1342">
        <f>JO62/JO26</f>
        <v/>
      </c>
      <c r="JP114" s="1342">
        <f>JP62/JP26</f>
        <v/>
      </c>
      <c r="JQ114" s="1342">
        <f>JQ62/JQ26</f>
        <v/>
      </c>
      <c r="JR114" s="1342">
        <f>JR62/JR26</f>
        <v/>
      </c>
      <c r="JS114" s="1342">
        <f>JS62/JS26</f>
        <v/>
      </c>
      <c r="JT114" s="1342">
        <f>JT62/JT26</f>
        <v/>
      </c>
      <c r="JU114" s="1342">
        <f>JU62/JU26</f>
        <v/>
      </c>
      <c r="JV114" s="1342">
        <f>JV62/JV26</f>
        <v/>
      </c>
      <c r="JW114" s="1342">
        <f>JW62/JW26</f>
        <v/>
      </c>
      <c r="JX114" s="1342">
        <f>JX62/JX26</f>
        <v/>
      </c>
      <c r="JY114" s="1342">
        <f>JY62/JY26</f>
        <v/>
      </c>
      <c r="JZ114" s="1342">
        <f>JZ62/JZ26</f>
        <v/>
      </c>
      <c r="KA114" s="1342">
        <f>KA62/KA26</f>
        <v/>
      </c>
      <c r="KB114" s="1342">
        <f>KB62/KB26</f>
        <v/>
      </c>
      <c r="KC114" s="1342">
        <f>KC62/KC26</f>
        <v/>
      </c>
      <c r="KD114" s="1342">
        <f>KD62/KD26</f>
        <v/>
      </c>
      <c r="KE114" s="1342">
        <f>KE62/KE26</f>
        <v/>
      </c>
      <c r="KF114" s="1342">
        <f>KF62/KF26</f>
        <v/>
      </c>
      <c r="KG114" s="1342">
        <f>KG62/KG26</f>
        <v/>
      </c>
      <c r="KH114" s="1342">
        <f>KH62/KH26</f>
        <v/>
      </c>
      <c r="KI114" s="1342">
        <f>KI62/KI26</f>
        <v/>
      </c>
      <c r="KJ114" s="1342">
        <f>KJ62/KJ26</f>
        <v/>
      </c>
      <c r="KK114" s="1342">
        <f>KK62/KK26</f>
        <v/>
      </c>
      <c r="KL114" s="1342">
        <f>KL62/KL26</f>
        <v/>
      </c>
      <c r="KM114" s="1342">
        <f>KM62/KM26</f>
        <v/>
      </c>
      <c r="KN114" s="1342">
        <f>KN62/KN26</f>
        <v/>
      </c>
      <c r="KO114" s="1342">
        <f>KO62/KO26</f>
        <v/>
      </c>
      <c r="KP114" s="1342">
        <f>KP62/KP26</f>
        <v/>
      </c>
      <c r="KQ114" s="1342">
        <f>KQ62/KQ26</f>
        <v/>
      </c>
      <c r="KR114" s="1342">
        <f>KR62/KR26</f>
        <v/>
      </c>
      <c r="KS114" s="1342">
        <f>KS62/KS26</f>
        <v/>
      </c>
      <c r="KT114" s="1342">
        <f>KT62/KT26</f>
        <v/>
      </c>
      <c r="KU114" s="1342">
        <f>KU62/KU26</f>
        <v/>
      </c>
      <c r="KV114" s="1342">
        <f>KV62/KV26</f>
        <v/>
      </c>
      <c r="KW114" s="1342">
        <f>KW62/KW26</f>
        <v/>
      </c>
      <c r="KX114" s="1342">
        <f>KX62/KX26</f>
        <v/>
      </c>
      <c r="KY114" s="1342">
        <f>KY62/KY26</f>
        <v/>
      </c>
      <c r="KZ114" s="1342">
        <f>KZ62/KZ26</f>
        <v/>
      </c>
      <c r="LA114" s="1342">
        <f>LA62/LA26</f>
        <v/>
      </c>
      <c r="LB114" s="1342" t="n"/>
      <c r="LC114" s="1342" t="n"/>
      <c r="LD114" s="1342" t="n"/>
      <c r="LE114" s="1342" t="n"/>
      <c r="LF114" s="1342" t="n"/>
      <c r="LG114" s="1342" t="n"/>
      <c r="LH114" s="1342" t="n"/>
      <c r="LI114" s="1342" t="n"/>
      <c r="LJ114" s="1342" t="n"/>
      <c r="LK114" s="1342" t="n"/>
      <c r="LL114" s="1342" t="n"/>
      <c r="LM114" s="1342" t="n"/>
      <c r="LN114" s="1342" t="n"/>
      <c r="LO114" s="1342" t="n"/>
      <c r="LP114" s="1342" t="n"/>
      <c r="LQ114" s="1342" t="n"/>
      <c r="LR114" s="1342" t="n"/>
      <c r="LS114" s="1342" t="n"/>
    </row>
    <row r="115">
      <c r="A115" s="885" t="inlineStr">
        <is>
          <t>m cg %</t>
        </is>
      </c>
      <c r="B115" s="1318" t="n"/>
      <c r="C115" s="1318">
        <f>C114-B114</f>
        <v/>
      </c>
      <c r="D115" s="1318">
        <f>D114-C114</f>
        <v/>
      </c>
      <c r="E115" s="1318">
        <f>E114-D114</f>
        <v/>
      </c>
      <c r="F115" s="1318">
        <f>F114-E114</f>
        <v/>
      </c>
      <c r="G115" s="1318">
        <f>G114-F114</f>
        <v/>
      </c>
      <c r="H115" s="1318">
        <f>H114-G114</f>
        <v/>
      </c>
      <c r="I115" s="1318">
        <f>I114-H114</f>
        <v/>
      </c>
      <c r="J115" s="1318">
        <f>J114-I114</f>
        <v/>
      </c>
      <c r="K115" s="1318">
        <f>K114-J114</f>
        <v/>
      </c>
      <c r="L115" s="1318">
        <f>L114-K114</f>
        <v/>
      </c>
      <c r="M115" s="1318">
        <f>M114-L114</f>
        <v/>
      </c>
      <c r="N115" s="1318">
        <f>N114-M114</f>
        <v/>
      </c>
      <c r="O115" s="1318">
        <f>O114-N114</f>
        <v/>
      </c>
      <c r="P115" s="1318">
        <f>P114-O114</f>
        <v/>
      </c>
      <c r="Q115" s="1318">
        <f>Q114-P114</f>
        <v/>
      </c>
      <c r="R115" s="1318">
        <f>R114-Q114</f>
        <v/>
      </c>
      <c r="S115" s="1318">
        <f>S114-R114</f>
        <v/>
      </c>
      <c r="T115" s="1318">
        <f>T114-S114</f>
        <v/>
      </c>
      <c r="U115" s="1318">
        <f>U114-T114</f>
        <v/>
      </c>
      <c r="V115" s="1318">
        <f>V114-U114</f>
        <v/>
      </c>
      <c r="W115" s="1318">
        <f>W114-V114</f>
        <v/>
      </c>
      <c r="X115" s="1318">
        <f>X114-W114</f>
        <v/>
      </c>
      <c r="Y115" s="1318">
        <f>Y114-X114</f>
        <v/>
      </c>
      <c r="Z115" s="1318">
        <f>Z114-Y114</f>
        <v/>
      </c>
      <c r="AA115" s="1318">
        <f>AA114-Z114</f>
        <v/>
      </c>
      <c r="AB115" s="1318">
        <f>AB114-AA114</f>
        <v/>
      </c>
      <c r="AC115" s="1318">
        <f>AC114-AB114</f>
        <v/>
      </c>
      <c r="AD115" s="1318">
        <f>AD114-AC114</f>
        <v/>
      </c>
      <c r="AE115" s="1318">
        <f>AE114-AD114</f>
        <v/>
      </c>
      <c r="AF115" s="1318">
        <f>AF114-AE114</f>
        <v/>
      </c>
      <c r="AG115" s="1318">
        <f>AG114-AF114</f>
        <v/>
      </c>
      <c r="AH115" s="1318">
        <f>AH114-AG114</f>
        <v/>
      </c>
      <c r="AI115" s="1318">
        <f>AI114-AH114</f>
        <v/>
      </c>
      <c r="AJ115" s="1318">
        <f>AJ114-AI114</f>
        <v/>
      </c>
      <c r="AK115" s="1318">
        <f>AK114-AJ114</f>
        <v/>
      </c>
      <c r="AL115" s="1318">
        <f>AL114-AK114</f>
        <v/>
      </c>
      <c r="AM115" s="1318">
        <f>AM114-AL114</f>
        <v/>
      </c>
      <c r="AN115" s="1318">
        <f>AN114-AM114</f>
        <v/>
      </c>
      <c r="AO115" s="1318">
        <f>AO114-AN114</f>
        <v/>
      </c>
      <c r="AP115" s="1318">
        <f>AP114-AO114</f>
        <v/>
      </c>
      <c r="AQ115" s="1318">
        <f>AQ114-AP114</f>
        <v/>
      </c>
      <c r="AR115" s="1318">
        <f>AR114-AQ114</f>
        <v/>
      </c>
      <c r="AS115" s="1318">
        <f>AS114-AR114</f>
        <v/>
      </c>
      <c r="AT115" s="1318">
        <f>AT114-AS114</f>
        <v/>
      </c>
      <c r="AU115" s="1318">
        <f>AU114-AT114</f>
        <v/>
      </c>
      <c r="AV115" s="1318">
        <f>AV114-AU114</f>
        <v/>
      </c>
      <c r="AW115" s="1318">
        <f>AW114-AV114</f>
        <v/>
      </c>
      <c r="AX115" s="1318">
        <f>AX114-AW114</f>
        <v/>
      </c>
      <c r="AY115" s="1318">
        <f>AY114-AX114</f>
        <v/>
      </c>
      <c r="AZ115" s="1318">
        <f>AZ114-AY114</f>
        <v/>
      </c>
      <c r="BA115" s="1318">
        <f>BA114-AZ114</f>
        <v/>
      </c>
      <c r="BB115" s="1318">
        <f>BB114-BA114</f>
        <v/>
      </c>
      <c r="BC115" s="1318">
        <f>BC114-BB114</f>
        <v/>
      </c>
      <c r="BD115" s="1318">
        <f>BD114-BC114</f>
        <v/>
      </c>
      <c r="BE115" s="1318">
        <f>BE114-BD114</f>
        <v/>
      </c>
      <c r="BF115" s="1318">
        <f>BF114-BE114</f>
        <v/>
      </c>
      <c r="BG115" s="1318">
        <f>BG114-BF114</f>
        <v/>
      </c>
      <c r="BH115" s="1318">
        <f>BH114-BG114</f>
        <v/>
      </c>
      <c r="BI115" s="1318">
        <f>BI114-BH114</f>
        <v/>
      </c>
      <c r="BJ115" s="1318">
        <f>BJ114-BI114</f>
        <v/>
      </c>
      <c r="BK115" s="1318">
        <f>BK114-BJ114</f>
        <v/>
      </c>
      <c r="BL115" s="1318">
        <f>BL114-BK114</f>
        <v/>
      </c>
      <c r="BM115" s="1318">
        <f>BM114-BL114</f>
        <v/>
      </c>
      <c r="BN115" s="1318">
        <f>BN114-BM114</f>
        <v/>
      </c>
      <c r="BO115" s="1318">
        <f>BO114-BN114</f>
        <v/>
      </c>
      <c r="BP115" s="1318">
        <f>BP114-BO114</f>
        <v/>
      </c>
      <c r="BQ115" s="1318">
        <f>BQ114-BP114</f>
        <v/>
      </c>
      <c r="BR115" s="1318">
        <f>BR114-BQ114</f>
        <v/>
      </c>
      <c r="BS115" s="1318">
        <f>BS114-BR114</f>
        <v/>
      </c>
      <c r="BT115" s="1318">
        <f>BT114-BS114</f>
        <v/>
      </c>
      <c r="BU115" s="1318">
        <f>BU114-BT114</f>
        <v/>
      </c>
      <c r="BV115" s="1318">
        <f>BV114-BU114</f>
        <v/>
      </c>
      <c r="BW115" s="1318">
        <f>BW114-BV114</f>
        <v/>
      </c>
      <c r="BX115" s="1318">
        <f>BX114-BW114</f>
        <v/>
      </c>
      <c r="BY115" s="1318">
        <f>BY114-BX114</f>
        <v/>
      </c>
      <c r="BZ115" s="1318">
        <f>BZ114-BY114</f>
        <v/>
      </c>
      <c r="CA115" s="1318">
        <f>CA114-BZ114</f>
        <v/>
      </c>
      <c r="CB115" s="1318">
        <f>CB114-CA114</f>
        <v/>
      </c>
      <c r="CC115" s="1318">
        <f>CC114-CB114</f>
        <v/>
      </c>
      <c r="CD115" s="1318">
        <f>CD114-CC114</f>
        <v/>
      </c>
      <c r="CE115" s="1318">
        <f>CE114-CD114</f>
        <v/>
      </c>
      <c r="CF115" s="1318">
        <f>CF114-CE114</f>
        <v/>
      </c>
      <c r="CG115" s="1318">
        <f>CG114-CF114</f>
        <v/>
      </c>
      <c r="CH115" s="1318">
        <f>CH114-CG114</f>
        <v/>
      </c>
      <c r="CI115" s="1318">
        <f>CI114-CH114</f>
        <v/>
      </c>
      <c r="CJ115" s="1318">
        <f>CJ114-CI114</f>
        <v/>
      </c>
      <c r="CK115" s="1318">
        <f>CK114-CJ114</f>
        <v/>
      </c>
      <c r="CL115" s="1318">
        <f>CL114-CK114</f>
        <v/>
      </c>
      <c r="CM115" s="1318">
        <f>CM114-CL114</f>
        <v/>
      </c>
      <c r="CN115" s="1318">
        <f>CN114-CM114</f>
        <v/>
      </c>
      <c r="CO115" s="1318">
        <f>CO114-CN114</f>
        <v/>
      </c>
      <c r="CP115" s="1318">
        <f>CP114-CO114</f>
        <v/>
      </c>
      <c r="CQ115" s="1318">
        <f>CQ114-CP114</f>
        <v/>
      </c>
      <c r="CR115" s="1318">
        <f>CR114-CQ114</f>
        <v/>
      </c>
      <c r="CS115" s="1318">
        <f>CS114-CR114</f>
        <v/>
      </c>
      <c r="CT115" s="1318">
        <f>CT114-CS114</f>
        <v/>
      </c>
      <c r="CU115" s="1318">
        <f>CU114-CT114</f>
        <v/>
      </c>
      <c r="CV115" s="1318">
        <f>CV114-CU114</f>
        <v/>
      </c>
      <c r="CW115" s="1318">
        <f>CW114-CV114</f>
        <v/>
      </c>
      <c r="CX115" s="1318">
        <f>CX114-CW114</f>
        <v/>
      </c>
      <c r="CY115" s="1318">
        <f>CY114-CX114</f>
        <v/>
      </c>
      <c r="CZ115" s="1318">
        <f>CZ114-CY114</f>
        <v/>
      </c>
      <c r="DA115" s="1318">
        <f>DA114-CZ114</f>
        <v/>
      </c>
      <c r="DB115" s="1318">
        <f>DB114-DA114</f>
        <v/>
      </c>
      <c r="DC115" s="1318">
        <f>DC114-DB114</f>
        <v/>
      </c>
      <c r="DD115" s="1318">
        <f>DD114-DC114</f>
        <v/>
      </c>
      <c r="DE115" s="1318">
        <f>DE114-DD114</f>
        <v/>
      </c>
      <c r="DF115" s="1318">
        <f>DF114-DE114</f>
        <v/>
      </c>
      <c r="DG115" s="1318">
        <f>DG114-DF114</f>
        <v/>
      </c>
      <c r="DH115" s="1318">
        <f>DH114-DG114</f>
        <v/>
      </c>
      <c r="DI115" s="1318">
        <f>DI114-DH114</f>
        <v/>
      </c>
      <c r="DJ115" s="1318">
        <f>DJ114-DI114</f>
        <v/>
      </c>
      <c r="DK115" s="1318">
        <f>DK114-DJ114</f>
        <v/>
      </c>
      <c r="DL115" s="1318">
        <f>DL114-DK114</f>
        <v/>
      </c>
      <c r="DM115" s="1318">
        <f>DM114-DL114</f>
        <v/>
      </c>
      <c r="DN115" s="1318">
        <f>DN114-DM114</f>
        <v/>
      </c>
      <c r="DO115" s="1318">
        <f>DO114-DN114</f>
        <v/>
      </c>
      <c r="DP115" s="1318">
        <f>DP114-DO114</f>
        <v/>
      </c>
      <c r="DQ115" s="1318">
        <f>DQ114-DP114</f>
        <v/>
      </c>
      <c r="DR115" s="1318">
        <f>DR114-DQ114</f>
        <v/>
      </c>
      <c r="DS115" s="1318">
        <f>DS114-DR114</f>
        <v/>
      </c>
      <c r="DT115" s="1318">
        <f>DT114-DS114</f>
        <v/>
      </c>
      <c r="DU115" s="1318">
        <f>DU114-DT114</f>
        <v/>
      </c>
      <c r="DV115" s="1318">
        <f>DV114-DU114</f>
        <v/>
      </c>
      <c r="DW115" s="1318">
        <f>DW114-DV114</f>
        <v/>
      </c>
      <c r="DX115" s="1318">
        <f>DX114-DW114</f>
        <v/>
      </c>
      <c r="DY115" s="1318">
        <f>DY114-DX114</f>
        <v/>
      </c>
      <c r="DZ115" s="1318">
        <f>DZ114-DY114</f>
        <v/>
      </c>
      <c r="EA115" s="1318">
        <f>EA114-DZ114</f>
        <v/>
      </c>
      <c r="EB115" s="1318">
        <f>EB114-EA114</f>
        <v/>
      </c>
      <c r="EC115" s="1318">
        <f>EC114-EB114</f>
        <v/>
      </c>
      <c r="ED115" s="1318">
        <f>ED114-EC114</f>
        <v/>
      </c>
      <c r="EE115" s="1318">
        <f>EE114-ED114</f>
        <v/>
      </c>
      <c r="EF115" s="1318">
        <f>EF114-EE114</f>
        <v/>
      </c>
      <c r="EG115" s="1318">
        <f>EG114-EF114</f>
        <v/>
      </c>
      <c r="EH115" s="1318">
        <f>EH114-EG114</f>
        <v/>
      </c>
      <c r="EI115" s="1318">
        <f>EI114-EH114</f>
        <v/>
      </c>
      <c r="EJ115" s="1318">
        <f>EJ114-EI114</f>
        <v/>
      </c>
      <c r="EK115" s="1318">
        <f>EK114-EJ114</f>
        <v/>
      </c>
      <c r="EL115" s="1318">
        <f>EL114-EK114</f>
        <v/>
      </c>
      <c r="EM115" s="1318">
        <f>EM114-EL114</f>
        <v/>
      </c>
      <c r="EN115" s="1318">
        <f>EN114-EM114</f>
        <v/>
      </c>
      <c r="EO115" s="1318">
        <f>EO114-EN114</f>
        <v/>
      </c>
      <c r="EP115" s="1318">
        <f>EP114-EO114</f>
        <v/>
      </c>
      <c r="EQ115" s="1318">
        <f>EQ114-EP114</f>
        <v/>
      </c>
      <c r="ER115" s="1318">
        <f>ER114-EQ114</f>
        <v/>
      </c>
      <c r="ES115" s="1318">
        <f>ES114-ER114</f>
        <v/>
      </c>
      <c r="ET115" s="1318">
        <f>ET114-ES114</f>
        <v/>
      </c>
      <c r="EU115" s="1318">
        <f>EU114-ET114</f>
        <v/>
      </c>
      <c r="EV115" s="1318">
        <f>EV114-EU114</f>
        <v/>
      </c>
      <c r="EW115" s="1318">
        <f>EW114-EV114</f>
        <v/>
      </c>
      <c r="EX115" s="1318">
        <f>EX114-EW114</f>
        <v/>
      </c>
      <c r="EY115" s="1318">
        <f>EY114-EX114</f>
        <v/>
      </c>
      <c r="EZ115" s="1318">
        <f>EZ114-EY114</f>
        <v/>
      </c>
      <c r="FA115" s="1318">
        <f>FA114-EZ114</f>
        <v/>
      </c>
      <c r="FB115" s="1318">
        <f>FB114-FA114</f>
        <v/>
      </c>
      <c r="FC115" s="1318">
        <f>FC114-FB114</f>
        <v/>
      </c>
      <c r="FD115" s="1318">
        <f>FD114-FC114</f>
        <v/>
      </c>
      <c r="FE115" s="1318">
        <f>FE114-FD114</f>
        <v/>
      </c>
      <c r="FF115" s="1318">
        <f>FF114-FE114</f>
        <v/>
      </c>
      <c r="FG115" s="1318">
        <f>FG114-FF114</f>
        <v/>
      </c>
      <c r="FH115" s="1318">
        <f>FH114-FG114</f>
        <v/>
      </c>
      <c r="FI115" s="1318">
        <f>FI114-FH114</f>
        <v/>
      </c>
      <c r="FJ115" s="1318">
        <f>FJ114-FI114</f>
        <v/>
      </c>
      <c r="FK115" s="1318">
        <f>FK114-FJ114</f>
        <v/>
      </c>
      <c r="FL115" s="1318">
        <f>FL114-FK114</f>
        <v/>
      </c>
      <c r="FM115" s="1318">
        <f>FM114-FL114</f>
        <v/>
      </c>
      <c r="FN115" s="1318">
        <f>FN114-FM114</f>
        <v/>
      </c>
      <c r="FO115" s="1318">
        <f>FO114-FN114</f>
        <v/>
      </c>
      <c r="FP115" s="1318">
        <f>FP114-FO114</f>
        <v/>
      </c>
      <c r="FQ115" s="1318">
        <f>FQ114-FP114</f>
        <v/>
      </c>
      <c r="FR115" s="1318">
        <f>FR114-FQ114</f>
        <v/>
      </c>
      <c r="FS115" s="1318">
        <f>FS114-FR114</f>
        <v/>
      </c>
      <c r="FT115" s="1318">
        <f>FT114-FS114</f>
        <v/>
      </c>
      <c r="FU115" s="1318">
        <f>FU114-FT114</f>
        <v/>
      </c>
      <c r="FV115" s="1318">
        <f>FV114-FU114</f>
        <v/>
      </c>
      <c r="FW115" s="1318">
        <f>FW114-FV114</f>
        <v/>
      </c>
      <c r="FX115" s="1318">
        <f>FX114-FW114</f>
        <v/>
      </c>
      <c r="FY115" s="1318">
        <f>FY114-FX114</f>
        <v/>
      </c>
      <c r="FZ115" s="1318">
        <f>FZ114-FY114</f>
        <v/>
      </c>
      <c r="GA115" s="1318">
        <f>GA114-FZ114</f>
        <v/>
      </c>
      <c r="GB115" s="1318">
        <f>GB114-GA114</f>
        <v/>
      </c>
      <c r="GC115" s="1318">
        <f>GC114-GB114</f>
        <v/>
      </c>
      <c r="GD115" s="1318">
        <f>GD114-GC114</f>
        <v/>
      </c>
      <c r="GE115" s="1318">
        <f>GE114-GD114</f>
        <v/>
      </c>
      <c r="GF115" s="1318">
        <f>GF114-GE114</f>
        <v/>
      </c>
      <c r="GG115" s="1318">
        <f>GG114-GF114</f>
        <v/>
      </c>
      <c r="GH115" s="1318">
        <f>GH114-GG114</f>
        <v/>
      </c>
      <c r="GI115" s="1318">
        <f>GI114-GH114</f>
        <v/>
      </c>
      <c r="GJ115" s="1318">
        <f>GJ114-GI114</f>
        <v/>
      </c>
      <c r="GK115" s="1318">
        <f>GK114-GJ114</f>
        <v/>
      </c>
      <c r="GL115" s="1318">
        <f>GL114-GK114</f>
        <v/>
      </c>
      <c r="GM115" s="1318">
        <f>GM114-GL114</f>
        <v/>
      </c>
      <c r="GN115" s="1318">
        <f>GN114-GM114</f>
        <v/>
      </c>
      <c r="GO115" s="1318">
        <f>GO114-GN114</f>
        <v/>
      </c>
      <c r="GP115" s="1318">
        <f>GP114-GO114</f>
        <v/>
      </c>
      <c r="GQ115" s="1318">
        <f>GQ114-GP114</f>
        <v/>
      </c>
      <c r="GR115" s="1318">
        <f>GR114-GQ114</f>
        <v/>
      </c>
      <c r="GS115" s="1318">
        <f>GS114-GR114</f>
        <v/>
      </c>
      <c r="GT115" s="1318">
        <f>GT114-GS114</f>
        <v/>
      </c>
      <c r="GU115" s="1318">
        <f>GU114-GT114</f>
        <v/>
      </c>
      <c r="GV115" s="1318">
        <f>GV114-GU114</f>
        <v/>
      </c>
      <c r="GW115" s="1318">
        <f>GW114-GV114</f>
        <v/>
      </c>
      <c r="GX115" s="1318">
        <f>GX114-GW114</f>
        <v/>
      </c>
      <c r="GY115" s="1318">
        <f>GY114-GX114</f>
        <v/>
      </c>
      <c r="GZ115" s="1318">
        <f>GZ114-GY114</f>
        <v/>
      </c>
      <c r="HA115" s="1318">
        <f>HA114-GZ114</f>
        <v/>
      </c>
      <c r="HB115" s="1318">
        <f>HB114-HA114</f>
        <v/>
      </c>
      <c r="HC115" s="1318">
        <f>HC114-HB114</f>
        <v/>
      </c>
      <c r="HD115" s="1318">
        <f>HD114-HC114</f>
        <v/>
      </c>
      <c r="HE115" s="1318">
        <f>HE114-HD114</f>
        <v/>
      </c>
      <c r="HF115" s="1318">
        <f>HF114-HE114</f>
        <v/>
      </c>
      <c r="HG115" s="1318">
        <f>HG114-HF114</f>
        <v/>
      </c>
      <c r="HH115" s="1318">
        <f>HH114-HG114</f>
        <v/>
      </c>
      <c r="HI115" s="1318">
        <f>HI114-HH114</f>
        <v/>
      </c>
      <c r="HJ115" s="1318">
        <f>HJ114-HI114</f>
        <v/>
      </c>
      <c r="HK115" s="1318">
        <f>HK114-HJ114</f>
        <v/>
      </c>
      <c r="HL115" s="1318">
        <f>HL114-HK114</f>
        <v/>
      </c>
      <c r="HM115" s="1318">
        <f>HM114-HL114</f>
        <v/>
      </c>
      <c r="HN115" s="1318">
        <f>HN114-HM114</f>
        <v/>
      </c>
      <c r="HO115" s="1318">
        <f>HO114-HN114</f>
        <v/>
      </c>
      <c r="HP115" s="1318">
        <f>HP114-HO114</f>
        <v/>
      </c>
      <c r="HQ115" s="1318">
        <f>HQ114-HP114</f>
        <v/>
      </c>
      <c r="HR115" s="1318">
        <f>HR114-HQ114</f>
        <v/>
      </c>
      <c r="HS115" s="1318">
        <f>HS114-HR114</f>
        <v/>
      </c>
      <c r="HT115" s="1318">
        <f>HT114-HS114</f>
        <v/>
      </c>
      <c r="HU115" s="1318">
        <f>HU114-HT114</f>
        <v/>
      </c>
      <c r="HV115" s="1318">
        <f>HV114-HU114</f>
        <v/>
      </c>
      <c r="HW115" s="1318">
        <f>HW114-HV114</f>
        <v/>
      </c>
      <c r="HX115" s="1318">
        <f>HX114-HW114</f>
        <v/>
      </c>
      <c r="HY115" s="1318">
        <f>HY114-HX114</f>
        <v/>
      </c>
      <c r="HZ115" s="1318">
        <f>HZ114-HY114</f>
        <v/>
      </c>
      <c r="IA115" s="1318">
        <f>IA114-HZ114</f>
        <v/>
      </c>
      <c r="IB115" s="1318">
        <f>IB114-IA114</f>
        <v/>
      </c>
      <c r="IC115" s="1318">
        <f>IC114-IB114</f>
        <v/>
      </c>
      <c r="ID115" s="1318">
        <f>ID114-IC114</f>
        <v/>
      </c>
      <c r="IE115" s="1318">
        <f>IE114-ID114</f>
        <v/>
      </c>
      <c r="IF115" s="1318">
        <f>IF114-IE114</f>
        <v/>
      </c>
      <c r="IG115" s="1318">
        <f>IG114-IF114</f>
        <v/>
      </c>
      <c r="IH115" s="1318">
        <f>IH114-IG114</f>
        <v/>
      </c>
      <c r="II115" s="1318">
        <f>II114-IH114</f>
        <v/>
      </c>
      <c r="IJ115" s="1318">
        <f>IJ114-II114</f>
        <v/>
      </c>
      <c r="IK115" s="1318">
        <f>IK114-IJ114</f>
        <v/>
      </c>
      <c r="IL115" s="1318">
        <f>IL114-IK114</f>
        <v/>
      </c>
      <c r="IM115" s="1318">
        <f>IM114-IL114</f>
        <v/>
      </c>
      <c r="IN115" s="1318">
        <f>IN114-IM114</f>
        <v/>
      </c>
      <c r="IO115" s="1318">
        <f>IO114-IN114</f>
        <v/>
      </c>
      <c r="IP115" s="1318">
        <f>IP114-IO114</f>
        <v/>
      </c>
      <c r="IQ115" s="1318">
        <f>IQ114-IP114</f>
        <v/>
      </c>
      <c r="IR115" s="1318">
        <f>IR114-IQ114</f>
        <v/>
      </c>
      <c r="IS115" s="1318">
        <f>IS114-IR114</f>
        <v/>
      </c>
      <c r="IT115" s="1318">
        <f>IT114-IS114</f>
        <v/>
      </c>
      <c r="IU115" s="1318">
        <f>IU114-IT114</f>
        <v/>
      </c>
      <c r="IV115" s="1318">
        <f>IV114-IU114</f>
        <v/>
      </c>
      <c r="IW115" s="1318">
        <f>IW114-IV114</f>
        <v/>
      </c>
      <c r="IX115" s="1318">
        <f>IX114-IW114</f>
        <v/>
      </c>
      <c r="IY115" s="1318">
        <f>IY114-IX114</f>
        <v/>
      </c>
      <c r="IZ115" s="1318">
        <f>IZ114-IY114</f>
        <v/>
      </c>
      <c r="JA115" s="1318">
        <f>JA114-IZ114</f>
        <v/>
      </c>
      <c r="JB115" s="1318">
        <f>JB114-JA114</f>
        <v/>
      </c>
      <c r="JC115" s="1318">
        <f>JC114-JB114</f>
        <v/>
      </c>
      <c r="JD115" s="1318">
        <f>JD114-JC114</f>
        <v/>
      </c>
      <c r="JE115" s="1318">
        <f>JE114-JD114</f>
        <v/>
      </c>
      <c r="JF115" s="1318">
        <f>JF114-JE114</f>
        <v/>
      </c>
      <c r="JG115" s="1318">
        <f>JG114-JF114</f>
        <v/>
      </c>
      <c r="JH115" s="1318">
        <f>JH114-JG114</f>
        <v/>
      </c>
      <c r="JI115" s="1318">
        <f>JI114-JH114</f>
        <v/>
      </c>
      <c r="JJ115" s="1318">
        <f>JJ114-JI114</f>
        <v/>
      </c>
      <c r="JK115" s="1318">
        <f>JK114-JJ114</f>
        <v/>
      </c>
      <c r="JL115" s="1318">
        <f>JL114-JK114</f>
        <v/>
      </c>
      <c r="JM115" s="1318">
        <f>JM114-JL114</f>
        <v/>
      </c>
      <c r="JN115" s="1318">
        <f>JN114-JM114</f>
        <v/>
      </c>
      <c r="JO115" s="1318">
        <f>JO114-JN114</f>
        <v/>
      </c>
      <c r="JP115" s="1318">
        <f>JP114-JO114</f>
        <v/>
      </c>
      <c r="JQ115" s="1318">
        <f>JQ114-JP114</f>
        <v/>
      </c>
      <c r="JR115" s="1318">
        <f>JR114-JQ114</f>
        <v/>
      </c>
      <c r="JS115" s="1318">
        <f>JS114-JR114</f>
        <v/>
      </c>
      <c r="JT115" s="1318">
        <f>JT114-JS114</f>
        <v/>
      </c>
      <c r="JU115" s="1318">
        <f>JU114-JT114</f>
        <v/>
      </c>
      <c r="JV115" s="1318">
        <f>JV114-JU114</f>
        <v/>
      </c>
      <c r="JW115" s="1318">
        <f>JW114-JV114</f>
        <v/>
      </c>
      <c r="JX115" s="1318">
        <f>JX114-JW114</f>
        <v/>
      </c>
      <c r="JY115" s="1318">
        <f>JY114-JX114</f>
        <v/>
      </c>
      <c r="JZ115" s="1318">
        <f>JZ114-JY114</f>
        <v/>
      </c>
      <c r="KA115" s="1318">
        <f>KA114-JZ114</f>
        <v/>
      </c>
      <c r="KB115" s="1318">
        <f>KB114-KA114</f>
        <v/>
      </c>
      <c r="KC115" s="1318">
        <f>KC114-KB114</f>
        <v/>
      </c>
      <c r="KD115" s="1318">
        <f>KD114-KC114</f>
        <v/>
      </c>
      <c r="KE115" s="1318">
        <f>KE114-KD114</f>
        <v/>
      </c>
      <c r="KF115" s="1318">
        <f>KF114-KE114</f>
        <v/>
      </c>
      <c r="KG115" s="1318">
        <f>KG114-KF114</f>
        <v/>
      </c>
      <c r="KH115" s="1318">
        <f>KH114-KG114</f>
        <v/>
      </c>
      <c r="KI115" s="1318">
        <f>KI114-KH114</f>
        <v/>
      </c>
      <c r="KJ115" s="1318">
        <f>KJ114-KI114</f>
        <v/>
      </c>
      <c r="KK115" s="1318">
        <f>KK114-KJ114</f>
        <v/>
      </c>
      <c r="KL115" s="1318">
        <f>KL114-KK114</f>
        <v/>
      </c>
      <c r="KM115" s="1318">
        <f>KM114-KL114</f>
        <v/>
      </c>
      <c r="KN115" s="1318">
        <f>KN114-KM114</f>
        <v/>
      </c>
      <c r="KO115" s="1318">
        <f>KO114-KN114</f>
        <v/>
      </c>
      <c r="KP115" s="1318">
        <f>KP114-KO114</f>
        <v/>
      </c>
      <c r="KQ115" s="1318">
        <f>KQ114-KP114</f>
        <v/>
      </c>
      <c r="KR115" s="1318">
        <f>KR114-KQ114</f>
        <v/>
      </c>
      <c r="KS115" s="1318">
        <f>KS114-KR114</f>
        <v/>
      </c>
      <c r="KT115" s="1318">
        <f>KT114-KS114</f>
        <v/>
      </c>
      <c r="KU115" s="1318">
        <f>KU114-KT114</f>
        <v/>
      </c>
      <c r="KV115" s="1318">
        <f>KV114-KU114</f>
        <v/>
      </c>
      <c r="KW115" s="1318">
        <f>KW114-KV114</f>
        <v/>
      </c>
      <c r="KX115" s="1318">
        <f>KX114-KW114</f>
        <v/>
      </c>
      <c r="KY115" s="1318">
        <f>KY114-KX114</f>
        <v/>
      </c>
      <c r="KZ115" s="1318">
        <f>KZ114-KY114</f>
        <v/>
      </c>
      <c r="LA115" s="1318">
        <f>LA114-KZ114</f>
        <v/>
      </c>
      <c r="LB115" s="1318" t="n"/>
      <c r="LC115" s="1318" t="n"/>
      <c r="LD115" s="1318" t="n"/>
      <c r="LE115" s="1318" t="n"/>
      <c r="LF115" s="1318" t="n"/>
      <c r="LG115" s="1318" t="n"/>
      <c r="LH115" s="1318" t="n"/>
      <c r="LI115" s="1318" t="n"/>
      <c r="LJ115" s="1318" t="n"/>
      <c r="LK115" s="1318" t="n"/>
      <c r="LL115" s="1318" t="n"/>
      <c r="LM115" s="1318" t="n"/>
      <c r="LN115" s="1318" t="n"/>
      <c r="LO115" s="1318" t="n"/>
      <c r="LP115" s="1318" t="n"/>
      <c r="LQ115" s="1318" t="n"/>
      <c r="LR115" s="1318" t="n"/>
      <c r="LS115" s="1318" t="n"/>
    </row>
    <row r="116">
      <c r="A116" s="885" t="inlineStr">
        <is>
          <t>YoY pointsCg %</t>
        </is>
      </c>
      <c r="B116" s="1318" t="n"/>
      <c r="C116" s="1318" t="n"/>
      <c r="D116" s="1318" t="n"/>
      <c r="E116" s="1318" t="n"/>
      <c r="F116" s="1318" t="n"/>
      <c r="G116" s="1318" t="n"/>
      <c r="H116" s="1318" t="n"/>
      <c r="I116" s="1318" t="n"/>
      <c r="J116" s="1318" t="n"/>
      <c r="K116" s="1318" t="n"/>
      <c r="L116" s="1318" t="n"/>
      <c r="M116" s="1318" t="n"/>
      <c r="N116" s="1318">
        <f>N114-B114</f>
        <v/>
      </c>
      <c r="O116" s="1318">
        <f>O114-C114</f>
        <v/>
      </c>
      <c r="P116" s="1318">
        <f>P114-D114</f>
        <v/>
      </c>
      <c r="Q116" s="1318">
        <f>Q114-E114</f>
        <v/>
      </c>
      <c r="R116" s="1318">
        <f>R114-F114</f>
        <v/>
      </c>
      <c r="S116" s="1318">
        <f>S114-G114</f>
        <v/>
      </c>
      <c r="T116" s="1318">
        <f>T114-H114</f>
        <v/>
      </c>
      <c r="U116" s="1318">
        <f>U114-I114</f>
        <v/>
      </c>
      <c r="V116" s="1318">
        <f>V114-J114</f>
        <v/>
      </c>
      <c r="W116" s="1318">
        <f>W114-K114</f>
        <v/>
      </c>
      <c r="X116" s="1318">
        <f>X114-L114</f>
        <v/>
      </c>
      <c r="Y116" s="1318">
        <f>Y114-M114</f>
        <v/>
      </c>
      <c r="Z116" s="1318">
        <f>Z114-N114</f>
        <v/>
      </c>
      <c r="AA116" s="1318">
        <f>AA114-O114</f>
        <v/>
      </c>
      <c r="AB116" s="1318">
        <f>AB114-P114</f>
        <v/>
      </c>
      <c r="AC116" s="1318">
        <f>AC114-Q114</f>
        <v/>
      </c>
      <c r="AD116" s="1318">
        <f>AD114-R114</f>
        <v/>
      </c>
      <c r="AE116" s="1318">
        <f>AE114-S114</f>
        <v/>
      </c>
      <c r="AF116" s="1318">
        <f>AF114-T114</f>
        <v/>
      </c>
      <c r="AG116" s="1318">
        <f>AG114-U114</f>
        <v/>
      </c>
      <c r="AH116" s="1318">
        <f>AH114-V114</f>
        <v/>
      </c>
      <c r="AI116" s="1318">
        <f>AI114-W114</f>
        <v/>
      </c>
      <c r="AJ116" s="1318">
        <f>AJ114-X114</f>
        <v/>
      </c>
      <c r="AK116" s="1318">
        <f>AK114-Y114</f>
        <v/>
      </c>
      <c r="AL116" s="1318">
        <f>AL114-Z114</f>
        <v/>
      </c>
      <c r="AM116" s="1318">
        <f>AM114-AA114</f>
        <v/>
      </c>
      <c r="AN116" s="1318">
        <f>AN114-AB114</f>
        <v/>
      </c>
      <c r="AO116" s="1318">
        <f>AO114-AC114</f>
        <v/>
      </c>
      <c r="AP116" s="1318">
        <f>AP114-AD114</f>
        <v/>
      </c>
      <c r="AQ116" s="1318">
        <f>AQ114-AE114</f>
        <v/>
      </c>
      <c r="AR116" s="1318">
        <f>AR114-AF114</f>
        <v/>
      </c>
      <c r="AS116" s="1318">
        <f>AS114-AG114</f>
        <v/>
      </c>
      <c r="AT116" s="1318">
        <f>AT114-AH114</f>
        <v/>
      </c>
      <c r="AU116" s="1318">
        <f>AU114-AI114</f>
        <v/>
      </c>
      <c r="AV116" s="1318">
        <f>AV114-AJ114</f>
        <v/>
      </c>
      <c r="AW116" s="1318">
        <f>AW114-AK114</f>
        <v/>
      </c>
      <c r="AX116" s="1318">
        <f>AX114-AL114</f>
        <v/>
      </c>
      <c r="AY116" s="1318">
        <f>AY114-AM114</f>
        <v/>
      </c>
      <c r="AZ116" s="1318">
        <f>AZ114-AN114</f>
        <v/>
      </c>
      <c r="BA116" s="1318">
        <f>BA114-AO114</f>
        <v/>
      </c>
      <c r="BB116" s="1318">
        <f>BB114-AP114</f>
        <v/>
      </c>
      <c r="BC116" s="1318">
        <f>BC114-AQ114</f>
        <v/>
      </c>
      <c r="BD116" s="1318">
        <f>BD114-AR114</f>
        <v/>
      </c>
      <c r="BE116" s="1318">
        <f>BE114-AS114</f>
        <v/>
      </c>
      <c r="BF116" s="1318">
        <f>BF114-AT114</f>
        <v/>
      </c>
      <c r="BG116" s="1318">
        <f>BG114-AU114</f>
        <v/>
      </c>
      <c r="BH116" s="1318">
        <f>BH114-AV114</f>
        <v/>
      </c>
      <c r="BI116" s="1318">
        <f>BI114-AW114</f>
        <v/>
      </c>
      <c r="BJ116" s="1318">
        <f>BJ114-AX114</f>
        <v/>
      </c>
      <c r="BK116" s="1318">
        <f>BK114-AY114</f>
        <v/>
      </c>
      <c r="BL116" s="1318">
        <f>BL114-AZ114</f>
        <v/>
      </c>
      <c r="BM116" s="1318">
        <f>BM114-BA114</f>
        <v/>
      </c>
      <c r="BN116" s="1318">
        <f>BN114-BB114</f>
        <v/>
      </c>
      <c r="BO116" s="1318">
        <f>BO114-BC114</f>
        <v/>
      </c>
      <c r="BP116" s="1318">
        <f>BP114-BD114</f>
        <v/>
      </c>
      <c r="BQ116" s="1318">
        <f>BQ114-BE114</f>
        <v/>
      </c>
      <c r="BR116" s="1318">
        <f>BR114-BF114</f>
        <v/>
      </c>
      <c r="BS116" s="1318">
        <f>BS114-BG114</f>
        <v/>
      </c>
      <c r="BT116" s="1318">
        <f>BT114-BH114</f>
        <v/>
      </c>
      <c r="BU116" s="1318">
        <f>BU114-BI114</f>
        <v/>
      </c>
      <c r="BV116" s="1318">
        <f>BV114-BJ114</f>
        <v/>
      </c>
      <c r="BW116" s="1318">
        <f>BW114-BK114</f>
        <v/>
      </c>
      <c r="BX116" s="1318">
        <f>BX114-BL114</f>
        <v/>
      </c>
      <c r="BY116" s="1318">
        <f>BY114-BM114</f>
        <v/>
      </c>
      <c r="BZ116" s="1318">
        <f>BZ114-BN114</f>
        <v/>
      </c>
      <c r="CA116" s="1318">
        <f>CA114-BO114</f>
        <v/>
      </c>
      <c r="CB116" s="1318">
        <f>CB114-BP114</f>
        <v/>
      </c>
      <c r="CC116" s="1318">
        <f>CC114-BQ114</f>
        <v/>
      </c>
      <c r="CD116" s="1318">
        <f>CD114-BR114</f>
        <v/>
      </c>
      <c r="CE116" s="1318">
        <f>CE114-BS114</f>
        <v/>
      </c>
      <c r="CF116" s="1318">
        <f>CF114-BT114</f>
        <v/>
      </c>
      <c r="CG116" s="1318">
        <f>CG114-BU114</f>
        <v/>
      </c>
      <c r="CH116" s="1318">
        <f>CH114-BV114</f>
        <v/>
      </c>
      <c r="CI116" s="1318">
        <f>CI114-BW114</f>
        <v/>
      </c>
      <c r="CJ116" s="1318">
        <f>CJ114-BX114</f>
        <v/>
      </c>
      <c r="CK116" s="1318">
        <f>CK114-BY114</f>
        <v/>
      </c>
      <c r="CL116" s="1318">
        <f>CL114-BZ114</f>
        <v/>
      </c>
      <c r="CM116" s="1318">
        <f>CM114-CA114</f>
        <v/>
      </c>
      <c r="CN116" s="1318">
        <f>CN114-CB114</f>
        <v/>
      </c>
      <c r="CO116" s="1318">
        <f>CO114-CC114</f>
        <v/>
      </c>
      <c r="CP116" s="1318">
        <f>CP114-CD114</f>
        <v/>
      </c>
      <c r="CQ116" s="1318">
        <f>CQ114-CE114</f>
        <v/>
      </c>
      <c r="CR116" s="1318">
        <f>CR114-CF114</f>
        <v/>
      </c>
      <c r="CS116" s="1318">
        <f>CS114-CG114</f>
        <v/>
      </c>
      <c r="CT116" s="1318">
        <f>CT114-CH114</f>
        <v/>
      </c>
      <c r="CU116" s="1318">
        <f>CU114-CI114</f>
        <v/>
      </c>
      <c r="CV116" s="1318">
        <f>CV114-CJ114</f>
        <v/>
      </c>
      <c r="CW116" s="1318">
        <f>CW114-CK114</f>
        <v/>
      </c>
      <c r="CX116" s="1318">
        <f>CX114-CL114</f>
        <v/>
      </c>
      <c r="CY116" s="1318">
        <f>CY114-CM114</f>
        <v/>
      </c>
      <c r="CZ116" s="1318">
        <f>CZ114-CN114</f>
        <v/>
      </c>
      <c r="DA116" s="1318">
        <f>DA114-CO114</f>
        <v/>
      </c>
      <c r="DB116" s="1318">
        <f>DB114-CP114</f>
        <v/>
      </c>
      <c r="DC116" s="1318">
        <f>DC114-CQ114</f>
        <v/>
      </c>
      <c r="DD116" s="1318">
        <f>DD114-CR114</f>
        <v/>
      </c>
      <c r="DE116" s="1318">
        <f>DE114-CS114</f>
        <v/>
      </c>
      <c r="DF116" s="1318">
        <f>DF114-CT114</f>
        <v/>
      </c>
      <c r="DG116" s="1318">
        <f>DG114-CU114</f>
        <v/>
      </c>
      <c r="DH116" s="1318">
        <f>DH114-CV114</f>
        <v/>
      </c>
      <c r="DI116" s="1318">
        <f>DI114-CW114</f>
        <v/>
      </c>
      <c r="DJ116" s="1318">
        <f>DJ114-CX114</f>
        <v/>
      </c>
      <c r="DK116" s="1318">
        <f>DK114-CY114</f>
        <v/>
      </c>
      <c r="DL116" s="1318">
        <f>DL114-CZ114</f>
        <v/>
      </c>
      <c r="DM116" s="1318">
        <f>DM114-DA114</f>
        <v/>
      </c>
      <c r="DN116" s="1318">
        <f>DN114-DB114</f>
        <v/>
      </c>
      <c r="DO116" s="1318">
        <f>DO114-DC114</f>
        <v/>
      </c>
      <c r="DP116" s="1318">
        <f>DP114-DD114</f>
        <v/>
      </c>
      <c r="DQ116" s="1318">
        <f>DQ114-DE114</f>
        <v/>
      </c>
      <c r="DR116" s="1318">
        <f>DR114-DF114</f>
        <v/>
      </c>
      <c r="DS116" s="1318">
        <f>DS114-DG114</f>
        <v/>
      </c>
      <c r="DT116" s="1318">
        <f>DT114-DH114</f>
        <v/>
      </c>
      <c r="DU116" s="1318">
        <f>DU114-DI114</f>
        <v/>
      </c>
      <c r="DV116" s="1318">
        <f>DV114-DJ114</f>
        <v/>
      </c>
      <c r="DW116" s="1318">
        <f>DW114-DK114</f>
        <v/>
      </c>
      <c r="DX116" s="1318">
        <f>DX114-DL114</f>
        <v/>
      </c>
      <c r="DY116" s="1318">
        <f>DY114-DM114</f>
        <v/>
      </c>
      <c r="DZ116" s="1318">
        <f>DZ114-DN114</f>
        <v/>
      </c>
      <c r="EA116" s="1318">
        <f>EA114-DO114</f>
        <v/>
      </c>
      <c r="EB116" s="1318">
        <f>EB114-DP114</f>
        <v/>
      </c>
      <c r="EC116" s="1318">
        <f>EC114-DQ114</f>
        <v/>
      </c>
      <c r="ED116" s="1318">
        <f>ED114-DR114</f>
        <v/>
      </c>
      <c r="EE116" s="1318">
        <f>EE114-DS114</f>
        <v/>
      </c>
      <c r="EF116" s="1318">
        <f>EF114-DT114</f>
        <v/>
      </c>
      <c r="EG116" s="1318">
        <f>EG114-DU114</f>
        <v/>
      </c>
      <c r="EH116" s="1318">
        <f>EH114-DV114</f>
        <v/>
      </c>
      <c r="EI116" s="1318">
        <f>EI114-DW114</f>
        <v/>
      </c>
      <c r="EJ116" s="1318">
        <f>EJ114-DX114</f>
        <v/>
      </c>
      <c r="EK116" s="1318">
        <f>EK114-DY114</f>
        <v/>
      </c>
      <c r="EL116" s="1318">
        <f>EL114-DZ114</f>
        <v/>
      </c>
      <c r="EM116" s="1318">
        <f>EM114-EA114</f>
        <v/>
      </c>
      <c r="EN116" s="1318">
        <f>EN114-EB114</f>
        <v/>
      </c>
      <c r="EO116" s="1318">
        <f>EO114-EC114</f>
        <v/>
      </c>
      <c r="EP116" s="1318">
        <f>EP114-ED114</f>
        <v/>
      </c>
      <c r="EQ116" s="1318">
        <f>EQ114-EE114</f>
        <v/>
      </c>
      <c r="ER116" s="1318">
        <f>ER114-EF114</f>
        <v/>
      </c>
      <c r="ES116" s="1318">
        <f>ES114-EG114</f>
        <v/>
      </c>
      <c r="ET116" s="1318">
        <f>ET114-EH114</f>
        <v/>
      </c>
      <c r="EU116" s="1318">
        <f>EU114-EI114</f>
        <v/>
      </c>
      <c r="EV116" s="1318">
        <f>EV114-EJ114</f>
        <v/>
      </c>
      <c r="EW116" s="1318">
        <f>EW114-EK114</f>
        <v/>
      </c>
      <c r="EX116" s="1318">
        <f>EX114-EL114</f>
        <v/>
      </c>
      <c r="EY116" s="1318">
        <f>EY114-EM114</f>
        <v/>
      </c>
      <c r="EZ116" s="1318">
        <f>EZ114-EN114</f>
        <v/>
      </c>
      <c r="FA116" s="1318">
        <f>FA114-EO114</f>
        <v/>
      </c>
      <c r="FB116" s="1318">
        <f>FB114-EP114</f>
        <v/>
      </c>
      <c r="FC116" s="1318">
        <f>FC114-EQ114</f>
        <v/>
      </c>
      <c r="FD116" s="1318">
        <f>FD114-ER114</f>
        <v/>
      </c>
      <c r="FE116" s="1318">
        <f>FE114-ES114</f>
        <v/>
      </c>
      <c r="FF116" s="1318">
        <f>FF114-ET114</f>
        <v/>
      </c>
      <c r="FG116" s="1318">
        <f>FG114-EU114</f>
        <v/>
      </c>
      <c r="FH116" s="1318">
        <f>FH114-EV114</f>
        <v/>
      </c>
      <c r="FI116" s="1318">
        <f>FI114-EW114</f>
        <v/>
      </c>
      <c r="FJ116" s="1318">
        <f>FJ114-EX114</f>
        <v/>
      </c>
      <c r="FK116" s="1318">
        <f>FK114-EY114</f>
        <v/>
      </c>
      <c r="FL116" s="1318">
        <f>FL114-EZ114</f>
        <v/>
      </c>
      <c r="FM116" s="1318">
        <f>FM114-FA114</f>
        <v/>
      </c>
      <c r="FN116" s="1318">
        <f>FN114-FB114</f>
        <v/>
      </c>
      <c r="FO116" s="1318">
        <f>FO114-FC114</f>
        <v/>
      </c>
      <c r="FP116" s="1318">
        <f>FP114-FD114</f>
        <v/>
      </c>
      <c r="FQ116" s="1318">
        <f>FQ114-FE114</f>
        <v/>
      </c>
      <c r="FR116" s="1318">
        <f>FR114-FF114</f>
        <v/>
      </c>
      <c r="FS116" s="1318">
        <f>FS114-FG114</f>
        <v/>
      </c>
      <c r="FT116" s="1318">
        <f>FT114-FH114</f>
        <v/>
      </c>
      <c r="FU116" s="1318">
        <f>FU114-FI114</f>
        <v/>
      </c>
      <c r="FV116" s="1318">
        <f>FV114-FJ114</f>
        <v/>
      </c>
      <c r="FW116" s="1318">
        <f>FW114-FK114</f>
        <v/>
      </c>
      <c r="FX116" s="1318">
        <f>FX114-FL114</f>
        <v/>
      </c>
      <c r="FY116" s="1318">
        <f>FY114-FM114</f>
        <v/>
      </c>
      <c r="FZ116" s="1318">
        <f>FZ114-FN114</f>
        <v/>
      </c>
      <c r="GA116" s="1318">
        <f>GA114-FO114</f>
        <v/>
      </c>
      <c r="GB116" s="1318">
        <f>GB114-FP114</f>
        <v/>
      </c>
      <c r="GC116" s="1318">
        <f>GC114-FQ114</f>
        <v/>
      </c>
      <c r="GD116" s="1318">
        <f>GD114-FR114</f>
        <v/>
      </c>
      <c r="GE116" s="1318">
        <f>GE114-FS114</f>
        <v/>
      </c>
      <c r="GF116" s="1318">
        <f>GF114-FT114</f>
        <v/>
      </c>
      <c r="GG116" s="1318">
        <f>GG114-FU114</f>
        <v/>
      </c>
      <c r="GH116" s="1318">
        <f>GH114-FV114</f>
        <v/>
      </c>
      <c r="GI116" s="1318">
        <f>GI114-FW114</f>
        <v/>
      </c>
      <c r="GJ116" s="1318">
        <f>GJ114-FX114</f>
        <v/>
      </c>
      <c r="GK116" s="1318">
        <f>GK114-FY114</f>
        <v/>
      </c>
      <c r="GL116" s="1318">
        <f>GL114-FZ114</f>
        <v/>
      </c>
      <c r="GM116" s="1318">
        <f>GM114-GA114</f>
        <v/>
      </c>
      <c r="GN116" s="1318">
        <f>GN114-GB114</f>
        <v/>
      </c>
      <c r="GO116" s="1318">
        <f>GO114-GC114</f>
        <v/>
      </c>
      <c r="GP116" s="1318">
        <f>GP114-GD114</f>
        <v/>
      </c>
      <c r="GQ116" s="1318">
        <f>GQ114-GE114</f>
        <v/>
      </c>
      <c r="GR116" s="1318">
        <f>GR114-GF114</f>
        <v/>
      </c>
      <c r="GS116" s="1318">
        <f>GS114-GG114</f>
        <v/>
      </c>
      <c r="GT116" s="1318">
        <f>GT114-GH114</f>
        <v/>
      </c>
      <c r="GU116" s="1318">
        <f>GU114-GI114</f>
        <v/>
      </c>
      <c r="GV116" s="1318">
        <f>GV114-GJ114</f>
        <v/>
      </c>
      <c r="GW116" s="1318">
        <f>GW114-GK114</f>
        <v/>
      </c>
      <c r="GX116" s="1318">
        <f>GX114-GL114</f>
        <v/>
      </c>
      <c r="GY116" s="1318">
        <f>GY114-GM114</f>
        <v/>
      </c>
      <c r="GZ116" s="1318">
        <f>GZ114-GN114</f>
        <v/>
      </c>
      <c r="HA116" s="1318">
        <f>HA114-GO114</f>
        <v/>
      </c>
      <c r="HB116" s="1318">
        <f>HB114-GP114</f>
        <v/>
      </c>
      <c r="HC116" s="1318">
        <f>HC114-GQ114</f>
        <v/>
      </c>
      <c r="HD116" s="1318">
        <f>HD114-GR114</f>
        <v/>
      </c>
      <c r="HE116" s="1318">
        <f>HE114-GS114</f>
        <v/>
      </c>
      <c r="HF116" s="1318">
        <f>HF114-GT114</f>
        <v/>
      </c>
      <c r="HG116" s="1318">
        <f>HG114-GU114</f>
        <v/>
      </c>
      <c r="HH116" s="1318">
        <f>HH114-GV114</f>
        <v/>
      </c>
      <c r="HI116" s="1318">
        <f>HI114-GW114</f>
        <v/>
      </c>
      <c r="HJ116" s="1318">
        <f>HJ114-GX114</f>
        <v/>
      </c>
      <c r="HK116" s="1318">
        <f>HK114-GY114</f>
        <v/>
      </c>
      <c r="HL116" s="1318">
        <f>HL114-GZ114</f>
        <v/>
      </c>
      <c r="HM116" s="1318">
        <f>HM114-HA114</f>
        <v/>
      </c>
      <c r="HN116" s="1318">
        <f>HN114-HB114</f>
        <v/>
      </c>
      <c r="HO116" s="1318">
        <f>HO114-HC114</f>
        <v/>
      </c>
      <c r="HP116" s="1318">
        <f>HP114-HD114</f>
        <v/>
      </c>
      <c r="HQ116" s="1318">
        <f>HQ114-HE114</f>
        <v/>
      </c>
      <c r="HR116" s="1318">
        <f>HR114-HF114</f>
        <v/>
      </c>
      <c r="HS116" s="1318">
        <f>HS114-HG114</f>
        <v/>
      </c>
      <c r="HT116" s="1318">
        <f>HT114-HH114</f>
        <v/>
      </c>
      <c r="HU116" s="1318">
        <f>HU114-HI114</f>
        <v/>
      </c>
      <c r="HV116" s="1318">
        <f>HV114-HJ114</f>
        <v/>
      </c>
      <c r="HW116" s="1318">
        <f>HW114-HK114</f>
        <v/>
      </c>
      <c r="HX116" s="1318">
        <f>HX114-HL114</f>
        <v/>
      </c>
      <c r="HY116" s="1318">
        <f>HY114-HM114</f>
        <v/>
      </c>
      <c r="HZ116" s="1318">
        <f>HZ114-HN114</f>
        <v/>
      </c>
      <c r="IA116" s="1318">
        <f>IA114-HO114</f>
        <v/>
      </c>
      <c r="IB116" s="1318">
        <f>IB114-HP114</f>
        <v/>
      </c>
      <c r="IC116" s="1318">
        <f>IC114-HQ114</f>
        <v/>
      </c>
      <c r="ID116" s="1318">
        <f>ID114-HR114</f>
        <v/>
      </c>
      <c r="IE116" s="1318">
        <f>IE114-HS114</f>
        <v/>
      </c>
      <c r="IF116" s="1318">
        <f>IF114-HT114</f>
        <v/>
      </c>
      <c r="IG116" s="1318">
        <f>IG114-HU114</f>
        <v/>
      </c>
      <c r="IH116" s="1318">
        <f>IH114-HV114</f>
        <v/>
      </c>
      <c r="II116" s="1318">
        <f>II114-HW114</f>
        <v/>
      </c>
      <c r="IJ116" s="1318">
        <f>IJ114-HX114</f>
        <v/>
      </c>
      <c r="IK116" s="1318">
        <f>IK114-HY114</f>
        <v/>
      </c>
      <c r="IL116" s="1318">
        <f>IL114-HZ114</f>
        <v/>
      </c>
      <c r="IM116" s="1318">
        <f>IM114-IA114</f>
        <v/>
      </c>
      <c r="IN116" s="1318">
        <f>IN114-IB114</f>
        <v/>
      </c>
      <c r="IO116" s="1318">
        <f>IO114-IC114</f>
        <v/>
      </c>
      <c r="IP116" s="1318">
        <f>IP114-ID114</f>
        <v/>
      </c>
      <c r="IQ116" s="1318">
        <f>IQ114-IE114</f>
        <v/>
      </c>
      <c r="IR116" s="1318">
        <f>IR114-IF114</f>
        <v/>
      </c>
      <c r="IS116" s="1318">
        <f>IS114-IG114</f>
        <v/>
      </c>
      <c r="IT116" s="1318">
        <f>IT114-IH114</f>
        <v/>
      </c>
      <c r="IU116" s="1318">
        <f>IU114-II114</f>
        <v/>
      </c>
      <c r="IV116" s="1318">
        <f>IV114-IJ114</f>
        <v/>
      </c>
      <c r="IW116" s="1318">
        <f>IW114-IK114</f>
        <v/>
      </c>
      <c r="IX116" s="1318">
        <f>IX114-IL114</f>
        <v/>
      </c>
      <c r="IY116" s="1318">
        <f>IY114-IM114</f>
        <v/>
      </c>
      <c r="IZ116" s="1318">
        <f>IZ114-IN114</f>
        <v/>
      </c>
      <c r="JA116" s="1318">
        <f>JA114-IO114</f>
        <v/>
      </c>
      <c r="JB116" s="1318">
        <f>JB114-IP114</f>
        <v/>
      </c>
      <c r="JC116" s="1318">
        <f>JC114-IQ114</f>
        <v/>
      </c>
      <c r="JD116" s="1318">
        <f>JD114-IR114</f>
        <v/>
      </c>
      <c r="JE116" s="1318">
        <f>JE114-IS114</f>
        <v/>
      </c>
      <c r="JF116" s="1318">
        <f>JF114-IT114</f>
        <v/>
      </c>
      <c r="JG116" s="1318">
        <f>JG114-IU114</f>
        <v/>
      </c>
      <c r="JH116" s="1318">
        <f>JH114-IV114</f>
        <v/>
      </c>
      <c r="JI116" s="1318">
        <f>JI114-IW114</f>
        <v/>
      </c>
      <c r="JJ116" s="1318">
        <f>JJ114-IX114</f>
        <v/>
      </c>
      <c r="JK116" s="1318">
        <f>JK114-IY114</f>
        <v/>
      </c>
      <c r="JL116" s="1318">
        <f>JL114-IZ114</f>
        <v/>
      </c>
      <c r="JM116" s="1318">
        <f>JM114-JA114</f>
        <v/>
      </c>
      <c r="JN116" s="1318">
        <f>JN114-JB114</f>
        <v/>
      </c>
      <c r="JO116" s="1318">
        <f>JO114-JC114</f>
        <v/>
      </c>
      <c r="JP116" s="1318">
        <f>JP114-JD114</f>
        <v/>
      </c>
      <c r="JQ116" s="1318">
        <f>JQ114-JE114</f>
        <v/>
      </c>
      <c r="JR116" s="1318">
        <f>JR114-JF114</f>
        <v/>
      </c>
      <c r="JS116" s="1318">
        <f>JS114-JG114</f>
        <v/>
      </c>
      <c r="JT116" s="1318">
        <f>JT114-JH114</f>
        <v/>
      </c>
      <c r="JU116" s="1318">
        <f>JU114-JI114</f>
        <v/>
      </c>
      <c r="JV116" s="1318">
        <f>JV114-JJ114</f>
        <v/>
      </c>
      <c r="JW116" s="1318">
        <f>JW114-JK114</f>
        <v/>
      </c>
      <c r="JX116" s="1318">
        <f>JX114-JL114</f>
        <v/>
      </c>
      <c r="JY116" s="1318">
        <f>JY114-JM114</f>
        <v/>
      </c>
      <c r="JZ116" s="1318">
        <f>JZ114-JN114</f>
        <v/>
      </c>
      <c r="KA116" s="1318">
        <f>KA114-JO114</f>
        <v/>
      </c>
      <c r="KB116" s="1318">
        <f>KB114-JP114</f>
        <v/>
      </c>
      <c r="KC116" s="1318">
        <f>KC114-JQ114</f>
        <v/>
      </c>
      <c r="KD116" s="1318">
        <f>KD114-JR114</f>
        <v/>
      </c>
      <c r="KE116" s="1318">
        <f>KE114-JS114</f>
        <v/>
      </c>
      <c r="KF116" s="1318">
        <f>KF114-JT114</f>
        <v/>
      </c>
      <c r="KG116" s="1318">
        <f>KG114-JU114</f>
        <v/>
      </c>
      <c r="KH116" s="1318">
        <f>KH114-JV114</f>
        <v/>
      </c>
      <c r="KI116" s="1318">
        <f>KI114-JW114</f>
        <v/>
      </c>
      <c r="KJ116" s="1318">
        <f>KJ114-JX114</f>
        <v/>
      </c>
      <c r="KK116" s="1318">
        <f>KK114-JY114</f>
        <v/>
      </c>
      <c r="KL116" s="1318">
        <f>KL114-JZ114</f>
        <v/>
      </c>
      <c r="KM116" s="1318">
        <f>KM114-KA114</f>
        <v/>
      </c>
      <c r="KN116" s="1318">
        <f>KN114-KB114</f>
        <v/>
      </c>
      <c r="KO116" s="1318">
        <f>KO114-KC114</f>
        <v/>
      </c>
      <c r="KP116" s="1318">
        <f>KP114-KD114</f>
        <v/>
      </c>
      <c r="KQ116" s="1318">
        <f>KQ114-KE114</f>
        <v/>
      </c>
      <c r="KR116" s="1318">
        <f>KR114-KF114</f>
        <v/>
      </c>
      <c r="KS116" s="1318">
        <f>KS114-KG114</f>
        <v/>
      </c>
      <c r="KT116" s="1318">
        <f>KT114-KH114</f>
        <v/>
      </c>
      <c r="KU116" s="1318">
        <f>KU114-KI114</f>
        <v/>
      </c>
      <c r="KV116" s="1318">
        <f>KV114-KJ114</f>
        <v/>
      </c>
      <c r="KW116" s="1318">
        <f>KW114-KK114</f>
        <v/>
      </c>
      <c r="KX116" s="1318">
        <f>KX114-KL114</f>
        <v/>
      </c>
      <c r="KY116" s="1318">
        <f>KY114-KM114</f>
        <v/>
      </c>
      <c r="KZ116" s="1318">
        <f>KZ114-KN114</f>
        <v/>
      </c>
      <c r="LA116" s="1318">
        <f>LA114-KO114</f>
        <v/>
      </c>
      <c r="LB116" s="1318" t="n"/>
      <c r="LC116" s="1318" t="n"/>
      <c r="LD116" s="1318" t="n"/>
      <c r="LE116" s="1318" t="n"/>
      <c r="LF116" s="1318" t="n"/>
      <c r="LG116" s="1318" t="n"/>
      <c r="LH116" s="1318" t="n"/>
      <c r="LI116" s="1318" t="n"/>
      <c r="LJ116" s="1318" t="n"/>
      <c r="LK116" s="1318" t="n"/>
      <c r="LL116" s="1318" t="n"/>
      <c r="LM116" s="1318" t="n"/>
      <c r="LN116" s="1318" t="n"/>
      <c r="LO116" s="1318" t="n"/>
      <c r="LP116" s="1318" t="n"/>
      <c r="LQ116" s="1318" t="n"/>
      <c r="LR116" s="1318" t="n"/>
      <c r="LS116" s="1318" t="n"/>
    </row>
    <row r="117">
      <c r="A117" s="885" t="inlineStr">
        <is>
          <t>YTD</t>
        </is>
      </c>
      <c r="B117" s="1318" t="n"/>
      <c r="C117" s="1318" t="n"/>
      <c r="D117" s="1318" t="n"/>
      <c r="E117" s="1318" t="n"/>
      <c r="F117" s="1318" t="n"/>
      <c r="G117" s="1318" t="n"/>
      <c r="H117" s="1318" t="n"/>
      <c r="I117" s="1318" t="n"/>
      <c r="J117" s="1318" t="n"/>
      <c r="K117" s="1318" t="n"/>
      <c r="L117" s="1318" t="n"/>
      <c r="M117" s="1318" t="n"/>
      <c r="N117" s="1318">
        <f>SUMIFS(62:62,$8:$8,"&gt;="&amp;DATE(YEAR(N$8),1,1),$8:$8,"&lt;="&amp;EOMONTH(N$8,0))/SUMIFS(26:26,$8:$8,"&gt;="&amp;DATE(YEAR(N$8),1,1),$8:$8,"&lt;="&amp;EOMONTH(N$8,0))</f>
        <v/>
      </c>
      <c r="O117" s="1318">
        <f>SUMIFS(62:62,$8:$8,"&gt;="&amp;DATE(YEAR(O$8),1,1),$8:$8,"&lt;="&amp;EOMONTH(O$8,0))/SUMIFS(26:26,$8:$8,"&gt;="&amp;DATE(YEAR(O$8),1,1),$8:$8,"&lt;="&amp;EOMONTH(O$8,0))</f>
        <v/>
      </c>
      <c r="P117" s="1318">
        <f>SUMIFS(62:62,$8:$8,"&gt;="&amp;DATE(YEAR(P$8),1,1),$8:$8,"&lt;="&amp;EOMONTH(P$8,0))/SUMIFS(26:26,$8:$8,"&gt;="&amp;DATE(YEAR(P$8),1,1),$8:$8,"&lt;="&amp;EOMONTH(P$8,0))</f>
        <v/>
      </c>
      <c r="Q117" s="1318">
        <f>SUMIFS(62:62,$8:$8,"&gt;="&amp;DATE(YEAR(Q$8),1,1),$8:$8,"&lt;="&amp;EOMONTH(Q$8,0))/SUMIFS(26:26,$8:$8,"&gt;="&amp;DATE(YEAR(Q$8),1,1),$8:$8,"&lt;="&amp;EOMONTH(Q$8,0))</f>
        <v/>
      </c>
      <c r="R117" s="1318">
        <f>SUMIFS(62:62,$8:$8,"&gt;="&amp;DATE(YEAR(R$8),1,1),$8:$8,"&lt;="&amp;EOMONTH(R$8,0))/SUMIFS(26:26,$8:$8,"&gt;="&amp;DATE(YEAR(R$8),1,1),$8:$8,"&lt;="&amp;EOMONTH(R$8,0))</f>
        <v/>
      </c>
      <c r="S117" s="1318">
        <f>SUMIFS(62:62,$8:$8,"&gt;="&amp;DATE(YEAR(S$8),1,1),$8:$8,"&lt;="&amp;EOMONTH(S$8,0))/SUMIFS(26:26,$8:$8,"&gt;="&amp;DATE(YEAR(S$8),1,1),$8:$8,"&lt;="&amp;EOMONTH(S$8,0))</f>
        <v/>
      </c>
      <c r="T117" s="1318">
        <f>SUMIFS(62:62,$8:$8,"&gt;="&amp;DATE(YEAR(T$8),1,1),$8:$8,"&lt;="&amp;EOMONTH(T$8,0))/SUMIFS(26:26,$8:$8,"&gt;="&amp;DATE(YEAR(T$8),1,1),$8:$8,"&lt;="&amp;EOMONTH(T$8,0))</f>
        <v/>
      </c>
      <c r="U117" s="1318">
        <f>SUMIFS(62:62,$8:$8,"&gt;="&amp;DATE(YEAR(U$8),1,1),$8:$8,"&lt;="&amp;EOMONTH(U$8,0))/SUMIFS(26:26,$8:$8,"&gt;="&amp;DATE(YEAR(U$8),1,1),$8:$8,"&lt;="&amp;EOMONTH(U$8,0))</f>
        <v/>
      </c>
      <c r="V117" s="1318">
        <f>SUMIFS(62:62,$8:$8,"&gt;="&amp;DATE(YEAR(V$8),1,1),$8:$8,"&lt;="&amp;EOMONTH(V$8,0))/SUMIFS(26:26,$8:$8,"&gt;="&amp;DATE(YEAR(V$8),1,1),$8:$8,"&lt;="&amp;EOMONTH(V$8,0))</f>
        <v/>
      </c>
      <c r="W117" s="1318">
        <f>SUMIFS(62:62,$8:$8,"&gt;="&amp;DATE(YEAR(W$8),1,1),$8:$8,"&lt;="&amp;EOMONTH(W$8,0))/SUMIFS(26:26,$8:$8,"&gt;="&amp;DATE(YEAR(W$8),1,1),$8:$8,"&lt;="&amp;EOMONTH(W$8,0))</f>
        <v/>
      </c>
      <c r="X117" s="1318">
        <f>SUMIFS(62:62,$8:$8,"&gt;="&amp;DATE(YEAR(X$8),1,1),$8:$8,"&lt;="&amp;EOMONTH(X$8,0))/SUMIFS(26:26,$8:$8,"&gt;="&amp;DATE(YEAR(X$8),1,1),$8:$8,"&lt;="&amp;EOMONTH(X$8,0))</f>
        <v/>
      </c>
      <c r="Y117" s="1318">
        <f>SUMIFS(62:62,$8:$8,"&gt;="&amp;DATE(YEAR(Y$8),1,1),$8:$8,"&lt;="&amp;EOMONTH(Y$8,0))/SUMIFS(26:26,$8:$8,"&gt;="&amp;DATE(YEAR(Y$8),1,1),$8:$8,"&lt;="&amp;EOMONTH(Y$8,0))</f>
        <v/>
      </c>
      <c r="Z117" s="1318">
        <f>SUMIFS(62:62,$8:$8,"&gt;="&amp;DATE(YEAR(Z$8),1,1),$8:$8,"&lt;="&amp;EOMONTH(Z$8,0))/SUMIFS(26:26,$8:$8,"&gt;="&amp;DATE(YEAR(Z$8),1,1),$8:$8,"&lt;="&amp;EOMONTH(Z$8,0))</f>
        <v/>
      </c>
      <c r="AA117" s="1318">
        <f>SUMIFS(62:62,$8:$8,"&gt;="&amp;DATE(YEAR(AA$8),1,1),$8:$8,"&lt;="&amp;EOMONTH(AA$8,0))/SUMIFS(26:26,$8:$8,"&gt;="&amp;DATE(YEAR(AA$8),1,1),$8:$8,"&lt;="&amp;EOMONTH(AA$8,0))</f>
        <v/>
      </c>
      <c r="AB117" s="1318">
        <f>SUMIFS(62:62,$8:$8,"&gt;="&amp;DATE(YEAR(AB$8),1,1),$8:$8,"&lt;="&amp;EOMONTH(AB$8,0))/SUMIFS(26:26,$8:$8,"&gt;="&amp;DATE(YEAR(AB$8),1,1),$8:$8,"&lt;="&amp;EOMONTH(AB$8,0))</f>
        <v/>
      </c>
      <c r="AC117" s="1318">
        <f>SUMIFS(62:62,$8:$8,"&gt;="&amp;DATE(YEAR(AC$8),1,1),$8:$8,"&lt;="&amp;EOMONTH(AC$8,0))/SUMIFS(26:26,$8:$8,"&gt;="&amp;DATE(YEAR(AC$8),1,1),$8:$8,"&lt;="&amp;EOMONTH(AC$8,0))</f>
        <v/>
      </c>
      <c r="AD117" s="1318">
        <f>SUMIFS(62:62,$8:$8,"&gt;="&amp;DATE(YEAR(AD$8),1,1),$8:$8,"&lt;="&amp;EOMONTH(AD$8,0))/SUMIFS(26:26,$8:$8,"&gt;="&amp;DATE(YEAR(AD$8),1,1),$8:$8,"&lt;="&amp;EOMONTH(AD$8,0))</f>
        <v/>
      </c>
      <c r="AE117" s="1318">
        <f>SUMIFS(62:62,$8:$8,"&gt;="&amp;DATE(YEAR(AE$8),1,1),$8:$8,"&lt;="&amp;EOMONTH(AE$8,0))/SUMIFS(26:26,$8:$8,"&gt;="&amp;DATE(YEAR(AE$8),1,1),$8:$8,"&lt;="&amp;EOMONTH(AE$8,0))</f>
        <v/>
      </c>
      <c r="AF117" s="1318">
        <f>SUMIFS(62:62,$8:$8,"&gt;="&amp;DATE(YEAR(AF$8),1,1),$8:$8,"&lt;="&amp;EOMONTH(AF$8,0))/SUMIFS(26:26,$8:$8,"&gt;="&amp;DATE(YEAR(AF$8),1,1),$8:$8,"&lt;="&amp;EOMONTH(AF$8,0))</f>
        <v/>
      </c>
      <c r="AG117" s="1318">
        <f>SUMIFS(62:62,$8:$8,"&gt;="&amp;DATE(YEAR(AG$8),1,1),$8:$8,"&lt;="&amp;EOMONTH(AG$8,0))/SUMIFS(26:26,$8:$8,"&gt;="&amp;DATE(YEAR(AG$8),1,1),$8:$8,"&lt;="&amp;EOMONTH(AG$8,0))</f>
        <v/>
      </c>
      <c r="AH117" s="1318">
        <f>SUMIFS(62:62,$8:$8,"&gt;="&amp;DATE(YEAR(AH$8),1,1),$8:$8,"&lt;="&amp;EOMONTH(AH$8,0))/SUMIFS(26:26,$8:$8,"&gt;="&amp;DATE(YEAR(AH$8),1,1),$8:$8,"&lt;="&amp;EOMONTH(AH$8,0))</f>
        <v/>
      </c>
      <c r="AI117" s="1318">
        <f>SUMIFS(62:62,$8:$8,"&gt;="&amp;DATE(YEAR(AI$8),1,1),$8:$8,"&lt;="&amp;EOMONTH(AI$8,0))/SUMIFS(26:26,$8:$8,"&gt;="&amp;DATE(YEAR(AI$8),1,1),$8:$8,"&lt;="&amp;EOMONTH(AI$8,0))</f>
        <v/>
      </c>
      <c r="AJ117" s="1318">
        <f>SUMIFS(62:62,$8:$8,"&gt;="&amp;DATE(YEAR(AJ$8),1,1),$8:$8,"&lt;="&amp;EOMONTH(AJ$8,0))/SUMIFS(26:26,$8:$8,"&gt;="&amp;DATE(YEAR(AJ$8),1,1),$8:$8,"&lt;="&amp;EOMONTH(AJ$8,0))</f>
        <v/>
      </c>
      <c r="AK117" s="1318">
        <f>SUMIFS(62:62,$8:$8,"&gt;="&amp;DATE(YEAR(AK$8),1,1),$8:$8,"&lt;="&amp;EOMONTH(AK$8,0))/SUMIFS(26:26,$8:$8,"&gt;="&amp;DATE(YEAR(AK$8),1,1),$8:$8,"&lt;="&amp;EOMONTH(AK$8,0))</f>
        <v/>
      </c>
      <c r="AL117" s="1318">
        <f>SUMIFS(62:62,$8:$8,"&gt;="&amp;DATE(YEAR(AL$8),1,1),$8:$8,"&lt;="&amp;EOMONTH(AL$8,0))/SUMIFS(26:26,$8:$8,"&gt;="&amp;DATE(YEAR(AL$8),1,1),$8:$8,"&lt;="&amp;EOMONTH(AL$8,0))</f>
        <v/>
      </c>
      <c r="AM117" s="1318">
        <f>SUMIFS(62:62,$8:$8,"&gt;="&amp;DATE(YEAR(AM$8),1,1),$8:$8,"&lt;="&amp;EOMONTH(AM$8,0))/SUMIFS(26:26,$8:$8,"&gt;="&amp;DATE(YEAR(AM$8),1,1),$8:$8,"&lt;="&amp;EOMONTH(AM$8,0))</f>
        <v/>
      </c>
      <c r="AN117" s="1318">
        <f>SUMIFS(62:62,$8:$8,"&gt;="&amp;DATE(YEAR(AN$8),1,1),$8:$8,"&lt;="&amp;EOMONTH(AN$8,0))/SUMIFS(26:26,$8:$8,"&gt;="&amp;DATE(YEAR(AN$8),1,1),$8:$8,"&lt;="&amp;EOMONTH(AN$8,0))</f>
        <v/>
      </c>
      <c r="AO117" s="1318">
        <f>SUMIFS(62:62,$8:$8,"&gt;="&amp;DATE(YEAR(AO$8),1,1),$8:$8,"&lt;="&amp;EOMONTH(AO$8,0))/SUMIFS(26:26,$8:$8,"&gt;="&amp;DATE(YEAR(AO$8),1,1),$8:$8,"&lt;="&amp;EOMONTH(AO$8,0))</f>
        <v/>
      </c>
      <c r="AP117" s="1318">
        <f>SUMIFS(62:62,$8:$8,"&gt;="&amp;DATE(YEAR(AP$8),1,1),$8:$8,"&lt;="&amp;EOMONTH(AP$8,0))/SUMIFS(26:26,$8:$8,"&gt;="&amp;DATE(YEAR(AP$8),1,1),$8:$8,"&lt;="&amp;EOMONTH(AP$8,0))</f>
        <v/>
      </c>
      <c r="AQ117" s="1318">
        <f>SUMIFS(62:62,$8:$8,"&gt;="&amp;DATE(YEAR(AQ$8),1,1),$8:$8,"&lt;="&amp;EOMONTH(AQ$8,0))/SUMIFS(26:26,$8:$8,"&gt;="&amp;DATE(YEAR(AQ$8),1,1),$8:$8,"&lt;="&amp;EOMONTH(AQ$8,0))</f>
        <v/>
      </c>
      <c r="AR117" s="1318">
        <f>SUMIFS(62:62,$8:$8,"&gt;="&amp;DATE(YEAR(AR$8),1,1),$8:$8,"&lt;="&amp;EOMONTH(AR$8,0))/SUMIFS(26:26,$8:$8,"&gt;="&amp;DATE(YEAR(AR$8),1,1),$8:$8,"&lt;="&amp;EOMONTH(AR$8,0))</f>
        <v/>
      </c>
      <c r="AS117" s="1318">
        <f>SUMIFS(62:62,$8:$8,"&gt;="&amp;DATE(YEAR(AS$8),1,1),$8:$8,"&lt;="&amp;EOMONTH(AS$8,0))/SUMIFS(26:26,$8:$8,"&gt;="&amp;DATE(YEAR(AS$8),1,1),$8:$8,"&lt;="&amp;EOMONTH(AS$8,0))</f>
        <v/>
      </c>
      <c r="AT117" s="1318">
        <f>SUMIFS(62:62,$8:$8,"&gt;="&amp;DATE(YEAR(AT$8),1,1),$8:$8,"&lt;="&amp;EOMONTH(AT$8,0))/SUMIFS(26:26,$8:$8,"&gt;="&amp;DATE(YEAR(AT$8),1,1),$8:$8,"&lt;="&amp;EOMONTH(AT$8,0))</f>
        <v/>
      </c>
      <c r="AU117" s="1318">
        <f>SUMIFS(62:62,$8:$8,"&gt;="&amp;DATE(YEAR(AU$8),1,1),$8:$8,"&lt;="&amp;EOMONTH(AU$8,0))/SUMIFS(26:26,$8:$8,"&gt;="&amp;DATE(YEAR(AU$8),1,1),$8:$8,"&lt;="&amp;EOMONTH(AU$8,0))</f>
        <v/>
      </c>
      <c r="AV117" s="1318">
        <f>SUMIFS(62:62,$8:$8,"&gt;="&amp;DATE(YEAR(AV$8),1,1),$8:$8,"&lt;="&amp;EOMONTH(AV$8,0))/SUMIFS(26:26,$8:$8,"&gt;="&amp;DATE(YEAR(AV$8),1,1),$8:$8,"&lt;="&amp;EOMONTH(AV$8,0))</f>
        <v/>
      </c>
      <c r="AW117" s="1318">
        <f>SUMIFS(62:62,$8:$8,"&gt;="&amp;DATE(YEAR(AW$8),1,1),$8:$8,"&lt;="&amp;EOMONTH(AW$8,0))/SUMIFS(26:26,$8:$8,"&gt;="&amp;DATE(YEAR(AW$8),1,1),$8:$8,"&lt;="&amp;EOMONTH(AW$8,0))</f>
        <v/>
      </c>
      <c r="AX117" s="1318">
        <f>SUMIFS(62:62,$8:$8,"&gt;="&amp;DATE(YEAR(AX$8),1,1),$8:$8,"&lt;="&amp;EOMONTH(AX$8,0))/SUMIFS(26:26,$8:$8,"&gt;="&amp;DATE(YEAR(AX$8),1,1),$8:$8,"&lt;="&amp;EOMONTH(AX$8,0))</f>
        <v/>
      </c>
      <c r="AY117" s="1318">
        <f>SUMIFS(62:62,$8:$8,"&gt;="&amp;DATE(YEAR(AY$8),1,1),$8:$8,"&lt;="&amp;EOMONTH(AY$8,0))/SUMIFS(26:26,$8:$8,"&gt;="&amp;DATE(YEAR(AY$8),1,1),$8:$8,"&lt;="&amp;EOMONTH(AY$8,0))</f>
        <v/>
      </c>
      <c r="AZ117" s="1318">
        <f>SUMIFS(62:62,$8:$8,"&gt;="&amp;DATE(YEAR(AZ$8),1,1),$8:$8,"&lt;="&amp;EOMONTH(AZ$8,0))/SUMIFS(26:26,$8:$8,"&gt;="&amp;DATE(YEAR(AZ$8),1,1),$8:$8,"&lt;="&amp;EOMONTH(AZ$8,0))</f>
        <v/>
      </c>
      <c r="BA117" s="1318">
        <f>SUMIFS(62:62,$8:$8,"&gt;="&amp;DATE(YEAR(BA$8),1,1),$8:$8,"&lt;="&amp;EOMONTH(BA$8,0))/SUMIFS(26:26,$8:$8,"&gt;="&amp;DATE(YEAR(BA$8),1,1),$8:$8,"&lt;="&amp;EOMONTH(BA$8,0))</f>
        <v/>
      </c>
      <c r="BB117" s="1318">
        <f>SUMIFS(62:62,$8:$8,"&gt;="&amp;DATE(YEAR(BB$8),1,1),$8:$8,"&lt;="&amp;EOMONTH(BB$8,0))/SUMIFS(26:26,$8:$8,"&gt;="&amp;DATE(YEAR(BB$8),1,1),$8:$8,"&lt;="&amp;EOMONTH(BB$8,0))</f>
        <v/>
      </c>
      <c r="BC117" s="1318">
        <f>SUMIFS(62:62,$8:$8,"&gt;="&amp;DATE(YEAR(BC$8),1,1),$8:$8,"&lt;="&amp;EOMONTH(BC$8,0))/SUMIFS(26:26,$8:$8,"&gt;="&amp;DATE(YEAR(BC$8),1,1),$8:$8,"&lt;="&amp;EOMONTH(BC$8,0))</f>
        <v/>
      </c>
      <c r="BD117" s="1318">
        <f>SUMIFS(62:62,$8:$8,"&gt;="&amp;DATE(YEAR(BD$8),1,1),$8:$8,"&lt;="&amp;EOMONTH(BD$8,0))/SUMIFS(26:26,$8:$8,"&gt;="&amp;DATE(YEAR(BD$8),1,1),$8:$8,"&lt;="&amp;EOMONTH(BD$8,0))</f>
        <v/>
      </c>
      <c r="BE117" s="1318">
        <f>SUMIFS(62:62,$8:$8,"&gt;="&amp;DATE(YEAR(BE$8),1,1),$8:$8,"&lt;="&amp;EOMONTH(BE$8,0))/SUMIFS(26:26,$8:$8,"&gt;="&amp;DATE(YEAR(BE$8),1,1),$8:$8,"&lt;="&amp;EOMONTH(BE$8,0))</f>
        <v/>
      </c>
      <c r="BF117" s="1318">
        <f>SUMIFS(62:62,$8:$8,"&gt;="&amp;DATE(YEAR(BF$8),1,1),$8:$8,"&lt;="&amp;EOMONTH(BF$8,0))/SUMIFS(26:26,$8:$8,"&gt;="&amp;DATE(YEAR(BF$8),1,1),$8:$8,"&lt;="&amp;EOMONTH(BF$8,0))</f>
        <v/>
      </c>
      <c r="BG117" s="1318">
        <f>SUMIFS(62:62,$8:$8,"&gt;="&amp;DATE(YEAR(BG$8),1,1),$8:$8,"&lt;="&amp;EOMONTH(BG$8,0))/SUMIFS(26:26,$8:$8,"&gt;="&amp;DATE(YEAR(BG$8),1,1),$8:$8,"&lt;="&amp;EOMONTH(BG$8,0))</f>
        <v/>
      </c>
      <c r="BH117" s="1318">
        <f>SUMIFS(62:62,$8:$8,"&gt;="&amp;DATE(YEAR(BH$8),1,1),$8:$8,"&lt;="&amp;EOMONTH(BH$8,0))/SUMIFS(26:26,$8:$8,"&gt;="&amp;DATE(YEAR(BH$8),1,1),$8:$8,"&lt;="&amp;EOMONTH(BH$8,0))</f>
        <v/>
      </c>
      <c r="BI117" s="1318">
        <f>SUMIFS(62:62,$8:$8,"&gt;="&amp;DATE(YEAR(BI$8),1,1),$8:$8,"&lt;="&amp;EOMONTH(BI$8,0))/SUMIFS(26:26,$8:$8,"&gt;="&amp;DATE(YEAR(BI$8),1,1),$8:$8,"&lt;="&amp;EOMONTH(BI$8,0))</f>
        <v/>
      </c>
      <c r="BJ117" s="1318">
        <f>SUMIFS(62:62,$8:$8,"&gt;="&amp;DATE(YEAR(BJ$8),1,1),$8:$8,"&lt;="&amp;EOMONTH(BJ$8,0))/SUMIFS(26:26,$8:$8,"&gt;="&amp;DATE(YEAR(BJ$8),1,1),$8:$8,"&lt;="&amp;EOMONTH(BJ$8,0))</f>
        <v/>
      </c>
      <c r="BK117" s="1318">
        <f>SUMIFS(62:62,$8:$8,"&gt;="&amp;DATE(YEAR(BK$8),1,1),$8:$8,"&lt;="&amp;EOMONTH(BK$8,0))/SUMIFS(26:26,$8:$8,"&gt;="&amp;DATE(YEAR(BK$8),1,1),$8:$8,"&lt;="&amp;EOMONTH(BK$8,0))</f>
        <v/>
      </c>
      <c r="BL117" s="1318">
        <f>SUMIFS(62:62,$8:$8,"&gt;="&amp;DATE(YEAR(BL$8),1,1),$8:$8,"&lt;="&amp;EOMONTH(BL$8,0))/SUMIFS(26:26,$8:$8,"&gt;="&amp;DATE(YEAR(BL$8),1,1),$8:$8,"&lt;="&amp;EOMONTH(BL$8,0))</f>
        <v/>
      </c>
      <c r="BM117" s="1318">
        <f>SUMIFS(62:62,$8:$8,"&gt;="&amp;DATE(YEAR(BM$8),1,1),$8:$8,"&lt;="&amp;EOMONTH(BM$8,0))/SUMIFS(26:26,$8:$8,"&gt;="&amp;DATE(YEAR(BM$8),1,1),$8:$8,"&lt;="&amp;EOMONTH(BM$8,0))</f>
        <v/>
      </c>
      <c r="BN117" s="1318">
        <f>SUMIFS(62:62,$8:$8,"&gt;="&amp;DATE(YEAR(BN$8),1,1),$8:$8,"&lt;="&amp;EOMONTH(BN$8,0))/SUMIFS(26:26,$8:$8,"&gt;="&amp;DATE(YEAR(BN$8),1,1),$8:$8,"&lt;="&amp;EOMONTH(BN$8,0))</f>
        <v/>
      </c>
      <c r="BO117" s="1318">
        <f>SUMIFS(62:62,$8:$8,"&gt;="&amp;DATE(YEAR(BO$8),1,1),$8:$8,"&lt;="&amp;EOMONTH(BO$8,0))/SUMIFS(26:26,$8:$8,"&gt;="&amp;DATE(YEAR(BO$8),1,1),$8:$8,"&lt;="&amp;EOMONTH(BO$8,0))</f>
        <v/>
      </c>
      <c r="BP117" s="1318">
        <f>SUMIFS(62:62,$8:$8,"&gt;="&amp;DATE(YEAR(BP$8),1,1),$8:$8,"&lt;="&amp;EOMONTH(BP$8,0))/SUMIFS(26:26,$8:$8,"&gt;="&amp;DATE(YEAR(BP$8),1,1),$8:$8,"&lt;="&amp;EOMONTH(BP$8,0))</f>
        <v/>
      </c>
      <c r="BQ117" s="1318">
        <f>SUMIFS(62:62,$8:$8,"&gt;="&amp;DATE(YEAR(BQ$8),1,1),$8:$8,"&lt;="&amp;EOMONTH(BQ$8,0))/SUMIFS(26:26,$8:$8,"&gt;="&amp;DATE(YEAR(BQ$8),1,1),$8:$8,"&lt;="&amp;EOMONTH(BQ$8,0))</f>
        <v/>
      </c>
      <c r="BR117" s="1318">
        <f>SUMIFS(62:62,$8:$8,"&gt;="&amp;DATE(YEAR(BR$8),1,1),$8:$8,"&lt;="&amp;EOMONTH(BR$8,0))/SUMIFS(26:26,$8:$8,"&gt;="&amp;DATE(YEAR(BR$8),1,1),$8:$8,"&lt;="&amp;EOMONTH(BR$8,0))</f>
        <v/>
      </c>
      <c r="BS117" s="1318">
        <f>SUMIFS(62:62,$8:$8,"&gt;="&amp;DATE(YEAR(BS$8),1,1),$8:$8,"&lt;="&amp;EOMONTH(BS$8,0))/SUMIFS(26:26,$8:$8,"&gt;="&amp;DATE(YEAR(BS$8),1,1),$8:$8,"&lt;="&amp;EOMONTH(BS$8,0))</f>
        <v/>
      </c>
      <c r="BT117" s="1318">
        <f>SUMIFS(62:62,$8:$8,"&gt;="&amp;DATE(YEAR(BT$8),1,1),$8:$8,"&lt;="&amp;EOMONTH(BT$8,0))/SUMIFS(26:26,$8:$8,"&gt;="&amp;DATE(YEAR(BT$8),1,1),$8:$8,"&lt;="&amp;EOMONTH(BT$8,0))</f>
        <v/>
      </c>
      <c r="BU117" s="1318">
        <f>SUMIFS(62:62,$8:$8,"&gt;="&amp;DATE(YEAR(BU$8),1,1),$8:$8,"&lt;="&amp;EOMONTH(BU$8,0))/SUMIFS(26:26,$8:$8,"&gt;="&amp;DATE(YEAR(BU$8),1,1),$8:$8,"&lt;="&amp;EOMONTH(BU$8,0))</f>
        <v/>
      </c>
      <c r="BV117" s="1318">
        <f>SUMIFS(62:62,$8:$8,"&gt;="&amp;DATE(YEAR(BV$8),1,1),$8:$8,"&lt;="&amp;EOMONTH(BV$8,0))/SUMIFS(26:26,$8:$8,"&gt;="&amp;DATE(YEAR(BV$8),1,1),$8:$8,"&lt;="&amp;EOMONTH(BV$8,0))</f>
        <v/>
      </c>
      <c r="BW117" s="1318">
        <f>SUMIFS(62:62,$8:$8,"&gt;="&amp;DATE(YEAR(BW$8),1,1),$8:$8,"&lt;="&amp;EOMONTH(BW$8,0))/SUMIFS(26:26,$8:$8,"&gt;="&amp;DATE(YEAR(BW$8),1,1),$8:$8,"&lt;="&amp;EOMONTH(BW$8,0))</f>
        <v/>
      </c>
      <c r="BX117" s="1318">
        <f>SUMIFS(62:62,$8:$8,"&gt;="&amp;DATE(YEAR(BX$8),1,1),$8:$8,"&lt;="&amp;EOMONTH(BX$8,0))/SUMIFS(26:26,$8:$8,"&gt;="&amp;DATE(YEAR(BX$8),1,1),$8:$8,"&lt;="&amp;EOMONTH(BX$8,0))</f>
        <v/>
      </c>
      <c r="BY117" s="1318">
        <f>SUMIFS(62:62,$8:$8,"&gt;="&amp;DATE(YEAR(BY$8),1,1),$8:$8,"&lt;="&amp;EOMONTH(BY$8,0))/SUMIFS(26:26,$8:$8,"&gt;="&amp;DATE(YEAR(BY$8),1,1),$8:$8,"&lt;="&amp;EOMONTH(BY$8,0))</f>
        <v/>
      </c>
      <c r="BZ117" s="1318">
        <f>SUMIFS(62:62,$8:$8,"&gt;="&amp;DATE(YEAR(BZ$8),1,1),$8:$8,"&lt;="&amp;EOMONTH(BZ$8,0))/SUMIFS(26:26,$8:$8,"&gt;="&amp;DATE(YEAR(BZ$8),1,1),$8:$8,"&lt;="&amp;EOMONTH(BZ$8,0))</f>
        <v/>
      </c>
      <c r="CA117" s="1318">
        <f>SUMIFS(62:62,$8:$8,"&gt;="&amp;DATE(YEAR(CA$8),1,1),$8:$8,"&lt;="&amp;EOMONTH(CA$8,0))/SUMIFS(26:26,$8:$8,"&gt;="&amp;DATE(YEAR(CA$8),1,1),$8:$8,"&lt;="&amp;EOMONTH(CA$8,0))</f>
        <v/>
      </c>
      <c r="CB117" s="1318">
        <f>SUMIFS(62:62,$8:$8,"&gt;="&amp;DATE(YEAR(CB$8),1,1),$8:$8,"&lt;="&amp;EOMONTH(CB$8,0))/SUMIFS(26:26,$8:$8,"&gt;="&amp;DATE(YEAR(CB$8),1,1),$8:$8,"&lt;="&amp;EOMONTH(CB$8,0))</f>
        <v/>
      </c>
      <c r="CC117" s="1318">
        <f>SUMIFS(62:62,$8:$8,"&gt;="&amp;DATE(YEAR(CC$8),1,1),$8:$8,"&lt;="&amp;EOMONTH(CC$8,0))/SUMIFS(26:26,$8:$8,"&gt;="&amp;DATE(YEAR(CC$8),1,1),$8:$8,"&lt;="&amp;EOMONTH(CC$8,0))</f>
        <v/>
      </c>
      <c r="CD117" s="1318">
        <f>SUMIFS(62:62,$8:$8,"&gt;="&amp;DATE(YEAR(CD$8),1,1),$8:$8,"&lt;="&amp;EOMONTH(CD$8,0))/SUMIFS(26:26,$8:$8,"&gt;="&amp;DATE(YEAR(CD$8),1,1),$8:$8,"&lt;="&amp;EOMONTH(CD$8,0))</f>
        <v/>
      </c>
      <c r="CE117" s="1318">
        <f>SUMIFS(62:62,$8:$8,"&gt;="&amp;DATE(YEAR(CE$8),1,1),$8:$8,"&lt;="&amp;EOMONTH(CE$8,0))/SUMIFS(26:26,$8:$8,"&gt;="&amp;DATE(YEAR(CE$8),1,1),$8:$8,"&lt;="&amp;EOMONTH(CE$8,0))</f>
        <v/>
      </c>
      <c r="CF117" s="1318">
        <f>SUMIFS(62:62,$8:$8,"&gt;="&amp;DATE(YEAR(CF$8),1,1),$8:$8,"&lt;="&amp;EOMONTH(CF$8,0))/SUMIFS(26:26,$8:$8,"&gt;="&amp;DATE(YEAR(CF$8),1,1),$8:$8,"&lt;="&amp;EOMONTH(CF$8,0))</f>
        <v/>
      </c>
      <c r="CG117" s="1318">
        <f>SUMIFS(62:62,$8:$8,"&gt;="&amp;DATE(YEAR(CG$8),1,1),$8:$8,"&lt;="&amp;EOMONTH(CG$8,0))/SUMIFS(26:26,$8:$8,"&gt;="&amp;DATE(YEAR(CG$8),1,1),$8:$8,"&lt;="&amp;EOMONTH(CG$8,0))</f>
        <v/>
      </c>
      <c r="CH117" s="1318">
        <f>SUMIFS(62:62,$8:$8,"&gt;="&amp;DATE(YEAR(CH$8),1,1),$8:$8,"&lt;="&amp;EOMONTH(CH$8,0))/SUMIFS(26:26,$8:$8,"&gt;="&amp;DATE(YEAR(CH$8),1,1),$8:$8,"&lt;="&amp;EOMONTH(CH$8,0))</f>
        <v/>
      </c>
      <c r="CI117" s="1318">
        <f>SUMIFS(62:62,$8:$8,"&gt;="&amp;DATE(YEAR(CI$8),1,1),$8:$8,"&lt;="&amp;EOMONTH(CI$8,0))/SUMIFS(26:26,$8:$8,"&gt;="&amp;DATE(YEAR(CI$8),1,1),$8:$8,"&lt;="&amp;EOMONTH(CI$8,0))</f>
        <v/>
      </c>
      <c r="CJ117" s="1318">
        <f>SUMIFS(62:62,$8:$8,"&gt;="&amp;DATE(YEAR(CJ$8),1,1),$8:$8,"&lt;="&amp;EOMONTH(CJ$8,0))/SUMIFS(26:26,$8:$8,"&gt;="&amp;DATE(YEAR(CJ$8),1,1),$8:$8,"&lt;="&amp;EOMONTH(CJ$8,0))</f>
        <v/>
      </c>
      <c r="CK117" s="1318">
        <f>SUMIFS(62:62,$8:$8,"&gt;="&amp;DATE(YEAR(CK$8),1,1),$8:$8,"&lt;="&amp;EOMONTH(CK$8,0))/SUMIFS(26:26,$8:$8,"&gt;="&amp;DATE(YEAR(CK$8),1,1),$8:$8,"&lt;="&amp;EOMONTH(CK$8,0))</f>
        <v/>
      </c>
      <c r="CL117" s="1318">
        <f>SUMIFS(62:62,$8:$8,"&gt;="&amp;DATE(YEAR(CL$8),1,1),$8:$8,"&lt;="&amp;EOMONTH(CL$8,0))/SUMIFS(26:26,$8:$8,"&gt;="&amp;DATE(YEAR(CL$8),1,1),$8:$8,"&lt;="&amp;EOMONTH(CL$8,0))</f>
        <v/>
      </c>
      <c r="CM117" s="1318">
        <f>SUMIFS(62:62,$8:$8,"&gt;="&amp;DATE(YEAR(CM$8),1,1),$8:$8,"&lt;="&amp;EOMONTH(CM$8,0))/SUMIFS(26:26,$8:$8,"&gt;="&amp;DATE(YEAR(CM$8),1,1),$8:$8,"&lt;="&amp;EOMONTH(CM$8,0))</f>
        <v/>
      </c>
      <c r="CN117" s="1318">
        <f>SUMIFS(62:62,$8:$8,"&gt;="&amp;DATE(YEAR(CN$8),1,1),$8:$8,"&lt;="&amp;EOMONTH(CN$8,0))/SUMIFS(26:26,$8:$8,"&gt;="&amp;DATE(YEAR(CN$8),1,1),$8:$8,"&lt;="&amp;EOMONTH(CN$8,0))</f>
        <v/>
      </c>
      <c r="CO117" s="1318">
        <f>SUMIFS(62:62,$8:$8,"&gt;="&amp;DATE(YEAR(CO$8),1,1),$8:$8,"&lt;="&amp;EOMONTH(CO$8,0))/SUMIFS(26:26,$8:$8,"&gt;="&amp;DATE(YEAR(CO$8),1,1),$8:$8,"&lt;="&amp;EOMONTH(CO$8,0))</f>
        <v/>
      </c>
      <c r="CP117" s="1318">
        <f>SUMIFS(62:62,$8:$8,"&gt;="&amp;DATE(YEAR(CP$8),1,1),$8:$8,"&lt;="&amp;EOMONTH(CP$8,0))/SUMIFS(26:26,$8:$8,"&gt;="&amp;DATE(YEAR(CP$8),1,1),$8:$8,"&lt;="&amp;EOMONTH(CP$8,0))</f>
        <v/>
      </c>
      <c r="CQ117" s="1318">
        <f>SUMIFS(62:62,$8:$8,"&gt;="&amp;DATE(YEAR(CQ$8),1,1),$8:$8,"&lt;="&amp;EOMONTH(CQ$8,0))/SUMIFS(26:26,$8:$8,"&gt;="&amp;DATE(YEAR(CQ$8),1,1),$8:$8,"&lt;="&amp;EOMONTH(CQ$8,0))</f>
        <v/>
      </c>
      <c r="CR117" s="1318">
        <f>SUMIFS(62:62,$8:$8,"&gt;="&amp;DATE(YEAR(CR$8),1,1),$8:$8,"&lt;="&amp;EOMONTH(CR$8,0))/SUMIFS(26:26,$8:$8,"&gt;="&amp;DATE(YEAR(CR$8),1,1),$8:$8,"&lt;="&amp;EOMONTH(CR$8,0))</f>
        <v/>
      </c>
      <c r="CS117" s="1318">
        <f>SUMIFS(62:62,$8:$8,"&gt;="&amp;DATE(YEAR(CS$8),1,1),$8:$8,"&lt;="&amp;EOMONTH(CS$8,0))/SUMIFS(26:26,$8:$8,"&gt;="&amp;DATE(YEAR(CS$8),1,1),$8:$8,"&lt;="&amp;EOMONTH(CS$8,0))</f>
        <v/>
      </c>
      <c r="CT117" s="1318">
        <f>SUMIFS(62:62,$8:$8,"&gt;="&amp;DATE(YEAR(CT$8),1,1),$8:$8,"&lt;="&amp;EOMONTH(CT$8,0))/SUMIFS(26:26,$8:$8,"&gt;="&amp;DATE(YEAR(CT$8),1,1),$8:$8,"&lt;="&amp;EOMONTH(CT$8,0))</f>
        <v/>
      </c>
      <c r="CU117" s="1318">
        <f>SUMIFS(62:62,$8:$8,"&gt;="&amp;DATE(YEAR(CU$8),1,1),$8:$8,"&lt;="&amp;EOMONTH(CU$8,0))/SUMIFS(26:26,$8:$8,"&gt;="&amp;DATE(YEAR(CU$8),1,1),$8:$8,"&lt;="&amp;EOMONTH(CU$8,0))</f>
        <v/>
      </c>
      <c r="CV117" s="1318">
        <f>SUMIFS(62:62,$8:$8,"&gt;="&amp;DATE(YEAR(CV$8),1,1),$8:$8,"&lt;="&amp;EOMONTH(CV$8,0))/SUMIFS(26:26,$8:$8,"&gt;="&amp;DATE(YEAR(CV$8),1,1),$8:$8,"&lt;="&amp;EOMONTH(CV$8,0))</f>
        <v/>
      </c>
      <c r="CW117" s="1318">
        <f>SUMIFS(62:62,$8:$8,"&gt;="&amp;DATE(YEAR(CW$8),1,1),$8:$8,"&lt;="&amp;EOMONTH(CW$8,0))/SUMIFS(26:26,$8:$8,"&gt;="&amp;DATE(YEAR(CW$8),1,1),$8:$8,"&lt;="&amp;EOMONTH(CW$8,0))</f>
        <v/>
      </c>
      <c r="CX117" s="1318">
        <f>SUMIFS(62:62,$8:$8,"&gt;="&amp;DATE(YEAR(CX$8),1,1),$8:$8,"&lt;="&amp;EOMONTH(CX$8,0))/SUMIFS(26:26,$8:$8,"&gt;="&amp;DATE(YEAR(CX$8),1,1),$8:$8,"&lt;="&amp;EOMONTH(CX$8,0))</f>
        <v/>
      </c>
      <c r="CY117" s="1318">
        <f>SUMIFS(62:62,$8:$8,"&gt;="&amp;DATE(YEAR(CY$8),1,1),$8:$8,"&lt;="&amp;EOMONTH(CY$8,0))/SUMIFS(26:26,$8:$8,"&gt;="&amp;DATE(YEAR(CY$8),1,1),$8:$8,"&lt;="&amp;EOMONTH(CY$8,0))</f>
        <v/>
      </c>
      <c r="CZ117" s="1318">
        <f>SUMIFS(62:62,$8:$8,"&gt;="&amp;DATE(YEAR(CZ$8),1,1),$8:$8,"&lt;="&amp;EOMONTH(CZ$8,0))/SUMIFS(26:26,$8:$8,"&gt;="&amp;DATE(YEAR(CZ$8),1,1),$8:$8,"&lt;="&amp;EOMONTH(CZ$8,0))</f>
        <v/>
      </c>
      <c r="DA117" s="1318">
        <f>SUMIFS(62:62,$8:$8,"&gt;="&amp;DATE(YEAR(DA$8),1,1),$8:$8,"&lt;="&amp;EOMONTH(DA$8,0))/SUMIFS(26:26,$8:$8,"&gt;="&amp;DATE(YEAR(DA$8),1,1),$8:$8,"&lt;="&amp;EOMONTH(DA$8,0))</f>
        <v/>
      </c>
      <c r="DB117" s="1318">
        <f>SUMIFS(62:62,$8:$8,"&gt;="&amp;DATE(YEAR(DB$8),1,1),$8:$8,"&lt;="&amp;EOMONTH(DB$8,0))/SUMIFS(26:26,$8:$8,"&gt;="&amp;DATE(YEAR(DB$8),1,1),$8:$8,"&lt;="&amp;EOMONTH(DB$8,0))</f>
        <v/>
      </c>
      <c r="DC117" s="1318">
        <f>SUMIFS(62:62,$8:$8,"&gt;="&amp;DATE(YEAR(DC$8),1,1),$8:$8,"&lt;="&amp;EOMONTH(DC$8,0))/SUMIFS(26:26,$8:$8,"&gt;="&amp;DATE(YEAR(DC$8),1,1),$8:$8,"&lt;="&amp;EOMONTH(DC$8,0))</f>
        <v/>
      </c>
      <c r="DD117" s="1318">
        <f>SUMIFS(62:62,$8:$8,"&gt;="&amp;DATE(YEAR(DD$8),1,1),$8:$8,"&lt;="&amp;EOMONTH(DD$8,0))/SUMIFS(26:26,$8:$8,"&gt;="&amp;DATE(YEAR(DD$8),1,1),$8:$8,"&lt;="&amp;EOMONTH(DD$8,0))</f>
        <v/>
      </c>
      <c r="DE117" s="1318">
        <f>SUMIFS(62:62,$8:$8,"&gt;="&amp;DATE(YEAR(DE$8),1,1),$8:$8,"&lt;="&amp;EOMONTH(DE$8,0))/SUMIFS(26:26,$8:$8,"&gt;="&amp;DATE(YEAR(DE$8),1,1),$8:$8,"&lt;="&amp;EOMONTH(DE$8,0))</f>
        <v/>
      </c>
      <c r="DF117" s="1318">
        <f>SUMIFS(62:62,$8:$8,"&gt;="&amp;DATE(YEAR(DF$8),1,1),$8:$8,"&lt;="&amp;EOMONTH(DF$8,0))/SUMIFS(26:26,$8:$8,"&gt;="&amp;DATE(YEAR(DF$8),1,1),$8:$8,"&lt;="&amp;EOMONTH(DF$8,0))</f>
        <v/>
      </c>
      <c r="DG117" s="1318">
        <f>SUMIFS(62:62,$8:$8,"&gt;="&amp;DATE(YEAR(DG$8),1,1),$8:$8,"&lt;="&amp;EOMONTH(DG$8,0))/SUMIFS(26:26,$8:$8,"&gt;="&amp;DATE(YEAR(DG$8),1,1),$8:$8,"&lt;="&amp;EOMONTH(DG$8,0))</f>
        <v/>
      </c>
      <c r="DH117" s="1318">
        <f>SUMIFS(62:62,$8:$8,"&gt;="&amp;DATE(YEAR(DH$8),1,1),$8:$8,"&lt;="&amp;EOMONTH(DH$8,0))/SUMIFS(26:26,$8:$8,"&gt;="&amp;DATE(YEAR(DH$8),1,1),$8:$8,"&lt;="&amp;EOMONTH(DH$8,0))</f>
        <v/>
      </c>
      <c r="DI117" s="1318">
        <f>SUMIFS(62:62,$8:$8,"&gt;="&amp;DATE(YEAR(DI$8),1,1),$8:$8,"&lt;="&amp;EOMONTH(DI$8,0))/SUMIFS(26:26,$8:$8,"&gt;="&amp;DATE(YEAR(DI$8),1,1),$8:$8,"&lt;="&amp;EOMONTH(DI$8,0))</f>
        <v/>
      </c>
      <c r="DJ117" s="1318">
        <f>SUMIFS(62:62,$8:$8,"&gt;="&amp;DATE(YEAR(DJ$8),1,1),$8:$8,"&lt;="&amp;EOMONTH(DJ$8,0))/SUMIFS(26:26,$8:$8,"&gt;="&amp;DATE(YEAR(DJ$8),1,1),$8:$8,"&lt;="&amp;EOMONTH(DJ$8,0))</f>
        <v/>
      </c>
      <c r="DK117" s="1318">
        <f>SUMIFS(62:62,$8:$8,"&gt;="&amp;DATE(YEAR(DK$8),1,1),$8:$8,"&lt;="&amp;EOMONTH(DK$8,0))/SUMIFS(26:26,$8:$8,"&gt;="&amp;DATE(YEAR(DK$8),1,1),$8:$8,"&lt;="&amp;EOMONTH(DK$8,0))</f>
        <v/>
      </c>
      <c r="DL117" s="1318">
        <f>SUMIFS(62:62,$8:$8,"&gt;="&amp;DATE(YEAR(DL$8),1,1),$8:$8,"&lt;="&amp;EOMONTH(DL$8,0))/SUMIFS(26:26,$8:$8,"&gt;="&amp;DATE(YEAR(DL$8),1,1),$8:$8,"&lt;="&amp;EOMONTH(DL$8,0))</f>
        <v/>
      </c>
      <c r="DM117" s="1318">
        <f>SUMIFS(62:62,$8:$8,"&gt;="&amp;DATE(YEAR(DM$8),1,1),$8:$8,"&lt;="&amp;EOMONTH(DM$8,0))/SUMIFS(26:26,$8:$8,"&gt;="&amp;DATE(YEAR(DM$8),1,1),$8:$8,"&lt;="&amp;EOMONTH(DM$8,0))</f>
        <v/>
      </c>
      <c r="DN117" s="1318">
        <f>SUMIFS(62:62,$8:$8,"&gt;="&amp;DATE(YEAR(DN$8),1,1),$8:$8,"&lt;="&amp;EOMONTH(DN$8,0))/SUMIFS(26:26,$8:$8,"&gt;="&amp;DATE(YEAR(DN$8),1,1),$8:$8,"&lt;="&amp;EOMONTH(DN$8,0))</f>
        <v/>
      </c>
      <c r="DO117" s="1318">
        <f>SUMIFS(62:62,$8:$8,"&gt;="&amp;DATE(YEAR(DO$8),1,1),$8:$8,"&lt;="&amp;EOMONTH(DO$8,0))/SUMIFS(26:26,$8:$8,"&gt;="&amp;DATE(YEAR(DO$8),1,1),$8:$8,"&lt;="&amp;EOMONTH(DO$8,0))</f>
        <v/>
      </c>
      <c r="DP117" s="1318">
        <f>SUMIFS(62:62,$8:$8,"&gt;="&amp;DATE(YEAR(DP$8),1,1),$8:$8,"&lt;="&amp;EOMONTH(DP$8,0))/SUMIFS(26:26,$8:$8,"&gt;="&amp;DATE(YEAR(DP$8),1,1),$8:$8,"&lt;="&amp;EOMONTH(DP$8,0))</f>
        <v/>
      </c>
      <c r="DQ117" s="1318">
        <f>SUMIFS(62:62,$8:$8,"&gt;="&amp;DATE(YEAR(DQ$8),1,1),$8:$8,"&lt;="&amp;EOMONTH(DQ$8,0))/SUMIFS(26:26,$8:$8,"&gt;="&amp;DATE(YEAR(DQ$8),1,1),$8:$8,"&lt;="&amp;EOMONTH(DQ$8,0))</f>
        <v/>
      </c>
      <c r="DR117" s="1318">
        <f>SUMIFS(62:62,$8:$8,"&gt;="&amp;DATE(YEAR(DR$8),1,1),$8:$8,"&lt;="&amp;EOMONTH(DR$8,0))/SUMIFS(26:26,$8:$8,"&gt;="&amp;DATE(YEAR(DR$8),1,1),$8:$8,"&lt;="&amp;EOMONTH(DR$8,0))</f>
        <v/>
      </c>
      <c r="DS117" s="1318">
        <f>SUMIFS(62:62,$8:$8,"&gt;="&amp;DATE(YEAR(DS$8),1,1),$8:$8,"&lt;="&amp;EOMONTH(DS$8,0))/SUMIFS(26:26,$8:$8,"&gt;="&amp;DATE(YEAR(DS$8),1,1),$8:$8,"&lt;="&amp;EOMONTH(DS$8,0))</f>
        <v/>
      </c>
      <c r="DT117" s="1318">
        <f>SUMIFS(62:62,$8:$8,"&gt;="&amp;DATE(YEAR(DT$8),1,1),$8:$8,"&lt;="&amp;EOMONTH(DT$8,0))/SUMIFS(26:26,$8:$8,"&gt;="&amp;DATE(YEAR(DT$8),1,1),$8:$8,"&lt;="&amp;EOMONTH(DT$8,0))</f>
        <v/>
      </c>
      <c r="DU117" s="1318">
        <f>SUMIFS(62:62,$8:$8,"&gt;="&amp;DATE(YEAR(DU$8),1,1),$8:$8,"&lt;="&amp;EOMONTH(DU$8,0))/SUMIFS(26:26,$8:$8,"&gt;="&amp;DATE(YEAR(DU$8),1,1),$8:$8,"&lt;="&amp;EOMONTH(DU$8,0))</f>
        <v/>
      </c>
      <c r="DV117" s="1318">
        <f>SUMIFS(62:62,$8:$8,"&gt;="&amp;DATE(YEAR(DV$8),1,1),$8:$8,"&lt;="&amp;EOMONTH(DV$8,0))/SUMIFS(26:26,$8:$8,"&gt;="&amp;DATE(YEAR(DV$8),1,1),$8:$8,"&lt;="&amp;EOMONTH(DV$8,0))</f>
        <v/>
      </c>
      <c r="DW117" s="1318">
        <f>SUMIFS(62:62,$8:$8,"&gt;="&amp;DATE(YEAR(DW$8),1,1),$8:$8,"&lt;="&amp;EOMONTH(DW$8,0))/SUMIFS(26:26,$8:$8,"&gt;="&amp;DATE(YEAR(DW$8),1,1),$8:$8,"&lt;="&amp;EOMONTH(DW$8,0))</f>
        <v/>
      </c>
      <c r="DX117" s="1318">
        <f>SUMIFS(62:62,$8:$8,"&gt;="&amp;DATE(YEAR(DX$8),1,1),$8:$8,"&lt;="&amp;EOMONTH(DX$8,0))/SUMIFS(26:26,$8:$8,"&gt;="&amp;DATE(YEAR(DX$8),1,1),$8:$8,"&lt;="&amp;EOMONTH(DX$8,0))</f>
        <v/>
      </c>
      <c r="DY117" s="1318">
        <f>SUMIFS(62:62,$8:$8,"&gt;="&amp;DATE(YEAR(DY$8),1,1),$8:$8,"&lt;="&amp;EOMONTH(DY$8,0))/SUMIFS(26:26,$8:$8,"&gt;="&amp;DATE(YEAR(DY$8),1,1),$8:$8,"&lt;="&amp;EOMONTH(DY$8,0))</f>
        <v/>
      </c>
      <c r="DZ117" s="1318">
        <f>SUMIFS(62:62,$8:$8,"&gt;="&amp;DATE(YEAR(DZ$8),1,1),$8:$8,"&lt;="&amp;EOMONTH(DZ$8,0))/SUMIFS(26:26,$8:$8,"&gt;="&amp;DATE(YEAR(DZ$8),1,1),$8:$8,"&lt;="&amp;EOMONTH(DZ$8,0))</f>
        <v/>
      </c>
      <c r="EA117" s="1318">
        <f>SUMIFS(62:62,$8:$8,"&gt;="&amp;DATE(YEAR(EA$8),1,1),$8:$8,"&lt;="&amp;EOMONTH(EA$8,0))/SUMIFS(26:26,$8:$8,"&gt;="&amp;DATE(YEAR(EA$8),1,1),$8:$8,"&lt;="&amp;EOMONTH(EA$8,0))</f>
        <v/>
      </c>
      <c r="EB117" s="1318">
        <f>SUMIFS(62:62,$8:$8,"&gt;="&amp;DATE(YEAR(EB$8),1,1),$8:$8,"&lt;="&amp;EOMONTH(EB$8,0))/SUMIFS(26:26,$8:$8,"&gt;="&amp;DATE(YEAR(EB$8),1,1),$8:$8,"&lt;="&amp;EOMONTH(EB$8,0))</f>
        <v/>
      </c>
      <c r="EC117" s="1318">
        <f>SUMIFS(62:62,$8:$8,"&gt;="&amp;DATE(YEAR(EC$8),1,1),$8:$8,"&lt;="&amp;EOMONTH(EC$8,0))/SUMIFS(26:26,$8:$8,"&gt;="&amp;DATE(YEAR(EC$8),1,1),$8:$8,"&lt;="&amp;EOMONTH(EC$8,0))</f>
        <v/>
      </c>
      <c r="ED117" s="1318">
        <f>SUMIFS(62:62,$8:$8,"&gt;="&amp;DATE(YEAR(ED$8),1,1),$8:$8,"&lt;="&amp;EOMONTH(ED$8,0))/SUMIFS(26:26,$8:$8,"&gt;="&amp;DATE(YEAR(ED$8),1,1),$8:$8,"&lt;="&amp;EOMONTH(ED$8,0))</f>
        <v/>
      </c>
      <c r="EE117" s="1318">
        <f>SUMIFS(62:62,$8:$8,"&gt;="&amp;DATE(YEAR(EE$8),1,1),$8:$8,"&lt;="&amp;EOMONTH(EE$8,0))/SUMIFS(26:26,$8:$8,"&gt;="&amp;DATE(YEAR(EE$8),1,1),$8:$8,"&lt;="&amp;EOMONTH(EE$8,0))</f>
        <v/>
      </c>
      <c r="EF117" s="1318">
        <f>SUMIFS(62:62,$8:$8,"&gt;="&amp;DATE(YEAR(EF$8),1,1),$8:$8,"&lt;="&amp;EOMONTH(EF$8,0))/SUMIFS(26:26,$8:$8,"&gt;="&amp;DATE(YEAR(EF$8),1,1),$8:$8,"&lt;="&amp;EOMONTH(EF$8,0))</f>
        <v/>
      </c>
      <c r="EG117" s="1318">
        <f>SUMIFS(62:62,$8:$8,"&gt;="&amp;DATE(YEAR(EG$8),1,1),$8:$8,"&lt;="&amp;EOMONTH(EG$8,0))/SUMIFS(26:26,$8:$8,"&gt;="&amp;DATE(YEAR(EG$8),1,1),$8:$8,"&lt;="&amp;EOMONTH(EG$8,0))</f>
        <v/>
      </c>
      <c r="EH117" s="1318">
        <f>SUMIFS(62:62,$8:$8,"&gt;="&amp;DATE(YEAR(EH$8),1,1),$8:$8,"&lt;="&amp;EOMONTH(EH$8,0))/SUMIFS(26:26,$8:$8,"&gt;="&amp;DATE(YEAR(EH$8),1,1),$8:$8,"&lt;="&amp;EOMONTH(EH$8,0))</f>
        <v/>
      </c>
      <c r="EI117" s="1318">
        <f>SUMIFS(62:62,$8:$8,"&gt;="&amp;DATE(YEAR(EI$8),1,1),$8:$8,"&lt;="&amp;EOMONTH(EI$8,0))/SUMIFS(26:26,$8:$8,"&gt;="&amp;DATE(YEAR(EI$8),1,1),$8:$8,"&lt;="&amp;EOMONTH(EI$8,0))</f>
        <v/>
      </c>
      <c r="EJ117" s="1318">
        <f>SUMIFS(62:62,$8:$8,"&gt;="&amp;DATE(YEAR(EJ$8),1,1),$8:$8,"&lt;="&amp;EOMONTH(EJ$8,0))/SUMIFS(26:26,$8:$8,"&gt;="&amp;DATE(YEAR(EJ$8),1,1),$8:$8,"&lt;="&amp;EOMONTH(EJ$8,0))</f>
        <v/>
      </c>
      <c r="EK117" s="1318">
        <f>SUMIFS(62:62,$8:$8,"&gt;="&amp;DATE(YEAR(EK$8),1,1),$8:$8,"&lt;="&amp;EOMONTH(EK$8,0))/SUMIFS(26:26,$8:$8,"&gt;="&amp;DATE(YEAR(EK$8),1,1),$8:$8,"&lt;="&amp;EOMONTH(EK$8,0))</f>
        <v/>
      </c>
      <c r="EL117" s="1318">
        <f>SUMIFS(62:62,$8:$8,"&gt;="&amp;DATE(YEAR(EL$8),1,1),$8:$8,"&lt;="&amp;EOMONTH(EL$8,0))/SUMIFS(26:26,$8:$8,"&gt;="&amp;DATE(YEAR(EL$8),1,1),$8:$8,"&lt;="&amp;EOMONTH(EL$8,0))</f>
        <v/>
      </c>
      <c r="EM117" s="1318">
        <f>SUMIFS(62:62,$8:$8,"&gt;="&amp;DATE(YEAR(EM$8),1,1),$8:$8,"&lt;="&amp;EOMONTH(EM$8,0))/SUMIFS(26:26,$8:$8,"&gt;="&amp;DATE(YEAR(EM$8),1,1),$8:$8,"&lt;="&amp;EOMONTH(EM$8,0))</f>
        <v/>
      </c>
      <c r="EN117" s="1318">
        <f>SUMIFS(62:62,$8:$8,"&gt;="&amp;DATE(YEAR(EN$8),1,1),$8:$8,"&lt;="&amp;EOMONTH(EN$8,0))/SUMIFS(26:26,$8:$8,"&gt;="&amp;DATE(YEAR(EN$8),1,1),$8:$8,"&lt;="&amp;EOMONTH(EN$8,0))</f>
        <v/>
      </c>
      <c r="EO117" s="1318">
        <f>SUMIFS(62:62,$8:$8,"&gt;="&amp;DATE(YEAR(EO$8),1,1),$8:$8,"&lt;="&amp;EOMONTH(EO$8,0))/SUMIFS(26:26,$8:$8,"&gt;="&amp;DATE(YEAR(EO$8),1,1),$8:$8,"&lt;="&amp;EOMONTH(EO$8,0))</f>
        <v/>
      </c>
      <c r="EP117" s="1318">
        <f>SUMIFS(62:62,$8:$8,"&gt;="&amp;DATE(YEAR(EP$8),1,1),$8:$8,"&lt;="&amp;EOMONTH(EP$8,0))/SUMIFS(26:26,$8:$8,"&gt;="&amp;DATE(YEAR(EP$8),1,1),$8:$8,"&lt;="&amp;EOMONTH(EP$8,0))</f>
        <v/>
      </c>
      <c r="EQ117" s="1318">
        <f>SUMIFS(62:62,$8:$8,"&gt;="&amp;DATE(YEAR(EQ$8),1,1),$8:$8,"&lt;="&amp;EOMONTH(EQ$8,0))/SUMIFS(26:26,$8:$8,"&gt;="&amp;DATE(YEAR(EQ$8),1,1),$8:$8,"&lt;="&amp;EOMONTH(EQ$8,0))</f>
        <v/>
      </c>
      <c r="ER117" s="1318">
        <f>SUMIFS(62:62,$8:$8,"&gt;="&amp;DATE(YEAR(ER$8),1,1),$8:$8,"&lt;="&amp;EOMONTH(ER$8,0))/SUMIFS(26:26,$8:$8,"&gt;="&amp;DATE(YEAR(ER$8),1,1),$8:$8,"&lt;="&amp;EOMONTH(ER$8,0))</f>
        <v/>
      </c>
      <c r="ES117" s="1318">
        <f>SUMIFS(62:62,$8:$8,"&gt;="&amp;DATE(YEAR(ES$8),1,1),$8:$8,"&lt;="&amp;EOMONTH(ES$8,0))/SUMIFS(26:26,$8:$8,"&gt;="&amp;DATE(YEAR(ES$8),1,1),$8:$8,"&lt;="&amp;EOMONTH(ES$8,0))</f>
        <v/>
      </c>
      <c r="ET117" s="1318">
        <f>SUMIFS(62:62,$8:$8,"&gt;="&amp;DATE(YEAR(ET$8),1,1),$8:$8,"&lt;="&amp;EOMONTH(ET$8,0))/SUMIFS(26:26,$8:$8,"&gt;="&amp;DATE(YEAR(ET$8),1,1),$8:$8,"&lt;="&amp;EOMONTH(ET$8,0))</f>
        <v/>
      </c>
      <c r="EU117" s="1318">
        <f>SUMIFS(62:62,$8:$8,"&gt;="&amp;DATE(YEAR(EU$8),1,1),$8:$8,"&lt;="&amp;EOMONTH(EU$8,0))/SUMIFS(26:26,$8:$8,"&gt;="&amp;DATE(YEAR(EU$8),1,1),$8:$8,"&lt;="&amp;EOMONTH(EU$8,0))</f>
        <v/>
      </c>
      <c r="EV117" s="1318">
        <f>SUMIFS(62:62,$8:$8,"&gt;="&amp;DATE(YEAR(EV$8),1,1),$8:$8,"&lt;="&amp;EOMONTH(EV$8,0))/SUMIFS(26:26,$8:$8,"&gt;="&amp;DATE(YEAR(EV$8),1,1),$8:$8,"&lt;="&amp;EOMONTH(EV$8,0))</f>
        <v/>
      </c>
      <c r="EW117" s="1318">
        <f>SUMIFS(62:62,$8:$8,"&gt;="&amp;DATE(YEAR(EW$8),1,1),$8:$8,"&lt;="&amp;EOMONTH(EW$8,0))/SUMIFS(26:26,$8:$8,"&gt;="&amp;DATE(YEAR(EW$8),1,1),$8:$8,"&lt;="&amp;EOMONTH(EW$8,0))</f>
        <v/>
      </c>
      <c r="EX117" s="1318">
        <f>SUMIFS(62:62,$8:$8,"&gt;="&amp;DATE(YEAR(EX$8),1,1),$8:$8,"&lt;="&amp;EOMONTH(EX$8,0))/SUMIFS(26:26,$8:$8,"&gt;="&amp;DATE(YEAR(EX$8),1,1),$8:$8,"&lt;="&amp;EOMONTH(EX$8,0))</f>
        <v/>
      </c>
      <c r="EY117" s="1318">
        <f>SUMIFS(62:62,$8:$8,"&gt;="&amp;DATE(YEAR(EY$8),1,1),$8:$8,"&lt;="&amp;EOMONTH(EY$8,0))/SUMIFS(26:26,$8:$8,"&gt;="&amp;DATE(YEAR(EY$8),1,1),$8:$8,"&lt;="&amp;EOMONTH(EY$8,0))</f>
        <v/>
      </c>
      <c r="EZ117" s="1318">
        <f>SUMIFS(62:62,$8:$8,"&gt;="&amp;DATE(YEAR(EZ$8),1,1),$8:$8,"&lt;="&amp;EOMONTH(EZ$8,0))/SUMIFS(26:26,$8:$8,"&gt;="&amp;DATE(YEAR(EZ$8),1,1),$8:$8,"&lt;="&amp;EOMONTH(EZ$8,0))</f>
        <v/>
      </c>
      <c r="FA117" s="1318">
        <f>SUMIFS(62:62,$8:$8,"&gt;="&amp;DATE(YEAR(FA$8),1,1),$8:$8,"&lt;="&amp;EOMONTH(FA$8,0))/SUMIFS(26:26,$8:$8,"&gt;="&amp;DATE(YEAR(FA$8),1,1),$8:$8,"&lt;="&amp;EOMONTH(FA$8,0))</f>
        <v/>
      </c>
      <c r="FB117" s="1318">
        <f>SUMIFS(62:62,$8:$8,"&gt;="&amp;DATE(YEAR(FB$8),1,1),$8:$8,"&lt;="&amp;EOMONTH(FB$8,0))/SUMIFS(26:26,$8:$8,"&gt;="&amp;DATE(YEAR(FB$8),1,1),$8:$8,"&lt;="&amp;EOMONTH(FB$8,0))</f>
        <v/>
      </c>
      <c r="FC117" s="1318">
        <f>SUMIFS(62:62,$8:$8,"&gt;="&amp;DATE(YEAR(FC$8),1,1),$8:$8,"&lt;="&amp;EOMONTH(FC$8,0))/SUMIFS(26:26,$8:$8,"&gt;="&amp;DATE(YEAR(FC$8),1,1),$8:$8,"&lt;="&amp;EOMONTH(FC$8,0))</f>
        <v/>
      </c>
      <c r="FD117" s="1318">
        <f>SUMIFS(62:62,$8:$8,"&gt;="&amp;DATE(YEAR(FD$8),1,1),$8:$8,"&lt;="&amp;EOMONTH(FD$8,0))/SUMIFS(26:26,$8:$8,"&gt;="&amp;DATE(YEAR(FD$8),1,1),$8:$8,"&lt;="&amp;EOMONTH(FD$8,0))</f>
        <v/>
      </c>
      <c r="FE117" s="1318">
        <f>SUMIFS(62:62,$8:$8,"&gt;="&amp;DATE(YEAR(FE$8),1,1),$8:$8,"&lt;="&amp;EOMONTH(FE$8,0))/SUMIFS(26:26,$8:$8,"&gt;="&amp;DATE(YEAR(FE$8),1,1),$8:$8,"&lt;="&amp;EOMONTH(FE$8,0))</f>
        <v/>
      </c>
      <c r="FF117" s="1318">
        <f>SUMIFS(62:62,$8:$8,"&gt;="&amp;DATE(YEAR(FF$8),1,1),$8:$8,"&lt;="&amp;EOMONTH(FF$8,0))/SUMIFS(26:26,$8:$8,"&gt;="&amp;DATE(YEAR(FF$8),1,1),$8:$8,"&lt;="&amp;EOMONTH(FF$8,0))</f>
        <v/>
      </c>
      <c r="FG117" s="1318">
        <f>SUMIFS(62:62,$8:$8,"&gt;="&amp;DATE(YEAR(FG$8),1,1),$8:$8,"&lt;="&amp;EOMONTH(FG$8,0))/SUMIFS(26:26,$8:$8,"&gt;="&amp;DATE(YEAR(FG$8),1,1),$8:$8,"&lt;="&amp;EOMONTH(FG$8,0))</f>
        <v/>
      </c>
      <c r="FH117" s="1318">
        <f>SUMIFS(62:62,$8:$8,"&gt;="&amp;DATE(YEAR(FH$8),1,1),$8:$8,"&lt;="&amp;EOMONTH(FH$8,0))/SUMIFS(26:26,$8:$8,"&gt;="&amp;DATE(YEAR(FH$8),1,1),$8:$8,"&lt;="&amp;EOMONTH(FH$8,0))</f>
        <v/>
      </c>
      <c r="FI117" s="1318">
        <f>SUMIFS(62:62,$8:$8,"&gt;="&amp;DATE(YEAR(FI$8),1,1),$8:$8,"&lt;="&amp;EOMONTH(FI$8,0))/SUMIFS(26:26,$8:$8,"&gt;="&amp;DATE(YEAR(FI$8),1,1),$8:$8,"&lt;="&amp;EOMONTH(FI$8,0))</f>
        <v/>
      </c>
      <c r="FJ117" s="1318">
        <f>SUMIFS(62:62,$8:$8,"&gt;="&amp;DATE(YEAR(FJ$8),1,1),$8:$8,"&lt;="&amp;EOMONTH(FJ$8,0))/SUMIFS(26:26,$8:$8,"&gt;="&amp;DATE(YEAR(FJ$8),1,1),$8:$8,"&lt;="&amp;EOMONTH(FJ$8,0))</f>
        <v/>
      </c>
      <c r="FK117" s="1318">
        <f>SUMIFS(62:62,$8:$8,"&gt;="&amp;DATE(YEAR(FK$8),1,1),$8:$8,"&lt;="&amp;EOMONTH(FK$8,0))/SUMIFS(26:26,$8:$8,"&gt;="&amp;DATE(YEAR(FK$8),1,1),$8:$8,"&lt;="&amp;EOMONTH(FK$8,0))</f>
        <v/>
      </c>
      <c r="FL117" s="1318">
        <f>SUMIFS(62:62,$8:$8,"&gt;="&amp;DATE(YEAR(FL$8),1,1),$8:$8,"&lt;="&amp;EOMONTH(FL$8,0))/SUMIFS(26:26,$8:$8,"&gt;="&amp;DATE(YEAR(FL$8),1,1),$8:$8,"&lt;="&amp;EOMONTH(FL$8,0))</f>
        <v/>
      </c>
      <c r="FM117" s="1318">
        <f>SUMIFS(62:62,$8:$8,"&gt;="&amp;DATE(YEAR(FM$8),1,1),$8:$8,"&lt;="&amp;EOMONTH(FM$8,0))/SUMIFS(26:26,$8:$8,"&gt;="&amp;DATE(YEAR(FM$8),1,1),$8:$8,"&lt;="&amp;EOMONTH(FM$8,0))</f>
        <v/>
      </c>
      <c r="FN117" s="1318">
        <f>SUMIFS(62:62,$8:$8,"&gt;="&amp;DATE(YEAR(FN$8),1,1),$8:$8,"&lt;="&amp;EOMONTH(FN$8,0))/SUMIFS(26:26,$8:$8,"&gt;="&amp;DATE(YEAR(FN$8),1,1),$8:$8,"&lt;="&amp;EOMONTH(FN$8,0))</f>
        <v/>
      </c>
      <c r="FO117" s="1318">
        <f>SUMIFS(62:62,$8:$8,"&gt;="&amp;DATE(YEAR(FO$8),1,1),$8:$8,"&lt;="&amp;EOMONTH(FO$8,0))/SUMIFS(26:26,$8:$8,"&gt;="&amp;DATE(YEAR(FO$8),1,1),$8:$8,"&lt;="&amp;EOMONTH(FO$8,0))</f>
        <v/>
      </c>
      <c r="FP117" s="1318">
        <f>SUMIFS(62:62,$8:$8,"&gt;="&amp;DATE(YEAR(FP$8),1,1),$8:$8,"&lt;="&amp;EOMONTH(FP$8,0))/SUMIFS(26:26,$8:$8,"&gt;="&amp;DATE(YEAR(FP$8),1,1),$8:$8,"&lt;="&amp;EOMONTH(FP$8,0))</f>
        <v/>
      </c>
      <c r="FQ117" s="1318">
        <f>SUMIFS(62:62,$8:$8,"&gt;="&amp;DATE(YEAR(FQ$8),1,1),$8:$8,"&lt;="&amp;EOMONTH(FQ$8,0))/SUMIFS(26:26,$8:$8,"&gt;="&amp;DATE(YEAR(FQ$8),1,1),$8:$8,"&lt;="&amp;EOMONTH(FQ$8,0))</f>
        <v/>
      </c>
      <c r="FR117" s="1318">
        <f>SUMIFS(62:62,$8:$8,"&gt;="&amp;DATE(YEAR(FR$8),1,1),$8:$8,"&lt;="&amp;EOMONTH(FR$8,0))/SUMIFS(26:26,$8:$8,"&gt;="&amp;DATE(YEAR(FR$8),1,1),$8:$8,"&lt;="&amp;EOMONTH(FR$8,0))</f>
        <v/>
      </c>
      <c r="FS117" s="1318">
        <f>SUMIFS(62:62,$8:$8,"&gt;="&amp;DATE(YEAR(FS$8),1,1),$8:$8,"&lt;="&amp;EOMONTH(FS$8,0))/SUMIFS(26:26,$8:$8,"&gt;="&amp;DATE(YEAR(FS$8),1,1),$8:$8,"&lt;="&amp;EOMONTH(FS$8,0))</f>
        <v/>
      </c>
      <c r="FT117" s="1318">
        <f>SUMIFS(62:62,$8:$8,"&gt;="&amp;DATE(YEAR(FT$8),1,1),$8:$8,"&lt;="&amp;EOMONTH(FT$8,0))/SUMIFS(26:26,$8:$8,"&gt;="&amp;DATE(YEAR(FT$8),1,1),$8:$8,"&lt;="&amp;EOMONTH(FT$8,0))</f>
        <v/>
      </c>
      <c r="FU117" s="1318">
        <f>SUMIFS(62:62,$8:$8,"&gt;="&amp;DATE(YEAR(FU$8),1,1),$8:$8,"&lt;="&amp;EOMONTH(FU$8,0))/SUMIFS(26:26,$8:$8,"&gt;="&amp;DATE(YEAR(FU$8),1,1),$8:$8,"&lt;="&amp;EOMONTH(FU$8,0))</f>
        <v/>
      </c>
      <c r="FV117" s="1318">
        <f>SUMIFS(62:62,$8:$8,"&gt;="&amp;DATE(YEAR(FV$8),1,1),$8:$8,"&lt;="&amp;EOMONTH(FV$8,0))/SUMIFS(26:26,$8:$8,"&gt;="&amp;DATE(YEAR(FV$8),1,1),$8:$8,"&lt;="&amp;EOMONTH(FV$8,0))</f>
        <v/>
      </c>
      <c r="FW117" s="1318">
        <f>SUMIFS(62:62,$8:$8,"&gt;="&amp;DATE(YEAR(FW$8),1,1),$8:$8,"&lt;="&amp;EOMONTH(FW$8,0))/SUMIFS(26:26,$8:$8,"&gt;="&amp;DATE(YEAR(FW$8),1,1),$8:$8,"&lt;="&amp;EOMONTH(FW$8,0))</f>
        <v/>
      </c>
      <c r="FX117" s="1318">
        <f>SUMIFS(62:62,$8:$8,"&gt;="&amp;DATE(YEAR(FX$8),1,1),$8:$8,"&lt;="&amp;EOMONTH(FX$8,0))/SUMIFS(26:26,$8:$8,"&gt;="&amp;DATE(YEAR(FX$8),1,1),$8:$8,"&lt;="&amp;EOMONTH(FX$8,0))</f>
        <v/>
      </c>
      <c r="FY117" s="1318">
        <f>SUMIFS(62:62,$8:$8,"&gt;="&amp;DATE(YEAR(FY$8),1,1),$8:$8,"&lt;="&amp;EOMONTH(FY$8,0))/SUMIFS(26:26,$8:$8,"&gt;="&amp;DATE(YEAR(FY$8),1,1),$8:$8,"&lt;="&amp;EOMONTH(FY$8,0))</f>
        <v/>
      </c>
      <c r="FZ117" s="1318">
        <f>SUMIFS(62:62,$8:$8,"&gt;="&amp;DATE(YEAR(FZ$8),1,1),$8:$8,"&lt;="&amp;EOMONTH(FZ$8,0))/SUMIFS(26:26,$8:$8,"&gt;="&amp;DATE(YEAR(FZ$8),1,1),$8:$8,"&lt;="&amp;EOMONTH(FZ$8,0))</f>
        <v/>
      </c>
      <c r="GA117" s="1318">
        <f>SUMIFS(62:62,$8:$8,"&gt;="&amp;DATE(YEAR(GA$8),1,1),$8:$8,"&lt;="&amp;EOMONTH(GA$8,0))/SUMIFS(26:26,$8:$8,"&gt;="&amp;DATE(YEAR(GA$8),1,1),$8:$8,"&lt;="&amp;EOMONTH(GA$8,0))</f>
        <v/>
      </c>
      <c r="GB117" s="1318">
        <f>SUMIFS(62:62,$8:$8,"&gt;="&amp;DATE(YEAR(GB$8),1,1),$8:$8,"&lt;="&amp;EOMONTH(GB$8,0))/SUMIFS(26:26,$8:$8,"&gt;="&amp;DATE(YEAR(GB$8),1,1),$8:$8,"&lt;="&amp;EOMONTH(GB$8,0))</f>
        <v/>
      </c>
      <c r="GC117" s="1318">
        <f>SUMIFS(62:62,$8:$8,"&gt;="&amp;DATE(YEAR(GC$8),1,1),$8:$8,"&lt;="&amp;EOMONTH(GC$8,0))/SUMIFS(26:26,$8:$8,"&gt;="&amp;DATE(YEAR(GC$8),1,1),$8:$8,"&lt;="&amp;EOMONTH(GC$8,0))</f>
        <v/>
      </c>
      <c r="GD117" s="1318">
        <f>SUMIFS(62:62,$8:$8,"&gt;="&amp;DATE(YEAR(GD$8),1,1),$8:$8,"&lt;="&amp;EOMONTH(GD$8,0))/SUMIFS(26:26,$8:$8,"&gt;="&amp;DATE(YEAR(GD$8),1,1),$8:$8,"&lt;="&amp;EOMONTH(GD$8,0))</f>
        <v/>
      </c>
      <c r="GE117" s="1318">
        <f>SUMIFS(62:62,$8:$8,"&gt;="&amp;DATE(YEAR(GE$8),1,1),$8:$8,"&lt;="&amp;EOMONTH(GE$8,0))/SUMIFS(26:26,$8:$8,"&gt;="&amp;DATE(YEAR(GE$8),1,1),$8:$8,"&lt;="&amp;EOMONTH(GE$8,0))</f>
        <v/>
      </c>
      <c r="GF117" s="1318">
        <f>SUMIFS(62:62,$8:$8,"&gt;="&amp;DATE(YEAR(GF$8),1,1),$8:$8,"&lt;="&amp;EOMONTH(GF$8,0))/SUMIFS(26:26,$8:$8,"&gt;="&amp;DATE(YEAR(GF$8),1,1),$8:$8,"&lt;="&amp;EOMONTH(GF$8,0))</f>
        <v/>
      </c>
      <c r="GG117" s="1318">
        <f>SUMIFS(62:62,$8:$8,"&gt;="&amp;DATE(YEAR(GG$8),1,1),$8:$8,"&lt;="&amp;EOMONTH(GG$8,0))/SUMIFS(26:26,$8:$8,"&gt;="&amp;DATE(YEAR(GG$8),1,1),$8:$8,"&lt;="&amp;EOMONTH(GG$8,0))</f>
        <v/>
      </c>
      <c r="GH117" s="1318">
        <f>SUMIFS(62:62,$8:$8,"&gt;="&amp;DATE(YEAR(GH$8),1,1),$8:$8,"&lt;="&amp;EOMONTH(GH$8,0))/SUMIFS(26:26,$8:$8,"&gt;="&amp;DATE(YEAR(GH$8),1,1),$8:$8,"&lt;="&amp;EOMONTH(GH$8,0))</f>
        <v/>
      </c>
      <c r="GI117" s="1318">
        <f>SUMIFS(62:62,$8:$8,"&gt;="&amp;DATE(YEAR(GI$8),1,1),$8:$8,"&lt;="&amp;EOMONTH(GI$8,0))/SUMIFS(26:26,$8:$8,"&gt;="&amp;DATE(YEAR(GI$8),1,1),$8:$8,"&lt;="&amp;EOMONTH(GI$8,0))</f>
        <v/>
      </c>
      <c r="GJ117" s="1318">
        <f>SUMIFS(62:62,$8:$8,"&gt;="&amp;DATE(YEAR(GJ$8),1,1),$8:$8,"&lt;="&amp;EOMONTH(GJ$8,0))/SUMIFS(26:26,$8:$8,"&gt;="&amp;DATE(YEAR(GJ$8),1,1),$8:$8,"&lt;="&amp;EOMONTH(GJ$8,0))</f>
        <v/>
      </c>
      <c r="GK117" s="1318">
        <f>SUMIFS(62:62,$8:$8,"&gt;="&amp;DATE(YEAR(GK$8),1,1),$8:$8,"&lt;="&amp;EOMONTH(GK$8,0))/SUMIFS(26:26,$8:$8,"&gt;="&amp;DATE(YEAR(GK$8),1,1),$8:$8,"&lt;="&amp;EOMONTH(GK$8,0))</f>
        <v/>
      </c>
      <c r="GL117" s="1318">
        <f>SUMIFS(62:62,$8:$8,"&gt;="&amp;DATE(YEAR(GL$8),1,1),$8:$8,"&lt;="&amp;EOMONTH(GL$8,0))/SUMIFS(26:26,$8:$8,"&gt;="&amp;DATE(YEAR(GL$8),1,1),$8:$8,"&lt;="&amp;EOMONTH(GL$8,0))</f>
        <v/>
      </c>
      <c r="GM117" s="1318">
        <f>SUMIFS(62:62,$8:$8,"&gt;="&amp;DATE(YEAR(GM$8),1,1),$8:$8,"&lt;="&amp;EOMONTH(GM$8,0))/SUMIFS(26:26,$8:$8,"&gt;="&amp;DATE(YEAR(GM$8),1,1),$8:$8,"&lt;="&amp;EOMONTH(GM$8,0))</f>
        <v/>
      </c>
      <c r="GN117" s="1318">
        <f>SUMIFS(62:62,$8:$8,"&gt;="&amp;DATE(YEAR(GN$8),1,1),$8:$8,"&lt;="&amp;EOMONTH(GN$8,0))/SUMIFS(26:26,$8:$8,"&gt;="&amp;DATE(YEAR(GN$8),1,1),$8:$8,"&lt;="&amp;EOMONTH(GN$8,0))</f>
        <v/>
      </c>
      <c r="GO117" s="1318">
        <f>SUMIFS(62:62,$8:$8,"&gt;="&amp;DATE(YEAR(GO$8),1,1),$8:$8,"&lt;="&amp;EOMONTH(GO$8,0))/SUMIFS(26:26,$8:$8,"&gt;="&amp;DATE(YEAR(GO$8),1,1),$8:$8,"&lt;="&amp;EOMONTH(GO$8,0))</f>
        <v/>
      </c>
      <c r="GP117" s="1318">
        <f>SUMIFS(62:62,$8:$8,"&gt;="&amp;DATE(YEAR(GP$8),1,1),$8:$8,"&lt;="&amp;EOMONTH(GP$8,0))/SUMIFS(26:26,$8:$8,"&gt;="&amp;DATE(YEAR(GP$8),1,1),$8:$8,"&lt;="&amp;EOMONTH(GP$8,0))</f>
        <v/>
      </c>
      <c r="GQ117" s="1318">
        <f>SUMIFS(62:62,$8:$8,"&gt;="&amp;DATE(YEAR(GQ$8),1,1),$8:$8,"&lt;="&amp;EOMONTH(GQ$8,0))/SUMIFS(26:26,$8:$8,"&gt;="&amp;DATE(YEAR(GQ$8),1,1),$8:$8,"&lt;="&amp;EOMONTH(GQ$8,0))</f>
        <v/>
      </c>
      <c r="GR117" s="1318">
        <f>SUMIFS(62:62,$8:$8,"&gt;="&amp;DATE(YEAR(GR$8),1,1),$8:$8,"&lt;="&amp;EOMONTH(GR$8,0))/SUMIFS(26:26,$8:$8,"&gt;="&amp;DATE(YEAR(GR$8),1,1),$8:$8,"&lt;="&amp;EOMONTH(GR$8,0))</f>
        <v/>
      </c>
      <c r="GS117" s="1318">
        <f>SUMIFS(62:62,$8:$8,"&gt;="&amp;DATE(YEAR(GS$8),1,1),$8:$8,"&lt;="&amp;EOMONTH(GS$8,0))/SUMIFS(26:26,$8:$8,"&gt;="&amp;DATE(YEAR(GS$8),1,1),$8:$8,"&lt;="&amp;EOMONTH(GS$8,0))</f>
        <v/>
      </c>
      <c r="GT117" s="1318">
        <f>SUMIFS(62:62,$8:$8,"&gt;="&amp;DATE(YEAR(GT$8),1,1),$8:$8,"&lt;="&amp;EOMONTH(GT$8,0))/SUMIFS(26:26,$8:$8,"&gt;="&amp;DATE(YEAR(GT$8),1,1),$8:$8,"&lt;="&amp;EOMONTH(GT$8,0))</f>
        <v/>
      </c>
      <c r="GU117" s="1318">
        <f>SUMIFS(62:62,$8:$8,"&gt;="&amp;DATE(YEAR(GU$8),1,1),$8:$8,"&lt;="&amp;EOMONTH(GU$8,0))/SUMIFS(26:26,$8:$8,"&gt;="&amp;DATE(YEAR(GU$8),1,1),$8:$8,"&lt;="&amp;EOMONTH(GU$8,0))</f>
        <v/>
      </c>
      <c r="GV117" s="1318">
        <f>SUMIFS(62:62,$8:$8,"&gt;="&amp;DATE(YEAR(GV$8),1,1),$8:$8,"&lt;="&amp;EOMONTH(GV$8,0))/SUMIFS(26:26,$8:$8,"&gt;="&amp;DATE(YEAR(GV$8),1,1),$8:$8,"&lt;="&amp;EOMONTH(GV$8,0))</f>
        <v/>
      </c>
      <c r="GW117" s="1318">
        <f>SUMIFS(62:62,$8:$8,"&gt;="&amp;DATE(YEAR(GW$8),1,1),$8:$8,"&lt;="&amp;EOMONTH(GW$8,0))/SUMIFS(26:26,$8:$8,"&gt;="&amp;DATE(YEAR(GW$8),1,1),$8:$8,"&lt;="&amp;EOMONTH(GW$8,0))</f>
        <v/>
      </c>
      <c r="GX117" s="1318">
        <f>SUMIFS(62:62,$8:$8,"&gt;="&amp;DATE(YEAR(GX$8),1,1),$8:$8,"&lt;="&amp;EOMONTH(GX$8,0))/SUMIFS(26:26,$8:$8,"&gt;="&amp;DATE(YEAR(GX$8),1,1),$8:$8,"&lt;="&amp;EOMONTH(GX$8,0))</f>
        <v/>
      </c>
      <c r="GY117" s="1318">
        <f>SUMIFS(62:62,$8:$8,"&gt;="&amp;DATE(YEAR(GY$8),1,1),$8:$8,"&lt;="&amp;EOMONTH(GY$8,0))/SUMIFS(26:26,$8:$8,"&gt;="&amp;DATE(YEAR(GY$8),1,1),$8:$8,"&lt;="&amp;EOMONTH(GY$8,0))</f>
        <v/>
      </c>
      <c r="GZ117" s="1318">
        <f>SUMIFS(62:62,$8:$8,"&gt;="&amp;DATE(YEAR(GZ$8),1,1),$8:$8,"&lt;="&amp;EOMONTH(GZ$8,0))/SUMIFS(26:26,$8:$8,"&gt;="&amp;DATE(YEAR(GZ$8),1,1),$8:$8,"&lt;="&amp;EOMONTH(GZ$8,0))</f>
        <v/>
      </c>
      <c r="HA117" s="1318">
        <f>SUMIFS(62:62,$8:$8,"&gt;="&amp;DATE(YEAR(HA$8),1,1),$8:$8,"&lt;="&amp;EOMONTH(HA$8,0))/SUMIFS(26:26,$8:$8,"&gt;="&amp;DATE(YEAR(HA$8),1,1),$8:$8,"&lt;="&amp;EOMONTH(HA$8,0))</f>
        <v/>
      </c>
      <c r="HB117" s="1318">
        <f>SUMIFS(62:62,$8:$8,"&gt;="&amp;DATE(YEAR(HB$8),1,1),$8:$8,"&lt;="&amp;EOMONTH(HB$8,0))/SUMIFS(26:26,$8:$8,"&gt;="&amp;DATE(YEAR(HB$8),1,1),$8:$8,"&lt;="&amp;EOMONTH(HB$8,0))</f>
        <v/>
      </c>
      <c r="HC117" s="1318">
        <f>SUMIFS(62:62,$8:$8,"&gt;="&amp;DATE(YEAR(HC$8),1,1),$8:$8,"&lt;="&amp;EOMONTH(HC$8,0))/SUMIFS(26:26,$8:$8,"&gt;="&amp;DATE(YEAR(HC$8),1,1),$8:$8,"&lt;="&amp;EOMONTH(HC$8,0))</f>
        <v/>
      </c>
      <c r="HD117" s="1318">
        <f>SUMIFS(62:62,$8:$8,"&gt;="&amp;DATE(YEAR(HD$8),1,1),$8:$8,"&lt;="&amp;EOMONTH(HD$8,0))/SUMIFS(26:26,$8:$8,"&gt;="&amp;DATE(YEAR(HD$8),1,1),$8:$8,"&lt;="&amp;EOMONTH(HD$8,0))</f>
        <v/>
      </c>
      <c r="HE117" s="1318">
        <f>SUMIFS(62:62,$8:$8,"&gt;="&amp;DATE(YEAR(HE$8),1,1),$8:$8,"&lt;="&amp;EOMONTH(HE$8,0))/SUMIFS(26:26,$8:$8,"&gt;="&amp;DATE(YEAR(HE$8),1,1),$8:$8,"&lt;="&amp;EOMONTH(HE$8,0))</f>
        <v/>
      </c>
      <c r="HF117" s="1318">
        <f>SUMIFS(62:62,$8:$8,"&gt;="&amp;DATE(YEAR(HF$8),1,1),$8:$8,"&lt;="&amp;EOMONTH(HF$8,0))/SUMIFS(26:26,$8:$8,"&gt;="&amp;DATE(YEAR(HF$8),1,1),$8:$8,"&lt;="&amp;EOMONTH(HF$8,0))</f>
        <v/>
      </c>
      <c r="HG117" s="1318">
        <f>SUMIFS(62:62,$8:$8,"&gt;="&amp;DATE(YEAR(HG$8),1,1),$8:$8,"&lt;="&amp;EOMONTH(HG$8,0))/SUMIFS(26:26,$8:$8,"&gt;="&amp;DATE(YEAR(HG$8),1,1),$8:$8,"&lt;="&amp;EOMONTH(HG$8,0))</f>
        <v/>
      </c>
      <c r="HH117" s="1318">
        <f>SUMIFS(62:62,$8:$8,"&gt;="&amp;DATE(YEAR(HH$8),1,1),$8:$8,"&lt;="&amp;EOMONTH(HH$8,0))/SUMIFS(26:26,$8:$8,"&gt;="&amp;DATE(YEAR(HH$8),1,1),$8:$8,"&lt;="&amp;EOMONTH(HH$8,0))</f>
        <v/>
      </c>
      <c r="HI117" s="1318">
        <f>SUMIFS(62:62,$8:$8,"&gt;="&amp;DATE(YEAR(HI$8),1,1),$8:$8,"&lt;="&amp;EOMONTH(HI$8,0))/SUMIFS(26:26,$8:$8,"&gt;="&amp;DATE(YEAR(HI$8),1,1),$8:$8,"&lt;="&amp;EOMONTH(HI$8,0))</f>
        <v/>
      </c>
      <c r="HJ117" s="1318">
        <f>SUMIFS(62:62,$8:$8,"&gt;="&amp;DATE(YEAR(HJ$8),1,1),$8:$8,"&lt;="&amp;EOMONTH(HJ$8,0))/SUMIFS(26:26,$8:$8,"&gt;="&amp;DATE(YEAR(HJ$8),1,1),$8:$8,"&lt;="&amp;EOMONTH(HJ$8,0))</f>
        <v/>
      </c>
      <c r="HK117" s="1318">
        <f>SUMIFS(62:62,$8:$8,"&gt;="&amp;DATE(YEAR(HK$8),1,1),$8:$8,"&lt;="&amp;EOMONTH(HK$8,0))/SUMIFS(26:26,$8:$8,"&gt;="&amp;DATE(YEAR(HK$8),1,1),$8:$8,"&lt;="&amp;EOMONTH(HK$8,0))</f>
        <v/>
      </c>
      <c r="HL117" s="1318">
        <f>SUMIFS(62:62,$8:$8,"&gt;="&amp;DATE(YEAR(HL$8),1,1),$8:$8,"&lt;="&amp;EOMONTH(HL$8,0))/SUMIFS(26:26,$8:$8,"&gt;="&amp;DATE(YEAR(HL$8),1,1),$8:$8,"&lt;="&amp;EOMONTH(HL$8,0))</f>
        <v/>
      </c>
      <c r="HM117" s="1318">
        <f>SUMIFS(62:62,$8:$8,"&gt;="&amp;DATE(YEAR(HM$8),1,1),$8:$8,"&lt;="&amp;EOMONTH(HM$8,0))/SUMIFS(26:26,$8:$8,"&gt;="&amp;DATE(YEAR(HM$8),1,1),$8:$8,"&lt;="&amp;EOMONTH(HM$8,0))</f>
        <v/>
      </c>
      <c r="HN117" s="1318">
        <f>SUMIFS(62:62,$8:$8,"&gt;="&amp;DATE(YEAR(HN$8),1,1),$8:$8,"&lt;="&amp;EOMONTH(HN$8,0))/SUMIFS(26:26,$8:$8,"&gt;="&amp;DATE(YEAR(HN$8),1,1),$8:$8,"&lt;="&amp;EOMONTH(HN$8,0))</f>
        <v/>
      </c>
      <c r="HO117" s="1318">
        <f>SUMIFS(62:62,$8:$8,"&gt;="&amp;DATE(YEAR(HO$8),1,1),$8:$8,"&lt;="&amp;EOMONTH(HO$8,0))/SUMIFS(26:26,$8:$8,"&gt;="&amp;DATE(YEAR(HO$8),1,1),$8:$8,"&lt;="&amp;EOMONTH(HO$8,0))</f>
        <v/>
      </c>
      <c r="HP117" s="1318">
        <f>SUMIFS(62:62,$8:$8,"&gt;="&amp;DATE(YEAR(HP$8),1,1),$8:$8,"&lt;="&amp;EOMONTH(HP$8,0))/SUMIFS(26:26,$8:$8,"&gt;="&amp;DATE(YEAR(HP$8),1,1),$8:$8,"&lt;="&amp;EOMONTH(HP$8,0))</f>
        <v/>
      </c>
      <c r="HQ117" s="1318">
        <f>SUMIFS(62:62,$8:$8,"&gt;="&amp;DATE(YEAR(HQ$8),1,1),$8:$8,"&lt;="&amp;EOMONTH(HQ$8,0))/SUMIFS(26:26,$8:$8,"&gt;="&amp;DATE(YEAR(HQ$8),1,1),$8:$8,"&lt;="&amp;EOMONTH(HQ$8,0))</f>
        <v/>
      </c>
      <c r="HR117" s="1318">
        <f>SUMIFS(62:62,$8:$8,"&gt;="&amp;DATE(YEAR(HR$8),1,1),$8:$8,"&lt;="&amp;EOMONTH(HR$8,0))/SUMIFS(26:26,$8:$8,"&gt;="&amp;DATE(YEAR(HR$8),1,1),$8:$8,"&lt;="&amp;EOMONTH(HR$8,0))</f>
        <v/>
      </c>
      <c r="HS117" s="1318">
        <f>SUMIFS(62:62,$8:$8,"&gt;="&amp;DATE(YEAR(HS$8),1,1),$8:$8,"&lt;="&amp;EOMONTH(HS$8,0))/SUMIFS(26:26,$8:$8,"&gt;="&amp;DATE(YEAR(HS$8),1,1),$8:$8,"&lt;="&amp;EOMONTH(HS$8,0))</f>
        <v/>
      </c>
      <c r="HT117" s="1318">
        <f>SUMIFS(62:62,$8:$8,"&gt;="&amp;DATE(YEAR(HT$8),1,1),$8:$8,"&lt;="&amp;EOMONTH(HT$8,0))/SUMIFS(26:26,$8:$8,"&gt;="&amp;DATE(YEAR(HT$8),1,1),$8:$8,"&lt;="&amp;EOMONTH(HT$8,0))</f>
        <v/>
      </c>
      <c r="HU117" s="1318">
        <f>SUMIFS(62:62,$8:$8,"&gt;="&amp;DATE(YEAR(HU$8),1,1),$8:$8,"&lt;="&amp;EOMONTH(HU$8,0))/SUMIFS(26:26,$8:$8,"&gt;="&amp;DATE(YEAR(HU$8),1,1),$8:$8,"&lt;="&amp;EOMONTH(HU$8,0))</f>
        <v/>
      </c>
      <c r="HV117" s="1318">
        <f>SUMIFS(62:62,$8:$8,"&gt;="&amp;DATE(YEAR(HV$8),1,1),$8:$8,"&lt;="&amp;EOMONTH(HV$8,0))/SUMIFS(26:26,$8:$8,"&gt;="&amp;DATE(YEAR(HV$8),1,1),$8:$8,"&lt;="&amp;EOMONTH(HV$8,0))</f>
        <v/>
      </c>
      <c r="HW117" s="1318">
        <f>SUMIFS(62:62,$8:$8,"&gt;="&amp;DATE(YEAR(HW$8),1,1),$8:$8,"&lt;="&amp;EOMONTH(HW$8,0))/SUMIFS(26:26,$8:$8,"&gt;="&amp;DATE(YEAR(HW$8),1,1),$8:$8,"&lt;="&amp;EOMONTH(HW$8,0))</f>
        <v/>
      </c>
      <c r="HX117" s="1318">
        <f>SUMIFS(62:62,$8:$8,"&gt;="&amp;DATE(YEAR(HX$8),1,1),$8:$8,"&lt;="&amp;EOMONTH(HX$8,0))/SUMIFS(26:26,$8:$8,"&gt;="&amp;DATE(YEAR(HX$8),1,1),$8:$8,"&lt;="&amp;EOMONTH(HX$8,0))</f>
        <v/>
      </c>
      <c r="HY117" s="1318">
        <f>SUMIFS(62:62,$8:$8,"&gt;="&amp;DATE(YEAR(HY$8),1,1),$8:$8,"&lt;="&amp;EOMONTH(HY$8,0))/SUMIFS(26:26,$8:$8,"&gt;="&amp;DATE(YEAR(HY$8),1,1),$8:$8,"&lt;="&amp;EOMONTH(HY$8,0))</f>
        <v/>
      </c>
      <c r="HZ117" s="1318">
        <f>SUMIFS(62:62,$8:$8,"&gt;="&amp;DATE(YEAR(HZ$8),1,1),$8:$8,"&lt;="&amp;EOMONTH(HZ$8,0))/SUMIFS(26:26,$8:$8,"&gt;="&amp;DATE(YEAR(HZ$8),1,1),$8:$8,"&lt;="&amp;EOMONTH(HZ$8,0))</f>
        <v/>
      </c>
      <c r="IA117" s="1318">
        <f>SUMIFS(62:62,$8:$8,"&gt;="&amp;DATE(YEAR(IA$8),1,1),$8:$8,"&lt;="&amp;EOMONTH(IA$8,0))/SUMIFS(26:26,$8:$8,"&gt;="&amp;DATE(YEAR(IA$8),1,1),$8:$8,"&lt;="&amp;EOMONTH(IA$8,0))</f>
        <v/>
      </c>
      <c r="IB117" s="1318">
        <f>SUMIFS(62:62,$8:$8,"&gt;="&amp;DATE(YEAR(IB$8),1,1),$8:$8,"&lt;="&amp;EOMONTH(IB$8,0))/SUMIFS(26:26,$8:$8,"&gt;="&amp;DATE(YEAR(IB$8),1,1),$8:$8,"&lt;="&amp;EOMONTH(IB$8,0))</f>
        <v/>
      </c>
      <c r="IC117" s="1318">
        <f>SUMIFS(62:62,$8:$8,"&gt;="&amp;DATE(YEAR(IC$8),1,1),$8:$8,"&lt;="&amp;EOMONTH(IC$8,0))/SUMIFS(26:26,$8:$8,"&gt;="&amp;DATE(YEAR(IC$8),1,1),$8:$8,"&lt;="&amp;EOMONTH(IC$8,0))</f>
        <v/>
      </c>
      <c r="ID117" s="1318">
        <f>SUMIFS(62:62,$8:$8,"&gt;="&amp;DATE(YEAR(ID$8),1,1),$8:$8,"&lt;="&amp;EOMONTH(ID$8,0))/SUMIFS(26:26,$8:$8,"&gt;="&amp;DATE(YEAR(ID$8),1,1),$8:$8,"&lt;="&amp;EOMONTH(ID$8,0))</f>
        <v/>
      </c>
      <c r="IE117" s="1318">
        <f>SUMIFS(62:62,$8:$8,"&gt;="&amp;DATE(YEAR(IE$8),1,1),$8:$8,"&lt;="&amp;EOMONTH(IE$8,0))/SUMIFS(26:26,$8:$8,"&gt;="&amp;DATE(YEAR(IE$8),1,1),$8:$8,"&lt;="&amp;EOMONTH(IE$8,0))</f>
        <v/>
      </c>
      <c r="IF117" s="1318">
        <f>SUMIFS(62:62,$8:$8,"&gt;="&amp;DATE(YEAR(IF$8),1,1),$8:$8,"&lt;="&amp;EOMONTH(IF$8,0))/SUMIFS(26:26,$8:$8,"&gt;="&amp;DATE(YEAR(IF$8),1,1),$8:$8,"&lt;="&amp;EOMONTH(IF$8,0))</f>
        <v/>
      </c>
      <c r="IG117" s="1318">
        <f>SUMIFS(62:62,$8:$8,"&gt;="&amp;DATE(YEAR(IG$8),1,1),$8:$8,"&lt;="&amp;EOMONTH(IG$8,0))/SUMIFS(26:26,$8:$8,"&gt;="&amp;DATE(YEAR(IG$8),1,1),$8:$8,"&lt;="&amp;EOMONTH(IG$8,0))</f>
        <v/>
      </c>
      <c r="IH117" s="1318">
        <f>SUMIFS(62:62,$8:$8,"&gt;="&amp;DATE(YEAR(IH$8),1,1),$8:$8,"&lt;="&amp;EOMONTH(IH$8,0))/SUMIFS(26:26,$8:$8,"&gt;="&amp;DATE(YEAR(IH$8),1,1),$8:$8,"&lt;="&amp;EOMONTH(IH$8,0))</f>
        <v/>
      </c>
      <c r="II117" s="1318">
        <f>SUMIFS(62:62,$8:$8,"&gt;="&amp;DATE(YEAR(II$8),1,1),$8:$8,"&lt;="&amp;EOMONTH(II$8,0))/SUMIFS(26:26,$8:$8,"&gt;="&amp;DATE(YEAR(II$8),1,1),$8:$8,"&lt;="&amp;EOMONTH(II$8,0))</f>
        <v/>
      </c>
      <c r="IJ117" s="1318">
        <f>SUMIFS(62:62,$8:$8,"&gt;="&amp;DATE(YEAR(IJ$8),1,1),$8:$8,"&lt;="&amp;EOMONTH(IJ$8,0))/SUMIFS(26:26,$8:$8,"&gt;="&amp;DATE(YEAR(IJ$8),1,1),$8:$8,"&lt;="&amp;EOMONTH(IJ$8,0))</f>
        <v/>
      </c>
      <c r="IK117" s="1318">
        <f>SUMIFS(62:62,$8:$8,"&gt;="&amp;DATE(YEAR(IK$8),1,1),$8:$8,"&lt;="&amp;EOMONTH(IK$8,0))/SUMIFS(26:26,$8:$8,"&gt;="&amp;DATE(YEAR(IK$8),1,1),$8:$8,"&lt;="&amp;EOMONTH(IK$8,0))</f>
        <v/>
      </c>
      <c r="IL117" s="1318">
        <f>SUMIFS(62:62,$8:$8,"&gt;="&amp;DATE(YEAR(IL$8),1,1),$8:$8,"&lt;="&amp;EOMONTH(IL$8,0))/SUMIFS(26:26,$8:$8,"&gt;="&amp;DATE(YEAR(IL$8),1,1),$8:$8,"&lt;="&amp;EOMONTH(IL$8,0))</f>
        <v/>
      </c>
      <c r="IM117" s="1318">
        <f>SUMIFS(62:62,$8:$8,"&gt;="&amp;DATE(YEAR(IM$8),1,1),$8:$8,"&lt;="&amp;EOMONTH(IM$8,0))/SUMIFS(26:26,$8:$8,"&gt;="&amp;DATE(YEAR(IM$8),1,1),$8:$8,"&lt;="&amp;EOMONTH(IM$8,0))</f>
        <v/>
      </c>
      <c r="IN117" s="1318">
        <f>SUMIFS(62:62,$8:$8,"&gt;="&amp;DATE(YEAR(IN$8),1,1),$8:$8,"&lt;="&amp;EOMONTH(IN$8,0))/SUMIFS(26:26,$8:$8,"&gt;="&amp;DATE(YEAR(IN$8),1,1),$8:$8,"&lt;="&amp;EOMONTH(IN$8,0))</f>
        <v/>
      </c>
      <c r="IO117" s="1318">
        <f>SUMIFS(62:62,$8:$8,"&gt;="&amp;DATE(YEAR(IO$8),1,1),$8:$8,"&lt;="&amp;EOMONTH(IO$8,0))/SUMIFS(26:26,$8:$8,"&gt;="&amp;DATE(YEAR(IO$8),1,1),$8:$8,"&lt;="&amp;EOMONTH(IO$8,0))</f>
        <v/>
      </c>
      <c r="IP117" s="1318">
        <f>SUMIFS(62:62,$8:$8,"&gt;="&amp;DATE(YEAR(IP$8),1,1),$8:$8,"&lt;="&amp;EOMONTH(IP$8,0))/SUMIFS(26:26,$8:$8,"&gt;="&amp;DATE(YEAR(IP$8),1,1),$8:$8,"&lt;="&amp;EOMONTH(IP$8,0))</f>
        <v/>
      </c>
      <c r="IQ117" s="1318">
        <f>SUMIFS(62:62,$8:$8,"&gt;="&amp;DATE(YEAR(IQ$8),1,1),$8:$8,"&lt;="&amp;EOMONTH(IQ$8,0))/SUMIFS(26:26,$8:$8,"&gt;="&amp;DATE(YEAR(IQ$8),1,1),$8:$8,"&lt;="&amp;EOMONTH(IQ$8,0))</f>
        <v/>
      </c>
      <c r="IR117" s="1318">
        <f>SUMIFS(62:62,$8:$8,"&gt;="&amp;DATE(YEAR(IR$8),1,1),$8:$8,"&lt;="&amp;EOMONTH(IR$8,0))/SUMIFS(26:26,$8:$8,"&gt;="&amp;DATE(YEAR(IR$8),1,1),$8:$8,"&lt;="&amp;EOMONTH(IR$8,0))</f>
        <v/>
      </c>
      <c r="IS117" s="1318">
        <f>SUMIFS(62:62,$8:$8,"&gt;="&amp;DATE(YEAR(IS$8),1,1),$8:$8,"&lt;="&amp;EOMONTH(IS$8,0))/SUMIFS(26:26,$8:$8,"&gt;="&amp;DATE(YEAR(IS$8),1,1),$8:$8,"&lt;="&amp;EOMONTH(IS$8,0))</f>
        <v/>
      </c>
      <c r="IT117" s="1318">
        <f>SUMIFS(62:62,$8:$8,"&gt;="&amp;DATE(YEAR(IT$8),1,1),$8:$8,"&lt;="&amp;EOMONTH(IT$8,0))/SUMIFS(26:26,$8:$8,"&gt;="&amp;DATE(YEAR(IT$8),1,1),$8:$8,"&lt;="&amp;EOMONTH(IT$8,0))</f>
        <v/>
      </c>
      <c r="IU117" s="1318">
        <f>SUMIFS(62:62,$8:$8,"&gt;="&amp;DATE(YEAR(IU$8),1,1),$8:$8,"&lt;="&amp;EOMONTH(IU$8,0))/SUMIFS(26:26,$8:$8,"&gt;="&amp;DATE(YEAR(IU$8),1,1),$8:$8,"&lt;="&amp;EOMONTH(IU$8,0))</f>
        <v/>
      </c>
      <c r="IV117" s="1318">
        <f>SUMIFS(62:62,$8:$8,"&gt;="&amp;DATE(YEAR(IV$8),1,1),$8:$8,"&lt;="&amp;EOMONTH(IV$8,0))/SUMIFS(26:26,$8:$8,"&gt;="&amp;DATE(YEAR(IV$8),1,1),$8:$8,"&lt;="&amp;EOMONTH(IV$8,0))</f>
        <v/>
      </c>
      <c r="IW117" s="1318">
        <f>SUMIFS(62:62,$8:$8,"&gt;="&amp;DATE(YEAR(IW$8),1,1),$8:$8,"&lt;="&amp;EOMONTH(IW$8,0))/SUMIFS(26:26,$8:$8,"&gt;="&amp;DATE(YEAR(IW$8),1,1),$8:$8,"&lt;="&amp;EOMONTH(IW$8,0))</f>
        <v/>
      </c>
      <c r="IX117" s="1318">
        <f>SUMIFS(62:62,$8:$8,"&gt;="&amp;DATE(YEAR(IX$8),1,1),$8:$8,"&lt;="&amp;EOMONTH(IX$8,0))/SUMIFS(26:26,$8:$8,"&gt;="&amp;DATE(YEAR(IX$8),1,1),$8:$8,"&lt;="&amp;EOMONTH(IX$8,0))</f>
        <v/>
      </c>
      <c r="IY117" s="1318">
        <f>SUMIFS(62:62,$8:$8,"&gt;="&amp;DATE(YEAR(IY$8),1,1),$8:$8,"&lt;="&amp;EOMONTH(IY$8,0))/SUMIFS(26:26,$8:$8,"&gt;="&amp;DATE(YEAR(IY$8),1,1),$8:$8,"&lt;="&amp;EOMONTH(IY$8,0))</f>
        <v/>
      </c>
      <c r="IZ117" s="1318">
        <f>SUMIFS(62:62,$8:$8,"&gt;="&amp;DATE(YEAR(IZ$8),1,1),$8:$8,"&lt;="&amp;EOMONTH(IZ$8,0))/SUMIFS(26:26,$8:$8,"&gt;="&amp;DATE(YEAR(IZ$8),1,1),$8:$8,"&lt;="&amp;EOMONTH(IZ$8,0))</f>
        <v/>
      </c>
      <c r="JA117" s="1318">
        <f>SUMIFS(62:62,$8:$8,"&gt;="&amp;DATE(YEAR(JA$8),1,1),$8:$8,"&lt;="&amp;EOMONTH(JA$8,0))/SUMIFS(26:26,$8:$8,"&gt;="&amp;DATE(YEAR(JA$8),1,1),$8:$8,"&lt;="&amp;EOMONTH(JA$8,0))</f>
        <v/>
      </c>
      <c r="JB117" s="1318">
        <f>SUMIFS(62:62,$8:$8,"&gt;="&amp;DATE(YEAR(JB$8),1,1),$8:$8,"&lt;="&amp;EOMONTH(JB$8,0))/SUMIFS(26:26,$8:$8,"&gt;="&amp;DATE(YEAR(JB$8),1,1),$8:$8,"&lt;="&amp;EOMONTH(JB$8,0))</f>
        <v/>
      </c>
      <c r="JC117" s="1318">
        <f>SUMIFS(62:62,$8:$8,"&gt;="&amp;DATE(YEAR(JC$8),1,1),$8:$8,"&lt;="&amp;EOMONTH(JC$8,0))/SUMIFS(26:26,$8:$8,"&gt;="&amp;DATE(YEAR(JC$8),1,1),$8:$8,"&lt;="&amp;EOMONTH(JC$8,0))</f>
        <v/>
      </c>
      <c r="JD117" s="1318">
        <f>SUMIFS(62:62,$8:$8,"&gt;="&amp;DATE(YEAR(JD$8),1,1),$8:$8,"&lt;="&amp;EOMONTH(JD$8,0))/SUMIFS(26:26,$8:$8,"&gt;="&amp;DATE(YEAR(JD$8),1,1),$8:$8,"&lt;="&amp;EOMONTH(JD$8,0))</f>
        <v/>
      </c>
      <c r="JE117" s="1318">
        <f>SUMIFS(62:62,$8:$8,"&gt;="&amp;DATE(YEAR(JE$8),1,1),$8:$8,"&lt;="&amp;EOMONTH(JE$8,0))/SUMIFS(26:26,$8:$8,"&gt;="&amp;DATE(YEAR(JE$8),1,1),$8:$8,"&lt;="&amp;EOMONTH(JE$8,0))</f>
        <v/>
      </c>
      <c r="JF117" s="1318">
        <f>SUMIFS(62:62,$8:$8,"&gt;="&amp;DATE(YEAR(JF$8),1,1),$8:$8,"&lt;="&amp;EOMONTH(JF$8,0))/SUMIFS(26:26,$8:$8,"&gt;="&amp;DATE(YEAR(JF$8),1,1),$8:$8,"&lt;="&amp;EOMONTH(JF$8,0))</f>
        <v/>
      </c>
      <c r="JG117" s="1318">
        <f>SUMIFS(62:62,$8:$8,"&gt;="&amp;DATE(YEAR(JG$8),1,1),$8:$8,"&lt;="&amp;EOMONTH(JG$8,0))/SUMIFS(26:26,$8:$8,"&gt;="&amp;DATE(YEAR(JG$8),1,1),$8:$8,"&lt;="&amp;EOMONTH(JG$8,0))</f>
        <v/>
      </c>
      <c r="JH117" s="1318">
        <f>SUMIFS(62:62,$8:$8,"&gt;="&amp;DATE(YEAR(JH$8),1,1),$8:$8,"&lt;="&amp;EOMONTH(JH$8,0))/SUMIFS(26:26,$8:$8,"&gt;="&amp;DATE(YEAR(JH$8),1,1),$8:$8,"&lt;="&amp;EOMONTH(JH$8,0))</f>
        <v/>
      </c>
      <c r="JI117" s="1318">
        <f>SUMIFS(62:62,$8:$8,"&gt;="&amp;DATE(YEAR(JI$8),1,1),$8:$8,"&lt;="&amp;EOMONTH(JI$8,0))/SUMIFS(26:26,$8:$8,"&gt;="&amp;DATE(YEAR(JI$8),1,1),$8:$8,"&lt;="&amp;EOMONTH(JI$8,0))</f>
        <v/>
      </c>
      <c r="JJ117" s="1318">
        <f>SUMIFS(62:62,$8:$8,"&gt;="&amp;DATE(YEAR(JJ$8),1,1),$8:$8,"&lt;="&amp;EOMONTH(JJ$8,0))/SUMIFS(26:26,$8:$8,"&gt;="&amp;DATE(YEAR(JJ$8),1,1),$8:$8,"&lt;="&amp;EOMONTH(JJ$8,0))</f>
        <v/>
      </c>
      <c r="JK117" s="1318">
        <f>SUMIFS(62:62,$8:$8,"&gt;="&amp;DATE(YEAR(JK$8),1,1),$8:$8,"&lt;="&amp;EOMONTH(JK$8,0))/SUMIFS(26:26,$8:$8,"&gt;="&amp;DATE(YEAR(JK$8),1,1),$8:$8,"&lt;="&amp;EOMONTH(JK$8,0))</f>
        <v/>
      </c>
      <c r="JL117" s="1318">
        <f>SUMIFS(62:62,$8:$8,"&gt;="&amp;DATE(YEAR(JL$8),1,1),$8:$8,"&lt;="&amp;EOMONTH(JL$8,0))/SUMIFS(26:26,$8:$8,"&gt;="&amp;DATE(YEAR(JL$8),1,1),$8:$8,"&lt;="&amp;EOMONTH(JL$8,0))</f>
        <v/>
      </c>
      <c r="JM117" s="1318">
        <f>SUMIFS(62:62,$8:$8,"&gt;="&amp;DATE(YEAR(JM$8),1,1),$8:$8,"&lt;="&amp;EOMONTH(JM$8,0))/SUMIFS(26:26,$8:$8,"&gt;="&amp;DATE(YEAR(JM$8),1,1),$8:$8,"&lt;="&amp;EOMONTH(JM$8,0))</f>
        <v/>
      </c>
      <c r="JN117" s="1318">
        <f>SUMIFS(62:62,$8:$8,"&gt;="&amp;DATE(YEAR(JN$8),1,1),$8:$8,"&lt;="&amp;EOMONTH(JN$8,0))/SUMIFS(26:26,$8:$8,"&gt;="&amp;DATE(YEAR(JN$8),1,1),$8:$8,"&lt;="&amp;EOMONTH(JN$8,0))</f>
        <v/>
      </c>
      <c r="JO117" s="1318">
        <f>SUMIFS(62:62,$8:$8,"&gt;="&amp;DATE(YEAR(JO$8),1,1),$8:$8,"&lt;="&amp;EOMONTH(JO$8,0))/SUMIFS(26:26,$8:$8,"&gt;="&amp;DATE(YEAR(JO$8),1,1),$8:$8,"&lt;="&amp;EOMONTH(JO$8,0))</f>
        <v/>
      </c>
      <c r="JP117" s="1318">
        <f>SUMIFS(62:62,$8:$8,"&gt;="&amp;DATE(YEAR(JP$8),1,1),$8:$8,"&lt;="&amp;EOMONTH(JP$8,0))/SUMIFS(26:26,$8:$8,"&gt;="&amp;DATE(YEAR(JP$8),1,1),$8:$8,"&lt;="&amp;EOMONTH(JP$8,0))</f>
        <v/>
      </c>
      <c r="JQ117" s="1318">
        <f>SUMIFS(62:62,$8:$8,"&gt;="&amp;DATE(YEAR(JQ$8),1,1),$8:$8,"&lt;="&amp;EOMONTH(JQ$8,0))/SUMIFS(26:26,$8:$8,"&gt;="&amp;DATE(YEAR(JQ$8),1,1),$8:$8,"&lt;="&amp;EOMONTH(JQ$8,0))</f>
        <v/>
      </c>
      <c r="JR117" s="1318">
        <f>SUMIFS(62:62,$8:$8,"&gt;="&amp;DATE(YEAR(JR$8),1,1),$8:$8,"&lt;="&amp;EOMONTH(JR$8,0))/SUMIFS(26:26,$8:$8,"&gt;="&amp;DATE(YEAR(JR$8),1,1),$8:$8,"&lt;="&amp;EOMONTH(JR$8,0))</f>
        <v/>
      </c>
      <c r="JS117" s="1318">
        <f>SUMIFS(62:62,$8:$8,"&gt;="&amp;DATE(YEAR(JS$8),1,1),$8:$8,"&lt;="&amp;EOMONTH(JS$8,0))/SUMIFS(26:26,$8:$8,"&gt;="&amp;DATE(YEAR(JS$8),1,1),$8:$8,"&lt;="&amp;EOMONTH(JS$8,0))</f>
        <v/>
      </c>
      <c r="JT117" s="1318">
        <f>SUMIFS(62:62,$8:$8,"&gt;="&amp;DATE(YEAR(JT$8),1,1),$8:$8,"&lt;="&amp;EOMONTH(JT$8,0))/SUMIFS(26:26,$8:$8,"&gt;="&amp;DATE(YEAR(JT$8),1,1),$8:$8,"&lt;="&amp;EOMONTH(JT$8,0))</f>
        <v/>
      </c>
      <c r="JU117" s="1318">
        <f>SUMIFS(62:62,$8:$8,"&gt;="&amp;DATE(YEAR(JU$8),1,1),$8:$8,"&lt;="&amp;EOMONTH(JU$8,0))/SUMIFS(26:26,$8:$8,"&gt;="&amp;DATE(YEAR(JU$8),1,1),$8:$8,"&lt;="&amp;EOMONTH(JU$8,0))</f>
        <v/>
      </c>
      <c r="JV117" s="1318">
        <f>SUMIFS(62:62,$8:$8,"&gt;="&amp;DATE(YEAR(JV$8),1,1),$8:$8,"&lt;="&amp;EOMONTH(JV$8,0))/SUMIFS(26:26,$8:$8,"&gt;="&amp;DATE(YEAR(JV$8),1,1),$8:$8,"&lt;="&amp;EOMONTH(JV$8,0))</f>
        <v/>
      </c>
      <c r="JW117" s="1318">
        <f>SUMIFS(62:62,$8:$8,"&gt;="&amp;DATE(YEAR(JW$8),1,1),$8:$8,"&lt;="&amp;EOMONTH(JW$8,0))/SUMIFS(26:26,$8:$8,"&gt;="&amp;DATE(YEAR(JW$8),1,1),$8:$8,"&lt;="&amp;EOMONTH(JW$8,0))</f>
        <v/>
      </c>
      <c r="JX117" s="1318">
        <f>SUMIFS(62:62,$8:$8,"&gt;="&amp;DATE(YEAR(JX$8),1,1),$8:$8,"&lt;="&amp;EOMONTH(JX$8,0))/SUMIFS(26:26,$8:$8,"&gt;="&amp;DATE(YEAR(JX$8),1,1),$8:$8,"&lt;="&amp;EOMONTH(JX$8,0))</f>
        <v/>
      </c>
      <c r="JY117" s="1318">
        <f>SUMIFS(62:62,$8:$8,"&gt;="&amp;DATE(YEAR(JY$8),1,1),$8:$8,"&lt;="&amp;EOMONTH(JY$8,0))/SUMIFS(26:26,$8:$8,"&gt;="&amp;DATE(YEAR(JY$8),1,1),$8:$8,"&lt;="&amp;EOMONTH(JY$8,0))</f>
        <v/>
      </c>
      <c r="JZ117" s="1318">
        <f>SUMIFS(62:62,$8:$8,"&gt;="&amp;DATE(YEAR(JZ$8),1,1),$8:$8,"&lt;="&amp;EOMONTH(JZ$8,0))/SUMIFS(26:26,$8:$8,"&gt;="&amp;DATE(YEAR(JZ$8),1,1),$8:$8,"&lt;="&amp;EOMONTH(JZ$8,0))</f>
        <v/>
      </c>
      <c r="KA117" s="1318">
        <f>SUMIFS(62:62,$8:$8,"&gt;="&amp;DATE(YEAR(KA$8),1,1),$8:$8,"&lt;="&amp;EOMONTH(KA$8,0))/SUMIFS(26:26,$8:$8,"&gt;="&amp;DATE(YEAR(KA$8),1,1),$8:$8,"&lt;="&amp;EOMONTH(KA$8,0))</f>
        <v/>
      </c>
      <c r="KB117" s="1318">
        <f>SUMIFS(62:62,$8:$8,"&gt;="&amp;DATE(YEAR(KB$8),1,1),$8:$8,"&lt;="&amp;EOMONTH(KB$8,0))/SUMIFS(26:26,$8:$8,"&gt;="&amp;DATE(YEAR(KB$8),1,1),$8:$8,"&lt;="&amp;EOMONTH(KB$8,0))</f>
        <v/>
      </c>
      <c r="KC117" s="1318">
        <f>SUMIFS(62:62,$8:$8,"&gt;="&amp;DATE(YEAR(KC$8),1,1),$8:$8,"&lt;="&amp;EOMONTH(KC$8,0))/SUMIFS(26:26,$8:$8,"&gt;="&amp;DATE(YEAR(KC$8),1,1),$8:$8,"&lt;="&amp;EOMONTH(KC$8,0))</f>
        <v/>
      </c>
      <c r="KD117" s="1318">
        <f>SUMIFS(62:62,$8:$8,"&gt;="&amp;DATE(YEAR(KD$8),1,1),$8:$8,"&lt;="&amp;EOMONTH(KD$8,0))/SUMIFS(26:26,$8:$8,"&gt;="&amp;DATE(YEAR(KD$8),1,1),$8:$8,"&lt;="&amp;EOMONTH(KD$8,0))</f>
        <v/>
      </c>
      <c r="KE117" s="1318">
        <f>SUMIFS(62:62,$8:$8,"&gt;="&amp;DATE(YEAR(KE$8),1,1),$8:$8,"&lt;="&amp;EOMONTH(KE$8,0))/SUMIFS(26:26,$8:$8,"&gt;="&amp;DATE(YEAR(KE$8),1,1),$8:$8,"&lt;="&amp;EOMONTH(KE$8,0))</f>
        <v/>
      </c>
      <c r="KF117" s="1318">
        <f>SUMIFS(62:62,$8:$8,"&gt;="&amp;DATE(YEAR(KF$8),1,1),$8:$8,"&lt;="&amp;EOMONTH(KF$8,0))/SUMIFS(26:26,$8:$8,"&gt;="&amp;DATE(YEAR(KF$8),1,1),$8:$8,"&lt;="&amp;EOMONTH(KF$8,0))</f>
        <v/>
      </c>
      <c r="KG117" s="1318">
        <f>SUMIFS(62:62,$8:$8,"&gt;="&amp;DATE(YEAR(KG$8),1,1),$8:$8,"&lt;="&amp;EOMONTH(KG$8,0))/SUMIFS(26:26,$8:$8,"&gt;="&amp;DATE(YEAR(KG$8),1,1),$8:$8,"&lt;="&amp;EOMONTH(KG$8,0))</f>
        <v/>
      </c>
      <c r="KH117" s="1318">
        <f>SUMIFS(62:62,$8:$8,"&gt;="&amp;DATE(YEAR(KH$8),1,1),$8:$8,"&lt;="&amp;EOMONTH(KH$8,0))/SUMIFS(26:26,$8:$8,"&gt;="&amp;DATE(YEAR(KH$8),1,1),$8:$8,"&lt;="&amp;EOMONTH(KH$8,0))</f>
        <v/>
      </c>
      <c r="KI117" s="1318">
        <f>SUMIFS(62:62,$8:$8,"&gt;="&amp;DATE(YEAR(KI$8),1,1),$8:$8,"&lt;="&amp;EOMONTH(KI$8,0))/SUMIFS(26:26,$8:$8,"&gt;="&amp;DATE(YEAR(KI$8),1,1),$8:$8,"&lt;="&amp;EOMONTH(KI$8,0))</f>
        <v/>
      </c>
      <c r="KJ117" s="1318">
        <f>SUMIFS(62:62,$8:$8,"&gt;="&amp;DATE(YEAR(KJ$8),1,1),$8:$8,"&lt;="&amp;EOMONTH(KJ$8,0))/SUMIFS(26:26,$8:$8,"&gt;="&amp;DATE(YEAR(KJ$8),1,1),$8:$8,"&lt;="&amp;EOMONTH(KJ$8,0))</f>
        <v/>
      </c>
      <c r="KK117" s="1318">
        <f>SUMIFS(62:62,$8:$8,"&gt;="&amp;DATE(YEAR(KK$8),1,1),$8:$8,"&lt;="&amp;EOMONTH(KK$8,0))/SUMIFS(26:26,$8:$8,"&gt;="&amp;DATE(YEAR(KK$8),1,1),$8:$8,"&lt;="&amp;EOMONTH(KK$8,0))</f>
        <v/>
      </c>
      <c r="KL117" s="1318">
        <f>SUMIFS(62:62,$8:$8,"&gt;="&amp;DATE(YEAR(KL$8),1,1),$8:$8,"&lt;="&amp;EOMONTH(KL$8,0))/SUMIFS(26:26,$8:$8,"&gt;="&amp;DATE(YEAR(KL$8),1,1),$8:$8,"&lt;="&amp;EOMONTH(KL$8,0))</f>
        <v/>
      </c>
      <c r="KM117" s="1318">
        <f>SUMIFS(62:62,$8:$8,"&gt;="&amp;DATE(YEAR(KM$8),1,1),$8:$8,"&lt;="&amp;EOMONTH(KM$8,0))/SUMIFS(26:26,$8:$8,"&gt;="&amp;DATE(YEAR(KM$8),1,1),$8:$8,"&lt;="&amp;EOMONTH(KM$8,0))</f>
        <v/>
      </c>
      <c r="KN117" s="1318">
        <f>SUMIFS(62:62,$8:$8,"&gt;="&amp;DATE(YEAR(KN$8),1,1),$8:$8,"&lt;="&amp;EOMONTH(KN$8,0))/SUMIFS(26:26,$8:$8,"&gt;="&amp;DATE(YEAR(KN$8),1,1),$8:$8,"&lt;="&amp;EOMONTH(KN$8,0))</f>
        <v/>
      </c>
      <c r="KO117" s="1318">
        <f>SUMIFS(62:62,$8:$8,"&gt;="&amp;DATE(YEAR(KO$8),1,1),$8:$8,"&lt;="&amp;EOMONTH(KO$8,0))/SUMIFS(26:26,$8:$8,"&gt;="&amp;DATE(YEAR(KO$8),1,1),$8:$8,"&lt;="&amp;EOMONTH(KO$8,0))</f>
        <v/>
      </c>
      <c r="KP117" s="1318">
        <f>SUMIFS(62:62,$8:$8,"&gt;="&amp;DATE(YEAR(KP$8),1,1),$8:$8,"&lt;="&amp;EOMONTH(KP$8,0))/SUMIFS(26:26,$8:$8,"&gt;="&amp;DATE(YEAR(KP$8),1,1),$8:$8,"&lt;="&amp;EOMONTH(KP$8,0))</f>
        <v/>
      </c>
      <c r="KQ117" s="1318">
        <f>SUMIFS(62:62,$8:$8,"&gt;="&amp;DATE(YEAR(KQ$8),1,1),$8:$8,"&lt;="&amp;EOMONTH(KQ$8,0))/SUMIFS(26:26,$8:$8,"&gt;="&amp;DATE(YEAR(KQ$8),1,1),$8:$8,"&lt;="&amp;EOMONTH(KQ$8,0))</f>
        <v/>
      </c>
      <c r="KR117" s="1318">
        <f>SUMIFS(62:62,$8:$8,"&gt;="&amp;DATE(YEAR(KR$8),1,1),$8:$8,"&lt;="&amp;EOMONTH(KR$8,0))/SUMIFS(26:26,$8:$8,"&gt;="&amp;DATE(YEAR(KR$8),1,1),$8:$8,"&lt;="&amp;EOMONTH(KR$8,0))</f>
        <v/>
      </c>
      <c r="KS117" s="1318">
        <f>SUMIFS(62:62,$8:$8,"&gt;="&amp;DATE(YEAR(KS$8),1,1),$8:$8,"&lt;="&amp;EOMONTH(KS$8,0))/SUMIFS(26:26,$8:$8,"&gt;="&amp;DATE(YEAR(KS$8),1,1),$8:$8,"&lt;="&amp;EOMONTH(KS$8,0))</f>
        <v/>
      </c>
      <c r="KT117" s="1318">
        <f>SUMIFS(62:62,$8:$8,"&gt;="&amp;DATE(YEAR(KT$8),1,1),$8:$8,"&lt;="&amp;EOMONTH(KT$8,0))/SUMIFS(26:26,$8:$8,"&gt;="&amp;DATE(YEAR(KT$8),1,1),$8:$8,"&lt;="&amp;EOMONTH(KT$8,0))</f>
        <v/>
      </c>
      <c r="KU117" s="1318">
        <f>SUMIFS(62:62,$8:$8,"&gt;="&amp;DATE(YEAR(KU$8),1,1),$8:$8,"&lt;="&amp;EOMONTH(KU$8,0))/SUMIFS(26:26,$8:$8,"&gt;="&amp;DATE(YEAR(KU$8),1,1),$8:$8,"&lt;="&amp;EOMONTH(KU$8,0))</f>
        <v/>
      </c>
      <c r="KV117" s="1318">
        <f>SUMIFS(62:62,$8:$8,"&gt;="&amp;DATE(YEAR(KV$8),1,1),$8:$8,"&lt;="&amp;EOMONTH(KV$8,0))/SUMIFS(26:26,$8:$8,"&gt;="&amp;DATE(YEAR(KV$8),1,1),$8:$8,"&lt;="&amp;EOMONTH(KV$8,0))</f>
        <v/>
      </c>
      <c r="KW117" s="1318">
        <f>SUMIFS(62:62,$8:$8,"&gt;="&amp;DATE(YEAR(KW$8),1,1),$8:$8,"&lt;="&amp;EOMONTH(KW$8,0))/SUMIFS(26:26,$8:$8,"&gt;="&amp;DATE(YEAR(KW$8),1,1),$8:$8,"&lt;="&amp;EOMONTH(KW$8,0))</f>
        <v/>
      </c>
      <c r="KX117" s="1318">
        <f>SUMIFS(62:62,$8:$8,"&gt;="&amp;DATE(YEAR(KX$8),1,1),$8:$8,"&lt;="&amp;EOMONTH(KX$8,0))/SUMIFS(26:26,$8:$8,"&gt;="&amp;DATE(YEAR(KX$8),1,1),$8:$8,"&lt;="&amp;EOMONTH(KX$8,0))</f>
        <v/>
      </c>
      <c r="KY117" s="1318">
        <f>SUMIFS(62:62,$8:$8,"&gt;="&amp;DATE(YEAR(KY$8),1,1),$8:$8,"&lt;="&amp;EOMONTH(KY$8,0))/SUMIFS(26:26,$8:$8,"&gt;="&amp;DATE(YEAR(KY$8),1,1),$8:$8,"&lt;="&amp;EOMONTH(KY$8,0))</f>
        <v/>
      </c>
      <c r="KZ117" s="1318">
        <f>SUMIFS(62:62,$8:$8,"&gt;="&amp;DATE(YEAR(KZ$8),1,1),$8:$8,"&lt;="&amp;EOMONTH(KZ$8,0))/SUMIFS(26:26,$8:$8,"&gt;="&amp;DATE(YEAR(KZ$8),1,1),$8:$8,"&lt;="&amp;EOMONTH(KZ$8,0))</f>
        <v/>
      </c>
      <c r="LA117" s="1318">
        <f>SUMIFS(62:62,$8:$8,"&gt;="&amp;DATE(YEAR(LA$8),1,1),$8:$8,"&lt;="&amp;EOMONTH(LA$8,0))/SUMIFS(26:26,$8:$8,"&gt;="&amp;DATE(YEAR(LA$8),1,1),$8:$8,"&lt;="&amp;EOMONTH(LA$8,0))</f>
        <v/>
      </c>
      <c r="LB117" s="1318" t="n"/>
      <c r="LC117" s="1318" t="n"/>
      <c r="LD117" s="1318" t="n"/>
      <c r="LE117" s="1318" t="n"/>
      <c r="LF117" s="1318" t="n"/>
      <c r="LG117" s="1318" t="n"/>
      <c r="LH117" s="1318" t="n"/>
      <c r="LI117" s="1318" t="n"/>
      <c r="LJ117" s="1318" t="n"/>
      <c r="LK117" s="1318" t="n"/>
      <c r="LL117" s="1318" t="n"/>
      <c r="LM117" s="1318" t="n"/>
      <c r="LN117" s="1318" t="n"/>
      <c r="LO117" s="1318" t="n"/>
      <c r="LP117" s="1318" t="n"/>
      <c r="LQ117" s="1318" t="n"/>
      <c r="LR117" s="1318" t="n"/>
      <c r="LS117" s="1318" t="n"/>
    </row>
    <row r="118">
      <c r="A118" s="885" t="inlineStr">
        <is>
          <t>YTDYOY%</t>
        </is>
      </c>
      <c r="B118" s="1318" t="n"/>
      <c r="C118" s="1318" t="n"/>
      <c r="D118" s="1318" t="n"/>
      <c r="E118" s="1318" t="n"/>
      <c r="F118" s="1318" t="n"/>
      <c r="G118" s="1318" t="n"/>
      <c r="H118" s="1318" t="n"/>
      <c r="I118" s="1318" t="n"/>
      <c r="J118" s="1318" t="n"/>
      <c r="K118" s="1318" t="n"/>
      <c r="L118" s="1318" t="n"/>
      <c r="M118" s="1318" t="n"/>
      <c r="N118" s="1318" t="n"/>
      <c r="O118" s="1318" t="n"/>
      <c r="P118" s="1318" t="n"/>
      <c r="Q118" s="1318" t="n"/>
      <c r="R118" s="1318" t="n"/>
      <c r="S118" s="1318" t="n"/>
      <c r="T118" s="1318" t="n"/>
      <c r="U118" s="1318" t="n"/>
      <c r="V118" s="1318" t="n"/>
      <c r="W118" s="1318" t="n"/>
      <c r="X118" s="1318" t="n"/>
      <c r="Y118" s="1318" t="n"/>
      <c r="Z118" s="1318">
        <f>Z117-N117</f>
        <v/>
      </c>
      <c r="AA118" s="1318">
        <f>AA117-O117</f>
        <v/>
      </c>
      <c r="AB118" s="1318">
        <f>AB117-P117</f>
        <v/>
      </c>
      <c r="AC118" s="1318">
        <f>AC117-Q117</f>
        <v/>
      </c>
      <c r="AD118" s="1318">
        <f>AD117-R117</f>
        <v/>
      </c>
      <c r="AE118" s="1318">
        <f>AE117-S117</f>
        <v/>
      </c>
      <c r="AF118" s="1318">
        <f>AF117-T117</f>
        <v/>
      </c>
      <c r="AG118" s="1318">
        <f>AG117-U117</f>
        <v/>
      </c>
      <c r="AH118" s="1318">
        <f>AH117-V117</f>
        <v/>
      </c>
      <c r="AI118" s="1318">
        <f>AI117-W117</f>
        <v/>
      </c>
      <c r="AJ118" s="1318">
        <f>AJ117-X117</f>
        <v/>
      </c>
      <c r="AK118" s="1318">
        <f>AK117-Y117</f>
        <v/>
      </c>
      <c r="AL118" s="1318">
        <f>AL117-Z117</f>
        <v/>
      </c>
      <c r="AM118" s="1318">
        <f>AM117-AA117</f>
        <v/>
      </c>
      <c r="AN118" s="1318">
        <f>AN117-AB117</f>
        <v/>
      </c>
      <c r="AO118" s="1318">
        <f>AO117-AC117</f>
        <v/>
      </c>
      <c r="AP118" s="1318">
        <f>AP117-AD117</f>
        <v/>
      </c>
      <c r="AQ118" s="1318">
        <f>AQ117-AE117</f>
        <v/>
      </c>
      <c r="AR118" s="1318">
        <f>AR117-AF117</f>
        <v/>
      </c>
      <c r="AS118" s="1318">
        <f>AS117-AG117</f>
        <v/>
      </c>
      <c r="AT118" s="1318">
        <f>AT117-AH117</f>
        <v/>
      </c>
      <c r="AU118" s="1318">
        <f>AU117-AI117</f>
        <v/>
      </c>
      <c r="AV118" s="1318">
        <f>AV117-AJ117</f>
        <v/>
      </c>
      <c r="AW118" s="1318">
        <f>AW117-AK117</f>
        <v/>
      </c>
      <c r="AX118" s="1318">
        <f>AX117-AL117</f>
        <v/>
      </c>
      <c r="AY118" s="1318">
        <f>AY117-AM117</f>
        <v/>
      </c>
      <c r="AZ118" s="1318">
        <f>AZ117-AN117</f>
        <v/>
      </c>
      <c r="BA118" s="1318">
        <f>BA117-AO117</f>
        <v/>
      </c>
      <c r="BB118" s="1318">
        <f>BB117-AP117</f>
        <v/>
      </c>
      <c r="BC118" s="1318">
        <f>BC117-AQ117</f>
        <v/>
      </c>
      <c r="BD118" s="1318">
        <f>BD117-AR117</f>
        <v/>
      </c>
      <c r="BE118" s="1318">
        <f>BE117-AS117</f>
        <v/>
      </c>
      <c r="BF118" s="1318">
        <f>BF117-AT117</f>
        <v/>
      </c>
      <c r="BG118" s="1318">
        <f>BG117-AU117</f>
        <v/>
      </c>
      <c r="BH118" s="1318">
        <f>BH117-AV117</f>
        <v/>
      </c>
      <c r="BI118" s="1318">
        <f>BI117-AW117</f>
        <v/>
      </c>
      <c r="BJ118" s="1318">
        <f>BJ117-AX117</f>
        <v/>
      </c>
      <c r="BK118" s="1318">
        <f>BK117-AY117</f>
        <v/>
      </c>
      <c r="BL118" s="1318">
        <f>BL117-AZ117</f>
        <v/>
      </c>
      <c r="BM118" s="1318">
        <f>BM117-BA117</f>
        <v/>
      </c>
      <c r="BN118" s="1318">
        <f>BN117-BB117</f>
        <v/>
      </c>
      <c r="BO118" s="1318">
        <f>BO117-BC117</f>
        <v/>
      </c>
      <c r="BP118" s="1318">
        <f>BP117-BD117</f>
        <v/>
      </c>
      <c r="BQ118" s="1318">
        <f>BQ117-BE117</f>
        <v/>
      </c>
      <c r="BR118" s="1318">
        <f>BR117-BF117</f>
        <v/>
      </c>
      <c r="BS118" s="1318">
        <f>BS117-BG117</f>
        <v/>
      </c>
      <c r="BT118" s="1318">
        <f>BT117-BH117</f>
        <v/>
      </c>
      <c r="BU118" s="1318">
        <f>BU117-BI117</f>
        <v/>
      </c>
      <c r="BV118" s="1318">
        <f>BV117-BJ117</f>
        <v/>
      </c>
      <c r="BW118" s="1318">
        <f>BW117-BK117</f>
        <v/>
      </c>
      <c r="BX118" s="1318">
        <f>BX117-BL117</f>
        <v/>
      </c>
      <c r="BY118" s="1318">
        <f>BY117-BM117</f>
        <v/>
      </c>
      <c r="BZ118" s="1318">
        <f>BZ117-BN117</f>
        <v/>
      </c>
      <c r="CA118" s="1318">
        <f>CA117-BO117</f>
        <v/>
      </c>
      <c r="CB118" s="1318">
        <f>CB117-BP117</f>
        <v/>
      </c>
      <c r="CC118" s="1318">
        <f>CC117-BQ117</f>
        <v/>
      </c>
      <c r="CD118" s="1318">
        <f>CD117-BR117</f>
        <v/>
      </c>
      <c r="CE118" s="1318">
        <f>CE117-BS117</f>
        <v/>
      </c>
      <c r="CF118" s="1318">
        <f>CF117-BT117</f>
        <v/>
      </c>
      <c r="CG118" s="1318">
        <f>CG117-BU117</f>
        <v/>
      </c>
      <c r="CH118" s="1318">
        <f>CH117-BV117</f>
        <v/>
      </c>
      <c r="CI118" s="1318">
        <f>CI117-BW117</f>
        <v/>
      </c>
      <c r="CJ118" s="1318">
        <f>CJ117-BX117</f>
        <v/>
      </c>
      <c r="CK118" s="1318">
        <f>CK117-BY117</f>
        <v/>
      </c>
      <c r="CL118" s="1318">
        <f>CL117-BZ117</f>
        <v/>
      </c>
      <c r="CM118" s="1318">
        <f>CM117-CA117</f>
        <v/>
      </c>
      <c r="CN118" s="1318">
        <f>CN117-CB117</f>
        <v/>
      </c>
      <c r="CO118" s="1318">
        <f>CO117-CC117</f>
        <v/>
      </c>
      <c r="CP118" s="1318">
        <f>CP117-CD117</f>
        <v/>
      </c>
      <c r="CQ118" s="1318">
        <f>CQ117-CE117</f>
        <v/>
      </c>
      <c r="CR118" s="1318">
        <f>CR117-CF117</f>
        <v/>
      </c>
      <c r="CS118" s="1318">
        <f>CS117-CG117</f>
        <v/>
      </c>
      <c r="CT118" s="1318">
        <f>CT117-CH117</f>
        <v/>
      </c>
      <c r="CU118" s="1318">
        <f>CU117-CI117</f>
        <v/>
      </c>
      <c r="CV118" s="1318">
        <f>CV117-CJ117</f>
        <v/>
      </c>
      <c r="CW118" s="1318">
        <f>CW117-CK117</f>
        <v/>
      </c>
      <c r="CX118" s="1318">
        <f>CX117-CL117</f>
        <v/>
      </c>
      <c r="CY118" s="1318">
        <f>CY117-CM117</f>
        <v/>
      </c>
      <c r="CZ118" s="1318">
        <f>CZ117-CN117</f>
        <v/>
      </c>
      <c r="DA118" s="1318">
        <f>DA117-CO117</f>
        <v/>
      </c>
      <c r="DB118" s="1318">
        <f>DB117-CP117</f>
        <v/>
      </c>
      <c r="DC118" s="1318">
        <f>DC117-CQ117</f>
        <v/>
      </c>
      <c r="DD118" s="1318">
        <f>DD117-CR117</f>
        <v/>
      </c>
      <c r="DE118" s="1318">
        <f>DE117-CS117</f>
        <v/>
      </c>
      <c r="DF118" s="1318">
        <f>DF117-CT117</f>
        <v/>
      </c>
      <c r="DG118" s="1318">
        <f>DG117-CU117</f>
        <v/>
      </c>
      <c r="DH118" s="1318">
        <f>DH117-CV117</f>
        <v/>
      </c>
      <c r="DI118" s="1318">
        <f>DI117-CW117</f>
        <v/>
      </c>
      <c r="DJ118" s="1318">
        <f>DJ117-CX117</f>
        <v/>
      </c>
      <c r="DK118" s="1318">
        <f>DK117-CY117</f>
        <v/>
      </c>
      <c r="DL118" s="1318">
        <f>DL117-CZ117</f>
        <v/>
      </c>
      <c r="DM118" s="1318">
        <f>DM117-DA117</f>
        <v/>
      </c>
      <c r="DN118" s="1318">
        <f>DN117-DB117</f>
        <v/>
      </c>
      <c r="DO118" s="1318">
        <f>DO117-DC117</f>
        <v/>
      </c>
      <c r="DP118" s="1318">
        <f>DP117-DD117</f>
        <v/>
      </c>
      <c r="DQ118" s="1318">
        <f>DQ117-DE117</f>
        <v/>
      </c>
      <c r="DR118" s="1318">
        <f>DR117-DF117</f>
        <v/>
      </c>
      <c r="DS118" s="1318">
        <f>DS117-DG117</f>
        <v/>
      </c>
      <c r="DT118" s="1318">
        <f>DT117-DH117</f>
        <v/>
      </c>
      <c r="DU118" s="1318">
        <f>DU117-DI117</f>
        <v/>
      </c>
      <c r="DV118" s="1318">
        <f>DV117-DJ117</f>
        <v/>
      </c>
      <c r="DW118" s="1318">
        <f>DW117-DK117</f>
        <v/>
      </c>
      <c r="DX118" s="1318">
        <f>DX117-DL117</f>
        <v/>
      </c>
      <c r="DY118" s="1318">
        <f>DY117-DM117</f>
        <v/>
      </c>
      <c r="DZ118" s="1318">
        <f>DZ117-DN117</f>
        <v/>
      </c>
      <c r="EA118" s="1318">
        <f>EA117-DO117</f>
        <v/>
      </c>
      <c r="EB118" s="1318">
        <f>EB117-DP117</f>
        <v/>
      </c>
      <c r="EC118" s="1318">
        <f>EC117-DQ117</f>
        <v/>
      </c>
      <c r="ED118" s="1318">
        <f>ED117-DR117</f>
        <v/>
      </c>
      <c r="EE118" s="1318">
        <f>EE117-DS117</f>
        <v/>
      </c>
      <c r="EF118" s="1318">
        <f>EF117-DT117</f>
        <v/>
      </c>
      <c r="EG118" s="1318">
        <f>EG117-DU117</f>
        <v/>
      </c>
      <c r="EH118" s="1318">
        <f>EH117-DV117</f>
        <v/>
      </c>
      <c r="EI118" s="1318">
        <f>EI117-DW117</f>
        <v/>
      </c>
      <c r="EJ118" s="1318">
        <f>EJ117-DX117</f>
        <v/>
      </c>
      <c r="EK118" s="1318">
        <f>EK117-DY117</f>
        <v/>
      </c>
      <c r="EL118" s="1318">
        <f>EL117-DZ117</f>
        <v/>
      </c>
      <c r="EM118" s="1318">
        <f>EM117-EA117</f>
        <v/>
      </c>
      <c r="EN118" s="1318">
        <f>EN117-EB117</f>
        <v/>
      </c>
      <c r="EO118" s="1318">
        <f>EO117-EC117</f>
        <v/>
      </c>
      <c r="EP118" s="1318">
        <f>EP117-ED117</f>
        <v/>
      </c>
      <c r="EQ118" s="1318">
        <f>EQ117-EE117</f>
        <v/>
      </c>
      <c r="ER118" s="1318">
        <f>ER117-EF117</f>
        <v/>
      </c>
      <c r="ES118" s="1318">
        <f>ES117-EG117</f>
        <v/>
      </c>
      <c r="ET118" s="1318">
        <f>ET117-EH117</f>
        <v/>
      </c>
      <c r="EU118" s="1318">
        <f>EU117-EI117</f>
        <v/>
      </c>
      <c r="EV118" s="1318">
        <f>EV117-EJ117</f>
        <v/>
      </c>
      <c r="EW118" s="1318">
        <f>EW117-EK117</f>
        <v/>
      </c>
      <c r="EX118" s="1318">
        <f>EX117-EL117</f>
        <v/>
      </c>
      <c r="EY118" s="1318">
        <f>EY117-EM117</f>
        <v/>
      </c>
      <c r="EZ118" s="1318">
        <f>EZ117-EN117</f>
        <v/>
      </c>
      <c r="FA118" s="1318">
        <f>FA117-EO117</f>
        <v/>
      </c>
      <c r="FB118" s="1318">
        <f>FB117-EP117</f>
        <v/>
      </c>
      <c r="FC118" s="1318">
        <f>FC117-EQ117</f>
        <v/>
      </c>
      <c r="FD118" s="1318">
        <f>FD117-ER117</f>
        <v/>
      </c>
      <c r="FE118" s="1318">
        <f>FE117-ES117</f>
        <v/>
      </c>
      <c r="FF118" s="1318">
        <f>FF117-ET117</f>
        <v/>
      </c>
      <c r="FG118" s="1318">
        <f>FG117-EU117</f>
        <v/>
      </c>
      <c r="FH118" s="1318">
        <f>FH117-EV117</f>
        <v/>
      </c>
      <c r="FI118" s="1318">
        <f>FI117-EW117</f>
        <v/>
      </c>
      <c r="FJ118" s="1318">
        <f>FJ117-EX117</f>
        <v/>
      </c>
      <c r="FK118" s="1318">
        <f>FK117-EY117</f>
        <v/>
      </c>
      <c r="FL118" s="1318">
        <f>FL117-EZ117</f>
        <v/>
      </c>
      <c r="FM118" s="1318">
        <f>FM117-FA117</f>
        <v/>
      </c>
      <c r="FN118" s="1318">
        <f>FN117-FB117</f>
        <v/>
      </c>
      <c r="FO118" s="1318">
        <f>FO117-FC117</f>
        <v/>
      </c>
      <c r="FP118" s="1318">
        <f>FP117-FD117</f>
        <v/>
      </c>
      <c r="FQ118" s="1318">
        <f>FQ117-FE117</f>
        <v/>
      </c>
      <c r="FR118" s="1318">
        <f>FR117-FF117</f>
        <v/>
      </c>
      <c r="FS118" s="1318">
        <f>FS117-FG117</f>
        <v/>
      </c>
      <c r="FT118" s="1318">
        <f>FT117-FH117</f>
        <v/>
      </c>
      <c r="FU118" s="1318">
        <f>FU117-FI117</f>
        <v/>
      </c>
      <c r="FV118" s="1318">
        <f>FV117-FJ117</f>
        <v/>
      </c>
      <c r="FW118" s="1318">
        <f>FW117-FK117</f>
        <v/>
      </c>
      <c r="FX118" s="1318">
        <f>FX117-FL117</f>
        <v/>
      </c>
      <c r="FY118" s="1318">
        <f>FY117-FM117</f>
        <v/>
      </c>
      <c r="FZ118" s="1318">
        <f>FZ117-FN117</f>
        <v/>
      </c>
      <c r="GA118" s="1318">
        <f>GA117-FO117</f>
        <v/>
      </c>
      <c r="GB118" s="1318">
        <f>GB117-FP117</f>
        <v/>
      </c>
      <c r="GC118" s="1318">
        <f>GC117-FQ117</f>
        <v/>
      </c>
      <c r="GD118" s="1318">
        <f>GD117-FR117</f>
        <v/>
      </c>
      <c r="GE118" s="1318">
        <f>GE117-FS117</f>
        <v/>
      </c>
      <c r="GF118" s="1318">
        <f>GF117-FT117</f>
        <v/>
      </c>
      <c r="GG118" s="1318">
        <f>GG117-FU117</f>
        <v/>
      </c>
      <c r="GH118" s="1318">
        <f>GH117-FV117</f>
        <v/>
      </c>
      <c r="GI118" s="1318">
        <f>GI117-FW117</f>
        <v/>
      </c>
      <c r="GJ118" s="1318">
        <f>GJ117-FX117</f>
        <v/>
      </c>
      <c r="GK118" s="1318">
        <f>GK117-FY117</f>
        <v/>
      </c>
      <c r="GL118" s="1318">
        <f>GL117-FZ117</f>
        <v/>
      </c>
      <c r="GM118" s="1318">
        <f>GM117-GA117</f>
        <v/>
      </c>
      <c r="GN118" s="1318">
        <f>GN117-GB117</f>
        <v/>
      </c>
      <c r="GO118" s="1318">
        <f>GO117-GC117</f>
        <v/>
      </c>
      <c r="GP118" s="1318">
        <f>GP117-GD117</f>
        <v/>
      </c>
      <c r="GQ118" s="1318">
        <f>GQ117-GE117</f>
        <v/>
      </c>
      <c r="GR118" s="1318">
        <f>GR117-GF117</f>
        <v/>
      </c>
      <c r="GS118" s="1318">
        <f>GS117-GG117</f>
        <v/>
      </c>
      <c r="GT118" s="1318">
        <f>GT117-GH117</f>
        <v/>
      </c>
      <c r="GU118" s="1318">
        <f>GU117-GI117</f>
        <v/>
      </c>
      <c r="GV118" s="1318">
        <f>GV117-GJ117</f>
        <v/>
      </c>
      <c r="GW118" s="1318">
        <f>GW117-GK117</f>
        <v/>
      </c>
      <c r="GX118" s="1318">
        <f>GX117-GL117</f>
        <v/>
      </c>
      <c r="GY118" s="1318">
        <f>GY117-GM117</f>
        <v/>
      </c>
      <c r="GZ118" s="1318">
        <f>GZ117-GN117</f>
        <v/>
      </c>
      <c r="HA118" s="1318">
        <f>HA117-GO117</f>
        <v/>
      </c>
      <c r="HB118" s="1318">
        <f>HB117-GP117</f>
        <v/>
      </c>
      <c r="HC118" s="1318">
        <f>HC117-GQ117</f>
        <v/>
      </c>
      <c r="HD118" s="1318">
        <f>HD117-GR117</f>
        <v/>
      </c>
      <c r="HE118" s="1318">
        <f>HE117-GS117</f>
        <v/>
      </c>
      <c r="HF118" s="1318">
        <f>HF117-GT117</f>
        <v/>
      </c>
      <c r="HG118" s="1318">
        <f>HG117-GU117</f>
        <v/>
      </c>
      <c r="HH118" s="1318">
        <f>HH117-GV117</f>
        <v/>
      </c>
      <c r="HI118" s="1318">
        <f>HI117-GW117</f>
        <v/>
      </c>
      <c r="HJ118" s="1318">
        <f>HJ117-GX117</f>
        <v/>
      </c>
      <c r="HK118" s="1318">
        <f>HK117-GY117</f>
        <v/>
      </c>
      <c r="HL118" s="1318">
        <f>HL117-GZ117</f>
        <v/>
      </c>
      <c r="HM118" s="1318">
        <f>HM117-HA117</f>
        <v/>
      </c>
      <c r="HN118" s="1318">
        <f>HN117-HB117</f>
        <v/>
      </c>
      <c r="HO118" s="1318">
        <f>HO117-HC117</f>
        <v/>
      </c>
      <c r="HP118" s="1318">
        <f>HP117-HD117</f>
        <v/>
      </c>
      <c r="HQ118" s="1318">
        <f>HQ117-HE117</f>
        <v/>
      </c>
      <c r="HR118" s="1318">
        <f>HR117-HF117</f>
        <v/>
      </c>
      <c r="HS118" s="1318">
        <f>HS117-HG117</f>
        <v/>
      </c>
      <c r="HT118" s="1318">
        <f>HT117-HH117</f>
        <v/>
      </c>
      <c r="HU118" s="1318">
        <f>HU117-HI117</f>
        <v/>
      </c>
      <c r="HV118" s="1318">
        <f>HV117-HJ117</f>
        <v/>
      </c>
      <c r="HW118" s="1318">
        <f>HW117-HK117</f>
        <v/>
      </c>
      <c r="HX118" s="1318">
        <f>HX117-HL117</f>
        <v/>
      </c>
      <c r="HY118" s="1318">
        <f>HY117-HM117</f>
        <v/>
      </c>
      <c r="HZ118" s="1318">
        <f>HZ117-HN117</f>
        <v/>
      </c>
      <c r="IA118" s="1318">
        <f>IA117-HO117</f>
        <v/>
      </c>
      <c r="IB118" s="1318">
        <f>IB117-HP117</f>
        <v/>
      </c>
      <c r="IC118" s="1318">
        <f>IC117-HQ117</f>
        <v/>
      </c>
      <c r="ID118" s="1318">
        <f>ID117-HR117</f>
        <v/>
      </c>
      <c r="IE118" s="1318">
        <f>IE117-HS117</f>
        <v/>
      </c>
      <c r="IF118" s="1318">
        <f>IF117-HT117</f>
        <v/>
      </c>
      <c r="IG118" s="1318">
        <f>IG117-HU117</f>
        <v/>
      </c>
      <c r="IH118" s="1318">
        <f>IH117-HV117</f>
        <v/>
      </c>
      <c r="II118" s="1318">
        <f>II117-HW117</f>
        <v/>
      </c>
      <c r="IJ118" s="1318">
        <f>IJ117-HX117</f>
        <v/>
      </c>
      <c r="IK118" s="1318">
        <f>IK117-HY117</f>
        <v/>
      </c>
      <c r="IL118" s="1318">
        <f>IL117-HZ117</f>
        <v/>
      </c>
      <c r="IM118" s="1318">
        <f>IM117-IA117</f>
        <v/>
      </c>
      <c r="IN118" s="1318">
        <f>IN117-IB117</f>
        <v/>
      </c>
      <c r="IO118" s="1318">
        <f>IO117-IC117</f>
        <v/>
      </c>
      <c r="IP118" s="1318">
        <f>IP117-ID117</f>
        <v/>
      </c>
      <c r="IQ118" s="1318">
        <f>IQ117-IE117</f>
        <v/>
      </c>
      <c r="IR118" s="1318">
        <f>IR117-IF117</f>
        <v/>
      </c>
      <c r="IS118" s="1318">
        <f>IS117-IG117</f>
        <v/>
      </c>
      <c r="IT118" s="1318">
        <f>IT117-IH117</f>
        <v/>
      </c>
      <c r="IU118" s="1318">
        <f>IU117-II117</f>
        <v/>
      </c>
      <c r="IV118" s="1318">
        <f>IV117-IJ117</f>
        <v/>
      </c>
      <c r="IW118" s="1318">
        <f>IW117-IK117</f>
        <v/>
      </c>
      <c r="IX118" s="1318">
        <f>IX117-IL117</f>
        <v/>
      </c>
      <c r="IY118" s="1318">
        <f>IY117-IM117</f>
        <v/>
      </c>
      <c r="IZ118" s="1318">
        <f>IZ117-IN117</f>
        <v/>
      </c>
      <c r="JA118" s="1318">
        <f>JA117-IO117</f>
        <v/>
      </c>
      <c r="JB118" s="1318">
        <f>JB117-IP117</f>
        <v/>
      </c>
      <c r="JC118" s="1318">
        <f>JC117-IQ117</f>
        <v/>
      </c>
      <c r="JD118" s="1318">
        <f>JD117-IR117</f>
        <v/>
      </c>
      <c r="JE118" s="1318">
        <f>JE117-IS117</f>
        <v/>
      </c>
      <c r="JF118" s="1318">
        <f>JF117-IT117</f>
        <v/>
      </c>
      <c r="JG118" s="1318">
        <f>JG117-IU117</f>
        <v/>
      </c>
      <c r="JH118" s="1318">
        <f>JH117-IV117</f>
        <v/>
      </c>
      <c r="JI118" s="1318">
        <f>JI117-IW117</f>
        <v/>
      </c>
      <c r="JJ118" s="1318">
        <f>JJ117-IX117</f>
        <v/>
      </c>
      <c r="JK118" s="1318">
        <f>JK117-IY117</f>
        <v/>
      </c>
      <c r="JL118" s="1318">
        <f>JL117-IZ117</f>
        <v/>
      </c>
      <c r="JM118" s="1318">
        <f>JM117-JA117</f>
        <v/>
      </c>
      <c r="JN118" s="1318">
        <f>JN117-JB117</f>
        <v/>
      </c>
      <c r="JO118" s="1318">
        <f>JO117-JC117</f>
        <v/>
      </c>
      <c r="JP118" s="1318">
        <f>JP117-JD117</f>
        <v/>
      </c>
      <c r="JQ118" s="1318">
        <f>JQ117-JE117</f>
        <v/>
      </c>
      <c r="JR118" s="1318">
        <f>JR117-JF117</f>
        <v/>
      </c>
      <c r="JS118" s="1318">
        <f>JS117-JG117</f>
        <v/>
      </c>
      <c r="JT118" s="1318">
        <f>JT117-JH117</f>
        <v/>
      </c>
      <c r="JU118" s="1318">
        <f>JU117-JI117</f>
        <v/>
      </c>
      <c r="JV118" s="1318">
        <f>JV117-JJ117</f>
        <v/>
      </c>
      <c r="JW118" s="1318">
        <f>JW117-JK117</f>
        <v/>
      </c>
      <c r="JX118" s="1318">
        <f>JX117-JL117</f>
        <v/>
      </c>
      <c r="JY118" s="1318">
        <f>JY117-JM117</f>
        <v/>
      </c>
      <c r="JZ118" s="1318">
        <f>JZ117-JN117</f>
        <v/>
      </c>
      <c r="KA118" s="1318">
        <f>KA117-JO117</f>
        <v/>
      </c>
      <c r="KB118" s="1318">
        <f>KB117-JP117</f>
        <v/>
      </c>
      <c r="KC118" s="1318">
        <f>KC117-JQ117</f>
        <v/>
      </c>
      <c r="KD118" s="1318">
        <f>KD117-JR117</f>
        <v/>
      </c>
      <c r="KE118" s="1318">
        <f>KE117-JS117</f>
        <v/>
      </c>
      <c r="KF118" s="1318">
        <f>KF117-JT117</f>
        <v/>
      </c>
      <c r="KG118" s="1318">
        <f>KG117-JU117</f>
        <v/>
      </c>
      <c r="KH118" s="1318">
        <f>KH117-JV117</f>
        <v/>
      </c>
      <c r="KI118" s="1318">
        <f>KI117-JW117</f>
        <v/>
      </c>
      <c r="KJ118" s="1318">
        <f>KJ117-JX117</f>
        <v/>
      </c>
      <c r="KK118" s="1318">
        <f>KK117-JY117</f>
        <v/>
      </c>
      <c r="KL118" s="1318">
        <f>KL117-JZ117</f>
        <v/>
      </c>
      <c r="KM118" s="1318">
        <f>KM117-KA117</f>
        <v/>
      </c>
      <c r="KN118" s="1318">
        <f>KN117-KB117</f>
        <v/>
      </c>
      <c r="KO118" s="1318">
        <f>KO117-KC117</f>
        <v/>
      </c>
      <c r="KP118" s="1318">
        <f>KP117-KD117</f>
        <v/>
      </c>
      <c r="KQ118" s="1318">
        <f>KQ117-KE117</f>
        <v/>
      </c>
      <c r="KR118" s="1318">
        <f>KR117-KF117</f>
        <v/>
      </c>
      <c r="KS118" s="1318">
        <f>KS117-KG117</f>
        <v/>
      </c>
      <c r="KT118" s="1318">
        <f>KT117-KH117</f>
        <v/>
      </c>
      <c r="KU118" s="1318">
        <f>KU117-KI117</f>
        <v/>
      </c>
      <c r="KV118" s="1318">
        <f>KV117-KJ117</f>
        <v/>
      </c>
      <c r="KW118" s="1318">
        <f>KW117-KK117</f>
        <v/>
      </c>
      <c r="KX118" s="1318">
        <f>KX117-KL117</f>
        <v/>
      </c>
      <c r="KY118" s="1318">
        <f>KY117-KM117</f>
        <v/>
      </c>
      <c r="KZ118" s="1318">
        <f>KZ117-KN117</f>
        <v/>
      </c>
      <c r="LA118" s="1318">
        <f>LA117-KO117</f>
        <v/>
      </c>
      <c r="LB118" s="1318" t="n"/>
      <c r="LC118" s="1318" t="n"/>
      <c r="LD118" s="1318" t="n"/>
      <c r="LE118" s="1318" t="n"/>
      <c r="LF118" s="1318" t="n"/>
      <c r="LG118" s="1318" t="n"/>
      <c r="LH118" s="1318" t="n"/>
      <c r="LI118" s="1318" t="n"/>
      <c r="LJ118" s="1318" t="n"/>
      <c r="LK118" s="1318" t="n"/>
      <c r="LL118" s="1318" t="n"/>
      <c r="LM118" s="1318" t="n"/>
      <c r="LN118" s="1318" t="n"/>
      <c r="LO118" s="1318" t="n"/>
      <c r="LP118" s="1318" t="n"/>
      <c r="LQ118" s="1318" t="n"/>
      <c r="LR118" s="1318" t="n"/>
      <c r="LS118" s="1318" t="n"/>
    </row>
    <row r="119" ht="15" customHeight="1" s="239">
      <c r="A119" s="1341" t="inlineStr">
        <is>
          <t>SE Asia</t>
        </is>
      </c>
      <c r="B119" s="1342">
        <f>B66/B30</f>
        <v/>
      </c>
      <c r="C119" s="1342">
        <f>C66/C30</f>
        <v/>
      </c>
      <c r="D119" s="1342">
        <f>D66/D30</f>
        <v/>
      </c>
      <c r="E119" s="1342">
        <f>E66/E30</f>
        <v/>
      </c>
      <c r="F119" s="1342">
        <f>F66/F30</f>
        <v/>
      </c>
      <c r="G119" s="1342">
        <f>G66/G30</f>
        <v/>
      </c>
      <c r="H119" s="1342">
        <f>H66/H30</f>
        <v/>
      </c>
      <c r="I119" s="1342">
        <f>I66/I30</f>
        <v/>
      </c>
      <c r="J119" s="1342">
        <f>J66/J30</f>
        <v/>
      </c>
      <c r="K119" s="1342">
        <f>K66/K30</f>
        <v/>
      </c>
      <c r="L119" s="1342">
        <f>L66/L30</f>
        <v/>
      </c>
      <c r="M119" s="1342">
        <f>M66/M30</f>
        <v/>
      </c>
      <c r="N119" s="1342">
        <f>N66/N30</f>
        <v/>
      </c>
      <c r="O119" s="1342">
        <f>O66/O30</f>
        <v/>
      </c>
      <c r="P119" s="1342">
        <f>P66/P30</f>
        <v/>
      </c>
      <c r="Q119" s="1342">
        <f>Q66/Q30</f>
        <v/>
      </c>
      <c r="R119" s="1342">
        <f>R66/R30</f>
        <v/>
      </c>
      <c r="S119" s="1342">
        <f>S66/S30</f>
        <v/>
      </c>
      <c r="T119" s="1342">
        <f>T66/T30</f>
        <v/>
      </c>
      <c r="U119" s="1342">
        <f>U66/U30</f>
        <v/>
      </c>
      <c r="V119" s="1342">
        <f>V66/V30</f>
        <v/>
      </c>
      <c r="W119" s="1342">
        <f>W66/W30</f>
        <v/>
      </c>
      <c r="X119" s="1342">
        <f>X66/X30</f>
        <v/>
      </c>
      <c r="Y119" s="1342">
        <f>Y66/Y30</f>
        <v/>
      </c>
      <c r="Z119" s="1342">
        <f>Z66/Z30</f>
        <v/>
      </c>
      <c r="AA119" s="1342">
        <f>AA66/AA30</f>
        <v/>
      </c>
      <c r="AB119" s="1342">
        <f>AB66/AB30</f>
        <v/>
      </c>
      <c r="AC119" s="1342">
        <f>AC66/AC30</f>
        <v/>
      </c>
      <c r="AD119" s="1342">
        <f>AD66/AD30</f>
        <v/>
      </c>
      <c r="AE119" s="1342">
        <f>AE66/AE30</f>
        <v/>
      </c>
      <c r="AF119" s="1342">
        <f>AF66/AF30</f>
        <v/>
      </c>
      <c r="AG119" s="1342">
        <f>AG66/AG30</f>
        <v/>
      </c>
      <c r="AH119" s="1342">
        <f>AH66/AH30</f>
        <v/>
      </c>
      <c r="AI119" s="1342">
        <f>AI66/AI30</f>
        <v/>
      </c>
      <c r="AJ119" s="1342">
        <f>AJ66/AJ30</f>
        <v/>
      </c>
      <c r="AK119" s="1342">
        <f>AK66/AK30</f>
        <v/>
      </c>
      <c r="AL119" s="1342">
        <f>AL66/AL30</f>
        <v/>
      </c>
      <c r="AM119" s="1342">
        <f>AM66/AM30</f>
        <v/>
      </c>
      <c r="AN119" s="1342">
        <f>AN66/AN30</f>
        <v/>
      </c>
      <c r="AO119" s="1342">
        <f>AO66/AO30</f>
        <v/>
      </c>
      <c r="AP119" s="1342">
        <f>AP66/AP30</f>
        <v/>
      </c>
      <c r="AQ119" s="1342">
        <f>AQ66/AQ30</f>
        <v/>
      </c>
      <c r="AR119" s="1342">
        <f>AR66/AR30</f>
        <v/>
      </c>
      <c r="AS119" s="1342">
        <f>AS66/AS30</f>
        <v/>
      </c>
      <c r="AT119" s="1342">
        <f>AT66/AT30</f>
        <v/>
      </c>
      <c r="AU119" s="1342">
        <f>AU66/AU30</f>
        <v/>
      </c>
      <c r="AV119" s="1342">
        <f>AV66/AV30</f>
        <v/>
      </c>
      <c r="AW119" s="1342">
        <f>AW66/AW30</f>
        <v/>
      </c>
      <c r="AX119" s="1342">
        <f>AX66/AX30</f>
        <v/>
      </c>
      <c r="AY119" s="1342">
        <f>AY66/AY30</f>
        <v/>
      </c>
      <c r="AZ119" s="1342">
        <f>AZ66/AZ30</f>
        <v/>
      </c>
      <c r="BA119" s="1342">
        <f>BA66/BA30</f>
        <v/>
      </c>
      <c r="BB119" s="1342">
        <f>BB66/BB30</f>
        <v/>
      </c>
      <c r="BC119" s="1342">
        <f>BC66/BC30</f>
        <v/>
      </c>
      <c r="BD119" s="1342">
        <f>BD66/BD30</f>
        <v/>
      </c>
      <c r="BE119" s="1342">
        <f>BE66/BE30</f>
        <v/>
      </c>
      <c r="BF119" s="1342">
        <f>BF66/BF30</f>
        <v/>
      </c>
      <c r="BG119" s="1342">
        <f>BG66/BG30</f>
        <v/>
      </c>
      <c r="BH119" s="1342">
        <f>BH66/BH30</f>
        <v/>
      </c>
      <c r="BI119" s="1342">
        <f>BI66/BI30</f>
        <v/>
      </c>
      <c r="BJ119" s="1342">
        <f>BJ66/BJ30</f>
        <v/>
      </c>
      <c r="BK119" s="1342">
        <f>BK66/BK30</f>
        <v/>
      </c>
      <c r="BL119" s="1342">
        <f>BL66/BL30</f>
        <v/>
      </c>
      <c r="BM119" s="1342">
        <f>BM66/BM30</f>
        <v/>
      </c>
      <c r="BN119" s="1342">
        <f>BN66/BN30</f>
        <v/>
      </c>
      <c r="BO119" s="1342">
        <f>BO66/BO30</f>
        <v/>
      </c>
      <c r="BP119" s="1342">
        <f>BP66/BP30</f>
        <v/>
      </c>
      <c r="BQ119" s="1342">
        <f>BQ66/BQ30</f>
        <v/>
      </c>
      <c r="BR119" s="1342">
        <f>BR66/BR30</f>
        <v/>
      </c>
      <c r="BS119" s="1342">
        <f>BS66/BS30</f>
        <v/>
      </c>
      <c r="BT119" s="1342">
        <f>BT66/BT30</f>
        <v/>
      </c>
      <c r="BU119" s="1342">
        <f>BU66/BU30</f>
        <v/>
      </c>
      <c r="BV119" s="1342">
        <f>BV66/BV30</f>
        <v/>
      </c>
      <c r="BW119" s="1342">
        <f>BW66/BW30</f>
        <v/>
      </c>
      <c r="BX119" s="1342">
        <f>BX66/BX30</f>
        <v/>
      </c>
      <c r="BY119" s="1342">
        <f>BY66/BY30</f>
        <v/>
      </c>
      <c r="BZ119" s="1342">
        <f>BZ66/BZ30</f>
        <v/>
      </c>
      <c r="CA119" s="1342">
        <f>CA66/CA30</f>
        <v/>
      </c>
      <c r="CB119" s="1342">
        <f>CB66/CB30</f>
        <v/>
      </c>
      <c r="CC119" s="1342">
        <f>CC66/CC30</f>
        <v/>
      </c>
      <c r="CD119" s="1342">
        <f>CD66/CD30</f>
        <v/>
      </c>
      <c r="CE119" s="1342">
        <f>CE66/CE30</f>
        <v/>
      </c>
      <c r="CF119" s="1342">
        <f>CF66/CF30</f>
        <v/>
      </c>
      <c r="CG119" s="1342">
        <f>CG66/CG30</f>
        <v/>
      </c>
      <c r="CH119" s="1342">
        <f>CH66/CH30</f>
        <v/>
      </c>
      <c r="CI119" s="1342">
        <f>CI66/CI30</f>
        <v/>
      </c>
      <c r="CJ119" s="1342">
        <f>CJ66/CJ30</f>
        <v/>
      </c>
      <c r="CK119" s="1342">
        <f>CK66/CK30</f>
        <v/>
      </c>
      <c r="CL119" s="1342">
        <f>CL66/CL30</f>
        <v/>
      </c>
      <c r="CM119" s="1342">
        <f>CM66/CM30</f>
        <v/>
      </c>
      <c r="CN119" s="1342">
        <f>CN66/CN30</f>
        <v/>
      </c>
      <c r="CO119" s="1342">
        <f>CO66/CO30</f>
        <v/>
      </c>
      <c r="CP119" s="1342">
        <f>CP66/CP30</f>
        <v/>
      </c>
      <c r="CQ119" s="1342">
        <f>CQ66/CQ30</f>
        <v/>
      </c>
      <c r="CR119" s="1342">
        <f>CR66/CR30</f>
        <v/>
      </c>
      <c r="CS119" s="1342">
        <f>CS66/CS30</f>
        <v/>
      </c>
      <c r="CT119" s="1342">
        <f>CT66/CT30</f>
        <v/>
      </c>
      <c r="CU119" s="1342">
        <f>CU66/CU30</f>
        <v/>
      </c>
      <c r="CV119" s="1342">
        <f>CV66/CV30</f>
        <v/>
      </c>
      <c r="CW119" s="1342">
        <f>CW66/CW30</f>
        <v/>
      </c>
      <c r="CX119" s="1342">
        <f>CX66/CX30</f>
        <v/>
      </c>
      <c r="CY119" s="1342">
        <f>CY66/CY30</f>
        <v/>
      </c>
      <c r="CZ119" s="1342">
        <f>CZ66/CZ30</f>
        <v/>
      </c>
      <c r="DA119" s="1342">
        <f>DA66/DA30</f>
        <v/>
      </c>
      <c r="DB119" s="1342">
        <f>DB66/DB30</f>
        <v/>
      </c>
      <c r="DC119" s="1342">
        <f>DC66/DC30</f>
        <v/>
      </c>
      <c r="DD119" s="1342">
        <f>DD66/DD30</f>
        <v/>
      </c>
      <c r="DE119" s="1342">
        <f>DE66/DE30</f>
        <v/>
      </c>
      <c r="DF119" s="1342">
        <f>DF66/DF30</f>
        <v/>
      </c>
      <c r="DG119" s="1342">
        <f>DG66/DG30</f>
        <v/>
      </c>
      <c r="DH119" s="1342">
        <f>DH66/DH30</f>
        <v/>
      </c>
      <c r="DI119" s="1342">
        <f>DI66/DI30</f>
        <v/>
      </c>
      <c r="DJ119" s="1342">
        <f>DJ66/DJ30</f>
        <v/>
      </c>
      <c r="DK119" s="1342">
        <f>DK66/DK30</f>
        <v/>
      </c>
      <c r="DL119" s="1342">
        <f>DL66/DL30</f>
        <v/>
      </c>
      <c r="DM119" s="1342">
        <f>DM66/DM30</f>
        <v/>
      </c>
      <c r="DN119" s="1342">
        <f>DN66/DN30</f>
        <v/>
      </c>
      <c r="DO119" s="1342">
        <f>DO66/DO30</f>
        <v/>
      </c>
      <c r="DP119" s="1342">
        <f>DP66/DP30</f>
        <v/>
      </c>
      <c r="DQ119" s="1342">
        <f>DQ66/DQ30</f>
        <v/>
      </c>
      <c r="DR119" s="1342">
        <f>DR66/DR30</f>
        <v/>
      </c>
      <c r="DS119" s="1342">
        <f>DS66/DS30</f>
        <v/>
      </c>
      <c r="DT119" s="1342">
        <f>DT66/DT30</f>
        <v/>
      </c>
      <c r="DU119" s="1342">
        <f>DU66/DU30</f>
        <v/>
      </c>
      <c r="DV119" s="1342">
        <f>DV66/DV30</f>
        <v/>
      </c>
      <c r="DW119" s="1342">
        <f>DW66/DW30</f>
        <v/>
      </c>
      <c r="DX119" s="1342">
        <f>DX66/DX30</f>
        <v/>
      </c>
      <c r="DY119" s="1342">
        <f>DY66/DY30</f>
        <v/>
      </c>
      <c r="DZ119" s="1342">
        <f>DZ66/DZ30</f>
        <v/>
      </c>
      <c r="EA119" s="1342">
        <f>EA66/EA30</f>
        <v/>
      </c>
      <c r="EB119" s="1342">
        <f>EB66/EB30</f>
        <v/>
      </c>
      <c r="EC119" s="1342">
        <f>EC66/EC30</f>
        <v/>
      </c>
      <c r="ED119" s="1342">
        <f>ED66/ED30</f>
        <v/>
      </c>
      <c r="EE119" s="1342">
        <f>EE66/EE30</f>
        <v/>
      </c>
      <c r="EF119" s="1342">
        <f>EF66/EF30</f>
        <v/>
      </c>
      <c r="EG119" s="1342">
        <f>EG66/EG30</f>
        <v/>
      </c>
      <c r="EH119" s="1342">
        <f>EH66/EH30</f>
        <v/>
      </c>
      <c r="EI119" s="1342">
        <f>EI66/EI30</f>
        <v/>
      </c>
      <c r="EJ119" s="1342">
        <f>EJ66/EJ30</f>
        <v/>
      </c>
      <c r="EK119" s="1342">
        <f>EK66/EK30</f>
        <v/>
      </c>
      <c r="EL119" s="1342">
        <f>EL66/EL30</f>
        <v/>
      </c>
      <c r="EM119" s="1342">
        <f>EM66/EM30</f>
        <v/>
      </c>
      <c r="EN119" s="1342">
        <f>EN66/EN30</f>
        <v/>
      </c>
      <c r="EO119" s="1342">
        <f>EO66/EO30</f>
        <v/>
      </c>
      <c r="EP119" s="1342">
        <f>EP66/EP30</f>
        <v/>
      </c>
      <c r="EQ119" s="1342">
        <f>EQ66/EQ30</f>
        <v/>
      </c>
      <c r="ER119" s="1342">
        <f>ER66/ER30</f>
        <v/>
      </c>
      <c r="ES119" s="1342">
        <f>ES66/ES30</f>
        <v/>
      </c>
      <c r="ET119" s="1342">
        <f>ET66/ET30</f>
        <v/>
      </c>
      <c r="EU119" s="1342">
        <f>EU66/EU30</f>
        <v/>
      </c>
      <c r="EV119" s="1342">
        <f>EV66/EV30</f>
        <v/>
      </c>
      <c r="EW119" s="1342">
        <f>EW66/EW30</f>
        <v/>
      </c>
      <c r="EX119" s="1342">
        <f>EX66/EX30</f>
        <v/>
      </c>
      <c r="EY119" s="1342">
        <f>EY66/EY30</f>
        <v/>
      </c>
      <c r="EZ119" s="1342">
        <f>EZ66/EZ30</f>
        <v/>
      </c>
      <c r="FA119" s="1342">
        <f>FA66/FA30</f>
        <v/>
      </c>
      <c r="FB119" s="1342">
        <f>FB66/FB30</f>
        <v/>
      </c>
      <c r="FC119" s="1342">
        <f>FC66/FC30</f>
        <v/>
      </c>
      <c r="FD119" s="1342">
        <f>FD66/FD30</f>
        <v/>
      </c>
      <c r="FE119" s="1342">
        <f>FE66/FE30</f>
        <v/>
      </c>
      <c r="FF119" s="1342">
        <f>FF66/FF30</f>
        <v/>
      </c>
      <c r="FG119" s="1342">
        <f>FG66/FG30</f>
        <v/>
      </c>
      <c r="FH119" s="1342">
        <f>FH66/FH30</f>
        <v/>
      </c>
      <c r="FI119" s="1342">
        <f>FI66/FI30</f>
        <v/>
      </c>
      <c r="FJ119" s="1342">
        <f>FJ66/FJ30</f>
        <v/>
      </c>
      <c r="FK119" s="1342">
        <f>FK66/FK30</f>
        <v/>
      </c>
      <c r="FL119" s="1342">
        <f>FL66/FL30</f>
        <v/>
      </c>
      <c r="FM119" s="1342">
        <f>FM66/FM30</f>
        <v/>
      </c>
      <c r="FN119" s="1342">
        <f>FN66/FN30</f>
        <v/>
      </c>
      <c r="FO119" s="1342">
        <f>FO66/FO30</f>
        <v/>
      </c>
      <c r="FP119" s="1342">
        <f>FP66/FP30</f>
        <v/>
      </c>
      <c r="FQ119" s="1342">
        <f>FQ66/FQ30</f>
        <v/>
      </c>
      <c r="FR119" s="1342">
        <f>FR66/FR30</f>
        <v/>
      </c>
      <c r="FS119" s="1342">
        <f>FS66/FS30</f>
        <v/>
      </c>
      <c r="FT119" s="1342">
        <f>FT66/FT30</f>
        <v/>
      </c>
      <c r="FU119" s="1342">
        <f>FU66/FU30</f>
        <v/>
      </c>
      <c r="FV119" s="1342">
        <f>FV66/FV30</f>
        <v/>
      </c>
      <c r="FW119" s="1342">
        <f>FW66/FW30</f>
        <v/>
      </c>
      <c r="FX119" s="1342">
        <f>FX66/FX30</f>
        <v/>
      </c>
      <c r="FY119" s="1342">
        <f>FY66/FY30</f>
        <v/>
      </c>
      <c r="FZ119" s="1342">
        <f>FZ66/FZ30</f>
        <v/>
      </c>
      <c r="GA119" s="1342">
        <f>GA66/GA30</f>
        <v/>
      </c>
      <c r="GB119" s="1342">
        <f>GB66/GB30</f>
        <v/>
      </c>
      <c r="GC119" s="1342">
        <f>GC66/GC30</f>
        <v/>
      </c>
      <c r="GD119" s="1342">
        <f>GD66/GD30</f>
        <v/>
      </c>
      <c r="GE119" s="1342">
        <f>GE66/GE30</f>
        <v/>
      </c>
      <c r="GF119" s="1342">
        <f>GF66/GF30</f>
        <v/>
      </c>
      <c r="GG119" s="1342">
        <f>GG66/GG30</f>
        <v/>
      </c>
      <c r="GH119" s="1342">
        <f>GH66/GH30</f>
        <v/>
      </c>
      <c r="GI119" s="1342">
        <f>GI66/GI30</f>
        <v/>
      </c>
      <c r="GJ119" s="1342">
        <f>GJ66/GJ30</f>
        <v/>
      </c>
      <c r="GK119" s="1342">
        <f>GK66/GK30</f>
        <v/>
      </c>
      <c r="GL119" s="1342">
        <f>GL66/GL30</f>
        <v/>
      </c>
      <c r="GM119" s="1342">
        <f>GM66/GM30</f>
        <v/>
      </c>
      <c r="GN119" s="1342">
        <f>GN66/GN30</f>
        <v/>
      </c>
      <c r="GO119" s="1342">
        <f>GO66/GO30</f>
        <v/>
      </c>
      <c r="GP119" s="1342">
        <f>GP66/GP30</f>
        <v/>
      </c>
      <c r="GQ119" s="1342">
        <f>GQ66/GQ30</f>
        <v/>
      </c>
      <c r="GR119" s="1342">
        <f>GR66/GR30</f>
        <v/>
      </c>
      <c r="GS119" s="1342">
        <f>GS66/GS30</f>
        <v/>
      </c>
      <c r="GT119" s="1342">
        <f>GT66/GT30</f>
        <v/>
      </c>
      <c r="GU119" s="1342">
        <f>GU66/GU30</f>
        <v/>
      </c>
      <c r="GV119" s="1342">
        <f>GV66/GV30</f>
        <v/>
      </c>
      <c r="GW119" s="1342">
        <f>GW66/GW30</f>
        <v/>
      </c>
      <c r="GX119" s="1342">
        <f>GX66/GX30</f>
        <v/>
      </c>
      <c r="GY119" s="1342">
        <f>GY66/GY30</f>
        <v/>
      </c>
      <c r="GZ119" s="1342">
        <f>GZ66/GZ30</f>
        <v/>
      </c>
      <c r="HA119" s="1342">
        <f>HA66/HA30</f>
        <v/>
      </c>
      <c r="HB119" s="1342">
        <f>HB66/HB30</f>
        <v/>
      </c>
      <c r="HC119" s="1342">
        <f>HC66/HC30</f>
        <v/>
      </c>
      <c r="HD119" s="1342">
        <f>HD66/HD30</f>
        <v/>
      </c>
      <c r="HE119" s="1342">
        <f>HE66/HE30</f>
        <v/>
      </c>
      <c r="HF119" s="1342">
        <f>HF66/HF30</f>
        <v/>
      </c>
      <c r="HG119" s="1342">
        <f>HG66/HG30</f>
        <v/>
      </c>
      <c r="HH119" s="1342">
        <f>HH66/HH30</f>
        <v/>
      </c>
      <c r="HI119" s="1342">
        <f>HI66/HI30</f>
        <v/>
      </c>
      <c r="HJ119" s="1342">
        <f>HJ66/HJ30</f>
        <v/>
      </c>
      <c r="HK119" s="1342">
        <f>HK66/HK30</f>
        <v/>
      </c>
      <c r="HL119" s="1342">
        <f>HL66/HL30</f>
        <v/>
      </c>
      <c r="HM119" s="1342">
        <f>HM66/HM30</f>
        <v/>
      </c>
      <c r="HN119" s="1342">
        <f>HN66/HN30</f>
        <v/>
      </c>
      <c r="HO119" s="1342">
        <f>HO66/HO30</f>
        <v/>
      </c>
      <c r="HP119" s="1342">
        <f>HP66/HP30</f>
        <v/>
      </c>
      <c r="HQ119" s="1342">
        <f>HQ66/HQ30</f>
        <v/>
      </c>
      <c r="HR119" s="1342">
        <f>HR66/HR30</f>
        <v/>
      </c>
      <c r="HS119" s="1342">
        <f>HS66/HS30</f>
        <v/>
      </c>
      <c r="HT119" s="1342">
        <f>HT66/HT30</f>
        <v/>
      </c>
      <c r="HU119" s="1342">
        <f>HU66/HU30</f>
        <v/>
      </c>
      <c r="HV119" s="1342">
        <f>HV66/HV30</f>
        <v/>
      </c>
      <c r="HW119" s="1342">
        <f>HW66/HW30</f>
        <v/>
      </c>
      <c r="HX119" s="1342">
        <f>HX66/HX30</f>
        <v/>
      </c>
      <c r="HY119" s="1342">
        <f>HY66/HY30</f>
        <v/>
      </c>
      <c r="HZ119" s="1342">
        <f>HZ66/HZ30</f>
        <v/>
      </c>
      <c r="IA119" s="1342">
        <f>IA66/IA30</f>
        <v/>
      </c>
      <c r="IB119" s="1342">
        <f>IB66/IB30</f>
        <v/>
      </c>
      <c r="IC119" s="1342">
        <f>IC66/IC30</f>
        <v/>
      </c>
      <c r="ID119" s="1342">
        <f>ID66/ID30</f>
        <v/>
      </c>
      <c r="IE119" s="1342">
        <f>IE66/IE30</f>
        <v/>
      </c>
      <c r="IF119" s="1342">
        <f>IF66/IF30</f>
        <v/>
      </c>
      <c r="IG119" s="1342">
        <f>IG66/IG30</f>
        <v/>
      </c>
      <c r="IH119" s="1342">
        <f>IH66/IH30</f>
        <v/>
      </c>
      <c r="II119" s="1342">
        <f>II66/II30</f>
        <v/>
      </c>
      <c r="IJ119" s="1342">
        <f>IJ66/IJ30</f>
        <v/>
      </c>
      <c r="IK119" s="1342">
        <f>IK66/IK30</f>
        <v/>
      </c>
      <c r="IL119" s="1342">
        <f>IL66/IL30</f>
        <v/>
      </c>
      <c r="IM119" s="1342">
        <f>IM66/IM30</f>
        <v/>
      </c>
      <c r="IN119" s="1342">
        <f>IN66/IN30</f>
        <v/>
      </c>
      <c r="IO119" s="1342">
        <f>IO66/IO30</f>
        <v/>
      </c>
      <c r="IP119" s="1342">
        <f>IP66/IP30</f>
        <v/>
      </c>
      <c r="IQ119" s="1342">
        <f>IQ66/IQ30</f>
        <v/>
      </c>
      <c r="IR119" s="1342">
        <f>IR66/IR30</f>
        <v/>
      </c>
      <c r="IS119" s="1342">
        <f>IS66/IS30</f>
        <v/>
      </c>
      <c r="IT119" s="1342">
        <f>IT66/IT30</f>
        <v/>
      </c>
      <c r="IU119" s="1342">
        <f>IU66/IU30</f>
        <v/>
      </c>
      <c r="IV119" s="1342">
        <f>IV66/IV30</f>
        <v/>
      </c>
      <c r="IW119" s="1342">
        <f>IW66/IW30</f>
        <v/>
      </c>
      <c r="IX119" s="1342">
        <f>IX66/IX30</f>
        <v/>
      </c>
      <c r="IY119" s="1342">
        <f>IY66/IY30</f>
        <v/>
      </c>
      <c r="IZ119" s="1342">
        <f>IZ66/IZ30</f>
        <v/>
      </c>
      <c r="JA119" s="1342">
        <f>JA66/JA30</f>
        <v/>
      </c>
      <c r="JB119" s="1342">
        <f>JB66/JB30</f>
        <v/>
      </c>
      <c r="JC119" s="1342">
        <f>JC66/JC30</f>
        <v/>
      </c>
      <c r="JD119" s="1342">
        <f>JD66/JD30</f>
        <v/>
      </c>
      <c r="JE119" s="1342">
        <f>JE66/JE30</f>
        <v/>
      </c>
      <c r="JF119" s="1342">
        <f>JF66/JF30</f>
        <v/>
      </c>
      <c r="JG119" s="1342">
        <f>JG66/JG30</f>
        <v/>
      </c>
      <c r="JH119" s="1342">
        <f>JH66/JH30</f>
        <v/>
      </c>
      <c r="JI119" s="1342">
        <f>JI66/JI30</f>
        <v/>
      </c>
      <c r="JJ119" s="1342">
        <f>JJ66/JJ30</f>
        <v/>
      </c>
      <c r="JK119" s="1342">
        <f>JK66/JK30</f>
        <v/>
      </c>
      <c r="JL119" s="1342">
        <f>JL66/JL30</f>
        <v/>
      </c>
      <c r="JM119" s="1342">
        <f>JM66/JM30</f>
        <v/>
      </c>
      <c r="JN119" s="1342">
        <f>JN66/JN30</f>
        <v/>
      </c>
      <c r="JO119" s="1342">
        <f>JO66/JO30</f>
        <v/>
      </c>
      <c r="JP119" s="1342">
        <f>JP66/JP30</f>
        <v/>
      </c>
      <c r="JQ119" s="1342">
        <f>JQ66/JQ30</f>
        <v/>
      </c>
      <c r="JR119" s="1342">
        <f>JR66/JR30</f>
        <v/>
      </c>
      <c r="JS119" s="1342">
        <f>JS66/JS30</f>
        <v/>
      </c>
      <c r="JT119" s="1342">
        <f>JT66/JT30</f>
        <v/>
      </c>
      <c r="JU119" s="1342">
        <f>JU66/JU30</f>
        <v/>
      </c>
      <c r="JV119" s="1342">
        <f>JV66/JV30</f>
        <v/>
      </c>
      <c r="JW119" s="1342">
        <f>JW66/JW30</f>
        <v/>
      </c>
      <c r="JX119" s="1342">
        <f>JX66/JX30</f>
        <v/>
      </c>
      <c r="JY119" s="1342">
        <f>JY66/JY30</f>
        <v/>
      </c>
      <c r="JZ119" s="1342">
        <f>JZ66/JZ30</f>
        <v/>
      </c>
      <c r="KA119" s="1342">
        <f>KA66/KA30</f>
        <v/>
      </c>
      <c r="KB119" s="1342">
        <f>KB66/KB30</f>
        <v/>
      </c>
      <c r="KC119" s="1342">
        <f>KC66/KC30</f>
        <v/>
      </c>
      <c r="KD119" s="1342">
        <f>KD66/KD30</f>
        <v/>
      </c>
      <c r="KE119" s="1342">
        <f>KE66/KE30</f>
        <v/>
      </c>
      <c r="KF119" s="1342">
        <f>KF66/KF30</f>
        <v/>
      </c>
      <c r="KG119" s="1342">
        <f>KG66/KG30</f>
        <v/>
      </c>
      <c r="KH119" s="1342">
        <f>KH66/KH30</f>
        <v/>
      </c>
      <c r="KI119" s="1342">
        <f>KI66/KI30</f>
        <v/>
      </c>
      <c r="KJ119" s="1342">
        <f>KJ66/KJ30</f>
        <v/>
      </c>
      <c r="KK119" s="1342">
        <f>KK66/KK30</f>
        <v/>
      </c>
      <c r="KL119" s="1342">
        <f>KL66/KL30</f>
        <v/>
      </c>
      <c r="KM119" s="1342">
        <f>KM66/KM30</f>
        <v/>
      </c>
      <c r="KN119" s="1342">
        <f>KN66/KN30</f>
        <v/>
      </c>
      <c r="KO119" s="1342">
        <f>KO66/KO30</f>
        <v/>
      </c>
      <c r="KP119" s="1342">
        <f>KP66/KP30</f>
        <v/>
      </c>
      <c r="KQ119" s="1342">
        <f>KQ66/KQ30</f>
        <v/>
      </c>
      <c r="KR119" s="1342">
        <f>KR66/KR30</f>
        <v/>
      </c>
      <c r="KS119" s="1342">
        <f>KS66/KS30</f>
        <v/>
      </c>
      <c r="KT119" s="1342">
        <f>KT66/KT30</f>
        <v/>
      </c>
      <c r="KU119" s="1342">
        <f>KU66/KU30</f>
        <v/>
      </c>
      <c r="KV119" s="1342">
        <f>KV66/KV30</f>
        <v/>
      </c>
      <c r="KW119" s="1342">
        <f>KW66/KW30</f>
        <v/>
      </c>
      <c r="KX119" s="1342">
        <f>KX66/KX30</f>
        <v/>
      </c>
      <c r="KY119" s="1342">
        <f>KY66/KY30</f>
        <v/>
      </c>
      <c r="KZ119" s="1342">
        <f>KZ66/KZ30</f>
        <v/>
      </c>
      <c r="LA119" s="1342">
        <f>LA66/LA30</f>
        <v/>
      </c>
      <c r="LB119" s="1342" t="n"/>
      <c r="LC119" s="1342" t="n"/>
      <c r="LD119" s="1342" t="n"/>
      <c r="LE119" s="1342" t="n"/>
      <c r="LF119" s="1342" t="n"/>
      <c r="LG119" s="1342" t="n"/>
      <c r="LH119" s="1342" t="n"/>
      <c r="LI119" s="1342" t="n"/>
      <c r="LJ119" s="1342" t="n"/>
      <c r="LK119" s="1342" t="n"/>
      <c r="LL119" s="1342" t="n"/>
      <c r="LM119" s="1342" t="n"/>
      <c r="LN119" s="1342" t="n"/>
      <c r="LO119" s="1342" t="n"/>
      <c r="LP119" s="1342" t="n"/>
      <c r="LQ119" s="1342" t="n"/>
      <c r="LR119" s="1342" t="n"/>
      <c r="LS119" s="1342" t="n"/>
    </row>
    <row r="120">
      <c r="A120" s="885" t="inlineStr">
        <is>
          <t>m cg %</t>
        </is>
      </c>
      <c r="B120" s="1318" t="n"/>
      <c r="C120" s="1318">
        <f>C119-B119</f>
        <v/>
      </c>
      <c r="D120" s="1318">
        <f>D119-C119</f>
        <v/>
      </c>
      <c r="E120" s="1318">
        <f>E119-D119</f>
        <v/>
      </c>
      <c r="F120" s="1318">
        <f>F119-E119</f>
        <v/>
      </c>
      <c r="G120" s="1318">
        <f>G119-F119</f>
        <v/>
      </c>
      <c r="H120" s="1318">
        <f>H119-G119</f>
        <v/>
      </c>
      <c r="I120" s="1318">
        <f>I119-H119</f>
        <v/>
      </c>
      <c r="J120" s="1318">
        <f>J119-I119</f>
        <v/>
      </c>
      <c r="K120" s="1318">
        <f>K119-J119</f>
        <v/>
      </c>
      <c r="L120" s="1318">
        <f>L119-K119</f>
        <v/>
      </c>
      <c r="M120" s="1318">
        <f>M119-L119</f>
        <v/>
      </c>
      <c r="N120" s="1318">
        <f>N119-M119</f>
        <v/>
      </c>
      <c r="O120" s="1318">
        <f>O119-N119</f>
        <v/>
      </c>
      <c r="P120" s="1318">
        <f>P119-O119</f>
        <v/>
      </c>
      <c r="Q120" s="1318">
        <f>Q119-P119</f>
        <v/>
      </c>
      <c r="R120" s="1318">
        <f>R119-Q119</f>
        <v/>
      </c>
      <c r="S120" s="1318">
        <f>S119-R119</f>
        <v/>
      </c>
      <c r="T120" s="1318">
        <f>T119-S119</f>
        <v/>
      </c>
      <c r="U120" s="1318">
        <f>U119-T119</f>
        <v/>
      </c>
      <c r="V120" s="1318">
        <f>V119-U119</f>
        <v/>
      </c>
      <c r="W120" s="1318">
        <f>W119-V119</f>
        <v/>
      </c>
      <c r="X120" s="1318">
        <f>X119-W119</f>
        <v/>
      </c>
      <c r="Y120" s="1318">
        <f>Y119-X119</f>
        <v/>
      </c>
      <c r="Z120" s="1318">
        <f>Z119-Y119</f>
        <v/>
      </c>
      <c r="AA120" s="1318">
        <f>AA119-Z119</f>
        <v/>
      </c>
      <c r="AB120" s="1318">
        <f>AB119-AA119</f>
        <v/>
      </c>
      <c r="AC120" s="1318">
        <f>AC119-AB119</f>
        <v/>
      </c>
      <c r="AD120" s="1318">
        <f>AD119-AC119</f>
        <v/>
      </c>
      <c r="AE120" s="1318">
        <f>AE119-AD119</f>
        <v/>
      </c>
      <c r="AF120" s="1318">
        <f>AF119-AE119</f>
        <v/>
      </c>
      <c r="AG120" s="1318">
        <f>AG119-AF119</f>
        <v/>
      </c>
      <c r="AH120" s="1318">
        <f>AH119-AG119</f>
        <v/>
      </c>
      <c r="AI120" s="1318">
        <f>AI119-AH119</f>
        <v/>
      </c>
      <c r="AJ120" s="1318">
        <f>AJ119-AI119</f>
        <v/>
      </c>
      <c r="AK120" s="1318">
        <f>AK119-AJ119</f>
        <v/>
      </c>
      <c r="AL120" s="1318">
        <f>AL119-AK119</f>
        <v/>
      </c>
      <c r="AM120" s="1318">
        <f>AM119-AL119</f>
        <v/>
      </c>
      <c r="AN120" s="1318">
        <f>AN119-AM119</f>
        <v/>
      </c>
      <c r="AO120" s="1318">
        <f>AO119-AN119</f>
        <v/>
      </c>
      <c r="AP120" s="1318">
        <f>AP119-AO119</f>
        <v/>
      </c>
      <c r="AQ120" s="1318">
        <f>AQ119-AP119</f>
        <v/>
      </c>
      <c r="AR120" s="1318">
        <f>AR119-AQ119</f>
        <v/>
      </c>
      <c r="AS120" s="1318">
        <f>AS119-AR119</f>
        <v/>
      </c>
      <c r="AT120" s="1318">
        <f>AT119-AS119</f>
        <v/>
      </c>
      <c r="AU120" s="1318">
        <f>AU119-AT119</f>
        <v/>
      </c>
      <c r="AV120" s="1318">
        <f>AV119-AU119</f>
        <v/>
      </c>
      <c r="AW120" s="1318">
        <f>AW119-AV119</f>
        <v/>
      </c>
      <c r="AX120" s="1318">
        <f>AX119-AW119</f>
        <v/>
      </c>
      <c r="AY120" s="1318">
        <f>AY119-AX119</f>
        <v/>
      </c>
      <c r="AZ120" s="1318">
        <f>AZ119-AY119</f>
        <v/>
      </c>
      <c r="BA120" s="1318">
        <f>BA119-AZ119</f>
        <v/>
      </c>
      <c r="BB120" s="1318">
        <f>BB119-BA119</f>
        <v/>
      </c>
      <c r="BC120" s="1318">
        <f>BC119-BB119</f>
        <v/>
      </c>
      <c r="BD120" s="1318">
        <f>BD119-BC119</f>
        <v/>
      </c>
      <c r="BE120" s="1318">
        <f>BE119-BD119</f>
        <v/>
      </c>
      <c r="BF120" s="1318">
        <f>BF119-BE119</f>
        <v/>
      </c>
      <c r="BG120" s="1318">
        <f>BG119-BF119</f>
        <v/>
      </c>
      <c r="BH120" s="1318">
        <f>BH119-BG119</f>
        <v/>
      </c>
      <c r="BI120" s="1318">
        <f>BI119-BH119</f>
        <v/>
      </c>
      <c r="BJ120" s="1318">
        <f>BJ119-BI119</f>
        <v/>
      </c>
      <c r="BK120" s="1318">
        <f>BK119-BJ119</f>
        <v/>
      </c>
      <c r="BL120" s="1318">
        <f>BL119-BK119</f>
        <v/>
      </c>
      <c r="BM120" s="1318">
        <f>BM119-BL119</f>
        <v/>
      </c>
      <c r="BN120" s="1318">
        <f>BN119-BM119</f>
        <v/>
      </c>
      <c r="BO120" s="1318">
        <f>BO119-BN119</f>
        <v/>
      </c>
      <c r="BP120" s="1318">
        <f>BP119-BO119</f>
        <v/>
      </c>
      <c r="BQ120" s="1318">
        <f>BQ119-BP119</f>
        <v/>
      </c>
      <c r="BR120" s="1318">
        <f>BR119-BQ119</f>
        <v/>
      </c>
      <c r="BS120" s="1318">
        <f>BS119-BR119</f>
        <v/>
      </c>
      <c r="BT120" s="1318">
        <f>BT119-BS119</f>
        <v/>
      </c>
      <c r="BU120" s="1318">
        <f>BU119-BT119</f>
        <v/>
      </c>
      <c r="BV120" s="1318">
        <f>BV119-BU119</f>
        <v/>
      </c>
      <c r="BW120" s="1318">
        <f>BW119-BV119</f>
        <v/>
      </c>
      <c r="BX120" s="1318">
        <f>BX119-BW119</f>
        <v/>
      </c>
      <c r="BY120" s="1318">
        <f>BY119-BX119</f>
        <v/>
      </c>
      <c r="BZ120" s="1318">
        <f>BZ119-BY119</f>
        <v/>
      </c>
      <c r="CA120" s="1318">
        <f>CA119-BZ119</f>
        <v/>
      </c>
      <c r="CB120" s="1318">
        <f>CB119-CA119</f>
        <v/>
      </c>
      <c r="CC120" s="1318">
        <f>CC119-CB119</f>
        <v/>
      </c>
      <c r="CD120" s="1318">
        <f>CD119-CC119</f>
        <v/>
      </c>
      <c r="CE120" s="1318">
        <f>CE119-CD119</f>
        <v/>
      </c>
      <c r="CF120" s="1318">
        <f>CF119-CE119</f>
        <v/>
      </c>
      <c r="CG120" s="1318">
        <f>CG119-CF119</f>
        <v/>
      </c>
      <c r="CH120" s="1318">
        <f>CH119-CG119</f>
        <v/>
      </c>
      <c r="CI120" s="1318">
        <f>CI119-CH119</f>
        <v/>
      </c>
      <c r="CJ120" s="1318">
        <f>CJ119-CI119</f>
        <v/>
      </c>
      <c r="CK120" s="1318">
        <f>CK119-CJ119</f>
        <v/>
      </c>
      <c r="CL120" s="1318">
        <f>CL119-CK119</f>
        <v/>
      </c>
      <c r="CM120" s="1318">
        <f>CM119-CL119</f>
        <v/>
      </c>
      <c r="CN120" s="1318">
        <f>CN119-CM119</f>
        <v/>
      </c>
      <c r="CO120" s="1318">
        <f>CO119-CN119</f>
        <v/>
      </c>
      <c r="CP120" s="1318">
        <f>CP119-CO119</f>
        <v/>
      </c>
      <c r="CQ120" s="1318">
        <f>CQ119-CP119</f>
        <v/>
      </c>
      <c r="CR120" s="1318">
        <f>CR119-CQ119</f>
        <v/>
      </c>
      <c r="CS120" s="1318">
        <f>CS119-CR119</f>
        <v/>
      </c>
      <c r="CT120" s="1318">
        <f>CT119-CS119</f>
        <v/>
      </c>
      <c r="CU120" s="1318">
        <f>CU119-CT119</f>
        <v/>
      </c>
      <c r="CV120" s="1318">
        <f>CV119-CU119</f>
        <v/>
      </c>
      <c r="CW120" s="1318">
        <f>CW119-CV119</f>
        <v/>
      </c>
      <c r="CX120" s="1318">
        <f>CX119-CW119</f>
        <v/>
      </c>
      <c r="CY120" s="1318">
        <f>CY119-CX119</f>
        <v/>
      </c>
      <c r="CZ120" s="1318">
        <f>CZ119-CY119</f>
        <v/>
      </c>
      <c r="DA120" s="1318">
        <f>DA119-CZ119</f>
        <v/>
      </c>
      <c r="DB120" s="1318">
        <f>DB119-DA119</f>
        <v/>
      </c>
      <c r="DC120" s="1318">
        <f>DC119-DB119</f>
        <v/>
      </c>
      <c r="DD120" s="1318">
        <f>DD119-DC119</f>
        <v/>
      </c>
      <c r="DE120" s="1318">
        <f>DE119-DD119</f>
        <v/>
      </c>
      <c r="DF120" s="1318">
        <f>DF119-DE119</f>
        <v/>
      </c>
      <c r="DG120" s="1318">
        <f>DG119-DF119</f>
        <v/>
      </c>
      <c r="DH120" s="1318">
        <f>DH119-DG119</f>
        <v/>
      </c>
      <c r="DI120" s="1318">
        <f>DI119-DH119</f>
        <v/>
      </c>
      <c r="DJ120" s="1318">
        <f>DJ119-DI119</f>
        <v/>
      </c>
      <c r="DK120" s="1318">
        <f>DK119-DJ119</f>
        <v/>
      </c>
      <c r="DL120" s="1318">
        <f>DL119-DK119</f>
        <v/>
      </c>
      <c r="DM120" s="1318">
        <f>DM119-DL119</f>
        <v/>
      </c>
      <c r="DN120" s="1318">
        <f>DN119-DM119</f>
        <v/>
      </c>
      <c r="DO120" s="1318">
        <f>DO119-DN119</f>
        <v/>
      </c>
      <c r="DP120" s="1318">
        <f>DP119-DO119</f>
        <v/>
      </c>
      <c r="DQ120" s="1318">
        <f>DQ119-DP119</f>
        <v/>
      </c>
      <c r="DR120" s="1318">
        <f>DR119-DQ119</f>
        <v/>
      </c>
      <c r="DS120" s="1318">
        <f>DS119-DR119</f>
        <v/>
      </c>
      <c r="DT120" s="1318">
        <f>DT119-DS119</f>
        <v/>
      </c>
      <c r="DU120" s="1318">
        <f>DU119-DT119</f>
        <v/>
      </c>
      <c r="DV120" s="1318">
        <f>DV119-DU119</f>
        <v/>
      </c>
      <c r="DW120" s="1318">
        <f>DW119-DV119</f>
        <v/>
      </c>
      <c r="DX120" s="1318">
        <f>DX119-DW119</f>
        <v/>
      </c>
      <c r="DY120" s="1318">
        <f>DY119-DX119</f>
        <v/>
      </c>
      <c r="DZ120" s="1318">
        <f>DZ119-DY119</f>
        <v/>
      </c>
      <c r="EA120" s="1318">
        <f>EA119-DZ119</f>
        <v/>
      </c>
      <c r="EB120" s="1318">
        <f>EB119-EA119</f>
        <v/>
      </c>
      <c r="EC120" s="1318">
        <f>EC119-EB119</f>
        <v/>
      </c>
      <c r="ED120" s="1318">
        <f>ED119-EC119</f>
        <v/>
      </c>
      <c r="EE120" s="1318">
        <f>EE119-ED119</f>
        <v/>
      </c>
      <c r="EF120" s="1318">
        <f>EF119-EE119</f>
        <v/>
      </c>
      <c r="EG120" s="1318">
        <f>EG119-EF119</f>
        <v/>
      </c>
      <c r="EH120" s="1318">
        <f>EH119-EG119</f>
        <v/>
      </c>
      <c r="EI120" s="1318">
        <f>EI119-EH119</f>
        <v/>
      </c>
      <c r="EJ120" s="1318">
        <f>EJ119-EI119</f>
        <v/>
      </c>
      <c r="EK120" s="1318">
        <f>EK119-EJ119</f>
        <v/>
      </c>
      <c r="EL120" s="1318">
        <f>EL119-EK119</f>
        <v/>
      </c>
      <c r="EM120" s="1318">
        <f>EM119-EL119</f>
        <v/>
      </c>
      <c r="EN120" s="1318">
        <f>EN119-EM119</f>
        <v/>
      </c>
      <c r="EO120" s="1318">
        <f>EO119-EN119</f>
        <v/>
      </c>
      <c r="EP120" s="1318">
        <f>EP119-EO119</f>
        <v/>
      </c>
      <c r="EQ120" s="1318">
        <f>EQ119-EP119</f>
        <v/>
      </c>
      <c r="ER120" s="1318">
        <f>ER119-EQ119</f>
        <v/>
      </c>
      <c r="ES120" s="1318">
        <f>ES119-ER119</f>
        <v/>
      </c>
      <c r="ET120" s="1318">
        <f>ET119-ES119</f>
        <v/>
      </c>
      <c r="EU120" s="1318">
        <f>EU119-ET119</f>
        <v/>
      </c>
      <c r="EV120" s="1318">
        <f>EV119-EU119</f>
        <v/>
      </c>
      <c r="EW120" s="1318">
        <f>EW119-EV119</f>
        <v/>
      </c>
      <c r="EX120" s="1318">
        <f>EX119-EW119</f>
        <v/>
      </c>
      <c r="EY120" s="1318">
        <f>EY119-EX119</f>
        <v/>
      </c>
      <c r="EZ120" s="1318">
        <f>EZ119-EY119</f>
        <v/>
      </c>
      <c r="FA120" s="1318">
        <f>FA119-EZ119</f>
        <v/>
      </c>
      <c r="FB120" s="1318">
        <f>FB119-FA119</f>
        <v/>
      </c>
      <c r="FC120" s="1318">
        <f>FC119-FB119</f>
        <v/>
      </c>
      <c r="FD120" s="1318">
        <f>FD119-FC119</f>
        <v/>
      </c>
      <c r="FE120" s="1318">
        <f>FE119-FD119</f>
        <v/>
      </c>
      <c r="FF120" s="1318">
        <f>FF119-FE119</f>
        <v/>
      </c>
      <c r="FG120" s="1318">
        <f>FG119-FF119</f>
        <v/>
      </c>
      <c r="FH120" s="1318">
        <f>FH119-FG119</f>
        <v/>
      </c>
      <c r="FI120" s="1318">
        <f>FI119-FH119</f>
        <v/>
      </c>
      <c r="FJ120" s="1318">
        <f>FJ119-FI119</f>
        <v/>
      </c>
      <c r="FK120" s="1318">
        <f>FK119-FJ119</f>
        <v/>
      </c>
      <c r="FL120" s="1318">
        <f>FL119-FK119</f>
        <v/>
      </c>
      <c r="FM120" s="1318">
        <f>FM119-FL119</f>
        <v/>
      </c>
      <c r="FN120" s="1318">
        <f>FN119-FM119</f>
        <v/>
      </c>
      <c r="FO120" s="1318">
        <f>FO119-FN119</f>
        <v/>
      </c>
      <c r="FP120" s="1318">
        <f>FP119-FO119</f>
        <v/>
      </c>
      <c r="FQ120" s="1318">
        <f>FQ119-FP119</f>
        <v/>
      </c>
      <c r="FR120" s="1318">
        <f>FR119-FQ119</f>
        <v/>
      </c>
      <c r="FS120" s="1318">
        <f>FS119-FR119</f>
        <v/>
      </c>
      <c r="FT120" s="1318">
        <f>FT119-FS119</f>
        <v/>
      </c>
      <c r="FU120" s="1318">
        <f>FU119-FT119</f>
        <v/>
      </c>
      <c r="FV120" s="1318">
        <f>FV119-FU119</f>
        <v/>
      </c>
      <c r="FW120" s="1318">
        <f>FW119-FV119</f>
        <v/>
      </c>
      <c r="FX120" s="1318">
        <f>FX119-FW119</f>
        <v/>
      </c>
      <c r="FY120" s="1318">
        <f>FY119-FX119</f>
        <v/>
      </c>
      <c r="FZ120" s="1318">
        <f>FZ119-FY119</f>
        <v/>
      </c>
      <c r="GA120" s="1318">
        <f>GA119-FZ119</f>
        <v/>
      </c>
      <c r="GB120" s="1318">
        <f>GB119-GA119</f>
        <v/>
      </c>
      <c r="GC120" s="1318">
        <f>GC119-GB119</f>
        <v/>
      </c>
      <c r="GD120" s="1318">
        <f>GD119-GC119</f>
        <v/>
      </c>
      <c r="GE120" s="1318">
        <f>GE119-GD119</f>
        <v/>
      </c>
      <c r="GF120" s="1318">
        <f>GF119-GE119</f>
        <v/>
      </c>
      <c r="GG120" s="1318">
        <f>GG119-GF119</f>
        <v/>
      </c>
      <c r="GH120" s="1318">
        <f>GH119-GG119</f>
        <v/>
      </c>
      <c r="GI120" s="1318">
        <f>GI119-GH119</f>
        <v/>
      </c>
      <c r="GJ120" s="1318">
        <f>GJ119-GI119</f>
        <v/>
      </c>
      <c r="GK120" s="1318">
        <f>GK119-GJ119</f>
        <v/>
      </c>
      <c r="GL120" s="1318">
        <f>GL119-GK119</f>
        <v/>
      </c>
      <c r="GM120" s="1318">
        <f>GM119-GL119</f>
        <v/>
      </c>
      <c r="GN120" s="1318">
        <f>GN119-GM119</f>
        <v/>
      </c>
      <c r="GO120" s="1318">
        <f>GO119-GN119</f>
        <v/>
      </c>
      <c r="GP120" s="1318">
        <f>GP119-GO119</f>
        <v/>
      </c>
      <c r="GQ120" s="1318">
        <f>GQ119-GP119</f>
        <v/>
      </c>
      <c r="GR120" s="1318">
        <f>GR119-GQ119</f>
        <v/>
      </c>
      <c r="GS120" s="1318">
        <f>GS119-GR119</f>
        <v/>
      </c>
      <c r="GT120" s="1318">
        <f>GT119-GS119</f>
        <v/>
      </c>
      <c r="GU120" s="1318">
        <f>GU119-GT119</f>
        <v/>
      </c>
      <c r="GV120" s="1318">
        <f>GV119-GU119</f>
        <v/>
      </c>
      <c r="GW120" s="1318">
        <f>GW119-GV119</f>
        <v/>
      </c>
      <c r="GX120" s="1318">
        <f>GX119-GW119</f>
        <v/>
      </c>
      <c r="GY120" s="1318">
        <f>GY119-GX119</f>
        <v/>
      </c>
      <c r="GZ120" s="1318">
        <f>GZ119-GY119</f>
        <v/>
      </c>
      <c r="HA120" s="1318">
        <f>HA119-GZ119</f>
        <v/>
      </c>
      <c r="HB120" s="1318">
        <f>HB119-HA119</f>
        <v/>
      </c>
      <c r="HC120" s="1318">
        <f>HC119-HB119</f>
        <v/>
      </c>
      <c r="HD120" s="1318">
        <f>HD119-HC119</f>
        <v/>
      </c>
      <c r="HE120" s="1318">
        <f>HE119-HD119</f>
        <v/>
      </c>
      <c r="HF120" s="1318">
        <f>HF119-HE119</f>
        <v/>
      </c>
      <c r="HG120" s="1318">
        <f>HG119-HF119</f>
        <v/>
      </c>
      <c r="HH120" s="1318">
        <f>HH119-HG119</f>
        <v/>
      </c>
      <c r="HI120" s="1318">
        <f>HI119-HH119</f>
        <v/>
      </c>
      <c r="HJ120" s="1318">
        <f>HJ119-HI119</f>
        <v/>
      </c>
      <c r="HK120" s="1318">
        <f>HK119-HJ119</f>
        <v/>
      </c>
      <c r="HL120" s="1318">
        <f>HL119-HK119</f>
        <v/>
      </c>
      <c r="HM120" s="1318">
        <f>HM119-HL119</f>
        <v/>
      </c>
      <c r="HN120" s="1318">
        <f>HN119-HM119</f>
        <v/>
      </c>
      <c r="HO120" s="1318">
        <f>HO119-HN119</f>
        <v/>
      </c>
      <c r="HP120" s="1318">
        <f>HP119-HO119</f>
        <v/>
      </c>
      <c r="HQ120" s="1318">
        <f>HQ119-HP119</f>
        <v/>
      </c>
      <c r="HR120" s="1318">
        <f>HR119-HQ119</f>
        <v/>
      </c>
      <c r="HS120" s="1318">
        <f>HS119-HR119</f>
        <v/>
      </c>
      <c r="HT120" s="1318">
        <f>HT119-HS119</f>
        <v/>
      </c>
      <c r="HU120" s="1318">
        <f>HU119-HT119</f>
        <v/>
      </c>
      <c r="HV120" s="1318">
        <f>HV119-HU119</f>
        <v/>
      </c>
      <c r="HW120" s="1318">
        <f>HW119-HV119</f>
        <v/>
      </c>
      <c r="HX120" s="1318">
        <f>HX119-HW119</f>
        <v/>
      </c>
      <c r="HY120" s="1318">
        <f>HY119-HX119</f>
        <v/>
      </c>
      <c r="HZ120" s="1318">
        <f>HZ119-HY119</f>
        <v/>
      </c>
      <c r="IA120" s="1318">
        <f>IA119-HZ119</f>
        <v/>
      </c>
      <c r="IB120" s="1318">
        <f>IB119-IA119</f>
        <v/>
      </c>
      <c r="IC120" s="1318">
        <f>IC119-IB119</f>
        <v/>
      </c>
      <c r="ID120" s="1318">
        <f>ID119-IC119</f>
        <v/>
      </c>
      <c r="IE120" s="1318">
        <f>IE119-ID119</f>
        <v/>
      </c>
      <c r="IF120" s="1318">
        <f>IF119-IE119</f>
        <v/>
      </c>
      <c r="IG120" s="1318">
        <f>IG119-IF119</f>
        <v/>
      </c>
      <c r="IH120" s="1318">
        <f>IH119-IG119</f>
        <v/>
      </c>
      <c r="II120" s="1318">
        <f>II119-IH119</f>
        <v/>
      </c>
      <c r="IJ120" s="1318">
        <f>IJ119-II119</f>
        <v/>
      </c>
      <c r="IK120" s="1318">
        <f>IK119-IJ119</f>
        <v/>
      </c>
      <c r="IL120" s="1318">
        <f>IL119-IK119</f>
        <v/>
      </c>
      <c r="IM120" s="1318">
        <f>IM119-IL119</f>
        <v/>
      </c>
      <c r="IN120" s="1318">
        <f>IN119-IM119</f>
        <v/>
      </c>
      <c r="IO120" s="1318">
        <f>IO119-IN119</f>
        <v/>
      </c>
      <c r="IP120" s="1318">
        <f>IP119-IO119</f>
        <v/>
      </c>
      <c r="IQ120" s="1318">
        <f>IQ119-IP119</f>
        <v/>
      </c>
      <c r="IR120" s="1318">
        <f>IR119-IQ119</f>
        <v/>
      </c>
      <c r="IS120" s="1318">
        <f>IS119-IR119</f>
        <v/>
      </c>
      <c r="IT120" s="1318">
        <f>IT119-IS119</f>
        <v/>
      </c>
      <c r="IU120" s="1318">
        <f>IU119-IT119</f>
        <v/>
      </c>
      <c r="IV120" s="1318">
        <f>IV119-IU119</f>
        <v/>
      </c>
      <c r="IW120" s="1318">
        <f>IW119-IV119</f>
        <v/>
      </c>
      <c r="IX120" s="1318">
        <f>IX119-IW119</f>
        <v/>
      </c>
      <c r="IY120" s="1318">
        <f>IY119-IX119</f>
        <v/>
      </c>
      <c r="IZ120" s="1318">
        <f>IZ119-IY119</f>
        <v/>
      </c>
      <c r="JA120" s="1318">
        <f>JA119-IZ119</f>
        <v/>
      </c>
      <c r="JB120" s="1318">
        <f>JB119-JA119</f>
        <v/>
      </c>
      <c r="JC120" s="1318">
        <f>JC119-JB119</f>
        <v/>
      </c>
      <c r="JD120" s="1318">
        <f>JD119-JC119</f>
        <v/>
      </c>
      <c r="JE120" s="1318">
        <f>JE119-JD119</f>
        <v/>
      </c>
      <c r="JF120" s="1318">
        <f>JF119-JE119</f>
        <v/>
      </c>
      <c r="JG120" s="1318">
        <f>JG119-JF119</f>
        <v/>
      </c>
      <c r="JH120" s="1318">
        <f>JH119-JG119</f>
        <v/>
      </c>
      <c r="JI120" s="1318">
        <f>JI119-JH119</f>
        <v/>
      </c>
      <c r="JJ120" s="1318">
        <f>JJ119-JI119</f>
        <v/>
      </c>
      <c r="JK120" s="1318">
        <f>JK119-JJ119</f>
        <v/>
      </c>
      <c r="JL120" s="1318">
        <f>JL119-JK119</f>
        <v/>
      </c>
      <c r="JM120" s="1318">
        <f>JM119-JL119</f>
        <v/>
      </c>
      <c r="JN120" s="1318">
        <f>JN119-JM119</f>
        <v/>
      </c>
      <c r="JO120" s="1318">
        <f>JO119-JN119</f>
        <v/>
      </c>
      <c r="JP120" s="1318">
        <f>JP119-JO119</f>
        <v/>
      </c>
      <c r="JQ120" s="1318">
        <f>JQ119-JP119</f>
        <v/>
      </c>
      <c r="JR120" s="1318">
        <f>JR119-JQ119</f>
        <v/>
      </c>
      <c r="JS120" s="1318">
        <f>JS119-JR119</f>
        <v/>
      </c>
      <c r="JT120" s="1318">
        <f>JT119-JS119</f>
        <v/>
      </c>
      <c r="JU120" s="1318">
        <f>JU119-JT119</f>
        <v/>
      </c>
      <c r="JV120" s="1318">
        <f>JV119-JU119</f>
        <v/>
      </c>
      <c r="JW120" s="1318">
        <f>JW119-JV119</f>
        <v/>
      </c>
      <c r="JX120" s="1318">
        <f>JX119-JW119</f>
        <v/>
      </c>
      <c r="JY120" s="1318">
        <f>JY119-JX119</f>
        <v/>
      </c>
      <c r="JZ120" s="1318">
        <f>JZ119-JY119</f>
        <v/>
      </c>
      <c r="KA120" s="1318">
        <f>KA119-JZ119</f>
        <v/>
      </c>
      <c r="KB120" s="1318">
        <f>KB119-KA119</f>
        <v/>
      </c>
      <c r="KC120" s="1318">
        <f>KC119-KB119</f>
        <v/>
      </c>
      <c r="KD120" s="1318">
        <f>KD119-KC119</f>
        <v/>
      </c>
      <c r="KE120" s="1318">
        <f>KE119-KD119</f>
        <v/>
      </c>
      <c r="KF120" s="1318">
        <f>KF119-KE119</f>
        <v/>
      </c>
      <c r="KG120" s="1318">
        <f>KG119-KF119</f>
        <v/>
      </c>
      <c r="KH120" s="1318">
        <f>KH119-KG119</f>
        <v/>
      </c>
      <c r="KI120" s="1318">
        <f>KI119-KH119</f>
        <v/>
      </c>
      <c r="KJ120" s="1318">
        <f>KJ119-KI119</f>
        <v/>
      </c>
      <c r="KK120" s="1318">
        <f>KK119-KJ119</f>
        <v/>
      </c>
      <c r="KL120" s="1318">
        <f>KL119-KK119</f>
        <v/>
      </c>
      <c r="KM120" s="1318">
        <f>KM119-KL119</f>
        <v/>
      </c>
      <c r="KN120" s="1318">
        <f>KN119-KM119</f>
        <v/>
      </c>
      <c r="KO120" s="1318">
        <f>KO119-KN119</f>
        <v/>
      </c>
      <c r="KP120" s="1318">
        <f>KP119-KO119</f>
        <v/>
      </c>
      <c r="KQ120" s="1318">
        <f>KQ119-KP119</f>
        <v/>
      </c>
      <c r="KR120" s="1318">
        <f>KR119-KQ119</f>
        <v/>
      </c>
      <c r="KS120" s="1318">
        <f>KS119-KR119</f>
        <v/>
      </c>
      <c r="KT120" s="1318">
        <f>KT119-KS119</f>
        <v/>
      </c>
      <c r="KU120" s="1318">
        <f>KU119-KT119</f>
        <v/>
      </c>
      <c r="KV120" s="1318">
        <f>KV119-KU119</f>
        <v/>
      </c>
      <c r="KW120" s="1318">
        <f>KW119-KV119</f>
        <v/>
      </c>
      <c r="KX120" s="1318">
        <f>KX119-KW119</f>
        <v/>
      </c>
      <c r="KY120" s="1318">
        <f>KY119-KX119</f>
        <v/>
      </c>
      <c r="KZ120" s="1318">
        <f>KZ119-KY119</f>
        <v/>
      </c>
      <c r="LA120" s="1318">
        <f>LA119-KZ119</f>
        <v/>
      </c>
      <c r="LB120" s="1318" t="n"/>
      <c r="LC120" s="1318" t="n"/>
      <c r="LD120" s="1318" t="n"/>
      <c r="LE120" s="1318" t="n"/>
      <c r="LF120" s="1318" t="n"/>
      <c r="LG120" s="1318" t="n"/>
      <c r="LH120" s="1318" t="n"/>
      <c r="LI120" s="1318" t="n"/>
      <c r="LJ120" s="1318" t="n"/>
      <c r="LK120" s="1318" t="n"/>
      <c r="LL120" s="1318" t="n"/>
      <c r="LM120" s="1318" t="n"/>
      <c r="LN120" s="1318" t="n"/>
      <c r="LO120" s="1318" t="n"/>
      <c r="LP120" s="1318" t="n"/>
      <c r="LQ120" s="1318" t="n"/>
      <c r="LR120" s="1318" t="n"/>
      <c r="LS120" s="1318" t="n"/>
    </row>
    <row r="121">
      <c r="A121" s="885" t="inlineStr">
        <is>
          <t>YoY pointsCg %</t>
        </is>
      </c>
      <c r="B121" s="1318" t="n"/>
      <c r="C121" s="1318" t="n"/>
      <c r="D121" s="1318" t="n"/>
      <c r="E121" s="1318" t="n"/>
      <c r="F121" s="1318" t="n"/>
      <c r="G121" s="1318" t="n"/>
      <c r="H121" s="1318" t="n"/>
      <c r="I121" s="1318" t="n"/>
      <c r="J121" s="1318" t="n"/>
      <c r="K121" s="1318" t="n"/>
      <c r="L121" s="1318" t="n"/>
      <c r="M121" s="1318" t="n"/>
      <c r="N121" s="1318">
        <f>N119-B119</f>
        <v/>
      </c>
      <c r="O121" s="1318">
        <f>O119-C119</f>
        <v/>
      </c>
      <c r="P121" s="1318">
        <f>P119-D119</f>
        <v/>
      </c>
      <c r="Q121" s="1318">
        <f>Q119-E119</f>
        <v/>
      </c>
      <c r="R121" s="1318">
        <f>R119-F119</f>
        <v/>
      </c>
      <c r="S121" s="1318">
        <f>S119-G119</f>
        <v/>
      </c>
      <c r="T121" s="1318">
        <f>T119-H119</f>
        <v/>
      </c>
      <c r="U121" s="1318">
        <f>U119-I119</f>
        <v/>
      </c>
      <c r="V121" s="1318">
        <f>V119-J119</f>
        <v/>
      </c>
      <c r="W121" s="1318">
        <f>W119-K119</f>
        <v/>
      </c>
      <c r="X121" s="1318">
        <f>X119-L119</f>
        <v/>
      </c>
      <c r="Y121" s="1318">
        <f>Y119-M119</f>
        <v/>
      </c>
      <c r="Z121" s="1318">
        <f>Z119-N119</f>
        <v/>
      </c>
      <c r="AA121" s="1318">
        <f>AA119-O119</f>
        <v/>
      </c>
      <c r="AB121" s="1318">
        <f>AB119-P119</f>
        <v/>
      </c>
      <c r="AC121" s="1318">
        <f>AC119-Q119</f>
        <v/>
      </c>
      <c r="AD121" s="1318">
        <f>AD119-R119</f>
        <v/>
      </c>
      <c r="AE121" s="1318">
        <f>AE119-S119</f>
        <v/>
      </c>
      <c r="AF121" s="1318">
        <f>AF119-T119</f>
        <v/>
      </c>
      <c r="AG121" s="1318">
        <f>AG119-U119</f>
        <v/>
      </c>
      <c r="AH121" s="1318">
        <f>AH119-V119</f>
        <v/>
      </c>
      <c r="AI121" s="1318">
        <f>AI119-W119</f>
        <v/>
      </c>
      <c r="AJ121" s="1318">
        <f>AJ119-X119</f>
        <v/>
      </c>
      <c r="AK121" s="1318">
        <f>AK119-Y119</f>
        <v/>
      </c>
      <c r="AL121" s="1318">
        <f>AL119-Z119</f>
        <v/>
      </c>
      <c r="AM121" s="1318">
        <f>AM119-AA119</f>
        <v/>
      </c>
      <c r="AN121" s="1318">
        <f>AN119-AB119</f>
        <v/>
      </c>
      <c r="AO121" s="1318">
        <f>AO119-AC119</f>
        <v/>
      </c>
      <c r="AP121" s="1318">
        <f>AP119-AD119</f>
        <v/>
      </c>
      <c r="AQ121" s="1318">
        <f>AQ119-AE119</f>
        <v/>
      </c>
      <c r="AR121" s="1318">
        <f>AR119-AF119</f>
        <v/>
      </c>
      <c r="AS121" s="1318">
        <f>AS119-AG119</f>
        <v/>
      </c>
      <c r="AT121" s="1318">
        <f>AT119-AH119</f>
        <v/>
      </c>
      <c r="AU121" s="1318">
        <f>AU119-AI119</f>
        <v/>
      </c>
      <c r="AV121" s="1318">
        <f>AV119-AJ119</f>
        <v/>
      </c>
      <c r="AW121" s="1318">
        <f>AW119-AK119</f>
        <v/>
      </c>
      <c r="AX121" s="1318">
        <f>AX119-AL119</f>
        <v/>
      </c>
      <c r="AY121" s="1318">
        <f>AY119-AM119</f>
        <v/>
      </c>
      <c r="AZ121" s="1318">
        <f>AZ119-AN119</f>
        <v/>
      </c>
      <c r="BA121" s="1318">
        <f>BA119-AO119</f>
        <v/>
      </c>
      <c r="BB121" s="1318">
        <f>BB119-AP119</f>
        <v/>
      </c>
      <c r="BC121" s="1318">
        <f>BC119-AQ119</f>
        <v/>
      </c>
      <c r="BD121" s="1318">
        <f>BD119-AR119</f>
        <v/>
      </c>
      <c r="BE121" s="1318">
        <f>BE119-AS119</f>
        <v/>
      </c>
      <c r="BF121" s="1318">
        <f>BF119-AT119</f>
        <v/>
      </c>
      <c r="BG121" s="1318">
        <f>BG119-AU119</f>
        <v/>
      </c>
      <c r="BH121" s="1318">
        <f>BH119-AV119</f>
        <v/>
      </c>
      <c r="BI121" s="1318">
        <f>BI119-AW119</f>
        <v/>
      </c>
      <c r="BJ121" s="1318">
        <f>BJ119-AX119</f>
        <v/>
      </c>
      <c r="BK121" s="1318">
        <f>BK119-AY119</f>
        <v/>
      </c>
      <c r="BL121" s="1318">
        <f>BL119-AZ119</f>
        <v/>
      </c>
      <c r="BM121" s="1318">
        <f>BM119-BA119</f>
        <v/>
      </c>
      <c r="BN121" s="1318">
        <f>BN119-BB119</f>
        <v/>
      </c>
      <c r="BO121" s="1318">
        <f>BO119-BC119</f>
        <v/>
      </c>
      <c r="BP121" s="1318">
        <f>BP119-BD119</f>
        <v/>
      </c>
      <c r="BQ121" s="1318">
        <f>BQ119-BE119</f>
        <v/>
      </c>
      <c r="BR121" s="1318">
        <f>BR119-BF119</f>
        <v/>
      </c>
      <c r="BS121" s="1318">
        <f>BS119-BG119</f>
        <v/>
      </c>
      <c r="BT121" s="1318">
        <f>BT119-BH119</f>
        <v/>
      </c>
      <c r="BU121" s="1318">
        <f>BU119-BI119</f>
        <v/>
      </c>
      <c r="BV121" s="1318">
        <f>BV119-BJ119</f>
        <v/>
      </c>
      <c r="BW121" s="1318">
        <f>BW119-BK119</f>
        <v/>
      </c>
      <c r="BX121" s="1318">
        <f>BX119-BL119</f>
        <v/>
      </c>
      <c r="BY121" s="1318">
        <f>BY119-BM119</f>
        <v/>
      </c>
      <c r="BZ121" s="1318">
        <f>BZ119-BN119</f>
        <v/>
      </c>
      <c r="CA121" s="1318">
        <f>CA119-BO119</f>
        <v/>
      </c>
      <c r="CB121" s="1318">
        <f>CB119-BP119</f>
        <v/>
      </c>
      <c r="CC121" s="1318">
        <f>CC119-BQ119</f>
        <v/>
      </c>
      <c r="CD121" s="1318">
        <f>CD119-BR119</f>
        <v/>
      </c>
      <c r="CE121" s="1318">
        <f>CE119-BS119</f>
        <v/>
      </c>
      <c r="CF121" s="1318">
        <f>CF119-BT119</f>
        <v/>
      </c>
      <c r="CG121" s="1318">
        <f>CG119-BU119</f>
        <v/>
      </c>
      <c r="CH121" s="1318">
        <f>CH119-BV119</f>
        <v/>
      </c>
      <c r="CI121" s="1318">
        <f>CI119-BW119</f>
        <v/>
      </c>
      <c r="CJ121" s="1318">
        <f>CJ119-BX119</f>
        <v/>
      </c>
      <c r="CK121" s="1318">
        <f>CK119-BY119</f>
        <v/>
      </c>
      <c r="CL121" s="1318">
        <f>CL119-BZ119</f>
        <v/>
      </c>
      <c r="CM121" s="1318">
        <f>CM119-CA119</f>
        <v/>
      </c>
      <c r="CN121" s="1318">
        <f>CN119-CB119</f>
        <v/>
      </c>
      <c r="CO121" s="1318">
        <f>CO119-CC119</f>
        <v/>
      </c>
      <c r="CP121" s="1318">
        <f>CP119-CD119</f>
        <v/>
      </c>
      <c r="CQ121" s="1318">
        <f>CQ119-CE119</f>
        <v/>
      </c>
      <c r="CR121" s="1318">
        <f>CR119-CF119</f>
        <v/>
      </c>
      <c r="CS121" s="1318">
        <f>CS119-CG119</f>
        <v/>
      </c>
      <c r="CT121" s="1318">
        <f>CT119-CH119</f>
        <v/>
      </c>
      <c r="CU121" s="1318">
        <f>CU119-CI119</f>
        <v/>
      </c>
      <c r="CV121" s="1318">
        <f>CV119-CJ119</f>
        <v/>
      </c>
      <c r="CW121" s="1318">
        <f>CW119-CK119</f>
        <v/>
      </c>
      <c r="CX121" s="1318">
        <f>CX119-CL119</f>
        <v/>
      </c>
      <c r="CY121" s="1318">
        <f>CY119-CM119</f>
        <v/>
      </c>
      <c r="CZ121" s="1318">
        <f>CZ119-CN119</f>
        <v/>
      </c>
      <c r="DA121" s="1318">
        <f>DA119-CO119</f>
        <v/>
      </c>
      <c r="DB121" s="1318">
        <f>DB119-CP119</f>
        <v/>
      </c>
      <c r="DC121" s="1318">
        <f>DC119-CQ119</f>
        <v/>
      </c>
      <c r="DD121" s="1318">
        <f>DD119-CR119</f>
        <v/>
      </c>
      <c r="DE121" s="1318">
        <f>DE119-CS119</f>
        <v/>
      </c>
      <c r="DF121" s="1318">
        <f>DF119-CT119</f>
        <v/>
      </c>
      <c r="DG121" s="1318">
        <f>DG119-CU119</f>
        <v/>
      </c>
      <c r="DH121" s="1318">
        <f>DH119-CV119</f>
        <v/>
      </c>
      <c r="DI121" s="1318">
        <f>DI119-CW119</f>
        <v/>
      </c>
      <c r="DJ121" s="1318">
        <f>DJ119-CX119</f>
        <v/>
      </c>
      <c r="DK121" s="1318">
        <f>DK119-CY119</f>
        <v/>
      </c>
      <c r="DL121" s="1318">
        <f>DL119-CZ119</f>
        <v/>
      </c>
      <c r="DM121" s="1318">
        <f>DM119-DA119</f>
        <v/>
      </c>
      <c r="DN121" s="1318">
        <f>DN119-DB119</f>
        <v/>
      </c>
      <c r="DO121" s="1318">
        <f>DO119-DC119</f>
        <v/>
      </c>
      <c r="DP121" s="1318">
        <f>DP119-DD119</f>
        <v/>
      </c>
      <c r="DQ121" s="1318">
        <f>DQ119-DE119</f>
        <v/>
      </c>
      <c r="DR121" s="1318">
        <f>DR119-DF119</f>
        <v/>
      </c>
      <c r="DS121" s="1318">
        <f>DS119-DG119</f>
        <v/>
      </c>
      <c r="DT121" s="1318">
        <f>DT119-DH119</f>
        <v/>
      </c>
      <c r="DU121" s="1318">
        <f>DU119-DI119</f>
        <v/>
      </c>
      <c r="DV121" s="1318">
        <f>DV119-DJ119</f>
        <v/>
      </c>
      <c r="DW121" s="1318">
        <f>DW119-DK119</f>
        <v/>
      </c>
      <c r="DX121" s="1318">
        <f>DX119-DL119</f>
        <v/>
      </c>
      <c r="DY121" s="1318">
        <f>DY119-DM119</f>
        <v/>
      </c>
      <c r="DZ121" s="1318">
        <f>DZ119-DN119</f>
        <v/>
      </c>
      <c r="EA121" s="1318">
        <f>EA119-DO119</f>
        <v/>
      </c>
      <c r="EB121" s="1318">
        <f>EB119-DP119</f>
        <v/>
      </c>
      <c r="EC121" s="1318">
        <f>EC119-DQ119</f>
        <v/>
      </c>
      <c r="ED121" s="1318">
        <f>ED119-DR119</f>
        <v/>
      </c>
      <c r="EE121" s="1318">
        <f>EE119-DS119</f>
        <v/>
      </c>
      <c r="EF121" s="1318">
        <f>EF119-DT119</f>
        <v/>
      </c>
      <c r="EG121" s="1318">
        <f>EG119-DU119</f>
        <v/>
      </c>
      <c r="EH121" s="1318">
        <f>EH119-DV119</f>
        <v/>
      </c>
      <c r="EI121" s="1318">
        <f>EI119-DW119</f>
        <v/>
      </c>
      <c r="EJ121" s="1318">
        <f>EJ119-DX119</f>
        <v/>
      </c>
      <c r="EK121" s="1318">
        <f>EK119-DY119</f>
        <v/>
      </c>
      <c r="EL121" s="1318">
        <f>EL119-DZ119</f>
        <v/>
      </c>
      <c r="EM121" s="1318">
        <f>EM119-EA119</f>
        <v/>
      </c>
      <c r="EN121" s="1318">
        <f>EN119-EB119</f>
        <v/>
      </c>
      <c r="EO121" s="1318">
        <f>EO119-EC119</f>
        <v/>
      </c>
      <c r="EP121" s="1318">
        <f>EP119-ED119</f>
        <v/>
      </c>
      <c r="EQ121" s="1318">
        <f>EQ119-EE119</f>
        <v/>
      </c>
      <c r="ER121" s="1318">
        <f>ER119-EF119</f>
        <v/>
      </c>
      <c r="ES121" s="1318">
        <f>ES119-EG119</f>
        <v/>
      </c>
      <c r="ET121" s="1318">
        <f>ET119-EH119</f>
        <v/>
      </c>
      <c r="EU121" s="1318">
        <f>EU119-EI119</f>
        <v/>
      </c>
      <c r="EV121" s="1318">
        <f>EV119-EJ119</f>
        <v/>
      </c>
      <c r="EW121" s="1318">
        <f>EW119-EK119</f>
        <v/>
      </c>
      <c r="EX121" s="1318">
        <f>EX119-EL119</f>
        <v/>
      </c>
      <c r="EY121" s="1318">
        <f>EY119-EM119</f>
        <v/>
      </c>
      <c r="EZ121" s="1318">
        <f>EZ119-EN119</f>
        <v/>
      </c>
      <c r="FA121" s="1318">
        <f>FA119-EO119</f>
        <v/>
      </c>
      <c r="FB121" s="1318">
        <f>FB119-EP119</f>
        <v/>
      </c>
      <c r="FC121" s="1318">
        <f>FC119-EQ119</f>
        <v/>
      </c>
      <c r="FD121" s="1318">
        <f>FD119-ER119</f>
        <v/>
      </c>
      <c r="FE121" s="1318">
        <f>FE119-ES119</f>
        <v/>
      </c>
      <c r="FF121" s="1318">
        <f>FF119-ET119</f>
        <v/>
      </c>
      <c r="FG121" s="1318">
        <f>FG119-EU119</f>
        <v/>
      </c>
      <c r="FH121" s="1318">
        <f>FH119-EV119</f>
        <v/>
      </c>
      <c r="FI121" s="1318">
        <f>FI119-EW119</f>
        <v/>
      </c>
      <c r="FJ121" s="1318">
        <f>FJ119-EX119</f>
        <v/>
      </c>
      <c r="FK121" s="1318">
        <f>FK119-EY119</f>
        <v/>
      </c>
      <c r="FL121" s="1318">
        <f>FL119-EZ119</f>
        <v/>
      </c>
      <c r="FM121" s="1318">
        <f>FM119-FA119</f>
        <v/>
      </c>
      <c r="FN121" s="1318">
        <f>FN119-FB119</f>
        <v/>
      </c>
      <c r="FO121" s="1318">
        <f>FO119-FC119</f>
        <v/>
      </c>
      <c r="FP121" s="1318">
        <f>FP119-FD119</f>
        <v/>
      </c>
      <c r="FQ121" s="1318">
        <f>FQ119-FE119</f>
        <v/>
      </c>
      <c r="FR121" s="1318">
        <f>FR119-FF119</f>
        <v/>
      </c>
      <c r="FS121" s="1318">
        <f>FS119-FG119</f>
        <v/>
      </c>
      <c r="FT121" s="1318">
        <f>FT119-FH119</f>
        <v/>
      </c>
      <c r="FU121" s="1318">
        <f>FU119-FI119</f>
        <v/>
      </c>
      <c r="FV121" s="1318">
        <f>FV119-FJ119</f>
        <v/>
      </c>
      <c r="FW121" s="1318">
        <f>FW119-FK119</f>
        <v/>
      </c>
      <c r="FX121" s="1318">
        <f>FX119-FL119</f>
        <v/>
      </c>
      <c r="FY121" s="1318">
        <f>FY119-FM119</f>
        <v/>
      </c>
      <c r="FZ121" s="1318">
        <f>FZ119-FN119</f>
        <v/>
      </c>
      <c r="GA121" s="1318">
        <f>GA119-FO119</f>
        <v/>
      </c>
      <c r="GB121" s="1318">
        <f>GB119-FP119</f>
        <v/>
      </c>
      <c r="GC121" s="1318">
        <f>GC119-FQ119</f>
        <v/>
      </c>
      <c r="GD121" s="1318">
        <f>GD119-FR119</f>
        <v/>
      </c>
      <c r="GE121" s="1318">
        <f>GE119-FS119</f>
        <v/>
      </c>
      <c r="GF121" s="1318">
        <f>GF119-FT119</f>
        <v/>
      </c>
      <c r="GG121" s="1318">
        <f>GG119-FU119</f>
        <v/>
      </c>
      <c r="GH121" s="1318">
        <f>GH119-FV119</f>
        <v/>
      </c>
      <c r="GI121" s="1318">
        <f>GI119-FW119</f>
        <v/>
      </c>
      <c r="GJ121" s="1318">
        <f>GJ119-FX119</f>
        <v/>
      </c>
      <c r="GK121" s="1318">
        <f>GK119-FY119</f>
        <v/>
      </c>
      <c r="GL121" s="1318">
        <f>GL119-FZ119</f>
        <v/>
      </c>
      <c r="GM121" s="1318">
        <f>GM119-GA119</f>
        <v/>
      </c>
      <c r="GN121" s="1318">
        <f>GN119-GB119</f>
        <v/>
      </c>
      <c r="GO121" s="1318">
        <f>GO119-GC119</f>
        <v/>
      </c>
      <c r="GP121" s="1318">
        <f>GP119-GD119</f>
        <v/>
      </c>
      <c r="GQ121" s="1318">
        <f>GQ119-GE119</f>
        <v/>
      </c>
      <c r="GR121" s="1318">
        <f>GR119-GF119</f>
        <v/>
      </c>
      <c r="GS121" s="1318">
        <f>GS119-GG119</f>
        <v/>
      </c>
      <c r="GT121" s="1318">
        <f>GT119-GH119</f>
        <v/>
      </c>
      <c r="GU121" s="1318">
        <f>GU119-GI119</f>
        <v/>
      </c>
      <c r="GV121" s="1318">
        <f>GV119-GJ119</f>
        <v/>
      </c>
      <c r="GW121" s="1318">
        <f>GW119-GK119</f>
        <v/>
      </c>
      <c r="GX121" s="1318">
        <f>GX119-GL119</f>
        <v/>
      </c>
      <c r="GY121" s="1318">
        <f>GY119-GM119</f>
        <v/>
      </c>
      <c r="GZ121" s="1318">
        <f>GZ119-GN119</f>
        <v/>
      </c>
      <c r="HA121" s="1318">
        <f>HA119-GO119</f>
        <v/>
      </c>
      <c r="HB121" s="1318">
        <f>HB119-GP119</f>
        <v/>
      </c>
      <c r="HC121" s="1318">
        <f>HC119-GQ119</f>
        <v/>
      </c>
      <c r="HD121" s="1318">
        <f>HD119-GR119</f>
        <v/>
      </c>
      <c r="HE121" s="1318">
        <f>HE119-GS119</f>
        <v/>
      </c>
      <c r="HF121" s="1318">
        <f>HF119-GT119</f>
        <v/>
      </c>
      <c r="HG121" s="1318">
        <f>HG119-GU119</f>
        <v/>
      </c>
      <c r="HH121" s="1318">
        <f>HH119-GV119</f>
        <v/>
      </c>
      <c r="HI121" s="1318">
        <f>HI119-GW119</f>
        <v/>
      </c>
      <c r="HJ121" s="1318">
        <f>HJ119-GX119</f>
        <v/>
      </c>
      <c r="HK121" s="1318">
        <f>HK119-GY119</f>
        <v/>
      </c>
      <c r="HL121" s="1318">
        <f>HL119-GZ119</f>
        <v/>
      </c>
      <c r="HM121" s="1318">
        <f>HM119-HA119</f>
        <v/>
      </c>
      <c r="HN121" s="1318">
        <f>HN119-HB119</f>
        <v/>
      </c>
      <c r="HO121" s="1318">
        <f>HO119-HC119</f>
        <v/>
      </c>
      <c r="HP121" s="1318">
        <f>HP119-HD119</f>
        <v/>
      </c>
      <c r="HQ121" s="1318">
        <f>HQ119-HE119</f>
        <v/>
      </c>
      <c r="HR121" s="1318">
        <f>HR119-HF119</f>
        <v/>
      </c>
      <c r="HS121" s="1318">
        <f>HS119-HG119</f>
        <v/>
      </c>
      <c r="HT121" s="1318">
        <f>HT119-HH119</f>
        <v/>
      </c>
      <c r="HU121" s="1318">
        <f>HU119-HI119</f>
        <v/>
      </c>
      <c r="HV121" s="1318">
        <f>HV119-HJ119</f>
        <v/>
      </c>
      <c r="HW121" s="1318">
        <f>HW119-HK119</f>
        <v/>
      </c>
      <c r="HX121" s="1318">
        <f>HX119-HL119</f>
        <v/>
      </c>
      <c r="HY121" s="1318">
        <f>HY119-HM119</f>
        <v/>
      </c>
      <c r="HZ121" s="1318">
        <f>HZ119-HN119</f>
        <v/>
      </c>
      <c r="IA121" s="1318">
        <f>IA119-HO119</f>
        <v/>
      </c>
      <c r="IB121" s="1318">
        <f>IB119-HP119</f>
        <v/>
      </c>
      <c r="IC121" s="1318">
        <f>IC119-HQ119</f>
        <v/>
      </c>
      <c r="ID121" s="1318">
        <f>ID119-HR119</f>
        <v/>
      </c>
      <c r="IE121" s="1318">
        <f>IE119-HS119</f>
        <v/>
      </c>
      <c r="IF121" s="1318">
        <f>IF119-HT119</f>
        <v/>
      </c>
      <c r="IG121" s="1318">
        <f>IG119-HU119</f>
        <v/>
      </c>
      <c r="IH121" s="1318">
        <f>IH119-HV119</f>
        <v/>
      </c>
      <c r="II121" s="1318">
        <f>II119-HW119</f>
        <v/>
      </c>
      <c r="IJ121" s="1318">
        <f>IJ119-HX119</f>
        <v/>
      </c>
      <c r="IK121" s="1318">
        <f>IK119-HY119</f>
        <v/>
      </c>
      <c r="IL121" s="1318">
        <f>IL119-HZ119</f>
        <v/>
      </c>
      <c r="IM121" s="1318">
        <f>IM119-IA119</f>
        <v/>
      </c>
      <c r="IN121" s="1318">
        <f>IN119-IB119</f>
        <v/>
      </c>
      <c r="IO121" s="1318">
        <f>IO119-IC119</f>
        <v/>
      </c>
      <c r="IP121" s="1318">
        <f>IP119-ID119</f>
        <v/>
      </c>
      <c r="IQ121" s="1318">
        <f>IQ119-IE119</f>
        <v/>
      </c>
      <c r="IR121" s="1318">
        <f>IR119-IF119</f>
        <v/>
      </c>
      <c r="IS121" s="1318">
        <f>IS119-IG119</f>
        <v/>
      </c>
      <c r="IT121" s="1318">
        <f>IT119-IH119</f>
        <v/>
      </c>
      <c r="IU121" s="1318">
        <f>IU119-II119</f>
        <v/>
      </c>
      <c r="IV121" s="1318">
        <f>IV119-IJ119</f>
        <v/>
      </c>
      <c r="IW121" s="1318">
        <f>IW119-IK119</f>
        <v/>
      </c>
      <c r="IX121" s="1318">
        <f>IX119-IL119</f>
        <v/>
      </c>
      <c r="IY121" s="1318">
        <f>IY119-IM119</f>
        <v/>
      </c>
      <c r="IZ121" s="1318">
        <f>IZ119-IN119</f>
        <v/>
      </c>
      <c r="JA121" s="1318">
        <f>JA119-IO119</f>
        <v/>
      </c>
      <c r="JB121" s="1318">
        <f>JB119-IP119</f>
        <v/>
      </c>
      <c r="JC121" s="1318">
        <f>JC119-IQ119</f>
        <v/>
      </c>
      <c r="JD121" s="1318">
        <f>JD119-IR119</f>
        <v/>
      </c>
      <c r="JE121" s="1318">
        <f>JE119-IS119</f>
        <v/>
      </c>
      <c r="JF121" s="1318">
        <f>JF119-IT119</f>
        <v/>
      </c>
      <c r="JG121" s="1318">
        <f>JG119-IU119</f>
        <v/>
      </c>
      <c r="JH121" s="1318">
        <f>JH119-IV119</f>
        <v/>
      </c>
      <c r="JI121" s="1318">
        <f>JI119-IW119</f>
        <v/>
      </c>
      <c r="JJ121" s="1318">
        <f>JJ119-IX119</f>
        <v/>
      </c>
      <c r="JK121" s="1318">
        <f>JK119-IY119</f>
        <v/>
      </c>
      <c r="JL121" s="1318">
        <f>JL119-IZ119</f>
        <v/>
      </c>
      <c r="JM121" s="1318">
        <f>JM119-JA119</f>
        <v/>
      </c>
      <c r="JN121" s="1318">
        <f>JN119-JB119</f>
        <v/>
      </c>
      <c r="JO121" s="1318">
        <f>JO119-JC119</f>
        <v/>
      </c>
      <c r="JP121" s="1318">
        <f>JP119-JD119</f>
        <v/>
      </c>
      <c r="JQ121" s="1318">
        <f>JQ119-JE119</f>
        <v/>
      </c>
      <c r="JR121" s="1318">
        <f>JR119-JF119</f>
        <v/>
      </c>
      <c r="JS121" s="1318">
        <f>JS119-JG119</f>
        <v/>
      </c>
      <c r="JT121" s="1318">
        <f>JT119-JH119</f>
        <v/>
      </c>
      <c r="JU121" s="1318">
        <f>JU119-JI119</f>
        <v/>
      </c>
      <c r="JV121" s="1318">
        <f>JV119-JJ119</f>
        <v/>
      </c>
      <c r="JW121" s="1318">
        <f>JW119-JK119</f>
        <v/>
      </c>
      <c r="JX121" s="1318">
        <f>JX119-JL119</f>
        <v/>
      </c>
      <c r="JY121" s="1318">
        <f>JY119-JM119</f>
        <v/>
      </c>
      <c r="JZ121" s="1318">
        <f>JZ119-JN119</f>
        <v/>
      </c>
      <c r="KA121" s="1318">
        <f>KA119-JO119</f>
        <v/>
      </c>
      <c r="KB121" s="1318">
        <f>KB119-JP119</f>
        <v/>
      </c>
      <c r="KC121" s="1318">
        <f>KC119-JQ119</f>
        <v/>
      </c>
      <c r="KD121" s="1318">
        <f>KD119-JR119</f>
        <v/>
      </c>
      <c r="KE121" s="1318">
        <f>KE119-JS119</f>
        <v/>
      </c>
      <c r="KF121" s="1318">
        <f>KF119-JT119</f>
        <v/>
      </c>
      <c r="KG121" s="1318">
        <f>KG119-JU119</f>
        <v/>
      </c>
      <c r="KH121" s="1318">
        <f>KH119-JV119</f>
        <v/>
      </c>
      <c r="KI121" s="1318">
        <f>KI119-JW119</f>
        <v/>
      </c>
      <c r="KJ121" s="1318">
        <f>KJ119-JX119</f>
        <v/>
      </c>
      <c r="KK121" s="1318">
        <f>KK119-JY119</f>
        <v/>
      </c>
      <c r="KL121" s="1318">
        <f>KL119-JZ119</f>
        <v/>
      </c>
      <c r="KM121" s="1318">
        <f>KM119-KA119</f>
        <v/>
      </c>
      <c r="KN121" s="1318">
        <f>KN119-KB119</f>
        <v/>
      </c>
      <c r="KO121" s="1318">
        <f>KO119-KC119</f>
        <v/>
      </c>
      <c r="KP121" s="1318">
        <f>KP119-KD119</f>
        <v/>
      </c>
      <c r="KQ121" s="1318">
        <f>KQ119-KE119</f>
        <v/>
      </c>
      <c r="KR121" s="1318">
        <f>KR119-KF119</f>
        <v/>
      </c>
      <c r="KS121" s="1318">
        <f>KS119-KG119</f>
        <v/>
      </c>
      <c r="KT121" s="1318">
        <f>KT119-KH119</f>
        <v/>
      </c>
      <c r="KU121" s="1318">
        <f>KU119-KI119</f>
        <v/>
      </c>
      <c r="KV121" s="1318">
        <f>KV119-KJ119</f>
        <v/>
      </c>
      <c r="KW121" s="1318">
        <f>KW119-KK119</f>
        <v/>
      </c>
      <c r="KX121" s="1318">
        <f>KX119-KL119</f>
        <v/>
      </c>
      <c r="KY121" s="1318">
        <f>KY119-KM119</f>
        <v/>
      </c>
      <c r="KZ121" s="1318">
        <f>KZ119-KN119</f>
        <v/>
      </c>
      <c r="LA121" s="1318">
        <f>LA119-KO119</f>
        <v/>
      </c>
      <c r="LB121" s="1318" t="n"/>
      <c r="LC121" s="1318" t="n"/>
      <c r="LD121" s="1318" t="n"/>
      <c r="LE121" s="1318" t="n"/>
      <c r="LF121" s="1318" t="n"/>
      <c r="LG121" s="1318" t="n"/>
      <c r="LH121" s="1318" t="n"/>
      <c r="LI121" s="1318" t="n"/>
      <c r="LJ121" s="1318" t="n"/>
      <c r="LK121" s="1318" t="n"/>
      <c r="LL121" s="1318" t="n"/>
      <c r="LM121" s="1318" t="n"/>
      <c r="LN121" s="1318" t="n"/>
      <c r="LO121" s="1318" t="n"/>
      <c r="LP121" s="1318" t="n"/>
      <c r="LQ121" s="1318" t="n"/>
      <c r="LR121" s="1318" t="n"/>
      <c r="LS121" s="1318" t="n"/>
    </row>
    <row r="122">
      <c r="A122" s="885" t="inlineStr">
        <is>
          <t>YTD</t>
        </is>
      </c>
      <c r="B122" s="1318" t="n"/>
      <c r="C122" s="1318" t="n"/>
      <c r="D122" s="1318" t="n"/>
      <c r="E122" s="1318" t="n"/>
      <c r="F122" s="1318" t="n"/>
      <c r="G122" s="1318" t="n"/>
      <c r="H122" s="1318" t="n"/>
      <c r="I122" s="1318" t="n"/>
      <c r="J122" s="1318" t="n"/>
      <c r="K122" s="1318" t="n"/>
      <c r="L122" s="1318" t="n"/>
      <c r="M122" s="1318" t="n"/>
      <c r="N122" s="1318">
        <f>SUMIFS(66:66,$8:$8,"&gt;="&amp;DATE(YEAR(N$8),1,1),$8:$8,"&lt;="&amp;EOMONTH(N$8,0))/SUMIFS(30:30,$8:$8,"&gt;="&amp;DATE(YEAR(N$8),1,1),$8:$8,"&lt;="&amp;EOMONTH(N$8,0))</f>
        <v/>
      </c>
      <c r="O122" s="1318">
        <f>SUMIFS(66:66,$8:$8,"&gt;="&amp;DATE(YEAR(O$8),1,1),$8:$8,"&lt;="&amp;EOMONTH(O$8,0))/SUMIFS(30:30,$8:$8,"&gt;="&amp;DATE(YEAR(O$8),1,1),$8:$8,"&lt;="&amp;EOMONTH(O$8,0))</f>
        <v/>
      </c>
      <c r="P122" s="1318">
        <f>SUMIFS(66:66,$8:$8,"&gt;="&amp;DATE(YEAR(P$8),1,1),$8:$8,"&lt;="&amp;EOMONTH(P$8,0))/SUMIFS(30:30,$8:$8,"&gt;="&amp;DATE(YEAR(P$8),1,1),$8:$8,"&lt;="&amp;EOMONTH(P$8,0))</f>
        <v/>
      </c>
      <c r="Q122" s="1318">
        <f>SUMIFS(66:66,$8:$8,"&gt;="&amp;DATE(YEAR(Q$8),1,1),$8:$8,"&lt;="&amp;EOMONTH(Q$8,0))/SUMIFS(30:30,$8:$8,"&gt;="&amp;DATE(YEAR(Q$8),1,1),$8:$8,"&lt;="&amp;EOMONTH(Q$8,0))</f>
        <v/>
      </c>
      <c r="R122" s="1318">
        <f>SUMIFS(66:66,$8:$8,"&gt;="&amp;DATE(YEAR(R$8),1,1),$8:$8,"&lt;="&amp;EOMONTH(R$8,0))/SUMIFS(30:30,$8:$8,"&gt;="&amp;DATE(YEAR(R$8),1,1),$8:$8,"&lt;="&amp;EOMONTH(R$8,0))</f>
        <v/>
      </c>
      <c r="S122" s="1318">
        <f>SUMIFS(66:66,$8:$8,"&gt;="&amp;DATE(YEAR(S$8),1,1),$8:$8,"&lt;="&amp;EOMONTH(S$8,0))/SUMIFS(30:30,$8:$8,"&gt;="&amp;DATE(YEAR(S$8),1,1),$8:$8,"&lt;="&amp;EOMONTH(S$8,0))</f>
        <v/>
      </c>
      <c r="T122" s="1318">
        <f>SUMIFS(66:66,$8:$8,"&gt;="&amp;DATE(YEAR(T$8),1,1),$8:$8,"&lt;="&amp;EOMONTH(T$8,0))/SUMIFS(30:30,$8:$8,"&gt;="&amp;DATE(YEAR(T$8),1,1),$8:$8,"&lt;="&amp;EOMONTH(T$8,0))</f>
        <v/>
      </c>
      <c r="U122" s="1318">
        <f>SUMIFS(66:66,$8:$8,"&gt;="&amp;DATE(YEAR(U$8),1,1),$8:$8,"&lt;="&amp;EOMONTH(U$8,0))/SUMIFS(30:30,$8:$8,"&gt;="&amp;DATE(YEAR(U$8),1,1),$8:$8,"&lt;="&amp;EOMONTH(U$8,0))</f>
        <v/>
      </c>
      <c r="V122" s="1318">
        <f>SUMIFS(66:66,$8:$8,"&gt;="&amp;DATE(YEAR(V$8),1,1),$8:$8,"&lt;="&amp;EOMONTH(V$8,0))/SUMIFS(30:30,$8:$8,"&gt;="&amp;DATE(YEAR(V$8),1,1),$8:$8,"&lt;="&amp;EOMONTH(V$8,0))</f>
        <v/>
      </c>
      <c r="W122" s="1318">
        <f>SUMIFS(66:66,$8:$8,"&gt;="&amp;DATE(YEAR(W$8),1,1),$8:$8,"&lt;="&amp;EOMONTH(W$8,0))/SUMIFS(30:30,$8:$8,"&gt;="&amp;DATE(YEAR(W$8),1,1),$8:$8,"&lt;="&amp;EOMONTH(W$8,0))</f>
        <v/>
      </c>
      <c r="X122" s="1318">
        <f>SUMIFS(66:66,$8:$8,"&gt;="&amp;DATE(YEAR(X$8),1,1),$8:$8,"&lt;="&amp;EOMONTH(X$8,0))/SUMIFS(30:30,$8:$8,"&gt;="&amp;DATE(YEAR(X$8),1,1),$8:$8,"&lt;="&amp;EOMONTH(X$8,0))</f>
        <v/>
      </c>
      <c r="Y122" s="1318">
        <f>SUMIFS(66:66,$8:$8,"&gt;="&amp;DATE(YEAR(Y$8),1,1),$8:$8,"&lt;="&amp;EOMONTH(Y$8,0))/SUMIFS(30:30,$8:$8,"&gt;="&amp;DATE(YEAR(Y$8),1,1),$8:$8,"&lt;="&amp;EOMONTH(Y$8,0))</f>
        <v/>
      </c>
      <c r="Z122" s="1318">
        <f>SUMIFS(66:66,$8:$8,"&gt;="&amp;DATE(YEAR(Z$8),1,1),$8:$8,"&lt;="&amp;EOMONTH(Z$8,0))/SUMIFS(30:30,$8:$8,"&gt;="&amp;DATE(YEAR(Z$8),1,1),$8:$8,"&lt;="&amp;EOMONTH(Z$8,0))</f>
        <v/>
      </c>
      <c r="AA122" s="1318">
        <f>SUMIFS(66:66,$8:$8,"&gt;="&amp;DATE(YEAR(AA$8),1,1),$8:$8,"&lt;="&amp;EOMONTH(AA$8,0))/SUMIFS(30:30,$8:$8,"&gt;="&amp;DATE(YEAR(AA$8),1,1),$8:$8,"&lt;="&amp;EOMONTH(AA$8,0))</f>
        <v/>
      </c>
      <c r="AB122" s="1318">
        <f>SUMIFS(66:66,$8:$8,"&gt;="&amp;DATE(YEAR(AB$8),1,1),$8:$8,"&lt;="&amp;EOMONTH(AB$8,0))/SUMIFS(30:30,$8:$8,"&gt;="&amp;DATE(YEAR(AB$8),1,1),$8:$8,"&lt;="&amp;EOMONTH(AB$8,0))</f>
        <v/>
      </c>
      <c r="AC122" s="1318">
        <f>SUMIFS(66:66,$8:$8,"&gt;="&amp;DATE(YEAR(AC$8),1,1),$8:$8,"&lt;="&amp;EOMONTH(AC$8,0))/SUMIFS(30:30,$8:$8,"&gt;="&amp;DATE(YEAR(AC$8),1,1),$8:$8,"&lt;="&amp;EOMONTH(AC$8,0))</f>
        <v/>
      </c>
      <c r="AD122" s="1318">
        <f>SUMIFS(66:66,$8:$8,"&gt;="&amp;DATE(YEAR(AD$8),1,1),$8:$8,"&lt;="&amp;EOMONTH(AD$8,0))/SUMIFS(30:30,$8:$8,"&gt;="&amp;DATE(YEAR(AD$8),1,1),$8:$8,"&lt;="&amp;EOMONTH(AD$8,0))</f>
        <v/>
      </c>
      <c r="AE122" s="1318">
        <f>SUMIFS(66:66,$8:$8,"&gt;="&amp;DATE(YEAR(AE$8),1,1),$8:$8,"&lt;="&amp;EOMONTH(AE$8,0))/SUMIFS(30:30,$8:$8,"&gt;="&amp;DATE(YEAR(AE$8),1,1),$8:$8,"&lt;="&amp;EOMONTH(AE$8,0))</f>
        <v/>
      </c>
      <c r="AF122" s="1318">
        <f>SUMIFS(66:66,$8:$8,"&gt;="&amp;DATE(YEAR(AF$8),1,1),$8:$8,"&lt;="&amp;EOMONTH(AF$8,0))/SUMIFS(30:30,$8:$8,"&gt;="&amp;DATE(YEAR(AF$8),1,1),$8:$8,"&lt;="&amp;EOMONTH(AF$8,0))</f>
        <v/>
      </c>
      <c r="AG122" s="1318">
        <f>SUMIFS(66:66,$8:$8,"&gt;="&amp;DATE(YEAR(AG$8),1,1),$8:$8,"&lt;="&amp;EOMONTH(AG$8,0))/SUMIFS(30:30,$8:$8,"&gt;="&amp;DATE(YEAR(AG$8),1,1),$8:$8,"&lt;="&amp;EOMONTH(AG$8,0))</f>
        <v/>
      </c>
      <c r="AH122" s="1318">
        <f>SUMIFS(66:66,$8:$8,"&gt;="&amp;DATE(YEAR(AH$8),1,1),$8:$8,"&lt;="&amp;EOMONTH(AH$8,0))/SUMIFS(30:30,$8:$8,"&gt;="&amp;DATE(YEAR(AH$8),1,1),$8:$8,"&lt;="&amp;EOMONTH(AH$8,0))</f>
        <v/>
      </c>
      <c r="AI122" s="1318">
        <f>SUMIFS(66:66,$8:$8,"&gt;="&amp;DATE(YEAR(AI$8),1,1),$8:$8,"&lt;="&amp;EOMONTH(AI$8,0))/SUMIFS(30:30,$8:$8,"&gt;="&amp;DATE(YEAR(AI$8),1,1),$8:$8,"&lt;="&amp;EOMONTH(AI$8,0))</f>
        <v/>
      </c>
      <c r="AJ122" s="1318">
        <f>SUMIFS(66:66,$8:$8,"&gt;="&amp;DATE(YEAR(AJ$8),1,1),$8:$8,"&lt;="&amp;EOMONTH(AJ$8,0))/SUMIFS(30:30,$8:$8,"&gt;="&amp;DATE(YEAR(AJ$8),1,1),$8:$8,"&lt;="&amp;EOMONTH(AJ$8,0))</f>
        <v/>
      </c>
      <c r="AK122" s="1318">
        <f>SUMIFS(66:66,$8:$8,"&gt;="&amp;DATE(YEAR(AK$8),1,1),$8:$8,"&lt;="&amp;EOMONTH(AK$8,0))/SUMIFS(30:30,$8:$8,"&gt;="&amp;DATE(YEAR(AK$8),1,1),$8:$8,"&lt;="&amp;EOMONTH(AK$8,0))</f>
        <v/>
      </c>
      <c r="AL122" s="1318">
        <f>SUMIFS(66:66,$8:$8,"&gt;="&amp;DATE(YEAR(AL$8),1,1),$8:$8,"&lt;="&amp;EOMONTH(AL$8,0))/SUMIFS(30:30,$8:$8,"&gt;="&amp;DATE(YEAR(AL$8),1,1),$8:$8,"&lt;="&amp;EOMONTH(AL$8,0))</f>
        <v/>
      </c>
      <c r="AM122" s="1318">
        <f>SUMIFS(66:66,$8:$8,"&gt;="&amp;DATE(YEAR(AM$8),1,1),$8:$8,"&lt;="&amp;EOMONTH(AM$8,0))/SUMIFS(30:30,$8:$8,"&gt;="&amp;DATE(YEAR(AM$8),1,1),$8:$8,"&lt;="&amp;EOMONTH(AM$8,0))</f>
        <v/>
      </c>
      <c r="AN122" s="1318">
        <f>SUMIFS(66:66,$8:$8,"&gt;="&amp;DATE(YEAR(AN$8),1,1),$8:$8,"&lt;="&amp;EOMONTH(AN$8,0))/SUMIFS(30:30,$8:$8,"&gt;="&amp;DATE(YEAR(AN$8),1,1),$8:$8,"&lt;="&amp;EOMONTH(AN$8,0))</f>
        <v/>
      </c>
      <c r="AO122" s="1318">
        <f>SUMIFS(66:66,$8:$8,"&gt;="&amp;DATE(YEAR(AO$8),1,1),$8:$8,"&lt;="&amp;EOMONTH(AO$8,0))/SUMIFS(30:30,$8:$8,"&gt;="&amp;DATE(YEAR(AO$8),1,1),$8:$8,"&lt;="&amp;EOMONTH(AO$8,0))</f>
        <v/>
      </c>
      <c r="AP122" s="1318">
        <f>SUMIFS(66:66,$8:$8,"&gt;="&amp;DATE(YEAR(AP$8),1,1),$8:$8,"&lt;="&amp;EOMONTH(AP$8,0))/SUMIFS(30:30,$8:$8,"&gt;="&amp;DATE(YEAR(AP$8),1,1),$8:$8,"&lt;="&amp;EOMONTH(AP$8,0))</f>
        <v/>
      </c>
      <c r="AQ122" s="1318">
        <f>SUMIFS(66:66,$8:$8,"&gt;="&amp;DATE(YEAR(AQ$8),1,1),$8:$8,"&lt;="&amp;EOMONTH(AQ$8,0))/SUMIFS(30:30,$8:$8,"&gt;="&amp;DATE(YEAR(AQ$8),1,1),$8:$8,"&lt;="&amp;EOMONTH(AQ$8,0))</f>
        <v/>
      </c>
      <c r="AR122" s="1318">
        <f>SUMIFS(66:66,$8:$8,"&gt;="&amp;DATE(YEAR(AR$8),1,1),$8:$8,"&lt;="&amp;EOMONTH(AR$8,0))/SUMIFS(30:30,$8:$8,"&gt;="&amp;DATE(YEAR(AR$8),1,1),$8:$8,"&lt;="&amp;EOMONTH(AR$8,0))</f>
        <v/>
      </c>
      <c r="AS122" s="1318">
        <f>SUMIFS(66:66,$8:$8,"&gt;="&amp;DATE(YEAR(AS$8),1,1),$8:$8,"&lt;="&amp;EOMONTH(AS$8,0))/SUMIFS(30:30,$8:$8,"&gt;="&amp;DATE(YEAR(AS$8),1,1),$8:$8,"&lt;="&amp;EOMONTH(AS$8,0))</f>
        <v/>
      </c>
      <c r="AT122" s="1318">
        <f>SUMIFS(66:66,$8:$8,"&gt;="&amp;DATE(YEAR(AT$8),1,1),$8:$8,"&lt;="&amp;EOMONTH(AT$8,0))/SUMIFS(30:30,$8:$8,"&gt;="&amp;DATE(YEAR(AT$8),1,1),$8:$8,"&lt;="&amp;EOMONTH(AT$8,0))</f>
        <v/>
      </c>
      <c r="AU122" s="1318">
        <f>SUMIFS(66:66,$8:$8,"&gt;="&amp;DATE(YEAR(AU$8),1,1),$8:$8,"&lt;="&amp;EOMONTH(AU$8,0))/SUMIFS(30:30,$8:$8,"&gt;="&amp;DATE(YEAR(AU$8),1,1),$8:$8,"&lt;="&amp;EOMONTH(AU$8,0))</f>
        <v/>
      </c>
      <c r="AV122" s="1318">
        <f>SUMIFS(66:66,$8:$8,"&gt;="&amp;DATE(YEAR(AV$8),1,1),$8:$8,"&lt;="&amp;EOMONTH(AV$8,0))/SUMIFS(30:30,$8:$8,"&gt;="&amp;DATE(YEAR(AV$8),1,1),$8:$8,"&lt;="&amp;EOMONTH(AV$8,0))</f>
        <v/>
      </c>
      <c r="AW122" s="1318">
        <f>SUMIFS(66:66,$8:$8,"&gt;="&amp;DATE(YEAR(AW$8),1,1),$8:$8,"&lt;="&amp;EOMONTH(AW$8,0))/SUMIFS(30:30,$8:$8,"&gt;="&amp;DATE(YEAR(AW$8),1,1),$8:$8,"&lt;="&amp;EOMONTH(AW$8,0))</f>
        <v/>
      </c>
      <c r="AX122" s="1318">
        <f>SUMIFS(66:66,$8:$8,"&gt;="&amp;DATE(YEAR(AX$8),1,1),$8:$8,"&lt;="&amp;EOMONTH(AX$8,0))/SUMIFS(30:30,$8:$8,"&gt;="&amp;DATE(YEAR(AX$8),1,1),$8:$8,"&lt;="&amp;EOMONTH(AX$8,0))</f>
        <v/>
      </c>
      <c r="AY122" s="1318">
        <f>SUMIFS(66:66,$8:$8,"&gt;="&amp;DATE(YEAR(AY$8),1,1),$8:$8,"&lt;="&amp;EOMONTH(AY$8,0))/SUMIFS(30:30,$8:$8,"&gt;="&amp;DATE(YEAR(AY$8),1,1),$8:$8,"&lt;="&amp;EOMONTH(AY$8,0))</f>
        <v/>
      </c>
      <c r="AZ122" s="1318">
        <f>SUMIFS(66:66,$8:$8,"&gt;="&amp;DATE(YEAR(AZ$8),1,1),$8:$8,"&lt;="&amp;EOMONTH(AZ$8,0))/SUMIFS(30:30,$8:$8,"&gt;="&amp;DATE(YEAR(AZ$8),1,1),$8:$8,"&lt;="&amp;EOMONTH(AZ$8,0))</f>
        <v/>
      </c>
      <c r="BA122" s="1318">
        <f>SUMIFS(66:66,$8:$8,"&gt;="&amp;DATE(YEAR(BA$8),1,1),$8:$8,"&lt;="&amp;EOMONTH(BA$8,0))/SUMIFS(30:30,$8:$8,"&gt;="&amp;DATE(YEAR(BA$8),1,1),$8:$8,"&lt;="&amp;EOMONTH(BA$8,0))</f>
        <v/>
      </c>
      <c r="BB122" s="1318">
        <f>SUMIFS(66:66,$8:$8,"&gt;="&amp;DATE(YEAR(BB$8),1,1),$8:$8,"&lt;="&amp;EOMONTH(BB$8,0))/SUMIFS(30:30,$8:$8,"&gt;="&amp;DATE(YEAR(BB$8),1,1),$8:$8,"&lt;="&amp;EOMONTH(BB$8,0))</f>
        <v/>
      </c>
      <c r="BC122" s="1318">
        <f>SUMIFS(66:66,$8:$8,"&gt;="&amp;DATE(YEAR(BC$8),1,1),$8:$8,"&lt;="&amp;EOMONTH(BC$8,0))/SUMIFS(30:30,$8:$8,"&gt;="&amp;DATE(YEAR(BC$8),1,1),$8:$8,"&lt;="&amp;EOMONTH(BC$8,0))</f>
        <v/>
      </c>
      <c r="BD122" s="1318">
        <f>SUMIFS(66:66,$8:$8,"&gt;="&amp;DATE(YEAR(BD$8),1,1),$8:$8,"&lt;="&amp;EOMONTH(BD$8,0))/SUMIFS(30:30,$8:$8,"&gt;="&amp;DATE(YEAR(BD$8),1,1),$8:$8,"&lt;="&amp;EOMONTH(BD$8,0))</f>
        <v/>
      </c>
      <c r="BE122" s="1318">
        <f>SUMIFS(66:66,$8:$8,"&gt;="&amp;DATE(YEAR(BE$8),1,1),$8:$8,"&lt;="&amp;EOMONTH(BE$8,0))/SUMIFS(30:30,$8:$8,"&gt;="&amp;DATE(YEAR(BE$8),1,1),$8:$8,"&lt;="&amp;EOMONTH(BE$8,0))</f>
        <v/>
      </c>
      <c r="BF122" s="1318">
        <f>SUMIFS(66:66,$8:$8,"&gt;="&amp;DATE(YEAR(BF$8),1,1),$8:$8,"&lt;="&amp;EOMONTH(BF$8,0))/SUMIFS(30:30,$8:$8,"&gt;="&amp;DATE(YEAR(BF$8),1,1),$8:$8,"&lt;="&amp;EOMONTH(BF$8,0))</f>
        <v/>
      </c>
      <c r="BG122" s="1318">
        <f>SUMIFS(66:66,$8:$8,"&gt;="&amp;DATE(YEAR(BG$8),1,1),$8:$8,"&lt;="&amp;EOMONTH(BG$8,0))/SUMIFS(30:30,$8:$8,"&gt;="&amp;DATE(YEAR(BG$8),1,1),$8:$8,"&lt;="&amp;EOMONTH(BG$8,0))</f>
        <v/>
      </c>
      <c r="BH122" s="1318">
        <f>SUMIFS(66:66,$8:$8,"&gt;="&amp;DATE(YEAR(BH$8),1,1),$8:$8,"&lt;="&amp;EOMONTH(BH$8,0))/SUMIFS(30:30,$8:$8,"&gt;="&amp;DATE(YEAR(BH$8),1,1),$8:$8,"&lt;="&amp;EOMONTH(BH$8,0))</f>
        <v/>
      </c>
      <c r="BI122" s="1318">
        <f>SUMIFS(66:66,$8:$8,"&gt;="&amp;DATE(YEAR(BI$8),1,1),$8:$8,"&lt;="&amp;EOMONTH(BI$8,0))/SUMIFS(30:30,$8:$8,"&gt;="&amp;DATE(YEAR(BI$8),1,1),$8:$8,"&lt;="&amp;EOMONTH(BI$8,0))</f>
        <v/>
      </c>
      <c r="BJ122" s="1318">
        <f>SUMIFS(66:66,$8:$8,"&gt;="&amp;DATE(YEAR(BJ$8),1,1),$8:$8,"&lt;="&amp;EOMONTH(BJ$8,0))/SUMIFS(30:30,$8:$8,"&gt;="&amp;DATE(YEAR(BJ$8),1,1),$8:$8,"&lt;="&amp;EOMONTH(BJ$8,0))</f>
        <v/>
      </c>
      <c r="BK122" s="1318">
        <f>SUMIFS(66:66,$8:$8,"&gt;="&amp;DATE(YEAR(BK$8),1,1),$8:$8,"&lt;="&amp;EOMONTH(BK$8,0))/SUMIFS(30:30,$8:$8,"&gt;="&amp;DATE(YEAR(BK$8),1,1),$8:$8,"&lt;="&amp;EOMONTH(BK$8,0))</f>
        <v/>
      </c>
      <c r="BL122" s="1318">
        <f>SUMIFS(66:66,$8:$8,"&gt;="&amp;DATE(YEAR(BL$8),1,1),$8:$8,"&lt;="&amp;EOMONTH(BL$8,0))/SUMIFS(30:30,$8:$8,"&gt;="&amp;DATE(YEAR(BL$8),1,1),$8:$8,"&lt;="&amp;EOMONTH(BL$8,0))</f>
        <v/>
      </c>
      <c r="BM122" s="1318">
        <f>SUMIFS(66:66,$8:$8,"&gt;="&amp;DATE(YEAR(BM$8),1,1),$8:$8,"&lt;="&amp;EOMONTH(BM$8,0))/SUMIFS(30:30,$8:$8,"&gt;="&amp;DATE(YEAR(BM$8),1,1),$8:$8,"&lt;="&amp;EOMONTH(BM$8,0))</f>
        <v/>
      </c>
      <c r="BN122" s="1318">
        <f>SUMIFS(66:66,$8:$8,"&gt;="&amp;DATE(YEAR(BN$8),1,1),$8:$8,"&lt;="&amp;EOMONTH(BN$8,0))/SUMIFS(30:30,$8:$8,"&gt;="&amp;DATE(YEAR(BN$8),1,1),$8:$8,"&lt;="&amp;EOMONTH(BN$8,0))</f>
        <v/>
      </c>
      <c r="BO122" s="1318">
        <f>SUMIFS(66:66,$8:$8,"&gt;="&amp;DATE(YEAR(BO$8),1,1),$8:$8,"&lt;="&amp;EOMONTH(BO$8,0))/SUMIFS(30:30,$8:$8,"&gt;="&amp;DATE(YEAR(BO$8),1,1),$8:$8,"&lt;="&amp;EOMONTH(BO$8,0))</f>
        <v/>
      </c>
      <c r="BP122" s="1318">
        <f>SUMIFS(66:66,$8:$8,"&gt;="&amp;DATE(YEAR(BP$8),1,1),$8:$8,"&lt;="&amp;EOMONTH(BP$8,0))/SUMIFS(30:30,$8:$8,"&gt;="&amp;DATE(YEAR(BP$8),1,1),$8:$8,"&lt;="&amp;EOMONTH(BP$8,0))</f>
        <v/>
      </c>
      <c r="BQ122" s="1318">
        <f>SUMIFS(66:66,$8:$8,"&gt;="&amp;DATE(YEAR(BQ$8),1,1),$8:$8,"&lt;="&amp;EOMONTH(BQ$8,0))/SUMIFS(30:30,$8:$8,"&gt;="&amp;DATE(YEAR(BQ$8),1,1),$8:$8,"&lt;="&amp;EOMONTH(BQ$8,0))</f>
        <v/>
      </c>
      <c r="BR122" s="1318">
        <f>SUMIFS(66:66,$8:$8,"&gt;="&amp;DATE(YEAR(BR$8),1,1),$8:$8,"&lt;="&amp;EOMONTH(BR$8,0))/SUMIFS(30:30,$8:$8,"&gt;="&amp;DATE(YEAR(BR$8),1,1),$8:$8,"&lt;="&amp;EOMONTH(BR$8,0))</f>
        <v/>
      </c>
      <c r="BS122" s="1318">
        <f>SUMIFS(66:66,$8:$8,"&gt;="&amp;DATE(YEAR(BS$8),1,1),$8:$8,"&lt;="&amp;EOMONTH(BS$8,0))/SUMIFS(30:30,$8:$8,"&gt;="&amp;DATE(YEAR(BS$8),1,1),$8:$8,"&lt;="&amp;EOMONTH(BS$8,0))</f>
        <v/>
      </c>
      <c r="BT122" s="1318">
        <f>SUMIFS(66:66,$8:$8,"&gt;="&amp;DATE(YEAR(BT$8),1,1),$8:$8,"&lt;="&amp;EOMONTH(BT$8,0))/SUMIFS(30:30,$8:$8,"&gt;="&amp;DATE(YEAR(BT$8),1,1),$8:$8,"&lt;="&amp;EOMONTH(BT$8,0))</f>
        <v/>
      </c>
      <c r="BU122" s="1318">
        <f>SUMIFS(66:66,$8:$8,"&gt;="&amp;DATE(YEAR(BU$8),1,1),$8:$8,"&lt;="&amp;EOMONTH(BU$8,0))/SUMIFS(30:30,$8:$8,"&gt;="&amp;DATE(YEAR(BU$8),1,1),$8:$8,"&lt;="&amp;EOMONTH(BU$8,0))</f>
        <v/>
      </c>
      <c r="BV122" s="1318">
        <f>SUMIFS(66:66,$8:$8,"&gt;="&amp;DATE(YEAR(BV$8),1,1),$8:$8,"&lt;="&amp;EOMONTH(BV$8,0))/SUMIFS(30:30,$8:$8,"&gt;="&amp;DATE(YEAR(BV$8),1,1),$8:$8,"&lt;="&amp;EOMONTH(BV$8,0))</f>
        <v/>
      </c>
      <c r="BW122" s="1318">
        <f>SUMIFS(66:66,$8:$8,"&gt;="&amp;DATE(YEAR(BW$8),1,1),$8:$8,"&lt;="&amp;EOMONTH(BW$8,0))/SUMIFS(30:30,$8:$8,"&gt;="&amp;DATE(YEAR(BW$8),1,1),$8:$8,"&lt;="&amp;EOMONTH(BW$8,0))</f>
        <v/>
      </c>
      <c r="BX122" s="1318">
        <f>SUMIFS(66:66,$8:$8,"&gt;="&amp;DATE(YEAR(BX$8),1,1),$8:$8,"&lt;="&amp;EOMONTH(BX$8,0))/SUMIFS(30:30,$8:$8,"&gt;="&amp;DATE(YEAR(BX$8),1,1),$8:$8,"&lt;="&amp;EOMONTH(BX$8,0))</f>
        <v/>
      </c>
      <c r="BY122" s="1318">
        <f>SUMIFS(66:66,$8:$8,"&gt;="&amp;DATE(YEAR(BY$8),1,1),$8:$8,"&lt;="&amp;EOMONTH(BY$8,0))/SUMIFS(30:30,$8:$8,"&gt;="&amp;DATE(YEAR(BY$8),1,1),$8:$8,"&lt;="&amp;EOMONTH(BY$8,0))</f>
        <v/>
      </c>
      <c r="BZ122" s="1318">
        <f>SUMIFS(66:66,$8:$8,"&gt;="&amp;DATE(YEAR(BZ$8),1,1),$8:$8,"&lt;="&amp;EOMONTH(BZ$8,0))/SUMIFS(30:30,$8:$8,"&gt;="&amp;DATE(YEAR(BZ$8),1,1),$8:$8,"&lt;="&amp;EOMONTH(BZ$8,0))</f>
        <v/>
      </c>
      <c r="CA122" s="1318">
        <f>SUMIFS(66:66,$8:$8,"&gt;="&amp;DATE(YEAR(CA$8),1,1),$8:$8,"&lt;="&amp;EOMONTH(CA$8,0))/SUMIFS(30:30,$8:$8,"&gt;="&amp;DATE(YEAR(CA$8),1,1),$8:$8,"&lt;="&amp;EOMONTH(CA$8,0))</f>
        <v/>
      </c>
      <c r="CB122" s="1318">
        <f>SUMIFS(66:66,$8:$8,"&gt;="&amp;DATE(YEAR(CB$8),1,1),$8:$8,"&lt;="&amp;EOMONTH(CB$8,0))/SUMIFS(30:30,$8:$8,"&gt;="&amp;DATE(YEAR(CB$8),1,1),$8:$8,"&lt;="&amp;EOMONTH(CB$8,0))</f>
        <v/>
      </c>
      <c r="CC122" s="1318">
        <f>SUMIFS(66:66,$8:$8,"&gt;="&amp;DATE(YEAR(CC$8),1,1),$8:$8,"&lt;="&amp;EOMONTH(CC$8,0))/SUMIFS(30:30,$8:$8,"&gt;="&amp;DATE(YEAR(CC$8),1,1),$8:$8,"&lt;="&amp;EOMONTH(CC$8,0))</f>
        <v/>
      </c>
      <c r="CD122" s="1318">
        <f>SUMIFS(66:66,$8:$8,"&gt;="&amp;DATE(YEAR(CD$8),1,1),$8:$8,"&lt;="&amp;EOMONTH(CD$8,0))/SUMIFS(30:30,$8:$8,"&gt;="&amp;DATE(YEAR(CD$8),1,1),$8:$8,"&lt;="&amp;EOMONTH(CD$8,0))</f>
        <v/>
      </c>
      <c r="CE122" s="1318">
        <f>SUMIFS(66:66,$8:$8,"&gt;="&amp;DATE(YEAR(CE$8),1,1),$8:$8,"&lt;="&amp;EOMONTH(CE$8,0))/SUMIFS(30:30,$8:$8,"&gt;="&amp;DATE(YEAR(CE$8),1,1),$8:$8,"&lt;="&amp;EOMONTH(CE$8,0))</f>
        <v/>
      </c>
      <c r="CF122" s="1318">
        <f>SUMIFS(66:66,$8:$8,"&gt;="&amp;DATE(YEAR(CF$8),1,1),$8:$8,"&lt;="&amp;EOMONTH(CF$8,0))/SUMIFS(30:30,$8:$8,"&gt;="&amp;DATE(YEAR(CF$8),1,1),$8:$8,"&lt;="&amp;EOMONTH(CF$8,0))</f>
        <v/>
      </c>
      <c r="CG122" s="1318">
        <f>SUMIFS(66:66,$8:$8,"&gt;="&amp;DATE(YEAR(CG$8),1,1),$8:$8,"&lt;="&amp;EOMONTH(CG$8,0))/SUMIFS(30:30,$8:$8,"&gt;="&amp;DATE(YEAR(CG$8),1,1),$8:$8,"&lt;="&amp;EOMONTH(CG$8,0))</f>
        <v/>
      </c>
      <c r="CH122" s="1318">
        <f>SUMIFS(66:66,$8:$8,"&gt;="&amp;DATE(YEAR(CH$8),1,1),$8:$8,"&lt;="&amp;EOMONTH(CH$8,0))/SUMIFS(30:30,$8:$8,"&gt;="&amp;DATE(YEAR(CH$8),1,1),$8:$8,"&lt;="&amp;EOMONTH(CH$8,0))</f>
        <v/>
      </c>
      <c r="CI122" s="1318">
        <f>SUMIFS(66:66,$8:$8,"&gt;="&amp;DATE(YEAR(CI$8),1,1),$8:$8,"&lt;="&amp;EOMONTH(CI$8,0))/SUMIFS(30:30,$8:$8,"&gt;="&amp;DATE(YEAR(CI$8),1,1),$8:$8,"&lt;="&amp;EOMONTH(CI$8,0))</f>
        <v/>
      </c>
      <c r="CJ122" s="1318">
        <f>SUMIFS(66:66,$8:$8,"&gt;="&amp;DATE(YEAR(CJ$8),1,1),$8:$8,"&lt;="&amp;EOMONTH(CJ$8,0))/SUMIFS(30:30,$8:$8,"&gt;="&amp;DATE(YEAR(CJ$8),1,1),$8:$8,"&lt;="&amp;EOMONTH(CJ$8,0))</f>
        <v/>
      </c>
      <c r="CK122" s="1318">
        <f>SUMIFS(66:66,$8:$8,"&gt;="&amp;DATE(YEAR(CK$8),1,1),$8:$8,"&lt;="&amp;EOMONTH(CK$8,0))/SUMIFS(30:30,$8:$8,"&gt;="&amp;DATE(YEAR(CK$8),1,1),$8:$8,"&lt;="&amp;EOMONTH(CK$8,0))</f>
        <v/>
      </c>
      <c r="CL122" s="1318">
        <f>SUMIFS(66:66,$8:$8,"&gt;="&amp;DATE(YEAR(CL$8),1,1),$8:$8,"&lt;="&amp;EOMONTH(CL$8,0))/SUMIFS(30:30,$8:$8,"&gt;="&amp;DATE(YEAR(CL$8),1,1),$8:$8,"&lt;="&amp;EOMONTH(CL$8,0))</f>
        <v/>
      </c>
      <c r="CM122" s="1318">
        <f>SUMIFS(66:66,$8:$8,"&gt;="&amp;DATE(YEAR(CM$8),1,1),$8:$8,"&lt;="&amp;EOMONTH(CM$8,0))/SUMIFS(30:30,$8:$8,"&gt;="&amp;DATE(YEAR(CM$8),1,1),$8:$8,"&lt;="&amp;EOMONTH(CM$8,0))</f>
        <v/>
      </c>
      <c r="CN122" s="1318">
        <f>SUMIFS(66:66,$8:$8,"&gt;="&amp;DATE(YEAR(CN$8),1,1),$8:$8,"&lt;="&amp;EOMONTH(CN$8,0))/SUMIFS(30:30,$8:$8,"&gt;="&amp;DATE(YEAR(CN$8),1,1),$8:$8,"&lt;="&amp;EOMONTH(CN$8,0))</f>
        <v/>
      </c>
      <c r="CO122" s="1318">
        <f>SUMIFS(66:66,$8:$8,"&gt;="&amp;DATE(YEAR(CO$8),1,1),$8:$8,"&lt;="&amp;EOMONTH(CO$8,0))/SUMIFS(30:30,$8:$8,"&gt;="&amp;DATE(YEAR(CO$8),1,1),$8:$8,"&lt;="&amp;EOMONTH(CO$8,0))</f>
        <v/>
      </c>
      <c r="CP122" s="1318">
        <f>SUMIFS(66:66,$8:$8,"&gt;="&amp;DATE(YEAR(CP$8),1,1),$8:$8,"&lt;="&amp;EOMONTH(CP$8,0))/SUMIFS(30:30,$8:$8,"&gt;="&amp;DATE(YEAR(CP$8),1,1),$8:$8,"&lt;="&amp;EOMONTH(CP$8,0))</f>
        <v/>
      </c>
      <c r="CQ122" s="1318">
        <f>SUMIFS(66:66,$8:$8,"&gt;="&amp;DATE(YEAR(CQ$8),1,1),$8:$8,"&lt;="&amp;EOMONTH(CQ$8,0))/SUMIFS(30:30,$8:$8,"&gt;="&amp;DATE(YEAR(CQ$8),1,1),$8:$8,"&lt;="&amp;EOMONTH(CQ$8,0))</f>
        <v/>
      </c>
      <c r="CR122" s="1318">
        <f>SUMIFS(66:66,$8:$8,"&gt;="&amp;DATE(YEAR(CR$8),1,1),$8:$8,"&lt;="&amp;EOMONTH(CR$8,0))/SUMIFS(30:30,$8:$8,"&gt;="&amp;DATE(YEAR(CR$8),1,1),$8:$8,"&lt;="&amp;EOMONTH(CR$8,0))</f>
        <v/>
      </c>
      <c r="CS122" s="1318">
        <f>SUMIFS(66:66,$8:$8,"&gt;="&amp;DATE(YEAR(CS$8),1,1),$8:$8,"&lt;="&amp;EOMONTH(CS$8,0))/SUMIFS(30:30,$8:$8,"&gt;="&amp;DATE(YEAR(CS$8),1,1),$8:$8,"&lt;="&amp;EOMONTH(CS$8,0))</f>
        <v/>
      </c>
      <c r="CT122" s="1318">
        <f>SUMIFS(66:66,$8:$8,"&gt;="&amp;DATE(YEAR(CT$8),1,1),$8:$8,"&lt;="&amp;EOMONTH(CT$8,0))/SUMIFS(30:30,$8:$8,"&gt;="&amp;DATE(YEAR(CT$8),1,1),$8:$8,"&lt;="&amp;EOMONTH(CT$8,0))</f>
        <v/>
      </c>
      <c r="CU122" s="1318">
        <f>SUMIFS(66:66,$8:$8,"&gt;="&amp;DATE(YEAR(CU$8),1,1),$8:$8,"&lt;="&amp;EOMONTH(CU$8,0))/SUMIFS(30:30,$8:$8,"&gt;="&amp;DATE(YEAR(CU$8),1,1),$8:$8,"&lt;="&amp;EOMONTH(CU$8,0))</f>
        <v/>
      </c>
      <c r="CV122" s="1318">
        <f>SUMIFS(66:66,$8:$8,"&gt;="&amp;DATE(YEAR(CV$8),1,1),$8:$8,"&lt;="&amp;EOMONTH(CV$8,0))/SUMIFS(30:30,$8:$8,"&gt;="&amp;DATE(YEAR(CV$8),1,1),$8:$8,"&lt;="&amp;EOMONTH(CV$8,0))</f>
        <v/>
      </c>
      <c r="CW122" s="1318">
        <f>SUMIFS(66:66,$8:$8,"&gt;="&amp;DATE(YEAR(CW$8),1,1),$8:$8,"&lt;="&amp;EOMONTH(CW$8,0))/SUMIFS(30:30,$8:$8,"&gt;="&amp;DATE(YEAR(CW$8),1,1),$8:$8,"&lt;="&amp;EOMONTH(CW$8,0))</f>
        <v/>
      </c>
      <c r="CX122" s="1318">
        <f>SUMIFS(66:66,$8:$8,"&gt;="&amp;DATE(YEAR(CX$8),1,1),$8:$8,"&lt;="&amp;EOMONTH(CX$8,0))/SUMIFS(30:30,$8:$8,"&gt;="&amp;DATE(YEAR(CX$8),1,1),$8:$8,"&lt;="&amp;EOMONTH(CX$8,0))</f>
        <v/>
      </c>
      <c r="CY122" s="1318">
        <f>SUMIFS(66:66,$8:$8,"&gt;="&amp;DATE(YEAR(CY$8),1,1),$8:$8,"&lt;="&amp;EOMONTH(CY$8,0))/SUMIFS(30:30,$8:$8,"&gt;="&amp;DATE(YEAR(CY$8),1,1),$8:$8,"&lt;="&amp;EOMONTH(CY$8,0))</f>
        <v/>
      </c>
      <c r="CZ122" s="1318">
        <f>SUMIFS(66:66,$8:$8,"&gt;="&amp;DATE(YEAR(CZ$8),1,1),$8:$8,"&lt;="&amp;EOMONTH(CZ$8,0))/SUMIFS(30:30,$8:$8,"&gt;="&amp;DATE(YEAR(CZ$8),1,1),$8:$8,"&lt;="&amp;EOMONTH(CZ$8,0))</f>
        <v/>
      </c>
      <c r="DA122" s="1318">
        <f>SUMIFS(66:66,$8:$8,"&gt;="&amp;DATE(YEAR(DA$8),1,1),$8:$8,"&lt;="&amp;EOMONTH(DA$8,0))/SUMIFS(30:30,$8:$8,"&gt;="&amp;DATE(YEAR(DA$8),1,1),$8:$8,"&lt;="&amp;EOMONTH(DA$8,0))</f>
        <v/>
      </c>
      <c r="DB122" s="1318">
        <f>SUMIFS(66:66,$8:$8,"&gt;="&amp;DATE(YEAR(DB$8),1,1),$8:$8,"&lt;="&amp;EOMONTH(DB$8,0))/SUMIFS(30:30,$8:$8,"&gt;="&amp;DATE(YEAR(DB$8),1,1),$8:$8,"&lt;="&amp;EOMONTH(DB$8,0))</f>
        <v/>
      </c>
      <c r="DC122" s="1318">
        <f>SUMIFS(66:66,$8:$8,"&gt;="&amp;DATE(YEAR(DC$8),1,1),$8:$8,"&lt;="&amp;EOMONTH(DC$8,0))/SUMIFS(30:30,$8:$8,"&gt;="&amp;DATE(YEAR(DC$8),1,1),$8:$8,"&lt;="&amp;EOMONTH(DC$8,0))</f>
        <v/>
      </c>
      <c r="DD122" s="1318">
        <f>SUMIFS(66:66,$8:$8,"&gt;="&amp;DATE(YEAR(DD$8),1,1),$8:$8,"&lt;="&amp;EOMONTH(DD$8,0))/SUMIFS(30:30,$8:$8,"&gt;="&amp;DATE(YEAR(DD$8),1,1),$8:$8,"&lt;="&amp;EOMONTH(DD$8,0))</f>
        <v/>
      </c>
      <c r="DE122" s="1318">
        <f>SUMIFS(66:66,$8:$8,"&gt;="&amp;DATE(YEAR(DE$8),1,1),$8:$8,"&lt;="&amp;EOMONTH(DE$8,0))/SUMIFS(30:30,$8:$8,"&gt;="&amp;DATE(YEAR(DE$8),1,1),$8:$8,"&lt;="&amp;EOMONTH(DE$8,0))</f>
        <v/>
      </c>
      <c r="DF122" s="1318">
        <f>SUMIFS(66:66,$8:$8,"&gt;="&amp;DATE(YEAR(DF$8),1,1),$8:$8,"&lt;="&amp;EOMONTH(DF$8,0))/SUMIFS(30:30,$8:$8,"&gt;="&amp;DATE(YEAR(DF$8),1,1),$8:$8,"&lt;="&amp;EOMONTH(DF$8,0))</f>
        <v/>
      </c>
      <c r="DG122" s="1318">
        <f>SUMIFS(66:66,$8:$8,"&gt;="&amp;DATE(YEAR(DG$8),1,1),$8:$8,"&lt;="&amp;EOMONTH(DG$8,0))/SUMIFS(30:30,$8:$8,"&gt;="&amp;DATE(YEAR(DG$8),1,1),$8:$8,"&lt;="&amp;EOMONTH(DG$8,0))</f>
        <v/>
      </c>
      <c r="DH122" s="1318">
        <f>SUMIFS(66:66,$8:$8,"&gt;="&amp;DATE(YEAR(DH$8),1,1),$8:$8,"&lt;="&amp;EOMONTH(DH$8,0))/SUMIFS(30:30,$8:$8,"&gt;="&amp;DATE(YEAR(DH$8),1,1),$8:$8,"&lt;="&amp;EOMONTH(DH$8,0))</f>
        <v/>
      </c>
      <c r="DI122" s="1318">
        <f>SUMIFS(66:66,$8:$8,"&gt;="&amp;DATE(YEAR(DI$8),1,1),$8:$8,"&lt;="&amp;EOMONTH(DI$8,0))/SUMIFS(30:30,$8:$8,"&gt;="&amp;DATE(YEAR(DI$8),1,1),$8:$8,"&lt;="&amp;EOMONTH(DI$8,0))</f>
        <v/>
      </c>
      <c r="DJ122" s="1318">
        <f>SUMIFS(66:66,$8:$8,"&gt;="&amp;DATE(YEAR(DJ$8),1,1),$8:$8,"&lt;="&amp;EOMONTH(DJ$8,0))/SUMIFS(30:30,$8:$8,"&gt;="&amp;DATE(YEAR(DJ$8),1,1),$8:$8,"&lt;="&amp;EOMONTH(DJ$8,0))</f>
        <v/>
      </c>
      <c r="DK122" s="1318">
        <f>SUMIFS(66:66,$8:$8,"&gt;="&amp;DATE(YEAR(DK$8),1,1),$8:$8,"&lt;="&amp;EOMONTH(DK$8,0))/SUMIFS(30:30,$8:$8,"&gt;="&amp;DATE(YEAR(DK$8),1,1),$8:$8,"&lt;="&amp;EOMONTH(DK$8,0))</f>
        <v/>
      </c>
      <c r="DL122" s="1318">
        <f>SUMIFS(66:66,$8:$8,"&gt;="&amp;DATE(YEAR(DL$8),1,1),$8:$8,"&lt;="&amp;EOMONTH(DL$8,0))/SUMIFS(30:30,$8:$8,"&gt;="&amp;DATE(YEAR(DL$8),1,1),$8:$8,"&lt;="&amp;EOMONTH(DL$8,0))</f>
        <v/>
      </c>
      <c r="DM122" s="1318">
        <f>SUMIFS(66:66,$8:$8,"&gt;="&amp;DATE(YEAR(DM$8),1,1),$8:$8,"&lt;="&amp;EOMONTH(DM$8,0))/SUMIFS(30:30,$8:$8,"&gt;="&amp;DATE(YEAR(DM$8),1,1),$8:$8,"&lt;="&amp;EOMONTH(DM$8,0))</f>
        <v/>
      </c>
      <c r="DN122" s="1318">
        <f>SUMIFS(66:66,$8:$8,"&gt;="&amp;DATE(YEAR(DN$8),1,1),$8:$8,"&lt;="&amp;EOMONTH(DN$8,0))/SUMIFS(30:30,$8:$8,"&gt;="&amp;DATE(YEAR(DN$8),1,1),$8:$8,"&lt;="&amp;EOMONTH(DN$8,0))</f>
        <v/>
      </c>
      <c r="DO122" s="1318">
        <f>SUMIFS(66:66,$8:$8,"&gt;="&amp;DATE(YEAR(DO$8),1,1),$8:$8,"&lt;="&amp;EOMONTH(DO$8,0))/SUMIFS(30:30,$8:$8,"&gt;="&amp;DATE(YEAR(DO$8),1,1),$8:$8,"&lt;="&amp;EOMONTH(DO$8,0))</f>
        <v/>
      </c>
      <c r="DP122" s="1318">
        <f>SUMIFS(66:66,$8:$8,"&gt;="&amp;DATE(YEAR(DP$8),1,1),$8:$8,"&lt;="&amp;EOMONTH(DP$8,0))/SUMIFS(30:30,$8:$8,"&gt;="&amp;DATE(YEAR(DP$8),1,1),$8:$8,"&lt;="&amp;EOMONTH(DP$8,0))</f>
        <v/>
      </c>
      <c r="DQ122" s="1318">
        <f>SUMIFS(66:66,$8:$8,"&gt;="&amp;DATE(YEAR(DQ$8),1,1),$8:$8,"&lt;="&amp;EOMONTH(DQ$8,0))/SUMIFS(30:30,$8:$8,"&gt;="&amp;DATE(YEAR(DQ$8),1,1),$8:$8,"&lt;="&amp;EOMONTH(DQ$8,0))</f>
        <v/>
      </c>
      <c r="DR122" s="1318">
        <f>SUMIFS(66:66,$8:$8,"&gt;="&amp;DATE(YEAR(DR$8),1,1),$8:$8,"&lt;="&amp;EOMONTH(DR$8,0))/SUMIFS(30:30,$8:$8,"&gt;="&amp;DATE(YEAR(DR$8),1,1),$8:$8,"&lt;="&amp;EOMONTH(DR$8,0))</f>
        <v/>
      </c>
      <c r="DS122" s="1318">
        <f>SUMIFS(66:66,$8:$8,"&gt;="&amp;DATE(YEAR(DS$8),1,1),$8:$8,"&lt;="&amp;EOMONTH(DS$8,0))/SUMIFS(30:30,$8:$8,"&gt;="&amp;DATE(YEAR(DS$8),1,1),$8:$8,"&lt;="&amp;EOMONTH(DS$8,0))</f>
        <v/>
      </c>
      <c r="DT122" s="1318">
        <f>SUMIFS(66:66,$8:$8,"&gt;="&amp;DATE(YEAR(DT$8),1,1),$8:$8,"&lt;="&amp;EOMONTH(DT$8,0))/SUMIFS(30:30,$8:$8,"&gt;="&amp;DATE(YEAR(DT$8),1,1),$8:$8,"&lt;="&amp;EOMONTH(DT$8,0))</f>
        <v/>
      </c>
      <c r="DU122" s="1318">
        <f>SUMIFS(66:66,$8:$8,"&gt;="&amp;DATE(YEAR(DU$8),1,1),$8:$8,"&lt;="&amp;EOMONTH(DU$8,0))/SUMIFS(30:30,$8:$8,"&gt;="&amp;DATE(YEAR(DU$8),1,1),$8:$8,"&lt;="&amp;EOMONTH(DU$8,0))</f>
        <v/>
      </c>
      <c r="DV122" s="1318">
        <f>SUMIFS(66:66,$8:$8,"&gt;="&amp;DATE(YEAR(DV$8),1,1),$8:$8,"&lt;="&amp;EOMONTH(DV$8,0))/SUMIFS(30:30,$8:$8,"&gt;="&amp;DATE(YEAR(DV$8),1,1),$8:$8,"&lt;="&amp;EOMONTH(DV$8,0))</f>
        <v/>
      </c>
      <c r="DW122" s="1318">
        <f>SUMIFS(66:66,$8:$8,"&gt;="&amp;DATE(YEAR(DW$8),1,1),$8:$8,"&lt;="&amp;EOMONTH(DW$8,0))/SUMIFS(30:30,$8:$8,"&gt;="&amp;DATE(YEAR(DW$8),1,1),$8:$8,"&lt;="&amp;EOMONTH(DW$8,0))</f>
        <v/>
      </c>
      <c r="DX122" s="1318">
        <f>SUMIFS(66:66,$8:$8,"&gt;="&amp;DATE(YEAR(DX$8),1,1),$8:$8,"&lt;="&amp;EOMONTH(DX$8,0))/SUMIFS(30:30,$8:$8,"&gt;="&amp;DATE(YEAR(DX$8),1,1),$8:$8,"&lt;="&amp;EOMONTH(DX$8,0))</f>
        <v/>
      </c>
      <c r="DY122" s="1318">
        <f>SUMIFS(66:66,$8:$8,"&gt;="&amp;DATE(YEAR(DY$8),1,1),$8:$8,"&lt;="&amp;EOMONTH(DY$8,0))/SUMIFS(30:30,$8:$8,"&gt;="&amp;DATE(YEAR(DY$8),1,1),$8:$8,"&lt;="&amp;EOMONTH(DY$8,0))</f>
        <v/>
      </c>
      <c r="DZ122" s="1318">
        <f>SUMIFS(66:66,$8:$8,"&gt;="&amp;DATE(YEAR(DZ$8),1,1),$8:$8,"&lt;="&amp;EOMONTH(DZ$8,0))/SUMIFS(30:30,$8:$8,"&gt;="&amp;DATE(YEAR(DZ$8),1,1),$8:$8,"&lt;="&amp;EOMONTH(DZ$8,0))</f>
        <v/>
      </c>
      <c r="EA122" s="1318">
        <f>SUMIFS(66:66,$8:$8,"&gt;="&amp;DATE(YEAR(EA$8),1,1),$8:$8,"&lt;="&amp;EOMONTH(EA$8,0))/SUMIFS(30:30,$8:$8,"&gt;="&amp;DATE(YEAR(EA$8),1,1),$8:$8,"&lt;="&amp;EOMONTH(EA$8,0))</f>
        <v/>
      </c>
      <c r="EB122" s="1318">
        <f>SUMIFS(66:66,$8:$8,"&gt;="&amp;DATE(YEAR(EB$8),1,1),$8:$8,"&lt;="&amp;EOMONTH(EB$8,0))/SUMIFS(30:30,$8:$8,"&gt;="&amp;DATE(YEAR(EB$8),1,1),$8:$8,"&lt;="&amp;EOMONTH(EB$8,0))</f>
        <v/>
      </c>
      <c r="EC122" s="1318">
        <f>SUMIFS(66:66,$8:$8,"&gt;="&amp;DATE(YEAR(EC$8),1,1),$8:$8,"&lt;="&amp;EOMONTH(EC$8,0))/SUMIFS(30:30,$8:$8,"&gt;="&amp;DATE(YEAR(EC$8),1,1),$8:$8,"&lt;="&amp;EOMONTH(EC$8,0))</f>
        <v/>
      </c>
      <c r="ED122" s="1318">
        <f>SUMIFS(66:66,$8:$8,"&gt;="&amp;DATE(YEAR(ED$8),1,1),$8:$8,"&lt;="&amp;EOMONTH(ED$8,0))/SUMIFS(30:30,$8:$8,"&gt;="&amp;DATE(YEAR(ED$8),1,1),$8:$8,"&lt;="&amp;EOMONTH(ED$8,0))</f>
        <v/>
      </c>
      <c r="EE122" s="1318">
        <f>SUMIFS(66:66,$8:$8,"&gt;="&amp;DATE(YEAR(EE$8),1,1),$8:$8,"&lt;="&amp;EOMONTH(EE$8,0))/SUMIFS(30:30,$8:$8,"&gt;="&amp;DATE(YEAR(EE$8),1,1),$8:$8,"&lt;="&amp;EOMONTH(EE$8,0))</f>
        <v/>
      </c>
      <c r="EF122" s="1318">
        <f>SUMIFS(66:66,$8:$8,"&gt;="&amp;DATE(YEAR(EF$8),1,1),$8:$8,"&lt;="&amp;EOMONTH(EF$8,0))/SUMIFS(30:30,$8:$8,"&gt;="&amp;DATE(YEAR(EF$8),1,1),$8:$8,"&lt;="&amp;EOMONTH(EF$8,0))</f>
        <v/>
      </c>
      <c r="EG122" s="1318">
        <f>SUMIFS(66:66,$8:$8,"&gt;="&amp;DATE(YEAR(EG$8),1,1),$8:$8,"&lt;="&amp;EOMONTH(EG$8,0))/SUMIFS(30:30,$8:$8,"&gt;="&amp;DATE(YEAR(EG$8),1,1),$8:$8,"&lt;="&amp;EOMONTH(EG$8,0))</f>
        <v/>
      </c>
      <c r="EH122" s="1318">
        <f>SUMIFS(66:66,$8:$8,"&gt;="&amp;DATE(YEAR(EH$8),1,1),$8:$8,"&lt;="&amp;EOMONTH(EH$8,0))/SUMIFS(30:30,$8:$8,"&gt;="&amp;DATE(YEAR(EH$8),1,1),$8:$8,"&lt;="&amp;EOMONTH(EH$8,0))</f>
        <v/>
      </c>
      <c r="EI122" s="1318">
        <f>SUMIFS(66:66,$8:$8,"&gt;="&amp;DATE(YEAR(EI$8),1,1),$8:$8,"&lt;="&amp;EOMONTH(EI$8,0))/SUMIFS(30:30,$8:$8,"&gt;="&amp;DATE(YEAR(EI$8),1,1),$8:$8,"&lt;="&amp;EOMONTH(EI$8,0))</f>
        <v/>
      </c>
      <c r="EJ122" s="1318">
        <f>SUMIFS(66:66,$8:$8,"&gt;="&amp;DATE(YEAR(EJ$8),1,1),$8:$8,"&lt;="&amp;EOMONTH(EJ$8,0))/SUMIFS(30:30,$8:$8,"&gt;="&amp;DATE(YEAR(EJ$8),1,1),$8:$8,"&lt;="&amp;EOMONTH(EJ$8,0))</f>
        <v/>
      </c>
      <c r="EK122" s="1318">
        <f>SUMIFS(66:66,$8:$8,"&gt;="&amp;DATE(YEAR(EK$8),1,1),$8:$8,"&lt;="&amp;EOMONTH(EK$8,0))/SUMIFS(30:30,$8:$8,"&gt;="&amp;DATE(YEAR(EK$8),1,1),$8:$8,"&lt;="&amp;EOMONTH(EK$8,0))</f>
        <v/>
      </c>
      <c r="EL122" s="1318">
        <f>SUMIFS(66:66,$8:$8,"&gt;="&amp;DATE(YEAR(EL$8),1,1),$8:$8,"&lt;="&amp;EOMONTH(EL$8,0))/SUMIFS(30:30,$8:$8,"&gt;="&amp;DATE(YEAR(EL$8),1,1),$8:$8,"&lt;="&amp;EOMONTH(EL$8,0))</f>
        <v/>
      </c>
      <c r="EM122" s="1318">
        <f>SUMIFS(66:66,$8:$8,"&gt;="&amp;DATE(YEAR(EM$8),1,1),$8:$8,"&lt;="&amp;EOMONTH(EM$8,0))/SUMIFS(30:30,$8:$8,"&gt;="&amp;DATE(YEAR(EM$8),1,1),$8:$8,"&lt;="&amp;EOMONTH(EM$8,0))</f>
        <v/>
      </c>
      <c r="EN122" s="1318">
        <f>SUMIFS(66:66,$8:$8,"&gt;="&amp;DATE(YEAR(EN$8),1,1),$8:$8,"&lt;="&amp;EOMONTH(EN$8,0))/SUMIFS(30:30,$8:$8,"&gt;="&amp;DATE(YEAR(EN$8),1,1),$8:$8,"&lt;="&amp;EOMONTH(EN$8,0))</f>
        <v/>
      </c>
      <c r="EO122" s="1318">
        <f>SUMIFS(66:66,$8:$8,"&gt;="&amp;DATE(YEAR(EO$8),1,1),$8:$8,"&lt;="&amp;EOMONTH(EO$8,0))/SUMIFS(30:30,$8:$8,"&gt;="&amp;DATE(YEAR(EO$8),1,1),$8:$8,"&lt;="&amp;EOMONTH(EO$8,0))</f>
        <v/>
      </c>
      <c r="EP122" s="1318">
        <f>SUMIFS(66:66,$8:$8,"&gt;="&amp;DATE(YEAR(EP$8),1,1),$8:$8,"&lt;="&amp;EOMONTH(EP$8,0))/SUMIFS(30:30,$8:$8,"&gt;="&amp;DATE(YEAR(EP$8),1,1),$8:$8,"&lt;="&amp;EOMONTH(EP$8,0))</f>
        <v/>
      </c>
      <c r="EQ122" s="1318">
        <f>SUMIFS(66:66,$8:$8,"&gt;="&amp;DATE(YEAR(EQ$8),1,1),$8:$8,"&lt;="&amp;EOMONTH(EQ$8,0))/SUMIFS(30:30,$8:$8,"&gt;="&amp;DATE(YEAR(EQ$8),1,1),$8:$8,"&lt;="&amp;EOMONTH(EQ$8,0))</f>
        <v/>
      </c>
      <c r="ER122" s="1318">
        <f>SUMIFS(66:66,$8:$8,"&gt;="&amp;DATE(YEAR(ER$8),1,1),$8:$8,"&lt;="&amp;EOMONTH(ER$8,0))/SUMIFS(30:30,$8:$8,"&gt;="&amp;DATE(YEAR(ER$8),1,1),$8:$8,"&lt;="&amp;EOMONTH(ER$8,0))</f>
        <v/>
      </c>
      <c r="ES122" s="1318">
        <f>SUMIFS(66:66,$8:$8,"&gt;="&amp;DATE(YEAR(ES$8),1,1),$8:$8,"&lt;="&amp;EOMONTH(ES$8,0))/SUMIFS(30:30,$8:$8,"&gt;="&amp;DATE(YEAR(ES$8),1,1),$8:$8,"&lt;="&amp;EOMONTH(ES$8,0))</f>
        <v/>
      </c>
      <c r="ET122" s="1318">
        <f>SUMIFS(66:66,$8:$8,"&gt;="&amp;DATE(YEAR(ET$8),1,1),$8:$8,"&lt;="&amp;EOMONTH(ET$8,0))/SUMIFS(30:30,$8:$8,"&gt;="&amp;DATE(YEAR(ET$8),1,1),$8:$8,"&lt;="&amp;EOMONTH(ET$8,0))</f>
        <v/>
      </c>
      <c r="EU122" s="1318">
        <f>SUMIFS(66:66,$8:$8,"&gt;="&amp;DATE(YEAR(EU$8),1,1),$8:$8,"&lt;="&amp;EOMONTH(EU$8,0))/SUMIFS(30:30,$8:$8,"&gt;="&amp;DATE(YEAR(EU$8),1,1),$8:$8,"&lt;="&amp;EOMONTH(EU$8,0))</f>
        <v/>
      </c>
      <c r="EV122" s="1318">
        <f>SUMIFS(66:66,$8:$8,"&gt;="&amp;DATE(YEAR(EV$8),1,1),$8:$8,"&lt;="&amp;EOMONTH(EV$8,0))/SUMIFS(30:30,$8:$8,"&gt;="&amp;DATE(YEAR(EV$8),1,1),$8:$8,"&lt;="&amp;EOMONTH(EV$8,0))</f>
        <v/>
      </c>
      <c r="EW122" s="1318">
        <f>SUMIFS(66:66,$8:$8,"&gt;="&amp;DATE(YEAR(EW$8),1,1),$8:$8,"&lt;="&amp;EOMONTH(EW$8,0))/SUMIFS(30:30,$8:$8,"&gt;="&amp;DATE(YEAR(EW$8),1,1),$8:$8,"&lt;="&amp;EOMONTH(EW$8,0))</f>
        <v/>
      </c>
      <c r="EX122" s="1318">
        <f>SUMIFS(66:66,$8:$8,"&gt;="&amp;DATE(YEAR(EX$8),1,1),$8:$8,"&lt;="&amp;EOMONTH(EX$8,0))/SUMIFS(30:30,$8:$8,"&gt;="&amp;DATE(YEAR(EX$8),1,1),$8:$8,"&lt;="&amp;EOMONTH(EX$8,0))</f>
        <v/>
      </c>
      <c r="EY122" s="1318">
        <f>SUMIFS(66:66,$8:$8,"&gt;="&amp;DATE(YEAR(EY$8),1,1),$8:$8,"&lt;="&amp;EOMONTH(EY$8,0))/SUMIFS(30:30,$8:$8,"&gt;="&amp;DATE(YEAR(EY$8),1,1),$8:$8,"&lt;="&amp;EOMONTH(EY$8,0))</f>
        <v/>
      </c>
      <c r="EZ122" s="1318">
        <f>SUMIFS(66:66,$8:$8,"&gt;="&amp;DATE(YEAR(EZ$8),1,1),$8:$8,"&lt;="&amp;EOMONTH(EZ$8,0))/SUMIFS(30:30,$8:$8,"&gt;="&amp;DATE(YEAR(EZ$8),1,1),$8:$8,"&lt;="&amp;EOMONTH(EZ$8,0))</f>
        <v/>
      </c>
      <c r="FA122" s="1318">
        <f>SUMIFS(66:66,$8:$8,"&gt;="&amp;DATE(YEAR(FA$8),1,1),$8:$8,"&lt;="&amp;EOMONTH(FA$8,0))/SUMIFS(30:30,$8:$8,"&gt;="&amp;DATE(YEAR(FA$8),1,1),$8:$8,"&lt;="&amp;EOMONTH(FA$8,0))</f>
        <v/>
      </c>
      <c r="FB122" s="1318">
        <f>SUMIFS(66:66,$8:$8,"&gt;="&amp;DATE(YEAR(FB$8),1,1),$8:$8,"&lt;="&amp;EOMONTH(FB$8,0))/SUMIFS(30:30,$8:$8,"&gt;="&amp;DATE(YEAR(FB$8),1,1),$8:$8,"&lt;="&amp;EOMONTH(FB$8,0))</f>
        <v/>
      </c>
      <c r="FC122" s="1318">
        <f>SUMIFS(66:66,$8:$8,"&gt;="&amp;DATE(YEAR(FC$8),1,1),$8:$8,"&lt;="&amp;EOMONTH(FC$8,0))/SUMIFS(30:30,$8:$8,"&gt;="&amp;DATE(YEAR(FC$8),1,1),$8:$8,"&lt;="&amp;EOMONTH(FC$8,0))</f>
        <v/>
      </c>
      <c r="FD122" s="1318">
        <f>SUMIFS(66:66,$8:$8,"&gt;="&amp;DATE(YEAR(FD$8),1,1),$8:$8,"&lt;="&amp;EOMONTH(FD$8,0))/SUMIFS(30:30,$8:$8,"&gt;="&amp;DATE(YEAR(FD$8),1,1),$8:$8,"&lt;="&amp;EOMONTH(FD$8,0))</f>
        <v/>
      </c>
      <c r="FE122" s="1318">
        <f>SUMIFS(66:66,$8:$8,"&gt;="&amp;DATE(YEAR(FE$8),1,1),$8:$8,"&lt;="&amp;EOMONTH(FE$8,0))/SUMIFS(30:30,$8:$8,"&gt;="&amp;DATE(YEAR(FE$8),1,1),$8:$8,"&lt;="&amp;EOMONTH(FE$8,0))</f>
        <v/>
      </c>
      <c r="FF122" s="1318">
        <f>SUMIFS(66:66,$8:$8,"&gt;="&amp;DATE(YEAR(FF$8),1,1),$8:$8,"&lt;="&amp;EOMONTH(FF$8,0))/SUMIFS(30:30,$8:$8,"&gt;="&amp;DATE(YEAR(FF$8),1,1),$8:$8,"&lt;="&amp;EOMONTH(FF$8,0))</f>
        <v/>
      </c>
      <c r="FG122" s="1318">
        <f>SUMIFS(66:66,$8:$8,"&gt;="&amp;DATE(YEAR(FG$8),1,1),$8:$8,"&lt;="&amp;EOMONTH(FG$8,0))/SUMIFS(30:30,$8:$8,"&gt;="&amp;DATE(YEAR(FG$8),1,1),$8:$8,"&lt;="&amp;EOMONTH(FG$8,0))</f>
        <v/>
      </c>
      <c r="FH122" s="1318">
        <f>SUMIFS(66:66,$8:$8,"&gt;="&amp;DATE(YEAR(FH$8),1,1),$8:$8,"&lt;="&amp;EOMONTH(FH$8,0))/SUMIFS(30:30,$8:$8,"&gt;="&amp;DATE(YEAR(FH$8),1,1),$8:$8,"&lt;="&amp;EOMONTH(FH$8,0))</f>
        <v/>
      </c>
      <c r="FI122" s="1318">
        <f>SUMIFS(66:66,$8:$8,"&gt;="&amp;DATE(YEAR(FI$8),1,1),$8:$8,"&lt;="&amp;EOMONTH(FI$8,0))/SUMIFS(30:30,$8:$8,"&gt;="&amp;DATE(YEAR(FI$8),1,1),$8:$8,"&lt;="&amp;EOMONTH(FI$8,0))</f>
        <v/>
      </c>
      <c r="FJ122" s="1318">
        <f>SUMIFS(66:66,$8:$8,"&gt;="&amp;DATE(YEAR(FJ$8),1,1),$8:$8,"&lt;="&amp;EOMONTH(FJ$8,0))/SUMIFS(30:30,$8:$8,"&gt;="&amp;DATE(YEAR(FJ$8),1,1),$8:$8,"&lt;="&amp;EOMONTH(FJ$8,0))</f>
        <v/>
      </c>
      <c r="FK122" s="1318">
        <f>SUMIFS(66:66,$8:$8,"&gt;="&amp;DATE(YEAR(FK$8),1,1),$8:$8,"&lt;="&amp;EOMONTH(FK$8,0))/SUMIFS(30:30,$8:$8,"&gt;="&amp;DATE(YEAR(FK$8),1,1),$8:$8,"&lt;="&amp;EOMONTH(FK$8,0))</f>
        <v/>
      </c>
      <c r="FL122" s="1318">
        <f>SUMIFS(66:66,$8:$8,"&gt;="&amp;DATE(YEAR(FL$8),1,1),$8:$8,"&lt;="&amp;EOMONTH(FL$8,0))/SUMIFS(30:30,$8:$8,"&gt;="&amp;DATE(YEAR(FL$8),1,1),$8:$8,"&lt;="&amp;EOMONTH(FL$8,0))</f>
        <v/>
      </c>
      <c r="FM122" s="1318">
        <f>SUMIFS(66:66,$8:$8,"&gt;="&amp;DATE(YEAR(FM$8),1,1),$8:$8,"&lt;="&amp;EOMONTH(FM$8,0))/SUMIFS(30:30,$8:$8,"&gt;="&amp;DATE(YEAR(FM$8),1,1),$8:$8,"&lt;="&amp;EOMONTH(FM$8,0))</f>
        <v/>
      </c>
      <c r="FN122" s="1318">
        <f>SUMIFS(66:66,$8:$8,"&gt;="&amp;DATE(YEAR(FN$8),1,1),$8:$8,"&lt;="&amp;EOMONTH(FN$8,0))/SUMIFS(30:30,$8:$8,"&gt;="&amp;DATE(YEAR(FN$8),1,1),$8:$8,"&lt;="&amp;EOMONTH(FN$8,0))</f>
        <v/>
      </c>
      <c r="FO122" s="1318">
        <f>SUMIFS(66:66,$8:$8,"&gt;="&amp;DATE(YEAR(FO$8),1,1),$8:$8,"&lt;="&amp;EOMONTH(FO$8,0))/SUMIFS(30:30,$8:$8,"&gt;="&amp;DATE(YEAR(FO$8),1,1),$8:$8,"&lt;="&amp;EOMONTH(FO$8,0))</f>
        <v/>
      </c>
      <c r="FP122" s="1318">
        <f>SUMIFS(66:66,$8:$8,"&gt;="&amp;DATE(YEAR(FP$8),1,1),$8:$8,"&lt;="&amp;EOMONTH(FP$8,0))/SUMIFS(30:30,$8:$8,"&gt;="&amp;DATE(YEAR(FP$8),1,1),$8:$8,"&lt;="&amp;EOMONTH(FP$8,0))</f>
        <v/>
      </c>
      <c r="FQ122" s="1318">
        <f>SUMIFS(66:66,$8:$8,"&gt;="&amp;DATE(YEAR(FQ$8),1,1),$8:$8,"&lt;="&amp;EOMONTH(FQ$8,0))/SUMIFS(30:30,$8:$8,"&gt;="&amp;DATE(YEAR(FQ$8),1,1),$8:$8,"&lt;="&amp;EOMONTH(FQ$8,0))</f>
        <v/>
      </c>
      <c r="FR122" s="1318">
        <f>SUMIFS(66:66,$8:$8,"&gt;="&amp;DATE(YEAR(FR$8),1,1),$8:$8,"&lt;="&amp;EOMONTH(FR$8,0))/SUMIFS(30:30,$8:$8,"&gt;="&amp;DATE(YEAR(FR$8),1,1),$8:$8,"&lt;="&amp;EOMONTH(FR$8,0))</f>
        <v/>
      </c>
      <c r="FS122" s="1318">
        <f>SUMIFS(66:66,$8:$8,"&gt;="&amp;DATE(YEAR(FS$8),1,1),$8:$8,"&lt;="&amp;EOMONTH(FS$8,0))/SUMIFS(30:30,$8:$8,"&gt;="&amp;DATE(YEAR(FS$8),1,1),$8:$8,"&lt;="&amp;EOMONTH(FS$8,0))</f>
        <v/>
      </c>
      <c r="FT122" s="1318">
        <f>SUMIFS(66:66,$8:$8,"&gt;="&amp;DATE(YEAR(FT$8),1,1),$8:$8,"&lt;="&amp;EOMONTH(FT$8,0))/SUMIFS(30:30,$8:$8,"&gt;="&amp;DATE(YEAR(FT$8),1,1),$8:$8,"&lt;="&amp;EOMONTH(FT$8,0))</f>
        <v/>
      </c>
      <c r="FU122" s="1318">
        <f>SUMIFS(66:66,$8:$8,"&gt;="&amp;DATE(YEAR(FU$8),1,1),$8:$8,"&lt;="&amp;EOMONTH(FU$8,0))/SUMIFS(30:30,$8:$8,"&gt;="&amp;DATE(YEAR(FU$8),1,1),$8:$8,"&lt;="&amp;EOMONTH(FU$8,0))</f>
        <v/>
      </c>
      <c r="FV122" s="1318">
        <f>SUMIFS(66:66,$8:$8,"&gt;="&amp;DATE(YEAR(FV$8),1,1),$8:$8,"&lt;="&amp;EOMONTH(FV$8,0))/SUMIFS(30:30,$8:$8,"&gt;="&amp;DATE(YEAR(FV$8),1,1),$8:$8,"&lt;="&amp;EOMONTH(FV$8,0))</f>
        <v/>
      </c>
      <c r="FW122" s="1318">
        <f>SUMIFS(66:66,$8:$8,"&gt;="&amp;DATE(YEAR(FW$8),1,1),$8:$8,"&lt;="&amp;EOMONTH(FW$8,0))/SUMIFS(30:30,$8:$8,"&gt;="&amp;DATE(YEAR(FW$8),1,1),$8:$8,"&lt;="&amp;EOMONTH(FW$8,0))</f>
        <v/>
      </c>
      <c r="FX122" s="1318">
        <f>SUMIFS(66:66,$8:$8,"&gt;="&amp;DATE(YEAR(FX$8),1,1),$8:$8,"&lt;="&amp;EOMONTH(FX$8,0))/SUMIFS(30:30,$8:$8,"&gt;="&amp;DATE(YEAR(FX$8),1,1),$8:$8,"&lt;="&amp;EOMONTH(FX$8,0))</f>
        <v/>
      </c>
      <c r="FY122" s="1318">
        <f>SUMIFS(66:66,$8:$8,"&gt;="&amp;DATE(YEAR(FY$8),1,1),$8:$8,"&lt;="&amp;EOMONTH(FY$8,0))/SUMIFS(30:30,$8:$8,"&gt;="&amp;DATE(YEAR(FY$8),1,1),$8:$8,"&lt;="&amp;EOMONTH(FY$8,0))</f>
        <v/>
      </c>
      <c r="FZ122" s="1318">
        <f>SUMIFS(66:66,$8:$8,"&gt;="&amp;DATE(YEAR(FZ$8),1,1),$8:$8,"&lt;="&amp;EOMONTH(FZ$8,0))/SUMIFS(30:30,$8:$8,"&gt;="&amp;DATE(YEAR(FZ$8),1,1),$8:$8,"&lt;="&amp;EOMONTH(FZ$8,0))</f>
        <v/>
      </c>
      <c r="GA122" s="1318">
        <f>SUMIFS(66:66,$8:$8,"&gt;="&amp;DATE(YEAR(GA$8),1,1),$8:$8,"&lt;="&amp;EOMONTH(GA$8,0))/SUMIFS(30:30,$8:$8,"&gt;="&amp;DATE(YEAR(GA$8),1,1),$8:$8,"&lt;="&amp;EOMONTH(GA$8,0))</f>
        <v/>
      </c>
      <c r="GB122" s="1318">
        <f>SUMIFS(66:66,$8:$8,"&gt;="&amp;DATE(YEAR(GB$8),1,1),$8:$8,"&lt;="&amp;EOMONTH(GB$8,0))/SUMIFS(30:30,$8:$8,"&gt;="&amp;DATE(YEAR(GB$8),1,1),$8:$8,"&lt;="&amp;EOMONTH(GB$8,0))</f>
        <v/>
      </c>
      <c r="GC122" s="1318">
        <f>SUMIFS(66:66,$8:$8,"&gt;="&amp;DATE(YEAR(GC$8),1,1),$8:$8,"&lt;="&amp;EOMONTH(GC$8,0))/SUMIFS(30:30,$8:$8,"&gt;="&amp;DATE(YEAR(GC$8),1,1),$8:$8,"&lt;="&amp;EOMONTH(GC$8,0))</f>
        <v/>
      </c>
      <c r="GD122" s="1318">
        <f>SUMIFS(66:66,$8:$8,"&gt;="&amp;DATE(YEAR(GD$8),1,1),$8:$8,"&lt;="&amp;EOMONTH(GD$8,0))/SUMIFS(30:30,$8:$8,"&gt;="&amp;DATE(YEAR(GD$8),1,1),$8:$8,"&lt;="&amp;EOMONTH(GD$8,0))</f>
        <v/>
      </c>
      <c r="GE122" s="1318">
        <f>SUMIFS(66:66,$8:$8,"&gt;="&amp;DATE(YEAR(GE$8),1,1),$8:$8,"&lt;="&amp;EOMONTH(GE$8,0))/SUMIFS(30:30,$8:$8,"&gt;="&amp;DATE(YEAR(GE$8),1,1),$8:$8,"&lt;="&amp;EOMONTH(GE$8,0))</f>
        <v/>
      </c>
      <c r="GF122" s="1318">
        <f>SUMIFS(66:66,$8:$8,"&gt;="&amp;DATE(YEAR(GF$8),1,1),$8:$8,"&lt;="&amp;EOMONTH(GF$8,0))/SUMIFS(30:30,$8:$8,"&gt;="&amp;DATE(YEAR(GF$8),1,1),$8:$8,"&lt;="&amp;EOMONTH(GF$8,0))</f>
        <v/>
      </c>
      <c r="GG122" s="1318">
        <f>SUMIFS(66:66,$8:$8,"&gt;="&amp;DATE(YEAR(GG$8),1,1),$8:$8,"&lt;="&amp;EOMONTH(GG$8,0))/SUMIFS(30:30,$8:$8,"&gt;="&amp;DATE(YEAR(GG$8),1,1),$8:$8,"&lt;="&amp;EOMONTH(GG$8,0))</f>
        <v/>
      </c>
      <c r="GH122" s="1318">
        <f>SUMIFS(66:66,$8:$8,"&gt;="&amp;DATE(YEAR(GH$8),1,1),$8:$8,"&lt;="&amp;EOMONTH(GH$8,0))/SUMIFS(30:30,$8:$8,"&gt;="&amp;DATE(YEAR(GH$8),1,1),$8:$8,"&lt;="&amp;EOMONTH(GH$8,0))</f>
        <v/>
      </c>
      <c r="GI122" s="1318">
        <f>SUMIFS(66:66,$8:$8,"&gt;="&amp;DATE(YEAR(GI$8),1,1),$8:$8,"&lt;="&amp;EOMONTH(GI$8,0))/SUMIFS(30:30,$8:$8,"&gt;="&amp;DATE(YEAR(GI$8),1,1),$8:$8,"&lt;="&amp;EOMONTH(GI$8,0))</f>
        <v/>
      </c>
      <c r="GJ122" s="1318">
        <f>SUMIFS(66:66,$8:$8,"&gt;="&amp;DATE(YEAR(GJ$8),1,1),$8:$8,"&lt;="&amp;EOMONTH(GJ$8,0))/SUMIFS(30:30,$8:$8,"&gt;="&amp;DATE(YEAR(GJ$8),1,1),$8:$8,"&lt;="&amp;EOMONTH(GJ$8,0))</f>
        <v/>
      </c>
      <c r="GK122" s="1318">
        <f>SUMIFS(66:66,$8:$8,"&gt;="&amp;DATE(YEAR(GK$8),1,1),$8:$8,"&lt;="&amp;EOMONTH(GK$8,0))/SUMIFS(30:30,$8:$8,"&gt;="&amp;DATE(YEAR(GK$8),1,1),$8:$8,"&lt;="&amp;EOMONTH(GK$8,0))</f>
        <v/>
      </c>
      <c r="GL122" s="1318">
        <f>SUMIFS(66:66,$8:$8,"&gt;="&amp;DATE(YEAR(GL$8),1,1),$8:$8,"&lt;="&amp;EOMONTH(GL$8,0))/SUMIFS(30:30,$8:$8,"&gt;="&amp;DATE(YEAR(GL$8),1,1),$8:$8,"&lt;="&amp;EOMONTH(GL$8,0))</f>
        <v/>
      </c>
      <c r="GM122" s="1318">
        <f>SUMIFS(66:66,$8:$8,"&gt;="&amp;DATE(YEAR(GM$8),1,1),$8:$8,"&lt;="&amp;EOMONTH(GM$8,0))/SUMIFS(30:30,$8:$8,"&gt;="&amp;DATE(YEAR(GM$8),1,1),$8:$8,"&lt;="&amp;EOMONTH(GM$8,0))</f>
        <v/>
      </c>
      <c r="GN122" s="1318">
        <f>SUMIFS(66:66,$8:$8,"&gt;="&amp;DATE(YEAR(GN$8),1,1),$8:$8,"&lt;="&amp;EOMONTH(GN$8,0))/SUMIFS(30:30,$8:$8,"&gt;="&amp;DATE(YEAR(GN$8),1,1),$8:$8,"&lt;="&amp;EOMONTH(GN$8,0))</f>
        <v/>
      </c>
      <c r="GO122" s="1318">
        <f>SUMIFS(66:66,$8:$8,"&gt;="&amp;DATE(YEAR(GO$8),1,1),$8:$8,"&lt;="&amp;EOMONTH(GO$8,0))/SUMIFS(30:30,$8:$8,"&gt;="&amp;DATE(YEAR(GO$8),1,1),$8:$8,"&lt;="&amp;EOMONTH(GO$8,0))</f>
        <v/>
      </c>
      <c r="GP122" s="1318">
        <f>SUMIFS(66:66,$8:$8,"&gt;="&amp;DATE(YEAR(GP$8),1,1),$8:$8,"&lt;="&amp;EOMONTH(GP$8,0))/SUMIFS(30:30,$8:$8,"&gt;="&amp;DATE(YEAR(GP$8),1,1),$8:$8,"&lt;="&amp;EOMONTH(GP$8,0))</f>
        <v/>
      </c>
      <c r="GQ122" s="1318">
        <f>SUMIFS(66:66,$8:$8,"&gt;="&amp;DATE(YEAR(GQ$8),1,1),$8:$8,"&lt;="&amp;EOMONTH(GQ$8,0))/SUMIFS(30:30,$8:$8,"&gt;="&amp;DATE(YEAR(GQ$8),1,1),$8:$8,"&lt;="&amp;EOMONTH(GQ$8,0))</f>
        <v/>
      </c>
      <c r="GR122" s="1318">
        <f>SUMIFS(66:66,$8:$8,"&gt;="&amp;DATE(YEAR(GR$8),1,1),$8:$8,"&lt;="&amp;EOMONTH(GR$8,0))/SUMIFS(30:30,$8:$8,"&gt;="&amp;DATE(YEAR(GR$8),1,1),$8:$8,"&lt;="&amp;EOMONTH(GR$8,0))</f>
        <v/>
      </c>
      <c r="GS122" s="1318">
        <f>SUMIFS(66:66,$8:$8,"&gt;="&amp;DATE(YEAR(GS$8),1,1),$8:$8,"&lt;="&amp;EOMONTH(GS$8,0))/SUMIFS(30:30,$8:$8,"&gt;="&amp;DATE(YEAR(GS$8),1,1),$8:$8,"&lt;="&amp;EOMONTH(GS$8,0))</f>
        <v/>
      </c>
      <c r="GT122" s="1318">
        <f>SUMIFS(66:66,$8:$8,"&gt;="&amp;DATE(YEAR(GT$8),1,1),$8:$8,"&lt;="&amp;EOMONTH(GT$8,0))/SUMIFS(30:30,$8:$8,"&gt;="&amp;DATE(YEAR(GT$8),1,1),$8:$8,"&lt;="&amp;EOMONTH(GT$8,0))</f>
        <v/>
      </c>
      <c r="GU122" s="1318">
        <f>SUMIFS(66:66,$8:$8,"&gt;="&amp;DATE(YEAR(GU$8),1,1),$8:$8,"&lt;="&amp;EOMONTH(GU$8,0))/SUMIFS(30:30,$8:$8,"&gt;="&amp;DATE(YEAR(GU$8),1,1),$8:$8,"&lt;="&amp;EOMONTH(GU$8,0))</f>
        <v/>
      </c>
      <c r="GV122" s="1318">
        <f>SUMIFS(66:66,$8:$8,"&gt;="&amp;DATE(YEAR(GV$8),1,1),$8:$8,"&lt;="&amp;EOMONTH(GV$8,0))/SUMIFS(30:30,$8:$8,"&gt;="&amp;DATE(YEAR(GV$8),1,1),$8:$8,"&lt;="&amp;EOMONTH(GV$8,0))</f>
        <v/>
      </c>
      <c r="GW122" s="1318">
        <f>SUMIFS(66:66,$8:$8,"&gt;="&amp;DATE(YEAR(GW$8),1,1),$8:$8,"&lt;="&amp;EOMONTH(GW$8,0))/SUMIFS(30:30,$8:$8,"&gt;="&amp;DATE(YEAR(GW$8),1,1),$8:$8,"&lt;="&amp;EOMONTH(GW$8,0))</f>
        <v/>
      </c>
      <c r="GX122" s="1318">
        <f>SUMIFS(66:66,$8:$8,"&gt;="&amp;DATE(YEAR(GX$8),1,1),$8:$8,"&lt;="&amp;EOMONTH(GX$8,0))/SUMIFS(30:30,$8:$8,"&gt;="&amp;DATE(YEAR(GX$8),1,1),$8:$8,"&lt;="&amp;EOMONTH(GX$8,0))</f>
        <v/>
      </c>
      <c r="GY122" s="1318">
        <f>SUMIFS(66:66,$8:$8,"&gt;="&amp;DATE(YEAR(GY$8),1,1),$8:$8,"&lt;="&amp;EOMONTH(GY$8,0))/SUMIFS(30:30,$8:$8,"&gt;="&amp;DATE(YEAR(GY$8),1,1),$8:$8,"&lt;="&amp;EOMONTH(GY$8,0))</f>
        <v/>
      </c>
      <c r="GZ122" s="1318">
        <f>SUMIFS(66:66,$8:$8,"&gt;="&amp;DATE(YEAR(GZ$8),1,1),$8:$8,"&lt;="&amp;EOMONTH(GZ$8,0))/SUMIFS(30:30,$8:$8,"&gt;="&amp;DATE(YEAR(GZ$8),1,1),$8:$8,"&lt;="&amp;EOMONTH(GZ$8,0))</f>
        <v/>
      </c>
      <c r="HA122" s="1318">
        <f>SUMIFS(66:66,$8:$8,"&gt;="&amp;DATE(YEAR(HA$8),1,1),$8:$8,"&lt;="&amp;EOMONTH(HA$8,0))/SUMIFS(30:30,$8:$8,"&gt;="&amp;DATE(YEAR(HA$8),1,1),$8:$8,"&lt;="&amp;EOMONTH(HA$8,0))</f>
        <v/>
      </c>
      <c r="HB122" s="1318">
        <f>SUMIFS(66:66,$8:$8,"&gt;="&amp;DATE(YEAR(HB$8),1,1),$8:$8,"&lt;="&amp;EOMONTH(HB$8,0))/SUMIFS(30:30,$8:$8,"&gt;="&amp;DATE(YEAR(HB$8),1,1),$8:$8,"&lt;="&amp;EOMONTH(HB$8,0))</f>
        <v/>
      </c>
      <c r="HC122" s="1318">
        <f>SUMIFS(66:66,$8:$8,"&gt;="&amp;DATE(YEAR(HC$8),1,1),$8:$8,"&lt;="&amp;EOMONTH(HC$8,0))/SUMIFS(30:30,$8:$8,"&gt;="&amp;DATE(YEAR(HC$8),1,1),$8:$8,"&lt;="&amp;EOMONTH(HC$8,0))</f>
        <v/>
      </c>
      <c r="HD122" s="1318">
        <f>SUMIFS(66:66,$8:$8,"&gt;="&amp;DATE(YEAR(HD$8),1,1),$8:$8,"&lt;="&amp;EOMONTH(HD$8,0))/SUMIFS(30:30,$8:$8,"&gt;="&amp;DATE(YEAR(HD$8),1,1),$8:$8,"&lt;="&amp;EOMONTH(HD$8,0))</f>
        <v/>
      </c>
      <c r="HE122" s="1318">
        <f>SUMIFS(66:66,$8:$8,"&gt;="&amp;DATE(YEAR(HE$8),1,1),$8:$8,"&lt;="&amp;EOMONTH(HE$8,0))/SUMIFS(30:30,$8:$8,"&gt;="&amp;DATE(YEAR(HE$8),1,1),$8:$8,"&lt;="&amp;EOMONTH(HE$8,0))</f>
        <v/>
      </c>
      <c r="HF122" s="1318">
        <f>SUMIFS(66:66,$8:$8,"&gt;="&amp;DATE(YEAR(HF$8),1,1),$8:$8,"&lt;="&amp;EOMONTH(HF$8,0))/SUMIFS(30:30,$8:$8,"&gt;="&amp;DATE(YEAR(HF$8),1,1),$8:$8,"&lt;="&amp;EOMONTH(HF$8,0))</f>
        <v/>
      </c>
      <c r="HG122" s="1318">
        <f>SUMIFS(66:66,$8:$8,"&gt;="&amp;DATE(YEAR(HG$8),1,1),$8:$8,"&lt;="&amp;EOMONTH(HG$8,0))/SUMIFS(30:30,$8:$8,"&gt;="&amp;DATE(YEAR(HG$8),1,1),$8:$8,"&lt;="&amp;EOMONTH(HG$8,0))</f>
        <v/>
      </c>
      <c r="HH122" s="1318">
        <f>SUMIFS(66:66,$8:$8,"&gt;="&amp;DATE(YEAR(HH$8),1,1),$8:$8,"&lt;="&amp;EOMONTH(HH$8,0))/SUMIFS(30:30,$8:$8,"&gt;="&amp;DATE(YEAR(HH$8),1,1),$8:$8,"&lt;="&amp;EOMONTH(HH$8,0))</f>
        <v/>
      </c>
      <c r="HI122" s="1318">
        <f>SUMIFS(66:66,$8:$8,"&gt;="&amp;DATE(YEAR(HI$8),1,1),$8:$8,"&lt;="&amp;EOMONTH(HI$8,0))/SUMIFS(30:30,$8:$8,"&gt;="&amp;DATE(YEAR(HI$8),1,1),$8:$8,"&lt;="&amp;EOMONTH(HI$8,0))</f>
        <v/>
      </c>
      <c r="HJ122" s="1318">
        <f>SUMIFS(66:66,$8:$8,"&gt;="&amp;DATE(YEAR(HJ$8),1,1),$8:$8,"&lt;="&amp;EOMONTH(HJ$8,0))/SUMIFS(30:30,$8:$8,"&gt;="&amp;DATE(YEAR(HJ$8),1,1),$8:$8,"&lt;="&amp;EOMONTH(HJ$8,0))</f>
        <v/>
      </c>
      <c r="HK122" s="1318">
        <f>SUMIFS(66:66,$8:$8,"&gt;="&amp;DATE(YEAR(HK$8),1,1),$8:$8,"&lt;="&amp;EOMONTH(HK$8,0))/SUMIFS(30:30,$8:$8,"&gt;="&amp;DATE(YEAR(HK$8),1,1),$8:$8,"&lt;="&amp;EOMONTH(HK$8,0))</f>
        <v/>
      </c>
      <c r="HL122" s="1318">
        <f>SUMIFS(66:66,$8:$8,"&gt;="&amp;DATE(YEAR(HL$8),1,1),$8:$8,"&lt;="&amp;EOMONTH(HL$8,0))/SUMIFS(30:30,$8:$8,"&gt;="&amp;DATE(YEAR(HL$8),1,1),$8:$8,"&lt;="&amp;EOMONTH(HL$8,0))</f>
        <v/>
      </c>
      <c r="HM122" s="1318">
        <f>SUMIFS(66:66,$8:$8,"&gt;="&amp;DATE(YEAR(HM$8),1,1),$8:$8,"&lt;="&amp;EOMONTH(HM$8,0))/SUMIFS(30:30,$8:$8,"&gt;="&amp;DATE(YEAR(HM$8),1,1),$8:$8,"&lt;="&amp;EOMONTH(HM$8,0))</f>
        <v/>
      </c>
      <c r="HN122" s="1318">
        <f>SUMIFS(66:66,$8:$8,"&gt;="&amp;DATE(YEAR(HN$8),1,1),$8:$8,"&lt;="&amp;EOMONTH(HN$8,0))/SUMIFS(30:30,$8:$8,"&gt;="&amp;DATE(YEAR(HN$8),1,1),$8:$8,"&lt;="&amp;EOMONTH(HN$8,0))</f>
        <v/>
      </c>
      <c r="HO122" s="1318">
        <f>SUMIFS(66:66,$8:$8,"&gt;="&amp;DATE(YEAR(HO$8),1,1),$8:$8,"&lt;="&amp;EOMONTH(HO$8,0))/SUMIFS(30:30,$8:$8,"&gt;="&amp;DATE(YEAR(HO$8),1,1),$8:$8,"&lt;="&amp;EOMONTH(HO$8,0))</f>
        <v/>
      </c>
      <c r="HP122" s="1318">
        <f>SUMIFS(66:66,$8:$8,"&gt;="&amp;DATE(YEAR(HP$8),1,1),$8:$8,"&lt;="&amp;EOMONTH(HP$8,0))/SUMIFS(30:30,$8:$8,"&gt;="&amp;DATE(YEAR(HP$8),1,1),$8:$8,"&lt;="&amp;EOMONTH(HP$8,0))</f>
        <v/>
      </c>
      <c r="HQ122" s="1318">
        <f>SUMIFS(66:66,$8:$8,"&gt;="&amp;DATE(YEAR(HQ$8),1,1),$8:$8,"&lt;="&amp;EOMONTH(HQ$8,0))/SUMIFS(30:30,$8:$8,"&gt;="&amp;DATE(YEAR(HQ$8),1,1),$8:$8,"&lt;="&amp;EOMONTH(HQ$8,0))</f>
        <v/>
      </c>
      <c r="HR122" s="1318">
        <f>SUMIFS(66:66,$8:$8,"&gt;="&amp;DATE(YEAR(HR$8),1,1),$8:$8,"&lt;="&amp;EOMONTH(HR$8,0))/SUMIFS(30:30,$8:$8,"&gt;="&amp;DATE(YEAR(HR$8),1,1),$8:$8,"&lt;="&amp;EOMONTH(HR$8,0))</f>
        <v/>
      </c>
      <c r="HS122" s="1318">
        <f>SUMIFS(66:66,$8:$8,"&gt;="&amp;DATE(YEAR(HS$8),1,1),$8:$8,"&lt;="&amp;EOMONTH(HS$8,0))/SUMIFS(30:30,$8:$8,"&gt;="&amp;DATE(YEAR(HS$8),1,1),$8:$8,"&lt;="&amp;EOMONTH(HS$8,0))</f>
        <v/>
      </c>
      <c r="HT122" s="1318">
        <f>SUMIFS(66:66,$8:$8,"&gt;="&amp;DATE(YEAR(HT$8),1,1),$8:$8,"&lt;="&amp;EOMONTH(HT$8,0))/SUMIFS(30:30,$8:$8,"&gt;="&amp;DATE(YEAR(HT$8),1,1),$8:$8,"&lt;="&amp;EOMONTH(HT$8,0))</f>
        <v/>
      </c>
      <c r="HU122" s="1318">
        <f>SUMIFS(66:66,$8:$8,"&gt;="&amp;DATE(YEAR(HU$8),1,1),$8:$8,"&lt;="&amp;EOMONTH(HU$8,0))/SUMIFS(30:30,$8:$8,"&gt;="&amp;DATE(YEAR(HU$8),1,1),$8:$8,"&lt;="&amp;EOMONTH(HU$8,0))</f>
        <v/>
      </c>
      <c r="HV122" s="1318">
        <f>SUMIFS(66:66,$8:$8,"&gt;="&amp;DATE(YEAR(HV$8),1,1),$8:$8,"&lt;="&amp;EOMONTH(HV$8,0))/SUMIFS(30:30,$8:$8,"&gt;="&amp;DATE(YEAR(HV$8),1,1),$8:$8,"&lt;="&amp;EOMONTH(HV$8,0))</f>
        <v/>
      </c>
      <c r="HW122" s="1318">
        <f>SUMIFS(66:66,$8:$8,"&gt;="&amp;DATE(YEAR(HW$8),1,1),$8:$8,"&lt;="&amp;EOMONTH(HW$8,0))/SUMIFS(30:30,$8:$8,"&gt;="&amp;DATE(YEAR(HW$8),1,1),$8:$8,"&lt;="&amp;EOMONTH(HW$8,0))</f>
        <v/>
      </c>
      <c r="HX122" s="1318">
        <f>SUMIFS(66:66,$8:$8,"&gt;="&amp;DATE(YEAR(HX$8),1,1),$8:$8,"&lt;="&amp;EOMONTH(HX$8,0))/SUMIFS(30:30,$8:$8,"&gt;="&amp;DATE(YEAR(HX$8),1,1),$8:$8,"&lt;="&amp;EOMONTH(HX$8,0))</f>
        <v/>
      </c>
      <c r="HY122" s="1318">
        <f>SUMIFS(66:66,$8:$8,"&gt;="&amp;DATE(YEAR(HY$8),1,1),$8:$8,"&lt;="&amp;EOMONTH(HY$8,0))/SUMIFS(30:30,$8:$8,"&gt;="&amp;DATE(YEAR(HY$8),1,1),$8:$8,"&lt;="&amp;EOMONTH(HY$8,0))</f>
        <v/>
      </c>
      <c r="HZ122" s="1318">
        <f>SUMIFS(66:66,$8:$8,"&gt;="&amp;DATE(YEAR(HZ$8),1,1),$8:$8,"&lt;="&amp;EOMONTH(HZ$8,0))/SUMIFS(30:30,$8:$8,"&gt;="&amp;DATE(YEAR(HZ$8),1,1),$8:$8,"&lt;="&amp;EOMONTH(HZ$8,0))</f>
        <v/>
      </c>
      <c r="IA122" s="1318">
        <f>SUMIFS(66:66,$8:$8,"&gt;="&amp;DATE(YEAR(IA$8),1,1),$8:$8,"&lt;="&amp;EOMONTH(IA$8,0))/SUMIFS(30:30,$8:$8,"&gt;="&amp;DATE(YEAR(IA$8),1,1),$8:$8,"&lt;="&amp;EOMONTH(IA$8,0))</f>
        <v/>
      </c>
      <c r="IB122" s="1318">
        <f>SUMIFS(66:66,$8:$8,"&gt;="&amp;DATE(YEAR(IB$8),1,1),$8:$8,"&lt;="&amp;EOMONTH(IB$8,0))/SUMIFS(30:30,$8:$8,"&gt;="&amp;DATE(YEAR(IB$8),1,1),$8:$8,"&lt;="&amp;EOMONTH(IB$8,0))</f>
        <v/>
      </c>
      <c r="IC122" s="1318">
        <f>SUMIFS(66:66,$8:$8,"&gt;="&amp;DATE(YEAR(IC$8),1,1),$8:$8,"&lt;="&amp;EOMONTH(IC$8,0))/SUMIFS(30:30,$8:$8,"&gt;="&amp;DATE(YEAR(IC$8),1,1),$8:$8,"&lt;="&amp;EOMONTH(IC$8,0))</f>
        <v/>
      </c>
      <c r="ID122" s="1318">
        <f>SUMIFS(66:66,$8:$8,"&gt;="&amp;DATE(YEAR(ID$8),1,1),$8:$8,"&lt;="&amp;EOMONTH(ID$8,0))/SUMIFS(30:30,$8:$8,"&gt;="&amp;DATE(YEAR(ID$8),1,1),$8:$8,"&lt;="&amp;EOMONTH(ID$8,0))</f>
        <v/>
      </c>
      <c r="IE122" s="1318">
        <f>SUMIFS(66:66,$8:$8,"&gt;="&amp;DATE(YEAR(IE$8),1,1),$8:$8,"&lt;="&amp;EOMONTH(IE$8,0))/SUMIFS(30:30,$8:$8,"&gt;="&amp;DATE(YEAR(IE$8),1,1),$8:$8,"&lt;="&amp;EOMONTH(IE$8,0))</f>
        <v/>
      </c>
      <c r="IF122" s="1318">
        <f>SUMIFS(66:66,$8:$8,"&gt;="&amp;DATE(YEAR(IF$8),1,1),$8:$8,"&lt;="&amp;EOMONTH(IF$8,0))/SUMIFS(30:30,$8:$8,"&gt;="&amp;DATE(YEAR(IF$8),1,1),$8:$8,"&lt;="&amp;EOMONTH(IF$8,0))</f>
        <v/>
      </c>
      <c r="IG122" s="1318">
        <f>SUMIFS(66:66,$8:$8,"&gt;="&amp;DATE(YEAR(IG$8),1,1),$8:$8,"&lt;="&amp;EOMONTH(IG$8,0))/SUMIFS(30:30,$8:$8,"&gt;="&amp;DATE(YEAR(IG$8),1,1),$8:$8,"&lt;="&amp;EOMONTH(IG$8,0))</f>
        <v/>
      </c>
      <c r="IH122" s="1318">
        <f>SUMIFS(66:66,$8:$8,"&gt;="&amp;DATE(YEAR(IH$8),1,1),$8:$8,"&lt;="&amp;EOMONTH(IH$8,0))/SUMIFS(30:30,$8:$8,"&gt;="&amp;DATE(YEAR(IH$8),1,1),$8:$8,"&lt;="&amp;EOMONTH(IH$8,0))</f>
        <v/>
      </c>
      <c r="II122" s="1318">
        <f>SUMIFS(66:66,$8:$8,"&gt;="&amp;DATE(YEAR(II$8),1,1),$8:$8,"&lt;="&amp;EOMONTH(II$8,0))/SUMIFS(30:30,$8:$8,"&gt;="&amp;DATE(YEAR(II$8),1,1),$8:$8,"&lt;="&amp;EOMONTH(II$8,0))</f>
        <v/>
      </c>
      <c r="IJ122" s="1318">
        <f>SUMIFS(66:66,$8:$8,"&gt;="&amp;DATE(YEAR(IJ$8),1,1),$8:$8,"&lt;="&amp;EOMONTH(IJ$8,0))/SUMIFS(30:30,$8:$8,"&gt;="&amp;DATE(YEAR(IJ$8),1,1),$8:$8,"&lt;="&amp;EOMONTH(IJ$8,0))</f>
        <v/>
      </c>
      <c r="IK122" s="1318">
        <f>SUMIFS(66:66,$8:$8,"&gt;="&amp;DATE(YEAR(IK$8),1,1),$8:$8,"&lt;="&amp;EOMONTH(IK$8,0))/SUMIFS(30:30,$8:$8,"&gt;="&amp;DATE(YEAR(IK$8),1,1),$8:$8,"&lt;="&amp;EOMONTH(IK$8,0))</f>
        <v/>
      </c>
      <c r="IL122" s="1318">
        <f>SUMIFS(66:66,$8:$8,"&gt;="&amp;DATE(YEAR(IL$8),1,1),$8:$8,"&lt;="&amp;EOMONTH(IL$8,0))/SUMIFS(30:30,$8:$8,"&gt;="&amp;DATE(YEAR(IL$8),1,1),$8:$8,"&lt;="&amp;EOMONTH(IL$8,0))</f>
        <v/>
      </c>
      <c r="IM122" s="1318">
        <f>SUMIFS(66:66,$8:$8,"&gt;="&amp;DATE(YEAR(IM$8),1,1),$8:$8,"&lt;="&amp;EOMONTH(IM$8,0))/SUMIFS(30:30,$8:$8,"&gt;="&amp;DATE(YEAR(IM$8),1,1),$8:$8,"&lt;="&amp;EOMONTH(IM$8,0))</f>
        <v/>
      </c>
      <c r="IN122" s="1318">
        <f>SUMIFS(66:66,$8:$8,"&gt;="&amp;DATE(YEAR(IN$8),1,1),$8:$8,"&lt;="&amp;EOMONTH(IN$8,0))/SUMIFS(30:30,$8:$8,"&gt;="&amp;DATE(YEAR(IN$8),1,1),$8:$8,"&lt;="&amp;EOMONTH(IN$8,0))</f>
        <v/>
      </c>
      <c r="IO122" s="1318">
        <f>SUMIFS(66:66,$8:$8,"&gt;="&amp;DATE(YEAR(IO$8),1,1),$8:$8,"&lt;="&amp;EOMONTH(IO$8,0))/SUMIFS(30:30,$8:$8,"&gt;="&amp;DATE(YEAR(IO$8),1,1),$8:$8,"&lt;="&amp;EOMONTH(IO$8,0))</f>
        <v/>
      </c>
      <c r="IP122" s="1318">
        <f>SUMIFS(66:66,$8:$8,"&gt;="&amp;DATE(YEAR(IP$8),1,1),$8:$8,"&lt;="&amp;EOMONTH(IP$8,0))/SUMIFS(30:30,$8:$8,"&gt;="&amp;DATE(YEAR(IP$8),1,1),$8:$8,"&lt;="&amp;EOMONTH(IP$8,0))</f>
        <v/>
      </c>
      <c r="IQ122" s="1318">
        <f>SUMIFS(66:66,$8:$8,"&gt;="&amp;DATE(YEAR(IQ$8),1,1),$8:$8,"&lt;="&amp;EOMONTH(IQ$8,0))/SUMIFS(30:30,$8:$8,"&gt;="&amp;DATE(YEAR(IQ$8),1,1),$8:$8,"&lt;="&amp;EOMONTH(IQ$8,0))</f>
        <v/>
      </c>
      <c r="IR122" s="1318">
        <f>SUMIFS(66:66,$8:$8,"&gt;="&amp;DATE(YEAR(IR$8),1,1),$8:$8,"&lt;="&amp;EOMONTH(IR$8,0))/SUMIFS(30:30,$8:$8,"&gt;="&amp;DATE(YEAR(IR$8),1,1),$8:$8,"&lt;="&amp;EOMONTH(IR$8,0))</f>
        <v/>
      </c>
      <c r="IS122" s="1318">
        <f>SUMIFS(66:66,$8:$8,"&gt;="&amp;DATE(YEAR(IS$8),1,1),$8:$8,"&lt;="&amp;EOMONTH(IS$8,0))/SUMIFS(30:30,$8:$8,"&gt;="&amp;DATE(YEAR(IS$8),1,1),$8:$8,"&lt;="&amp;EOMONTH(IS$8,0))</f>
        <v/>
      </c>
      <c r="IT122" s="1318">
        <f>SUMIFS(66:66,$8:$8,"&gt;="&amp;DATE(YEAR(IT$8),1,1),$8:$8,"&lt;="&amp;EOMONTH(IT$8,0))/SUMIFS(30:30,$8:$8,"&gt;="&amp;DATE(YEAR(IT$8),1,1),$8:$8,"&lt;="&amp;EOMONTH(IT$8,0))</f>
        <v/>
      </c>
      <c r="IU122" s="1318">
        <f>SUMIFS(66:66,$8:$8,"&gt;="&amp;DATE(YEAR(IU$8),1,1),$8:$8,"&lt;="&amp;EOMONTH(IU$8,0))/SUMIFS(30:30,$8:$8,"&gt;="&amp;DATE(YEAR(IU$8),1,1),$8:$8,"&lt;="&amp;EOMONTH(IU$8,0))</f>
        <v/>
      </c>
      <c r="IV122" s="1318">
        <f>SUMIFS(66:66,$8:$8,"&gt;="&amp;DATE(YEAR(IV$8),1,1),$8:$8,"&lt;="&amp;EOMONTH(IV$8,0))/SUMIFS(30:30,$8:$8,"&gt;="&amp;DATE(YEAR(IV$8),1,1),$8:$8,"&lt;="&amp;EOMONTH(IV$8,0))</f>
        <v/>
      </c>
      <c r="IW122" s="1318">
        <f>SUMIFS(66:66,$8:$8,"&gt;="&amp;DATE(YEAR(IW$8),1,1),$8:$8,"&lt;="&amp;EOMONTH(IW$8,0))/SUMIFS(30:30,$8:$8,"&gt;="&amp;DATE(YEAR(IW$8),1,1),$8:$8,"&lt;="&amp;EOMONTH(IW$8,0))</f>
        <v/>
      </c>
      <c r="IX122" s="1318">
        <f>SUMIFS(66:66,$8:$8,"&gt;="&amp;DATE(YEAR(IX$8),1,1),$8:$8,"&lt;="&amp;EOMONTH(IX$8,0))/SUMIFS(30:30,$8:$8,"&gt;="&amp;DATE(YEAR(IX$8),1,1),$8:$8,"&lt;="&amp;EOMONTH(IX$8,0))</f>
        <v/>
      </c>
      <c r="IY122" s="1318">
        <f>SUMIFS(66:66,$8:$8,"&gt;="&amp;DATE(YEAR(IY$8),1,1),$8:$8,"&lt;="&amp;EOMONTH(IY$8,0))/SUMIFS(30:30,$8:$8,"&gt;="&amp;DATE(YEAR(IY$8),1,1),$8:$8,"&lt;="&amp;EOMONTH(IY$8,0))</f>
        <v/>
      </c>
      <c r="IZ122" s="1318">
        <f>SUMIFS(66:66,$8:$8,"&gt;="&amp;DATE(YEAR(IZ$8),1,1),$8:$8,"&lt;="&amp;EOMONTH(IZ$8,0))/SUMIFS(30:30,$8:$8,"&gt;="&amp;DATE(YEAR(IZ$8),1,1),$8:$8,"&lt;="&amp;EOMONTH(IZ$8,0))</f>
        <v/>
      </c>
      <c r="JA122" s="1318">
        <f>SUMIFS(66:66,$8:$8,"&gt;="&amp;DATE(YEAR(JA$8),1,1),$8:$8,"&lt;="&amp;EOMONTH(JA$8,0))/SUMIFS(30:30,$8:$8,"&gt;="&amp;DATE(YEAR(JA$8),1,1),$8:$8,"&lt;="&amp;EOMONTH(JA$8,0))</f>
        <v/>
      </c>
      <c r="JB122" s="1318">
        <f>SUMIFS(66:66,$8:$8,"&gt;="&amp;DATE(YEAR(JB$8),1,1),$8:$8,"&lt;="&amp;EOMONTH(JB$8,0))/SUMIFS(30:30,$8:$8,"&gt;="&amp;DATE(YEAR(JB$8),1,1),$8:$8,"&lt;="&amp;EOMONTH(JB$8,0))</f>
        <v/>
      </c>
      <c r="JC122" s="1318">
        <f>SUMIFS(66:66,$8:$8,"&gt;="&amp;DATE(YEAR(JC$8),1,1),$8:$8,"&lt;="&amp;EOMONTH(JC$8,0))/SUMIFS(30:30,$8:$8,"&gt;="&amp;DATE(YEAR(JC$8),1,1),$8:$8,"&lt;="&amp;EOMONTH(JC$8,0))</f>
        <v/>
      </c>
      <c r="JD122" s="1318">
        <f>SUMIFS(66:66,$8:$8,"&gt;="&amp;DATE(YEAR(JD$8),1,1),$8:$8,"&lt;="&amp;EOMONTH(JD$8,0))/SUMIFS(30:30,$8:$8,"&gt;="&amp;DATE(YEAR(JD$8),1,1),$8:$8,"&lt;="&amp;EOMONTH(JD$8,0))</f>
        <v/>
      </c>
      <c r="JE122" s="1318">
        <f>SUMIFS(66:66,$8:$8,"&gt;="&amp;DATE(YEAR(JE$8),1,1),$8:$8,"&lt;="&amp;EOMONTH(JE$8,0))/SUMIFS(30:30,$8:$8,"&gt;="&amp;DATE(YEAR(JE$8),1,1),$8:$8,"&lt;="&amp;EOMONTH(JE$8,0))</f>
        <v/>
      </c>
      <c r="JF122" s="1318">
        <f>SUMIFS(66:66,$8:$8,"&gt;="&amp;DATE(YEAR(JF$8),1,1),$8:$8,"&lt;="&amp;EOMONTH(JF$8,0))/SUMIFS(30:30,$8:$8,"&gt;="&amp;DATE(YEAR(JF$8),1,1),$8:$8,"&lt;="&amp;EOMONTH(JF$8,0))</f>
        <v/>
      </c>
      <c r="JG122" s="1318">
        <f>SUMIFS(66:66,$8:$8,"&gt;="&amp;DATE(YEAR(JG$8),1,1),$8:$8,"&lt;="&amp;EOMONTH(JG$8,0))/SUMIFS(30:30,$8:$8,"&gt;="&amp;DATE(YEAR(JG$8),1,1),$8:$8,"&lt;="&amp;EOMONTH(JG$8,0))</f>
        <v/>
      </c>
      <c r="JH122" s="1318">
        <f>SUMIFS(66:66,$8:$8,"&gt;="&amp;DATE(YEAR(JH$8),1,1),$8:$8,"&lt;="&amp;EOMONTH(JH$8,0))/SUMIFS(30:30,$8:$8,"&gt;="&amp;DATE(YEAR(JH$8),1,1),$8:$8,"&lt;="&amp;EOMONTH(JH$8,0))</f>
        <v/>
      </c>
      <c r="JI122" s="1318">
        <f>SUMIFS(66:66,$8:$8,"&gt;="&amp;DATE(YEAR(JI$8),1,1),$8:$8,"&lt;="&amp;EOMONTH(JI$8,0))/SUMIFS(30:30,$8:$8,"&gt;="&amp;DATE(YEAR(JI$8),1,1),$8:$8,"&lt;="&amp;EOMONTH(JI$8,0))</f>
        <v/>
      </c>
      <c r="JJ122" s="1318">
        <f>SUMIFS(66:66,$8:$8,"&gt;="&amp;DATE(YEAR(JJ$8),1,1),$8:$8,"&lt;="&amp;EOMONTH(JJ$8,0))/SUMIFS(30:30,$8:$8,"&gt;="&amp;DATE(YEAR(JJ$8),1,1),$8:$8,"&lt;="&amp;EOMONTH(JJ$8,0))</f>
        <v/>
      </c>
      <c r="JK122" s="1318">
        <f>SUMIFS(66:66,$8:$8,"&gt;="&amp;DATE(YEAR(JK$8),1,1),$8:$8,"&lt;="&amp;EOMONTH(JK$8,0))/SUMIFS(30:30,$8:$8,"&gt;="&amp;DATE(YEAR(JK$8),1,1),$8:$8,"&lt;="&amp;EOMONTH(JK$8,0))</f>
        <v/>
      </c>
      <c r="JL122" s="1318">
        <f>SUMIFS(66:66,$8:$8,"&gt;="&amp;DATE(YEAR(JL$8),1,1),$8:$8,"&lt;="&amp;EOMONTH(JL$8,0))/SUMIFS(30:30,$8:$8,"&gt;="&amp;DATE(YEAR(JL$8),1,1),$8:$8,"&lt;="&amp;EOMONTH(JL$8,0))</f>
        <v/>
      </c>
      <c r="JM122" s="1318">
        <f>SUMIFS(66:66,$8:$8,"&gt;="&amp;DATE(YEAR(JM$8),1,1),$8:$8,"&lt;="&amp;EOMONTH(JM$8,0))/SUMIFS(30:30,$8:$8,"&gt;="&amp;DATE(YEAR(JM$8),1,1),$8:$8,"&lt;="&amp;EOMONTH(JM$8,0))</f>
        <v/>
      </c>
      <c r="JN122" s="1318">
        <f>SUMIFS(66:66,$8:$8,"&gt;="&amp;DATE(YEAR(JN$8),1,1),$8:$8,"&lt;="&amp;EOMONTH(JN$8,0))/SUMIFS(30:30,$8:$8,"&gt;="&amp;DATE(YEAR(JN$8),1,1),$8:$8,"&lt;="&amp;EOMONTH(JN$8,0))</f>
        <v/>
      </c>
      <c r="JO122" s="1318">
        <f>SUMIFS(66:66,$8:$8,"&gt;="&amp;DATE(YEAR(JO$8),1,1),$8:$8,"&lt;="&amp;EOMONTH(JO$8,0))/SUMIFS(30:30,$8:$8,"&gt;="&amp;DATE(YEAR(JO$8),1,1),$8:$8,"&lt;="&amp;EOMONTH(JO$8,0))</f>
        <v/>
      </c>
      <c r="JP122" s="1318">
        <f>SUMIFS(66:66,$8:$8,"&gt;="&amp;DATE(YEAR(JP$8),1,1),$8:$8,"&lt;="&amp;EOMONTH(JP$8,0))/SUMIFS(30:30,$8:$8,"&gt;="&amp;DATE(YEAR(JP$8),1,1),$8:$8,"&lt;="&amp;EOMONTH(JP$8,0))</f>
        <v/>
      </c>
      <c r="JQ122" s="1318">
        <f>SUMIFS(66:66,$8:$8,"&gt;="&amp;DATE(YEAR(JQ$8),1,1),$8:$8,"&lt;="&amp;EOMONTH(JQ$8,0))/SUMIFS(30:30,$8:$8,"&gt;="&amp;DATE(YEAR(JQ$8),1,1),$8:$8,"&lt;="&amp;EOMONTH(JQ$8,0))</f>
        <v/>
      </c>
      <c r="JR122" s="1318">
        <f>SUMIFS(66:66,$8:$8,"&gt;="&amp;DATE(YEAR(JR$8),1,1),$8:$8,"&lt;="&amp;EOMONTH(JR$8,0))/SUMIFS(30:30,$8:$8,"&gt;="&amp;DATE(YEAR(JR$8),1,1),$8:$8,"&lt;="&amp;EOMONTH(JR$8,0))</f>
        <v/>
      </c>
      <c r="JS122" s="1318">
        <f>SUMIFS(66:66,$8:$8,"&gt;="&amp;DATE(YEAR(JS$8),1,1),$8:$8,"&lt;="&amp;EOMONTH(JS$8,0))/SUMIFS(30:30,$8:$8,"&gt;="&amp;DATE(YEAR(JS$8),1,1),$8:$8,"&lt;="&amp;EOMONTH(JS$8,0))</f>
        <v/>
      </c>
      <c r="JT122" s="1318">
        <f>SUMIFS(66:66,$8:$8,"&gt;="&amp;DATE(YEAR(JT$8),1,1),$8:$8,"&lt;="&amp;EOMONTH(JT$8,0))/SUMIFS(30:30,$8:$8,"&gt;="&amp;DATE(YEAR(JT$8),1,1),$8:$8,"&lt;="&amp;EOMONTH(JT$8,0))</f>
        <v/>
      </c>
      <c r="JU122" s="1318">
        <f>SUMIFS(66:66,$8:$8,"&gt;="&amp;DATE(YEAR(JU$8),1,1),$8:$8,"&lt;="&amp;EOMONTH(JU$8,0))/SUMIFS(30:30,$8:$8,"&gt;="&amp;DATE(YEAR(JU$8),1,1),$8:$8,"&lt;="&amp;EOMONTH(JU$8,0))</f>
        <v/>
      </c>
      <c r="JV122" s="1318">
        <f>SUMIFS(66:66,$8:$8,"&gt;="&amp;DATE(YEAR(JV$8),1,1),$8:$8,"&lt;="&amp;EOMONTH(JV$8,0))/SUMIFS(30:30,$8:$8,"&gt;="&amp;DATE(YEAR(JV$8),1,1),$8:$8,"&lt;="&amp;EOMONTH(JV$8,0))</f>
        <v/>
      </c>
      <c r="JW122" s="1318">
        <f>SUMIFS(66:66,$8:$8,"&gt;="&amp;DATE(YEAR(JW$8),1,1),$8:$8,"&lt;="&amp;EOMONTH(JW$8,0))/SUMIFS(30:30,$8:$8,"&gt;="&amp;DATE(YEAR(JW$8),1,1),$8:$8,"&lt;="&amp;EOMONTH(JW$8,0))</f>
        <v/>
      </c>
      <c r="JX122" s="1318">
        <f>SUMIFS(66:66,$8:$8,"&gt;="&amp;DATE(YEAR(JX$8),1,1),$8:$8,"&lt;="&amp;EOMONTH(JX$8,0))/SUMIFS(30:30,$8:$8,"&gt;="&amp;DATE(YEAR(JX$8),1,1),$8:$8,"&lt;="&amp;EOMONTH(JX$8,0))</f>
        <v/>
      </c>
      <c r="JY122" s="1318">
        <f>SUMIFS(66:66,$8:$8,"&gt;="&amp;DATE(YEAR(JY$8),1,1),$8:$8,"&lt;="&amp;EOMONTH(JY$8,0))/SUMIFS(30:30,$8:$8,"&gt;="&amp;DATE(YEAR(JY$8),1,1),$8:$8,"&lt;="&amp;EOMONTH(JY$8,0))</f>
        <v/>
      </c>
      <c r="JZ122" s="1318">
        <f>SUMIFS(66:66,$8:$8,"&gt;="&amp;DATE(YEAR(JZ$8),1,1),$8:$8,"&lt;="&amp;EOMONTH(JZ$8,0))/SUMIFS(30:30,$8:$8,"&gt;="&amp;DATE(YEAR(JZ$8),1,1),$8:$8,"&lt;="&amp;EOMONTH(JZ$8,0))</f>
        <v/>
      </c>
      <c r="KA122" s="1318">
        <f>SUMIFS(66:66,$8:$8,"&gt;="&amp;DATE(YEAR(KA$8),1,1),$8:$8,"&lt;="&amp;EOMONTH(KA$8,0))/SUMIFS(30:30,$8:$8,"&gt;="&amp;DATE(YEAR(KA$8),1,1),$8:$8,"&lt;="&amp;EOMONTH(KA$8,0))</f>
        <v/>
      </c>
      <c r="KB122" s="1318">
        <f>SUMIFS(66:66,$8:$8,"&gt;="&amp;DATE(YEAR(KB$8),1,1),$8:$8,"&lt;="&amp;EOMONTH(KB$8,0))/SUMIFS(30:30,$8:$8,"&gt;="&amp;DATE(YEAR(KB$8),1,1),$8:$8,"&lt;="&amp;EOMONTH(KB$8,0))</f>
        <v/>
      </c>
      <c r="KC122" s="1318">
        <f>SUMIFS(66:66,$8:$8,"&gt;="&amp;DATE(YEAR(KC$8),1,1),$8:$8,"&lt;="&amp;EOMONTH(KC$8,0))/SUMIFS(30:30,$8:$8,"&gt;="&amp;DATE(YEAR(KC$8),1,1),$8:$8,"&lt;="&amp;EOMONTH(KC$8,0))</f>
        <v/>
      </c>
      <c r="KD122" s="1318">
        <f>SUMIFS(66:66,$8:$8,"&gt;="&amp;DATE(YEAR(KD$8),1,1),$8:$8,"&lt;="&amp;EOMONTH(KD$8,0))/SUMIFS(30:30,$8:$8,"&gt;="&amp;DATE(YEAR(KD$8),1,1),$8:$8,"&lt;="&amp;EOMONTH(KD$8,0))</f>
        <v/>
      </c>
      <c r="KE122" s="1318">
        <f>SUMIFS(66:66,$8:$8,"&gt;="&amp;DATE(YEAR(KE$8),1,1),$8:$8,"&lt;="&amp;EOMONTH(KE$8,0))/SUMIFS(30:30,$8:$8,"&gt;="&amp;DATE(YEAR(KE$8),1,1),$8:$8,"&lt;="&amp;EOMONTH(KE$8,0))</f>
        <v/>
      </c>
      <c r="KF122" s="1318">
        <f>SUMIFS(66:66,$8:$8,"&gt;="&amp;DATE(YEAR(KF$8),1,1),$8:$8,"&lt;="&amp;EOMONTH(KF$8,0))/SUMIFS(30:30,$8:$8,"&gt;="&amp;DATE(YEAR(KF$8),1,1),$8:$8,"&lt;="&amp;EOMONTH(KF$8,0))</f>
        <v/>
      </c>
      <c r="KG122" s="1318">
        <f>SUMIFS(66:66,$8:$8,"&gt;="&amp;DATE(YEAR(KG$8),1,1),$8:$8,"&lt;="&amp;EOMONTH(KG$8,0))/SUMIFS(30:30,$8:$8,"&gt;="&amp;DATE(YEAR(KG$8),1,1),$8:$8,"&lt;="&amp;EOMONTH(KG$8,0))</f>
        <v/>
      </c>
      <c r="KH122" s="1318">
        <f>SUMIFS(66:66,$8:$8,"&gt;="&amp;DATE(YEAR(KH$8),1,1),$8:$8,"&lt;="&amp;EOMONTH(KH$8,0))/SUMIFS(30:30,$8:$8,"&gt;="&amp;DATE(YEAR(KH$8),1,1),$8:$8,"&lt;="&amp;EOMONTH(KH$8,0))</f>
        <v/>
      </c>
      <c r="KI122" s="1318">
        <f>SUMIFS(66:66,$8:$8,"&gt;="&amp;DATE(YEAR(KI$8),1,1),$8:$8,"&lt;="&amp;EOMONTH(KI$8,0))/SUMIFS(30:30,$8:$8,"&gt;="&amp;DATE(YEAR(KI$8),1,1),$8:$8,"&lt;="&amp;EOMONTH(KI$8,0))</f>
        <v/>
      </c>
      <c r="KJ122" s="1318">
        <f>SUMIFS(66:66,$8:$8,"&gt;="&amp;DATE(YEAR(KJ$8),1,1),$8:$8,"&lt;="&amp;EOMONTH(KJ$8,0))/SUMIFS(30:30,$8:$8,"&gt;="&amp;DATE(YEAR(KJ$8),1,1),$8:$8,"&lt;="&amp;EOMONTH(KJ$8,0))</f>
        <v/>
      </c>
      <c r="KK122" s="1318">
        <f>SUMIFS(66:66,$8:$8,"&gt;="&amp;DATE(YEAR(KK$8),1,1),$8:$8,"&lt;="&amp;EOMONTH(KK$8,0))/SUMIFS(30:30,$8:$8,"&gt;="&amp;DATE(YEAR(KK$8),1,1),$8:$8,"&lt;="&amp;EOMONTH(KK$8,0))</f>
        <v/>
      </c>
      <c r="KL122" s="1318">
        <f>SUMIFS(66:66,$8:$8,"&gt;="&amp;DATE(YEAR(KL$8),1,1),$8:$8,"&lt;="&amp;EOMONTH(KL$8,0))/SUMIFS(30:30,$8:$8,"&gt;="&amp;DATE(YEAR(KL$8),1,1),$8:$8,"&lt;="&amp;EOMONTH(KL$8,0))</f>
        <v/>
      </c>
      <c r="KM122" s="1318">
        <f>SUMIFS(66:66,$8:$8,"&gt;="&amp;DATE(YEAR(KM$8),1,1),$8:$8,"&lt;="&amp;EOMONTH(KM$8,0))/SUMIFS(30:30,$8:$8,"&gt;="&amp;DATE(YEAR(KM$8),1,1),$8:$8,"&lt;="&amp;EOMONTH(KM$8,0))</f>
        <v/>
      </c>
      <c r="KN122" s="1318">
        <f>SUMIFS(66:66,$8:$8,"&gt;="&amp;DATE(YEAR(KN$8),1,1),$8:$8,"&lt;="&amp;EOMONTH(KN$8,0))/SUMIFS(30:30,$8:$8,"&gt;="&amp;DATE(YEAR(KN$8),1,1),$8:$8,"&lt;="&amp;EOMONTH(KN$8,0))</f>
        <v/>
      </c>
      <c r="KO122" s="1318">
        <f>SUMIFS(66:66,$8:$8,"&gt;="&amp;DATE(YEAR(KO$8),1,1),$8:$8,"&lt;="&amp;EOMONTH(KO$8,0))/SUMIFS(30:30,$8:$8,"&gt;="&amp;DATE(YEAR(KO$8),1,1),$8:$8,"&lt;="&amp;EOMONTH(KO$8,0))</f>
        <v/>
      </c>
      <c r="KP122" s="1318">
        <f>SUMIFS(66:66,$8:$8,"&gt;="&amp;DATE(YEAR(KP$8),1,1),$8:$8,"&lt;="&amp;EOMONTH(KP$8,0))/SUMIFS(30:30,$8:$8,"&gt;="&amp;DATE(YEAR(KP$8),1,1),$8:$8,"&lt;="&amp;EOMONTH(KP$8,0))</f>
        <v/>
      </c>
      <c r="KQ122" s="1318">
        <f>SUMIFS(66:66,$8:$8,"&gt;="&amp;DATE(YEAR(KQ$8),1,1),$8:$8,"&lt;="&amp;EOMONTH(KQ$8,0))/SUMIFS(30:30,$8:$8,"&gt;="&amp;DATE(YEAR(KQ$8),1,1),$8:$8,"&lt;="&amp;EOMONTH(KQ$8,0))</f>
        <v/>
      </c>
      <c r="KR122" s="1318">
        <f>SUMIFS(66:66,$8:$8,"&gt;="&amp;DATE(YEAR(KR$8),1,1),$8:$8,"&lt;="&amp;EOMONTH(KR$8,0))/SUMIFS(30:30,$8:$8,"&gt;="&amp;DATE(YEAR(KR$8),1,1),$8:$8,"&lt;="&amp;EOMONTH(KR$8,0))</f>
        <v/>
      </c>
      <c r="KS122" s="1318">
        <f>SUMIFS(66:66,$8:$8,"&gt;="&amp;DATE(YEAR(KS$8),1,1),$8:$8,"&lt;="&amp;EOMONTH(KS$8,0))/SUMIFS(30:30,$8:$8,"&gt;="&amp;DATE(YEAR(KS$8),1,1),$8:$8,"&lt;="&amp;EOMONTH(KS$8,0))</f>
        <v/>
      </c>
      <c r="KT122" s="1318">
        <f>SUMIFS(66:66,$8:$8,"&gt;="&amp;DATE(YEAR(KT$8),1,1),$8:$8,"&lt;="&amp;EOMONTH(KT$8,0))/SUMIFS(30:30,$8:$8,"&gt;="&amp;DATE(YEAR(KT$8),1,1),$8:$8,"&lt;="&amp;EOMONTH(KT$8,0))</f>
        <v/>
      </c>
      <c r="KU122" s="1318">
        <f>SUMIFS(66:66,$8:$8,"&gt;="&amp;DATE(YEAR(KU$8),1,1),$8:$8,"&lt;="&amp;EOMONTH(KU$8,0))/SUMIFS(30:30,$8:$8,"&gt;="&amp;DATE(YEAR(KU$8),1,1),$8:$8,"&lt;="&amp;EOMONTH(KU$8,0))</f>
        <v/>
      </c>
      <c r="KV122" s="1318">
        <f>SUMIFS(66:66,$8:$8,"&gt;="&amp;DATE(YEAR(KV$8),1,1),$8:$8,"&lt;="&amp;EOMONTH(KV$8,0))/SUMIFS(30:30,$8:$8,"&gt;="&amp;DATE(YEAR(KV$8),1,1),$8:$8,"&lt;="&amp;EOMONTH(KV$8,0))</f>
        <v/>
      </c>
      <c r="KW122" s="1318">
        <f>SUMIFS(66:66,$8:$8,"&gt;="&amp;DATE(YEAR(KW$8),1,1),$8:$8,"&lt;="&amp;EOMONTH(KW$8,0))/SUMIFS(30:30,$8:$8,"&gt;="&amp;DATE(YEAR(KW$8),1,1),$8:$8,"&lt;="&amp;EOMONTH(KW$8,0))</f>
        <v/>
      </c>
      <c r="KX122" s="1318">
        <f>SUMIFS(66:66,$8:$8,"&gt;="&amp;DATE(YEAR(KX$8),1,1),$8:$8,"&lt;="&amp;EOMONTH(KX$8,0))/SUMIFS(30:30,$8:$8,"&gt;="&amp;DATE(YEAR(KX$8),1,1),$8:$8,"&lt;="&amp;EOMONTH(KX$8,0))</f>
        <v/>
      </c>
      <c r="KY122" s="1318">
        <f>SUMIFS(66:66,$8:$8,"&gt;="&amp;DATE(YEAR(KY$8),1,1),$8:$8,"&lt;="&amp;EOMONTH(KY$8,0))/SUMIFS(30:30,$8:$8,"&gt;="&amp;DATE(YEAR(KY$8),1,1),$8:$8,"&lt;="&amp;EOMONTH(KY$8,0))</f>
        <v/>
      </c>
      <c r="KZ122" s="1318">
        <f>SUMIFS(66:66,$8:$8,"&gt;="&amp;DATE(YEAR(KZ$8),1,1),$8:$8,"&lt;="&amp;EOMONTH(KZ$8,0))/SUMIFS(30:30,$8:$8,"&gt;="&amp;DATE(YEAR(KZ$8),1,1),$8:$8,"&lt;="&amp;EOMONTH(KZ$8,0))</f>
        <v/>
      </c>
      <c r="LA122" s="1318">
        <f>SUMIFS(66:66,$8:$8,"&gt;="&amp;DATE(YEAR(LA$8),1,1),$8:$8,"&lt;="&amp;EOMONTH(LA$8,0))/SUMIFS(30:30,$8:$8,"&gt;="&amp;DATE(YEAR(LA$8),1,1),$8:$8,"&lt;="&amp;EOMONTH(LA$8,0))</f>
        <v/>
      </c>
      <c r="LB122" s="1318" t="n"/>
      <c r="LC122" s="1318" t="n"/>
      <c r="LD122" s="1318" t="n"/>
      <c r="LE122" s="1318" t="n"/>
      <c r="LF122" s="1318" t="n"/>
      <c r="LG122" s="1318" t="n"/>
      <c r="LH122" s="1318" t="n"/>
      <c r="LI122" s="1318" t="n"/>
      <c r="LJ122" s="1318" t="n"/>
      <c r="LK122" s="1318" t="n"/>
      <c r="LL122" s="1318" t="n"/>
      <c r="LM122" s="1318" t="n"/>
      <c r="LN122" s="1318" t="n"/>
      <c r="LO122" s="1318" t="n"/>
      <c r="LP122" s="1318" t="n"/>
      <c r="LQ122" s="1318" t="n"/>
      <c r="LR122" s="1318" t="n"/>
      <c r="LS122" s="1318" t="n"/>
    </row>
    <row r="123">
      <c r="A123" s="885" t="inlineStr">
        <is>
          <t>YTDYOY%</t>
        </is>
      </c>
      <c r="B123" s="1318" t="n"/>
      <c r="C123" s="1318" t="n"/>
      <c r="D123" s="1318" t="n"/>
      <c r="E123" s="1318" t="n"/>
      <c r="F123" s="1318" t="n"/>
      <c r="G123" s="1318" t="n"/>
      <c r="H123" s="1318" t="n"/>
      <c r="I123" s="1318" t="n"/>
      <c r="J123" s="1318" t="n"/>
      <c r="K123" s="1318" t="n"/>
      <c r="L123" s="1318" t="n"/>
      <c r="M123" s="1318" t="n"/>
      <c r="N123" s="1318" t="n"/>
      <c r="O123" s="1318" t="n"/>
      <c r="P123" s="1318" t="n"/>
      <c r="Q123" s="1318" t="n"/>
      <c r="R123" s="1318" t="n"/>
      <c r="S123" s="1318" t="n"/>
      <c r="T123" s="1318" t="n"/>
      <c r="U123" s="1318" t="n"/>
      <c r="V123" s="1318" t="n"/>
      <c r="W123" s="1318" t="n"/>
      <c r="X123" s="1318" t="n"/>
      <c r="Y123" s="1318" t="n"/>
      <c r="Z123" s="1318">
        <f>Z122-N122</f>
        <v/>
      </c>
      <c r="AA123" s="1318">
        <f>AA122-O122</f>
        <v/>
      </c>
      <c r="AB123" s="1318">
        <f>AB122-P122</f>
        <v/>
      </c>
      <c r="AC123" s="1318">
        <f>AC122-Q122</f>
        <v/>
      </c>
      <c r="AD123" s="1318">
        <f>AD122-R122</f>
        <v/>
      </c>
      <c r="AE123" s="1318">
        <f>AE122-S122</f>
        <v/>
      </c>
      <c r="AF123" s="1318">
        <f>AF122-T122</f>
        <v/>
      </c>
      <c r="AG123" s="1318">
        <f>AG122-U122</f>
        <v/>
      </c>
      <c r="AH123" s="1318">
        <f>AH122-V122</f>
        <v/>
      </c>
      <c r="AI123" s="1318">
        <f>AI122-W122</f>
        <v/>
      </c>
      <c r="AJ123" s="1318">
        <f>AJ122-X122</f>
        <v/>
      </c>
      <c r="AK123" s="1318">
        <f>AK122-Y122</f>
        <v/>
      </c>
      <c r="AL123" s="1318">
        <f>AL122-Z122</f>
        <v/>
      </c>
      <c r="AM123" s="1318">
        <f>AM122-AA122</f>
        <v/>
      </c>
      <c r="AN123" s="1318">
        <f>AN122-AB122</f>
        <v/>
      </c>
      <c r="AO123" s="1318">
        <f>AO122-AC122</f>
        <v/>
      </c>
      <c r="AP123" s="1318">
        <f>AP122-AD122</f>
        <v/>
      </c>
      <c r="AQ123" s="1318">
        <f>AQ122-AE122</f>
        <v/>
      </c>
      <c r="AR123" s="1318">
        <f>AR122-AF122</f>
        <v/>
      </c>
      <c r="AS123" s="1318">
        <f>AS122-AG122</f>
        <v/>
      </c>
      <c r="AT123" s="1318">
        <f>AT122-AH122</f>
        <v/>
      </c>
      <c r="AU123" s="1318">
        <f>AU122-AI122</f>
        <v/>
      </c>
      <c r="AV123" s="1318">
        <f>AV122-AJ122</f>
        <v/>
      </c>
      <c r="AW123" s="1318">
        <f>AW122-AK122</f>
        <v/>
      </c>
      <c r="AX123" s="1318">
        <f>AX122-AL122</f>
        <v/>
      </c>
      <c r="AY123" s="1318">
        <f>AY122-AM122</f>
        <v/>
      </c>
      <c r="AZ123" s="1318">
        <f>AZ122-AN122</f>
        <v/>
      </c>
      <c r="BA123" s="1318">
        <f>BA122-AO122</f>
        <v/>
      </c>
      <c r="BB123" s="1318">
        <f>BB122-AP122</f>
        <v/>
      </c>
      <c r="BC123" s="1318">
        <f>BC122-AQ122</f>
        <v/>
      </c>
      <c r="BD123" s="1318">
        <f>BD122-AR122</f>
        <v/>
      </c>
      <c r="BE123" s="1318">
        <f>BE122-AS122</f>
        <v/>
      </c>
      <c r="BF123" s="1318">
        <f>BF122-AT122</f>
        <v/>
      </c>
      <c r="BG123" s="1318">
        <f>BG122-AU122</f>
        <v/>
      </c>
      <c r="BH123" s="1318">
        <f>BH122-AV122</f>
        <v/>
      </c>
      <c r="BI123" s="1318">
        <f>BI122-AW122</f>
        <v/>
      </c>
      <c r="BJ123" s="1318">
        <f>BJ122-AX122</f>
        <v/>
      </c>
      <c r="BK123" s="1318">
        <f>BK122-AY122</f>
        <v/>
      </c>
      <c r="BL123" s="1318">
        <f>BL122-AZ122</f>
        <v/>
      </c>
      <c r="BM123" s="1318">
        <f>BM122-BA122</f>
        <v/>
      </c>
      <c r="BN123" s="1318">
        <f>BN122-BB122</f>
        <v/>
      </c>
      <c r="BO123" s="1318">
        <f>BO122-BC122</f>
        <v/>
      </c>
      <c r="BP123" s="1318">
        <f>BP122-BD122</f>
        <v/>
      </c>
      <c r="BQ123" s="1318">
        <f>BQ122-BE122</f>
        <v/>
      </c>
      <c r="BR123" s="1318">
        <f>BR122-BF122</f>
        <v/>
      </c>
      <c r="BS123" s="1318">
        <f>BS122-BG122</f>
        <v/>
      </c>
      <c r="BT123" s="1318">
        <f>BT122-BH122</f>
        <v/>
      </c>
      <c r="BU123" s="1318">
        <f>BU122-BI122</f>
        <v/>
      </c>
      <c r="BV123" s="1318">
        <f>BV122-BJ122</f>
        <v/>
      </c>
      <c r="BW123" s="1318">
        <f>BW122-BK122</f>
        <v/>
      </c>
      <c r="BX123" s="1318">
        <f>BX122-BL122</f>
        <v/>
      </c>
      <c r="BY123" s="1318">
        <f>BY122-BM122</f>
        <v/>
      </c>
      <c r="BZ123" s="1318">
        <f>BZ122-BN122</f>
        <v/>
      </c>
      <c r="CA123" s="1318">
        <f>CA122-BO122</f>
        <v/>
      </c>
      <c r="CB123" s="1318">
        <f>CB122-BP122</f>
        <v/>
      </c>
      <c r="CC123" s="1318">
        <f>CC122-BQ122</f>
        <v/>
      </c>
      <c r="CD123" s="1318">
        <f>CD122-BR122</f>
        <v/>
      </c>
      <c r="CE123" s="1318">
        <f>CE122-BS122</f>
        <v/>
      </c>
      <c r="CF123" s="1318">
        <f>CF122-BT122</f>
        <v/>
      </c>
      <c r="CG123" s="1318">
        <f>CG122-BU122</f>
        <v/>
      </c>
      <c r="CH123" s="1318">
        <f>CH122-BV122</f>
        <v/>
      </c>
      <c r="CI123" s="1318">
        <f>CI122-BW122</f>
        <v/>
      </c>
      <c r="CJ123" s="1318">
        <f>CJ122-BX122</f>
        <v/>
      </c>
      <c r="CK123" s="1318">
        <f>CK122-BY122</f>
        <v/>
      </c>
      <c r="CL123" s="1318">
        <f>CL122-BZ122</f>
        <v/>
      </c>
      <c r="CM123" s="1318">
        <f>CM122-CA122</f>
        <v/>
      </c>
      <c r="CN123" s="1318">
        <f>CN122-CB122</f>
        <v/>
      </c>
      <c r="CO123" s="1318">
        <f>CO122-CC122</f>
        <v/>
      </c>
      <c r="CP123" s="1318">
        <f>CP122-CD122</f>
        <v/>
      </c>
      <c r="CQ123" s="1318">
        <f>CQ122-CE122</f>
        <v/>
      </c>
      <c r="CR123" s="1318">
        <f>CR122-CF122</f>
        <v/>
      </c>
      <c r="CS123" s="1318">
        <f>CS122-CG122</f>
        <v/>
      </c>
      <c r="CT123" s="1318">
        <f>CT122-CH122</f>
        <v/>
      </c>
      <c r="CU123" s="1318">
        <f>CU122-CI122</f>
        <v/>
      </c>
      <c r="CV123" s="1318">
        <f>CV122-CJ122</f>
        <v/>
      </c>
      <c r="CW123" s="1318">
        <f>CW122-CK122</f>
        <v/>
      </c>
      <c r="CX123" s="1318">
        <f>CX122-CL122</f>
        <v/>
      </c>
      <c r="CY123" s="1318">
        <f>CY122-CM122</f>
        <v/>
      </c>
      <c r="CZ123" s="1318">
        <f>CZ122-CN122</f>
        <v/>
      </c>
      <c r="DA123" s="1318">
        <f>DA122-CO122</f>
        <v/>
      </c>
      <c r="DB123" s="1318">
        <f>DB122-CP122</f>
        <v/>
      </c>
      <c r="DC123" s="1318">
        <f>DC122-CQ122</f>
        <v/>
      </c>
      <c r="DD123" s="1318">
        <f>DD122-CR122</f>
        <v/>
      </c>
      <c r="DE123" s="1318">
        <f>DE122-CS122</f>
        <v/>
      </c>
      <c r="DF123" s="1318">
        <f>DF122-CT122</f>
        <v/>
      </c>
      <c r="DG123" s="1318">
        <f>DG122-CU122</f>
        <v/>
      </c>
      <c r="DH123" s="1318">
        <f>DH122-CV122</f>
        <v/>
      </c>
      <c r="DI123" s="1318">
        <f>DI122-CW122</f>
        <v/>
      </c>
      <c r="DJ123" s="1318">
        <f>DJ122-CX122</f>
        <v/>
      </c>
      <c r="DK123" s="1318">
        <f>DK122-CY122</f>
        <v/>
      </c>
      <c r="DL123" s="1318">
        <f>DL122-CZ122</f>
        <v/>
      </c>
      <c r="DM123" s="1318">
        <f>DM122-DA122</f>
        <v/>
      </c>
      <c r="DN123" s="1318">
        <f>DN122-DB122</f>
        <v/>
      </c>
      <c r="DO123" s="1318">
        <f>DO122-DC122</f>
        <v/>
      </c>
      <c r="DP123" s="1318">
        <f>DP122-DD122</f>
        <v/>
      </c>
      <c r="DQ123" s="1318">
        <f>DQ122-DE122</f>
        <v/>
      </c>
      <c r="DR123" s="1318">
        <f>DR122-DF122</f>
        <v/>
      </c>
      <c r="DS123" s="1318">
        <f>DS122-DG122</f>
        <v/>
      </c>
      <c r="DT123" s="1318">
        <f>DT122-DH122</f>
        <v/>
      </c>
      <c r="DU123" s="1318">
        <f>DU122-DI122</f>
        <v/>
      </c>
      <c r="DV123" s="1318">
        <f>DV122-DJ122</f>
        <v/>
      </c>
      <c r="DW123" s="1318">
        <f>DW122-DK122</f>
        <v/>
      </c>
      <c r="DX123" s="1318">
        <f>DX122-DL122</f>
        <v/>
      </c>
      <c r="DY123" s="1318">
        <f>DY122-DM122</f>
        <v/>
      </c>
      <c r="DZ123" s="1318">
        <f>DZ122-DN122</f>
        <v/>
      </c>
      <c r="EA123" s="1318">
        <f>EA122-DO122</f>
        <v/>
      </c>
      <c r="EB123" s="1318">
        <f>EB122-DP122</f>
        <v/>
      </c>
      <c r="EC123" s="1318">
        <f>EC122-DQ122</f>
        <v/>
      </c>
      <c r="ED123" s="1318">
        <f>ED122-DR122</f>
        <v/>
      </c>
      <c r="EE123" s="1318">
        <f>EE122-DS122</f>
        <v/>
      </c>
      <c r="EF123" s="1318">
        <f>EF122-DT122</f>
        <v/>
      </c>
      <c r="EG123" s="1318">
        <f>EG122-DU122</f>
        <v/>
      </c>
      <c r="EH123" s="1318">
        <f>EH122-DV122</f>
        <v/>
      </c>
      <c r="EI123" s="1318">
        <f>EI122-DW122</f>
        <v/>
      </c>
      <c r="EJ123" s="1318">
        <f>EJ122-DX122</f>
        <v/>
      </c>
      <c r="EK123" s="1318">
        <f>EK122-DY122</f>
        <v/>
      </c>
      <c r="EL123" s="1318">
        <f>EL122-DZ122</f>
        <v/>
      </c>
      <c r="EM123" s="1318">
        <f>EM122-EA122</f>
        <v/>
      </c>
      <c r="EN123" s="1318">
        <f>EN122-EB122</f>
        <v/>
      </c>
      <c r="EO123" s="1318">
        <f>EO122-EC122</f>
        <v/>
      </c>
      <c r="EP123" s="1318">
        <f>EP122-ED122</f>
        <v/>
      </c>
      <c r="EQ123" s="1318">
        <f>EQ122-EE122</f>
        <v/>
      </c>
      <c r="ER123" s="1318">
        <f>ER122-EF122</f>
        <v/>
      </c>
      <c r="ES123" s="1318">
        <f>ES122-EG122</f>
        <v/>
      </c>
      <c r="ET123" s="1318">
        <f>ET122-EH122</f>
        <v/>
      </c>
      <c r="EU123" s="1318">
        <f>EU122-EI122</f>
        <v/>
      </c>
      <c r="EV123" s="1318">
        <f>EV122-EJ122</f>
        <v/>
      </c>
      <c r="EW123" s="1318">
        <f>EW122-EK122</f>
        <v/>
      </c>
      <c r="EX123" s="1318">
        <f>EX122-EL122</f>
        <v/>
      </c>
      <c r="EY123" s="1318">
        <f>EY122-EM122</f>
        <v/>
      </c>
      <c r="EZ123" s="1318">
        <f>EZ122-EN122</f>
        <v/>
      </c>
      <c r="FA123" s="1318">
        <f>FA122-EO122</f>
        <v/>
      </c>
      <c r="FB123" s="1318">
        <f>FB122-EP122</f>
        <v/>
      </c>
      <c r="FC123" s="1318">
        <f>FC122-EQ122</f>
        <v/>
      </c>
      <c r="FD123" s="1318">
        <f>FD122-ER122</f>
        <v/>
      </c>
      <c r="FE123" s="1318">
        <f>FE122-ES122</f>
        <v/>
      </c>
      <c r="FF123" s="1318">
        <f>FF122-ET122</f>
        <v/>
      </c>
      <c r="FG123" s="1318">
        <f>FG122-EU122</f>
        <v/>
      </c>
      <c r="FH123" s="1318">
        <f>FH122-EV122</f>
        <v/>
      </c>
      <c r="FI123" s="1318">
        <f>FI122-EW122</f>
        <v/>
      </c>
      <c r="FJ123" s="1318">
        <f>FJ122-EX122</f>
        <v/>
      </c>
      <c r="FK123" s="1318">
        <f>FK122-EY122</f>
        <v/>
      </c>
      <c r="FL123" s="1318">
        <f>FL122-EZ122</f>
        <v/>
      </c>
      <c r="FM123" s="1318">
        <f>FM122-FA122</f>
        <v/>
      </c>
      <c r="FN123" s="1318">
        <f>FN122-FB122</f>
        <v/>
      </c>
      <c r="FO123" s="1318">
        <f>FO122-FC122</f>
        <v/>
      </c>
      <c r="FP123" s="1318">
        <f>FP122-FD122</f>
        <v/>
      </c>
      <c r="FQ123" s="1318">
        <f>FQ122-FE122</f>
        <v/>
      </c>
      <c r="FR123" s="1318">
        <f>FR122-FF122</f>
        <v/>
      </c>
      <c r="FS123" s="1318">
        <f>FS122-FG122</f>
        <v/>
      </c>
      <c r="FT123" s="1318">
        <f>FT122-FH122</f>
        <v/>
      </c>
      <c r="FU123" s="1318">
        <f>FU122-FI122</f>
        <v/>
      </c>
      <c r="FV123" s="1318">
        <f>FV122-FJ122</f>
        <v/>
      </c>
      <c r="FW123" s="1318">
        <f>FW122-FK122</f>
        <v/>
      </c>
      <c r="FX123" s="1318">
        <f>FX122-FL122</f>
        <v/>
      </c>
      <c r="FY123" s="1318">
        <f>FY122-FM122</f>
        <v/>
      </c>
      <c r="FZ123" s="1318">
        <f>FZ122-FN122</f>
        <v/>
      </c>
      <c r="GA123" s="1318">
        <f>GA122-FO122</f>
        <v/>
      </c>
      <c r="GB123" s="1318">
        <f>GB122-FP122</f>
        <v/>
      </c>
      <c r="GC123" s="1318">
        <f>GC122-FQ122</f>
        <v/>
      </c>
      <c r="GD123" s="1318">
        <f>GD122-FR122</f>
        <v/>
      </c>
      <c r="GE123" s="1318">
        <f>GE122-FS122</f>
        <v/>
      </c>
      <c r="GF123" s="1318">
        <f>GF122-FT122</f>
        <v/>
      </c>
      <c r="GG123" s="1318">
        <f>GG122-FU122</f>
        <v/>
      </c>
      <c r="GH123" s="1318">
        <f>GH122-FV122</f>
        <v/>
      </c>
      <c r="GI123" s="1318">
        <f>GI122-FW122</f>
        <v/>
      </c>
      <c r="GJ123" s="1318">
        <f>GJ122-FX122</f>
        <v/>
      </c>
      <c r="GK123" s="1318">
        <f>GK122-FY122</f>
        <v/>
      </c>
      <c r="GL123" s="1318">
        <f>GL122-FZ122</f>
        <v/>
      </c>
      <c r="GM123" s="1318">
        <f>GM122-GA122</f>
        <v/>
      </c>
      <c r="GN123" s="1318">
        <f>GN122-GB122</f>
        <v/>
      </c>
      <c r="GO123" s="1318">
        <f>GO122-GC122</f>
        <v/>
      </c>
      <c r="GP123" s="1318">
        <f>GP122-GD122</f>
        <v/>
      </c>
      <c r="GQ123" s="1318">
        <f>GQ122-GE122</f>
        <v/>
      </c>
      <c r="GR123" s="1318">
        <f>GR122-GF122</f>
        <v/>
      </c>
      <c r="GS123" s="1318">
        <f>GS122-GG122</f>
        <v/>
      </c>
      <c r="GT123" s="1318">
        <f>GT122-GH122</f>
        <v/>
      </c>
      <c r="GU123" s="1318">
        <f>GU122-GI122</f>
        <v/>
      </c>
      <c r="GV123" s="1318">
        <f>GV122-GJ122</f>
        <v/>
      </c>
      <c r="GW123" s="1318">
        <f>GW122-GK122</f>
        <v/>
      </c>
      <c r="GX123" s="1318">
        <f>GX122-GL122</f>
        <v/>
      </c>
      <c r="GY123" s="1318">
        <f>GY122-GM122</f>
        <v/>
      </c>
      <c r="GZ123" s="1318">
        <f>GZ122-GN122</f>
        <v/>
      </c>
      <c r="HA123" s="1318">
        <f>HA122-GO122</f>
        <v/>
      </c>
      <c r="HB123" s="1318">
        <f>HB122-GP122</f>
        <v/>
      </c>
      <c r="HC123" s="1318">
        <f>HC122-GQ122</f>
        <v/>
      </c>
      <c r="HD123" s="1318">
        <f>HD122-GR122</f>
        <v/>
      </c>
      <c r="HE123" s="1318">
        <f>HE122-GS122</f>
        <v/>
      </c>
      <c r="HF123" s="1318">
        <f>HF122-GT122</f>
        <v/>
      </c>
      <c r="HG123" s="1318">
        <f>HG122-GU122</f>
        <v/>
      </c>
      <c r="HH123" s="1318">
        <f>HH122-GV122</f>
        <v/>
      </c>
      <c r="HI123" s="1318">
        <f>HI122-GW122</f>
        <v/>
      </c>
      <c r="HJ123" s="1318">
        <f>HJ122-GX122</f>
        <v/>
      </c>
      <c r="HK123" s="1318">
        <f>HK122-GY122</f>
        <v/>
      </c>
      <c r="HL123" s="1318">
        <f>HL122-GZ122</f>
        <v/>
      </c>
      <c r="HM123" s="1318">
        <f>HM122-HA122</f>
        <v/>
      </c>
      <c r="HN123" s="1318">
        <f>HN122-HB122</f>
        <v/>
      </c>
      <c r="HO123" s="1318">
        <f>HO122-HC122</f>
        <v/>
      </c>
      <c r="HP123" s="1318">
        <f>HP122-HD122</f>
        <v/>
      </c>
      <c r="HQ123" s="1318">
        <f>HQ122-HE122</f>
        <v/>
      </c>
      <c r="HR123" s="1318">
        <f>HR122-HF122</f>
        <v/>
      </c>
      <c r="HS123" s="1318">
        <f>HS122-HG122</f>
        <v/>
      </c>
      <c r="HT123" s="1318">
        <f>HT122-HH122</f>
        <v/>
      </c>
      <c r="HU123" s="1318">
        <f>HU122-HI122</f>
        <v/>
      </c>
      <c r="HV123" s="1318">
        <f>HV122-HJ122</f>
        <v/>
      </c>
      <c r="HW123" s="1318">
        <f>HW122-HK122</f>
        <v/>
      </c>
      <c r="HX123" s="1318">
        <f>HX122-HL122</f>
        <v/>
      </c>
      <c r="HY123" s="1318">
        <f>HY122-HM122</f>
        <v/>
      </c>
      <c r="HZ123" s="1318">
        <f>HZ122-HN122</f>
        <v/>
      </c>
      <c r="IA123" s="1318">
        <f>IA122-HO122</f>
        <v/>
      </c>
      <c r="IB123" s="1318">
        <f>IB122-HP122</f>
        <v/>
      </c>
      <c r="IC123" s="1318">
        <f>IC122-HQ122</f>
        <v/>
      </c>
      <c r="ID123" s="1318">
        <f>ID122-HR122</f>
        <v/>
      </c>
      <c r="IE123" s="1318">
        <f>IE122-HS122</f>
        <v/>
      </c>
      <c r="IF123" s="1318">
        <f>IF122-HT122</f>
        <v/>
      </c>
      <c r="IG123" s="1318">
        <f>IG122-HU122</f>
        <v/>
      </c>
      <c r="IH123" s="1318">
        <f>IH122-HV122</f>
        <v/>
      </c>
      <c r="II123" s="1318">
        <f>II122-HW122</f>
        <v/>
      </c>
      <c r="IJ123" s="1318">
        <f>IJ122-HX122</f>
        <v/>
      </c>
      <c r="IK123" s="1318">
        <f>IK122-HY122</f>
        <v/>
      </c>
      <c r="IL123" s="1318">
        <f>IL122-HZ122</f>
        <v/>
      </c>
      <c r="IM123" s="1318">
        <f>IM122-IA122</f>
        <v/>
      </c>
      <c r="IN123" s="1318">
        <f>IN122-IB122</f>
        <v/>
      </c>
      <c r="IO123" s="1318">
        <f>IO122-IC122</f>
        <v/>
      </c>
      <c r="IP123" s="1318">
        <f>IP122-ID122</f>
        <v/>
      </c>
      <c r="IQ123" s="1318">
        <f>IQ122-IE122</f>
        <v/>
      </c>
      <c r="IR123" s="1318">
        <f>IR122-IF122</f>
        <v/>
      </c>
      <c r="IS123" s="1318">
        <f>IS122-IG122</f>
        <v/>
      </c>
      <c r="IT123" s="1318">
        <f>IT122-IH122</f>
        <v/>
      </c>
      <c r="IU123" s="1318">
        <f>IU122-II122</f>
        <v/>
      </c>
      <c r="IV123" s="1318">
        <f>IV122-IJ122</f>
        <v/>
      </c>
      <c r="IW123" s="1318">
        <f>IW122-IK122</f>
        <v/>
      </c>
      <c r="IX123" s="1318">
        <f>IX122-IL122</f>
        <v/>
      </c>
      <c r="IY123" s="1318">
        <f>IY122-IM122</f>
        <v/>
      </c>
      <c r="IZ123" s="1318">
        <f>IZ122-IN122</f>
        <v/>
      </c>
      <c r="JA123" s="1318">
        <f>JA122-IO122</f>
        <v/>
      </c>
      <c r="JB123" s="1318">
        <f>JB122-IP122</f>
        <v/>
      </c>
      <c r="JC123" s="1318">
        <f>JC122-IQ122</f>
        <v/>
      </c>
      <c r="JD123" s="1318">
        <f>JD122-IR122</f>
        <v/>
      </c>
      <c r="JE123" s="1318">
        <f>JE122-IS122</f>
        <v/>
      </c>
      <c r="JF123" s="1318">
        <f>JF122-IT122</f>
        <v/>
      </c>
      <c r="JG123" s="1318">
        <f>JG122-IU122</f>
        <v/>
      </c>
      <c r="JH123" s="1318">
        <f>JH122-IV122</f>
        <v/>
      </c>
      <c r="JI123" s="1318">
        <f>JI122-IW122</f>
        <v/>
      </c>
      <c r="JJ123" s="1318">
        <f>JJ122-IX122</f>
        <v/>
      </c>
      <c r="JK123" s="1318">
        <f>JK122-IY122</f>
        <v/>
      </c>
      <c r="JL123" s="1318">
        <f>JL122-IZ122</f>
        <v/>
      </c>
      <c r="JM123" s="1318">
        <f>JM122-JA122</f>
        <v/>
      </c>
      <c r="JN123" s="1318">
        <f>JN122-JB122</f>
        <v/>
      </c>
      <c r="JO123" s="1318">
        <f>JO122-JC122</f>
        <v/>
      </c>
      <c r="JP123" s="1318">
        <f>JP122-JD122</f>
        <v/>
      </c>
      <c r="JQ123" s="1318">
        <f>JQ122-JE122</f>
        <v/>
      </c>
      <c r="JR123" s="1318">
        <f>JR122-JF122</f>
        <v/>
      </c>
      <c r="JS123" s="1318">
        <f>JS122-JG122</f>
        <v/>
      </c>
      <c r="JT123" s="1318">
        <f>JT122-JH122</f>
        <v/>
      </c>
      <c r="JU123" s="1318">
        <f>JU122-JI122</f>
        <v/>
      </c>
      <c r="JV123" s="1318">
        <f>JV122-JJ122</f>
        <v/>
      </c>
      <c r="JW123" s="1318">
        <f>JW122-JK122</f>
        <v/>
      </c>
      <c r="JX123" s="1318">
        <f>JX122-JL122</f>
        <v/>
      </c>
      <c r="JY123" s="1318">
        <f>JY122-JM122</f>
        <v/>
      </c>
      <c r="JZ123" s="1318">
        <f>JZ122-JN122</f>
        <v/>
      </c>
      <c r="KA123" s="1318">
        <f>KA122-JO122</f>
        <v/>
      </c>
      <c r="KB123" s="1318">
        <f>KB122-JP122</f>
        <v/>
      </c>
      <c r="KC123" s="1318">
        <f>KC122-JQ122</f>
        <v/>
      </c>
      <c r="KD123" s="1318">
        <f>KD122-JR122</f>
        <v/>
      </c>
      <c r="KE123" s="1318">
        <f>KE122-JS122</f>
        <v/>
      </c>
      <c r="KF123" s="1318">
        <f>KF122-JT122</f>
        <v/>
      </c>
      <c r="KG123" s="1318">
        <f>KG122-JU122</f>
        <v/>
      </c>
      <c r="KH123" s="1318">
        <f>KH122-JV122</f>
        <v/>
      </c>
      <c r="KI123" s="1318">
        <f>KI122-JW122</f>
        <v/>
      </c>
      <c r="KJ123" s="1318">
        <f>KJ122-JX122</f>
        <v/>
      </c>
      <c r="KK123" s="1318">
        <f>KK122-JY122</f>
        <v/>
      </c>
      <c r="KL123" s="1318">
        <f>KL122-JZ122</f>
        <v/>
      </c>
      <c r="KM123" s="1318">
        <f>KM122-KA122</f>
        <v/>
      </c>
      <c r="KN123" s="1318">
        <f>KN122-KB122</f>
        <v/>
      </c>
      <c r="KO123" s="1318">
        <f>KO122-KC122</f>
        <v/>
      </c>
      <c r="KP123" s="1318">
        <f>KP122-KD122</f>
        <v/>
      </c>
      <c r="KQ123" s="1318">
        <f>KQ122-KE122</f>
        <v/>
      </c>
      <c r="KR123" s="1318">
        <f>KR122-KF122</f>
        <v/>
      </c>
      <c r="KS123" s="1318">
        <f>KS122-KG122</f>
        <v/>
      </c>
      <c r="KT123" s="1318">
        <f>KT122-KH122</f>
        <v/>
      </c>
      <c r="KU123" s="1318">
        <f>KU122-KI122</f>
        <v/>
      </c>
      <c r="KV123" s="1318">
        <f>KV122-KJ122</f>
        <v/>
      </c>
      <c r="KW123" s="1318">
        <f>KW122-KK122</f>
        <v/>
      </c>
      <c r="KX123" s="1318">
        <f>KX122-KL122</f>
        <v/>
      </c>
      <c r="KY123" s="1318">
        <f>KY122-KM122</f>
        <v/>
      </c>
      <c r="KZ123" s="1318">
        <f>KZ122-KN122</f>
        <v/>
      </c>
      <c r="LA123" s="1318">
        <f>LA122-KO122</f>
        <v/>
      </c>
      <c r="LB123" s="1318" t="n"/>
      <c r="LC123" s="1318" t="n"/>
      <c r="LD123" s="1318" t="n"/>
      <c r="LE123" s="1318" t="n"/>
      <c r="LF123" s="1318" t="n"/>
      <c r="LG123" s="1318" t="n"/>
      <c r="LH123" s="1318" t="n"/>
      <c r="LI123" s="1318" t="n"/>
      <c r="LJ123" s="1318" t="n"/>
      <c r="LK123" s="1318" t="n"/>
      <c r="LL123" s="1318" t="n"/>
      <c r="LM123" s="1318" t="n"/>
      <c r="LN123" s="1318" t="n"/>
      <c r="LO123" s="1318" t="n"/>
      <c r="LP123" s="1318" t="n"/>
      <c r="LQ123" s="1318" t="n"/>
      <c r="LR123" s="1318" t="n"/>
      <c r="LS123" s="1318" t="n"/>
    </row>
    <row r="124" ht="15" customHeight="1" s="239">
      <c r="A124" s="1341" t="inlineStr">
        <is>
          <t>China</t>
        </is>
      </c>
      <c r="B124" s="1342" t="n"/>
      <c r="C124" s="1342" t="n"/>
      <c r="D124" s="1342" t="n"/>
      <c r="E124" s="1342" t="n"/>
      <c r="F124" s="1342" t="n"/>
      <c r="G124" s="1342" t="n"/>
      <c r="H124" s="1342" t="n"/>
      <c r="I124" s="1342" t="n"/>
      <c r="J124" s="1342" t="n"/>
      <c r="K124" s="1342" t="n"/>
      <c r="L124" s="1342" t="n"/>
      <c r="M124" s="1342" t="n"/>
      <c r="N124" s="1342" t="n"/>
      <c r="O124" s="1342" t="n"/>
      <c r="P124" s="1342" t="n"/>
      <c r="Q124" s="1342" t="n"/>
      <c r="R124" s="1342" t="n"/>
      <c r="S124" s="1342" t="n"/>
      <c r="T124" s="1342" t="n"/>
      <c r="U124" s="1342" t="n"/>
      <c r="V124" s="1342" t="n"/>
      <c r="W124" s="1342" t="n"/>
      <c r="X124" s="1342" t="n"/>
      <c r="Y124" s="1342" t="n"/>
      <c r="Z124" s="1342" t="n"/>
      <c r="AA124" s="1342" t="n"/>
      <c r="AB124" s="1342" t="n"/>
      <c r="AC124" s="1342" t="n"/>
      <c r="AD124" s="1342" t="n"/>
      <c r="AE124" s="1342" t="n"/>
      <c r="AF124" s="1342" t="n"/>
      <c r="AG124" s="1342" t="n"/>
      <c r="AH124" s="1342" t="n"/>
      <c r="AI124" s="1342" t="n"/>
      <c r="AJ124" s="1342" t="n"/>
      <c r="AK124" s="1342" t="n"/>
      <c r="AL124" s="1342" t="n"/>
      <c r="AM124" s="1342" t="n"/>
      <c r="AN124" s="1342" t="n"/>
      <c r="AO124" s="1342" t="n"/>
      <c r="AP124" s="1342" t="n"/>
      <c r="AQ124" s="1342" t="n"/>
      <c r="AR124" s="1342" t="n"/>
      <c r="AS124" s="1342" t="n"/>
      <c r="AT124" s="1342" t="n"/>
      <c r="AU124" s="1342" t="n"/>
      <c r="AV124" s="1342" t="n"/>
      <c r="AW124" s="1342" t="n"/>
      <c r="AX124" s="1342" t="n"/>
      <c r="AY124" s="1342" t="n"/>
      <c r="AZ124" s="1342" t="n"/>
      <c r="BA124" s="1342" t="n"/>
      <c r="BB124" s="1342" t="n"/>
      <c r="BC124" s="1342" t="n"/>
      <c r="BD124" s="1342" t="n"/>
      <c r="BE124" s="1342" t="n"/>
      <c r="BF124" s="1342" t="n"/>
      <c r="BG124" s="1342" t="n"/>
      <c r="BH124" s="1342" t="n"/>
      <c r="BI124" s="1342" t="n"/>
      <c r="BJ124" s="1342" t="n"/>
      <c r="BK124" s="1342" t="n"/>
      <c r="BL124" s="1342" t="n"/>
      <c r="BM124" s="1342" t="n"/>
      <c r="BN124" s="1342" t="n"/>
      <c r="BO124" s="1342" t="n"/>
      <c r="BP124" s="1342" t="n"/>
      <c r="BQ124" s="1342" t="n"/>
      <c r="BR124" s="1342" t="n"/>
      <c r="BS124" s="1342" t="n"/>
      <c r="BT124" s="1342" t="n"/>
      <c r="BU124" s="1342" t="n"/>
      <c r="BV124" s="1342" t="n"/>
      <c r="BW124" s="1342" t="n"/>
      <c r="BX124" s="1342" t="n"/>
      <c r="BY124" s="1342" t="n"/>
      <c r="BZ124" s="1342" t="n"/>
      <c r="CA124" s="1342" t="n"/>
      <c r="CB124" s="1342" t="n"/>
      <c r="CC124" s="1342" t="n"/>
      <c r="CD124" s="1342" t="n"/>
      <c r="CE124" s="1342" t="n"/>
      <c r="CF124" s="1342" t="n"/>
      <c r="CG124" s="1342" t="n"/>
      <c r="CH124" s="1342" t="n"/>
      <c r="CI124" s="1342" t="n"/>
      <c r="CJ124" s="1342" t="n"/>
      <c r="CK124" s="1342" t="n"/>
      <c r="CL124" s="1342" t="n"/>
      <c r="CM124" s="1342" t="n"/>
      <c r="CN124" s="1342" t="n"/>
      <c r="CO124" s="1342" t="n"/>
      <c r="CP124" s="1342" t="n"/>
      <c r="CQ124" s="1342" t="n"/>
      <c r="CR124" s="1342" t="n"/>
      <c r="CS124" s="1342" t="n"/>
      <c r="CT124" s="1342">
        <f>CT72/CT36</f>
        <v/>
      </c>
      <c r="CU124" s="1342">
        <f>CU72/CU36</f>
        <v/>
      </c>
      <c r="CV124" s="1342">
        <f>CV72/CV36</f>
        <v/>
      </c>
      <c r="CW124" s="1342">
        <f>CW72/CW36</f>
        <v/>
      </c>
      <c r="CX124" s="1342">
        <f>CX72/CX36</f>
        <v/>
      </c>
      <c r="CY124" s="1342">
        <f>CY72/CY36</f>
        <v/>
      </c>
      <c r="CZ124" s="1342">
        <f>CZ72/CZ36</f>
        <v/>
      </c>
      <c r="DA124" s="1342">
        <f>DA72/DA36</f>
        <v/>
      </c>
      <c r="DB124" s="1342">
        <f>DB72/DB36</f>
        <v/>
      </c>
      <c r="DC124" s="1342">
        <f>DC72/DC36</f>
        <v/>
      </c>
      <c r="DD124" s="1342">
        <f>DD72/DD36</f>
        <v/>
      </c>
      <c r="DE124" s="1342">
        <f>DE72/DE36</f>
        <v/>
      </c>
      <c r="DF124" s="1342">
        <f>DF72/DF36</f>
        <v/>
      </c>
      <c r="DG124" s="1342">
        <f>DG72/DG36</f>
        <v/>
      </c>
      <c r="DH124" s="1342">
        <f>DH72/DH36</f>
        <v/>
      </c>
      <c r="DI124" s="1342">
        <f>DI72/DI36</f>
        <v/>
      </c>
      <c r="DJ124" s="1342">
        <f>DJ72/DJ36</f>
        <v/>
      </c>
      <c r="DK124" s="1342">
        <f>DK72/DK36</f>
        <v/>
      </c>
      <c r="DL124" s="1342">
        <f>DL72/DL36</f>
        <v/>
      </c>
      <c r="DM124" s="1342">
        <f>DM72/DM36</f>
        <v/>
      </c>
      <c r="DN124" s="1342">
        <f>DN72/DN36</f>
        <v/>
      </c>
      <c r="DO124" s="1342">
        <f>DO72/DO36</f>
        <v/>
      </c>
      <c r="DP124" s="1342">
        <f>DP72/DP36</f>
        <v/>
      </c>
      <c r="DQ124" s="1342">
        <f>DQ72/DQ36</f>
        <v/>
      </c>
      <c r="DR124" s="1342">
        <f>DR72/DR36</f>
        <v/>
      </c>
      <c r="DS124" s="1342">
        <f>DS72/DS36</f>
        <v/>
      </c>
      <c r="DT124" s="1342">
        <f>DT72/DT36</f>
        <v/>
      </c>
      <c r="DU124" s="1342">
        <f>DU72/DU36</f>
        <v/>
      </c>
      <c r="DV124" s="1342">
        <f>DV72/DV36</f>
        <v/>
      </c>
      <c r="DW124" s="1342">
        <f>DW72/DW36</f>
        <v/>
      </c>
      <c r="DX124" s="1342">
        <f>DX72/DX36</f>
        <v/>
      </c>
      <c r="DY124" s="1342">
        <f>DY72/DY36</f>
        <v/>
      </c>
      <c r="DZ124" s="1342">
        <f>DZ72/DZ36</f>
        <v/>
      </c>
      <c r="EA124" s="1342">
        <f>EA72/EA36</f>
        <v/>
      </c>
      <c r="EB124" s="1342">
        <f>EB72/EB36</f>
        <v/>
      </c>
      <c r="EC124" s="1342">
        <f>EC72/EC36</f>
        <v/>
      </c>
      <c r="ED124" s="1342">
        <f>ED72/ED36</f>
        <v/>
      </c>
      <c r="EE124" s="1342">
        <f>EE72/EE36</f>
        <v/>
      </c>
      <c r="EF124" s="1342">
        <f>EF72/EF36</f>
        <v/>
      </c>
      <c r="EG124" s="1342">
        <f>EG72/EG36</f>
        <v/>
      </c>
      <c r="EH124" s="1342">
        <f>EH72/EH36</f>
        <v/>
      </c>
      <c r="EI124" s="1342">
        <f>EI72/EI36</f>
        <v/>
      </c>
      <c r="EJ124" s="1342">
        <f>EJ72/EJ36</f>
        <v/>
      </c>
      <c r="EK124" s="1342">
        <f>EK72/EK36</f>
        <v/>
      </c>
      <c r="EL124" s="1342">
        <f>EL72/EL36</f>
        <v/>
      </c>
      <c r="EM124" s="1342">
        <f>EM72/EM36</f>
        <v/>
      </c>
      <c r="EN124" s="1342">
        <f>EN72/EN36</f>
        <v/>
      </c>
      <c r="EO124" s="1342">
        <f>EO72/EO36</f>
        <v/>
      </c>
      <c r="EP124" s="1342">
        <f>EP72/EP36</f>
        <v/>
      </c>
      <c r="EQ124" s="1342">
        <f>EQ72/EQ36</f>
        <v/>
      </c>
      <c r="ER124" s="1342">
        <f>ER72/ER36</f>
        <v/>
      </c>
      <c r="ES124" s="1342">
        <f>ES72/ES36</f>
        <v/>
      </c>
      <c r="ET124" s="1342">
        <f>ET72/ET36</f>
        <v/>
      </c>
      <c r="EU124" s="1342">
        <f>EU72/EU36</f>
        <v/>
      </c>
      <c r="EV124" s="1342">
        <f>EV72/EV36</f>
        <v/>
      </c>
      <c r="EW124" s="1342">
        <f>EW72/EW36</f>
        <v/>
      </c>
      <c r="EX124" s="1342">
        <f>EX72/EX36</f>
        <v/>
      </c>
      <c r="EY124" s="1342">
        <f>EY72/EY36</f>
        <v/>
      </c>
      <c r="EZ124" s="1342">
        <f>EZ72/EZ36</f>
        <v/>
      </c>
      <c r="FA124" s="1342">
        <f>FA72/FA36</f>
        <v/>
      </c>
      <c r="FB124" s="1342">
        <f>FB72/FB36</f>
        <v/>
      </c>
      <c r="FC124" s="1342">
        <f>FC72/FC36</f>
        <v/>
      </c>
      <c r="FD124" s="1342">
        <f>FD72/FD36</f>
        <v/>
      </c>
      <c r="FE124" s="1342">
        <f>FE72/FE36</f>
        <v/>
      </c>
      <c r="FF124" s="1342">
        <f>FF72/FF36</f>
        <v/>
      </c>
      <c r="FG124" s="1342">
        <f>FG72/FG36</f>
        <v/>
      </c>
      <c r="FH124" s="1342">
        <f>FH72/FH36</f>
        <v/>
      </c>
      <c r="FI124" s="1342">
        <f>FI72/FI36</f>
        <v/>
      </c>
      <c r="FJ124" s="1342">
        <f>FJ72/FJ36</f>
        <v/>
      </c>
      <c r="FK124" s="1342">
        <f>FK72/FK36</f>
        <v/>
      </c>
      <c r="FL124" s="1342">
        <f>FL72/FL36</f>
        <v/>
      </c>
      <c r="FM124" s="1342">
        <f>FM72/FM36</f>
        <v/>
      </c>
      <c r="FN124" s="1342">
        <f>FN72/FN36</f>
        <v/>
      </c>
      <c r="FO124" s="1342">
        <f>FO72/FO36</f>
        <v/>
      </c>
      <c r="FP124" s="1342">
        <f>FP72/FP36</f>
        <v/>
      </c>
      <c r="FQ124" s="1342">
        <f>FQ72/FQ36</f>
        <v/>
      </c>
      <c r="FR124" s="1342">
        <f>FR72/FR36</f>
        <v/>
      </c>
      <c r="FS124" s="1342">
        <f>FS72/FS36</f>
        <v/>
      </c>
      <c r="FT124" s="1342">
        <f>FT72/FT36</f>
        <v/>
      </c>
      <c r="FU124" s="1342">
        <f>FU72/FU36</f>
        <v/>
      </c>
      <c r="FV124" s="1342">
        <f>FV72/FV36</f>
        <v/>
      </c>
      <c r="FW124" s="1342">
        <f>FW72/FW36</f>
        <v/>
      </c>
      <c r="FX124" s="1342">
        <f>FX72/FX36</f>
        <v/>
      </c>
      <c r="FY124" s="1342">
        <f>FY72/FY36</f>
        <v/>
      </c>
      <c r="FZ124" s="1342">
        <f>FZ72/FZ36</f>
        <v/>
      </c>
      <c r="GA124" s="1342">
        <f>GA72/GA36</f>
        <v/>
      </c>
      <c r="GB124" s="1342">
        <f>GB72/GB36</f>
        <v/>
      </c>
      <c r="GC124" s="1342">
        <f>GC72/GC36</f>
        <v/>
      </c>
      <c r="GD124" s="1342">
        <f>GD72/GD36</f>
        <v/>
      </c>
      <c r="GE124" s="1342">
        <f>GE72/GE36</f>
        <v/>
      </c>
      <c r="GF124" s="1342">
        <f>GF72/GF36</f>
        <v/>
      </c>
      <c r="GG124" s="1342">
        <f>GG72/GG36</f>
        <v/>
      </c>
      <c r="GH124" s="1342">
        <f>GH72/GH36</f>
        <v/>
      </c>
      <c r="GI124" s="1342">
        <f>GI72/GI36</f>
        <v/>
      </c>
      <c r="GJ124" s="1342">
        <f>GJ72/GJ36</f>
        <v/>
      </c>
      <c r="GK124" s="1342">
        <f>GK72/GK36</f>
        <v/>
      </c>
      <c r="GL124" s="1342">
        <f>GL72/GL36</f>
        <v/>
      </c>
      <c r="GM124" s="1342">
        <f>GM72/GM36</f>
        <v/>
      </c>
      <c r="GN124" s="1342">
        <f>GN72/GN36</f>
        <v/>
      </c>
      <c r="GO124" s="1342">
        <f>GO72/GO36</f>
        <v/>
      </c>
      <c r="GP124" s="1342">
        <f>GP72/GP36</f>
        <v/>
      </c>
      <c r="GQ124" s="1342">
        <f>GQ72/GQ36</f>
        <v/>
      </c>
      <c r="GR124" s="1342">
        <f>GR72/GR36</f>
        <v/>
      </c>
      <c r="GS124" s="1342">
        <f>GS72/GS36</f>
        <v/>
      </c>
      <c r="GT124" s="1342">
        <f>GT72/GT36</f>
        <v/>
      </c>
      <c r="GU124" s="1342">
        <f>GU72/GU36</f>
        <v/>
      </c>
      <c r="GV124" s="1342">
        <f>GV72/GV36</f>
        <v/>
      </c>
      <c r="GW124" s="1342">
        <f>GW72/GW36</f>
        <v/>
      </c>
      <c r="GX124" s="1342">
        <f>GX72/GX36</f>
        <v/>
      </c>
      <c r="GY124" s="1342">
        <f>GY72/GY36</f>
        <v/>
      </c>
      <c r="GZ124" s="1342">
        <f>GZ72/GZ36</f>
        <v/>
      </c>
      <c r="HA124" s="1342">
        <f>HA72/HA36</f>
        <v/>
      </c>
      <c r="HB124" s="1342">
        <f>HB72/HB36</f>
        <v/>
      </c>
      <c r="HC124" s="1342">
        <f>HC72/HC36</f>
        <v/>
      </c>
      <c r="HD124" s="1342">
        <f>HD72/HD36</f>
        <v/>
      </c>
      <c r="HE124" s="1342">
        <f>HE72/HE36</f>
        <v/>
      </c>
      <c r="HF124" s="1342">
        <f>HF72/HF36</f>
        <v/>
      </c>
      <c r="HG124" s="1342">
        <f>HG72/HG36</f>
        <v/>
      </c>
      <c r="HH124" s="1342">
        <f>HH72/HH36</f>
        <v/>
      </c>
      <c r="HI124" s="1342">
        <f>HI72/HI36</f>
        <v/>
      </c>
      <c r="HJ124" s="1342">
        <f>HJ72/HJ36</f>
        <v/>
      </c>
      <c r="HK124" s="1342">
        <f>HK72/HK36</f>
        <v/>
      </c>
      <c r="HL124" s="1342">
        <f>HL72/HL36</f>
        <v/>
      </c>
      <c r="HM124" s="1342">
        <f>HM72/HM36</f>
        <v/>
      </c>
      <c r="HN124" s="1342">
        <f>HN72/HN36</f>
        <v/>
      </c>
      <c r="HO124" s="1342">
        <f>HO72/HO36</f>
        <v/>
      </c>
      <c r="HP124" s="1342">
        <f>HP72/HP36</f>
        <v/>
      </c>
      <c r="HQ124" s="1342">
        <f>HQ72/HQ36</f>
        <v/>
      </c>
      <c r="HR124" s="1342">
        <f>HR72/HR36</f>
        <v/>
      </c>
      <c r="HS124" s="1342">
        <f>HS72/HS36</f>
        <v/>
      </c>
      <c r="HT124" s="1342">
        <f>HT72/HT36</f>
        <v/>
      </c>
      <c r="HU124" s="1342">
        <f>HU72/HU36</f>
        <v/>
      </c>
      <c r="HV124" s="1342">
        <f>HV72/HV36</f>
        <v/>
      </c>
      <c r="HW124" s="1342">
        <f>HW72/HW36</f>
        <v/>
      </c>
      <c r="HX124" s="1342">
        <f>HX72/HX36</f>
        <v/>
      </c>
      <c r="HY124" s="1342">
        <f>HY72/HY36</f>
        <v/>
      </c>
      <c r="HZ124" s="1342">
        <f>HZ72/HZ36</f>
        <v/>
      </c>
      <c r="IA124" s="1342">
        <f>IA72/IA36</f>
        <v/>
      </c>
      <c r="IB124" s="1342">
        <f>IB72/IB36</f>
        <v/>
      </c>
      <c r="IC124" s="1342">
        <f>IC72/IC36</f>
        <v/>
      </c>
      <c r="ID124" s="1342">
        <f>ID72/ID36</f>
        <v/>
      </c>
      <c r="IE124" s="1342">
        <f>IE72/IE36</f>
        <v/>
      </c>
      <c r="IF124" s="1342">
        <f>IF72/IF36</f>
        <v/>
      </c>
      <c r="IG124" s="1342">
        <f>IG72/IG36</f>
        <v/>
      </c>
      <c r="IH124" s="1342">
        <f>IH72/IH36</f>
        <v/>
      </c>
      <c r="II124" s="1342">
        <f>II72/II36</f>
        <v/>
      </c>
      <c r="IJ124" s="1342">
        <f>IJ72/IJ36</f>
        <v/>
      </c>
      <c r="IK124" s="1342">
        <f>IK72/IK36</f>
        <v/>
      </c>
      <c r="IL124" s="1342">
        <f>IL72/IL36</f>
        <v/>
      </c>
      <c r="IM124" s="1342">
        <f>IM72/IM36</f>
        <v/>
      </c>
      <c r="IN124" s="1342">
        <f>IN72/IN36</f>
        <v/>
      </c>
      <c r="IO124" s="1342">
        <f>IO72/IO36</f>
        <v/>
      </c>
      <c r="IP124" s="1342">
        <f>IP72/IP36</f>
        <v/>
      </c>
      <c r="IQ124" s="1342">
        <f>IQ72/IQ36</f>
        <v/>
      </c>
      <c r="IR124" s="1342">
        <f>IR72/IR36</f>
        <v/>
      </c>
      <c r="IS124" s="1342">
        <f>IS72/IS36</f>
        <v/>
      </c>
      <c r="IT124" s="1342">
        <f>IT72/IT36</f>
        <v/>
      </c>
      <c r="IU124" s="1342">
        <f>IU72/IU36</f>
        <v/>
      </c>
      <c r="IV124" s="1342">
        <f>IV72/IV36</f>
        <v/>
      </c>
      <c r="IW124" s="1342">
        <f>IW72/IW36</f>
        <v/>
      </c>
      <c r="IX124" s="1342">
        <f>IX72/IX36</f>
        <v/>
      </c>
      <c r="IY124" s="1342">
        <f>IY72/IY36</f>
        <v/>
      </c>
      <c r="IZ124" s="1342">
        <f>IZ72/IZ36</f>
        <v/>
      </c>
      <c r="JA124" s="1342">
        <f>JA72/JA36</f>
        <v/>
      </c>
      <c r="JB124" s="1342">
        <f>JB72/JB36</f>
        <v/>
      </c>
      <c r="JC124" s="1342">
        <f>JC72/JC36</f>
        <v/>
      </c>
      <c r="JD124" s="1342">
        <f>JD72/JD36</f>
        <v/>
      </c>
      <c r="JE124" s="1342">
        <f>JE72/JE36</f>
        <v/>
      </c>
      <c r="JF124" s="1342">
        <f>JF72/JF36</f>
        <v/>
      </c>
      <c r="JG124" s="1342">
        <f>JG72/JG36</f>
        <v/>
      </c>
      <c r="JH124" s="1342">
        <f>JH72/JH36</f>
        <v/>
      </c>
      <c r="JI124" s="1342">
        <f>JI72/JI36</f>
        <v/>
      </c>
      <c r="JJ124" s="1342">
        <f>JJ72/JJ36</f>
        <v/>
      </c>
      <c r="JK124" s="1342">
        <f>JK72/JK36</f>
        <v/>
      </c>
      <c r="JL124" s="1342">
        <f>JL72/JL36</f>
        <v/>
      </c>
      <c r="JM124" s="1342">
        <f>JM72/JM36</f>
        <v/>
      </c>
      <c r="JN124" s="1342">
        <f>JN72/JN36</f>
        <v/>
      </c>
      <c r="JO124" s="1342">
        <f>JO72/JO36</f>
        <v/>
      </c>
      <c r="JP124" s="1342">
        <f>JP72/JP36</f>
        <v/>
      </c>
      <c r="JQ124" s="1342">
        <f>JQ72/JQ36</f>
        <v/>
      </c>
      <c r="JR124" s="1342">
        <f>JR72/JR36</f>
        <v/>
      </c>
      <c r="JS124" s="1342">
        <f>JS72/JS36</f>
        <v/>
      </c>
      <c r="JT124" s="1342">
        <f>JT72/JT36</f>
        <v/>
      </c>
      <c r="JU124" s="1342">
        <f>JU72/JU36</f>
        <v/>
      </c>
      <c r="JV124" s="1342">
        <f>JV72/JV36</f>
        <v/>
      </c>
      <c r="JW124" s="1342">
        <f>JW72/JW36</f>
        <v/>
      </c>
      <c r="JX124" s="1342">
        <f>JX72/JX36</f>
        <v/>
      </c>
      <c r="JY124" s="1342">
        <f>JY72/JY36</f>
        <v/>
      </c>
      <c r="JZ124" s="1342">
        <f>JZ72/JZ36</f>
        <v/>
      </c>
      <c r="KA124" s="1342">
        <f>KA72/KA36</f>
        <v/>
      </c>
      <c r="KB124" s="1342">
        <f>KB72/KB36</f>
        <v/>
      </c>
      <c r="KC124" s="1342">
        <f>KC72/KC36</f>
        <v/>
      </c>
      <c r="KD124" s="1342">
        <f>KD72/KD36</f>
        <v/>
      </c>
      <c r="KE124" s="1342">
        <f>KE72/KE36</f>
        <v/>
      </c>
      <c r="KF124" s="1342">
        <f>KF72/KF36</f>
        <v/>
      </c>
      <c r="KG124" s="1342">
        <f>KG72/KG36</f>
        <v/>
      </c>
      <c r="KH124" s="1342">
        <f>KH72/KH36</f>
        <v/>
      </c>
      <c r="KI124" s="1342">
        <f>KI72/KI36</f>
        <v/>
      </c>
      <c r="KJ124" s="1342">
        <f>KJ72/KJ36</f>
        <v/>
      </c>
      <c r="KK124" s="1342">
        <f>KK72/KK36</f>
        <v/>
      </c>
      <c r="KL124" s="1342">
        <f>KL72/KL36</f>
        <v/>
      </c>
      <c r="KM124" s="1342">
        <f>KM72/KM36</f>
        <v/>
      </c>
      <c r="KN124" s="1342">
        <f>KN72/KN36</f>
        <v/>
      </c>
      <c r="KO124" s="1342">
        <f>KO72/KO36</f>
        <v/>
      </c>
      <c r="KP124" s="1342">
        <f>KP72/KP36</f>
        <v/>
      </c>
      <c r="KQ124" s="1342">
        <f>KQ72/KQ36</f>
        <v/>
      </c>
      <c r="KR124" s="1342">
        <f>KR72/KR36</f>
        <v/>
      </c>
      <c r="KS124" s="1342">
        <f>KS72/KS36</f>
        <v/>
      </c>
      <c r="KT124" s="1342">
        <f>KT72/KT36</f>
        <v/>
      </c>
      <c r="KU124" s="1342">
        <f>KU72/KU36</f>
        <v/>
      </c>
      <c r="KV124" s="1342">
        <f>KV72/KV36</f>
        <v/>
      </c>
      <c r="KW124" s="1342">
        <f>KW72/KW36</f>
        <v/>
      </c>
      <c r="KX124" s="1342">
        <f>KX72/KX36</f>
        <v/>
      </c>
      <c r="KY124" s="1342">
        <f>KY72/KY36</f>
        <v/>
      </c>
      <c r="KZ124" s="1342">
        <f>KZ72/KZ36</f>
        <v/>
      </c>
      <c r="LA124" s="1342">
        <f>LA72/LA36</f>
        <v/>
      </c>
      <c r="LB124" s="1342" t="n"/>
      <c r="LC124" s="1342" t="n"/>
      <c r="LD124" s="1342" t="n"/>
      <c r="LE124" s="1342" t="n"/>
      <c r="LF124" s="1342" t="n"/>
      <c r="LG124" s="1342" t="n"/>
      <c r="LH124" s="1342" t="n"/>
      <c r="LI124" s="1342" t="n"/>
      <c r="LJ124" s="1342" t="n"/>
      <c r="LK124" s="1342" t="n"/>
      <c r="LL124" s="1342" t="n"/>
      <c r="LM124" s="1342" t="n"/>
      <c r="LN124" s="1342" t="n"/>
      <c r="LO124" s="1342" t="n"/>
      <c r="LP124" s="1342" t="n"/>
      <c r="LQ124" s="1342" t="n"/>
      <c r="LR124" s="1342" t="n"/>
      <c r="LS124" s="1342" t="n"/>
    </row>
    <row r="125">
      <c r="A125" s="885" t="inlineStr">
        <is>
          <t>m cg %</t>
        </is>
      </c>
      <c r="B125" s="1318" t="n"/>
      <c r="C125" s="1318" t="n"/>
      <c r="D125" s="1318" t="n"/>
      <c r="E125" s="1318" t="n"/>
      <c r="F125" s="1318" t="n"/>
      <c r="G125" s="1318" t="n"/>
      <c r="H125" s="1318" t="n"/>
      <c r="I125" s="1318" t="n"/>
      <c r="J125" s="1318" t="n"/>
      <c r="K125" s="1318" t="n"/>
      <c r="L125" s="1318" t="n"/>
      <c r="M125" s="1318" t="n"/>
      <c r="N125" s="1318" t="n"/>
      <c r="O125" s="1318" t="n"/>
      <c r="P125" s="1318" t="n"/>
      <c r="Q125" s="1318" t="n"/>
      <c r="R125" s="1318" t="n"/>
      <c r="S125" s="1318" t="n"/>
      <c r="T125" s="1318" t="n"/>
      <c r="U125" s="1318" t="n"/>
      <c r="V125" s="1318" t="n"/>
      <c r="W125" s="1318" t="n"/>
      <c r="X125" s="1318" t="n"/>
      <c r="Y125" s="1318" t="n"/>
      <c r="Z125" s="1318" t="n"/>
      <c r="AA125" s="1318" t="n"/>
      <c r="AB125" s="1318" t="n"/>
      <c r="AC125" s="1318" t="n"/>
      <c r="AD125" s="1318" t="n"/>
      <c r="AE125" s="1318" t="n"/>
      <c r="AF125" s="1318" t="n"/>
      <c r="AG125" s="1318" t="n"/>
      <c r="AH125" s="1318" t="n"/>
      <c r="AI125" s="1318" t="n"/>
      <c r="AJ125" s="1318" t="n"/>
      <c r="AK125" s="1318" t="n"/>
      <c r="AL125" s="1318" t="n"/>
      <c r="AM125" s="1318" t="n"/>
      <c r="AN125" s="1318" t="n"/>
      <c r="AO125" s="1318" t="n"/>
      <c r="AP125" s="1318" t="n"/>
      <c r="AQ125" s="1318" t="n"/>
      <c r="AR125" s="1318" t="n"/>
      <c r="AS125" s="1318" t="n"/>
      <c r="AT125" s="1318" t="n"/>
      <c r="AU125" s="1318" t="n"/>
      <c r="AV125" s="1318" t="n"/>
      <c r="AW125" s="1318" t="n"/>
      <c r="AX125" s="1318" t="n"/>
      <c r="AY125" s="1318" t="n"/>
      <c r="AZ125" s="1318" t="n"/>
      <c r="BA125" s="1318" t="n"/>
      <c r="BB125" s="1318" t="n"/>
      <c r="BC125" s="1318" t="n"/>
      <c r="BD125" s="1318" t="n"/>
      <c r="BE125" s="1318" t="n"/>
      <c r="BF125" s="1318" t="n"/>
      <c r="BG125" s="1318" t="n"/>
      <c r="BH125" s="1318" t="n"/>
      <c r="BI125" s="1318" t="n"/>
      <c r="BJ125" s="1318" t="n"/>
      <c r="BK125" s="1318" t="n"/>
      <c r="BL125" s="1318" t="n"/>
      <c r="BM125" s="1318" t="n"/>
      <c r="BN125" s="1318" t="n"/>
      <c r="BO125" s="1318" t="n"/>
      <c r="BP125" s="1318" t="n"/>
      <c r="BQ125" s="1318" t="n"/>
      <c r="BR125" s="1318" t="n"/>
      <c r="BS125" s="1318" t="n"/>
      <c r="BT125" s="1318" t="n"/>
      <c r="BU125" s="1318" t="n"/>
      <c r="BV125" s="1318" t="n"/>
      <c r="BW125" s="1318" t="n"/>
      <c r="BX125" s="1318" t="n"/>
      <c r="BY125" s="1318" t="n"/>
      <c r="BZ125" s="1318" t="n"/>
      <c r="CA125" s="1318" t="n"/>
      <c r="CB125" s="1318" t="n"/>
      <c r="CC125" s="1318" t="n"/>
      <c r="CD125" s="1318" t="n"/>
      <c r="CE125" s="1318" t="n"/>
      <c r="CF125" s="1318" t="n"/>
      <c r="CG125" s="1318" t="n"/>
      <c r="CH125" s="1318" t="n"/>
      <c r="CI125" s="1318" t="n"/>
      <c r="CJ125" s="1318" t="n"/>
      <c r="CK125" s="1318" t="n"/>
      <c r="CL125" s="1318" t="n"/>
      <c r="CM125" s="1318" t="n"/>
      <c r="CN125" s="1318" t="n"/>
      <c r="CO125" s="1318" t="n"/>
      <c r="CP125" s="1318" t="n"/>
      <c r="CQ125" s="1318" t="n"/>
      <c r="CR125" s="1318" t="n"/>
      <c r="CS125" s="1318" t="n"/>
      <c r="CT125" s="1318">
        <f>CT124-CS124</f>
        <v/>
      </c>
      <c r="CU125" s="1318">
        <f>CU124-CT124</f>
        <v/>
      </c>
      <c r="CV125" s="1318">
        <f>CV124-CU124</f>
        <v/>
      </c>
      <c r="CW125" s="1318">
        <f>CW124-CV124</f>
        <v/>
      </c>
      <c r="CX125" s="1318">
        <f>CX124-CW124</f>
        <v/>
      </c>
      <c r="CY125" s="1318">
        <f>CY124-CX124</f>
        <v/>
      </c>
      <c r="CZ125" s="1318">
        <f>CZ124-CY124</f>
        <v/>
      </c>
      <c r="DA125" s="1318">
        <f>DA124-CZ124</f>
        <v/>
      </c>
      <c r="DB125" s="1318">
        <f>DB124-DA124</f>
        <v/>
      </c>
      <c r="DC125" s="1318">
        <f>DC124-DB124</f>
        <v/>
      </c>
      <c r="DD125" s="1318">
        <f>DD124-DC124</f>
        <v/>
      </c>
      <c r="DE125" s="1318">
        <f>DE124-DD124</f>
        <v/>
      </c>
      <c r="DF125" s="1318">
        <f>DF124-DE124</f>
        <v/>
      </c>
      <c r="DG125" s="1318">
        <f>DG124-DF124</f>
        <v/>
      </c>
      <c r="DH125" s="1318">
        <f>DH124-DG124</f>
        <v/>
      </c>
      <c r="DI125" s="1318">
        <f>DI124-DH124</f>
        <v/>
      </c>
      <c r="DJ125" s="1318">
        <f>DJ124-DI124</f>
        <v/>
      </c>
      <c r="DK125" s="1318">
        <f>DK124-DJ124</f>
        <v/>
      </c>
      <c r="DL125" s="1318">
        <f>DL124-DK124</f>
        <v/>
      </c>
      <c r="DM125" s="1318">
        <f>DM124-DL124</f>
        <v/>
      </c>
      <c r="DN125" s="1318">
        <f>DN124-DM124</f>
        <v/>
      </c>
      <c r="DO125" s="1318">
        <f>DO124-DN124</f>
        <v/>
      </c>
      <c r="DP125" s="1318">
        <f>DP124-DO124</f>
        <v/>
      </c>
      <c r="DQ125" s="1318">
        <f>DQ124-DP124</f>
        <v/>
      </c>
      <c r="DR125" s="1318">
        <f>DR124-DQ124</f>
        <v/>
      </c>
      <c r="DS125" s="1318">
        <f>DS124-DR124</f>
        <v/>
      </c>
      <c r="DT125" s="1318">
        <f>DT124-DS124</f>
        <v/>
      </c>
      <c r="DU125" s="1318">
        <f>DU124-DT124</f>
        <v/>
      </c>
      <c r="DV125" s="1318">
        <f>DV124-DU124</f>
        <v/>
      </c>
      <c r="DW125" s="1318">
        <f>DW124-DV124</f>
        <v/>
      </c>
      <c r="DX125" s="1318">
        <f>DX124-DW124</f>
        <v/>
      </c>
      <c r="DY125" s="1318">
        <f>DY124-DX124</f>
        <v/>
      </c>
      <c r="DZ125" s="1318">
        <f>DZ124-DY124</f>
        <v/>
      </c>
      <c r="EA125" s="1318">
        <f>EA124-DZ124</f>
        <v/>
      </c>
      <c r="EB125" s="1318">
        <f>EB124-EA124</f>
        <v/>
      </c>
      <c r="EC125" s="1318">
        <f>EC124-EB124</f>
        <v/>
      </c>
      <c r="ED125" s="1318">
        <f>ED124-EC124</f>
        <v/>
      </c>
      <c r="EE125" s="1318">
        <f>EE124-ED124</f>
        <v/>
      </c>
      <c r="EF125" s="1318">
        <f>EF124-EE124</f>
        <v/>
      </c>
      <c r="EG125" s="1318">
        <f>EG124-EF124</f>
        <v/>
      </c>
      <c r="EH125" s="1318">
        <f>EH124-EG124</f>
        <v/>
      </c>
      <c r="EI125" s="1318">
        <f>EI124-EH124</f>
        <v/>
      </c>
      <c r="EJ125" s="1318">
        <f>EJ124-EI124</f>
        <v/>
      </c>
      <c r="EK125" s="1318">
        <f>EK124-EJ124</f>
        <v/>
      </c>
      <c r="EL125" s="1318">
        <f>EL124-EK124</f>
        <v/>
      </c>
      <c r="EM125" s="1318">
        <f>EM124-EL124</f>
        <v/>
      </c>
      <c r="EN125" s="1318">
        <f>EN124-EM124</f>
        <v/>
      </c>
      <c r="EO125" s="1318">
        <f>EO124-EN124</f>
        <v/>
      </c>
      <c r="EP125" s="1318">
        <f>EP124-EO124</f>
        <v/>
      </c>
      <c r="EQ125" s="1318">
        <f>EQ124-EP124</f>
        <v/>
      </c>
      <c r="ER125" s="1318">
        <f>ER124-EQ124</f>
        <v/>
      </c>
      <c r="ES125" s="1318">
        <f>ES124-ER124</f>
        <v/>
      </c>
      <c r="ET125" s="1318">
        <f>ET124-ES124</f>
        <v/>
      </c>
      <c r="EU125" s="1318">
        <f>EU124-ET124</f>
        <v/>
      </c>
      <c r="EV125" s="1318">
        <f>EV124-EU124</f>
        <v/>
      </c>
      <c r="EW125" s="1318">
        <f>EW124-EV124</f>
        <v/>
      </c>
      <c r="EX125" s="1318">
        <f>EX124-EW124</f>
        <v/>
      </c>
      <c r="EY125" s="1318">
        <f>EY124-EX124</f>
        <v/>
      </c>
      <c r="EZ125" s="1318">
        <f>EZ124-EY124</f>
        <v/>
      </c>
      <c r="FA125" s="1318">
        <f>FA124-EZ124</f>
        <v/>
      </c>
      <c r="FB125" s="1318">
        <f>FB124-FA124</f>
        <v/>
      </c>
      <c r="FC125" s="1318">
        <f>FC124-FB124</f>
        <v/>
      </c>
      <c r="FD125" s="1318">
        <f>FD124-FC124</f>
        <v/>
      </c>
      <c r="FE125" s="1318">
        <f>FE124-FD124</f>
        <v/>
      </c>
      <c r="FF125" s="1318">
        <f>FF124-FE124</f>
        <v/>
      </c>
      <c r="FG125" s="1318">
        <f>FG124-FF124</f>
        <v/>
      </c>
      <c r="FH125" s="1318">
        <f>FH124-FG124</f>
        <v/>
      </c>
      <c r="FI125" s="1318">
        <f>FI124-FH124</f>
        <v/>
      </c>
      <c r="FJ125" s="1318">
        <f>FJ124-FI124</f>
        <v/>
      </c>
      <c r="FK125" s="1318">
        <f>FK124-FJ124</f>
        <v/>
      </c>
      <c r="FL125" s="1318">
        <f>FL124-FK124</f>
        <v/>
      </c>
      <c r="FM125" s="1318">
        <f>FM124-FL124</f>
        <v/>
      </c>
      <c r="FN125" s="1318">
        <f>FN124-FM124</f>
        <v/>
      </c>
      <c r="FO125" s="1318">
        <f>FO124-FN124</f>
        <v/>
      </c>
      <c r="FP125" s="1318">
        <f>FP124-FO124</f>
        <v/>
      </c>
      <c r="FQ125" s="1318">
        <f>FQ124-FP124</f>
        <v/>
      </c>
      <c r="FR125" s="1318">
        <f>FR124-FQ124</f>
        <v/>
      </c>
      <c r="FS125" s="1318">
        <f>FS124-FR124</f>
        <v/>
      </c>
      <c r="FT125" s="1318">
        <f>FT124-FS124</f>
        <v/>
      </c>
      <c r="FU125" s="1318">
        <f>FU124-FT124</f>
        <v/>
      </c>
      <c r="FV125" s="1318">
        <f>FV124-FU124</f>
        <v/>
      </c>
      <c r="FW125" s="1318">
        <f>FW124-FV124</f>
        <v/>
      </c>
      <c r="FX125" s="1318">
        <f>FX124-FW124</f>
        <v/>
      </c>
      <c r="FY125" s="1318">
        <f>FY124-FX124</f>
        <v/>
      </c>
      <c r="FZ125" s="1318">
        <f>FZ124-FY124</f>
        <v/>
      </c>
      <c r="GA125" s="1318">
        <f>GA124-FZ124</f>
        <v/>
      </c>
      <c r="GB125" s="1318">
        <f>GB124-GA124</f>
        <v/>
      </c>
      <c r="GC125" s="1318">
        <f>GC124-GB124</f>
        <v/>
      </c>
      <c r="GD125" s="1318">
        <f>GD124-GC124</f>
        <v/>
      </c>
      <c r="GE125" s="1318">
        <f>GE124-GD124</f>
        <v/>
      </c>
      <c r="GF125" s="1318">
        <f>GF124-GE124</f>
        <v/>
      </c>
      <c r="GG125" s="1318">
        <f>GG124-GF124</f>
        <v/>
      </c>
      <c r="GH125" s="1318">
        <f>GH124-GG124</f>
        <v/>
      </c>
      <c r="GI125" s="1318">
        <f>GI124-GH124</f>
        <v/>
      </c>
      <c r="GJ125" s="1318">
        <f>GJ124-GI124</f>
        <v/>
      </c>
      <c r="GK125" s="1318">
        <f>GK124-GJ124</f>
        <v/>
      </c>
      <c r="GL125" s="1318">
        <f>GL124-GK124</f>
        <v/>
      </c>
      <c r="GM125" s="1318">
        <f>GM124-GL124</f>
        <v/>
      </c>
      <c r="GN125" s="1318">
        <f>GN124-GM124</f>
        <v/>
      </c>
      <c r="GO125" s="1318">
        <f>GO124-GN124</f>
        <v/>
      </c>
      <c r="GP125" s="1318">
        <f>GP124-GO124</f>
        <v/>
      </c>
      <c r="GQ125" s="1318">
        <f>GQ124-GP124</f>
        <v/>
      </c>
      <c r="GR125" s="1318">
        <f>GR124-GQ124</f>
        <v/>
      </c>
      <c r="GS125" s="1318">
        <f>GS124-GR124</f>
        <v/>
      </c>
      <c r="GT125" s="1318">
        <f>GT124-GS124</f>
        <v/>
      </c>
      <c r="GU125" s="1318">
        <f>GU124-GT124</f>
        <v/>
      </c>
      <c r="GV125" s="1318">
        <f>GV124-GU124</f>
        <v/>
      </c>
      <c r="GW125" s="1318">
        <f>GW124-GV124</f>
        <v/>
      </c>
      <c r="GX125" s="1318">
        <f>GX124-GW124</f>
        <v/>
      </c>
      <c r="GY125" s="1318">
        <f>GY124-GX124</f>
        <v/>
      </c>
      <c r="GZ125" s="1318">
        <f>GZ124-GY124</f>
        <v/>
      </c>
      <c r="HA125" s="1318">
        <f>HA124-GZ124</f>
        <v/>
      </c>
      <c r="HB125" s="1318">
        <f>HB124-HA124</f>
        <v/>
      </c>
      <c r="HC125" s="1318">
        <f>HC124-HB124</f>
        <v/>
      </c>
      <c r="HD125" s="1318">
        <f>HD124-HC124</f>
        <v/>
      </c>
      <c r="HE125" s="1318">
        <f>HE124-HD124</f>
        <v/>
      </c>
      <c r="HF125" s="1318">
        <f>HF124-HE124</f>
        <v/>
      </c>
      <c r="HG125" s="1318">
        <f>HG124-HF124</f>
        <v/>
      </c>
      <c r="HH125" s="1318">
        <f>HH124-HG124</f>
        <v/>
      </c>
      <c r="HI125" s="1318">
        <f>HI124-HH124</f>
        <v/>
      </c>
      <c r="HJ125" s="1318">
        <f>HJ124-HI124</f>
        <v/>
      </c>
      <c r="HK125" s="1318">
        <f>HK124-HJ124</f>
        <v/>
      </c>
      <c r="HL125" s="1318">
        <f>HL124-HK124</f>
        <v/>
      </c>
      <c r="HM125" s="1318">
        <f>HM124-HL124</f>
        <v/>
      </c>
      <c r="HN125" s="1318">
        <f>HN124-HM124</f>
        <v/>
      </c>
      <c r="HO125" s="1318">
        <f>HO124-HN124</f>
        <v/>
      </c>
      <c r="HP125" s="1318">
        <f>HP124-HO124</f>
        <v/>
      </c>
      <c r="HQ125" s="1318">
        <f>HQ124-HP124</f>
        <v/>
      </c>
      <c r="HR125" s="1318">
        <f>HR124-HQ124</f>
        <v/>
      </c>
      <c r="HS125" s="1318">
        <f>HS124-HR124</f>
        <v/>
      </c>
      <c r="HT125" s="1318">
        <f>HT124-HS124</f>
        <v/>
      </c>
      <c r="HU125" s="1318">
        <f>HU124-HT124</f>
        <v/>
      </c>
      <c r="HV125" s="1318">
        <f>HV124-HU124</f>
        <v/>
      </c>
      <c r="HW125" s="1318">
        <f>HW124-HV124</f>
        <v/>
      </c>
      <c r="HX125" s="1318">
        <f>HX124-HW124</f>
        <v/>
      </c>
      <c r="HY125" s="1318">
        <f>HY124-HX124</f>
        <v/>
      </c>
      <c r="HZ125" s="1318">
        <f>HZ124-HY124</f>
        <v/>
      </c>
      <c r="IA125" s="1318">
        <f>IA124-HZ124</f>
        <v/>
      </c>
      <c r="IB125" s="1318">
        <f>IB124-IA124</f>
        <v/>
      </c>
      <c r="IC125" s="1318">
        <f>IC124-IB124</f>
        <v/>
      </c>
      <c r="ID125" s="1318">
        <f>ID124-IC124</f>
        <v/>
      </c>
      <c r="IE125" s="1318">
        <f>IE124-ID124</f>
        <v/>
      </c>
      <c r="IF125" s="1318">
        <f>IF124-IE124</f>
        <v/>
      </c>
      <c r="IG125" s="1318">
        <f>IG124-IF124</f>
        <v/>
      </c>
      <c r="IH125" s="1318">
        <f>IH124-IG124</f>
        <v/>
      </c>
      <c r="II125" s="1318">
        <f>II124-IH124</f>
        <v/>
      </c>
      <c r="IJ125" s="1318">
        <f>IJ124-II124</f>
        <v/>
      </c>
      <c r="IK125" s="1318">
        <f>IK124-IJ124</f>
        <v/>
      </c>
      <c r="IL125" s="1318">
        <f>IL124-IK124</f>
        <v/>
      </c>
      <c r="IM125" s="1318">
        <f>IM124-IL124</f>
        <v/>
      </c>
      <c r="IN125" s="1318">
        <f>IN124-IM124</f>
        <v/>
      </c>
      <c r="IO125" s="1318">
        <f>IO124-IN124</f>
        <v/>
      </c>
      <c r="IP125" s="1318">
        <f>IP124-IO124</f>
        <v/>
      </c>
      <c r="IQ125" s="1318">
        <f>IQ124-IP124</f>
        <v/>
      </c>
      <c r="IR125" s="1318">
        <f>IR124-IQ124</f>
        <v/>
      </c>
      <c r="IS125" s="1318">
        <f>IS124-IR124</f>
        <v/>
      </c>
      <c r="IT125" s="1318">
        <f>IT124-IS124</f>
        <v/>
      </c>
      <c r="IU125" s="1318">
        <f>IU124-IT124</f>
        <v/>
      </c>
      <c r="IV125" s="1318">
        <f>IV124-IU124</f>
        <v/>
      </c>
      <c r="IW125" s="1318">
        <f>IW124-IV124</f>
        <v/>
      </c>
      <c r="IX125" s="1318">
        <f>IX124-IW124</f>
        <v/>
      </c>
      <c r="IY125" s="1318">
        <f>IY124-IX124</f>
        <v/>
      </c>
      <c r="IZ125" s="1318">
        <f>IZ124-IY124</f>
        <v/>
      </c>
      <c r="JA125" s="1318">
        <f>JA124-IZ124</f>
        <v/>
      </c>
      <c r="JB125" s="1318">
        <f>JB124-JA124</f>
        <v/>
      </c>
      <c r="JC125" s="1318">
        <f>JC124-JB124</f>
        <v/>
      </c>
      <c r="JD125" s="1318">
        <f>JD124-JC124</f>
        <v/>
      </c>
      <c r="JE125" s="1318">
        <f>JE124-JD124</f>
        <v/>
      </c>
      <c r="JF125" s="1318">
        <f>JF124-JE124</f>
        <v/>
      </c>
      <c r="JG125" s="1318">
        <f>JG124-JF124</f>
        <v/>
      </c>
      <c r="JH125" s="1318">
        <f>JH124-JG124</f>
        <v/>
      </c>
      <c r="JI125" s="1318">
        <f>JI124-JH124</f>
        <v/>
      </c>
      <c r="JJ125" s="1318">
        <f>JJ124-JI124</f>
        <v/>
      </c>
      <c r="JK125" s="1318">
        <f>JK124-JJ124</f>
        <v/>
      </c>
      <c r="JL125" s="1318">
        <f>JL124-JK124</f>
        <v/>
      </c>
      <c r="JM125" s="1318">
        <f>JM124-JL124</f>
        <v/>
      </c>
      <c r="JN125" s="1318">
        <f>JN124-JM124</f>
        <v/>
      </c>
      <c r="JO125" s="1318">
        <f>JO124-JN124</f>
        <v/>
      </c>
      <c r="JP125" s="1318">
        <f>JP124-JO124</f>
        <v/>
      </c>
      <c r="JQ125" s="1318">
        <f>JQ124-JP124</f>
        <v/>
      </c>
      <c r="JR125" s="1318">
        <f>JR124-JQ124</f>
        <v/>
      </c>
      <c r="JS125" s="1318">
        <f>JS124-JR124</f>
        <v/>
      </c>
      <c r="JT125" s="1318">
        <f>JT124-JS124</f>
        <v/>
      </c>
      <c r="JU125" s="1318">
        <f>JU124-JT124</f>
        <v/>
      </c>
      <c r="JV125" s="1318">
        <f>JV124-JU124</f>
        <v/>
      </c>
      <c r="JW125" s="1318">
        <f>JW124-JV124</f>
        <v/>
      </c>
      <c r="JX125" s="1318">
        <f>JX124-JW124</f>
        <v/>
      </c>
      <c r="JY125" s="1318">
        <f>JY124-JX124</f>
        <v/>
      </c>
      <c r="JZ125" s="1318">
        <f>JZ124-JY124</f>
        <v/>
      </c>
      <c r="KA125" s="1318">
        <f>KA124-JZ124</f>
        <v/>
      </c>
      <c r="KB125" s="1318">
        <f>KB124-KA124</f>
        <v/>
      </c>
      <c r="KC125" s="1318">
        <f>KC124-KB124</f>
        <v/>
      </c>
      <c r="KD125" s="1318">
        <f>KD124-KC124</f>
        <v/>
      </c>
      <c r="KE125" s="1318">
        <f>KE124-KD124</f>
        <v/>
      </c>
      <c r="KF125" s="1318">
        <f>KF124-KE124</f>
        <v/>
      </c>
      <c r="KG125" s="1318">
        <f>KG124-KF124</f>
        <v/>
      </c>
      <c r="KH125" s="1318">
        <f>KH124-KG124</f>
        <v/>
      </c>
      <c r="KI125" s="1318">
        <f>KI124-KH124</f>
        <v/>
      </c>
      <c r="KJ125" s="1318">
        <f>KJ124-KI124</f>
        <v/>
      </c>
      <c r="KK125" s="1318">
        <f>KK124-KJ124</f>
        <v/>
      </c>
      <c r="KL125" s="1318">
        <f>KL124-KK124</f>
        <v/>
      </c>
      <c r="KM125" s="1318">
        <f>KM124-KL124</f>
        <v/>
      </c>
      <c r="KN125" s="1318">
        <f>KN124-KM124</f>
        <v/>
      </c>
      <c r="KO125" s="1318">
        <f>KO124-KN124</f>
        <v/>
      </c>
      <c r="KP125" s="1318">
        <f>KP124-KO124</f>
        <v/>
      </c>
      <c r="KQ125" s="1318">
        <f>KQ124-KP124</f>
        <v/>
      </c>
      <c r="KR125" s="1318">
        <f>KR124-KQ124</f>
        <v/>
      </c>
      <c r="KS125" s="1318">
        <f>KS124-KR124</f>
        <v/>
      </c>
      <c r="KT125" s="1318">
        <f>KT124-KS124</f>
        <v/>
      </c>
      <c r="KU125" s="1318">
        <f>KU124-KT124</f>
        <v/>
      </c>
      <c r="KV125" s="1318">
        <f>KV124-KU124</f>
        <v/>
      </c>
      <c r="KW125" s="1318">
        <f>KW124-KV124</f>
        <v/>
      </c>
      <c r="KX125" s="1318">
        <f>KX124-KW124</f>
        <v/>
      </c>
      <c r="KY125" s="1318">
        <f>KY124-KX124</f>
        <v/>
      </c>
      <c r="KZ125" s="1318">
        <f>KZ124-KY124</f>
        <v/>
      </c>
      <c r="LA125" s="1318">
        <f>LA124-KZ124</f>
        <v/>
      </c>
      <c r="LB125" s="1318" t="n"/>
      <c r="LC125" s="1318" t="n"/>
      <c r="LD125" s="1318" t="n"/>
      <c r="LE125" s="1318" t="n"/>
      <c r="LF125" s="1318" t="n"/>
      <c r="LG125" s="1318" t="n"/>
      <c r="LH125" s="1318" t="n"/>
      <c r="LI125" s="1318" t="n"/>
      <c r="LJ125" s="1318" t="n"/>
      <c r="LK125" s="1318" t="n"/>
      <c r="LL125" s="1318" t="n"/>
      <c r="LM125" s="1318" t="n"/>
      <c r="LN125" s="1318" t="n"/>
      <c r="LO125" s="1318" t="n"/>
      <c r="LP125" s="1318" t="n"/>
      <c r="LQ125" s="1318" t="n"/>
      <c r="LR125" s="1318" t="n"/>
      <c r="LS125" s="1318" t="n"/>
    </row>
    <row r="126">
      <c r="A126" s="885" t="inlineStr">
        <is>
          <t>YoY pointsCg %</t>
        </is>
      </c>
      <c r="B126" s="1318" t="n"/>
      <c r="C126" s="1318" t="n"/>
      <c r="D126" s="1318" t="n"/>
      <c r="E126" s="1318" t="n"/>
      <c r="F126" s="1318" t="n"/>
      <c r="G126" s="1318" t="n"/>
      <c r="H126" s="1318" t="n"/>
      <c r="I126" s="1318" t="n"/>
      <c r="J126" s="1318" t="n"/>
      <c r="K126" s="1318" t="n"/>
      <c r="L126" s="1318" t="n"/>
      <c r="M126" s="1318" t="n"/>
      <c r="N126" s="1318" t="n"/>
      <c r="O126" s="1318" t="n"/>
      <c r="P126" s="1318" t="n"/>
      <c r="Q126" s="1318" t="n"/>
      <c r="R126" s="1318" t="n"/>
      <c r="S126" s="1318" t="n"/>
      <c r="T126" s="1318" t="n"/>
      <c r="U126" s="1318" t="n"/>
      <c r="V126" s="1318" t="n"/>
      <c r="W126" s="1318" t="n"/>
      <c r="X126" s="1318" t="n"/>
      <c r="Y126" s="1318" t="n"/>
      <c r="Z126" s="1318" t="n"/>
      <c r="AA126" s="1318" t="n"/>
      <c r="AB126" s="1318" t="n"/>
      <c r="AC126" s="1318" t="n"/>
      <c r="AD126" s="1318" t="n"/>
      <c r="AE126" s="1318" t="n"/>
      <c r="AF126" s="1318" t="n"/>
      <c r="AG126" s="1318" t="n"/>
      <c r="AH126" s="1318" t="n"/>
      <c r="AI126" s="1318" t="n"/>
      <c r="AJ126" s="1318" t="n"/>
      <c r="AK126" s="1318" t="n"/>
      <c r="AL126" s="1318" t="n"/>
      <c r="AM126" s="1318" t="n"/>
      <c r="AN126" s="1318" t="n"/>
      <c r="AO126" s="1318" t="n"/>
      <c r="AP126" s="1318" t="n"/>
      <c r="AQ126" s="1318" t="n"/>
      <c r="AR126" s="1318" t="n"/>
      <c r="AS126" s="1318" t="n"/>
      <c r="AT126" s="1318" t="n"/>
      <c r="AU126" s="1318" t="n"/>
      <c r="AV126" s="1318" t="n"/>
      <c r="AW126" s="1318" t="n"/>
      <c r="AX126" s="1318" t="n"/>
      <c r="AY126" s="1318" t="n"/>
      <c r="AZ126" s="1318" t="n"/>
      <c r="BA126" s="1318" t="n"/>
      <c r="BB126" s="1318" t="n"/>
      <c r="BC126" s="1318" t="n"/>
      <c r="BD126" s="1318" t="n"/>
      <c r="BE126" s="1318" t="n"/>
      <c r="BF126" s="1318" t="n"/>
      <c r="BG126" s="1318" t="n"/>
      <c r="BH126" s="1318" t="n"/>
      <c r="BI126" s="1318" t="n"/>
      <c r="BJ126" s="1318" t="n"/>
      <c r="BK126" s="1318" t="n"/>
      <c r="BL126" s="1318" t="n"/>
      <c r="BM126" s="1318" t="n"/>
      <c r="BN126" s="1318" t="n"/>
      <c r="BO126" s="1318" t="n"/>
      <c r="BP126" s="1318" t="n"/>
      <c r="BQ126" s="1318" t="n"/>
      <c r="BR126" s="1318" t="n"/>
      <c r="BS126" s="1318" t="n"/>
      <c r="BT126" s="1318" t="n"/>
      <c r="BU126" s="1318" t="n"/>
      <c r="BV126" s="1318" t="n"/>
      <c r="BW126" s="1318" t="n"/>
      <c r="BX126" s="1318" t="n"/>
      <c r="BY126" s="1318" t="n"/>
      <c r="BZ126" s="1318" t="n"/>
      <c r="CA126" s="1318" t="n"/>
      <c r="CB126" s="1318" t="n"/>
      <c r="CC126" s="1318" t="n"/>
      <c r="CD126" s="1318" t="n"/>
      <c r="CE126" s="1318" t="n"/>
      <c r="CF126" s="1318" t="n"/>
      <c r="CG126" s="1318" t="n"/>
      <c r="CH126" s="1318" t="n"/>
      <c r="CI126" s="1318" t="n"/>
      <c r="CJ126" s="1318" t="n"/>
      <c r="CK126" s="1318" t="n"/>
      <c r="CL126" s="1318" t="n"/>
      <c r="CM126" s="1318" t="n"/>
      <c r="CN126" s="1318" t="n"/>
      <c r="CO126" s="1318" t="n"/>
      <c r="CP126" s="1318" t="n"/>
      <c r="CQ126" s="1318" t="n"/>
      <c r="CR126" s="1318" t="n"/>
      <c r="CS126" s="1318" t="n"/>
      <c r="CT126" s="1318" t="n"/>
      <c r="CU126" s="1318" t="n"/>
      <c r="CV126" s="1318" t="n"/>
      <c r="CW126" s="1318" t="n"/>
      <c r="CX126" s="1318" t="n"/>
      <c r="CY126" s="1318" t="n"/>
      <c r="CZ126" s="1318" t="n"/>
      <c r="DA126" s="1318" t="n"/>
      <c r="DB126" s="1318" t="n"/>
      <c r="DC126" s="1318" t="n"/>
      <c r="DD126" s="1318" t="n"/>
      <c r="DE126" s="1318" t="n"/>
      <c r="DF126" s="1318">
        <f>DF124-CT124</f>
        <v/>
      </c>
      <c r="DG126" s="1318">
        <f>DG124-CU124</f>
        <v/>
      </c>
      <c r="DH126" s="1318">
        <f>DH124-CV124</f>
        <v/>
      </c>
      <c r="DI126" s="1318">
        <f>DI124-CW124</f>
        <v/>
      </c>
      <c r="DJ126" s="1318">
        <f>DJ124-CX124</f>
        <v/>
      </c>
      <c r="DK126" s="1318">
        <f>DK124-CY124</f>
        <v/>
      </c>
      <c r="DL126" s="1318">
        <f>DL124-CZ124</f>
        <v/>
      </c>
      <c r="DM126" s="1318">
        <f>DM124-DA124</f>
        <v/>
      </c>
      <c r="DN126" s="1318">
        <f>DN124-DB124</f>
        <v/>
      </c>
      <c r="DO126" s="1318">
        <f>DO124-DC124</f>
        <v/>
      </c>
      <c r="DP126" s="1318">
        <f>DP124-DD124</f>
        <v/>
      </c>
      <c r="DQ126" s="1318">
        <f>DQ124-DE124</f>
        <v/>
      </c>
      <c r="DR126" s="1318">
        <f>DR124-DF124</f>
        <v/>
      </c>
      <c r="DS126" s="1318">
        <f>DS124-DG124</f>
        <v/>
      </c>
      <c r="DT126" s="1318">
        <f>DT124-DH124</f>
        <v/>
      </c>
      <c r="DU126" s="1318">
        <f>DU124-DI124</f>
        <v/>
      </c>
      <c r="DV126" s="1318">
        <f>DV124-DJ124</f>
        <v/>
      </c>
      <c r="DW126" s="1318">
        <f>DW124-DK124</f>
        <v/>
      </c>
      <c r="DX126" s="1318">
        <f>DX124-DL124</f>
        <v/>
      </c>
      <c r="DY126" s="1318">
        <f>DY124-DM124</f>
        <v/>
      </c>
      <c r="DZ126" s="1318">
        <f>DZ124-DN124</f>
        <v/>
      </c>
      <c r="EA126" s="1318">
        <f>EA124-DO124</f>
        <v/>
      </c>
      <c r="EB126" s="1318">
        <f>EB124-DP124</f>
        <v/>
      </c>
      <c r="EC126" s="1318">
        <f>EC124-DQ124</f>
        <v/>
      </c>
      <c r="ED126" s="1318">
        <f>ED124-DR124</f>
        <v/>
      </c>
      <c r="EE126" s="1318">
        <f>EE124-DS124</f>
        <v/>
      </c>
      <c r="EF126" s="1318">
        <f>EF124-DT124</f>
        <v/>
      </c>
      <c r="EG126" s="1318">
        <f>EG124-DU124</f>
        <v/>
      </c>
      <c r="EH126" s="1318">
        <f>EH124-DV124</f>
        <v/>
      </c>
      <c r="EI126" s="1318">
        <f>EI124-DW124</f>
        <v/>
      </c>
      <c r="EJ126" s="1318">
        <f>EJ124-DX124</f>
        <v/>
      </c>
      <c r="EK126" s="1318">
        <f>EK124-DY124</f>
        <v/>
      </c>
      <c r="EL126" s="1318">
        <f>EL124-DZ124</f>
        <v/>
      </c>
      <c r="EM126" s="1318">
        <f>EM124-EA124</f>
        <v/>
      </c>
      <c r="EN126" s="1318">
        <f>EN124-EB124</f>
        <v/>
      </c>
      <c r="EO126" s="1318">
        <f>EO124-EC124</f>
        <v/>
      </c>
      <c r="EP126" s="1318">
        <f>EP124-ED124</f>
        <v/>
      </c>
      <c r="EQ126" s="1318">
        <f>EQ124-EE124</f>
        <v/>
      </c>
      <c r="ER126" s="1318">
        <f>ER124-EF124</f>
        <v/>
      </c>
      <c r="ES126" s="1318">
        <f>ES124-EG124</f>
        <v/>
      </c>
      <c r="ET126" s="1318">
        <f>ET124-EH124</f>
        <v/>
      </c>
      <c r="EU126" s="1318">
        <f>EU124-EI124</f>
        <v/>
      </c>
      <c r="EV126" s="1318">
        <f>EV124-EJ124</f>
        <v/>
      </c>
      <c r="EW126" s="1318">
        <f>EW124-EK124</f>
        <v/>
      </c>
      <c r="EX126" s="1318">
        <f>EX124-EL124</f>
        <v/>
      </c>
      <c r="EY126" s="1318">
        <f>EY124-EM124</f>
        <v/>
      </c>
      <c r="EZ126" s="1318">
        <f>EZ124-EN124</f>
        <v/>
      </c>
      <c r="FA126" s="1318">
        <f>FA124-EO124</f>
        <v/>
      </c>
      <c r="FB126" s="1318">
        <f>FB124-EP124</f>
        <v/>
      </c>
      <c r="FC126" s="1318">
        <f>FC124-EQ124</f>
        <v/>
      </c>
      <c r="FD126" s="1318">
        <f>FD124-ER124</f>
        <v/>
      </c>
      <c r="FE126" s="1318">
        <f>FE124-ES124</f>
        <v/>
      </c>
      <c r="FF126" s="1318">
        <f>FF124-ET124</f>
        <v/>
      </c>
      <c r="FG126" s="1318">
        <f>FG124-EU124</f>
        <v/>
      </c>
      <c r="FH126" s="1318">
        <f>FH124-EV124</f>
        <v/>
      </c>
      <c r="FI126" s="1318">
        <f>FI124-EW124</f>
        <v/>
      </c>
      <c r="FJ126" s="1318">
        <f>FJ124-EX124</f>
        <v/>
      </c>
      <c r="FK126" s="1318">
        <f>FK124-EY124</f>
        <v/>
      </c>
      <c r="FL126" s="1318">
        <f>FL124-EZ124</f>
        <v/>
      </c>
      <c r="FM126" s="1318">
        <f>FM124-FA124</f>
        <v/>
      </c>
      <c r="FN126" s="1318">
        <f>FN124-FB124</f>
        <v/>
      </c>
      <c r="FO126" s="1318">
        <f>FO124-FC124</f>
        <v/>
      </c>
      <c r="FP126" s="1318">
        <f>FP124-FD124</f>
        <v/>
      </c>
      <c r="FQ126" s="1318">
        <f>FQ124-FE124</f>
        <v/>
      </c>
      <c r="FR126" s="1318">
        <f>FR124-FF124</f>
        <v/>
      </c>
      <c r="FS126" s="1318">
        <f>FS124-FG124</f>
        <v/>
      </c>
      <c r="FT126" s="1318">
        <f>FT124-FH124</f>
        <v/>
      </c>
      <c r="FU126" s="1318">
        <f>FU124-FI124</f>
        <v/>
      </c>
      <c r="FV126" s="1318">
        <f>FV124-FJ124</f>
        <v/>
      </c>
      <c r="FW126" s="1318">
        <f>FW124-FK124</f>
        <v/>
      </c>
      <c r="FX126" s="1318">
        <f>FX124-FL124</f>
        <v/>
      </c>
      <c r="FY126" s="1318">
        <f>FY124-FM124</f>
        <v/>
      </c>
      <c r="FZ126" s="1318">
        <f>FZ124-FN124</f>
        <v/>
      </c>
      <c r="GA126" s="1318">
        <f>GA124-FO124</f>
        <v/>
      </c>
      <c r="GB126" s="1318">
        <f>GB124-FP124</f>
        <v/>
      </c>
      <c r="GC126" s="1318">
        <f>GC124-FQ124</f>
        <v/>
      </c>
      <c r="GD126" s="1318">
        <f>GD124-FR124</f>
        <v/>
      </c>
      <c r="GE126" s="1318">
        <f>GE124-FS124</f>
        <v/>
      </c>
      <c r="GF126" s="1318">
        <f>GF124-FT124</f>
        <v/>
      </c>
      <c r="GG126" s="1318">
        <f>GG124-FU124</f>
        <v/>
      </c>
      <c r="GH126" s="1318">
        <f>GH124-FV124</f>
        <v/>
      </c>
      <c r="GI126" s="1318">
        <f>GI124-FW124</f>
        <v/>
      </c>
      <c r="GJ126" s="1318">
        <f>GJ124-FX124</f>
        <v/>
      </c>
      <c r="GK126" s="1318">
        <f>GK124-FY124</f>
        <v/>
      </c>
      <c r="GL126" s="1318">
        <f>GL124-FZ124</f>
        <v/>
      </c>
      <c r="GM126" s="1318">
        <f>GM124-GA124</f>
        <v/>
      </c>
      <c r="GN126" s="1318">
        <f>GN124-GB124</f>
        <v/>
      </c>
      <c r="GO126" s="1318">
        <f>GO124-GC124</f>
        <v/>
      </c>
      <c r="GP126" s="1318">
        <f>GP124-GD124</f>
        <v/>
      </c>
      <c r="GQ126" s="1318">
        <f>GQ124-GE124</f>
        <v/>
      </c>
      <c r="GR126" s="1318">
        <f>GR124-GF124</f>
        <v/>
      </c>
      <c r="GS126" s="1318">
        <f>GS124-GG124</f>
        <v/>
      </c>
      <c r="GT126" s="1318">
        <f>GT124-GH124</f>
        <v/>
      </c>
      <c r="GU126" s="1318">
        <f>GU124-GI124</f>
        <v/>
      </c>
      <c r="GV126" s="1318">
        <f>GV124-GJ124</f>
        <v/>
      </c>
      <c r="GW126" s="1318">
        <f>GW124-GK124</f>
        <v/>
      </c>
      <c r="GX126" s="1318">
        <f>GX124-GL124</f>
        <v/>
      </c>
      <c r="GY126" s="1318">
        <f>GY124-GM124</f>
        <v/>
      </c>
      <c r="GZ126" s="1318">
        <f>GZ124-GN124</f>
        <v/>
      </c>
      <c r="HA126" s="1318">
        <f>HA124-GO124</f>
        <v/>
      </c>
      <c r="HB126" s="1318">
        <f>HB124-GP124</f>
        <v/>
      </c>
      <c r="HC126" s="1318">
        <f>HC124-GQ124</f>
        <v/>
      </c>
      <c r="HD126" s="1318">
        <f>HD124-GR124</f>
        <v/>
      </c>
      <c r="HE126" s="1318">
        <f>HE124-GS124</f>
        <v/>
      </c>
      <c r="HF126" s="1318">
        <f>HF124-GT124</f>
        <v/>
      </c>
      <c r="HG126" s="1318">
        <f>HG124-GU124</f>
        <v/>
      </c>
      <c r="HH126" s="1318">
        <f>HH124-GV124</f>
        <v/>
      </c>
      <c r="HI126" s="1318">
        <f>HI124-GW124</f>
        <v/>
      </c>
      <c r="HJ126" s="1318">
        <f>HJ124-GX124</f>
        <v/>
      </c>
      <c r="HK126" s="1318">
        <f>HK124-GY124</f>
        <v/>
      </c>
      <c r="HL126" s="1318">
        <f>HL124-GZ124</f>
        <v/>
      </c>
      <c r="HM126" s="1318">
        <f>HM124-HA124</f>
        <v/>
      </c>
      <c r="HN126" s="1318">
        <f>HN124-HB124</f>
        <v/>
      </c>
      <c r="HO126" s="1318">
        <f>HO124-HC124</f>
        <v/>
      </c>
      <c r="HP126" s="1318">
        <f>HP124-HD124</f>
        <v/>
      </c>
      <c r="HQ126" s="1318">
        <f>HQ124-HE124</f>
        <v/>
      </c>
      <c r="HR126" s="1318">
        <f>HR124-HF124</f>
        <v/>
      </c>
      <c r="HS126" s="1318">
        <f>HS124-HG124</f>
        <v/>
      </c>
      <c r="HT126" s="1318">
        <f>HT124-HH124</f>
        <v/>
      </c>
      <c r="HU126" s="1318">
        <f>HU124-HI124</f>
        <v/>
      </c>
      <c r="HV126" s="1318">
        <f>HV124-HJ124</f>
        <v/>
      </c>
      <c r="HW126" s="1318">
        <f>HW124-HK124</f>
        <v/>
      </c>
      <c r="HX126" s="1318">
        <f>HX124-HL124</f>
        <v/>
      </c>
      <c r="HY126" s="1318">
        <f>HY124-HM124</f>
        <v/>
      </c>
      <c r="HZ126" s="1318">
        <f>HZ124-HN124</f>
        <v/>
      </c>
      <c r="IA126" s="1318">
        <f>IA124-HO124</f>
        <v/>
      </c>
      <c r="IB126" s="1318">
        <f>IB124-HP124</f>
        <v/>
      </c>
      <c r="IC126" s="1318">
        <f>IC124-HQ124</f>
        <v/>
      </c>
      <c r="ID126" s="1318">
        <f>ID124-HR124</f>
        <v/>
      </c>
      <c r="IE126" s="1318">
        <f>IE124-HS124</f>
        <v/>
      </c>
      <c r="IF126" s="1318">
        <f>IF124-HT124</f>
        <v/>
      </c>
      <c r="IG126" s="1318">
        <f>IG124-HU124</f>
        <v/>
      </c>
      <c r="IH126" s="1318">
        <f>IH124-HV124</f>
        <v/>
      </c>
      <c r="II126" s="1318">
        <f>II124-HW124</f>
        <v/>
      </c>
      <c r="IJ126" s="1318">
        <f>IJ124-HX124</f>
        <v/>
      </c>
      <c r="IK126" s="1318">
        <f>IK124-HY124</f>
        <v/>
      </c>
      <c r="IL126" s="1318">
        <f>IL124-HZ124</f>
        <v/>
      </c>
      <c r="IM126" s="1318">
        <f>IM124-IA124</f>
        <v/>
      </c>
      <c r="IN126" s="1318">
        <f>IN124-IB124</f>
        <v/>
      </c>
      <c r="IO126" s="1318">
        <f>IO124-IC124</f>
        <v/>
      </c>
      <c r="IP126" s="1318">
        <f>IP124-ID124</f>
        <v/>
      </c>
      <c r="IQ126" s="1318">
        <f>IQ124-IE124</f>
        <v/>
      </c>
      <c r="IR126" s="1318">
        <f>IR124-IF124</f>
        <v/>
      </c>
      <c r="IS126" s="1318">
        <f>IS124-IG124</f>
        <v/>
      </c>
      <c r="IT126" s="1318">
        <f>IT124-IH124</f>
        <v/>
      </c>
      <c r="IU126" s="1318">
        <f>IU124-II124</f>
        <v/>
      </c>
      <c r="IV126" s="1318">
        <f>IV124-IJ124</f>
        <v/>
      </c>
      <c r="IW126" s="1318">
        <f>IW124-IK124</f>
        <v/>
      </c>
      <c r="IX126" s="1318">
        <f>IX124-IL124</f>
        <v/>
      </c>
      <c r="IY126" s="1318">
        <f>IY124-IM124</f>
        <v/>
      </c>
      <c r="IZ126" s="1318">
        <f>IZ124-IN124</f>
        <v/>
      </c>
      <c r="JA126" s="1318">
        <f>JA124-IO124</f>
        <v/>
      </c>
      <c r="JB126" s="1318">
        <f>JB124-IP124</f>
        <v/>
      </c>
      <c r="JC126" s="1318">
        <f>JC124-IQ124</f>
        <v/>
      </c>
      <c r="JD126" s="1318">
        <f>JD124-IR124</f>
        <v/>
      </c>
      <c r="JE126" s="1318">
        <f>JE124-IS124</f>
        <v/>
      </c>
      <c r="JF126" s="1318">
        <f>JF124-IT124</f>
        <v/>
      </c>
      <c r="JG126" s="1318">
        <f>JG124-IU124</f>
        <v/>
      </c>
      <c r="JH126" s="1318">
        <f>JH124-IV124</f>
        <v/>
      </c>
      <c r="JI126" s="1318">
        <f>JI124-IW124</f>
        <v/>
      </c>
      <c r="JJ126" s="1318">
        <f>JJ124-IX124</f>
        <v/>
      </c>
      <c r="JK126" s="1318">
        <f>JK124-IY124</f>
        <v/>
      </c>
      <c r="JL126" s="1318">
        <f>JL124-IZ124</f>
        <v/>
      </c>
      <c r="JM126" s="1318">
        <f>JM124-JA124</f>
        <v/>
      </c>
      <c r="JN126" s="1318">
        <f>JN124-JB124</f>
        <v/>
      </c>
      <c r="JO126" s="1318">
        <f>JO124-JC124</f>
        <v/>
      </c>
      <c r="JP126" s="1318">
        <f>JP124-JD124</f>
        <v/>
      </c>
      <c r="JQ126" s="1318">
        <f>JQ124-JE124</f>
        <v/>
      </c>
      <c r="JR126" s="1318">
        <f>JR124-JF124</f>
        <v/>
      </c>
      <c r="JS126" s="1318">
        <f>JS124-JG124</f>
        <v/>
      </c>
      <c r="JT126" s="1318">
        <f>JT124-JH124</f>
        <v/>
      </c>
      <c r="JU126" s="1318">
        <f>JU124-JI124</f>
        <v/>
      </c>
      <c r="JV126" s="1318">
        <f>JV124-JJ124</f>
        <v/>
      </c>
      <c r="JW126" s="1318">
        <f>JW124-JK124</f>
        <v/>
      </c>
      <c r="JX126" s="1318">
        <f>JX124-JL124</f>
        <v/>
      </c>
      <c r="JY126" s="1318">
        <f>JY124-JM124</f>
        <v/>
      </c>
      <c r="JZ126" s="1318">
        <f>JZ124-JN124</f>
        <v/>
      </c>
      <c r="KA126" s="1318">
        <f>KA124-JO124</f>
        <v/>
      </c>
      <c r="KB126" s="1318">
        <f>KB124-JP124</f>
        <v/>
      </c>
      <c r="KC126" s="1318">
        <f>KC124-JQ124</f>
        <v/>
      </c>
      <c r="KD126" s="1318">
        <f>KD124-JR124</f>
        <v/>
      </c>
      <c r="KE126" s="1318">
        <f>KE124-JS124</f>
        <v/>
      </c>
      <c r="KF126" s="1318">
        <f>KF124-JT124</f>
        <v/>
      </c>
      <c r="KG126" s="1318">
        <f>KG124-JU124</f>
        <v/>
      </c>
      <c r="KH126" s="1318">
        <f>KH124-JV124</f>
        <v/>
      </c>
      <c r="KI126" s="1318">
        <f>KI124-JW124</f>
        <v/>
      </c>
      <c r="KJ126" s="1318">
        <f>KJ124-JX124</f>
        <v/>
      </c>
      <c r="KK126" s="1318">
        <f>KK124-JY124</f>
        <v/>
      </c>
      <c r="KL126" s="1318">
        <f>KL124-JZ124</f>
        <v/>
      </c>
      <c r="KM126" s="1318">
        <f>KM124-KA124</f>
        <v/>
      </c>
      <c r="KN126" s="1318">
        <f>KN124-KB124</f>
        <v/>
      </c>
      <c r="KO126" s="1318">
        <f>KO124-KC124</f>
        <v/>
      </c>
      <c r="KP126" s="1318">
        <f>KP124-KD124</f>
        <v/>
      </c>
      <c r="KQ126" s="1318">
        <f>KQ124-KE124</f>
        <v/>
      </c>
      <c r="KR126" s="1318">
        <f>KR124-KF124</f>
        <v/>
      </c>
      <c r="KS126" s="1318">
        <f>KS124-KG124</f>
        <v/>
      </c>
      <c r="KT126" s="1318">
        <f>KT124-KH124</f>
        <v/>
      </c>
      <c r="KU126" s="1318">
        <f>KU124-KI124</f>
        <v/>
      </c>
      <c r="KV126" s="1318">
        <f>KV124-KJ124</f>
        <v/>
      </c>
      <c r="KW126" s="1318">
        <f>KW124-KK124</f>
        <v/>
      </c>
      <c r="KX126" s="1318">
        <f>KX124-KL124</f>
        <v/>
      </c>
      <c r="KY126" s="1318">
        <f>KY124-KM124</f>
        <v/>
      </c>
      <c r="KZ126" s="1318">
        <f>KZ124-KN124</f>
        <v/>
      </c>
      <c r="LA126" s="1318">
        <f>LA124-KO124</f>
        <v/>
      </c>
      <c r="LB126" s="1318" t="n"/>
      <c r="LC126" s="1318" t="n"/>
      <c r="LD126" s="1318" t="n"/>
      <c r="LE126" s="1318" t="n"/>
      <c r="LF126" s="1318" t="n"/>
      <c r="LG126" s="1318" t="n"/>
      <c r="LH126" s="1318" t="n"/>
      <c r="LI126" s="1318" t="n"/>
      <c r="LJ126" s="1318" t="n"/>
      <c r="LK126" s="1318" t="n"/>
      <c r="LL126" s="1318" t="n"/>
      <c r="LM126" s="1318" t="n"/>
      <c r="LN126" s="1318" t="n"/>
      <c r="LO126" s="1318" t="n"/>
      <c r="LP126" s="1318" t="n"/>
      <c r="LQ126" s="1318" t="n"/>
      <c r="LR126" s="1318" t="n"/>
      <c r="LS126" s="1318" t="n"/>
    </row>
    <row r="127">
      <c r="A127" s="885" t="inlineStr">
        <is>
          <t>YTD</t>
        </is>
      </c>
      <c r="B127" s="1318" t="n"/>
      <c r="C127" s="1318" t="n"/>
      <c r="D127" s="1318" t="n"/>
      <c r="E127" s="1318" t="n"/>
      <c r="F127" s="1318" t="n"/>
      <c r="G127" s="1318" t="n"/>
      <c r="H127" s="1318" t="n"/>
      <c r="I127" s="1318" t="n"/>
      <c r="J127" s="1318" t="n"/>
      <c r="K127" s="1318" t="n"/>
      <c r="L127" s="1318" t="n"/>
      <c r="M127" s="1318" t="n"/>
      <c r="N127" s="1318" t="n"/>
      <c r="O127" s="1318" t="n"/>
      <c r="P127" s="1318" t="n"/>
      <c r="Q127" s="1318" t="n"/>
      <c r="R127" s="1318" t="n"/>
      <c r="S127" s="1318" t="n"/>
      <c r="T127" s="1318" t="n"/>
      <c r="U127" s="1318" t="n"/>
      <c r="V127" s="1318" t="n"/>
      <c r="W127" s="1318" t="n"/>
      <c r="X127" s="1318" t="n"/>
      <c r="Y127" s="1318" t="n"/>
      <c r="Z127" s="1318" t="n"/>
      <c r="AA127" s="1318" t="n"/>
      <c r="AB127" s="1318" t="n"/>
      <c r="AC127" s="1318" t="n"/>
      <c r="AD127" s="1318" t="n"/>
      <c r="AE127" s="1318" t="n"/>
      <c r="AF127" s="1318" t="n"/>
      <c r="AG127" s="1318" t="n"/>
      <c r="AH127" s="1318" t="n"/>
      <c r="AI127" s="1318" t="n"/>
      <c r="AJ127" s="1318" t="n"/>
      <c r="AK127" s="1318" t="n"/>
      <c r="AL127" s="1318" t="n"/>
      <c r="AM127" s="1318" t="n"/>
      <c r="AN127" s="1318" t="n"/>
      <c r="AO127" s="1318" t="n"/>
      <c r="AP127" s="1318" t="n"/>
      <c r="AQ127" s="1318" t="n"/>
      <c r="AR127" s="1318" t="n"/>
      <c r="AS127" s="1318" t="n"/>
      <c r="AT127" s="1318" t="n"/>
      <c r="AU127" s="1318" t="n"/>
      <c r="AV127" s="1318" t="n"/>
      <c r="AW127" s="1318" t="n"/>
      <c r="AX127" s="1318" t="n"/>
      <c r="AY127" s="1318" t="n"/>
      <c r="AZ127" s="1318" t="n"/>
      <c r="BA127" s="1318" t="n"/>
      <c r="BB127" s="1318" t="n"/>
      <c r="BC127" s="1318" t="n"/>
      <c r="BD127" s="1318" t="n"/>
      <c r="BE127" s="1318" t="n"/>
      <c r="BF127" s="1318" t="n"/>
      <c r="BG127" s="1318" t="n"/>
      <c r="BH127" s="1318" t="n"/>
      <c r="BI127" s="1318" t="n"/>
      <c r="BJ127" s="1318" t="n"/>
      <c r="BK127" s="1318" t="n"/>
      <c r="BL127" s="1318" t="n"/>
      <c r="BM127" s="1318" t="n"/>
      <c r="BN127" s="1318" t="n"/>
      <c r="BO127" s="1318" t="n"/>
      <c r="BP127" s="1318" t="n"/>
      <c r="BQ127" s="1318" t="n"/>
      <c r="BR127" s="1318" t="n"/>
      <c r="BS127" s="1318" t="n"/>
      <c r="BT127" s="1318" t="n"/>
      <c r="BU127" s="1318" t="n"/>
      <c r="BV127" s="1318" t="n"/>
      <c r="BW127" s="1318" t="n"/>
      <c r="BX127" s="1318" t="n"/>
      <c r="BY127" s="1318" t="n"/>
      <c r="BZ127" s="1318" t="n"/>
      <c r="CA127" s="1318" t="n"/>
      <c r="CB127" s="1318" t="n"/>
      <c r="CC127" s="1318" t="n"/>
      <c r="CD127" s="1318" t="n"/>
      <c r="CE127" s="1318" t="n"/>
      <c r="CF127" s="1318" t="n"/>
      <c r="CG127" s="1318" t="n"/>
      <c r="CH127" s="1318" t="n"/>
      <c r="CI127" s="1318" t="n"/>
      <c r="CJ127" s="1318" t="n"/>
      <c r="CK127" s="1318" t="n"/>
      <c r="CL127" s="1318" t="n"/>
      <c r="CM127" s="1318" t="n"/>
      <c r="CN127" s="1318" t="n"/>
      <c r="CO127" s="1318" t="n"/>
      <c r="CP127" s="1318" t="n"/>
      <c r="CQ127" s="1318" t="n"/>
      <c r="CR127" s="1318" t="n"/>
      <c r="CS127" s="1318" t="n"/>
      <c r="CT127" s="1318">
        <f>SUMIFS(72:72,$8:$8,"&gt;="&amp;DATE(YEAR(CT$8),1,1),$8:$8,"&lt;="&amp;EOMONTH(CT$8,0))/SUMIFS(36:36,$8:$8,"&gt;="&amp;DATE(YEAR(CT$8),1,1),$8:$8,"&lt;="&amp;EOMONTH(CT$8,0))</f>
        <v/>
      </c>
      <c r="CU127" s="1318">
        <f>SUMIFS(72:72,$8:$8,"&gt;="&amp;DATE(YEAR(CU$8),1,1),$8:$8,"&lt;="&amp;EOMONTH(CU$8,0))/SUMIFS(36:36,$8:$8,"&gt;="&amp;DATE(YEAR(CU$8),1,1),$8:$8,"&lt;="&amp;EOMONTH(CU$8,0))</f>
        <v/>
      </c>
      <c r="CV127" s="1318">
        <f>SUMIFS(72:72,$8:$8,"&gt;="&amp;DATE(YEAR(CV$8),1,1),$8:$8,"&lt;="&amp;EOMONTH(CV$8,0))/SUMIFS(36:36,$8:$8,"&gt;="&amp;DATE(YEAR(CV$8),1,1),$8:$8,"&lt;="&amp;EOMONTH(CV$8,0))</f>
        <v/>
      </c>
      <c r="CW127" s="1318">
        <f>SUMIFS(72:72,$8:$8,"&gt;="&amp;DATE(YEAR(CW$8),1,1),$8:$8,"&lt;="&amp;EOMONTH(CW$8,0))/SUMIFS(36:36,$8:$8,"&gt;="&amp;DATE(YEAR(CW$8),1,1),$8:$8,"&lt;="&amp;EOMONTH(CW$8,0))</f>
        <v/>
      </c>
      <c r="CX127" s="1318">
        <f>SUMIFS(72:72,$8:$8,"&gt;="&amp;DATE(YEAR(CX$8),1,1),$8:$8,"&lt;="&amp;EOMONTH(CX$8,0))/SUMIFS(36:36,$8:$8,"&gt;="&amp;DATE(YEAR(CX$8),1,1),$8:$8,"&lt;="&amp;EOMONTH(CX$8,0))</f>
        <v/>
      </c>
      <c r="CY127" s="1318">
        <f>SUMIFS(72:72,$8:$8,"&gt;="&amp;DATE(YEAR(CY$8),1,1),$8:$8,"&lt;="&amp;EOMONTH(CY$8,0))/SUMIFS(36:36,$8:$8,"&gt;="&amp;DATE(YEAR(CY$8),1,1),$8:$8,"&lt;="&amp;EOMONTH(CY$8,0))</f>
        <v/>
      </c>
      <c r="CZ127" s="1318">
        <f>SUMIFS(72:72,$8:$8,"&gt;="&amp;DATE(YEAR(CZ$8),1,1),$8:$8,"&lt;="&amp;EOMONTH(CZ$8,0))/SUMIFS(36:36,$8:$8,"&gt;="&amp;DATE(YEAR(CZ$8),1,1),$8:$8,"&lt;="&amp;EOMONTH(CZ$8,0))</f>
        <v/>
      </c>
      <c r="DA127" s="1318">
        <f>SUMIFS(72:72,$8:$8,"&gt;="&amp;DATE(YEAR(DA$8),1,1),$8:$8,"&lt;="&amp;EOMONTH(DA$8,0))/SUMIFS(36:36,$8:$8,"&gt;="&amp;DATE(YEAR(DA$8),1,1),$8:$8,"&lt;="&amp;EOMONTH(DA$8,0))</f>
        <v/>
      </c>
      <c r="DB127" s="1318">
        <f>SUMIFS(72:72,$8:$8,"&gt;="&amp;DATE(YEAR(DB$8),1,1),$8:$8,"&lt;="&amp;EOMONTH(DB$8,0))/SUMIFS(36:36,$8:$8,"&gt;="&amp;DATE(YEAR(DB$8),1,1),$8:$8,"&lt;="&amp;EOMONTH(DB$8,0))</f>
        <v/>
      </c>
      <c r="DC127" s="1318">
        <f>SUMIFS(72:72,$8:$8,"&gt;="&amp;DATE(YEAR(DC$8),1,1),$8:$8,"&lt;="&amp;EOMONTH(DC$8,0))/SUMIFS(36:36,$8:$8,"&gt;="&amp;DATE(YEAR(DC$8),1,1),$8:$8,"&lt;="&amp;EOMONTH(DC$8,0))</f>
        <v/>
      </c>
      <c r="DD127" s="1318">
        <f>SUMIFS(72:72,$8:$8,"&gt;="&amp;DATE(YEAR(DD$8),1,1),$8:$8,"&lt;="&amp;EOMONTH(DD$8,0))/SUMIFS(36:36,$8:$8,"&gt;="&amp;DATE(YEAR(DD$8),1,1),$8:$8,"&lt;="&amp;EOMONTH(DD$8,0))</f>
        <v/>
      </c>
      <c r="DE127" s="1318">
        <f>SUMIFS(72:72,$8:$8,"&gt;="&amp;DATE(YEAR(DE$8),1,1),$8:$8,"&lt;="&amp;EOMONTH(DE$8,0))/SUMIFS(36:36,$8:$8,"&gt;="&amp;DATE(YEAR(DE$8),1,1),$8:$8,"&lt;="&amp;EOMONTH(DE$8,0))</f>
        <v/>
      </c>
      <c r="DF127" s="1318">
        <f>SUMIFS(72:72,$8:$8,"&gt;="&amp;DATE(YEAR(DF$8),1,1),$8:$8,"&lt;="&amp;EOMONTH(DF$8,0))/SUMIFS(36:36,$8:$8,"&gt;="&amp;DATE(YEAR(DF$8),1,1),$8:$8,"&lt;="&amp;EOMONTH(DF$8,0))</f>
        <v/>
      </c>
      <c r="DG127" s="1318">
        <f>SUMIFS(72:72,$8:$8,"&gt;="&amp;DATE(YEAR(DG$8),1,1),$8:$8,"&lt;="&amp;EOMONTH(DG$8,0))/SUMIFS(36:36,$8:$8,"&gt;="&amp;DATE(YEAR(DG$8),1,1),$8:$8,"&lt;="&amp;EOMONTH(DG$8,0))</f>
        <v/>
      </c>
      <c r="DH127" s="1318">
        <f>SUMIFS(72:72,$8:$8,"&gt;="&amp;DATE(YEAR(DH$8),1,1),$8:$8,"&lt;="&amp;EOMONTH(DH$8,0))/SUMIFS(36:36,$8:$8,"&gt;="&amp;DATE(YEAR(DH$8),1,1),$8:$8,"&lt;="&amp;EOMONTH(DH$8,0))</f>
        <v/>
      </c>
      <c r="DI127" s="1318">
        <f>SUMIFS(72:72,$8:$8,"&gt;="&amp;DATE(YEAR(DI$8),1,1),$8:$8,"&lt;="&amp;EOMONTH(DI$8,0))/SUMIFS(36:36,$8:$8,"&gt;="&amp;DATE(YEAR(DI$8),1,1),$8:$8,"&lt;="&amp;EOMONTH(DI$8,0))</f>
        <v/>
      </c>
      <c r="DJ127" s="1318">
        <f>SUMIFS(72:72,$8:$8,"&gt;="&amp;DATE(YEAR(DJ$8),1,1),$8:$8,"&lt;="&amp;EOMONTH(DJ$8,0))/SUMIFS(36:36,$8:$8,"&gt;="&amp;DATE(YEAR(DJ$8),1,1),$8:$8,"&lt;="&amp;EOMONTH(DJ$8,0))</f>
        <v/>
      </c>
      <c r="DK127" s="1318">
        <f>SUMIFS(72:72,$8:$8,"&gt;="&amp;DATE(YEAR(DK$8),1,1),$8:$8,"&lt;="&amp;EOMONTH(DK$8,0))/SUMIFS(36:36,$8:$8,"&gt;="&amp;DATE(YEAR(DK$8),1,1),$8:$8,"&lt;="&amp;EOMONTH(DK$8,0))</f>
        <v/>
      </c>
      <c r="DL127" s="1318">
        <f>SUMIFS(72:72,$8:$8,"&gt;="&amp;DATE(YEAR(DL$8),1,1),$8:$8,"&lt;="&amp;EOMONTH(DL$8,0))/SUMIFS(36:36,$8:$8,"&gt;="&amp;DATE(YEAR(DL$8),1,1),$8:$8,"&lt;="&amp;EOMONTH(DL$8,0))</f>
        <v/>
      </c>
      <c r="DM127" s="1318">
        <f>SUMIFS(72:72,$8:$8,"&gt;="&amp;DATE(YEAR(DM$8),1,1),$8:$8,"&lt;="&amp;EOMONTH(DM$8,0))/SUMIFS(36:36,$8:$8,"&gt;="&amp;DATE(YEAR(DM$8),1,1),$8:$8,"&lt;="&amp;EOMONTH(DM$8,0))</f>
        <v/>
      </c>
      <c r="DN127" s="1318">
        <f>SUMIFS(72:72,$8:$8,"&gt;="&amp;DATE(YEAR(DN$8),1,1),$8:$8,"&lt;="&amp;EOMONTH(DN$8,0))/SUMIFS(36:36,$8:$8,"&gt;="&amp;DATE(YEAR(DN$8),1,1),$8:$8,"&lt;="&amp;EOMONTH(DN$8,0))</f>
        <v/>
      </c>
      <c r="DO127" s="1318">
        <f>SUMIFS(72:72,$8:$8,"&gt;="&amp;DATE(YEAR(DO$8),1,1),$8:$8,"&lt;="&amp;EOMONTH(DO$8,0))/SUMIFS(36:36,$8:$8,"&gt;="&amp;DATE(YEAR(DO$8),1,1),$8:$8,"&lt;="&amp;EOMONTH(DO$8,0))</f>
        <v/>
      </c>
      <c r="DP127" s="1318">
        <f>SUMIFS(72:72,$8:$8,"&gt;="&amp;DATE(YEAR(DP$8),1,1),$8:$8,"&lt;="&amp;EOMONTH(DP$8,0))/SUMIFS(36:36,$8:$8,"&gt;="&amp;DATE(YEAR(DP$8),1,1),$8:$8,"&lt;="&amp;EOMONTH(DP$8,0))</f>
        <v/>
      </c>
      <c r="DQ127" s="1318">
        <f>SUMIFS(72:72,$8:$8,"&gt;="&amp;DATE(YEAR(DQ$8),1,1),$8:$8,"&lt;="&amp;EOMONTH(DQ$8,0))/SUMIFS(36:36,$8:$8,"&gt;="&amp;DATE(YEAR(DQ$8),1,1),$8:$8,"&lt;="&amp;EOMONTH(DQ$8,0))</f>
        <v/>
      </c>
      <c r="DR127" s="1318">
        <f>SUMIFS(72:72,$8:$8,"&gt;="&amp;DATE(YEAR(DR$8),1,1),$8:$8,"&lt;="&amp;EOMONTH(DR$8,0))/SUMIFS(36:36,$8:$8,"&gt;="&amp;DATE(YEAR(DR$8),1,1),$8:$8,"&lt;="&amp;EOMONTH(DR$8,0))</f>
        <v/>
      </c>
      <c r="DS127" s="1318">
        <f>SUMIFS(72:72,$8:$8,"&gt;="&amp;DATE(YEAR(DS$8),1,1),$8:$8,"&lt;="&amp;EOMONTH(DS$8,0))/SUMIFS(36:36,$8:$8,"&gt;="&amp;DATE(YEAR(DS$8),1,1),$8:$8,"&lt;="&amp;EOMONTH(DS$8,0))</f>
        <v/>
      </c>
      <c r="DT127" s="1318">
        <f>SUMIFS(72:72,$8:$8,"&gt;="&amp;DATE(YEAR(DT$8),1,1),$8:$8,"&lt;="&amp;EOMONTH(DT$8,0))/SUMIFS(36:36,$8:$8,"&gt;="&amp;DATE(YEAR(DT$8),1,1),$8:$8,"&lt;="&amp;EOMONTH(DT$8,0))</f>
        <v/>
      </c>
      <c r="DU127" s="1318">
        <f>SUMIFS(72:72,$8:$8,"&gt;="&amp;DATE(YEAR(DU$8),1,1),$8:$8,"&lt;="&amp;EOMONTH(DU$8,0))/SUMIFS(36:36,$8:$8,"&gt;="&amp;DATE(YEAR(DU$8),1,1),$8:$8,"&lt;="&amp;EOMONTH(DU$8,0))</f>
        <v/>
      </c>
      <c r="DV127" s="1318">
        <f>SUMIFS(72:72,$8:$8,"&gt;="&amp;DATE(YEAR(DV$8),1,1),$8:$8,"&lt;="&amp;EOMONTH(DV$8,0))/SUMIFS(36:36,$8:$8,"&gt;="&amp;DATE(YEAR(DV$8),1,1),$8:$8,"&lt;="&amp;EOMONTH(DV$8,0))</f>
        <v/>
      </c>
      <c r="DW127" s="1318">
        <f>SUMIFS(72:72,$8:$8,"&gt;="&amp;DATE(YEAR(DW$8),1,1),$8:$8,"&lt;="&amp;EOMONTH(DW$8,0))/SUMIFS(36:36,$8:$8,"&gt;="&amp;DATE(YEAR(DW$8),1,1),$8:$8,"&lt;="&amp;EOMONTH(DW$8,0))</f>
        <v/>
      </c>
      <c r="DX127" s="1318">
        <f>SUMIFS(72:72,$8:$8,"&gt;="&amp;DATE(YEAR(DX$8),1,1),$8:$8,"&lt;="&amp;EOMONTH(DX$8,0))/SUMIFS(36:36,$8:$8,"&gt;="&amp;DATE(YEAR(DX$8),1,1),$8:$8,"&lt;="&amp;EOMONTH(DX$8,0))</f>
        <v/>
      </c>
      <c r="DY127" s="1318">
        <f>SUMIFS(72:72,$8:$8,"&gt;="&amp;DATE(YEAR(DY$8),1,1),$8:$8,"&lt;="&amp;EOMONTH(DY$8,0))/SUMIFS(36:36,$8:$8,"&gt;="&amp;DATE(YEAR(DY$8),1,1),$8:$8,"&lt;="&amp;EOMONTH(DY$8,0))</f>
        <v/>
      </c>
      <c r="DZ127" s="1318">
        <f>SUMIFS(72:72,$8:$8,"&gt;="&amp;DATE(YEAR(DZ$8),1,1),$8:$8,"&lt;="&amp;EOMONTH(DZ$8,0))/SUMIFS(36:36,$8:$8,"&gt;="&amp;DATE(YEAR(DZ$8),1,1),$8:$8,"&lt;="&amp;EOMONTH(DZ$8,0))</f>
        <v/>
      </c>
      <c r="EA127" s="1318">
        <f>SUMIFS(72:72,$8:$8,"&gt;="&amp;DATE(YEAR(EA$8),1,1),$8:$8,"&lt;="&amp;EOMONTH(EA$8,0))/SUMIFS(36:36,$8:$8,"&gt;="&amp;DATE(YEAR(EA$8),1,1),$8:$8,"&lt;="&amp;EOMONTH(EA$8,0))</f>
        <v/>
      </c>
      <c r="EB127" s="1318">
        <f>SUMIFS(72:72,$8:$8,"&gt;="&amp;DATE(YEAR(EB$8),1,1),$8:$8,"&lt;="&amp;EOMONTH(EB$8,0))/SUMIFS(36:36,$8:$8,"&gt;="&amp;DATE(YEAR(EB$8),1,1),$8:$8,"&lt;="&amp;EOMONTH(EB$8,0))</f>
        <v/>
      </c>
      <c r="EC127" s="1318">
        <f>SUMIFS(72:72,$8:$8,"&gt;="&amp;DATE(YEAR(EC$8),1,1),$8:$8,"&lt;="&amp;EOMONTH(EC$8,0))/SUMIFS(36:36,$8:$8,"&gt;="&amp;DATE(YEAR(EC$8),1,1),$8:$8,"&lt;="&amp;EOMONTH(EC$8,0))</f>
        <v/>
      </c>
      <c r="ED127" s="1318">
        <f>SUMIFS(72:72,$8:$8,"&gt;="&amp;DATE(YEAR(ED$8),1,1),$8:$8,"&lt;="&amp;EOMONTH(ED$8,0))/SUMIFS(36:36,$8:$8,"&gt;="&amp;DATE(YEAR(ED$8),1,1),$8:$8,"&lt;="&amp;EOMONTH(ED$8,0))</f>
        <v/>
      </c>
      <c r="EE127" s="1318">
        <f>SUMIFS(72:72,$8:$8,"&gt;="&amp;DATE(YEAR(EE$8),1,1),$8:$8,"&lt;="&amp;EOMONTH(EE$8,0))/SUMIFS(36:36,$8:$8,"&gt;="&amp;DATE(YEAR(EE$8),1,1),$8:$8,"&lt;="&amp;EOMONTH(EE$8,0))</f>
        <v/>
      </c>
      <c r="EF127" s="1318">
        <f>SUMIFS(72:72,$8:$8,"&gt;="&amp;DATE(YEAR(EF$8),1,1),$8:$8,"&lt;="&amp;EOMONTH(EF$8,0))/SUMIFS(36:36,$8:$8,"&gt;="&amp;DATE(YEAR(EF$8),1,1),$8:$8,"&lt;="&amp;EOMONTH(EF$8,0))</f>
        <v/>
      </c>
      <c r="EG127" s="1318">
        <f>SUMIFS(72:72,$8:$8,"&gt;="&amp;DATE(YEAR(EG$8),1,1),$8:$8,"&lt;="&amp;EOMONTH(EG$8,0))/SUMIFS(36:36,$8:$8,"&gt;="&amp;DATE(YEAR(EG$8),1,1),$8:$8,"&lt;="&amp;EOMONTH(EG$8,0))</f>
        <v/>
      </c>
      <c r="EH127" s="1318">
        <f>SUMIFS(72:72,$8:$8,"&gt;="&amp;DATE(YEAR(EH$8),1,1),$8:$8,"&lt;="&amp;EOMONTH(EH$8,0))/SUMIFS(36:36,$8:$8,"&gt;="&amp;DATE(YEAR(EH$8),1,1),$8:$8,"&lt;="&amp;EOMONTH(EH$8,0))</f>
        <v/>
      </c>
      <c r="EI127" s="1318">
        <f>SUMIFS(72:72,$8:$8,"&gt;="&amp;DATE(YEAR(EI$8),1,1),$8:$8,"&lt;="&amp;EOMONTH(EI$8,0))/SUMIFS(36:36,$8:$8,"&gt;="&amp;DATE(YEAR(EI$8),1,1),$8:$8,"&lt;="&amp;EOMONTH(EI$8,0))</f>
        <v/>
      </c>
      <c r="EJ127" s="1318">
        <f>SUMIFS(72:72,$8:$8,"&gt;="&amp;DATE(YEAR(EJ$8),1,1),$8:$8,"&lt;="&amp;EOMONTH(EJ$8,0))/SUMIFS(36:36,$8:$8,"&gt;="&amp;DATE(YEAR(EJ$8),1,1),$8:$8,"&lt;="&amp;EOMONTH(EJ$8,0))</f>
        <v/>
      </c>
      <c r="EK127" s="1318">
        <f>SUMIFS(72:72,$8:$8,"&gt;="&amp;DATE(YEAR(EK$8),1,1),$8:$8,"&lt;="&amp;EOMONTH(EK$8,0))/SUMIFS(36:36,$8:$8,"&gt;="&amp;DATE(YEAR(EK$8),1,1),$8:$8,"&lt;="&amp;EOMONTH(EK$8,0))</f>
        <v/>
      </c>
      <c r="EL127" s="1318">
        <f>SUMIFS(72:72,$8:$8,"&gt;="&amp;DATE(YEAR(EL$8),1,1),$8:$8,"&lt;="&amp;EOMONTH(EL$8,0))/SUMIFS(36:36,$8:$8,"&gt;="&amp;DATE(YEAR(EL$8),1,1),$8:$8,"&lt;="&amp;EOMONTH(EL$8,0))</f>
        <v/>
      </c>
      <c r="EM127" s="1318">
        <f>SUMIFS(72:72,$8:$8,"&gt;="&amp;DATE(YEAR(EM$8),1,1),$8:$8,"&lt;="&amp;EOMONTH(EM$8,0))/SUMIFS(36:36,$8:$8,"&gt;="&amp;DATE(YEAR(EM$8),1,1),$8:$8,"&lt;="&amp;EOMONTH(EM$8,0))</f>
        <v/>
      </c>
      <c r="EN127" s="1318">
        <f>SUMIFS(72:72,$8:$8,"&gt;="&amp;DATE(YEAR(EN$8),1,1),$8:$8,"&lt;="&amp;EOMONTH(EN$8,0))/SUMIFS(36:36,$8:$8,"&gt;="&amp;DATE(YEAR(EN$8),1,1),$8:$8,"&lt;="&amp;EOMONTH(EN$8,0))</f>
        <v/>
      </c>
      <c r="EO127" s="1318">
        <f>SUMIFS(72:72,$8:$8,"&gt;="&amp;DATE(YEAR(EO$8),1,1),$8:$8,"&lt;="&amp;EOMONTH(EO$8,0))/SUMIFS(36:36,$8:$8,"&gt;="&amp;DATE(YEAR(EO$8),1,1),$8:$8,"&lt;="&amp;EOMONTH(EO$8,0))</f>
        <v/>
      </c>
      <c r="EP127" s="1318">
        <f>SUMIFS(72:72,$8:$8,"&gt;="&amp;DATE(YEAR(EP$8),1,1),$8:$8,"&lt;="&amp;EOMONTH(EP$8,0))/SUMIFS(36:36,$8:$8,"&gt;="&amp;DATE(YEAR(EP$8),1,1),$8:$8,"&lt;="&amp;EOMONTH(EP$8,0))</f>
        <v/>
      </c>
      <c r="EQ127" s="1318">
        <f>SUMIFS(72:72,$8:$8,"&gt;="&amp;DATE(YEAR(EQ$8),1,1),$8:$8,"&lt;="&amp;EOMONTH(EQ$8,0))/SUMIFS(36:36,$8:$8,"&gt;="&amp;DATE(YEAR(EQ$8),1,1),$8:$8,"&lt;="&amp;EOMONTH(EQ$8,0))</f>
        <v/>
      </c>
      <c r="ER127" s="1318">
        <f>SUMIFS(72:72,$8:$8,"&gt;="&amp;DATE(YEAR(ER$8),1,1),$8:$8,"&lt;="&amp;EOMONTH(ER$8,0))/SUMIFS(36:36,$8:$8,"&gt;="&amp;DATE(YEAR(ER$8),1,1),$8:$8,"&lt;="&amp;EOMONTH(ER$8,0))</f>
        <v/>
      </c>
      <c r="ES127" s="1318">
        <f>SUMIFS(72:72,$8:$8,"&gt;="&amp;DATE(YEAR(ES$8),1,1),$8:$8,"&lt;="&amp;EOMONTH(ES$8,0))/SUMIFS(36:36,$8:$8,"&gt;="&amp;DATE(YEAR(ES$8),1,1),$8:$8,"&lt;="&amp;EOMONTH(ES$8,0))</f>
        <v/>
      </c>
      <c r="ET127" s="1318">
        <f>SUMIFS(72:72,$8:$8,"&gt;="&amp;DATE(YEAR(ET$8),1,1),$8:$8,"&lt;="&amp;EOMONTH(ET$8,0))/SUMIFS(36:36,$8:$8,"&gt;="&amp;DATE(YEAR(ET$8),1,1),$8:$8,"&lt;="&amp;EOMONTH(ET$8,0))</f>
        <v/>
      </c>
      <c r="EU127" s="1318">
        <f>SUMIFS(72:72,$8:$8,"&gt;="&amp;DATE(YEAR(EU$8),1,1),$8:$8,"&lt;="&amp;EOMONTH(EU$8,0))/SUMIFS(36:36,$8:$8,"&gt;="&amp;DATE(YEAR(EU$8),1,1),$8:$8,"&lt;="&amp;EOMONTH(EU$8,0))</f>
        <v/>
      </c>
      <c r="EV127" s="1318">
        <f>SUMIFS(72:72,$8:$8,"&gt;="&amp;DATE(YEAR(EV$8),1,1),$8:$8,"&lt;="&amp;EOMONTH(EV$8,0))/SUMIFS(36:36,$8:$8,"&gt;="&amp;DATE(YEAR(EV$8),1,1),$8:$8,"&lt;="&amp;EOMONTH(EV$8,0))</f>
        <v/>
      </c>
      <c r="EW127" s="1318">
        <f>SUMIFS(72:72,$8:$8,"&gt;="&amp;DATE(YEAR(EW$8),1,1),$8:$8,"&lt;="&amp;EOMONTH(EW$8,0))/SUMIFS(36:36,$8:$8,"&gt;="&amp;DATE(YEAR(EW$8),1,1),$8:$8,"&lt;="&amp;EOMONTH(EW$8,0))</f>
        <v/>
      </c>
      <c r="EX127" s="1318">
        <f>SUMIFS(72:72,$8:$8,"&gt;="&amp;DATE(YEAR(EX$8),1,1),$8:$8,"&lt;="&amp;EOMONTH(EX$8,0))/SUMIFS(36:36,$8:$8,"&gt;="&amp;DATE(YEAR(EX$8),1,1),$8:$8,"&lt;="&amp;EOMONTH(EX$8,0))</f>
        <v/>
      </c>
      <c r="EY127" s="1318">
        <f>SUMIFS(72:72,$8:$8,"&gt;="&amp;DATE(YEAR(EY$8),1,1),$8:$8,"&lt;="&amp;EOMONTH(EY$8,0))/SUMIFS(36:36,$8:$8,"&gt;="&amp;DATE(YEAR(EY$8),1,1),$8:$8,"&lt;="&amp;EOMONTH(EY$8,0))</f>
        <v/>
      </c>
      <c r="EZ127" s="1318">
        <f>SUMIFS(72:72,$8:$8,"&gt;="&amp;DATE(YEAR(EZ$8),1,1),$8:$8,"&lt;="&amp;EOMONTH(EZ$8,0))/SUMIFS(36:36,$8:$8,"&gt;="&amp;DATE(YEAR(EZ$8),1,1),$8:$8,"&lt;="&amp;EOMONTH(EZ$8,0))</f>
        <v/>
      </c>
      <c r="FA127" s="1318">
        <f>SUMIFS(72:72,$8:$8,"&gt;="&amp;DATE(YEAR(FA$8),1,1),$8:$8,"&lt;="&amp;EOMONTH(FA$8,0))/SUMIFS(36:36,$8:$8,"&gt;="&amp;DATE(YEAR(FA$8),1,1),$8:$8,"&lt;="&amp;EOMONTH(FA$8,0))</f>
        <v/>
      </c>
      <c r="FB127" s="1318">
        <f>SUMIFS(72:72,$8:$8,"&gt;="&amp;DATE(YEAR(FB$8),1,1),$8:$8,"&lt;="&amp;EOMONTH(FB$8,0))/SUMIFS(36:36,$8:$8,"&gt;="&amp;DATE(YEAR(FB$8),1,1),$8:$8,"&lt;="&amp;EOMONTH(FB$8,0))</f>
        <v/>
      </c>
      <c r="FC127" s="1318">
        <f>SUMIFS(72:72,$8:$8,"&gt;="&amp;DATE(YEAR(FC$8),1,1),$8:$8,"&lt;="&amp;EOMONTH(FC$8,0))/SUMIFS(36:36,$8:$8,"&gt;="&amp;DATE(YEAR(FC$8),1,1),$8:$8,"&lt;="&amp;EOMONTH(FC$8,0))</f>
        <v/>
      </c>
      <c r="FD127" s="1318">
        <f>SUMIFS(72:72,$8:$8,"&gt;="&amp;DATE(YEAR(FD$8),1,1),$8:$8,"&lt;="&amp;EOMONTH(FD$8,0))/SUMIFS(36:36,$8:$8,"&gt;="&amp;DATE(YEAR(FD$8),1,1),$8:$8,"&lt;="&amp;EOMONTH(FD$8,0))</f>
        <v/>
      </c>
      <c r="FE127" s="1318">
        <f>SUMIFS(72:72,$8:$8,"&gt;="&amp;DATE(YEAR(FE$8),1,1),$8:$8,"&lt;="&amp;EOMONTH(FE$8,0))/SUMIFS(36:36,$8:$8,"&gt;="&amp;DATE(YEAR(FE$8),1,1),$8:$8,"&lt;="&amp;EOMONTH(FE$8,0))</f>
        <v/>
      </c>
      <c r="FF127" s="1318">
        <f>SUMIFS(72:72,$8:$8,"&gt;="&amp;DATE(YEAR(FF$8),1,1),$8:$8,"&lt;="&amp;EOMONTH(FF$8,0))/SUMIFS(36:36,$8:$8,"&gt;="&amp;DATE(YEAR(FF$8),1,1),$8:$8,"&lt;="&amp;EOMONTH(FF$8,0))</f>
        <v/>
      </c>
      <c r="FG127" s="1318">
        <f>SUMIFS(72:72,$8:$8,"&gt;="&amp;DATE(YEAR(FG$8),1,1),$8:$8,"&lt;="&amp;EOMONTH(FG$8,0))/SUMIFS(36:36,$8:$8,"&gt;="&amp;DATE(YEAR(FG$8),1,1),$8:$8,"&lt;="&amp;EOMONTH(FG$8,0))</f>
        <v/>
      </c>
      <c r="FH127" s="1318">
        <f>SUMIFS(72:72,$8:$8,"&gt;="&amp;DATE(YEAR(FH$8),1,1),$8:$8,"&lt;="&amp;EOMONTH(FH$8,0))/SUMIFS(36:36,$8:$8,"&gt;="&amp;DATE(YEAR(FH$8),1,1),$8:$8,"&lt;="&amp;EOMONTH(FH$8,0))</f>
        <v/>
      </c>
      <c r="FI127" s="1318">
        <f>SUMIFS(72:72,$8:$8,"&gt;="&amp;DATE(YEAR(FI$8),1,1),$8:$8,"&lt;="&amp;EOMONTH(FI$8,0))/SUMIFS(36:36,$8:$8,"&gt;="&amp;DATE(YEAR(FI$8),1,1),$8:$8,"&lt;="&amp;EOMONTH(FI$8,0))</f>
        <v/>
      </c>
      <c r="FJ127" s="1318">
        <f>SUMIFS(72:72,$8:$8,"&gt;="&amp;DATE(YEAR(FJ$8),1,1),$8:$8,"&lt;="&amp;EOMONTH(FJ$8,0))/SUMIFS(36:36,$8:$8,"&gt;="&amp;DATE(YEAR(FJ$8),1,1),$8:$8,"&lt;="&amp;EOMONTH(FJ$8,0))</f>
        <v/>
      </c>
      <c r="FK127" s="1318">
        <f>SUMIFS(72:72,$8:$8,"&gt;="&amp;DATE(YEAR(FK$8),1,1),$8:$8,"&lt;="&amp;EOMONTH(FK$8,0))/SUMIFS(36:36,$8:$8,"&gt;="&amp;DATE(YEAR(FK$8),1,1),$8:$8,"&lt;="&amp;EOMONTH(FK$8,0))</f>
        <v/>
      </c>
      <c r="FL127" s="1318">
        <f>SUMIFS(72:72,$8:$8,"&gt;="&amp;DATE(YEAR(FL$8),1,1),$8:$8,"&lt;="&amp;EOMONTH(FL$8,0))/SUMIFS(36:36,$8:$8,"&gt;="&amp;DATE(YEAR(FL$8),1,1),$8:$8,"&lt;="&amp;EOMONTH(FL$8,0))</f>
        <v/>
      </c>
      <c r="FM127" s="1318">
        <f>SUMIFS(72:72,$8:$8,"&gt;="&amp;DATE(YEAR(FM$8),1,1),$8:$8,"&lt;="&amp;EOMONTH(FM$8,0))/SUMIFS(36:36,$8:$8,"&gt;="&amp;DATE(YEAR(FM$8),1,1),$8:$8,"&lt;="&amp;EOMONTH(FM$8,0))</f>
        <v/>
      </c>
      <c r="FN127" s="1318">
        <f>SUMIFS(72:72,$8:$8,"&gt;="&amp;DATE(YEAR(FN$8),1,1),$8:$8,"&lt;="&amp;EOMONTH(FN$8,0))/SUMIFS(36:36,$8:$8,"&gt;="&amp;DATE(YEAR(FN$8),1,1),$8:$8,"&lt;="&amp;EOMONTH(FN$8,0))</f>
        <v/>
      </c>
      <c r="FO127" s="1318">
        <f>SUMIFS(72:72,$8:$8,"&gt;="&amp;DATE(YEAR(FO$8),1,1),$8:$8,"&lt;="&amp;EOMONTH(FO$8,0))/SUMIFS(36:36,$8:$8,"&gt;="&amp;DATE(YEAR(FO$8),1,1),$8:$8,"&lt;="&amp;EOMONTH(FO$8,0))</f>
        <v/>
      </c>
      <c r="FP127" s="1318">
        <f>SUMIFS(72:72,$8:$8,"&gt;="&amp;DATE(YEAR(FP$8),1,1),$8:$8,"&lt;="&amp;EOMONTH(FP$8,0))/SUMIFS(36:36,$8:$8,"&gt;="&amp;DATE(YEAR(FP$8),1,1),$8:$8,"&lt;="&amp;EOMONTH(FP$8,0))</f>
        <v/>
      </c>
      <c r="FQ127" s="1318">
        <f>SUMIFS(72:72,$8:$8,"&gt;="&amp;DATE(YEAR(FQ$8),1,1),$8:$8,"&lt;="&amp;EOMONTH(FQ$8,0))/SUMIFS(36:36,$8:$8,"&gt;="&amp;DATE(YEAR(FQ$8),1,1),$8:$8,"&lt;="&amp;EOMONTH(FQ$8,0))</f>
        <v/>
      </c>
      <c r="FR127" s="1318">
        <f>SUMIFS(72:72,$8:$8,"&gt;="&amp;DATE(YEAR(FR$8),1,1),$8:$8,"&lt;="&amp;EOMONTH(FR$8,0))/SUMIFS(36:36,$8:$8,"&gt;="&amp;DATE(YEAR(FR$8),1,1),$8:$8,"&lt;="&amp;EOMONTH(FR$8,0))</f>
        <v/>
      </c>
      <c r="FS127" s="1318">
        <f>SUMIFS(72:72,$8:$8,"&gt;="&amp;DATE(YEAR(FS$8),1,1),$8:$8,"&lt;="&amp;EOMONTH(FS$8,0))/SUMIFS(36:36,$8:$8,"&gt;="&amp;DATE(YEAR(FS$8),1,1),$8:$8,"&lt;="&amp;EOMONTH(FS$8,0))</f>
        <v/>
      </c>
      <c r="FT127" s="1318">
        <f>SUMIFS(72:72,$8:$8,"&gt;="&amp;DATE(YEAR(FT$8),1,1),$8:$8,"&lt;="&amp;EOMONTH(FT$8,0))/SUMIFS(36:36,$8:$8,"&gt;="&amp;DATE(YEAR(FT$8),1,1),$8:$8,"&lt;="&amp;EOMONTH(FT$8,0))</f>
        <v/>
      </c>
      <c r="FU127" s="1318">
        <f>SUMIFS(72:72,$8:$8,"&gt;="&amp;DATE(YEAR(FU$8),1,1),$8:$8,"&lt;="&amp;EOMONTH(FU$8,0))/SUMIFS(36:36,$8:$8,"&gt;="&amp;DATE(YEAR(FU$8),1,1),$8:$8,"&lt;="&amp;EOMONTH(FU$8,0))</f>
        <v/>
      </c>
      <c r="FV127" s="1318">
        <f>SUMIFS(72:72,$8:$8,"&gt;="&amp;DATE(YEAR(FV$8),1,1),$8:$8,"&lt;="&amp;EOMONTH(FV$8,0))/SUMIFS(36:36,$8:$8,"&gt;="&amp;DATE(YEAR(FV$8),1,1),$8:$8,"&lt;="&amp;EOMONTH(FV$8,0))</f>
        <v/>
      </c>
      <c r="FW127" s="1318">
        <f>SUMIFS(72:72,$8:$8,"&gt;="&amp;DATE(YEAR(FW$8),1,1),$8:$8,"&lt;="&amp;EOMONTH(FW$8,0))/SUMIFS(36:36,$8:$8,"&gt;="&amp;DATE(YEAR(FW$8),1,1),$8:$8,"&lt;="&amp;EOMONTH(FW$8,0))</f>
        <v/>
      </c>
      <c r="FX127" s="1318">
        <f>SUMIFS(72:72,$8:$8,"&gt;="&amp;DATE(YEAR(FX$8),1,1),$8:$8,"&lt;="&amp;EOMONTH(FX$8,0))/SUMIFS(36:36,$8:$8,"&gt;="&amp;DATE(YEAR(FX$8),1,1),$8:$8,"&lt;="&amp;EOMONTH(FX$8,0))</f>
        <v/>
      </c>
      <c r="FY127" s="1318">
        <f>SUMIFS(72:72,$8:$8,"&gt;="&amp;DATE(YEAR(FY$8),1,1),$8:$8,"&lt;="&amp;EOMONTH(FY$8,0))/SUMIFS(36:36,$8:$8,"&gt;="&amp;DATE(YEAR(FY$8),1,1),$8:$8,"&lt;="&amp;EOMONTH(FY$8,0))</f>
        <v/>
      </c>
      <c r="FZ127" s="1318">
        <f>SUMIFS(72:72,$8:$8,"&gt;="&amp;DATE(YEAR(FZ$8),1,1),$8:$8,"&lt;="&amp;EOMONTH(FZ$8,0))/SUMIFS(36:36,$8:$8,"&gt;="&amp;DATE(YEAR(FZ$8),1,1),$8:$8,"&lt;="&amp;EOMONTH(FZ$8,0))</f>
        <v/>
      </c>
      <c r="GA127" s="1318">
        <f>SUMIFS(72:72,$8:$8,"&gt;="&amp;DATE(YEAR(GA$8),1,1),$8:$8,"&lt;="&amp;EOMONTH(GA$8,0))/SUMIFS(36:36,$8:$8,"&gt;="&amp;DATE(YEAR(GA$8),1,1),$8:$8,"&lt;="&amp;EOMONTH(GA$8,0))</f>
        <v/>
      </c>
      <c r="GB127" s="1318">
        <f>SUMIFS(72:72,$8:$8,"&gt;="&amp;DATE(YEAR(GB$8),1,1),$8:$8,"&lt;="&amp;EOMONTH(GB$8,0))/SUMIFS(36:36,$8:$8,"&gt;="&amp;DATE(YEAR(GB$8),1,1),$8:$8,"&lt;="&amp;EOMONTH(GB$8,0))</f>
        <v/>
      </c>
      <c r="GC127" s="1318">
        <f>SUMIFS(72:72,$8:$8,"&gt;="&amp;DATE(YEAR(GC$8),1,1),$8:$8,"&lt;="&amp;EOMONTH(GC$8,0))/SUMIFS(36:36,$8:$8,"&gt;="&amp;DATE(YEAR(GC$8),1,1),$8:$8,"&lt;="&amp;EOMONTH(GC$8,0))</f>
        <v/>
      </c>
      <c r="GD127" s="1318">
        <f>SUMIFS(72:72,$8:$8,"&gt;="&amp;DATE(YEAR(GD$8),1,1),$8:$8,"&lt;="&amp;EOMONTH(GD$8,0))/SUMIFS(36:36,$8:$8,"&gt;="&amp;DATE(YEAR(GD$8),1,1),$8:$8,"&lt;="&amp;EOMONTH(GD$8,0))</f>
        <v/>
      </c>
      <c r="GE127" s="1318">
        <f>SUMIFS(72:72,$8:$8,"&gt;="&amp;DATE(YEAR(GE$8),1,1),$8:$8,"&lt;="&amp;EOMONTH(GE$8,0))/SUMIFS(36:36,$8:$8,"&gt;="&amp;DATE(YEAR(GE$8),1,1),$8:$8,"&lt;="&amp;EOMONTH(GE$8,0))</f>
        <v/>
      </c>
      <c r="GF127" s="1318">
        <f>SUMIFS(72:72,$8:$8,"&gt;="&amp;DATE(YEAR(GF$8),1,1),$8:$8,"&lt;="&amp;EOMONTH(GF$8,0))/SUMIFS(36:36,$8:$8,"&gt;="&amp;DATE(YEAR(GF$8),1,1),$8:$8,"&lt;="&amp;EOMONTH(GF$8,0))</f>
        <v/>
      </c>
      <c r="GG127" s="1318">
        <f>SUMIFS(72:72,$8:$8,"&gt;="&amp;DATE(YEAR(GG$8),1,1),$8:$8,"&lt;="&amp;EOMONTH(GG$8,0))/SUMIFS(36:36,$8:$8,"&gt;="&amp;DATE(YEAR(GG$8),1,1),$8:$8,"&lt;="&amp;EOMONTH(GG$8,0))</f>
        <v/>
      </c>
      <c r="GH127" s="1318">
        <f>SUMIFS(72:72,$8:$8,"&gt;="&amp;DATE(YEAR(GH$8),1,1),$8:$8,"&lt;="&amp;EOMONTH(GH$8,0))/SUMIFS(36:36,$8:$8,"&gt;="&amp;DATE(YEAR(GH$8),1,1),$8:$8,"&lt;="&amp;EOMONTH(GH$8,0))</f>
        <v/>
      </c>
      <c r="GI127" s="1318">
        <f>SUMIFS(72:72,$8:$8,"&gt;="&amp;DATE(YEAR(GI$8),1,1),$8:$8,"&lt;="&amp;EOMONTH(GI$8,0))/SUMIFS(36:36,$8:$8,"&gt;="&amp;DATE(YEAR(GI$8),1,1),$8:$8,"&lt;="&amp;EOMONTH(GI$8,0))</f>
        <v/>
      </c>
      <c r="GJ127" s="1318">
        <f>SUMIFS(72:72,$8:$8,"&gt;="&amp;DATE(YEAR(GJ$8),1,1),$8:$8,"&lt;="&amp;EOMONTH(GJ$8,0))/SUMIFS(36:36,$8:$8,"&gt;="&amp;DATE(YEAR(GJ$8),1,1),$8:$8,"&lt;="&amp;EOMONTH(GJ$8,0))</f>
        <v/>
      </c>
      <c r="GK127" s="1318">
        <f>SUMIFS(72:72,$8:$8,"&gt;="&amp;DATE(YEAR(GK$8),1,1),$8:$8,"&lt;="&amp;EOMONTH(GK$8,0))/SUMIFS(36:36,$8:$8,"&gt;="&amp;DATE(YEAR(GK$8),1,1),$8:$8,"&lt;="&amp;EOMONTH(GK$8,0))</f>
        <v/>
      </c>
      <c r="GL127" s="1318">
        <f>SUMIFS(72:72,$8:$8,"&gt;="&amp;DATE(YEAR(GL$8),1,1),$8:$8,"&lt;="&amp;EOMONTH(GL$8,0))/SUMIFS(36:36,$8:$8,"&gt;="&amp;DATE(YEAR(GL$8),1,1),$8:$8,"&lt;="&amp;EOMONTH(GL$8,0))</f>
        <v/>
      </c>
      <c r="GM127" s="1318">
        <f>SUMIFS(72:72,$8:$8,"&gt;="&amp;DATE(YEAR(GM$8),1,1),$8:$8,"&lt;="&amp;EOMONTH(GM$8,0))/SUMIFS(36:36,$8:$8,"&gt;="&amp;DATE(YEAR(GM$8),1,1),$8:$8,"&lt;="&amp;EOMONTH(GM$8,0))</f>
        <v/>
      </c>
      <c r="GN127" s="1318">
        <f>SUMIFS(72:72,$8:$8,"&gt;="&amp;DATE(YEAR(GN$8),1,1),$8:$8,"&lt;="&amp;EOMONTH(GN$8,0))/SUMIFS(36:36,$8:$8,"&gt;="&amp;DATE(YEAR(GN$8),1,1),$8:$8,"&lt;="&amp;EOMONTH(GN$8,0))</f>
        <v/>
      </c>
      <c r="GO127" s="1318">
        <f>SUMIFS(72:72,$8:$8,"&gt;="&amp;DATE(YEAR(GO$8),1,1),$8:$8,"&lt;="&amp;EOMONTH(GO$8,0))/SUMIFS(36:36,$8:$8,"&gt;="&amp;DATE(YEAR(GO$8),1,1),$8:$8,"&lt;="&amp;EOMONTH(GO$8,0))</f>
        <v/>
      </c>
      <c r="GP127" s="1318">
        <f>SUMIFS(72:72,$8:$8,"&gt;="&amp;DATE(YEAR(GP$8),1,1),$8:$8,"&lt;="&amp;EOMONTH(GP$8,0))/SUMIFS(36:36,$8:$8,"&gt;="&amp;DATE(YEAR(GP$8),1,1),$8:$8,"&lt;="&amp;EOMONTH(GP$8,0))</f>
        <v/>
      </c>
      <c r="GQ127" s="1318">
        <f>SUMIFS(72:72,$8:$8,"&gt;="&amp;DATE(YEAR(GQ$8),1,1),$8:$8,"&lt;="&amp;EOMONTH(GQ$8,0))/SUMIFS(36:36,$8:$8,"&gt;="&amp;DATE(YEAR(GQ$8),1,1),$8:$8,"&lt;="&amp;EOMONTH(GQ$8,0))</f>
        <v/>
      </c>
      <c r="GR127" s="1318">
        <f>SUMIFS(72:72,$8:$8,"&gt;="&amp;DATE(YEAR(GR$8),1,1),$8:$8,"&lt;="&amp;EOMONTH(GR$8,0))/SUMIFS(36:36,$8:$8,"&gt;="&amp;DATE(YEAR(GR$8),1,1),$8:$8,"&lt;="&amp;EOMONTH(GR$8,0))</f>
        <v/>
      </c>
      <c r="GS127" s="1318">
        <f>SUMIFS(72:72,$8:$8,"&gt;="&amp;DATE(YEAR(GS$8),1,1),$8:$8,"&lt;="&amp;EOMONTH(GS$8,0))/SUMIFS(36:36,$8:$8,"&gt;="&amp;DATE(YEAR(GS$8),1,1),$8:$8,"&lt;="&amp;EOMONTH(GS$8,0))</f>
        <v/>
      </c>
      <c r="GT127" s="1318">
        <f>SUMIFS(72:72,$8:$8,"&gt;="&amp;DATE(YEAR(GT$8),1,1),$8:$8,"&lt;="&amp;EOMONTH(GT$8,0))/SUMIFS(36:36,$8:$8,"&gt;="&amp;DATE(YEAR(GT$8),1,1),$8:$8,"&lt;="&amp;EOMONTH(GT$8,0))</f>
        <v/>
      </c>
      <c r="GU127" s="1318">
        <f>SUMIFS(72:72,$8:$8,"&gt;="&amp;DATE(YEAR(GU$8),1,1),$8:$8,"&lt;="&amp;EOMONTH(GU$8,0))/SUMIFS(36:36,$8:$8,"&gt;="&amp;DATE(YEAR(GU$8),1,1),$8:$8,"&lt;="&amp;EOMONTH(GU$8,0))</f>
        <v/>
      </c>
      <c r="GV127" s="1318">
        <f>SUMIFS(72:72,$8:$8,"&gt;="&amp;DATE(YEAR(GV$8),1,1),$8:$8,"&lt;="&amp;EOMONTH(GV$8,0))/SUMIFS(36:36,$8:$8,"&gt;="&amp;DATE(YEAR(GV$8),1,1),$8:$8,"&lt;="&amp;EOMONTH(GV$8,0))</f>
        <v/>
      </c>
      <c r="GW127" s="1318">
        <f>SUMIFS(72:72,$8:$8,"&gt;="&amp;DATE(YEAR(GW$8),1,1),$8:$8,"&lt;="&amp;EOMONTH(GW$8,0))/SUMIFS(36:36,$8:$8,"&gt;="&amp;DATE(YEAR(GW$8),1,1),$8:$8,"&lt;="&amp;EOMONTH(GW$8,0))</f>
        <v/>
      </c>
      <c r="GX127" s="1318">
        <f>SUMIFS(72:72,$8:$8,"&gt;="&amp;DATE(YEAR(GX$8),1,1),$8:$8,"&lt;="&amp;EOMONTH(GX$8,0))/SUMIFS(36:36,$8:$8,"&gt;="&amp;DATE(YEAR(GX$8),1,1),$8:$8,"&lt;="&amp;EOMONTH(GX$8,0))</f>
        <v/>
      </c>
      <c r="GY127" s="1318">
        <f>SUMIFS(72:72,$8:$8,"&gt;="&amp;DATE(YEAR(GY$8),1,1),$8:$8,"&lt;="&amp;EOMONTH(GY$8,0))/SUMIFS(36:36,$8:$8,"&gt;="&amp;DATE(YEAR(GY$8),1,1),$8:$8,"&lt;="&amp;EOMONTH(GY$8,0))</f>
        <v/>
      </c>
      <c r="GZ127" s="1318">
        <f>SUMIFS(72:72,$8:$8,"&gt;="&amp;DATE(YEAR(GZ$8),1,1),$8:$8,"&lt;="&amp;EOMONTH(GZ$8,0))/SUMIFS(36:36,$8:$8,"&gt;="&amp;DATE(YEAR(GZ$8),1,1),$8:$8,"&lt;="&amp;EOMONTH(GZ$8,0))</f>
        <v/>
      </c>
      <c r="HA127" s="1318">
        <f>SUMIFS(72:72,$8:$8,"&gt;="&amp;DATE(YEAR(HA$8),1,1),$8:$8,"&lt;="&amp;EOMONTH(HA$8,0))/SUMIFS(36:36,$8:$8,"&gt;="&amp;DATE(YEAR(HA$8),1,1),$8:$8,"&lt;="&amp;EOMONTH(HA$8,0))</f>
        <v/>
      </c>
      <c r="HB127" s="1318">
        <f>SUMIFS(72:72,$8:$8,"&gt;="&amp;DATE(YEAR(HB$8),1,1),$8:$8,"&lt;="&amp;EOMONTH(HB$8,0))/SUMIFS(36:36,$8:$8,"&gt;="&amp;DATE(YEAR(HB$8),1,1),$8:$8,"&lt;="&amp;EOMONTH(HB$8,0))</f>
        <v/>
      </c>
      <c r="HC127" s="1318">
        <f>SUMIFS(72:72,$8:$8,"&gt;="&amp;DATE(YEAR(HC$8),1,1),$8:$8,"&lt;="&amp;EOMONTH(HC$8,0))/SUMIFS(36:36,$8:$8,"&gt;="&amp;DATE(YEAR(HC$8),1,1),$8:$8,"&lt;="&amp;EOMONTH(HC$8,0))</f>
        <v/>
      </c>
      <c r="HD127" s="1318">
        <f>SUMIFS(72:72,$8:$8,"&gt;="&amp;DATE(YEAR(HD$8),1,1),$8:$8,"&lt;="&amp;EOMONTH(HD$8,0))/SUMIFS(36:36,$8:$8,"&gt;="&amp;DATE(YEAR(HD$8),1,1),$8:$8,"&lt;="&amp;EOMONTH(HD$8,0))</f>
        <v/>
      </c>
      <c r="HE127" s="1318">
        <f>SUMIFS(72:72,$8:$8,"&gt;="&amp;DATE(YEAR(HE$8),1,1),$8:$8,"&lt;="&amp;EOMONTH(HE$8,0))/SUMIFS(36:36,$8:$8,"&gt;="&amp;DATE(YEAR(HE$8),1,1),$8:$8,"&lt;="&amp;EOMONTH(HE$8,0))</f>
        <v/>
      </c>
      <c r="HF127" s="1318">
        <f>SUMIFS(72:72,$8:$8,"&gt;="&amp;DATE(YEAR(HF$8),1,1),$8:$8,"&lt;="&amp;EOMONTH(HF$8,0))/SUMIFS(36:36,$8:$8,"&gt;="&amp;DATE(YEAR(HF$8),1,1),$8:$8,"&lt;="&amp;EOMONTH(HF$8,0))</f>
        <v/>
      </c>
      <c r="HG127" s="1318">
        <f>SUMIFS(72:72,$8:$8,"&gt;="&amp;DATE(YEAR(HG$8),1,1),$8:$8,"&lt;="&amp;EOMONTH(HG$8,0))/SUMIFS(36:36,$8:$8,"&gt;="&amp;DATE(YEAR(HG$8),1,1),$8:$8,"&lt;="&amp;EOMONTH(HG$8,0))</f>
        <v/>
      </c>
      <c r="HH127" s="1318">
        <f>SUMIFS(72:72,$8:$8,"&gt;="&amp;DATE(YEAR(HH$8),1,1),$8:$8,"&lt;="&amp;EOMONTH(HH$8,0))/SUMIFS(36:36,$8:$8,"&gt;="&amp;DATE(YEAR(HH$8),1,1),$8:$8,"&lt;="&amp;EOMONTH(HH$8,0))</f>
        <v/>
      </c>
      <c r="HI127" s="1318">
        <f>SUMIFS(72:72,$8:$8,"&gt;="&amp;DATE(YEAR(HI$8),1,1),$8:$8,"&lt;="&amp;EOMONTH(HI$8,0))/SUMIFS(36:36,$8:$8,"&gt;="&amp;DATE(YEAR(HI$8),1,1),$8:$8,"&lt;="&amp;EOMONTH(HI$8,0))</f>
        <v/>
      </c>
      <c r="HJ127" s="1318">
        <f>SUMIFS(72:72,$8:$8,"&gt;="&amp;DATE(YEAR(HJ$8),1,1),$8:$8,"&lt;="&amp;EOMONTH(HJ$8,0))/SUMIFS(36:36,$8:$8,"&gt;="&amp;DATE(YEAR(HJ$8),1,1),$8:$8,"&lt;="&amp;EOMONTH(HJ$8,0))</f>
        <v/>
      </c>
      <c r="HK127" s="1318">
        <f>SUMIFS(72:72,$8:$8,"&gt;="&amp;DATE(YEAR(HK$8),1,1),$8:$8,"&lt;="&amp;EOMONTH(HK$8,0))/SUMIFS(36:36,$8:$8,"&gt;="&amp;DATE(YEAR(HK$8),1,1),$8:$8,"&lt;="&amp;EOMONTH(HK$8,0))</f>
        <v/>
      </c>
      <c r="HL127" s="1318">
        <f>SUMIFS(72:72,$8:$8,"&gt;="&amp;DATE(YEAR(HL$8),1,1),$8:$8,"&lt;="&amp;EOMONTH(HL$8,0))/SUMIFS(36:36,$8:$8,"&gt;="&amp;DATE(YEAR(HL$8),1,1),$8:$8,"&lt;="&amp;EOMONTH(HL$8,0))</f>
        <v/>
      </c>
      <c r="HM127" s="1318">
        <f>SUMIFS(72:72,$8:$8,"&gt;="&amp;DATE(YEAR(HM$8),1,1),$8:$8,"&lt;="&amp;EOMONTH(HM$8,0))/SUMIFS(36:36,$8:$8,"&gt;="&amp;DATE(YEAR(HM$8),1,1),$8:$8,"&lt;="&amp;EOMONTH(HM$8,0))</f>
        <v/>
      </c>
      <c r="HN127" s="1318">
        <f>SUMIFS(72:72,$8:$8,"&gt;="&amp;DATE(YEAR(HN$8),1,1),$8:$8,"&lt;="&amp;EOMONTH(HN$8,0))/SUMIFS(36:36,$8:$8,"&gt;="&amp;DATE(YEAR(HN$8),1,1),$8:$8,"&lt;="&amp;EOMONTH(HN$8,0))</f>
        <v/>
      </c>
      <c r="HO127" s="1318">
        <f>SUMIFS(72:72,$8:$8,"&gt;="&amp;DATE(YEAR(HO$8),1,1),$8:$8,"&lt;="&amp;EOMONTH(HO$8,0))/SUMIFS(36:36,$8:$8,"&gt;="&amp;DATE(YEAR(HO$8),1,1),$8:$8,"&lt;="&amp;EOMONTH(HO$8,0))</f>
        <v/>
      </c>
      <c r="HP127" s="1318">
        <f>SUMIFS(72:72,$8:$8,"&gt;="&amp;DATE(YEAR(HP$8),1,1),$8:$8,"&lt;="&amp;EOMONTH(HP$8,0))/SUMIFS(36:36,$8:$8,"&gt;="&amp;DATE(YEAR(HP$8),1,1),$8:$8,"&lt;="&amp;EOMONTH(HP$8,0))</f>
        <v/>
      </c>
      <c r="HQ127" s="1318">
        <f>SUMIFS(72:72,$8:$8,"&gt;="&amp;DATE(YEAR(HQ$8),1,1),$8:$8,"&lt;="&amp;EOMONTH(HQ$8,0))/SUMIFS(36:36,$8:$8,"&gt;="&amp;DATE(YEAR(HQ$8),1,1),$8:$8,"&lt;="&amp;EOMONTH(HQ$8,0))</f>
        <v/>
      </c>
      <c r="HR127" s="1318">
        <f>SUMIFS(72:72,$8:$8,"&gt;="&amp;DATE(YEAR(HR$8),1,1),$8:$8,"&lt;="&amp;EOMONTH(HR$8,0))/SUMIFS(36:36,$8:$8,"&gt;="&amp;DATE(YEAR(HR$8),1,1),$8:$8,"&lt;="&amp;EOMONTH(HR$8,0))</f>
        <v/>
      </c>
      <c r="HS127" s="1318">
        <f>SUMIFS(72:72,$8:$8,"&gt;="&amp;DATE(YEAR(HS$8),1,1),$8:$8,"&lt;="&amp;EOMONTH(HS$8,0))/SUMIFS(36:36,$8:$8,"&gt;="&amp;DATE(YEAR(HS$8),1,1),$8:$8,"&lt;="&amp;EOMONTH(HS$8,0))</f>
        <v/>
      </c>
      <c r="HT127" s="1318">
        <f>SUMIFS(72:72,$8:$8,"&gt;="&amp;DATE(YEAR(HT$8),1,1),$8:$8,"&lt;="&amp;EOMONTH(HT$8,0))/SUMIFS(36:36,$8:$8,"&gt;="&amp;DATE(YEAR(HT$8),1,1),$8:$8,"&lt;="&amp;EOMONTH(HT$8,0))</f>
        <v/>
      </c>
      <c r="HU127" s="1318">
        <f>SUMIFS(72:72,$8:$8,"&gt;="&amp;DATE(YEAR(HU$8),1,1),$8:$8,"&lt;="&amp;EOMONTH(HU$8,0))/SUMIFS(36:36,$8:$8,"&gt;="&amp;DATE(YEAR(HU$8),1,1),$8:$8,"&lt;="&amp;EOMONTH(HU$8,0))</f>
        <v/>
      </c>
      <c r="HV127" s="1318">
        <f>SUMIFS(72:72,$8:$8,"&gt;="&amp;DATE(YEAR(HV$8),1,1),$8:$8,"&lt;="&amp;EOMONTH(HV$8,0))/SUMIFS(36:36,$8:$8,"&gt;="&amp;DATE(YEAR(HV$8),1,1),$8:$8,"&lt;="&amp;EOMONTH(HV$8,0))</f>
        <v/>
      </c>
      <c r="HW127" s="1318">
        <f>SUMIFS(72:72,$8:$8,"&gt;="&amp;DATE(YEAR(HW$8),1,1),$8:$8,"&lt;="&amp;EOMONTH(HW$8,0))/SUMIFS(36:36,$8:$8,"&gt;="&amp;DATE(YEAR(HW$8),1,1),$8:$8,"&lt;="&amp;EOMONTH(HW$8,0))</f>
        <v/>
      </c>
      <c r="HX127" s="1318">
        <f>SUMIFS(72:72,$8:$8,"&gt;="&amp;DATE(YEAR(HX$8),1,1),$8:$8,"&lt;="&amp;EOMONTH(HX$8,0))/SUMIFS(36:36,$8:$8,"&gt;="&amp;DATE(YEAR(HX$8),1,1),$8:$8,"&lt;="&amp;EOMONTH(HX$8,0))</f>
        <v/>
      </c>
      <c r="HY127" s="1318">
        <f>SUMIFS(72:72,$8:$8,"&gt;="&amp;DATE(YEAR(HY$8),1,1),$8:$8,"&lt;="&amp;EOMONTH(HY$8,0))/SUMIFS(36:36,$8:$8,"&gt;="&amp;DATE(YEAR(HY$8),1,1),$8:$8,"&lt;="&amp;EOMONTH(HY$8,0))</f>
        <v/>
      </c>
      <c r="HZ127" s="1318">
        <f>SUMIFS(72:72,$8:$8,"&gt;="&amp;DATE(YEAR(HZ$8),1,1),$8:$8,"&lt;="&amp;EOMONTH(HZ$8,0))/SUMIFS(36:36,$8:$8,"&gt;="&amp;DATE(YEAR(HZ$8),1,1),$8:$8,"&lt;="&amp;EOMONTH(HZ$8,0))</f>
        <v/>
      </c>
      <c r="IA127" s="1318">
        <f>SUMIFS(72:72,$8:$8,"&gt;="&amp;DATE(YEAR(IA$8),1,1),$8:$8,"&lt;="&amp;EOMONTH(IA$8,0))/SUMIFS(36:36,$8:$8,"&gt;="&amp;DATE(YEAR(IA$8),1,1),$8:$8,"&lt;="&amp;EOMONTH(IA$8,0))</f>
        <v/>
      </c>
      <c r="IB127" s="1318">
        <f>SUMIFS(72:72,$8:$8,"&gt;="&amp;DATE(YEAR(IB$8),1,1),$8:$8,"&lt;="&amp;EOMONTH(IB$8,0))/SUMIFS(36:36,$8:$8,"&gt;="&amp;DATE(YEAR(IB$8),1,1),$8:$8,"&lt;="&amp;EOMONTH(IB$8,0))</f>
        <v/>
      </c>
      <c r="IC127" s="1318">
        <f>SUMIFS(72:72,$8:$8,"&gt;="&amp;DATE(YEAR(IC$8),1,1),$8:$8,"&lt;="&amp;EOMONTH(IC$8,0))/SUMIFS(36:36,$8:$8,"&gt;="&amp;DATE(YEAR(IC$8),1,1),$8:$8,"&lt;="&amp;EOMONTH(IC$8,0))</f>
        <v/>
      </c>
      <c r="ID127" s="1318">
        <f>SUMIFS(72:72,$8:$8,"&gt;="&amp;DATE(YEAR(ID$8),1,1),$8:$8,"&lt;="&amp;EOMONTH(ID$8,0))/SUMIFS(36:36,$8:$8,"&gt;="&amp;DATE(YEAR(ID$8),1,1),$8:$8,"&lt;="&amp;EOMONTH(ID$8,0))</f>
        <v/>
      </c>
      <c r="IE127" s="1318">
        <f>SUMIFS(72:72,$8:$8,"&gt;="&amp;DATE(YEAR(IE$8),1,1),$8:$8,"&lt;="&amp;EOMONTH(IE$8,0))/SUMIFS(36:36,$8:$8,"&gt;="&amp;DATE(YEAR(IE$8),1,1),$8:$8,"&lt;="&amp;EOMONTH(IE$8,0))</f>
        <v/>
      </c>
      <c r="IF127" s="1318">
        <f>SUMIFS(72:72,$8:$8,"&gt;="&amp;DATE(YEAR(IF$8),1,1),$8:$8,"&lt;="&amp;EOMONTH(IF$8,0))/SUMIFS(36:36,$8:$8,"&gt;="&amp;DATE(YEAR(IF$8),1,1),$8:$8,"&lt;="&amp;EOMONTH(IF$8,0))</f>
        <v/>
      </c>
      <c r="IG127" s="1318">
        <f>SUMIFS(72:72,$8:$8,"&gt;="&amp;DATE(YEAR(IG$8),1,1),$8:$8,"&lt;="&amp;EOMONTH(IG$8,0))/SUMIFS(36:36,$8:$8,"&gt;="&amp;DATE(YEAR(IG$8),1,1),$8:$8,"&lt;="&amp;EOMONTH(IG$8,0))</f>
        <v/>
      </c>
      <c r="IH127" s="1318">
        <f>SUMIFS(72:72,$8:$8,"&gt;="&amp;DATE(YEAR(IH$8),1,1),$8:$8,"&lt;="&amp;EOMONTH(IH$8,0))/SUMIFS(36:36,$8:$8,"&gt;="&amp;DATE(YEAR(IH$8),1,1),$8:$8,"&lt;="&amp;EOMONTH(IH$8,0))</f>
        <v/>
      </c>
      <c r="II127" s="1318">
        <f>SUMIFS(72:72,$8:$8,"&gt;="&amp;DATE(YEAR(II$8),1,1),$8:$8,"&lt;="&amp;EOMONTH(II$8,0))/SUMIFS(36:36,$8:$8,"&gt;="&amp;DATE(YEAR(II$8),1,1),$8:$8,"&lt;="&amp;EOMONTH(II$8,0))</f>
        <v/>
      </c>
      <c r="IJ127" s="1318">
        <f>SUMIFS(72:72,$8:$8,"&gt;="&amp;DATE(YEAR(IJ$8),1,1),$8:$8,"&lt;="&amp;EOMONTH(IJ$8,0))/SUMIFS(36:36,$8:$8,"&gt;="&amp;DATE(YEAR(IJ$8),1,1),$8:$8,"&lt;="&amp;EOMONTH(IJ$8,0))</f>
        <v/>
      </c>
      <c r="IK127" s="1318">
        <f>SUMIFS(72:72,$8:$8,"&gt;="&amp;DATE(YEAR(IK$8),1,1),$8:$8,"&lt;="&amp;EOMONTH(IK$8,0))/SUMIFS(36:36,$8:$8,"&gt;="&amp;DATE(YEAR(IK$8),1,1),$8:$8,"&lt;="&amp;EOMONTH(IK$8,0))</f>
        <v/>
      </c>
      <c r="IL127" s="1318">
        <f>SUMIFS(72:72,$8:$8,"&gt;="&amp;DATE(YEAR(IL$8),1,1),$8:$8,"&lt;="&amp;EOMONTH(IL$8,0))/SUMIFS(36:36,$8:$8,"&gt;="&amp;DATE(YEAR(IL$8),1,1),$8:$8,"&lt;="&amp;EOMONTH(IL$8,0))</f>
        <v/>
      </c>
      <c r="IM127" s="1318">
        <f>SUMIFS(72:72,$8:$8,"&gt;="&amp;DATE(YEAR(IM$8),1,1),$8:$8,"&lt;="&amp;EOMONTH(IM$8,0))/SUMIFS(36:36,$8:$8,"&gt;="&amp;DATE(YEAR(IM$8),1,1),$8:$8,"&lt;="&amp;EOMONTH(IM$8,0))</f>
        <v/>
      </c>
      <c r="IN127" s="1318">
        <f>SUMIFS(72:72,$8:$8,"&gt;="&amp;DATE(YEAR(IN$8),1,1),$8:$8,"&lt;="&amp;EOMONTH(IN$8,0))/SUMIFS(36:36,$8:$8,"&gt;="&amp;DATE(YEAR(IN$8),1,1),$8:$8,"&lt;="&amp;EOMONTH(IN$8,0))</f>
        <v/>
      </c>
      <c r="IO127" s="1318">
        <f>SUMIFS(72:72,$8:$8,"&gt;="&amp;DATE(YEAR(IO$8),1,1),$8:$8,"&lt;="&amp;EOMONTH(IO$8,0))/SUMIFS(36:36,$8:$8,"&gt;="&amp;DATE(YEAR(IO$8),1,1),$8:$8,"&lt;="&amp;EOMONTH(IO$8,0))</f>
        <v/>
      </c>
      <c r="IP127" s="1318">
        <f>SUMIFS(72:72,$8:$8,"&gt;="&amp;DATE(YEAR(IP$8),1,1),$8:$8,"&lt;="&amp;EOMONTH(IP$8,0))/SUMIFS(36:36,$8:$8,"&gt;="&amp;DATE(YEAR(IP$8),1,1),$8:$8,"&lt;="&amp;EOMONTH(IP$8,0))</f>
        <v/>
      </c>
      <c r="IQ127" s="1318">
        <f>SUMIFS(72:72,$8:$8,"&gt;="&amp;DATE(YEAR(IQ$8),1,1),$8:$8,"&lt;="&amp;EOMONTH(IQ$8,0))/SUMIFS(36:36,$8:$8,"&gt;="&amp;DATE(YEAR(IQ$8),1,1),$8:$8,"&lt;="&amp;EOMONTH(IQ$8,0))</f>
        <v/>
      </c>
      <c r="IR127" s="1318">
        <f>SUMIFS(72:72,$8:$8,"&gt;="&amp;DATE(YEAR(IR$8),1,1),$8:$8,"&lt;="&amp;EOMONTH(IR$8,0))/SUMIFS(36:36,$8:$8,"&gt;="&amp;DATE(YEAR(IR$8),1,1),$8:$8,"&lt;="&amp;EOMONTH(IR$8,0))</f>
        <v/>
      </c>
      <c r="IS127" s="1318">
        <f>SUMIFS(72:72,$8:$8,"&gt;="&amp;DATE(YEAR(IS$8),1,1),$8:$8,"&lt;="&amp;EOMONTH(IS$8,0))/SUMIFS(36:36,$8:$8,"&gt;="&amp;DATE(YEAR(IS$8),1,1),$8:$8,"&lt;="&amp;EOMONTH(IS$8,0))</f>
        <v/>
      </c>
      <c r="IT127" s="1318">
        <f>SUMIFS(72:72,$8:$8,"&gt;="&amp;DATE(YEAR(IT$8),1,1),$8:$8,"&lt;="&amp;EOMONTH(IT$8,0))/SUMIFS(36:36,$8:$8,"&gt;="&amp;DATE(YEAR(IT$8),1,1),$8:$8,"&lt;="&amp;EOMONTH(IT$8,0))</f>
        <v/>
      </c>
      <c r="IU127" s="1318">
        <f>SUMIFS(72:72,$8:$8,"&gt;="&amp;DATE(YEAR(IU$8),1,1),$8:$8,"&lt;="&amp;EOMONTH(IU$8,0))/SUMIFS(36:36,$8:$8,"&gt;="&amp;DATE(YEAR(IU$8),1,1),$8:$8,"&lt;="&amp;EOMONTH(IU$8,0))</f>
        <v/>
      </c>
      <c r="IV127" s="1318">
        <f>SUMIFS(72:72,$8:$8,"&gt;="&amp;DATE(YEAR(IV$8),1,1),$8:$8,"&lt;="&amp;EOMONTH(IV$8,0))/SUMIFS(36:36,$8:$8,"&gt;="&amp;DATE(YEAR(IV$8),1,1),$8:$8,"&lt;="&amp;EOMONTH(IV$8,0))</f>
        <v/>
      </c>
      <c r="IW127" s="1318">
        <f>SUMIFS(72:72,$8:$8,"&gt;="&amp;DATE(YEAR(IW$8),1,1),$8:$8,"&lt;="&amp;EOMONTH(IW$8,0))/SUMIFS(36:36,$8:$8,"&gt;="&amp;DATE(YEAR(IW$8),1,1),$8:$8,"&lt;="&amp;EOMONTH(IW$8,0))</f>
        <v/>
      </c>
      <c r="IX127" s="1318">
        <f>SUMIFS(72:72,$8:$8,"&gt;="&amp;DATE(YEAR(IX$8),1,1),$8:$8,"&lt;="&amp;EOMONTH(IX$8,0))/SUMIFS(36:36,$8:$8,"&gt;="&amp;DATE(YEAR(IX$8),1,1),$8:$8,"&lt;="&amp;EOMONTH(IX$8,0))</f>
        <v/>
      </c>
      <c r="IY127" s="1318">
        <f>SUMIFS(72:72,$8:$8,"&gt;="&amp;DATE(YEAR(IY$8),1,1),$8:$8,"&lt;="&amp;EOMONTH(IY$8,0))/SUMIFS(36:36,$8:$8,"&gt;="&amp;DATE(YEAR(IY$8),1,1),$8:$8,"&lt;="&amp;EOMONTH(IY$8,0))</f>
        <v/>
      </c>
      <c r="IZ127" s="1318">
        <f>SUMIFS(72:72,$8:$8,"&gt;="&amp;DATE(YEAR(IZ$8),1,1),$8:$8,"&lt;="&amp;EOMONTH(IZ$8,0))/SUMIFS(36:36,$8:$8,"&gt;="&amp;DATE(YEAR(IZ$8),1,1),$8:$8,"&lt;="&amp;EOMONTH(IZ$8,0))</f>
        <v/>
      </c>
      <c r="JA127" s="1318">
        <f>SUMIFS(72:72,$8:$8,"&gt;="&amp;DATE(YEAR(JA$8),1,1),$8:$8,"&lt;="&amp;EOMONTH(JA$8,0))/SUMIFS(36:36,$8:$8,"&gt;="&amp;DATE(YEAR(JA$8),1,1),$8:$8,"&lt;="&amp;EOMONTH(JA$8,0))</f>
        <v/>
      </c>
      <c r="JB127" s="1318">
        <f>SUMIFS(72:72,$8:$8,"&gt;="&amp;DATE(YEAR(JB$8),1,1),$8:$8,"&lt;="&amp;EOMONTH(JB$8,0))/SUMIFS(36:36,$8:$8,"&gt;="&amp;DATE(YEAR(JB$8),1,1),$8:$8,"&lt;="&amp;EOMONTH(JB$8,0))</f>
        <v/>
      </c>
      <c r="JC127" s="1318">
        <f>SUMIFS(72:72,$8:$8,"&gt;="&amp;DATE(YEAR(JC$8),1,1),$8:$8,"&lt;="&amp;EOMONTH(JC$8,0))/SUMIFS(36:36,$8:$8,"&gt;="&amp;DATE(YEAR(JC$8),1,1),$8:$8,"&lt;="&amp;EOMONTH(JC$8,0))</f>
        <v/>
      </c>
      <c r="JD127" s="1318">
        <f>SUMIFS(72:72,$8:$8,"&gt;="&amp;DATE(YEAR(JD$8),1,1),$8:$8,"&lt;="&amp;EOMONTH(JD$8,0))/SUMIFS(36:36,$8:$8,"&gt;="&amp;DATE(YEAR(JD$8),1,1),$8:$8,"&lt;="&amp;EOMONTH(JD$8,0))</f>
        <v/>
      </c>
      <c r="JE127" s="1318">
        <f>SUMIFS(72:72,$8:$8,"&gt;="&amp;DATE(YEAR(JE$8),1,1),$8:$8,"&lt;="&amp;EOMONTH(JE$8,0))/SUMIFS(36:36,$8:$8,"&gt;="&amp;DATE(YEAR(JE$8),1,1),$8:$8,"&lt;="&amp;EOMONTH(JE$8,0))</f>
        <v/>
      </c>
      <c r="JF127" s="1318">
        <f>SUMIFS(72:72,$8:$8,"&gt;="&amp;DATE(YEAR(JF$8),1,1),$8:$8,"&lt;="&amp;EOMONTH(JF$8,0))/SUMIFS(36:36,$8:$8,"&gt;="&amp;DATE(YEAR(JF$8),1,1),$8:$8,"&lt;="&amp;EOMONTH(JF$8,0))</f>
        <v/>
      </c>
      <c r="JG127" s="1318">
        <f>SUMIFS(72:72,$8:$8,"&gt;="&amp;DATE(YEAR(JG$8),1,1),$8:$8,"&lt;="&amp;EOMONTH(JG$8,0))/SUMIFS(36:36,$8:$8,"&gt;="&amp;DATE(YEAR(JG$8),1,1),$8:$8,"&lt;="&amp;EOMONTH(JG$8,0))</f>
        <v/>
      </c>
      <c r="JH127" s="1318">
        <f>SUMIFS(72:72,$8:$8,"&gt;="&amp;DATE(YEAR(JH$8),1,1),$8:$8,"&lt;="&amp;EOMONTH(JH$8,0))/SUMIFS(36:36,$8:$8,"&gt;="&amp;DATE(YEAR(JH$8),1,1),$8:$8,"&lt;="&amp;EOMONTH(JH$8,0))</f>
        <v/>
      </c>
      <c r="JI127" s="1318">
        <f>SUMIFS(72:72,$8:$8,"&gt;="&amp;DATE(YEAR(JI$8),1,1),$8:$8,"&lt;="&amp;EOMONTH(JI$8,0))/SUMIFS(36:36,$8:$8,"&gt;="&amp;DATE(YEAR(JI$8),1,1),$8:$8,"&lt;="&amp;EOMONTH(JI$8,0))</f>
        <v/>
      </c>
      <c r="JJ127" s="1318">
        <f>SUMIFS(72:72,$8:$8,"&gt;="&amp;DATE(YEAR(JJ$8),1,1),$8:$8,"&lt;="&amp;EOMONTH(JJ$8,0))/SUMIFS(36:36,$8:$8,"&gt;="&amp;DATE(YEAR(JJ$8),1,1),$8:$8,"&lt;="&amp;EOMONTH(JJ$8,0))</f>
        <v/>
      </c>
      <c r="JK127" s="1318">
        <f>SUMIFS(72:72,$8:$8,"&gt;="&amp;DATE(YEAR(JK$8),1,1),$8:$8,"&lt;="&amp;EOMONTH(JK$8,0))/SUMIFS(36:36,$8:$8,"&gt;="&amp;DATE(YEAR(JK$8),1,1),$8:$8,"&lt;="&amp;EOMONTH(JK$8,0))</f>
        <v/>
      </c>
      <c r="JL127" s="1318">
        <f>SUMIFS(72:72,$8:$8,"&gt;="&amp;DATE(YEAR(JL$8),1,1),$8:$8,"&lt;="&amp;EOMONTH(JL$8,0))/SUMIFS(36:36,$8:$8,"&gt;="&amp;DATE(YEAR(JL$8),1,1),$8:$8,"&lt;="&amp;EOMONTH(JL$8,0))</f>
        <v/>
      </c>
      <c r="JM127" s="1318">
        <f>SUMIFS(72:72,$8:$8,"&gt;="&amp;DATE(YEAR(JM$8),1,1),$8:$8,"&lt;="&amp;EOMONTH(JM$8,0))/SUMIFS(36:36,$8:$8,"&gt;="&amp;DATE(YEAR(JM$8),1,1),$8:$8,"&lt;="&amp;EOMONTH(JM$8,0))</f>
        <v/>
      </c>
      <c r="JN127" s="1318">
        <f>SUMIFS(72:72,$8:$8,"&gt;="&amp;DATE(YEAR(JN$8),1,1),$8:$8,"&lt;="&amp;EOMONTH(JN$8,0))/SUMIFS(36:36,$8:$8,"&gt;="&amp;DATE(YEAR(JN$8),1,1),$8:$8,"&lt;="&amp;EOMONTH(JN$8,0))</f>
        <v/>
      </c>
      <c r="JO127" s="1318">
        <f>SUMIFS(72:72,$8:$8,"&gt;="&amp;DATE(YEAR(JO$8),1,1),$8:$8,"&lt;="&amp;EOMONTH(JO$8,0))/SUMIFS(36:36,$8:$8,"&gt;="&amp;DATE(YEAR(JO$8),1,1),$8:$8,"&lt;="&amp;EOMONTH(JO$8,0))</f>
        <v/>
      </c>
      <c r="JP127" s="1318">
        <f>SUMIFS(72:72,$8:$8,"&gt;="&amp;DATE(YEAR(JP$8),1,1),$8:$8,"&lt;="&amp;EOMONTH(JP$8,0))/SUMIFS(36:36,$8:$8,"&gt;="&amp;DATE(YEAR(JP$8),1,1),$8:$8,"&lt;="&amp;EOMONTH(JP$8,0))</f>
        <v/>
      </c>
      <c r="JQ127" s="1318">
        <f>SUMIFS(72:72,$8:$8,"&gt;="&amp;DATE(YEAR(JQ$8),1,1),$8:$8,"&lt;="&amp;EOMONTH(JQ$8,0))/SUMIFS(36:36,$8:$8,"&gt;="&amp;DATE(YEAR(JQ$8),1,1),$8:$8,"&lt;="&amp;EOMONTH(JQ$8,0))</f>
        <v/>
      </c>
      <c r="JR127" s="1318">
        <f>SUMIFS(72:72,$8:$8,"&gt;="&amp;DATE(YEAR(JR$8),1,1),$8:$8,"&lt;="&amp;EOMONTH(JR$8,0))/SUMIFS(36:36,$8:$8,"&gt;="&amp;DATE(YEAR(JR$8),1,1),$8:$8,"&lt;="&amp;EOMONTH(JR$8,0))</f>
        <v/>
      </c>
      <c r="JS127" s="1318">
        <f>SUMIFS(72:72,$8:$8,"&gt;="&amp;DATE(YEAR(JS$8),1,1),$8:$8,"&lt;="&amp;EOMONTH(JS$8,0))/SUMIFS(36:36,$8:$8,"&gt;="&amp;DATE(YEAR(JS$8),1,1),$8:$8,"&lt;="&amp;EOMONTH(JS$8,0))</f>
        <v/>
      </c>
      <c r="JT127" s="1318">
        <f>SUMIFS(72:72,$8:$8,"&gt;="&amp;DATE(YEAR(JT$8),1,1),$8:$8,"&lt;="&amp;EOMONTH(JT$8,0))/SUMIFS(36:36,$8:$8,"&gt;="&amp;DATE(YEAR(JT$8),1,1),$8:$8,"&lt;="&amp;EOMONTH(JT$8,0))</f>
        <v/>
      </c>
      <c r="JU127" s="1318">
        <f>SUMIFS(72:72,$8:$8,"&gt;="&amp;DATE(YEAR(JU$8),1,1),$8:$8,"&lt;="&amp;EOMONTH(JU$8,0))/SUMIFS(36:36,$8:$8,"&gt;="&amp;DATE(YEAR(JU$8),1,1),$8:$8,"&lt;="&amp;EOMONTH(JU$8,0))</f>
        <v/>
      </c>
      <c r="JV127" s="1318">
        <f>SUMIFS(72:72,$8:$8,"&gt;="&amp;DATE(YEAR(JV$8),1,1),$8:$8,"&lt;="&amp;EOMONTH(JV$8,0))/SUMIFS(36:36,$8:$8,"&gt;="&amp;DATE(YEAR(JV$8),1,1),$8:$8,"&lt;="&amp;EOMONTH(JV$8,0))</f>
        <v/>
      </c>
      <c r="JW127" s="1318">
        <f>SUMIFS(72:72,$8:$8,"&gt;="&amp;DATE(YEAR(JW$8),1,1),$8:$8,"&lt;="&amp;EOMONTH(JW$8,0))/SUMIFS(36:36,$8:$8,"&gt;="&amp;DATE(YEAR(JW$8),1,1),$8:$8,"&lt;="&amp;EOMONTH(JW$8,0))</f>
        <v/>
      </c>
      <c r="JX127" s="1318">
        <f>SUMIFS(72:72,$8:$8,"&gt;="&amp;DATE(YEAR(JX$8),1,1),$8:$8,"&lt;="&amp;EOMONTH(JX$8,0))/SUMIFS(36:36,$8:$8,"&gt;="&amp;DATE(YEAR(JX$8),1,1),$8:$8,"&lt;="&amp;EOMONTH(JX$8,0))</f>
        <v/>
      </c>
      <c r="JY127" s="1318">
        <f>SUMIFS(72:72,$8:$8,"&gt;="&amp;DATE(YEAR(JY$8),1,1),$8:$8,"&lt;="&amp;EOMONTH(JY$8,0))/SUMIFS(36:36,$8:$8,"&gt;="&amp;DATE(YEAR(JY$8),1,1),$8:$8,"&lt;="&amp;EOMONTH(JY$8,0))</f>
        <v/>
      </c>
      <c r="JZ127" s="1318">
        <f>SUMIFS(72:72,$8:$8,"&gt;="&amp;DATE(YEAR(JZ$8),1,1),$8:$8,"&lt;="&amp;EOMONTH(JZ$8,0))/SUMIFS(36:36,$8:$8,"&gt;="&amp;DATE(YEAR(JZ$8),1,1),$8:$8,"&lt;="&amp;EOMONTH(JZ$8,0))</f>
        <v/>
      </c>
      <c r="KA127" s="1318">
        <f>SUMIFS(72:72,$8:$8,"&gt;="&amp;DATE(YEAR(KA$8),1,1),$8:$8,"&lt;="&amp;EOMONTH(KA$8,0))/SUMIFS(36:36,$8:$8,"&gt;="&amp;DATE(YEAR(KA$8),1,1),$8:$8,"&lt;="&amp;EOMONTH(KA$8,0))</f>
        <v/>
      </c>
      <c r="KB127" s="1318">
        <f>SUMIFS(72:72,$8:$8,"&gt;="&amp;DATE(YEAR(KB$8),1,1),$8:$8,"&lt;="&amp;EOMONTH(KB$8,0))/SUMIFS(36:36,$8:$8,"&gt;="&amp;DATE(YEAR(KB$8),1,1),$8:$8,"&lt;="&amp;EOMONTH(KB$8,0))</f>
        <v/>
      </c>
      <c r="KC127" s="1318">
        <f>SUMIFS(72:72,$8:$8,"&gt;="&amp;DATE(YEAR(KC$8),1,1),$8:$8,"&lt;="&amp;EOMONTH(KC$8,0))/SUMIFS(36:36,$8:$8,"&gt;="&amp;DATE(YEAR(KC$8),1,1),$8:$8,"&lt;="&amp;EOMONTH(KC$8,0))</f>
        <v/>
      </c>
      <c r="KD127" s="1318">
        <f>SUMIFS(72:72,$8:$8,"&gt;="&amp;DATE(YEAR(KD$8),1,1),$8:$8,"&lt;="&amp;EOMONTH(KD$8,0))/SUMIFS(36:36,$8:$8,"&gt;="&amp;DATE(YEAR(KD$8),1,1),$8:$8,"&lt;="&amp;EOMONTH(KD$8,0))</f>
        <v/>
      </c>
      <c r="KE127" s="1318">
        <f>SUMIFS(72:72,$8:$8,"&gt;="&amp;DATE(YEAR(KE$8),1,1),$8:$8,"&lt;="&amp;EOMONTH(KE$8,0))/SUMIFS(36:36,$8:$8,"&gt;="&amp;DATE(YEAR(KE$8),1,1),$8:$8,"&lt;="&amp;EOMONTH(KE$8,0))</f>
        <v/>
      </c>
      <c r="KF127" s="1318">
        <f>SUMIFS(72:72,$8:$8,"&gt;="&amp;DATE(YEAR(KF$8),1,1),$8:$8,"&lt;="&amp;EOMONTH(KF$8,0))/SUMIFS(36:36,$8:$8,"&gt;="&amp;DATE(YEAR(KF$8),1,1),$8:$8,"&lt;="&amp;EOMONTH(KF$8,0))</f>
        <v/>
      </c>
      <c r="KG127" s="1318">
        <f>SUMIFS(72:72,$8:$8,"&gt;="&amp;DATE(YEAR(KG$8),1,1),$8:$8,"&lt;="&amp;EOMONTH(KG$8,0))/SUMIFS(36:36,$8:$8,"&gt;="&amp;DATE(YEAR(KG$8),1,1),$8:$8,"&lt;="&amp;EOMONTH(KG$8,0))</f>
        <v/>
      </c>
      <c r="KH127" s="1318">
        <f>SUMIFS(72:72,$8:$8,"&gt;="&amp;DATE(YEAR(KH$8),1,1),$8:$8,"&lt;="&amp;EOMONTH(KH$8,0))/SUMIFS(36:36,$8:$8,"&gt;="&amp;DATE(YEAR(KH$8),1,1),$8:$8,"&lt;="&amp;EOMONTH(KH$8,0))</f>
        <v/>
      </c>
      <c r="KI127" s="1318">
        <f>SUMIFS(72:72,$8:$8,"&gt;="&amp;DATE(YEAR(KI$8),1,1),$8:$8,"&lt;="&amp;EOMONTH(KI$8,0))/SUMIFS(36:36,$8:$8,"&gt;="&amp;DATE(YEAR(KI$8),1,1),$8:$8,"&lt;="&amp;EOMONTH(KI$8,0))</f>
        <v/>
      </c>
      <c r="KJ127" s="1318">
        <f>SUMIFS(72:72,$8:$8,"&gt;="&amp;DATE(YEAR(KJ$8),1,1),$8:$8,"&lt;="&amp;EOMONTH(KJ$8,0))/SUMIFS(36:36,$8:$8,"&gt;="&amp;DATE(YEAR(KJ$8),1,1),$8:$8,"&lt;="&amp;EOMONTH(KJ$8,0))</f>
        <v/>
      </c>
      <c r="KK127" s="1318">
        <f>SUMIFS(72:72,$8:$8,"&gt;="&amp;DATE(YEAR(KK$8),1,1),$8:$8,"&lt;="&amp;EOMONTH(KK$8,0))/SUMIFS(36:36,$8:$8,"&gt;="&amp;DATE(YEAR(KK$8),1,1),$8:$8,"&lt;="&amp;EOMONTH(KK$8,0))</f>
        <v/>
      </c>
      <c r="KL127" s="1318">
        <f>SUMIFS(72:72,$8:$8,"&gt;="&amp;DATE(YEAR(KL$8),1,1),$8:$8,"&lt;="&amp;EOMONTH(KL$8,0))/SUMIFS(36:36,$8:$8,"&gt;="&amp;DATE(YEAR(KL$8),1,1),$8:$8,"&lt;="&amp;EOMONTH(KL$8,0))</f>
        <v/>
      </c>
      <c r="KM127" s="1318">
        <f>SUMIFS(72:72,$8:$8,"&gt;="&amp;DATE(YEAR(KM$8),1,1),$8:$8,"&lt;="&amp;EOMONTH(KM$8,0))/SUMIFS(36:36,$8:$8,"&gt;="&amp;DATE(YEAR(KM$8),1,1),$8:$8,"&lt;="&amp;EOMONTH(KM$8,0))</f>
        <v/>
      </c>
      <c r="KN127" s="1318">
        <f>SUMIFS(72:72,$8:$8,"&gt;="&amp;DATE(YEAR(KN$8),1,1),$8:$8,"&lt;="&amp;EOMONTH(KN$8,0))/SUMIFS(36:36,$8:$8,"&gt;="&amp;DATE(YEAR(KN$8),1,1),$8:$8,"&lt;="&amp;EOMONTH(KN$8,0))</f>
        <v/>
      </c>
      <c r="KO127" s="1318">
        <f>SUMIFS(72:72,$8:$8,"&gt;="&amp;DATE(YEAR(KO$8),1,1),$8:$8,"&lt;="&amp;EOMONTH(KO$8,0))/SUMIFS(36:36,$8:$8,"&gt;="&amp;DATE(YEAR(KO$8),1,1),$8:$8,"&lt;="&amp;EOMONTH(KO$8,0))</f>
        <v/>
      </c>
      <c r="KP127" s="1318">
        <f>SUMIFS(72:72,$8:$8,"&gt;="&amp;DATE(YEAR(KP$8),1,1),$8:$8,"&lt;="&amp;EOMONTH(KP$8,0))/SUMIFS(36:36,$8:$8,"&gt;="&amp;DATE(YEAR(KP$8),1,1),$8:$8,"&lt;="&amp;EOMONTH(KP$8,0))</f>
        <v/>
      </c>
      <c r="KQ127" s="1318">
        <f>SUMIFS(72:72,$8:$8,"&gt;="&amp;DATE(YEAR(KQ$8),1,1),$8:$8,"&lt;="&amp;EOMONTH(KQ$8,0))/SUMIFS(36:36,$8:$8,"&gt;="&amp;DATE(YEAR(KQ$8),1,1),$8:$8,"&lt;="&amp;EOMONTH(KQ$8,0))</f>
        <v/>
      </c>
      <c r="KR127" s="1318">
        <f>SUMIFS(72:72,$8:$8,"&gt;="&amp;DATE(YEAR(KR$8),1,1),$8:$8,"&lt;="&amp;EOMONTH(KR$8,0))/SUMIFS(36:36,$8:$8,"&gt;="&amp;DATE(YEAR(KR$8),1,1),$8:$8,"&lt;="&amp;EOMONTH(KR$8,0))</f>
        <v/>
      </c>
      <c r="KS127" s="1318">
        <f>SUMIFS(72:72,$8:$8,"&gt;="&amp;DATE(YEAR(KS$8),1,1),$8:$8,"&lt;="&amp;EOMONTH(KS$8,0))/SUMIFS(36:36,$8:$8,"&gt;="&amp;DATE(YEAR(KS$8),1,1),$8:$8,"&lt;="&amp;EOMONTH(KS$8,0))</f>
        <v/>
      </c>
      <c r="KT127" s="1318">
        <f>SUMIFS(72:72,$8:$8,"&gt;="&amp;DATE(YEAR(KT$8),1,1),$8:$8,"&lt;="&amp;EOMONTH(KT$8,0))/SUMIFS(36:36,$8:$8,"&gt;="&amp;DATE(YEAR(KT$8),1,1),$8:$8,"&lt;="&amp;EOMONTH(KT$8,0))</f>
        <v/>
      </c>
      <c r="KU127" s="1318">
        <f>SUMIFS(72:72,$8:$8,"&gt;="&amp;DATE(YEAR(KU$8),1,1),$8:$8,"&lt;="&amp;EOMONTH(KU$8,0))/SUMIFS(36:36,$8:$8,"&gt;="&amp;DATE(YEAR(KU$8),1,1),$8:$8,"&lt;="&amp;EOMONTH(KU$8,0))</f>
        <v/>
      </c>
      <c r="KV127" s="1318">
        <f>SUMIFS(72:72,$8:$8,"&gt;="&amp;DATE(YEAR(KV$8),1,1),$8:$8,"&lt;="&amp;EOMONTH(KV$8,0))/SUMIFS(36:36,$8:$8,"&gt;="&amp;DATE(YEAR(KV$8),1,1),$8:$8,"&lt;="&amp;EOMONTH(KV$8,0))</f>
        <v/>
      </c>
      <c r="KW127" s="1318">
        <f>SUMIFS(72:72,$8:$8,"&gt;="&amp;DATE(YEAR(KW$8),1,1),$8:$8,"&lt;="&amp;EOMONTH(KW$8,0))/SUMIFS(36:36,$8:$8,"&gt;="&amp;DATE(YEAR(KW$8),1,1),$8:$8,"&lt;="&amp;EOMONTH(KW$8,0))</f>
        <v/>
      </c>
      <c r="KX127" s="1318">
        <f>SUMIFS(72:72,$8:$8,"&gt;="&amp;DATE(YEAR(KX$8),1,1),$8:$8,"&lt;="&amp;EOMONTH(KX$8,0))/SUMIFS(36:36,$8:$8,"&gt;="&amp;DATE(YEAR(KX$8),1,1),$8:$8,"&lt;="&amp;EOMONTH(KX$8,0))</f>
        <v/>
      </c>
      <c r="KY127" s="1318">
        <f>SUMIFS(72:72,$8:$8,"&gt;="&amp;DATE(YEAR(KY$8),1,1),$8:$8,"&lt;="&amp;EOMONTH(KY$8,0))/SUMIFS(36:36,$8:$8,"&gt;="&amp;DATE(YEAR(KY$8),1,1),$8:$8,"&lt;="&amp;EOMONTH(KY$8,0))</f>
        <v/>
      </c>
      <c r="KZ127" s="1318">
        <f>SUMIFS(72:72,$8:$8,"&gt;="&amp;DATE(YEAR(KZ$8),1,1),$8:$8,"&lt;="&amp;EOMONTH(KZ$8,0))/SUMIFS(36:36,$8:$8,"&gt;="&amp;DATE(YEAR(KZ$8),1,1),$8:$8,"&lt;="&amp;EOMONTH(KZ$8,0))</f>
        <v/>
      </c>
      <c r="LA127" s="1318">
        <f>SUMIFS(72:72,$8:$8,"&gt;="&amp;DATE(YEAR(LA$8),1,1),$8:$8,"&lt;="&amp;EOMONTH(LA$8,0))/SUMIFS(36:36,$8:$8,"&gt;="&amp;DATE(YEAR(LA$8),1,1),$8:$8,"&lt;="&amp;EOMONTH(LA$8,0))</f>
        <v/>
      </c>
      <c r="LB127" s="1318" t="n"/>
      <c r="LC127" s="1318" t="n"/>
      <c r="LD127" s="1318" t="n"/>
      <c r="LE127" s="1318" t="n"/>
      <c r="LF127" s="1318" t="n"/>
      <c r="LG127" s="1318" t="n"/>
      <c r="LH127" s="1318" t="n"/>
      <c r="LI127" s="1318" t="n"/>
      <c r="LJ127" s="1318" t="n"/>
      <c r="LK127" s="1318" t="n"/>
      <c r="LL127" s="1318" t="n"/>
      <c r="LM127" s="1318" t="n"/>
      <c r="LN127" s="1318" t="n"/>
      <c r="LO127" s="1318" t="n"/>
      <c r="LP127" s="1318" t="n"/>
      <c r="LQ127" s="1318" t="n"/>
      <c r="LR127" s="1318" t="n"/>
      <c r="LS127" s="1318" t="n"/>
    </row>
    <row r="128">
      <c r="A128" s="885" t="inlineStr">
        <is>
          <t>YTDYOY%</t>
        </is>
      </c>
      <c r="B128" s="1318" t="n"/>
      <c r="C128" s="1318" t="n"/>
      <c r="D128" s="1318" t="n"/>
      <c r="E128" s="1318" t="n"/>
      <c r="F128" s="1318" t="n"/>
      <c r="G128" s="1318" t="n"/>
      <c r="H128" s="1318" t="n"/>
      <c r="I128" s="1318" t="n"/>
      <c r="J128" s="1318" t="n"/>
      <c r="K128" s="1318" t="n"/>
      <c r="L128" s="1318" t="n"/>
      <c r="M128" s="1318" t="n"/>
      <c r="N128" s="1318" t="n"/>
      <c r="O128" s="1318" t="n"/>
      <c r="P128" s="1318" t="n"/>
      <c r="Q128" s="1318" t="n"/>
      <c r="R128" s="1318" t="n"/>
      <c r="S128" s="1318" t="n"/>
      <c r="T128" s="1318" t="n"/>
      <c r="U128" s="1318" t="n"/>
      <c r="V128" s="1318" t="n"/>
      <c r="W128" s="1318" t="n"/>
      <c r="X128" s="1318" t="n"/>
      <c r="Y128" s="1318" t="n"/>
      <c r="Z128" s="1318" t="n"/>
      <c r="AA128" s="1318" t="n"/>
      <c r="AB128" s="1318" t="n"/>
      <c r="AC128" s="1318" t="n"/>
      <c r="AD128" s="1318" t="n"/>
      <c r="AE128" s="1318" t="n"/>
      <c r="AF128" s="1318" t="n"/>
      <c r="AG128" s="1318" t="n"/>
      <c r="AH128" s="1318" t="n"/>
      <c r="AI128" s="1318" t="n"/>
      <c r="AJ128" s="1318" t="n"/>
      <c r="AK128" s="1318" t="n"/>
      <c r="AL128" s="1318" t="n"/>
      <c r="AM128" s="1318" t="n"/>
      <c r="AN128" s="1318" t="n"/>
      <c r="AO128" s="1318" t="n"/>
      <c r="AP128" s="1318" t="n"/>
      <c r="AQ128" s="1318" t="n"/>
      <c r="AR128" s="1318" t="n"/>
      <c r="AS128" s="1318" t="n"/>
      <c r="AT128" s="1318" t="n"/>
      <c r="AU128" s="1318" t="n"/>
      <c r="AV128" s="1318" t="n"/>
      <c r="AW128" s="1318" t="n"/>
      <c r="AX128" s="1318" t="n"/>
      <c r="AY128" s="1318" t="n"/>
      <c r="AZ128" s="1318" t="n"/>
      <c r="BA128" s="1318" t="n"/>
      <c r="BB128" s="1318" t="n"/>
      <c r="BC128" s="1318" t="n"/>
      <c r="BD128" s="1318" t="n"/>
      <c r="BE128" s="1318" t="n"/>
      <c r="BF128" s="1318" t="n"/>
      <c r="BG128" s="1318" t="n"/>
      <c r="BH128" s="1318" t="n"/>
      <c r="BI128" s="1318" t="n"/>
      <c r="BJ128" s="1318" t="n"/>
      <c r="BK128" s="1318" t="n"/>
      <c r="BL128" s="1318" t="n"/>
      <c r="BM128" s="1318" t="n"/>
      <c r="BN128" s="1318" t="n"/>
      <c r="BO128" s="1318" t="n"/>
      <c r="BP128" s="1318" t="n"/>
      <c r="BQ128" s="1318" t="n"/>
      <c r="BR128" s="1318" t="n"/>
      <c r="BS128" s="1318" t="n"/>
      <c r="BT128" s="1318" t="n"/>
      <c r="BU128" s="1318" t="n"/>
      <c r="BV128" s="1318" t="n"/>
      <c r="BW128" s="1318" t="n"/>
      <c r="BX128" s="1318" t="n"/>
      <c r="BY128" s="1318" t="n"/>
      <c r="BZ128" s="1318" t="n"/>
      <c r="CA128" s="1318" t="n"/>
      <c r="CB128" s="1318" t="n"/>
      <c r="CC128" s="1318" t="n"/>
      <c r="CD128" s="1318" t="n"/>
      <c r="CE128" s="1318" t="n"/>
      <c r="CF128" s="1318" t="n"/>
      <c r="CG128" s="1318" t="n"/>
      <c r="CH128" s="1318" t="n"/>
      <c r="CI128" s="1318" t="n"/>
      <c r="CJ128" s="1318" t="n"/>
      <c r="CK128" s="1318" t="n"/>
      <c r="CL128" s="1318" t="n"/>
      <c r="CM128" s="1318" t="n"/>
      <c r="CN128" s="1318" t="n"/>
      <c r="CO128" s="1318" t="n"/>
      <c r="CP128" s="1318" t="n"/>
      <c r="CQ128" s="1318" t="n"/>
      <c r="CR128" s="1318" t="n"/>
      <c r="CS128" s="1318" t="n"/>
      <c r="CT128" s="1318" t="n"/>
      <c r="CU128" s="1318" t="n"/>
      <c r="CV128" s="1318" t="n"/>
      <c r="CW128" s="1318" t="n"/>
      <c r="CX128" s="1318" t="n"/>
      <c r="CY128" s="1318" t="n"/>
      <c r="CZ128" s="1318" t="n"/>
      <c r="DA128" s="1318" t="n"/>
      <c r="DB128" s="1318" t="n"/>
      <c r="DC128" s="1318" t="n"/>
      <c r="DD128" s="1318" t="n"/>
      <c r="DE128" s="1318" t="n"/>
      <c r="DF128" s="1318">
        <f>DF127-CT127</f>
        <v/>
      </c>
      <c r="DG128" s="1318">
        <f>DG127-CU127</f>
        <v/>
      </c>
      <c r="DH128" s="1318">
        <f>DH127-CV127</f>
        <v/>
      </c>
      <c r="DI128" s="1318">
        <f>DI127-CW127</f>
        <v/>
      </c>
      <c r="DJ128" s="1318">
        <f>DJ127-CX127</f>
        <v/>
      </c>
      <c r="DK128" s="1318">
        <f>DK127-CY127</f>
        <v/>
      </c>
      <c r="DL128" s="1318">
        <f>DL127-CZ127</f>
        <v/>
      </c>
      <c r="DM128" s="1318">
        <f>DM127-DA127</f>
        <v/>
      </c>
      <c r="DN128" s="1318">
        <f>DN127-DB127</f>
        <v/>
      </c>
      <c r="DO128" s="1318">
        <f>DO127-DC127</f>
        <v/>
      </c>
      <c r="DP128" s="1318">
        <f>DP127-DD127</f>
        <v/>
      </c>
      <c r="DQ128" s="1318">
        <f>DQ127-DE127</f>
        <v/>
      </c>
      <c r="DR128" s="1318">
        <f>DR127-DF127</f>
        <v/>
      </c>
      <c r="DS128" s="1318">
        <f>DS127-DG127</f>
        <v/>
      </c>
      <c r="DT128" s="1318">
        <f>DT127-DH127</f>
        <v/>
      </c>
      <c r="DU128" s="1318">
        <f>DU127-DI127</f>
        <v/>
      </c>
      <c r="DV128" s="1318">
        <f>DV127-DJ127</f>
        <v/>
      </c>
      <c r="DW128" s="1318">
        <f>DW127-DK127</f>
        <v/>
      </c>
      <c r="DX128" s="1318">
        <f>DX127-DL127</f>
        <v/>
      </c>
      <c r="DY128" s="1318">
        <f>DY127-DM127</f>
        <v/>
      </c>
      <c r="DZ128" s="1318">
        <f>DZ127-DN127</f>
        <v/>
      </c>
      <c r="EA128" s="1318">
        <f>EA127-DO127</f>
        <v/>
      </c>
      <c r="EB128" s="1318">
        <f>EB127-DP127</f>
        <v/>
      </c>
      <c r="EC128" s="1318">
        <f>EC127-DQ127</f>
        <v/>
      </c>
      <c r="ED128" s="1318">
        <f>ED127-DR127</f>
        <v/>
      </c>
      <c r="EE128" s="1318">
        <f>EE127-DS127</f>
        <v/>
      </c>
      <c r="EF128" s="1318">
        <f>EF127-DT127</f>
        <v/>
      </c>
      <c r="EG128" s="1318">
        <f>EG127-DU127</f>
        <v/>
      </c>
      <c r="EH128" s="1318">
        <f>EH127-DV127</f>
        <v/>
      </c>
      <c r="EI128" s="1318">
        <f>EI127-DW127</f>
        <v/>
      </c>
      <c r="EJ128" s="1318">
        <f>EJ127-DX127</f>
        <v/>
      </c>
      <c r="EK128" s="1318">
        <f>EK127-DY127</f>
        <v/>
      </c>
      <c r="EL128" s="1318">
        <f>EL127-DZ127</f>
        <v/>
      </c>
      <c r="EM128" s="1318">
        <f>EM127-EA127</f>
        <v/>
      </c>
      <c r="EN128" s="1318">
        <f>EN127-EB127</f>
        <v/>
      </c>
      <c r="EO128" s="1318">
        <f>EO127-EC127</f>
        <v/>
      </c>
      <c r="EP128" s="1318">
        <f>EP127-ED127</f>
        <v/>
      </c>
      <c r="EQ128" s="1318">
        <f>EQ127-EE127</f>
        <v/>
      </c>
      <c r="ER128" s="1318">
        <f>ER127-EF127</f>
        <v/>
      </c>
      <c r="ES128" s="1318">
        <f>ES127-EG127</f>
        <v/>
      </c>
      <c r="ET128" s="1318">
        <f>ET127-EH127</f>
        <v/>
      </c>
      <c r="EU128" s="1318">
        <f>EU127-EI127</f>
        <v/>
      </c>
      <c r="EV128" s="1318">
        <f>EV127-EJ127</f>
        <v/>
      </c>
      <c r="EW128" s="1318">
        <f>EW127-EK127</f>
        <v/>
      </c>
      <c r="EX128" s="1318">
        <f>EX127-EL127</f>
        <v/>
      </c>
      <c r="EY128" s="1318">
        <f>EY127-EM127</f>
        <v/>
      </c>
      <c r="EZ128" s="1318">
        <f>EZ127-EN127</f>
        <v/>
      </c>
      <c r="FA128" s="1318">
        <f>FA127-EO127</f>
        <v/>
      </c>
      <c r="FB128" s="1318">
        <f>FB127-EP127</f>
        <v/>
      </c>
      <c r="FC128" s="1318">
        <f>FC127-EQ127</f>
        <v/>
      </c>
      <c r="FD128" s="1318">
        <f>FD127-ER127</f>
        <v/>
      </c>
      <c r="FE128" s="1318">
        <f>FE127-ES127</f>
        <v/>
      </c>
      <c r="FF128" s="1318">
        <f>FF127-ET127</f>
        <v/>
      </c>
      <c r="FG128" s="1318">
        <f>FG127-EU127</f>
        <v/>
      </c>
      <c r="FH128" s="1318">
        <f>FH127-EV127</f>
        <v/>
      </c>
      <c r="FI128" s="1318">
        <f>FI127-EW127</f>
        <v/>
      </c>
      <c r="FJ128" s="1318">
        <f>FJ127-EX127</f>
        <v/>
      </c>
      <c r="FK128" s="1318">
        <f>FK127-EY127</f>
        <v/>
      </c>
      <c r="FL128" s="1318">
        <f>FL127-EZ127</f>
        <v/>
      </c>
      <c r="FM128" s="1318">
        <f>FM127-FA127</f>
        <v/>
      </c>
      <c r="FN128" s="1318">
        <f>FN127-FB127</f>
        <v/>
      </c>
      <c r="FO128" s="1318">
        <f>FO127-FC127</f>
        <v/>
      </c>
      <c r="FP128" s="1318">
        <f>FP127-FD127</f>
        <v/>
      </c>
      <c r="FQ128" s="1318">
        <f>FQ127-FE127</f>
        <v/>
      </c>
      <c r="FR128" s="1318">
        <f>FR127-FF127</f>
        <v/>
      </c>
      <c r="FS128" s="1318">
        <f>FS127-FG127</f>
        <v/>
      </c>
      <c r="FT128" s="1318">
        <f>FT127-FH127</f>
        <v/>
      </c>
      <c r="FU128" s="1318">
        <f>FU127-FI127</f>
        <v/>
      </c>
      <c r="FV128" s="1318">
        <f>FV127-FJ127</f>
        <v/>
      </c>
      <c r="FW128" s="1318">
        <f>FW127-FK127</f>
        <v/>
      </c>
      <c r="FX128" s="1318">
        <f>FX127-FL127</f>
        <v/>
      </c>
      <c r="FY128" s="1318">
        <f>FY127-FM127</f>
        <v/>
      </c>
      <c r="FZ128" s="1318">
        <f>FZ127-FN127</f>
        <v/>
      </c>
      <c r="GA128" s="1318">
        <f>GA127-FO127</f>
        <v/>
      </c>
      <c r="GB128" s="1318">
        <f>GB127-FP127</f>
        <v/>
      </c>
      <c r="GC128" s="1318">
        <f>GC127-FQ127</f>
        <v/>
      </c>
      <c r="GD128" s="1318">
        <f>GD127-FR127</f>
        <v/>
      </c>
      <c r="GE128" s="1318">
        <f>GE127-FS127</f>
        <v/>
      </c>
      <c r="GF128" s="1318">
        <f>GF127-FT127</f>
        <v/>
      </c>
      <c r="GG128" s="1318">
        <f>GG127-FU127</f>
        <v/>
      </c>
      <c r="GH128" s="1318">
        <f>GH127-FV127</f>
        <v/>
      </c>
      <c r="GI128" s="1318">
        <f>GI127-FW127</f>
        <v/>
      </c>
      <c r="GJ128" s="1318">
        <f>GJ127-FX127</f>
        <v/>
      </c>
      <c r="GK128" s="1318">
        <f>GK127-FY127</f>
        <v/>
      </c>
      <c r="GL128" s="1318">
        <f>GL127-FZ127</f>
        <v/>
      </c>
      <c r="GM128" s="1318">
        <f>GM127-GA127</f>
        <v/>
      </c>
      <c r="GN128" s="1318">
        <f>GN127-GB127</f>
        <v/>
      </c>
      <c r="GO128" s="1318">
        <f>GO127-GC127</f>
        <v/>
      </c>
      <c r="GP128" s="1318">
        <f>GP127-GD127</f>
        <v/>
      </c>
      <c r="GQ128" s="1318">
        <f>GQ127-GE127</f>
        <v/>
      </c>
      <c r="GR128" s="1318">
        <f>GR127-GF127</f>
        <v/>
      </c>
      <c r="GS128" s="1318">
        <f>GS127-GG127</f>
        <v/>
      </c>
      <c r="GT128" s="1318">
        <f>GT127-GH127</f>
        <v/>
      </c>
      <c r="GU128" s="1318">
        <f>GU127-GI127</f>
        <v/>
      </c>
      <c r="GV128" s="1318">
        <f>GV127-GJ127</f>
        <v/>
      </c>
      <c r="GW128" s="1318">
        <f>GW127-GK127</f>
        <v/>
      </c>
      <c r="GX128" s="1318">
        <f>GX127-GL127</f>
        <v/>
      </c>
      <c r="GY128" s="1318">
        <f>GY127-GM127</f>
        <v/>
      </c>
      <c r="GZ128" s="1318">
        <f>GZ127-GN127</f>
        <v/>
      </c>
      <c r="HA128" s="1318">
        <f>HA127-GO127</f>
        <v/>
      </c>
      <c r="HB128" s="1318">
        <f>HB127-GP127</f>
        <v/>
      </c>
      <c r="HC128" s="1318">
        <f>HC127-GQ127</f>
        <v/>
      </c>
      <c r="HD128" s="1318">
        <f>HD127-GR127</f>
        <v/>
      </c>
      <c r="HE128" s="1318">
        <f>HE127-GS127</f>
        <v/>
      </c>
      <c r="HF128" s="1318">
        <f>HF127-GT127</f>
        <v/>
      </c>
      <c r="HG128" s="1318">
        <f>HG127-GU127</f>
        <v/>
      </c>
      <c r="HH128" s="1318">
        <f>HH127-GV127</f>
        <v/>
      </c>
      <c r="HI128" s="1318">
        <f>HI127-GW127</f>
        <v/>
      </c>
      <c r="HJ128" s="1318">
        <f>HJ127-GX127</f>
        <v/>
      </c>
      <c r="HK128" s="1318">
        <f>HK127-GY127</f>
        <v/>
      </c>
      <c r="HL128" s="1318">
        <f>HL127-GZ127</f>
        <v/>
      </c>
      <c r="HM128" s="1318">
        <f>HM127-HA127</f>
        <v/>
      </c>
      <c r="HN128" s="1318">
        <f>HN127-HB127</f>
        <v/>
      </c>
      <c r="HO128" s="1318">
        <f>HO127-HC127</f>
        <v/>
      </c>
      <c r="HP128" s="1318">
        <f>HP127-HD127</f>
        <v/>
      </c>
      <c r="HQ128" s="1318">
        <f>HQ127-HE127</f>
        <v/>
      </c>
      <c r="HR128" s="1318">
        <f>HR127-HF127</f>
        <v/>
      </c>
      <c r="HS128" s="1318">
        <f>HS127-HG127</f>
        <v/>
      </c>
      <c r="HT128" s="1318">
        <f>HT127-HH127</f>
        <v/>
      </c>
      <c r="HU128" s="1318">
        <f>HU127-HI127</f>
        <v/>
      </c>
      <c r="HV128" s="1318">
        <f>HV127-HJ127</f>
        <v/>
      </c>
      <c r="HW128" s="1318">
        <f>HW127-HK127</f>
        <v/>
      </c>
      <c r="HX128" s="1318">
        <f>HX127-HL127</f>
        <v/>
      </c>
      <c r="HY128" s="1318">
        <f>HY127-HM127</f>
        <v/>
      </c>
      <c r="HZ128" s="1318">
        <f>HZ127-HN127</f>
        <v/>
      </c>
      <c r="IA128" s="1318">
        <f>IA127-HO127</f>
        <v/>
      </c>
      <c r="IB128" s="1318">
        <f>IB127-HP127</f>
        <v/>
      </c>
      <c r="IC128" s="1318">
        <f>IC127-HQ127</f>
        <v/>
      </c>
      <c r="ID128" s="1318">
        <f>ID127-HR127</f>
        <v/>
      </c>
      <c r="IE128" s="1318">
        <f>IE127-HS127</f>
        <v/>
      </c>
      <c r="IF128" s="1318">
        <f>IF127-HT127</f>
        <v/>
      </c>
      <c r="IG128" s="1318">
        <f>IG127-HU127</f>
        <v/>
      </c>
      <c r="IH128" s="1318">
        <f>IH127-HV127</f>
        <v/>
      </c>
      <c r="II128" s="1318">
        <f>II127-HW127</f>
        <v/>
      </c>
      <c r="IJ128" s="1318">
        <f>IJ127-HX127</f>
        <v/>
      </c>
      <c r="IK128" s="1318">
        <f>IK127-HY127</f>
        <v/>
      </c>
      <c r="IL128" s="1318">
        <f>IL127-HZ127</f>
        <v/>
      </c>
      <c r="IM128" s="1318">
        <f>IM127-IA127</f>
        <v/>
      </c>
      <c r="IN128" s="1318">
        <f>IN127-IB127</f>
        <v/>
      </c>
      <c r="IO128" s="1318">
        <f>IO127-IC127</f>
        <v/>
      </c>
      <c r="IP128" s="1318">
        <f>IP127-ID127</f>
        <v/>
      </c>
      <c r="IQ128" s="1318">
        <f>IQ127-IE127</f>
        <v/>
      </c>
      <c r="IR128" s="1318">
        <f>IR127-IF127</f>
        <v/>
      </c>
      <c r="IS128" s="1318">
        <f>IS127-IG127</f>
        <v/>
      </c>
      <c r="IT128" s="1318">
        <f>IT127-IH127</f>
        <v/>
      </c>
      <c r="IU128" s="1318">
        <f>IU127-II127</f>
        <v/>
      </c>
      <c r="IV128" s="1318">
        <f>IV127-IJ127</f>
        <v/>
      </c>
      <c r="IW128" s="1318">
        <f>IW127-IK127</f>
        <v/>
      </c>
      <c r="IX128" s="1318">
        <f>IX127-IL127</f>
        <v/>
      </c>
      <c r="IY128" s="1318">
        <f>IY127-IM127</f>
        <v/>
      </c>
      <c r="IZ128" s="1318">
        <f>IZ127-IN127</f>
        <v/>
      </c>
      <c r="JA128" s="1318">
        <f>JA127-IO127</f>
        <v/>
      </c>
      <c r="JB128" s="1318">
        <f>JB127-IP127</f>
        <v/>
      </c>
      <c r="JC128" s="1318">
        <f>JC127-IQ127</f>
        <v/>
      </c>
      <c r="JD128" s="1318">
        <f>JD127-IR127</f>
        <v/>
      </c>
      <c r="JE128" s="1318">
        <f>JE127-IS127</f>
        <v/>
      </c>
      <c r="JF128" s="1318">
        <f>JF127-IT127</f>
        <v/>
      </c>
      <c r="JG128" s="1318">
        <f>JG127-IU127</f>
        <v/>
      </c>
      <c r="JH128" s="1318">
        <f>JH127-IV127</f>
        <v/>
      </c>
      <c r="JI128" s="1318">
        <f>JI127-IW127</f>
        <v/>
      </c>
      <c r="JJ128" s="1318">
        <f>JJ127-IX127</f>
        <v/>
      </c>
      <c r="JK128" s="1318">
        <f>JK127-IY127</f>
        <v/>
      </c>
      <c r="JL128" s="1318">
        <f>JL127-IZ127</f>
        <v/>
      </c>
      <c r="JM128" s="1318">
        <f>JM127-JA127</f>
        <v/>
      </c>
      <c r="JN128" s="1318">
        <f>JN127-JB127</f>
        <v/>
      </c>
      <c r="JO128" s="1318">
        <f>JO127-JC127</f>
        <v/>
      </c>
      <c r="JP128" s="1318">
        <f>JP127-JD127</f>
        <v/>
      </c>
      <c r="JQ128" s="1318">
        <f>JQ127-JE127</f>
        <v/>
      </c>
      <c r="JR128" s="1318">
        <f>JR127-JF127</f>
        <v/>
      </c>
      <c r="JS128" s="1318">
        <f>JS127-JG127</f>
        <v/>
      </c>
      <c r="JT128" s="1318">
        <f>JT127-JH127</f>
        <v/>
      </c>
      <c r="JU128" s="1318">
        <f>JU127-JI127</f>
        <v/>
      </c>
      <c r="JV128" s="1318">
        <f>JV127-JJ127</f>
        <v/>
      </c>
      <c r="JW128" s="1318">
        <f>JW127-JK127</f>
        <v/>
      </c>
      <c r="JX128" s="1318">
        <f>JX127-JL127</f>
        <v/>
      </c>
      <c r="JY128" s="1318">
        <f>JY127-JM127</f>
        <v/>
      </c>
      <c r="JZ128" s="1318">
        <f>JZ127-JN127</f>
        <v/>
      </c>
      <c r="KA128" s="1318">
        <f>KA127-JO127</f>
        <v/>
      </c>
      <c r="KB128" s="1318">
        <f>KB127-JP127</f>
        <v/>
      </c>
      <c r="KC128" s="1318">
        <f>KC127-JQ127</f>
        <v/>
      </c>
      <c r="KD128" s="1318">
        <f>KD127-JR127</f>
        <v/>
      </c>
      <c r="KE128" s="1318">
        <f>KE127-JS127</f>
        <v/>
      </c>
      <c r="KF128" s="1318">
        <f>KF127-JT127</f>
        <v/>
      </c>
      <c r="KG128" s="1318">
        <f>KG127-JU127</f>
        <v/>
      </c>
      <c r="KH128" s="1318">
        <f>KH127-JV127</f>
        <v/>
      </c>
      <c r="KI128" s="1318">
        <f>KI127-JW127</f>
        <v/>
      </c>
      <c r="KJ128" s="1318">
        <f>KJ127-JX127</f>
        <v/>
      </c>
      <c r="KK128" s="1318">
        <f>KK127-JY127</f>
        <v/>
      </c>
      <c r="KL128" s="1318">
        <f>KL127-JZ127</f>
        <v/>
      </c>
      <c r="KM128" s="1318">
        <f>KM127-KA127</f>
        <v/>
      </c>
      <c r="KN128" s="1318">
        <f>KN127-KB127</f>
        <v/>
      </c>
      <c r="KO128" s="1318">
        <f>KO127-KC127</f>
        <v/>
      </c>
      <c r="KP128" s="1318">
        <f>KP127-KD127</f>
        <v/>
      </c>
      <c r="KQ128" s="1318">
        <f>KQ127-KE127</f>
        <v/>
      </c>
      <c r="KR128" s="1318">
        <f>KR127-KF127</f>
        <v/>
      </c>
      <c r="KS128" s="1318">
        <f>KS127-KG127</f>
        <v/>
      </c>
      <c r="KT128" s="1318">
        <f>KT127-KH127</f>
        <v/>
      </c>
      <c r="KU128" s="1318">
        <f>KU127-KI127</f>
        <v/>
      </c>
      <c r="KV128" s="1318">
        <f>KV127-KJ127</f>
        <v/>
      </c>
      <c r="KW128" s="1318">
        <f>KW127-KK127</f>
        <v/>
      </c>
      <c r="KX128" s="1318">
        <f>KX127-KL127</f>
        <v/>
      </c>
      <c r="KY128" s="1318">
        <f>KY127-KM127</f>
        <v/>
      </c>
      <c r="KZ128" s="1318">
        <f>KZ127-KN127</f>
        <v/>
      </c>
      <c r="LA128" s="1318">
        <f>LA127-KO127</f>
        <v/>
      </c>
      <c r="LB128" s="1318" t="n"/>
      <c r="LC128" s="1318" t="n"/>
      <c r="LD128" s="1318" t="n"/>
      <c r="LE128" s="1318" t="n"/>
      <c r="LF128" s="1318" t="n"/>
      <c r="LG128" s="1318" t="n"/>
      <c r="LH128" s="1318" t="n"/>
      <c r="LI128" s="1318" t="n"/>
      <c r="LJ128" s="1318" t="n"/>
      <c r="LK128" s="1318" t="n"/>
      <c r="LL128" s="1318" t="n"/>
      <c r="LM128" s="1318" t="n"/>
      <c r="LN128" s="1318" t="n"/>
      <c r="LO128" s="1318" t="n"/>
      <c r="LP128" s="1318" t="n"/>
      <c r="LQ128" s="1318" t="n"/>
      <c r="LR128" s="1318" t="n"/>
      <c r="LS128" s="1318" t="n"/>
    </row>
    <row r="129" ht="15" customFormat="1" customHeight="1" s="1338">
      <c r="A129" s="1339" t="inlineStr">
        <is>
          <t>Freight Load Factor (F L/F)</t>
        </is>
      </c>
      <c r="B129" s="1340">
        <f>B76/B40</f>
        <v/>
      </c>
      <c r="C129" s="1340">
        <f>C76/C40</f>
        <v/>
      </c>
      <c r="D129" s="1340">
        <f>D76/D40</f>
        <v/>
      </c>
      <c r="E129" s="1340">
        <f>E76/E40</f>
        <v/>
      </c>
      <c r="F129" s="1340">
        <f>F76/F40</f>
        <v/>
      </c>
      <c r="G129" s="1340">
        <f>G76/G40</f>
        <v/>
      </c>
      <c r="H129" s="1340">
        <f>H76/H40</f>
        <v/>
      </c>
      <c r="I129" s="1340">
        <f>I76/I40</f>
        <v/>
      </c>
      <c r="J129" s="1340">
        <f>J76/J40</f>
        <v/>
      </c>
      <c r="K129" s="1340">
        <f>K76/K40</f>
        <v/>
      </c>
      <c r="L129" s="1340">
        <f>L76/L40</f>
        <v/>
      </c>
      <c r="M129" s="1340">
        <f>M76/M40</f>
        <v/>
      </c>
      <c r="N129" s="1340">
        <f>N76/N40</f>
        <v/>
      </c>
      <c r="O129" s="1340">
        <f>O76/O40</f>
        <v/>
      </c>
      <c r="P129" s="1340">
        <f>P76/P40</f>
        <v/>
      </c>
      <c r="Q129" s="1340">
        <f>Q76/Q40</f>
        <v/>
      </c>
      <c r="R129" s="1340">
        <f>R76/R40</f>
        <v/>
      </c>
      <c r="S129" s="1340">
        <f>S76/S40</f>
        <v/>
      </c>
      <c r="T129" s="1340">
        <f>T76/T40</f>
        <v/>
      </c>
      <c r="U129" s="1340">
        <f>U76/U40</f>
        <v/>
      </c>
      <c r="V129" s="1340">
        <f>V76/V40</f>
        <v/>
      </c>
      <c r="W129" s="1340">
        <f>W76/W40</f>
        <v/>
      </c>
      <c r="X129" s="1340">
        <f>X76/X40</f>
        <v/>
      </c>
      <c r="Y129" s="1340">
        <f>Y76/Y40</f>
        <v/>
      </c>
      <c r="Z129" s="1340">
        <f>Z76/Z40</f>
        <v/>
      </c>
      <c r="AA129" s="1340">
        <f>AA76/AA40</f>
        <v/>
      </c>
      <c r="AB129" s="1340">
        <f>AB76/AB40</f>
        <v/>
      </c>
      <c r="AC129" s="1340">
        <f>AC76/AC40</f>
        <v/>
      </c>
      <c r="AD129" s="1340">
        <f>AD76/AD40</f>
        <v/>
      </c>
      <c r="AE129" s="1340">
        <f>AE76/AE40</f>
        <v/>
      </c>
      <c r="AF129" s="1340">
        <f>AF76/AF40</f>
        <v/>
      </c>
      <c r="AG129" s="1340">
        <f>AG76/AG40</f>
        <v/>
      </c>
      <c r="AH129" s="1340">
        <f>AH76/AH40</f>
        <v/>
      </c>
      <c r="AI129" s="1340">
        <f>AI76/AI40</f>
        <v/>
      </c>
      <c r="AJ129" s="1340">
        <f>AJ76/AJ40</f>
        <v/>
      </c>
      <c r="AK129" s="1340">
        <f>AK76/AK40</f>
        <v/>
      </c>
      <c r="AL129" s="1340">
        <f>AL76/AL40</f>
        <v/>
      </c>
      <c r="AM129" s="1340">
        <f>AM76/AM40</f>
        <v/>
      </c>
      <c r="AN129" s="1340">
        <f>AN76/AN40</f>
        <v/>
      </c>
      <c r="AO129" s="1340">
        <f>AO76/AO40</f>
        <v/>
      </c>
      <c r="AP129" s="1340">
        <f>AP76/AP40</f>
        <v/>
      </c>
      <c r="AQ129" s="1340">
        <f>AQ76/AQ40</f>
        <v/>
      </c>
      <c r="AR129" s="1340">
        <f>AR76/AR40</f>
        <v/>
      </c>
      <c r="AS129" s="1340">
        <f>AS76/AS40</f>
        <v/>
      </c>
      <c r="AT129" s="1340">
        <f>AT76/AT40</f>
        <v/>
      </c>
      <c r="AU129" s="1340">
        <f>AU76/AU40</f>
        <v/>
      </c>
      <c r="AV129" s="1340">
        <f>AV76/AV40</f>
        <v/>
      </c>
      <c r="AW129" s="1340">
        <f>AW76/AW40</f>
        <v/>
      </c>
      <c r="AX129" s="1340">
        <f>AX76/AX40</f>
        <v/>
      </c>
      <c r="AY129" s="1340">
        <f>AY76/AY40</f>
        <v/>
      </c>
      <c r="AZ129" s="1340">
        <f>AZ76/AZ40</f>
        <v/>
      </c>
      <c r="BA129" s="1340">
        <f>BA76/BA40</f>
        <v/>
      </c>
      <c r="BB129" s="1340">
        <f>BB76/BB40</f>
        <v/>
      </c>
      <c r="BC129" s="1340">
        <f>BC76/BC40</f>
        <v/>
      </c>
      <c r="BD129" s="1340">
        <f>BD76/BD40</f>
        <v/>
      </c>
      <c r="BE129" s="1340">
        <f>BE76/BE40</f>
        <v/>
      </c>
      <c r="BF129" s="1340">
        <f>BF76/BF40</f>
        <v/>
      </c>
      <c r="BG129" s="1340">
        <f>BG76/BG40</f>
        <v/>
      </c>
      <c r="BH129" s="1340">
        <f>BH76/BH40</f>
        <v/>
      </c>
      <c r="BI129" s="1340">
        <f>BI76/BI40</f>
        <v/>
      </c>
      <c r="BJ129" s="1340">
        <f>BJ76/BJ40</f>
        <v/>
      </c>
      <c r="BK129" s="1340">
        <f>BK76/BK40</f>
        <v/>
      </c>
      <c r="BL129" s="1340">
        <f>BL76/BL40</f>
        <v/>
      </c>
      <c r="BM129" s="1340">
        <f>BM76/BM40</f>
        <v/>
      </c>
      <c r="BN129" s="1340">
        <f>BN76/BN40</f>
        <v/>
      </c>
      <c r="BO129" s="1340">
        <f>BO76/BO40</f>
        <v/>
      </c>
      <c r="BP129" s="1340">
        <f>BP76/BP40</f>
        <v/>
      </c>
      <c r="BQ129" s="1340">
        <f>BQ76/BQ40</f>
        <v/>
      </c>
      <c r="BR129" s="1340">
        <f>BR76/BR40</f>
        <v/>
      </c>
      <c r="BS129" s="1340">
        <f>BS76/BS40</f>
        <v/>
      </c>
      <c r="BT129" s="1340">
        <f>BT76/BT40</f>
        <v/>
      </c>
      <c r="BU129" s="1340">
        <f>BU76/BU40</f>
        <v/>
      </c>
      <c r="BV129" s="1340">
        <f>BV76/BV40</f>
        <v/>
      </c>
      <c r="BW129" s="1340">
        <f>BW76/BW40</f>
        <v/>
      </c>
      <c r="BX129" s="1340">
        <f>BX76/BX40</f>
        <v/>
      </c>
      <c r="BY129" s="1340">
        <f>BY76/BY40</f>
        <v/>
      </c>
      <c r="BZ129" s="1340">
        <f>BZ76/BZ40</f>
        <v/>
      </c>
      <c r="CA129" s="1340">
        <f>CA76/CA40</f>
        <v/>
      </c>
      <c r="CB129" s="1340">
        <f>CB76/CB40</f>
        <v/>
      </c>
      <c r="CC129" s="1340">
        <f>CC76/CC40</f>
        <v/>
      </c>
      <c r="CD129" s="1340">
        <f>CD76/CD40</f>
        <v/>
      </c>
      <c r="CE129" s="1340">
        <f>CE76/CE40</f>
        <v/>
      </c>
      <c r="CF129" s="1340">
        <f>CF76/CF40</f>
        <v/>
      </c>
      <c r="CG129" s="1340">
        <f>CG76/CG40</f>
        <v/>
      </c>
      <c r="CH129" s="1340">
        <f>CH76/CH40</f>
        <v/>
      </c>
      <c r="CI129" s="1340">
        <f>CI76/CI40</f>
        <v/>
      </c>
      <c r="CJ129" s="1340">
        <f>CJ76/CJ40</f>
        <v/>
      </c>
      <c r="CK129" s="1340">
        <f>CK76/CK40</f>
        <v/>
      </c>
      <c r="CL129" s="1340">
        <f>CL76/CL40</f>
        <v/>
      </c>
      <c r="CM129" s="1340">
        <f>CM76/CM40</f>
        <v/>
      </c>
      <c r="CN129" s="1340">
        <f>CN76/CN40</f>
        <v/>
      </c>
      <c r="CO129" s="1340">
        <f>CO76/CO40</f>
        <v/>
      </c>
      <c r="CP129" s="1340">
        <f>CP76/CP40</f>
        <v/>
      </c>
      <c r="CQ129" s="1340">
        <f>CQ76/CQ40</f>
        <v/>
      </c>
      <c r="CR129" s="1340">
        <f>CR76/CR40</f>
        <v/>
      </c>
      <c r="CS129" s="1340">
        <f>CS76/CS40</f>
        <v/>
      </c>
      <c r="CT129" s="1340">
        <f>CT76/CT40</f>
        <v/>
      </c>
      <c r="CU129" s="1340">
        <f>CU76/CU40</f>
        <v/>
      </c>
      <c r="CV129" s="1340">
        <f>CV76/CV40</f>
        <v/>
      </c>
      <c r="CW129" s="1340">
        <f>CW76/CW40</f>
        <v/>
      </c>
      <c r="CX129" s="1340">
        <f>CX76/CX40</f>
        <v/>
      </c>
      <c r="CY129" s="1340">
        <f>CY76/CY40</f>
        <v/>
      </c>
      <c r="CZ129" s="1340">
        <f>CZ76/CZ40</f>
        <v/>
      </c>
      <c r="DA129" s="1340">
        <f>DA76/DA40</f>
        <v/>
      </c>
      <c r="DB129" s="1340">
        <f>DB76/DB40</f>
        <v/>
      </c>
      <c r="DC129" s="1340">
        <f>DC76/DC40</f>
        <v/>
      </c>
      <c r="DD129" s="1340">
        <f>DD76/DD40</f>
        <v/>
      </c>
      <c r="DE129" s="1340">
        <f>DE76/DE40</f>
        <v/>
      </c>
      <c r="DF129" s="1340">
        <f>DF76/DF40</f>
        <v/>
      </c>
      <c r="DG129" s="1340">
        <f>DG76/DG40</f>
        <v/>
      </c>
      <c r="DH129" s="1340">
        <f>DH76/DH40</f>
        <v/>
      </c>
      <c r="DI129" s="1340">
        <f>DI76/DI40</f>
        <v/>
      </c>
      <c r="DJ129" s="1340">
        <f>DJ76/DJ40</f>
        <v/>
      </c>
      <c r="DK129" s="1340">
        <f>DK76/DK40</f>
        <v/>
      </c>
      <c r="DL129" s="1340">
        <f>DL76/DL40</f>
        <v/>
      </c>
      <c r="DM129" s="1340">
        <f>DM76/DM40</f>
        <v/>
      </c>
      <c r="DN129" s="1340">
        <f>DN76/DN40</f>
        <v/>
      </c>
      <c r="DO129" s="1340">
        <f>DO76/DO40</f>
        <v/>
      </c>
      <c r="DP129" s="1340">
        <f>DP76/DP40</f>
        <v/>
      </c>
      <c r="DQ129" s="1340">
        <f>DQ76/DQ40</f>
        <v/>
      </c>
      <c r="DR129" s="1340">
        <f>DR76/DR40</f>
        <v/>
      </c>
      <c r="DS129" s="1340">
        <f>DS76/DS40</f>
        <v/>
      </c>
      <c r="DT129" s="1340">
        <f>DT76/DT40</f>
        <v/>
      </c>
      <c r="DU129" s="1340">
        <f>DU76/DU40</f>
        <v/>
      </c>
      <c r="DV129" s="1340">
        <f>DV76/DV40</f>
        <v/>
      </c>
      <c r="DW129" s="1340">
        <f>DW76/DW40</f>
        <v/>
      </c>
      <c r="DX129" s="1340">
        <f>DX76/DX40</f>
        <v/>
      </c>
      <c r="DY129" s="1340">
        <f>DY76/DY40</f>
        <v/>
      </c>
      <c r="DZ129" s="1340">
        <f>DZ76/DZ40</f>
        <v/>
      </c>
      <c r="EA129" s="1340">
        <f>EA76/EA40</f>
        <v/>
      </c>
      <c r="EB129" s="1340">
        <f>EB76/EB40</f>
        <v/>
      </c>
      <c r="EC129" s="1340">
        <f>EC76/EC40</f>
        <v/>
      </c>
      <c r="ED129" s="1340">
        <f>ED76/ED40</f>
        <v/>
      </c>
      <c r="EE129" s="1340">
        <f>EE76/EE40</f>
        <v/>
      </c>
      <c r="EF129" s="1340">
        <f>EF76/EF40</f>
        <v/>
      </c>
      <c r="EG129" s="1340">
        <f>EG76/EG40</f>
        <v/>
      </c>
      <c r="EH129" s="1340">
        <f>EH76/EH40</f>
        <v/>
      </c>
      <c r="EI129" s="1340">
        <f>EI76/EI40</f>
        <v/>
      </c>
      <c r="EJ129" s="1340">
        <f>EJ76/EJ40</f>
        <v/>
      </c>
      <c r="EK129" s="1340">
        <f>EK76/EK40</f>
        <v/>
      </c>
      <c r="EL129" s="1340">
        <f>EL76/EL40</f>
        <v/>
      </c>
      <c r="EM129" s="1340">
        <f>EM76/EM40</f>
        <v/>
      </c>
      <c r="EN129" s="1340">
        <f>EN76/EN40</f>
        <v/>
      </c>
      <c r="EO129" s="1340">
        <f>EO76/EO40</f>
        <v/>
      </c>
      <c r="EP129" s="1340">
        <f>EP76/EP40</f>
        <v/>
      </c>
      <c r="EQ129" s="1340">
        <f>EQ76/EQ40</f>
        <v/>
      </c>
      <c r="ER129" s="1340">
        <f>ER76/ER40</f>
        <v/>
      </c>
      <c r="ES129" s="1340">
        <f>ES76/ES40</f>
        <v/>
      </c>
      <c r="ET129" s="1340">
        <f>ET76/ET40</f>
        <v/>
      </c>
      <c r="EU129" s="1340">
        <f>EU76/EU40</f>
        <v/>
      </c>
      <c r="EV129" s="1340">
        <f>EV76/EV40</f>
        <v/>
      </c>
      <c r="EW129" s="1340">
        <f>EW76/EW40</f>
        <v/>
      </c>
      <c r="EX129" s="1340">
        <f>EX76/EX40</f>
        <v/>
      </c>
      <c r="EY129" s="1340">
        <f>EY76/EY40</f>
        <v/>
      </c>
      <c r="EZ129" s="1340">
        <f>EZ76/EZ40</f>
        <v/>
      </c>
      <c r="FA129" s="1340">
        <f>FA76/FA40</f>
        <v/>
      </c>
      <c r="FB129" s="1340">
        <f>FB76/FB40</f>
        <v/>
      </c>
      <c r="FC129" s="1340">
        <f>FC76/FC40</f>
        <v/>
      </c>
      <c r="FD129" s="1340">
        <f>FD76/FD40</f>
        <v/>
      </c>
      <c r="FE129" s="1340">
        <f>FE76/FE40</f>
        <v/>
      </c>
      <c r="FF129" s="1340">
        <f>FF76/FF40</f>
        <v/>
      </c>
      <c r="FG129" s="1340">
        <f>FG76/FG40</f>
        <v/>
      </c>
      <c r="FH129" s="1340">
        <f>FH76/FH40</f>
        <v/>
      </c>
      <c r="FI129" s="1340">
        <f>FI76/FI40</f>
        <v/>
      </c>
      <c r="FJ129" s="1340">
        <f>FJ76/FJ40</f>
        <v/>
      </c>
      <c r="FK129" s="1340">
        <f>FK76/FK40</f>
        <v/>
      </c>
      <c r="FL129" s="1340">
        <f>FL76/FL40</f>
        <v/>
      </c>
      <c r="FM129" s="1340">
        <f>FM76/FM40</f>
        <v/>
      </c>
      <c r="FN129" s="1340">
        <f>FN76/FN40</f>
        <v/>
      </c>
      <c r="FO129" s="1340">
        <f>FO76/FO40</f>
        <v/>
      </c>
      <c r="FP129" s="1340">
        <f>FP76/FP40</f>
        <v/>
      </c>
      <c r="FQ129" s="1340">
        <f>FQ76/FQ40</f>
        <v/>
      </c>
      <c r="FR129" s="1340">
        <f>FR76/FR40</f>
        <v/>
      </c>
      <c r="FS129" s="1340">
        <f>FS76/FS40</f>
        <v/>
      </c>
      <c r="FT129" s="1340">
        <f>FT76/FT40</f>
        <v/>
      </c>
      <c r="FU129" s="1340">
        <f>FU76/FU40</f>
        <v/>
      </c>
      <c r="FV129" s="1340">
        <f>FV76/FV40</f>
        <v/>
      </c>
      <c r="FW129" s="1340">
        <f>FW76/FW40</f>
        <v/>
      </c>
      <c r="FX129" s="1340">
        <f>FX76/FX40</f>
        <v/>
      </c>
      <c r="FY129" s="1340">
        <f>FY76/FY40</f>
        <v/>
      </c>
      <c r="FZ129" s="1340">
        <f>FZ76/FZ40</f>
        <v/>
      </c>
      <c r="GA129" s="1340">
        <f>GA76/GA40</f>
        <v/>
      </c>
      <c r="GB129" s="1340">
        <f>GB76/GB40</f>
        <v/>
      </c>
      <c r="GC129" s="1340">
        <f>GC76/GC40</f>
        <v/>
      </c>
      <c r="GD129" s="1340">
        <f>GD76/GD40</f>
        <v/>
      </c>
      <c r="GE129" s="1340">
        <f>GE76/GE40</f>
        <v/>
      </c>
      <c r="GF129" s="1340">
        <f>GF76/GF40</f>
        <v/>
      </c>
      <c r="GG129" s="1340">
        <f>GG76/GG40</f>
        <v/>
      </c>
      <c r="GH129" s="1340">
        <f>GH76/GH40</f>
        <v/>
      </c>
      <c r="GI129" s="1340">
        <f>GI76/GI40</f>
        <v/>
      </c>
      <c r="GJ129" s="1340">
        <f>GJ76/GJ40</f>
        <v/>
      </c>
      <c r="GK129" s="1340">
        <f>GK76/GK40</f>
        <v/>
      </c>
      <c r="GL129" s="1340">
        <f>GL76/GL40</f>
        <v/>
      </c>
      <c r="GM129" s="1340">
        <f>GM76/GM40</f>
        <v/>
      </c>
      <c r="GN129" s="1340">
        <f>GN76/GN40</f>
        <v/>
      </c>
      <c r="GO129" s="1340">
        <f>GO76/GO40</f>
        <v/>
      </c>
      <c r="GP129" s="1340">
        <f>GP76/GP40</f>
        <v/>
      </c>
      <c r="GQ129" s="1340">
        <f>GQ76/GQ40</f>
        <v/>
      </c>
      <c r="GR129" s="1340">
        <f>GR76/GR40</f>
        <v/>
      </c>
      <c r="GS129" s="1340">
        <f>GS76/GS40</f>
        <v/>
      </c>
      <c r="GT129" s="1340">
        <f>GT76/GT40</f>
        <v/>
      </c>
      <c r="GU129" s="1340">
        <f>GU76/GU40</f>
        <v/>
      </c>
      <c r="GV129" s="1340">
        <f>GV76/GV40</f>
        <v/>
      </c>
      <c r="GW129" s="1340">
        <f>GW76/GW40</f>
        <v/>
      </c>
      <c r="GX129" s="1340">
        <f>GX76/GX40</f>
        <v/>
      </c>
      <c r="GY129" s="1340">
        <f>GY76/GY40</f>
        <v/>
      </c>
      <c r="GZ129" s="1340">
        <f>GZ76/GZ40</f>
        <v/>
      </c>
      <c r="HA129" s="1340">
        <f>HA76/HA40</f>
        <v/>
      </c>
      <c r="HB129" s="1340">
        <f>HB76/HB40</f>
        <v/>
      </c>
      <c r="HC129" s="1340">
        <f>HC76/HC40</f>
        <v/>
      </c>
      <c r="HD129" s="1340">
        <f>HD76/HD40</f>
        <v/>
      </c>
      <c r="HE129" s="1340">
        <f>HE76/HE40</f>
        <v/>
      </c>
      <c r="HF129" s="1340">
        <f>HF76/HF40</f>
        <v/>
      </c>
      <c r="HG129" s="1340">
        <f>HG76/HG40</f>
        <v/>
      </c>
      <c r="HH129" s="1340">
        <f>HH76/HH40</f>
        <v/>
      </c>
      <c r="HI129" s="1340">
        <f>HI76/HI40</f>
        <v/>
      </c>
      <c r="HJ129" s="1340">
        <f>HJ76/HJ40</f>
        <v/>
      </c>
      <c r="HK129" s="1340">
        <f>HK76/HK40</f>
        <v/>
      </c>
      <c r="HL129" s="1340">
        <f>HL76/HL40</f>
        <v/>
      </c>
      <c r="HM129" s="1340">
        <f>HM76/HM40</f>
        <v/>
      </c>
      <c r="HN129" s="1340">
        <f>HN76/HN40</f>
        <v/>
      </c>
      <c r="HO129" s="1340">
        <f>HO76/HO40</f>
        <v/>
      </c>
      <c r="HP129" s="1340">
        <f>HP76/HP40</f>
        <v/>
      </c>
      <c r="HQ129" s="1340">
        <f>HQ76/HQ40</f>
        <v/>
      </c>
      <c r="HR129" s="1340">
        <f>HR76/HR40</f>
        <v/>
      </c>
      <c r="HS129" s="1340">
        <f>HS76/HS40</f>
        <v/>
      </c>
      <c r="HT129" s="1340">
        <f>HT76/HT40</f>
        <v/>
      </c>
      <c r="HU129" s="1340">
        <f>HU76/HU40</f>
        <v/>
      </c>
      <c r="HV129" s="1340">
        <f>HV76/HV40</f>
        <v/>
      </c>
      <c r="HW129" s="1340">
        <f>HW76/HW40</f>
        <v/>
      </c>
      <c r="HX129" s="1340">
        <f>HX76/HX40</f>
        <v/>
      </c>
      <c r="HY129" s="1340">
        <f>HY76/HY40</f>
        <v/>
      </c>
      <c r="HZ129" s="1340">
        <f>HZ76/HZ40</f>
        <v/>
      </c>
      <c r="IA129" s="1340">
        <f>IA76/IA40</f>
        <v/>
      </c>
      <c r="IB129" s="1340">
        <f>IB76/IB40</f>
        <v/>
      </c>
      <c r="IC129" s="1340">
        <f>IC76/IC40</f>
        <v/>
      </c>
      <c r="ID129" s="1340">
        <f>ID76/ID40</f>
        <v/>
      </c>
      <c r="IE129" s="1340">
        <f>IE76/IE40</f>
        <v/>
      </c>
      <c r="IF129" s="1340">
        <f>IF76/IF40</f>
        <v/>
      </c>
      <c r="IG129" s="1340">
        <f>IG76/IG40</f>
        <v/>
      </c>
      <c r="IH129" s="1340">
        <f>IH76/IH40</f>
        <v/>
      </c>
      <c r="II129" s="1340">
        <f>II76/II40</f>
        <v/>
      </c>
      <c r="IJ129" s="1340">
        <f>IJ76/IJ40</f>
        <v/>
      </c>
      <c r="IK129" s="1340">
        <f>IK76/IK40</f>
        <v/>
      </c>
      <c r="IL129" s="1340">
        <f>IL76/IL40</f>
        <v/>
      </c>
      <c r="IM129" s="1340">
        <f>IM76/IM40</f>
        <v/>
      </c>
      <c r="IN129" s="1340">
        <f>IN76/IN40</f>
        <v/>
      </c>
      <c r="IO129" s="1340">
        <f>IO76/IO40</f>
        <v/>
      </c>
      <c r="IP129" s="1340">
        <f>IP76/IP40</f>
        <v/>
      </c>
      <c r="IQ129" s="1340">
        <f>IQ76/IQ40</f>
        <v/>
      </c>
      <c r="IR129" s="1340">
        <f>IR76/IR40</f>
        <v/>
      </c>
      <c r="IS129" s="1340">
        <f>IS76/IS40</f>
        <v/>
      </c>
      <c r="IT129" s="1340">
        <f>IT76/IT40</f>
        <v/>
      </c>
      <c r="IU129" s="1340">
        <f>IU76/IU40</f>
        <v/>
      </c>
      <c r="IV129" s="1340">
        <f>IV76/IV40</f>
        <v/>
      </c>
      <c r="IW129" s="1340">
        <f>IW76/IW40</f>
        <v/>
      </c>
      <c r="IX129" s="1340">
        <f>IX76/IX40</f>
        <v/>
      </c>
      <c r="IY129" s="1340">
        <f>IY76/IY40</f>
        <v/>
      </c>
      <c r="IZ129" s="1340">
        <f>IZ76/IZ40</f>
        <v/>
      </c>
      <c r="JA129" s="1340">
        <f>JA76/JA40</f>
        <v/>
      </c>
      <c r="JB129" s="1340">
        <f>JB76/JB40</f>
        <v/>
      </c>
      <c r="JC129" s="1340">
        <f>JC76/JC40</f>
        <v/>
      </c>
      <c r="JD129" s="1340">
        <f>JD76/JD40</f>
        <v/>
      </c>
      <c r="JE129" s="1340">
        <f>JE76/JE40</f>
        <v/>
      </c>
      <c r="JF129" s="1340">
        <f>JF76/JF40</f>
        <v/>
      </c>
      <c r="JG129" s="1340">
        <f>JG76/JG40</f>
        <v/>
      </c>
      <c r="JH129" s="1340">
        <f>JH76/JH40</f>
        <v/>
      </c>
      <c r="JI129" s="1340">
        <f>JI76/JI40</f>
        <v/>
      </c>
      <c r="JJ129" s="1340">
        <f>JJ76/JJ40</f>
        <v/>
      </c>
      <c r="JK129" s="1340">
        <f>JK76/JK40</f>
        <v/>
      </c>
      <c r="JL129" s="1340">
        <f>JL76/JL40</f>
        <v/>
      </c>
      <c r="JM129" s="1340">
        <f>JM76/JM40</f>
        <v/>
      </c>
      <c r="JN129" s="1340">
        <f>JN76/JN40</f>
        <v/>
      </c>
      <c r="JO129" s="1340">
        <f>JO76/JO40</f>
        <v/>
      </c>
      <c r="JP129" s="1340">
        <f>JP76/JP40</f>
        <v/>
      </c>
      <c r="JQ129" s="1340">
        <f>JQ76/JQ40</f>
        <v/>
      </c>
      <c r="JR129" s="1340">
        <f>JR76/JR40</f>
        <v/>
      </c>
      <c r="JS129" s="1340">
        <f>JS76/JS40</f>
        <v/>
      </c>
      <c r="JT129" s="1340">
        <f>JT76/JT40</f>
        <v/>
      </c>
      <c r="JU129" s="1340">
        <f>JU76/JU40</f>
        <v/>
      </c>
      <c r="JV129" s="1340">
        <f>JV76/JV40</f>
        <v/>
      </c>
      <c r="JW129" s="1340">
        <f>JW76/JW40</f>
        <v/>
      </c>
      <c r="JX129" s="1340">
        <f>JX76/JX40</f>
        <v/>
      </c>
      <c r="JY129" s="1340">
        <f>JY76/JY40</f>
        <v/>
      </c>
      <c r="JZ129" s="1340">
        <f>JZ76/JZ40</f>
        <v/>
      </c>
      <c r="KA129" s="1340">
        <f>KA76/KA40</f>
        <v/>
      </c>
      <c r="KB129" s="1340">
        <f>KB76/KB40</f>
        <v/>
      </c>
      <c r="KC129" s="1340">
        <f>KC76/KC40</f>
        <v/>
      </c>
      <c r="KD129" s="1340">
        <f>KD76/KD40</f>
        <v/>
      </c>
      <c r="KE129" s="1340">
        <f>KE76/KE40</f>
        <v/>
      </c>
      <c r="KF129" s="1340">
        <f>KF76/KF40</f>
        <v/>
      </c>
      <c r="KG129" s="1340">
        <f>KG76/KG40</f>
        <v/>
      </c>
      <c r="KH129" s="1340">
        <f>KH76/KH40</f>
        <v/>
      </c>
      <c r="KI129" s="1340">
        <f>KI76/KI40</f>
        <v/>
      </c>
      <c r="KJ129" s="1340">
        <f>KJ76/KJ40</f>
        <v/>
      </c>
      <c r="KK129" s="1340">
        <f>KK76/KK40</f>
        <v/>
      </c>
      <c r="KL129" s="1340">
        <f>KL76/KL40</f>
        <v/>
      </c>
      <c r="KM129" s="1340">
        <f>KM76/KM40</f>
        <v/>
      </c>
      <c r="KN129" s="1340">
        <f>KN76/KN40</f>
        <v/>
      </c>
      <c r="KO129" s="1340">
        <f>KO76/KO40</f>
        <v/>
      </c>
      <c r="KP129" s="1340">
        <f>KP76/KP40</f>
        <v/>
      </c>
      <c r="KQ129" s="1340">
        <f>KQ76/KQ40</f>
        <v/>
      </c>
      <c r="KR129" s="1340">
        <f>KR76/KR40</f>
        <v/>
      </c>
      <c r="KS129" s="1340">
        <f>KS76/KS40</f>
        <v/>
      </c>
      <c r="KT129" s="1340">
        <f>KT76/KT40</f>
        <v/>
      </c>
      <c r="KU129" s="1340">
        <f>KU76/KU40</f>
        <v/>
      </c>
      <c r="KV129" s="1340">
        <f>KV76/KV40</f>
        <v/>
      </c>
      <c r="KW129" s="1340">
        <f>KW76/KW40</f>
        <v/>
      </c>
      <c r="KX129" s="1340">
        <f>KX76/KX40</f>
        <v/>
      </c>
      <c r="KY129" s="1340">
        <f>KY76/KY40</f>
        <v/>
      </c>
      <c r="KZ129" s="1340">
        <f>KZ76/KZ40</f>
        <v/>
      </c>
      <c r="LA129" s="1340">
        <f>LA76/LA40</f>
        <v/>
      </c>
      <c r="LB129" s="1340">
        <f>LB76/LB40</f>
        <v/>
      </c>
      <c r="LC129" s="1340">
        <f>LC76/LC40</f>
        <v/>
      </c>
      <c r="LD129" s="1340">
        <f>LD76/LD40</f>
        <v/>
      </c>
      <c r="LE129" s="1340">
        <f>LE76/LE40</f>
        <v/>
      </c>
      <c r="LF129" s="1340">
        <f>LF76/LF40</f>
        <v/>
      </c>
      <c r="LG129" s="1340">
        <f>LG76/LG40</f>
        <v/>
      </c>
      <c r="LH129" s="1340">
        <f>LH76/LH40</f>
        <v/>
      </c>
      <c r="LI129" s="1340">
        <f>LI76/LI40</f>
        <v/>
      </c>
      <c r="LJ129" s="1340">
        <f>LJ76/LJ40</f>
        <v/>
      </c>
      <c r="LK129" s="1340">
        <f>LK76/LK40</f>
        <v/>
      </c>
      <c r="LL129" s="1340">
        <f>LL76/LL40</f>
        <v/>
      </c>
      <c r="LM129" s="1340">
        <f>LM76/LM40</f>
        <v/>
      </c>
      <c r="LN129" s="1340">
        <f>LN76/LN40</f>
        <v/>
      </c>
      <c r="LO129" s="1340">
        <f>LO76/LO40</f>
        <v/>
      </c>
      <c r="LP129" s="1340">
        <f>LP76/LP40</f>
        <v/>
      </c>
      <c r="LQ129" s="1340">
        <f>LQ76/LQ40</f>
        <v/>
      </c>
      <c r="LR129" s="1340">
        <f>LR76/LR40</f>
        <v/>
      </c>
      <c r="LS129" s="1340">
        <f>LS76/LS40</f>
        <v/>
      </c>
    </row>
    <row r="130">
      <c r="A130" s="885" t="inlineStr">
        <is>
          <t>m cg %</t>
        </is>
      </c>
      <c r="B130" s="1318" t="n"/>
      <c r="C130" s="1318">
        <f>C129-B129</f>
        <v/>
      </c>
      <c r="D130" s="1318">
        <f>D129-C129</f>
        <v/>
      </c>
      <c r="E130" s="1318">
        <f>E129-D129</f>
        <v/>
      </c>
      <c r="F130" s="1318">
        <f>F129-E129</f>
        <v/>
      </c>
      <c r="G130" s="1318">
        <f>G129-F129</f>
        <v/>
      </c>
      <c r="H130" s="1318">
        <f>H129-G129</f>
        <v/>
      </c>
      <c r="I130" s="1318">
        <f>I129-H129</f>
        <v/>
      </c>
      <c r="J130" s="1318">
        <f>J129-I129</f>
        <v/>
      </c>
      <c r="K130" s="1318">
        <f>K129-J129</f>
        <v/>
      </c>
      <c r="L130" s="1318">
        <f>L129-K129</f>
        <v/>
      </c>
      <c r="M130" s="1318">
        <f>M129-L129</f>
        <v/>
      </c>
      <c r="N130" s="1318">
        <f>N129-M129</f>
        <v/>
      </c>
      <c r="O130" s="1318">
        <f>O129-N129</f>
        <v/>
      </c>
      <c r="P130" s="1318">
        <f>P129-O129</f>
        <v/>
      </c>
      <c r="Q130" s="1318">
        <f>Q129-P129</f>
        <v/>
      </c>
      <c r="R130" s="1318">
        <f>R129-Q129</f>
        <v/>
      </c>
      <c r="S130" s="1318">
        <f>S129-R129</f>
        <v/>
      </c>
      <c r="T130" s="1318">
        <f>T129-S129</f>
        <v/>
      </c>
      <c r="U130" s="1318">
        <f>U129-T129</f>
        <v/>
      </c>
      <c r="V130" s="1318">
        <f>V129-U129</f>
        <v/>
      </c>
      <c r="W130" s="1318">
        <f>W129-V129</f>
        <v/>
      </c>
      <c r="X130" s="1318">
        <f>X129-W129</f>
        <v/>
      </c>
      <c r="Y130" s="1318">
        <f>Y129-X129</f>
        <v/>
      </c>
      <c r="Z130" s="1318">
        <f>Z129-Y129</f>
        <v/>
      </c>
      <c r="AA130" s="1318">
        <f>AA129-Z129</f>
        <v/>
      </c>
      <c r="AB130" s="1318">
        <f>AB129-AA129</f>
        <v/>
      </c>
      <c r="AC130" s="1318">
        <f>AC129-AB129</f>
        <v/>
      </c>
      <c r="AD130" s="1318">
        <f>AD129-AC129</f>
        <v/>
      </c>
      <c r="AE130" s="1318">
        <f>AE129-AD129</f>
        <v/>
      </c>
      <c r="AF130" s="1318">
        <f>AF129-AE129</f>
        <v/>
      </c>
      <c r="AG130" s="1318">
        <f>AG129-AF129</f>
        <v/>
      </c>
      <c r="AH130" s="1318">
        <f>AH129-AG129</f>
        <v/>
      </c>
      <c r="AI130" s="1318">
        <f>AI129-AH129</f>
        <v/>
      </c>
      <c r="AJ130" s="1318">
        <f>AJ129-AI129</f>
        <v/>
      </c>
      <c r="AK130" s="1318">
        <f>AK129-AJ129</f>
        <v/>
      </c>
      <c r="AL130" s="1318">
        <f>AL129-AK129</f>
        <v/>
      </c>
      <c r="AM130" s="1318">
        <f>AM129-AL129</f>
        <v/>
      </c>
      <c r="AN130" s="1318">
        <f>AN129-AM129</f>
        <v/>
      </c>
      <c r="AO130" s="1318">
        <f>AO129-AN129</f>
        <v/>
      </c>
      <c r="AP130" s="1318">
        <f>AP129-AO129</f>
        <v/>
      </c>
      <c r="AQ130" s="1318">
        <f>AQ129-AP129</f>
        <v/>
      </c>
      <c r="AR130" s="1318">
        <f>AR129-AQ129</f>
        <v/>
      </c>
      <c r="AS130" s="1318">
        <f>AS129-AR129</f>
        <v/>
      </c>
      <c r="AT130" s="1318">
        <f>AT129-AS129</f>
        <v/>
      </c>
      <c r="AU130" s="1318">
        <f>AU129-AT129</f>
        <v/>
      </c>
      <c r="AV130" s="1318">
        <f>AV129-AU129</f>
        <v/>
      </c>
      <c r="AW130" s="1318">
        <f>AW129-AV129</f>
        <v/>
      </c>
      <c r="AX130" s="1318">
        <f>AX129-AW129</f>
        <v/>
      </c>
      <c r="AY130" s="1318">
        <f>AY129-AX129</f>
        <v/>
      </c>
      <c r="AZ130" s="1318">
        <f>AZ129-AY129</f>
        <v/>
      </c>
      <c r="BA130" s="1318">
        <f>BA129-AZ129</f>
        <v/>
      </c>
      <c r="BB130" s="1318">
        <f>BB129-BA129</f>
        <v/>
      </c>
      <c r="BC130" s="1318">
        <f>BC129-BB129</f>
        <v/>
      </c>
      <c r="BD130" s="1318">
        <f>BD129-BC129</f>
        <v/>
      </c>
      <c r="BE130" s="1318">
        <f>BE129-BD129</f>
        <v/>
      </c>
      <c r="BF130" s="1318">
        <f>BF129-BE129</f>
        <v/>
      </c>
      <c r="BG130" s="1318">
        <f>BG129-BF129</f>
        <v/>
      </c>
      <c r="BH130" s="1318">
        <f>BH129-BG129</f>
        <v/>
      </c>
      <c r="BI130" s="1318">
        <f>BI129-BH129</f>
        <v/>
      </c>
      <c r="BJ130" s="1318">
        <f>BJ129-BI129</f>
        <v/>
      </c>
      <c r="BK130" s="1318">
        <f>BK129-BJ129</f>
        <v/>
      </c>
      <c r="BL130" s="1318">
        <f>BL129-BK129</f>
        <v/>
      </c>
      <c r="BM130" s="1318">
        <f>BM129-BL129</f>
        <v/>
      </c>
      <c r="BN130" s="1318">
        <f>BN129-BM129</f>
        <v/>
      </c>
      <c r="BO130" s="1318">
        <f>BO129-BN129</f>
        <v/>
      </c>
      <c r="BP130" s="1318">
        <f>BP129-BO129</f>
        <v/>
      </c>
      <c r="BQ130" s="1318">
        <f>BQ129-BP129</f>
        <v/>
      </c>
      <c r="BR130" s="1318">
        <f>BR129-BQ129</f>
        <v/>
      </c>
      <c r="BS130" s="1318">
        <f>BS129-BR129</f>
        <v/>
      </c>
      <c r="BT130" s="1318">
        <f>BT129-BS129</f>
        <v/>
      </c>
      <c r="BU130" s="1318">
        <f>BU129-BT129</f>
        <v/>
      </c>
      <c r="BV130" s="1318">
        <f>BV129-BU129</f>
        <v/>
      </c>
      <c r="BW130" s="1318">
        <f>BW129-BV129</f>
        <v/>
      </c>
      <c r="BX130" s="1318">
        <f>BX129-BW129</f>
        <v/>
      </c>
      <c r="BY130" s="1318">
        <f>BY129-BX129</f>
        <v/>
      </c>
      <c r="BZ130" s="1318">
        <f>BZ129-BY129</f>
        <v/>
      </c>
      <c r="CA130" s="1318">
        <f>CA129-BZ129</f>
        <v/>
      </c>
      <c r="CB130" s="1318">
        <f>CB129-CA129</f>
        <v/>
      </c>
      <c r="CC130" s="1318">
        <f>CC129-CB129</f>
        <v/>
      </c>
      <c r="CD130" s="1318">
        <f>CD129-CC129</f>
        <v/>
      </c>
      <c r="CE130" s="1318">
        <f>CE129-CD129</f>
        <v/>
      </c>
      <c r="CF130" s="1318">
        <f>CF129-CE129</f>
        <v/>
      </c>
      <c r="CG130" s="1318">
        <f>CG129-CF129</f>
        <v/>
      </c>
      <c r="CH130" s="1318">
        <f>CH129-CG129</f>
        <v/>
      </c>
      <c r="CI130" s="1318">
        <f>CI129-CH129</f>
        <v/>
      </c>
      <c r="CJ130" s="1318">
        <f>CJ129-CI129</f>
        <v/>
      </c>
      <c r="CK130" s="1318">
        <f>CK129-CJ129</f>
        <v/>
      </c>
      <c r="CL130" s="1318">
        <f>CL129-CK129</f>
        <v/>
      </c>
      <c r="CM130" s="1318">
        <f>CM129-CL129</f>
        <v/>
      </c>
      <c r="CN130" s="1318">
        <f>CN129-CM129</f>
        <v/>
      </c>
      <c r="CO130" s="1318">
        <f>CO129-CN129</f>
        <v/>
      </c>
      <c r="CP130" s="1318">
        <f>CP129-CO129</f>
        <v/>
      </c>
      <c r="CQ130" s="1318">
        <f>CQ129-CP129</f>
        <v/>
      </c>
      <c r="CR130" s="1318">
        <f>CR129-CQ129</f>
        <v/>
      </c>
      <c r="CS130" s="1318">
        <f>CS129-CR129</f>
        <v/>
      </c>
      <c r="CT130" s="1318">
        <f>CT129-CS129</f>
        <v/>
      </c>
      <c r="CU130" s="1318">
        <f>CU129-CT129</f>
        <v/>
      </c>
      <c r="CV130" s="1318">
        <f>CV129-CU129</f>
        <v/>
      </c>
      <c r="CW130" s="1318">
        <f>CW129-CV129</f>
        <v/>
      </c>
      <c r="CX130" s="1318">
        <f>CX129-CW129</f>
        <v/>
      </c>
      <c r="CY130" s="1318">
        <f>CY129-CX129</f>
        <v/>
      </c>
      <c r="CZ130" s="1318">
        <f>CZ129-CY129</f>
        <v/>
      </c>
      <c r="DA130" s="1318">
        <f>DA129-CZ129</f>
        <v/>
      </c>
      <c r="DB130" s="1318">
        <f>DB129-DA129</f>
        <v/>
      </c>
      <c r="DC130" s="1318">
        <f>DC129-DB129</f>
        <v/>
      </c>
      <c r="DD130" s="1318">
        <f>DD129-DC129</f>
        <v/>
      </c>
      <c r="DE130" s="1318">
        <f>DE129-DD129</f>
        <v/>
      </c>
      <c r="DF130" s="1318">
        <f>DF129-DE129</f>
        <v/>
      </c>
      <c r="DG130" s="1318">
        <f>DG129-DF129</f>
        <v/>
      </c>
      <c r="DH130" s="1318">
        <f>DH129-DG129</f>
        <v/>
      </c>
      <c r="DI130" s="1318">
        <f>DI129-DH129</f>
        <v/>
      </c>
      <c r="DJ130" s="1318">
        <f>DJ129-DI129</f>
        <v/>
      </c>
      <c r="DK130" s="1318">
        <f>DK129-DJ129</f>
        <v/>
      </c>
      <c r="DL130" s="1318">
        <f>DL129-DK129</f>
        <v/>
      </c>
      <c r="DM130" s="1318">
        <f>DM129-DL129</f>
        <v/>
      </c>
      <c r="DN130" s="1318">
        <f>DN129-DM129</f>
        <v/>
      </c>
      <c r="DO130" s="1318">
        <f>DO129-DN129</f>
        <v/>
      </c>
      <c r="DP130" s="1318">
        <f>DP129-DO129</f>
        <v/>
      </c>
      <c r="DQ130" s="1318">
        <f>DQ129-DP129</f>
        <v/>
      </c>
      <c r="DR130" s="1318">
        <f>DR129-DQ129</f>
        <v/>
      </c>
      <c r="DS130" s="1318">
        <f>DS129-DR129</f>
        <v/>
      </c>
      <c r="DT130" s="1318">
        <f>DT129-DS129</f>
        <v/>
      </c>
      <c r="DU130" s="1318">
        <f>DU129-DT129</f>
        <v/>
      </c>
      <c r="DV130" s="1318">
        <f>DV129-DU129</f>
        <v/>
      </c>
      <c r="DW130" s="1318">
        <f>DW129-DV129</f>
        <v/>
      </c>
      <c r="DX130" s="1318">
        <f>DX129-DW129</f>
        <v/>
      </c>
      <c r="DY130" s="1318">
        <f>DY129-DX129</f>
        <v/>
      </c>
      <c r="DZ130" s="1318">
        <f>DZ129-DY129</f>
        <v/>
      </c>
      <c r="EA130" s="1318">
        <f>EA129-DZ129</f>
        <v/>
      </c>
      <c r="EB130" s="1318">
        <f>EB129-EA129</f>
        <v/>
      </c>
      <c r="EC130" s="1318">
        <f>EC129-EB129</f>
        <v/>
      </c>
      <c r="ED130" s="1318">
        <f>ED129-EC129</f>
        <v/>
      </c>
      <c r="EE130" s="1318">
        <f>EE129-ED129</f>
        <v/>
      </c>
      <c r="EF130" s="1318">
        <f>EF129-EE129</f>
        <v/>
      </c>
      <c r="EG130" s="1318">
        <f>EG129-EF129</f>
        <v/>
      </c>
      <c r="EH130" s="1318">
        <f>EH129-EG129</f>
        <v/>
      </c>
      <c r="EI130" s="1318">
        <f>EI129-EH129</f>
        <v/>
      </c>
      <c r="EJ130" s="1318">
        <f>EJ129-EI129</f>
        <v/>
      </c>
      <c r="EK130" s="1318">
        <f>EK129-EJ129</f>
        <v/>
      </c>
      <c r="EL130" s="1318">
        <f>EL129-EK129</f>
        <v/>
      </c>
      <c r="EM130" s="1318">
        <f>EM129-EL129</f>
        <v/>
      </c>
      <c r="EN130" s="1318">
        <f>EN129-EM129</f>
        <v/>
      </c>
      <c r="EO130" s="1318">
        <f>EO129-EN129</f>
        <v/>
      </c>
      <c r="EP130" s="1318">
        <f>EP129-EO129</f>
        <v/>
      </c>
      <c r="EQ130" s="1318">
        <f>EQ129-EP129</f>
        <v/>
      </c>
      <c r="ER130" s="1318">
        <f>ER129-EQ129</f>
        <v/>
      </c>
      <c r="ES130" s="1318">
        <f>ES129-ER129</f>
        <v/>
      </c>
      <c r="ET130" s="1318">
        <f>ET129-ES129</f>
        <v/>
      </c>
      <c r="EU130" s="1318">
        <f>EU129-ET129</f>
        <v/>
      </c>
      <c r="EV130" s="1318">
        <f>EV129-EU129</f>
        <v/>
      </c>
      <c r="EW130" s="1318">
        <f>EW129-EV129</f>
        <v/>
      </c>
      <c r="EX130" s="1318">
        <f>EX129-EW129</f>
        <v/>
      </c>
      <c r="EY130" s="1318">
        <f>EY129-EX129</f>
        <v/>
      </c>
      <c r="EZ130" s="1318">
        <f>EZ129-EY129</f>
        <v/>
      </c>
      <c r="FA130" s="1318">
        <f>FA129-EZ129</f>
        <v/>
      </c>
      <c r="FB130" s="1318">
        <f>FB129-FA129</f>
        <v/>
      </c>
      <c r="FC130" s="1318">
        <f>FC129-FB129</f>
        <v/>
      </c>
      <c r="FD130" s="1318">
        <f>FD129-FC129</f>
        <v/>
      </c>
      <c r="FE130" s="1318">
        <f>FE129-FD129</f>
        <v/>
      </c>
      <c r="FF130" s="1318">
        <f>FF129-FE129</f>
        <v/>
      </c>
      <c r="FG130" s="1318">
        <f>FG129-FF129</f>
        <v/>
      </c>
      <c r="FH130" s="1318">
        <f>FH129-FG129</f>
        <v/>
      </c>
      <c r="FI130" s="1318">
        <f>FI129-FH129</f>
        <v/>
      </c>
      <c r="FJ130" s="1318">
        <f>FJ129-FI129</f>
        <v/>
      </c>
      <c r="FK130" s="1318">
        <f>FK129-FJ129</f>
        <v/>
      </c>
      <c r="FL130" s="1318">
        <f>FL129-FK129</f>
        <v/>
      </c>
      <c r="FM130" s="1318">
        <f>FM129-FL129</f>
        <v/>
      </c>
      <c r="FN130" s="1318">
        <f>FN129-FM129</f>
        <v/>
      </c>
      <c r="FO130" s="1318">
        <f>FO129-FN129</f>
        <v/>
      </c>
      <c r="FP130" s="1318">
        <f>FP129-FO129</f>
        <v/>
      </c>
      <c r="FQ130" s="1318">
        <f>FQ129-FP129</f>
        <v/>
      </c>
      <c r="FR130" s="1318">
        <f>FR129-FQ129</f>
        <v/>
      </c>
      <c r="FS130" s="1318">
        <f>FS129-FR129</f>
        <v/>
      </c>
      <c r="FT130" s="1318">
        <f>FT129-FS129</f>
        <v/>
      </c>
      <c r="FU130" s="1318">
        <f>FU129-FT129</f>
        <v/>
      </c>
      <c r="FV130" s="1318">
        <f>FV129-FU129</f>
        <v/>
      </c>
      <c r="FW130" s="1318">
        <f>FW129-FV129</f>
        <v/>
      </c>
      <c r="FX130" s="1318">
        <f>FX129-FW129</f>
        <v/>
      </c>
      <c r="FY130" s="1318">
        <f>FY129-FX129</f>
        <v/>
      </c>
      <c r="FZ130" s="1318">
        <f>FZ129-FY129</f>
        <v/>
      </c>
      <c r="GA130" s="1318">
        <f>GA129-FZ129</f>
        <v/>
      </c>
      <c r="GB130" s="1318">
        <f>GB129-GA129</f>
        <v/>
      </c>
      <c r="GC130" s="1318">
        <f>GC129-GB129</f>
        <v/>
      </c>
      <c r="GD130" s="1318">
        <f>GD129-GC129</f>
        <v/>
      </c>
      <c r="GE130" s="1318">
        <f>GE129-GD129</f>
        <v/>
      </c>
      <c r="GF130" s="1318">
        <f>GF129-GE129</f>
        <v/>
      </c>
      <c r="GG130" s="1318">
        <f>GG129-GF129</f>
        <v/>
      </c>
      <c r="GH130" s="1318">
        <f>GH129-GG129</f>
        <v/>
      </c>
      <c r="GI130" s="1318">
        <f>GI129-GH129</f>
        <v/>
      </c>
      <c r="GJ130" s="1318">
        <f>GJ129-GI129</f>
        <v/>
      </c>
      <c r="GK130" s="1318">
        <f>GK129-GJ129</f>
        <v/>
      </c>
      <c r="GL130" s="1318">
        <f>GL129-GK129</f>
        <v/>
      </c>
      <c r="GM130" s="1318">
        <f>GM129-GL129</f>
        <v/>
      </c>
      <c r="GN130" s="1318">
        <f>GN129-GM129</f>
        <v/>
      </c>
      <c r="GO130" s="1318">
        <f>GO129-GN129</f>
        <v/>
      </c>
      <c r="GP130" s="1318">
        <f>GP129-GO129</f>
        <v/>
      </c>
      <c r="GQ130" s="1318">
        <f>GQ129-GP129</f>
        <v/>
      </c>
      <c r="GR130" s="1318">
        <f>GR129-GQ129</f>
        <v/>
      </c>
      <c r="GS130" s="1318">
        <f>GS129-GR129</f>
        <v/>
      </c>
      <c r="GT130" s="1318">
        <f>GT129-GS129</f>
        <v/>
      </c>
      <c r="GU130" s="1318">
        <f>GU129-GT129</f>
        <v/>
      </c>
      <c r="GV130" s="1318">
        <f>GV129-GU129</f>
        <v/>
      </c>
      <c r="GW130" s="1318">
        <f>GW129-GV129</f>
        <v/>
      </c>
      <c r="GX130" s="1318">
        <f>GX129-GW129</f>
        <v/>
      </c>
      <c r="GY130" s="1318">
        <f>GY129-GX129</f>
        <v/>
      </c>
      <c r="GZ130" s="1318">
        <f>GZ129-GY129</f>
        <v/>
      </c>
      <c r="HA130" s="1318">
        <f>HA129-GZ129</f>
        <v/>
      </c>
      <c r="HB130" s="1318">
        <f>HB129-HA129</f>
        <v/>
      </c>
      <c r="HC130" s="1318">
        <f>HC129-HB129</f>
        <v/>
      </c>
      <c r="HD130" s="1318">
        <f>HD129-HC129</f>
        <v/>
      </c>
      <c r="HE130" s="1318">
        <f>HE129-HD129</f>
        <v/>
      </c>
      <c r="HF130" s="1318">
        <f>HF129-HE129</f>
        <v/>
      </c>
      <c r="HG130" s="1318">
        <f>HG129-HF129</f>
        <v/>
      </c>
      <c r="HH130" s="1318">
        <f>HH129-HG129</f>
        <v/>
      </c>
      <c r="HI130" s="1318">
        <f>HI129-HH129</f>
        <v/>
      </c>
      <c r="HJ130" s="1318">
        <f>HJ129-HI129</f>
        <v/>
      </c>
      <c r="HK130" s="1318">
        <f>HK129-HJ129</f>
        <v/>
      </c>
      <c r="HL130" s="1318">
        <f>HL129-HK129</f>
        <v/>
      </c>
      <c r="HM130" s="1318">
        <f>HM129-HL129</f>
        <v/>
      </c>
      <c r="HN130" s="1318">
        <f>HN129-HM129</f>
        <v/>
      </c>
      <c r="HO130" s="1318">
        <f>HO129-HN129</f>
        <v/>
      </c>
      <c r="HP130" s="1318">
        <f>HP129-HO129</f>
        <v/>
      </c>
      <c r="HQ130" s="1318">
        <f>HQ129-HP129</f>
        <v/>
      </c>
      <c r="HR130" s="1318">
        <f>HR129-HQ129</f>
        <v/>
      </c>
      <c r="HS130" s="1318">
        <f>HS129-HR129</f>
        <v/>
      </c>
      <c r="HT130" s="1318">
        <f>HT129-HS129</f>
        <v/>
      </c>
      <c r="HU130" s="1318">
        <f>HU129-HT129</f>
        <v/>
      </c>
      <c r="HV130" s="1318">
        <f>HV129-HU129</f>
        <v/>
      </c>
      <c r="HW130" s="1318">
        <f>HW129-HV129</f>
        <v/>
      </c>
      <c r="HX130" s="1318">
        <f>HX129-HW129</f>
        <v/>
      </c>
      <c r="HY130" s="1318">
        <f>HY129-HX129</f>
        <v/>
      </c>
      <c r="HZ130" s="1318">
        <f>HZ129-HY129</f>
        <v/>
      </c>
      <c r="IA130" s="1318">
        <f>IA129-HZ129</f>
        <v/>
      </c>
      <c r="IB130" s="1318">
        <f>IB129-IA129</f>
        <v/>
      </c>
      <c r="IC130" s="1318">
        <f>IC129-IB129</f>
        <v/>
      </c>
      <c r="ID130" s="1318">
        <f>ID129-IC129</f>
        <v/>
      </c>
      <c r="IE130" s="1318">
        <f>IE129-ID129</f>
        <v/>
      </c>
      <c r="IF130" s="1318">
        <f>IF129-IE129</f>
        <v/>
      </c>
      <c r="IG130" s="1318">
        <f>IG129-IF129</f>
        <v/>
      </c>
      <c r="IH130" s="1318">
        <f>IH129-IG129</f>
        <v/>
      </c>
      <c r="II130" s="1318">
        <f>II129-IH129</f>
        <v/>
      </c>
      <c r="IJ130" s="1318">
        <f>IJ129-II129</f>
        <v/>
      </c>
      <c r="IK130" s="1318">
        <f>IK129-IJ129</f>
        <v/>
      </c>
      <c r="IL130" s="1318">
        <f>IL129-IK129</f>
        <v/>
      </c>
      <c r="IM130" s="1318">
        <f>IM129-IL129</f>
        <v/>
      </c>
      <c r="IN130" s="1318">
        <f>IN129-IM129</f>
        <v/>
      </c>
      <c r="IO130" s="1318">
        <f>IO129-IN129</f>
        <v/>
      </c>
      <c r="IP130" s="1318">
        <f>IP129-IO129</f>
        <v/>
      </c>
      <c r="IQ130" s="1318">
        <f>IQ129-IP129</f>
        <v/>
      </c>
      <c r="IR130" s="1318">
        <f>IR129-IQ129</f>
        <v/>
      </c>
      <c r="IS130" s="1318">
        <f>IS129-IR129</f>
        <v/>
      </c>
      <c r="IT130" s="1318">
        <f>IT129-IS129</f>
        <v/>
      </c>
      <c r="IU130" s="1318">
        <f>IU129-IT129</f>
        <v/>
      </c>
      <c r="IV130" s="1318">
        <f>IV129-IU129</f>
        <v/>
      </c>
      <c r="IW130" s="1318">
        <f>IW129-IV129</f>
        <v/>
      </c>
      <c r="IX130" s="1318">
        <f>IX129-IW129</f>
        <v/>
      </c>
      <c r="IY130" s="1318">
        <f>IY129-IX129</f>
        <v/>
      </c>
      <c r="IZ130" s="1318">
        <f>IZ129-IY129</f>
        <v/>
      </c>
      <c r="JA130" s="1318">
        <f>JA129-IZ129</f>
        <v/>
      </c>
      <c r="JB130" s="1318">
        <f>JB129-JA129</f>
        <v/>
      </c>
      <c r="JC130" s="1318">
        <f>JC129-JB129</f>
        <v/>
      </c>
      <c r="JD130" s="1318">
        <f>JD129-JC129</f>
        <v/>
      </c>
      <c r="JE130" s="1318">
        <f>JE129-JD129</f>
        <v/>
      </c>
      <c r="JF130" s="1318">
        <f>JF129-JE129</f>
        <v/>
      </c>
      <c r="JG130" s="1318">
        <f>JG129-JF129</f>
        <v/>
      </c>
      <c r="JH130" s="1318">
        <f>JH129-JG129</f>
        <v/>
      </c>
      <c r="JI130" s="1318">
        <f>JI129-JH129</f>
        <v/>
      </c>
      <c r="JJ130" s="1318">
        <f>JJ129-JI129</f>
        <v/>
      </c>
      <c r="JK130" s="1318">
        <f>JK129-JJ129</f>
        <v/>
      </c>
      <c r="JL130" s="1318">
        <f>JL129-JK129</f>
        <v/>
      </c>
      <c r="JM130" s="1318">
        <f>JM129-JL129</f>
        <v/>
      </c>
      <c r="JN130" s="1318">
        <f>JN129-JM129</f>
        <v/>
      </c>
      <c r="JO130" s="1318">
        <f>JO129-JN129</f>
        <v/>
      </c>
      <c r="JP130" s="1318">
        <f>JP129-JO129</f>
        <v/>
      </c>
      <c r="JQ130" s="1318">
        <f>JQ129-JP129</f>
        <v/>
      </c>
      <c r="JR130" s="1318">
        <f>JR129-JQ129</f>
        <v/>
      </c>
      <c r="JS130" s="1318">
        <f>JS129-JR129</f>
        <v/>
      </c>
      <c r="JT130" s="1318">
        <f>JT129-JS129</f>
        <v/>
      </c>
      <c r="JU130" s="1318">
        <f>JU129-JT129</f>
        <v/>
      </c>
      <c r="JV130" s="1318">
        <f>JV129-JU129</f>
        <v/>
      </c>
      <c r="JW130" s="1318">
        <f>JW129-JV129</f>
        <v/>
      </c>
      <c r="JX130" s="1318">
        <f>JX129-JW129</f>
        <v/>
      </c>
      <c r="JY130" s="1318">
        <f>JY129-JX129</f>
        <v/>
      </c>
      <c r="JZ130" s="1318">
        <f>JZ129-JY129</f>
        <v/>
      </c>
      <c r="KA130" s="1318">
        <f>KA129-JZ129</f>
        <v/>
      </c>
      <c r="KB130" s="1318">
        <f>KB129-KA129</f>
        <v/>
      </c>
      <c r="KC130" s="1318">
        <f>KC129-KB129</f>
        <v/>
      </c>
      <c r="KD130" s="1318">
        <f>KD129-KC129</f>
        <v/>
      </c>
      <c r="KE130" s="1318">
        <f>KE129-KD129</f>
        <v/>
      </c>
      <c r="KF130" s="1318">
        <f>KF129-KE129</f>
        <v/>
      </c>
      <c r="KG130" s="1318">
        <f>KG129-KF129</f>
        <v/>
      </c>
      <c r="KH130" s="1318">
        <f>KH129-KG129</f>
        <v/>
      </c>
      <c r="KI130" s="1318">
        <f>KI129-KH129</f>
        <v/>
      </c>
      <c r="KJ130" s="1318">
        <f>KJ129-KI129</f>
        <v/>
      </c>
      <c r="KK130" s="1318">
        <f>KK129-KJ129</f>
        <v/>
      </c>
      <c r="KL130" s="1318">
        <f>KL129-KK129</f>
        <v/>
      </c>
      <c r="KM130" s="1318">
        <f>KM129-KL129</f>
        <v/>
      </c>
      <c r="KN130" s="1318">
        <f>KN129-KM129</f>
        <v/>
      </c>
      <c r="KO130" s="1318">
        <f>KO129-KN129</f>
        <v/>
      </c>
      <c r="KP130" s="1318">
        <f>KP129-KO129</f>
        <v/>
      </c>
      <c r="KQ130" s="1318">
        <f>KQ129-KP129</f>
        <v/>
      </c>
      <c r="KR130" s="1318">
        <f>KR129-KQ129</f>
        <v/>
      </c>
      <c r="KS130" s="1318">
        <f>KS129-KR129</f>
        <v/>
      </c>
      <c r="KT130" s="1318">
        <f>KT129-KS129</f>
        <v/>
      </c>
      <c r="KU130" s="1318">
        <f>KU129-KT129</f>
        <v/>
      </c>
      <c r="KV130" s="1318">
        <f>KV129-KU129</f>
        <v/>
      </c>
      <c r="KW130" s="1318">
        <f>KW129-KV129</f>
        <v/>
      </c>
      <c r="KX130" s="1318">
        <f>KX129-KW129</f>
        <v/>
      </c>
      <c r="KY130" s="1318">
        <f>KY129-KX129</f>
        <v/>
      </c>
      <c r="KZ130" s="1318">
        <f>KZ129-KY129</f>
        <v/>
      </c>
      <c r="LA130" s="1318">
        <f>LA129-KZ129</f>
        <v/>
      </c>
      <c r="LB130" s="1318">
        <f>LB129-LA129</f>
        <v/>
      </c>
      <c r="LC130" s="1318">
        <f>LC129-LB129</f>
        <v/>
      </c>
      <c r="LD130" s="1318">
        <f>LD129-LC129</f>
        <v/>
      </c>
      <c r="LE130" s="1318">
        <f>LE129-LD129</f>
        <v/>
      </c>
      <c r="LF130" s="1318">
        <f>LF129-LE129</f>
        <v/>
      </c>
      <c r="LG130" s="1318">
        <f>LG129-LF129</f>
        <v/>
      </c>
      <c r="LH130" s="1318">
        <f>LH129-LG129</f>
        <v/>
      </c>
      <c r="LI130" s="1318">
        <f>LI129-LH129</f>
        <v/>
      </c>
      <c r="LJ130" s="1318">
        <f>LJ129-LI129</f>
        <v/>
      </c>
      <c r="LK130" s="1318">
        <f>LK129-LJ129</f>
        <v/>
      </c>
      <c r="LL130" s="1318">
        <f>LL129-LK129</f>
        <v/>
      </c>
      <c r="LM130" s="1318">
        <f>LM129-LL129</f>
        <v/>
      </c>
      <c r="LN130" s="1318">
        <f>LN129-LM129</f>
        <v/>
      </c>
      <c r="LO130" s="1318">
        <f>LO129-LN129</f>
        <v/>
      </c>
      <c r="LP130" s="1318">
        <f>LP129-LO129</f>
        <v/>
      </c>
      <c r="LQ130" s="1318">
        <f>LQ129-LP129</f>
        <v/>
      </c>
      <c r="LR130" s="1318">
        <f>LR129-LQ129</f>
        <v/>
      </c>
      <c r="LS130" s="1318">
        <f>LS129-LR129</f>
        <v/>
      </c>
    </row>
    <row r="131">
      <c r="A131" s="885" t="inlineStr">
        <is>
          <t>YoY pointsCg %</t>
        </is>
      </c>
      <c r="B131" s="1318" t="n"/>
      <c r="C131" s="1318" t="n"/>
      <c r="D131" s="1318" t="n"/>
      <c r="E131" s="1318" t="n"/>
      <c r="F131" s="1318" t="n"/>
      <c r="G131" s="1318" t="n"/>
      <c r="H131" s="1318" t="n"/>
      <c r="I131" s="1318" t="n"/>
      <c r="J131" s="1318" t="n"/>
      <c r="K131" s="1318" t="n"/>
      <c r="L131" s="1318" t="n"/>
      <c r="M131" s="1318" t="n"/>
      <c r="N131" s="1318">
        <f>N129-B129</f>
        <v/>
      </c>
      <c r="O131" s="1318">
        <f>O129-C129</f>
        <v/>
      </c>
      <c r="P131" s="1318">
        <f>P129-D129</f>
        <v/>
      </c>
      <c r="Q131" s="1318">
        <f>Q129-E129</f>
        <v/>
      </c>
      <c r="R131" s="1318">
        <f>R129-F129</f>
        <v/>
      </c>
      <c r="S131" s="1318">
        <f>S129-G129</f>
        <v/>
      </c>
      <c r="T131" s="1318">
        <f>T129-H129</f>
        <v/>
      </c>
      <c r="U131" s="1318">
        <f>U129-I129</f>
        <v/>
      </c>
      <c r="V131" s="1318">
        <f>V129-J129</f>
        <v/>
      </c>
      <c r="W131" s="1318">
        <f>W129-K129</f>
        <v/>
      </c>
      <c r="X131" s="1318">
        <f>X129-L129</f>
        <v/>
      </c>
      <c r="Y131" s="1318">
        <f>Y129-M129</f>
        <v/>
      </c>
      <c r="Z131" s="1318">
        <f>Z129-N129</f>
        <v/>
      </c>
      <c r="AA131" s="1318">
        <f>AA129-O129</f>
        <v/>
      </c>
      <c r="AB131" s="1318">
        <f>AB129-P129</f>
        <v/>
      </c>
      <c r="AC131" s="1318">
        <f>AC129-Q129</f>
        <v/>
      </c>
      <c r="AD131" s="1318">
        <f>AD129-R129</f>
        <v/>
      </c>
      <c r="AE131" s="1318">
        <f>AE129-S129</f>
        <v/>
      </c>
      <c r="AF131" s="1318">
        <f>AF129-T129</f>
        <v/>
      </c>
      <c r="AG131" s="1318">
        <f>AG129-U129</f>
        <v/>
      </c>
      <c r="AH131" s="1318">
        <f>AH129-V129</f>
        <v/>
      </c>
      <c r="AI131" s="1318">
        <f>AI129-W129</f>
        <v/>
      </c>
      <c r="AJ131" s="1318">
        <f>AJ129-X129</f>
        <v/>
      </c>
      <c r="AK131" s="1318">
        <f>AK129-Y129</f>
        <v/>
      </c>
      <c r="AL131" s="1318">
        <f>AL129-Z129</f>
        <v/>
      </c>
      <c r="AM131" s="1318">
        <f>AM129-AA129</f>
        <v/>
      </c>
      <c r="AN131" s="1318">
        <f>AN129-AB129</f>
        <v/>
      </c>
      <c r="AO131" s="1318">
        <f>AO129-AC129</f>
        <v/>
      </c>
      <c r="AP131" s="1318">
        <f>AP129-AD129</f>
        <v/>
      </c>
      <c r="AQ131" s="1318">
        <f>AQ129-AE129</f>
        <v/>
      </c>
      <c r="AR131" s="1318">
        <f>AR129-AF129</f>
        <v/>
      </c>
      <c r="AS131" s="1318">
        <f>AS129-AG129</f>
        <v/>
      </c>
      <c r="AT131" s="1318">
        <f>AT129-AH129</f>
        <v/>
      </c>
      <c r="AU131" s="1318">
        <f>AU129-AI129</f>
        <v/>
      </c>
      <c r="AV131" s="1318">
        <f>AV129-AJ129</f>
        <v/>
      </c>
      <c r="AW131" s="1318">
        <f>AW129-AK129</f>
        <v/>
      </c>
      <c r="AX131" s="1318">
        <f>AX129-AL129</f>
        <v/>
      </c>
      <c r="AY131" s="1318">
        <f>AY129-AM129</f>
        <v/>
      </c>
      <c r="AZ131" s="1318">
        <f>AZ129-AN129</f>
        <v/>
      </c>
      <c r="BA131" s="1318">
        <f>BA129-AO129</f>
        <v/>
      </c>
      <c r="BB131" s="1318">
        <f>BB129-AP129</f>
        <v/>
      </c>
      <c r="BC131" s="1318">
        <f>BC129-AQ129</f>
        <v/>
      </c>
      <c r="BD131" s="1318">
        <f>BD129-AR129</f>
        <v/>
      </c>
      <c r="BE131" s="1318">
        <f>BE129-AS129</f>
        <v/>
      </c>
      <c r="BF131" s="1318">
        <f>BF129-AT129</f>
        <v/>
      </c>
      <c r="BG131" s="1318">
        <f>BG129-AU129</f>
        <v/>
      </c>
      <c r="BH131" s="1318">
        <f>BH129-AV129</f>
        <v/>
      </c>
      <c r="BI131" s="1318">
        <f>BI129-AW129</f>
        <v/>
      </c>
      <c r="BJ131" s="1318">
        <f>BJ129-AX129</f>
        <v/>
      </c>
      <c r="BK131" s="1318">
        <f>BK129-AY129</f>
        <v/>
      </c>
      <c r="BL131" s="1318">
        <f>BL129-AZ129</f>
        <v/>
      </c>
      <c r="BM131" s="1318">
        <f>BM129-BA129</f>
        <v/>
      </c>
      <c r="BN131" s="1318">
        <f>BN129-BB129</f>
        <v/>
      </c>
      <c r="BO131" s="1318">
        <f>BO129-BC129</f>
        <v/>
      </c>
      <c r="BP131" s="1318">
        <f>BP129-BD129</f>
        <v/>
      </c>
      <c r="BQ131" s="1318">
        <f>BQ129-BE129</f>
        <v/>
      </c>
      <c r="BR131" s="1318">
        <f>BR129-BF129</f>
        <v/>
      </c>
      <c r="BS131" s="1318">
        <f>BS129-BG129</f>
        <v/>
      </c>
      <c r="BT131" s="1318">
        <f>BT129-BH129</f>
        <v/>
      </c>
      <c r="BU131" s="1318">
        <f>BU129-BI129</f>
        <v/>
      </c>
      <c r="BV131" s="1318">
        <f>BV129-BJ129</f>
        <v/>
      </c>
      <c r="BW131" s="1318">
        <f>BW129-BK129</f>
        <v/>
      </c>
      <c r="BX131" s="1318">
        <f>BX129-BL129</f>
        <v/>
      </c>
      <c r="BY131" s="1318">
        <f>BY129-BM129</f>
        <v/>
      </c>
      <c r="BZ131" s="1318">
        <f>BZ129-BN129</f>
        <v/>
      </c>
      <c r="CA131" s="1318">
        <f>CA129-BO129</f>
        <v/>
      </c>
      <c r="CB131" s="1318">
        <f>CB129-BP129</f>
        <v/>
      </c>
      <c r="CC131" s="1318">
        <f>CC129-BQ129</f>
        <v/>
      </c>
      <c r="CD131" s="1318">
        <f>CD129-BR129</f>
        <v/>
      </c>
      <c r="CE131" s="1318">
        <f>CE129-BS129</f>
        <v/>
      </c>
      <c r="CF131" s="1318">
        <f>CF129-BT129</f>
        <v/>
      </c>
      <c r="CG131" s="1318">
        <f>CG129-BU129</f>
        <v/>
      </c>
      <c r="CH131" s="1318">
        <f>CH129-BV129</f>
        <v/>
      </c>
      <c r="CI131" s="1318">
        <f>CI129-BW129</f>
        <v/>
      </c>
      <c r="CJ131" s="1318">
        <f>CJ129-BX129</f>
        <v/>
      </c>
      <c r="CK131" s="1318">
        <f>CK129-BY129</f>
        <v/>
      </c>
      <c r="CL131" s="1318">
        <f>CL129-BZ129</f>
        <v/>
      </c>
      <c r="CM131" s="1318">
        <f>CM129-CA129</f>
        <v/>
      </c>
      <c r="CN131" s="1318">
        <f>CN129-CB129</f>
        <v/>
      </c>
      <c r="CO131" s="1318">
        <f>CO129-CC129</f>
        <v/>
      </c>
      <c r="CP131" s="1318">
        <f>CP129-CD129</f>
        <v/>
      </c>
      <c r="CQ131" s="1318">
        <f>CQ129-CE129</f>
        <v/>
      </c>
      <c r="CR131" s="1318">
        <f>CR129-CF129</f>
        <v/>
      </c>
      <c r="CS131" s="1318">
        <f>CS129-CG129</f>
        <v/>
      </c>
      <c r="CT131" s="1318">
        <f>CT129-CH129</f>
        <v/>
      </c>
      <c r="CU131" s="1318">
        <f>CU129-CI129</f>
        <v/>
      </c>
      <c r="CV131" s="1318">
        <f>CV129-CJ129</f>
        <v/>
      </c>
      <c r="CW131" s="1318">
        <f>CW129-CK129</f>
        <v/>
      </c>
      <c r="CX131" s="1318">
        <f>CX129-CL129</f>
        <v/>
      </c>
      <c r="CY131" s="1318">
        <f>CY129-CM129</f>
        <v/>
      </c>
      <c r="CZ131" s="1318">
        <f>CZ129-CN129</f>
        <v/>
      </c>
      <c r="DA131" s="1318">
        <f>DA129-CO129</f>
        <v/>
      </c>
      <c r="DB131" s="1318">
        <f>DB129-CP129</f>
        <v/>
      </c>
      <c r="DC131" s="1318">
        <f>DC129-CQ129</f>
        <v/>
      </c>
      <c r="DD131" s="1318">
        <f>DD129-CR129</f>
        <v/>
      </c>
      <c r="DE131" s="1318">
        <f>DE129-CS129</f>
        <v/>
      </c>
      <c r="DF131" s="1318">
        <f>DF129-CT129</f>
        <v/>
      </c>
      <c r="DG131" s="1318">
        <f>DG129-CU129</f>
        <v/>
      </c>
      <c r="DH131" s="1318">
        <f>DH129-CV129</f>
        <v/>
      </c>
      <c r="DI131" s="1318">
        <f>DI129-CW129</f>
        <v/>
      </c>
      <c r="DJ131" s="1318">
        <f>DJ129-CX129</f>
        <v/>
      </c>
      <c r="DK131" s="1318">
        <f>DK129-CY129</f>
        <v/>
      </c>
      <c r="DL131" s="1318">
        <f>DL129-CZ129</f>
        <v/>
      </c>
      <c r="DM131" s="1318">
        <f>DM129-DA129</f>
        <v/>
      </c>
      <c r="DN131" s="1318">
        <f>DN129-DB129</f>
        <v/>
      </c>
      <c r="DO131" s="1318">
        <f>DO129-DC129</f>
        <v/>
      </c>
      <c r="DP131" s="1318">
        <f>DP129-DD129</f>
        <v/>
      </c>
      <c r="DQ131" s="1318">
        <f>DQ129-DE129</f>
        <v/>
      </c>
      <c r="DR131" s="1318">
        <f>DR129-DF129</f>
        <v/>
      </c>
      <c r="DS131" s="1318">
        <f>DS129-DG129</f>
        <v/>
      </c>
      <c r="DT131" s="1318">
        <f>DT129-DH129</f>
        <v/>
      </c>
      <c r="DU131" s="1318">
        <f>DU129-DI129</f>
        <v/>
      </c>
      <c r="DV131" s="1318">
        <f>DV129-DJ129</f>
        <v/>
      </c>
      <c r="DW131" s="1318">
        <f>DW129-DK129</f>
        <v/>
      </c>
      <c r="DX131" s="1318">
        <f>DX129-DL129</f>
        <v/>
      </c>
      <c r="DY131" s="1318">
        <f>DY129-DM129</f>
        <v/>
      </c>
      <c r="DZ131" s="1318">
        <f>DZ129-DN129</f>
        <v/>
      </c>
      <c r="EA131" s="1318">
        <f>EA129-DO129</f>
        <v/>
      </c>
      <c r="EB131" s="1318">
        <f>EB129-DP129</f>
        <v/>
      </c>
      <c r="EC131" s="1318">
        <f>EC129-DQ129</f>
        <v/>
      </c>
      <c r="ED131" s="1318">
        <f>ED129-DR129</f>
        <v/>
      </c>
      <c r="EE131" s="1318">
        <f>EE129-DS129</f>
        <v/>
      </c>
      <c r="EF131" s="1318">
        <f>EF129-DT129</f>
        <v/>
      </c>
      <c r="EG131" s="1318">
        <f>EG129-DU129</f>
        <v/>
      </c>
      <c r="EH131" s="1318">
        <f>EH129-DV129</f>
        <v/>
      </c>
      <c r="EI131" s="1318">
        <f>EI129-DW129</f>
        <v/>
      </c>
      <c r="EJ131" s="1318">
        <f>EJ129-DX129</f>
        <v/>
      </c>
      <c r="EK131" s="1318">
        <f>EK129-DY129</f>
        <v/>
      </c>
      <c r="EL131" s="1318">
        <f>EL129-DZ129</f>
        <v/>
      </c>
      <c r="EM131" s="1318">
        <f>EM129-EA129</f>
        <v/>
      </c>
      <c r="EN131" s="1318">
        <f>EN129-EB129</f>
        <v/>
      </c>
      <c r="EO131" s="1318">
        <f>EO129-EC129</f>
        <v/>
      </c>
      <c r="EP131" s="1318">
        <f>EP129-ED129</f>
        <v/>
      </c>
      <c r="EQ131" s="1318">
        <f>EQ129-EE129</f>
        <v/>
      </c>
      <c r="ER131" s="1318">
        <f>ER129-EF129</f>
        <v/>
      </c>
      <c r="ES131" s="1318">
        <f>ES129-EG129</f>
        <v/>
      </c>
      <c r="ET131" s="1318">
        <f>ET129-EH129</f>
        <v/>
      </c>
      <c r="EU131" s="1318">
        <f>EU129-EI129</f>
        <v/>
      </c>
      <c r="EV131" s="1318">
        <f>EV129-EJ129</f>
        <v/>
      </c>
      <c r="EW131" s="1318">
        <f>EW129-EK129</f>
        <v/>
      </c>
      <c r="EX131" s="1318">
        <f>EX129-EL129</f>
        <v/>
      </c>
      <c r="EY131" s="1318">
        <f>EY129-EM129</f>
        <v/>
      </c>
      <c r="EZ131" s="1318">
        <f>EZ129-EN129</f>
        <v/>
      </c>
      <c r="FA131" s="1318">
        <f>FA129-EO129</f>
        <v/>
      </c>
      <c r="FB131" s="1318">
        <f>FB129-EP129</f>
        <v/>
      </c>
      <c r="FC131" s="1318">
        <f>FC129-EQ129</f>
        <v/>
      </c>
      <c r="FD131" s="1318">
        <f>FD129-ER129</f>
        <v/>
      </c>
      <c r="FE131" s="1318">
        <f>FE129-ES129</f>
        <v/>
      </c>
      <c r="FF131" s="1318">
        <f>FF129-ET129</f>
        <v/>
      </c>
      <c r="FG131" s="1318">
        <f>FG129-EU129</f>
        <v/>
      </c>
      <c r="FH131" s="1318">
        <f>FH129-EV129</f>
        <v/>
      </c>
      <c r="FI131" s="1318">
        <f>FI129-EW129</f>
        <v/>
      </c>
      <c r="FJ131" s="1318">
        <f>FJ129-EX129</f>
        <v/>
      </c>
      <c r="FK131" s="1318">
        <f>FK129-EY129</f>
        <v/>
      </c>
      <c r="FL131" s="1318">
        <f>FL129-EZ129</f>
        <v/>
      </c>
      <c r="FM131" s="1318">
        <f>FM129-FA129</f>
        <v/>
      </c>
      <c r="FN131" s="1318">
        <f>FN129-FB129</f>
        <v/>
      </c>
      <c r="FO131" s="1318">
        <f>FO129-FC129</f>
        <v/>
      </c>
      <c r="FP131" s="1318">
        <f>FP129-FD129</f>
        <v/>
      </c>
      <c r="FQ131" s="1318">
        <f>FQ129-FE129</f>
        <v/>
      </c>
      <c r="FR131" s="1318">
        <f>FR129-FF129</f>
        <v/>
      </c>
      <c r="FS131" s="1318">
        <f>FS129-FG129</f>
        <v/>
      </c>
      <c r="FT131" s="1318">
        <f>FT129-FH129</f>
        <v/>
      </c>
      <c r="FU131" s="1318">
        <f>FU129-FI129</f>
        <v/>
      </c>
      <c r="FV131" s="1318">
        <f>FV129-FJ129</f>
        <v/>
      </c>
      <c r="FW131" s="1318">
        <f>FW129-FK129</f>
        <v/>
      </c>
      <c r="FX131" s="1318">
        <f>FX129-FL129</f>
        <v/>
      </c>
      <c r="FY131" s="1318">
        <f>FY129-FM129</f>
        <v/>
      </c>
      <c r="FZ131" s="1318">
        <f>FZ129-FN129</f>
        <v/>
      </c>
      <c r="GA131" s="1318">
        <f>GA129-FO129</f>
        <v/>
      </c>
      <c r="GB131" s="1318">
        <f>GB129-FP129</f>
        <v/>
      </c>
      <c r="GC131" s="1318">
        <f>GC129-FQ129</f>
        <v/>
      </c>
      <c r="GD131" s="1318">
        <f>GD129-FR129</f>
        <v/>
      </c>
      <c r="GE131" s="1318">
        <f>GE129-FS129</f>
        <v/>
      </c>
      <c r="GF131" s="1318">
        <f>GF129-FT129</f>
        <v/>
      </c>
      <c r="GG131" s="1318">
        <f>GG129-FU129</f>
        <v/>
      </c>
      <c r="GH131" s="1318">
        <f>GH129-FV129</f>
        <v/>
      </c>
      <c r="GI131" s="1318">
        <f>GI129-FW129</f>
        <v/>
      </c>
      <c r="GJ131" s="1318">
        <f>GJ129-FX129</f>
        <v/>
      </c>
      <c r="GK131" s="1318">
        <f>GK129-FY129</f>
        <v/>
      </c>
      <c r="GL131" s="1318">
        <f>GL129-FZ129</f>
        <v/>
      </c>
      <c r="GM131" s="1318">
        <f>GM129-GA129</f>
        <v/>
      </c>
      <c r="GN131" s="1318">
        <f>GN129-GB129</f>
        <v/>
      </c>
      <c r="GO131" s="1318">
        <f>GO129-GC129</f>
        <v/>
      </c>
      <c r="GP131" s="1318">
        <f>GP129-GD129</f>
        <v/>
      </c>
      <c r="GQ131" s="1318">
        <f>GQ129-GE129</f>
        <v/>
      </c>
      <c r="GR131" s="1318">
        <f>GR129-GF129</f>
        <v/>
      </c>
      <c r="GS131" s="1318">
        <f>GS129-GG129</f>
        <v/>
      </c>
      <c r="GT131" s="1318">
        <f>GT129-GH129</f>
        <v/>
      </c>
      <c r="GU131" s="1318">
        <f>GU129-GI129</f>
        <v/>
      </c>
      <c r="GV131" s="1318">
        <f>GV129-GJ129</f>
        <v/>
      </c>
      <c r="GW131" s="1318">
        <f>GW129-GK129</f>
        <v/>
      </c>
      <c r="GX131" s="1318">
        <f>GX129-GL129</f>
        <v/>
      </c>
      <c r="GY131" s="1318">
        <f>GY129-GM129</f>
        <v/>
      </c>
      <c r="GZ131" s="1318">
        <f>GZ129-GN129</f>
        <v/>
      </c>
      <c r="HA131" s="1318">
        <f>HA129-GO129</f>
        <v/>
      </c>
      <c r="HB131" s="1318">
        <f>HB129-GP129</f>
        <v/>
      </c>
      <c r="HC131" s="1318">
        <f>HC129-GQ129</f>
        <v/>
      </c>
      <c r="HD131" s="1318">
        <f>HD129-GR129</f>
        <v/>
      </c>
      <c r="HE131" s="1318">
        <f>HE129-GS129</f>
        <v/>
      </c>
      <c r="HF131" s="1318">
        <f>HF129-GT129</f>
        <v/>
      </c>
      <c r="HG131" s="1318">
        <f>HG129-GU129</f>
        <v/>
      </c>
      <c r="HH131" s="1318">
        <f>HH129-GV129</f>
        <v/>
      </c>
      <c r="HI131" s="1318">
        <f>HI129-GW129</f>
        <v/>
      </c>
      <c r="HJ131" s="1318">
        <f>HJ129-GX129</f>
        <v/>
      </c>
      <c r="HK131" s="1318">
        <f>HK129-GY129</f>
        <v/>
      </c>
      <c r="HL131" s="1318">
        <f>HL129-GZ129</f>
        <v/>
      </c>
      <c r="HM131" s="1318">
        <f>HM129-HA129</f>
        <v/>
      </c>
      <c r="HN131" s="1318">
        <f>HN129-HB129</f>
        <v/>
      </c>
      <c r="HO131" s="1318">
        <f>HO129-HC129</f>
        <v/>
      </c>
      <c r="HP131" s="1318">
        <f>HP129-HD129</f>
        <v/>
      </c>
      <c r="HQ131" s="1318">
        <f>HQ129-HE129</f>
        <v/>
      </c>
      <c r="HR131" s="1318">
        <f>HR129-HF129</f>
        <v/>
      </c>
      <c r="HS131" s="1318">
        <f>HS129-HG129</f>
        <v/>
      </c>
      <c r="HT131" s="1318">
        <f>HT129-HH129</f>
        <v/>
      </c>
      <c r="HU131" s="1318">
        <f>HU129-HI129</f>
        <v/>
      </c>
      <c r="HV131" s="1318">
        <f>HV129-HJ129</f>
        <v/>
      </c>
      <c r="HW131" s="1318">
        <f>HW129-HK129</f>
        <v/>
      </c>
      <c r="HX131" s="1318">
        <f>HX129-HL129</f>
        <v/>
      </c>
      <c r="HY131" s="1318">
        <f>HY129-HM129</f>
        <v/>
      </c>
      <c r="HZ131" s="1318">
        <f>HZ129-HN129</f>
        <v/>
      </c>
      <c r="IA131" s="1318">
        <f>IA129-HO129</f>
        <v/>
      </c>
      <c r="IB131" s="1318">
        <f>IB129-HP129</f>
        <v/>
      </c>
      <c r="IC131" s="1318">
        <f>IC129-HQ129</f>
        <v/>
      </c>
      <c r="ID131" s="1318">
        <f>ID129-HR129</f>
        <v/>
      </c>
      <c r="IE131" s="1318">
        <f>IE129-HS129</f>
        <v/>
      </c>
      <c r="IF131" s="1318">
        <f>IF129-HT129</f>
        <v/>
      </c>
      <c r="IG131" s="1318">
        <f>IG129-HU129</f>
        <v/>
      </c>
      <c r="IH131" s="1318">
        <f>IH129-HV129</f>
        <v/>
      </c>
      <c r="II131" s="1318">
        <f>II129-HW129</f>
        <v/>
      </c>
      <c r="IJ131" s="1318">
        <f>IJ129-HX129</f>
        <v/>
      </c>
      <c r="IK131" s="1318">
        <f>IK129-HY129</f>
        <v/>
      </c>
      <c r="IL131" s="1318">
        <f>IL129-HZ129</f>
        <v/>
      </c>
      <c r="IM131" s="1318">
        <f>IM129-IA129</f>
        <v/>
      </c>
      <c r="IN131" s="1318">
        <f>IN129-IB129</f>
        <v/>
      </c>
      <c r="IO131" s="1318">
        <f>IO129-IC129</f>
        <v/>
      </c>
      <c r="IP131" s="1318">
        <f>IP129-ID129</f>
        <v/>
      </c>
      <c r="IQ131" s="1318">
        <f>IQ129-IE129</f>
        <v/>
      </c>
      <c r="IR131" s="1318">
        <f>IR129-IF129</f>
        <v/>
      </c>
      <c r="IS131" s="1318">
        <f>IS129-IG129</f>
        <v/>
      </c>
      <c r="IT131" s="1318">
        <f>IT129-IH129</f>
        <v/>
      </c>
      <c r="IU131" s="1318">
        <f>IU129-II129</f>
        <v/>
      </c>
      <c r="IV131" s="1318">
        <f>IV129-IJ129</f>
        <v/>
      </c>
      <c r="IW131" s="1318">
        <f>IW129-IK129</f>
        <v/>
      </c>
      <c r="IX131" s="1318">
        <f>IX129-IL129</f>
        <v/>
      </c>
      <c r="IY131" s="1318">
        <f>IY129-IM129</f>
        <v/>
      </c>
      <c r="IZ131" s="1318">
        <f>IZ129-IN129</f>
        <v/>
      </c>
      <c r="JA131" s="1318">
        <f>JA129-IO129</f>
        <v/>
      </c>
      <c r="JB131" s="1318">
        <f>JB129-IP129</f>
        <v/>
      </c>
      <c r="JC131" s="1318">
        <f>JC129-IQ129</f>
        <v/>
      </c>
      <c r="JD131" s="1318">
        <f>JD129-IR129</f>
        <v/>
      </c>
      <c r="JE131" s="1318">
        <f>JE129-IS129</f>
        <v/>
      </c>
      <c r="JF131" s="1318">
        <f>JF129-IT129</f>
        <v/>
      </c>
      <c r="JG131" s="1318">
        <f>JG129-IU129</f>
        <v/>
      </c>
      <c r="JH131" s="1318">
        <f>JH129-IV129</f>
        <v/>
      </c>
      <c r="JI131" s="1318">
        <f>JI129-IW129</f>
        <v/>
      </c>
      <c r="JJ131" s="1318">
        <f>JJ129-IX129</f>
        <v/>
      </c>
      <c r="JK131" s="1318">
        <f>JK129-IY129</f>
        <v/>
      </c>
      <c r="JL131" s="1318">
        <f>JL129-IZ129</f>
        <v/>
      </c>
      <c r="JM131" s="1318">
        <f>JM129-JA129</f>
        <v/>
      </c>
      <c r="JN131" s="1318">
        <f>JN129-JB129</f>
        <v/>
      </c>
      <c r="JO131" s="1318">
        <f>JO129-JC129</f>
        <v/>
      </c>
      <c r="JP131" s="1318">
        <f>JP129-JD129</f>
        <v/>
      </c>
      <c r="JQ131" s="1318">
        <f>JQ129-JE129</f>
        <v/>
      </c>
      <c r="JR131" s="1318">
        <f>JR129-JF129</f>
        <v/>
      </c>
      <c r="JS131" s="1318">
        <f>JS129-JG129</f>
        <v/>
      </c>
      <c r="JT131" s="1318">
        <f>JT129-JH129</f>
        <v/>
      </c>
      <c r="JU131" s="1318">
        <f>JU129-JI129</f>
        <v/>
      </c>
      <c r="JV131" s="1318">
        <f>JV129-JJ129</f>
        <v/>
      </c>
      <c r="JW131" s="1318">
        <f>JW129-JK129</f>
        <v/>
      </c>
      <c r="JX131" s="1318">
        <f>JX129-JL129</f>
        <v/>
      </c>
      <c r="JY131" s="1318">
        <f>JY129-JM129</f>
        <v/>
      </c>
      <c r="JZ131" s="1318">
        <f>JZ129-JN129</f>
        <v/>
      </c>
      <c r="KA131" s="1318">
        <f>KA129-JO129</f>
        <v/>
      </c>
      <c r="KB131" s="1318">
        <f>KB129-JP129</f>
        <v/>
      </c>
      <c r="KC131" s="1318">
        <f>KC129-JQ129</f>
        <v/>
      </c>
      <c r="KD131" s="1318">
        <f>KD129-JR129</f>
        <v/>
      </c>
      <c r="KE131" s="1318">
        <f>KE129-JS129</f>
        <v/>
      </c>
      <c r="KF131" s="1318">
        <f>KF129-JT129</f>
        <v/>
      </c>
      <c r="KG131" s="1318">
        <f>KG129-JU129</f>
        <v/>
      </c>
      <c r="KH131" s="1318">
        <f>KH129-JV129</f>
        <v/>
      </c>
      <c r="KI131" s="1318">
        <f>KI129-JW129</f>
        <v/>
      </c>
      <c r="KJ131" s="1318">
        <f>KJ129-JX129</f>
        <v/>
      </c>
      <c r="KK131" s="1318">
        <f>KK129-JY129</f>
        <v/>
      </c>
      <c r="KL131" s="1318">
        <f>KL129-JZ129</f>
        <v/>
      </c>
      <c r="KM131" s="1318">
        <f>KM129-KA129</f>
        <v/>
      </c>
      <c r="KN131" s="1318">
        <f>KN129-KB129</f>
        <v/>
      </c>
      <c r="KO131" s="1318">
        <f>KO129-KC129</f>
        <v/>
      </c>
      <c r="KP131" s="1318">
        <f>KP129-KD129</f>
        <v/>
      </c>
      <c r="KQ131" s="1318">
        <f>KQ129-KE129</f>
        <v/>
      </c>
      <c r="KR131" s="1318">
        <f>KR129-KF129</f>
        <v/>
      </c>
      <c r="KS131" s="1318">
        <f>KS129-KG129</f>
        <v/>
      </c>
      <c r="KT131" s="1318">
        <f>KT129-KH129</f>
        <v/>
      </c>
      <c r="KU131" s="1318">
        <f>KU129-KI129</f>
        <v/>
      </c>
      <c r="KV131" s="1318">
        <f>KV129-KJ129</f>
        <v/>
      </c>
      <c r="KW131" s="1318">
        <f>KW129-KK129</f>
        <v/>
      </c>
      <c r="KX131" s="1318">
        <f>KX129-KL129</f>
        <v/>
      </c>
      <c r="KY131" s="1318">
        <f>KY129-KM129</f>
        <v/>
      </c>
      <c r="KZ131" s="1318">
        <f>KZ129-KN129</f>
        <v/>
      </c>
      <c r="LA131" s="1318">
        <f>LA129-KO129</f>
        <v/>
      </c>
      <c r="LB131" s="1318">
        <f>LB129-KP129</f>
        <v/>
      </c>
      <c r="LC131" s="1318">
        <f>LC129-KQ129</f>
        <v/>
      </c>
      <c r="LD131" s="1318">
        <f>LD129-KR129</f>
        <v/>
      </c>
      <c r="LE131" s="1318">
        <f>LE129-KS129</f>
        <v/>
      </c>
      <c r="LF131" s="1318">
        <f>LF129-KT129</f>
        <v/>
      </c>
      <c r="LG131" s="1318">
        <f>LG129-KU129</f>
        <v/>
      </c>
      <c r="LH131" s="1318">
        <f>LH129-KV129</f>
        <v/>
      </c>
      <c r="LI131" s="1318">
        <f>LI129-KW129</f>
        <v/>
      </c>
      <c r="LJ131" s="1318">
        <f>LJ129-KX129</f>
        <v/>
      </c>
      <c r="LK131" s="1318">
        <f>LK129-KY129</f>
        <v/>
      </c>
      <c r="LL131" s="1318">
        <f>LL129-KZ129</f>
        <v/>
      </c>
      <c r="LM131" s="1318">
        <f>LM129-LA129</f>
        <v/>
      </c>
      <c r="LN131" s="1318">
        <f>LN129-LB129</f>
        <v/>
      </c>
      <c r="LO131" s="1318">
        <f>LO129-LC129</f>
        <v/>
      </c>
      <c r="LP131" s="1318">
        <f>LP129-LD129</f>
        <v/>
      </c>
      <c r="LQ131" s="1318">
        <f>LQ129-LE129</f>
        <v/>
      </c>
      <c r="LR131" s="1318">
        <f>LR129-LF129</f>
        <v/>
      </c>
      <c r="LS131" s="1318">
        <f>LS129-LG129</f>
        <v/>
      </c>
    </row>
    <row r="132">
      <c r="A132" s="885" t="inlineStr">
        <is>
          <t>YTD</t>
        </is>
      </c>
      <c r="B132" s="1318" t="n"/>
      <c r="C132" s="1318" t="n"/>
      <c r="D132" s="1318" t="n"/>
      <c r="E132" s="1318" t="n"/>
      <c r="F132" s="1318" t="n"/>
      <c r="G132" s="1318" t="n"/>
      <c r="H132" s="1318" t="n"/>
      <c r="I132" s="1318" t="n"/>
      <c r="J132" s="1318" t="n"/>
      <c r="K132" s="1318" t="n"/>
      <c r="L132" s="1318" t="n"/>
      <c r="M132" s="1318" t="n"/>
      <c r="N132" s="1318">
        <f>SUMIFS(76:76,$8:$8,"&gt;="&amp;DATE(YEAR(N$8),1,1),$8:$8,"&lt;="&amp;EOMONTH(N$8,0))/SUMIFS(40:40,$8:$8,"&gt;="&amp;DATE(YEAR(N$8),1,1),$8:$8,"&lt;="&amp;EOMONTH(N$8,0))</f>
        <v/>
      </c>
      <c r="O132" s="1318">
        <f>SUMIFS(76:76,$8:$8,"&gt;="&amp;DATE(YEAR(O$8),1,1),$8:$8,"&lt;="&amp;EOMONTH(O$8,0))/SUMIFS(40:40,$8:$8,"&gt;="&amp;DATE(YEAR(O$8),1,1),$8:$8,"&lt;="&amp;EOMONTH(O$8,0))</f>
        <v/>
      </c>
      <c r="P132" s="1318">
        <f>SUMIFS(76:76,$8:$8,"&gt;="&amp;DATE(YEAR(P$8),1,1),$8:$8,"&lt;="&amp;EOMONTH(P$8,0))/SUMIFS(40:40,$8:$8,"&gt;="&amp;DATE(YEAR(P$8),1,1),$8:$8,"&lt;="&amp;EOMONTH(P$8,0))</f>
        <v/>
      </c>
      <c r="Q132" s="1318">
        <f>SUMIFS(76:76,$8:$8,"&gt;="&amp;DATE(YEAR(Q$8),1,1),$8:$8,"&lt;="&amp;EOMONTH(Q$8,0))/SUMIFS(40:40,$8:$8,"&gt;="&amp;DATE(YEAR(Q$8),1,1),$8:$8,"&lt;="&amp;EOMONTH(Q$8,0))</f>
        <v/>
      </c>
      <c r="R132" s="1318">
        <f>SUMIFS(76:76,$8:$8,"&gt;="&amp;DATE(YEAR(R$8),1,1),$8:$8,"&lt;="&amp;EOMONTH(R$8,0))/SUMIFS(40:40,$8:$8,"&gt;="&amp;DATE(YEAR(R$8),1,1),$8:$8,"&lt;="&amp;EOMONTH(R$8,0))</f>
        <v/>
      </c>
      <c r="S132" s="1318">
        <f>SUMIFS(76:76,$8:$8,"&gt;="&amp;DATE(YEAR(S$8),1,1),$8:$8,"&lt;="&amp;EOMONTH(S$8,0))/SUMIFS(40:40,$8:$8,"&gt;="&amp;DATE(YEAR(S$8),1,1),$8:$8,"&lt;="&amp;EOMONTH(S$8,0))</f>
        <v/>
      </c>
      <c r="T132" s="1318">
        <f>SUMIFS(76:76,$8:$8,"&gt;="&amp;DATE(YEAR(T$8),1,1),$8:$8,"&lt;="&amp;EOMONTH(T$8,0))/SUMIFS(40:40,$8:$8,"&gt;="&amp;DATE(YEAR(T$8),1,1),$8:$8,"&lt;="&amp;EOMONTH(T$8,0))</f>
        <v/>
      </c>
      <c r="U132" s="1318">
        <f>SUMIFS(76:76,$8:$8,"&gt;="&amp;DATE(YEAR(U$8),1,1),$8:$8,"&lt;="&amp;EOMONTH(U$8,0))/SUMIFS(40:40,$8:$8,"&gt;="&amp;DATE(YEAR(U$8),1,1),$8:$8,"&lt;="&amp;EOMONTH(U$8,0))</f>
        <v/>
      </c>
      <c r="V132" s="1318">
        <f>SUMIFS(76:76,$8:$8,"&gt;="&amp;DATE(YEAR(V$8),1,1),$8:$8,"&lt;="&amp;EOMONTH(V$8,0))/SUMIFS(40:40,$8:$8,"&gt;="&amp;DATE(YEAR(V$8),1,1),$8:$8,"&lt;="&amp;EOMONTH(V$8,0))</f>
        <v/>
      </c>
      <c r="W132" s="1318">
        <f>SUMIFS(76:76,$8:$8,"&gt;="&amp;DATE(YEAR(W$8),1,1),$8:$8,"&lt;="&amp;EOMONTH(W$8,0))/SUMIFS(40:40,$8:$8,"&gt;="&amp;DATE(YEAR(W$8),1,1),$8:$8,"&lt;="&amp;EOMONTH(W$8,0))</f>
        <v/>
      </c>
      <c r="X132" s="1318">
        <f>SUMIFS(76:76,$8:$8,"&gt;="&amp;DATE(YEAR(X$8),1,1),$8:$8,"&lt;="&amp;EOMONTH(X$8,0))/SUMIFS(40:40,$8:$8,"&gt;="&amp;DATE(YEAR(X$8),1,1),$8:$8,"&lt;="&amp;EOMONTH(X$8,0))</f>
        <v/>
      </c>
      <c r="Y132" s="1318">
        <f>SUMIFS(76:76,$8:$8,"&gt;="&amp;DATE(YEAR(Y$8),1,1),$8:$8,"&lt;="&amp;EOMONTH(Y$8,0))/SUMIFS(40:40,$8:$8,"&gt;="&amp;DATE(YEAR(Y$8),1,1),$8:$8,"&lt;="&amp;EOMONTH(Y$8,0))</f>
        <v/>
      </c>
      <c r="Z132" s="1318">
        <f>SUMIFS(76:76,$8:$8,"&gt;="&amp;DATE(YEAR(Z$8),1,1),$8:$8,"&lt;="&amp;EOMONTH(Z$8,0))/SUMIFS(40:40,$8:$8,"&gt;="&amp;DATE(YEAR(Z$8),1,1),$8:$8,"&lt;="&amp;EOMONTH(Z$8,0))</f>
        <v/>
      </c>
      <c r="AA132" s="1318">
        <f>SUMIFS(76:76,$8:$8,"&gt;="&amp;DATE(YEAR(AA$8),1,1),$8:$8,"&lt;="&amp;EOMONTH(AA$8,0))/SUMIFS(40:40,$8:$8,"&gt;="&amp;DATE(YEAR(AA$8),1,1),$8:$8,"&lt;="&amp;EOMONTH(AA$8,0))</f>
        <v/>
      </c>
      <c r="AB132" s="1318">
        <f>SUMIFS(76:76,$8:$8,"&gt;="&amp;DATE(YEAR(AB$8),1,1),$8:$8,"&lt;="&amp;EOMONTH(AB$8,0))/SUMIFS(40:40,$8:$8,"&gt;="&amp;DATE(YEAR(AB$8),1,1),$8:$8,"&lt;="&amp;EOMONTH(AB$8,0))</f>
        <v/>
      </c>
      <c r="AC132" s="1318">
        <f>SUMIFS(76:76,$8:$8,"&gt;="&amp;DATE(YEAR(AC$8),1,1),$8:$8,"&lt;="&amp;EOMONTH(AC$8,0))/SUMIFS(40:40,$8:$8,"&gt;="&amp;DATE(YEAR(AC$8),1,1),$8:$8,"&lt;="&amp;EOMONTH(AC$8,0))</f>
        <v/>
      </c>
      <c r="AD132" s="1318">
        <f>SUMIFS(76:76,$8:$8,"&gt;="&amp;DATE(YEAR(AD$8),1,1),$8:$8,"&lt;="&amp;EOMONTH(AD$8,0))/SUMIFS(40:40,$8:$8,"&gt;="&amp;DATE(YEAR(AD$8),1,1),$8:$8,"&lt;="&amp;EOMONTH(AD$8,0))</f>
        <v/>
      </c>
      <c r="AE132" s="1318">
        <f>SUMIFS(76:76,$8:$8,"&gt;="&amp;DATE(YEAR(AE$8),1,1),$8:$8,"&lt;="&amp;EOMONTH(AE$8,0))/SUMIFS(40:40,$8:$8,"&gt;="&amp;DATE(YEAR(AE$8),1,1),$8:$8,"&lt;="&amp;EOMONTH(AE$8,0))</f>
        <v/>
      </c>
      <c r="AF132" s="1318">
        <f>SUMIFS(76:76,$8:$8,"&gt;="&amp;DATE(YEAR(AF$8),1,1),$8:$8,"&lt;="&amp;EOMONTH(AF$8,0))/SUMIFS(40:40,$8:$8,"&gt;="&amp;DATE(YEAR(AF$8),1,1),$8:$8,"&lt;="&amp;EOMONTH(AF$8,0))</f>
        <v/>
      </c>
      <c r="AG132" s="1318">
        <f>SUMIFS(76:76,$8:$8,"&gt;="&amp;DATE(YEAR(AG$8),1,1),$8:$8,"&lt;="&amp;EOMONTH(AG$8,0))/SUMIFS(40:40,$8:$8,"&gt;="&amp;DATE(YEAR(AG$8),1,1),$8:$8,"&lt;="&amp;EOMONTH(AG$8,0))</f>
        <v/>
      </c>
      <c r="AH132" s="1318">
        <f>SUMIFS(76:76,$8:$8,"&gt;="&amp;DATE(YEAR(AH$8),1,1),$8:$8,"&lt;="&amp;EOMONTH(AH$8,0))/SUMIFS(40:40,$8:$8,"&gt;="&amp;DATE(YEAR(AH$8),1,1),$8:$8,"&lt;="&amp;EOMONTH(AH$8,0))</f>
        <v/>
      </c>
      <c r="AI132" s="1318">
        <f>SUMIFS(76:76,$8:$8,"&gt;="&amp;DATE(YEAR(AI$8),1,1),$8:$8,"&lt;="&amp;EOMONTH(AI$8,0))/SUMIFS(40:40,$8:$8,"&gt;="&amp;DATE(YEAR(AI$8),1,1),$8:$8,"&lt;="&amp;EOMONTH(AI$8,0))</f>
        <v/>
      </c>
      <c r="AJ132" s="1318">
        <f>SUMIFS(76:76,$8:$8,"&gt;="&amp;DATE(YEAR(AJ$8),1,1),$8:$8,"&lt;="&amp;EOMONTH(AJ$8,0))/SUMIFS(40:40,$8:$8,"&gt;="&amp;DATE(YEAR(AJ$8),1,1),$8:$8,"&lt;="&amp;EOMONTH(AJ$8,0))</f>
        <v/>
      </c>
      <c r="AK132" s="1318">
        <f>SUMIFS(76:76,$8:$8,"&gt;="&amp;DATE(YEAR(AK$8),1,1),$8:$8,"&lt;="&amp;EOMONTH(AK$8,0))/SUMIFS(40:40,$8:$8,"&gt;="&amp;DATE(YEAR(AK$8),1,1),$8:$8,"&lt;="&amp;EOMONTH(AK$8,0))</f>
        <v/>
      </c>
      <c r="AL132" s="1318">
        <f>SUMIFS(76:76,$8:$8,"&gt;="&amp;DATE(YEAR(AL$8),1,1),$8:$8,"&lt;="&amp;EOMONTH(AL$8,0))/SUMIFS(40:40,$8:$8,"&gt;="&amp;DATE(YEAR(AL$8),1,1),$8:$8,"&lt;="&amp;EOMONTH(AL$8,0))</f>
        <v/>
      </c>
      <c r="AM132" s="1318">
        <f>SUMIFS(76:76,$8:$8,"&gt;="&amp;DATE(YEAR(AM$8),1,1),$8:$8,"&lt;="&amp;EOMONTH(AM$8,0))/SUMIFS(40:40,$8:$8,"&gt;="&amp;DATE(YEAR(AM$8),1,1),$8:$8,"&lt;="&amp;EOMONTH(AM$8,0))</f>
        <v/>
      </c>
      <c r="AN132" s="1318">
        <f>SUMIFS(76:76,$8:$8,"&gt;="&amp;DATE(YEAR(AN$8),1,1),$8:$8,"&lt;="&amp;EOMONTH(AN$8,0))/SUMIFS(40:40,$8:$8,"&gt;="&amp;DATE(YEAR(AN$8),1,1),$8:$8,"&lt;="&amp;EOMONTH(AN$8,0))</f>
        <v/>
      </c>
      <c r="AO132" s="1318">
        <f>SUMIFS(76:76,$8:$8,"&gt;="&amp;DATE(YEAR(AO$8),1,1),$8:$8,"&lt;="&amp;EOMONTH(AO$8,0))/SUMIFS(40:40,$8:$8,"&gt;="&amp;DATE(YEAR(AO$8),1,1),$8:$8,"&lt;="&amp;EOMONTH(AO$8,0))</f>
        <v/>
      </c>
      <c r="AP132" s="1318">
        <f>SUMIFS(76:76,$8:$8,"&gt;="&amp;DATE(YEAR(AP$8),1,1),$8:$8,"&lt;="&amp;EOMONTH(AP$8,0))/SUMIFS(40:40,$8:$8,"&gt;="&amp;DATE(YEAR(AP$8),1,1),$8:$8,"&lt;="&amp;EOMONTH(AP$8,0))</f>
        <v/>
      </c>
      <c r="AQ132" s="1318">
        <f>SUMIFS(76:76,$8:$8,"&gt;="&amp;DATE(YEAR(AQ$8),1,1),$8:$8,"&lt;="&amp;EOMONTH(AQ$8,0))/SUMIFS(40:40,$8:$8,"&gt;="&amp;DATE(YEAR(AQ$8),1,1),$8:$8,"&lt;="&amp;EOMONTH(AQ$8,0))</f>
        <v/>
      </c>
      <c r="AR132" s="1318">
        <f>SUMIFS(76:76,$8:$8,"&gt;="&amp;DATE(YEAR(AR$8),1,1),$8:$8,"&lt;="&amp;EOMONTH(AR$8,0))/SUMIFS(40:40,$8:$8,"&gt;="&amp;DATE(YEAR(AR$8),1,1),$8:$8,"&lt;="&amp;EOMONTH(AR$8,0))</f>
        <v/>
      </c>
      <c r="AS132" s="1318">
        <f>SUMIFS(76:76,$8:$8,"&gt;="&amp;DATE(YEAR(AS$8),1,1),$8:$8,"&lt;="&amp;EOMONTH(AS$8,0))/SUMIFS(40:40,$8:$8,"&gt;="&amp;DATE(YEAR(AS$8),1,1),$8:$8,"&lt;="&amp;EOMONTH(AS$8,0))</f>
        <v/>
      </c>
      <c r="AT132" s="1318">
        <f>SUMIFS(76:76,$8:$8,"&gt;="&amp;DATE(YEAR(AT$8),1,1),$8:$8,"&lt;="&amp;EOMONTH(AT$8,0))/SUMIFS(40:40,$8:$8,"&gt;="&amp;DATE(YEAR(AT$8),1,1),$8:$8,"&lt;="&amp;EOMONTH(AT$8,0))</f>
        <v/>
      </c>
      <c r="AU132" s="1318">
        <f>SUMIFS(76:76,$8:$8,"&gt;="&amp;DATE(YEAR(AU$8),1,1),$8:$8,"&lt;="&amp;EOMONTH(AU$8,0))/SUMIFS(40:40,$8:$8,"&gt;="&amp;DATE(YEAR(AU$8),1,1),$8:$8,"&lt;="&amp;EOMONTH(AU$8,0))</f>
        <v/>
      </c>
      <c r="AV132" s="1318">
        <f>SUMIFS(76:76,$8:$8,"&gt;="&amp;DATE(YEAR(AV$8),1,1),$8:$8,"&lt;="&amp;EOMONTH(AV$8,0))/SUMIFS(40:40,$8:$8,"&gt;="&amp;DATE(YEAR(AV$8),1,1),$8:$8,"&lt;="&amp;EOMONTH(AV$8,0))</f>
        <v/>
      </c>
      <c r="AW132" s="1318">
        <f>SUMIFS(76:76,$8:$8,"&gt;="&amp;DATE(YEAR(AW$8),1,1),$8:$8,"&lt;="&amp;EOMONTH(AW$8,0))/SUMIFS(40:40,$8:$8,"&gt;="&amp;DATE(YEAR(AW$8),1,1),$8:$8,"&lt;="&amp;EOMONTH(AW$8,0))</f>
        <v/>
      </c>
      <c r="AX132" s="1318">
        <f>SUMIFS(76:76,$8:$8,"&gt;="&amp;DATE(YEAR(AX$8),1,1),$8:$8,"&lt;="&amp;EOMONTH(AX$8,0))/SUMIFS(40:40,$8:$8,"&gt;="&amp;DATE(YEAR(AX$8),1,1),$8:$8,"&lt;="&amp;EOMONTH(AX$8,0))</f>
        <v/>
      </c>
      <c r="AY132" s="1318">
        <f>SUMIFS(76:76,$8:$8,"&gt;="&amp;DATE(YEAR(AY$8),1,1),$8:$8,"&lt;="&amp;EOMONTH(AY$8,0))/SUMIFS(40:40,$8:$8,"&gt;="&amp;DATE(YEAR(AY$8),1,1),$8:$8,"&lt;="&amp;EOMONTH(AY$8,0))</f>
        <v/>
      </c>
      <c r="AZ132" s="1318">
        <f>SUMIFS(76:76,$8:$8,"&gt;="&amp;DATE(YEAR(AZ$8),1,1),$8:$8,"&lt;="&amp;EOMONTH(AZ$8,0))/SUMIFS(40:40,$8:$8,"&gt;="&amp;DATE(YEAR(AZ$8),1,1),$8:$8,"&lt;="&amp;EOMONTH(AZ$8,0))</f>
        <v/>
      </c>
      <c r="BA132" s="1318">
        <f>SUMIFS(76:76,$8:$8,"&gt;="&amp;DATE(YEAR(BA$8),1,1),$8:$8,"&lt;="&amp;EOMONTH(BA$8,0))/SUMIFS(40:40,$8:$8,"&gt;="&amp;DATE(YEAR(BA$8),1,1),$8:$8,"&lt;="&amp;EOMONTH(BA$8,0))</f>
        <v/>
      </c>
      <c r="BB132" s="1318">
        <f>SUMIFS(76:76,$8:$8,"&gt;="&amp;DATE(YEAR(BB$8),1,1),$8:$8,"&lt;="&amp;EOMONTH(BB$8,0))/SUMIFS(40:40,$8:$8,"&gt;="&amp;DATE(YEAR(BB$8),1,1),$8:$8,"&lt;="&amp;EOMONTH(BB$8,0))</f>
        <v/>
      </c>
      <c r="BC132" s="1318">
        <f>SUMIFS(76:76,$8:$8,"&gt;="&amp;DATE(YEAR(BC$8),1,1),$8:$8,"&lt;="&amp;EOMONTH(BC$8,0))/SUMIFS(40:40,$8:$8,"&gt;="&amp;DATE(YEAR(BC$8),1,1),$8:$8,"&lt;="&amp;EOMONTH(BC$8,0))</f>
        <v/>
      </c>
      <c r="BD132" s="1318">
        <f>SUMIFS(76:76,$8:$8,"&gt;="&amp;DATE(YEAR(BD$8),1,1),$8:$8,"&lt;="&amp;EOMONTH(BD$8,0))/SUMIFS(40:40,$8:$8,"&gt;="&amp;DATE(YEAR(BD$8),1,1),$8:$8,"&lt;="&amp;EOMONTH(BD$8,0))</f>
        <v/>
      </c>
      <c r="BE132" s="1318">
        <f>SUMIFS(76:76,$8:$8,"&gt;="&amp;DATE(YEAR(BE$8),1,1),$8:$8,"&lt;="&amp;EOMONTH(BE$8,0))/SUMIFS(40:40,$8:$8,"&gt;="&amp;DATE(YEAR(BE$8),1,1),$8:$8,"&lt;="&amp;EOMONTH(BE$8,0))</f>
        <v/>
      </c>
      <c r="BF132" s="1318">
        <f>SUMIFS(76:76,$8:$8,"&gt;="&amp;DATE(YEAR(BF$8),1,1),$8:$8,"&lt;="&amp;EOMONTH(BF$8,0))/SUMIFS(40:40,$8:$8,"&gt;="&amp;DATE(YEAR(BF$8),1,1),$8:$8,"&lt;="&amp;EOMONTH(BF$8,0))</f>
        <v/>
      </c>
      <c r="BG132" s="1318">
        <f>SUMIFS(76:76,$8:$8,"&gt;="&amp;DATE(YEAR(BG$8),1,1),$8:$8,"&lt;="&amp;EOMONTH(BG$8,0))/SUMIFS(40:40,$8:$8,"&gt;="&amp;DATE(YEAR(BG$8),1,1),$8:$8,"&lt;="&amp;EOMONTH(BG$8,0))</f>
        <v/>
      </c>
      <c r="BH132" s="1318">
        <f>SUMIFS(76:76,$8:$8,"&gt;="&amp;DATE(YEAR(BH$8),1,1),$8:$8,"&lt;="&amp;EOMONTH(BH$8,0))/SUMIFS(40:40,$8:$8,"&gt;="&amp;DATE(YEAR(BH$8),1,1),$8:$8,"&lt;="&amp;EOMONTH(BH$8,0))</f>
        <v/>
      </c>
      <c r="BI132" s="1318">
        <f>SUMIFS(76:76,$8:$8,"&gt;="&amp;DATE(YEAR(BI$8),1,1),$8:$8,"&lt;="&amp;EOMONTH(BI$8,0))/SUMIFS(40:40,$8:$8,"&gt;="&amp;DATE(YEAR(BI$8),1,1),$8:$8,"&lt;="&amp;EOMONTH(BI$8,0))</f>
        <v/>
      </c>
      <c r="BJ132" s="1318">
        <f>SUMIFS(76:76,$8:$8,"&gt;="&amp;DATE(YEAR(BJ$8),1,1),$8:$8,"&lt;="&amp;EOMONTH(BJ$8,0))/SUMIFS(40:40,$8:$8,"&gt;="&amp;DATE(YEAR(BJ$8),1,1),$8:$8,"&lt;="&amp;EOMONTH(BJ$8,0))</f>
        <v/>
      </c>
      <c r="BK132" s="1318">
        <f>SUMIFS(76:76,$8:$8,"&gt;="&amp;DATE(YEAR(BK$8),1,1),$8:$8,"&lt;="&amp;EOMONTH(BK$8,0))/SUMIFS(40:40,$8:$8,"&gt;="&amp;DATE(YEAR(BK$8),1,1),$8:$8,"&lt;="&amp;EOMONTH(BK$8,0))</f>
        <v/>
      </c>
      <c r="BL132" s="1318">
        <f>SUMIFS(76:76,$8:$8,"&gt;="&amp;DATE(YEAR(BL$8),1,1),$8:$8,"&lt;="&amp;EOMONTH(BL$8,0))/SUMIFS(40:40,$8:$8,"&gt;="&amp;DATE(YEAR(BL$8),1,1),$8:$8,"&lt;="&amp;EOMONTH(BL$8,0))</f>
        <v/>
      </c>
      <c r="BM132" s="1318">
        <f>SUMIFS(76:76,$8:$8,"&gt;="&amp;DATE(YEAR(BM$8),1,1),$8:$8,"&lt;="&amp;EOMONTH(BM$8,0))/SUMIFS(40:40,$8:$8,"&gt;="&amp;DATE(YEAR(BM$8),1,1),$8:$8,"&lt;="&amp;EOMONTH(BM$8,0))</f>
        <v/>
      </c>
      <c r="BN132" s="1318">
        <f>SUMIFS(76:76,$8:$8,"&gt;="&amp;DATE(YEAR(BN$8),1,1),$8:$8,"&lt;="&amp;EOMONTH(BN$8,0))/SUMIFS(40:40,$8:$8,"&gt;="&amp;DATE(YEAR(BN$8),1,1),$8:$8,"&lt;="&amp;EOMONTH(BN$8,0))</f>
        <v/>
      </c>
      <c r="BO132" s="1318">
        <f>SUMIFS(76:76,$8:$8,"&gt;="&amp;DATE(YEAR(BO$8),1,1),$8:$8,"&lt;="&amp;EOMONTH(BO$8,0))/SUMIFS(40:40,$8:$8,"&gt;="&amp;DATE(YEAR(BO$8),1,1),$8:$8,"&lt;="&amp;EOMONTH(BO$8,0))</f>
        <v/>
      </c>
      <c r="BP132" s="1318">
        <f>SUMIFS(76:76,$8:$8,"&gt;="&amp;DATE(YEAR(BP$8),1,1),$8:$8,"&lt;="&amp;EOMONTH(BP$8,0))/SUMIFS(40:40,$8:$8,"&gt;="&amp;DATE(YEAR(BP$8),1,1),$8:$8,"&lt;="&amp;EOMONTH(BP$8,0))</f>
        <v/>
      </c>
      <c r="BQ132" s="1318">
        <f>SUMIFS(76:76,$8:$8,"&gt;="&amp;DATE(YEAR(BQ$8),1,1),$8:$8,"&lt;="&amp;EOMONTH(BQ$8,0))/SUMIFS(40:40,$8:$8,"&gt;="&amp;DATE(YEAR(BQ$8),1,1),$8:$8,"&lt;="&amp;EOMONTH(BQ$8,0))</f>
        <v/>
      </c>
      <c r="BR132" s="1318">
        <f>SUMIFS(76:76,$8:$8,"&gt;="&amp;DATE(YEAR(BR$8),1,1),$8:$8,"&lt;="&amp;EOMONTH(BR$8,0))/SUMIFS(40:40,$8:$8,"&gt;="&amp;DATE(YEAR(BR$8),1,1),$8:$8,"&lt;="&amp;EOMONTH(BR$8,0))</f>
        <v/>
      </c>
      <c r="BS132" s="1318">
        <f>SUMIFS(76:76,$8:$8,"&gt;="&amp;DATE(YEAR(BS$8),1,1),$8:$8,"&lt;="&amp;EOMONTH(BS$8,0))/SUMIFS(40:40,$8:$8,"&gt;="&amp;DATE(YEAR(BS$8),1,1),$8:$8,"&lt;="&amp;EOMONTH(BS$8,0))</f>
        <v/>
      </c>
      <c r="BT132" s="1318">
        <f>SUMIFS(76:76,$8:$8,"&gt;="&amp;DATE(YEAR(BT$8),1,1),$8:$8,"&lt;="&amp;EOMONTH(BT$8,0))/SUMIFS(40:40,$8:$8,"&gt;="&amp;DATE(YEAR(BT$8),1,1),$8:$8,"&lt;="&amp;EOMONTH(BT$8,0))</f>
        <v/>
      </c>
      <c r="BU132" s="1318">
        <f>SUMIFS(76:76,$8:$8,"&gt;="&amp;DATE(YEAR(BU$8),1,1),$8:$8,"&lt;="&amp;EOMONTH(BU$8,0))/SUMIFS(40:40,$8:$8,"&gt;="&amp;DATE(YEAR(BU$8),1,1),$8:$8,"&lt;="&amp;EOMONTH(BU$8,0))</f>
        <v/>
      </c>
      <c r="BV132" s="1318">
        <f>SUMIFS(76:76,$8:$8,"&gt;="&amp;DATE(YEAR(BV$8),1,1),$8:$8,"&lt;="&amp;EOMONTH(BV$8,0))/SUMIFS(40:40,$8:$8,"&gt;="&amp;DATE(YEAR(BV$8),1,1),$8:$8,"&lt;="&amp;EOMONTH(BV$8,0))</f>
        <v/>
      </c>
      <c r="BW132" s="1318">
        <f>SUMIFS(76:76,$8:$8,"&gt;="&amp;DATE(YEAR(BW$8),1,1),$8:$8,"&lt;="&amp;EOMONTH(BW$8,0))/SUMIFS(40:40,$8:$8,"&gt;="&amp;DATE(YEAR(BW$8),1,1),$8:$8,"&lt;="&amp;EOMONTH(BW$8,0))</f>
        <v/>
      </c>
      <c r="BX132" s="1318">
        <f>SUMIFS(76:76,$8:$8,"&gt;="&amp;DATE(YEAR(BX$8),1,1),$8:$8,"&lt;="&amp;EOMONTH(BX$8,0))/SUMIFS(40:40,$8:$8,"&gt;="&amp;DATE(YEAR(BX$8),1,1),$8:$8,"&lt;="&amp;EOMONTH(BX$8,0))</f>
        <v/>
      </c>
      <c r="BY132" s="1318">
        <f>SUMIFS(76:76,$8:$8,"&gt;="&amp;DATE(YEAR(BY$8),1,1),$8:$8,"&lt;="&amp;EOMONTH(BY$8,0))/SUMIFS(40:40,$8:$8,"&gt;="&amp;DATE(YEAR(BY$8),1,1),$8:$8,"&lt;="&amp;EOMONTH(BY$8,0))</f>
        <v/>
      </c>
      <c r="BZ132" s="1318">
        <f>SUMIFS(76:76,$8:$8,"&gt;="&amp;DATE(YEAR(BZ$8),1,1),$8:$8,"&lt;="&amp;EOMONTH(BZ$8,0))/SUMIFS(40:40,$8:$8,"&gt;="&amp;DATE(YEAR(BZ$8),1,1),$8:$8,"&lt;="&amp;EOMONTH(BZ$8,0))</f>
        <v/>
      </c>
      <c r="CA132" s="1318">
        <f>SUMIFS(76:76,$8:$8,"&gt;="&amp;DATE(YEAR(CA$8),1,1),$8:$8,"&lt;="&amp;EOMONTH(CA$8,0))/SUMIFS(40:40,$8:$8,"&gt;="&amp;DATE(YEAR(CA$8),1,1),$8:$8,"&lt;="&amp;EOMONTH(CA$8,0))</f>
        <v/>
      </c>
      <c r="CB132" s="1318">
        <f>SUMIFS(76:76,$8:$8,"&gt;="&amp;DATE(YEAR(CB$8),1,1),$8:$8,"&lt;="&amp;EOMONTH(CB$8,0))/SUMIFS(40:40,$8:$8,"&gt;="&amp;DATE(YEAR(CB$8),1,1),$8:$8,"&lt;="&amp;EOMONTH(CB$8,0))</f>
        <v/>
      </c>
      <c r="CC132" s="1318">
        <f>SUMIFS(76:76,$8:$8,"&gt;="&amp;DATE(YEAR(CC$8),1,1),$8:$8,"&lt;="&amp;EOMONTH(CC$8,0))/SUMIFS(40:40,$8:$8,"&gt;="&amp;DATE(YEAR(CC$8),1,1),$8:$8,"&lt;="&amp;EOMONTH(CC$8,0))</f>
        <v/>
      </c>
      <c r="CD132" s="1318">
        <f>SUMIFS(76:76,$8:$8,"&gt;="&amp;DATE(YEAR(CD$8),1,1),$8:$8,"&lt;="&amp;EOMONTH(CD$8,0))/SUMIFS(40:40,$8:$8,"&gt;="&amp;DATE(YEAR(CD$8),1,1),$8:$8,"&lt;="&amp;EOMONTH(CD$8,0))</f>
        <v/>
      </c>
      <c r="CE132" s="1318">
        <f>SUMIFS(76:76,$8:$8,"&gt;="&amp;DATE(YEAR(CE$8),1,1),$8:$8,"&lt;="&amp;EOMONTH(CE$8,0))/SUMIFS(40:40,$8:$8,"&gt;="&amp;DATE(YEAR(CE$8),1,1),$8:$8,"&lt;="&amp;EOMONTH(CE$8,0))</f>
        <v/>
      </c>
      <c r="CF132" s="1318">
        <f>SUMIFS(76:76,$8:$8,"&gt;="&amp;DATE(YEAR(CF$8),1,1),$8:$8,"&lt;="&amp;EOMONTH(CF$8,0))/SUMIFS(40:40,$8:$8,"&gt;="&amp;DATE(YEAR(CF$8),1,1),$8:$8,"&lt;="&amp;EOMONTH(CF$8,0))</f>
        <v/>
      </c>
      <c r="CG132" s="1318">
        <f>SUMIFS(76:76,$8:$8,"&gt;="&amp;DATE(YEAR(CG$8),1,1),$8:$8,"&lt;="&amp;EOMONTH(CG$8,0))/SUMIFS(40:40,$8:$8,"&gt;="&amp;DATE(YEAR(CG$8),1,1),$8:$8,"&lt;="&amp;EOMONTH(CG$8,0))</f>
        <v/>
      </c>
      <c r="CH132" s="1318">
        <f>SUMIFS(76:76,$8:$8,"&gt;="&amp;DATE(YEAR(CH$8),1,1),$8:$8,"&lt;="&amp;EOMONTH(CH$8,0))/SUMIFS(40:40,$8:$8,"&gt;="&amp;DATE(YEAR(CH$8),1,1),$8:$8,"&lt;="&amp;EOMONTH(CH$8,0))</f>
        <v/>
      </c>
      <c r="CI132" s="1318">
        <f>SUMIFS(76:76,$8:$8,"&gt;="&amp;DATE(YEAR(CI$8),1,1),$8:$8,"&lt;="&amp;EOMONTH(CI$8,0))/SUMIFS(40:40,$8:$8,"&gt;="&amp;DATE(YEAR(CI$8),1,1),$8:$8,"&lt;="&amp;EOMONTH(CI$8,0))</f>
        <v/>
      </c>
      <c r="CJ132" s="1318">
        <f>SUMIFS(76:76,$8:$8,"&gt;="&amp;DATE(YEAR(CJ$8),1,1),$8:$8,"&lt;="&amp;EOMONTH(CJ$8,0))/SUMIFS(40:40,$8:$8,"&gt;="&amp;DATE(YEAR(CJ$8),1,1),$8:$8,"&lt;="&amp;EOMONTH(CJ$8,0))</f>
        <v/>
      </c>
      <c r="CK132" s="1318">
        <f>SUMIFS(76:76,$8:$8,"&gt;="&amp;DATE(YEAR(CK$8),1,1),$8:$8,"&lt;="&amp;EOMONTH(CK$8,0))/SUMIFS(40:40,$8:$8,"&gt;="&amp;DATE(YEAR(CK$8),1,1),$8:$8,"&lt;="&amp;EOMONTH(CK$8,0))</f>
        <v/>
      </c>
      <c r="CL132" s="1318">
        <f>SUMIFS(76:76,$8:$8,"&gt;="&amp;DATE(YEAR(CL$8),1,1),$8:$8,"&lt;="&amp;EOMONTH(CL$8,0))/SUMIFS(40:40,$8:$8,"&gt;="&amp;DATE(YEAR(CL$8),1,1),$8:$8,"&lt;="&amp;EOMONTH(CL$8,0))</f>
        <v/>
      </c>
      <c r="CM132" s="1318">
        <f>SUMIFS(76:76,$8:$8,"&gt;="&amp;DATE(YEAR(CM$8),1,1),$8:$8,"&lt;="&amp;EOMONTH(CM$8,0))/SUMIFS(40:40,$8:$8,"&gt;="&amp;DATE(YEAR(CM$8),1,1),$8:$8,"&lt;="&amp;EOMONTH(CM$8,0))</f>
        <v/>
      </c>
      <c r="CN132" s="1318">
        <f>SUMIFS(76:76,$8:$8,"&gt;="&amp;DATE(YEAR(CN$8),1,1),$8:$8,"&lt;="&amp;EOMONTH(CN$8,0))/SUMIFS(40:40,$8:$8,"&gt;="&amp;DATE(YEAR(CN$8),1,1),$8:$8,"&lt;="&amp;EOMONTH(CN$8,0))</f>
        <v/>
      </c>
      <c r="CO132" s="1318">
        <f>SUMIFS(76:76,$8:$8,"&gt;="&amp;DATE(YEAR(CO$8),1,1),$8:$8,"&lt;="&amp;EOMONTH(CO$8,0))/SUMIFS(40:40,$8:$8,"&gt;="&amp;DATE(YEAR(CO$8),1,1),$8:$8,"&lt;="&amp;EOMONTH(CO$8,0))</f>
        <v/>
      </c>
      <c r="CP132" s="1318">
        <f>SUMIFS(76:76,$8:$8,"&gt;="&amp;DATE(YEAR(CP$8),1,1),$8:$8,"&lt;="&amp;EOMONTH(CP$8,0))/SUMIFS(40:40,$8:$8,"&gt;="&amp;DATE(YEAR(CP$8),1,1),$8:$8,"&lt;="&amp;EOMONTH(CP$8,0))</f>
        <v/>
      </c>
      <c r="CQ132" s="1318">
        <f>SUMIFS(76:76,$8:$8,"&gt;="&amp;DATE(YEAR(CQ$8),1,1),$8:$8,"&lt;="&amp;EOMONTH(CQ$8,0))/SUMIFS(40:40,$8:$8,"&gt;="&amp;DATE(YEAR(CQ$8),1,1),$8:$8,"&lt;="&amp;EOMONTH(CQ$8,0))</f>
        <v/>
      </c>
      <c r="CR132" s="1318">
        <f>SUMIFS(76:76,$8:$8,"&gt;="&amp;DATE(YEAR(CR$8),1,1),$8:$8,"&lt;="&amp;EOMONTH(CR$8,0))/SUMIFS(40:40,$8:$8,"&gt;="&amp;DATE(YEAR(CR$8),1,1),$8:$8,"&lt;="&amp;EOMONTH(CR$8,0))</f>
        <v/>
      </c>
      <c r="CS132" s="1318">
        <f>SUMIFS(76:76,$8:$8,"&gt;="&amp;DATE(YEAR(CS$8),1,1),$8:$8,"&lt;="&amp;EOMONTH(CS$8,0))/SUMIFS(40:40,$8:$8,"&gt;="&amp;DATE(YEAR(CS$8),1,1),$8:$8,"&lt;="&amp;EOMONTH(CS$8,0))</f>
        <v/>
      </c>
      <c r="CT132" s="1318">
        <f>SUMIFS(76:76,$8:$8,"&gt;="&amp;DATE(YEAR(CT$8),1,1),$8:$8,"&lt;="&amp;EOMONTH(CT$8,0))/SUMIFS(40:40,$8:$8,"&gt;="&amp;DATE(YEAR(CT$8),1,1),$8:$8,"&lt;="&amp;EOMONTH(CT$8,0))</f>
        <v/>
      </c>
      <c r="CU132" s="1318">
        <f>SUMIFS(76:76,$8:$8,"&gt;="&amp;DATE(YEAR(CU$8),1,1),$8:$8,"&lt;="&amp;EOMONTH(CU$8,0))/SUMIFS(40:40,$8:$8,"&gt;="&amp;DATE(YEAR(CU$8),1,1),$8:$8,"&lt;="&amp;EOMONTH(CU$8,0))</f>
        <v/>
      </c>
      <c r="CV132" s="1318">
        <f>SUMIFS(76:76,$8:$8,"&gt;="&amp;DATE(YEAR(CV$8),1,1),$8:$8,"&lt;="&amp;EOMONTH(CV$8,0))/SUMIFS(40:40,$8:$8,"&gt;="&amp;DATE(YEAR(CV$8),1,1),$8:$8,"&lt;="&amp;EOMONTH(CV$8,0))</f>
        <v/>
      </c>
      <c r="CW132" s="1318">
        <f>SUMIFS(76:76,$8:$8,"&gt;="&amp;DATE(YEAR(CW$8),1,1),$8:$8,"&lt;="&amp;EOMONTH(CW$8,0))/SUMIFS(40:40,$8:$8,"&gt;="&amp;DATE(YEAR(CW$8),1,1),$8:$8,"&lt;="&amp;EOMONTH(CW$8,0))</f>
        <v/>
      </c>
      <c r="CX132" s="1318">
        <f>SUMIFS(76:76,$8:$8,"&gt;="&amp;DATE(YEAR(CX$8),1,1),$8:$8,"&lt;="&amp;EOMONTH(CX$8,0))/SUMIFS(40:40,$8:$8,"&gt;="&amp;DATE(YEAR(CX$8),1,1),$8:$8,"&lt;="&amp;EOMONTH(CX$8,0))</f>
        <v/>
      </c>
      <c r="CY132" s="1318">
        <f>SUMIFS(76:76,$8:$8,"&gt;="&amp;DATE(YEAR(CY$8),1,1),$8:$8,"&lt;="&amp;EOMONTH(CY$8,0))/SUMIFS(40:40,$8:$8,"&gt;="&amp;DATE(YEAR(CY$8),1,1),$8:$8,"&lt;="&amp;EOMONTH(CY$8,0))</f>
        <v/>
      </c>
      <c r="CZ132" s="1318">
        <f>SUMIFS(76:76,$8:$8,"&gt;="&amp;DATE(YEAR(CZ$8),1,1),$8:$8,"&lt;="&amp;EOMONTH(CZ$8,0))/SUMIFS(40:40,$8:$8,"&gt;="&amp;DATE(YEAR(CZ$8),1,1),$8:$8,"&lt;="&amp;EOMONTH(CZ$8,0))</f>
        <v/>
      </c>
      <c r="DA132" s="1318">
        <f>SUMIFS(76:76,$8:$8,"&gt;="&amp;DATE(YEAR(DA$8),1,1),$8:$8,"&lt;="&amp;EOMONTH(DA$8,0))/SUMIFS(40:40,$8:$8,"&gt;="&amp;DATE(YEAR(DA$8),1,1),$8:$8,"&lt;="&amp;EOMONTH(DA$8,0))</f>
        <v/>
      </c>
      <c r="DB132" s="1318">
        <f>SUMIFS(76:76,$8:$8,"&gt;="&amp;DATE(YEAR(DB$8),1,1),$8:$8,"&lt;="&amp;EOMONTH(DB$8,0))/SUMIFS(40:40,$8:$8,"&gt;="&amp;DATE(YEAR(DB$8),1,1),$8:$8,"&lt;="&amp;EOMONTH(DB$8,0))</f>
        <v/>
      </c>
      <c r="DC132" s="1318">
        <f>SUMIFS(76:76,$8:$8,"&gt;="&amp;DATE(YEAR(DC$8),1,1),$8:$8,"&lt;="&amp;EOMONTH(DC$8,0))/SUMIFS(40:40,$8:$8,"&gt;="&amp;DATE(YEAR(DC$8),1,1),$8:$8,"&lt;="&amp;EOMONTH(DC$8,0))</f>
        <v/>
      </c>
      <c r="DD132" s="1318">
        <f>SUMIFS(76:76,$8:$8,"&gt;="&amp;DATE(YEAR(DD$8),1,1),$8:$8,"&lt;="&amp;EOMONTH(DD$8,0))/SUMIFS(40:40,$8:$8,"&gt;="&amp;DATE(YEAR(DD$8),1,1),$8:$8,"&lt;="&amp;EOMONTH(DD$8,0))</f>
        <v/>
      </c>
      <c r="DE132" s="1318">
        <f>SUMIFS(76:76,$8:$8,"&gt;="&amp;DATE(YEAR(DE$8),1,1),$8:$8,"&lt;="&amp;EOMONTH(DE$8,0))/SUMIFS(40:40,$8:$8,"&gt;="&amp;DATE(YEAR(DE$8),1,1),$8:$8,"&lt;="&amp;EOMONTH(DE$8,0))</f>
        <v/>
      </c>
      <c r="DF132" s="1318">
        <f>SUMIFS(76:76,$8:$8,"&gt;="&amp;DATE(YEAR(DF$8),1,1),$8:$8,"&lt;="&amp;EOMONTH(DF$8,0))/SUMIFS(40:40,$8:$8,"&gt;="&amp;DATE(YEAR(DF$8),1,1),$8:$8,"&lt;="&amp;EOMONTH(DF$8,0))</f>
        <v/>
      </c>
      <c r="DG132" s="1318">
        <f>SUMIFS(76:76,$8:$8,"&gt;="&amp;DATE(YEAR(DG$8),1,1),$8:$8,"&lt;="&amp;EOMONTH(DG$8,0))/SUMIFS(40:40,$8:$8,"&gt;="&amp;DATE(YEAR(DG$8),1,1),$8:$8,"&lt;="&amp;EOMONTH(DG$8,0))</f>
        <v/>
      </c>
      <c r="DH132" s="1318">
        <f>SUMIFS(76:76,$8:$8,"&gt;="&amp;DATE(YEAR(DH$8),1,1),$8:$8,"&lt;="&amp;EOMONTH(DH$8,0))/SUMIFS(40:40,$8:$8,"&gt;="&amp;DATE(YEAR(DH$8),1,1),$8:$8,"&lt;="&amp;EOMONTH(DH$8,0))</f>
        <v/>
      </c>
      <c r="DI132" s="1318">
        <f>SUMIFS(76:76,$8:$8,"&gt;="&amp;DATE(YEAR(DI$8),1,1),$8:$8,"&lt;="&amp;EOMONTH(DI$8,0))/SUMIFS(40:40,$8:$8,"&gt;="&amp;DATE(YEAR(DI$8),1,1),$8:$8,"&lt;="&amp;EOMONTH(DI$8,0))</f>
        <v/>
      </c>
      <c r="DJ132" s="1318">
        <f>SUMIFS(76:76,$8:$8,"&gt;="&amp;DATE(YEAR(DJ$8),1,1),$8:$8,"&lt;="&amp;EOMONTH(DJ$8,0))/SUMIFS(40:40,$8:$8,"&gt;="&amp;DATE(YEAR(DJ$8),1,1),$8:$8,"&lt;="&amp;EOMONTH(DJ$8,0))</f>
        <v/>
      </c>
      <c r="DK132" s="1318">
        <f>SUMIFS(76:76,$8:$8,"&gt;="&amp;DATE(YEAR(DK$8),1,1),$8:$8,"&lt;="&amp;EOMONTH(DK$8,0))/SUMIFS(40:40,$8:$8,"&gt;="&amp;DATE(YEAR(DK$8),1,1),$8:$8,"&lt;="&amp;EOMONTH(DK$8,0))</f>
        <v/>
      </c>
      <c r="DL132" s="1318">
        <f>SUMIFS(76:76,$8:$8,"&gt;="&amp;DATE(YEAR(DL$8),1,1),$8:$8,"&lt;="&amp;EOMONTH(DL$8,0))/SUMIFS(40:40,$8:$8,"&gt;="&amp;DATE(YEAR(DL$8),1,1),$8:$8,"&lt;="&amp;EOMONTH(DL$8,0))</f>
        <v/>
      </c>
      <c r="DM132" s="1318">
        <f>SUMIFS(76:76,$8:$8,"&gt;="&amp;DATE(YEAR(DM$8),1,1),$8:$8,"&lt;="&amp;EOMONTH(DM$8,0))/SUMIFS(40:40,$8:$8,"&gt;="&amp;DATE(YEAR(DM$8),1,1),$8:$8,"&lt;="&amp;EOMONTH(DM$8,0))</f>
        <v/>
      </c>
      <c r="DN132" s="1318">
        <f>SUMIFS(76:76,$8:$8,"&gt;="&amp;DATE(YEAR(DN$8),1,1),$8:$8,"&lt;="&amp;EOMONTH(DN$8,0))/SUMIFS(40:40,$8:$8,"&gt;="&amp;DATE(YEAR(DN$8),1,1),$8:$8,"&lt;="&amp;EOMONTH(DN$8,0))</f>
        <v/>
      </c>
      <c r="DO132" s="1318">
        <f>SUMIFS(76:76,$8:$8,"&gt;="&amp;DATE(YEAR(DO$8),1,1),$8:$8,"&lt;="&amp;EOMONTH(DO$8,0))/SUMIFS(40:40,$8:$8,"&gt;="&amp;DATE(YEAR(DO$8),1,1),$8:$8,"&lt;="&amp;EOMONTH(DO$8,0))</f>
        <v/>
      </c>
      <c r="DP132" s="1318">
        <f>SUMIFS(76:76,$8:$8,"&gt;="&amp;DATE(YEAR(DP$8),1,1),$8:$8,"&lt;="&amp;EOMONTH(DP$8,0))/SUMIFS(40:40,$8:$8,"&gt;="&amp;DATE(YEAR(DP$8),1,1),$8:$8,"&lt;="&amp;EOMONTH(DP$8,0))</f>
        <v/>
      </c>
      <c r="DQ132" s="1318">
        <f>SUMIFS(76:76,$8:$8,"&gt;="&amp;DATE(YEAR(DQ$8),1,1),$8:$8,"&lt;="&amp;EOMONTH(DQ$8,0))/SUMIFS(40:40,$8:$8,"&gt;="&amp;DATE(YEAR(DQ$8),1,1),$8:$8,"&lt;="&amp;EOMONTH(DQ$8,0))</f>
        <v/>
      </c>
      <c r="DR132" s="1318">
        <f>SUMIFS(76:76,$8:$8,"&gt;="&amp;DATE(YEAR(DR$8),1,1),$8:$8,"&lt;="&amp;EOMONTH(DR$8,0))/SUMIFS(40:40,$8:$8,"&gt;="&amp;DATE(YEAR(DR$8),1,1),$8:$8,"&lt;="&amp;EOMONTH(DR$8,0))</f>
        <v/>
      </c>
      <c r="DS132" s="1318">
        <f>SUMIFS(76:76,$8:$8,"&gt;="&amp;DATE(YEAR(DS$8),1,1),$8:$8,"&lt;="&amp;EOMONTH(DS$8,0))/SUMIFS(40:40,$8:$8,"&gt;="&amp;DATE(YEAR(DS$8),1,1),$8:$8,"&lt;="&amp;EOMONTH(DS$8,0))</f>
        <v/>
      </c>
      <c r="DT132" s="1318">
        <f>SUMIFS(76:76,$8:$8,"&gt;="&amp;DATE(YEAR(DT$8),1,1),$8:$8,"&lt;="&amp;EOMONTH(DT$8,0))/SUMIFS(40:40,$8:$8,"&gt;="&amp;DATE(YEAR(DT$8),1,1),$8:$8,"&lt;="&amp;EOMONTH(DT$8,0))</f>
        <v/>
      </c>
      <c r="DU132" s="1318">
        <f>SUMIFS(76:76,$8:$8,"&gt;="&amp;DATE(YEAR(DU$8),1,1),$8:$8,"&lt;="&amp;EOMONTH(DU$8,0))/SUMIFS(40:40,$8:$8,"&gt;="&amp;DATE(YEAR(DU$8),1,1),$8:$8,"&lt;="&amp;EOMONTH(DU$8,0))</f>
        <v/>
      </c>
      <c r="DV132" s="1318">
        <f>SUMIFS(76:76,$8:$8,"&gt;="&amp;DATE(YEAR(DV$8),1,1),$8:$8,"&lt;="&amp;EOMONTH(DV$8,0))/SUMIFS(40:40,$8:$8,"&gt;="&amp;DATE(YEAR(DV$8),1,1),$8:$8,"&lt;="&amp;EOMONTH(DV$8,0))</f>
        <v/>
      </c>
      <c r="DW132" s="1318">
        <f>SUMIFS(76:76,$8:$8,"&gt;="&amp;DATE(YEAR(DW$8),1,1),$8:$8,"&lt;="&amp;EOMONTH(DW$8,0))/SUMIFS(40:40,$8:$8,"&gt;="&amp;DATE(YEAR(DW$8),1,1),$8:$8,"&lt;="&amp;EOMONTH(DW$8,0))</f>
        <v/>
      </c>
      <c r="DX132" s="1318">
        <f>SUMIFS(76:76,$8:$8,"&gt;="&amp;DATE(YEAR(DX$8),1,1),$8:$8,"&lt;="&amp;EOMONTH(DX$8,0))/SUMIFS(40:40,$8:$8,"&gt;="&amp;DATE(YEAR(DX$8),1,1),$8:$8,"&lt;="&amp;EOMONTH(DX$8,0))</f>
        <v/>
      </c>
      <c r="DY132" s="1318">
        <f>SUMIFS(76:76,$8:$8,"&gt;="&amp;DATE(YEAR(DY$8),1,1),$8:$8,"&lt;="&amp;EOMONTH(DY$8,0))/SUMIFS(40:40,$8:$8,"&gt;="&amp;DATE(YEAR(DY$8),1,1),$8:$8,"&lt;="&amp;EOMONTH(DY$8,0))</f>
        <v/>
      </c>
      <c r="DZ132" s="1318">
        <f>SUMIFS(76:76,$8:$8,"&gt;="&amp;DATE(YEAR(DZ$8),1,1),$8:$8,"&lt;="&amp;EOMONTH(DZ$8,0))/SUMIFS(40:40,$8:$8,"&gt;="&amp;DATE(YEAR(DZ$8),1,1),$8:$8,"&lt;="&amp;EOMONTH(DZ$8,0))</f>
        <v/>
      </c>
      <c r="EA132" s="1318">
        <f>SUMIFS(76:76,$8:$8,"&gt;="&amp;DATE(YEAR(EA$8),1,1),$8:$8,"&lt;="&amp;EOMONTH(EA$8,0))/SUMIFS(40:40,$8:$8,"&gt;="&amp;DATE(YEAR(EA$8),1,1),$8:$8,"&lt;="&amp;EOMONTH(EA$8,0))</f>
        <v/>
      </c>
      <c r="EB132" s="1318">
        <f>SUMIFS(76:76,$8:$8,"&gt;="&amp;DATE(YEAR(EB$8),1,1),$8:$8,"&lt;="&amp;EOMONTH(EB$8,0))/SUMIFS(40:40,$8:$8,"&gt;="&amp;DATE(YEAR(EB$8),1,1),$8:$8,"&lt;="&amp;EOMONTH(EB$8,0))</f>
        <v/>
      </c>
      <c r="EC132" s="1318">
        <f>SUMIFS(76:76,$8:$8,"&gt;="&amp;DATE(YEAR(EC$8),1,1),$8:$8,"&lt;="&amp;EOMONTH(EC$8,0))/SUMIFS(40:40,$8:$8,"&gt;="&amp;DATE(YEAR(EC$8),1,1),$8:$8,"&lt;="&amp;EOMONTH(EC$8,0))</f>
        <v/>
      </c>
      <c r="ED132" s="1318">
        <f>SUMIFS(76:76,$8:$8,"&gt;="&amp;DATE(YEAR(ED$8),1,1),$8:$8,"&lt;="&amp;EOMONTH(ED$8,0))/SUMIFS(40:40,$8:$8,"&gt;="&amp;DATE(YEAR(ED$8),1,1),$8:$8,"&lt;="&amp;EOMONTH(ED$8,0))</f>
        <v/>
      </c>
      <c r="EE132" s="1318">
        <f>SUMIFS(76:76,$8:$8,"&gt;="&amp;DATE(YEAR(EE$8),1,1),$8:$8,"&lt;="&amp;EOMONTH(EE$8,0))/SUMIFS(40:40,$8:$8,"&gt;="&amp;DATE(YEAR(EE$8),1,1),$8:$8,"&lt;="&amp;EOMONTH(EE$8,0))</f>
        <v/>
      </c>
      <c r="EF132" s="1318">
        <f>SUMIFS(76:76,$8:$8,"&gt;="&amp;DATE(YEAR(EF$8),1,1),$8:$8,"&lt;="&amp;EOMONTH(EF$8,0))/SUMIFS(40:40,$8:$8,"&gt;="&amp;DATE(YEAR(EF$8),1,1),$8:$8,"&lt;="&amp;EOMONTH(EF$8,0))</f>
        <v/>
      </c>
      <c r="EG132" s="1318">
        <f>SUMIFS(76:76,$8:$8,"&gt;="&amp;DATE(YEAR(EG$8),1,1),$8:$8,"&lt;="&amp;EOMONTH(EG$8,0))/SUMIFS(40:40,$8:$8,"&gt;="&amp;DATE(YEAR(EG$8),1,1),$8:$8,"&lt;="&amp;EOMONTH(EG$8,0))</f>
        <v/>
      </c>
      <c r="EH132" s="1318">
        <f>SUMIFS(76:76,$8:$8,"&gt;="&amp;DATE(YEAR(EH$8),1,1),$8:$8,"&lt;="&amp;EOMONTH(EH$8,0))/SUMIFS(40:40,$8:$8,"&gt;="&amp;DATE(YEAR(EH$8),1,1),$8:$8,"&lt;="&amp;EOMONTH(EH$8,0))</f>
        <v/>
      </c>
      <c r="EI132" s="1318">
        <f>SUMIFS(76:76,$8:$8,"&gt;="&amp;DATE(YEAR(EI$8),1,1),$8:$8,"&lt;="&amp;EOMONTH(EI$8,0))/SUMIFS(40:40,$8:$8,"&gt;="&amp;DATE(YEAR(EI$8),1,1),$8:$8,"&lt;="&amp;EOMONTH(EI$8,0))</f>
        <v/>
      </c>
      <c r="EJ132" s="1318">
        <f>SUMIFS(76:76,$8:$8,"&gt;="&amp;DATE(YEAR(EJ$8),1,1),$8:$8,"&lt;="&amp;EOMONTH(EJ$8,0))/SUMIFS(40:40,$8:$8,"&gt;="&amp;DATE(YEAR(EJ$8),1,1),$8:$8,"&lt;="&amp;EOMONTH(EJ$8,0))</f>
        <v/>
      </c>
      <c r="EK132" s="1318">
        <f>SUMIFS(76:76,$8:$8,"&gt;="&amp;DATE(YEAR(EK$8),1,1),$8:$8,"&lt;="&amp;EOMONTH(EK$8,0))/SUMIFS(40:40,$8:$8,"&gt;="&amp;DATE(YEAR(EK$8),1,1),$8:$8,"&lt;="&amp;EOMONTH(EK$8,0))</f>
        <v/>
      </c>
      <c r="EL132" s="1318">
        <f>SUMIFS(76:76,$8:$8,"&gt;="&amp;DATE(YEAR(EL$8),1,1),$8:$8,"&lt;="&amp;EOMONTH(EL$8,0))/SUMIFS(40:40,$8:$8,"&gt;="&amp;DATE(YEAR(EL$8),1,1),$8:$8,"&lt;="&amp;EOMONTH(EL$8,0))</f>
        <v/>
      </c>
      <c r="EM132" s="1318">
        <f>SUMIFS(76:76,$8:$8,"&gt;="&amp;DATE(YEAR(EM$8),1,1),$8:$8,"&lt;="&amp;EOMONTH(EM$8,0))/SUMIFS(40:40,$8:$8,"&gt;="&amp;DATE(YEAR(EM$8),1,1),$8:$8,"&lt;="&amp;EOMONTH(EM$8,0))</f>
        <v/>
      </c>
      <c r="EN132" s="1318">
        <f>SUMIFS(76:76,$8:$8,"&gt;="&amp;DATE(YEAR(EN$8),1,1),$8:$8,"&lt;="&amp;EOMONTH(EN$8,0))/SUMIFS(40:40,$8:$8,"&gt;="&amp;DATE(YEAR(EN$8),1,1),$8:$8,"&lt;="&amp;EOMONTH(EN$8,0))</f>
        <v/>
      </c>
      <c r="EO132" s="1318">
        <f>SUMIFS(76:76,$8:$8,"&gt;="&amp;DATE(YEAR(EO$8),1,1),$8:$8,"&lt;="&amp;EOMONTH(EO$8,0))/SUMIFS(40:40,$8:$8,"&gt;="&amp;DATE(YEAR(EO$8),1,1),$8:$8,"&lt;="&amp;EOMONTH(EO$8,0))</f>
        <v/>
      </c>
      <c r="EP132" s="1318">
        <f>SUMIFS(76:76,$8:$8,"&gt;="&amp;DATE(YEAR(EP$8),1,1),$8:$8,"&lt;="&amp;EOMONTH(EP$8,0))/SUMIFS(40:40,$8:$8,"&gt;="&amp;DATE(YEAR(EP$8),1,1),$8:$8,"&lt;="&amp;EOMONTH(EP$8,0))</f>
        <v/>
      </c>
      <c r="EQ132" s="1318">
        <f>SUMIFS(76:76,$8:$8,"&gt;="&amp;DATE(YEAR(EQ$8),1,1),$8:$8,"&lt;="&amp;EOMONTH(EQ$8,0))/SUMIFS(40:40,$8:$8,"&gt;="&amp;DATE(YEAR(EQ$8),1,1),$8:$8,"&lt;="&amp;EOMONTH(EQ$8,0))</f>
        <v/>
      </c>
      <c r="ER132" s="1318">
        <f>SUMIFS(76:76,$8:$8,"&gt;="&amp;DATE(YEAR(ER$8),1,1),$8:$8,"&lt;="&amp;EOMONTH(ER$8,0))/SUMIFS(40:40,$8:$8,"&gt;="&amp;DATE(YEAR(ER$8),1,1),$8:$8,"&lt;="&amp;EOMONTH(ER$8,0))</f>
        <v/>
      </c>
      <c r="ES132" s="1318">
        <f>SUMIFS(76:76,$8:$8,"&gt;="&amp;DATE(YEAR(ES$8),1,1),$8:$8,"&lt;="&amp;EOMONTH(ES$8,0))/SUMIFS(40:40,$8:$8,"&gt;="&amp;DATE(YEAR(ES$8),1,1),$8:$8,"&lt;="&amp;EOMONTH(ES$8,0))</f>
        <v/>
      </c>
      <c r="ET132" s="1318">
        <f>SUMIFS(76:76,$8:$8,"&gt;="&amp;DATE(YEAR(ET$8),1,1),$8:$8,"&lt;="&amp;EOMONTH(ET$8,0))/SUMIFS(40:40,$8:$8,"&gt;="&amp;DATE(YEAR(ET$8),1,1),$8:$8,"&lt;="&amp;EOMONTH(ET$8,0))</f>
        <v/>
      </c>
      <c r="EU132" s="1318">
        <f>SUMIFS(76:76,$8:$8,"&gt;="&amp;DATE(YEAR(EU$8),1,1),$8:$8,"&lt;="&amp;EOMONTH(EU$8,0))/SUMIFS(40:40,$8:$8,"&gt;="&amp;DATE(YEAR(EU$8),1,1),$8:$8,"&lt;="&amp;EOMONTH(EU$8,0))</f>
        <v/>
      </c>
      <c r="EV132" s="1318">
        <f>SUMIFS(76:76,$8:$8,"&gt;="&amp;DATE(YEAR(EV$8),1,1),$8:$8,"&lt;="&amp;EOMONTH(EV$8,0))/SUMIFS(40:40,$8:$8,"&gt;="&amp;DATE(YEAR(EV$8),1,1),$8:$8,"&lt;="&amp;EOMONTH(EV$8,0))</f>
        <v/>
      </c>
      <c r="EW132" s="1318">
        <f>SUMIFS(76:76,$8:$8,"&gt;="&amp;DATE(YEAR(EW$8),1,1),$8:$8,"&lt;="&amp;EOMONTH(EW$8,0))/SUMIFS(40:40,$8:$8,"&gt;="&amp;DATE(YEAR(EW$8),1,1),$8:$8,"&lt;="&amp;EOMONTH(EW$8,0))</f>
        <v/>
      </c>
      <c r="EX132" s="1318">
        <f>SUMIFS(76:76,$8:$8,"&gt;="&amp;DATE(YEAR(EX$8),1,1),$8:$8,"&lt;="&amp;EOMONTH(EX$8,0))/SUMIFS(40:40,$8:$8,"&gt;="&amp;DATE(YEAR(EX$8),1,1),$8:$8,"&lt;="&amp;EOMONTH(EX$8,0))</f>
        <v/>
      </c>
      <c r="EY132" s="1318">
        <f>SUMIFS(76:76,$8:$8,"&gt;="&amp;DATE(YEAR(EY$8),1,1),$8:$8,"&lt;="&amp;EOMONTH(EY$8,0))/SUMIFS(40:40,$8:$8,"&gt;="&amp;DATE(YEAR(EY$8),1,1),$8:$8,"&lt;="&amp;EOMONTH(EY$8,0))</f>
        <v/>
      </c>
      <c r="EZ132" s="1318">
        <f>SUMIFS(76:76,$8:$8,"&gt;="&amp;DATE(YEAR(EZ$8),1,1),$8:$8,"&lt;="&amp;EOMONTH(EZ$8,0))/SUMIFS(40:40,$8:$8,"&gt;="&amp;DATE(YEAR(EZ$8),1,1),$8:$8,"&lt;="&amp;EOMONTH(EZ$8,0))</f>
        <v/>
      </c>
      <c r="FA132" s="1318">
        <f>SUMIFS(76:76,$8:$8,"&gt;="&amp;DATE(YEAR(FA$8),1,1),$8:$8,"&lt;="&amp;EOMONTH(FA$8,0))/SUMIFS(40:40,$8:$8,"&gt;="&amp;DATE(YEAR(FA$8),1,1),$8:$8,"&lt;="&amp;EOMONTH(FA$8,0))</f>
        <v/>
      </c>
      <c r="FB132" s="1318">
        <f>SUMIFS(76:76,$8:$8,"&gt;="&amp;DATE(YEAR(FB$8),1,1),$8:$8,"&lt;="&amp;EOMONTH(FB$8,0))/SUMIFS(40:40,$8:$8,"&gt;="&amp;DATE(YEAR(FB$8),1,1),$8:$8,"&lt;="&amp;EOMONTH(FB$8,0))</f>
        <v/>
      </c>
      <c r="FC132" s="1318">
        <f>SUMIFS(76:76,$8:$8,"&gt;="&amp;DATE(YEAR(FC$8),1,1),$8:$8,"&lt;="&amp;EOMONTH(FC$8,0))/SUMIFS(40:40,$8:$8,"&gt;="&amp;DATE(YEAR(FC$8),1,1),$8:$8,"&lt;="&amp;EOMONTH(FC$8,0))</f>
        <v/>
      </c>
      <c r="FD132" s="1318">
        <f>SUMIFS(76:76,$8:$8,"&gt;="&amp;DATE(YEAR(FD$8),1,1),$8:$8,"&lt;="&amp;EOMONTH(FD$8,0))/SUMIFS(40:40,$8:$8,"&gt;="&amp;DATE(YEAR(FD$8),1,1),$8:$8,"&lt;="&amp;EOMONTH(FD$8,0))</f>
        <v/>
      </c>
      <c r="FE132" s="1318">
        <f>SUMIFS(76:76,$8:$8,"&gt;="&amp;DATE(YEAR(FE$8),1,1),$8:$8,"&lt;="&amp;EOMONTH(FE$8,0))/SUMIFS(40:40,$8:$8,"&gt;="&amp;DATE(YEAR(FE$8),1,1),$8:$8,"&lt;="&amp;EOMONTH(FE$8,0))</f>
        <v/>
      </c>
      <c r="FF132" s="1318">
        <f>SUMIFS(76:76,$8:$8,"&gt;="&amp;DATE(YEAR(FF$8),1,1),$8:$8,"&lt;="&amp;EOMONTH(FF$8,0))/SUMIFS(40:40,$8:$8,"&gt;="&amp;DATE(YEAR(FF$8),1,1),$8:$8,"&lt;="&amp;EOMONTH(FF$8,0))</f>
        <v/>
      </c>
      <c r="FG132" s="1318">
        <f>SUMIFS(76:76,$8:$8,"&gt;="&amp;DATE(YEAR(FG$8),1,1),$8:$8,"&lt;="&amp;EOMONTH(FG$8,0))/SUMIFS(40:40,$8:$8,"&gt;="&amp;DATE(YEAR(FG$8),1,1),$8:$8,"&lt;="&amp;EOMONTH(FG$8,0))</f>
        <v/>
      </c>
      <c r="FH132" s="1318">
        <f>SUMIFS(76:76,$8:$8,"&gt;="&amp;DATE(YEAR(FH$8),1,1),$8:$8,"&lt;="&amp;EOMONTH(FH$8,0))/SUMIFS(40:40,$8:$8,"&gt;="&amp;DATE(YEAR(FH$8),1,1),$8:$8,"&lt;="&amp;EOMONTH(FH$8,0))</f>
        <v/>
      </c>
      <c r="FI132" s="1318">
        <f>SUMIFS(76:76,$8:$8,"&gt;="&amp;DATE(YEAR(FI$8),1,1),$8:$8,"&lt;="&amp;EOMONTH(FI$8,0))/SUMIFS(40:40,$8:$8,"&gt;="&amp;DATE(YEAR(FI$8),1,1),$8:$8,"&lt;="&amp;EOMONTH(FI$8,0))</f>
        <v/>
      </c>
      <c r="FJ132" s="1318">
        <f>SUMIFS(76:76,$8:$8,"&gt;="&amp;DATE(YEAR(FJ$8),1,1),$8:$8,"&lt;="&amp;EOMONTH(FJ$8,0))/SUMIFS(40:40,$8:$8,"&gt;="&amp;DATE(YEAR(FJ$8),1,1),$8:$8,"&lt;="&amp;EOMONTH(FJ$8,0))</f>
        <v/>
      </c>
      <c r="FK132" s="1318">
        <f>SUMIFS(76:76,$8:$8,"&gt;="&amp;DATE(YEAR(FK$8),1,1),$8:$8,"&lt;="&amp;EOMONTH(FK$8,0))/SUMIFS(40:40,$8:$8,"&gt;="&amp;DATE(YEAR(FK$8),1,1),$8:$8,"&lt;="&amp;EOMONTH(FK$8,0))</f>
        <v/>
      </c>
      <c r="FL132" s="1318">
        <f>SUMIFS(76:76,$8:$8,"&gt;="&amp;DATE(YEAR(FL$8),1,1),$8:$8,"&lt;="&amp;EOMONTH(FL$8,0))/SUMIFS(40:40,$8:$8,"&gt;="&amp;DATE(YEAR(FL$8),1,1),$8:$8,"&lt;="&amp;EOMONTH(FL$8,0))</f>
        <v/>
      </c>
      <c r="FM132" s="1318">
        <f>SUMIFS(76:76,$8:$8,"&gt;="&amp;DATE(YEAR(FM$8),1,1),$8:$8,"&lt;="&amp;EOMONTH(FM$8,0))/SUMIFS(40:40,$8:$8,"&gt;="&amp;DATE(YEAR(FM$8),1,1),$8:$8,"&lt;="&amp;EOMONTH(FM$8,0))</f>
        <v/>
      </c>
      <c r="FN132" s="1318">
        <f>SUMIFS(76:76,$8:$8,"&gt;="&amp;DATE(YEAR(FN$8),1,1),$8:$8,"&lt;="&amp;EOMONTH(FN$8,0))/SUMIFS(40:40,$8:$8,"&gt;="&amp;DATE(YEAR(FN$8),1,1),$8:$8,"&lt;="&amp;EOMONTH(FN$8,0))</f>
        <v/>
      </c>
      <c r="FO132" s="1318">
        <f>SUMIFS(76:76,$8:$8,"&gt;="&amp;DATE(YEAR(FO$8),1,1),$8:$8,"&lt;="&amp;EOMONTH(FO$8,0))/SUMIFS(40:40,$8:$8,"&gt;="&amp;DATE(YEAR(FO$8),1,1),$8:$8,"&lt;="&amp;EOMONTH(FO$8,0))</f>
        <v/>
      </c>
      <c r="FP132" s="1318">
        <f>SUMIFS(76:76,$8:$8,"&gt;="&amp;DATE(YEAR(FP$8),1,1),$8:$8,"&lt;="&amp;EOMONTH(FP$8,0))/SUMIFS(40:40,$8:$8,"&gt;="&amp;DATE(YEAR(FP$8),1,1),$8:$8,"&lt;="&amp;EOMONTH(FP$8,0))</f>
        <v/>
      </c>
      <c r="FQ132" s="1318">
        <f>SUMIFS(76:76,$8:$8,"&gt;="&amp;DATE(YEAR(FQ$8),1,1),$8:$8,"&lt;="&amp;EOMONTH(FQ$8,0))/SUMIFS(40:40,$8:$8,"&gt;="&amp;DATE(YEAR(FQ$8),1,1),$8:$8,"&lt;="&amp;EOMONTH(FQ$8,0))</f>
        <v/>
      </c>
      <c r="FR132" s="1318">
        <f>SUMIFS(76:76,$8:$8,"&gt;="&amp;DATE(YEAR(FR$8),1,1),$8:$8,"&lt;="&amp;EOMONTH(FR$8,0))/SUMIFS(40:40,$8:$8,"&gt;="&amp;DATE(YEAR(FR$8),1,1),$8:$8,"&lt;="&amp;EOMONTH(FR$8,0))</f>
        <v/>
      </c>
      <c r="FS132" s="1318">
        <f>SUMIFS(76:76,$8:$8,"&gt;="&amp;DATE(YEAR(FS$8),1,1),$8:$8,"&lt;="&amp;EOMONTH(FS$8,0))/SUMIFS(40:40,$8:$8,"&gt;="&amp;DATE(YEAR(FS$8),1,1),$8:$8,"&lt;="&amp;EOMONTH(FS$8,0))</f>
        <v/>
      </c>
      <c r="FT132" s="1318">
        <f>SUMIFS(76:76,$8:$8,"&gt;="&amp;DATE(YEAR(FT$8),1,1),$8:$8,"&lt;="&amp;EOMONTH(FT$8,0))/SUMIFS(40:40,$8:$8,"&gt;="&amp;DATE(YEAR(FT$8),1,1),$8:$8,"&lt;="&amp;EOMONTH(FT$8,0))</f>
        <v/>
      </c>
      <c r="FU132" s="1318">
        <f>SUMIFS(76:76,$8:$8,"&gt;="&amp;DATE(YEAR(FU$8),1,1),$8:$8,"&lt;="&amp;EOMONTH(FU$8,0))/SUMIFS(40:40,$8:$8,"&gt;="&amp;DATE(YEAR(FU$8),1,1),$8:$8,"&lt;="&amp;EOMONTH(FU$8,0))</f>
        <v/>
      </c>
      <c r="FV132" s="1318">
        <f>SUMIFS(76:76,$8:$8,"&gt;="&amp;DATE(YEAR(FV$8),1,1),$8:$8,"&lt;="&amp;EOMONTH(FV$8,0))/SUMIFS(40:40,$8:$8,"&gt;="&amp;DATE(YEAR(FV$8),1,1),$8:$8,"&lt;="&amp;EOMONTH(FV$8,0))</f>
        <v/>
      </c>
      <c r="FW132" s="1318">
        <f>SUMIFS(76:76,$8:$8,"&gt;="&amp;DATE(YEAR(FW$8),1,1),$8:$8,"&lt;="&amp;EOMONTH(FW$8,0))/SUMIFS(40:40,$8:$8,"&gt;="&amp;DATE(YEAR(FW$8),1,1),$8:$8,"&lt;="&amp;EOMONTH(FW$8,0))</f>
        <v/>
      </c>
      <c r="FX132" s="1318">
        <f>SUMIFS(76:76,$8:$8,"&gt;="&amp;DATE(YEAR(FX$8),1,1),$8:$8,"&lt;="&amp;EOMONTH(FX$8,0))/SUMIFS(40:40,$8:$8,"&gt;="&amp;DATE(YEAR(FX$8),1,1),$8:$8,"&lt;="&amp;EOMONTH(FX$8,0))</f>
        <v/>
      </c>
      <c r="FY132" s="1318">
        <f>SUMIFS(76:76,$8:$8,"&gt;="&amp;DATE(YEAR(FY$8),1,1),$8:$8,"&lt;="&amp;EOMONTH(FY$8,0))/SUMIFS(40:40,$8:$8,"&gt;="&amp;DATE(YEAR(FY$8),1,1),$8:$8,"&lt;="&amp;EOMONTH(FY$8,0))</f>
        <v/>
      </c>
      <c r="FZ132" s="1318">
        <f>SUMIFS(76:76,$8:$8,"&gt;="&amp;DATE(YEAR(FZ$8),1,1),$8:$8,"&lt;="&amp;EOMONTH(FZ$8,0))/SUMIFS(40:40,$8:$8,"&gt;="&amp;DATE(YEAR(FZ$8),1,1),$8:$8,"&lt;="&amp;EOMONTH(FZ$8,0))</f>
        <v/>
      </c>
      <c r="GA132" s="1318">
        <f>SUMIFS(76:76,$8:$8,"&gt;="&amp;DATE(YEAR(GA$8),1,1),$8:$8,"&lt;="&amp;EOMONTH(GA$8,0))/SUMIFS(40:40,$8:$8,"&gt;="&amp;DATE(YEAR(GA$8),1,1),$8:$8,"&lt;="&amp;EOMONTH(GA$8,0))</f>
        <v/>
      </c>
      <c r="GB132" s="1318">
        <f>SUMIFS(76:76,$8:$8,"&gt;="&amp;DATE(YEAR(GB$8),1,1),$8:$8,"&lt;="&amp;EOMONTH(GB$8,0))/SUMIFS(40:40,$8:$8,"&gt;="&amp;DATE(YEAR(GB$8),1,1),$8:$8,"&lt;="&amp;EOMONTH(GB$8,0))</f>
        <v/>
      </c>
      <c r="GC132" s="1318">
        <f>SUMIFS(76:76,$8:$8,"&gt;="&amp;DATE(YEAR(GC$8),1,1),$8:$8,"&lt;="&amp;EOMONTH(GC$8,0))/SUMIFS(40:40,$8:$8,"&gt;="&amp;DATE(YEAR(GC$8),1,1),$8:$8,"&lt;="&amp;EOMONTH(GC$8,0))</f>
        <v/>
      </c>
      <c r="GD132" s="1318">
        <f>SUMIFS(76:76,$8:$8,"&gt;="&amp;DATE(YEAR(GD$8),1,1),$8:$8,"&lt;="&amp;EOMONTH(GD$8,0))/SUMIFS(40:40,$8:$8,"&gt;="&amp;DATE(YEAR(GD$8),1,1),$8:$8,"&lt;="&amp;EOMONTH(GD$8,0))</f>
        <v/>
      </c>
      <c r="GE132" s="1318">
        <f>SUMIFS(76:76,$8:$8,"&gt;="&amp;DATE(YEAR(GE$8),1,1),$8:$8,"&lt;="&amp;EOMONTH(GE$8,0))/SUMIFS(40:40,$8:$8,"&gt;="&amp;DATE(YEAR(GE$8),1,1),$8:$8,"&lt;="&amp;EOMONTH(GE$8,0))</f>
        <v/>
      </c>
      <c r="GF132" s="1318">
        <f>SUMIFS(76:76,$8:$8,"&gt;="&amp;DATE(YEAR(GF$8),1,1),$8:$8,"&lt;="&amp;EOMONTH(GF$8,0))/SUMIFS(40:40,$8:$8,"&gt;="&amp;DATE(YEAR(GF$8),1,1),$8:$8,"&lt;="&amp;EOMONTH(GF$8,0))</f>
        <v/>
      </c>
      <c r="GG132" s="1318">
        <f>SUMIFS(76:76,$8:$8,"&gt;="&amp;DATE(YEAR(GG$8),1,1),$8:$8,"&lt;="&amp;EOMONTH(GG$8,0))/SUMIFS(40:40,$8:$8,"&gt;="&amp;DATE(YEAR(GG$8),1,1),$8:$8,"&lt;="&amp;EOMONTH(GG$8,0))</f>
        <v/>
      </c>
      <c r="GH132" s="1318">
        <f>SUMIFS(76:76,$8:$8,"&gt;="&amp;DATE(YEAR(GH$8),1,1),$8:$8,"&lt;="&amp;EOMONTH(GH$8,0))/SUMIFS(40:40,$8:$8,"&gt;="&amp;DATE(YEAR(GH$8),1,1),$8:$8,"&lt;="&amp;EOMONTH(GH$8,0))</f>
        <v/>
      </c>
      <c r="GI132" s="1318">
        <f>SUMIFS(76:76,$8:$8,"&gt;="&amp;DATE(YEAR(GI$8),1,1),$8:$8,"&lt;="&amp;EOMONTH(GI$8,0))/SUMIFS(40:40,$8:$8,"&gt;="&amp;DATE(YEAR(GI$8),1,1),$8:$8,"&lt;="&amp;EOMONTH(GI$8,0))</f>
        <v/>
      </c>
      <c r="GJ132" s="1318">
        <f>SUMIFS(76:76,$8:$8,"&gt;="&amp;DATE(YEAR(GJ$8),1,1),$8:$8,"&lt;="&amp;EOMONTH(GJ$8,0))/SUMIFS(40:40,$8:$8,"&gt;="&amp;DATE(YEAR(GJ$8),1,1),$8:$8,"&lt;="&amp;EOMONTH(GJ$8,0))</f>
        <v/>
      </c>
      <c r="GK132" s="1318">
        <f>SUMIFS(76:76,$8:$8,"&gt;="&amp;DATE(YEAR(GK$8),1,1),$8:$8,"&lt;="&amp;EOMONTH(GK$8,0))/SUMIFS(40:40,$8:$8,"&gt;="&amp;DATE(YEAR(GK$8),1,1),$8:$8,"&lt;="&amp;EOMONTH(GK$8,0))</f>
        <v/>
      </c>
      <c r="GL132" s="1318">
        <f>SUMIFS(76:76,$8:$8,"&gt;="&amp;DATE(YEAR(GL$8),1,1),$8:$8,"&lt;="&amp;EOMONTH(GL$8,0))/SUMIFS(40:40,$8:$8,"&gt;="&amp;DATE(YEAR(GL$8),1,1),$8:$8,"&lt;="&amp;EOMONTH(GL$8,0))</f>
        <v/>
      </c>
      <c r="GM132" s="1318">
        <f>SUMIFS(76:76,$8:$8,"&gt;="&amp;DATE(YEAR(GM$8),1,1),$8:$8,"&lt;="&amp;EOMONTH(GM$8,0))/SUMIFS(40:40,$8:$8,"&gt;="&amp;DATE(YEAR(GM$8),1,1),$8:$8,"&lt;="&amp;EOMONTH(GM$8,0))</f>
        <v/>
      </c>
      <c r="GN132" s="1318">
        <f>SUMIFS(76:76,$8:$8,"&gt;="&amp;DATE(YEAR(GN$8),1,1),$8:$8,"&lt;="&amp;EOMONTH(GN$8,0))/SUMIFS(40:40,$8:$8,"&gt;="&amp;DATE(YEAR(GN$8),1,1),$8:$8,"&lt;="&amp;EOMONTH(GN$8,0))</f>
        <v/>
      </c>
      <c r="GO132" s="1318">
        <f>SUMIFS(76:76,$8:$8,"&gt;="&amp;DATE(YEAR(GO$8),1,1),$8:$8,"&lt;="&amp;EOMONTH(GO$8,0))/SUMIFS(40:40,$8:$8,"&gt;="&amp;DATE(YEAR(GO$8),1,1),$8:$8,"&lt;="&amp;EOMONTH(GO$8,0))</f>
        <v/>
      </c>
      <c r="GP132" s="1318">
        <f>SUMIFS(76:76,$8:$8,"&gt;="&amp;DATE(YEAR(GP$8),1,1),$8:$8,"&lt;="&amp;EOMONTH(GP$8,0))/SUMIFS(40:40,$8:$8,"&gt;="&amp;DATE(YEAR(GP$8),1,1),$8:$8,"&lt;="&amp;EOMONTH(GP$8,0))</f>
        <v/>
      </c>
      <c r="GQ132" s="1318">
        <f>SUMIFS(76:76,$8:$8,"&gt;="&amp;DATE(YEAR(GQ$8),1,1),$8:$8,"&lt;="&amp;EOMONTH(GQ$8,0))/SUMIFS(40:40,$8:$8,"&gt;="&amp;DATE(YEAR(GQ$8),1,1),$8:$8,"&lt;="&amp;EOMONTH(GQ$8,0))</f>
        <v/>
      </c>
      <c r="GR132" s="1318">
        <f>SUMIFS(76:76,$8:$8,"&gt;="&amp;DATE(YEAR(GR$8),1,1),$8:$8,"&lt;="&amp;EOMONTH(GR$8,0))/SUMIFS(40:40,$8:$8,"&gt;="&amp;DATE(YEAR(GR$8),1,1),$8:$8,"&lt;="&amp;EOMONTH(GR$8,0))</f>
        <v/>
      </c>
      <c r="GS132" s="1318">
        <f>SUMIFS(76:76,$8:$8,"&gt;="&amp;DATE(YEAR(GS$8),1,1),$8:$8,"&lt;="&amp;EOMONTH(GS$8,0))/SUMIFS(40:40,$8:$8,"&gt;="&amp;DATE(YEAR(GS$8),1,1),$8:$8,"&lt;="&amp;EOMONTH(GS$8,0))</f>
        <v/>
      </c>
      <c r="GT132" s="1318">
        <f>SUMIFS(76:76,$8:$8,"&gt;="&amp;DATE(YEAR(GT$8),1,1),$8:$8,"&lt;="&amp;EOMONTH(GT$8,0))/SUMIFS(40:40,$8:$8,"&gt;="&amp;DATE(YEAR(GT$8),1,1),$8:$8,"&lt;="&amp;EOMONTH(GT$8,0))</f>
        <v/>
      </c>
      <c r="GU132" s="1318">
        <f>SUMIFS(76:76,$8:$8,"&gt;="&amp;DATE(YEAR(GU$8),1,1),$8:$8,"&lt;="&amp;EOMONTH(GU$8,0))/SUMIFS(40:40,$8:$8,"&gt;="&amp;DATE(YEAR(GU$8),1,1),$8:$8,"&lt;="&amp;EOMONTH(GU$8,0))</f>
        <v/>
      </c>
      <c r="GV132" s="1318">
        <f>SUMIFS(76:76,$8:$8,"&gt;="&amp;DATE(YEAR(GV$8),1,1),$8:$8,"&lt;="&amp;EOMONTH(GV$8,0))/SUMIFS(40:40,$8:$8,"&gt;="&amp;DATE(YEAR(GV$8),1,1),$8:$8,"&lt;="&amp;EOMONTH(GV$8,0))</f>
        <v/>
      </c>
      <c r="GW132" s="1318">
        <f>SUMIFS(76:76,$8:$8,"&gt;="&amp;DATE(YEAR(GW$8),1,1),$8:$8,"&lt;="&amp;EOMONTH(GW$8,0))/SUMIFS(40:40,$8:$8,"&gt;="&amp;DATE(YEAR(GW$8),1,1),$8:$8,"&lt;="&amp;EOMONTH(GW$8,0))</f>
        <v/>
      </c>
      <c r="GX132" s="1318">
        <f>SUMIFS(76:76,$8:$8,"&gt;="&amp;DATE(YEAR(GX$8),1,1),$8:$8,"&lt;="&amp;EOMONTH(GX$8,0))/SUMIFS(40:40,$8:$8,"&gt;="&amp;DATE(YEAR(GX$8),1,1),$8:$8,"&lt;="&amp;EOMONTH(GX$8,0))</f>
        <v/>
      </c>
      <c r="GY132" s="1318">
        <f>SUMIFS(76:76,$8:$8,"&gt;="&amp;DATE(YEAR(GY$8),1,1),$8:$8,"&lt;="&amp;EOMONTH(GY$8,0))/SUMIFS(40:40,$8:$8,"&gt;="&amp;DATE(YEAR(GY$8),1,1),$8:$8,"&lt;="&amp;EOMONTH(GY$8,0))</f>
        <v/>
      </c>
      <c r="GZ132" s="1318">
        <f>SUMIFS(76:76,$8:$8,"&gt;="&amp;DATE(YEAR(GZ$8),1,1),$8:$8,"&lt;="&amp;EOMONTH(GZ$8,0))/SUMIFS(40:40,$8:$8,"&gt;="&amp;DATE(YEAR(GZ$8),1,1),$8:$8,"&lt;="&amp;EOMONTH(GZ$8,0))</f>
        <v/>
      </c>
      <c r="HA132" s="1318">
        <f>SUMIFS(76:76,$8:$8,"&gt;="&amp;DATE(YEAR(HA$8),1,1),$8:$8,"&lt;="&amp;EOMONTH(HA$8,0))/SUMIFS(40:40,$8:$8,"&gt;="&amp;DATE(YEAR(HA$8),1,1),$8:$8,"&lt;="&amp;EOMONTH(HA$8,0))</f>
        <v/>
      </c>
      <c r="HB132" s="1318">
        <f>SUMIFS(76:76,$8:$8,"&gt;="&amp;DATE(YEAR(HB$8),1,1),$8:$8,"&lt;="&amp;EOMONTH(HB$8,0))/SUMIFS(40:40,$8:$8,"&gt;="&amp;DATE(YEAR(HB$8),1,1),$8:$8,"&lt;="&amp;EOMONTH(HB$8,0))</f>
        <v/>
      </c>
      <c r="HC132" s="1318">
        <f>SUMIFS(76:76,$8:$8,"&gt;="&amp;DATE(YEAR(HC$8),1,1),$8:$8,"&lt;="&amp;EOMONTH(HC$8,0))/SUMIFS(40:40,$8:$8,"&gt;="&amp;DATE(YEAR(HC$8),1,1),$8:$8,"&lt;="&amp;EOMONTH(HC$8,0))</f>
        <v/>
      </c>
      <c r="HD132" s="1318">
        <f>SUMIFS(76:76,$8:$8,"&gt;="&amp;DATE(YEAR(HD$8),1,1),$8:$8,"&lt;="&amp;EOMONTH(HD$8,0))/SUMIFS(40:40,$8:$8,"&gt;="&amp;DATE(YEAR(HD$8),1,1),$8:$8,"&lt;="&amp;EOMONTH(HD$8,0))</f>
        <v/>
      </c>
      <c r="HE132" s="1318">
        <f>SUMIFS(76:76,$8:$8,"&gt;="&amp;DATE(YEAR(HE$8),1,1),$8:$8,"&lt;="&amp;EOMONTH(HE$8,0))/SUMIFS(40:40,$8:$8,"&gt;="&amp;DATE(YEAR(HE$8),1,1),$8:$8,"&lt;="&amp;EOMONTH(HE$8,0))</f>
        <v/>
      </c>
      <c r="HF132" s="1318">
        <f>SUMIFS(76:76,$8:$8,"&gt;="&amp;DATE(YEAR(HF$8),1,1),$8:$8,"&lt;="&amp;EOMONTH(HF$8,0))/SUMIFS(40:40,$8:$8,"&gt;="&amp;DATE(YEAR(HF$8),1,1),$8:$8,"&lt;="&amp;EOMONTH(HF$8,0))</f>
        <v/>
      </c>
      <c r="HG132" s="1318">
        <f>SUMIFS(76:76,$8:$8,"&gt;="&amp;DATE(YEAR(HG$8),1,1),$8:$8,"&lt;="&amp;EOMONTH(HG$8,0))/SUMIFS(40:40,$8:$8,"&gt;="&amp;DATE(YEAR(HG$8),1,1),$8:$8,"&lt;="&amp;EOMONTH(HG$8,0))</f>
        <v/>
      </c>
      <c r="HH132" s="1318">
        <f>SUMIFS(76:76,$8:$8,"&gt;="&amp;DATE(YEAR(HH$8),1,1),$8:$8,"&lt;="&amp;EOMONTH(HH$8,0))/SUMIFS(40:40,$8:$8,"&gt;="&amp;DATE(YEAR(HH$8),1,1),$8:$8,"&lt;="&amp;EOMONTH(HH$8,0))</f>
        <v/>
      </c>
      <c r="HI132" s="1318">
        <f>SUMIFS(76:76,$8:$8,"&gt;="&amp;DATE(YEAR(HI$8),1,1),$8:$8,"&lt;="&amp;EOMONTH(HI$8,0))/SUMIFS(40:40,$8:$8,"&gt;="&amp;DATE(YEAR(HI$8),1,1),$8:$8,"&lt;="&amp;EOMONTH(HI$8,0))</f>
        <v/>
      </c>
      <c r="HJ132" s="1318">
        <f>SUMIFS(76:76,$8:$8,"&gt;="&amp;DATE(YEAR(HJ$8),1,1),$8:$8,"&lt;="&amp;EOMONTH(HJ$8,0))/SUMIFS(40:40,$8:$8,"&gt;="&amp;DATE(YEAR(HJ$8),1,1),$8:$8,"&lt;="&amp;EOMONTH(HJ$8,0))</f>
        <v/>
      </c>
      <c r="HK132" s="1318">
        <f>SUMIFS(76:76,$8:$8,"&gt;="&amp;DATE(YEAR(HK$8),1,1),$8:$8,"&lt;="&amp;EOMONTH(HK$8,0))/SUMIFS(40:40,$8:$8,"&gt;="&amp;DATE(YEAR(HK$8),1,1),$8:$8,"&lt;="&amp;EOMONTH(HK$8,0))</f>
        <v/>
      </c>
      <c r="HL132" s="1318">
        <f>SUMIFS(76:76,$8:$8,"&gt;="&amp;DATE(YEAR(HL$8),1,1),$8:$8,"&lt;="&amp;EOMONTH(HL$8,0))/SUMIFS(40:40,$8:$8,"&gt;="&amp;DATE(YEAR(HL$8),1,1),$8:$8,"&lt;="&amp;EOMONTH(HL$8,0))</f>
        <v/>
      </c>
      <c r="HM132" s="1318">
        <f>SUMIFS(76:76,$8:$8,"&gt;="&amp;DATE(YEAR(HM$8),1,1),$8:$8,"&lt;="&amp;EOMONTH(HM$8,0))/SUMIFS(40:40,$8:$8,"&gt;="&amp;DATE(YEAR(HM$8),1,1),$8:$8,"&lt;="&amp;EOMONTH(HM$8,0))</f>
        <v/>
      </c>
      <c r="HN132" s="1318">
        <f>SUMIFS(76:76,$8:$8,"&gt;="&amp;DATE(YEAR(HN$8),1,1),$8:$8,"&lt;="&amp;EOMONTH(HN$8,0))/SUMIFS(40:40,$8:$8,"&gt;="&amp;DATE(YEAR(HN$8),1,1),$8:$8,"&lt;="&amp;EOMONTH(HN$8,0))</f>
        <v/>
      </c>
      <c r="HO132" s="1318">
        <f>SUMIFS(76:76,$8:$8,"&gt;="&amp;DATE(YEAR(HO$8),1,1),$8:$8,"&lt;="&amp;EOMONTH(HO$8,0))/SUMIFS(40:40,$8:$8,"&gt;="&amp;DATE(YEAR(HO$8),1,1),$8:$8,"&lt;="&amp;EOMONTH(HO$8,0))</f>
        <v/>
      </c>
      <c r="HP132" s="1318">
        <f>SUMIFS(76:76,$8:$8,"&gt;="&amp;DATE(YEAR(HP$8),1,1),$8:$8,"&lt;="&amp;EOMONTH(HP$8,0))/SUMIFS(40:40,$8:$8,"&gt;="&amp;DATE(YEAR(HP$8),1,1),$8:$8,"&lt;="&amp;EOMONTH(HP$8,0))</f>
        <v/>
      </c>
      <c r="HQ132" s="1318">
        <f>SUMIFS(76:76,$8:$8,"&gt;="&amp;DATE(YEAR(HQ$8),1,1),$8:$8,"&lt;="&amp;EOMONTH(HQ$8,0))/SUMIFS(40:40,$8:$8,"&gt;="&amp;DATE(YEAR(HQ$8),1,1),$8:$8,"&lt;="&amp;EOMONTH(HQ$8,0))</f>
        <v/>
      </c>
      <c r="HR132" s="1318">
        <f>SUMIFS(76:76,$8:$8,"&gt;="&amp;DATE(YEAR(HR$8),1,1),$8:$8,"&lt;="&amp;EOMONTH(HR$8,0))/SUMIFS(40:40,$8:$8,"&gt;="&amp;DATE(YEAR(HR$8),1,1),$8:$8,"&lt;="&amp;EOMONTH(HR$8,0))</f>
        <v/>
      </c>
      <c r="HS132" s="1318">
        <f>SUMIFS(76:76,$8:$8,"&gt;="&amp;DATE(YEAR(HS$8),1,1),$8:$8,"&lt;="&amp;EOMONTH(HS$8,0))/SUMIFS(40:40,$8:$8,"&gt;="&amp;DATE(YEAR(HS$8),1,1),$8:$8,"&lt;="&amp;EOMONTH(HS$8,0))</f>
        <v/>
      </c>
      <c r="HT132" s="1318">
        <f>SUMIFS(76:76,$8:$8,"&gt;="&amp;DATE(YEAR(HT$8),1,1),$8:$8,"&lt;="&amp;EOMONTH(HT$8,0))/SUMIFS(40:40,$8:$8,"&gt;="&amp;DATE(YEAR(HT$8),1,1),$8:$8,"&lt;="&amp;EOMONTH(HT$8,0))</f>
        <v/>
      </c>
      <c r="HU132" s="1318">
        <f>SUMIFS(76:76,$8:$8,"&gt;="&amp;DATE(YEAR(HU$8),1,1),$8:$8,"&lt;="&amp;EOMONTH(HU$8,0))/SUMIFS(40:40,$8:$8,"&gt;="&amp;DATE(YEAR(HU$8),1,1),$8:$8,"&lt;="&amp;EOMONTH(HU$8,0))</f>
        <v/>
      </c>
      <c r="HV132" s="1318">
        <f>SUMIFS(76:76,$8:$8,"&gt;="&amp;DATE(YEAR(HV$8),1,1),$8:$8,"&lt;="&amp;EOMONTH(HV$8,0))/SUMIFS(40:40,$8:$8,"&gt;="&amp;DATE(YEAR(HV$8),1,1),$8:$8,"&lt;="&amp;EOMONTH(HV$8,0))</f>
        <v/>
      </c>
      <c r="HW132" s="1318">
        <f>SUMIFS(76:76,$8:$8,"&gt;="&amp;DATE(YEAR(HW$8),1,1),$8:$8,"&lt;="&amp;EOMONTH(HW$8,0))/SUMIFS(40:40,$8:$8,"&gt;="&amp;DATE(YEAR(HW$8),1,1),$8:$8,"&lt;="&amp;EOMONTH(HW$8,0))</f>
        <v/>
      </c>
      <c r="HX132" s="1318">
        <f>SUMIFS(76:76,$8:$8,"&gt;="&amp;DATE(YEAR(HX$8),1,1),$8:$8,"&lt;="&amp;EOMONTH(HX$8,0))/SUMIFS(40:40,$8:$8,"&gt;="&amp;DATE(YEAR(HX$8),1,1),$8:$8,"&lt;="&amp;EOMONTH(HX$8,0))</f>
        <v/>
      </c>
      <c r="HY132" s="1318">
        <f>SUMIFS(76:76,$8:$8,"&gt;="&amp;DATE(YEAR(HY$8),1,1),$8:$8,"&lt;="&amp;EOMONTH(HY$8,0))/SUMIFS(40:40,$8:$8,"&gt;="&amp;DATE(YEAR(HY$8),1,1),$8:$8,"&lt;="&amp;EOMONTH(HY$8,0))</f>
        <v/>
      </c>
      <c r="HZ132" s="1318">
        <f>SUMIFS(76:76,$8:$8,"&gt;="&amp;DATE(YEAR(HZ$8),1,1),$8:$8,"&lt;="&amp;EOMONTH(HZ$8,0))/SUMIFS(40:40,$8:$8,"&gt;="&amp;DATE(YEAR(HZ$8),1,1),$8:$8,"&lt;="&amp;EOMONTH(HZ$8,0))</f>
        <v/>
      </c>
      <c r="IA132" s="1318">
        <f>SUMIFS(76:76,$8:$8,"&gt;="&amp;DATE(YEAR(IA$8),1,1),$8:$8,"&lt;="&amp;EOMONTH(IA$8,0))/SUMIFS(40:40,$8:$8,"&gt;="&amp;DATE(YEAR(IA$8),1,1),$8:$8,"&lt;="&amp;EOMONTH(IA$8,0))</f>
        <v/>
      </c>
      <c r="IB132" s="1318">
        <f>SUMIFS(76:76,$8:$8,"&gt;="&amp;DATE(YEAR(IB$8),1,1),$8:$8,"&lt;="&amp;EOMONTH(IB$8,0))/SUMIFS(40:40,$8:$8,"&gt;="&amp;DATE(YEAR(IB$8),1,1),$8:$8,"&lt;="&amp;EOMONTH(IB$8,0))</f>
        <v/>
      </c>
      <c r="IC132" s="1318">
        <f>SUMIFS(76:76,$8:$8,"&gt;="&amp;DATE(YEAR(IC$8),1,1),$8:$8,"&lt;="&amp;EOMONTH(IC$8,0))/SUMIFS(40:40,$8:$8,"&gt;="&amp;DATE(YEAR(IC$8),1,1),$8:$8,"&lt;="&amp;EOMONTH(IC$8,0))</f>
        <v/>
      </c>
      <c r="ID132" s="1318">
        <f>SUMIFS(76:76,$8:$8,"&gt;="&amp;DATE(YEAR(ID$8),1,1),$8:$8,"&lt;="&amp;EOMONTH(ID$8,0))/SUMIFS(40:40,$8:$8,"&gt;="&amp;DATE(YEAR(ID$8),1,1),$8:$8,"&lt;="&amp;EOMONTH(ID$8,0))</f>
        <v/>
      </c>
      <c r="IE132" s="1318">
        <f>SUMIFS(76:76,$8:$8,"&gt;="&amp;DATE(YEAR(IE$8),1,1),$8:$8,"&lt;="&amp;EOMONTH(IE$8,0))/SUMIFS(40:40,$8:$8,"&gt;="&amp;DATE(YEAR(IE$8),1,1),$8:$8,"&lt;="&amp;EOMONTH(IE$8,0))</f>
        <v/>
      </c>
      <c r="IF132" s="1318">
        <f>SUMIFS(76:76,$8:$8,"&gt;="&amp;DATE(YEAR(IF$8),1,1),$8:$8,"&lt;="&amp;EOMONTH(IF$8,0))/SUMIFS(40:40,$8:$8,"&gt;="&amp;DATE(YEAR(IF$8),1,1),$8:$8,"&lt;="&amp;EOMONTH(IF$8,0))</f>
        <v/>
      </c>
      <c r="IG132" s="1318">
        <f>SUMIFS(76:76,$8:$8,"&gt;="&amp;DATE(YEAR(IG$8),1,1),$8:$8,"&lt;="&amp;EOMONTH(IG$8,0))/SUMIFS(40:40,$8:$8,"&gt;="&amp;DATE(YEAR(IG$8),1,1),$8:$8,"&lt;="&amp;EOMONTH(IG$8,0))</f>
        <v/>
      </c>
      <c r="IH132" s="1318">
        <f>SUMIFS(76:76,$8:$8,"&gt;="&amp;DATE(YEAR(IH$8),1,1),$8:$8,"&lt;="&amp;EOMONTH(IH$8,0))/SUMIFS(40:40,$8:$8,"&gt;="&amp;DATE(YEAR(IH$8),1,1),$8:$8,"&lt;="&amp;EOMONTH(IH$8,0))</f>
        <v/>
      </c>
      <c r="II132" s="1318">
        <f>SUMIFS(76:76,$8:$8,"&gt;="&amp;DATE(YEAR(II$8),1,1),$8:$8,"&lt;="&amp;EOMONTH(II$8,0))/SUMIFS(40:40,$8:$8,"&gt;="&amp;DATE(YEAR(II$8),1,1),$8:$8,"&lt;="&amp;EOMONTH(II$8,0))</f>
        <v/>
      </c>
      <c r="IJ132" s="1318">
        <f>SUMIFS(76:76,$8:$8,"&gt;="&amp;DATE(YEAR(IJ$8),1,1),$8:$8,"&lt;="&amp;EOMONTH(IJ$8,0))/SUMIFS(40:40,$8:$8,"&gt;="&amp;DATE(YEAR(IJ$8),1,1),$8:$8,"&lt;="&amp;EOMONTH(IJ$8,0))</f>
        <v/>
      </c>
      <c r="IK132" s="1318">
        <f>SUMIFS(76:76,$8:$8,"&gt;="&amp;DATE(YEAR(IK$8),1,1),$8:$8,"&lt;="&amp;EOMONTH(IK$8,0))/SUMIFS(40:40,$8:$8,"&gt;="&amp;DATE(YEAR(IK$8),1,1),$8:$8,"&lt;="&amp;EOMONTH(IK$8,0))</f>
        <v/>
      </c>
      <c r="IL132" s="1318">
        <f>SUMIFS(76:76,$8:$8,"&gt;="&amp;DATE(YEAR(IL$8),1,1),$8:$8,"&lt;="&amp;EOMONTH(IL$8,0))/SUMIFS(40:40,$8:$8,"&gt;="&amp;DATE(YEAR(IL$8),1,1),$8:$8,"&lt;="&amp;EOMONTH(IL$8,0))</f>
        <v/>
      </c>
      <c r="IM132" s="1318">
        <f>SUMIFS(76:76,$8:$8,"&gt;="&amp;DATE(YEAR(IM$8),1,1),$8:$8,"&lt;="&amp;EOMONTH(IM$8,0))/SUMIFS(40:40,$8:$8,"&gt;="&amp;DATE(YEAR(IM$8),1,1),$8:$8,"&lt;="&amp;EOMONTH(IM$8,0))</f>
        <v/>
      </c>
      <c r="IN132" s="1318">
        <f>SUMIFS(76:76,$8:$8,"&gt;="&amp;DATE(YEAR(IN$8),1,1),$8:$8,"&lt;="&amp;EOMONTH(IN$8,0))/SUMIFS(40:40,$8:$8,"&gt;="&amp;DATE(YEAR(IN$8),1,1),$8:$8,"&lt;="&amp;EOMONTH(IN$8,0))</f>
        <v/>
      </c>
      <c r="IO132" s="1318">
        <f>SUMIFS(76:76,$8:$8,"&gt;="&amp;DATE(YEAR(IO$8),1,1),$8:$8,"&lt;="&amp;EOMONTH(IO$8,0))/SUMIFS(40:40,$8:$8,"&gt;="&amp;DATE(YEAR(IO$8),1,1),$8:$8,"&lt;="&amp;EOMONTH(IO$8,0))</f>
        <v/>
      </c>
      <c r="IP132" s="1318">
        <f>SUMIFS(76:76,$8:$8,"&gt;="&amp;DATE(YEAR(IP$8),1,1),$8:$8,"&lt;="&amp;EOMONTH(IP$8,0))/SUMIFS(40:40,$8:$8,"&gt;="&amp;DATE(YEAR(IP$8),1,1),$8:$8,"&lt;="&amp;EOMONTH(IP$8,0))</f>
        <v/>
      </c>
      <c r="IQ132" s="1318">
        <f>SUMIFS(76:76,$8:$8,"&gt;="&amp;DATE(YEAR(IQ$8),1,1),$8:$8,"&lt;="&amp;EOMONTH(IQ$8,0))/SUMIFS(40:40,$8:$8,"&gt;="&amp;DATE(YEAR(IQ$8),1,1),$8:$8,"&lt;="&amp;EOMONTH(IQ$8,0))</f>
        <v/>
      </c>
      <c r="IR132" s="1318">
        <f>SUMIFS(76:76,$8:$8,"&gt;="&amp;DATE(YEAR(IR$8),1,1),$8:$8,"&lt;="&amp;EOMONTH(IR$8,0))/SUMIFS(40:40,$8:$8,"&gt;="&amp;DATE(YEAR(IR$8),1,1),$8:$8,"&lt;="&amp;EOMONTH(IR$8,0))</f>
        <v/>
      </c>
      <c r="IS132" s="1318">
        <f>SUMIFS(76:76,$8:$8,"&gt;="&amp;DATE(YEAR(IS$8),1,1),$8:$8,"&lt;="&amp;EOMONTH(IS$8,0))/SUMIFS(40:40,$8:$8,"&gt;="&amp;DATE(YEAR(IS$8),1,1),$8:$8,"&lt;="&amp;EOMONTH(IS$8,0))</f>
        <v/>
      </c>
      <c r="IT132" s="1318">
        <f>SUMIFS(76:76,$8:$8,"&gt;="&amp;DATE(YEAR(IT$8),1,1),$8:$8,"&lt;="&amp;EOMONTH(IT$8,0))/SUMIFS(40:40,$8:$8,"&gt;="&amp;DATE(YEAR(IT$8),1,1),$8:$8,"&lt;="&amp;EOMONTH(IT$8,0))</f>
        <v/>
      </c>
      <c r="IU132" s="1318">
        <f>SUMIFS(76:76,$8:$8,"&gt;="&amp;DATE(YEAR(IU$8),1,1),$8:$8,"&lt;="&amp;EOMONTH(IU$8,0))/SUMIFS(40:40,$8:$8,"&gt;="&amp;DATE(YEAR(IU$8),1,1),$8:$8,"&lt;="&amp;EOMONTH(IU$8,0))</f>
        <v/>
      </c>
      <c r="IV132" s="1318">
        <f>SUMIFS(76:76,$8:$8,"&gt;="&amp;DATE(YEAR(IV$8),1,1),$8:$8,"&lt;="&amp;EOMONTH(IV$8,0))/SUMIFS(40:40,$8:$8,"&gt;="&amp;DATE(YEAR(IV$8),1,1),$8:$8,"&lt;="&amp;EOMONTH(IV$8,0))</f>
        <v/>
      </c>
      <c r="IW132" s="1318">
        <f>SUMIFS(76:76,$8:$8,"&gt;="&amp;DATE(YEAR(IW$8),1,1),$8:$8,"&lt;="&amp;EOMONTH(IW$8,0))/SUMIFS(40:40,$8:$8,"&gt;="&amp;DATE(YEAR(IW$8),1,1),$8:$8,"&lt;="&amp;EOMONTH(IW$8,0))</f>
        <v/>
      </c>
      <c r="IX132" s="1318">
        <f>SUMIFS(76:76,$8:$8,"&gt;="&amp;DATE(YEAR(IX$8),1,1),$8:$8,"&lt;="&amp;EOMONTH(IX$8,0))/SUMIFS(40:40,$8:$8,"&gt;="&amp;DATE(YEAR(IX$8),1,1),$8:$8,"&lt;="&amp;EOMONTH(IX$8,0))</f>
        <v/>
      </c>
      <c r="IY132" s="1318">
        <f>SUMIFS(76:76,$8:$8,"&gt;="&amp;DATE(YEAR(IY$8),1,1),$8:$8,"&lt;="&amp;EOMONTH(IY$8,0))/SUMIFS(40:40,$8:$8,"&gt;="&amp;DATE(YEAR(IY$8),1,1),$8:$8,"&lt;="&amp;EOMONTH(IY$8,0))</f>
        <v/>
      </c>
      <c r="IZ132" s="1318">
        <f>SUMIFS(76:76,$8:$8,"&gt;="&amp;DATE(YEAR(IZ$8),1,1),$8:$8,"&lt;="&amp;EOMONTH(IZ$8,0))/SUMIFS(40:40,$8:$8,"&gt;="&amp;DATE(YEAR(IZ$8),1,1),$8:$8,"&lt;="&amp;EOMONTH(IZ$8,0))</f>
        <v/>
      </c>
      <c r="JA132" s="1318">
        <f>SUMIFS(76:76,$8:$8,"&gt;="&amp;DATE(YEAR(JA$8),1,1),$8:$8,"&lt;="&amp;EOMONTH(JA$8,0))/SUMIFS(40:40,$8:$8,"&gt;="&amp;DATE(YEAR(JA$8),1,1),$8:$8,"&lt;="&amp;EOMONTH(JA$8,0))</f>
        <v/>
      </c>
      <c r="JB132" s="1318">
        <f>SUMIFS(76:76,$8:$8,"&gt;="&amp;DATE(YEAR(JB$8),1,1),$8:$8,"&lt;="&amp;EOMONTH(JB$8,0))/SUMIFS(40:40,$8:$8,"&gt;="&amp;DATE(YEAR(JB$8),1,1),$8:$8,"&lt;="&amp;EOMONTH(JB$8,0))</f>
        <v/>
      </c>
      <c r="JC132" s="1318">
        <f>SUMIFS(76:76,$8:$8,"&gt;="&amp;DATE(YEAR(JC$8),1,1),$8:$8,"&lt;="&amp;EOMONTH(JC$8,0))/SUMIFS(40:40,$8:$8,"&gt;="&amp;DATE(YEAR(JC$8),1,1),$8:$8,"&lt;="&amp;EOMONTH(JC$8,0))</f>
        <v/>
      </c>
      <c r="JD132" s="1318">
        <f>SUMIFS(76:76,$8:$8,"&gt;="&amp;DATE(YEAR(JD$8),1,1),$8:$8,"&lt;="&amp;EOMONTH(JD$8,0))/SUMIFS(40:40,$8:$8,"&gt;="&amp;DATE(YEAR(JD$8),1,1),$8:$8,"&lt;="&amp;EOMONTH(JD$8,0))</f>
        <v/>
      </c>
      <c r="JE132" s="1318">
        <f>SUMIFS(76:76,$8:$8,"&gt;="&amp;DATE(YEAR(JE$8),1,1),$8:$8,"&lt;="&amp;EOMONTH(JE$8,0))/SUMIFS(40:40,$8:$8,"&gt;="&amp;DATE(YEAR(JE$8),1,1),$8:$8,"&lt;="&amp;EOMONTH(JE$8,0))</f>
        <v/>
      </c>
      <c r="JF132" s="1318">
        <f>SUMIFS(76:76,$8:$8,"&gt;="&amp;DATE(YEAR(JF$8),1,1),$8:$8,"&lt;="&amp;EOMONTH(JF$8,0))/SUMIFS(40:40,$8:$8,"&gt;="&amp;DATE(YEAR(JF$8),1,1),$8:$8,"&lt;="&amp;EOMONTH(JF$8,0))</f>
        <v/>
      </c>
      <c r="JG132" s="1318">
        <f>SUMIFS(76:76,$8:$8,"&gt;="&amp;DATE(YEAR(JG$8),1,1),$8:$8,"&lt;="&amp;EOMONTH(JG$8,0))/SUMIFS(40:40,$8:$8,"&gt;="&amp;DATE(YEAR(JG$8),1,1),$8:$8,"&lt;="&amp;EOMONTH(JG$8,0))</f>
        <v/>
      </c>
      <c r="JH132" s="1318">
        <f>SUMIFS(76:76,$8:$8,"&gt;="&amp;DATE(YEAR(JH$8),1,1),$8:$8,"&lt;="&amp;EOMONTH(JH$8,0))/SUMIFS(40:40,$8:$8,"&gt;="&amp;DATE(YEAR(JH$8),1,1),$8:$8,"&lt;="&amp;EOMONTH(JH$8,0))</f>
        <v/>
      </c>
      <c r="JI132" s="1318">
        <f>SUMIFS(76:76,$8:$8,"&gt;="&amp;DATE(YEAR(JI$8),1,1),$8:$8,"&lt;="&amp;EOMONTH(JI$8,0))/SUMIFS(40:40,$8:$8,"&gt;="&amp;DATE(YEAR(JI$8),1,1),$8:$8,"&lt;="&amp;EOMONTH(JI$8,0))</f>
        <v/>
      </c>
      <c r="JJ132" s="1318">
        <f>SUMIFS(76:76,$8:$8,"&gt;="&amp;DATE(YEAR(JJ$8),1,1),$8:$8,"&lt;="&amp;EOMONTH(JJ$8,0))/SUMIFS(40:40,$8:$8,"&gt;="&amp;DATE(YEAR(JJ$8),1,1),$8:$8,"&lt;="&amp;EOMONTH(JJ$8,0))</f>
        <v/>
      </c>
      <c r="JK132" s="1318">
        <f>SUMIFS(76:76,$8:$8,"&gt;="&amp;DATE(YEAR(JK$8),1,1),$8:$8,"&lt;="&amp;EOMONTH(JK$8,0))/SUMIFS(40:40,$8:$8,"&gt;="&amp;DATE(YEAR(JK$8),1,1),$8:$8,"&lt;="&amp;EOMONTH(JK$8,0))</f>
        <v/>
      </c>
      <c r="JL132" s="1318">
        <f>SUMIFS(76:76,$8:$8,"&gt;="&amp;DATE(YEAR(JL$8),1,1),$8:$8,"&lt;="&amp;EOMONTH(JL$8,0))/SUMIFS(40:40,$8:$8,"&gt;="&amp;DATE(YEAR(JL$8),1,1),$8:$8,"&lt;="&amp;EOMONTH(JL$8,0))</f>
        <v/>
      </c>
      <c r="JM132" s="1318">
        <f>SUMIFS(76:76,$8:$8,"&gt;="&amp;DATE(YEAR(JM$8),1,1),$8:$8,"&lt;="&amp;EOMONTH(JM$8,0))/SUMIFS(40:40,$8:$8,"&gt;="&amp;DATE(YEAR(JM$8),1,1),$8:$8,"&lt;="&amp;EOMONTH(JM$8,0))</f>
        <v/>
      </c>
      <c r="JN132" s="1318">
        <f>SUMIFS(76:76,$8:$8,"&gt;="&amp;DATE(YEAR(JN$8),1,1),$8:$8,"&lt;="&amp;EOMONTH(JN$8,0))/SUMIFS(40:40,$8:$8,"&gt;="&amp;DATE(YEAR(JN$8),1,1),$8:$8,"&lt;="&amp;EOMONTH(JN$8,0))</f>
        <v/>
      </c>
      <c r="JO132" s="1318">
        <f>SUMIFS(76:76,$8:$8,"&gt;="&amp;DATE(YEAR(JO$8),1,1),$8:$8,"&lt;="&amp;EOMONTH(JO$8,0))/SUMIFS(40:40,$8:$8,"&gt;="&amp;DATE(YEAR(JO$8),1,1),$8:$8,"&lt;="&amp;EOMONTH(JO$8,0))</f>
        <v/>
      </c>
      <c r="JP132" s="1318">
        <f>SUMIFS(76:76,$8:$8,"&gt;="&amp;DATE(YEAR(JP$8),1,1),$8:$8,"&lt;="&amp;EOMONTH(JP$8,0))/SUMIFS(40:40,$8:$8,"&gt;="&amp;DATE(YEAR(JP$8),1,1),$8:$8,"&lt;="&amp;EOMONTH(JP$8,0))</f>
        <v/>
      </c>
      <c r="JQ132" s="1318">
        <f>SUMIFS(76:76,$8:$8,"&gt;="&amp;DATE(YEAR(JQ$8),1,1),$8:$8,"&lt;="&amp;EOMONTH(JQ$8,0))/SUMIFS(40:40,$8:$8,"&gt;="&amp;DATE(YEAR(JQ$8),1,1),$8:$8,"&lt;="&amp;EOMONTH(JQ$8,0))</f>
        <v/>
      </c>
      <c r="JR132" s="1318">
        <f>SUMIFS(76:76,$8:$8,"&gt;="&amp;DATE(YEAR(JR$8),1,1),$8:$8,"&lt;="&amp;EOMONTH(JR$8,0))/SUMIFS(40:40,$8:$8,"&gt;="&amp;DATE(YEAR(JR$8),1,1),$8:$8,"&lt;="&amp;EOMONTH(JR$8,0))</f>
        <v/>
      </c>
      <c r="JS132" s="1318">
        <f>SUMIFS(76:76,$8:$8,"&gt;="&amp;DATE(YEAR(JS$8),1,1),$8:$8,"&lt;="&amp;EOMONTH(JS$8,0))/SUMIFS(40:40,$8:$8,"&gt;="&amp;DATE(YEAR(JS$8),1,1),$8:$8,"&lt;="&amp;EOMONTH(JS$8,0))</f>
        <v/>
      </c>
      <c r="JT132" s="1318">
        <f>SUMIFS(76:76,$8:$8,"&gt;="&amp;DATE(YEAR(JT$8),1,1),$8:$8,"&lt;="&amp;EOMONTH(JT$8,0))/SUMIFS(40:40,$8:$8,"&gt;="&amp;DATE(YEAR(JT$8),1,1),$8:$8,"&lt;="&amp;EOMONTH(JT$8,0))</f>
        <v/>
      </c>
      <c r="JU132" s="1318">
        <f>SUMIFS(76:76,$8:$8,"&gt;="&amp;DATE(YEAR(JU$8),1,1),$8:$8,"&lt;="&amp;EOMONTH(JU$8,0))/SUMIFS(40:40,$8:$8,"&gt;="&amp;DATE(YEAR(JU$8),1,1),$8:$8,"&lt;="&amp;EOMONTH(JU$8,0))</f>
        <v/>
      </c>
      <c r="JV132" s="1318">
        <f>SUMIFS(76:76,$8:$8,"&gt;="&amp;DATE(YEAR(JV$8),1,1),$8:$8,"&lt;="&amp;EOMONTH(JV$8,0))/SUMIFS(40:40,$8:$8,"&gt;="&amp;DATE(YEAR(JV$8),1,1),$8:$8,"&lt;="&amp;EOMONTH(JV$8,0))</f>
        <v/>
      </c>
      <c r="JW132" s="1318">
        <f>SUMIFS(76:76,$8:$8,"&gt;="&amp;DATE(YEAR(JW$8),1,1),$8:$8,"&lt;="&amp;EOMONTH(JW$8,0))/SUMIFS(40:40,$8:$8,"&gt;="&amp;DATE(YEAR(JW$8),1,1),$8:$8,"&lt;="&amp;EOMONTH(JW$8,0))</f>
        <v/>
      </c>
      <c r="JX132" s="1318">
        <f>SUMIFS(76:76,$8:$8,"&gt;="&amp;DATE(YEAR(JX$8),1,1),$8:$8,"&lt;="&amp;EOMONTH(JX$8,0))/SUMIFS(40:40,$8:$8,"&gt;="&amp;DATE(YEAR(JX$8),1,1),$8:$8,"&lt;="&amp;EOMONTH(JX$8,0))</f>
        <v/>
      </c>
      <c r="JY132" s="1318">
        <f>SUMIFS(76:76,$8:$8,"&gt;="&amp;DATE(YEAR(JY$8),1,1),$8:$8,"&lt;="&amp;EOMONTH(JY$8,0))/SUMIFS(40:40,$8:$8,"&gt;="&amp;DATE(YEAR(JY$8),1,1),$8:$8,"&lt;="&amp;EOMONTH(JY$8,0))</f>
        <v/>
      </c>
      <c r="JZ132" s="1318">
        <f>SUMIFS(76:76,$8:$8,"&gt;="&amp;DATE(YEAR(JZ$8),1,1),$8:$8,"&lt;="&amp;EOMONTH(JZ$8,0))/SUMIFS(40:40,$8:$8,"&gt;="&amp;DATE(YEAR(JZ$8),1,1),$8:$8,"&lt;="&amp;EOMONTH(JZ$8,0))</f>
        <v/>
      </c>
      <c r="KA132" s="1318">
        <f>SUMIFS(76:76,$8:$8,"&gt;="&amp;DATE(YEAR(KA$8),1,1),$8:$8,"&lt;="&amp;EOMONTH(KA$8,0))/SUMIFS(40:40,$8:$8,"&gt;="&amp;DATE(YEAR(KA$8),1,1),$8:$8,"&lt;="&amp;EOMONTH(KA$8,0))</f>
        <v/>
      </c>
      <c r="KB132" s="1318">
        <f>SUMIFS(76:76,$8:$8,"&gt;="&amp;DATE(YEAR(KB$8),1,1),$8:$8,"&lt;="&amp;EOMONTH(KB$8,0))/SUMIFS(40:40,$8:$8,"&gt;="&amp;DATE(YEAR(KB$8),1,1),$8:$8,"&lt;="&amp;EOMONTH(KB$8,0))</f>
        <v/>
      </c>
      <c r="KC132" s="1318">
        <f>SUMIFS(76:76,$8:$8,"&gt;="&amp;DATE(YEAR(KC$8),1,1),$8:$8,"&lt;="&amp;EOMONTH(KC$8,0))/SUMIFS(40:40,$8:$8,"&gt;="&amp;DATE(YEAR(KC$8),1,1),$8:$8,"&lt;="&amp;EOMONTH(KC$8,0))</f>
        <v/>
      </c>
      <c r="KD132" s="1318">
        <f>SUMIFS(76:76,$8:$8,"&gt;="&amp;DATE(YEAR(KD$8),1,1),$8:$8,"&lt;="&amp;EOMONTH(KD$8,0))/SUMIFS(40:40,$8:$8,"&gt;="&amp;DATE(YEAR(KD$8),1,1),$8:$8,"&lt;="&amp;EOMONTH(KD$8,0))</f>
        <v/>
      </c>
      <c r="KE132" s="1318">
        <f>SUMIFS(76:76,$8:$8,"&gt;="&amp;DATE(YEAR(KE$8),1,1),$8:$8,"&lt;="&amp;EOMONTH(KE$8,0))/SUMIFS(40:40,$8:$8,"&gt;="&amp;DATE(YEAR(KE$8),1,1),$8:$8,"&lt;="&amp;EOMONTH(KE$8,0))</f>
        <v/>
      </c>
      <c r="KF132" s="1318">
        <f>SUMIFS(76:76,$8:$8,"&gt;="&amp;DATE(YEAR(KF$8),1,1),$8:$8,"&lt;="&amp;EOMONTH(KF$8,0))/SUMIFS(40:40,$8:$8,"&gt;="&amp;DATE(YEAR(KF$8),1,1),$8:$8,"&lt;="&amp;EOMONTH(KF$8,0))</f>
        <v/>
      </c>
      <c r="KG132" s="1318">
        <f>SUMIFS(76:76,$8:$8,"&gt;="&amp;DATE(YEAR(KG$8),1,1),$8:$8,"&lt;="&amp;EOMONTH(KG$8,0))/SUMIFS(40:40,$8:$8,"&gt;="&amp;DATE(YEAR(KG$8),1,1),$8:$8,"&lt;="&amp;EOMONTH(KG$8,0))</f>
        <v/>
      </c>
      <c r="KH132" s="1318">
        <f>SUMIFS(76:76,$8:$8,"&gt;="&amp;DATE(YEAR(KH$8),1,1),$8:$8,"&lt;="&amp;EOMONTH(KH$8,0))/SUMIFS(40:40,$8:$8,"&gt;="&amp;DATE(YEAR(KH$8),1,1),$8:$8,"&lt;="&amp;EOMONTH(KH$8,0))</f>
        <v/>
      </c>
      <c r="KI132" s="1318">
        <f>SUMIFS(76:76,$8:$8,"&gt;="&amp;DATE(YEAR(KI$8),1,1),$8:$8,"&lt;="&amp;EOMONTH(KI$8,0))/SUMIFS(40:40,$8:$8,"&gt;="&amp;DATE(YEAR(KI$8),1,1),$8:$8,"&lt;="&amp;EOMONTH(KI$8,0))</f>
        <v/>
      </c>
      <c r="KJ132" s="1318">
        <f>SUMIFS(76:76,$8:$8,"&gt;="&amp;DATE(YEAR(KJ$8),1,1),$8:$8,"&lt;="&amp;EOMONTH(KJ$8,0))/SUMIFS(40:40,$8:$8,"&gt;="&amp;DATE(YEAR(KJ$8),1,1),$8:$8,"&lt;="&amp;EOMONTH(KJ$8,0))</f>
        <v/>
      </c>
      <c r="KK132" s="1318">
        <f>SUMIFS(76:76,$8:$8,"&gt;="&amp;DATE(YEAR(KK$8),1,1),$8:$8,"&lt;="&amp;EOMONTH(KK$8,0))/SUMIFS(40:40,$8:$8,"&gt;="&amp;DATE(YEAR(KK$8),1,1),$8:$8,"&lt;="&amp;EOMONTH(KK$8,0))</f>
        <v/>
      </c>
      <c r="KL132" s="1318">
        <f>SUMIFS(76:76,$8:$8,"&gt;="&amp;DATE(YEAR(KL$8),1,1),$8:$8,"&lt;="&amp;EOMONTH(KL$8,0))/SUMIFS(40:40,$8:$8,"&gt;="&amp;DATE(YEAR(KL$8),1,1),$8:$8,"&lt;="&amp;EOMONTH(KL$8,0))</f>
        <v/>
      </c>
      <c r="KM132" s="1318">
        <f>SUMIFS(76:76,$8:$8,"&gt;="&amp;DATE(YEAR(KM$8),1,1),$8:$8,"&lt;="&amp;EOMONTH(KM$8,0))/SUMIFS(40:40,$8:$8,"&gt;="&amp;DATE(YEAR(KM$8),1,1),$8:$8,"&lt;="&amp;EOMONTH(KM$8,0))</f>
        <v/>
      </c>
      <c r="KN132" s="1318">
        <f>SUMIFS(76:76,$8:$8,"&gt;="&amp;DATE(YEAR(KN$8),1,1),$8:$8,"&lt;="&amp;EOMONTH(KN$8,0))/SUMIFS(40:40,$8:$8,"&gt;="&amp;DATE(YEAR(KN$8),1,1),$8:$8,"&lt;="&amp;EOMONTH(KN$8,0))</f>
        <v/>
      </c>
      <c r="KO132" s="1318">
        <f>SUMIFS(76:76,$8:$8,"&gt;="&amp;DATE(YEAR(KO$8),1,1),$8:$8,"&lt;="&amp;EOMONTH(KO$8,0))/SUMIFS(40:40,$8:$8,"&gt;="&amp;DATE(YEAR(KO$8),1,1),$8:$8,"&lt;="&amp;EOMONTH(KO$8,0))</f>
        <v/>
      </c>
      <c r="KP132" s="1318">
        <f>SUMIFS(76:76,$8:$8,"&gt;="&amp;DATE(YEAR(KP$8),1,1),$8:$8,"&lt;="&amp;EOMONTH(KP$8,0))/SUMIFS(40:40,$8:$8,"&gt;="&amp;DATE(YEAR(KP$8),1,1),$8:$8,"&lt;="&amp;EOMONTH(KP$8,0))</f>
        <v/>
      </c>
      <c r="KQ132" s="1318">
        <f>SUMIFS(76:76,$8:$8,"&gt;="&amp;DATE(YEAR(KQ$8),1,1),$8:$8,"&lt;="&amp;EOMONTH(KQ$8,0))/SUMIFS(40:40,$8:$8,"&gt;="&amp;DATE(YEAR(KQ$8),1,1),$8:$8,"&lt;="&amp;EOMONTH(KQ$8,0))</f>
        <v/>
      </c>
      <c r="KR132" s="1318">
        <f>SUMIFS(76:76,$8:$8,"&gt;="&amp;DATE(YEAR(KR$8),1,1),$8:$8,"&lt;="&amp;EOMONTH(KR$8,0))/SUMIFS(40:40,$8:$8,"&gt;="&amp;DATE(YEAR(KR$8),1,1),$8:$8,"&lt;="&amp;EOMONTH(KR$8,0))</f>
        <v/>
      </c>
      <c r="KS132" s="1318">
        <f>SUMIFS(76:76,$8:$8,"&gt;="&amp;DATE(YEAR(KS$8),1,1),$8:$8,"&lt;="&amp;EOMONTH(KS$8,0))/SUMIFS(40:40,$8:$8,"&gt;="&amp;DATE(YEAR(KS$8),1,1),$8:$8,"&lt;="&amp;EOMONTH(KS$8,0))</f>
        <v/>
      </c>
      <c r="KT132" s="1318">
        <f>SUMIFS(76:76,$8:$8,"&gt;="&amp;DATE(YEAR(KT$8),1,1),$8:$8,"&lt;="&amp;EOMONTH(KT$8,0))/SUMIFS(40:40,$8:$8,"&gt;="&amp;DATE(YEAR(KT$8),1,1),$8:$8,"&lt;="&amp;EOMONTH(KT$8,0))</f>
        <v/>
      </c>
      <c r="KU132" s="1318">
        <f>SUMIFS(76:76,$8:$8,"&gt;="&amp;DATE(YEAR(KU$8),1,1),$8:$8,"&lt;="&amp;EOMONTH(KU$8,0))/SUMIFS(40:40,$8:$8,"&gt;="&amp;DATE(YEAR(KU$8),1,1),$8:$8,"&lt;="&amp;EOMONTH(KU$8,0))</f>
        <v/>
      </c>
      <c r="KV132" s="1318">
        <f>SUMIFS(76:76,$8:$8,"&gt;="&amp;DATE(YEAR(KV$8),1,1),$8:$8,"&lt;="&amp;EOMONTH(KV$8,0))/SUMIFS(40:40,$8:$8,"&gt;="&amp;DATE(YEAR(KV$8),1,1),$8:$8,"&lt;="&amp;EOMONTH(KV$8,0))</f>
        <v/>
      </c>
      <c r="KW132" s="1318">
        <f>SUMIFS(76:76,$8:$8,"&gt;="&amp;DATE(YEAR(KW$8),1,1),$8:$8,"&lt;="&amp;EOMONTH(KW$8,0))/SUMIFS(40:40,$8:$8,"&gt;="&amp;DATE(YEAR(KW$8),1,1),$8:$8,"&lt;="&amp;EOMONTH(KW$8,0))</f>
        <v/>
      </c>
      <c r="KX132" s="1318">
        <f>SUMIFS(76:76,$8:$8,"&gt;="&amp;DATE(YEAR(KX$8),1,1),$8:$8,"&lt;="&amp;EOMONTH(KX$8,0))/SUMIFS(40:40,$8:$8,"&gt;="&amp;DATE(YEAR(KX$8),1,1),$8:$8,"&lt;="&amp;EOMONTH(KX$8,0))</f>
        <v/>
      </c>
      <c r="KY132" s="1318">
        <f>SUMIFS(76:76,$8:$8,"&gt;="&amp;DATE(YEAR(KY$8),1,1),$8:$8,"&lt;="&amp;EOMONTH(KY$8,0))/SUMIFS(40:40,$8:$8,"&gt;="&amp;DATE(YEAR(KY$8),1,1),$8:$8,"&lt;="&amp;EOMONTH(KY$8,0))</f>
        <v/>
      </c>
      <c r="KZ132" s="1318">
        <f>SUMIFS(76:76,$8:$8,"&gt;="&amp;DATE(YEAR(KZ$8),1,1),$8:$8,"&lt;="&amp;EOMONTH(KZ$8,0))/SUMIFS(40:40,$8:$8,"&gt;="&amp;DATE(YEAR(KZ$8),1,1),$8:$8,"&lt;="&amp;EOMONTH(KZ$8,0))</f>
        <v/>
      </c>
      <c r="LA132" s="1318">
        <f>SUMIFS(76:76,$8:$8,"&gt;="&amp;DATE(YEAR(LA$8),1,1),$8:$8,"&lt;="&amp;EOMONTH(LA$8,0))/SUMIFS(40:40,$8:$8,"&gt;="&amp;DATE(YEAR(LA$8),1,1),$8:$8,"&lt;="&amp;EOMONTH(LA$8,0))</f>
        <v/>
      </c>
      <c r="LB132" s="1318">
        <f>SUMIFS(76:76,$8:$8,"&gt;="&amp;DATE(YEAR(LB$8),1,1),$8:$8,"&lt;="&amp;EOMONTH(LB$8,0))/SUMIFS(40:40,$8:$8,"&gt;="&amp;DATE(YEAR(LB$8),1,1),$8:$8,"&lt;="&amp;EOMONTH(LB$8,0))</f>
        <v/>
      </c>
      <c r="LC132" s="1318">
        <f>SUMIFS(76:76,$8:$8,"&gt;="&amp;DATE(YEAR(LC$8),1,1),$8:$8,"&lt;="&amp;EOMONTH(LC$8,0))/SUMIFS(40:40,$8:$8,"&gt;="&amp;DATE(YEAR(LC$8),1,1),$8:$8,"&lt;="&amp;EOMONTH(LC$8,0))</f>
        <v/>
      </c>
      <c r="LD132" s="1318">
        <f>SUMIFS(76:76,$8:$8,"&gt;="&amp;DATE(YEAR(LD$8),1,1),$8:$8,"&lt;="&amp;EOMONTH(LD$8,0))/SUMIFS(40:40,$8:$8,"&gt;="&amp;DATE(YEAR(LD$8),1,1),$8:$8,"&lt;="&amp;EOMONTH(LD$8,0))</f>
        <v/>
      </c>
      <c r="LE132" s="1318">
        <f>SUMIFS(76:76,$8:$8,"&gt;="&amp;DATE(YEAR(LE$8),1,1),$8:$8,"&lt;="&amp;EOMONTH(LE$8,0))/SUMIFS(40:40,$8:$8,"&gt;="&amp;DATE(YEAR(LE$8),1,1),$8:$8,"&lt;="&amp;EOMONTH(LE$8,0))</f>
        <v/>
      </c>
      <c r="LF132" s="1318">
        <f>SUMIFS(76:76,$8:$8,"&gt;="&amp;DATE(YEAR(LF$8),1,1),$8:$8,"&lt;="&amp;EOMONTH(LF$8,0))/SUMIFS(40:40,$8:$8,"&gt;="&amp;DATE(YEAR(LF$8),1,1),$8:$8,"&lt;="&amp;EOMONTH(LF$8,0))</f>
        <v/>
      </c>
      <c r="LG132" s="1318">
        <f>SUMIFS(76:76,$8:$8,"&gt;="&amp;DATE(YEAR(LG$8),1,1),$8:$8,"&lt;="&amp;EOMONTH(LG$8,0))/SUMIFS(40:40,$8:$8,"&gt;="&amp;DATE(YEAR(LG$8),1,1),$8:$8,"&lt;="&amp;EOMONTH(LG$8,0))</f>
        <v/>
      </c>
      <c r="LH132" s="1318">
        <f>SUMIFS(76:76,$8:$8,"&gt;="&amp;DATE(YEAR(LH$8),1,1),$8:$8,"&lt;="&amp;EOMONTH(LH$8,0))/SUMIFS(40:40,$8:$8,"&gt;="&amp;DATE(YEAR(LH$8),1,1),$8:$8,"&lt;="&amp;EOMONTH(LH$8,0))</f>
        <v/>
      </c>
      <c r="LI132" s="1318">
        <f>SUMIFS(76:76,$8:$8,"&gt;="&amp;DATE(YEAR(LI$8),1,1),$8:$8,"&lt;="&amp;EOMONTH(LI$8,0))/SUMIFS(40:40,$8:$8,"&gt;="&amp;DATE(YEAR(LI$8),1,1),$8:$8,"&lt;="&amp;EOMONTH(LI$8,0))</f>
        <v/>
      </c>
      <c r="LJ132" s="1318">
        <f>SUMIFS(76:76,$8:$8,"&gt;="&amp;DATE(YEAR(LJ$8),1,1),$8:$8,"&lt;="&amp;EOMONTH(LJ$8,0))/SUMIFS(40:40,$8:$8,"&gt;="&amp;DATE(YEAR(LJ$8),1,1),$8:$8,"&lt;="&amp;EOMONTH(LJ$8,0))</f>
        <v/>
      </c>
      <c r="LK132" s="1318">
        <f>SUMIFS(76:76,$8:$8,"&gt;="&amp;DATE(YEAR(LK$8),1,1),$8:$8,"&lt;="&amp;EOMONTH(LK$8,0))/SUMIFS(40:40,$8:$8,"&gt;="&amp;DATE(YEAR(LK$8),1,1),$8:$8,"&lt;="&amp;EOMONTH(LK$8,0))</f>
        <v/>
      </c>
      <c r="LL132" s="1318">
        <f>SUMIFS(76:76,$8:$8,"&gt;="&amp;DATE(YEAR(LL$8),1,1),$8:$8,"&lt;="&amp;EOMONTH(LL$8,0))/SUMIFS(40:40,$8:$8,"&gt;="&amp;DATE(YEAR(LL$8),1,1),$8:$8,"&lt;="&amp;EOMONTH(LL$8,0))</f>
        <v/>
      </c>
      <c r="LM132" s="1318">
        <f>SUMIFS(76:76,$8:$8,"&gt;="&amp;DATE(YEAR(LM$8),1,1),$8:$8,"&lt;="&amp;EOMONTH(LM$8,0))/SUMIFS(40:40,$8:$8,"&gt;="&amp;DATE(YEAR(LM$8),1,1),$8:$8,"&lt;="&amp;EOMONTH(LM$8,0))</f>
        <v/>
      </c>
      <c r="LN132" s="1318">
        <f>SUMIFS(76:76,$8:$8,"&gt;="&amp;DATE(YEAR(LN$8),1,1),$8:$8,"&lt;="&amp;EOMONTH(LN$8,0))/SUMIFS(40:40,$8:$8,"&gt;="&amp;DATE(YEAR(LN$8),1,1),$8:$8,"&lt;="&amp;EOMONTH(LN$8,0))</f>
        <v/>
      </c>
      <c r="LO132" s="1318">
        <f>SUMIFS(76:76,$8:$8,"&gt;="&amp;DATE(YEAR(LO$8),1,1),$8:$8,"&lt;="&amp;EOMONTH(LO$8,0))/SUMIFS(40:40,$8:$8,"&gt;="&amp;DATE(YEAR(LO$8),1,1),$8:$8,"&lt;="&amp;EOMONTH(LO$8,0))</f>
        <v/>
      </c>
      <c r="LP132" s="1318">
        <f>SUMIFS(76:76,$8:$8,"&gt;="&amp;DATE(YEAR(LP$8),1,1),$8:$8,"&lt;="&amp;EOMONTH(LP$8,0))/SUMIFS(40:40,$8:$8,"&gt;="&amp;DATE(YEAR(LP$8),1,1),$8:$8,"&lt;="&amp;EOMONTH(LP$8,0))</f>
        <v/>
      </c>
      <c r="LQ132" s="1318">
        <f>SUMIFS(76:76,$8:$8,"&gt;="&amp;DATE(YEAR(LQ$8),1,1),$8:$8,"&lt;="&amp;EOMONTH(LQ$8,0))/SUMIFS(40:40,$8:$8,"&gt;="&amp;DATE(YEAR(LQ$8),1,1),$8:$8,"&lt;="&amp;EOMONTH(LQ$8,0))</f>
        <v/>
      </c>
      <c r="LR132" s="1318">
        <f>SUMIFS(76:76,$8:$8,"&gt;="&amp;DATE(YEAR(LR$8),1,1),$8:$8,"&lt;="&amp;EOMONTH(LR$8,0))/SUMIFS(40:40,$8:$8,"&gt;="&amp;DATE(YEAR(LR$8),1,1),$8:$8,"&lt;="&amp;EOMONTH(LR$8,0))</f>
        <v/>
      </c>
      <c r="LS132" s="1318">
        <f>SUMIFS(76:76,$8:$8,"&gt;="&amp;DATE(YEAR(LS$8),1,1),$8:$8,"&lt;="&amp;EOMONTH(LS$8,0))/SUMIFS(40:40,$8:$8,"&gt;="&amp;DATE(YEAR(LS$8),1,1),$8:$8,"&lt;="&amp;EOMONTH(LS$8,0))</f>
        <v/>
      </c>
    </row>
    <row r="133">
      <c r="A133" s="885" t="inlineStr">
        <is>
          <t>YTDYOY%</t>
        </is>
      </c>
      <c r="B133" s="1318" t="n"/>
      <c r="C133" s="1318" t="n"/>
      <c r="D133" s="1318" t="n"/>
      <c r="E133" s="1318" t="n"/>
      <c r="F133" s="1318" t="n"/>
      <c r="G133" s="1318" t="n"/>
      <c r="H133" s="1318" t="n"/>
      <c r="I133" s="1318" t="n"/>
      <c r="J133" s="1318" t="n"/>
      <c r="K133" s="1318" t="n"/>
      <c r="L133" s="1318" t="n"/>
      <c r="M133" s="1318" t="n"/>
      <c r="N133" s="1318" t="n"/>
      <c r="O133" s="1318" t="n"/>
      <c r="P133" s="1318" t="n"/>
      <c r="Q133" s="1318" t="n"/>
      <c r="R133" s="1318" t="n"/>
      <c r="S133" s="1318" t="n"/>
      <c r="T133" s="1318" t="n"/>
      <c r="U133" s="1318" t="n"/>
      <c r="V133" s="1318" t="n"/>
      <c r="W133" s="1318" t="n"/>
      <c r="X133" s="1318" t="n"/>
      <c r="Y133" s="1318" t="n"/>
      <c r="Z133" s="1318">
        <f>Z132-N132</f>
        <v/>
      </c>
      <c r="AA133" s="1318">
        <f>AA132-O132</f>
        <v/>
      </c>
      <c r="AB133" s="1318">
        <f>AB132-P132</f>
        <v/>
      </c>
      <c r="AC133" s="1318">
        <f>AC132-Q132</f>
        <v/>
      </c>
      <c r="AD133" s="1318">
        <f>AD132-R132</f>
        <v/>
      </c>
      <c r="AE133" s="1318">
        <f>AE132-S132</f>
        <v/>
      </c>
      <c r="AF133" s="1318">
        <f>AF132-T132</f>
        <v/>
      </c>
      <c r="AG133" s="1318">
        <f>AG132-U132</f>
        <v/>
      </c>
      <c r="AH133" s="1318">
        <f>AH132-V132</f>
        <v/>
      </c>
      <c r="AI133" s="1318">
        <f>AI132-W132</f>
        <v/>
      </c>
      <c r="AJ133" s="1318">
        <f>AJ132-X132</f>
        <v/>
      </c>
      <c r="AK133" s="1318">
        <f>AK132-Y132</f>
        <v/>
      </c>
      <c r="AL133" s="1318">
        <f>AL132-Z132</f>
        <v/>
      </c>
      <c r="AM133" s="1318">
        <f>AM132-AA132</f>
        <v/>
      </c>
      <c r="AN133" s="1318">
        <f>AN132-AB132</f>
        <v/>
      </c>
      <c r="AO133" s="1318">
        <f>AO132-AC132</f>
        <v/>
      </c>
      <c r="AP133" s="1318">
        <f>AP132-AD132</f>
        <v/>
      </c>
      <c r="AQ133" s="1318">
        <f>AQ132-AE132</f>
        <v/>
      </c>
      <c r="AR133" s="1318">
        <f>AR132-AF132</f>
        <v/>
      </c>
      <c r="AS133" s="1318">
        <f>AS132-AG132</f>
        <v/>
      </c>
      <c r="AT133" s="1318">
        <f>AT132-AH132</f>
        <v/>
      </c>
      <c r="AU133" s="1318">
        <f>AU132-AI132</f>
        <v/>
      </c>
      <c r="AV133" s="1318">
        <f>AV132-AJ132</f>
        <v/>
      </c>
      <c r="AW133" s="1318">
        <f>AW132-AK132</f>
        <v/>
      </c>
      <c r="AX133" s="1318">
        <f>AX132-AL132</f>
        <v/>
      </c>
      <c r="AY133" s="1318">
        <f>AY132-AM132</f>
        <v/>
      </c>
      <c r="AZ133" s="1318">
        <f>AZ132-AN132</f>
        <v/>
      </c>
      <c r="BA133" s="1318">
        <f>BA132-AO132</f>
        <v/>
      </c>
      <c r="BB133" s="1318">
        <f>BB132-AP132</f>
        <v/>
      </c>
      <c r="BC133" s="1318">
        <f>BC132-AQ132</f>
        <v/>
      </c>
      <c r="BD133" s="1318">
        <f>BD132-AR132</f>
        <v/>
      </c>
      <c r="BE133" s="1318">
        <f>BE132-AS132</f>
        <v/>
      </c>
      <c r="BF133" s="1318">
        <f>BF132-AT132</f>
        <v/>
      </c>
      <c r="BG133" s="1318">
        <f>BG132-AU132</f>
        <v/>
      </c>
      <c r="BH133" s="1318">
        <f>BH132-AV132</f>
        <v/>
      </c>
      <c r="BI133" s="1318">
        <f>BI132-AW132</f>
        <v/>
      </c>
      <c r="BJ133" s="1318">
        <f>BJ132-AX132</f>
        <v/>
      </c>
      <c r="BK133" s="1318">
        <f>BK132-AY132</f>
        <v/>
      </c>
      <c r="BL133" s="1318">
        <f>BL132-AZ132</f>
        <v/>
      </c>
      <c r="BM133" s="1318">
        <f>BM132-BA132</f>
        <v/>
      </c>
      <c r="BN133" s="1318">
        <f>BN132-BB132</f>
        <v/>
      </c>
      <c r="BO133" s="1318">
        <f>BO132-BC132</f>
        <v/>
      </c>
      <c r="BP133" s="1318">
        <f>BP132-BD132</f>
        <v/>
      </c>
      <c r="BQ133" s="1318">
        <f>BQ132-BE132</f>
        <v/>
      </c>
      <c r="BR133" s="1318">
        <f>BR132-BF132</f>
        <v/>
      </c>
      <c r="BS133" s="1318">
        <f>BS132-BG132</f>
        <v/>
      </c>
      <c r="BT133" s="1318">
        <f>BT132-BH132</f>
        <v/>
      </c>
      <c r="BU133" s="1318">
        <f>BU132-BI132</f>
        <v/>
      </c>
      <c r="BV133" s="1318">
        <f>BV132-BJ132</f>
        <v/>
      </c>
      <c r="BW133" s="1318">
        <f>BW132-BK132</f>
        <v/>
      </c>
      <c r="BX133" s="1318">
        <f>BX132-BL132</f>
        <v/>
      </c>
      <c r="BY133" s="1318">
        <f>BY132-BM132</f>
        <v/>
      </c>
      <c r="BZ133" s="1318">
        <f>BZ132-BN132</f>
        <v/>
      </c>
      <c r="CA133" s="1318">
        <f>CA132-BO132</f>
        <v/>
      </c>
      <c r="CB133" s="1318">
        <f>CB132-BP132</f>
        <v/>
      </c>
      <c r="CC133" s="1318">
        <f>CC132-BQ132</f>
        <v/>
      </c>
      <c r="CD133" s="1318">
        <f>CD132-BR132</f>
        <v/>
      </c>
      <c r="CE133" s="1318">
        <f>CE132-BS132</f>
        <v/>
      </c>
      <c r="CF133" s="1318">
        <f>CF132-BT132</f>
        <v/>
      </c>
      <c r="CG133" s="1318">
        <f>CG132-BU132</f>
        <v/>
      </c>
      <c r="CH133" s="1318">
        <f>CH132-BV132</f>
        <v/>
      </c>
      <c r="CI133" s="1318">
        <f>CI132-BW132</f>
        <v/>
      </c>
      <c r="CJ133" s="1318">
        <f>CJ132-BX132</f>
        <v/>
      </c>
      <c r="CK133" s="1318">
        <f>CK132-BY132</f>
        <v/>
      </c>
      <c r="CL133" s="1318">
        <f>CL132-BZ132</f>
        <v/>
      </c>
      <c r="CM133" s="1318">
        <f>CM132-CA132</f>
        <v/>
      </c>
      <c r="CN133" s="1318">
        <f>CN132-CB132</f>
        <v/>
      </c>
      <c r="CO133" s="1318">
        <f>CO132-CC132</f>
        <v/>
      </c>
      <c r="CP133" s="1318">
        <f>CP132-CD132</f>
        <v/>
      </c>
      <c r="CQ133" s="1318">
        <f>CQ132-CE132</f>
        <v/>
      </c>
      <c r="CR133" s="1318">
        <f>CR132-CF132</f>
        <v/>
      </c>
      <c r="CS133" s="1318">
        <f>CS132-CG132</f>
        <v/>
      </c>
      <c r="CT133" s="1318">
        <f>CT132-CH132</f>
        <v/>
      </c>
      <c r="CU133" s="1318">
        <f>CU132-CI132</f>
        <v/>
      </c>
      <c r="CV133" s="1318">
        <f>CV132-CJ132</f>
        <v/>
      </c>
      <c r="CW133" s="1318">
        <f>CW132-CK132</f>
        <v/>
      </c>
      <c r="CX133" s="1318">
        <f>CX132-CL132</f>
        <v/>
      </c>
      <c r="CY133" s="1318">
        <f>CY132-CM132</f>
        <v/>
      </c>
      <c r="CZ133" s="1318">
        <f>CZ132-CN132</f>
        <v/>
      </c>
      <c r="DA133" s="1318">
        <f>DA132-CO132</f>
        <v/>
      </c>
      <c r="DB133" s="1318">
        <f>DB132-CP132</f>
        <v/>
      </c>
      <c r="DC133" s="1318">
        <f>DC132-CQ132</f>
        <v/>
      </c>
      <c r="DD133" s="1318">
        <f>DD132-CR132</f>
        <v/>
      </c>
      <c r="DE133" s="1318">
        <f>DE132-CS132</f>
        <v/>
      </c>
      <c r="DF133" s="1318">
        <f>DF132-CT132</f>
        <v/>
      </c>
      <c r="DG133" s="1318">
        <f>DG132-CU132</f>
        <v/>
      </c>
      <c r="DH133" s="1318">
        <f>DH132-CV132</f>
        <v/>
      </c>
      <c r="DI133" s="1318">
        <f>DI132-CW132</f>
        <v/>
      </c>
      <c r="DJ133" s="1318">
        <f>DJ132-CX132</f>
        <v/>
      </c>
      <c r="DK133" s="1318">
        <f>DK132-CY132</f>
        <v/>
      </c>
      <c r="DL133" s="1318">
        <f>DL132-CZ132</f>
        <v/>
      </c>
      <c r="DM133" s="1318">
        <f>DM132-DA132</f>
        <v/>
      </c>
      <c r="DN133" s="1318">
        <f>DN132-DB132</f>
        <v/>
      </c>
      <c r="DO133" s="1318">
        <f>DO132-DC132</f>
        <v/>
      </c>
      <c r="DP133" s="1318">
        <f>DP132-DD132</f>
        <v/>
      </c>
      <c r="DQ133" s="1318">
        <f>DQ132-DE132</f>
        <v/>
      </c>
      <c r="DR133" s="1318">
        <f>DR132-DF132</f>
        <v/>
      </c>
      <c r="DS133" s="1318">
        <f>DS132-DG132</f>
        <v/>
      </c>
      <c r="DT133" s="1318">
        <f>DT132-DH132</f>
        <v/>
      </c>
      <c r="DU133" s="1318">
        <f>DU132-DI132</f>
        <v/>
      </c>
      <c r="DV133" s="1318">
        <f>DV132-DJ132</f>
        <v/>
      </c>
      <c r="DW133" s="1318">
        <f>DW132-DK132</f>
        <v/>
      </c>
      <c r="DX133" s="1318">
        <f>DX132-DL132</f>
        <v/>
      </c>
      <c r="DY133" s="1318">
        <f>DY132-DM132</f>
        <v/>
      </c>
      <c r="DZ133" s="1318">
        <f>DZ132-DN132</f>
        <v/>
      </c>
      <c r="EA133" s="1318">
        <f>EA132-DO132</f>
        <v/>
      </c>
      <c r="EB133" s="1318">
        <f>EB132-DP132</f>
        <v/>
      </c>
      <c r="EC133" s="1318">
        <f>EC132-DQ132</f>
        <v/>
      </c>
      <c r="ED133" s="1318">
        <f>ED132-DR132</f>
        <v/>
      </c>
      <c r="EE133" s="1318">
        <f>EE132-DS132</f>
        <v/>
      </c>
      <c r="EF133" s="1318">
        <f>EF132-DT132</f>
        <v/>
      </c>
      <c r="EG133" s="1318">
        <f>EG132-DU132</f>
        <v/>
      </c>
      <c r="EH133" s="1318">
        <f>EH132-DV132</f>
        <v/>
      </c>
      <c r="EI133" s="1318">
        <f>EI132-DW132</f>
        <v/>
      </c>
      <c r="EJ133" s="1318">
        <f>EJ132-DX132</f>
        <v/>
      </c>
      <c r="EK133" s="1318">
        <f>EK132-DY132</f>
        <v/>
      </c>
      <c r="EL133" s="1318">
        <f>EL132-DZ132</f>
        <v/>
      </c>
      <c r="EM133" s="1318">
        <f>EM132-EA132</f>
        <v/>
      </c>
      <c r="EN133" s="1318">
        <f>EN132-EB132</f>
        <v/>
      </c>
      <c r="EO133" s="1318">
        <f>EO132-EC132</f>
        <v/>
      </c>
      <c r="EP133" s="1318">
        <f>EP132-ED132</f>
        <v/>
      </c>
      <c r="EQ133" s="1318">
        <f>EQ132-EE132</f>
        <v/>
      </c>
      <c r="ER133" s="1318">
        <f>ER132-EF132</f>
        <v/>
      </c>
      <c r="ES133" s="1318">
        <f>ES132-EG132</f>
        <v/>
      </c>
      <c r="ET133" s="1318">
        <f>ET132-EH132</f>
        <v/>
      </c>
      <c r="EU133" s="1318">
        <f>EU132-EI132</f>
        <v/>
      </c>
      <c r="EV133" s="1318">
        <f>EV132-EJ132</f>
        <v/>
      </c>
      <c r="EW133" s="1318">
        <f>EW132-EK132</f>
        <v/>
      </c>
      <c r="EX133" s="1318">
        <f>EX132-EL132</f>
        <v/>
      </c>
      <c r="EY133" s="1318">
        <f>EY132-EM132</f>
        <v/>
      </c>
      <c r="EZ133" s="1318">
        <f>EZ132-EN132</f>
        <v/>
      </c>
      <c r="FA133" s="1318">
        <f>FA132-EO132</f>
        <v/>
      </c>
      <c r="FB133" s="1318">
        <f>FB132-EP132</f>
        <v/>
      </c>
      <c r="FC133" s="1318">
        <f>FC132-EQ132</f>
        <v/>
      </c>
      <c r="FD133" s="1318">
        <f>FD132-ER132</f>
        <v/>
      </c>
      <c r="FE133" s="1318">
        <f>FE132-ES132</f>
        <v/>
      </c>
      <c r="FF133" s="1318">
        <f>FF132-ET132</f>
        <v/>
      </c>
      <c r="FG133" s="1318">
        <f>FG132-EU132</f>
        <v/>
      </c>
      <c r="FH133" s="1318">
        <f>FH132-EV132</f>
        <v/>
      </c>
      <c r="FI133" s="1318">
        <f>FI132-EW132</f>
        <v/>
      </c>
      <c r="FJ133" s="1318">
        <f>FJ132-EX132</f>
        <v/>
      </c>
      <c r="FK133" s="1318">
        <f>FK132-EY132</f>
        <v/>
      </c>
      <c r="FL133" s="1318">
        <f>FL132-EZ132</f>
        <v/>
      </c>
      <c r="FM133" s="1318">
        <f>FM132-FA132</f>
        <v/>
      </c>
      <c r="FN133" s="1318">
        <f>FN132-FB132</f>
        <v/>
      </c>
      <c r="FO133" s="1318">
        <f>FO132-FC132</f>
        <v/>
      </c>
      <c r="FP133" s="1318">
        <f>FP132-FD132</f>
        <v/>
      </c>
      <c r="FQ133" s="1318">
        <f>FQ132-FE132</f>
        <v/>
      </c>
      <c r="FR133" s="1318">
        <f>FR132-FF132</f>
        <v/>
      </c>
      <c r="FS133" s="1318">
        <f>FS132-FG132</f>
        <v/>
      </c>
      <c r="FT133" s="1318">
        <f>FT132-FH132</f>
        <v/>
      </c>
      <c r="FU133" s="1318">
        <f>FU132-FI132</f>
        <v/>
      </c>
      <c r="FV133" s="1318">
        <f>FV132-FJ132</f>
        <v/>
      </c>
      <c r="FW133" s="1318">
        <f>FW132-FK132</f>
        <v/>
      </c>
      <c r="FX133" s="1318">
        <f>FX132-FL132</f>
        <v/>
      </c>
      <c r="FY133" s="1318">
        <f>FY132-FM132</f>
        <v/>
      </c>
      <c r="FZ133" s="1318">
        <f>FZ132-FN132</f>
        <v/>
      </c>
      <c r="GA133" s="1318">
        <f>GA132-FO132</f>
        <v/>
      </c>
      <c r="GB133" s="1318">
        <f>GB132-FP132</f>
        <v/>
      </c>
      <c r="GC133" s="1318">
        <f>GC132-FQ132</f>
        <v/>
      </c>
      <c r="GD133" s="1318">
        <f>GD132-FR132</f>
        <v/>
      </c>
      <c r="GE133" s="1318">
        <f>GE132-FS132</f>
        <v/>
      </c>
      <c r="GF133" s="1318">
        <f>GF132-FT132</f>
        <v/>
      </c>
      <c r="GG133" s="1318">
        <f>GG132-FU132</f>
        <v/>
      </c>
      <c r="GH133" s="1318">
        <f>GH132-FV132</f>
        <v/>
      </c>
      <c r="GI133" s="1318">
        <f>GI132-FW132</f>
        <v/>
      </c>
      <c r="GJ133" s="1318">
        <f>GJ132-FX132</f>
        <v/>
      </c>
      <c r="GK133" s="1318">
        <f>GK132-FY132</f>
        <v/>
      </c>
      <c r="GL133" s="1318">
        <f>GL132-FZ132</f>
        <v/>
      </c>
      <c r="GM133" s="1318">
        <f>GM132-GA132</f>
        <v/>
      </c>
      <c r="GN133" s="1318">
        <f>GN132-GB132</f>
        <v/>
      </c>
      <c r="GO133" s="1318">
        <f>GO132-GC132</f>
        <v/>
      </c>
      <c r="GP133" s="1318">
        <f>GP132-GD132</f>
        <v/>
      </c>
      <c r="GQ133" s="1318">
        <f>GQ132-GE132</f>
        <v/>
      </c>
      <c r="GR133" s="1318">
        <f>GR132-GF132</f>
        <v/>
      </c>
      <c r="GS133" s="1318">
        <f>GS132-GG132</f>
        <v/>
      </c>
      <c r="GT133" s="1318">
        <f>GT132-GH132</f>
        <v/>
      </c>
      <c r="GU133" s="1318">
        <f>GU132-GI132</f>
        <v/>
      </c>
      <c r="GV133" s="1318">
        <f>GV132-GJ132</f>
        <v/>
      </c>
      <c r="GW133" s="1318">
        <f>GW132-GK132</f>
        <v/>
      </c>
      <c r="GX133" s="1318">
        <f>GX132-GL132</f>
        <v/>
      </c>
      <c r="GY133" s="1318">
        <f>GY132-GM132</f>
        <v/>
      </c>
      <c r="GZ133" s="1318">
        <f>GZ132-GN132</f>
        <v/>
      </c>
      <c r="HA133" s="1318">
        <f>HA132-GO132</f>
        <v/>
      </c>
      <c r="HB133" s="1318">
        <f>HB132-GP132</f>
        <v/>
      </c>
      <c r="HC133" s="1318">
        <f>HC132-GQ132</f>
        <v/>
      </c>
      <c r="HD133" s="1318">
        <f>HD132-GR132</f>
        <v/>
      </c>
      <c r="HE133" s="1318">
        <f>HE132-GS132</f>
        <v/>
      </c>
      <c r="HF133" s="1318">
        <f>HF132-GT132</f>
        <v/>
      </c>
      <c r="HG133" s="1318">
        <f>HG132-GU132</f>
        <v/>
      </c>
      <c r="HH133" s="1318">
        <f>HH132-GV132</f>
        <v/>
      </c>
      <c r="HI133" s="1318">
        <f>HI132-GW132</f>
        <v/>
      </c>
      <c r="HJ133" s="1318">
        <f>HJ132-GX132</f>
        <v/>
      </c>
      <c r="HK133" s="1318">
        <f>HK132-GY132</f>
        <v/>
      </c>
      <c r="HL133" s="1318">
        <f>HL132-GZ132</f>
        <v/>
      </c>
      <c r="HM133" s="1318">
        <f>HM132-HA132</f>
        <v/>
      </c>
      <c r="HN133" s="1318">
        <f>HN132-HB132</f>
        <v/>
      </c>
      <c r="HO133" s="1318">
        <f>HO132-HC132</f>
        <v/>
      </c>
      <c r="HP133" s="1318">
        <f>HP132-HD132</f>
        <v/>
      </c>
      <c r="HQ133" s="1318">
        <f>HQ132-HE132</f>
        <v/>
      </c>
      <c r="HR133" s="1318">
        <f>HR132-HF132</f>
        <v/>
      </c>
      <c r="HS133" s="1318">
        <f>HS132-HG132</f>
        <v/>
      </c>
      <c r="HT133" s="1318">
        <f>HT132-HH132</f>
        <v/>
      </c>
      <c r="HU133" s="1318">
        <f>HU132-HI132</f>
        <v/>
      </c>
      <c r="HV133" s="1318">
        <f>HV132-HJ132</f>
        <v/>
      </c>
      <c r="HW133" s="1318">
        <f>HW132-HK132</f>
        <v/>
      </c>
      <c r="HX133" s="1318">
        <f>HX132-HL132</f>
        <v/>
      </c>
      <c r="HY133" s="1318">
        <f>HY132-HM132</f>
        <v/>
      </c>
      <c r="HZ133" s="1318">
        <f>HZ132-HN132</f>
        <v/>
      </c>
      <c r="IA133" s="1318">
        <f>IA132-HO132</f>
        <v/>
      </c>
      <c r="IB133" s="1318">
        <f>IB132-HP132</f>
        <v/>
      </c>
      <c r="IC133" s="1318">
        <f>IC132-HQ132</f>
        <v/>
      </c>
      <c r="ID133" s="1318">
        <f>ID132-HR132</f>
        <v/>
      </c>
      <c r="IE133" s="1318">
        <f>IE132-HS132</f>
        <v/>
      </c>
      <c r="IF133" s="1318">
        <f>IF132-HT132</f>
        <v/>
      </c>
      <c r="IG133" s="1318">
        <f>IG132-HU132</f>
        <v/>
      </c>
      <c r="IH133" s="1318">
        <f>IH132-HV132</f>
        <v/>
      </c>
      <c r="II133" s="1318">
        <f>II132-HW132</f>
        <v/>
      </c>
      <c r="IJ133" s="1318">
        <f>IJ132-HX132</f>
        <v/>
      </c>
      <c r="IK133" s="1318">
        <f>IK132-HY132</f>
        <v/>
      </c>
      <c r="IL133" s="1318">
        <f>IL132-HZ132</f>
        <v/>
      </c>
      <c r="IM133" s="1318">
        <f>IM132-IA132</f>
        <v/>
      </c>
      <c r="IN133" s="1318">
        <f>IN132-IB132</f>
        <v/>
      </c>
      <c r="IO133" s="1318">
        <f>IO132-IC132</f>
        <v/>
      </c>
      <c r="IP133" s="1318">
        <f>IP132-ID132</f>
        <v/>
      </c>
      <c r="IQ133" s="1318">
        <f>IQ132-IE132</f>
        <v/>
      </c>
      <c r="IR133" s="1318">
        <f>IR132-IF132</f>
        <v/>
      </c>
      <c r="IS133" s="1318">
        <f>IS132-IG132</f>
        <v/>
      </c>
      <c r="IT133" s="1318">
        <f>IT132-IH132</f>
        <v/>
      </c>
      <c r="IU133" s="1318">
        <f>IU132-II132</f>
        <v/>
      </c>
      <c r="IV133" s="1318">
        <f>IV132-IJ132</f>
        <v/>
      </c>
      <c r="IW133" s="1318">
        <f>IW132-IK132</f>
        <v/>
      </c>
      <c r="IX133" s="1318">
        <f>IX132-IL132</f>
        <v/>
      </c>
      <c r="IY133" s="1318">
        <f>IY132-IM132</f>
        <v/>
      </c>
      <c r="IZ133" s="1318">
        <f>IZ132-IN132</f>
        <v/>
      </c>
      <c r="JA133" s="1318">
        <f>JA132-IO132</f>
        <v/>
      </c>
      <c r="JB133" s="1318">
        <f>JB132-IP132</f>
        <v/>
      </c>
      <c r="JC133" s="1318">
        <f>JC132-IQ132</f>
        <v/>
      </c>
      <c r="JD133" s="1318">
        <f>JD132-IR132</f>
        <v/>
      </c>
      <c r="JE133" s="1318">
        <f>JE132-IS132</f>
        <v/>
      </c>
      <c r="JF133" s="1318">
        <f>JF132-IT132</f>
        <v/>
      </c>
      <c r="JG133" s="1318">
        <f>JG132-IU132</f>
        <v/>
      </c>
      <c r="JH133" s="1318">
        <f>JH132-IV132</f>
        <v/>
      </c>
      <c r="JI133" s="1318">
        <f>JI132-IW132</f>
        <v/>
      </c>
      <c r="JJ133" s="1318">
        <f>JJ132-IX132</f>
        <v/>
      </c>
      <c r="JK133" s="1318">
        <f>JK132-IY132</f>
        <v/>
      </c>
      <c r="JL133" s="1318">
        <f>JL132-IZ132</f>
        <v/>
      </c>
      <c r="JM133" s="1318">
        <f>JM132-JA132</f>
        <v/>
      </c>
      <c r="JN133" s="1318">
        <f>JN132-JB132</f>
        <v/>
      </c>
      <c r="JO133" s="1318">
        <f>JO132-JC132</f>
        <v/>
      </c>
      <c r="JP133" s="1318">
        <f>JP132-JD132</f>
        <v/>
      </c>
      <c r="JQ133" s="1318">
        <f>JQ132-JE132</f>
        <v/>
      </c>
      <c r="JR133" s="1318">
        <f>JR132-JF132</f>
        <v/>
      </c>
      <c r="JS133" s="1318">
        <f>JS132-JG132</f>
        <v/>
      </c>
      <c r="JT133" s="1318">
        <f>JT132-JH132</f>
        <v/>
      </c>
      <c r="JU133" s="1318">
        <f>JU132-JI132</f>
        <v/>
      </c>
      <c r="JV133" s="1318">
        <f>JV132-JJ132</f>
        <v/>
      </c>
      <c r="JW133" s="1318">
        <f>JW132-JK132</f>
        <v/>
      </c>
      <c r="JX133" s="1318">
        <f>JX132-JL132</f>
        <v/>
      </c>
      <c r="JY133" s="1318">
        <f>JY132-JM132</f>
        <v/>
      </c>
      <c r="JZ133" s="1318">
        <f>JZ132-JN132</f>
        <v/>
      </c>
      <c r="KA133" s="1318">
        <f>KA132-JO132</f>
        <v/>
      </c>
      <c r="KB133" s="1318">
        <f>KB132-JP132</f>
        <v/>
      </c>
      <c r="KC133" s="1318">
        <f>KC132-JQ132</f>
        <v/>
      </c>
      <c r="KD133" s="1318">
        <f>KD132-JR132</f>
        <v/>
      </c>
      <c r="KE133" s="1318">
        <f>KE132-JS132</f>
        <v/>
      </c>
      <c r="KF133" s="1318">
        <f>KF132-JT132</f>
        <v/>
      </c>
      <c r="KG133" s="1318">
        <f>KG132-JU132</f>
        <v/>
      </c>
      <c r="KH133" s="1318">
        <f>KH132-JV132</f>
        <v/>
      </c>
      <c r="KI133" s="1318">
        <f>KI132-JW132</f>
        <v/>
      </c>
      <c r="KJ133" s="1318">
        <f>KJ132-JX132</f>
        <v/>
      </c>
      <c r="KK133" s="1318">
        <f>KK132-JY132</f>
        <v/>
      </c>
      <c r="KL133" s="1318">
        <f>KL132-JZ132</f>
        <v/>
      </c>
      <c r="KM133" s="1318">
        <f>KM132-KA132</f>
        <v/>
      </c>
      <c r="KN133" s="1318">
        <f>KN132-KB132</f>
        <v/>
      </c>
      <c r="KO133" s="1318">
        <f>KO132-KC132</f>
        <v/>
      </c>
      <c r="KP133" s="1318">
        <f>KP132-KD132</f>
        <v/>
      </c>
      <c r="KQ133" s="1318">
        <f>KQ132-KE132</f>
        <v/>
      </c>
      <c r="KR133" s="1318">
        <f>KR132-KF132</f>
        <v/>
      </c>
      <c r="KS133" s="1318">
        <f>KS132-KG132</f>
        <v/>
      </c>
      <c r="KT133" s="1318">
        <f>KT132-KH132</f>
        <v/>
      </c>
      <c r="KU133" s="1318">
        <f>KU132-KI132</f>
        <v/>
      </c>
      <c r="KV133" s="1318">
        <f>KV132-KJ132</f>
        <v/>
      </c>
      <c r="KW133" s="1318">
        <f>KW132-KK132</f>
        <v/>
      </c>
      <c r="KX133" s="1318">
        <f>KX132-KL132</f>
        <v/>
      </c>
      <c r="KY133" s="1318">
        <f>KY132-KM132</f>
        <v/>
      </c>
      <c r="KZ133" s="1318">
        <f>KZ132-KN132</f>
        <v/>
      </c>
      <c r="LA133" s="1318">
        <f>LA132-KO132</f>
        <v/>
      </c>
      <c r="LB133" s="1318">
        <f>LB132-KP132</f>
        <v/>
      </c>
      <c r="LC133" s="1318">
        <f>LC132-KQ132</f>
        <v/>
      </c>
      <c r="LD133" s="1318">
        <f>LD132-KR132</f>
        <v/>
      </c>
      <c r="LE133" s="1318">
        <f>LE132-KS132</f>
        <v/>
      </c>
      <c r="LF133" s="1318">
        <f>LF132-KT132</f>
        <v/>
      </c>
      <c r="LG133" s="1318">
        <f>LG132-KU132</f>
        <v/>
      </c>
      <c r="LH133" s="1318">
        <f>LH132-KV132</f>
        <v/>
      </c>
      <c r="LI133" s="1318">
        <f>LI132-KW132</f>
        <v/>
      </c>
      <c r="LJ133" s="1318">
        <f>LJ132-KX132</f>
        <v/>
      </c>
      <c r="LK133" s="1318">
        <f>LK132-KY132</f>
        <v/>
      </c>
      <c r="LL133" s="1318">
        <f>LL132-KZ132</f>
        <v/>
      </c>
      <c r="LM133" s="1318">
        <f>LM132-LA132</f>
        <v/>
      </c>
      <c r="LN133" s="1318">
        <f>LN132-LB132</f>
        <v/>
      </c>
      <c r="LO133" s="1318">
        <f>LO132-LC132</f>
        <v/>
      </c>
      <c r="LP133" s="1318">
        <f>LP132-LD132</f>
        <v/>
      </c>
      <c r="LQ133" s="1318">
        <f>LQ132-LE132</f>
        <v/>
      </c>
      <c r="LR133" s="1318">
        <f>LR132-LF132</f>
        <v/>
      </c>
      <c r="LS133" s="1318">
        <f>LS132-LG132</f>
        <v/>
      </c>
    </row>
    <row r="134">
      <c r="A134" s="885" t="n"/>
      <c r="B134" s="1318" t="n"/>
      <c r="C134" s="885" t="n"/>
      <c r="D134" s="885" t="n"/>
      <c r="E134" s="885" t="n"/>
      <c r="F134" s="885" t="n"/>
      <c r="G134" s="885" t="n"/>
      <c r="H134" s="885" t="n"/>
      <c r="I134" s="885" t="n"/>
      <c r="J134" s="885" t="n"/>
      <c r="K134" s="885" t="n"/>
      <c r="L134" s="885" t="n"/>
      <c r="M134" s="885" t="n"/>
      <c r="N134" s="1318" t="n"/>
      <c r="O134" s="885" t="n"/>
      <c r="P134" s="885" t="n"/>
      <c r="Q134" s="885" t="n"/>
      <c r="R134" s="885" t="n"/>
      <c r="S134" s="885" t="n"/>
      <c r="T134" s="885" t="n"/>
      <c r="U134" s="885" t="n"/>
      <c r="V134" s="885" t="n"/>
      <c r="W134" s="885" t="n"/>
      <c r="X134" s="885" t="n"/>
      <c r="Y134" s="885" t="n"/>
      <c r="Z134" s="1318" t="n"/>
      <c r="AA134" s="885" t="n"/>
      <c r="AB134" s="885" t="n"/>
      <c r="AC134" s="885" t="n"/>
      <c r="AD134" s="885" t="n"/>
      <c r="AE134" s="885" t="n"/>
      <c r="AF134" s="885" t="n"/>
      <c r="AG134" s="885" t="n"/>
      <c r="AH134" s="885" t="n"/>
      <c r="AI134" s="885" t="n"/>
      <c r="AJ134" s="885" t="n"/>
      <c r="AK134" s="885" t="n"/>
      <c r="AL134" s="1318" t="n"/>
      <c r="AM134" s="885" t="n"/>
      <c r="AN134" s="885" t="n"/>
      <c r="AO134" s="885" t="n"/>
      <c r="AP134" s="885" t="n"/>
      <c r="AQ134" s="885" t="n"/>
      <c r="AR134" s="885" t="n"/>
      <c r="AS134" s="885" t="n"/>
      <c r="AT134" s="885" t="n"/>
      <c r="AU134" s="885" t="n"/>
      <c r="AV134" s="885" t="n"/>
      <c r="AW134" s="885" t="n"/>
      <c r="AX134" s="1318" t="n"/>
      <c r="AY134" s="1318" t="n"/>
      <c r="AZ134" s="1318" t="n"/>
      <c r="BA134" s="1318" t="n"/>
      <c r="BB134" s="1318" t="n"/>
      <c r="BC134" s="1318" t="n"/>
      <c r="BD134" s="1318" t="n"/>
      <c r="BE134" s="1318" t="n"/>
      <c r="BF134" s="1318" t="n"/>
      <c r="BG134" s="1318" t="n"/>
      <c r="BH134" s="1318" t="n"/>
      <c r="BI134" s="1318" t="n"/>
      <c r="BJ134" s="1318" t="n"/>
      <c r="BK134" s="1318" t="n"/>
      <c r="BL134" s="1318" t="n"/>
      <c r="BM134" s="1318" t="n"/>
      <c r="BN134" s="1318" t="n"/>
      <c r="BO134" s="1318" t="n"/>
      <c r="BP134" s="1318" t="n"/>
      <c r="BQ134" s="1318" t="n"/>
      <c r="BR134" s="1318" t="n"/>
      <c r="BS134" s="1318" t="n"/>
      <c r="BT134" s="1318" t="n"/>
      <c r="BU134" s="1318" t="n"/>
      <c r="BV134" s="1318" t="n"/>
      <c r="BW134" s="1318" t="n"/>
      <c r="BX134" s="1318" t="n"/>
      <c r="BY134" s="1318" t="n"/>
      <c r="BZ134" s="1318" t="n"/>
      <c r="CA134" s="1318" t="n"/>
      <c r="CB134" s="1318" t="n"/>
      <c r="CC134" s="1318" t="n"/>
      <c r="CD134" s="1318" t="n"/>
      <c r="CE134" s="1318" t="n"/>
      <c r="CF134" s="1318" t="n"/>
      <c r="CG134" s="1318" t="n"/>
      <c r="CH134" s="1318" t="n"/>
      <c r="CI134" s="1318" t="n"/>
      <c r="CJ134" s="1318" t="n"/>
      <c r="CK134" s="1318" t="n"/>
      <c r="CL134" s="1330" t="n"/>
      <c r="CM134" s="1330" t="n"/>
      <c r="CN134" s="1318" t="n"/>
      <c r="CO134" s="1318" t="n"/>
      <c r="CP134" s="1318" t="n"/>
      <c r="CQ134" s="1318" t="n"/>
      <c r="CR134" s="1318" t="n"/>
      <c r="CS134" s="1318" t="n"/>
      <c r="CT134" s="1318" t="n"/>
      <c r="CU134" s="1318" t="n"/>
      <c r="CV134" s="1318" t="n"/>
      <c r="CW134" s="1318" t="n"/>
      <c r="CX134" s="1318" t="n"/>
      <c r="CY134" s="1318" t="n"/>
      <c r="CZ134" s="1318" t="n"/>
      <c r="DA134" s="1318" t="n"/>
      <c r="DB134" s="1318" t="n"/>
      <c r="DC134" s="1318" t="n"/>
      <c r="DD134" s="1318" t="n"/>
      <c r="DE134" s="1318" t="n"/>
      <c r="DF134" s="1318" t="n"/>
      <c r="DG134" s="1318" t="n"/>
      <c r="DH134" s="1318" t="n"/>
      <c r="DI134" s="1318" t="n"/>
      <c r="DJ134" s="1318" t="n"/>
      <c r="DK134" s="1318" t="n"/>
      <c r="DL134" s="1318" t="n"/>
      <c r="DM134" s="1318" t="n"/>
      <c r="DN134" s="1318" t="n"/>
      <c r="DO134" s="1318" t="n"/>
      <c r="DP134" s="1318" t="n"/>
      <c r="DQ134" s="1318" t="n"/>
      <c r="DR134" s="1318" t="n"/>
      <c r="DS134" s="1318" t="n"/>
      <c r="DT134" s="1318" t="n"/>
      <c r="DU134" s="1318" t="n"/>
      <c r="DV134" s="1318" t="n"/>
      <c r="DW134" s="1318" t="n"/>
      <c r="DX134" s="1318" t="n"/>
      <c r="DY134" s="1318" t="n"/>
      <c r="DZ134" s="1318" t="n"/>
      <c r="EA134" s="1318" t="n"/>
      <c r="EB134" s="1318" t="n"/>
      <c r="EC134" s="1318" t="n"/>
      <c r="ED134" s="1318" t="n"/>
      <c r="EE134" s="1318" t="n"/>
      <c r="EF134" s="1318" t="n"/>
      <c r="EG134" s="1318" t="n"/>
      <c r="EH134" s="1318" t="n"/>
      <c r="EI134" s="1318" t="n"/>
      <c r="EJ134" s="1318" t="n"/>
      <c r="EK134" s="1318" t="n"/>
      <c r="EL134" s="1318" t="n"/>
      <c r="EM134" s="1318" t="n"/>
      <c r="EN134" s="1318" t="n"/>
      <c r="EO134" s="1318" t="n"/>
      <c r="EP134" s="1318" t="n"/>
      <c r="EQ134" s="1318" t="n"/>
      <c r="ER134" s="1318" t="n"/>
      <c r="ES134" s="1318" t="n"/>
      <c r="ET134" s="1318" t="n"/>
      <c r="EU134" s="1318" t="n"/>
      <c r="EV134" s="1318" t="n"/>
      <c r="EW134" s="1318" t="n"/>
      <c r="EX134" s="1318" t="n"/>
      <c r="EY134" s="1318" t="n"/>
      <c r="EZ134" s="1318" t="n"/>
      <c r="FA134" s="1318" t="n"/>
      <c r="FB134" s="1318" t="n"/>
      <c r="FC134" s="1318" t="n"/>
      <c r="FD134" s="1318" t="n"/>
      <c r="FE134" s="1318" t="n"/>
      <c r="FF134" s="1318" t="n"/>
      <c r="FG134" s="1318" t="n"/>
      <c r="FH134" s="1318" t="n"/>
      <c r="FI134" s="1318" t="n"/>
      <c r="FJ134" s="1318" t="n"/>
      <c r="FK134" s="1318" t="n"/>
      <c r="FL134" s="1318" t="n"/>
      <c r="FM134" s="1318" t="n"/>
      <c r="FN134" s="1318" t="n"/>
      <c r="FO134" s="1318" t="n"/>
      <c r="FP134" s="1318" t="n"/>
      <c r="FQ134" s="1318" t="n"/>
      <c r="FR134" s="1318" t="n"/>
      <c r="FS134" s="1318" t="n"/>
      <c r="FT134" s="1318" t="n"/>
      <c r="FU134" s="1318" t="n"/>
      <c r="FV134" s="1318" t="n"/>
      <c r="FW134" s="1318" t="n"/>
      <c r="FX134" s="1318" t="n"/>
      <c r="FY134" s="1318" t="n"/>
      <c r="FZ134" s="1318" t="n"/>
      <c r="GA134" s="1318" t="n"/>
      <c r="GB134" s="1318" t="n"/>
      <c r="GC134" s="1318" t="n"/>
      <c r="GD134" s="1318" t="n"/>
      <c r="GE134" s="1318" t="n"/>
      <c r="GF134" s="1318" t="n"/>
      <c r="GG134" s="1318" t="n"/>
      <c r="GH134" s="1318" t="n"/>
      <c r="GI134" s="904" t="n"/>
      <c r="GJ134" s="904" t="n"/>
      <c r="GK134" s="1318" t="n"/>
      <c r="GL134" s="904" t="n"/>
      <c r="GM134" s="904" t="n"/>
      <c r="GN134" s="904" t="n"/>
      <c r="GO134" s="904" t="n"/>
      <c r="GP134" s="904" t="n"/>
      <c r="GQ134" s="904" t="n"/>
      <c r="GR134" s="904" t="n"/>
      <c r="GS134" s="904" t="n"/>
      <c r="GT134" s="904" t="n"/>
      <c r="GU134" s="904" t="n"/>
      <c r="GV134" s="904" t="n"/>
      <c r="GW134" s="1318" t="n"/>
      <c r="GX134" s="904" t="n"/>
      <c r="GY134" s="904" t="n"/>
      <c r="GZ134" s="904" t="n"/>
      <c r="HA134" s="904" t="n"/>
      <c r="HB134" s="904" t="n"/>
      <c r="HC134" s="904" t="n"/>
      <c r="HD134" s="904" t="n"/>
      <c r="HE134" s="904" t="n"/>
      <c r="HF134" s="904" t="n"/>
      <c r="HG134" s="904" t="n"/>
      <c r="HH134" s="904" t="n"/>
      <c r="HI134" s="904" t="n"/>
      <c r="HJ134" s="904" t="n"/>
      <c r="HK134" s="904" t="n"/>
      <c r="HL134" s="904" t="n"/>
      <c r="HM134" s="904" t="n"/>
      <c r="HN134" s="904" t="n"/>
      <c r="HO134" s="904" t="n"/>
      <c r="HP134" s="904" t="n"/>
      <c r="HQ134" s="904" t="n"/>
      <c r="HR134" s="904" t="n"/>
      <c r="HS134" s="904" t="n"/>
      <c r="HT134" s="904" t="n"/>
      <c r="HU134" s="904" t="n"/>
      <c r="HV134" s="904" t="n"/>
      <c r="HW134" s="904" t="n"/>
      <c r="HX134" s="904" t="n"/>
      <c r="HY134" s="904" t="n"/>
      <c r="HZ134" s="904" t="n"/>
      <c r="IA134" s="904" t="n"/>
      <c r="IB134" s="904" t="n"/>
      <c r="IC134" s="904" t="n"/>
      <c r="ID134" s="904" t="n"/>
      <c r="IE134" s="904" t="n"/>
      <c r="IF134" s="904" t="n"/>
      <c r="IG134" s="904" t="n"/>
      <c r="IH134" s="904" t="n"/>
      <c r="II134" s="904" t="n"/>
      <c r="IJ134" s="904" t="n"/>
      <c r="IK134" s="904" t="n"/>
      <c r="IL134" s="904" t="n"/>
      <c r="IM134" s="904" t="n"/>
      <c r="IN134" s="904" t="n"/>
      <c r="IO134" s="904" t="n"/>
      <c r="IP134" s="904" t="n"/>
      <c r="IQ134" s="904" t="n"/>
      <c r="IR134" s="904" t="n"/>
      <c r="IS134" s="904" t="n"/>
      <c r="IT134" s="904" t="n"/>
      <c r="IU134" s="904" t="n"/>
      <c r="IV134" s="904" t="n"/>
      <c r="IW134" s="904" t="n"/>
      <c r="IX134" s="904" t="n"/>
      <c r="IY134" s="904" t="n"/>
      <c r="IZ134" s="904" t="n"/>
      <c r="JA134" s="904" t="n"/>
      <c r="JB134" s="904" t="n"/>
      <c r="JC134" s="904" t="n"/>
      <c r="JD134" s="904" t="n"/>
      <c r="JE134" s="904" t="n"/>
      <c r="JF134" s="904" t="n"/>
      <c r="JG134" s="904" t="n"/>
      <c r="JH134" s="904" t="n"/>
      <c r="JI134" s="904" t="n"/>
      <c r="JJ134" s="904" t="n"/>
      <c r="JK134" s="904" t="n"/>
      <c r="JL134" s="904" t="n"/>
      <c r="JM134" s="904" t="n"/>
      <c r="JN134" s="904" t="n"/>
      <c r="JO134" s="904" t="n"/>
      <c r="JP134" s="904" t="n"/>
      <c r="JQ134" s="904" t="n"/>
      <c r="JR134" s="904" t="n"/>
      <c r="JS134" s="904" t="n"/>
      <c r="JT134" s="904" t="n"/>
      <c r="JU134" s="904" t="n"/>
      <c r="JV134" s="904" t="n"/>
      <c r="JW134" s="904" t="n"/>
      <c r="JX134" s="904" t="n"/>
      <c r="JY134" s="904" t="n"/>
      <c r="JZ134" s="904" t="n"/>
      <c r="KA134" s="904" t="n"/>
      <c r="KB134" s="904" t="n"/>
      <c r="KC134" s="904" t="n"/>
      <c r="KD134" s="904" t="n"/>
      <c r="KE134" s="904" t="n"/>
      <c r="KF134" s="904" t="n"/>
      <c r="KG134" s="904" t="n"/>
      <c r="KH134" s="904" t="n"/>
      <c r="KI134" s="904" t="n"/>
      <c r="KJ134" s="904" t="n"/>
      <c r="KK134" s="904" t="n"/>
      <c r="KL134" s="904" t="n"/>
      <c r="KM134" s="904" t="n"/>
      <c r="KN134" s="904" t="n"/>
      <c r="KO134" s="904" t="n"/>
      <c r="KP134" s="904" t="n"/>
      <c r="KQ134" s="904" t="n"/>
      <c r="KR134" s="904" t="n"/>
      <c r="KS134" s="904" t="n"/>
      <c r="KT134" s="904" t="n"/>
      <c r="KU134" s="904" t="n"/>
      <c r="KV134" s="904" t="n"/>
      <c r="KW134" s="904" t="n"/>
      <c r="KX134" s="904" t="n"/>
      <c r="KY134" s="904" t="n"/>
      <c r="KZ134" s="904" t="n"/>
      <c r="LA134" s="904" t="n"/>
      <c r="LB134" s="904" t="n"/>
      <c r="LC134" s="904" t="n"/>
      <c r="LD134" s="904" t="n"/>
      <c r="LE134" s="904" t="n"/>
      <c r="LF134" s="904" t="n"/>
      <c r="LG134" s="904" t="n"/>
      <c r="LH134" s="904" t="n"/>
      <c r="LI134" s="904" t="n"/>
      <c r="LJ134" s="904" t="n"/>
      <c r="LK134" s="904" t="n"/>
      <c r="LL134" s="904" t="n"/>
      <c r="LM134" s="904" t="n"/>
      <c r="LN134" s="904" t="n"/>
      <c r="LO134" s="904" t="n"/>
      <c r="LP134" s="904" t="n"/>
      <c r="LQ134" s="904" t="n"/>
      <c r="LR134" s="904" t="n"/>
      <c r="LS134" s="904" t="n"/>
    </row>
    <row r="135" ht="17.25" customFormat="1" customHeight="1" s="1310">
      <c r="A135" s="1343" t="inlineStr">
        <is>
          <t>Seat Capacity (000)</t>
        </is>
      </c>
      <c r="B135" s="916">
        <f>B82/B94</f>
        <v/>
      </c>
      <c r="C135" s="917">
        <f>C82/C94</f>
        <v/>
      </c>
      <c r="D135" s="917">
        <f>D82/D94</f>
        <v/>
      </c>
      <c r="E135" s="917">
        <f>E82/E94</f>
        <v/>
      </c>
      <c r="F135" s="918">
        <f>F82/F94</f>
        <v/>
      </c>
      <c r="G135" s="918">
        <f>G82/G94</f>
        <v/>
      </c>
      <c r="H135" s="918">
        <f>H82/H94</f>
        <v/>
      </c>
      <c r="I135" s="918">
        <f>I82/I94</f>
        <v/>
      </c>
      <c r="J135" s="918">
        <f>J82/J94</f>
        <v/>
      </c>
      <c r="K135" s="918">
        <f>K82/K94</f>
        <v/>
      </c>
      <c r="L135" s="918">
        <f>L82/L94</f>
        <v/>
      </c>
      <c r="M135" s="918">
        <f>M82/M94</f>
        <v/>
      </c>
      <c r="N135" s="918">
        <f>N82/N94</f>
        <v/>
      </c>
      <c r="O135" s="918">
        <f>O82/O94</f>
        <v/>
      </c>
      <c r="P135" s="918">
        <f>P82/P94</f>
        <v/>
      </c>
      <c r="Q135" s="917">
        <f>Q82/Q94</f>
        <v/>
      </c>
      <c r="R135" s="918">
        <f>R82/R94</f>
        <v/>
      </c>
      <c r="S135" s="918">
        <f>S82/S94</f>
        <v/>
      </c>
      <c r="T135" s="918">
        <f>T82/T94</f>
        <v/>
      </c>
      <c r="U135" s="918">
        <f>U82/U94</f>
        <v/>
      </c>
      <c r="V135" s="918">
        <f>V82/V94</f>
        <v/>
      </c>
      <c r="W135" s="918">
        <f>W82/W94</f>
        <v/>
      </c>
      <c r="X135" s="918">
        <f>X82/X94</f>
        <v/>
      </c>
      <c r="Y135" s="918">
        <f>Y82/Y94</f>
        <v/>
      </c>
      <c r="Z135" s="918">
        <f>Z82/Z94</f>
        <v/>
      </c>
      <c r="AA135" s="918">
        <f>AA82/AA94</f>
        <v/>
      </c>
      <c r="AB135" s="918">
        <f>AB82/AB94</f>
        <v/>
      </c>
      <c r="AC135" s="918">
        <f>AC82/AC94</f>
        <v/>
      </c>
      <c r="AD135" s="918">
        <f>AD82/AD94</f>
        <v/>
      </c>
      <c r="AE135" s="918">
        <f>AE82/AE94</f>
        <v/>
      </c>
      <c r="AF135" s="918">
        <f>AF82/AF94</f>
        <v/>
      </c>
      <c r="AG135" s="918">
        <f>AG82/AG94</f>
        <v/>
      </c>
      <c r="AH135" s="918">
        <f>AH82/AH94</f>
        <v/>
      </c>
      <c r="AI135" s="918">
        <f>AI82/AI94</f>
        <v/>
      </c>
      <c r="AJ135" s="918">
        <f>AJ82/AJ94</f>
        <v/>
      </c>
      <c r="AK135" s="918">
        <f>AK82/AK94</f>
        <v/>
      </c>
      <c r="AL135" s="918">
        <f>AL82/AL94</f>
        <v/>
      </c>
      <c r="AM135" s="918">
        <f>AM82/AM94</f>
        <v/>
      </c>
      <c r="AN135" s="918">
        <f>AN82/AN94</f>
        <v/>
      </c>
      <c r="AO135" s="918">
        <f>AO82/AO94</f>
        <v/>
      </c>
      <c r="AP135" s="918">
        <f>AP82/AP94</f>
        <v/>
      </c>
      <c r="AQ135" s="918">
        <f>AQ82/AQ94</f>
        <v/>
      </c>
      <c r="AR135" s="918">
        <f>AR82/AR94</f>
        <v/>
      </c>
      <c r="AS135" s="918">
        <f>AS82/AS94</f>
        <v/>
      </c>
      <c r="AT135" s="918">
        <f>AT82/AT94</f>
        <v/>
      </c>
      <c r="AU135" s="918">
        <f>AU82/AU94</f>
        <v/>
      </c>
      <c r="AV135" s="919">
        <f>AV82/AV94</f>
        <v/>
      </c>
      <c r="AW135" s="918">
        <f>AW82/AW94</f>
        <v/>
      </c>
      <c r="AX135" s="918">
        <f>AX82/AX94</f>
        <v/>
      </c>
      <c r="AY135" s="918">
        <f>AY82/AY94</f>
        <v/>
      </c>
      <c r="AZ135" s="918">
        <f>AZ82/AZ94</f>
        <v/>
      </c>
      <c r="BA135" s="918">
        <f>BA82/BA94</f>
        <v/>
      </c>
      <c r="BB135" s="918">
        <f>BB82/BB94</f>
        <v/>
      </c>
      <c r="BC135" s="918">
        <f>BC82/BC94</f>
        <v/>
      </c>
      <c r="BD135" s="918">
        <f>BD82/BD94</f>
        <v/>
      </c>
      <c r="BE135" s="918">
        <f>BE82/BE94</f>
        <v/>
      </c>
      <c r="BF135" s="918">
        <f>BF82/BF94</f>
        <v/>
      </c>
      <c r="BG135" s="918">
        <f>BG82/BG94</f>
        <v/>
      </c>
      <c r="BH135" s="918">
        <f>BH82/BH94</f>
        <v/>
      </c>
      <c r="BI135" s="918">
        <f>BI82/BI94</f>
        <v/>
      </c>
      <c r="BJ135" s="918">
        <f>BJ82/BJ94</f>
        <v/>
      </c>
      <c r="BK135" s="918">
        <f>BK82/BK94</f>
        <v/>
      </c>
      <c r="BL135" s="918">
        <f>BL82/BL94</f>
        <v/>
      </c>
      <c r="BM135" s="918">
        <f>BM82/BM94</f>
        <v/>
      </c>
      <c r="BN135" s="918">
        <f>BN82/BN94</f>
        <v/>
      </c>
      <c r="BO135" s="918">
        <f>BO82/BO94</f>
        <v/>
      </c>
      <c r="BP135" s="918">
        <f>BP82/BP94</f>
        <v/>
      </c>
      <c r="BQ135" s="918">
        <f>BQ82/BQ94</f>
        <v/>
      </c>
      <c r="BR135" s="918">
        <f>BR82/BR94</f>
        <v/>
      </c>
      <c r="BS135" s="918">
        <f>BS82/BS94</f>
        <v/>
      </c>
      <c r="BT135" s="918">
        <f>BT82/BT94</f>
        <v/>
      </c>
      <c r="BU135" s="918">
        <f>BU82/BU94</f>
        <v/>
      </c>
      <c r="BV135" s="918">
        <f>BV82/BV94</f>
        <v/>
      </c>
      <c r="BW135" s="918">
        <f>BW82/BW94</f>
        <v/>
      </c>
      <c r="BX135" s="918">
        <f>BX82/BX94</f>
        <v/>
      </c>
      <c r="BY135" s="918">
        <f>BY82/BY94</f>
        <v/>
      </c>
      <c r="BZ135" s="918">
        <f>BZ82/BZ94</f>
        <v/>
      </c>
      <c r="CA135" s="918">
        <f>CA82/CA94</f>
        <v/>
      </c>
      <c r="CB135" s="918">
        <f>CB82/CB94</f>
        <v/>
      </c>
      <c r="CC135" s="918">
        <f>CC82/CC94</f>
        <v/>
      </c>
      <c r="CD135" s="918">
        <f>CD82/CD94</f>
        <v/>
      </c>
      <c r="CE135" s="918">
        <f>CE82/CE94</f>
        <v/>
      </c>
      <c r="CF135" s="918">
        <f>CF82/CF94</f>
        <v/>
      </c>
      <c r="CG135" s="918">
        <f>CG82/CG94</f>
        <v/>
      </c>
      <c r="CH135" s="918">
        <f>CH82/CH94</f>
        <v/>
      </c>
      <c r="CI135" s="918">
        <f>CI82/CI94</f>
        <v/>
      </c>
      <c r="CJ135" s="918">
        <f>CJ82/CJ94</f>
        <v/>
      </c>
      <c r="CK135" s="918">
        <f>CK82/CK94</f>
        <v/>
      </c>
      <c r="CL135" s="918">
        <f>CL82/CL94</f>
        <v/>
      </c>
      <c r="CM135" s="918">
        <f>CM82/CM94</f>
        <v/>
      </c>
      <c r="CN135" s="918">
        <f>CN82/CN94</f>
        <v/>
      </c>
      <c r="CO135" s="918">
        <f>CO82/CO94</f>
        <v/>
      </c>
      <c r="CP135" s="918">
        <f>CP82/CP94</f>
        <v/>
      </c>
      <c r="CQ135" s="918">
        <f>CQ82/CQ94</f>
        <v/>
      </c>
      <c r="CR135" s="918">
        <f>CR82/CR94</f>
        <v/>
      </c>
      <c r="CS135" s="918">
        <f>CS82/CS94</f>
        <v/>
      </c>
      <c r="CT135" s="918">
        <f>CT82/CT94</f>
        <v/>
      </c>
      <c r="CU135" s="918">
        <f>CU82/CU94</f>
        <v/>
      </c>
      <c r="CV135" s="918">
        <f>CV82/CV94</f>
        <v/>
      </c>
      <c r="CW135" s="918">
        <f>CW82/CW94</f>
        <v/>
      </c>
      <c r="CX135" s="918">
        <f>CX82/CX94</f>
        <v/>
      </c>
      <c r="CY135" s="918">
        <f>CY82/CY94</f>
        <v/>
      </c>
      <c r="CZ135" s="918">
        <f>CZ82/CZ94</f>
        <v/>
      </c>
      <c r="DA135" s="918">
        <f>DA82/DA94</f>
        <v/>
      </c>
      <c r="DB135" s="918">
        <f>DB82/DB94</f>
        <v/>
      </c>
      <c r="DC135" s="918">
        <f>DC82/DC94</f>
        <v/>
      </c>
      <c r="DD135" s="918">
        <f>DD82/DD94</f>
        <v/>
      </c>
      <c r="DE135" s="918">
        <f>DE82/DE94</f>
        <v/>
      </c>
      <c r="DF135" s="918">
        <f>DF82/DF94</f>
        <v/>
      </c>
      <c r="DG135" s="918">
        <f>DG82/DG94</f>
        <v/>
      </c>
      <c r="DH135" s="918">
        <f>DH82/DH94</f>
        <v/>
      </c>
      <c r="DI135" s="918">
        <f>DI82/DI94</f>
        <v/>
      </c>
      <c r="DJ135" s="918">
        <f>DJ82/DJ94</f>
        <v/>
      </c>
      <c r="DK135" s="918">
        <f>DK82/DK94</f>
        <v/>
      </c>
      <c r="DL135" s="918">
        <f>DL82/DL94</f>
        <v/>
      </c>
      <c r="DM135" s="918">
        <f>DM82/DM94</f>
        <v/>
      </c>
      <c r="DN135" s="918">
        <f>DN82/DN94</f>
        <v/>
      </c>
      <c r="DO135" s="918">
        <f>DO82/DO94</f>
        <v/>
      </c>
      <c r="DP135" s="918">
        <f>DP82/DP94</f>
        <v/>
      </c>
      <c r="DQ135" s="918">
        <f>DQ82/DQ94</f>
        <v/>
      </c>
      <c r="DR135" s="920">
        <f>DR82/DR94</f>
        <v/>
      </c>
      <c r="DS135" s="918">
        <f>DS82/DS94</f>
        <v/>
      </c>
      <c r="DT135" s="918">
        <f>DT82/DT94</f>
        <v/>
      </c>
      <c r="DU135" s="918">
        <f>DU82/DU94</f>
        <v/>
      </c>
      <c r="DV135" s="918">
        <f>DV82/DV94</f>
        <v/>
      </c>
      <c r="DW135" s="918">
        <f>DW82/DW94</f>
        <v/>
      </c>
      <c r="DX135" s="918">
        <f>DX82/DX94</f>
        <v/>
      </c>
      <c r="DY135" s="918">
        <f>DY82/DY94</f>
        <v/>
      </c>
      <c r="DZ135" s="918">
        <f>DZ82/DZ94</f>
        <v/>
      </c>
      <c r="EA135" s="918">
        <f>EA82/EA94</f>
        <v/>
      </c>
      <c r="EB135" s="918">
        <f>EB82/EB94</f>
        <v/>
      </c>
      <c r="EC135" s="918">
        <f>EC82/EC94</f>
        <v/>
      </c>
      <c r="ED135" s="918">
        <f>ED82/ED94</f>
        <v/>
      </c>
      <c r="EE135" s="918">
        <f>EE82/EE94</f>
        <v/>
      </c>
      <c r="EF135" s="918">
        <f>EF82/EF94</f>
        <v/>
      </c>
      <c r="EG135" s="918">
        <f>EG82/EG94</f>
        <v/>
      </c>
      <c r="EH135" s="918">
        <f>EH82/EH94</f>
        <v/>
      </c>
      <c r="EI135" s="918">
        <f>EI82/EI94</f>
        <v/>
      </c>
      <c r="EJ135" s="918">
        <f>EJ82/EJ94</f>
        <v/>
      </c>
      <c r="EK135" s="918">
        <f>EK82/EK94</f>
        <v/>
      </c>
      <c r="EL135" s="918">
        <f>EL82/EL94</f>
        <v/>
      </c>
      <c r="EM135" s="918">
        <f>EM82/EM94</f>
        <v/>
      </c>
      <c r="EN135" s="918">
        <f>EN82/EN94</f>
        <v/>
      </c>
      <c r="EO135" s="918">
        <f>EO82/EO94</f>
        <v/>
      </c>
      <c r="EP135" s="918">
        <f>EP82/EP94</f>
        <v/>
      </c>
      <c r="EQ135" s="918">
        <f>EQ82/EQ94</f>
        <v/>
      </c>
      <c r="ER135" s="918">
        <f>ER82/ER94</f>
        <v/>
      </c>
      <c r="ES135" s="918">
        <f>ES82/ES94</f>
        <v/>
      </c>
      <c r="ET135" s="918">
        <f>ET82/ET94</f>
        <v/>
      </c>
      <c r="EU135" s="918">
        <f>EU82/EU94</f>
        <v/>
      </c>
      <c r="EV135" s="918">
        <f>EV82/EV94</f>
        <v/>
      </c>
      <c r="EW135" s="918">
        <f>EW82/EW94</f>
        <v/>
      </c>
      <c r="EX135" s="918">
        <f>EX82/EX94</f>
        <v/>
      </c>
      <c r="EY135" s="918">
        <f>EY82/EY94</f>
        <v/>
      </c>
      <c r="EZ135" s="918">
        <f>EZ82/EZ94</f>
        <v/>
      </c>
      <c r="FA135" s="918">
        <f>FA82/FA94</f>
        <v/>
      </c>
      <c r="FB135" s="918">
        <f>FB82/FB94</f>
        <v/>
      </c>
      <c r="FC135" s="918">
        <f>FC82/FC94</f>
        <v/>
      </c>
      <c r="FD135" s="918">
        <f>FD82/FD94</f>
        <v/>
      </c>
      <c r="FE135" s="918">
        <f>FE82/FE94</f>
        <v/>
      </c>
      <c r="FF135" s="918">
        <f>FF82/FF94</f>
        <v/>
      </c>
      <c r="FG135" s="918">
        <f>FG82/FG94</f>
        <v/>
      </c>
      <c r="FH135" s="918">
        <f>FH82/FH94</f>
        <v/>
      </c>
      <c r="FI135" s="918">
        <f>FI82/FI94</f>
        <v/>
      </c>
      <c r="FJ135" s="918">
        <f>FJ82/FJ94</f>
        <v/>
      </c>
      <c r="FK135" s="918">
        <f>FK82/FK94</f>
        <v/>
      </c>
      <c r="FL135" s="918">
        <f>FL82/FL94</f>
        <v/>
      </c>
      <c r="FM135" s="918">
        <f>FM82/FM94</f>
        <v/>
      </c>
      <c r="FN135" s="918">
        <f>FN82/FN94</f>
        <v/>
      </c>
      <c r="FO135" s="918">
        <f>FO82/FO94</f>
        <v/>
      </c>
      <c r="FP135" s="918">
        <f>FP82/FP94</f>
        <v/>
      </c>
      <c r="FQ135" s="918">
        <f>FQ82/FQ94</f>
        <v/>
      </c>
      <c r="FR135" s="918">
        <f>FR82/FR94</f>
        <v/>
      </c>
      <c r="FS135" s="918">
        <f>FS82/FS94</f>
        <v/>
      </c>
      <c r="FT135" s="918">
        <f>FT82/FT94</f>
        <v/>
      </c>
      <c r="FU135" s="918">
        <f>FU82/FU94</f>
        <v/>
      </c>
      <c r="FV135" s="918">
        <f>FV82/FV94</f>
        <v/>
      </c>
      <c r="FW135" s="918">
        <f>FW82/FW94</f>
        <v/>
      </c>
      <c r="FX135" s="918">
        <f>FX82/FX94</f>
        <v/>
      </c>
      <c r="FY135" s="918">
        <f>FY82/FY94</f>
        <v/>
      </c>
      <c r="FZ135" s="918">
        <f>FZ82/FZ94</f>
        <v/>
      </c>
      <c r="GA135" s="918">
        <f>GA82/GA94</f>
        <v/>
      </c>
      <c r="GB135" s="918">
        <f>GB82/GB94</f>
        <v/>
      </c>
      <c r="GC135" s="918">
        <f>GC82/GC94</f>
        <v/>
      </c>
      <c r="GD135" s="918">
        <f>GD82/GD94</f>
        <v/>
      </c>
      <c r="GE135" s="918">
        <f>GE82/GE94</f>
        <v/>
      </c>
      <c r="GF135" s="918">
        <f>GF82/GF94</f>
        <v/>
      </c>
      <c r="GG135" s="918">
        <f>GG82/GG94</f>
        <v/>
      </c>
      <c r="GH135" s="918">
        <f>GH82/GH94</f>
        <v/>
      </c>
      <c r="GI135" s="918">
        <f>GI82/GI94</f>
        <v/>
      </c>
      <c r="GJ135" s="918">
        <f>GJ82/GJ94</f>
        <v/>
      </c>
      <c r="GK135" s="918">
        <f>GK82/GK94</f>
        <v/>
      </c>
      <c r="GL135" s="918">
        <f>GL82/GL94</f>
        <v/>
      </c>
      <c r="GM135" s="918">
        <f>GM82/GM94</f>
        <v/>
      </c>
      <c r="GN135" s="918">
        <f>GN82/GN94</f>
        <v/>
      </c>
      <c r="GO135" s="918">
        <f>GO82/GO94</f>
        <v/>
      </c>
      <c r="GP135" s="918">
        <f>GP82/GP94</f>
        <v/>
      </c>
      <c r="GQ135" s="918">
        <f>GQ82/GQ94</f>
        <v/>
      </c>
      <c r="GR135" s="918">
        <f>GR82/GR94</f>
        <v/>
      </c>
      <c r="GS135" s="918">
        <f>GS82/GS94</f>
        <v/>
      </c>
      <c r="GT135" s="918">
        <f>GT82/GT94</f>
        <v/>
      </c>
      <c r="GU135" s="918">
        <f>GU82/GU94</f>
        <v/>
      </c>
      <c r="GV135" s="918">
        <f>GV82/GV94</f>
        <v/>
      </c>
      <c r="GW135" s="918">
        <f>GW82/GW94</f>
        <v/>
      </c>
      <c r="GX135" s="918">
        <f>GX82/GX94</f>
        <v/>
      </c>
      <c r="GY135" s="918">
        <f>GY82/GY94</f>
        <v/>
      </c>
      <c r="GZ135" s="918">
        <f>GZ82/GZ94</f>
        <v/>
      </c>
      <c r="HA135" s="918">
        <f>HA82/HA94</f>
        <v/>
      </c>
      <c r="HB135" s="918">
        <f>HB82/HB94</f>
        <v/>
      </c>
      <c r="HC135" s="918">
        <f>HC82/HC94</f>
        <v/>
      </c>
      <c r="HD135" s="918">
        <f>HD82/HD94</f>
        <v/>
      </c>
      <c r="HE135" s="918">
        <f>HE82/HE94</f>
        <v/>
      </c>
      <c r="HF135" s="918">
        <f>HF82/HF94</f>
        <v/>
      </c>
      <c r="HG135" s="918">
        <f>HG82/HG94</f>
        <v/>
      </c>
      <c r="HH135" s="918">
        <f>HH82/HH94</f>
        <v/>
      </c>
      <c r="HI135" s="918">
        <f>HI82/HI94</f>
        <v/>
      </c>
      <c r="HJ135" s="918">
        <f>HJ82/HJ94</f>
        <v/>
      </c>
      <c r="HK135" s="918">
        <f>HK82/HK94</f>
        <v/>
      </c>
      <c r="HL135" s="918">
        <f>HL82/HL94</f>
        <v/>
      </c>
      <c r="HM135" s="918">
        <f>HM82/HM94</f>
        <v/>
      </c>
      <c r="HN135" s="918">
        <f>HN82/HN94</f>
        <v/>
      </c>
      <c r="HO135" s="918">
        <f>HO82/HO94</f>
        <v/>
      </c>
      <c r="HP135" s="918">
        <f>HP82/HP94</f>
        <v/>
      </c>
      <c r="HQ135" s="918">
        <f>HQ82/HQ94</f>
        <v/>
      </c>
      <c r="HR135" s="918">
        <f>HR82/HR94</f>
        <v/>
      </c>
      <c r="HS135" s="918">
        <f>HS82/HS94</f>
        <v/>
      </c>
      <c r="HT135" s="918">
        <f>HT82/HT94</f>
        <v/>
      </c>
      <c r="HU135" s="918">
        <f>HU82/HU94</f>
        <v/>
      </c>
      <c r="HV135" s="918">
        <f>HV82/HV94</f>
        <v/>
      </c>
      <c r="HW135" s="918">
        <f>HW82/HW94</f>
        <v/>
      </c>
      <c r="HX135" s="918">
        <f>HX82/HX94</f>
        <v/>
      </c>
      <c r="HY135" s="918">
        <f>HY82/HY94</f>
        <v/>
      </c>
      <c r="HZ135" s="918">
        <f>HZ82/HZ94</f>
        <v/>
      </c>
      <c r="IA135" s="918">
        <f>IA82/IA94</f>
        <v/>
      </c>
      <c r="IB135" s="918">
        <f>IB82/IB94</f>
        <v/>
      </c>
      <c r="IC135" s="918">
        <f>IC82/IC94</f>
        <v/>
      </c>
      <c r="ID135" s="918">
        <f>ID82/ID94</f>
        <v/>
      </c>
      <c r="IE135" s="918">
        <f>IE82/IE94</f>
        <v/>
      </c>
      <c r="IF135" s="918">
        <f>IF82/IF94</f>
        <v/>
      </c>
      <c r="IG135" s="918">
        <f>IG82/IG94</f>
        <v/>
      </c>
      <c r="IH135" s="918">
        <f>IH82/IH94</f>
        <v/>
      </c>
      <c r="II135" s="918">
        <f>II82/II94</f>
        <v/>
      </c>
      <c r="IJ135" s="918">
        <f>IJ82/IJ94</f>
        <v/>
      </c>
      <c r="IK135" s="918">
        <f>IK82/IK94</f>
        <v/>
      </c>
      <c r="IL135" s="918">
        <f>IL82/IL94</f>
        <v/>
      </c>
      <c r="IM135" s="918">
        <f>IM82/IM94</f>
        <v/>
      </c>
      <c r="IN135" s="918">
        <f>IN82/IN94</f>
        <v/>
      </c>
      <c r="IO135" s="918">
        <f>IO82/IO94</f>
        <v/>
      </c>
      <c r="IP135" s="918">
        <f>IP82/IP94</f>
        <v/>
      </c>
      <c r="IQ135" s="918">
        <f>IQ82/IQ94</f>
        <v/>
      </c>
      <c r="IR135" s="918">
        <f>IR82/IR94</f>
        <v/>
      </c>
      <c r="IS135" s="918">
        <f>IS82/IS94</f>
        <v/>
      </c>
      <c r="IT135" s="918">
        <f>IT82/IT94</f>
        <v/>
      </c>
      <c r="IU135" s="918">
        <f>IU82/IU94</f>
        <v/>
      </c>
      <c r="IV135" s="918">
        <f>IV82/IV94</f>
        <v/>
      </c>
      <c r="IW135" s="918">
        <f>IW82/IW94</f>
        <v/>
      </c>
      <c r="IX135" s="918">
        <f>IX82/IX94</f>
        <v/>
      </c>
      <c r="IY135" s="918">
        <f>IY82/IY94</f>
        <v/>
      </c>
      <c r="IZ135" s="918">
        <f>IZ82/IZ94</f>
        <v/>
      </c>
      <c r="JA135" s="918">
        <f>JA82/JA94</f>
        <v/>
      </c>
      <c r="JB135" s="918">
        <f>JB82/JB94</f>
        <v/>
      </c>
      <c r="JC135" s="918">
        <f>JC82/JC94</f>
        <v/>
      </c>
      <c r="JD135" s="918">
        <f>JD82/JD94</f>
        <v/>
      </c>
      <c r="JE135" s="918">
        <f>JE82/JE94</f>
        <v/>
      </c>
      <c r="JF135" s="918">
        <f>JF82/JF94</f>
        <v/>
      </c>
      <c r="JG135" s="918">
        <f>JG82/JG94</f>
        <v/>
      </c>
      <c r="JH135" s="918">
        <f>JH82/JH94</f>
        <v/>
      </c>
      <c r="JI135" s="918">
        <f>JI82/JI94</f>
        <v/>
      </c>
      <c r="JJ135" s="918">
        <f>JJ82/JJ94</f>
        <v/>
      </c>
      <c r="JK135" s="918">
        <f>JK82/JK94</f>
        <v/>
      </c>
      <c r="JL135" s="918">
        <f>JL82/JL94</f>
        <v/>
      </c>
      <c r="JM135" s="918">
        <f>JM82/JM94</f>
        <v/>
      </c>
      <c r="JN135" s="918">
        <f>JN82/JN94</f>
        <v/>
      </c>
      <c r="JO135" s="918">
        <f>JO82/JO94</f>
        <v/>
      </c>
      <c r="JP135" s="918">
        <f>JP82/JP94</f>
        <v/>
      </c>
      <c r="JQ135" s="918">
        <f>JQ82/JQ94</f>
        <v/>
      </c>
      <c r="JR135" s="918">
        <f>JR82/JR94</f>
        <v/>
      </c>
      <c r="JS135" s="918">
        <f>JS82/JS94</f>
        <v/>
      </c>
      <c r="JT135" s="918">
        <f>JT82/JT94</f>
        <v/>
      </c>
      <c r="JU135" s="918">
        <f>JU82/JU94</f>
        <v/>
      </c>
      <c r="JV135" s="918">
        <f>JV82/JV94</f>
        <v/>
      </c>
      <c r="JW135" s="918">
        <f>JW82/JW94</f>
        <v/>
      </c>
      <c r="JX135" s="918">
        <f>JX82/JX94</f>
        <v/>
      </c>
      <c r="JY135" s="918">
        <f>JY82/JY94</f>
        <v/>
      </c>
      <c r="JZ135" s="918">
        <f>JZ82/JZ94</f>
        <v/>
      </c>
      <c r="KA135" s="918">
        <f>KA82/KA94</f>
        <v/>
      </c>
      <c r="KB135" s="918">
        <f>KB82/KB94</f>
        <v/>
      </c>
      <c r="KC135" s="918">
        <f>KC82/KC94</f>
        <v/>
      </c>
      <c r="KD135" s="918">
        <f>KD82/KD94</f>
        <v/>
      </c>
      <c r="KE135" s="918">
        <f>KE82/KE94</f>
        <v/>
      </c>
      <c r="KF135" s="918">
        <f>KF82/KF94</f>
        <v/>
      </c>
      <c r="KG135" s="918">
        <f>KG82/KG94</f>
        <v/>
      </c>
      <c r="KH135" s="918">
        <f>KH82/KH94</f>
        <v/>
      </c>
      <c r="KI135" s="918">
        <f>KI82/KI94</f>
        <v/>
      </c>
      <c r="KJ135" s="918">
        <f>KJ82/KJ94</f>
        <v/>
      </c>
      <c r="KK135" s="918">
        <f>KK82/KK94</f>
        <v/>
      </c>
      <c r="KL135" s="918">
        <f>KL82/KL94</f>
        <v/>
      </c>
      <c r="KM135" s="918">
        <f>KM82/KM94</f>
        <v/>
      </c>
      <c r="KN135" s="918">
        <f>KN82/KN94</f>
        <v/>
      </c>
      <c r="KO135" s="918">
        <f>KO82/KO94</f>
        <v/>
      </c>
      <c r="KP135" s="918">
        <f>KP82/KP94</f>
        <v/>
      </c>
      <c r="KQ135" s="918">
        <f>KQ82/KQ94</f>
        <v/>
      </c>
      <c r="KR135" s="918">
        <f>KR82/KR94</f>
        <v/>
      </c>
      <c r="KS135" s="918">
        <f>KS82/KS94</f>
        <v/>
      </c>
      <c r="KT135" s="918">
        <f>KT82/KT94</f>
        <v/>
      </c>
      <c r="KU135" s="918">
        <f>KU82/KU94</f>
        <v/>
      </c>
      <c r="KV135" s="918">
        <f>KV82/KV94</f>
        <v/>
      </c>
      <c r="KW135" s="918">
        <f>KW82/KW94</f>
        <v/>
      </c>
      <c r="KX135" s="918">
        <f>KX82/KX94</f>
        <v/>
      </c>
      <c r="KY135" s="918">
        <f>KY82/KY94</f>
        <v/>
      </c>
      <c r="KZ135" s="918">
        <f>KZ82/KZ94</f>
        <v/>
      </c>
      <c r="LA135" s="918">
        <f>LA82/LA94</f>
        <v/>
      </c>
      <c r="LB135" s="918">
        <f>LB82/LB94</f>
        <v/>
      </c>
      <c r="LC135" s="918">
        <f>LC82/LC94</f>
        <v/>
      </c>
      <c r="LD135" s="918">
        <f>LD82/LD94</f>
        <v/>
      </c>
      <c r="LE135" s="918">
        <f>LE82/LE94</f>
        <v/>
      </c>
      <c r="LF135" s="918">
        <f>LF82/LF94</f>
        <v/>
      </c>
      <c r="LG135" s="918">
        <f>LG82/LG94</f>
        <v/>
      </c>
      <c r="LH135" s="918">
        <f>LH82/LH94</f>
        <v/>
      </c>
      <c r="LI135" s="918">
        <f>LI82/LI94</f>
        <v/>
      </c>
      <c r="LJ135" s="918">
        <f>LJ82/LJ94</f>
        <v/>
      </c>
      <c r="LK135" s="918">
        <f>LK82/LK94</f>
        <v/>
      </c>
      <c r="LL135" s="918">
        <f>LL82/LL94</f>
        <v/>
      </c>
      <c r="LM135" s="918">
        <f>LM82/LM94</f>
        <v/>
      </c>
      <c r="LN135" s="918">
        <f>LN82/LN94</f>
        <v/>
      </c>
      <c r="LO135" s="918">
        <f>LO82/LO94</f>
        <v/>
      </c>
      <c r="LP135" s="918">
        <f>LP82/LP94</f>
        <v/>
      </c>
      <c r="LQ135" s="918">
        <f>LQ82/LQ94</f>
        <v/>
      </c>
      <c r="LR135" s="918">
        <f>LR82/LR94</f>
        <v/>
      </c>
      <c r="LS135" s="918">
        <f>LS82/LS94</f>
        <v/>
      </c>
    </row>
    <row r="136">
      <c r="A136" s="885" t="inlineStr">
        <is>
          <t>m cg %</t>
        </is>
      </c>
      <c r="B136" s="1318" t="n"/>
      <c r="C136" s="1318">
        <f>C135/B135-1</f>
        <v/>
      </c>
      <c r="D136" s="1318">
        <f>D135/C135-1</f>
        <v/>
      </c>
      <c r="E136" s="1318">
        <f>E135/D135-1</f>
        <v/>
      </c>
      <c r="F136" s="1318">
        <f>F135/E135-1</f>
        <v/>
      </c>
      <c r="G136" s="1318">
        <f>G135/F135-1</f>
        <v/>
      </c>
      <c r="H136" s="1318">
        <f>H135/G135-1</f>
        <v/>
      </c>
      <c r="I136" s="1318">
        <f>I135/H135-1</f>
        <v/>
      </c>
      <c r="J136" s="1318">
        <f>J135/I135-1</f>
        <v/>
      </c>
      <c r="K136" s="1318">
        <f>K135/J135-1</f>
        <v/>
      </c>
      <c r="L136" s="1318">
        <f>L135/K135-1</f>
        <v/>
      </c>
      <c r="M136" s="1318">
        <f>M135/L135-1</f>
        <v/>
      </c>
      <c r="N136" s="1318">
        <f>N135/M135-1</f>
        <v/>
      </c>
      <c r="O136" s="1318">
        <f>O135/N135-1</f>
        <v/>
      </c>
      <c r="P136" s="1318">
        <f>P135/O135-1</f>
        <v/>
      </c>
      <c r="Q136" s="1318">
        <f>Q135/P135-1</f>
        <v/>
      </c>
      <c r="R136" s="1318">
        <f>R135/Q135-1</f>
        <v/>
      </c>
      <c r="S136" s="1318">
        <f>S135/R135-1</f>
        <v/>
      </c>
      <c r="T136" s="1318">
        <f>T135/S135-1</f>
        <v/>
      </c>
      <c r="U136" s="1318">
        <f>U135/T135-1</f>
        <v/>
      </c>
      <c r="V136" s="1318">
        <f>V135/U135-1</f>
        <v/>
      </c>
      <c r="W136" s="1318">
        <f>W135/V135-1</f>
        <v/>
      </c>
      <c r="X136" s="1318">
        <f>X135/W135-1</f>
        <v/>
      </c>
      <c r="Y136" s="1318">
        <f>Y135/X135-1</f>
        <v/>
      </c>
      <c r="Z136" s="1318">
        <f>Z135/Y135-1</f>
        <v/>
      </c>
      <c r="AA136" s="1318">
        <f>AA135/Z135-1</f>
        <v/>
      </c>
      <c r="AB136" s="1318">
        <f>AB135/AA135-1</f>
        <v/>
      </c>
      <c r="AC136" s="1318">
        <f>AC135/AB135-1</f>
        <v/>
      </c>
      <c r="AD136" s="1318">
        <f>AD135/AC135-1</f>
        <v/>
      </c>
      <c r="AE136" s="1318">
        <f>AE135/AD135-1</f>
        <v/>
      </c>
      <c r="AF136" s="1318">
        <f>AF135/AE135-1</f>
        <v/>
      </c>
      <c r="AG136" s="1318">
        <f>AG135/AF135-1</f>
        <v/>
      </c>
      <c r="AH136" s="1318">
        <f>AH135/AG135-1</f>
        <v/>
      </c>
      <c r="AI136" s="1318">
        <f>AI135/AH135-1</f>
        <v/>
      </c>
      <c r="AJ136" s="1318">
        <f>AJ135/AI135-1</f>
        <v/>
      </c>
      <c r="AK136" s="1318">
        <f>AK135/AJ135-1</f>
        <v/>
      </c>
      <c r="AL136" s="1318">
        <f>AL135/AK135-1</f>
        <v/>
      </c>
      <c r="AM136" s="1318">
        <f>AM135/AL135-1</f>
        <v/>
      </c>
      <c r="AN136" s="1318">
        <f>AN135/AM135-1</f>
        <v/>
      </c>
      <c r="AO136" s="1318">
        <f>AO135/AN135-1</f>
        <v/>
      </c>
      <c r="AP136" s="1318">
        <f>AP135/AO135-1</f>
        <v/>
      </c>
      <c r="AQ136" s="1318">
        <f>AQ135/AP135-1</f>
        <v/>
      </c>
      <c r="AR136" s="1318">
        <f>AR135/AQ135-1</f>
        <v/>
      </c>
      <c r="AS136" s="1318">
        <f>AS135/AR135-1</f>
        <v/>
      </c>
      <c r="AT136" s="1318">
        <f>AT135/AS135-1</f>
        <v/>
      </c>
      <c r="AU136" s="1318">
        <f>AU135/AT135-1</f>
        <v/>
      </c>
      <c r="AV136" s="1318">
        <f>AV135/AU135-1</f>
        <v/>
      </c>
      <c r="AW136" s="1318">
        <f>AW135/AV135-1</f>
        <v/>
      </c>
      <c r="AX136" s="1318">
        <f>AX135/AW135-1</f>
        <v/>
      </c>
      <c r="AY136" s="1318">
        <f>AY135/AX135-1</f>
        <v/>
      </c>
      <c r="AZ136" s="1318">
        <f>AZ135/AY135-1</f>
        <v/>
      </c>
      <c r="BA136" s="1318">
        <f>BA135/AZ135-1</f>
        <v/>
      </c>
      <c r="BB136" s="1318">
        <f>BB135/BA135-1</f>
        <v/>
      </c>
      <c r="BC136" s="1318">
        <f>BC135/BB135-1</f>
        <v/>
      </c>
      <c r="BD136" s="1318">
        <f>BD135/BC135-1</f>
        <v/>
      </c>
      <c r="BE136" s="1318">
        <f>BE135/BD135-1</f>
        <v/>
      </c>
      <c r="BF136" s="1318">
        <f>BF135/BE135-1</f>
        <v/>
      </c>
      <c r="BG136" s="1318">
        <f>BG135/BF135-1</f>
        <v/>
      </c>
      <c r="BH136" s="1318">
        <f>BH135/BG135-1</f>
        <v/>
      </c>
      <c r="BI136" s="1318">
        <f>BI135/BH135-1</f>
        <v/>
      </c>
      <c r="BJ136" s="1318">
        <f>BJ135/BI135-1</f>
        <v/>
      </c>
      <c r="BK136" s="1318">
        <f>BK135/BJ135-1</f>
        <v/>
      </c>
      <c r="BL136" s="1318">
        <f>BL135/BK135-1</f>
        <v/>
      </c>
      <c r="BM136" s="1318">
        <f>BM135/BL135-1</f>
        <v/>
      </c>
      <c r="BN136" s="1318">
        <f>BN135/BM135-1</f>
        <v/>
      </c>
      <c r="BO136" s="1318">
        <f>BO135/BN135-1</f>
        <v/>
      </c>
      <c r="BP136" s="1318">
        <f>BP135/BO135-1</f>
        <v/>
      </c>
      <c r="BQ136" s="1318">
        <f>BQ135/BP135-1</f>
        <v/>
      </c>
      <c r="BR136" s="1318">
        <f>BR135/BQ135-1</f>
        <v/>
      </c>
      <c r="BS136" s="1318">
        <f>BS135/BR135-1</f>
        <v/>
      </c>
      <c r="BT136" s="1318">
        <f>BT135/BS135-1</f>
        <v/>
      </c>
      <c r="BU136" s="1318">
        <f>BU135/BT135-1</f>
        <v/>
      </c>
      <c r="BV136" s="1318">
        <f>BV135/BU135-1</f>
        <v/>
      </c>
      <c r="BW136" s="1318">
        <f>BW135/BV135-1</f>
        <v/>
      </c>
      <c r="BX136" s="1318">
        <f>BX135/BW135-1</f>
        <v/>
      </c>
      <c r="BY136" s="1318">
        <f>BY135/BX135-1</f>
        <v/>
      </c>
      <c r="BZ136" s="1318">
        <f>BZ135/BY135-1</f>
        <v/>
      </c>
      <c r="CA136" s="1318">
        <f>CA135/BZ135-1</f>
        <v/>
      </c>
      <c r="CB136" s="1318">
        <f>CB135/CA135-1</f>
        <v/>
      </c>
      <c r="CC136" s="1318">
        <f>CC135/CB135-1</f>
        <v/>
      </c>
      <c r="CD136" s="1318">
        <f>CD135/CC135-1</f>
        <v/>
      </c>
      <c r="CE136" s="1318">
        <f>CE135/CD135-1</f>
        <v/>
      </c>
      <c r="CF136" s="1318">
        <f>CF135/CE135-1</f>
        <v/>
      </c>
      <c r="CG136" s="1318">
        <f>CG135/CF135-1</f>
        <v/>
      </c>
      <c r="CH136" s="1318">
        <f>CH135/CG135-1</f>
        <v/>
      </c>
      <c r="CI136" s="1318">
        <f>CI135/CH135-1</f>
        <v/>
      </c>
      <c r="CJ136" s="1318">
        <f>CJ135/CI135-1</f>
        <v/>
      </c>
      <c r="CK136" s="1318">
        <f>CK135/CJ135-1</f>
        <v/>
      </c>
      <c r="CL136" s="1318">
        <f>CL135/CK135-1</f>
        <v/>
      </c>
      <c r="CM136" s="1318">
        <f>CM135/CL135-1</f>
        <v/>
      </c>
      <c r="CN136" s="1318">
        <f>CN135/CM135-1</f>
        <v/>
      </c>
      <c r="CO136" s="1318">
        <f>CO135/CN135-1</f>
        <v/>
      </c>
      <c r="CP136" s="1318">
        <f>CP135/CO135-1</f>
        <v/>
      </c>
      <c r="CQ136" s="1318">
        <f>CQ135/CP135-1</f>
        <v/>
      </c>
      <c r="CR136" s="1318">
        <f>CR135/CQ135-1</f>
        <v/>
      </c>
      <c r="CS136" s="1318">
        <f>CS135/CR135-1</f>
        <v/>
      </c>
      <c r="CT136" s="1318">
        <f>CT135/CS135-1</f>
        <v/>
      </c>
      <c r="CU136" s="1318">
        <f>CU135/CT135-1</f>
        <v/>
      </c>
      <c r="CV136" s="1318">
        <f>CV135/CU135-1</f>
        <v/>
      </c>
      <c r="CW136" s="1318">
        <f>CW135/CV135-1</f>
        <v/>
      </c>
      <c r="CX136" s="1318">
        <f>CX135/CW135-1</f>
        <v/>
      </c>
      <c r="CY136" s="1318">
        <f>CY135/CX135-1</f>
        <v/>
      </c>
      <c r="CZ136" s="1318">
        <f>CZ135/CY135-1</f>
        <v/>
      </c>
      <c r="DA136" s="1318">
        <f>DA135/CZ135-1</f>
        <v/>
      </c>
      <c r="DB136" s="1318">
        <f>DB135/DA135-1</f>
        <v/>
      </c>
      <c r="DC136" s="1318">
        <f>DC135/DB135-1</f>
        <v/>
      </c>
      <c r="DD136" s="1318">
        <f>DD135/DC135-1</f>
        <v/>
      </c>
      <c r="DE136" s="1318">
        <f>DE135/DD135-1</f>
        <v/>
      </c>
      <c r="DF136" s="1318">
        <f>DF135/DE135-1</f>
        <v/>
      </c>
      <c r="DG136" s="1318">
        <f>DG135/DF135-1</f>
        <v/>
      </c>
      <c r="DH136" s="1318">
        <f>DH135/DG135-1</f>
        <v/>
      </c>
      <c r="DI136" s="1318">
        <f>DI135/DH135-1</f>
        <v/>
      </c>
      <c r="DJ136" s="1318">
        <f>DJ135/DI135-1</f>
        <v/>
      </c>
      <c r="DK136" s="1318">
        <f>DK135/DJ135-1</f>
        <v/>
      </c>
      <c r="DL136" s="1318">
        <f>DL135/DK135-1</f>
        <v/>
      </c>
      <c r="DM136" s="1318">
        <f>DM135/DL135-1</f>
        <v/>
      </c>
      <c r="DN136" s="1318">
        <f>DN135/DM135-1</f>
        <v/>
      </c>
      <c r="DO136" s="1318">
        <f>DO135/DN135-1</f>
        <v/>
      </c>
      <c r="DP136" s="1318">
        <f>DP135/DO135-1</f>
        <v/>
      </c>
      <c r="DQ136" s="1318">
        <f>DQ135/DP135-1</f>
        <v/>
      </c>
      <c r="DR136" s="1318">
        <f>DR135/DQ135-1</f>
        <v/>
      </c>
      <c r="DS136" s="1318">
        <f>DS135/DR135-1</f>
        <v/>
      </c>
      <c r="DT136" s="1318">
        <f>DT135/DS135-1</f>
        <v/>
      </c>
      <c r="DU136" s="1318">
        <f>DU135/DT135-1</f>
        <v/>
      </c>
      <c r="DV136" s="1318">
        <f>DV135/DU135-1</f>
        <v/>
      </c>
      <c r="DW136" s="1318">
        <f>DW135/DV135-1</f>
        <v/>
      </c>
      <c r="DX136" s="1318">
        <f>DX135/DW135-1</f>
        <v/>
      </c>
      <c r="DY136" s="1318">
        <f>DY135/DX135-1</f>
        <v/>
      </c>
      <c r="DZ136" s="1318">
        <f>DZ135/DY135-1</f>
        <v/>
      </c>
      <c r="EA136" s="1318">
        <f>EA135/DZ135-1</f>
        <v/>
      </c>
      <c r="EB136" s="1318">
        <f>EB135/EA135-1</f>
        <v/>
      </c>
      <c r="EC136" s="1318">
        <f>EC135/EB135-1</f>
        <v/>
      </c>
      <c r="ED136" s="1318">
        <f>ED135/EC135-1</f>
        <v/>
      </c>
      <c r="EE136" s="1318">
        <f>EE135/ED135-1</f>
        <v/>
      </c>
      <c r="EF136" s="1318">
        <f>EF135/EE135-1</f>
        <v/>
      </c>
      <c r="EG136" s="1318">
        <f>EG135/EF135-1</f>
        <v/>
      </c>
      <c r="EH136" s="1318">
        <f>EH135/EG135-1</f>
        <v/>
      </c>
      <c r="EI136" s="1318">
        <f>EI135/EH135-1</f>
        <v/>
      </c>
      <c r="EJ136" s="1318">
        <f>EJ135/EI135-1</f>
        <v/>
      </c>
      <c r="EK136" s="1318">
        <f>EK135/EJ135-1</f>
        <v/>
      </c>
      <c r="EL136" s="1318">
        <f>EL135/EK135-1</f>
        <v/>
      </c>
      <c r="EM136" s="1318">
        <f>EM135/EL135-1</f>
        <v/>
      </c>
      <c r="EN136" s="1318">
        <f>EN135/EM135-1</f>
        <v/>
      </c>
      <c r="EO136" s="1318">
        <f>EO135/EN135-1</f>
        <v/>
      </c>
      <c r="EP136" s="1318">
        <f>EP135/EO135-1</f>
        <v/>
      </c>
      <c r="EQ136" s="1318">
        <f>EQ135/EP135-1</f>
        <v/>
      </c>
      <c r="ER136" s="1318">
        <f>ER135/EQ135-1</f>
        <v/>
      </c>
      <c r="ES136" s="1318">
        <f>ES135/ER135-1</f>
        <v/>
      </c>
      <c r="ET136" s="1318">
        <f>ET135/ES135-1</f>
        <v/>
      </c>
      <c r="EU136" s="1318">
        <f>EU135/ET135-1</f>
        <v/>
      </c>
      <c r="EV136" s="1318">
        <f>EV135/EU135-1</f>
        <v/>
      </c>
      <c r="EW136" s="1318">
        <f>EW135/EV135-1</f>
        <v/>
      </c>
      <c r="EX136" s="1318">
        <f>EX135/EW135-1</f>
        <v/>
      </c>
      <c r="EY136" s="1318">
        <f>EY135/EX135-1</f>
        <v/>
      </c>
      <c r="EZ136" s="1318">
        <f>EZ135/EY135-1</f>
        <v/>
      </c>
      <c r="FA136" s="1318">
        <f>FA135/EZ135-1</f>
        <v/>
      </c>
      <c r="FB136" s="1318" t="n">
        <v>-0.01482310353376171</v>
      </c>
      <c r="FC136" s="1318" t="n">
        <v>-0.02663302104895149</v>
      </c>
      <c r="FD136" s="1318" t="n">
        <v>0.005351838345827309</v>
      </c>
      <c r="FE136" s="1318" t="n">
        <v>0.002085378206218014</v>
      </c>
      <c r="FF136" s="1318" t="n">
        <v>-0.00677141024860306</v>
      </c>
      <c r="FG136" s="1318" t="n">
        <v>-0.00677141024860306</v>
      </c>
      <c r="FH136" s="1318" t="n">
        <v>-0.02075524797602091</v>
      </c>
      <c r="FI136" s="1318" t="n">
        <v>-0.003035715156313956</v>
      </c>
      <c r="FJ136" s="1318" t="n">
        <v>0.008961052246447831</v>
      </c>
      <c r="FK136" s="1318" t="n">
        <v>-0.009373479214915159</v>
      </c>
      <c r="FL136" s="1318" t="n">
        <v>0.02151072840332002</v>
      </c>
      <c r="FM136" s="1318" t="n">
        <v>0.03411850439175756</v>
      </c>
      <c r="FN136" s="1318">
        <f>FN135/FM135-1</f>
        <v/>
      </c>
      <c r="FO136" s="1318">
        <f>FO135/FN135-1</f>
        <v/>
      </c>
      <c r="FP136" s="1318">
        <f>FP135/FO135-1</f>
        <v/>
      </c>
      <c r="FQ136" s="1318">
        <f>FQ135/FP135-1</f>
        <v/>
      </c>
      <c r="FR136" s="1318" t="n">
        <v>0.004626527790631885</v>
      </c>
      <c r="FS136" s="1318" t="n">
        <v>0.01966377551050202</v>
      </c>
      <c r="FT136" s="1318" t="n">
        <v>0.02406200635801392</v>
      </c>
      <c r="FU136" s="1318" t="n">
        <v>-0.005331185128203075</v>
      </c>
      <c r="FV136" s="1318" t="n">
        <v>0.01183091343422826</v>
      </c>
      <c r="FW136" s="1318">
        <f>FW135/FV135-1</f>
        <v/>
      </c>
      <c r="FX136" s="1318">
        <f>FX135/FW135-1</f>
        <v/>
      </c>
      <c r="FY136" s="1318">
        <f>FY135/FX135-1</f>
        <v/>
      </c>
      <c r="FZ136" s="1318">
        <f>FZ135/FY135-1</f>
        <v/>
      </c>
      <c r="GA136" s="1318">
        <f>GA135/FZ135-1</f>
        <v/>
      </c>
      <c r="GB136" s="1318">
        <f>GB135/GA135-1</f>
        <v/>
      </c>
      <c r="GC136" s="1318">
        <f>GC135/GB135-1</f>
        <v/>
      </c>
      <c r="GD136" s="1318">
        <f>GD135/GC135-1</f>
        <v/>
      </c>
      <c r="GE136" s="1318">
        <f>GE135/GD135-1</f>
        <v/>
      </c>
      <c r="GF136" s="1318">
        <f>GF135/GE135-1</f>
        <v/>
      </c>
      <c r="GG136" s="1318">
        <f>GG135/GF135-1</f>
        <v/>
      </c>
      <c r="GH136" s="1318">
        <f>GH135/GG135-1</f>
        <v/>
      </c>
      <c r="GI136" s="1318">
        <f>GI135/GH135-1</f>
        <v/>
      </c>
      <c r="GJ136" s="1318">
        <f>GJ135/GI135-1</f>
        <v/>
      </c>
      <c r="GK136" s="1318">
        <f>GK135/GJ135-1</f>
        <v/>
      </c>
      <c r="GL136" s="1318">
        <f>GL135/GK135-1</f>
        <v/>
      </c>
      <c r="GM136" s="1318">
        <f>GM135/GL135-1</f>
        <v/>
      </c>
      <c r="GN136" s="1318">
        <f>GN135/GM135-1</f>
        <v/>
      </c>
      <c r="GO136" s="1318">
        <f>GO135/GN135-1</f>
        <v/>
      </c>
      <c r="GP136" s="1318">
        <f>GP135/GO135-1</f>
        <v/>
      </c>
      <c r="GQ136" s="1318">
        <f>GQ135/GP135-1</f>
        <v/>
      </c>
      <c r="GR136" s="1318">
        <f>GR135/GQ135-1</f>
        <v/>
      </c>
      <c r="GS136" s="1318">
        <f>GS135/GR135-1</f>
        <v/>
      </c>
      <c r="GT136" s="1318">
        <f>GT135/GS135-1</f>
        <v/>
      </c>
      <c r="GU136" s="1318">
        <f>GU135/GT135-1</f>
        <v/>
      </c>
      <c r="GV136" s="1318">
        <f>GV135/GU135-1</f>
        <v/>
      </c>
      <c r="GW136" s="1318">
        <f>GW135/GV135-1</f>
        <v/>
      </c>
      <c r="GX136" s="1318">
        <f>GX135/GW135-1</f>
        <v/>
      </c>
      <c r="GY136" s="1318">
        <f>GY135/GX135-1</f>
        <v/>
      </c>
      <c r="GZ136" s="1318">
        <f>GZ135/GY135-1</f>
        <v/>
      </c>
      <c r="HA136" s="1318">
        <f>HA135/GZ135-1</f>
        <v/>
      </c>
      <c r="HB136" s="1318">
        <f>HB135/HA135-1</f>
        <v/>
      </c>
      <c r="HC136" s="1318">
        <f>HC135/HB135-1</f>
        <v/>
      </c>
      <c r="HD136" s="1318">
        <f>HD135/HC135-1</f>
        <v/>
      </c>
      <c r="HE136" s="1318">
        <f>HE135/HD135-1</f>
        <v/>
      </c>
      <c r="HF136" s="1318">
        <f>HF135/HE135-1</f>
        <v/>
      </c>
      <c r="HG136" s="1318">
        <f>HG135/HF135-1</f>
        <v/>
      </c>
      <c r="HH136" s="1318">
        <f>HH135/HG135-1</f>
        <v/>
      </c>
      <c r="HI136" s="1318">
        <f>HI135/HH135-1</f>
        <v/>
      </c>
      <c r="HJ136" s="1318">
        <f>HJ135/HI135-1</f>
        <v/>
      </c>
      <c r="HK136" s="1318">
        <f>HK135/HJ135-1</f>
        <v/>
      </c>
      <c r="HL136" s="1318">
        <f>HL135/HK135-1</f>
        <v/>
      </c>
      <c r="HM136" s="1318">
        <f>HM135/HL135-1</f>
        <v/>
      </c>
      <c r="HN136" s="1318">
        <f>HN135/HM135-1</f>
        <v/>
      </c>
      <c r="HO136" s="1318">
        <f>HO135/HN135-1</f>
        <v/>
      </c>
      <c r="HP136" s="1318">
        <f>HP135/HO135-1</f>
        <v/>
      </c>
      <c r="HQ136" s="1318">
        <f>HQ135/HP135-1</f>
        <v/>
      </c>
      <c r="HR136" s="1318">
        <f>HR135/HQ135-1</f>
        <v/>
      </c>
      <c r="HS136" s="1318">
        <f>HS135/HR135-1</f>
        <v/>
      </c>
      <c r="HT136" s="1318">
        <f>HT135/HS135-1</f>
        <v/>
      </c>
      <c r="HU136" s="1318">
        <f>HU135/HT135-1</f>
        <v/>
      </c>
      <c r="HV136" s="1318">
        <f>HV135/HU135-1</f>
        <v/>
      </c>
      <c r="HW136" s="1318">
        <f>HW135/HV135-1</f>
        <v/>
      </c>
      <c r="HX136" s="1318">
        <f>HX135/HW135-1</f>
        <v/>
      </c>
      <c r="HY136" s="1318">
        <f>HY135/HX135-1</f>
        <v/>
      </c>
      <c r="HZ136" s="1318">
        <f>HZ135/HY135-1</f>
        <v/>
      </c>
      <c r="IA136" s="1318">
        <f>IA135/HZ135-1</f>
        <v/>
      </c>
      <c r="IB136" s="1318">
        <f>IB135/IA135-1</f>
        <v/>
      </c>
      <c r="IC136" s="1318">
        <f>IC135/IB135-1</f>
        <v/>
      </c>
      <c r="ID136" s="1318">
        <f>ID135/IC135-1</f>
        <v/>
      </c>
      <c r="IE136" s="1318">
        <f>IE135/ID135-1</f>
        <v/>
      </c>
      <c r="IF136" s="1318">
        <f>IF135/IE135-1</f>
        <v/>
      </c>
      <c r="IG136" s="1318">
        <f>IG135/IF135-1</f>
        <v/>
      </c>
      <c r="IH136" s="1318">
        <f>IH135/IG135-1</f>
        <v/>
      </c>
      <c r="II136" s="1318">
        <f>II135/IH135-1</f>
        <v/>
      </c>
      <c r="IJ136" s="1318">
        <f>IJ135/II135-1</f>
        <v/>
      </c>
      <c r="IK136" s="1318">
        <f>IK135/IJ135-1</f>
        <v/>
      </c>
      <c r="IL136" s="1318">
        <f>IL135/IK135-1</f>
        <v/>
      </c>
      <c r="IM136" s="1318">
        <f>IM135/IL135-1</f>
        <v/>
      </c>
      <c r="IN136" s="1318">
        <f>IN135/IM135-1</f>
        <v/>
      </c>
      <c r="IO136" s="1318">
        <f>IO135/IN135-1</f>
        <v/>
      </c>
      <c r="IP136" s="1318">
        <f>IP135/IO135-1</f>
        <v/>
      </c>
      <c r="IQ136" s="1318">
        <f>IQ135/IP135-1</f>
        <v/>
      </c>
      <c r="IR136" s="1318">
        <f>IR135/IQ135-1</f>
        <v/>
      </c>
      <c r="IS136" s="1318">
        <f>IS135/IR135-1</f>
        <v/>
      </c>
      <c r="IT136" s="1318">
        <f>IT135/IS135-1</f>
        <v/>
      </c>
      <c r="IU136" s="1318">
        <f>IU135/IT135-1</f>
        <v/>
      </c>
      <c r="IV136" s="1318">
        <f>IV135/IU135-1</f>
        <v/>
      </c>
      <c r="IW136" s="1318">
        <f>IW135/IV135-1</f>
        <v/>
      </c>
      <c r="IX136" s="1318">
        <f>IX135/IW135-1</f>
        <v/>
      </c>
      <c r="IY136" s="1318">
        <f>IY135/IX135-1</f>
        <v/>
      </c>
      <c r="IZ136" s="1318">
        <f>IZ135/IY135-1</f>
        <v/>
      </c>
      <c r="JA136" s="1318">
        <f>JA135/IZ135-1</f>
        <v/>
      </c>
      <c r="JB136" s="1318">
        <f>JB135/JA135-1</f>
        <v/>
      </c>
      <c r="JC136" s="1318">
        <f>JC135/JB135-1</f>
        <v/>
      </c>
      <c r="JD136" s="1318">
        <f>JD135/JC135-1</f>
        <v/>
      </c>
      <c r="JE136" s="1318">
        <f>JE135/JD135-1</f>
        <v/>
      </c>
      <c r="JF136" s="1318">
        <f>JF135/JE135-1</f>
        <v/>
      </c>
      <c r="JG136" s="1318">
        <f>JG135/JF135-1</f>
        <v/>
      </c>
      <c r="JH136" s="1318">
        <f>JH135/JG135-1</f>
        <v/>
      </c>
      <c r="JI136" s="1318">
        <f>JI135/JH135-1</f>
        <v/>
      </c>
      <c r="JJ136" s="1318">
        <f>JJ135/JI135-1</f>
        <v/>
      </c>
      <c r="JK136" s="1318">
        <f>JK135/JJ135-1</f>
        <v/>
      </c>
      <c r="JL136" s="1318">
        <f>JL135/JK135-1</f>
        <v/>
      </c>
      <c r="JM136" s="1318">
        <f>JM135/JL135-1</f>
        <v/>
      </c>
      <c r="JN136" s="1318">
        <f>JN135/JM135-1</f>
        <v/>
      </c>
      <c r="JO136" s="1318">
        <f>JO135/JN135-1</f>
        <v/>
      </c>
      <c r="JP136" s="1318">
        <f>JP135/JO135-1</f>
        <v/>
      </c>
      <c r="JQ136" s="1318">
        <f>JQ135/JP135-1</f>
        <v/>
      </c>
      <c r="JR136" s="1318">
        <f>JR135/JQ135-1</f>
        <v/>
      </c>
      <c r="JS136" s="1318">
        <f>JS135/JR135-1</f>
        <v/>
      </c>
      <c r="JT136" s="1318">
        <f>JT135/JS135-1</f>
        <v/>
      </c>
      <c r="JU136" s="1318">
        <f>JU135/JT135-1</f>
        <v/>
      </c>
      <c r="JV136" s="1318">
        <f>JV135/JU135-1</f>
        <v/>
      </c>
      <c r="JW136" s="1318">
        <f>JW135/JV135-1</f>
        <v/>
      </c>
      <c r="JX136" s="1318">
        <f>JX135/JW135-1</f>
        <v/>
      </c>
      <c r="JY136" s="1318">
        <f>JY135/JX135-1</f>
        <v/>
      </c>
      <c r="JZ136" s="1318">
        <f>JZ135/JY135-1</f>
        <v/>
      </c>
      <c r="KA136" s="1318">
        <f>KA135/JZ135-1</f>
        <v/>
      </c>
      <c r="KB136" s="1318">
        <f>KB135/KA135-1</f>
        <v/>
      </c>
      <c r="KC136" s="1318">
        <f>KC135/KB135-1</f>
        <v/>
      </c>
      <c r="KD136" s="1318">
        <f>KD135/KC135-1</f>
        <v/>
      </c>
      <c r="KE136" s="1318">
        <f>KE135/KD135-1</f>
        <v/>
      </c>
      <c r="KF136" s="1318">
        <f>KF135/KE135-1</f>
        <v/>
      </c>
      <c r="KG136" s="1318">
        <f>KG135/KF135-1</f>
        <v/>
      </c>
      <c r="KH136" s="1318">
        <f>KH135/KG135-1</f>
        <v/>
      </c>
      <c r="KI136" s="1318">
        <f>KI135/KH135-1</f>
        <v/>
      </c>
      <c r="KJ136" s="1318">
        <f>KJ135/KI135-1</f>
        <v/>
      </c>
      <c r="KK136" s="1318">
        <f>KK135/KJ135-1</f>
        <v/>
      </c>
      <c r="KL136" s="1318">
        <f>KL135/KK135-1</f>
        <v/>
      </c>
      <c r="KM136" s="1318">
        <f>KM135/KL135-1</f>
        <v/>
      </c>
      <c r="KN136" s="1318">
        <f>KN135/KM135-1</f>
        <v/>
      </c>
      <c r="KO136" s="1318">
        <f>KO135/KN135-1</f>
        <v/>
      </c>
      <c r="KP136" s="1318">
        <f>KP135/KO135-1</f>
        <v/>
      </c>
      <c r="KQ136" s="1318">
        <f>KQ135/KP135-1</f>
        <v/>
      </c>
      <c r="KR136" s="1318">
        <f>KR135/KQ135-1</f>
        <v/>
      </c>
      <c r="KS136" s="1318">
        <f>KS135/KR135-1</f>
        <v/>
      </c>
      <c r="KT136" s="1318">
        <f>KT135/KS135-1</f>
        <v/>
      </c>
      <c r="KU136" s="1318">
        <f>KU135/KT135-1</f>
        <v/>
      </c>
      <c r="KV136" s="1318">
        <f>KV135/KU135-1</f>
        <v/>
      </c>
      <c r="KW136" s="1318">
        <f>KW135/KV135-1</f>
        <v/>
      </c>
      <c r="KX136" s="1318">
        <f>KX135/KW135-1</f>
        <v/>
      </c>
      <c r="KY136" s="1318">
        <f>KY135/KX135-1</f>
        <v/>
      </c>
      <c r="KZ136" s="1318">
        <f>KZ135/KY135-1</f>
        <v/>
      </c>
      <c r="LA136" s="1318">
        <f>LA135/KZ135-1</f>
        <v/>
      </c>
      <c r="LB136" s="1318">
        <f>LB135/LA135-1</f>
        <v/>
      </c>
      <c r="LC136" s="1318">
        <f>LC135/LB135-1</f>
        <v/>
      </c>
      <c r="LD136" s="1318">
        <f>LD135/LC135-1</f>
        <v/>
      </c>
      <c r="LE136" s="1318">
        <f>LE135/LD135-1</f>
        <v/>
      </c>
      <c r="LF136" s="1318">
        <f>LF135/LE135-1</f>
        <v/>
      </c>
      <c r="LG136" s="1318">
        <f>LG135/LF135-1</f>
        <v/>
      </c>
      <c r="LH136" s="1318">
        <f>LH135/LG135-1</f>
        <v/>
      </c>
      <c r="LI136" s="1318">
        <f>LI135/LH135-1</f>
        <v/>
      </c>
      <c r="LJ136" s="1318">
        <f>LJ135/LI135-1</f>
        <v/>
      </c>
      <c r="LK136" s="1318">
        <f>LK135/LJ135-1</f>
        <v/>
      </c>
      <c r="LL136" s="1318">
        <f>LL135/LK135-1</f>
        <v/>
      </c>
      <c r="LM136" s="1318">
        <f>LM135/LL135-1</f>
        <v/>
      </c>
      <c r="LN136" s="1318">
        <f>LN135/LM135-1</f>
        <v/>
      </c>
      <c r="LO136" s="1318">
        <f>LO135/LN135-1</f>
        <v/>
      </c>
      <c r="LP136" s="1318">
        <f>LP135/LO135-1</f>
        <v/>
      </c>
      <c r="LQ136" s="1318">
        <f>LQ135/LP135-1</f>
        <v/>
      </c>
      <c r="LR136" s="1318">
        <f>LR135/LQ135-1</f>
        <v/>
      </c>
      <c r="LS136" s="1318">
        <f>LS135/LR135-1</f>
        <v/>
      </c>
    </row>
    <row r="137">
      <c r="A137" s="885" t="inlineStr">
        <is>
          <t>YoY cg %</t>
        </is>
      </c>
      <c r="B137" s="1318" t="n"/>
      <c r="C137" s="1318" t="n"/>
      <c r="D137" s="1318" t="n"/>
      <c r="E137" s="1318" t="n"/>
      <c r="F137" s="1318" t="n"/>
      <c r="G137" s="1318" t="n"/>
      <c r="H137" s="1318" t="n"/>
      <c r="I137" s="1318" t="n"/>
      <c r="J137" s="1318" t="n"/>
      <c r="K137" s="1318" t="n"/>
      <c r="L137" s="1318" t="n"/>
      <c r="M137" s="1318" t="n"/>
      <c r="N137" s="1318">
        <f>N135/B135-1</f>
        <v/>
      </c>
      <c r="O137" s="1318">
        <f>O135/C135-1</f>
        <v/>
      </c>
      <c r="P137" s="1318">
        <f>P135/D135-1</f>
        <v/>
      </c>
      <c r="Q137" s="1318">
        <f>Q135/E135-1</f>
        <v/>
      </c>
      <c r="R137" s="1318">
        <f>R135/F135-1</f>
        <v/>
      </c>
      <c r="S137" s="1318">
        <f>S135/G135-1</f>
        <v/>
      </c>
      <c r="T137" s="1318">
        <f>T135/H135-1</f>
        <v/>
      </c>
      <c r="U137" s="1318">
        <f>U135/I135-1</f>
        <v/>
      </c>
      <c r="V137" s="1318">
        <f>V135/J135-1</f>
        <v/>
      </c>
      <c r="W137" s="1318">
        <f>W135/K135-1</f>
        <v/>
      </c>
      <c r="X137" s="1318">
        <f>X135/L135-1</f>
        <v/>
      </c>
      <c r="Y137" s="1318">
        <f>Y135/M135-1</f>
        <v/>
      </c>
      <c r="Z137" s="1318">
        <f>Z135/N135-1</f>
        <v/>
      </c>
      <c r="AA137" s="1318">
        <f>AA135/O135-1</f>
        <v/>
      </c>
      <c r="AB137" s="1318">
        <f>AB135/P135-1</f>
        <v/>
      </c>
      <c r="AC137" s="1318">
        <f>AC135/Q135-1</f>
        <v/>
      </c>
      <c r="AD137" s="1318">
        <f>AD135/R135-1</f>
        <v/>
      </c>
      <c r="AE137" s="1318">
        <f>AE135/S135-1</f>
        <v/>
      </c>
      <c r="AF137" s="1318">
        <f>AF135/T135-1</f>
        <v/>
      </c>
      <c r="AG137" s="1318">
        <f>AG135/U135-1</f>
        <v/>
      </c>
      <c r="AH137" s="1318">
        <f>AH135/V135-1</f>
        <v/>
      </c>
      <c r="AI137" s="1318">
        <f>AI135/W135-1</f>
        <v/>
      </c>
      <c r="AJ137" s="1318">
        <f>AJ135/X135-1</f>
        <v/>
      </c>
      <c r="AK137" s="1318">
        <f>AK135/Y135-1</f>
        <v/>
      </c>
      <c r="AL137" s="1318">
        <f>AL135/Z135-1</f>
        <v/>
      </c>
      <c r="AM137" s="1318">
        <f>AM135/AA135-1</f>
        <v/>
      </c>
      <c r="AN137" s="1318">
        <f>AN135/AB135-1</f>
        <v/>
      </c>
      <c r="AO137" s="1318">
        <f>AO135/AC135-1</f>
        <v/>
      </c>
      <c r="AP137" s="1318">
        <f>AP135/AD135-1</f>
        <v/>
      </c>
      <c r="AQ137" s="1318">
        <f>AQ135/AE135-1</f>
        <v/>
      </c>
      <c r="AR137" s="1318">
        <f>AR135/AF135-1</f>
        <v/>
      </c>
      <c r="AS137" s="1318">
        <f>AS135/AG135-1</f>
        <v/>
      </c>
      <c r="AT137" s="1318">
        <f>AT135/AH135-1</f>
        <v/>
      </c>
      <c r="AU137" s="1318">
        <f>AU135/AI135-1</f>
        <v/>
      </c>
      <c r="AV137" s="1318">
        <f>AV135/AJ135-1</f>
        <v/>
      </c>
      <c r="AW137" s="1318">
        <f>AW135/AK135-1</f>
        <v/>
      </c>
      <c r="AX137" s="1318">
        <f>AX135/AL135-1</f>
        <v/>
      </c>
      <c r="AY137" s="1318">
        <f>AY135/AM135-1</f>
        <v/>
      </c>
      <c r="AZ137" s="1318">
        <f>AZ135/AN135-1</f>
        <v/>
      </c>
      <c r="BA137" s="1318">
        <f>BA135/AO135-1</f>
        <v/>
      </c>
      <c r="BB137" s="1318">
        <f>BB135/AP135-1</f>
        <v/>
      </c>
      <c r="BC137" s="1318">
        <f>BC135/AQ135-1</f>
        <v/>
      </c>
      <c r="BD137" s="1318">
        <f>BD135/AR135-1</f>
        <v/>
      </c>
      <c r="BE137" s="1318">
        <f>BE135/AS135-1</f>
        <v/>
      </c>
      <c r="BF137" s="1318">
        <f>BF135/AT135-1</f>
        <v/>
      </c>
      <c r="BG137" s="1318">
        <f>BG135/AU135-1</f>
        <v/>
      </c>
      <c r="BH137" s="1318">
        <f>BH135/AV135-1</f>
        <v/>
      </c>
      <c r="BI137" s="1318">
        <f>BI135/AW135-1</f>
        <v/>
      </c>
      <c r="BJ137" s="1318">
        <f>BJ135/AX135-1</f>
        <v/>
      </c>
      <c r="BK137" s="1318">
        <f>BK135/AY135-1</f>
        <v/>
      </c>
      <c r="BL137" s="1318">
        <f>BL135/AZ135-1</f>
        <v/>
      </c>
      <c r="BM137" s="1318">
        <f>BM135/BA135-1</f>
        <v/>
      </c>
      <c r="BN137" s="1318">
        <f>BN135/BB135-1</f>
        <v/>
      </c>
      <c r="BO137" s="1318">
        <f>BO135/BC135-1</f>
        <v/>
      </c>
      <c r="BP137" s="1318">
        <f>BP135/BD135-1</f>
        <v/>
      </c>
      <c r="BQ137" s="1318">
        <f>BQ135/BE135-1</f>
        <v/>
      </c>
      <c r="BR137" s="1318">
        <f>BR135/BF135-1</f>
        <v/>
      </c>
      <c r="BS137" s="1318">
        <f>BS135/BG135-1</f>
        <v/>
      </c>
      <c r="BT137" s="1318">
        <f>BT135/BH135-1</f>
        <v/>
      </c>
      <c r="BU137" s="1318">
        <f>BU135/BI135-1</f>
        <v/>
      </c>
      <c r="BV137" s="1318">
        <f>BV135/BJ135-1</f>
        <v/>
      </c>
      <c r="BW137" s="1318">
        <f>BW135/BK135-1</f>
        <v/>
      </c>
      <c r="BX137" s="1318">
        <f>BX135/BL135-1</f>
        <v/>
      </c>
      <c r="BY137" s="1318">
        <f>BY135/BM135-1</f>
        <v/>
      </c>
      <c r="BZ137" s="1318">
        <f>BZ135/BN135-1</f>
        <v/>
      </c>
      <c r="CA137" s="1318">
        <f>CA135/BO135-1</f>
        <v/>
      </c>
      <c r="CB137" s="1318">
        <f>CB135/BP135-1</f>
        <v/>
      </c>
      <c r="CC137" s="1318">
        <f>CC135/BQ135-1</f>
        <v/>
      </c>
      <c r="CD137" s="1318">
        <f>CD135/BR135-1</f>
        <v/>
      </c>
      <c r="CE137" s="1318">
        <f>CE135/BS135-1</f>
        <v/>
      </c>
      <c r="CF137" s="1318">
        <f>CF135/BT135-1</f>
        <v/>
      </c>
      <c r="CG137" s="1318">
        <f>CG135/BU135-1</f>
        <v/>
      </c>
      <c r="CH137" s="1318">
        <f>CH135/BV135-1</f>
        <v/>
      </c>
      <c r="CI137" s="1318">
        <f>CI135/BW135-1</f>
        <v/>
      </c>
      <c r="CJ137" s="1318">
        <f>CJ135/BX135-1</f>
        <v/>
      </c>
      <c r="CK137" s="1318">
        <f>CK135/BY135-1</f>
        <v/>
      </c>
      <c r="CL137" s="1318">
        <f>CL135/BZ135-1</f>
        <v/>
      </c>
      <c r="CM137" s="1318">
        <f>CM135/CA135-1</f>
        <v/>
      </c>
      <c r="CN137" s="1318">
        <f>CN135/CB135-1</f>
        <v/>
      </c>
      <c r="CO137" s="1318">
        <f>CO135/CC135-1</f>
        <v/>
      </c>
      <c r="CP137" s="1318">
        <f>CP135/CD135-1</f>
        <v/>
      </c>
      <c r="CQ137" s="1318">
        <f>CQ135/CE135-1</f>
        <v/>
      </c>
      <c r="CR137" s="1318">
        <f>CR135/CF135-1</f>
        <v/>
      </c>
      <c r="CS137" s="1318">
        <f>CS135/CG135-1</f>
        <v/>
      </c>
      <c r="CT137" s="1318">
        <f>CT135/CH135-1</f>
        <v/>
      </c>
      <c r="CU137" s="1318">
        <f>CU135/CI135-1</f>
        <v/>
      </c>
      <c r="CV137" s="1318">
        <f>CV135/CJ135-1</f>
        <v/>
      </c>
      <c r="CW137" s="1318">
        <f>CW135/CK135-1</f>
        <v/>
      </c>
      <c r="CX137" s="1318">
        <f>CX135/CL135-1</f>
        <v/>
      </c>
      <c r="CY137" s="1318">
        <f>CY135/CM135-1</f>
        <v/>
      </c>
      <c r="CZ137" s="1318">
        <f>CZ135/CN135-1</f>
        <v/>
      </c>
      <c r="DA137" s="1318">
        <f>DA135/CO135-1</f>
        <v/>
      </c>
      <c r="DB137" s="1318">
        <f>DB135/CP135-1</f>
        <v/>
      </c>
      <c r="DC137" s="1318">
        <f>DC135/CQ135-1</f>
        <v/>
      </c>
      <c r="DD137" s="1318">
        <f>DD135/CR135-1</f>
        <v/>
      </c>
      <c r="DE137" s="1318">
        <f>DE135/CS135-1</f>
        <v/>
      </c>
      <c r="DF137" s="1318">
        <f>DF135/CT135-1</f>
        <v/>
      </c>
      <c r="DG137" s="1318">
        <f>DG135/CU135-1</f>
        <v/>
      </c>
      <c r="DH137" s="1318">
        <f>DH135/CV135-1</f>
        <v/>
      </c>
      <c r="DI137" s="1318">
        <f>DI135/CW135-1</f>
        <v/>
      </c>
      <c r="DJ137" s="1318">
        <f>DJ135/CX135-1</f>
        <v/>
      </c>
      <c r="DK137" s="1318">
        <f>DK135/CY135-1</f>
        <v/>
      </c>
      <c r="DL137" s="1318">
        <f>DL135/CZ135-1</f>
        <v/>
      </c>
      <c r="DM137" s="1318">
        <f>DM135/DA135-1</f>
        <v/>
      </c>
      <c r="DN137" s="1318">
        <f>DN135/DB135-1</f>
        <v/>
      </c>
      <c r="DO137" s="1318">
        <f>DO135/DC135-1</f>
        <v/>
      </c>
      <c r="DP137" s="1318">
        <f>DP135/DD135-1</f>
        <v/>
      </c>
      <c r="DQ137" s="1318">
        <f>DQ135/DE135-1</f>
        <v/>
      </c>
      <c r="DR137" s="1318">
        <f>DR135/DF135-1</f>
        <v/>
      </c>
      <c r="DS137" s="1318">
        <f>DS135/DG135-1</f>
        <v/>
      </c>
      <c r="DT137" s="1318">
        <f>DT135/DH135-1</f>
        <v/>
      </c>
      <c r="DU137" s="1318">
        <f>DU135/DI135-1</f>
        <v/>
      </c>
      <c r="DV137" s="1318">
        <f>DV135/DJ135-1</f>
        <v/>
      </c>
      <c r="DW137" s="1318">
        <f>DW135/DK135-1</f>
        <v/>
      </c>
      <c r="DX137" s="1318">
        <f>DX135/DL135-1</f>
        <v/>
      </c>
      <c r="DY137" s="1318">
        <f>DY135/DM135-1</f>
        <v/>
      </c>
      <c r="DZ137" s="1318">
        <f>DZ135/DN135-1</f>
        <v/>
      </c>
      <c r="EA137" s="1318">
        <f>EA135/DO135-1</f>
        <v/>
      </c>
      <c r="EB137" s="1318">
        <f>EB135/DP135-1</f>
        <v/>
      </c>
      <c r="EC137" s="1318">
        <f>EC135/DQ135-1</f>
        <v/>
      </c>
      <c r="ED137" s="1318">
        <f>ED135/DR135-1</f>
        <v/>
      </c>
      <c r="EE137" s="1318">
        <f>EE135/DS135-1</f>
        <v/>
      </c>
      <c r="EF137" s="1318">
        <f>EF135/DT135-1</f>
        <v/>
      </c>
      <c r="EG137" s="1318">
        <f>EG135/DU135-1</f>
        <v/>
      </c>
      <c r="EH137" s="1318">
        <f>EH135/DV135-1</f>
        <v/>
      </c>
      <c r="EI137" s="1318">
        <f>EI135/DW135-1</f>
        <v/>
      </c>
      <c r="EJ137" s="1318">
        <f>EJ135/DX135-1</f>
        <v/>
      </c>
      <c r="EK137" s="1318">
        <f>EK135/DY135-1</f>
        <v/>
      </c>
      <c r="EL137" s="1318">
        <f>EL135/DZ135-1</f>
        <v/>
      </c>
      <c r="EM137" s="1318">
        <f>EM135/EA135-1</f>
        <v/>
      </c>
      <c r="EN137" s="1318">
        <f>EN135/EB135-1</f>
        <v/>
      </c>
      <c r="EO137" s="1318">
        <f>EO135/EC135-1</f>
        <v/>
      </c>
      <c r="EP137" s="1318">
        <f>EP135/ED135-1</f>
        <v/>
      </c>
      <c r="EQ137" s="1318">
        <f>EQ135/EE135-1</f>
        <v/>
      </c>
      <c r="ER137" s="1318">
        <f>ER135/EF135-1</f>
        <v/>
      </c>
      <c r="ES137" s="1318">
        <f>ES135/EG135-1</f>
        <v/>
      </c>
      <c r="ET137" s="1318">
        <f>ET135/EH135-1</f>
        <v/>
      </c>
      <c r="EU137" s="1318">
        <f>EU135/EI135-1</f>
        <v/>
      </c>
      <c r="EV137" s="1318">
        <f>EV135/EJ135-1</f>
        <v/>
      </c>
      <c r="EW137" s="1318">
        <f>EW135/EK135-1</f>
        <v/>
      </c>
      <c r="EX137" s="1318">
        <f>EX135/EL135-1</f>
        <v/>
      </c>
      <c r="EY137" s="1318">
        <f>EY135/EM135-1</f>
        <v/>
      </c>
      <c r="EZ137" s="1318">
        <f>EZ135/EN135-1</f>
        <v/>
      </c>
      <c r="FA137" s="1318">
        <f>FA135/EO135-1</f>
        <v/>
      </c>
      <c r="FB137" s="1318" t="n">
        <v>0.02315532470606363</v>
      </c>
      <c r="FC137" s="1318" t="n">
        <v>0.008616888459163086</v>
      </c>
      <c r="FD137" s="1318" t="n">
        <v>0.01711151451092974</v>
      </c>
      <c r="FE137" s="1318" t="n">
        <v>0.03725632724291716</v>
      </c>
      <c r="FF137" s="1318" t="n">
        <v>0.02199064237979753</v>
      </c>
      <c r="FG137" s="1318" t="n">
        <v>0.02199064237979753</v>
      </c>
      <c r="FH137" s="1318" t="n">
        <v>0.008328344979480873</v>
      </c>
      <c r="FI137" s="1318" t="n">
        <v>0.02444582565423925</v>
      </c>
      <c r="FJ137" s="1318" t="n">
        <v>0.009218533123714456</v>
      </c>
      <c r="FK137" s="1318" t="n">
        <v>-0.007700633744122554</v>
      </c>
      <c r="FL137" s="1318" t="n">
        <v>0.003287142621067662</v>
      </c>
      <c r="FM137" s="1318" t="n">
        <v>0.007179689920782772</v>
      </c>
      <c r="FN137" s="1318">
        <f>FN135/FB135-1</f>
        <v/>
      </c>
      <c r="FO137" s="1318">
        <f>FO135/FC135-1</f>
        <v/>
      </c>
      <c r="FP137" s="1318">
        <f>FP135/FD135-1</f>
        <v/>
      </c>
      <c r="FQ137" s="1318">
        <f>FQ135/FE135-1</f>
        <v/>
      </c>
      <c r="FR137" s="1318">
        <f>FR135/FF135-1</f>
        <v/>
      </c>
      <c r="FS137" s="1318">
        <f>FS135/FG135-1</f>
        <v/>
      </c>
      <c r="FT137" s="1318">
        <f>FT135/FH135-1</f>
        <v/>
      </c>
      <c r="FU137" s="1318">
        <f>FU135/FI135-1</f>
        <v/>
      </c>
      <c r="FV137" s="1318" t="n">
        <v>0.0352831940575673</v>
      </c>
      <c r="FW137" s="1318">
        <f>FW135/FK135-1</f>
        <v/>
      </c>
      <c r="FX137" s="1318">
        <f>FX135/FL135-1</f>
        <v/>
      </c>
      <c r="FY137" s="1318">
        <f>FY135/FM135-1</f>
        <v/>
      </c>
      <c r="FZ137" s="1318">
        <f>FZ135/FN135-1</f>
        <v/>
      </c>
      <c r="GA137" s="1318">
        <f>GA135/FO135-1</f>
        <v/>
      </c>
      <c r="GB137" s="1318">
        <f>GB135/FP135-1</f>
        <v/>
      </c>
      <c r="GC137" s="1318">
        <f>GC135/FQ135-1</f>
        <v/>
      </c>
      <c r="GD137" s="1318">
        <f>GD135/FR135-1</f>
        <v/>
      </c>
      <c r="GE137" s="1318">
        <f>GE135/FS135-1</f>
        <v/>
      </c>
      <c r="GF137" s="1318">
        <f>GF135/FT135-1</f>
        <v/>
      </c>
      <c r="GG137" s="1318">
        <f>GG135/FU135-1</f>
        <v/>
      </c>
      <c r="GH137" s="1318">
        <f>GH135/FV135-1</f>
        <v/>
      </c>
      <c r="GI137" s="1318">
        <f>GI135/FW135-1</f>
        <v/>
      </c>
      <c r="GJ137" s="1318">
        <f>GJ135/FX135-1</f>
        <v/>
      </c>
      <c r="GK137" s="1318">
        <f>GK135/FY135-1</f>
        <v/>
      </c>
      <c r="GL137" s="1318">
        <f>GL135/FZ135-1</f>
        <v/>
      </c>
      <c r="GM137" s="1318">
        <f>GM135/GA135-1</f>
        <v/>
      </c>
      <c r="GN137" s="1318">
        <f>GN135/GB135-1</f>
        <v/>
      </c>
      <c r="GO137" s="1318">
        <f>GO135/GC135-1</f>
        <v/>
      </c>
      <c r="GP137" s="1318">
        <f>GP135/GD135-1</f>
        <v/>
      </c>
      <c r="GQ137" s="1318">
        <f>GQ135/GE135-1</f>
        <v/>
      </c>
      <c r="GR137" s="1318">
        <f>GR135/GF135-1</f>
        <v/>
      </c>
      <c r="GS137" s="1318">
        <f>GS135/GG135-1</f>
        <v/>
      </c>
      <c r="GT137" s="1318">
        <f>GT135/GH135-1</f>
        <v/>
      </c>
      <c r="GU137" s="1318">
        <f>GU135/GI135-1</f>
        <v/>
      </c>
      <c r="GV137" s="1318">
        <f>GV135/GJ135-1</f>
        <v/>
      </c>
      <c r="GW137" s="1318">
        <f>GW135/GK135-1</f>
        <v/>
      </c>
      <c r="GX137" s="1318">
        <f>GX135/GL135-1</f>
        <v/>
      </c>
      <c r="GY137" s="1318">
        <f>GY135/GM135-1</f>
        <v/>
      </c>
      <c r="GZ137" s="1318">
        <f>GZ135/GN135-1</f>
        <v/>
      </c>
      <c r="HA137" s="1318">
        <f>HA135/GO135-1</f>
        <v/>
      </c>
      <c r="HB137" s="1318">
        <f>HB135/GP135-1</f>
        <v/>
      </c>
      <c r="HC137" s="1318">
        <f>HC135/GQ135-1</f>
        <v/>
      </c>
      <c r="HD137" s="1318">
        <f>HD135/GR135-1</f>
        <v/>
      </c>
      <c r="HE137" s="1318">
        <f>HE135/GS135-1</f>
        <v/>
      </c>
      <c r="HF137" s="1318">
        <f>HF135/GT135-1</f>
        <v/>
      </c>
      <c r="HG137" s="1318">
        <f>HG135/GU135-1</f>
        <v/>
      </c>
      <c r="HH137" s="1318">
        <f>HH135/GV135-1</f>
        <v/>
      </c>
      <c r="HI137" s="1318">
        <f>HI135/GW135-1</f>
        <v/>
      </c>
      <c r="HJ137" s="1318">
        <f>HJ135/GX135-1</f>
        <v/>
      </c>
      <c r="HK137" s="1318">
        <f>HK135/GY135-1</f>
        <v/>
      </c>
      <c r="HL137" s="1318">
        <f>HL135/GZ135-1</f>
        <v/>
      </c>
      <c r="HM137" s="1318">
        <f>HM135/HA135-1</f>
        <v/>
      </c>
      <c r="HN137" s="1318">
        <f>HN135/HB135-1</f>
        <v/>
      </c>
      <c r="HO137" s="1318">
        <f>HO135/HC135-1</f>
        <v/>
      </c>
      <c r="HP137" s="1318">
        <f>HP135/HD135-1</f>
        <v/>
      </c>
      <c r="HQ137" s="1318">
        <f>HQ135/HE135-1</f>
        <v/>
      </c>
      <c r="HR137" s="1318">
        <f>HR135/HF135-1</f>
        <v/>
      </c>
      <c r="HS137" s="1318">
        <f>HS135/HG135-1</f>
        <v/>
      </c>
      <c r="HT137" s="1318">
        <f>HT135/HH135-1</f>
        <v/>
      </c>
      <c r="HU137" s="1318">
        <f>HU135/HI135-1</f>
        <v/>
      </c>
      <c r="HV137" s="1318">
        <f>HV135/HJ135-1</f>
        <v/>
      </c>
      <c r="HW137" s="1318">
        <f>HW135/HK135-1</f>
        <v/>
      </c>
      <c r="HX137" s="1318">
        <f>HX135/HL135-1</f>
        <v/>
      </c>
      <c r="HY137" s="1318">
        <f>HY135/HM135-1</f>
        <v/>
      </c>
      <c r="HZ137" s="1318">
        <f>HZ135/HN135-1</f>
        <v/>
      </c>
      <c r="IA137" s="1318">
        <f>IA135/HO135-1</f>
        <v/>
      </c>
      <c r="IB137" s="1318">
        <f>IB135/HP135-1</f>
        <v/>
      </c>
      <c r="IC137" s="1318">
        <f>IC135/HQ135-1</f>
        <v/>
      </c>
      <c r="ID137" s="1318">
        <f>ID135/HR135-1</f>
        <v/>
      </c>
      <c r="IE137" s="1318">
        <f>IE135/HS135-1</f>
        <v/>
      </c>
      <c r="IF137" s="1318">
        <f>IF135/HT135-1</f>
        <v/>
      </c>
      <c r="IG137" s="1318">
        <f>IG135/HU135-1</f>
        <v/>
      </c>
      <c r="IH137" s="1318">
        <f>IH135/HV135-1</f>
        <v/>
      </c>
      <c r="II137" s="1318">
        <f>II135/HW135-1</f>
        <v/>
      </c>
      <c r="IJ137" s="1318">
        <f>IJ135/HX135-1</f>
        <v/>
      </c>
      <c r="IK137" s="1318">
        <f>IK135/HY135-1</f>
        <v/>
      </c>
      <c r="IL137" s="1318">
        <f>IL135/HZ135-1</f>
        <v/>
      </c>
      <c r="IM137" s="1318">
        <f>IM135/IA135-1</f>
        <v/>
      </c>
      <c r="IN137" s="1318">
        <f>IN135/IB135-1</f>
        <v/>
      </c>
      <c r="IO137" s="1318">
        <f>IO135/IC135-1</f>
        <v/>
      </c>
      <c r="IP137" s="1318">
        <f>IP135/ID135-1</f>
        <v/>
      </c>
      <c r="IQ137" s="1318">
        <f>IQ135/IE135-1</f>
        <v/>
      </c>
      <c r="IR137" s="1318">
        <f>IR135/IF135-1</f>
        <v/>
      </c>
      <c r="IS137" s="1318">
        <f>IS135/IG135-1</f>
        <v/>
      </c>
      <c r="IT137" s="1318">
        <f>IT135/IH135-1</f>
        <v/>
      </c>
      <c r="IU137" s="1318">
        <f>IU135/II135-1</f>
        <v/>
      </c>
      <c r="IV137" s="1318">
        <f>IV135/IJ135-1</f>
        <v/>
      </c>
      <c r="IW137" s="1318">
        <f>IW135/IK135-1</f>
        <v/>
      </c>
      <c r="IX137" s="1318">
        <f>IX135/IL135-1</f>
        <v/>
      </c>
      <c r="IY137" s="1318">
        <f>IY135/IM135-1</f>
        <v/>
      </c>
      <c r="IZ137" s="1318">
        <f>IZ135/IN135-1</f>
        <v/>
      </c>
      <c r="JA137" s="1318">
        <f>JA135/IO135-1</f>
        <v/>
      </c>
      <c r="JB137" s="1318">
        <f>JB135/IP135-1</f>
        <v/>
      </c>
      <c r="JC137" s="1318">
        <f>JC135/IQ135-1</f>
        <v/>
      </c>
      <c r="JD137" s="1318">
        <f>JD135/IR135-1</f>
        <v/>
      </c>
      <c r="JE137" s="1318">
        <f>JE135/IS135-1</f>
        <v/>
      </c>
      <c r="JF137" s="1318">
        <f>JF135/IT135-1</f>
        <v/>
      </c>
      <c r="JG137" s="1318">
        <f>JG135/IU135-1</f>
        <v/>
      </c>
      <c r="JH137" s="1318">
        <f>JH135/IV135-1</f>
        <v/>
      </c>
      <c r="JI137" s="1318">
        <f>JI135/IW135-1</f>
        <v/>
      </c>
      <c r="JJ137" s="1318">
        <f>JJ135/IX135-1</f>
        <v/>
      </c>
      <c r="JK137" s="1318">
        <f>JK135/IY135-1</f>
        <v/>
      </c>
      <c r="JL137" s="1318">
        <f>JL135/IZ135-1</f>
        <v/>
      </c>
      <c r="JM137" s="1318">
        <f>JM135/JA135-1</f>
        <v/>
      </c>
      <c r="JN137" s="1318">
        <f>JN135/JB135-1</f>
        <v/>
      </c>
      <c r="JO137" s="1318">
        <f>JO135/JC135-1</f>
        <v/>
      </c>
      <c r="JP137" s="1318">
        <f>JP135/JD135-1</f>
        <v/>
      </c>
      <c r="JQ137" s="1318">
        <f>JQ135/JE135-1</f>
        <v/>
      </c>
      <c r="JR137" s="1318">
        <f>JR135/JF135-1</f>
        <v/>
      </c>
      <c r="JS137" s="1318">
        <f>JS135/JG135-1</f>
        <v/>
      </c>
      <c r="JT137" s="1318">
        <f>JT135/JH135-1</f>
        <v/>
      </c>
      <c r="JU137" s="1318">
        <f>JU135/JI135-1</f>
        <v/>
      </c>
      <c r="JV137" s="1318">
        <f>JV135/JJ135-1</f>
        <v/>
      </c>
      <c r="JW137" s="1318">
        <f>JW135/JK135-1</f>
        <v/>
      </c>
      <c r="JX137" s="1318">
        <f>JX135/JL135-1</f>
        <v/>
      </c>
      <c r="JY137" s="1318">
        <f>JY135/JM135-1</f>
        <v/>
      </c>
      <c r="JZ137" s="1318">
        <f>JZ135/JN135-1</f>
        <v/>
      </c>
      <c r="KA137" s="1318">
        <f>KA135/JO135-1</f>
        <v/>
      </c>
      <c r="KB137" s="1318">
        <f>KB135/JP135-1</f>
        <v/>
      </c>
      <c r="KC137" s="1318">
        <f>KC135/JQ135-1</f>
        <v/>
      </c>
      <c r="KD137" s="1318">
        <f>KD135/JR135-1</f>
        <v/>
      </c>
      <c r="KE137" s="1318">
        <f>KE135/JS135-1</f>
        <v/>
      </c>
      <c r="KF137" s="1318">
        <f>KF135/JT135-1</f>
        <v/>
      </c>
      <c r="KG137" s="1318">
        <f>KG135/JU135-1</f>
        <v/>
      </c>
      <c r="KH137" s="1318">
        <f>KH135/JV135-1</f>
        <v/>
      </c>
      <c r="KI137" s="1318">
        <f>KI135/JW135-1</f>
        <v/>
      </c>
      <c r="KJ137" s="1318">
        <f>KJ135/JX135-1</f>
        <v/>
      </c>
      <c r="KK137" s="1318">
        <f>KK135/JY135-1</f>
        <v/>
      </c>
      <c r="KL137" s="1318">
        <f>KL135/JZ135-1</f>
        <v/>
      </c>
      <c r="KM137" s="1318">
        <f>KM135/KA135-1</f>
        <v/>
      </c>
      <c r="KN137" s="1318">
        <f>KN135/KB135-1</f>
        <v/>
      </c>
      <c r="KO137" s="1318">
        <f>KO135/KC135-1</f>
        <v/>
      </c>
      <c r="KP137" s="1318">
        <f>KP135/KD135-1</f>
        <v/>
      </c>
      <c r="KQ137" s="1318">
        <f>KQ135/KE135-1</f>
        <v/>
      </c>
      <c r="KR137" s="1318">
        <f>KR135/KF135-1</f>
        <v/>
      </c>
      <c r="KS137" s="1318">
        <f>KS135/KG135-1</f>
        <v/>
      </c>
      <c r="KT137" s="1318">
        <f>KT135/KH135-1</f>
        <v/>
      </c>
      <c r="KU137" s="1318">
        <f>KU135/KI135-1</f>
        <v/>
      </c>
      <c r="KV137" s="1318">
        <f>KV135/KJ135-1</f>
        <v/>
      </c>
      <c r="KW137" s="1318">
        <f>KW135/KK135-1</f>
        <v/>
      </c>
      <c r="KX137" s="1318">
        <f>KX135/KL135-1</f>
        <v/>
      </c>
      <c r="KY137" s="1318">
        <f>KY135/KM135-1</f>
        <v/>
      </c>
      <c r="KZ137" s="1318">
        <f>KZ135/KN135-1</f>
        <v/>
      </c>
      <c r="LA137" s="1318">
        <f>LA135/KO135-1</f>
        <v/>
      </c>
      <c r="LB137" s="1318">
        <f>LB135/KP135-1</f>
        <v/>
      </c>
      <c r="LC137" s="1318">
        <f>LC135/KQ135-1</f>
        <v/>
      </c>
      <c r="LD137" s="1318">
        <f>LD135/KR135-1</f>
        <v/>
      </c>
      <c r="LE137" s="1318">
        <f>LE135/KS135-1</f>
        <v/>
      </c>
      <c r="LF137" s="1318">
        <f>LF135/KT135-1</f>
        <v/>
      </c>
      <c r="LG137" s="1318">
        <f>LG135/KU135-1</f>
        <v/>
      </c>
      <c r="LH137" s="1318">
        <f>LH135/KV135-1</f>
        <v/>
      </c>
      <c r="LI137" s="1318">
        <f>LI135/KW135-1</f>
        <v/>
      </c>
      <c r="LJ137" s="1318">
        <f>LJ135/KX135-1</f>
        <v/>
      </c>
      <c r="LK137" s="1318">
        <f>LK135/KY135-1</f>
        <v/>
      </c>
      <c r="LL137" s="1318">
        <f>LL135/KZ135-1</f>
        <v/>
      </c>
      <c r="LM137" s="1318">
        <f>LM135/LA135-1</f>
        <v/>
      </c>
      <c r="LN137" s="1318">
        <f>LN135/LB135-1</f>
        <v/>
      </c>
      <c r="LO137" s="1318">
        <f>LO135/LC135-1</f>
        <v/>
      </c>
      <c r="LP137" s="1318">
        <f>LP135/LD135-1</f>
        <v/>
      </c>
      <c r="LQ137" s="1318">
        <f>LQ135/LE135-1</f>
        <v/>
      </c>
      <c r="LR137" s="1318">
        <f>LR135/LF135-1</f>
        <v/>
      </c>
      <c r="LS137" s="1318">
        <f>LS135/LG135-1</f>
        <v/>
      </c>
    </row>
    <row r="138">
      <c r="A138" s="885" t="inlineStr">
        <is>
          <t>YTD cg %</t>
        </is>
      </c>
      <c r="B138" s="1318" t="n"/>
      <c r="C138" s="1318" t="n"/>
      <c r="D138" s="1318" t="n"/>
      <c r="E138" s="1318" t="n"/>
      <c r="F138" s="1318" t="n"/>
      <c r="G138" s="1318" t="n"/>
      <c r="H138" s="1318" t="n"/>
      <c r="I138" s="1318" t="n"/>
      <c r="J138" s="1318" t="n"/>
      <c r="K138" s="1318" t="n"/>
      <c r="L138" s="1318" t="n"/>
      <c r="M138" s="1318" t="n"/>
      <c r="N138" s="1318">
        <f>SUMIFS(135:135,$8:$8,"&gt;="&amp;DATE(YEAR(N$8),1,1),$8:$8,"&lt;="&amp;EOMONTH(N$8,0))/SUMIFS(135:135,$8:$8,"&gt;="&amp;DATE(YEAR(N$8)-1,1,1),$8:$8,"&lt;="&amp;EOMONTH(N$8,-12))-1</f>
        <v/>
      </c>
      <c r="O138" s="1318">
        <f>SUMIFS(135:135,$8:$8,"&gt;="&amp;DATE(YEAR(O$8),1,1),$8:$8,"&lt;="&amp;EOMONTH(O$8,0))/SUMIFS(135:135,$8:$8,"&gt;="&amp;DATE(YEAR(O$8)-1,1,1),$8:$8,"&lt;="&amp;EOMONTH(O$8,-12))-1</f>
        <v/>
      </c>
      <c r="P138" s="1318">
        <f>SUMIFS(135:135,$8:$8,"&gt;="&amp;DATE(YEAR(P$8),1,1),$8:$8,"&lt;="&amp;EOMONTH(P$8,0))/SUMIFS(135:135,$8:$8,"&gt;="&amp;DATE(YEAR(P$8)-1,1,1),$8:$8,"&lt;="&amp;EOMONTH(P$8,-12))-1</f>
        <v/>
      </c>
      <c r="Q138" s="1318">
        <f>SUMIFS(135:135,$8:$8,"&gt;="&amp;DATE(YEAR(Q$8),1,1),$8:$8,"&lt;="&amp;EOMONTH(Q$8,0))/SUMIFS(135:135,$8:$8,"&gt;="&amp;DATE(YEAR(Q$8)-1,1,1),$8:$8,"&lt;="&amp;EOMONTH(Q$8,-12))-1</f>
        <v/>
      </c>
      <c r="R138" s="1318">
        <f>SUMIFS(135:135,$8:$8,"&gt;="&amp;DATE(YEAR(R$8),1,1),$8:$8,"&lt;="&amp;EOMONTH(R$8,0))/SUMIFS(135:135,$8:$8,"&gt;="&amp;DATE(YEAR(R$8)-1,1,1),$8:$8,"&lt;="&amp;EOMONTH(R$8,-12))-1</f>
        <v/>
      </c>
      <c r="S138" s="1318">
        <f>SUMIFS(135:135,$8:$8,"&gt;="&amp;DATE(YEAR(S$8),1,1),$8:$8,"&lt;="&amp;EOMONTH(S$8,0))/SUMIFS(135:135,$8:$8,"&gt;="&amp;DATE(YEAR(S$8)-1,1,1),$8:$8,"&lt;="&amp;EOMONTH(S$8,-12))-1</f>
        <v/>
      </c>
      <c r="T138" s="1318">
        <f>SUMIFS(135:135,$8:$8,"&gt;="&amp;DATE(YEAR(T$8),1,1),$8:$8,"&lt;="&amp;EOMONTH(T$8,0))/SUMIFS(135:135,$8:$8,"&gt;="&amp;DATE(YEAR(T$8)-1,1,1),$8:$8,"&lt;="&amp;EOMONTH(T$8,-12))-1</f>
        <v/>
      </c>
      <c r="U138" s="1318">
        <f>SUMIFS(135:135,$8:$8,"&gt;="&amp;DATE(YEAR(U$8),1,1),$8:$8,"&lt;="&amp;EOMONTH(U$8,0))/SUMIFS(135:135,$8:$8,"&gt;="&amp;DATE(YEAR(U$8)-1,1,1),$8:$8,"&lt;="&amp;EOMONTH(U$8,-12))-1</f>
        <v/>
      </c>
      <c r="V138" s="1318">
        <f>SUMIFS(135:135,$8:$8,"&gt;="&amp;DATE(YEAR(V$8),1,1),$8:$8,"&lt;="&amp;EOMONTH(V$8,0))/SUMIFS(135:135,$8:$8,"&gt;="&amp;DATE(YEAR(V$8)-1,1,1),$8:$8,"&lt;="&amp;EOMONTH(V$8,-12))-1</f>
        <v/>
      </c>
      <c r="W138" s="1318">
        <f>SUMIFS(135:135,$8:$8,"&gt;="&amp;DATE(YEAR(W$8),1,1),$8:$8,"&lt;="&amp;EOMONTH(W$8,0))/SUMIFS(135:135,$8:$8,"&gt;="&amp;DATE(YEAR(W$8)-1,1,1),$8:$8,"&lt;="&amp;EOMONTH(W$8,-12))-1</f>
        <v/>
      </c>
      <c r="X138" s="1318">
        <f>SUMIFS(135:135,$8:$8,"&gt;="&amp;DATE(YEAR(X$8),1,1),$8:$8,"&lt;="&amp;EOMONTH(X$8,0))/SUMIFS(135:135,$8:$8,"&gt;="&amp;DATE(YEAR(X$8)-1,1,1),$8:$8,"&lt;="&amp;EOMONTH(X$8,-12))-1</f>
        <v/>
      </c>
      <c r="Y138" s="1318">
        <f>SUMIFS(135:135,$8:$8,"&gt;="&amp;DATE(YEAR(Y$8),1,1),$8:$8,"&lt;="&amp;EOMONTH(Y$8,0))/SUMIFS(135:135,$8:$8,"&gt;="&amp;DATE(YEAR(Y$8)-1,1,1),$8:$8,"&lt;="&amp;EOMONTH(Y$8,-12))-1</f>
        <v/>
      </c>
      <c r="Z138" s="1318">
        <f>SUMIFS(135:135,$8:$8,"&gt;="&amp;DATE(YEAR(Z$8),1,1),$8:$8,"&lt;="&amp;EOMONTH(Z$8,0))/SUMIFS(135:135,$8:$8,"&gt;="&amp;DATE(YEAR(Z$8)-1,1,1),$8:$8,"&lt;="&amp;EOMONTH(Z$8,-12))-1</f>
        <v/>
      </c>
      <c r="AA138" s="1318">
        <f>SUMIFS(135:135,$8:$8,"&gt;="&amp;DATE(YEAR(AA$8),1,1),$8:$8,"&lt;="&amp;EOMONTH(AA$8,0))/SUMIFS(135:135,$8:$8,"&gt;="&amp;DATE(YEAR(AA$8)-1,1,1),$8:$8,"&lt;="&amp;EOMONTH(AA$8,-12))-1</f>
        <v/>
      </c>
      <c r="AB138" s="1318">
        <f>SUMIFS(135:135,$8:$8,"&gt;="&amp;DATE(YEAR(AB$8),1,1),$8:$8,"&lt;="&amp;EOMONTH(AB$8,0))/SUMIFS(135:135,$8:$8,"&gt;="&amp;DATE(YEAR(AB$8)-1,1,1),$8:$8,"&lt;="&amp;EOMONTH(AB$8,-12))-1</f>
        <v/>
      </c>
      <c r="AC138" s="1318">
        <f>SUMIFS(135:135,$8:$8,"&gt;="&amp;DATE(YEAR(AC$8),1,1),$8:$8,"&lt;="&amp;EOMONTH(AC$8,0))/SUMIFS(135:135,$8:$8,"&gt;="&amp;DATE(YEAR(AC$8)-1,1,1),$8:$8,"&lt;="&amp;EOMONTH(AC$8,-12))-1</f>
        <v/>
      </c>
      <c r="AD138" s="1318">
        <f>SUMIFS(135:135,$8:$8,"&gt;="&amp;DATE(YEAR(AD$8),1,1),$8:$8,"&lt;="&amp;EOMONTH(AD$8,0))/SUMIFS(135:135,$8:$8,"&gt;="&amp;DATE(YEAR(AD$8)-1,1,1),$8:$8,"&lt;="&amp;EOMONTH(AD$8,-12))-1</f>
        <v/>
      </c>
      <c r="AE138" s="1318">
        <f>SUMIFS(135:135,$8:$8,"&gt;="&amp;DATE(YEAR(AE$8),1,1),$8:$8,"&lt;="&amp;EOMONTH(AE$8,0))/SUMIFS(135:135,$8:$8,"&gt;="&amp;DATE(YEAR(AE$8)-1,1,1),$8:$8,"&lt;="&amp;EOMONTH(AE$8,-12))-1</f>
        <v/>
      </c>
      <c r="AF138" s="1318">
        <f>SUMIFS(135:135,$8:$8,"&gt;="&amp;DATE(YEAR(AF$8),1,1),$8:$8,"&lt;="&amp;EOMONTH(AF$8,0))/SUMIFS(135:135,$8:$8,"&gt;="&amp;DATE(YEAR(AF$8)-1,1,1),$8:$8,"&lt;="&amp;EOMONTH(AF$8,-12))-1</f>
        <v/>
      </c>
      <c r="AG138" s="1318">
        <f>SUMIFS(135:135,$8:$8,"&gt;="&amp;DATE(YEAR(AG$8),1,1),$8:$8,"&lt;="&amp;EOMONTH(AG$8,0))/SUMIFS(135:135,$8:$8,"&gt;="&amp;DATE(YEAR(AG$8)-1,1,1),$8:$8,"&lt;="&amp;EOMONTH(AG$8,-12))-1</f>
        <v/>
      </c>
      <c r="AH138" s="1318">
        <f>SUMIFS(135:135,$8:$8,"&gt;="&amp;DATE(YEAR(AH$8),1,1),$8:$8,"&lt;="&amp;EOMONTH(AH$8,0))/SUMIFS(135:135,$8:$8,"&gt;="&amp;DATE(YEAR(AH$8)-1,1,1),$8:$8,"&lt;="&amp;EOMONTH(AH$8,-12))-1</f>
        <v/>
      </c>
      <c r="AI138" s="1318">
        <f>SUMIFS(135:135,$8:$8,"&gt;="&amp;DATE(YEAR(AI$8),1,1),$8:$8,"&lt;="&amp;EOMONTH(AI$8,0))/SUMIFS(135:135,$8:$8,"&gt;="&amp;DATE(YEAR(AI$8)-1,1,1),$8:$8,"&lt;="&amp;EOMONTH(AI$8,-12))-1</f>
        <v/>
      </c>
      <c r="AJ138" s="1318">
        <f>SUMIFS(135:135,$8:$8,"&gt;="&amp;DATE(YEAR(AJ$8),1,1),$8:$8,"&lt;="&amp;EOMONTH(AJ$8,0))/SUMIFS(135:135,$8:$8,"&gt;="&amp;DATE(YEAR(AJ$8)-1,1,1),$8:$8,"&lt;="&amp;EOMONTH(AJ$8,-12))-1</f>
        <v/>
      </c>
      <c r="AK138" s="1318">
        <f>SUMIFS(135:135,$8:$8,"&gt;="&amp;DATE(YEAR(AK$8),1,1),$8:$8,"&lt;="&amp;EOMONTH(AK$8,0))/SUMIFS(135:135,$8:$8,"&gt;="&amp;DATE(YEAR(AK$8)-1,1,1),$8:$8,"&lt;="&amp;EOMONTH(AK$8,-12))-1</f>
        <v/>
      </c>
      <c r="AL138" s="1318">
        <f>SUMIFS(135:135,$8:$8,"&gt;="&amp;DATE(YEAR(AL$8),1,1),$8:$8,"&lt;="&amp;EOMONTH(AL$8,0))/SUMIFS(135:135,$8:$8,"&gt;="&amp;DATE(YEAR(AL$8)-1,1,1),$8:$8,"&lt;="&amp;EOMONTH(AL$8,-12))-1</f>
        <v/>
      </c>
      <c r="AM138" s="1318">
        <f>SUMIFS(135:135,$8:$8,"&gt;="&amp;DATE(YEAR(AM$8),1,1),$8:$8,"&lt;="&amp;EOMONTH(AM$8,0))/SUMIFS(135:135,$8:$8,"&gt;="&amp;DATE(YEAR(AM$8)-1,1,1),$8:$8,"&lt;="&amp;EOMONTH(AM$8,-12))-1</f>
        <v/>
      </c>
      <c r="AN138" s="1318">
        <f>SUMIFS(135:135,$8:$8,"&gt;="&amp;DATE(YEAR(AN$8),1,1),$8:$8,"&lt;="&amp;EOMONTH(AN$8,0))/SUMIFS(135:135,$8:$8,"&gt;="&amp;DATE(YEAR(AN$8)-1,1,1),$8:$8,"&lt;="&amp;EOMONTH(AN$8,-12))-1</f>
        <v/>
      </c>
      <c r="AO138" s="1318">
        <f>SUMIFS(135:135,$8:$8,"&gt;="&amp;DATE(YEAR(AO$8),1,1),$8:$8,"&lt;="&amp;EOMONTH(AO$8,0))/SUMIFS(135:135,$8:$8,"&gt;="&amp;DATE(YEAR(AO$8)-1,1,1),$8:$8,"&lt;="&amp;EOMONTH(AO$8,-12))-1</f>
        <v/>
      </c>
      <c r="AP138" s="1318">
        <f>SUMIFS(135:135,$8:$8,"&gt;="&amp;DATE(YEAR(AP$8),1,1),$8:$8,"&lt;="&amp;EOMONTH(AP$8,0))/SUMIFS(135:135,$8:$8,"&gt;="&amp;DATE(YEAR(AP$8)-1,1,1),$8:$8,"&lt;="&amp;EOMONTH(AP$8,-12))-1</f>
        <v/>
      </c>
      <c r="AQ138" s="1318">
        <f>SUMIFS(135:135,$8:$8,"&gt;="&amp;DATE(YEAR(AQ$8),1,1),$8:$8,"&lt;="&amp;EOMONTH(AQ$8,0))/SUMIFS(135:135,$8:$8,"&gt;="&amp;DATE(YEAR(AQ$8)-1,1,1),$8:$8,"&lt;="&amp;EOMONTH(AQ$8,-12))-1</f>
        <v/>
      </c>
      <c r="AR138" s="1318">
        <f>SUMIFS(135:135,$8:$8,"&gt;="&amp;DATE(YEAR(AR$8),1,1),$8:$8,"&lt;="&amp;EOMONTH(AR$8,0))/SUMIFS(135:135,$8:$8,"&gt;="&amp;DATE(YEAR(AR$8)-1,1,1),$8:$8,"&lt;="&amp;EOMONTH(AR$8,-12))-1</f>
        <v/>
      </c>
      <c r="AS138" s="1318">
        <f>SUMIFS(135:135,$8:$8,"&gt;="&amp;DATE(YEAR(AS$8),1,1),$8:$8,"&lt;="&amp;EOMONTH(AS$8,0))/SUMIFS(135:135,$8:$8,"&gt;="&amp;DATE(YEAR(AS$8)-1,1,1),$8:$8,"&lt;="&amp;EOMONTH(AS$8,-12))-1</f>
        <v/>
      </c>
      <c r="AT138" s="1318">
        <f>SUMIFS(135:135,$8:$8,"&gt;="&amp;DATE(YEAR(AT$8),1,1),$8:$8,"&lt;="&amp;EOMONTH(AT$8,0))/SUMIFS(135:135,$8:$8,"&gt;="&amp;DATE(YEAR(AT$8)-1,1,1),$8:$8,"&lt;="&amp;EOMONTH(AT$8,-12))-1</f>
        <v/>
      </c>
      <c r="AU138" s="1318">
        <f>SUMIFS(135:135,$8:$8,"&gt;="&amp;DATE(YEAR(AU$8),1,1),$8:$8,"&lt;="&amp;EOMONTH(AU$8,0))/SUMIFS(135:135,$8:$8,"&gt;="&amp;DATE(YEAR(AU$8)-1,1,1),$8:$8,"&lt;="&amp;EOMONTH(AU$8,-12))-1</f>
        <v/>
      </c>
      <c r="AV138" s="1318">
        <f>SUMIFS(135:135,$8:$8,"&gt;="&amp;DATE(YEAR(AV$8),1,1),$8:$8,"&lt;="&amp;EOMONTH(AV$8,0))/SUMIFS(135:135,$8:$8,"&gt;="&amp;DATE(YEAR(AV$8)-1,1,1),$8:$8,"&lt;="&amp;EOMONTH(AV$8,-12))-1</f>
        <v/>
      </c>
      <c r="AW138" s="1318">
        <f>SUMIFS(135:135,$8:$8,"&gt;="&amp;DATE(YEAR(AW$8),1,1),$8:$8,"&lt;="&amp;EOMONTH(AW$8,0))/SUMIFS(135:135,$8:$8,"&gt;="&amp;DATE(YEAR(AW$8)-1,1,1),$8:$8,"&lt;="&amp;EOMONTH(AW$8,-12))-1</f>
        <v/>
      </c>
      <c r="AX138" s="1318">
        <f>SUMIFS(135:135,$8:$8,"&gt;="&amp;DATE(YEAR(AX$8),1,1),$8:$8,"&lt;="&amp;EOMONTH(AX$8,0))/SUMIFS(135:135,$8:$8,"&gt;="&amp;DATE(YEAR(AX$8)-1,1,1),$8:$8,"&lt;="&amp;EOMONTH(AX$8,-12))-1</f>
        <v/>
      </c>
      <c r="AY138" s="1318">
        <f>SUMIFS(135:135,$8:$8,"&gt;="&amp;DATE(YEAR(AY$8),1,1),$8:$8,"&lt;="&amp;EOMONTH(AY$8,0))/SUMIFS(135:135,$8:$8,"&gt;="&amp;DATE(YEAR(AY$8)-1,1,1),$8:$8,"&lt;="&amp;EOMONTH(AY$8,-12))-1</f>
        <v/>
      </c>
      <c r="AZ138" s="1318">
        <f>SUMIFS(135:135,$8:$8,"&gt;="&amp;DATE(YEAR(AZ$8),1,1),$8:$8,"&lt;="&amp;EOMONTH(AZ$8,0))/SUMIFS(135:135,$8:$8,"&gt;="&amp;DATE(YEAR(AZ$8)-1,1,1),$8:$8,"&lt;="&amp;EOMONTH(AZ$8,-12))-1</f>
        <v/>
      </c>
      <c r="BA138" s="1318">
        <f>SUMIFS(135:135,$8:$8,"&gt;="&amp;DATE(YEAR(BA$8),1,1),$8:$8,"&lt;="&amp;EOMONTH(BA$8,0))/SUMIFS(135:135,$8:$8,"&gt;="&amp;DATE(YEAR(BA$8)-1,1,1),$8:$8,"&lt;="&amp;EOMONTH(BA$8,-12))-1</f>
        <v/>
      </c>
      <c r="BB138" s="1318">
        <f>SUMIFS(135:135,$8:$8,"&gt;="&amp;DATE(YEAR(BB$8),1,1),$8:$8,"&lt;="&amp;EOMONTH(BB$8,0))/SUMIFS(135:135,$8:$8,"&gt;="&amp;DATE(YEAR(BB$8)-1,1,1),$8:$8,"&lt;="&amp;EOMONTH(BB$8,-12))-1</f>
        <v/>
      </c>
      <c r="BC138" s="1318">
        <f>SUMIFS(135:135,$8:$8,"&gt;="&amp;DATE(YEAR(BC$8),1,1),$8:$8,"&lt;="&amp;EOMONTH(BC$8,0))/SUMIFS(135:135,$8:$8,"&gt;="&amp;DATE(YEAR(BC$8)-1,1,1),$8:$8,"&lt;="&amp;EOMONTH(BC$8,-12))-1</f>
        <v/>
      </c>
      <c r="BD138" s="1318">
        <f>SUMIFS(135:135,$8:$8,"&gt;="&amp;DATE(YEAR(BD$8),1,1),$8:$8,"&lt;="&amp;EOMONTH(BD$8,0))/SUMIFS(135:135,$8:$8,"&gt;="&amp;DATE(YEAR(BD$8)-1,1,1),$8:$8,"&lt;="&amp;EOMONTH(BD$8,-12))-1</f>
        <v/>
      </c>
      <c r="BE138" s="1318">
        <f>SUMIFS(135:135,$8:$8,"&gt;="&amp;DATE(YEAR(BE$8),1,1),$8:$8,"&lt;="&amp;EOMONTH(BE$8,0))/SUMIFS(135:135,$8:$8,"&gt;="&amp;DATE(YEAR(BE$8)-1,1,1),$8:$8,"&lt;="&amp;EOMONTH(BE$8,-12))-1</f>
        <v/>
      </c>
      <c r="BF138" s="1318">
        <f>SUMIFS(135:135,$8:$8,"&gt;="&amp;DATE(YEAR(BF$8),1,1),$8:$8,"&lt;="&amp;EOMONTH(BF$8,0))/SUMIFS(135:135,$8:$8,"&gt;="&amp;DATE(YEAR(BF$8)-1,1,1),$8:$8,"&lt;="&amp;EOMONTH(BF$8,-12))-1</f>
        <v/>
      </c>
      <c r="BG138" s="1318">
        <f>SUMIFS(135:135,$8:$8,"&gt;="&amp;DATE(YEAR(BG$8),1,1),$8:$8,"&lt;="&amp;EOMONTH(BG$8,0))/SUMIFS(135:135,$8:$8,"&gt;="&amp;DATE(YEAR(BG$8)-1,1,1),$8:$8,"&lt;="&amp;EOMONTH(BG$8,-12))-1</f>
        <v/>
      </c>
      <c r="BH138" s="1318">
        <f>SUMIFS(135:135,$8:$8,"&gt;="&amp;DATE(YEAR(BH$8),1,1),$8:$8,"&lt;="&amp;EOMONTH(BH$8,0))/SUMIFS(135:135,$8:$8,"&gt;="&amp;DATE(YEAR(BH$8)-1,1,1),$8:$8,"&lt;="&amp;EOMONTH(BH$8,-12))-1</f>
        <v/>
      </c>
      <c r="BI138" s="1318">
        <f>SUMIFS(135:135,$8:$8,"&gt;="&amp;DATE(YEAR(BI$8),1,1),$8:$8,"&lt;="&amp;EOMONTH(BI$8,0))/SUMIFS(135:135,$8:$8,"&gt;="&amp;DATE(YEAR(BI$8)-1,1,1),$8:$8,"&lt;="&amp;EOMONTH(BI$8,-12))-1</f>
        <v/>
      </c>
      <c r="BJ138" s="1318">
        <f>SUMIFS(135:135,$8:$8,"&gt;="&amp;DATE(YEAR(BJ$8),1,1),$8:$8,"&lt;="&amp;EOMONTH(BJ$8,0))/SUMIFS(135:135,$8:$8,"&gt;="&amp;DATE(YEAR(BJ$8)-1,1,1),$8:$8,"&lt;="&amp;EOMONTH(BJ$8,-12))-1</f>
        <v/>
      </c>
      <c r="BK138" s="1318">
        <f>SUMIFS(135:135,$8:$8,"&gt;="&amp;DATE(YEAR(BK$8),1,1),$8:$8,"&lt;="&amp;EOMONTH(BK$8,0))/SUMIFS(135:135,$8:$8,"&gt;="&amp;DATE(YEAR(BK$8)-1,1,1),$8:$8,"&lt;="&amp;EOMONTH(BK$8,-12))-1</f>
        <v/>
      </c>
      <c r="BL138" s="1318">
        <f>SUMIFS(135:135,$8:$8,"&gt;="&amp;DATE(YEAR(BL$8),1,1),$8:$8,"&lt;="&amp;EOMONTH(BL$8,0))/SUMIFS(135:135,$8:$8,"&gt;="&amp;DATE(YEAR(BL$8)-1,1,1),$8:$8,"&lt;="&amp;EOMONTH(BL$8,-12))-1</f>
        <v/>
      </c>
      <c r="BM138" s="1318">
        <f>SUMIFS(135:135,$8:$8,"&gt;="&amp;DATE(YEAR(BM$8),1,1),$8:$8,"&lt;="&amp;EOMONTH(BM$8,0))/SUMIFS(135:135,$8:$8,"&gt;="&amp;DATE(YEAR(BM$8)-1,1,1),$8:$8,"&lt;="&amp;EOMONTH(BM$8,-12))-1</f>
        <v/>
      </c>
      <c r="BN138" s="1318">
        <f>SUMIFS(135:135,$8:$8,"&gt;="&amp;DATE(YEAR(BN$8),1,1),$8:$8,"&lt;="&amp;EOMONTH(BN$8,0))/SUMIFS(135:135,$8:$8,"&gt;="&amp;DATE(YEAR(BN$8)-1,1,1),$8:$8,"&lt;="&amp;EOMONTH(BN$8,-12))-1</f>
        <v/>
      </c>
      <c r="BO138" s="1318">
        <f>SUMIFS(135:135,$8:$8,"&gt;="&amp;DATE(YEAR(BO$8),1,1),$8:$8,"&lt;="&amp;EOMONTH(BO$8,0))/SUMIFS(135:135,$8:$8,"&gt;="&amp;DATE(YEAR(BO$8)-1,1,1),$8:$8,"&lt;="&amp;EOMONTH(BO$8,-12))-1</f>
        <v/>
      </c>
      <c r="BP138" s="1318">
        <f>SUMIFS(135:135,$8:$8,"&gt;="&amp;DATE(YEAR(BP$8),1,1),$8:$8,"&lt;="&amp;EOMONTH(BP$8,0))/SUMIFS(135:135,$8:$8,"&gt;="&amp;DATE(YEAR(BP$8)-1,1,1),$8:$8,"&lt;="&amp;EOMONTH(BP$8,-12))-1</f>
        <v/>
      </c>
      <c r="BQ138" s="1318">
        <f>SUMIFS(135:135,$8:$8,"&gt;="&amp;DATE(YEAR(BQ$8),1,1),$8:$8,"&lt;="&amp;EOMONTH(BQ$8,0))/SUMIFS(135:135,$8:$8,"&gt;="&amp;DATE(YEAR(BQ$8)-1,1,1),$8:$8,"&lt;="&amp;EOMONTH(BQ$8,-12))-1</f>
        <v/>
      </c>
      <c r="BR138" s="1318">
        <f>SUMIFS(135:135,$8:$8,"&gt;="&amp;DATE(YEAR(BR$8),1,1),$8:$8,"&lt;="&amp;EOMONTH(BR$8,0))/SUMIFS(135:135,$8:$8,"&gt;="&amp;DATE(YEAR(BR$8)-1,1,1),$8:$8,"&lt;="&amp;EOMONTH(BR$8,-12))-1</f>
        <v/>
      </c>
      <c r="BS138" s="1318">
        <f>SUMIFS(135:135,$8:$8,"&gt;="&amp;DATE(YEAR(BS$8),1,1),$8:$8,"&lt;="&amp;EOMONTH(BS$8,0))/SUMIFS(135:135,$8:$8,"&gt;="&amp;DATE(YEAR(BS$8)-1,1,1),$8:$8,"&lt;="&amp;EOMONTH(BS$8,-12))-1</f>
        <v/>
      </c>
      <c r="BT138" s="1318">
        <f>SUMIFS(135:135,$8:$8,"&gt;="&amp;DATE(YEAR(BT$8),1,1),$8:$8,"&lt;="&amp;EOMONTH(BT$8,0))/SUMIFS(135:135,$8:$8,"&gt;="&amp;DATE(YEAR(BT$8)-1,1,1),$8:$8,"&lt;="&amp;EOMONTH(BT$8,-12))-1</f>
        <v/>
      </c>
      <c r="BU138" s="1318">
        <f>SUMIFS(135:135,$8:$8,"&gt;="&amp;DATE(YEAR(BU$8),1,1),$8:$8,"&lt;="&amp;EOMONTH(BU$8,0))/SUMIFS(135:135,$8:$8,"&gt;="&amp;DATE(YEAR(BU$8)-1,1,1),$8:$8,"&lt;="&amp;EOMONTH(BU$8,-12))-1</f>
        <v/>
      </c>
      <c r="BV138" s="1318">
        <f>SUMIFS(135:135,$8:$8,"&gt;="&amp;DATE(YEAR(BV$8),1,1),$8:$8,"&lt;="&amp;EOMONTH(BV$8,0))/SUMIFS(135:135,$8:$8,"&gt;="&amp;DATE(YEAR(BV$8)-1,1,1),$8:$8,"&lt;="&amp;EOMONTH(BV$8,-12))-1</f>
        <v/>
      </c>
      <c r="BW138" s="1318">
        <f>SUMIFS(135:135,$8:$8,"&gt;="&amp;DATE(YEAR(BW$8),1,1),$8:$8,"&lt;="&amp;EOMONTH(BW$8,0))/SUMIFS(135:135,$8:$8,"&gt;="&amp;DATE(YEAR(BW$8)-1,1,1),$8:$8,"&lt;="&amp;EOMONTH(BW$8,-12))-1</f>
        <v/>
      </c>
      <c r="BX138" s="1318">
        <f>SUMIFS(135:135,$8:$8,"&gt;="&amp;DATE(YEAR(BX$8),1,1),$8:$8,"&lt;="&amp;EOMONTH(BX$8,0))/SUMIFS(135:135,$8:$8,"&gt;="&amp;DATE(YEAR(BX$8)-1,1,1),$8:$8,"&lt;="&amp;EOMONTH(BX$8,-12))-1</f>
        <v/>
      </c>
      <c r="BY138" s="1318">
        <f>SUMIFS(135:135,$8:$8,"&gt;="&amp;DATE(YEAR(BY$8),1,1),$8:$8,"&lt;="&amp;EOMONTH(BY$8,0))/SUMIFS(135:135,$8:$8,"&gt;="&amp;DATE(YEAR(BY$8)-1,1,1),$8:$8,"&lt;="&amp;EOMONTH(BY$8,-12))-1</f>
        <v/>
      </c>
      <c r="BZ138" s="1318">
        <f>SUMIFS(135:135,$8:$8,"&gt;="&amp;DATE(YEAR(BZ$8),1,1),$8:$8,"&lt;="&amp;EOMONTH(BZ$8,0))/SUMIFS(135:135,$8:$8,"&gt;="&amp;DATE(YEAR(BZ$8)-1,1,1),$8:$8,"&lt;="&amp;EOMONTH(BZ$8,-12))-1</f>
        <v/>
      </c>
      <c r="CA138" s="1318">
        <f>SUMIFS(135:135,$8:$8,"&gt;="&amp;DATE(YEAR(CA$8),1,1),$8:$8,"&lt;="&amp;EOMONTH(CA$8,0))/SUMIFS(135:135,$8:$8,"&gt;="&amp;DATE(YEAR(CA$8)-1,1,1),$8:$8,"&lt;="&amp;EOMONTH(CA$8,-12))-1</f>
        <v/>
      </c>
      <c r="CB138" s="1318">
        <f>SUMIFS(135:135,$8:$8,"&gt;="&amp;DATE(YEAR(CB$8),1,1),$8:$8,"&lt;="&amp;EOMONTH(CB$8,0))/SUMIFS(135:135,$8:$8,"&gt;="&amp;DATE(YEAR(CB$8)-1,1,1),$8:$8,"&lt;="&amp;EOMONTH(CB$8,-12))-1</f>
        <v/>
      </c>
      <c r="CC138" s="1318">
        <f>SUMIFS(135:135,$8:$8,"&gt;="&amp;DATE(YEAR(CC$8),1,1),$8:$8,"&lt;="&amp;EOMONTH(CC$8,0))/SUMIFS(135:135,$8:$8,"&gt;="&amp;DATE(YEAR(CC$8)-1,1,1),$8:$8,"&lt;="&amp;EOMONTH(CC$8,-12))-1</f>
        <v/>
      </c>
      <c r="CD138" s="1318">
        <f>SUMIFS(135:135,$8:$8,"&gt;="&amp;DATE(YEAR(CD$8),1,1),$8:$8,"&lt;="&amp;EOMONTH(CD$8,0))/SUMIFS(135:135,$8:$8,"&gt;="&amp;DATE(YEAR(CD$8)-1,1,1),$8:$8,"&lt;="&amp;EOMONTH(CD$8,-12))-1</f>
        <v/>
      </c>
      <c r="CE138" s="1318">
        <f>SUMIFS(135:135,$8:$8,"&gt;="&amp;DATE(YEAR(CE$8),1,1),$8:$8,"&lt;="&amp;EOMONTH(CE$8,0))/SUMIFS(135:135,$8:$8,"&gt;="&amp;DATE(YEAR(CE$8)-1,1,1),$8:$8,"&lt;="&amp;EOMONTH(CE$8,-12))-1</f>
        <v/>
      </c>
      <c r="CF138" s="1318">
        <f>SUMIFS(135:135,$8:$8,"&gt;="&amp;DATE(YEAR(CF$8),1,1),$8:$8,"&lt;="&amp;EOMONTH(CF$8,0))/SUMIFS(135:135,$8:$8,"&gt;="&amp;DATE(YEAR(CF$8)-1,1,1),$8:$8,"&lt;="&amp;EOMONTH(CF$8,-12))-1</f>
        <v/>
      </c>
      <c r="CG138" s="1318">
        <f>SUMIFS(135:135,$8:$8,"&gt;="&amp;DATE(YEAR(CG$8),1,1),$8:$8,"&lt;="&amp;EOMONTH(CG$8,0))/SUMIFS(135:135,$8:$8,"&gt;="&amp;DATE(YEAR(CG$8)-1,1,1),$8:$8,"&lt;="&amp;EOMONTH(CG$8,-12))-1</f>
        <v/>
      </c>
      <c r="CH138" s="1318">
        <f>SUMIFS(135:135,$8:$8,"&gt;="&amp;DATE(YEAR(CH$8),1,1),$8:$8,"&lt;="&amp;EOMONTH(CH$8,0))/SUMIFS(135:135,$8:$8,"&gt;="&amp;DATE(YEAR(CH$8)-1,1,1),$8:$8,"&lt;="&amp;EOMONTH(CH$8,-12))-1</f>
        <v/>
      </c>
      <c r="CI138" s="1318">
        <f>SUMIFS(135:135,$8:$8,"&gt;="&amp;DATE(YEAR(CI$8),1,1),$8:$8,"&lt;="&amp;EOMONTH(CI$8,0))/SUMIFS(135:135,$8:$8,"&gt;="&amp;DATE(YEAR(CI$8)-1,1,1),$8:$8,"&lt;="&amp;EOMONTH(CI$8,-12))-1</f>
        <v/>
      </c>
      <c r="CJ138" s="1318">
        <f>SUMIFS(135:135,$8:$8,"&gt;="&amp;DATE(YEAR(CJ$8),1,1),$8:$8,"&lt;="&amp;EOMONTH(CJ$8,0))/SUMIFS(135:135,$8:$8,"&gt;="&amp;DATE(YEAR(CJ$8)-1,1,1),$8:$8,"&lt;="&amp;EOMONTH(CJ$8,-12))-1</f>
        <v/>
      </c>
      <c r="CK138" s="1318">
        <f>SUMIFS(135:135,$8:$8,"&gt;="&amp;DATE(YEAR(CK$8),1,1),$8:$8,"&lt;="&amp;EOMONTH(CK$8,0))/SUMIFS(135:135,$8:$8,"&gt;="&amp;DATE(YEAR(CK$8)-1,1,1),$8:$8,"&lt;="&amp;EOMONTH(CK$8,-12))-1</f>
        <v/>
      </c>
      <c r="CL138" s="1318">
        <f>SUMIFS(135:135,$8:$8,"&gt;="&amp;DATE(YEAR(CL$8),1,1),$8:$8,"&lt;="&amp;EOMONTH(CL$8,0))/SUMIFS(135:135,$8:$8,"&gt;="&amp;DATE(YEAR(CL$8)-1,1,1),$8:$8,"&lt;="&amp;EOMONTH(CL$8,-12))-1</f>
        <v/>
      </c>
      <c r="CM138" s="1318">
        <f>SUMIFS(135:135,$8:$8,"&gt;="&amp;DATE(YEAR(CM$8),1,1),$8:$8,"&lt;="&amp;EOMONTH(CM$8,0))/SUMIFS(135:135,$8:$8,"&gt;="&amp;DATE(YEAR(CM$8)-1,1,1),$8:$8,"&lt;="&amp;EOMONTH(CM$8,-12))-1</f>
        <v/>
      </c>
      <c r="CN138" s="1318">
        <f>SUMIFS(135:135,$8:$8,"&gt;="&amp;DATE(YEAR(CN$8),1,1),$8:$8,"&lt;="&amp;EOMONTH(CN$8,0))/SUMIFS(135:135,$8:$8,"&gt;="&amp;DATE(YEAR(CN$8)-1,1,1),$8:$8,"&lt;="&amp;EOMONTH(CN$8,-12))-1</f>
        <v/>
      </c>
      <c r="CO138" s="1318">
        <f>SUMIFS(135:135,$8:$8,"&gt;="&amp;DATE(YEAR(CO$8),1,1),$8:$8,"&lt;="&amp;EOMONTH(CO$8,0))/SUMIFS(135:135,$8:$8,"&gt;="&amp;DATE(YEAR(CO$8)-1,1,1),$8:$8,"&lt;="&amp;EOMONTH(CO$8,-12))-1</f>
        <v/>
      </c>
      <c r="CP138" s="1318">
        <f>SUMIFS(135:135,$8:$8,"&gt;="&amp;DATE(YEAR(CP$8),1,1),$8:$8,"&lt;="&amp;EOMONTH(CP$8,0))/SUMIFS(135:135,$8:$8,"&gt;="&amp;DATE(YEAR(CP$8)-1,1,1),$8:$8,"&lt;="&amp;EOMONTH(CP$8,-12))-1</f>
        <v/>
      </c>
      <c r="CQ138" s="1318">
        <f>SUMIFS(135:135,$8:$8,"&gt;="&amp;DATE(YEAR(CQ$8),1,1),$8:$8,"&lt;="&amp;EOMONTH(CQ$8,0))/SUMIFS(135:135,$8:$8,"&gt;="&amp;DATE(YEAR(CQ$8)-1,1,1),$8:$8,"&lt;="&amp;EOMONTH(CQ$8,-12))-1</f>
        <v/>
      </c>
      <c r="CR138" s="1318">
        <f>SUMIFS(135:135,$8:$8,"&gt;="&amp;DATE(YEAR(CR$8),1,1),$8:$8,"&lt;="&amp;EOMONTH(CR$8,0))/SUMIFS(135:135,$8:$8,"&gt;="&amp;DATE(YEAR(CR$8)-1,1,1),$8:$8,"&lt;="&amp;EOMONTH(CR$8,-12))-1</f>
        <v/>
      </c>
      <c r="CS138" s="1318">
        <f>SUMIFS(135:135,$8:$8,"&gt;="&amp;DATE(YEAR(CS$8),1,1),$8:$8,"&lt;="&amp;EOMONTH(CS$8,0))/SUMIFS(135:135,$8:$8,"&gt;="&amp;DATE(YEAR(CS$8)-1,1,1),$8:$8,"&lt;="&amp;EOMONTH(CS$8,-12))-1</f>
        <v/>
      </c>
      <c r="CT138" s="1318">
        <f>SUMIFS(135:135,$8:$8,"&gt;="&amp;DATE(YEAR(CT$8),1,1),$8:$8,"&lt;="&amp;EOMONTH(CT$8,0))/SUMIFS(135:135,$8:$8,"&gt;="&amp;DATE(YEAR(CT$8)-1,1,1),$8:$8,"&lt;="&amp;EOMONTH(CT$8,-12))-1</f>
        <v/>
      </c>
      <c r="CU138" s="1318">
        <f>SUMIFS(135:135,$8:$8,"&gt;="&amp;DATE(YEAR(CU$8),1,1),$8:$8,"&lt;="&amp;EOMONTH(CU$8,0))/SUMIFS(135:135,$8:$8,"&gt;="&amp;DATE(YEAR(CU$8)-1,1,1),$8:$8,"&lt;="&amp;EOMONTH(CU$8,-12))-1</f>
        <v/>
      </c>
      <c r="CV138" s="1318">
        <f>SUMIFS(135:135,$8:$8,"&gt;="&amp;DATE(YEAR(CV$8),1,1),$8:$8,"&lt;="&amp;EOMONTH(CV$8,0))/SUMIFS(135:135,$8:$8,"&gt;="&amp;DATE(YEAR(CV$8)-1,1,1),$8:$8,"&lt;="&amp;EOMONTH(CV$8,-12))-1</f>
        <v/>
      </c>
      <c r="CW138" s="1318">
        <f>SUMIFS(135:135,$8:$8,"&gt;="&amp;DATE(YEAR(CW$8),1,1),$8:$8,"&lt;="&amp;EOMONTH(CW$8,0))/SUMIFS(135:135,$8:$8,"&gt;="&amp;DATE(YEAR(CW$8)-1,1,1),$8:$8,"&lt;="&amp;EOMONTH(CW$8,-12))-1</f>
        <v/>
      </c>
      <c r="CX138" s="1318">
        <f>SUMIFS(135:135,$8:$8,"&gt;="&amp;DATE(YEAR(CX$8),1,1),$8:$8,"&lt;="&amp;EOMONTH(CX$8,0))/SUMIFS(135:135,$8:$8,"&gt;="&amp;DATE(YEAR(CX$8)-1,1,1),$8:$8,"&lt;="&amp;EOMONTH(CX$8,-12))-1</f>
        <v/>
      </c>
      <c r="CY138" s="1318">
        <f>SUMIFS(135:135,$8:$8,"&gt;="&amp;DATE(YEAR(CY$8),1,1),$8:$8,"&lt;="&amp;EOMONTH(CY$8,0))/SUMIFS(135:135,$8:$8,"&gt;="&amp;DATE(YEAR(CY$8)-1,1,1),$8:$8,"&lt;="&amp;EOMONTH(CY$8,-12))-1</f>
        <v/>
      </c>
      <c r="CZ138" s="1318">
        <f>SUMIFS(135:135,$8:$8,"&gt;="&amp;DATE(YEAR(CZ$8),1,1),$8:$8,"&lt;="&amp;EOMONTH(CZ$8,0))/SUMIFS(135:135,$8:$8,"&gt;="&amp;DATE(YEAR(CZ$8)-1,1,1),$8:$8,"&lt;="&amp;EOMONTH(CZ$8,-12))-1</f>
        <v/>
      </c>
      <c r="DA138" s="1318">
        <f>SUMIFS(135:135,$8:$8,"&gt;="&amp;DATE(YEAR(DA$8),1,1),$8:$8,"&lt;="&amp;EOMONTH(DA$8,0))/SUMIFS(135:135,$8:$8,"&gt;="&amp;DATE(YEAR(DA$8)-1,1,1),$8:$8,"&lt;="&amp;EOMONTH(DA$8,-12))-1</f>
        <v/>
      </c>
      <c r="DB138" s="1318">
        <f>SUMIFS(135:135,$8:$8,"&gt;="&amp;DATE(YEAR(DB$8),1,1),$8:$8,"&lt;="&amp;EOMONTH(DB$8,0))/SUMIFS(135:135,$8:$8,"&gt;="&amp;DATE(YEAR(DB$8)-1,1,1),$8:$8,"&lt;="&amp;EOMONTH(DB$8,-12))-1</f>
        <v/>
      </c>
      <c r="DC138" s="1318">
        <f>SUMIFS(135:135,$8:$8,"&gt;="&amp;DATE(YEAR(DC$8),1,1),$8:$8,"&lt;="&amp;EOMONTH(DC$8,0))/SUMIFS(135:135,$8:$8,"&gt;="&amp;DATE(YEAR(DC$8)-1,1,1),$8:$8,"&lt;="&amp;EOMONTH(DC$8,-12))-1</f>
        <v/>
      </c>
      <c r="DD138" s="1318">
        <f>SUMIFS(135:135,$8:$8,"&gt;="&amp;DATE(YEAR(DD$8),1,1),$8:$8,"&lt;="&amp;EOMONTH(DD$8,0))/SUMIFS(135:135,$8:$8,"&gt;="&amp;DATE(YEAR(DD$8)-1,1,1),$8:$8,"&lt;="&amp;EOMONTH(DD$8,-12))-1</f>
        <v/>
      </c>
      <c r="DE138" s="1318">
        <f>SUMIFS(135:135,$8:$8,"&gt;="&amp;DATE(YEAR(DE$8),1,1),$8:$8,"&lt;="&amp;EOMONTH(DE$8,0))/SUMIFS(135:135,$8:$8,"&gt;="&amp;DATE(YEAR(DE$8)-1,1,1),$8:$8,"&lt;="&amp;EOMONTH(DE$8,-12))-1</f>
        <v/>
      </c>
      <c r="DF138" s="1318">
        <f>SUMIFS(135:135,$8:$8,"&gt;="&amp;DATE(YEAR(DF$8),1,1),$8:$8,"&lt;="&amp;EOMONTH(DF$8,0))/SUMIFS(135:135,$8:$8,"&gt;="&amp;DATE(YEAR(DF$8)-1,1,1),$8:$8,"&lt;="&amp;EOMONTH(DF$8,-12))-1</f>
        <v/>
      </c>
      <c r="DG138" s="1318">
        <f>SUMIFS(135:135,$8:$8,"&gt;="&amp;DATE(YEAR(DG$8),1,1),$8:$8,"&lt;="&amp;EOMONTH(DG$8,0))/SUMIFS(135:135,$8:$8,"&gt;="&amp;DATE(YEAR(DG$8)-1,1,1),$8:$8,"&lt;="&amp;EOMONTH(DG$8,-12))-1</f>
        <v/>
      </c>
      <c r="DH138" s="1318">
        <f>SUMIFS(135:135,$8:$8,"&gt;="&amp;DATE(YEAR(DH$8),1,1),$8:$8,"&lt;="&amp;EOMONTH(DH$8,0))/SUMIFS(135:135,$8:$8,"&gt;="&amp;DATE(YEAR(DH$8)-1,1,1),$8:$8,"&lt;="&amp;EOMONTH(DH$8,-12))-1</f>
        <v/>
      </c>
      <c r="DI138" s="1318">
        <f>SUMIFS(135:135,$8:$8,"&gt;="&amp;DATE(YEAR(DI$8),1,1),$8:$8,"&lt;="&amp;EOMONTH(DI$8,0))/SUMIFS(135:135,$8:$8,"&gt;="&amp;DATE(YEAR(DI$8)-1,1,1),$8:$8,"&lt;="&amp;EOMONTH(DI$8,-12))-1</f>
        <v/>
      </c>
      <c r="DJ138" s="1318">
        <f>SUMIFS(135:135,$8:$8,"&gt;="&amp;DATE(YEAR(DJ$8),1,1),$8:$8,"&lt;="&amp;EOMONTH(DJ$8,0))/SUMIFS(135:135,$8:$8,"&gt;="&amp;DATE(YEAR(DJ$8)-1,1,1),$8:$8,"&lt;="&amp;EOMONTH(DJ$8,-12))-1</f>
        <v/>
      </c>
      <c r="DK138" s="1318">
        <f>SUMIFS(135:135,$8:$8,"&gt;="&amp;DATE(YEAR(DK$8),1,1),$8:$8,"&lt;="&amp;EOMONTH(DK$8,0))/SUMIFS(135:135,$8:$8,"&gt;="&amp;DATE(YEAR(DK$8)-1,1,1),$8:$8,"&lt;="&amp;EOMONTH(DK$8,-12))-1</f>
        <v/>
      </c>
      <c r="DL138" s="1318">
        <f>SUMIFS(135:135,$8:$8,"&gt;="&amp;DATE(YEAR(DL$8),1,1),$8:$8,"&lt;="&amp;EOMONTH(DL$8,0))/SUMIFS(135:135,$8:$8,"&gt;="&amp;DATE(YEAR(DL$8)-1,1,1),$8:$8,"&lt;="&amp;EOMONTH(DL$8,-12))-1</f>
        <v/>
      </c>
      <c r="DM138" s="1318">
        <f>SUMIFS(135:135,$8:$8,"&gt;="&amp;DATE(YEAR(DM$8),1,1),$8:$8,"&lt;="&amp;EOMONTH(DM$8,0))/SUMIFS(135:135,$8:$8,"&gt;="&amp;DATE(YEAR(DM$8)-1,1,1),$8:$8,"&lt;="&amp;EOMONTH(DM$8,-12))-1</f>
        <v/>
      </c>
      <c r="DN138" s="1318">
        <f>SUMIFS(135:135,$8:$8,"&gt;="&amp;DATE(YEAR(DN$8),1,1),$8:$8,"&lt;="&amp;EOMONTH(DN$8,0))/SUMIFS(135:135,$8:$8,"&gt;="&amp;DATE(YEAR(DN$8)-1,1,1),$8:$8,"&lt;="&amp;EOMONTH(DN$8,-12))-1</f>
        <v/>
      </c>
      <c r="DO138" s="1318">
        <f>SUMIFS(135:135,$8:$8,"&gt;="&amp;DATE(YEAR(DO$8),1,1),$8:$8,"&lt;="&amp;EOMONTH(DO$8,0))/SUMIFS(135:135,$8:$8,"&gt;="&amp;DATE(YEAR(DO$8)-1,1,1),$8:$8,"&lt;="&amp;EOMONTH(DO$8,-12))-1</f>
        <v/>
      </c>
      <c r="DP138" s="1318">
        <f>SUMIFS(135:135,$8:$8,"&gt;="&amp;DATE(YEAR(DP$8),1,1),$8:$8,"&lt;="&amp;EOMONTH(DP$8,0))/SUMIFS(135:135,$8:$8,"&gt;="&amp;DATE(YEAR(DP$8)-1,1,1),$8:$8,"&lt;="&amp;EOMONTH(DP$8,-12))-1</f>
        <v/>
      </c>
      <c r="DQ138" s="1318">
        <f>SUMIFS(135:135,$8:$8,"&gt;="&amp;DATE(YEAR(DQ$8),1,1),$8:$8,"&lt;="&amp;EOMONTH(DQ$8,0))/SUMIFS(135:135,$8:$8,"&gt;="&amp;DATE(YEAR(DQ$8)-1,1,1),$8:$8,"&lt;="&amp;EOMONTH(DQ$8,-12))-1</f>
        <v/>
      </c>
      <c r="DR138" s="1318">
        <f>SUMIFS(135:135,$8:$8,"&gt;="&amp;DATE(YEAR(DR$8),1,1),$8:$8,"&lt;="&amp;EOMONTH(DR$8,0))/SUMIFS(135:135,$8:$8,"&gt;="&amp;DATE(YEAR(DR$8)-1,1,1),$8:$8,"&lt;="&amp;EOMONTH(DR$8,-12))-1</f>
        <v/>
      </c>
      <c r="DS138" s="1318">
        <f>SUMIFS(135:135,$8:$8,"&gt;="&amp;DATE(YEAR(DS$8),1,1),$8:$8,"&lt;="&amp;EOMONTH(DS$8,0))/SUMIFS(135:135,$8:$8,"&gt;="&amp;DATE(YEAR(DS$8)-1,1,1),$8:$8,"&lt;="&amp;EOMONTH(DS$8,-12))-1</f>
        <v/>
      </c>
      <c r="DT138" s="1318">
        <f>SUMIFS(135:135,$8:$8,"&gt;="&amp;DATE(YEAR(DT$8),1,1),$8:$8,"&lt;="&amp;EOMONTH(DT$8,0))/SUMIFS(135:135,$8:$8,"&gt;="&amp;DATE(YEAR(DT$8)-1,1,1),$8:$8,"&lt;="&amp;EOMONTH(DT$8,-12))-1</f>
        <v/>
      </c>
      <c r="DU138" s="1318">
        <f>SUMIFS(135:135,$8:$8,"&gt;="&amp;DATE(YEAR(DU$8),1,1),$8:$8,"&lt;="&amp;EOMONTH(DU$8,0))/SUMIFS(135:135,$8:$8,"&gt;="&amp;DATE(YEAR(DU$8)-1,1,1),$8:$8,"&lt;="&amp;EOMONTH(DU$8,-12))-1</f>
        <v/>
      </c>
      <c r="DV138" s="1318">
        <f>SUMIFS(135:135,$8:$8,"&gt;="&amp;DATE(YEAR(DV$8),1,1),$8:$8,"&lt;="&amp;EOMONTH(DV$8,0))/SUMIFS(135:135,$8:$8,"&gt;="&amp;DATE(YEAR(DV$8)-1,1,1),$8:$8,"&lt;="&amp;EOMONTH(DV$8,-12))-1</f>
        <v/>
      </c>
      <c r="DW138" s="1318">
        <f>SUMIFS(135:135,$8:$8,"&gt;="&amp;DATE(YEAR(DW$8),1,1),$8:$8,"&lt;="&amp;EOMONTH(DW$8,0))/SUMIFS(135:135,$8:$8,"&gt;="&amp;DATE(YEAR(DW$8)-1,1,1),$8:$8,"&lt;="&amp;EOMONTH(DW$8,-12))-1</f>
        <v/>
      </c>
      <c r="DX138" s="1318">
        <f>SUMIFS(135:135,$8:$8,"&gt;="&amp;DATE(YEAR(DX$8),1,1),$8:$8,"&lt;="&amp;EOMONTH(DX$8,0))/SUMIFS(135:135,$8:$8,"&gt;="&amp;DATE(YEAR(DX$8)-1,1,1),$8:$8,"&lt;="&amp;EOMONTH(DX$8,-12))-1</f>
        <v/>
      </c>
      <c r="DY138" s="1318">
        <f>SUMIFS(135:135,$8:$8,"&gt;="&amp;DATE(YEAR(DY$8),1,1),$8:$8,"&lt;="&amp;EOMONTH(DY$8,0))/SUMIFS(135:135,$8:$8,"&gt;="&amp;DATE(YEAR(DY$8)-1,1,1),$8:$8,"&lt;="&amp;EOMONTH(DY$8,-12))-1</f>
        <v/>
      </c>
      <c r="DZ138" s="1318">
        <f>SUMIFS(135:135,$8:$8,"&gt;="&amp;DATE(YEAR(DZ$8),1,1),$8:$8,"&lt;="&amp;EOMONTH(DZ$8,0))/SUMIFS(135:135,$8:$8,"&gt;="&amp;DATE(YEAR(DZ$8)-1,1,1),$8:$8,"&lt;="&amp;EOMONTH(DZ$8,-12))-1</f>
        <v/>
      </c>
      <c r="EA138" s="1318">
        <f>SUMIFS(135:135,$8:$8,"&gt;="&amp;DATE(YEAR(EA$8),1,1),$8:$8,"&lt;="&amp;EOMONTH(EA$8,0))/SUMIFS(135:135,$8:$8,"&gt;="&amp;DATE(YEAR(EA$8)-1,1,1),$8:$8,"&lt;="&amp;EOMONTH(EA$8,-12))-1</f>
        <v/>
      </c>
      <c r="EB138" s="1318">
        <f>SUMIFS(135:135,$8:$8,"&gt;="&amp;DATE(YEAR(EB$8),1,1),$8:$8,"&lt;="&amp;EOMONTH(EB$8,0))/SUMIFS(135:135,$8:$8,"&gt;="&amp;DATE(YEAR(EB$8)-1,1,1),$8:$8,"&lt;="&amp;EOMONTH(EB$8,-12))-1</f>
        <v/>
      </c>
      <c r="EC138" s="1318">
        <f>SUMIFS(135:135,$8:$8,"&gt;="&amp;DATE(YEAR(EC$8),1,1),$8:$8,"&lt;="&amp;EOMONTH(EC$8,0))/SUMIFS(135:135,$8:$8,"&gt;="&amp;DATE(YEAR(EC$8)-1,1,1),$8:$8,"&lt;="&amp;EOMONTH(EC$8,-12))-1</f>
        <v/>
      </c>
      <c r="ED138" s="1318">
        <f>SUMIFS(135:135,$8:$8,"&gt;="&amp;DATE(YEAR(ED$8),1,1),$8:$8,"&lt;="&amp;EOMONTH(ED$8,0))/SUMIFS(135:135,$8:$8,"&gt;="&amp;DATE(YEAR(ED$8)-1,1,1),$8:$8,"&lt;="&amp;EOMONTH(ED$8,-12))-1</f>
        <v/>
      </c>
      <c r="EE138" s="1318">
        <f>SUMIFS(135:135,$8:$8,"&gt;="&amp;DATE(YEAR(EE$8),1,1),$8:$8,"&lt;="&amp;EOMONTH(EE$8,0))/SUMIFS(135:135,$8:$8,"&gt;="&amp;DATE(YEAR(EE$8)-1,1,1),$8:$8,"&lt;="&amp;EOMONTH(EE$8,-12))-1</f>
        <v/>
      </c>
      <c r="EF138" s="1318">
        <f>SUMIFS(135:135,$8:$8,"&gt;="&amp;DATE(YEAR(EF$8),1,1),$8:$8,"&lt;="&amp;EOMONTH(EF$8,0))/SUMIFS(135:135,$8:$8,"&gt;="&amp;DATE(YEAR(EF$8)-1,1,1),$8:$8,"&lt;="&amp;EOMONTH(EF$8,-12))-1</f>
        <v/>
      </c>
      <c r="EG138" s="1318">
        <f>SUMIFS(135:135,$8:$8,"&gt;="&amp;DATE(YEAR(EG$8),1,1),$8:$8,"&lt;="&amp;EOMONTH(EG$8,0))/SUMIFS(135:135,$8:$8,"&gt;="&amp;DATE(YEAR(EG$8)-1,1,1),$8:$8,"&lt;="&amp;EOMONTH(EG$8,-12))-1</f>
        <v/>
      </c>
      <c r="EH138" s="1318">
        <f>SUMIFS(135:135,$8:$8,"&gt;="&amp;DATE(YEAR(EH$8),1,1),$8:$8,"&lt;="&amp;EOMONTH(EH$8,0))/SUMIFS(135:135,$8:$8,"&gt;="&amp;DATE(YEAR(EH$8)-1,1,1),$8:$8,"&lt;="&amp;EOMONTH(EH$8,-12))-1</f>
        <v/>
      </c>
      <c r="EI138" s="1318">
        <f>SUMIFS(135:135,$8:$8,"&gt;="&amp;DATE(YEAR(EI$8),1,1),$8:$8,"&lt;="&amp;EOMONTH(EI$8,0))/SUMIFS(135:135,$8:$8,"&gt;="&amp;DATE(YEAR(EI$8)-1,1,1),$8:$8,"&lt;="&amp;EOMONTH(EI$8,-12))-1</f>
        <v/>
      </c>
      <c r="EJ138" s="1318">
        <f>SUMIFS(135:135,$8:$8,"&gt;="&amp;DATE(YEAR(EJ$8),1,1),$8:$8,"&lt;="&amp;EOMONTH(EJ$8,0))/SUMIFS(135:135,$8:$8,"&gt;="&amp;DATE(YEAR(EJ$8)-1,1,1),$8:$8,"&lt;="&amp;EOMONTH(EJ$8,-12))-1</f>
        <v/>
      </c>
      <c r="EK138" s="1318">
        <f>SUMIFS(135:135,$8:$8,"&gt;="&amp;DATE(YEAR(EK$8),1,1),$8:$8,"&lt;="&amp;EOMONTH(EK$8,0))/SUMIFS(135:135,$8:$8,"&gt;="&amp;DATE(YEAR(EK$8)-1,1,1),$8:$8,"&lt;="&amp;EOMONTH(EK$8,-12))-1</f>
        <v/>
      </c>
      <c r="EL138" s="1318">
        <f>SUMIFS(135:135,$8:$8,"&gt;="&amp;DATE(YEAR(EL$8),1,1),$8:$8,"&lt;="&amp;EOMONTH(EL$8,0))/SUMIFS(135:135,$8:$8,"&gt;="&amp;DATE(YEAR(EL$8)-1,1,1),$8:$8,"&lt;="&amp;EOMONTH(EL$8,-12))-1</f>
        <v/>
      </c>
      <c r="EM138" s="1318">
        <f>SUMIFS(135:135,$8:$8,"&gt;="&amp;DATE(YEAR(EM$8),1,1),$8:$8,"&lt;="&amp;EOMONTH(EM$8,0))/SUMIFS(135:135,$8:$8,"&gt;="&amp;DATE(YEAR(EM$8)-1,1,1),$8:$8,"&lt;="&amp;EOMONTH(EM$8,-12))-1</f>
        <v/>
      </c>
      <c r="EN138" s="1318">
        <f>SUMIFS(135:135,$8:$8,"&gt;="&amp;DATE(YEAR(EN$8),1,1),$8:$8,"&lt;="&amp;EOMONTH(EN$8,0))/SUMIFS(135:135,$8:$8,"&gt;="&amp;DATE(YEAR(EN$8)-1,1,1),$8:$8,"&lt;="&amp;EOMONTH(EN$8,-12))-1</f>
        <v/>
      </c>
      <c r="EO138" s="1318">
        <f>SUMIFS(135:135,$8:$8,"&gt;="&amp;DATE(YEAR(EO$8),1,1),$8:$8,"&lt;="&amp;EOMONTH(EO$8,0))/SUMIFS(135:135,$8:$8,"&gt;="&amp;DATE(YEAR(EO$8)-1,1,1),$8:$8,"&lt;="&amp;EOMONTH(EO$8,-12))-1</f>
        <v/>
      </c>
      <c r="EP138" s="1318">
        <f>SUMIFS(135:135,$8:$8,"&gt;="&amp;DATE(YEAR(EP$8),1,1),$8:$8,"&lt;="&amp;EOMONTH(EP$8,0))/SUMIFS(135:135,$8:$8,"&gt;="&amp;DATE(YEAR(EP$8)-1,1,1),$8:$8,"&lt;="&amp;EOMONTH(EP$8,-12))-1</f>
        <v/>
      </c>
      <c r="EQ138" s="1318">
        <f>SUMIFS(135:135,$8:$8,"&gt;="&amp;DATE(YEAR(EQ$8),1,1),$8:$8,"&lt;="&amp;EOMONTH(EQ$8,0))/SUMIFS(135:135,$8:$8,"&gt;="&amp;DATE(YEAR(EQ$8)-1,1,1),$8:$8,"&lt;="&amp;EOMONTH(EQ$8,-12))-1</f>
        <v/>
      </c>
      <c r="ER138" s="1318">
        <f>SUMIFS(135:135,$8:$8,"&gt;="&amp;DATE(YEAR(ER$8),1,1),$8:$8,"&lt;="&amp;EOMONTH(ER$8,0))/SUMIFS(135:135,$8:$8,"&gt;="&amp;DATE(YEAR(ER$8)-1,1,1),$8:$8,"&lt;="&amp;EOMONTH(ER$8,-12))-1</f>
        <v/>
      </c>
      <c r="ES138" s="1318">
        <f>SUMIFS(135:135,$8:$8,"&gt;="&amp;DATE(YEAR(ES$8),1,1),$8:$8,"&lt;="&amp;EOMONTH(ES$8,0))/SUMIFS(135:135,$8:$8,"&gt;="&amp;DATE(YEAR(ES$8)-1,1,1),$8:$8,"&lt;="&amp;EOMONTH(ES$8,-12))-1</f>
        <v/>
      </c>
      <c r="ET138" s="1318">
        <f>SUMIFS(135:135,$8:$8,"&gt;="&amp;DATE(YEAR(ET$8),1,1),$8:$8,"&lt;="&amp;EOMONTH(ET$8,0))/SUMIFS(135:135,$8:$8,"&gt;="&amp;DATE(YEAR(ET$8)-1,1,1),$8:$8,"&lt;="&amp;EOMONTH(ET$8,-12))-1</f>
        <v/>
      </c>
      <c r="EU138" s="1318">
        <f>SUMIFS(135:135,$8:$8,"&gt;="&amp;DATE(YEAR(EU$8),1,1),$8:$8,"&lt;="&amp;EOMONTH(EU$8,0))/SUMIFS(135:135,$8:$8,"&gt;="&amp;DATE(YEAR(EU$8)-1,1,1),$8:$8,"&lt;="&amp;EOMONTH(EU$8,-12))-1</f>
        <v/>
      </c>
      <c r="EV138" s="1318">
        <f>SUMIFS(135:135,$8:$8,"&gt;="&amp;DATE(YEAR(EV$8),1,1),$8:$8,"&lt;="&amp;EOMONTH(EV$8,0))/SUMIFS(135:135,$8:$8,"&gt;="&amp;DATE(YEAR(EV$8)-1,1,1),$8:$8,"&lt;="&amp;EOMONTH(EV$8,-12))-1</f>
        <v/>
      </c>
      <c r="EW138" s="1318">
        <f>SUMIFS(135:135,$8:$8,"&gt;="&amp;DATE(YEAR(EW$8),1,1),$8:$8,"&lt;="&amp;EOMONTH(EW$8,0))/SUMIFS(135:135,$8:$8,"&gt;="&amp;DATE(YEAR(EW$8)-1,1,1),$8:$8,"&lt;="&amp;EOMONTH(EW$8,-12))-1</f>
        <v/>
      </c>
      <c r="EX138" s="1318">
        <f>SUMIFS(135:135,$8:$8,"&gt;="&amp;DATE(YEAR(EX$8),1,1),$8:$8,"&lt;="&amp;EOMONTH(EX$8,0))/SUMIFS(135:135,$8:$8,"&gt;="&amp;DATE(YEAR(EX$8)-1,1,1),$8:$8,"&lt;="&amp;EOMONTH(EX$8,-12))-1</f>
        <v/>
      </c>
      <c r="EY138" s="1318">
        <f>SUMIFS(135:135,$8:$8,"&gt;="&amp;DATE(YEAR(EY$8),1,1),$8:$8,"&lt;="&amp;EOMONTH(EY$8,0))/SUMIFS(135:135,$8:$8,"&gt;="&amp;DATE(YEAR(EY$8)-1,1,1),$8:$8,"&lt;="&amp;EOMONTH(EY$8,-12))-1</f>
        <v/>
      </c>
      <c r="EZ138" s="1318">
        <f>SUMIFS(135:135,$8:$8,"&gt;="&amp;DATE(YEAR(EZ$8),1,1),$8:$8,"&lt;="&amp;EOMONTH(EZ$8,0))/SUMIFS(135:135,$8:$8,"&gt;="&amp;DATE(YEAR(EZ$8)-1,1,1),$8:$8,"&lt;="&amp;EOMONTH(EZ$8,-12))-1</f>
        <v/>
      </c>
      <c r="FA138" s="1318">
        <f>SUMIFS(135:135,$8:$8,"&gt;="&amp;DATE(YEAR(FA$8),1,1),$8:$8,"&lt;="&amp;EOMONTH(FA$8,0))/SUMIFS(135:135,$8:$8,"&gt;="&amp;DATE(YEAR(FA$8)-1,1,1),$8:$8,"&lt;="&amp;EOMONTH(FA$8,-12))-1</f>
        <v/>
      </c>
      <c r="FB138" s="1318">
        <f>SUMIFS(135:135,$8:$8,"&gt;="&amp;DATE(YEAR(FB$8),1,1),$8:$8,"&lt;="&amp;EOMONTH(FB$8,0))/SUMIFS(135:135,$8:$8,"&gt;="&amp;DATE(YEAR(FB$8)-1,1,1),$8:$8,"&lt;="&amp;EOMONTH(FB$8,-12))-1</f>
        <v/>
      </c>
      <c r="FC138" s="1318">
        <f>SUMIFS(135:135,$8:$8,"&gt;="&amp;DATE(YEAR(FC$8),1,1),$8:$8,"&lt;="&amp;EOMONTH(FC$8,0))/SUMIFS(135:135,$8:$8,"&gt;="&amp;DATE(YEAR(FC$8)-1,1,1),$8:$8,"&lt;="&amp;EOMONTH(FC$8,-12))-1</f>
        <v/>
      </c>
      <c r="FD138" s="1318">
        <f>SUMIFS(135:135,$8:$8,"&gt;="&amp;DATE(YEAR(FD$8),1,1),$8:$8,"&lt;="&amp;EOMONTH(FD$8,0))/SUMIFS(135:135,$8:$8,"&gt;="&amp;DATE(YEAR(FD$8)-1,1,1),$8:$8,"&lt;="&amp;EOMONTH(FD$8,-12))-1</f>
        <v/>
      </c>
      <c r="FE138" s="1318">
        <f>SUMIFS(135:135,$8:$8,"&gt;="&amp;DATE(YEAR(FE$8),1,1),$8:$8,"&lt;="&amp;EOMONTH(FE$8,0))/SUMIFS(135:135,$8:$8,"&gt;="&amp;DATE(YEAR(FE$8)-1,1,1),$8:$8,"&lt;="&amp;EOMONTH(FE$8,-12))-1</f>
        <v/>
      </c>
      <c r="FF138" s="1318">
        <f>SUMIFS(135:135,$8:$8,"&gt;="&amp;DATE(YEAR(FF$8),1,1),$8:$8,"&lt;="&amp;EOMONTH(FF$8,0))/SUMIFS(135:135,$8:$8,"&gt;="&amp;DATE(YEAR(FF$8)-1,1,1),$8:$8,"&lt;="&amp;EOMONTH(FF$8,-12))-1</f>
        <v/>
      </c>
      <c r="FG138" s="1318">
        <f>SUMIFS(135:135,$8:$8,"&gt;="&amp;DATE(YEAR(FG$8),1,1),$8:$8,"&lt;="&amp;EOMONTH(FG$8,0))/SUMIFS(135:135,$8:$8,"&gt;="&amp;DATE(YEAR(FG$8)-1,1,1),$8:$8,"&lt;="&amp;EOMONTH(FG$8,-12))-1</f>
        <v/>
      </c>
      <c r="FH138" s="1318">
        <f>SUMIFS(135:135,$8:$8,"&gt;="&amp;DATE(YEAR(FH$8),1,1),$8:$8,"&lt;="&amp;EOMONTH(FH$8,0))/SUMIFS(135:135,$8:$8,"&gt;="&amp;DATE(YEAR(FH$8)-1,1,1),$8:$8,"&lt;="&amp;EOMONTH(FH$8,-12))-1</f>
        <v/>
      </c>
      <c r="FI138" s="1318">
        <f>SUMIFS(135:135,$8:$8,"&gt;="&amp;DATE(YEAR(FI$8),1,1),$8:$8,"&lt;="&amp;EOMONTH(FI$8,0))/SUMIFS(135:135,$8:$8,"&gt;="&amp;DATE(YEAR(FI$8)-1,1,1),$8:$8,"&lt;="&amp;EOMONTH(FI$8,-12))-1</f>
        <v/>
      </c>
      <c r="FJ138" s="1318">
        <f>SUMIFS(135:135,$8:$8,"&gt;="&amp;DATE(YEAR(FJ$8),1,1),$8:$8,"&lt;="&amp;EOMONTH(FJ$8,0))/SUMIFS(135:135,$8:$8,"&gt;="&amp;DATE(YEAR(FJ$8)-1,1,1),$8:$8,"&lt;="&amp;EOMONTH(FJ$8,-12))-1</f>
        <v/>
      </c>
      <c r="FK138" s="1318">
        <f>SUMIFS(135:135,$8:$8,"&gt;="&amp;DATE(YEAR(FK$8),1,1),$8:$8,"&lt;="&amp;EOMONTH(FK$8,0))/SUMIFS(135:135,$8:$8,"&gt;="&amp;DATE(YEAR(FK$8)-1,1,1),$8:$8,"&lt;="&amp;EOMONTH(FK$8,-12))-1</f>
        <v/>
      </c>
      <c r="FL138" s="1318">
        <f>SUMIFS(135:135,$8:$8,"&gt;="&amp;DATE(YEAR(FL$8),1,1),$8:$8,"&lt;="&amp;EOMONTH(FL$8,0))/SUMIFS(135:135,$8:$8,"&gt;="&amp;DATE(YEAR(FL$8)-1,1,1),$8:$8,"&lt;="&amp;EOMONTH(FL$8,-12))-1</f>
        <v/>
      </c>
      <c r="FM138" s="1318">
        <f>SUMIFS(135:135,$8:$8,"&gt;="&amp;DATE(YEAR(FM$8),1,1),$8:$8,"&lt;="&amp;EOMONTH(FM$8,0))/SUMIFS(135:135,$8:$8,"&gt;="&amp;DATE(YEAR(FM$8)-1,1,1),$8:$8,"&lt;="&amp;EOMONTH(FM$8,-12))-1</f>
        <v/>
      </c>
      <c r="FN138" s="1318">
        <f>SUMIFS(135:135,$8:$8,"&gt;="&amp;DATE(YEAR(FN$8),1,1),$8:$8,"&lt;="&amp;EOMONTH(FN$8,0))/SUMIFS(135:135,$8:$8,"&gt;="&amp;DATE(YEAR(FN$8)-1,1,1),$8:$8,"&lt;="&amp;EOMONTH(FN$8,-12))-1</f>
        <v/>
      </c>
      <c r="FO138" s="1318">
        <f>SUMIFS(135:135,$8:$8,"&gt;="&amp;DATE(YEAR(FO$8),1,1),$8:$8,"&lt;="&amp;EOMONTH(FO$8,0))/SUMIFS(135:135,$8:$8,"&gt;="&amp;DATE(YEAR(FO$8)-1,1,1),$8:$8,"&lt;="&amp;EOMONTH(FO$8,-12))-1</f>
        <v/>
      </c>
      <c r="FP138" s="1318">
        <f>SUMIFS(135:135,$8:$8,"&gt;="&amp;DATE(YEAR(FP$8),1,1),$8:$8,"&lt;="&amp;EOMONTH(FP$8,0))/SUMIFS(135:135,$8:$8,"&gt;="&amp;DATE(YEAR(FP$8)-1,1,1),$8:$8,"&lt;="&amp;EOMONTH(FP$8,-12))-1</f>
        <v/>
      </c>
      <c r="FQ138" s="1318">
        <f>SUMIFS(135:135,$8:$8,"&gt;="&amp;DATE(YEAR(FQ$8),1,1),$8:$8,"&lt;="&amp;EOMONTH(FQ$8,0))/SUMIFS(135:135,$8:$8,"&gt;="&amp;DATE(YEAR(FQ$8)-1,1,1),$8:$8,"&lt;="&amp;EOMONTH(FQ$8,-12))-1</f>
        <v/>
      </c>
      <c r="FR138" s="1318">
        <f>SUMIFS(135:135,$8:$8,"&gt;="&amp;DATE(YEAR(FR$8),1,1),$8:$8,"&lt;="&amp;EOMONTH(FR$8,0))/SUMIFS(135:135,$8:$8,"&gt;="&amp;DATE(YEAR(FR$8)-1,1,1),$8:$8,"&lt;="&amp;EOMONTH(FR$8,-12))-1</f>
        <v/>
      </c>
      <c r="FS138" s="1318">
        <f>SUMIFS(135:135,$8:$8,"&gt;="&amp;DATE(YEAR(FS$8),1,1),$8:$8,"&lt;="&amp;EOMONTH(FS$8,0))/SUMIFS(135:135,$8:$8,"&gt;="&amp;DATE(YEAR(FS$8)-1,1,1),$8:$8,"&lt;="&amp;EOMONTH(FS$8,-12))-1</f>
        <v/>
      </c>
      <c r="FT138" s="1318">
        <f>SUMIFS(135:135,$8:$8,"&gt;="&amp;DATE(YEAR(FT$8),1,1),$8:$8,"&lt;="&amp;EOMONTH(FT$8,0))/SUMIFS(135:135,$8:$8,"&gt;="&amp;DATE(YEAR(FT$8)-1,1,1),$8:$8,"&lt;="&amp;EOMONTH(FT$8,-12))-1</f>
        <v/>
      </c>
      <c r="FU138" s="1318">
        <f>SUMIFS(135:135,$8:$8,"&gt;="&amp;DATE(YEAR(FU$8),1,1),$8:$8,"&lt;="&amp;EOMONTH(FU$8,0))/SUMIFS(135:135,$8:$8,"&gt;="&amp;DATE(YEAR(FU$8)-1,1,1),$8:$8,"&lt;="&amp;EOMONTH(FU$8,-12))-1</f>
        <v/>
      </c>
      <c r="FV138" s="1318">
        <f>SUMIFS(135:135,$8:$8,"&gt;="&amp;DATE(YEAR(FV$8),1,1),$8:$8,"&lt;="&amp;EOMONTH(FV$8,0))/SUMIFS(135:135,$8:$8,"&gt;="&amp;DATE(YEAR(FV$8)-1,1,1),$8:$8,"&lt;="&amp;EOMONTH(FV$8,-12))-1</f>
        <v/>
      </c>
      <c r="FW138" s="1318">
        <f>SUMIFS(135:135,$8:$8,"&gt;="&amp;DATE(YEAR(FW$8),1,1),$8:$8,"&lt;="&amp;EOMONTH(FW$8,0))/SUMIFS(135:135,$8:$8,"&gt;="&amp;DATE(YEAR(FW$8)-1,1,1),$8:$8,"&lt;="&amp;EOMONTH(FW$8,-12))-1</f>
        <v/>
      </c>
      <c r="FX138" s="1318">
        <f>SUMIFS(135:135,$8:$8,"&gt;="&amp;DATE(YEAR(FX$8),1,1),$8:$8,"&lt;="&amp;EOMONTH(FX$8,0))/SUMIFS(135:135,$8:$8,"&gt;="&amp;DATE(YEAR(FX$8)-1,1,1),$8:$8,"&lt;="&amp;EOMONTH(FX$8,-12))-1</f>
        <v/>
      </c>
      <c r="FY138" s="1318">
        <f>SUMIFS(135:135,$8:$8,"&gt;="&amp;DATE(YEAR(FY$8),1,1),$8:$8,"&lt;="&amp;EOMONTH(FY$8,0))/SUMIFS(135:135,$8:$8,"&gt;="&amp;DATE(YEAR(FY$8)-1,1,1),$8:$8,"&lt;="&amp;EOMONTH(FY$8,-12))-1</f>
        <v/>
      </c>
      <c r="FZ138" s="1318">
        <f>SUMIFS(135:135,$8:$8,"&gt;="&amp;DATE(YEAR(FZ$8),1,1),$8:$8,"&lt;="&amp;EOMONTH(FZ$8,0))/SUMIFS(135:135,$8:$8,"&gt;="&amp;DATE(YEAR(FZ$8)-1,1,1),$8:$8,"&lt;="&amp;EOMONTH(FZ$8,-12))-1</f>
        <v/>
      </c>
      <c r="GA138" s="1318">
        <f>SUMIFS(135:135,$8:$8,"&gt;="&amp;DATE(YEAR(GA$8),1,1),$8:$8,"&lt;="&amp;EOMONTH(GA$8,0))/SUMIFS(135:135,$8:$8,"&gt;="&amp;DATE(YEAR(GA$8)-1,1,1),$8:$8,"&lt;="&amp;EOMONTH(GA$8,-12))-1</f>
        <v/>
      </c>
      <c r="GB138" s="1318">
        <f>SUMIFS(135:135,$8:$8,"&gt;="&amp;DATE(YEAR(GB$8),1,1),$8:$8,"&lt;="&amp;EOMONTH(GB$8,0))/SUMIFS(135:135,$8:$8,"&gt;="&amp;DATE(YEAR(GB$8)-1,1,1),$8:$8,"&lt;="&amp;EOMONTH(GB$8,-12))-1</f>
        <v/>
      </c>
      <c r="GC138" s="1318">
        <f>SUMIFS(135:135,$8:$8,"&gt;="&amp;DATE(YEAR(GC$8),1,1),$8:$8,"&lt;="&amp;EOMONTH(GC$8,0))/SUMIFS(135:135,$8:$8,"&gt;="&amp;DATE(YEAR(GC$8)-1,1,1),$8:$8,"&lt;="&amp;EOMONTH(GC$8,-12))-1</f>
        <v/>
      </c>
      <c r="GD138" s="1318">
        <f>SUMIFS(135:135,$8:$8,"&gt;="&amp;DATE(YEAR(GD$8),1,1),$8:$8,"&lt;="&amp;EOMONTH(GD$8,0))/SUMIFS(135:135,$8:$8,"&gt;="&amp;DATE(YEAR(GD$8)-1,1,1),$8:$8,"&lt;="&amp;EOMONTH(GD$8,-12))-1</f>
        <v/>
      </c>
      <c r="GE138" s="1318">
        <f>SUMIFS(135:135,$8:$8,"&gt;="&amp;DATE(YEAR(GE$8),1,1),$8:$8,"&lt;="&amp;EOMONTH(GE$8,0))/SUMIFS(135:135,$8:$8,"&gt;="&amp;DATE(YEAR(GE$8)-1,1,1),$8:$8,"&lt;="&amp;EOMONTH(GE$8,-12))-1</f>
        <v/>
      </c>
      <c r="GF138" s="1318">
        <f>SUMIFS(135:135,$8:$8,"&gt;="&amp;DATE(YEAR(GF$8),1,1),$8:$8,"&lt;="&amp;EOMONTH(GF$8,0))/SUMIFS(135:135,$8:$8,"&gt;="&amp;DATE(YEAR(GF$8)-1,1,1),$8:$8,"&lt;="&amp;EOMONTH(GF$8,-12))-1</f>
        <v/>
      </c>
      <c r="GG138" s="1318">
        <f>SUMIFS(135:135,$8:$8,"&gt;="&amp;DATE(YEAR(GG$8),1,1),$8:$8,"&lt;="&amp;EOMONTH(GG$8,0))/SUMIFS(135:135,$8:$8,"&gt;="&amp;DATE(YEAR(GG$8)-1,1,1),$8:$8,"&lt;="&amp;EOMONTH(GG$8,-12))-1</f>
        <v/>
      </c>
      <c r="GH138" s="1318">
        <f>SUMIFS(135:135,$8:$8,"&gt;="&amp;DATE(YEAR(GH$8),1,1),$8:$8,"&lt;="&amp;EOMONTH(GH$8,0))/SUMIFS(135:135,$8:$8,"&gt;="&amp;DATE(YEAR(GH$8)-1,1,1),$8:$8,"&lt;="&amp;EOMONTH(GH$8,-12))-1</f>
        <v/>
      </c>
      <c r="GI138" s="1318">
        <f>SUMIFS(135:135,$8:$8,"&gt;="&amp;DATE(YEAR(GI$8),1,1),$8:$8,"&lt;="&amp;EOMONTH(GI$8,0))/SUMIFS(135:135,$8:$8,"&gt;="&amp;DATE(YEAR(GI$8)-1,1,1),$8:$8,"&lt;="&amp;EOMONTH(GI$8,-12))-1</f>
        <v/>
      </c>
      <c r="GJ138" s="1318">
        <f>SUMIFS(135:135,$8:$8,"&gt;="&amp;DATE(YEAR(GJ$8),1,1),$8:$8,"&lt;="&amp;EOMONTH(GJ$8,0))/SUMIFS(135:135,$8:$8,"&gt;="&amp;DATE(YEAR(GJ$8)-1,1,1),$8:$8,"&lt;="&amp;EOMONTH(GJ$8,-12))-1</f>
        <v/>
      </c>
      <c r="GK138" s="1318">
        <f>SUMIFS(135:135,$8:$8,"&gt;="&amp;DATE(YEAR(GK$8),1,1),$8:$8,"&lt;="&amp;EOMONTH(GK$8,0))/SUMIFS(135:135,$8:$8,"&gt;="&amp;DATE(YEAR(GK$8)-1,1,1),$8:$8,"&lt;="&amp;EOMONTH(GK$8,-12))-1</f>
        <v/>
      </c>
      <c r="GL138" s="1318">
        <f>SUMIFS(135:135,$8:$8,"&gt;="&amp;DATE(YEAR(GL$8),1,1),$8:$8,"&lt;="&amp;EOMONTH(GL$8,0))/SUMIFS(135:135,$8:$8,"&gt;="&amp;DATE(YEAR(GL$8)-1,1,1),$8:$8,"&lt;="&amp;EOMONTH(GL$8,-12))-1</f>
        <v/>
      </c>
      <c r="GM138" s="1318">
        <f>SUMIFS(135:135,$8:$8,"&gt;="&amp;DATE(YEAR(GM$8),1,1),$8:$8,"&lt;="&amp;EOMONTH(GM$8,0))/SUMIFS(135:135,$8:$8,"&gt;="&amp;DATE(YEAR(GM$8)-1,1,1),$8:$8,"&lt;="&amp;EOMONTH(GM$8,-12))-1</f>
        <v/>
      </c>
      <c r="GN138" s="1318">
        <f>SUMIFS(135:135,$8:$8,"&gt;="&amp;DATE(YEAR(GN$8),1,1),$8:$8,"&lt;="&amp;EOMONTH(GN$8,0))/SUMIFS(135:135,$8:$8,"&gt;="&amp;DATE(YEAR(GN$8)-1,1,1),$8:$8,"&lt;="&amp;EOMONTH(GN$8,-12))-1</f>
        <v/>
      </c>
      <c r="GO138" s="1318">
        <f>SUMIFS(135:135,$8:$8,"&gt;="&amp;DATE(YEAR(GO$8),1,1),$8:$8,"&lt;="&amp;EOMONTH(GO$8,0))/SUMIFS(135:135,$8:$8,"&gt;="&amp;DATE(YEAR(GO$8)-1,1,1),$8:$8,"&lt;="&amp;EOMONTH(GO$8,-12))-1</f>
        <v/>
      </c>
      <c r="GP138" s="1318">
        <f>SUMIFS(135:135,$8:$8,"&gt;="&amp;DATE(YEAR(GP$8),1,1),$8:$8,"&lt;="&amp;EOMONTH(GP$8,0))/SUMIFS(135:135,$8:$8,"&gt;="&amp;DATE(YEAR(GP$8)-1,1,1),$8:$8,"&lt;="&amp;EOMONTH(GP$8,-12))-1</f>
        <v/>
      </c>
      <c r="GQ138" s="1318">
        <f>SUMIFS(135:135,$8:$8,"&gt;="&amp;DATE(YEAR(GQ$8),1,1),$8:$8,"&lt;="&amp;EOMONTH(GQ$8,0))/SUMIFS(135:135,$8:$8,"&gt;="&amp;DATE(YEAR(GQ$8)-1,1,1),$8:$8,"&lt;="&amp;EOMONTH(GQ$8,-12))-1</f>
        <v/>
      </c>
      <c r="GR138" s="1318">
        <f>SUMIFS(135:135,$8:$8,"&gt;="&amp;DATE(YEAR(GR$8),1,1),$8:$8,"&lt;="&amp;EOMONTH(GR$8,0))/SUMIFS(135:135,$8:$8,"&gt;="&amp;DATE(YEAR(GR$8)-1,1,1),$8:$8,"&lt;="&amp;EOMONTH(GR$8,-12))-1</f>
        <v/>
      </c>
      <c r="GS138" s="1318">
        <f>SUMIFS(135:135,$8:$8,"&gt;="&amp;DATE(YEAR(GS$8),1,1),$8:$8,"&lt;="&amp;EOMONTH(GS$8,0))/SUMIFS(135:135,$8:$8,"&gt;="&amp;DATE(YEAR(GS$8)-1,1,1),$8:$8,"&lt;="&amp;EOMONTH(GS$8,-12))-1</f>
        <v/>
      </c>
      <c r="GT138" s="1318">
        <f>SUMIFS(135:135,$8:$8,"&gt;="&amp;DATE(YEAR(GT$8),1,1),$8:$8,"&lt;="&amp;EOMONTH(GT$8,0))/SUMIFS(135:135,$8:$8,"&gt;="&amp;DATE(YEAR(GT$8)-1,1,1),$8:$8,"&lt;="&amp;EOMONTH(GT$8,-12))-1</f>
        <v/>
      </c>
      <c r="GU138" s="1318">
        <f>SUMIFS(135:135,$8:$8,"&gt;="&amp;DATE(YEAR(GU$8),1,1),$8:$8,"&lt;="&amp;EOMONTH(GU$8,0))/SUMIFS(135:135,$8:$8,"&gt;="&amp;DATE(YEAR(GU$8)-1,1,1),$8:$8,"&lt;="&amp;EOMONTH(GU$8,-12))-1</f>
        <v/>
      </c>
      <c r="GV138" s="1318">
        <f>SUMIFS(135:135,$8:$8,"&gt;="&amp;DATE(YEAR(GV$8),1,1),$8:$8,"&lt;="&amp;EOMONTH(GV$8,0))/SUMIFS(135:135,$8:$8,"&gt;="&amp;DATE(YEAR(GV$8)-1,1,1),$8:$8,"&lt;="&amp;EOMONTH(GV$8,-12))-1</f>
        <v/>
      </c>
      <c r="GW138" s="1318">
        <f>SUMIFS(135:135,$8:$8,"&gt;="&amp;DATE(YEAR(GW$8),1,1),$8:$8,"&lt;="&amp;EOMONTH(GW$8,0))/SUMIFS(135:135,$8:$8,"&gt;="&amp;DATE(YEAR(GW$8)-1,1,1),$8:$8,"&lt;="&amp;EOMONTH(GW$8,-12))-1</f>
        <v/>
      </c>
      <c r="GX138" s="1318">
        <f>SUMIFS(135:135,$8:$8,"&gt;="&amp;DATE(YEAR(GX$8),1,1),$8:$8,"&lt;="&amp;EOMONTH(GX$8,0))/SUMIFS(135:135,$8:$8,"&gt;="&amp;DATE(YEAR(GX$8)-1,1,1),$8:$8,"&lt;="&amp;EOMONTH(GX$8,-12))-1</f>
        <v/>
      </c>
      <c r="GY138" s="1318">
        <f>SUMIFS(135:135,$8:$8,"&gt;="&amp;DATE(YEAR(GY$8),1,1),$8:$8,"&lt;="&amp;EOMONTH(GY$8,0))/SUMIFS(135:135,$8:$8,"&gt;="&amp;DATE(YEAR(GY$8)-1,1,1),$8:$8,"&lt;="&amp;EOMONTH(GY$8,-12))-1</f>
        <v/>
      </c>
      <c r="GZ138" s="1318">
        <f>SUMIFS(135:135,$8:$8,"&gt;="&amp;DATE(YEAR(GZ$8),1,1),$8:$8,"&lt;="&amp;EOMONTH(GZ$8,0))/SUMIFS(135:135,$8:$8,"&gt;="&amp;DATE(YEAR(GZ$8)-1,1,1),$8:$8,"&lt;="&amp;EOMONTH(GZ$8,-12))-1</f>
        <v/>
      </c>
      <c r="HA138" s="1318">
        <f>SUMIFS(135:135,$8:$8,"&gt;="&amp;DATE(YEAR(HA$8),1,1),$8:$8,"&lt;="&amp;EOMONTH(HA$8,0))/SUMIFS(135:135,$8:$8,"&gt;="&amp;DATE(YEAR(HA$8)-1,1,1),$8:$8,"&lt;="&amp;EOMONTH(HA$8,-12))-1</f>
        <v/>
      </c>
      <c r="HB138" s="1318">
        <f>SUMIFS(135:135,$8:$8,"&gt;="&amp;DATE(YEAR(HB$8),1,1),$8:$8,"&lt;="&amp;EOMONTH(HB$8,0))/SUMIFS(135:135,$8:$8,"&gt;="&amp;DATE(YEAR(HB$8)-1,1,1),$8:$8,"&lt;="&amp;EOMONTH(HB$8,-12))-1</f>
        <v/>
      </c>
      <c r="HC138" s="1318">
        <f>SUMIFS(135:135,$8:$8,"&gt;="&amp;DATE(YEAR(HC$8),1,1),$8:$8,"&lt;="&amp;EOMONTH(HC$8,0))/SUMIFS(135:135,$8:$8,"&gt;="&amp;DATE(YEAR(HC$8)-1,1,1),$8:$8,"&lt;="&amp;EOMONTH(HC$8,-12))-1</f>
        <v/>
      </c>
      <c r="HD138" s="1318">
        <f>SUMIFS(135:135,$8:$8,"&gt;="&amp;DATE(YEAR(HD$8),1,1),$8:$8,"&lt;="&amp;EOMONTH(HD$8,0))/SUMIFS(135:135,$8:$8,"&gt;="&amp;DATE(YEAR(HD$8)-1,1,1),$8:$8,"&lt;="&amp;EOMONTH(HD$8,-12))-1</f>
        <v/>
      </c>
      <c r="HE138" s="1318">
        <f>SUMIFS(135:135,$8:$8,"&gt;="&amp;DATE(YEAR(HE$8),1,1),$8:$8,"&lt;="&amp;EOMONTH(HE$8,0))/SUMIFS(135:135,$8:$8,"&gt;="&amp;DATE(YEAR(HE$8)-1,1,1),$8:$8,"&lt;="&amp;EOMONTH(HE$8,-12))-1</f>
        <v/>
      </c>
      <c r="HF138" s="1318">
        <f>SUMIFS(135:135,$8:$8,"&gt;="&amp;DATE(YEAR(HF$8),1,1),$8:$8,"&lt;="&amp;EOMONTH(HF$8,0))/SUMIFS(135:135,$8:$8,"&gt;="&amp;DATE(YEAR(HF$8)-1,1,1),$8:$8,"&lt;="&amp;EOMONTH(HF$8,-12))-1</f>
        <v/>
      </c>
      <c r="HG138" s="1318">
        <f>SUMIFS(135:135,$8:$8,"&gt;="&amp;DATE(YEAR(HG$8),1,1),$8:$8,"&lt;="&amp;EOMONTH(HG$8,0))/SUMIFS(135:135,$8:$8,"&gt;="&amp;DATE(YEAR(HG$8)-1,1,1),$8:$8,"&lt;="&amp;EOMONTH(HG$8,-12))-1</f>
        <v/>
      </c>
      <c r="HH138" s="1318">
        <f>SUMIFS(135:135,$8:$8,"&gt;="&amp;DATE(YEAR(HH$8),1,1),$8:$8,"&lt;="&amp;EOMONTH(HH$8,0))/SUMIFS(135:135,$8:$8,"&gt;="&amp;DATE(YEAR(HH$8)-1,1,1),$8:$8,"&lt;="&amp;EOMONTH(HH$8,-12))-1</f>
        <v/>
      </c>
      <c r="HI138" s="1318">
        <f>SUMIFS(135:135,$8:$8,"&gt;="&amp;DATE(YEAR(HI$8),1,1),$8:$8,"&lt;="&amp;EOMONTH(HI$8,0))/SUMIFS(135:135,$8:$8,"&gt;="&amp;DATE(YEAR(HI$8)-1,1,1),$8:$8,"&lt;="&amp;EOMONTH(HI$8,-12))-1</f>
        <v/>
      </c>
      <c r="HJ138" s="1318">
        <f>SUMIFS(135:135,$8:$8,"&gt;="&amp;DATE(YEAR(HJ$8),1,1),$8:$8,"&lt;="&amp;EOMONTH(HJ$8,0))/SUMIFS(135:135,$8:$8,"&gt;="&amp;DATE(YEAR(HJ$8)-1,1,1),$8:$8,"&lt;="&amp;EOMONTH(HJ$8,-12))-1</f>
        <v/>
      </c>
      <c r="HK138" s="1318">
        <f>SUMIFS(135:135,$8:$8,"&gt;="&amp;DATE(YEAR(HK$8),1,1),$8:$8,"&lt;="&amp;EOMONTH(HK$8,0))/SUMIFS(135:135,$8:$8,"&gt;="&amp;DATE(YEAR(HK$8)-1,1,1),$8:$8,"&lt;="&amp;EOMONTH(HK$8,-12))-1</f>
        <v/>
      </c>
      <c r="HL138" s="1318">
        <f>SUMIFS(135:135,$8:$8,"&gt;="&amp;DATE(YEAR(HL$8),1,1),$8:$8,"&lt;="&amp;EOMONTH(HL$8,0))/SUMIFS(135:135,$8:$8,"&gt;="&amp;DATE(YEAR(HL$8)-1,1,1),$8:$8,"&lt;="&amp;EOMONTH(HL$8,-12))-1</f>
        <v/>
      </c>
      <c r="HM138" s="1318">
        <f>SUMIFS(135:135,$8:$8,"&gt;="&amp;DATE(YEAR(HM$8),1,1),$8:$8,"&lt;="&amp;EOMONTH(HM$8,0))/SUMIFS(135:135,$8:$8,"&gt;="&amp;DATE(YEAR(HM$8)-1,1,1),$8:$8,"&lt;="&amp;EOMONTH(HM$8,-12))-1</f>
        <v/>
      </c>
      <c r="HN138" s="1318">
        <f>SUMIFS(135:135,$8:$8,"&gt;="&amp;DATE(YEAR(HN$8),1,1),$8:$8,"&lt;="&amp;EOMONTH(HN$8,0))/SUMIFS(135:135,$8:$8,"&gt;="&amp;DATE(YEAR(HN$8)-1,1,1),$8:$8,"&lt;="&amp;EOMONTH(HN$8,-12))-1</f>
        <v/>
      </c>
      <c r="HO138" s="1318">
        <f>SUMIFS(135:135,$8:$8,"&gt;="&amp;DATE(YEAR(HO$8),1,1),$8:$8,"&lt;="&amp;EOMONTH(HO$8,0))/SUMIFS(135:135,$8:$8,"&gt;="&amp;DATE(YEAR(HO$8)-1,1,1),$8:$8,"&lt;="&amp;EOMONTH(HO$8,-12))-1</f>
        <v/>
      </c>
      <c r="HP138" s="1318">
        <f>SUMIFS(135:135,$8:$8,"&gt;="&amp;DATE(YEAR(HP$8),1,1),$8:$8,"&lt;="&amp;EOMONTH(HP$8,0))/SUMIFS(135:135,$8:$8,"&gt;="&amp;DATE(YEAR(HP$8)-1,1,1),$8:$8,"&lt;="&amp;EOMONTH(HP$8,-12))-1</f>
        <v/>
      </c>
      <c r="HQ138" s="1318">
        <f>SUMIFS(135:135,$8:$8,"&gt;="&amp;DATE(YEAR(HQ$8),1,1),$8:$8,"&lt;="&amp;EOMONTH(HQ$8,0))/SUMIFS(135:135,$8:$8,"&gt;="&amp;DATE(YEAR(HQ$8)-1,1,1),$8:$8,"&lt;="&amp;EOMONTH(HQ$8,-12))-1</f>
        <v/>
      </c>
      <c r="HR138" s="1318">
        <f>SUMIFS(135:135,$8:$8,"&gt;="&amp;DATE(YEAR(HR$8),1,1),$8:$8,"&lt;="&amp;EOMONTH(HR$8,0))/SUMIFS(135:135,$8:$8,"&gt;="&amp;DATE(YEAR(HR$8)-1,1,1),$8:$8,"&lt;="&amp;EOMONTH(HR$8,-12))-1</f>
        <v/>
      </c>
      <c r="HS138" s="1318">
        <f>SUMIFS(135:135,$8:$8,"&gt;="&amp;DATE(YEAR(HS$8),1,1),$8:$8,"&lt;="&amp;EOMONTH(HS$8,0))/SUMIFS(135:135,$8:$8,"&gt;="&amp;DATE(YEAR(HS$8)-1,1,1),$8:$8,"&lt;="&amp;EOMONTH(HS$8,-12))-1</f>
        <v/>
      </c>
      <c r="HT138" s="1318">
        <f>SUMIFS(135:135,$8:$8,"&gt;="&amp;DATE(YEAR(HT$8),1,1),$8:$8,"&lt;="&amp;EOMONTH(HT$8,0))/SUMIFS(135:135,$8:$8,"&gt;="&amp;DATE(YEAR(HT$8)-1,1,1),$8:$8,"&lt;="&amp;EOMONTH(HT$8,-12))-1</f>
        <v/>
      </c>
      <c r="HU138" s="1318">
        <f>SUMIFS(135:135,$8:$8,"&gt;="&amp;DATE(YEAR(HU$8),1,1),$8:$8,"&lt;="&amp;EOMONTH(HU$8,0))/SUMIFS(135:135,$8:$8,"&gt;="&amp;DATE(YEAR(HU$8)-1,1,1),$8:$8,"&lt;="&amp;EOMONTH(HU$8,-12))-1</f>
        <v/>
      </c>
      <c r="HV138" s="1318">
        <f>SUMIFS(135:135,$8:$8,"&gt;="&amp;DATE(YEAR(HV$8),1,1),$8:$8,"&lt;="&amp;EOMONTH(HV$8,0))/SUMIFS(135:135,$8:$8,"&gt;="&amp;DATE(YEAR(HV$8)-1,1,1),$8:$8,"&lt;="&amp;EOMONTH(HV$8,-12))-1</f>
        <v/>
      </c>
      <c r="HW138" s="1318">
        <f>SUMIFS(135:135,$8:$8,"&gt;="&amp;DATE(YEAR(HW$8),1,1),$8:$8,"&lt;="&amp;EOMONTH(HW$8,0))/SUMIFS(135:135,$8:$8,"&gt;="&amp;DATE(YEAR(HW$8)-1,1,1),$8:$8,"&lt;="&amp;EOMONTH(HW$8,-12))-1</f>
        <v/>
      </c>
      <c r="HX138" s="1318">
        <f>SUMIFS(135:135,$8:$8,"&gt;="&amp;DATE(YEAR(HX$8),1,1),$8:$8,"&lt;="&amp;EOMONTH(HX$8,0))/SUMIFS(135:135,$8:$8,"&gt;="&amp;DATE(YEAR(HX$8)-1,1,1),$8:$8,"&lt;="&amp;EOMONTH(HX$8,-12))-1</f>
        <v/>
      </c>
      <c r="HY138" s="1318">
        <f>SUMIFS(135:135,$8:$8,"&gt;="&amp;DATE(YEAR(HY$8),1,1),$8:$8,"&lt;="&amp;EOMONTH(HY$8,0))/SUMIFS(135:135,$8:$8,"&gt;="&amp;DATE(YEAR(HY$8)-1,1,1),$8:$8,"&lt;="&amp;EOMONTH(HY$8,-12))-1</f>
        <v/>
      </c>
      <c r="HZ138" s="1318">
        <f>SUMIFS(135:135,$8:$8,"&gt;="&amp;DATE(YEAR(HZ$8),1,1),$8:$8,"&lt;="&amp;EOMONTH(HZ$8,0))/SUMIFS(135:135,$8:$8,"&gt;="&amp;DATE(YEAR(HZ$8)-1,1,1),$8:$8,"&lt;="&amp;EOMONTH(HZ$8,-12))-1</f>
        <v/>
      </c>
      <c r="IA138" s="1318">
        <f>SUMIFS(135:135,$8:$8,"&gt;="&amp;DATE(YEAR(IA$8),1,1),$8:$8,"&lt;="&amp;EOMONTH(IA$8,0))/SUMIFS(135:135,$8:$8,"&gt;="&amp;DATE(YEAR(IA$8)-1,1,1),$8:$8,"&lt;="&amp;EOMONTH(IA$8,-12))-1</f>
        <v/>
      </c>
      <c r="IB138" s="1318">
        <f>SUMIFS(135:135,$8:$8,"&gt;="&amp;DATE(YEAR(IB$8),1,1),$8:$8,"&lt;="&amp;EOMONTH(IB$8,0))/SUMIFS(135:135,$8:$8,"&gt;="&amp;DATE(YEAR(IB$8)-1,1,1),$8:$8,"&lt;="&amp;EOMONTH(IB$8,-12))-1</f>
        <v/>
      </c>
      <c r="IC138" s="1318">
        <f>SUMIFS(135:135,$8:$8,"&gt;="&amp;DATE(YEAR(IC$8),1,1),$8:$8,"&lt;="&amp;EOMONTH(IC$8,0))/SUMIFS(135:135,$8:$8,"&gt;="&amp;DATE(YEAR(IC$8)-1,1,1),$8:$8,"&lt;="&amp;EOMONTH(IC$8,-12))-1</f>
        <v/>
      </c>
      <c r="ID138" s="1318">
        <f>SUMIFS(135:135,$8:$8,"&gt;="&amp;DATE(YEAR(ID$8),1,1),$8:$8,"&lt;="&amp;EOMONTH(ID$8,0))/SUMIFS(135:135,$8:$8,"&gt;="&amp;DATE(YEAR(ID$8)-1,1,1),$8:$8,"&lt;="&amp;EOMONTH(ID$8,-12))-1</f>
        <v/>
      </c>
      <c r="IE138" s="1318">
        <f>SUMIFS(135:135,$8:$8,"&gt;="&amp;DATE(YEAR(IE$8),1,1),$8:$8,"&lt;="&amp;EOMONTH(IE$8,0))/SUMIFS(135:135,$8:$8,"&gt;="&amp;DATE(YEAR(IE$8)-1,1,1),$8:$8,"&lt;="&amp;EOMONTH(IE$8,-12))-1</f>
        <v/>
      </c>
      <c r="IF138" s="1318">
        <f>SUMIFS(135:135,$8:$8,"&gt;="&amp;DATE(YEAR(IF$8),1,1),$8:$8,"&lt;="&amp;EOMONTH(IF$8,0))/SUMIFS(135:135,$8:$8,"&gt;="&amp;DATE(YEAR(IF$8)-1,1,1),$8:$8,"&lt;="&amp;EOMONTH(IF$8,-12))-1</f>
        <v/>
      </c>
      <c r="IG138" s="1318">
        <f>SUMIFS(135:135,$8:$8,"&gt;="&amp;DATE(YEAR(IG$8),1,1),$8:$8,"&lt;="&amp;EOMONTH(IG$8,0))/SUMIFS(135:135,$8:$8,"&gt;="&amp;DATE(YEAR(IG$8)-1,1,1),$8:$8,"&lt;="&amp;EOMONTH(IG$8,-12))-1</f>
        <v/>
      </c>
      <c r="IH138" s="1318">
        <f>SUMIFS(135:135,$8:$8,"&gt;="&amp;DATE(YEAR(IH$8),1,1),$8:$8,"&lt;="&amp;EOMONTH(IH$8,0))/SUMIFS(135:135,$8:$8,"&gt;="&amp;DATE(YEAR(IH$8)-1,1,1),$8:$8,"&lt;="&amp;EOMONTH(IH$8,-12))-1</f>
        <v/>
      </c>
      <c r="II138" s="1318">
        <f>SUMIFS(135:135,$8:$8,"&gt;="&amp;DATE(YEAR(II$8),1,1),$8:$8,"&lt;="&amp;EOMONTH(II$8,0))/SUMIFS(135:135,$8:$8,"&gt;="&amp;DATE(YEAR(II$8)-1,1,1),$8:$8,"&lt;="&amp;EOMONTH(II$8,-12))-1</f>
        <v/>
      </c>
      <c r="IJ138" s="1318">
        <f>SUMIFS(135:135,$8:$8,"&gt;="&amp;DATE(YEAR(IJ$8),1,1),$8:$8,"&lt;="&amp;EOMONTH(IJ$8,0))/SUMIFS(135:135,$8:$8,"&gt;="&amp;DATE(YEAR(IJ$8)-1,1,1),$8:$8,"&lt;="&amp;EOMONTH(IJ$8,-12))-1</f>
        <v/>
      </c>
      <c r="IK138" s="1318">
        <f>SUMIFS(135:135,$8:$8,"&gt;="&amp;DATE(YEAR(IK$8),1,1),$8:$8,"&lt;="&amp;EOMONTH(IK$8,0))/SUMIFS(135:135,$8:$8,"&gt;="&amp;DATE(YEAR(IK$8)-1,1,1),$8:$8,"&lt;="&amp;EOMONTH(IK$8,-12))-1</f>
        <v/>
      </c>
      <c r="IL138" s="1318">
        <f>SUMIFS(135:135,$8:$8,"&gt;="&amp;DATE(YEAR(IL$8),1,1),$8:$8,"&lt;="&amp;EOMONTH(IL$8,0))/SUMIFS(135:135,$8:$8,"&gt;="&amp;DATE(YEAR(IL$8)-1,1,1),$8:$8,"&lt;="&amp;EOMONTH(IL$8,-12))-1</f>
        <v/>
      </c>
      <c r="IM138" s="1318">
        <f>SUMIFS(135:135,$8:$8,"&gt;="&amp;DATE(YEAR(IM$8),1,1),$8:$8,"&lt;="&amp;EOMONTH(IM$8,0))/SUMIFS(135:135,$8:$8,"&gt;="&amp;DATE(YEAR(IM$8)-1,1,1),$8:$8,"&lt;="&amp;EOMONTH(IM$8,-12))-1</f>
        <v/>
      </c>
      <c r="IN138" s="1318">
        <f>SUMIFS(135:135,$8:$8,"&gt;="&amp;DATE(YEAR(IN$8),1,1),$8:$8,"&lt;="&amp;EOMONTH(IN$8,0))/SUMIFS(135:135,$8:$8,"&gt;="&amp;DATE(YEAR(IN$8)-1,1,1),$8:$8,"&lt;="&amp;EOMONTH(IN$8,-12))-1</f>
        <v/>
      </c>
      <c r="IO138" s="1318">
        <f>SUMIFS(135:135,$8:$8,"&gt;="&amp;DATE(YEAR(IO$8),1,1),$8:$8,"&lt;="&amp;EOMONTH(IO$8,0))/SUMIFS(135:135,$8:$8,"&gt;="&amp;DATE(YEAR(IO$8)-1,1,1),$8:$8,"&lt;="&amp;EOMONTH(IO$8,-12))-1</f>
        <v/>
      </c>
      <c r="IP138" s="1318">
        <f>SUMIFS(135:135,$8:$8,"&gt;="&amp;DATE(YEAR(IP$8),1,1),$8:$8,"&lt;="&amp;EOMONTH(IP$8,0))/SUMIFS(135:135,$8:$8,"&gt;="&amp;DATE(YEAR(IP$8)-1,1,1),$8:$8,"&lt;="&amp;EOMONTH(IP$8,-12))-1</f>
        <v/>
      </c>
      <c r="IQ138" s="1318">
        <f>SUMIFS(135:135,$8:$8,"&gt;="&amp;DATE(YEAR(IQ$8),1,1),$8:$8,"&lt;="&amp;EOMONTH(IQ$8,0))/SUMIFS(135:135,$8:$8,"&gt;="&amp;DATE(YEAR(IQ$8)-1,1,1),$8:$8,"&lt;="&amp;EOMONTH(IQ$8,-12))-1</f>
        <v/>
      </c>
      <c r="IR138" s="1318">
        <f>SUMIFS(135:135,$8:$8,"&gt;="&amp;DATE(YEAR(IR$8),1,1),$8:$8,"&lt;="&amp;EOMONTH(IR$8,0))/SUMIFS(135:135,$8:$8,"&gt;="&amp;DATE(YEAR(IR$8)-1,1,1),$8:$8,"&lt;="&amp;EOMONTH(IR$8,-12))-1</f>
        <v/>
      </c>
      <c r="IS138" s="1318">
        <f>SUMIFS(135:135,$8:$8,"&gt;="&amp;DATE(YEAR(IS$8),1,1),$8:$8,"&lt;="&amp;EOMONTH(IS$8,0))/SUMIFS(135:135,$8:$8,"&gt;="&amp;DATE(YEAR(IS$8)-1,1,1),$8:$8,"&lt;="&amp;EOMONTH(IS$8,-12))-1</f>
        <v/>
      </c>
      <c r="IT138" s="1318">
        <f>SUMIFS(135:135,$8:$8,"&gt;="&amp;DATE(YEAR(IT$8),1,1),$8:$8,"&lt;="&amp;EOMONTH(IT$8,0))/SUMIFS(135:135,$8:$8,"&gt;="&amp;DATE(YEAR(IT$8)-1,1,1),$8:$8,"&lt;="&amp;EOMONTH(IT$8,-12))-1</f>
        <v/>
      </c>
      <c r="IU138" s="1318">
        <f>SUMIFS(135:135,$8:$8,"&gt;="&amp;DATE(YEAR(IU$8),1,1),$8:$8,"&lt;="&amp;EOMONTH(IU$8,0))/SUMIFS(135:135,$8:$8,"&gt;="&amp;DATE(YEAR(IU$8)-1,1,1),$8:$8,"&lt;="&amp;EOMONTH(IU$8,-12))-1</f>
        <v/>
      </c>
      <c r="IV138" s="1318">
        <f>SUMIFS(135:135,$8:$8,"&gt;="&amp;DATE(YEAR(IV$8),1,1),$8:$8,"&lt;="&amp;EOMONTH(IV$8,0))/SUMIFS(135:135,$8:$8,"&gt;="&amp;DATE(YEAR(IV$8)-1,1,1),$8:$8,"&lt;="&amp;EOMONTH(IV$8,-12))-1</f>
        <v/>
      </c>
      <c r="IW138" s="1318">
        <f>SUMIFS(135:135,$8:$8,"&gt;="&amp;DATE(YEAR(IW$8),1,1),$8:$8,"&lt;="&amp;EOMONTH(IW$8,0))/SUMIFS(135:135,$8:$8,"&gt;="&amp;DATE(YEAR(IW$8)-1,1,1),$8:$8,"&lt;="&amp;EOMONTH(IW$8,-12))-1</f>
        <v/>
      </c>
      <c r="IX138" s="1318">
        <f>SUMIFS(135:135,$8:$8,"&gt;="&amp;DATE(YEAR(IX$8),1,1),$8:$8,"&lt;="&amp;EOMONTH(IX$8,0))/SUMIFS(135:135,$8:$8,"&gt;="&amp;DATE(YEAR(IX$8)-1,1,1),$8:$8,"&lt;="&amp;EOMONTH(IX$8,-12))-1</f>
        <v/>
      </c>
      <c r="IY138" s="1318">
        <f>SUMIFS(135:135,$8:$8,"&gt;="&amp;DATE(YEAR(IY$8),1,1),$8:$8,"&lt;="&amp;EOMONTH(IY$8,0))/SUMIFS(135:135,$8:$8,"&gt;="&amp;DATE(YEAR(IY$8)-1,1,1),$8:$8,"&lt;="&amp;EOMONTH(IY$8,-12))-1</f>
        <v/>
      </c>
      <c r="IZ138" s="1318">
        <f>SUMIFS(135:135,$8:$8,"&gt;="&amp;DATE(YEAR(IZ$8),1,1),$8:$8,"&lt;="&amp;EOMONTH(IZ$8,0))/SUMIFS(135:135,$8:$8,"&gt;="&amp;DATE(YEAR(IZ$8)-1,1,1),$8:$8,"&lt;="&amp;EOMONTH(IZ$8,-12))-1</f>
        <v/>
      </c>
      <c r="JA138" s="1318">
        <f>SUMIFS(135:135,$8:$8,"&gt;="&amp;DATE(YEAR(JA$8),1,1),$8:$8,"&lt;="&amp;EOMONTH(JA$8,0))/SUMIFS(135:135,$8:$8,"&gt;="&amp;DATE(YEAR(JA$8)-1,1,1),$8:$8,"&lt;="&amp;EOMONTH(JA$8,-12))-1</f>
        <v/>
      </c>
      <c r="JB138" s="1318">
        <f>SUMIFS(135:135,$8:$8,"&gt;="&amp;DATE(YEAR(JB$8),1,1),$8:$8,"&lt;="&amp;EOMONTH(JB$8,0))/SUMIFS(135:135,$8:$8,"&gt;="&amp;DATE(YEAR(JB$8)-1,1,1),$8:$8,"&lt;="&amp;EOMONTH(JB$8,-12))-1</f>
        <v/>
      </c>
      <c r="JC138" s="1318">
        <f>SUMIFS(135:135,$8:$8,"&gt;="&amp;DATE(YEAR(JC$8),1,1),$8:$8,"&lt;="&amp;EOMONTH(JC$8,0))/SUMIFS(135:135,$8:$8,"&gt;="&amp;DATE(YEAR(JC$8)-1,1,1),$8:$8,"&lt;="&amp;EOMONTH(JC$8,-12))-1</f>
        <v/>
      </c>
      <c r="JD138" s="1318">
        <f>SUMIFS(135:135,$8:$8,"&gt;="&amp;DATE(YEAR(JD$8),1,1),$8:$8,"&lt;="&amp;EOMONTH(JD$8,0))/SUMIFS(135:135,$8:$8,"&gt;="&amp;DATE(YEAR(JD$8)-1,1,1),$8:$8,"&lt;="&amp;EOMONTH(JD$8,-12))-1</f>
        <v/>
      </c>
      <c r="JE138" s="1318">
        <f>SUMIFS(135:135,$8:$8,"&gt;="&amp;DATE(YEAR(JE$8),1,1),$8:$8,"&lt;="&amp;EOMONTH(JE$8,0))/SUMIFS(135:135,$8:$8,"&gt;="&amp;DATE(YEAR(JE$8)-1,1,1),$8:$8,"&lt;="&amp;EOMONTH(JE$8,-12))-1</f>
        <v/>
      </c>
      <c r="JF138" s="1318">
        <f>SUMIFS(135:135,$8:$8,"&gt;="&amp;DATE(YEAR(JF$8),1,1),$8:$8,"&lt;="&amp;EOMONTH(JF$8,0))/SUMIFS(135:135,$8:$8,"&gt;="&amp;DATE(YEAR(JF$8)-1,1,1),$8:$8,"&lt;="&amp;EOMONTH(JF$8,-12))-1</f>
        <v/>
      </c>
      <c r="JG138" s="1318">
        <f>SUMIFS(135:135,$8:$8,"&gt;="&amp;DATE(YEAR(JG$8),1,1),$8:$8,"&lt;="&amp;EOMONTH(JG$8,0))/SUMIFS(135:135,$8:$8,"&gt;="&amp;DATE(YEAR(JG$8)-1,1,1),$8:$8,"&lt;="&amp;EOMONTH(JG$8,-12))-1</f>
        <v/>
      </c>
      <c r="JH138" s="1318">
        <f>SUMIFS(135:135,$8:$8,"&gt;="&amp;DATE(YEAR(JH$8),1,1),$8:$8,"&lt;="&amp;EOMONTH(JH$8,0))/SUMIFS(135:135,$8:$8,"&gt;="&amp;DATE(YEAR(JH$8)-1,1,1),$8:$8,"&lt;="&amp;EOMONTH(JH$8,-12))-1</f>
        <v/>
      </c>
      <c r="JI138" s="1318">
        <f>SUMIFS(135:135,$8:$8,"&gt;="&amp;DATE(YEAR(JI$8),1,1),$8:$8,"&lt;="&amp;EOMONTH(JI$8,0))/SUMIFS(135:135,$8:$8,"&gt;="&amp;DATE(YEAR(JI$8)-1,1,1),$8:$8,"&lt;="&amp;EOMONTH(JI$8,-12))-1</f>
        <v/>
      </c>
      <c r="JJ138" s="1318">
        <f>SUMIFS(135:135,$8:$8,"&gt;="&amp;DATE(YEAR(JJ$8),1,1),$8:$8,"&lt;="&amp;EOMONTH(JJ$8,0))/SUMIFS(135:135,$8:$8,"&gt;="&amp;DATE(YEAR(JJ$8)-1,1,1),$8:$8,"&lt;="&amp;EOMONTH(JJ$8,-12))-1</f>
        <v/>
      </c>
      <c r="JK138" s="1318">
        <f>SUMIFS(135:135,$8:$8,"&gt;="&amp;DATE(YEAR(JK$8),1,1),$8:$8,"&lt;="&amp;EOMONTH(JK$8,0))/SUMIFS(135:135,$8:$8,"&gt;="&amp;DATE(YEAR(JK$8)-1,1,1),$8:$8,"&lt;="&amp;EOMONTH(JK$8,-12))-1</f>
        <v/>
      </c>
      <c r="JL138" s="1318">
        <f>SUMIFS(135:135,$8:$8,"&gt;="&amp;DATE(YEAR(JL$8),1,1),$8:$8,"&lt;="&amp;EOMONTH(JL$8,0))/SUMIFS(135:135,$8:$8,"&gt;="&amp;DATE(YEAR(JL$8)-1,1,1),$8:$8,"&lt;="&amp;EOMONTH(JL$8,-12))-1</f>
        <v/>
      </c>
      <c r="JM138" s="1318">
        <f>SUMIFS(135:135,$8:$8,"&gt;="&amp;DATE(YEAR(JM$8),1,1),$8:$8,"&lt;="&amp;EOMONTH(JM$8,0))/SUMIFS(135:135,$8:$8,"&gt;="&amp;DATE(YEAR(JM$8)-1,1,1),$8:$8,"&lt;="&amp;EOMONTH(JM$8,-12))-1</f>
        <v/>
      </c>
      <c r="JN138" s="1318">
        <f>SUMIFS(135:135,$8:$8,"&gt;="&amp;DATE(YEAR(JN$8),1,1),$8:$8,"&lt;="&amp;EOMONTH(JN$8,0))/SUMIFS(135:135,$8:$8,"&gt;="&amp;DATE(YEAR(JN$8)-1,1,1),$8:$8,"&lt;="&amp;EOMONTH(JN$8,-12))-1</f>
        <v/>
      </c>
      <c r="JO138" s="1318">
        <f>SUMIFS(135:135,$8:$8,"&gt;="&amp;DATE(YEAR(JO$8),1,1),$8:$8,"&lt;="&amp;EOMONTH(JO$8,0))/SUMIFS(135:135,$8:$8,"&gt;="&amp;DATE(YEAR(JO$8)-1,1,1),$8:$8,"&lt;="&amp;EOMONTH(JO$8,-12))-1</f>
        <v/>
      </c>
      <c r="JP138" s="1318">
        <f>SUMIFS(135:135,$8:$8,"&gt;="&amp;DATE(YEAR(JP$8),1,1),$8:$8,"&lt;="&amp;EOMONTH(JP$8,0))/SUMIFS(135:135,$8:$8,"&gt;="&amp;DATE(YEAR(JP$8)-1,1,1),$8:$8,"&lt;="&amp;EOMONTH(JP$8,-12))-1</f>
        <v/>
      </c>
      <c r="JQ138" s="1318">
        <f>SUMIFS(135:135,$8:$8,"&gt;="&amp;DATE(YEAR(JQ$8),1,1),$8:$8,"&lt;="&amp;EOMONTH(JQ$8,0))/SUMIFS(135:135,$8:$8,"&gt;="&amp;DATE(YEAR(JQ$8)-1,1,1),$8:$8,"&lt;="&amp;EOMONTH(JQ$8,-12))-1</f>
        <v/>
      </c>
      <c r="JR138" s="1318">
        <f>SUMIFS(135:135,$8:$8,"&gt;="&amp;DATE(YEAR(JR$8),1,1),$8:$8,"&lt;="&amp;EOMONTH(JR$8,0))/SUMIFS(135:135,$8:$8,"&gt;="&amp;DATE(YEAR(JR$8)-1,1,1),$8:$8,"&lt;="&amp;EOMONTH(JR$8,-12))-1</f>
        <v/>
      </c>
      <c r="JS138" s="1318">
        <f>SUMIFS(135:135,$8:$8,"&gt;="&amp;DATE(YEAR(JS$8),1,1),$8:$8,"&lt;="&amp;EOMONTH(JS$8,0))/SUMIFS(135:135,$8:$8,"&gt;="&amp;DATE(YEAR(JS$8)-1,1,1),$8:$8,"&lt;="&amp;EOMONTH(JS$8,-12))-1</f>
        <v/>
      </c>
      <c r="JT138" s="1318">
        <f>SUMIFS(135:135,$8:$8,"&gt;="&amp;DATE(YEAR(JT$8),1,1),$8:$8,"&lt;="&amp;EOMONTH(JT$8,0))/SUMIFS(135:135,$8:$8,"&gt;="&amp;DATE(YEAR(JT$8)-1,1,1),$8:$8,"&lt;="&amp;EOMONTH(JT$8,-12))-1</f>
        <v/>
      </c>
      <c r="JU138" s="1318">
        <f>SUMIFS(135:135,$8:$8,"&gt;="&amp;DATE(YEAR(JU$8),1,1),$8:$8,"&lt;="&amp;EOMONTH(JU$8,0))/SUMIFS(135:135,$8:$8,"&gt;="&amp;DATE(YEAR(JU$8)-1,1,1),$8:$8,"&lt;="&amp;EOMONTH(JU$8,-12))-1</f>
        <v/>
      </c>
      <c r="JV138" s="1318">
        <f>SUMIFS(135:135,$8:$8,"&gt;="&amp;DATE(YEAR(JV$8),1,1),$8:$8,"&lt;="&amp;EOMONTH(JV$8,0))/SUMIFS(135:135,$8:$8,"&gt;="&amp;DATE(YEAR(JV$8)-1,1,1),$8:$8,"&lt;="&amp;EOMONTH(JV$8,-12))-1</f>
        <v/>
      </c>
      <c r="JW138" s="1318">
        <f>SUMIFS(135:135,$8:$8,"&gt;="&amp;DATE(YEAR(JW$8),1,1),$8:$8,"&lt;="&amp;EOMONTH(JW$8,0))/SUMIFS(135:135,$8:$8,"&gt;="&amp;DATE(YEAR(JW$8)-1,1,1),$8:$8,"&lt;="&amp;EOMONTH(JW$8,-12))-1</f>
        <v/>
      </c>
      <c r="JX138" s="1318">
        <f>SUMIFS(135:135,$8:$8,"&gt;="&amp;DATE(YEAR(JX$8),1,1),$8:$8,"&lt;="&amp;EOMONTH(JX$8,0))/SUMIFS(135:135,$8:$8,"&gt;="&amp;DATE(YEAR(JX$8)-1,1,1),$8:$8,"&lt;="&amp;EOMONTH(JX$8,-12))-1</f>
        <v/>
      </c>
      <c r="JY138" s="1318">
        <f>SUMIFS(135:135,$8:$8,"&gt;="&amp;DATE(YEAR(JY$8),1,1),$8:$8,"&lt;="&amp;EOMONTH(JY$8,0))/SUMIFS(135:135,$8:$8,"&gt;="&amp;DATE(YEAR(JY$8)-1,1,1),$8:$8,"&lt;="&amp;EOMONTH(JY$8,-12))-1</f>
        <v/>
      </c>
      <c r="JZ138" s="1318">
        <f>SUMIFS(135:135,$8:$8,"&gt;="&amp;DATE(YEAR(JZ$8),1,1),$8:$8,"&lt;="&amp;EOMONTH(JZ$8,0))/SUMIFS(135:135,$8:$8,"&gt;="&amp;DATE(YEAR(JZ$8)-1,1,1),$8:$8,"&lt;="&amp;EOMONTH(JZ$8,-12))-1</f>
        <v/>
      </c>
      <c r="KA138" s="1318">
        <f>SUMIFS(135:135,$8:$8,"&gt;="&amp;DATE(YEAR(KA$8),1,1),$8:$8,"&lt;="&amp;EOMONTH(KA$8,0))/SUMIFS(135:135,$8:$8,"&gt;="&amp;DATE(YEAR(KA$8)-1,1,1),$8:$8,"&lt;="&amp;EOMONTH(KA$8,-12))-1</f>
        <v/>
      </c>
      <c r="KB138" s="1318">
        <f>SUMIFS(135:135,$8:$8,"&gt;="&amp;DATE(YEAR(KB$8),1,1),$8:$8,"&lt;="&amp;EOMONTH(KB$8,0))/SUMIFS(135:135,$8:$8,"&gt;="&amp;DATE(YEAR(KB$8)-1,1,1),$8:$8,"&lt;="&amp;EOMONTH(KB$8,-12))-1</f>
        <v/>
      </c>
      <c r="KC138" s="1318">
        <f>SUMIFS(135:135,$8:$8,"&gt;="&amp;DATE(YEAR(KC$8),1,1),$8:$8,"&lt;="&amp;EOMONTH(KC$8,0))/SUMIFS(135:135,$8:$8,"&gt;="&amp;DATE(YEAR(KC$8)-1,1,1),$8:$8,"&lt;="&amp;EOMONTH(KC$8,-12))-1</f>
        <v/>
      </c>
      <c r="KD138" s="1318">
        <f>SUMIFS(135:135,$8:$8,"&gt;="&amp;DATE(YEAR(KD$8),1,1),$8:$8,"&lt;="&amp;EOMONTH(KD$8,0))/SUMIFS(135:135,$8:$8,"&gt;="&amp;DATE(YEAR(KD$8)-1,1,1),$8:$8,"&lt;="&amp;EOMONTH(KD$8,-12))-1</f>
        <v/>
      </c>
      <c r="KE138" s="1318">
        <f>SUMIFS(135:135,$8:$8,"&gt;="&amp;DATE(YEAR(KE$8),1,1),$8:$8,"&lt;="&amp;EOMONTH(KE$8,0))/SUMIFS(135:135,$8:$8,"&gt;="&amp;DATE(YEAR(KE$8)-1,1,1),$8:$8,"&lt;="&amp;EOMONTH(KE$8,-12))-1</f>
        <v/>
      </c>
      <c r="KF138" s="1318">
        <f>SUMIFS(135:135,$8:$8,"&gt;="&amp;DATE(YEAR(KF$8),1,1),$8:$8,"&lt;="&amp;EOMONTH(KF$8,0))/SUMIFS(135:135,$8:$8,"&gt;="&amp;DATE(YEAR(KF$8)-1,1,1),$8:$8,"&lt;="&amp;EOMONTH(KF$8,-12))-1</f>
        <v/>
      </c>
      <c r="KG138" s="1318">
        <f>SUMIFS(135:135,$8:$8,"&gt;="&amp;DATE(YEAR(KG$8),1,1),$8:$8,"&lt;="&amp;EOMONTH(KG$8,0))/SUMIFS(135:135,$8:$8,"&gt;="&amp;DATE(YEAR(KG$8)-1,1,1),$8:$8,"&lt;="&amp;EOMONTH(KG$8,-12))-1</f>
        <v/>
      </c>
      <c r="KH138" s="1318">
        <f>SUMIFS(135:135,$8:$8,"&gt;="&amp;DATE(YEAR(KH$8),1,1),$8:$8,"&lt;="&amp;EOMONTH(KH$8,0))/SUMIFS(135:135,$8:$8,"&gt;="&amp;DATE(YEAR(KH$8)-1,1,1),$8:$8,"&lt;="&amp;EOMONTH(KH$8,-12))-1</f>
        <v/>
      </c>
      <c r="KI138" s="1318">
        <f>SUMIFS(135:135,$8:$8,"&gt;="&amp;DATE(YEAR(KI$8),1,1),$8:$8,"&lt;="&amp;EOMONTH(KI$8,0))/SUMIFS(135:135,$8:$8,"&gt;="&amp;DATE(YEAR(KI$8)-1,1,1),$8:$8,"&lt;="&amp;EOMONTH(KI$8,-12))-1</f>
        <v/>
      </c>
      <c r="KJ138" s="1318">
        <f>SUMIFS(135:135,$8:$8,"&gt;="&amp;DATE(YEAR(KJ$8),1,1),$8:$8,"&lt;="&amp;EOMONTH(KJ$8,0))/SUMIFS(135:135,$8:$8,"&gt;="&amp;DATE(YEAR(KJ$8)-1,1,1),$8:$8,"&lt;="&amp;EOMONTH(KJ$8,-12))-1</f>
        <v/>
      </c>
      <c r="KK138" s="1318">
        <f>SUMIFS(135:135,$8:$8,"&gt;="&amp;DATE(YEAR(KK$8),1,1),$8:$8,"&lt;="&amp;EOMONTH(KK$8,0))/SUMIFS(135:135,$8:$8,"&gt;="&amp;DATE(YEAR(KK$8)-1,1,1),$8:$8,"&lt;="&amp;EOMONTH(KK$8,-12))-1</f>
        <v/>
      </c>
      <c r="KL138" s="1318">
        <f>SUMIFS(135:135,$8:$8,"&gt;="&amp;DATE(YEAR(KL$8),1,1),$8:$8,"&lt;="&amp;EOMONTH(KL$8,0))/SUMIFS(135:135,$8:$8,"&gt;="&amp;DATE(YEAR(KL$8)-1,1,1),$8:$8,"&lt;="&amp;EOMONTH(KL$8,-12))-1</f>
        <v/>
      </c>
      <c r="KM138" s="1318">
        <f>SUMIFS(135:135,$8:$8,"&gt;="&amp;DATE(YEAR(KM$8),1,1),$8:$8,"&lt;="&amp;EOMONTH(KM$8,0))/SUMIFS(135:135,$8:$8,"&gt;="&amp;DATE(YEAR(KM$8)-1,1,1),$8:$8,"&lt;="&amp;EOMONTH(KM$8,-12))-1</f>
        <v/>
      </c>
      <c r="KN138" s="1318">
        <f>SUMIFS(135:135,$8:$8,"&gt;="&amp;DATE(YEAR(KN$8),1,1),$8:$8,"&lt;="&amp;EOMONTH(KN$8,0))/SUMIFS(135:135,$8:$8,"&gt;="&amp;DATE(YEAR(KN$8)-1,1,1),$8:$8,"&lt;="&amp;EOMONTH(KN$8,-12))-1</f>
        <v/>
      </c>
      <c r="KO138" s="1318">
        <f>SUMIFS(135:135,$8:$8,"&gt;="&amp;DATE(YEAR(KO$8),1,1),$8:$8,"&lt;="&amp;EOMONTH(KO$8,0))/SUMIFS(135:135,$8:$8,"&gt;="&amp;DATE(YEAR(KO$8)-1,1,1),$8:$8,"&lt;="&amp;EOMONTH(KO$8,-12))-1</f>
        <v/>
      </c>
      <c r="KP138" s="1318">
        <f>SUMIFS(135:135,$8:$8,"&gt;="&amp;DATE(YEAR(KP$8),1,1),$8:$8,"&lt;="&amp;EOMONTH(KP$8,0))/SUMIFS(135:135,$8:$8,"&gt;="&amp;DATE(YEAR(KP$8)-1,1,1),$8:$8,"&lt;="&amp;EOMONTH(KP$8,-12))-1</f>
        <v/>
      </c>
      <c r="KQ138" s="1318">
        <f>SUMIFS(135:135,$8:$8,"&gt;="&amp;DATE(YEAR(KQ$8),1,1),$8:$8,"&lt;="&amp;EOMONTH(KQ$8,0))/SUMIFS(135:135,$8:$8,"&gt;="&amp;DATE(YEAR(KQ$8)-1,1,1),$8:$8,"&lt;="&amp;EOMONTH(KQ$8,-12))-1</f>
        <v/>
      </c>
      <c r="KR138" s="1318">
        <f>SUMIFS(135:135,$8:$8,"&gt;="&amp;DATE(YEAR(KR$8),1,1),$8:$8,"&lt;="&amp;EOMONTH(KR$8,0))/SUMIFS(135:135,$8:$8,"&gt;="&amp;DATE(YEAR(KR$8)-1,1,1),$8:$8,"&lt;="&amp;EOMONTH(KR$8,-12))-1</f>
        <v/>
      </c>
      <c r="KS138" s="1318">
        <f>SUMIFS(135:135,$8:$8,"&gt;="&amp;DATE(YEAR(KS$8),1,1),$8:$8,"&lt;="&amp;EOMONTH(KS$8,0))/SUMIFS(135:135,$8:$8,"&gt;="&amp;DATE(YEAR(KS$8)-1,1,1),$8:$8,"&lt;="&amp;EOMONTH(KS$8,-12))-1</f>
        <v/>
      </c>
      <c r="KT138" s="1318">
        <f>SUMIFS(135:135,$8:$8,"&gt;="&amp;DATE(YEAR(KT$8),1,1),$8:$8,"&lt;="&amp;EOMONTH(KT$8,0))/SUMIFS(135:135,$8:$8,"&gt;="&amp;DATE(YEAR(KT$8)-1,1,1),$8:$8,"&lt;="&amp;EOMONTH(KT$8,-12))-1</f>
        <v/>
      </c>
      <c r="KU138" s="1318">
        <f>SUMIFS(135:135,$8:$8,"&gt;="&amp;DATE(YEAR(KU$8),1,1),$8:$8,"&lt;="&amp;EOMONTH(KU$8,0))/SUMIFS(135:135,$8:$8,"&gt;="&amp;DATE(YEAR(KU$8)-1,1,1),$8:$8,"&lt;="&amp;EOMONTH(KU$8,-12))-1</f>
        <v/>
      </c>
      <c r="KV138" s="1318">
        <f>SUMIFS(135:135,$8:$8,"&gt;="&amp;DATE(YEAR(KV$8),1,1),$8:$8,"&lt;="&amp;EOMONTH(KV$8,0))/SUMIFS(135:135,$8:$8,"&gt;="&amp;DATE(YEAR(KV$8)-1,1,1),$8:$8,"&lt;="&amp;EOMONTH(KV$8,-12))-1</f>
        <v/>
      </c>
      <c r="KW138" s="1318">
        <f>SUMIFS(135:135,$8:$8,"&gt;="&amp;DATE(YEAR(KW$8),1,1),$8:$8,"&lt;="&amp;EOMONTH(KW$8,0))/SUMIFS(135:135,$8:$8,"&gt;="&amp;DATE(YEAR(KW$8)-1,1,1),$8:$8,"&lt;="&amp;EOMONTH(KW$8,-12))-1</f>
        <v/>
      </c>
      <c r="KX138" s="1318">
        <f>SUMIFS(135:135,$8:$8,"&gt;="&amp;DATE(YEAR(KX$8),1,1),$8:$8,"&lt;="&amp;EOMONTH(KX$8,0))/SUMIFS(135:135,$8:$8,"&gt;="&amp;DATE(YEAR(KX$8)-1,1,1),$8:$8,"&lt;="&amp;EOMONTH(KX$8,-12))-1</f>
        <v/>
      </c>
      <c r="KY138" s="1318">
        <f>SUMIFS(135:135,$8:$8,"&gt;="&amp;DATE(YEAR(KY$8),1,1),$8:$8,"&lt;="&amp;EOMONTH(KY$8,0))/SUMIFS(135:135,$8:$8,"&gt;="&amp;DATE(YEAR(KY$8)-1,1,1),$8:$8,"&lt;="&amp;EOMONTH(KY$8,-12))-1</f>
        <v/>
      </c>
      <c r="KZ138" s="1318">
        <f>SUMIFS(135:135,$8:$8,"&gt;="&amp;DATE(YEAR(KZ$8),1,1),$8:$8,"&lt;="&amp;EOMONTH(KZ$8,0))/SUMIFS(135:135,$8:$8,"&gt;="&amp;DATE(YEAR(KZ$8)-1,1,1),$8:$8,"&lt;="&amp;EOMONTH(KZ$8,-12))-1</f>
        <v/>
      </c>
      <c r="LA138" s="1318">
        <f>SUMIFS(135:135,$8:$8,"&gt;="&amp;DATE(YEAR(LA$8),1,1),$8:$8,"&lt;="&amp;EOMONTH(LA$8,0))/SUMIFS(135:135,$8:$8,"&gt;="&amp;DATE(YEAR(LA$8)-1,1,1),$8:$8,"&lt;="&amp;EOMONTH(LA$8,-12))-1</f>
        <v/>
      </c>
      <c r="LB138" s="1318">
        <f>SUMIFS(135:135,$8:$8,"&gt;="&amp;DATE(YEAR(LB$8),1,1),$8:$8,"&lt;="&amp;EOMONTH(LB$8,0))/SUMIFS(135:135,$8:$8,"&gt;="&amp;DATE(YEAR(LB$8)-1,1,1),$8:$8,"&lt;="&amp;EOMONTH(LB$8,-12))-1</f>
        <v/>
      </c>
      <c r="LC138" s="1318">
        <f>SUMIFS(135:135,$8:$8,"&gt;="&amp;DATE(YEAR(LC$8),1,1),$8:$8,"&lt;="&amp;EOMONTH(LC$8,0))/SUMIFS(135:135,$8:$8,"&gt;="&amp;DATE(YEAR(LC$8)-1,1,1),$8:$8,"&lt;="&amp;EOMONTH(LC$8,-12))-1</f>
        <v/>
      </c>
      <c r="LD138" s="1318">
        <f>SUMIFS(135:135,$8:$8,"&gt;="&amp;DATE(YEAR(LD$8),1,1),$8:$8,"&lt;="&amp;EOMONTH(LD$8,0))/SUMIFS(135:135,$8:$8,"&gt;="&amp;DATE(YEAR(LD$8)-1,1,1),$8:$8,"&lt;="&amp;EOMONTH(LD$8,-12))-1</f>
        <v/>
      </c>
      <c r="LE138" s="1318">
        <f>SUMIFS(135:135,$8:$8,"&gt;="&amp;DATE(YEAR(LE$8),1,1),$8:$8,"&lt;="&amp;EOMONTH(LE$8,0))/SUMIFS(135:135,$8:$8,"&gt;="&amp;DATE(YEAR(LE$8)-1,1,1),$8:$8,"&lt;="&amp;EOMONTH(LE$8,-12))-1</f>
        <v/>
      </c>
      <c r="LF138" s="1318">
        <f>SUMIFS(135:135,$8:$8,"&gt;="&amp;DATE(YEAR(LF$8),1,1),$8:$8,"&lt;="&amp;EOMONTH(LF$8,0))/SUMIFS(135:135,$8:$8,"&gt;="&amp;DATE(YEAR(LF$8)-1,1,1),$8:$8,"&lt;="&amp;EOMONTH(LF$8,-12))-1</f>
        <v/>
      </c>
      <c r="LG138" s="1318">
        <f>SUMIFS(135:135,$8:$8,"&gt;="&amp;DATE(YEAR(LG$8),1,1),$8:$8,"&lt;="&amp;EOMONTH(LG$8,0))/SUMIFS(135:135,$8:$8,"&gt;="&amp;DATE(YEAR(LG$8)-1,1,1),$8:$8,"&lt;="&amp;EOMONTH(LG$8,-12))-1</f>
        <v/>
      </c>
      <c r="LH138" s="1318">
        <f>SUMIFS(135:135,$8:$8,"&gt;="&amp;DATE(YEAR(LH$8),1,1),$8:$8,"&lt;="&amp;EOMONTH(LH$8,0))/SUMIFS(135:135,$8:$8,"&gt;="&amp;DATE(YEAR(LH$8)-1,1,1),$8:$8,"&lt;="&amp;EOMONTH(LH$8,-12))-1</f>
        <v/>
      </c>
      <c r="LI138" s="1318">
        <f>SUMIFS(135:135,$8:$8,"&gt;="&amp;DATE(YEAR(LI$8),1,1),$8:$8,"&lt;="&amp;EOMONTH(LI$8,0))/SUMIFS(135:135,$8:$8,"&gt;="&amp;DATE(YEAR(LI$8)-1,1,1),$8:$8,"&lt;="&amp;EOMONTH(LI$8,-12))-1</f>
        <v/>
      </c>
      <c r="LJ138" s="1318">
        <f>SUMIFS(135:135,$8:$8,"&gt;="&amp;DATE(YEAR(LJ$8),1,1),$8:$8,"&lt;="&amp;EOMONTH(LJ$8,0))/SUMIFS(135:135,$8:$8,"&gt;="&amp;DATE(YEAR(LJ$8)-1,1,1),$8:$8,"&lt;="&amp;EOMONTH(LJ$8,-12))-1</f>
        <v/>
      </c>
      <c r="LK138" s="1318">
        <f>SUMIFS(135:135,$8:$8,"&gt;="&amp;DATE(YEAR(LK$8),1,1),$8:$8,"&lt;="&amp;EOMONTH(LK$8,0))/SUMIFS(135:135,$8:$8,"&gt;="&amp;DATE(YEAR(LK$8)-1,1,1),$8:$8,"&lt;="&amp;EOMONTH(LK$8,-12))-1</f>
        <v/>
      </c>
      <c r="LL138" s="1318">
        <f>SUMIFS(135:135,$8:$8,"&gt;="&amp;DATE(YEAR(LL$8),1,1),$8:$8,"&lt;="&amp;EOMONTH(LL$8,0))/SUMIFS(135:135,$8:$8,"&gt;="&amp;DATE(YEAR(LL$8)-1,1,1),$8:$8,"&lt;="&amp;EOMONTH(LL$8,-12))-1</f>
        <v/>
      </c>
      <c r="LM138" s="1318">
        <f>SUMIFS(135:135,$8:$8,"&gt;="&amp;DATE(YEAR(LM$8),1,1),$8:$8,"&lt;="&amp;EOMONTH(LM$8,0))/SUMIFS(135:135,$8:$8,"&gt;="&amp;DATE(YEAR(LM$8)-1,1,1),$8:$8,"&lt;="&amp;EOMONTH(LM$8,-12))-1</f>
        <v/>
      </c>
      <c r="LN138" s="1318">
        <f>SUMIFS(135:135,$8:$8,"&gt;="&amp;DATE(YEAR(LN$8),1,1),$8:$8,"&lt;="&amp;EOMONTH(LN$8,0))/SUMIFS(135:135,$8:$8,"&gt;="&amp;DATE(YEAR(LN$8)-1,1,1),$8:$8,"&lt;="&amp;EOMONTH(LN$8,-12))-1</f>
        <v/>
      </c>
      <c r="LO138" s="1318">
        <f>SUMIFS(135:135,$8:$8,"&gt;="&amp;DATE(YEAR(LO$8),1,1),$8:$8,"&lt;="&amp;EOMONTH(LO$8,0))/SUMIFS(135:135,$8:$8,"&gt;="&amp;DATE(YEAR(LO$8)-1,1,1),$8:$8,"&lt;="&amp;EOMONTH(LO$8,-12))-1</f>
        <v/>
      </c>
      <c r="LP138" s="1318">
        <f>SUMIFS(135:135,$8:$8,"&gt;="&amp;DATE(YEAR(LP$8),1,1),$8:$8,"&lt;="&amp;EOMONTH(LP$8,0))/SUMIFS(135:135,$8:$8,"&gt;="&amp;DATE(YEAR(LP$8)-1,1,1),$8:$8,"&lt;="&amp;EOMONTH(LP$8,-12))-1</f>
        <v/>
      </c>
      <c r="LQ138" s="1318">
        <f>SUMIFS(135:135,$8:$8,"&gt;="&amp;DATE(YEAR(LQ$8),1,1),$8:$8,"&lt;="&amp;EOMONTH(LQ$8,0))/SUMIFS(135:135,$8:$8,"&gt;="&amp;DATE(YEAR(LQ$8)-1,1,1),$8:$8,"&lt;="&amp;EOMONTH(LQ$8,-12))-1</f>
        <v/>
      </c>
      <c r="LR138" s="1318">
        <f>SUMIFS(135:135,$8:$8,"&gt;="&amp;DATE(YEAR(LR$8),1,1),$8:$8,"&lt;="&amp;EOMONTH(LR$8,0))/SUMIFS(135:135,$8:$8,"&gt;="&amp;DATE(YEAR(LR$8)-1,1,1),$8:$8,"&lt;="&amp;EOMONTH(LR$8,-12))-1</f>
        <v/>
      </c>
      <c r="LS138" s="1318">
        <f>SUMIFS(135:135,$8:$8,"&gt;="&amp;DATE(YEAR(LS$8),1,1),$8:$8,"&lt;="&amp;EOMONTH(LS$8,0))/SUMIFS(135:135,$8:$8,"&gt;="&amp;DATE(YEAR(LS$8)-1,1,1),$8:$8,"&lt;="&amp;EOMONTH(LS$8,-12))-1</f>
        <v/>
      </c>
    </row>
    <row r="139" ht="17.25" customFormat="1" customHeight="1" s="1310">
      <c r="A139" s="1343" t="inlineStr">
        <is>
          <t>Trip length (km)</t>
        </is>
      </c>
      <c r="B139" s="916">
        <f>B46/B82*1000</f>
        <v/>
      </c>
      <c r="C139" s="917">
        <f>C46/C82*1000</f>
        <v/>
      </c>
      <c r="D139" s="917">
        <f>D46/D82*1000</f>
        <v/>
      </c>
      <c r="E139" s="917">
        <f>E46/E82*1000</f>
        <v/>
      </c>
      <c r="F139" s="918">
        <f>F46/F82*1000</f>
        <v/>
      </c>
      <c r="G139" s="918">
        <f>G46/G82*1000</f>
        <v/>
      </c>
      <c r="H139" s="918">
        <f>H46/H82*1000</f>
        <v/>
      </c>
      <c r="I139" s="918">
        <f>I46/I82*1000</f>
        <v/>
      </c>
      <c r="J139" s="918">
        <f>J46/J82*1000</f>
        <v/>
      </c>
      <c r="K139" s="918">
        <f>K46/K82*1000</f>
        <v/>
      </c>
      <c r="L139" s="918">
        <f>L46/L82*1000</f>
        <v/>
      </c>
      <c r="M139" s="918">
        <f>M46/M82*1000</f>
        <v/>
      </c>
      <c r="N139" s="918">
        <f>N46/N82*1000</f>
        <v/>
      </c>
      <c r="O139" s="918">
        <f>O46/O82*1000</f>
        <v/>
      </c>
      <c r="P139" s="918">
        <f>P46/P82*1000</f>
        <v/>
      </c>
      <c r="Q139" s="917">
        <f>Q46/Q82*1000</f>
        <v/>
      </c>
      <c r="R139" s="918">
        <f>R46/R82*1000</f>
        <v/>
      </c>
      <c r="S139" s="918">
        <f>S46/S82*1000</f>
        <v/>
      </c>
      <c r="T139" s="918">
        <f>T46/T82*1000</f>
        <v/>
      </c>
      <c r="U139" s="918">
        <f>U46/U82*1000</f>
        <v/>
      </c>
      <c r="V139" s="918">
        <f>V46/V82*1000</f>
        <v/>
      </c>
      <c r="W139" s="918">
        <f>W46/W82*1000</f>
        <v/>
      </c>
      <c r="X139" s="918">
        <f>X46/X82*1000</f>
        <v/>
      </c>
      <c r="Y139" s="918">
        <f>Y46/Y82*1000</f>
        <v/>
      </c>
      <c r="Z139" s="918">
        <f>Z46/Z82*1000</f>
        <v/>
      </c>
      <c r="AA139" s="918">
        <f>AA46/AA82*1000</f>
        <v/>
      </c>
      <c r="AB139" s="918">
        <f>AB46/AB82*1000</f>
        <v/>
      </c>
      <c r="AC139" s="918">
        <f>AC46/AC82*1000</f>
        <v/>
      </c>
      <c r="AD139" s="918">
        <f>AD46/AD82*1000</f>
        <v/>
      </c>
      <c r="AE139" s="918">
        <f>AE46/AE82*1000</f>
        <v/>
      </c>
      <c r="AF139" s="918">
        <f>AF46/AF82*1000</f>
        <v/>
      </c>
      <c r="AG139" s="918">
        <f>AG46/AG82*1000</f>
        <v/>
      </c>
      <c r="AH139" s="918">
        <f>AH46/AH82*1000</f>
        <v/>
      </c>
      <c r="AI139" s="918">
        <f>AI46/AI82*1000</f>
        <v/>
      </c>
      <c r="AJ139" s="918">
        <f>AJ46/AJ82*1000</f>
        <v/>
      </c>
      <c r="AK139" s="918">
        <f>AK46/AK82*1000</f>
        <v/>
      </c>
      <c r="AL139" s="918">
        <f>AL46/AL82*1000</f>
        <v/>
      </c>
      <c r="AM139" s="918">
        <f>AM46/AM82*1000</f>
        <v/>
      </c>
      <c r="AN139" s="918">
        <f>AN46/AN82*1000</f>
        <v/>
      </c>
      <c r="AO139" s="918">
        <f>AO46/AO82*1000</f>
        <v/>
      </c>
      <c r="AP139" s="918">
        <f>AP46/AP82*1000</f>
        <v/>
      </c>
      <c r="AQ139" s="918">
        <f>AQ46/AQ82*1000</f>
        <v/>
      </c>
      <c r="AR139" s="918">
        <f>AR46/AR82*1000</f>
        <v/>
      </c>
      <c r="AS139" s="918">
        <f>AS46/AS82*1000</f>
        <v/>
      </c>
      <c r="AT139" s="918">
        <f>AT46/AT82*1000</f>
        <v/>
      </c>
      <c r="AU139" s="918">
        <f>AU46/AU82*1000</f>
        <v/>
      </c>
      <c r="AV139" s="919">
        <f>AV46/AV82*1000</f>
        <v/>
      </c>
      <c r="AW139" s="918">
        <f>AW46/AW82*1000</f>
        <v/>
      </c>
      <c r="AX139" s="918">
        <f>AX46/AX82*1000</f>
        <v/>
      </c>
      <c r="AY139" s="918">
        <f>AY46/AY82*1000</f>
        <v/>
      </c>
      <c r="AZ139" s="918">
        <f>AZ46/AZ82*1000</f>
        <v/>
      </c>
      <c r="BA139" s="918">
        <f>BA46/BA82*1000</f>
        <v/>
      </c>
      <c r="BB139" s="918">
        <f>BB46/BB82*1000</f>
        <v/>
      </c>
      <c r="BC139" s="918">
        <f>BC46/BC82*1000</f>
        <v/>
      </c>
      <c r="BD139" s="918">
        <f>BD46/BD82*1000</f>
        <v/>
      </c>
      <c r="BE139" s="918">
        <f>BE46/BE82*1000</f>
        <v/>
      </c>
      <c r="BF139" s="918">
        <f>BF46/BF82*1000</f>
        <v/>
      </c>
      <c r="BG139" s="918">
        <f>BG46/BG82*1000</f>
        <v/>
      </c>
      <c r="BH139" s="918">
        <f>BH46/BH82*1000</f>
        <v/>
      </c>
      <c r="BI139" s="918">
        <f>BI46/BI82*1000</f>
        <v/>
      </c>
      <c r="BJ139" s="918">
        <f>BJ46/BJ82*1000</f>
        <v/>
      </c>
      <c r="BK139" s="918">
        <f>BK46/BK82*1000</f>
        <v/>
      </c>
      <c r="BL139" s="918">
        <f>BL46/BL82*1000</f>
        <v/>
      </c>
      <c r="BM139" s="918">
        <f>BM46/BM82*1000</f>
        <v/>
      </c>
      <c r="BN139" s="918">
        <f>BN46/BN82*1000</f>
        <v/>
      </c>
      <c r="BO139" s="918">
        <f>BO46/BO82*1000</f>
        <v/>
      </c>
      <c r="BP139" s="918">
        <f>BP46/BP82*1000</f>
        <v/>
      </c>
      <c r="BQ139" s="918">
        <f>BQ46/BQ82*1000</f>
        <v/>
      </c>
      <c r="BR139" s="918">
        <f>BR46/BR82*1000</f>
        <v/>
      </c>
      <c r="BS139" s="918">
        <f>BS46/BS82*1000</f>
        <v/>
      </c>
      <c r="BT139" s="918">
        <f>BT46/BT82*1000</f>
        <v/>
      </c>
      <c r="BU139" s="918">
        <f>BU46/BU82*1000</f>
        <v/>
      </c>
      <c r="BV139" s="918">
        <f>BV46/BV82*1000</f>
        <v/>
      </c>
      <c r="BW139" s="918">
        <f>BW46/BW82*1000</f>
        <v/>
      </c>
      <c r="BX139" s="918">
        <f>BX46/BX82*1000</f>
        <v/>
      </c>
      <c r="BY139" s="918">
        <f>BY46/BY82*1000</f>
        <v/>
      </c>
      <c r="BZ139" s="918">
        <f>BZ46/BZ82*1000</f>
        <v/>
      </c>
      <c r="CA139" s="918">
        <f>CA46/CA82*1000</f>
        <v/>
      </c>
      <c r="CB139" s="918">
        <f>CB46/CB82*1000</f>
        <v/>
      </c>
      <c r="CC139" s="918">
        <f>CC46/CC82*1000</f>
        <v/>
      </c>
      <c r="CD139" s="918">
        <f>CD46/CD82*1000</f>
        <v/>
      </c>
      <c r="CE139" s="918">
        <f>CE46/CE82*1000</f>
        <v/>
      </c>
      <c r="CF139" s="918">
        <f>CF46/CF82*1000</f>
        <v/>
      </c>
      <c r="CG139" s="918">
        <f>CG46/CG82*1000</f>
        <v/>
      </c>
      <c r="CH139" s="918">
        <f>CH46/CH82*1000</f>
        <v/>
      </c>
      <c r="CI139" s="918">
        <f>CI46/CI82*1000</f>
        <v/>
      </c>
      <c r="CJ139" s="918">
        <f>CJ46/CJ82*1000</f>
        <v/>
      </c>
      <c r="CK139" s="918">
        <f>CK46/CK82*1000</f>
        <v/>
      </c>
      <c r="CL139" s="918">
        <f>CL46/CL82*1000</f>
        <v/>
      </c>
      <c r="CM139" s="918">
        <f>CM46/CM82*1000</f>
        <v/>
      </c>
      <c r="CN139" s="918">
        <f>CN46/CN82*1000</f>
        <v/>
      </c>
      <c r="CO139" s="918">
        <f>CO46/CO82*1000</f>
        <v/>
      </c>
      <c r="CP139" s="918">
        <f>CP46/CP82*1000</f>
        <v/>
      </c>
      <c r="CQ139" s="918">
        <f>CQ46/CQ82*1000</f>
        <v/>
      </c>
      <c r="CR139" s="918">
        <f>CR46/CR82*1000</f>
        <v/>
      </c>
      <c r="CS139" s="918">
        <f>CS46/CS82*1000</f>
        <v/>
      </c>
      <c r="CT139" s="918">
        <f>CT46/CT82*1000</f>
        <v/>
      </c>
      <c r="CU139" s="918">
        <f>CU46/CU82*1000</f>
        <v/>
      </c>
      <c r="CV139" s="918">
        <f>CV46/CV82*1000</f>
        <v/>
      </c>
      <c r="CW139" s="918">
        <f>CW46/CW82*1000</f>
        <v/>
      </c>
      <c r="CX139" s="918">
        <f>CX46/CX82*1000</f>
        <v/>
      </c>
      <c r="CY139" s="918">
        <f>CY46/CY82*1000</f>
        <v/>
      </c>
      <c r="CZ139" s="918">
        <f>CZ46/CZ82*1000</f>
        <v/>
      </c>
      <c r="DA139" s="918">
        <f>DA46/DA82*1000</f>
        <v/>
      </c>
      <c r="DB139" s="918">
        <f>DB46/DB82*1000</f>
        <v/>
      </c>
      <c r="DC139" s="918">
        <f>DC46/DC82*1000</f>
        <v/>
      </c>
      <c r="DD139" s="918">
        <f>DD46/DD82*1000</f>
        <v/>
      </c>
      <c r="DE139" s="918">
        <f>DE46/DE82*1000</f>
        <v/>
      </c>
      <c r="DF139" s="918">
        <f>DF46/DF82*1000</f>
        <v/>
      </c>
      <c r="DG139" s="918">
        <f>DG46/DG82*1000</f>
        <v/>
      </c>
      <c r="DH139" s="918">
        <f>DH46/DH82*1000</f>
        <v/>
      </c>
      <c r="DI139" s="918">
        <f>DI46/DI82*1000</f>
        <v/>
      </c>
      <c r="DJ139" s="918">
        <f>DJ46/DJ82*1000</f>
        <v/>
      </c>
      <c r="DK139" s="918">
        <f>DK46/DK82*1000</f>
        <v/>
      </c>
      <c r="DL139" s="918">
        <f>DL46/DL82*1000</f>
        <v/>
      </c>
      <c r="DM139" s="918">
        <f>DM46/DM82*1000</f>
        <v/>
      </c>
      <c r="DN139" s="918">
        <f>DN46/DN82*1000</f>
        <v/>
      </c>
      <c r="DO139" s="918">
        <f>DO46/DO82*1000</f>
        <v/>
      </c>
      <c r="DP139" s="918">
        <f>DP46/DP82*1000</f>
        <v/>
      </c>
      <c r="DQ139" s="918">
        <f>DQ46/DQ82*1000</f>
        <v/>
      </c>
      <c r="DR139" s="920">
        <f>DR46/DR82*1000</f>
        <v/>
      </c>
      <c r="DS139" s="918">
        <f>DS46/DS82*1000</f>
        <v/>
      </c>
      <c r="DT139" s="918">
        <f>DT46/DT82*1000</f>
        <v/>
      </c>
      <c r="DU139" s="918">
        <f>DU46/DU82*1000</f>
        <v/>
      </c>
      <c r="DV139" s="918">
        <f>DV46/DV82*1000</f>
        <v/>
      </c>
      <c r="DW139" s="918">
        <f>DW46/DW82*1000</f>
        <v/>
      </c>
      <c r="DX139" s="918">
        <f>DX46/DX82*1000</f>
        <v/>
      </c>
      <c r="DY139" s="918">
        <f>DY46/DY82*1000</f>
        <v/>
      </c>
      <c r="DZ139" s="918">
        <f>DZ46/DZ82*1000</f>
        <v/>
      </c>
      <c r="EA139" s="918">
        <f>EA46/EA82*1000</f>
        <v/>
      </c>
      <c r="EB139" s="918">
        <f>EB46/EB82*1000</f>
        <v/>
      </c>
      <c r="EC139" s="918">
        <f>EC46/EC82*1000</f>
        <v/>
      </c>
      <c r="ED139" s="918">
        <f>ED46/ED82*1000</f>
        <v/>
      </c>
      <c r="EE139" s="918">
        <f>EE46/EE82*1000</f>
        <v/>
      </c>
      <c r="EF139" s="918">
        <f>EF46/EF82*1000</f>
        <v/>
      </c>
      <c r="EG139" s="918">
        <f>EG46/EG82*1000</f>
        <v/>
      </c>
      <c r="EH139" s="918">
        <f>EH46/EH82*1000</f>
        <v/>
      </c>
      <c r="EI139" s="918">
        <f>EI46/EI82*1000</f>
        <v/>
      </c>
      <c r="EJ139" s="918">
        <f>EJ46/EJ82*1000</f>
        <v/>
      </c>
      <c r="EK139" s="918">
        <f>EK46/EK82*1000</f>
        <v/>
      </c>
      <c r="EL139" s="918">
        <f>EL46/EL82*1000</f>
        <v/>
      </c>
      <c r="EM139" s="918">
        <f>EM46/EM82*1000</f>
        <v/>
      </c>
      <c r="EN139" s="918">
        <f>EN46/EN82*1000</f>
        <v/>
      </c>
      <c r="EO139" s="918">
        <f>EO46/EO82*1000</f>
        <v/>
      </c>
      <c r="EP139" s="918">
        <f>EP46/EP82*1000</f>
        <v/>
      </c>
      <c r="EQ139" s="918">
        <f>EQ46/EQ82*1000</f>
        <v/>
      </c>
      <c r="ER139" s="918">
        <f>ER46/ER82*1000</f>
        <v/>
      </c>
      <c r="ES139" s="918">
        <f>ES46/ES82*1000</f>
        <v/>
      </c>
      <c r="ET139" s="918">
        <f>ET46/ET82*1000</f>
        <v/>
      </c>
      <c r="EU139" s="918">
        <f>EU46/EU82*1000</f>
        <v/>
      </c>
      <c r="EV139" s="918">
        <f>EV46/EV82*1000</f>
        <v/>
      </c>
      <c r="EW139" s="918">
        <f>EW46/EW82*1000</f>
        <v/>
      </c>
      <c r="EX139" s="918">
        <f>EX46/EX82*1000</f>
        <v/>
      </c>
      <c r="EY139" s="918">
        <f>EY46/EY82*1000</f>
        <v/>
      </c>
      <c r="EZ139" s="918">
        <f>EZ46/EZ82*1000</f>
        <v/>
      </c>
      <c r="FA139" s="918">
        <f>FA46/FA82*1000</f>
        <v/>
      </c>
      <c r="FB139" s="918">
        <f>FB46/FB82*1000</f>
        <v/>
      </c>
      <c r="FC139" s="918">
        <f>FC46/FC82*1000</f>
        <v/>
      </c>
      <c r="FD139" s="918">
        <f>FD46/FD82*1000</f>
        <v/>
      </c>
      <c r="FE139" s="918">
        <f>FE46/FE82*1000</f>
        <v/>
      </c>
      <c r="FF139" s="918">
        <f>FF46/FF82*1000</f>
        <v/>
      </c>
      <c r="FG139" s="918">
        <f>FG46/FG82*1000</f>
        <v/>
      </c>
      <c r="FH139" s="918">
        <f>FH46/FH82*1000</f>
        <v/>
      </c>
      <c r="FI139" s="918">
        <f>FI46/FI82*1000</f>
        <v/>
      </c>
      <c r="FJ139" s="918">
        <f>FJ46/FJ82*1000</f>
        <v/>
      </c>
      <c r="FK139" s="918">
        <f>FK46/FK82*1000</f>
        <v/>
      </c>
      <c r="FL139" s="918">
        <f>FL46/FL82*1000</f>
        <v/>
      </c>
      <c r="FM139" s="918">
        <f>FM46/FM82*1000</f>
        <v/>
      </c>
      <c r="FN139" s="918">
        <f>FN46/FN82*1000</f>
        <v/>
      </c>
      <c r="FO139" s="918">
        <f>FO46/FO82*1000</f>
        <v/>
      </c>
      <c r="FP139" s="918">
        <f>FP46/FP82*1000</f>
        <v/>
      </c>
      <c r="FQ139" s="918">
        <f>FQ46/FQ82*1000</f>
        <v/>
      </c>
      <c r="FR139" s="918">
        <f>FR46/FR82*1000</f>
        <v/>
      </c>
      <c r="FS139" s="918">
        <f>FS46/FS82*1000</f>
        <v/>
      </c>
      <c r="FT139" s="918">
        <f>FT46/FT82*1000</f>
        <v/>
      </c>
      <c r="FU139" s="918">
        <f>FU46/FU82*1000</f>
        <v/>
      </c>
      <c r="FV139" s="918">
        <f>FV46/FV82*1000</f>
        <v/>
      </c>
      <c r="FW139" s="918">
        <f>FW46/FW82*1000</f>
        <v/>
      </c>
      <c r="FX139" s="918">
        <f>FX46/FX82*1000</f>
        <v/>
      </c>
      <c r="FY139" s="918">
        <f>FY46/FY82*1000</f>
        <v/>
      </c>
      <c r="FZ139" s="918">
        <f>FZ46/FZ82*1000</f>
        <v/>
      </c>
      <c r="GA139" s="918">
        <f>GA46/GA82*1000</f>
        <v/>
      </c>
      <c r="GB139" s="918">
        <f>GB46/GB82*1000</f>
        <v/>
      </c>
      <c r="GC139" s="918">
        <f>GC46/GC82*1000</f>
        <v/>
      </c>
      <c r="GD139" s="918">
        <f>GD46/GD82*1000</f>
        <v/>
      </c>
      <c r="GE139" s="918">
        <f>GE46/GE82*1000</f>
        <v/>
      </c>
      <c r="GF139" s="918">
        <f>GF46/GF82*1000</f>
        <v/>
      </c>
      <c r="GG139" s="918">
        <f>GG46/GG82*1000</f>
        <v/>
      </c>
      <c r="GH139" s="918">
        <f>GH46/GH82*1000</f>
        <v/>
      </c>
      <c r="GI139" s="918">
        <f>GI46/GI82*1000</f>
        <v/>
      </c>
      <c r="GJ139" s="918">
        <f>GJ46/GJ82*1000</f>
        <v/>
      </c>
      <c r="GK139" s="918">
        <f>GK46/GK82*1000</f>
        <v/>
      </c>
      <c r="GL139" s="918">
        <f>GL46/GL82*1000</f>
        <v/>
      </c>
      <c r="GM139" s="918">
        <f>GM46/GM82*1000</f>
        <v/>
      </c>
      <c r="GN139" s="918">
        <f>GN46/GN82*1000</f>
        <v/>
      </c>
      <c r="GO139" s="918">
        <f>GO46/GO82*1000</f>
        <v/>
      </c>
      <c r="GP139" s="918">
        <f>GP46/GP82*1000</f>
        <v/>
      </c>
      <c r="GQ139" s="918">
        <f>GQ46/GQ82*1000</f>
        <v/>
      </c>
      <c r="GR139" s="918">
        <f>GR46/GR82*1000</f>
        <v/>
      </c>
      <c r="GS139" s="918">
        <f>GS46/GS82*1000</f>
        <v/>
      </c>
      <c r="GT139" s="918">
        <f>GT46/GT82*1000</f>
        <v/>
      </c>
      <c r="GU139" s="918">
        <f>GU46/GU82*1000</f>
        <v/>
      </c>
      <c r="GV139" s="918">
        <f>GV46/GV82*1000</f>
        <v/>
      </c>
      <c r="GW139" s="918">
        <f>GW46/GW82*1000</f>
        <v/>
      </c>
      <c r="GX139" s="918">
        <f>GX46/GX82*1000</f>
        <v/>
      </c>
      <c r="GY139" s="918">
        <f>GY46/GY82*1000</f>
        <v/>
      </c>
      <c r="GZ139" s="918">
        <f>GZ46/GZ82*1000</f>
        <v/>
      </c>
      <c r="HA139" s="918">
        <f>HA46/HA82*1000</f>
        <v/>
      </c>
      <c r="HB139" s="918">
        <f>HB46/HB82*1000</f>
        <v/>
      </c>
      <c r="HC139" s="918">
        <f>HC46/HC82*1000</f>
        <v/>
      </c>
      <c r="HD139" s="918">
        <f>HD46/HD82*1000</f>
        <v/>
      </c>
      <c r="HE139" s="918">
        <f>HE46/HE82*1000</f>
        <v/>
      </c>
      <c r="HF139" s="918">
        <f>HF46/HF82*1000</f>
        <v/>
      </c>
      <c r="HG139" s="918">
        <f>HG46/HG82*1000</f>
        <v/>
      </c>
      <c r="HH139" s="918">
        <f>HH46/HH82*1000</f>
        <v/>
      </c>
      <c r="HI139" s="918">
        <f>HI46/HI82*1000</f>
        <v/>
      </c>
      <c r="HJ139" s="918">
        <f>HJ46/HJ82*1000</f>
        <v/>
      </c>
      <c r="HK139" s="918">
        <f>HK46/HK82*1000</f>
        <v/>
      </c>
      <c r="HL139" s="918">
        <f>HL46/HL82*1000</f>
        <v/>
      </c>
      <c r="HM139" s="918">
        <f>HM46/HM82*1000</f>
        <v/>
      </c>
      <c r="HN139" s="918">
        <f>HN46/HN82*1000</f>
        <v/>
      </c>
      <c r="HO139" s="918">
        <f>HO46/HO82*1000</f>
        <v/>
      </c>
      <c r="HP139" s="918">
        <f>HP46/HP82*1000</f>
        <v/>
      </c>
      <c r="HQ139" s="918">
        <f>HQ46/HQ82*1000</f>
        <v/>
      </c>
      <c r="HR139" s="918">
        <f>HR46/HR82*1000</f>
        <v/>
      </c>
      <c r="HS139" s="918">
        <f>HS46/HS82*1000</f>
        <v/>
      </c>
      <c r="HT139" s="918">
        <f>HT46/HT82*1000</f>
        <v/>
      </c>
      <c r="HU139" s="918">
        <f>HU46/HU82*1000</f>
        <v/>
      </c>
      <c r="HV139" s="918">
        <f>HV46/HV82*1000</f>
        <v/>
      </c>
      <c r="HW139" s="918">
        <f>HW46/HW82*1000</f>
        <v/>
      </c>
      <c r="HX139" s="918">
        <f>HX46/HX82*1000</f>
        <v/>
      </c>
      <c r="HY139" s="918">
        <f>HY46/HY82*1000</f>
        <v/>
      </c>
      <c r="HZ139" s="918">
        <f>HZ46/HZ82*1000</f>
        <v/>
      </c>
      <c r="IA139" s="918">
        <f>IA46/IA82*1000</f>
        <v/>
      </c>
      <c r="IB139" s="918">
        <f>IB46/IB82*1000</f>
        <v/>
      </c>
      <c r="IC139" s="918">
        <f>IC46/IC82*1000</f>
        <v/>
      </c>
      <c r="ID139" s="918">
        <f>ID46/ID82*1000</f>
        <v/>
      </c>
      <c r="IE139" s="918">
        <f>IE46/IE82*1000</f>
        <v/>
      </c>
      <c r="IF139" s="918">
        <f>IF46/IF82*1000</f>
        <v/>
      </c>
      <c r="IG139" s="918">
        <f>IG46/IG82*1000</f>
        <v/>
      </c>
      <c r="IH139" s="918">
        <f>IH46/IH82*1000</f>
        <v/>
      </c>
      <c r="II139" s="918">
        <f>II46/II82*1000</f>
        <v/>
      </c>
      <c r="IJ139" s="918">
        <f>IJ46/IJ82*1000</f>
        <v/>
      </c>
      <c r="IK139" s="918">
        <f>IK46/IK82*1000</f>
        <v/>
      </c>
      <c r="IL139" s="918">
        <f>IL46/IL82*1000</f>
        <v/>
      </c>
      <c r="IM139" s="918">
        <f>IM46/IM82*1000</f>
        <v/>
      </c>
      <c r="IN139" s="918">
        <f>IN46/IN82*1000</f>
        <v/>
      </c>
      <c r="IO139" s="918">
        <f>IO46/IO82*1000</f>
        <v/>
      </c>
      <c r="IP139" s="918">
        <f>IP46/IP82*1000</f>
        <v/>
      </c>
      <c r="IQ139" s="918">
        <f>IQ46/IQ82*1000</f>
        <v/>
      </c>
      <c r="IR139" s="918">
        <f>IR46/IR82*1000</f>
        <v/>
      </c>
      <c r="IS139" s="918">
        <f>IS46/IS82*1000</f>
        <v/>
      </c>
      <c r="IT139" s="918">
        <f>IT46/IT82*1000</f>
        <v/>
      </c>
      <c r="IU139" s="918">
        <f>IU46/IU82*1000</f>
        <v/>
      </c>
      <c r="IV139" s="918">
        <f>IV46/IV82*1000</f>
        <v/>
      </c>
      <c r="IW139" s="918">
        <f>IW46/IW82*1000</f>
        <v/>
      </c>
      <c r="IX139" s="918">
        <f>IX46/IX82*1000</f>
        <v/>
      </c>
      <c r="IY139" s="918">
        <f>IY46/IY82*1000</f>
        <v/>
      </c>
      <c r="IZ139" s="918">
        <f>IZ46/IZ82*1000</f>
        <v/>
      </c>
      <c r="JA139" s="918">
        <f>JA46/JA82*1000</f>
        <v/>
      </c>
      <c r="JB139" s="918">
        <f>JB46/JB82*1000</f>
        <v/>
      </c>
      <c r="JC139" s="918">
        <f>JC46/JC82*1000</f>
        <v/>
      </c>
      <c r="JD139" s="918">
        <f>JD46/JD82*1000</f>
        <v/>
      </c>
      <c r="JE139" s="918">
        <f>JE46/JE82*1000</f>
        <v/>
      </c>
      <c r="JF139" s="918">
        <f>JF46/JF82*1000</f>
        <v/>
      </c>
      <c r="JG139" s="918">
        <f>JG46/JG82*1000</f>
        <v/>
      </c>
      <c r="JH139" s="918">
        <f>JH46/JH82*1000</f>
        <v/>
      </c>
      <c r="JI139" s="918">
        <f>JI46/JI82*1000</f>
        <v/>
      </c>
      <c r="JJ139" s="918">
        <f>JJ46/JJ82*1000</f>
        <v/>
      </c>
      <c r="JK139" s="918">
        <f>JK46/JK82*1000</f>
        <v/>
      </c>
      <c r="JL139" s="918">
        <f>JL46/JL82*1000</f>
        <v/>
      </c>
      <c r="JM139" s="918">
        <f>JM46/JM82*1000</f>
        <v/>
      </c>
      <c r="JN139" s="918">
        <f>JN46/JN82*1000</f>
        <v/>
      </c>
      <c r="JO139" s="918">
        <f>JO46/JO82*1000</f>
        <v/>
      </c>
      <c r="JP139" s="918">
        <f>JP46/JP82*1000</f>
        <v/>
      </c>
      <c r="JQ139" s="918">
        <f>JQ46/JQ82*1000</f>
        <v/>
      </c>
      <c r="JR139" s="918">
        <f>JR46/JR82*1000</f>
        <v/>
      </c>
      <c r="JS139" s="918">
        <f>JS46/JS82*1000</f>
        <v/>
      </c>
      <c r="JT139" s="918">
        <f>JT46/JT82*1000</f>
        <v/>
      </c>
      <c r="JU139" s="918">
        <f>JU46/JU82*1000</f>
        <v/>
      </c>
      <c r="JV139" s="918">
        <f>JV46/JV82*1000</f>
        <v/>
      </c>
      <c r="JW139" s="918">
        <f>JW46/JW82*1000</f>
        <v/>
      </c>
      <c r="JX139" s="918">
        <f>JX46/JX82*1000</f>
        <v/>
      </c>
      <c r="JY139" s="918">
        <f>JY46/JY82*1000</f>
        <v/>
      </c>
      <c r="JZ139" s="918">
        <f>JZ46/JZ82*1000</f>
        <v/>
      </c>
      <c r="KA139" s="918">
        <f>KA46/KA82*1000</f>
        <v/>
      </c>
      <c r="KB139" s="918">
        <f>KB46/KB82*1000</f>
        <v/>
      </c>
      <c r="KC139" s="918">
        <f>KC46/KC82*1000</f>
        <v/>
      </c>
      <c r="KD139" s="918">
        <f>KD46/KD82*1000</f>
        <v/>
      </c>
      <c r="KE139" s="918">
        <f>KE46/KE82*1000</f>
        <v/>
      </c>
      <c r="KF139" s="918">
        <f>KF46/KF82*1000</f>
        <v/>
      </c>
      <c r="KG139" s="918">
        <f>KG46/KG82*1000</f>
        <v/>
      </c>
      <c r="KH139" s="918">
        <f>KH46/KH82*1000</f>
        <v/>
      </c>
      <c r="KI139" s="918">
        <f>KI46/KI82*1000</f>
        <v/>
      </c>
      <c r="KJ139" s="918">
        <f>KJ46/KJ82*1000</f>
        <v/>
      </c>
      <c r="KK139" s="918">
        <f>KK46/KK82*1000</f>
        <v/>
      </c>
      <c r="KL139" s="918">
        <f>KL46/KL82*1000</f>
        <v/>
      </c>
      <c r="KM139" s="918">
        <f>KM46/KM82*1000</f>
        <v/>
      </c>
      <c r="KN139" s="918">
        <f>KN46/KN82*1000</f>
        <v/>
      </c>
      <c r="KO139" s="918">
        <f>KO46/KO82*1000</f>
        <v/>
      </c>
      <c r="KP139" s="918">
        <f>KP46/KP82*1000</f>
        <v/>
      </c>
      <c r="KQ139" s="918">
        <f>KQ46/KQ82*1000</f>
        <v/>
      </c>
      <c r="KR139" s="918">
        <f>KR46/KR82*1000</f>
        <v/>
      </c>
      <c r="KS139" s="918">
        <f>KS46/KS82*1000</f>
        <v/>
      </c>
      <c r="KT139" s="918">
        <f>KT46/KT82*1000</f>
        <v/>
      </c>
      <c r="KU139" s="918">
        <f>KU46/KU82*1000</f>
        <v/>
      </c>
      <c r="KV139" s="918">
        <f>KV46/KV82*1000</f>
        <v/>
      </c>
      <c r="KW139" s="918">
        <f>KW46/KW82*1000</f>
        <v/>
      </c>
      <c r="KX139" s="918">
        <f>KX46/KX82*1000</f>
        <v/>
      </c>
      <c r="KY139" s="918">
        <f>KY46/KY82*1000</f>
        <v/>
      </c>
      <c r="KZ139" s="918">
        <f>KZ46/KZ82*1000</f>
        <v/>
      </c>
      <c r="LA139" s="918">
        <f>LA46/LA82*1000</f>
        <v/>
      </c>
      <c r="LB139" s="918">
        <f>LB46/LB82*1000</f>
        <v/>
      </c>
      <c r="LC139" s="918">
        <f>LC46/LC82*1000</f>
        <v/>
      </c>
      <c r="LD139" s="918">
        <f>LD46/LD82*1000</f>
        <v/>
      </c>
      <c r="LE139" s="918">
        <f>LE46/LE82*1000</f>
        <v/>
      </c>
      <c r="LF139" s="918">
        <f>LF46/LF82*1000</f>
        <v/>
      </c>
      <c r="LG139" s="918">
        <f>LG46/LG82*1000</f>
        <v/>
      </c>
      <c r="LH139" s="918">
        <f>LH46/LH82*1000</f>
        <v/>
      </c>
      <c r="LI139" s="918">
        <f>LI46/LI82*1000</f>
        <v/>
      </c>
      <c r="LJ139" s="918">
        <f>LJ46/LJ82*1000</f>
        <v/>
      </c>
      <c r="LK139" s="918">
        <f>LK46/LK82*1000</f>
        <v/>
      </c>
      <c r="LL139" s="918">
        <f>LL46/LL82*1000</f>
        <v/>
      </c>
      <c r="LM139" s="918">
        <f>LM46/LM82*1000</f>
        <v/>
      </c>
      <c r="LN139" s="918">
        <f>LN46/LN82*1000</f>
        <v/>
      </c>
      <c r="LO139" s="918">
        <f>LO46/LO82*1000</f>
        <v/>
      </c>
      <c r="LP139" s="918">
        <f>LP46/LP82*1000</f>
        <v/>
      </c>
      <c r="LQ139" s="918">
        <f>LQ46/LQ82*1000</f>
        <v/>
      </c>
      <c r="LR139" s="918">
        <f>LR46/LR82*1000</f>
        <v/>
      </c>
      <c r="LS139" s="918">
        <f>LS46/LS82*1000</f>
        <v/>
      </c>
    </row>
    <row r="140">
      <c r="A140" s="885" t="inlineStr">
        <is>
          <t>m cg %</t>
        </is>
      </c>
      <c r="B140" s="1318" t="n"/>
      <c r="C140" s="1318">
        <f>C139/B139-1</f>
        <v/>
      </c>
      <c r="D140" s="1318">
        <f>D139/C139-1</f>
        <v/>
      </c>
      <c r="E140" s="1318">
        <f>E139/D139-1</f>
        <v/>
      </c>
      <c r="F140" s="1318">
        <f>F139/E139-1</f>
        <v/>
      </c>
      <c r="G140" s="1318">
        <f>G139/F139-1</f>
        <v/>
      </c>
      <c r="H140" s="1318">
        <f>H139/G139-1</f>
        <v/>
      </c>
      <c r="I140" s="1318">
        <f>I139/H139-1</f>
        <v/>
      </c>
      <c r="J140" s="1318">
        <f>J139/I139-1</f>
        <v/>
      </c>
      <c r="K140" s="1318">
        <f>K139/J139-1</f>
        <v/>
      </c>
      <c r="L140" s="1318">
        <f>L139/K139-1</f>
        <v/>
      </c>
      <c r="M140" s="1318">
        <f>M139/L139-1</f>
        <v/>
      </c>
      <c r="N140" s="1318">
        <f>N139/M139-1</f>
        <v/>
      </c>
      <c r="O140" s="1318">
        <f>O139/N139-1</f>
        <v/>
      </c>
      <c r="P140" s="1318">
        <f>P139/O139-1</f>
        <v/>
      </c>
      <c r="Q140" s="1318">
        <f>Q139/P139-1</f>
        <v/>
      </c>
      <c r="R140" s="1318">
        <f>R139/Q139-1</f>
        <v/>
      </c>
      <c r="S140" s="1318">
        <f>S139/R139-1</f>
        <v/>
      </c>
      <c r="T140" s="1318">
        <f>T139/S139-1</f>
        <v/>
      </c>
      <c r="U140" s="1318">
        <f>U139/T139-1</f>
        <v/>
      </c>
      <c r="V140" s="1318">
        <f>V139/U139-1</f>
        <v/>
      </c>
      <c r="W140" s="1318">
        <f>W139/V139-1</f>
        <v/>
      </c>
      <c r="X140" s="1318">
        <f>X139/W139-1</f>
        <v/>
      </c>
      <c r="Y140" s="1318">
        <f>Y139/X139-1</f>
        <v/>
      </c>
      <c r="Z140" s="1318">
        <f>Z139/Y139-1</f>
        <v/>
      </c>
      <c r="AA140" s="1318">
        <f>AA139/Z139-1</f>
        <v/>
      </c>
      <c r="AB140" s="1318">
        <f>AB139/AA139-1</f>
        <v/>
      </c>
      <c r="AC140" s="1318">
        <f>AC139/AB139-1</f>
        <v/>
      </c>
      <c r="AD140" s="1318">
        <f>AD139/AC139-1</f>
        <v/>
      </c>
      <c r="AE140" s="1318">
        <f>AE139/AD139-1</f>
        <v/>
      </c>
      <c r="AF140" s="1318">
        <f>AF139/AE139-1</f>
        <v/>
      </c>
      <c r="AG140" s="1318">
        <f>AG139/AF139-1</f>
        <v/>
      </c>
      <c r="AH140" s="1318">
        <f>AH139/AG139-1</f>
        <v/>
      </c>
      <c r="AI140" s="1318">
        <f>AI139/AH139-1</f>
        <v/>
      </c>
      <c r="AJ140" s="1318">
        <f>AJ139/AI139-1</f>
        <v/>
      </c>
      <c r="AK140" s="1318">
        <f>AK139/AJ139-1</f>
        <v/>
      </c>
      <c r="AL140" s="1318">
        <f>AL139/AK139-1</f>
        <v/>
      </c>
      <c r="AM140" s="1318">
        <f>AM139/AL139-1</f>
        <v/>
      </c>
      <c r="AN140" s="1318">
        <f>AN139/AM139-1</f>
        <v/>
      </c>
      <c r="AO140" s="1318">
        <f>AO139/AN139-1</f>
        <v/>
      </c>
      <c r="AP140" s="1318">
        <f>AP139/AO139-1</f>
        <v/>
      </c>
      <c r="AQ140" s="1318">
        <f>AQ139/AP139-1</f>
        <v/>
      </c>
      <c r="AR140" s="1318">
        <f>AR139/AQ139-1</f>
        <v/>
      </c>
      <c r="AS140" s="1318">
        <f>AS139/AR139-1</f>
        <v/>
      </c>
      <c r="AT140" s="1318">
        <f>AT139/AS139-1</f>
        <v/>
      </c>
      <c r="AU140" s="1318">
        <f>AU139/AT139-1</f>
        <v/>
      </c>
      <c r="AV140" s="1318">
        <f>AV139/AU139-1</f>
        <v/>
      </c>
      <c r="AW140" s="1318">
        <f>AW139/AV139-1</f>
        <v/>
      </c>
      <c r="AX140" s="1318">
        <f>AX139/AW139-1</f>
        <v/>
      </c>
      <c r="AY140" s="1318">
        <f>AY139/AX139-1</f>
        <v/>
      </c>
      <c r="AZ140" s="1318">
        <f>AZ139/AY139-1</f>
        <v/>
      </c>
      <c r="BA140" s="1318">
        <f>BA139/AZ139-1</f>
        <v/>
      </c>
      <c r="BB140" s="1318">
        <f>BB139/BA139-1</f>
        <v/>
      </c>
      <c r="BC140" s="1318">
        <f>BC139/BB139-1</f>
        <v/>
      </c>
      <c r="BD140" s="1318">
        <f>BD139/BC139-1</f>
        <v/>
      </c>
      <c r="BE140" s="1318">
        <f>BE139/BD139-1</f>
        <v/>
      </c>
      <c r="BF140" s="1318">
        <f>BF139/BE139-1</f>
        <v/>
      </c>
      <c r="BG140" s="1318">
        <f>BG139/BF139-1</f>
        <v/>
      </c>
      <c r="BH140" s="1318">
        <f>BH139/BG139-1</f>
        <v/>
      </c>
      <c r="BI140" s="1318">
        <f>BI139/BH139-1</f>
        <v/>
      </c>
      <c r="BJ140" s="1318">
        <f>BJ139/BI139-1</f>
        <v/>
      </c>
      <c r="BK140" s="1318">
        <f>BK139/BJ139-1</f>
        <v/>
      </c>
      <c r="BL140" s="1318">
        <f>BL139/BK139-1</f>
        <v/>
      </c>
      <c r="BM140" s="1318">
        <f>BM139/BL139-1</f>
        <v/>
      </c>
      <c r="BN140" s="1318">
        <f>BN139/BM139-1</f>
        <v/>
      </c>
      <c r="BO140" s="1318">
        <f>BO139/BN139-1</f>
        <v/>
      </c>
      <c r="BP140" s="1318">
        <f>BP139/BO139-1</f>
        <v/>
      </c>
      <c r="BQ140" s="1318">
        <f>BQ139/BP139-1</f>
        <v/>
      </c>
      <c r="BR140" s="1318">
        <f>BR139/BQ139-1</f>
        <v/>
      </c>
      <c r="BS140" s="1318">
        <f>BS139/BR139-1</f>
        <v/>
      </c>
      <c r="BT140" s="1318">
        <f>BT139/BS139-1</f>
        <v/>
      </c>
      <c r="BU140" s="1318">
        <f>BU139/BT139-1</f>
        <v/>
      </c>
      <c r="BV140" s="1318">
        <f>BV139/BU139-1</f>
        <v/>
      </c>
      <c r="BW140" s="1318">
        <f>BW139/BV139-1</f>
        <v/>
      </c>
      <c r="BX140" s="1318">
        <f>BX139/BW139-1</f>
        <v/>
      </c>
      <c r="BY140" s="1318">
        <f>BY139/BX139-1</f>
        <v/>
      </c>
      <c r="BZ140" s="1318">
        <f>BZ139/BY139-1</f>
        <v/>
      </c>
      <c r="CA140" s="1318">
        <f>CA139/BZ139-1</f>
        <v/>
      </c>
      <c r="CB140" s="1318">
        <f>CB139/CA139-1</f>
        <v/>
      </c>
      <c r="CC140" s="1318">
        <f>CC139/CB139-1</f>
        <v/>
      </c>
      <c r="CD140" s="1318">
        <f>CD139/CC139-1</f>
        <v/>
      </c>
      <c r="CE140" s="1318">
        <f>CE139/CD139-1</f>
        <v/>
      </c>
      <c r="CF140" s="1318">
        <f>CF139/CE139-1</f>
        <v/>
      </c>
      <c r="CG140" s="1318">
        <f>CG139/CF139-1</f>
        <v/>
      </c>
      <c r="CH140" s="1318">
        <f>CH139/CG139-1</f>
        <v/>
      </c>
      <c r="CI140" s="1318">
        <f>CI139/CH139-1</f>
        <v/>
      </c>
      <c r="CJ140" s="1318">
        <f>CJ139/CI139-1</f>
        <v/>
      </c>
      <c r="CK140" s="1318">
        <f>CK139/CJ139-1</f>
        <v/>
      </c>
      <c r="CL140" s="1318">
        <f>CL139/CK139-1</f>
        <v/>
      </c>
      <c r="CM140" s="1318">
        <f>CM139/CL139-1</f>
        <v/>
      </c>
      <c r="CN140" s="1318">
        <f>CN139/CM139-1</f>
        <v/>
      </c>
      <c r="CO140" s="1318">
        <f>CO139/CN139-1</f>
        <v/>
      </c>
      <c r="CP140" s="1318">
        <f>CP139/CO139-1</f>
        <v/>
      </c>
      <c r="CQ140" s="1318">
        <f>CQ139/CP139-1</f>
        <v/>
      </c>
      <c r="CR140" s="1318">
        <f>CR139/CQ139-1</f>
        <v/>
      </c>
      <c r="CS140" s="1318">
        <f>CS139/CR139-1</f>
        <v/>
      </c>
      <c r="CT140" s="1318">
        <f>CT139/CS139-1</f>
        <v/>
      </c>
      <c r="CU140" s="1318">
        <f>CU139/CT139-1</f>
        <v/>
      </c>
      <c r="CV140" s="1318">
        <f>CV139/CU139-1</f>
        <v/>
      </c>
      <c r="CW140" s="1318">
        <f>CW139/CV139-1</f>
        <v/>
      </c>
      <c r="CX140" s="1318">
        <f>CX139/CW139-1</f>
        <v/>
      </c>
      <c r="CY140" s="1318">
        <f>CY139/CX139-1</f>
        <v/>
      </c>
      <c r="CZ140" s="1318">
        <f>CZ139/CY139-1</f>
        <v/>
      </c>
      <c r="DA140" s="1318">
        <f>DA139/CZ139-1</f>
        <v/>
      </c>
      <c r="DB140" s="1318">
        <f>DB139/DA139-1</f>
        <v/>
      </c>
      <c r="DC140" s="1318">
        <f>DC139/DB139-1</f>
        <v/>
      </c>
      <c r="DD140" s="1318">
        <f>DD139/DC139-1</f>
        <v/>
      </c>
      <c r="DE140" s="1318">
        <f>DE139/DD139-1</f>
        <v/>
      </c>
      <c r="DF140" s="1318">
        <f>DF139/DE139-1</f>
        <v/>
      </c>
      <c r="DG140" s="1318">
        <f>DG139/DF139-1</f>
        <v/>
      </c>
      <c r="DH140" s="1318">
        <f>DH139/DG139-1</f>
        <v/>
      </c>
      <c r="DI140" s="1318">
        <f>DI139/DH139-1</f>
        <v/>
      </c>
      <c r="DJ140" s="1318">
        <f>DJ139/DI139-1</f>
        <v/>
      </c>
      <c r="DK140" s="1318">
        <f>DK139/DJ139-1</f>
        <v/>
      </c>
      <c r="DL140" s="1318">
        <f>DL139/DK139-1</f>
        <v/>
      </c>
      <c r="DM140" s="1318">
        <f>DM139/DL139-1</f>
        <v/>
      </c>
      <c r="DN140" s="1318">
        <f>DN139/DM139-1</f>
        <v/>
      </c>
      <c r="DO140" s="1318">
        <f>DO139/DN139-1</f>
        <v/>
      </c>
      <c r="DP140" s="1318">
        <f>DP139/DO139-1</f>
        <v/>
      </c>
      <c r="DQ140" s="1318">
        <f>DQ139/DP139-1</f>
        <v/>
      </c>
      <c r="DR140" s="1318">
        <f>DR139/DQ139-1</f>
        <v/>
      </c>
      <c r="DS140" s="1318">
        <f>DS139/DR139-1</f>
        <v/>
      </c>
      <c r="DT140" s="1318">
        <f>DT139/DS139-1</f>
        <v/>
      </c>
      <c r="DU140" s="1318">
        <f>DU139/DT139-1</f>
        <v/>
      </c>
      <c r="DV140" s="1318">
        <f>DV139/DU139-1</f>
        <v/>
      </c>
      <c r="DW140" s="1318">
        <f>DW139/DV139-1</f>
        <v/>
      </c>
      <c r="DX140" s="1318">
        <f>DX139/DW139-1</f>
        <v/>
      </c>
      <c r="DY140" s="1318">
        <f>DY139/DX139-1</f>
        <v/>
      </c>
      <c r="DZ140" s="1318">
        <f>DZ139/DY139-1</f>
        <v/>
      </c>
      <c r="EA140" s="1318">
        <f>EA139/DZ139-1</f>
        <v/>
      </c>
      <c r="EB140" s="1318">
        <f>EB139/EA139-1</f>
        <v/>
      </c>
      <c r="EC140" s="1318">
        <f>EC139/EB139-1</f>
        <v/>
      </c>
      <c r="ED140" s="1318">
        <f>ED139/EC139-1</f>
        <v/>
      </c>
      <c r="EE140" s="1318">
        <f>EE139/ED139-1</f>
        <v/>
      </c>
      <c r="EF140" s="1318">
        <f>EF139/EE139-1</f>
        <v/>
      </c>
      <c r="EG140" s="1318">
        <f>EG139/EF139-1</f>
        <v/>
      </c>
      <c r="EH140" s="1318">
        <f>EH139/EG139-1</f>
        <v/>
      </c>
      <c r="EI140" s="1318">
        <f>EI139/EH139-1</f>
        <v/>
      </c>
      <c r="EJ140" s="1318">
        <f>EJ139/EI139-1</f>
        <v/>
      </c>
      <c r="EK140" s="1318">
        <f>EK139/EJ139-1</f>
        <v/>
      </c>
      <c r="EL140" s="1318">
        <f>EL139/EK139-1</f>
        <v/>
      </c>
      <c r="EM140" s="1318">
        <f>EM139/EL139-1</f>
        <v/>
      </c>
      <c r="EN140" s="1318">
        <f>EN139/EM139-1</f>
        <v/>
      </c>
      <c r="EO140" s="1318">
        <f>EO139/EN139-1</f>
        <v/>
      </c>
      <c r="EP140" s="1318">
        <f>EP139/EO139-1</f>
        <v/>
      </c>
      <c r="EQ140" s="1318">
        <f>EQ139/EP139-1</f>
        <v/>
      </c>
      <c r="ER140" s="1318">
        <f>ER139/EQ139-1</f>
        <v/>
      </c>
      <c r="ES140" s="1318">
        <f>ES139/ER139-1</f>
        <v/>
      </c>
      <c r="ET140" s="1318">
        <f>ET139/ES139-1</f>
        <v/>
      </c>
      <c r="EU140" s="1318">
        <f>EU139/ET139-1</f>
        <v/>
      </c>
      <c r="EV140" s="1318">
        <f>EV139/EU139-1</f>
        <v/>
      </c>
      <c r="EW140" s="1318">
        <f>EW139/EV139-1</f>
        <v/>
      </c>
      <c r="EX140" s="1318">
        <f>EX139/EW139-1</f>
        <v/>
      </c>
      <c r="EY140" s="1318">
        <f>EY139/EX139-1</f>
        <v/>
      </c>
      <c r="EZ140" s="1318">
        <f>EZ139/EY139-1</f>
        <v/>
      </c>
      <c r="FA140" s="1318">
        <f>FA139/EZ139-1</f>
        <v/>
      </c>
      <c r="FB140" s="1318" t="n">
        <v>-0.01482310353376171</v>
      </c>
      <c r="FC140" s="1318" t="n">
        <v>-0.02663302104895149</v>
      </c>
      <c r="FD140" s="1318" t="n">
        <v>0.005351838345827309</v>
      </c>
      <c r="FE140" s="1318" t="n">
        <v>0.002085378206218014</v>
      </c>
      <c r="FF140" s="1318" t="n">
        <v>-0.00677141024860306</v>
      </c>
      <c r="FG140" s="1318" t="n">
        <v>-0.00677141024860306</v>
      </c>
      <c r="FH140" s="1318" t="n">
        <v>-0.02075524797602091</v>
      </c>
      <c r="FI140" s="1318" t="n">
        <v>-0.003035715156313956</v>
      </c>
      <c r="FJ140" s="1318" t="n">
        <v>0.008961052246447831</v>
      </c>
      <c r="FK140" s="1318" t="n">
        <v>-0.009373479214915159</v>
      </c>
      <c r="FL140" s="1318" t="n">
        <v>0.02151072840332002</v>
      </c>
      <c r="FM140" s="1318" t="n">
        <v>0.03411850439175756</v>
      </c>
      <c r="FN140" s="1318">
        <f>FN139/FM139-1</f>
        <v/>
      </c>
      <c r="FO140" s="1318">
        <f>FO139/FN139-1</f>
        <v/>
      </c>
      <c r="FP140" s="1318">
        <f>FP139/FO139-1</f>
        <v/>
      </c>
      <c r="FQ140" s="1318">
        <f>FQ139/FP139-1</f>
        <v/>
      </c>
      <c r="FR140" s="1318" t="n">
        <v>0.004626527790631885</v>
      </c>
      <c r="FS140" s="1318" t="n">
        <v>0.01966377551050202</v>
      </c>
      <c r="FT140" s="1318" t="n">
        <v>0.02406200635801392</v>
      </c>
      <c r="FU140" s="1318" t="n">
        <v>-0.005331185128203075</v>
      </c>
      <c r="FV140" s="1318" t="n">
        <v>0.01183091343422826</v>
      </c>
      <c r="FW140" s="1318">
        <f>FW139/FV139-1</f>
        <v/>
      </c>
      <c r="FX140" s="1318">
        <f>FX139/FW139-1</f>
        <v/>
      </c>
      <c r="FY140" s="1318">
        <f>FY139/FX139-1</f>
        <v/>
      </c>
      <c r="FZ140" s="1318">
        <f>FZ139/FY139-1</f>
        <v/>
      </c>
      <c r="GA140" s="1318">
        <f>GA139/FZ139-1</f>
        <v/>
      </c>
      <c r="GB140" s="1318">
        <f>GB139/GA139-1</f>
        <v/>
      </c>
      <c r="GC140" s="1318">
        <f>GC139/GB139-1</f>
        <v/>
      </c>
      <c r="GD140" s="1318">
        <f>GD139/GC139-1</f>
        <v/>
      </c>
      <c r="GE140" s="1318">
        <f>GE139/GD139-1</f>
        <v/>
      </c>
      <c r="GF140" s="1318">
        <f>GF139/GE139-1</f>
        <v/>
      </c>
      <c r="GG140" s="1318">
        <f>GG139/GF139-1</f>
        <v/>
      </c>
      <c r="GH140" s="1318">
        <f>GH139/GG139-1</f>
        <v/>
      </c>
      <c r="GI140" s="1318">
        <f>GI139/GH139-1</f>
        <v/>
      </c>
      <c r="GJ140" s="1318">
        <f>GJ139/GI139-1</f>
        <v/>
      </c>
      <c r="GK140" s="1318">
        <f>GK139/GJ139-1</f>
        <v/>
      </c>
      <c r="GL140" s="1318">
        <f>GL139/GK139-1</f>
        <v/>
      </c>
      <c r="GM140" s="1318">
        <f>GM139/GL139-1</f>
        <v/>
      </c>
      <c r="GN140" s="1318">
        <f>GN139/GM139-1</f>
        <v/>
      </c>
      <c r="GO140" s="1318">
        <f>GO139/GN139-1</f>
        <v/>
      </c>
      <c r="GP140" s="1318">
        <f>GP139/GO139-1</f>
        <v/>
      </c>
      <c r="GQ140" s="1318">
        <f>GQ139/GP139-1</f>
        <v/>
      </c>
      <c r="GR140" s="1318">
        <f>GR139/GQ139-1</f>
        <v/>
      </c>
      <c r="GS140" s="1318">
        <f>GS139/GR139-1</f>
        <v/>
      </c>
      <c r="GT140" s="1318">
        <f>GT139/GS139-1</f>
        <v/>
      </c>
      <c r="GU140" s="1318">
        <f>GU139/GT139-1</f>
        <v/>
      </c>
      <c r="GV140" s="1318">
        <f>GV139/GU139-1</f>
        <v/>
      </c>
      <c r="GW140" s="1318">
        <f>GW139/GV139-1</f>
        <v/>
      </c>
      <c r="GX140" s="1318">
        <f>GX139/GW139-1</f>
        <v/>
      </c>
      <c r="GY140" s="1318">
        <f>GY139/GX139-1</f>
        <v/>
      </c>
      <c r="GZ140" s="1318">
        <f>GZ139/GY139-1</f>
        <v/>
      </c>
      <c r="HA140" s="1318">
        <f>HA139/GZ139-1</f>
        <v/>
      </c>
      <c r="HB140" s="1318">
        <f>HB139/HA139-1</f>
        <v/>
      </c>
      <c r="HC140" s="1318">
        <f>HC139/HB139-1</f>
        <v/>
      </c>
      <c r="HD140" s="1318">
        <f>HD139/HC139-1</f>
        <v/>
      </c>
      <c r="HE140" s="1318">
        <f>HE139/HD139-1</f>
        <v/>
      </c>
      <c r="HF140" s="1318">
        <f>HF139/HE139-1</f>
        <v/>
      </c>
      <c r="HG140" s="1318">
        <f>HG139/HF139-1</f>
        <v/>
      </c>
      <c r="HH140" s="1318">
        <f>HH139/HG139-1</f>
        <v/>
      </c>
      <c r="HI140" s="1318">
        <f>HI139/HH139-1</f>
        <v/>
      </c>
      <c r="HJ140" s="1318">
        <f>HJ139/HI139-1</f>
        <v/>
      </c>
      <c r="HK140" s="1318">
        <f>HK139/HJ139-1</f>
        <v/>
      </c>
      <c r="HL140" s="1318">
        <f>HL139/HK139-1</f>
        <v/>
      </c>
      <c r="HM140" s="1318">
        <f>HM139/HL139-1</f>
        <v/>
      </c>
      <c r="HN140" s="1318">
        <f>HN139/HM139-1</f>
        <v/>
      </c>
      <c r="HO140" s="1318">
        <f>HO139/HN139-1</f>
        <v/>
      </c>
      <c r="HP140" s="1318">
        <f>HP139/HO139-1</f>
        <v/>
      </c>
      <c r="HQ140" s="1318">
        <f>HQ139/HP139-1</f>
        <v/>
      </c>
      <c r="HR140" s="1318">
        <f>HR139/HQ139-1</f>
        <v/>
      </c>
      <c r="HS140" s="1318">
        <f>HS139/HR139-1</f>
        <v/>
      </c>
      <c r="HT140" s="1318">
        <f>HT139/HS139-1</f>
        <v/>
      </c>
      <c r="HU140" s="1318">
        <f>HU139/HT139-1</f>
        <v/>
      </c>
      <c r="HV140" s="1318">
        <f>HV139/HU139-1</f>
        <v/>
      </c>
      <c r="HW140" s="1318">
        <f>HW139/HV139-1</f>
        <v/>
      </c>
      <c r="HX140" s="1318">
        <f>HX139/HW139-1</f>
        <v/>
      </c>
      <c r="HY140" s="1318">
        <f>HY139/HX139-1</f>
        <v/>
      </c>
      <c r="HZ140" s="1318">
        <f>HZ139/HY139-1</f>
        <v/>
      </c>
      <c r="IA140" s="1318">
        <f>IA139/HZ139-1</f>
        <v/>
      </c>
      <c r="IB140" s="1318">
        <f>IB139/IA139-1</f>
        <v/>
      </c>
      <c r="IC140" s="1318">
        <f>IC139/IB139-1</f>
        <v/>
      </c>
      <c r="ID140" s="1318">
        <f>ID139/IC139-1</f>
        <v/>
      </c>
      <c r="IE140" s="1318">
        <f>IE139/ID139-1</f>
        <v/>
      </c>
      <c r="IF140" s="1318">
        <f>IF139/IE139-1</f>
        <v/>
      </c>
      <c r="IG140" s="1318">
        <f>IG139/IF139-1</f>
        <v/>
      </c>
      <c r="IH140" s="1318">
        <f>IH139/IG139-1</f>
        <v/>
      </c>
      <c r="II140" s="1318">
        <f>II139/IH139-1</f>
        <v/>
      </c>
      <c r="IJ140" s="1318">
        <f>IJ139/II139-1</f>
        <v/>
      </c>
      <c r="IK140" s="1318">
        <f>IK139/IJ139-1</f>
        <v/>
      </c>
      <c r="IL140" s="1318">
        <f>IL139/IK139-1</f>
        <v/>
      </c>
      <c r="IM140" s="1318">
        <f>IM139/IL139-1</f>
        <v/>
      </c>
      <c r="IN140" s="1318">
        <f>IN139/IM139-1</f>
        <v/>
      </c>
      <c r="IO140" s="1318">
        <f>IO139/IN139-1</f>
        <v/>
      </c>
      <c r="IP140" s="1318">
        <f>IP139/IO139-1</f>
        <v/>
      </c>
      <c r="IQ140" s="1318">
        <f>IQ139/IP139-1</f>
        <v/>
      </c>
      <c r="IR140" s="1318">
        <f>IR139/IQ139-1</f>
        <v/>
      </c>
      <c r="IS140" s="1318">
        <f>IS139/IR139-1</f>
        <v/>
      </c>
      <c r="IT140" s="1318">
        <f>IT139/IS139-1</f>
        <v/>
      </c>
      <c r="IU140" s="1318">
        <f>IU139/IT139-1</f>
        <v/>
      </c>
      <c r="IV140" s="1318">
        <f>IV139/IU139-1</f>
        <v/>
      </c>
      <c r="IW140" s="1318">
        <f>IW139/IV139-1</f>
        <v/>
      </c>
      <c r="IX140" s="1318">
        <f>IX139/IW139-1</f>
        <v/>
      </c>
      <c r="IY140" s="1318">
        <f>IY139/IX139-1</f>
        <v/>
      </c>
      <c r="IZ140" s="1318">
        <f>IZ139/IY139-1</f>
        <v/>
      </c>
      <c r="JA140" s="1318">
        <f>JA139/IZ139-1</f>
        <v/>
      </c>
      <c r="JB140" s="1318">
        <f>JB139/JA139-1</f>
        <v/>
      </c>
      <c r="JC140" s="1318">
        <f>JC139/JB139-1</f>
        <v/>
      </c>
      <c r="JD140" s="1318">
        <f>JD139/JC139-1</f>
        <v/>
      </c>
      <c r="JE140" s="1318">
        <f>JE139/JD139-1</f>
        <v/>
      </c>
      <c r="JF140" s="1318">
        <f>JF139/JE139-1</f>
        <v/>
      </c>
      <c r="JG140" s="1318">
        <f>JG139/JF139-1</f>
        <v/>
      </c>
      <c r="JH140" s="1318">
        <f>JH139/JG139-1</f>
        <v/>
      </c>
      <c r="JI140" s="1318">
        <f>JI139/JH139-1</f>
        <v/>
      </c>
      <c r="JJ140" s="1318">
        <f>JJ139/JI139-1</f>
        <v/>
      </c>
      <c r="JK140" s="1318">
        <f>JK139/JJ139-1</f>
        <v/>
      </c>
      <c r="JL140" s="1318">
        <f>JL139/JK139-1</f>
        <v/>
      </c>
      <c r="JM140" s="1318">
        <f>JM139/JL139-1</f>
        <v/>
      </c>
      <c r="JN140" s="1318">
        <f>JN139/JM139-1</f>
        <v/>
      </c>
      <c r="JO140" s="1318">
        <f>JO139/JN139-1</f>
        <v/>
      </c>
      <c r="JP140" s="1318">
        <f>JP139/JO139-1</f>
        <v/>
      </c>
      <c r="JQ140" s="1318">
        <f>JQ139/JP139-1</f>
        <v/>
      </c>
      <c r="JR140" s="1318">
        <f>JR139/JQ139-1</f>
        <v/>
      </c>
      <c r="JS140" s="1318">
        <f>JS139/JR139-1</f>
        <v/>
      </c>
      <c r="JT140" s="1318">
        <f>JT139/JS139-1</f>
        <v/>
      </c>
      <c r="JU140" s="1318">
        <f>JU139/JT139-1</f>
        <v/>
      </c>
      <c r="JV140" s="1318">
        <f>JV139/JU139-1</f>
        <v/>
      </c>
      <c r="JW140" s="1318">
        <f>JW139/JV139-1</f>
        <v/>
      </c>
      <c r="JX140" s="1318">
        <f>JX139/JW139-1</f>
        <v/>
      </c>
      <c r="JY140" s="1318">
        <f>JY139/JX139-1</f>
        <v/>
      </c>
      <c r="JZ140" s="1318">
        <f>JZ139/JY139-1</f>
        <v/>
      </c>
      <c r="KA140" s="1318">
        <f>KA139/JZ139-1</f>
        <v/>
      </c>
      <c r="KB140" s="1318">
        <f>KB139/KA139-1</f>
        <v/>
      </c>
      <c r="KC140" s="1318">
        <f>KC139/KB139-1</f>
        <v/>
      </c>
      <c r="KD140" s="1318">
        <f>KD139/KC139-1</f>
        <v/>
      </c>
      <c r="KE140" s="1318">
        <f>KE139/KD139-1</f>
        <v/>
      </c>
      <c r="KF140" s="1318">
        <f>KF139/KE139-1</f>
        <v/>
      </c>
      <c r="KG140" s="1318">
        <f>KG139/KF139-1</f>
        <v/>
      </c>
      <c r="KH140" s="1318">
        <f>KH139/KG139-1</f>
        <v/>
      </c>
      <c r="KI140" s="1318">
        <f>KI139/KH139-1</f>
        <v/>
      </c>
      <c r="KJ140" s="1318">
        <f>KJ139/KI139-1</f>
        <v/>
      </c>
      <c r="KK140" s="1318">
        <f>KK139/KJ139-1</f>
        <v/>
      </c>
      <c r="KL140" s="1318">
        <f>KL139/KK139-1</f>
        <v/>
      </c>
      <c r="KM140" s="1318">
        <f>KM139/KL139-1</f>
        <v/>
      </c>
      <c r="KN140" s="1318">
        <f>KN139/KM139-1</f>
        <v/>
      </c>
      <c r="KO140" s="1318">
        <f>KO139/KN139-1</f>
        <v/>
      </c>
      <c r="KP140" s="1318">
        <f>KP139/KO139-1</f>
        <v/>
      </c>
      <c r="KQ140" s="1318">
        <f>KQ139/KP139-1</f>
        <v/>
      </c>
      <c r="KR140" s="1318">
        <f>KR139/KQ139-1</f>
        <v/>
      </c>
      <c r="KS140" s="1318">
        <f>KS139/KR139-1</f>
        <v/>
      </c>
      <c r="KT140" s="1318">
        <f>KT139/KS139-1</f>
        <v/>
      </c>
      <c r="KU140" s="1318">
        <f>KU139/KT139-1</f>
        <v/>
      </c>
      <c r="KV140" s="1318">
        <f>KV139/KU139-1</f>
        <v/>
      </c>
      <c r="KW140" s="1318">
        <f>KW139/KV139-1</f>
        <v/>
      </c>
      <c r="KX140" s="1318">
        <f>KX139/KW139-1</f>
        <v/>
      </c>
      <c r="KY140" s="1318">
        <f>KY139/KX139-1</f>
        <v/>
      </c>
      <c r="KZ140" s="1318">
        <f>KZ139/KY139-1</f>
        <v/>
      </c>
      <c r="LA140" s="1318">
        <f>LA139/KZ139-1</f>
        <v/>
      </c>
      <c r="LB140" s="1318">
        <f>LB139/LA139-1</f>
        <v/>
      </c>
      <c r="LC140" s="1318">
        <f>LC139/LB139-1</f>
        <v/>
      </c>
      <c r="LD140" s="1318">
        <f>LD139/LC139-1</f>
        <v/>
      </c>
      <c r="LE140" s="1318">
        <f>LE139/LD139-1</f>
        <v/>
      </c>
      <c r="LF140" s="1318">
        <f>LF139/LE139-1</f>
        <v/>
      </c>
      <c r="LG140" s="1318">
        <f>LG139/LF139-1</f>
        <v/>
      </c>
      <c r="LH140" s="1318">
        <f>LH139/LG139-1</f>
        <v/>
      </c>
      <c r="LI140" s="1318">
        <f>LI139/LH139-1</f>
        <v/>
      </c>
      <c r="LJ140" s="1318">
        <f>LJ139/LI139-1</f>
        <v/>
      </c>
      <c r="LK140" s="1318">
        <f>LK139/LJ139-1</f>
        <v/>
      </c>
      <c r="LL140" s="1318">
        <f>LL139/LK139-1</f>
        <v/>
      </c>
      <c r="LM140" s="1318">
        <f>LM139/LL139-1</f>
        <v/>
      </c>
      <c r="LN140" s="1318">
        <f>LN139/LM139-1</f>
        <v/>
      </c>
      <c r="LO140" s="1318">
        <f>LO139/LN139-1</f>
        <v/>
      </c>
      <c r="LP140" s="1318">
        <f>LP139/LO139-1</f>
        <v/>
      </c>
      <c r="LQ140" s="1318">
        <f>LQ139/LP139-1</f>
        <v/>
      </c>
      <c r="LR140" s="1318">
        <f>LR139/LQ139-1</f>
        <v/>
      </c>
      <c r="LS140" s="1318">
        <f>LS139/LR139-1</f>
        <v/>
      </c>
    </row>
    <row r="141">
      <c r="A141" s="885" t="inlineStr">
        <is>
          <t>YoY cg %</t>
        </is>
      </c>
      <c r="B141" s="1318" t="n"/>
      <c r="C141" s="1318" t="n"/>
      <c r="D141" s="1318" t="n"/>
      <c r="E141" s="1318" t="n"/>
      <c r="F141" s="1318" t="n"/>
      <c r="G141" s="1318" t="n"/>
      <c r="H141" s="1318" t="n"/>
      <c r="I141" s="1318" t="n"/>
      <c r="J141" s="1318" t="n"/>
      <c r="K141" s="1318" t="n"/>
      <c r="L141" s="1318" t="n"/>
      <c r="M141" s="1318" t="n"/>
      <c r="N141" s="1318">
        <f>N139/B139-1</f>
        <v/>
      </c>
      <c r="O141" s="1318">
        <f>O139/C139-1</f>
        <v/>
      </c>
      <c r="P141" s="1318">
        <f>P139/D139-1</f>
        <v/>
      </c>
      <c r="Q141" s="1318">
        <f>Q139/E139-1</f>
        <v/>
      </c>
      <c r="R141" s="1318">
        <f>R139/F139-1</f>
        <v/>
      </c>
      <c r="S141" s="1318">
        <f>S139/G139-1</f>
        <v/>
      </c>
      <c r="T141" s="1318">
        <f>T139/H139-1</f>
        <v/>
      </c>
      <c r="U141" s="1318">
        <f>U139/I139-1</f>
        <v/>
      </c>
      <c r="V141" s="1318">
        <f>V139/J139-1</f>
        <v/>
      </c>
      <c r="W141" s="1318">
        <f>W139/K139-1</f>
        <v/>
      </c>
      <c r="X141" s="1318">
        <f>X139/L139-1</f>
        <v/>
      </c>
      <c r="Y141" s="1318">
        <f>Y139/M139-1</f>
        <v/>
      </c>
      <c r="Z141" s="1318">
        <f>Z139/N139-1</f>
        <v/>
      </c>
      <c r="AA141" s="1318">
        <f>AA139/O139-1</f>
        <v/>
      </c>
      <c r="AB141" s="1318">
        <f>AB139/P139-1</f>
        <v/>
      </c>
      <c r="AC141" s="1318">
        <f>AC139/Q139-1</f>
        <v/>
      </c>
      <c r="AD141" s="1318">
        <f>AD139/R139-1</f>
        <v/>
      </c>
      <c r="AE141" s="1318">
        <f>AE139/S139-1</f>
        <v/>
      </c>
      <c r="AF141" s="1318">
        <f>AF139/T139-1</f>
        <v/>
      </c>
      <c r="AG141" s="1318">
        <f>AG139/U139-1</f>
        <v/>
      </c>
      <c r="AH141" s="1318">
        <f>AH139/V139-1</f>
        <v/>
      </c>
      <c r="AI141" s="1318">
        <f>AI139/W139-1</f>
        <v/>
      </c>
      <c r="AJ141" s="1318">
        <f>AJ139/X139-1</f>
        <v/>
      </c>
      <c r="AK141" s="1318">
        <f>AK139/Y139-1</f>
        <v/>
      </c>
      <c r="AL141" s="1318">
        <f>AL139/Z139-1</f>
        <v/>
      </c>
      <c r="AM141" s="1318">
        <f>AM139/AA139-1</f>
        <v/>
      </c>
      <c r="AN141" s="1318">
        <f>AN139/AB139-1</f>
        <v/>
      </c>
      <c r="AO141" s="1318">
        <f>AO139/AC139-1</f>
        <v/>
      </c>
      <c r="AP141" s="1318">
        <f>AP139/AD139-1</f>
        <v/>
      </c>
      <c r="AQ141" s="1318">
        <f>AQ139/AE139-1</f>
        <v/>
      </c>
      <c r="AR141" s="1318">
        <f>AR139/AF139-1</f>
        <v/>
      </c>
      <c r="AS141" s="1318">
        <f>AS139/AG139-1</f>
        <v/>
      </c>
      <c r="AT141" s="1318">
        <f>AT139/AH139-1</f>
        <v/>
      </c>
      <c r="AU141" s="1318">
        <f>AU139/AI139-1</f>
        <v/>
      </c>
      <c r="AV141" s="1318">
        <f>AV139/AJ139-1</f>
        <v/>
      </c>
      <c r="AW141" s="1318">
        <f>AW139/AK139-1</f>
        <v/>
      </c>
      <c r="AX141" s="1318">
        <f>AX139/AL139-1</f>
        <v/>
      </c>
      <c r="AY141" s="1318">
        <f>AY139/AM139-1</f>
        <v/>
      </c>
      <c r="AZ141" s="1318">
        <f>AZ139/AN139-1</f>
        <v/>
      </c>
      <c r="BA141" s="1318">
        <f>BA139/AO139-1</f>
        <v/>
      </c>
      <c r="BB141" s="1318">
        <f>BB139/AP139-1</f>
        <v/>
      </c>
      <c r="BC141" s="1318">
        <f>BC139/AQ139-1</f>
        <v/>
      </c>
      <c r="BD141" s="1318">
        <f>BD139/AR139-1</f>
        <v/>
      </c>
      <c r="BE141" s="1318">
        <f>BE139/AS139-1</f>
        <v/>
      </c>
      <c r="BF141" s="1318">
        <f>BF139/AT139-1</f>
        <v/>
      </c>
      <c r="BG141" s="1318">
        <f>BG139/AU139-1</f>
        <v/>
      </c>
      <c r="BH141" s="1318">
        <f>BH139/AV139-1</f>
        <v/>
      </c>
      <c r="BI141" s="1318">
        <f>BI139/AW139-1</f>
        <v/>
      </c>
      <c r="BJ141" s="1318">
        <f>BJ139/AX139-1</f>
        <v/>
      </c>
      <c r="BK141" s="1318">
        <f>BK139/AY139-1</f>
        <v/>
      </c>
      <c r="BL141" s="1318">
        <f>BL139/AZ139-1</f>
        <v/>
      </c>
      <c r="BM141" s="1318">
        <f>BM139/BA139-1</f>
        <v/>
      </c>
      <c r="BN141" s="1318">
        <f>BN139/BB139-1</f>
        <v/>
      </c>
      <c r="BO141" s="1318">
        <f>BO139/BC139-1</f>
        <v/>
      </c>
      <c r="BP141" s="1318">
        <f>BP139/BD139-1</f>
        <v/>
      </c>
      <c r="BQ141" s="1318">
        <f>BQ139/BE139-1</f>
        <v/>
      </c>
      <c r="BR141" s="1318">
        <f>BR139/BF139-1</f>
        <v/>
      </c>
      <c r="BS141" s="1318">
        <f>BS139/BG139-1</f>
        <v/>
      </c>
      <c r="BT141" s="1318">
        <f>BT139/BH139-1</f>
        <v/>
      </c>
      <c r="BU141" s="1318">
        <f>BU139/BI139-1</f>
        <v/>
      </c>
      <c r="BV141" s="1318">
        <f>BV139/BJ139-1</f>
        <v/>
      </c>
      <c r="BW141" s="1318">
        <f>BW139/BK139-1</f>
        <v/>
      </c>
      <c r="BX141" s="1318">
        <f>BX139/BL139-1</f>
        <v/>
      </c>
      <c r="BY141" s="1318">
        <f>BY139/BM139-1</f>
        <v/>
      </c>
      <c r="BZ141" s="1318">
        <f>BZ139/BN139-1</f>
        <v/>
      </c>
      <c r="CA141" s="1318">
        <f>CA139/BO139-1</f>
        <v/>
      </c>
      <c r="CB141" s="1318">
        <f>CB139/BP139-1</f>
        <v/>
      </c>
      <c r="CC141" s="1318">
        <f>CC139/BQ139-1</f>
        <v/>
      </c>
      <c r="CD141" s="1318">
        <f>CD139/BR139-1</f>
        <v/>
      </c>
      <c r="CE141" s="1318">
        <f>CE139/BS139-1</f>
        <v/>
      </c>
      <c r="CF141" s="1318">
        <f>CF139/BT139-1</f>
        <v/>
      </c>
      <c r="CG141" s="1318">
        <f>CG139/BU139-1</f>
        <v/>
      </c>
      <c r="CH141" s="1318">
        <f>CH139/BV139-1</f>
        <v/>
      </c>
      <c r="CI141" s="1318">
        <f>CI139/BW139-1</f>
        <v/>
      </c>
      <c r="CJ141" s="1318">
        <f>CJ139/BX139-1</f>
        <v/>
      </c>
      <c r="CK141" s="1318">
        <f>CK139/BY139-1</f>
        <v/>
      </c>
      <c r="CL141" s="1318">
        <f>CL139/BZ139-1</f>
        <v/>
      </c>
      <c r="CM141" s="1318">
        <f>CM139/CA139-1</f>
        <v/>
      </c>
      <c r="CN141" s="1318">
        <f>CN139/CB139-1</f>
        <v/>
      </c>
      <c r="CO141" s="1318">
        <f>CO139/CC139-1</f>
        <v/>
      </c>
      <c r="CP141" s="1318">
        <f>CP139/CD139-1</f>
        <v/>
      </c>
      <c r="CQ141" s="1318">
        <f>CQ139/CE139-1</f>
        <v/>
      </c>
      <c r="CR141" s="1318">
        <f>CR139/CF139-1</f>
        <v/>
      </c>
      <c r="CS141" s="1318">
        <f>CS139/CG139-1</f>
        <v/>
      </c>
      <c r="CT141" s="1318">
        <f>CT139/CH139-1</f>
        <v/>
      </c>
      <c r="CU141" s="1318">
        <f>CU139/CI139-1</f>
        <v/>
      </c>
      <c r="CV141" s="1318">
        <f>CV139/CJ139-1</f>
        <v/>
      </c>
      <c r="CW141" s="1318">
        <f>CW139/CK139-1</f>
        <v/>
      </c>
      <c r="CX141" s="1318">
        <f>CX139/CL139-1</f>
        <v/>
      </c>
      <c r="CY141" s="1318">
        <f>CY139/CM139-1</f>
        <v/>
      </c>
      <c r="CZ141" s="1318">
        <f>CZ139/CN139-1</f>
        <v/>
      </c>
      <c r="DA141" s="1318">
        <f>DA139/CO139-1</f>
        <v/>
      </c>
      <c r="DB141" s="1318">
        <f>DB139/CP139-1</f>
        <v/>
      </c>
      <c r="DC141" s="1318">
        <f>DC139/CQ139-1</f>
        <v/>
      </c>
      <c r="DD141" s="1318">
        <f>DD139/CR139-1</f>
        <v/>
      </c>
      <c r="DE141" s="1318">
        <f>DE139/CS139-1</f>
        <v/>
      </c>
      <c r="DF141" s="1318">
        <f>DF139/CT139-1</f>
        <v/>
      </c>
      <c r="DG141" s="1318">
        <f>DG139/CU139-1</f>
        <v/>
      </c>
      <c r="DH141" s="1318">
        <f>DH139/CV139-1</f>
        <v/>
      </c>
      <c r="DI141" s="1318">
        <f>DI139/CW139-1</f>
        <v/>
      </c>
      <c r="DJ141" s="1318">
        <f>DJ139/CX139-1</f>
        <v/>
      </c>
      <c r="DK141" s="1318">
        <f>DK139/CY139-1</f>
        <v/>
      </c>
      <c r="DL141" s="1318">
        <f>DL139/CZ139-1</f>
        <v/>
      </c>
      <c r="DM141" s="1318">
        <f>DM139/DA139-1</f>
        <v/>
      </c>
      <c r="DN141" s="1318">
        <f>DN139/DB139-1</f>
        <v/>
      </c>
      <c r="DO141" s="1318">
        <f>DO139/DC139-1</f>
        <v/>
      </c>
      <c r="DP141" s="1318">
        <f>DP139/DD139-1</f>
        <v/>
      </c>
      <c r="DQ141" s="1318">
        <f>DQ139/DE139-1</f>
        <v/>
      </c>
      <c r="DR141" s="1318">
        <f>DR139/DF139-1</f>
        <v/>
      </c>
      <c r="DS141" s="1318">
        <f>DS139/DG139-1</f>
        <v/>
      </c>
      <c r="DT141" s="1318">
        <f>DT139/DH139-1</f>
        <v/>
      </c>
      <c r="DU141" s="1318">
        <f>DU139/DI139-1</f>
        <v/>
      </c>
      <c r="DV141" s="1318">
        <f>DV139/DJ139-1</f>
        <v/>
      </c>
      <c r="DW141" s="1318">
        <f>DW139/DK139-1</f>
        <v/>
      </c>
      <c r="DX141" s="1318">
        <f>DX139/DL139-1</f>
        <v/>
      </c>
      <c r="DY141" s="1318">
        <f>DY139/DM139-1</f>
        <v/>
      </c>
      <c r="DZ141" s="1318">
        <f>DZ139/DN139-1</f>
        <v/>
      </c>
      <c r="EA141" s="1318">
        <f>EA139/DO139-1</f>
        <v/>
      </c>
      <c r="EB141" s="1318">
        <f>EB139/DP139-1</f>
        <v/>
      </c>
      <c r="EC141" s="1318">
        <f>EC139/DQ139-1</f>
        <v/>
      </c>
      <c r="ED141" s="1318">
        <f>ED139/DR139-1</f>
        <v/>
      </c>
      <c r="EE141" s="1318">
        <f>EE139/DS139-1</f>
        <v/>
      </c>
      <c r="EF141" s="1318">
        <f>EF139/DT139-1</f>
        <v/>
      </c>
      <c r="EG141" s="1318">
        <f>EG139/DU139-1</f>
        <v/>
      </c>
      <c r="EH141" s="1318">
        <f>EH139/DV139-1</f>
        <v/>
      </c>
      <c r="EI141" s="1318">
        <f>EI139/DW139-1</f>
        <v/>
      </c>
      <c r="EJ141" s="1318">
        <f>EJ139/DX139-1</f>
        <v/>
      </c>
      <c r="EK141" s="1318">
        <f>EK139/DY139-1</f>
        <v/>
      </c>
      <c r="EL141" s="1318">
        <f>EL139/DZ139-1</f>
        <v/>
      </c>
      <c r="EM141" s="1318">
        <f>EM139/EA139-1</f>
        <v/>
      </c>
      <c r="EN141" s="1318">
        <f>EN139/EB139-1</f>
        <v/>
      </c>
      <c r="EO141" s="1318">
        <f>EO139/EC139-1</f>
        <v/>
      </c>
      <c r="EP141" s="1318">
        <f>EP139/ED139-1</f>
        <v/>
      </c>
      <c r="EQ141" s="1318">
        <f>EQ139/EE139-1</f>
        <v/>
      </c>
      <c r="ER141" s="1318">
        <f>ER139/EF139-1</f>
        <v/>
      </c>
      <c r="ES141" s="1318">
        <f>ES139/EG139-1</f>
        <v/>
      </c>
      <c r="ET141" s="1318">
        <f>ET139/EH139-1</f>
        <v/>
      </c>
      <c r="EU141" s="1318">
        <f>EU139/EI139-1</f>
        <v/>
      </c>
      <c r="EV141" s="1318">
        <f>EV139/EJ139-1</f>
        <v/>
      </c>
      <c r="EW141" s="1318">
        <f>EW139/EK139-1</f>
        <v/>
      </c>
      <c r="EX141" s="1318">
        <f>EX139/EL139-1</f>
        <v/>
      </c>
      <c r="EY141" s="1318">
        <f>EY139/EM139-1</f>
        <v/>
      </c>
      <c r="EZ141" s="1318">
        <f>EZ139/EN139-1</f>
        <v/>
      </c>
      <c r="FA141" s="1318">
        <f>FA139/EO139-1</f>
        <v/>
      </c>
      <c r="FB141" s="1318" t="n">
        <v>0.02315532470606363</v>
      </c>
      <c r="FC141" s="1318" t="n">
        <v>0.008616888459163086</v>
      </c>
      <c r="FD141" s="1318" t="n">
        <v>0.01711151451092974</v>
      </c>
      <c r="FE141" s="1318" t="n">
        <v>0.03725632724291716</v>
      </c>
      <c r="FF141" s="1318" t="n">
        <v>0.02199064237979753</v>
      </c>
      <c r="FG141" s="1318" t="n">
        <v>0.02199064237979753</v>
      </c>
      <c r="FH141" s="1318" t="n">
        <v>0.008328344979480873</v>
      </c>
      <c r="FI141" s="1318" t="n">
        <v>0.02444582565423925</v>
      </c>
      <c r="FJ141" s="1318" t="n">
        <v>0.009218533123714456</v>
      </c>
      <c r="FK141" s="1318" t="n">
        <v>-0.007700633744122554</v>
      </c>
      <c r="FL141" s="1318" t="n">
        <v>0.003287142621067662</v>
      </c>
      <c r="FM141" s="1318" t="n">
        <v>0.007179689920782772</v>
      </c>
      <c r="FN141" s="1318">
        <f>FN139/FB139-1</f>
        <v/>
      </c>
      <c r="FO141" s="1318">
        <f>FO139/FC139-1</f>
        <v/>
      </c>
      <c r="FP141" s="1318">
        <f>FP139/FD139-1</f>
        <v/>
      </c>
      <c r="FQ141" s="1318">
        <f>FQ139/FE139-1</f>
        <v/>
      </c>
      <c r="FR141" s="1318">
        <f>FR139/FF139-1</f>
        <v/>
      </c>
      <c r="FS141" s="1318">
        <f>FS139/FG139-1</f>
        <v/>
      </c>
      <c r="FT141" s="1318">
        <f>FT139/FH139-1</f>
        <v/>
      </c>
      <c r="FU141" s="1318">
        <f>FU139/FI139-1</f>
        <v/>
      </c>
      <c r="FV141" s="1318" t="n">
        <v>0.0352831940575673</v>
      </c>
      <c r="FW141" s="1318">
        <f>FW139/FK139-1</f>
        <v/>
      </c>
      <c r="FX141" s="1318">
        <f>FX139/FL139-1</f>
        <v/>
      </c>
      <c r="FY141" s="1318">
        <f>FY139/FM139-1</f>
        <v/>
      </c>
      <c r="FZ141" s="1318">
        <f>FZ139/FN139-1</f>
        <v/>
      </c>
      <c r="GA141" s="1318">
        <f>GA139/FO139-1</f>
        <v/>
      </c>
      <c r="GB141" s="1318">
        <f>GB139/FP139-1</f>
        <v/>
      </c>
      <c r="GC141" s="1318">
        <f>GC139/FQ139-1</f>
        <v/>
      </c>
      <c r="GD141" s="1318">
        <f>GD139/FR139-1</f>
        <v/>
      </c>
      <c r="GE141" s="1318">
        <f>GE139/FS139-1</f>
        <v/>
      </c>
      <c r="GF141" s="1318">
        <f>GF139/FT139-1</f>
        <v/>
      </c>
      <c r="GG141" s="1318">
        <f>GG139/FU139-1</f>
        <v/>
      </c>
      <c r="GH141" s="1318">
        <f>GH139/FV139-1</f>
        <v/>
      </c>
      <c r="GI141" s="1318">
        <f>GI139/FW139-1</f>
        <v/>
      </c>
      <c r="GJ141" s="1318">
        <f>GJ139/FX139-1</f>
        <v/>
      </c>
      <c r="GK141" s="1318">
        <f>GK139/FY139-1</f>
        <v/>
      </c>
      <c r="GL141" s="1318">
        <f>GL139/FZ139-1</f>
        <v/>
      </c>
      <c r="GM141" s="1318">
        <f>GM139/GA139-1</f>
        <v/>
      </c>
      <c r="GN141" s="1318">
        <f>GN139/GB139-1</f>
        <v/>
      </c>
      <c r="GO141" s="1318">
        <f>GO139/GC139-1</f>
        <v/>
      </c>
      <c r="GP141" s="1318">
        <f>GP139/GD139-1</f>
        <v/>
      </c>
      <c r="GQ141" s="1318">
        <f>GQ139/GE139-1</f>
        <v/>
      </c>
      <c r="GR141" s="1318">
        <f>GR139/GF139-1</f>
        <v/>
      </c>
      <c r="GS141" s="1318">
        <f>GS139/GG139-1</f>
        <v/>
      </c>
      <c r="GT141" s="1318">
        <f>GT139/GH139-1</f>
        <v/>
      </c>
      <c r="GU141" s="1318">
        <f>GU139/GI139-1</f>
        <v/>
      </c>
      <c r="GV141" s="1318">
        <f>GV139/GJ139-1</f>
        <v/>
      </c>
      <c r="GW141" s="1318">
        <f>GW139/GK139-1</f>
        <v/>
      </c>
      <c r="GX141" s="1318">
        <f>GX139/GL139-1</f>
        <v/>
      </c>
      <c r="GY141" s="1318">
        <f>GY139/GM139-1</f>
        <v/>
      </c>
      <c r="GZ141" s="1318">
        <f>GZ139/GN139-1</f>
        <v/>
      </c>
      <c r="HA141" s="1318">
        <f>HA139/GO139-1</f>
        <v/>
      </c>
      <c r="HB141" s="1318">
        <f>HB139/GP139-1</f>
        <v/>
      </c>
      <c r="HC141" s="1318">
        <f>HC139/GQ139-1</f>
        <v/>
      </c>
      <c r="HD141" s="1318">
        <f>HD139/GR139-1</f>
        <v/>
      </c>
      <c r="HE141" s="1318">
        <f>HE139/GS139-1</f>
        <v/>
      </c>
      <c r="HF141" s="1318">
        <f>HF139/GT139-1</f>
        <v/>
      </c>
      <c r="HG141" s="1318">
        <f>HG139/GU139-1</f>
        <v/>
      </c>
      <c r="HH141" s="1318">
        <f>HH139/GV139-1</f>
        <v/>
      </c>
      <c r="HI141" s="1318">
        <f>HI139/GW139-1</f>
        <v/>
      </c>
      <c r="HJ141" s="1318">
        <f>HJ139/GX139-1</f>
        <v/>
      </c>
      <c r="HK141" s="1318">
        <f>HK139/GY139-1</f>
        <v/>
      </c>
      <c r="HL141" s="1318">
        <f>HL139/GZ139-1</f>
        <v/>
      </c>
      <c r="HM141" s="1318">
        <f>HM139/HA139-1</f>
        <v/>
      </c>
      <c r="HN141" s="1318">
        <f>HN139/HB139-1</f>
        <v/>
      </c>
      <c r="HO141" s="1318">
        <f>HO139/HC139-1</f>
        <v/>
      </c>
      <c r="HP141" s="1318">
        <f>HP139/HD139-1</f>
        <v/>
      </c>
      <c r="HQ141" s="1318">
        <f>HQ139/HE139-1</f>
        <v/>
      </c>
      <c r="HR141" s="1318">
        <f>HR139/HF139-1</f>
        <v/>
      </c>
      <c r="HS141" s="1318">
        <f>HS139/HG139-1</f>
        <v/>
      </c>
      <c r="HT141" s="1318">
        <f>HT139/HH139-1</f>
        <v/>
      </c>
      <c r="HU141" s="1318">
        <f>HU139/HI139-1</f>
        <v/>
      </c>
      <c r="HV141" s="1318">
        <f>HV139/HJ139-1</f>
        <v/>
      </c>
      <c r="HW141" s="1318">
        <f>HW139/HK139-1</f>
        <v/>
      </c>
      <c r="HX141" s="1318">
        <f>HX139/HL139-1</f>
        <v/>
      </c>
      <c r="HY141" s="1318">
        <f>HY139/HM139-1</f>
        <v/>
      </c>
      <c r="HZ141" s="1318">
        <f>HZ139/HN139-1</f>
        <v/>
      </c>
      <c r="IA141" s="1318">
        <f>IA139/HO139-1</f>
        <v/>
      </c>
      <c r="IB141" s="1318">
        <f>IB139/HP139-1</f>
        <v/>
      </c>
      <c r="IC141" s="1318">
        <f>IC139/HQ139-1</f>
        <v/>
      </c>
      <c r="ID141" s="1318">
        <f>ID139/HR139-1</f>
        <v/>
      </c>
      <c r="IE141" s="1318">
        <f>IE139/HS139-1</f>
        <v/>
      </c>
      <c r="IF141" s="1318">
        <f>IF139/HT139-1</f>
        <v/>
      </c>
      <c r="IG141" s="1318">
        <f>IG139/HU139-1</f>
        <v/>
      </c>
      <c r="IH141" s="1318">
        <f>IH139/HV139-1</f>
        <v/>
      </c>
      <c r="II141" s="1318">
        <f>II139/HW139-1</f>
        <v/>
      </c>
      <c r="IJ141" s="1318">
        <f>IJ139/HX139-1</f>
        <v/>
      </c>
      <c r="IK141" s="1318">
        <f>IK139/HY139-1</f>
        <v/>
      </c>
      <c r="IL141" s="1318">
        <f>IL139/HZ139-1</f>
        <v/>
      </c>
      <c r="IM141" s="1318">
        <f>IM139/IA139-1</f>
        <v/>
      </c>
      <c r="IN141" s="1318">
        <f>IN139/IB139-1</f>
        <v/>
      </c>
      <c r="IO141" s="1318">
        <f>IO139/IC139-1</f>
        <v/>
      </c>
      <c r="IP141" s="1318">
        <f>IP139/ID139-1</f>
        <v/>
      </c>
      <c r="IQ141" s="1318">
        <f>IQ139/IE139-1</f>
        <v/>
      </c>
      <c r="IR141" s="1318">
        <f>IR139/IF139-1</f>
        <v/>
      </c>
      <c r="IS141" s="1318">
        <f>IS139/IG139-1</f>
        <v/>
      </c>
      <c r="IT141" s="1318">
        <f>IT139/IH139-1</f>
        <v/>
      </c>
      <c r="IU141" s="1318">
        <f>IU139/II139-1</f>
        <v/>
      </c>
      <c r="IV141" s="1318">
        <f>IV139/IJ139-1</f>
        <v/>
      </c>
      <c r="IW141" s="1318">
        <f>IW139/IK139-1</f>
        <v/>
      </c>
      <c r="IX141" s="1318">
        <f>IX139/IL139-1</f>
        <v/>
      </c>
      <c r="IY141" s="1318">
        <f>IY139/IM139-1</f>
        <v/>
      </c>
      <c r="IZ141" s="1318">
        <f>IZ139/IN139-1</f>
        <v/>
      </c>
      <c r="JA141" s="1318">
        <f>JA139/IO139-1</f>
        <v/>
      </c>
      <c r="JB141" s="1318">
        <f>JB139/IP139-1</f>
        <v/>
      </c>
      <c r="JC141" s="1318">
        <f>JC139/IQ139-1</f>
        <v/>
      </c>
      <c r="JD141" s="1318">
        <f>JD139/IR139-1</f>
        <v/>
      </c>
      <c r="JE141" s="1318">
        <f>JE139/IS139-1</f>
        <v/>
      </c>
      <c r="JF141" s="1318">
        <f>JF139/IT139-1</f>
        <v/>
      </c>
      <c r="JG141" s="1318">
        <f>JG139/IU139-1</f>
        <v/>
      </c>
      <c r="JH141" s="1318">
        <f>JH139/IV139-1</f>
        <v/>
      </c>
      <c r="JI141" s="1318">
        <f>JI139/IW139-1</f>
        <v/>
      </c>
      <c r="JJ141" s="1318">
        <f>JJ139/IX139-1</f>
        <v/>
      </c>
      <c r="JK141" s="1318">
        <f>JK139/IY139-1</f>
        <v/>
      </c>
      <c r="JL141" s="1318">
        <f>JL139/IZ139-1</f>
        <v/>
      </c>
      <c r="JM141" s="1318">
        <f>JM139/JA139-1</f>
        <v/>
      </c>
      <c r="JN141" s="1318">
        <f>JN139/JB139-1</f>
        <v/>
      </c>
      <c r="JO141" s="1318">
        <f>JO139/JC139-1</f>
        <v/>
      </c>
      <c r="JP141" s="1318">
        <f>JP139/JD139-1</f>
        <v/>
      </c>
      <c r="JQ141" s="1318">
        <f>JQ139/JE139-1</f>
        <v/>
      </c>
      <c r="JR141" s="1318">
        <f>JR139/JF139-1</f>
        <v/>
      </c>
      <c r="JS141" s="1318">
        <f>JS139/JG139-1</f>
        <v/>
      </c>
      <c r="JT141" s="1318">
        <f>JT139/JH139-1</f>
        <v/>
      </c>
      <c r="JU141" s="1318">
        <f>JU139/JI139-1</f>
        <v/>
      </c>
      <c r="JV141" s="1318">
        <f>JV139/JJ139-1</f>
        <v/>
      </c>
      <c r="JW141" s="1318">
        <f>JW139/JK139-1</f>
        <v/>
      </c>
      <c r="JX141" s="1318">
        <f>JX139/JL139-1</f>
        <v/>
      </c>
      <c r="JY141" s="1318">
        <f>JY139/JM139-1</f>
        <v/>
      </c>
      <c r="JZ141" s="1318">
        <f>JZ139/JN139-1</f>
        <v/>
      </c>
      <c r="KA141" s="1318">
        <f>KA139/JO139-1</f>
        <v/>
      </c>
      <c r="KB141" s="1318">
        <f>KB139/JP139-1</f>
        <v/>
      </c>
      <c r="KC141" s="1318">
        <f>KC139/JQ139-1</f>
        <v/>
      </c>
      <c r="KD141" s="1318">
        <f>KD139/JR139-1</f>
        <v/>
      </c>
      <c r="KE141" s="1318">
        <f>KE139/JS139-1</f>
        <v/>
      </c>
      <c r="KF141" s="1318">
        <f>KF139/JT139-1</f>
        <v/>
      </c>
      <c r="KG141" s="1318">
        <f>KG139/JU139-1</f>
        <v/>
      </c>
      <c r="KH141" s="1318">
        <f>KH139/JV139-1</f>
        <v/>
      </c>
      <c r="KI141" s="1318">
        <f>KI139/JW139-1</f>
        <v/>
      </c>
      <c r="KJ141" s="1318">
        <f>KJ139/JX139-1</f>
        <v/>
      </c>
      <c r="KK141" s="1318">
        <f>KK139/JY139-1</f>
        <v/>
      </c>
      <c r="KL141" s="1318">
        <f>KL139/JZ139-1</f>
        <v/>
      </c>
      <c r="KM141" s="1318">
        <f>KM139/KA139-1</f>
        <v/>
      </c>
      <c r="KN141" s="1318">
        <f>KN139/KB139-1</f>
        <v/>
      </c>
      <c r="KO141" s="1318">
        <f>KO139/KC139-1</f>
        <v/>
      </c>
      <c r="KP141" s="1318">
        <f>KP139/KD139-1</f>
        <v/>
      </c>
      <c r="KQ141" s="1318">
        <f>KQ139/KE139-1</f>
        <v/>
      </c>
      <c r="KR141" s="1318">
        <f>KR139/KF139-1</f>
        <v/>
      </c>
      <c r="KS141" s="1318">
        <f>KS139/KG139-1</f>
        <v/>
      </c>
      <c r="KT141" s="1318">
        <f>KT139/KH139-1</f>
        <v/>
      </c>
      <c r="KU141" s="1318">
        <f>KU139/KI139-1</f>
        <v/>
      </c>
      <c r="KV141" s="1318">
        <f>KV139/KJ139-1</f>
        <v/>
      </c>
      <c r="KW141" s="1318">
        <f>KW139/KK139-1</f>
        <v/>
      </c>
      <c r="KX141" s="1318">
        <f>KX139/KL139-1</f>
        <v/>
      </c>
      <c r="KY141" s="1318">
        <f>KY139/KM139-1</f>
        <v/>
      </c>
      <c r="KZ141" s="1318">
        <f>KZ139/KN139-1</f>
        <v/>
      </c>
      <c r="LA141" s="1318">
        <f>LA139/KO139-1</f>
        <v/>
      </c>
      <c r="LB141" s="1318">
        <f>LB139/KP139-1</f>
        <v/>
      </c>
      <c r="LC141" s="1318">
        <f>LC139/KQ139-1</f>
        <v/>
      </c>
      <c r="LD141" s="1318">
        <f>LD139/KR139-1</f>
        <v/>
      </c>
      <c r="LE141" s="1318">
        <f>LE139/KS139-1</f>
        <v/>
      </c>
      <c r="LF141" s="1318">
        <f>LF139/KT139-1</f>
        <v/>
      </c>
      <c r="LG141" s="1318">
        <f>LG139/KU139-1</f>
        <v/>
      </c>
      <c r="LH141" s="1318">
        <f>LH139/KV139-1</f>
        <v/>
      </c>
      <c r="LI141" s="1318">
        <f>LI139/KW139-1</f>
        <v/>
      </c>
      <c r="LJ141" s="1318">
        <f>LJ139/KX139-1</f>
        <v/>
      </c>
      <c r="LK141" s="1318">
        <f>LK139/KY139-1</f>
        <v/>
      </c>
      <c r="LL141" s="1318">
        <f>LL139/KZ139-1</f>
        <v/>
      </c>
      <c r="LM141" s="1318">
        <f>LM139/LA139-1</f>
        <v/>
      </c>
      <c r="LN141" s="1318">
        <f>LN139/LB139-1</f>
        <v/>
      </c>
      <c r="LO141" s="1318">
        <f>LO139/LC139-1</f>
        <v/>
      </c>
      <c r="LP141" s="1318">
        <f>LP139/LD139-1</f>
        <v/>
      </c>
      <c r="LQ141" s="1318">
        <f>LQ139/LE139-1</f>
        <v/>
      </c>
      <c r="LR141" s="1318">
        <f>LR139/LF139-1</f>
        <v/>
      </c>
      <c r="LS141" s="1318">
        <f>LS139/LG139-1</f>
        <v/>
      </c>
    </row>
    <row r="142">
      <c r="A142" s="885" t="inlineStr">
        <is>
          <t>YTD cg %</t>
        </is>
      </c>
      <c r="B142" s="1318" t="n"/>
      <c r="C142" s="1318" t="n"/>
      <c r="D142" s="1318" t="n"/>
      <c r="E142" s="1318" t="n"/>
      <c r="F142" s="1318" t="n"/>
      <c r="G142" s="1318" t="n"/>
      <c r="H142" s="1318" t="n"/>
      <c r="I142" s="1318" t="n"/>
      <c r="J142" s="1318" t="n"/>
      <c r="K142" s="1318" t="n"/>
      <c r="L142" s="1318" t="n"/>
      <c r="M142" s="1318" t="n"/>
      <c r="N142" s="1318">
        <f>SUMIFS(139:139,$8:$8,"&gt;="&amp;DATE(YEAR(N$8),1,1),$8:$8,"&lt;="&amp;EOMONTH(N$8,0))/SUMIFS(139:139,$8:$8,"&gt;="&amp;DATE(YEAR(N$8)-1,1,1),$8:$8,"&lt;="&amp;EOMONTH(N$8,-12))-1</f>
        <v/>
      </c>
      <c r="O142" s="1318">
        <f>SUMIFS(139:139,$8:$8,"&gt;="&amp;DATE(YEAR(O$8),1,1),$8:$8,"&lt;="&amp;EOMONTH(O$8,0))/SUMIFS(139:139,$8:$8,"&gt;="&amp;DATE(YEAR(O$8)-1,1,1),$8:$8,"&lt;="&amp;EOMONTH(O$8,-12))-1</f>
        <v/>
      </c>
      <c r="P142" s="1318">
        <f>SUMIFS(139:139,$8:$8,"&gt;="&amp;DATE(YEAR(P$8),1,1),$8:$8,"&lt;="&amp;EOMONTH(P$8,0))/SUMIFS(139:139,$8:$8,"&gt;="&amp;DATE(YEAR(P$8)-1,1,1),$8:$8,"&lt;="&amp;EOMONTH(P$8,-12))-1</f>
        <v/>
      </c>
      <c r="Q142" s="1318">
        <f>SUMIFS(139:139,$8:$8,"&gt;="&amp;DATE(YEAR(Q$8),1,1),$8:$8,"&lt;="&amp;EOMONTH(Q$8,0))/SUMIFS(139:139,$8:$8,"&gt;="&amp;DATE(YEAR(Q$8)-1,1,1),$8:$8,"&lt;="&amp;EOMONTH(Q$8,-12))-1</f>
        <v/>
      </c>
      <c r="R142" s="1318">
        <f>SUMIFS(139:139,$8:$8,"&gt;="&amp;DATE(YEAR(R$8),1,1),$8:$8,"&lt;="&amp;EOMONTH(R$8,0))/SUMIFS(139:139,$8:$8,"&gt;="&amp;DATE(YEAR(R$8)-1,1,1),$8:$8,"&lt;="&amp;EOMONTH(R$8,-12))-1</f>
        <v/>
      </c>
      <c r="S142" s="1318">
        <f>SUMIFS(139:139,$8:$8,"&gt;="&amp;DATE(YEAR(S$8),1,1),$8:$8,"&lt;="&amp;EOMONTH(S$8,0))/SUMIFS(139:139,$8:$8,"&gt;="&amp;DATE(YEAR(S$8)-1,1,1),$8:$8,"&lt;="&amp;EOMONTH(S$8,-12))-1</f>
        <v/>
      </c>
      <c r="T142" s="1318">
        <f>SUMIFS(139:139,$8:$8,"&gt;="&amp;DATE(YEAR(T$8),1,1),$8:$8,"&lt;="&amp;EOMONTH(T$8,0))/SUMIFS(139:139,$8:$8,"&gt;="&amp;DATE(YEAR(T$8)-1,1,1),$8:$8,"&lt;="&amp;EOMONTH(T$8,-12))-1</f>
        <v/>
      </c>
      <c r="U142" s="1318">
        <f>SUMIFS(139:139,$8:$8,"&gt;="&amp;DATE(YEAR(U$8),1,1),$8:$8,"&lt;="&amp;EOMONTH(U$8,0))/SUMIFS(139:139,$8:$8,"&gt;="&amp;DATE(YEAR(U$8)-1,1,1),$8:$8,"&lt;="&amp;EOMONTH(U$8,-12))-1</f>
        <v/>
      </c>
      <c r="V142" s="1318">
        <f>SUMIFS(139:139,$8:$8,"&gt;="&amp;DATE(YEAR(V$8),1,1),$8:$8,"&lt;="&amp;EOMONTH(V$8,0))/SUMIFS(139:139,$8:$8,"&gt;="&amp;DATE(YEAR(V$8)-1,1,1),$8:$8,"&lt;="&amp;EOMONTH(V$8,-12))-1</f>
        <v/>
      </c>
      <c r="W142" s="1318">
        <f>SUMIFS(139:139,$8:$8,"&gt;="&amp;DATE(YEAR(W$8),1,1),$8:$8,"&lt;="&amp;EOMONTH(W$8,0))/SUMIFS(139:139,$8:$8,"&gt;="&amp;DATE(YEAR(W$8)-1,1,1),$8:$8,"&lt;="&amp;EOMONTH(W$8,-12))-1</f>
        <v/>
      </c>
      <c r="X142" s="1318">
        <f>SUMIFS(139:139,$8:$8,"&gt;="&amp;DATE(YEAR(X$8),1,1),$8:$8,"&lt;="&amp;EOMONTH(X$8,0))/SUMIFS(139:139,$8:$8,"&gt;="&amp;DATE(YEAR(X$8)-1,1,1),$8:$8,"&lt;="&amp;EOMONTH(X$8,-12))-1</f>
        <v/>
      </c>
      <c r="Y142" s="1318">
        <f>SUMIFS(139:139,$8:$8,"&gt;="&amp;DATE(YEAR(Y$8),1,1),$8:$8,"&lt;="&amp;EOMONTH(Y$8,0))/SUMIFS(139:139,$8:$8,"&gt;="&amp;DATE(YEAR(Y$8)-1,1,1),$8:$8,"&lt;="&amp;EOMONTH(Y$8,-12))-1</f>
        <v/>
      </c>
      <c r="Z142" s="1318">
        <f>SUMIFS(139:139,$8:$8,"&gt;="&amp;DATE(YEAR(Z$8),1,1),$8:$8,"&lt;="&amp;EOMONTH(Z$8,0))/SUMIFS(139:139,$8:$8,"&gt;="&amp;DATE(YEAR(Z$8)-1,1,1),$8:$8,"&lt;="&amp;EOMONTH(Z$8,-12))-1</f>
        <v/>
      </c>
      <c r="AA142" s="1318">
        <f>SUMIFS(139:139,$8:$8,"&gt;="&amp;DATE(YEAR(AA$8),1,1),$8:$8,"&lt;="&amp;EOMONTH(AA$8,0))/SUMIFS(139:139,$8:$8,"&gt;="&amp;DATE(YEAR(AA$8)-1,1,1),$8:$8,"&lt;="&amp;EOMONTH(AA$8,-12))-1</f>
        <v/>
      </c>
      <c r="AB142" s="1318">
        <f>SUMIFS(139:139,$8:$8,"&gt;="&amp;DATE(YEAR(AB$8),1,1),$8:$8,"&lt;="&amp;EOMONTH(AB$8,0))/SUMIFS(139:139,$8:$8,"&gt;="&amp;DATE(YEAR(AB$8)-1,1,1),$8:$8,"&lt;="&amp;EOMONTH(AB$8,-12))-1</f>
        <v/>
      </c>
      <c r="AC142" s="1318">
        <f>SUMIFS(139:139,$8:$8,"&gt;="&amp;DATE(YEAR(AC$8),1,1),$8:$8,"&lt;="&amp;EOMONTH(AC$8,0))/SUMIFS(139:139,$8:$8,"&gt;="&amp;DATE(YEAR(AC$8)-1,1,1),$8:$8,"&lt;="&amp;EOMONTH(AC$8,-12))-1</f>
        <v/>
      </c>
      <c r="AD142" s="1318">
        <f>SUMIFS(139:139,$8:$8,"&gt;="&amp;DATE(YEAR(AD$8),1,1),$8:$8,"&lt;="&amp;EOMONTH(AD$8,0))/SUMIFS(139:139,$8:$8,"&gt;="&amp;DATE(YEAR(AD$8)-1,1,1),$8:$8,"&lt;="&amp;EOMONTH(AD$8,-12))-1</f>
        <v/>
      </c>
      <c r="AE142" s="1318">
        <f>SUMIFS(139:139,$8:$8,"&gt;="&amp;DATE(YEAR(AE$8),1,1),$8:$8,"&lt;="&amp;EOMONTH(AE$8,0))/SUMIFS(139:139,$8:$8,"&gt;="&amp;DATE(YEAR(AE$8)-1,1,1),$8:$8,"&lt;="&amp;EOMONTH(AE$8,-12))-1</f>
        <v/>
      </c>
      <c r="AF142" s="1318">
        <f>SUMIFS(139:139,$8:$8,"&gt;="&amp;DATE(YEAR(AF$8),1,1),$8:$8,"&lt;="&amp;EOMONTH(AF$8,0))/SUMIFS(139:139,$8:$8,"&gt;="&amp;DATE(YEAR(AF$8)-1,1,1),$8:$8,"&lt;="&amp;EOMONTH(AF$8,-12))-1</f>
        <v/>
      </c>
      <c r="AG142" s="1318">
        <f>SUMIFS(139:139,$8:$8,"&gt;="&amp;DATE(YEAR(AG$8),1,1),$8:$8,"&lt;="&amp;EOMONTH(AG$8,0))/SUMIFS(139:139,$8:$8,"&gt;="&amp;DATE(YEAR(AG$8)-1,1,1),$8:$8,"&lt;="&amp;EOMONTH(AG$8,-12))-1</f>
        <v/>
      </c>
      <c r="AH142" s="1318">
        <f>SUMIFS(139:139,$8:$8,"&gt;="&amp;DATE(YEAR(AH$8),1,1),$8:$8,"&lt;="&amp;EOMONTH(AH$8,0))/SUMIFS(139:139,$8:$8,"&gt;="&amp;DATE(YEAR(AH$8)-1,1,1),$8:$8,"&lt;="&amp;EOMONTH(AH$8,-12))-1</f>
        <v/>
      </c>
      <c r="AI142" s="1318">
        <f>SUMIFS(139:139,$8:$8,"&gt;="&amp;DATE(YEAR(AI$8),1,1),$8:$8,"&lt;="&amp;EOMONTH(AI$8,0))/SUMIFS(139:139,$8:$8,"&gt;="&amp;DATE(YEAR(AI$8)-1,1,1),$8:$8,"&lt;="&amp;EOMONTH(AI$8,-12))-1</f>
        <v/>
      </c>
      <c r="AJ142" s="1318">
        <f>SUMIFS(139:139,$8:$8,"&gt;="&amp;DATE(YEAR(AJ$8),1,1),$8:$8,"&lt;="&amp;EOMONTH(AJ$8,0))/SUMIFS(139:139,$8:$8,"&gt;="&amp;DATE(YEAR(AJ$8)-1,1,1),$8:$8,"&lt;="&amp;EOMONTH(AJ$8,-12))-1</f>
        <v/>
      </c>
      <c r="AK142" s="1318">
        <f>SUMIFS(139:139,$8:$8,"&gt;="&amp;DATE(YEAR(AK$8),1,1),$8:$8,"&lt;="&amp;EOMONTH(AK$8,0))/SUMIFS(139:139,$8:$8,"&gt;="&amp;DATE(YEAR(AK$8)-1,1,1),$8:$8,"&lt;="&amp;EOMONTH(AK$8,-12))-1</f>
        <v/>
      </c>
      <c r="AL142" s="1318">
        <f>SUMIFS(139:139,$8:$8,"&gt;="&amp;DATE(YEAR(AL$8),1,1),$8:$8,"&lt;="&amp;EOMONTH(AL$8,0))/SUMIFS(139:139,$8:$8,"&gt;="&amp;DATE(YEAR(AL$8)-1,1,1),$8:$8,"&lt;="&amp;EOMONTH(AL$8,-12))-1</f>
        <v/>
      </c>
      <c r="AM142" s="1318">
        <f>SUMIFS(139:139,$8:$8,"&gt;="&amp;DATE(YEAR(AM$8),1,1),$8:$8,"&lt;="&amp;EOMONTH(AM$8,0))/SUMIFS(139:139,$8:$8,"&gt;="&amp;DATE(YEAR(AM$8)-1,1,1),$8:$8,"&lt;="&amp;EOMONTH(AM$8,-12))-1</f>
        <v/>
      </c>
      <c r="AN142" s="1318">
        <f>SUMIFS(139:139,$8:$8,"&gt;="&amp;DATE(YEAR(AN$8),1,1),$8:$8,"&lt;="&amp;EOMONTH(AN$8,0))/SUMIFS(139:139,$8:$8,"&gt;="&amp;DATE(YEAR(AN$8)-1,1,1),$8:$8,"&lt;="&amp;EOMONTH(AN$8,-12))-1</f>
        <v/>
      </c>
      <c r="AO142" s="1318">
        <f>SUMIFS(139:139,$8:$8,"&gt;="&amp;DATE(YEAR(AO$8),1,1),$8:$8,"&lt;="&amp;EOMONTH(AO$8,0))/SUMIFS(139:139,$8:$8,"&gt;="&amp;DATE(YEAR(AO$8)-1,1,1),$8:$8,"&lt;="&amp;EOMONTH(AO$8,-12))-1</f>
        <v/>
      </c>
      <c r="AP142" s="1318">
        <f>SUMIFS(139:139,$8:$8,"&gt;="&amp;DATE(YEAR(AP$8),1,1),$8:$8,"&lt;="&amp;EOMONTH(AP$8,0))/SUMIFS(139:139,$8:$8,"&gt;="&amp;DATE(YEAR(AP$8)-1,1,1),$8:$8,"&lt;="&amp;EOMONTH(AP$8,-12))-1</f>
        <v/>
      </c>
      <c r="AQ142" s="1318">
        <f>SUMIFS(139:139,$8:$8,"&gt;="&amp;DATE(YEAR(AQ$8),1,1),$8:$8,"&lt;="&amp;EOMONTH(AQ$8,0))/SUMIFS(139:139,$8:$8,"&gt;="&amp;DATE(YEAR(AQ$8)-1,1,1),$8:$8,"&lt;="&amp;EOMONTH(AQ$8,-12))-1</f>
        <v/>
      </c>
      <c r="AR142" s="1318">
        <f>SUMIFS(139:139,$8:$8,"&gt;="&amp;DATE(YEAR(AR$8),1,1),$8:$8,"&lt;="&amp;EOMONTH(AR$8,0))/SUMIFS(139:139,$8:$8,"&gt;="&amp;DATE(YEAR(AR$8)-1,1,1),$8:$8,"&lt;="&amp;EOMONTH(AR$8,-12))-1</f>
        <v/>
      </c>
      <c r="AS142" s="1318">
        <f>SUMIFS(139:139,$8:$8,"&gt;="&amp;DATE(YEAR(AS$8),1,1),$8:$8,"&lt;="&amp;EOMONTH(AS$8,0))/SUMIFS(139:139,$8:$8,"&gt;="&amp;DATE(YEAR(AS$8)-1,1,1),$8:$8,"&lt;="&amp;EOMONTH(AS$8,-12))-1</f>
        <v/>
      </c>
      <c r="AT142" s="1318">
        <f>SUMIFS(139:139,$8:$8,"&gt;="&amp;DATE(YEAR(AT$8),1,1),$8:$8,"&lt;="&amp;EOMONTH(AT$8,0))/SUMIFS(139:139,$8:$8,"&gt;="&amp;DATE(YEAR(AT$8)-1,1,1),$8:$8,"&lt;="&amp;EOMONTH(AT$8,-12))-1</f>
        <v/>
      </c>
      <c r="AU142" s="1318">
        <f>SUMIFS(139:139,$8:$8,"&gt;="&amp;DATE(YEAR(AU$8),1,1),$8:$8,"&lt;="&amp;EOMONTH(AU$8,0))/SUMIFS(139:139,$8:$8,"&gt;="&amp;DATE(YEAR(AU$8)-1,1,1),$8:$8,"&lt;="&amp;EOMONTH(AU$8,-12))-1</f>
        <v/>
      </c>
      <c r="AV142" s="1318">
        <f>SUMIFS(139:139,$8:$8,"&gt;="&amp;DATE(YEAR(AV$8),1,1),$8:$8,"&lt;="&amp;EOMONTH(AV$8,0))/SUMIFS(139:139,$8:$8,"&gt;="&amp;DATE(YEAR(AV$8)-1,1,1),$8:$8,"&lt;="&amp;EOMONTH(AV$8,-12))-1</f>
        <v/>
      </c>
      <c r="AW142" s="1318">
        <f>SUMIFS(139:139,$8:$8,"&gt;="&amp;DATE(YEAR(AW$8),1,1),$8:$8,"&lt;="&amp;EOMONTH(AW$8,0))/SUMIFS(139:139,$8:$8,"&gt;="&amp;DATE(YEAR(AW$8)-1,1,1),$8:$8,"&lt;="&amp;EOMONTH(AW$8,-12))-1</f>
        <v/>
      </c>
      <c r="AX142" s="1318">
        <f>SUMIFS(139:139,$8:$8,"&gt;="&amp;DATE(YEAR(AX$8),1,1),$8:$8,"&lt;="&amp;EOMONTH(AX$8,0))/SUMIFS(139:139,$8:$8,"&gt;="&amp;DATE(YEAR(AX$8)-1,1,1),$8:$8,"&lt;="&amp;EOMONTH(AX$8,-12))-1</f>
        <v/>
      </c>
      <c r="AY142" s="1318">
        <f>SUMIFS(139:139,$8:$8,"&gt;="&amp;DATE(YEAR(AY$8),1,1),$8:$8,"&lt;="&amp;EOMONTH(AY$8,0))/SUMIFS(139:139,$8:$8,"&gt;="&amp;DATE(YEAR(AY$8)-1,1,1),$8:$8,"&lt;="&amp;EOMONTH(AY$8,-12))-1</f>
        <v/>
      </c>
      <c r="AZ142" s="1318">
        <f>SUMIFS(139:139,$8:$8,"&gt;="&amp;DATE(YEAR(AZ$8),1,1),$8:$8,"&lt;="&amp;EOMONTH(AZ$8,0))/SUMIFS(139:139,$8:$8,"&gt;="&amp;DATE(YEAR(AZ$8)-1,1,1),$8:$8,"&lt;="&amp;EOMONTH(AZ$8,-12))-1</f>
        <v/>
      </c>
      <c r="BA142" s="1318">
        <f>SUMIFS(139:139,$8:$8,"&gt;="&amp;DATE(YEAR(BA$8),1,1),$8:$8,"&lt;="&amp;EOMONTH(BA$8,0))/SUMIFS(139:139,$8:$8,"&gt;="&amp;DATE(YEAR(BA$8)-1,1,1),$8:$8,"&lt;="&amp;EOMONTH(BA$8,-12))-1</f>
        <v/>
      </c>
      <c r="BB142" s="1318">
        <f>SUMIFS(139:139,$8:$8,"&gt;="&amp;DATE(YEAR(BB$8),1,1),$8:$8,"&lt;="&amp;EOMONTH(BB$8,0))/SUMIFS(139:139,$8:$8,"&gt;="&amp;DATE(YEAR(BB$8)-1,1,1),$8:$8,"&lt;="&amp;EOMONTH(BB$8,-12))-1</f>
        <v/>
      </c>
      <c r="BC142" s="1318">
        <f>SUMIFS(139:139,$8:$8,"&gt;="&amp;DATE(YEAR(BC$8),1,1),$8:$8,"&lt;="&amp;EOMONTH(BC$8,0))/SUMIFS(139:139,$8:$8,"&gt;="&amp;DATE(YEAR(BC$8)-1,1,1),$8:$8,"&lt;="&amp;EOMONTH(BC$8,-12))-1</f>
        <v/>
      </c>
      <c r="BD142" s="1318">
        <f>SUMIFS(139:139,$8:$8,"&gt;="&amp;DATE(YEAR(BD$8),1,1),$8:$8,"&lt;="&amp;EOMONTH(BD$8,0))/SUMIFS(139:139,$8:$8,"&gt;="&amp;DATE(YEAR(BD$8)-1,1,1),$8:$8,"&lt;="&amp;EOMONTH(BD$8,-12))-1</f>
        <v/>
      </c>
      <c r="BE142" s="1318">
        <f>SUMIFS(139:139,$8:$8,"&gt;="&amp;DATE(YEAR(BE$8),1,1),$8:$8,"&lt;="&amp;EOMONTH(BE$8,0))/SUMIFS(139:139,$8:$8,"&gt;="&amp;DATE(YEAR(BE$8)-1,1,1),$8:$8,"&lt;="&amp;EOMONTH(BE$8,-12))-1</f>
        <v/>
      </c>
      <c r="BF142" s="1318">
        <f>SUMIFS(139:139,$8:$8,"&gt;="&amp;DATE(YEAR(BF$8),1,1),$8:$8,"&lt;="&amp;EOMONTH(BF$8,0))/SUMIFS(139:139,$8:$8,"&gt;="&amp;DATE(YEAR(BF$8)-1,1,1),$8:$8,"&lt;="&amp;EOMONTH(BF$8,-12))-1</f>
        <v/>
      </c>
      <c r="BG142" s="1318">
        <f>SUMIFS(139:139,$8:$8,"&gt;="&amp;DATE(YEAR(BG$8),1,1),$8:$8,"&lt;="&amp;EOMONTH(BG$8,0))/SUMIFS(139:139,$8:$8,"&gt;="&amp;DATE(YEAR(BG$8)-1,1,1),$8:$8,"&lt;="&amp;EOMONTH(BG$8,-12))-1</f>
        <v/>
      </c>
      <c r="BH142" s="1318">
        <f>SUMIFS(139:139,$8:$8,"&gt;="&amp;DATE(YEAR(BH$8),1,1),$8:$8,"&lt;="&amp;EOMONTH(BH$8,0))/SUMIFS(139:139,$8:$8,"&gt;="&amp;DATE(YEAR(BH$8)-1,1,1),$8:$8,"&lt;="&amp;EOMONTH(BH$8,-12))-1</f>
        <v/>
      </c>
      <c r="BI142" s="1318">
        <f>SUMIFS(139:139,$8:$8,"&gt;="&amp;DATE(YEAR(BI$8),1,1),$8:$8,"&lt;="&amp;EOMONTH(BI$8,0))/SUMIFS(139:139,$8:$8,"&gt;="&amp;DATE(YEAR(BI$8)-1,1,1),$8:$8,"&lt;="&amp;EOMONTH(BI$8,-12))-1</f>
        <v/>
      </c>
      <c r="BJ142" s="1318">
        <f>SUMIFS(139:139,$8:$8,"&gt;="&amp;DATE(YEAR(BJ$8),1,1),$8:$8,"&lt;="&amp;EOMONTH(BJ$8,0))/SUMIFS(139:139,$8:$8,"&gt;="&amp;DATE(YEAR(BJ$8)-1,1,1),$8:$8,"&lt;="&amp;EOMONTH(BJ$8,-12))-1</f>
        <v/>
      </c>
      <c r="BK142" s="1318">
        <f>SUMIFS(139:139,$8:$8,"&gt;="&amp;DATE(YEAR(BK$8),1,1),$8:$8,"&lt;="&amp;EOMONTH(BK$8,0))/SUMIFS(139:139,$8:$8,"&gt;="&amp;DATE(YEAR(BK$8)-1,1,1),$8:$8,"&lt;="&amp;EOMONTH(BK$8,-12))-1</f>
        <v/>
      </c>
      <c r="BL142" s="1318">
        <f>SUMIFS(139:139,$8:$8,"&gt;="&amp;DATE(YEAR(BL$8),1,1),$8:$8,"&lt;="&amp;EOMONTH(BL$8,0))/SUMIFS(139:139,$8:$8,"&gt;="&amp;DATE(YEAR(BL$8)-1,1,1),$8:$8,"&lt;="&amp;EOMONTH(BL$8,-12))-1</f>
        <v/>
      </c>
      <c r="BM142" s="1318">
        <f>SUMIFS(139:139,$8:$8,"&gt;="&amp;DATE(YEAR(BM$8),1,1),$8:$8,"&lt;="&amp;EOMONTH(BM$8,0))/SUMIFS(139:139,$8:$8,"&gt;="&amp;DATE(YEAR(BM$8)-1,1,1),$8:$8,"&lt;="&amp;EOMONTH(BM$8,-12))-1</f>
        <v/>
      </c>
      <c r="BN142" s="1318">
        <f>SUMIFS(139:139,$8:$8,"&gt;="&amp;DATE(YEAR(BN$8),1,1),$8:$8,"&lt;="&amp;EOMONTH(BN$8,0))/SUMIFS(139:139,$8:$8,"&gt;="&amp;DATE(YEAR(BN$8)-1,1,1),$8:$8,"&lt;="&amp;EOMONTH(BN$8,-12))-1</f>
        <v/>
      </c>
      <c r="BO142" s="1318">
        <f>SUMIFS(139:139,$8:$8,"&gt;="&amp;DATE(YEAR(BO$8),1,1),$8:$8,"&lt;="&amp;EOMONTH(BO$8,0))/SUMIFS(139:139,$8:$8,"&gt;="&amp;DATE(YEAR(BO$8)-1,1,1),$8:$8,"&lt;="&amp;EOMONTH(BO$8,-12))-1</f>
        <v/>
      </c>
      <c r="BP142" s="1318">
        <f>SUMIFS(139:139,$8:$8,"&gt;="&amp;DATE(YEAR(BP$8),1,1),$8:$8,"&lt;="&amp;EOMONTH(BP$8,0))/SUMIFS(139:139,$8:$8,"&gt;="&amp;DATE(YEAR(BP$8)-1,1,1),$8:$8,"&lt;="&amp;EOMONTH(BP$8,-12))-1</f>
        <v/>
      </c>
      <c r="BQ142" s="1318">
        <f>SUMIFS(139:139,$8:$8,"&gt;="&amp;DATE(YEAR(BQ$8),1,1),$8:$8,"&lt;="&amp;EOMONTH(BQ$8,0))/SUMIFS(139:139,$8:$8,"&gt;="&amp;DATE(YEAR(BQ$8)-1,1,1),$8:$8,"&lt;="&amp;EOMONTH(BQ$8,-12))-1</f>
        <v/>
      </c>
      <c r="BR142" s="1318">
        <f>SUMIFS(139:139,$8:$8,"&gt;="&amp;DATE(YEAR(BR$8),1,1),$8:$8,"&lt;="&amp;EOMONTH(BR$8,0))/SUMIFS(139:139,$8:$8,"&gt;="&amp;DATE(YEAR(BR$8)-1,1,1),$8:$8,"&lt;="&amp;EOMONTH(BR$8,-12))-1</f>
        <v/>
      </c>
      <c r="BS142" s="1318">
        <f>SUMIFS(139:139,$8:$8,"&gt;="&amp;DATE(YEAR(BS$8),1,1),$8:$8,"&lt;="&amp;EOMONTH(BS$8,0))/SUMIFS(139:139,$8:$8,"&gt;="&amp;DATE(YEAR(BS$8)-1,1,1),$8:$8,"&lt;="&amp;EOMONTH(BS$8,-12))-1</f>
        <v/>
      </c>
      <c r="BT142" s="1318">
        <f>SUMIFS(139:139,$8:$8,"&gt;="&amp;DATE(YEAR(BT$8),1,1),$8:$8,"&lt;="&amp;EOMONTH(BT$8,0))/SUMIFS(139:139,$8:$8,"&gt;="&amp;DATE(YEAR(BT$8)-1,1,1),$8:$8,"&lt;="&amp;EOMONTH(BT$8,-12))-1</f>
        <v/>
      </c>
      <c r="BU142" s="1318">
        <f>SUMIFS(139:139,$8:$8,"&gt;="&amp;DATE(YEAR(BU$8),1,1),$8:$8,"&lt;="&amp;EOMONTH(BU$8,0))/SUMIFS(139:139,$8:$8,"&gt;="&amp;DATE(YEAR(BU$8)-1,1,1),$8:$8,"&lt;="&amp;EOMONTH(BU$8,-12))-1</f>
        <v/>
      </c>
      <c r="BV142" s="1318">
        <f>SUMIFS(139:139,$8:$8,"&gt;="&amp;DATE(YEAR(BV$8),1,1),$8:$8,"&lt;="&amp;EOMONTH(BV$8,0))/SUMIFS(139:139,$8:$8,"&gt;="&amp;DATE(YEAR(BV$8)-1,1,1),$8:$8,"&lt;="&amp;EOMONTH(BV$8,-12))-1</f>
        <v/>
      </c>
      <c r="BW142" s="1318">
        <f>SUMIFS(139:139,$8:$8,"&gt;="&amp;DATE(YEAR(BW$8),1,1),$8:$8,"&lt;="&amp;EOMONTH(BW$8,0))/SUMIFS(139:139,$8:$8,"&gt;="&amp;DATE(YEAR(BW$8)-1,1,1),$8:$8,"&lt;="&amp;EOMONTH(BW$8,-12))-1</f>
        <v/>
      </c>
      <c r="BX142" s="1318">
        <f>SUMIFS(139:139,$8:$8,"&gt;="&amp;DATE(YEAR(BX$8),1,1),$8:$8,"&lt;="&amp;EOMONTH(BX$8,0))/SUMIFS(139:139,$8:$8,"&gt;="&amp;DATE(YEAR(BX$8)-1,1,1),$8:$8,"&lt;="&amp;EOMONTH(BX$8,-12))-1</f>
        <v/>
      </c>
      <c r="BY142" s="1318">
        <f>SUMIFS(139:139,$8:$8,"&gt;="&amp;DATE(YEAR(BY$8),1,1),$8:$8,"&lt;="&amp;EOMONTH(BY$8,0))/SUMIFS(139:139,$8:$8,"&gt;="&amp;DATE(YEAR(BY$8)-1,1,1),$8:$8,"&lt;="&amp;EOMONTH(BY$8,-12))-1</f>
        <v/>
      </c>
      <c r="BZ142" s="1318">
        <f>SUMIFS(139:139,$8:$8,"&gt;="&amp;DATE(YEAR(BZ$8),1,1),$8:$8,"&lt;="&amp;EOMONTH(BZ$8,0))/SUMIFS(139:139,$8:$8,"&gt;="&amp;DATE(YEAR(BZ$8)-1,1,1),$8:$8,"&lt;="&amp;EOMONTH(BZ$8,-12))-1</f>
        <v/>
      </c>
      <c r="CA142" s="1318">
        <f>SUMIFS(139:139,$8:$8,"&gt;="&amp;DATE(YEAR(CA$8),1,1),$8:$8,"&lt;="&amp;EOMONTH(CA$8,0))/SUMIFS(139:139,$8:$8,"&gt;="&amp;DATE(YEAR(CA$8)-1,1,1),$8:$8,"&lt;="&amp;EOMONTH(CA$8,-12))-1</f>
        <v/>
      </c>
      <c r="CB142" s="1318">
        <f>SUMIFS(139:139,$8:$8,"&gt;="&amp;DATE(YEAR(CB$8),1,1),$8:$8,"&lt;="&amp;EOMONTH(CB$8,0))/SUMIFS(139:139,$8:$8,"&gt;="&amp;DATE(YEAR(CB$8)-1,1,1),$8:$8,"&lt;="&amp;EOMONTH(CB$8,-12))-1</f>
        <v/>
      </c>
      <c r="CC142" s="1318">
        <f>SUMIFS(139:139,$8:$8,"&gt;="&amp;DATE(YEAR(CC$8),1,1),$8:$8,"&lt;="&amp;EOMONTH(CC$8,0))/SUMIFS(139:139,$8:$8,"&gt;="&amp;DATE(YEAR(CC$8)-1,1,1),$8:$8,"&lt;="&amp;EOMONTH(CC$8,-12))-1</f>
        <v/>
      </c>
      <c r="CD142" s="1318">
        <f>SUMIFS(139:139,$8:$8,"&gt;="&amp;DATE(YEAR(CD$8),1,1),$8:$8,"&lt;="&amp;EOMONTH(CD$8,0))/SUMIFS(139:139,$8:$8,"&gt;="&amp;DATE(YEAR(CD$8)-1,1,1),$8:$8,"&lt;="&amp;EOMONTH(CD$8,-12))-1</f>
        <v/>
      </c>
      <c r="CE142" s="1318">
        <f>SUMIFS(139:139,$8:$8,"&gt;="&amp;DATE(YEAR(CE$8),1,1),$8:$8,"&lt;="&amp;EOMONTH(CE$8,0))/SUMIFS(139:139,$8:$8,"&gt;="&amp;DATE(YEAR(CE$8)-1,1,1),$8:$8,"&lt;="&amp;EOMONTH(CE$8,-12))-1</f>
        <v/>
      </c>
      <c r="CF142" s="1318">
        <f>SUMIFS(139:139,$8:$8,"&gt;="&amp;DATE(YEAR(CF$8),1,1),$8:$8,"&lt;="&amp;EOMONTH(CF$8,0))/SUMIFS(139:139,$8:$8,"&gt;="&amp;DATE(YEAR(CF$8)-1,1,1),$8:$8,"&lt;="&amp;EOMONTH(CF$8,-12))-1</f>
        <v/>
      </c>
      <c r="CG142" s="1318">
        <f>SUMIFS(139:139,$8:$8,"&gt;="&amp;DATE(YEAR(CG$8),1,1),$8:$8,"&lt;="&amp;EOMONTH(CG$8,0))/SUMIFS(139:139,$8:$8,"&gt;="&amp;DATE(YEAR(CG$8)-1,1,1),$8:$8,"&lt;="&amp;EOMONTH(CG$8,-12))-1</f>
        <v/>
      </c>
      <c r="CH142" s="1318">
        <f>SUMIFS(139:139,$8:$8,"&gt;="&amp;DATE(YEAR(CH$8),1,1),$8:$8,"&lt;="&amp;EOMONTH(CH$8,0))/SUMIFS(139:139,$8:$8,"&gt;="&amp;DATE(YEAR(CH$8)-1,1,1),$8:$8,"&lt;="&amp;EOMONTH(CH$8,-12))-1</f>
        <v/>
      </c>
      <c r="CI142" s="1318">
        <f>SUMIFS(139:139,$8:$8,"&gt;="&amp;DATE(YEAR(CI$8),1,1),$8:$8,"&lt;="&amp;EOMONTH(CI$8,0))/SUMIFS(139:139,$8:$8,"&gt;="&amp;DATE(YEAR(CI$8)-1,1,1),$8:$8,"&lt;="&amp;EOMONTH(CI$8,-12))-1</f>
        <v/>
      </c>
      <c r="CJ142" s="1318">
        <f>SUMIFS(139:139,$8:$8,"&gt;="&amp;DATE(YEAR(CJ$8),1,1),$8:$8,"&lt;="&amp;EOMONTH(CJ$8,0))/SUMIFS(139:139,$8:$8,"&gt;="&amp;DATE(YEAR(CJ$8)-1,1,1),$8:$8,"&lt;="&amp;EOMONTH(CJ$8,-12))-1</f>
        <v/>
      </c>
      <c r="CK142" s="1318">
        <f>SUMIFS(139:139,$8:$8,"&gt;="&amp;DATE(YEAR(CK$8),1,1),$8:$8,"&lt;="&amp;EOMONTH(CK$8,0))/SUMIFS(139:139,$8:$8,"&gt;="&amp;DATE(YEAR(CK$8)-1,1,1),$8:$8,"&lt;="&amp;EOMONTH(CK$8,-12))-1</f>
        <v/>
      </c>
      <c r="CL142" s="1318">
        <f>SUMIFS(139:139,$8:$8,"&gt;="&amp;DATE(YEAR(CL$8),1,1),$8:$8,"&lt;="&amp;EOMONTH(CL$8,0))/SUMIFS(139:139,$8:$8,"&gt;="&amp;DATE(YEAR(CL$8)-1,1,1),$8:$8,"&lt;="&amp;EOMONTH(CL$8,-12))-1</f>
        <v/>
      </c>
      <c r="CM142" s="1318">
        <f>SUMIFS(139:139,$8:$8,"&gt;="&amp;DATE(YEAR(CM$8),1,1),$8:$8,"&lt;="&amp;EOMONTH(CM$8,0))/SUMIFS(139:139,$8:$8,"&gt;="&amp;DATE(YEAR(CM$8)-1,1,1),$8:$8,"&lt;="&amp;EOMONTH(CM$8,-12))-1</f>
        <v/>
      </c>
      <c r="CN142" s="1318">
        <f>SUMIFS(139:139,$8:$8,"&gt;="&amp;DATE(YEAR(CN$8),1,1),$8:$8,"&lt;="&amp;EOMONTH(CN$8,0))/SUMIFS(139:139,$8:$8,"&gt;="&amp;DATE(YEAR(CN$8)-1,1,1),$8:$8,"&lt;="&amp;EOMONTH(CN$8,-12))-1</f>
        <v/>
      </c>
      <c r="CO142" s="1318">
        <f>SUMIFS(139:139,$8:$8,"&gt;="&amp;DATE(YEAR(CO$8),1,1),$8:$8,"&lt;="&amp;EOMONTH(CO$8,0))/SUMIFS(139:139,$8:$8,"&gt;="&amp;DATE(YEAR(CO$8)-1,1,1),$8:$8,"&lt;="&amp;EOMONTH(CO$8,-12))-1</f>
        <v/>
      </c>
      <c r="CP142" s="1318">
        <f>SUMIFS(139:139,$8:$8,"&gt;="&amp;DATE(YEAR(CP$8),1,1),$8:$8,"&lt;="&amp;EOMONTH(CP$8,0))/SUMIFS(139:139,$8:$8,"&gt;="&amp;DATE(YEAR(CP$8)-1,1,1),$8:$8,"&lt;="&amp;EOMONTH(CP$8,-12))-1</f>
        <v/>
      </c>
      <c r="CQ142" s="1318">
        <f>SUMIFS(139:139,$8:$8,"&gt;="&amp;DATE(YEAR(CQ$8),1,1),$8:$8,"&lt;="&amp;EOMONTH(CQ$8,0))/SUMIFS(139:139,$8:$8,"&gt;="&amp;DATE(YEAR(CQ$8)-1,1,1),$8:$8,"&lt;="&amp;EOMONTH(CQ$8,-12))-1</f>
        <v/>
      </c>
      <c r="CR142" s="1318">
        <f>SUMIFS(139:139,$8:$8,"&gt;="&amp;DATE(YEAR(CR$8),1,1),$8:$8,"&lt;="&amp;EOMONTH(CR$8,0))/SUMIFS(139:139,$8:$8,"&gt;="&amp;DATE(YEAR(CR$8)-1,1,1),$8:$8,"&lt;="&amp;EOMONTH(CR$8,-12))-1</f>
        <v/>
      </c>
      <c r="CS142" s="1318">
        <f>SUMIFS(139:139,$8:$8,"&gt;="&amp;DATE(YEAR(CS$8),1,1),$8:$8,"&lt;="&amp;EOMONTH(CS$8,0))/SUMIFS(139:139,$8:$8,"&gt;="&amp;DATE(YEAR(CS$8)-1,1,1),$8:$8,"&lt;="&amp;EOMONTH(CS$8,-12))-1</f>
        <v/>
      </c>
      <c r="CT142" s="1318">
        <f>SUMIFS(139:139,$8:$8,"&gt;="&amp;DATE(YEAR(CT$8),1,1),$8:$8,"&lt;="&amp;EOMONTH(CT$8,0))/SUMIFS(139:139,$8:$8,"&gt;="&amp;DATE(YEAR(CT$8)-1,1,1),$8:$8,"&lt;="&amp;EOMONTH(CT$8,-12))-1</f>
        <v/>
      </c>
      <c r="CU142" s="1318">
        <f>SUMIFS(139:139,$8:$8,"&gt;="&amp;DATE(YEAR(CU$8),1,1),$8:$8,"&lt;="&amp;EOMONTH(CU$8,0))/SUMIFS(139:139,$8:$8,"&gt;="&amp;DATE(YEAR(CU$8)-1,1,1),$8:$8,"&lt;="&amp;EOMONTH(CU$8,-12))-1</f>
        <v/>
      </c>
      <c r="CV142" s="1318">
        <f>SUMIFS(139:139,$8:$8,"&gt;="&amp;DATE(YEAR(CV$8),1,1),$8:$8,"&lt;="&amp;EOMONTH(CV$8,0))/SUMIFS(139:139,$8:$8,"&gt;="&amp;DATE(YEAR(CV$8)-1,1,1),$8:$8,"&lt;="&amp;EOMONTH(CV$8,-12))-1</f>
        <v/>
      </c>
      <c r="CW142" s="1318">
        <f>SUMIFS(139:139,$8:$8,"&gt;="&amp;DATE(YEAR(CW$8),1,1),$8:$8,"&lt;="&amp;EOMONTH(CW$8,0))/SUMIFS(139:139,$8:$8,"&gt;="&amp;DATE(YEAR(CW$8)-1,1,1),$8:$8,"&lt;="&amp;EOMONTH(CW$8,-12))-1</f>
        <v/>
      </c>
      <c r="CX142" s="1318">
        <f>SUMIFS(139:139,$8:$8,"&gt;="&amp;DATE(YEAR(CX$8),1,1),$8:$8,"&lt;="&amp;EOMONTH(CX$8,0))/SUMIFS(139:139,$8:$8,"&gt;="&amp;DATE(YEAR(CX$8)-1,1,1),$8:$8,"&lt;="&amp;EOMONTH(CX$8,-12))-1</f>
        <v/>
      </c>
      <c r="CY142" s="1318">
        <f>SUMIFS(139:139,$8:$8,"&gt;="&amp;DATE(YEAR(CY$8),1,1),$8:$8,"&lt;="&amp;EOMONTH(CY$8,0))/SUMIFS(139:139,$8:$8,"&gt;="&amp;DATE(YEAR(CY$8)-1,1,1),$8:$8,"&lt;="&amp;EOMONTH(CY$8,-12))-1</f>
        <v/>
      </c>
      <c r="CZ142" s="1318">
        <f>SUMIFS(139:139,$8:$8,"&gt;="&amp;DATE(YEAR(CZ$8),1,1),$8:$8,"&lt;="&amp;EOMONTH(CZ$8,0))/SUMIFS(139:139,$8:$8,"&gt;="&amp;DATE(YEAR(CZ$8)-1,1,1),$8:$8,"&lt;="&amp;EOMONTH(CZ$8,-12))-1</f>
        <v/>
      </c>
      <c r="DA142" s="1318">
        <f>SUMIFS(139:139,$8:$8,"&gt;="&amp;DATE(YEAR(DA$8),1,1),$8:$8,"&lt;="&amp;EOMONTH(DA$8,0))/SUMIFS(139:139,$8:$8,"&gt;="&amp;DATE(YEAR(DA$8)-1,1,1),$8:$8,"&lt;="&amp;EOMONTH(DA$8,-12))-1</f>
        <v/>
      </c>
      <c r="DB142" s="1318">
        <f>SUMIFS(139:139,$8:$8,"&gt;="&amp;DATE(YEAR(DB$8),1,1),$8:$8,"&lt;="&amp;EOMONTH(DB$8,0))/SUMIFS(139:139,$8:$8,"&gt;="&amp;DATE(YEAR(DB$8)-1,1,1),$8:$8,"&lt;="&amp;EOMONTH(DB$8,-12))-1</f>
        <v/>
      </c>
      <c r="DC142" s="1318">
        <f>SUMIFS(139:139,$8:$8,"&gt;="&amp;DATE(YEAR(DC$8),1,1),$8:$8,"&lt;="&amp;EOMONTH(DC$8,0))/SUMIFS(139:139,$8:$8,"&gt;="&amp;DATE(YEAR(DC$8)-1,1,1),$8:$8,"&lt;="&amp;EOMONTH(DC$8,-12))-1</f>
        <v/>
      </c>
      <c r="DD142" s="1318">
        <f>SUMIFS(139:139,$8:$8,"&gt;="&amp;DATE(YEAR(DD$8),1,1),$8:$8,"&lt;="&amp;EOMONTH(DD$8,0))/SUMIFS(139:139,$8:$8,"&gt;="&amp;DATE(YEAR(DD$8)-1,1,1),$8:$8,"&lt;="&amp;EOMONTH(DD$8,-12))-1</f>
        <v/>
      </c>
      <c r="DE142" s="1318">
        <f>SUMIFS(139:139,$8:$8,"&gt;="&amp;DATE(YEAR(DE$8),1,1),$8:$8,"&lt;="&amp;EOMONTH(DE$8,0))/SUMIFS(139:139,$8:$8,"&gt;="&amp;DATE(YEAR(DE$8)-1,1,1),$8:$8,"&lt;="&amp;EOMONTH(DE$8,-12))-1</f>
        <v/>
      </c>
      <c r="DF142" s="1318">
        <f>SUMIFS(139:139,$8:$8,"&gt;="&amp;DATE(YEAR(DF$8),1,1),$8:$8,"&lt;="&amp;EOMONTH(DF$8,0))/SUMIFS(139:139,$8:$8,"&gt;="&amp;DATE(YEAR(DF$8)-1,1,1),$8:$8,"&lt;="&amp;EOMONTH(DF$8,-12))-1</f>
        <v/>
      </c>
      <c r="DG142" s="1318">
        <f>SUMIFS(139:139,$8:$8,"&gt;="&amp;DATE(YEAR(DG$8),1,1),$8:$8,"&lt;="&amp;EOMONTH(DG$8,0))/SUMIFS(139:139,$8:$8,"&gt;="&amp;DATE(YEAR(DG$8)-1,1,1),$8:$8,"&lt;="&amp;EOMONTH(DG$8,-12))-1</f>
        <v/>
      </c>
      <c r="DH142" s="1318">
        <f>SUMIFS(139:139,$8:$8,"&gt;="&amp;DATE(YEAR(DH$8),1,1),$8:$8,"&lt;="&amp;EOMONTH(DH$8,0))/SUMIFS(139:139,$8:$8,"&gt;="&amp;DATE(YEAR(DH$8)-1,1,1),$8:$8,"&lt;="&amp;EOMONTH(DH$8,-12))-1</f>
        <v/>
      </c>
      <c r="DI142" s="1318">
        <f>SUMIFS(139:139,$8:$8,"&gt;="&amp;DATE(YEAR(DI$8),1,1),$8:$8,"&lt;="&amp;EOMONTH(DI$8,0))/SUMIFS(139:139,$8:$8,"&gt;="&amp;DATE(YEAR(DI$8)-1,1,1),$8:$8,"&lt;="&amp;EOMONTH(DI$8,-12))-1</f>
        <v/>
      </c>
      <c r="DJ142" s="1318">
        <f>SUMIFS(139:139,$8:$8,"&gt;="&amp;DATE(YEAR(DJ$8),1,1),$8:$8,"&lt;="&amp;EOMONTH(DJ$8,0))/SUMIFS(139:139,$8:$8,"&gt;="&amp;DATE(YEAR(DJ$8)-1,1,1),$8:$8,"&lt;="&amp;EOMONTH(DJ$8,-12))-1</f>
        <v/>
      </c>
      <c r="DK142" s="1318">
        <f>SUMIFS(139:139,$8:$8,"&gt;="&amp;DATE(YEAR(DK$8),1,1),$8:$8,"&lt;="&amp;EOMONTH(DK$8,0))/SUMIFS(139:139,$8:$8,"&gt;="&amp;DATE(YEAR(DK$8)-1,1,1),$8:$8,"&lt;="&amp;EOMONTH(DK$8,-12))-1</f>
        <v/>
      </c>
      <c r="DL142" s="1318">
        <f>SUMIFS(139:139,$8:$8,"&gt;="&amp;DATE(YEAR(DL$8),1,1),$8:$8,"&lt;="&amp;EOMONTH(DL$8,0))/SUMIFS(139:139,$8:$8,"&gt;="&amp;DATE(YEAR(DL$8)-1,1,1),$8:$8,"&lt;="&amp;EOMONTH(DL$8,-12))-1</f>
        <v/>
      </c>
      <c r="DM142" s="1318">
        <f>SUMIFS(139:139,$8:$8,"&gt;="&amp;DATE(YEAR(DM$8),1,1),$8:$8,"&lt;="&amp;EOMONTH(DM$8,0))/SUMIFS(139:139,$8:$8,"&gt;="&amp;DATE(YEAR(DM$8)-1,1,1),$8:$8,"&lt;="&amp;EOMONTH(DM$8,-12))-1</f>
        <v/>
      </c>
      <c r="DN142" s="1318">
        <f>SUMIFS(139:139,$8:$8,"&gt;="&amp;DATE(YEAR(DN$8),1,1),$8:$8,"&lt;="&amp;EOMONTH(DN$8,0))/SUMIFS(139:139,$8:$8,"&gt;="&amp;DATE(YEAR(DN$8)-1,1,1),$8:$8,"&lt;="&amp;EOMONTH(DN$8,-12))-1</f>
        <v/>
      </c>
      <c r="DO142" s="1318">
        <f>SUMIFS(139:139,$8:$8,"&gt;="&amp;DATE(YEAR(DO$8),1,1),$8:$8,"&lt;="&amp;EOMONTH(DO$8,0))/SUMIFS(139:139,$8:$8,"&gt;="&amp;DATE(YEAR(DO$8)-1,1,1),$8:$8,"&lt;="&amp;EOMONTH(DO$8,-12))-1</f>
        <v/>
      </c>
      <c r="DP142" s="1318">
        <f>SUMIFS(139:139,$8:$8,"&gt;="&amp;DATE(YEAR(DP$8),1,1),$8:$8,"&lt;="&amp;EOMONTH(DP$8,0))/SUMIFS(139:139,$8:$8,"&gt;="&amp;DATE(YEAR(DP$8)-1,1,1),$8:$8,"&lt;="&amp;EOMONTH(DP$8,-12))-1</f>
        <v/>
      </c>
      <c r="DQ142" s="1318">
        <f>SUMIFS(139:139,$8:$8,"&gt;="&amp;DATE(YEAR(DQ$8),1,1),$8:$8,"&lt;="&amp;EOMONTH(DQ$8,0))/SUMIFS(139:139,$8:$8,"&gt;="&amp;DATE(YEAR(DQ$8)-1,1,1),$8:$8,"&lt;="&amp;EOMONTH(DQ$8,-12))-1</f>
        <v/>
      </c>
      <c r="DR142" s="1318">
        <f>SUMIFS(139:139,$8:$8,"&gt;="&amp;DATE(YEAR(DR$8),1,1),$8:$8,"&lt;="&amp;EOMONTH(DR$8,0))/SUMIFS(139:139,$8:$8,"&gt;="&amp;DATE(YEAR(DR$8)-1,1,1),$8:$8,"&lt;="&amp;EOMONTH(DR$8,-12))-1</f>
        <v/>
      </c>
      <c r="DS142" s="1318">
        <f>SUMIFS(139:139,$8:$8,"&gt;="&amp;DATE(YEAR(DS$8),1,1),$8:$8,"&lt;="&amp;EOMONTH(DS$8,0))/SUMIFS(139:139,$8:$8,"&gt;="&amp;DATE(YEAR(DS$8)-1,1,1),$8:$8,"&lt;="&amp;EOMONTH(DS$8,-12))-1</f>
        <v/>
      </c>
      <c r="DT142" s="1318">
        <f>SUMIFS(139:139,$8:$8,"&gt;="&amp;DATE(YEAR(DT$8),1,1),$8:$8,"&lt;="&amp;EOMONTH(DT$8,0))/SUMIFS(139:139,$8:$8,"&gt;="&amp;DATE(YEAR(DT$8)-1,1,1),$8:$8,"&lt;="&amp;EOMONTH(DT$8,-12))-1</f>
        <v/>
      </c>
      <c r="DU142" s="1318">
        <f>SUMIFS(139:139,$8:$8,"&gt;="&amp;DATE(YEAR(DU$8),1,1),$8:$8,"&lt;="&amp;EOMONTH(DU$8,0))/SUMIFS(139:139,$8:$8,"&gt;="&amp;DATE(YEAR(DU$8)-1,1,1),$8:$8,"&lt;="&amp;EOMONTH(DU$8,-12))-1</f>
        <v/>
      </c>
      <c r="DV142" s="1318">
        <f>SUMIFS(139:139,$8:$8,"&gt;="&amp;DATE(YEAR(DV$8),1,1),$8:$8,"&lt;="&amp;EOMONTH(DV$8,0))/SUMIFS(139:139,$8:$8,"&gt;="&amp;DATE(YEAR(DV$8)-1,1,1),$8:$8,"&lt;="&amp;EOMONTH(DV$8,-12))-1</f>
        <v/>
      </c>
      <c r="DW142" s="1318">
        <f>SUMIFS(139:139,$8:$8,"&gt;="&amp;DATE(YEAR(DW$8),1,1),$8:$8,"&lt;="&amp;EOMONTH(DW$8,0))/SUMIFS(139:139,$8:$8,"&gt;="&amp;DATE(YEAR(DW$8)-1,1,1),$8:$8,"&lt;="&amp;EOMONTH(DW$8,-12))-1</f>
        <v/>
      </c>
      <c r="DX142" s="1318">
        <f>SUMIFS(139:139,$8:$8,"&gt;="&amp;DATE(YEAR(DX$8),1,1),$8:$8,"&lt;="&amp;EOMONTH(DX$8,0))/SUMIFS(139:139,$8:$8,"&gt;="&amp;DATE(YEAR(DX$8)-1,1,1),$8:$8,"&lt;="&amp;EOMONTH(DX$8,-12))-1</f>
        <v/>
      </c>
      <c r="DY142" s="1318">
        <f>SUMIFS(139:139,$8:$8,"&gt;="&amp;DATE(YEAR(DY$8),1,1),$8:$8,"&lt;="&amp;EOMONTH(DY$8,0))/SUMIFS(139:139,$8:$8,"&gt;="&amp;DATE(YEAR(DY$8)-1,1,1),$8:$8,"&lt;="&amp;EOMONTH(DY$8,-12))-1</f>
        <v/>
      </c>
      <c r="DZ142" s="1318">
        <f>SUMIFS(139:139,$8:$8,"&gt;="&amp;DATE(YEAR(DZ$8),1,1),$8:$8,"&lt;="&amp;EOMONTH(DZ$8,0))/SUMIFS(139:139,$8:$8,"&gt;="&amp;DATE(YEAR(DZ$8)-1,1,1),$8:$8,"&lt;="&amp;EOMONTH(DZ$8,-12))-1</f>
        <v/>
      </c>
      <c r="EA142" s="1318">
        <f>SUMIFS(139:139,$8:$8,"&gt;="&amp;DATE(YEAR(EA$8),1,1),$8:$8,"&lt;="&amp;EOMONTH(EA$8,0))/SUMIFS(139:139,$8:$8,"&gt;="&amp;DATE(YEAR(EA$8)-1,1,1),$8:$8,"&lt;="&amp;EOMONTH(EA$8,-12))-1</f>
        <v/>
      </c>
      <c r="EB142" s="1318">
        <f>SUMIFS(139:139,$8:$8,"&gt;="&amp;DATE(YEAR(EB$8),1,1),$8:$8,"&lt;="&amp;EOMONTH(EB$8,0))/SUMIFS(139:139,$8:$8,"&gt;="&amp;DATE(YEAR(EB$8)-1,1,1),$8:$8,"&lt;="&amp;EOMONTH(EB$8,-12))-1</f>
        <v/>
      </c>
      <c r="EC142" s="1318">
        <f>SUMIFS(139:139,$8:$8,"&gt;="&amp;DATE(YEAR(EC$8),1,1),$8:$8,"&lt;="&amp;EOMONTH(EC$8,0))/SUMIFS(139:139,$8:$8,"&gt;="&amp;DATE(YEAR(EC$8)-1,1,1),$8:$8,"&lt;="&amp;EOMONTH(EC$8,-12))-1</f>
        <v/>
      </c>
      <c r="ED142" s="1318">
        <f>SUMIFS(139:139,$8:$8,"&gt;="&amp;DATE(YEAR(ED$8),1,1),$8:$8,"&lt;="&amp;EOMONTH(ED$8,0))/SUMIFS(139:139,$8:$8,"&gt;="&amp;DATE(YEAR(ED$8)-1,1,1),$8:$8,"&lt;="&amp;EOMONTH(ED$8,-12))-1</f>
        <v/>
      </c>
      <c r="EE142" s="1318">
        <f>SUMIFS(139:139,$8:$8,"&gt;="&amp;DATE(YEAR(EE$8),1,1),$8:$8,"&lt;="&amp;EOMONTH(EE$8,0))/SUMIFS(139:139,$8:$8,"&gt;="&amp;DATE(YEAR(EE$8)-1,1,1),$8:$8,"&lt;="&amp;EOMONTH(EE$8,-12))-1</f>
        <v/>
      </c>
      <c r="EF142" s="1318">
        <f>SUMIFS(139:139,$8:$8,"&gt;="&amp;DATE(YEAR(EF$8),1,1),$8:$8,"&lt;="&amp;EOMONTH(EF$8,0))/SUMIFS(139:139,$8:$8,"&gt;="&amp;DATE(YEAR(EF$8)-1,1,1),$8:$8,"&lt;="&amp;EOMONTH(EF$8,-12))-1</f>
        <v/>
      </c>
      <c r="EG142" s="1318">
        <f>SUMIFS(139:139,$8:$8,"&gt;="&amp;DATE(YEAR(EG$8),1,1),$8:$8,"&lt;="&amp;EOMONTH(EG$8,0))/SUMIFS(139:139,$8:$8,"&gt;="&amp;DATE(YEAR(EG$8)-1,1,1),$8:$8,"&lt;="&amp;EOMONTH(EG$8,-12))-1</f>
        <v/>
      </c>
      <c r="EH142" s="1318">
        <f>SUMIFS(139:139,$8:$8,"&gt;="&amp;DATE(YEAR(EH$8),1,1),$8:$8,"&lt;="&amp;EOMONTH(EH$8,0))/SUMIFS(139:139,$8:$8,"&gt;="&amp;DATE(YEAR(EH$8)-1,1,1),$8:$8,"&lt;="&amp;EOMONTH(EH$8,-12))-1</f>
        <v/>
      </c>
      <c r="EI142" s="1318">
        <f>SUMIFS(139:139,$8:$8,"&gt;="&amp;DATE(YEAR(EI$8),1,1),$8:$8,"&lt;="&amp;EOMONTH(EI$8,0))/SUMIFS(139:139,$8:$8,"&gt;="&amp;DATE(YEAR(EI$8)-1,1,1),$8:$8,"&lt;="&amp;EOMONTH(EI$8,-12))-1</f>
        <v/>
      </c>
      <c r="EJ142" s="1318">
        <f>SUMIFS(139:139,$8:$8,"&gt;="&amp;DATE(YEAR(EJ$8),1,1),$8:$8,"&lt;="&amp;EOMONTH(EJ$8,0))/SUMIFS(139:139,$8:$8,"&gt;="&amp;DATE(YEAR(EJ$8)-1,1,1),$8:$8,"&lt;="&amp;EOMONTH(EJ$8,-12))-1</f>
        <v/>
      </c>
      <c r="EK142" s="1318">
        <f>SUMIFS(139:139,$8:$8,"&gt;="&amp;DATE(YEAR(EK$8),1,1),$8:$8,"&lt;="&amp;EOMONTH(EK$8,0))/SUMIFS(139:139,$8:$8,"&gt;="&amp;DATE(YEAR(EK$8)-1,1,1),$8:$8,"&lt;="&amp;EOMONTH(EK$8,-12))-1</f>
        <v/>
      </c>
      <c r="EL142" s="1318">
        <f>SUMIFS(139:139,$8:$8,"&gt;="&amp;DATE(YEAR(EL$8),1,1),$8:$8,"&lt;="&amp;EOMONTH(EL$8,0))/SUMIFS(139:139,$8:$8,"&gt;="&amp;DATE(YEAR(EL$8)-1,1,1),$8:$8,"&lt;="&amp;EOMONTH(EL$8,-12))-1</f>
        <v/>
      </c>
      <c r="EM142" s="1318">
        <f>SUMIFS(139:139,$8:$8,"&gt;="&amp;DATE(YEAR(EM$8),1,1),$8:$8,"&lt;="&amp;EOMONTH(EM$8,0))/SUMIFS(139:139,$8:$8,"&gt;="&amp;DATE(YEAR(EM$8)-1,1,1),$8:$8,"&lt;="&amp;EOMONTH(EM$8,-12))-1</f>
        <v/>
      </c>
      <c r="EN142" s="1318">
        <f>SUMIFS(139:139,$8:$8,"&gt;="&amp;DATE(YEAR(EN$8),1,1),$8:$8,"&lt;="&amp;EOMONTH(EN$8,0))/SUMIFS(139:139,$8:$8,"&gt;="&amp;DATE(YEAR(EN$8)-1,1,1),$8:$8,"&lt;="&amp;EOMONTH(EN$8,-12))-1</f>
        <v/>
      </c>
      <c r="EO142" s="1318">
        <f>SUMIFS(139:139,$8:$8,"&gt;="&amp;DATE(YEAR(EO$8),1,1),$8:$8,"&lt;="&amp;EOMONTH(EO$8,0))/SUMIFS(139:139,$8:$8,"&gt;="&amp;DATE(YEAR(EO$8)-1,1,1),$8:$8,"&lt;="&amp;EOMONTH(EO$8,-12))-1</f>
        <v/>
      </c>
      <c r="EP142" s="1318">
        <f>SUMIFS(139:139,$8:$8,"&gt;="&amp;DATE(YEAR(EP$8),1,1),$8:$8,"&lt;="&amp;EOMONTH(EP$8,0))/SUMIFS(139:139,$8:$8,"&gt;="&amp;DATE(YEAR(EP$8)-1,1,1),$8:$8,"&lt;="&amp;EOMONTH(EP$8,-12))-1</f>
        <v/>
      </c>
      <c r="EQ142" s="1318">
        <f>SUMIFS(139:139,$8:$8,"&gt;="&amp;DATE(YEAR(EQ$8),1,1),$8:$8,"&lt;="&amp;EOMONTH(EQ$8,0))/SUMIFS(139:139,$8:$8,"&gt;="&amp;DATE(YEAR(EQ$8)-1,1,1),$8:$8,"&lt;="&amp;EOMONTH(EQ$8,-12))-1</f>
        <v/>
      </c>
      <c r="ER142" s="1318">
        <f>SUMIFS(139:139,$8:$8,"&gt;="&amp;DATE(YEAR(ER$8),1,1),$8:$8,"&lt;="&amp;EOMONTH(ER$8,0))/SUMIFS(139:139,$8:$8,"&gt;="&amp;DATE(YEAR(ER$8)-1,1,1),$8:$8,"&lt;="&amp;EOMONTH(ER$8,-12))-1</f>
        <v/>
      </c>
      <c r="ES142" s="1318">
        <f>SUMIFS(139:139,$8:$8,"&gt;="&amp;DATE(YEAR(ES$8),1,1),$8:$8,"&lt;="&amp;EOMONTH(ES$8,0))/SUMIFS(139:139,$8:$8,"&gt;="&amp;DATE(YEAR(ES$8)-1,1,1),$8:$8,"&lt;="&amp;EOMONTH(ES$8,-12))-1</f>
        <v/>
      </c>
      <c r="ET142" s="1318">
        <f>SUMIFS(139:139,$8:$8,"&gt;="&amp;DATE(YEAR(ET$8),1,1),$8:$8,"&lt;="&amp;EOMONTH(ET$8,0))/SUMIFS(139:139,$8:$8,"&gt;="&amp;DATE(YEAR(ET$8)-1,1,1),$8:$8,"&lt;="&amp;EOMONTH(ET$8,-12))-1</f>
        <v/>
      </c>
      <c r="EU142" s="1318">
        <f>SUMIFS(139:139,$8:$8,"&gt;="&amp;DATE(YEAR(EU$8),1,1),$8:$8,"&lt;="&amp;EOMONTH(EU$8,0))/SUMIFS(139:139,$8:$8,"&gt;="&amp;DATE(YEAR(EU$8)-1,1,1),$8:$8,"&lt;="&amp;EOMONTH(EU$8,-12))-1</f>
        <v/>
      </c>
      <c r="EV142" s="1318">
        <f>SUMIFS(139:139,$8:$8,"&gt;="&amp;DATE(YEAR(EV$8),1,1),$8:$8,"&lt;="&amp;EOMONTH(EV$8,0))/SUMIFS(139:139,$8:$8,"&gt;="&amp;DATE(YEAR(EV$8)-1,1,1),$8:$8,"&lt;="&amp;EOMONTH(EV$8,-12))-1</f>
        <v/>
      </c>
      <c r="EW142" s="1318">
        <f>SUMIFS(139:139,$8:$8,"&gt;="&amp;DATE(YEAR(EW$8),1,1),$8:$8,"&lt;="&amp;EOMONTH(EW$8,0))/SUMIFS(139:139,$8:$8,"&gt;="&amp;DATE(YEAR(EW$8)-1,1,1),$8:$8,"&lt;="&amp;EOMONTH(EW$8,-12))-1</f>
        <v/>
      </c>
      <c r="EX142" s="1318">
        <f>SUMIFS(139:139,$8:$8,"&gt;="&amp;DATE(YEAR(EX$8),1,1),$8:$8,"&lt;="&amp;EOMONTH(EX$8,0))/SUMIFS(139:139,$8:$8,"&gt;="&amp;DATE(YEAR(EX$8)-1,1,1),$8:$8,"&lt;="&amp;EOMONTH(EX$8,-12))-1</f>
        <v/>
      </c>
      <c r="EY142" s="1318">
        <f>SUMIFS(139:139,$8:$8,"&gt;="&amp;DATE(YEAR(EY$8),1,1),$8:$8,"&lt;="&amp;EOMONTH(EY$8,0))/SUMIFS(139:139,$8:$8,"&gt;="&amp;DATE(YEAR(EY$8)-1,1,1),$8:$8,"&lt;="&amp;EOMONTH(EY$8,-12))-1</f>
        <v/>
      </c>
      <c r="EZ142" s="1318">
        <f>SUMIFS(139:139,$8:$8,"&gt;="&amp;DATE(YEAR(EZ$8),1,1),$8:$8,"&lt;="&amp;EOMONTH(EZ$8,0))/SUMIFS(139:139,$8:$8,"&gt;="&amp;DATE(YEAR(EZ$8)-1,1,1),$8:$8,"&lt;="&amp;EOMONTH(EZ$8,-12))-1</f>
        <v/>
      </c>
      <c r="FA142" s="1318">
        <f>SUMIFS(139:139,$8:$8,"&gt;="&amp;DATE(YEAR(FA$8),1,1),$8:$8,"&lt;="&amp;EOMONTH(FA$8,0))/SUMIFS(139:139,$8:$8,"&gt;="&amp;DATE(YEAR(FA$8)-1,1,1),$8:$8,"&lt;="&amp;EOMONTH(FA$8,-12))-1</f>
        <v/>
      </c>
      <c r="FB142" s="1318">
        <f>SUMIFS(139:139,$8:$8,"&gt;="&amp;DATE(YEAR(FB$8),1,1),$8:$8,"&lt;="&amp;EOMONTH(FB$8,0))/SUMIFS(139:139,$8:$8,"&gt;="&amp;DATE(YEAR(FB$8)-1,1,1),$8:$8,"&lt;="&amp;EOMONTH(FB$8,-12))-1</f>
        <v/>
      </c>
      <c r="FC142" s="1318">
        <f>SUMIFS(139:139,$8:$8,"&gt;="&amp;DATE(YEAR(FC$8),1,1),$8:$8,"&lt;="&amp;EOMONTH(FC$8,0))/SUMIFS(139:139,$8:$8,"&gt;="&amp;DATE(YEAR(FC$8)-1,1,1),$8:$8,"&lt;="&amp;EOMONTH(FC$8,-12))-1</f>
        <v/>
      </c>
      <c r="FD142" s="1318">
        <f>SUMIFS(139:139,$8:$8,"&gt;="&amp;DATE(YEAR(FD$8),1,1),$8:$8,"&lt;="&amp;EOMONTH(FD$8,0))/SUMIFS(139:139,$8:$8,"&gt;="&amp;DATE(YEAR(FD$8)-1,1,1),$8:$8,"&lt;="&amp;EOMONTH(FD$8,-12))-1</f>
        <v/>
      </c>
      <c r="FE142" s="1318">
        <f>SUMIFS(139:139,$8:$8,"&gt;="&amp;DATE(YEAR(FE$8),1,1),$8:$8,"&lt;="&amp;EOMONTH(FE$8,0))/SUMIFS(139:139,$8:$8,"&gt;="&amp;DATE(YEAR(FE$8)-1,1,1),$8:$8,"&lt;="&amp;EOMONTH(FE$8,-12))-1</f>
        <v/>
      </c>
      <c r="FF142" s="1318">
        <f>SUMIFS(139:139,$8:$8,"&gt;="&amp;DATE(YEAR(FF$8),1,1),$8:$8,"&lt;="&amp;EOMONTH(FF$8,0))/SUMIFS(139:139,$8:$8,"&gt;="&amp;DATE(YEAR(FF$8)-1,1,1),$8:$8,"&lt;="&amp;EOMONTH(FF$8,-12))-1</f>
        <v/>
      </c>
      <c r="FG142" s="1318">
        <f>SUMIFS(139:139,$8:$8,"&gt;="&amp;DATE(YEAR(FG$8),1,1),$8:$8,"&lt;="&amp;EOMONTH(FG$8,0))/SUMIFS(139:139,$8:$8,"&gt;="&amp;DATE(YEAR(FG$8)-1,1,1),$8:$8,"&lt;="&amp;EOMONTH(FG$8,-12))-1</f>
        <v/>
      </c>
      <c r="FH142" s="1318">
        <f>SUMIFS(139:139,$8:$8,"&gt;="&amp;DATE(YEAR(FH$8),1,1),$8:$8,"&lt;="&amp;EOMONTH(FH$8,0))/SUMIFS(139:139,$8:$8,"&gt;="&amp;DATE(YEAR(FH$8)-1,1,1),$8:$8,"&lt;="&amp;EOMONTH(FH$8,-12))-1</f>
        <v/>
      </c>
      <c r="FI142" s="1318">
        <f>SUMIFS(139:139,$8:$8,"&gt;="&amp;DATE(YEAR(FI$8),1,1),$8:$8,"&lt;="&amp;EOMONTH(FI$8,0))/SUMIFS(139:139,$8:$8,"&gt;="&amp;DATE(YEAR(FI$8)-1,1,1),$8:$8,"&lt;="&amp;EOMONTH(FI$8,-12))-1</f>
        <v/>
      </c>
      <c r="FJ142" s="1318">
        <f>SUMIFS(139:139,$8:$8,"&gt;="&amp;DATE(YEAR(FJ$8),1,1),$8:$8,"&lt;="&amp;EOMONTH(FJ$8,0))/SUMIFS(139:139,$8:$8,"&gt;="&amp;DATE(YEAR(FJ$8)-1,1,1),$8:$8,"&lt;="&amp;EOMONTH(FJ$8,-12))-1</f>
        <v/>
      </c>
      <c r="FK142" s="1318">
        <f>SUMIFS(139:139,$8:$8,"&gt;="&amp;DATE(YEAR(FK$8),1,1),$8:$8,"&lt;="&amp;EOMONTH(FK$8,0))/SUMIFS(139:139,$8:$8,"&gt;="&amp;DATE(YEAR(FK$8)-1,1,1),$8:$8,"&lt;="&amp;EOMONTH(FK$8,-12))-1</f>
        <v/>
      </c>
      <c r="FL142" s="1318">
        <f>SUMIFS(139:139,$8:$8,"&gt;="&amp;DATE(YEAR(FL$8),1,1),$8:$8,"&lt;="&amp;EOMONTH(FL$8,0))/SUMIFS(139:139,$8:$8,"&gt;="&amp;DATE(YEAR(FL$8)-1,1,1),$8:$8,"&lt;="&amp;EOMONTH(FL$8,-12))-1</f>
        <v/>
      </c>
      <c r="FM142" s="1318">
        <f>SUMIFS(139:139,$8:$8,"&gt;="&amp;DATE(YEAR(FM$8),1,1),$8:$8,"&lt;="&amp;EOMONTH(FM$8,0))/SUMIFS(139:139,$8:$8,"&gt;="&amp;DATE(YEAR(FM$8)-1,1,1),$8:$8,"&lt;="&amp;EOMONTH(FM$8,-12))-1</f>
        <v/>
      </c>
      <c r="FN142" s="1318">
        <f>SUMIFS(139:139,$8:$8,"&gt;="&amp;DATE(YEAR(FN$8),1,1),$8:$8,"&lt;="&amp;EOMONTH(FN$8,0))/SUMIFS(139:139,$8:$8,"&gt;="&amp;DATE(YEAR(FN$8)-1,1,1),$8:$8,"&lt;="&amp;EOMONTH(FN$8,-12))-1</f>
        <v/>
      </c>
      <c r="FO142" s="1318">
        <f>SUMIFS(139:139,$8:$8,"&gt;="&amp;DATE(YEAR(FO$8),1,1),$8:$8,"&lt;="&amp;EOMONTH(FO$8,0))/SUMIFS(139:139,$8:$8,"&gt;="&amp;DATE(YEAR(FO$8)-1,1,1),$8:$8,"&lt;="&amp;EOMONTH(FO$8,-12))-1</f>
        <v/>
      </c>
      <c r="FP142" s="1318">
        <f>SUMIFS(139:139,$8:$8,"&gt;="&amp;DATE(YEAR(FP$8),1,1),$8:$8,"&lt;="&amp;EOMONTH(FP$8,0))/SUMIFS(139:139,$8:$8,"&gt;="&amp;DATE(YEAR(FP$8)-1,1,1),$8:$8,"&lt;="&amp;EOMONTH(FP$8,-12))-1</f>
        <v/>
      </c>
      <c r="FQ142" s="1318">
        <f>SUMIFS(139:139,$8:$8,"&gt;="&amp;DATE(YEAR(FQ$8),1,1),$8:$8,"&lt;="&amp;EOMONTH(FQ$8,0))/SUMIFS(139:139,$8:$8,"&gt;="&amp;DATE(YEAR(FQ$8)-1,1,1),$8:$8,"&lt;="&amp;EOMONTH(FQ$8,-12))-1</f>
        <v/>
      </c>
      <c r="FR142" s="1318">
        <f>SUMIFS(139:139,$8:$8,"&gt;="&amp;DATE(YEAR(FR$8),1,1),$8:$8,"&lt;="&amp;EOMONTH(FR$8,0))/SUMIFS(139:139,$8:$8,"&gt;="&amp;DATE(YEAR(FR$8)-1,1,1),$8:$8,"&lt;="&amp;EOMONTH(FR$8,-12))-1</f>
        <v/>
      </c>
      <c r="FS142" s="1318">
        <f>SUMIFS(139:139,$8:$8,"&gt;="&amp;DATE(YEAR(FS$8),1,1),$8:$8,"&lt;="&amp;EOMONTH(FS$8,0))/SUMIFS(139:139,$8:$8,"&gt;="&amp;DATE(YEAR(FS$8)-1,1,1),$8:$8,"&lt;="&amp;EOMONTH(FS$8,-12))-1</f>
        <v/>
      </c>
      <c r="FT142" s="1318">
        <f>SUMIFS(139:139,$8:$8,"&gt;="&amp;DATE(YEAR(FT$8),1,1),$8:$8,"&lt;="&amp;EOMONTH(FT$8,0))/SUMIFS(139:139,$8:$8,"&gt;="&amp;DATE(YEAR(FT$8)-1,1,1),$8:$8,"&lt;="&amp;EOMONTH(FT$8,-12))-1</f>
        <v/>
      </c>
      <c r="FU142" s="1318">
        <f>SUMIFS(139:139,$8:$8,"&gt;="&amp;DATE(YEAR(FU$8),1,1),$8:$8,"&lt;="&amp;EOMONTH(FU$8,0))/SUMIFS(139:139,$8:$8,"&gt;="&amp;DATE(YEAR(FU$8)-1,1,1),$8:$8,"&lt;="&amp;EOMONTH(FU$8,-12))-1</f>
        <v/>
      </c>
      <c r="FV142" s="1318">
        <f>SUMIFS(139:139,$8:$8,"&gt;="&amp;DATE(YEAR(FV$8),1,1),$8:$8,"&lt;="&amp;EOMONTH(FV$8,0))/SUMIFS(139:139,$8:$8,"&gt;="&amp;DATE(YEAR(FV$8)-1,1,1),$8:$8,"&lt;="&amp;EOMONTH(FV$8,-12))-1</f>
        <v/>
      </c>
      <c r="FW142" s="1318">
        <f>SUMIFS(139:139,$8:$8,"&gt;="&amp;DATE(YEAR(FW$8),1,1),$8:$8,"&lt;="&amp;EOMONTH(FW$8,0))/SUMIFS(139:139,$8:$8,"&gt;="&amp;DATE(YEAR(FW$8)-1,1,1),$8:$8,"&lt;="&amp;EOMONTH(FW$8,-12))-1</f>
        <v/>
      </c>
      <c r="FX142" s="1318">
        <f>SUMIFS(139:139,$8:$8,"&gt;="&amp;DATE(YEAR(FX$8),1,1),$8:$8,"&lt;="&amp;EOMONTH(FX$8,0))/SUMIFS(139:139,$8:$8,"&gt;="&amp;DATE(YEAR(FX$8)-1,1,1),$8:$8,"&lt;="&amp;EOMONTH(FX$8,-12))-1</f>
        <v/>
      </c>
      <c r="FY142" s="1318">
        <f>SUMIFS(139:139,$8:$8,"&gt;="&amp;DATE(YEAR(FY$8),1,1),$8:$8,"&lt;="&amp;EOMONTH(FY$8,0))/SUMIFS(139:139,$8:$8,"&gt;="&amp;DATE(YEAR(FY$8)-1,1,1),$8:$8,"&lt;="&amp;EOMONTH(FY$8,-12))-1</f>
        <v/>
      </c>
      <c r="FZ142" s="1318">
        <f>SUMIFS(139:139,$8:$8,"&gt;="&amp;DATE(YEAR(FZ$8),1,1),$8:$8,"&lt;="&amp;EOMONTH(FZ$8,0))/SUMIFS(139:139,$8:$8,"&gt;="&amp;DATE(YEAR(FZ$8)-1,1,1),$8:$8,"&lt;="&amp;EOMONTH(FZ$8,-12))-1</f>
        <v/>
      </c>
      <c r="GA142" s="1318">
        <f>SUMIFS(139:139,$8:$8,"&gt;="&amp;DATE(YEAR(GA$8),1,1),$8:$8,"&lt;="&amp;EOMONTH(GA$8,0))/SUMIFS(139:139,$8:$8,"&gt;="&amp;DATE(YEAR(GA$8)-1,1,1),$8:$8,"&lt;="&amp;EOMONTH(GA$8,-12))-1</f>
        <v/>
      </c>
      <c r="GB142" s="1318">
        <f>SUMIFS(139:139,$8:$8,"&gt;="&amp;DATE(YEAR(GB$8),1,1),$8:$8,"&lt;="&amp;EOMONTH(GB$8,0))/SUMIFS(139:139,$8:$8,"&gt;="&amp;DATE(YEAR(GB$8)-1,1,1),$8:$8,"&lt;="&amp;EOMONTH(GB$8,-12))-1</f>
        <v/>
      </c>
      <c r="GC142" s="1318">
        <f>SUMIFS(139:139,$8:$8,"&gt;="&amp;DATE(YEAR(GC$8),1,1),$8:$8,"&lt;="&amp;EOMONTH(GC$8,0))/SUMIFS(139:139,$8:$8,"&gt;="&amp;DATE(YEAR(GC$8)-1,1,1),$8:$8,"&lt;="&amp;EOMONTH(GC$8,-12))-1</f>
        <v/>
      </c>
      <c r="GD142" s="1318">
        <f>SUMIFS(139:139,$8:$8,"&gt;="&amp;DATE(YEAR(GD$8),1,1),$8:$8,"&lt;="&amp;EOMONTH(GD$8,0))/SUMIFS(139:139,$8:$8,"&gt;="&amp;DATE(YEAR(GD$8)-1,1,1),$8:$8,"&lt;="&amp;EOMONTH(GD$8,-12))-1</f>
        <v/>
      </c>
      <c r="GE142" s="1318">
        <f>SUMIFS(139:139,$8:$8,"&gt;="&amp;DATE(YEAR(GE$8),1,1),$8:$8,"&lt;="&amp;EOMONTH(GE$8,0))/SUMIFS(139:139,$8:$8,"&gt;="&amp;DATE(YEAR(GE$8)-1,1,1),$8:$8,"&lt;="&amp;EOMONTH(GE$8,-12))-1</f>
        <v/>
      </c>
      <c r="GF142" s="1318">
        <f>SUMIFS(139:139,$8:$8,"&gt;="&amp;DATE(YEAR(GF$8),1,1),$8:$8,"&lt;="&amp;EOMONTH(GF$8,0))/SUMIFS(139:139,$8:$8,"&gt;="&amp;DATE(YEAR(GF$8)-1,1,1),$8:$8,"&lt;="&amp;EOMONTH(GF$8,-12))-1</f>
        <v/>
      </c>
      <c r="GG142" s="1318">
        <f>SUMIFS(139:139,$8:$8,"&gt;="&amp;DATE(YEAR(GG$8),1,1),$8:$8,"&lt;="&amp;EOMONTH(GG$8,0))/SUMIFS(139:139,$8:$8,"&gt;="&amp;DATE(YEAR(GG$8)-1,1,1),$8:$8,"&lt;="&amp;EOMONTH(GG$8,-12))-1</f>
        <v/>
      </c>
      <c r="GH142" s="1318">
        <f>SUMIFS(139:139,$8:$8,"&gt;="&amp;DATE(YEAR(GH$8),1,1),$8:$8,"&lt;="&amp;EOMONTH(GH$8,0))/SUMIFS(139:139,$8:$8,"&gt;="&amp;DATE(YEAR(GH$8)-1,1,1),$8:$8,"&lt;="&amp;EOMONTH(GH$8,-12))-1</f>
        <v/>
      </c>
      <c r="GI142" s="1318">
        <f>SUMIFS(139:139,$8:$8,"&gt;="&amp;DATE(YEAR(GI$8),1,1),$8:$8,"&lt;="&amp;EOMONTH(GI$8,0))/SUMIFS(139:139,$8:$8,"&gt;="&amp;DATE(YEAR(GI$8)-1,1,1),$8:$8,"&lt;="&amp;EOMONTH(GI$8,-12))-1</f>
        <v/>
      </c>
      <c r="GJ142" s="1318">
        <f>SUMIFS(139:139,$8:$8,"&gt;="&amp;DATE(YEAR(GJ$8),1,1),$8:$8,"&lt;="&amp;EOMONTH(GJ$8,0))/SUMIFS(139:139,$8:$8,"&gt;="&amp;DATE(YEAR(GJ$8)-1,1,1),$8:$8,"&lt;="&amp;EOMONTH(GJ$8,-12))-1</f>
        <v/>
      </c>
      <c r="GK142" s="1318">
        <f>SUMIFS(139:139,$8:$8,"&gt;="&amp;DATE(YEAR(GK$8),1,1),$8:$8,"&lt;="&amp;EOMONTH(GK$8,0))/SUMIFS(139:139,$8:$8,"&gt;="&amp;DATE(YEAR(GK$8)-1,1,1),$8:$8,"&lt;="&amp;EOMONTH(GK$8,-12))-1</f>
        <v/>
      </c>
      <c r="GL142" s="1318">
        <f>SUMIFS(139:139,$8:$8,"&gt;="&amp;DATE(YEAR(GL$8),1,1),$8:$8,"&lt;="&amp;EOMONTH(GL$8,0))/SUMIFS(139:139,$8:$8,"&gt;="&amp;DATE(YEAR(GL$8)-1,1,1),$8:$8,"&lt;="&amp;EOMONTH(GL$8,-12))-1</f>
        <v/>
      </c>
      <c r="GM142" s="1318">
        <f>SUMIFS(139:139,$8:$8,"&gt;="&amp;DATE(YEAR(GM$8),1,1),$8:$8,"&lt;="&amp;EOMONTH(GM$8,0))/SUMIFS(139:139,$8:$8,"&gt;="&amp;DATE(YEAR(GM$8)-1,1,1),$8:$8,"&lt;="&amp;EOMONTH(GM$8,-12))-1</f>
        <v/>
      </c>
      <c r="GN142" s="1318">
        <f>SUMIFS(139:139,$8:$8,"&gt;="&amp;DATE(YEAR(GN$8),1,1),$8:$8,"&lt;="&amp;EOMONTH(GN$8,0))/SUMIFS(139:139,$8:$8,"&gt;="&amp;DATE(YEAR(GN$8)-1,1,1),$8:$8,"&lt;="&amp;EOMONTH(GN$8,-12))-1</f>
        <v/>
      </c>
      <c r="GO142" s="1318">
        <f>SUMIFS(139:139,$8:$8,"&gt;="&amp;DATE(YEAR(GO$8),1,1),$8:$8,"&lt;="&amp;EOMONTH(GO$8,0))/SUMIFS(139:139,$8:$8,"&gt;="&amp;DATE(YEAR(GO$8)-1,1,1),$8:$8,"&lt;="&amp;EOMONTH(GO$8,-12))-1</f>
        <v/>
      </c>
      <c r="GP142" s="1318">
        <f>SUMIFS(139:139,$8:$8,"&gt;="&amp;DATE(YEAR(GP$8),1,1),$8:$8,"&lt;="&amp;EOMONTH(GP$8,0))/SUMIFS(139:139,$8:$8,"&gt;="&amp;DATE(YEAR(GP$8)-1,1,1),$8:$8,"&lt;="&amp;EOMONTH(GP$8,-12))-1</f>
        <v/>
      </c>
      <c r="GQ142" s="1318">
        <f>SUMIFS(139:139,$8:$8,"&gt;="&amp;DATE(YEAR(GQ$8),1,1),$8:$8,"&lt;="&amp;EOMONTH(GQ$8,0))/SUMIFS(139:139,$8:$8,"&gt;="&amp;DATE(YEAR(GQ$8)-1,1,1),$8:$8,"&lt;="&amp;EOMONTH(GQ$8,-12))-1</f>
        <v/>
      </c>
      <c r="GR142" s="1318">
        <f>SUMIFS(139:139,$8:$8,"&gt;="&amp;DATE(YEAR(GR$8),1,1),$8:$8,"&lt;="&amp;EOMONTH(GR$8,0))/SUMIFS(139:139,$8:$8,"&gt;="&amp;DATE(YEAR(GR$8)-1,1,1),$8:$8,"&lt;="&amp;EOMONTH(GR$8,-12))-1</f>
        <v/>
      </c>
      <c r="GS142" s="1318">
        <f>SUMIFS(139:139,$8:$8,"&gt;="&amp;DATE(YEAR(GS$8),1,1),$8:$8,"&lt;="&amp;EOMONTH(GS$8,0))/SUMIFS(139:139,$8:$8,"&gt;="&amp;DATE(YEAR(GS$8)-1,1,1),$8:$8,"&lt;="&amp;EOMONTH(GS$8,-12))-1</f>
        <v/>
      </c>
      <c r="GT142" s="1318">
        <f>SUMIFS(139:139,$8:$8,"&gt;="&amp;DATE(YEAR(GT$8),1,1),$8:$8,"&lt;="&amp;EOMONTH(GT$8,0))/SUMIFS(139:139,$8:$8,"&gt;="&amp;DATE(YEAR(GT$8)-1,1,1),$8:$8,"&lt;="&amp;EOMONTH(GT$8,-12))-1</f>
        <v/>
      </c>
      <c r="GU142" s="1318">
        <f>SUMIFS(139:139,$8:$8,"&gt;="&amp;DATE(YEAR(GU$8),1,1),$8:$8,"&lt;="&amp;EOMONTH(GU$8,0))/SUMIFS(139:139,$8:$8,"&gt;="&amp;DATE(YEAR(GU$8)-1,1,1),$8:$8,"&lt;="&amp;EOMONTH(GU$8,-12))-1</f>
        <v/>
      </c>
      <c r="GV142" s="1318">
        <f>SUMIFS(139:139,$8:$8,"&gt;="&amp;DATE(YEAR(GV$8),1,1),$8:$8,"&lt;="&amp;EOMONTH(GV$8,0))/SUMIFS(139:139,$8:$8,"&gt;="&amp;DATE(YEAR(GV$8)-1,1,1),$8:$8,"&lt;="&amp;EOMONTH(GV$8,-12))-1</f>
        <v/>
      </c>
      <c r="GW142" s="1318">
        <f>SUMIFS(139:139,$8:$8,"&gt;="&amp;DATE(YEAR(GW$8),1,1),$8:$8,"&lt;="&amp;EOMONTH(GW$8,0))/SUMIFS(139:139,$8:$8,"&gt;="&amp;DATE(YEAR(GW$8)-1,1,1),$8:$8,"&lt;="&amp;EOMONTH(GW$8,-12))-1</f>
        <v/>
      </c>
      <c r="GX142" s="1318">
        <f>SUMIFS(139:139,$8:$8,"&gt;="&amp;DATE(YEAR(GX$8),1,1),$8:$8,"&lt;="&amp;EOMONTH(GX$8,0))/SUMIFS(139:139,$8:$8,"&gt;="&amp;DATE(YEAR(GX$8)-1,1,1),$8:$8,"&lt;="&amp;EOMONTH(GX$8,-12))-1</f>
        <v/>
      </c>
      <c r="GY142" s="1318">
        <f>SUMIFS(139:139,$8:$8,"&gt;="&amp;DATE(YEAR(GY$8),1,1),$8:$8,"&lt;="&amp;EOMONTH(GY$8,0))/SUMIFS(139:139,$8:$8,"&gt;="&amp;DATE(YEAR(GY$8)-1,1,1),$8:$8,"&lt;="&amp;EOMONTH(GY$8,-12))-1</f>
        <v/>
      </c>
      <c r="GZ142" s="1318">
        <f>SUMIFS(139:139,$8:$8,"&gt;="&amp;DATE(YEAR(GZ$8),1,1),$8:$8,"&lt;="&amp;EOMONTH(GZ$8,0))/SUMIFS(139:139,$8:$8,"&gt;="&amp;DATE(YEAR(GZ$8)-1,1,1),$8:$8,"&lt;="&amp;EOMONTH(GZ$8,-12))-1</f>
        <v/>
      </c>
      <c r="HA142" s="1318">
        <f>SUMIFS(139:139,$8:$8,"&gt;="&amp;DATE(YEAR(HA$8),1,1),$8:$8,"&lt;="&amp;EOMONTH(HA$8,0))/SUMIFS(139:139,$8:$8,"&gt;="&amp;DATE(YEAR(HA$8)-1,1,1),$8:$8,"&lt;="&amp;EOMONTH(HA$8,-12))-1</f>
        <v/>
      </c>
      <c r="HB142" s="1318">
        <f>SUMIFS(139:139,$8:$8,"&gt;="&amp;DATE(YEAR(HB$8),1,1),$8:$8,"&lt;="&amp;EOMONTH(HB$8,0))/SUMIFS(139:139,$8:$8,"&gt;="&amp;DATE(YEAR(HB$8)-1,1,1),$8:$8,"&lt;="&amp;EOMONTH(HB$8,-12))-1</f>
        <v/>
      </c>
      <c r="HC142" s="1318">
        <f>SUMIFS(139:139,$8:$8,"&gt;="&amp;DATE(YEAR(HC$8),1,1),$8:$8,"&lt;="&amp;EOMONTH(HC$8,0))/SUMIFS(139:139,$8:$8,"&gt;="&amp;DATE(YEAR(HC$8)-1,1,1),$8:$8,"&lt;="&amp;EOMONTH(HC$8,-12))-1</f>
        <v/>
      </c>
      <c r="HD142" s="1318">
        <f>SUMIFS(139:139,$8:$8,"&gt;="&amp;DATE(YEAR(HD$8),1,1),$8:$8,"&lt;="&amp;EOMONTH(HD$8,0))/SUMIFS(139:139,$8:$8,"&gt;="&amp;DATE(YEAR(HD$8)-1,1,1),$8:$8,"&lt;="&amp;EOMONTH(HD$8,-12))-1</f>
        <v/>
      </c>
      <c r="HE142" s="1318">
        <f>SUMIFS(139:139,$8:$8,"&gt;="&amp;DATE(YEAR(HE$8),1,1),$8:$8,"&lt;="&amp;EOMONTH(HE$8,0))/SUMIFS(139:139,$8:$8,"&gt;="&amp;DATE(YEAR(HE$8)-1,1,1),$8:$8,"&lt;="&amp;EOMONTH(HE$8,-12))-1</f>
        <v/>
      </c>
      <c r="HF142" s="1318">
        <f>SUMIFS(139:139,$8:$8,"&gt;="&amp;DATE(YEAR(HF$8),1,1),$8:$8,"&lt;="&amp;EOMONTH(HF$8,0))/SUMIFS(139:139,$8:$8,"&gt;="&amp;DATE(YEAR(HF$8)-1,1,1),$8:$8,"&lt;="&amp;EOMONTH(HF$8,-12))-1</f>
        <v/>
      </c>
      <c r="HG142" s="1318">
        <f>SUMIFS(139:139,$8:$8,"&gt;="&amp;DATE(YEAR(HG$8),1,1),$8:$8,"&lt;="&amp;EOMONTH(HG$8,0))/SUMIFS(139:139,$8:$8,"&gt;="&amp;DATE(YEAR(HG$8)-1,1,1),$8:$8,"&lt;="&amp;EOMONTH(HG$8,-12))-1</f>
        <v/>
      </c>
      <c r="HH142" s="1318">
        <f>SUMIFS(139:139,$8:$8,"&gt;="&amp;DATE(YEAR(HH$8),1,1),$8:$8,"&lt;="&amp;EOMONTH(HH$8,0))/SUMIFS(139:139,$8:$8,"&gt;="&amp;DATE(YEAR(HH$8)-1,1,1),$8:$8,"&lt;="&amp;EOMONTH(HH$8,-12))-1</f>
        <v/>
      </c>
      <c r="HI142" s="1318">
        <f>SUMIFS(139:139,$8:$8,"&gt;="&amp;DATE(YEAR(HI$8),1,1),$8:$8,"&lt;="&amp;EOMONTH(HI$8,0))/SUMIFS(139:139,$8:$8,"&gt;="&amp;DATE(YEAR(HI$8)-1,1,1),$8:$8,"&lt;="&amp;EOMONTH(HI$8,-12))-1</f>
        <v/>
      </c>
      <c r="HJ142" s="1318">
        <f>SUMIFS(139:139,$8:$8,"&gt;="&amp;DATE(YEAR(HJ$8),1,1),$8:$8,"&lt;="&amp;EOMONTH(HJ$8,0))/SUMIFS(139:139,$8:$8,"&gt;="&amp;DATE(YEAR(HJ$8)-1,1,1),$8:$8,"&lt;="&amp;EOMONTH(HJ$8,-12))-1</f>
        <v/>
      </c>
      <c r="HK142" s="1318">
        <f>SUMIFS(139:139,$8:$8,"&gt;="&amp;DATE(YEAR(HK$8),1,1),$8:$8,"&lt;="&amp;EOMONTH(HK$8,0))/SUMIFS(139:139,$8:$8,"&gt;="&amp;DATE(YEAR(HK$8)-1,1,1),$8:$8,"&lt;="&amp;EOMONTH(HK$8,-12))-1</f>
        <v/>
      </c>
      <c r="HL142" s="1318">
        <f>SUMIFS(139:139,$8:$8,"&gt;="&amp;DATE(YEAR(HL$8),1,1),$8:$8,"&lt;="&amp;EOMONTH(HL$8,0))/SUMIFS(139:139,$8:$8,"&gt;="&amp;DATE(YEAR(HL$8)-1,1,1),$8:$8,"&lt;="&amp;EOMONTH(HL$8,-12))-1</f>
        <v/>
      </c>
      <c r="HM142" s="1318">
        <f>SUMIFS(139:139,$8:$8,"&gt;="&amp;DATE(YEAR(HM$8),1,1),$8:$8,"&lt;="&amp;EOMONTH(HM$8,0))/SUMIFS(139:139,$8:$8,"&gt;="&amp;DATE(YEAR(HM$8)-1,1,1),$8:$8,"&lt;="&amp;EOMONTH(HM$8,-12))-1</f>
        <v/>
      </c>
      <c r="HN142" s="1318">
        <f>SUMIFS(139:139,$8:$8,"&gt;="&amp;DATE(YEAR(HN$8),1,1),$8:$8,"&lt;="&amp;EOMONTH(HN$8,0))/SUMIFS(139:139,$8:$8,"&gt;="&amp;DATE(YEAR(HN$8)-1,1,1),$8:$8,"&lt;="&amp;EOMONTH(HN$8,-12))-1</f>
        <v/>
      </c>
      <c r="HO142" s="1318">
        <f>SUMIFS(139:139,$8:$8,"&gt;="&amp;DATE(YEAR(HO$8),1,1),$8:$8,"&lt;="&amp;EOMONTH(HO$8,0))/SUMIFS(139:139,$8:$8,"&gt;="&amp;DATE(YEAR(HO$8)-1,1,1),$8:$8,"&lt;="&amp;EOMONTH(HO$8,-12))-1</f>
        <v/>
      </c>
      <c r="HP142" s="1318">
        <f>SUMIFS(139:139,$8:$8,"&gt;="&amp;DATE(YEAR(HP$8),1,1),$8:$8,"&lt;="&amp;EOMONTH(HP$8,0))/SUMIFS(139:139,$8:$8,"&gt;="&amp;DATE(YEAR(HP$8)-1,1,1),$8:$8,"&lt;="&amp;EOMONTH(HP$8,-12))-1</f>
        <v/>
      </c>
      <c r="HQ142" s="1318">
        <f>SUMIFS(139:139,$8:$8,"&gt;="&amp;DATE(YEAR(HQ$8),1,1),$8:$8,"&lt;="&amp;EOMONTH(HQ$8,0))/SUMIFS(139:139,$8:$8,"&gt;="&amp;DATE(YEAR(HQ$8)-1,1,1),$8:$8,"&lt;="&amp;EOMONTH(HQ$8,-12))-1</f>
        <v/>
      </c>
      <c r="HR142" s="1318">
        <f>SUMIFS(139:139,$8:$8,"&gt;="&amp;DATE(YEAR(HR$8),1,1),$8:$8,"&lt;="&amp;EOMONTH(HR$8,0))/SUMIFS(139:139,$8:$8,"&gt;="&amp;DATE(YEAR(HR$8)-1,1,1),$8:$8,"&lt;="&amp;EOMONTH(HR$8,-12))-1</f>
        <v/>
      </c>
      <c r="HS142" s="1318">
        <f>SUMIFS(139:139,$8:$8,"&gt;="&amp;DATE(YEAR(HS$8),1,1),$8:$8,"&lt;="&amp;EOMONTH(HS$8,0))/SUMIFS(139:139,$8:$8,"&gt;="&amp;DATE(YEAR(HS$8)-1,1,1),$8:$8,"&lt;="&amp;EOMONTH(HS$8,-12))-1</f>
        <v/>
      </c>
      <c r="HT142" s="1318">
        <f>SUMIFS(139:139,$8:$8,"&gt;="&amp;DATE(YEAR(HT$8),1,1),$8:$8,"&lt;="&amp;EOMONTH(HT$8,0))/SUMIFS(139:139,$8:$8,"&gt;="&amp;DATE(YEAR(HT$8)-1,1,1),$8:$8,"&lt;="&amp;EOMONTH(HT$8,-12))-1</f>
        <v/>
      </c>
      <c r="HU142" s="1318">
        <f>SUMIFS(139:139,$8:$8,"&gt;="&amp;DATE(YEAR(HU$8),1,1),$8:$8,"&lt;="&amp;EOMONTH(HU$8,0))/SUMIFS(139:139,$8:$8,"&gt;="&amp;DATE(YEAR(HU$8)-1,1,1),$8:$8,"&lt;="&amp;EOMONTH(HU$8,-12))-1</f>
        <v/>
      </c>
      <c r="HV142" s="1318">
        <f>SUMIFS(139:139,$8:$8,"&gt;="&amp;DATE(YEAR(HV$8),1,1),$8:$8,"&lt;="&amp;EOMONTH(HV$8,0))/SUMIFS(139:139,$8:$8,"&gt;="&amp;DATE(YEAR(HV$8)-1,1,1),$8:$8,"&lt;="&amp;EOMONTH(HV$8,-12))-1</f>
        <v/>
      </c>
      <c r="HW142" s="1318">
        <f>SUMIFS(139:139,$8:$8,"&gt;="&amp;DATE(YEAR(HW$8),1,1),$8:$8,"&lt;="&amp;EOMONTH(HW$8,0))/SUMIFS(139:139,$8:$8,"&gt;="&amp;DATE(YEAR(HW$8)-1,1,1),$8:$8,"&lt;="&amp;EOMONTH(HW$8,-12))-1</f>
        <v/>
      </c>
      <c r="HX142" s="1318">
        <f>SUMIFS(139:139,$8:$8,"&gt;="&amp;DATE(YEAR(HX$8),1,1),$8:$8,"&lt;="&amp;EOMONTH(HX$8,0))/SUMIFS(139:139,$8:$8,"&gt;="&amp;DATE(YEAR(HX$8)-1,1,1),$8:$8,"&lt;="&amp;EOMONTH(HX$8,-12))-1</f>
        <v/>
      </c>
      <c r="HY142" s="1318">
        <f>SUMIFS(139:139,$8:$8,"&gt;="&amp;DATE(YEAR(HY$8),1,1),$8:$8,"&lt;="&amp;EOMONTH(HY$8,0))/SUMIFS(139:139,$8:$8,"&gt;="&amp;DATE(YEAR(HY$8)-1,1,1),$8:$8,"&lt;="&amp;EOMONTH(HY$8,-12))-1</f>
        <v/>
      </c>
      <c r="HZ142" s="1318">
        <f>SUMIFS(139:139,$8:$8,"&gt;="&amp;DATE(YEAR(HZ$8),1,1),$8:$8,"&lt;="&amp;EOMONTH(HZ$8,0))/SUMIFS(139:139,$8:$8,"&gt;="&amp;DATE(YEAR(HZ$8)-1,1,1),$8:$8,"&lt;="&amp;EOMONTH(HZ$8,-12))-1</f>
        <v/>
      </c>
      <c r="IA142" s="1318">
        <f>SUMIFS(139:139,$8:$8,"&gt;="&amp;DATE(YEAR(IA$8),1,1),$8:$8,"&lt;="&amp;EOMONTH(IA$8,0))/SUMIFS(139:139,$8:$8,"&gt;="&amp;DATE(YEAR(IA$8)-1,1,1),$8:$8,"&lt;="&amp;EOMONTH(IA$8,-12))-1</f>
        <v/>
      </c>
      <c r="IB142" s="1318">
        <f>SUMIFS(139:139,$8:$8,"&gt;="&amp;DATE(YEAR(IB$8),1,1),$8:$8,"&lt;="&amp;EOMONTH(IB$8,0))/SUMIFS(139:139,$8:$8,"&gt;="&amp;DATE(YEAR(IB$8)-1,1,1),$8:$8,"&lt;="&amp;EOMONTH(IB$8,-12))-1</f>
        <v/>
      </c>
      <c r="IC142" s="1318">
        <f>SUMIFS(139:139,$8:$8,"&gt;="&amp;DATE(YEAR(IC$8),1,1),$8:$8,"&lt;="&amp;EOMONTH(IC$8,0))/SUMIFS(139:139,$8:$8,"&gt;="&amp;DATE(YEAR(IC$8)-1,1,1),$8:$8,"&lt;="&amp;EOMONTH(IC$8,-12))-1</f>
        <v/>
      </c>
      <c r="ID142" s="1318">
        <f>SUMIFS(139:139,$8:$8,"&gt;="&amp;DATE(YEAR(ID$8),1,1),$8:$8,"&lt;="&amp;EOMONTH(ID$8,0))/SUMIFS(139:139,$8:$8,"&gt;="&amp;DATE(YEAR(ID$8)-1,1,1),$8:$8,"&lt;="&amp;EOMONTH(ID$8,-12))-1</f>
        <v/>
      </c>
      <c r="IE142" s="1318">
        <f>SUMIFS(139:139,$8:$8,"&gt;="&amp;DATE(YEAR(IE$8),1,1),$8:$8,"&lt;="&amp;EOMONTH(IE$8,0))/SUMIFS(139:139,$8:$8,"&gt;="&amp;DATE(YEAR(IE$8)-1,1,1),$8:$8,"&lt;="&amp;EOMONTH(IE$8,-12))-1</f>
        <v/>
      </c>
      <c r="IF142" s="1318">
        <f>SUMIFS(139:139,$8:$8,"&gt;="&amp;DATE(YEAR(IF$8),1,1),$8:$8,"&lt;="&amp;EOMONTH(IF$8,0))/SUMIFS(139:139,$8:$8,"&gt;="&amp;DATE(YEAR(IF$8)-1,1,1),$8:$8,"&lt;="&amp;EOMONTH(IF$8,-12))-1</f>
        <v/>
      </c>
      <c r="IG142" s="1318">
        <f>SUMIFS(139:139,$8:$8,"&gt;="&amp;DATE(YEAR(IG$8),1,1),$8:$8,"&lt;="&amp;EOMONTH(IG$8,0))/SUMIFS(139:139,$8:$8,"&gt;="&amp;DATE(YEAR(IG$8)-1,1,1),$8:$8,"&lt;="&amp;EOMONTH(IG$8,-12))-1</f>
        <v/>
      </c>
      <c r="IH142" s="1318">
        <f>SUMIFS(139:139,$8:$8,"&gt;="&amp;DATE(YEAR(IH$8),1,1),$8:$8,"&lt;="&amp;EOMONTH(IH$8,0))/SUMIFS(139:139,$8:$8,"&gt;="&amp;DATE(YEAR(IH$8)-1,1,1),$8:$8,"&lt;="&amp;EOMONTH(IH$8,-12))-1</f>
        <v/>
      </c>
      <c r="II142" s="1318">
        <f>SUMIFS(139:139,$8:$8,"&gt;="&amp;DATE(YEAR(II$8),1,1),$8:$8,"&lt;="&amp;EOMONTH(II$8,0))/SUMIFS(139:139,$8:$8,"&gt;="&amp;DATE(YEAR(II$8)-1,1,1),$8:$8,"&lt;="&amp;EOMONTH(II$8,-12))-1</f>
        <v/>
      </c>
      <c r="IJ142" s="1318">
        <f>SUMIFS(139:139,$8:$8,"&gt;="&amp;DATE(YEAR(IJ$8),1,1),$8:$8,"&lt;="&amp;EOMONTH(IJ$8,0))/SUMIFS(139:139,$8:$8,"&gt;="&amp;DATE(YEAR(IJ$8)-1,1,1),$8:$8,"&lt;="&amp;EOMONTH(IJ$8,-12))-1</f>
        <v/>
      </c>
      <c r="IK142" s="1318">
        <f>SUMIFS(139:139,$8:$8,"&gt;="&amp;DATE(YEAR(IK$8),1,1),$8:$8,"&lt;="&amp;EOMONTH(IK$8,0))/SUMIFS(139:139,$8:$8,"&gt;="&amp;DATE(YEAR(IK$8)-1,1,1),$8:$8,"&lt;="&amp;EOMONTH(IK$8,-12))-1</f>
        <v/>
      </c>
      <c r="IL142" s="1318">
        <f>SUMIFS(139:139,$8:$8,"&gt;="&amp;DATE(YEAR(IL$8),1,1),$8:$8,"&lt;="&amp;EOMONTH(IL$8,0))/SUMIFS(139:139,$8:$8,"&gt;="&amp;DATE(YEAR(IL$8)-1,1,1),$8:$8,"&lt;="&amp;EOMONTH(IL$8,-12))-1</f>
        <v/>
      </c>
      <c r="IM142" s="1318">
        <f>SUMIFS(139:139,$8:$8,"&gt;="&amp;DATE(YEAR(IM$8),1,1),$8:$8,"&lt;="&amp;EOMONTH(IM$8,0))/SUMIFS(139:139,$8:$8,"&gt;="&amp;DATE(YEAR(IM$8)-1,1,1),$8:$8,"&lt;="&amp;EOMONTH(IM$8,-12))-1</f>
        <v/>
      </c>
      <c r="IN142" s="1318">
        <f>SUMIFS(139:139,$8:$8,"&gt;="&amp;DATE(YEAR(IN$8),1,1),$8:$8,"&lt;="&amp;EOMONTH(IN$8,0))/SUMIFS(139:139,$8:$8,"&gt;="&amp;DATE(YEAR(IN$8)-1,1,1),$8:$8,"&lt;="&amp;EOMONTH(IN$8,-12))-1</f>
        <v/>
      </c>
      <c r="IO142" s="1318">
        <f>SUMIFS(139:139,$8:$8,"&gt;="&amp;DATE(YEAR(IO$8),1,1),$8:$8,"&lt;="&amp;EOMONTH(IO$8,0))/SUMIFS(139:139,$8:$8,"&gt;="&amp;DATE(YEAR(IO$8)-1,1,1),$8:$8,"&lt;="&amp;EOMONTH(IO$8,-12))-1</f>
        <v/>
      </c>
      <c r="IP142" s="1318">
        <f>SUMIFS(139:139,$8:$8,"&gt;="&amp;DATE(YEAR(IP$8),1,1),$8:$8,"&lt;="&amp;EOMONTH(IP$8,0))/SUMIFS(139:139,$8:$8,"&gt;="&amp;DATE(YEAR(IP$8)-1,1,1),$8:$8,"&lt;="&amp;EOMONTH(IP$8,-12))-1</f>
        <v/>
      </c>
      <c r="IQ142" s="1318">
        <f>SUMIFS(139:139,$8:$8,"&gt;="&amp;DATE(YEAR(IQ$8),1,1),$8:$8,"&lt;="&amp;EOMONTH(IQ$8,0))/SUMIFS(139:139,$8:$8,"&gt;="&amp;DATE(YEAR(IQ$8)-1,1,1),$8:$8,"&lt;="&amp;EOMONTH(IQ$8,-12))-1</f>
        <v/>
      </c>
      <c r="IR142" s="1318">
        <f>SUMIFS(139:139,$8:$8,"&gt;="&amp;DATE(YEAR(IR$8),1,1),$8:$8,"&lt;="&amp;EOMONTH(IR$8,0))/SUMIFS(139:139,$8:$8,"&gt;="&amp;DATE(YEAR(IR$8)-1,1,1),$8:$8,"&lt;="&amp;EOMONTH(IR$8,-12))-1</f>
        <v/>
      </c>
      <c r="IS142" s="1318">
        <f>SUMIFS(139:139,$8:$8,"&gt;="&amp;DATE(YEAR(IS$8),1,1),$8:$8,"&lt;="&amp;EOMONTH(IS$8,0))/SUMIFS(139:139,$8:$8,"&gt;="&amp;DATE(YEAR(IS$8)-1,1,1),$8:$8,"&lt;="&amp;EOMONTH(IS$8,-12))-1</f>
        <v/>
      </c>
      <c r="IT142" s="1318">
        <f>SUMIFS(139:139,$8:$8,"&gt;="&amp;DATE(YEAR(IT$8),1,1),$8:$8,"&lt;="&amp;EOMONTH(IT$8,0))/SUMIFS(139:139,$8:$8,"&gt;="&amp;DATE(YEAR(IT$8)-1,1,1),$8:$8,"&lt;="&amp;EOMONTH(IT$8,-12))-1</f>
        <v/>
      </c>
      <c r="IU142" s="1318">
        <f>SUMIFS(139:139,$8:$8,"&gt;="&amp;DATE(YEAR(IU$8),1,1),$8:$8,"&lt;="&amp;EOMONTH(IU$8,0))/SUMIFS(139:139,$8:$8,"&gt;="&amp;DATE(YEAR(IU$8)-1,1,1),$8:$8,"&lt;="&amp;EOMONTH(IU$8,-12))-1</f>
        <v/>
      </c>
      <c r="IV142" s="1318">
        <f>SUMIFS(139:139,$8:$8,"&gt;="&amp;DATE(YEAR(IV$8),1,1),$8:$8,"&lt;="&amp;EOMONTH(IV$8,0))/SUMIFS(139:139,$8:$8,"&gt;="&amp;DATE(YEAR(IV$8)-1,1,1),$8:$8,"&lt;="&amp;EOMONTH(IV$8,-12))-1</f>
        <v/>
      </c>
      <c r="IW142" s="1318">
        <f>SUMIFS(139:139,$8:$8,"&gt;="&amp;DATE(YEAR(IW$8),1,1),$8:$8,"&lt;="&amp;EOMONTH(IW$8,0))/SUMIFS(139:139,$8:$8,"&gt;="&amp;DATE(YEAR(IW$8)-1,1,1),$8:$8,"&lt;="&amp;EOMONTH(IW$8,-12))-1</f>
        <v/>
      </c>
      <c r="IX142" s="1318">
        <f>SUMIFS(139:139,$8:$8,"&gt;="&amp;DATE(YEAR(IX$8),1,1),$8:$8,"&lt;="&amp;EOMONTH(IX$8,0))/SUMIFS(139:139,$8:$8,"&gt;="&amp;DATE(YEAR(IX$8)-1,1,1),$8:$8,"&lt;="&amp;EOMONTH(IX$8,-12))-1</f>
        <v/>
      </c>
      <c r="IY142" s="1318">
        <f>SUMIFS(139:139,$8:$8,"&gt;="&amp;DATE(YEAR(IY$8),1,1),$8:$8,"&lt;="&amp;EOMONTH(IY$8,0))/SUMIFS(139:139,$8:$8,"&gt;="&amp;DATE(YEAR(IY$8)-1,1,1),$8:$8,"&lt;="&amp;EOMONTH(IY$8,-12))-1</f>
        <v/>
      </c>
      <c r="IZ142" s="1318">
        <f>SUMIFS(139:139,$8:$8,"&gt;="&amp;DATE(YEAR(IZ$8),1,1),$8:$8,"&lt;="&amp;EOMONTH(IZ$8,0))/SUMIFS(139:139,$8:$8,"&gt;="&amp;DATE(YEAR(IZ$8)-1,1,1),$8:$8,"&lt;="&amp;EOMONTH(IZ$8,-12))-1</f>
        <v/>
      </c>
      <c r="JA142" s="1318">
        <f>SUMIFS(139:139,$8:$8,"&gt;="&amp;DATE(YEAR(JA$8),1,1),$8:$8,"&lt;="&amp;EOMONTH(JA$8,0))/SUMIFS(139:139,$8:$8,"&gt;="&amp;DATE(YEAR(JA$8)-1,1,1),$8:$8,"&lt;="&amp;EOMONTH(JA$8,-12))-1</f>
        <v/>
      </c>
      <c r="JB142" s="1318">
        <f>SUMIFS(139:139,$8:$8,"&gt;="&amp;DATE(YEAR(JB$8),1,1),$8:$8,"&lt;="&amp;EOMONTH(JB$8,0))/SUMIFS(139:139,$8:$8,"&gt;="&amp;DATE(YEAR(JB$8)-1,1,1),$8:$8,"&lt;="&amp;EOMONTH(JB$8,-12))-1</f>
        <v/>
      </c>
      <c r="JC142" s="1318">
        <f>SUMIFS(139:139,$8:$8,"&gt;="&amp;DATE(YEAR(JC$8),1,1),$8:$8,"&lt;="&amp;EOMONTH(JC$8,0))/SUMIFS(139:139,$8:$8,"&gt;="&amp;DATE(YEAR(JC$8)-1,1,1),$8:$8,"&lt;="&amp;EOMONTH(JC$8,-12))-1</f>
        <v/>
      </c>
      <c r="JD142" s="1318">
        <f>SUMIFS(139:139,$8:$8,"&gt;="&amp;DATE(YEAR(JD$8),1,1),$8:$8,"&lt;="&amp;EOMONTH(JD$8,0))/SUMIFS(139:139,$8:$8,"&gt;="&amp;DATE(YEAR(JD$8)-1,1,1),$8:$8,"&lt;="&amp;EOMONTH(JD$8,-12))-1</f>
        <v/>
      </c>
      <c r="JE142" s="1318">
        <f>SUMIFS(139:139,$8:$8,"&gt;="&amp;DATE(YEAR(JE$8),1,1),$8:$8,"&lt;="&amp;EOMONTH(JE$8,0))/SUMIFS(139:139,$8:$8,"&gt;="&amp;DATE(YEAR(JE$8)-1,1,1),$8:$8,"&lt;="&amp;EOMONTH(JE$8,-12))-1</f>
        <v/>
      </c>
      <c r="JF142" s="1318">
        <f>SUMIFS(139:139,$8:$8,"&gt;="&amp;DATE(YEAR(JF$8),1,1),$8:$8,"&lt;="&amp;EOMONTH(JF$8,0))/SUMIFS(139:139,$8:$8,"&gt;="&amp;DATE(YEAR(JF$8)-1,1,1),$8:$8,"&lt;="&amp;EOMONTH(JF$8,-12))-1</f>
        <v/>
      </c>
      <c r="JG142" s="1318">
        <f>SUMIFS(139:139,$8:$8,"&gt;="&amp;DATE(YEAR(JG$8),1,1),$8:$8,"&lt;="&amp;EOMONTH(JG$8,0))/SUMIFS(139:139,$8:$8,"&gt;="&amp;DATE(YEAR(JG$8)-1,1,1),$8:$8,"&lt;="&amp;EOMONTH(JG$8,-12))-1</f>
        <v/>
      </c>
      <c r="JH142" s="1318">
        <f>SUMIFS(139:139,$8:$8,"&gt;="&amp;DATE(YEAR(JH$8),1,1),$8:$8,"&lt;="&amp;EOMONTH(JH$8,0))/SUMIFS(139:139,$8:$8,"&gt;="&amp;DATE(YEAR(JH$8)-1,1,1),$8:$8,"&lt;="&amp;EOMONTH(JH$8,-12))-1</f>
        <v/>
      </c>
      <c r="JI142" s="1318">
        <f>SUMIFS(139:139,$8:$8,"&gt;="&amp;DATE(YEAR(JI$8),1,1),$8:$8,"&lt;="&amp;EOMONTH(JI$8,0))/SUMIFS(139:139,$8:$8,"&gt;="&amp;DATE(YEAR(JI$8)-1,1,1),$8:$8,"&lt;="&amp;EOMONTH(JI$8,-12))-1</f>
        <v/>
      </c>
      <c r="JJ142" s="1318">
        <f>SUMIFS(139:139,$8:$8,"&gt;="&amp;DATE(YEAR(JJ$8),1,1),$8:$8,"&lt;="&amp;EOMONTH(JJ$8,0))/SUMIFS(139:139,$8:$8,"&gt;="&amp;DATE(YEAR(JJ$8)-1,1,1),$8:$8,"&lt;="&amp;EOMONTH(JJ$8,-12))-1</f>
        <v/>
      </c>
      <c r="JK142" s="1318">
        <f>SUMIFS(139:139,$8:$8,"&gt;="&amp;DATE(YEAR(JK$8),1,1),$8:$8,"&lt;="&amp;EOMONTH(JK$8,0))/SUMIFS(139:139,$8:$8,"&gt;="&amp;DATE(YEAR(JK$8)-1,1,1),$8:$8,"&lt;="&amp;EOMONTH(JK$8,-12))-1</f>
        <v/>
      </c>
      <c r="JL142" s="1318">
        <f>SUMIFS(139:139,$8:$8,"&gt;="&amp;DATE(YEAR(JL$8),1,1),$8:$8,"&lt;="&amp;EOMONTH(JL$8,0))/SUMIFS(139:139,$8:$8,"&gt;="&amp;DATE(YEAR(JL$8)-1,1,1),$8:$8,"&lt;="&amp;EOMONTH(JL$8,-12))-1</f>
        <v/>
      </c>
      <c r="JM142" s="1318">
        <f>SUMIFS(139:139,$8:$8,"&gt;="&amp;DATE(YEAR(JM$8),1,1),$8:$8,"&lt;="&amp;EOMONTH(JM$8,0))/SUMIFS(139:139,$8:$8,"&gt;="&amp;DATE(YEAR(JM$8)-1,1,1),$8:$8,"&lt;="&amp;EOMONTH(JM$8,-12))-1</f>
        <v/>
      </c>
      <c r="JN142" s="1318">
        <f>SUMIFS(139:139,$8:$8,"&gt;="&amp;DATE(YEAR(JN$8),1,1),$8:$8,"&lt;="&amp;EOMONTH(JN$8,0))/SUMIFS(139:139,$8:$8,"&gt;="&amp;DATE(YEAR(JN$8)-1,1,1),$8:$8,"&lt;="&amp;EOMONTH(JN$8,-12))-1</f>
        <v/>
      </c>
      <c r="JO142" s="1318">
        <f>SUMIFS(139:139,$8:$8,"&gt;="&amp;DATE(YEAR(JO$8),1,1),$8:$8,"&lt;="&amp;EOMONTH(JO$8,0))/SUMIFS(139:139,$8:$8,"&gt;="&amp;DATE(YEAR(JO$8)-1,1,1),$8:$8,"&lt;="&amp;EOMONTH(JO$8,-12))-1</f>
        <v/>
      </c>
      <c r="JP142" s="1318">
        <f>SUMIFS(139:139,$8:$8,"&gt;="&amp;DATE(YEAR(JP$8),1,1),$8:$8,"&lt;="&amp;EOMONTH(JP$8,0))/SUMIFS(139:139,$8:$8,"&gt;="&amp;DATE(YEAR(JP$8)-1,1,1),$8:$8,"&lt;="&amp;EOMONTH(JP$8,-12))-1</f>
        <v/>
      </c>
      <c r="JQ142" s="1318">
        <f>SUMIFS(139:139,$8:$8,"&gt;="&amp;DATE(YEAR(JQ$8),1,1),$8:$8,"&lt;="&amp;EOMONTH(JQ$8,0))/SUMIFS(139:139,$8:$8,"&gt;="&amp;DATE(YEAR(JQ$8)-1,1,1),$8:$8,"&lt;="&amp;EOMONTH(JQ$8,-12))-1</f>
        <v/>
      </c>
      <c r="JR142" s="1318">
        <f>SUMIFS(139:139,$8:$8,"&gt;="&amp;DATE(YEAR(JR$8),1,1),$8:$8,"&lt;="&amp;EOMONTH(JR$8,0))/SUMIFS(139:139,$8:$8,"&gt;="&amp;DATE(YEAR(JR$8)-1,1,1),$8:$8,"&lt;="&amp;EOMONTH(JR$8,-12))-1</f>
        <v/>
      </c>
      <c r="JS142" s="1318">
        <f>SUMIFS(139:139,$8:$8,"&gt;="&amp;DATE(YEAR(JS$8),1,1),$8:$8,"&lt;="&amp;EOMONTH(JS$8,0))/SUMIFS(139:139,$8:$8,"&gt;="&amp;DATE(YEAR(JS$8)-1,1,1),$8:$8,"&lt;="&amp;EOMONTH(JS$8,-12))-1</f>
        <v/>
      </c>
      <c r="JT142" s="1318">
        <f>SUMIFS(139:139,$8:$8,"&gt;="&amp;DATE(YEAR(JT$8),1,1),$8:$8,"&lt;="&amp;EOMONTH(JT$8,0))/SUMIFS(139:139,$8:$8,"&gt;="&amp;DATE(YEAR(JT$8)-1,1,1),$8:$8,"&lt;="&amp;EOMONTH(JT$8,-12))-1</f>
        <v/>
      </c>
      <c r="JU142" s="1318">
        <f>SUMIFS(139:139,$8:$8,"&gt;="&amp;DATE(YEAR(JU$8),1,1),$8:$8,"&lt;="&amp;EOMONTH(JU$8,0))/SUMIFS(139:139,$8:$8,"&gt;="&amp;DATE(YEAR(JU$8)-1,1,1),$8:$8,"&lt;="&amp;EOMONTH(JU$8,-12))-1</f>
        <v/>
      </c>
      <c r="JV142" s="1318">
        <f>SUMIFS(139:139,$8:$8,"&gt;="&amp;DATE(YEAR(JV$8),1,1),$8:$8,"&lt;="&amp;EOMONTH(JV$8,0))/SUMIFS(139:139,$8:$8,"&gt;="&amp;DATE(YEAR(JV$8)-1,1,1),$8:$8,"&lt;="&amp;EOMONTH(JV$8,-12))-1</f>
        <v/>
      </c>
      <c r="JW142" s="1318">
        <f>SUMIFS(139:139,$8:$8,"&gt;="&amp;DATE(YEAR(JW$8),1,1),$8:$8,"&lt;="&amp;EOMONTH(JW$8,0))/SUMIFS(139:139,$8:$8,"&gt;="&amp;DATE(YEAR(JW$8)-1,1,1),$8:$8,"&lt;="&amp;EOMONTH(JW$8,-12))-1</f>
        <v/>
      </c>
      <c r="JX142" s="1318">
        <f>SUMIFS(139:139,$8:$8,"&gt;="&amp;DATE(YEAR(JX$8),1,1),$8:$8,"&lt;="&amp;EOMONTH(JX$8,0))/SUMIFS(139:139,$8:$8,"&gt;="&amp;DATE(YEAR(JX$8)-1,1,1),$8:$8,"&lt;="&amp;EOMONTH(JX$8,-12))-1</f>
        <v/>
      </c>
      <c r="JY142" s="1318">
        <f>SUMIFS(139:139,$8:$8,"&gt;="&amp;DATE(YEAR(JY$8),1,1),$8:$8,"&lt;="&amp;EOMONTH(JY$8,0))/SUMIFS(139:139,$8:$8,"&gt;="&amp;DATE(YEAR(JY$8)-1,1,1),$8:$8,"&lt;="&amp;EOMONTH(JY$8,-12))-1</f>
        <v/>
      </c>
      <c r="JZ142" s="1318">
        <f>SUMIFS(139:139,$8:$8,"&gt;="&amp;DATE(YEAR(JZ$8),1,1),$8:$8,"&lt;="&amp;EOMONTH(JZ$8,0))/SUMIFS(139:139,$8:$8,"&gt;="&amp;DATE(YEAR(JZ$8)-1,1,1),$8:$8,"&lt;="&amp;EOMONTH(JZ$8,-12))-1</f>
        <v/>
      </c>
      <c r="KA142" s="1318">
        <f>SUMIFS(139:139,$8:$8,"&gt;="&amp;DATE(YEAR(KA$8),1,1),$8:$8,"&lt;="&amp;EOMONTH(KA$8,0))/SUMIFS(139:139,$8:$8,"&gt;="&amp;DATE(YEAR(KA$8)-1,1,1),$8:$8,"&lt;="&amp;EOMONTH(KA$8,-12))-1</f>
        <v/>
      </c>
      <c r="KB142" s="1318">
        <f>SUMIFS(139:139,$8:$8,"&gt;="&amp;DATE(YEAR(KB$8),1,1),$8:$8,"&lt;="&amp;EOMONTH(KB$8,0))/SUMIFS(139:139,$8:$8,"&gt;="&amp;DATE(YEAR(KB$8)-1,1,1),$8:$8,"&lt;="&amp;EOMONTH(KB$8,-12))-1</f>
        <v/>
      </c>
      <c r="KC142" s="1318">
        <f>SUMIFS(139:139,$8:$8,"&gt;="&amp;DATE(YEAR(KC$8),1,1),$8:$8,"&lt;="&amp;EOMONTH(KC$8,0))/SUMIFS(139:139,$8:$8,"&gt;="&amp;DATE(YEAR(KC$8)-1,1,1),$8:$8,"&lt;="&amp;EOMONTH(KC$8,-12))-1</f>
        <v/>
      </c>
      <c r="KD142" s="1318">
        <f>SUMIFS(139:139,$8:$8,"&gt;="&amp;DATE(YEAR(KD$8),1,1),$8:$8,"&lt;="&amp;EOMONTH(KD$8,0))/SUMIFS(139:139,$8:$8,"&gt;="&amp;DATE(YEAR(KD$8)-1,1,1),$8:$8,"&lt;="&amp;EOMONTH(KD$8,-12))-1</f>
        <v/>
      </c>
      <c r="KE142" s="1318">
        <f>SUMIFS(139:139,$8:$8,"&gt;="&amp;DATE(YEAR(KE$8),1,1),$8:$8,"&lt;="&amp;EOMONTH(KE$8,0))/SUMIFS(139:139,$8:$8,"&gt;="&amp;DATE(YEAR(KE$8)-1,1,1),$8:$8,"&lt;="&amp;EOMONTH(KE$8,-12))-1</f>
        <v/>
      </c>
      <c r="KF142" s="1318">
        <f>SUMIFS(139:139,$8:$8,"&gt;="&amp;DATE(YEAR(KF$8),1,1),$8:$8,"&lt;="&amp;EOMONTH(KF$8,0))/SUMIFS(139:139,$8:$8,"&gt;="&amp;DATE(YEAR(KF$8)-1,1,1),$8:$8,"&lt;="&amp;EOMONTH(KF$8,-12))-1</f>
        <v/>
      </c>
      <c r="KG142" s="1318">
        <f>SUMIFS(139:139,$8:$8,"&gt;="&amp;DATE(YEAR(KG$8),1,1),$8:$8,"&lt;="&amp;EOMONTH(KG$8,0))/SUMIFS(139:139,$8:$8,"&gt;="&amp;DATE(YEAR(KG$8)-1,1,1),$8:$8,"&lt;="&amp;EOMONTH(KG$8,-12))-1</f>
        <v/>
      </c>
      <c r="KH142" s="1318">
        <f>SUMIFS(139:139,$8:$8,"&gt;="&amp;DATE(YEAR(KH$8),1,1),$8:$8,"&lt;="&amp;EOMONTH(KH$8,0))/SUMIFS(139:139,$8:$8,"&gt;="&amp;DATE(YEAR(KH$8)-1,1,1),$8:$8,"&lt;="&amp;EOMONTH(KH$8,-12))-1</f>
        <v/>
      </c>
      <c r="KI142" s="1318">
        <f>SUMIFS(139:139,$8:$8,"&gt;="&amp;DATE(YEAR(KI$8),1,1),$8:$8,"&lt;="&amp;EOMONTH(KI$8,0))/SUMIFS(139:139,$8:$8,"&gt;="&amp;DATE(YEAR(KI$8)-1,1,1),$8:$8,"&lt;="&amp;EOMONTH(KI$8,-12))-1</f>
        <v/>
      </c>
      <c r="KJ142" s="1318">
        <f>SUMIFS(139:139,$8:$8,"&gt;="&amp;DATE(YEAR(KJ$8),1,1),$8:$8,"&lt;="&amp;EOMONTH(KJ$8,0))/SUMIFS(139:139,$8:$8,"&gt;="&amp;DATE(YEAR(KJ$8)-1,1,1),$8:$8,"&lt;="&amp;EOMONTH(KJ$8,-12))-1</f>
        <v/>
      </c>
      <c r="KK142" s="1318">
        <f>SUMIFS(139:139,$8:$8,"&gt;="&amp;DATE(YEAR(KK$8),1,1),$8:$8,"&lt;="&amp;EOMONTH(KK$8,0))/SUMIFS(139:139,$8:$8,"&gt;="&amp;DATE(YEAR(KK$8)-1,1,1),$8:$8,"&lt;="&amp;EOMONTH(KK$8,-12))-1</f>
        <v/>
      </c>
      <c r="KL142" s="1318">
        <f>SUMIFS(139:139,$8:$8,"&gt;="&amp;DATE(YEAR(KL$8),1,1),$8:$8,"&lt;="&amp;EOMONTH(KL$8,0))/SUMIFS(139:139,$8:$8,"&gt;="&amp;DATE(YEAR(KL$8)-1,1,1),$8:$8,"&lt;="&amp;EOMONTH(KL$8,-12))-1</f>
        <v/>
      </c>
      <c r="KM142" s="1318">
        <f>SUMIFS(139:139,$8:$8,"&gt;="&amp;DATE(YEAR(KM$8),1,1),$8:$8,"&lt;="&amp;EOMONTH(KM$8,0))/SUMIFS(139:139,$8:$8,"&gt;="&amp;DATE(YEAR(KM$8)-1,1,1),$8:$8,"&lt;="&amp;EOMONTH(KM$8,-12))-1</f>
        <v/>
      </c>
      <c r="KN142" s="1318">
        <f>SUMIFS(139:139,$8:$8,"&gt;="&amp;DATE(YEAR(KN$8),1,1),$8:$8,"&lt;="&amp;EOMONTH(KN$8,0))/SUMIFS(139:139,$8:$8,"&gt;="&amp;DATE(YEAR(KN$8)-1,1,1),$8:$8,"&lt;="&amp;EOMONTH(KN$8,-12))-1</f>
        <v/>
      </c>
      <c r="KO142" s="1318">
        <f>SUMIFS(139:139,$8:$8,"&gt;="&amp;DATE(YEAR(KO$8),1,1),$8:$8,"&lt;="&amp;EOMONTH(KO$8,0))/SUMIFS(139:139,$8:$8,"&gt;="&amp;DATE(YEAR(KO$8)-1,1,1),$8:$8,"&lt;="&amp;EOMONTH(KO$8,-12))-1</f>
        <v/>
      </c>
      <c r="KP142" s="1318">
        <f>SUMIFS(139:139,$8:$8,"&gt;="&amp;DATE(YEAR(KP$8),1,1),$8:$8,"&lt;="&amp;EOMONTH(KP$8,0))/SUMIFS(139:139,$8:$8,"&gt;="&amp;DATE(YEAR(KP$8)-1,1,1),$8:$8,"&lt;="&amp;EOMONTH(KP$8,-12))-1</f>
        <v/>
      </c>
      <c r="KQ142" s="1318">
        <f>SUMIFS(139:139,$8:$8,"&gt;="&amp;DATE(YEAR(KQ$8),1,1),$8:$8,"&lt;="&amp;EOMONTH(KQ$8,0))/SUMIFS(139:139,$8:$8,"&gt;="&amp;DATE(YEAR(KQ$8)-1,1,1),$8:$8,"&lt;="&amp;EOMONTH(KQ$8,-12))-1</f>
        <v/>
      </c>
      <c r="KR142" s="1318">
        <f>SUMIFS(139:139,$8:$8,"&gt;="&amp;DATE(YEAR(KR$8),1,1),$8:$8,"&lt;="&amp;EOMONTH(KR$8,0))/SUMIFS(139:139,$8:$8,"&gt;="&amp;DATE(YEAR(KR$8)-1,1,1),$8:$8,"&lt;="&amp;EOMONTH(KR$8,-12))-1</f>
        <v/>
      </c>
      <c r="KS142" s="1318">
        <f>SUMIFS(139:139,$8:$8,"&gt;="&amp;DATE(YEAR(KS$8),1,1),$8:$8,"&lt;="&amp;EOMONTH(KS$8,0))/SUMIFS(139:139,$8:$8,"&gt;="&amp;DATE(YEAR(KS$8)-1,1,1),$8:$8,"&lt;="&amp;EOMONTH(KS$8,-12))-1</f>
        <v/>
      </c>
      <c r="KT142" s="1318">
        <f>SUMIFS(139:139,$8:$8,"&gt;="&amp;DATE(YEAR(KT$8),1,1),$8:$8,"&lt;="&amp;EOMONTH(KT$8,0))/SUMIFS(139:139,$8:$8,"&gt;="&amp;DATE(YEAR(KT$8)-1,1,1),$8:$8,"&lt;="&amp;EOMONTH(KT$8,-12))-1</f>
        <v/>
      </c>
      <c r="KU142" s="1318">
        <f>SUMIFS(139:139,$8:$8,"&gt;="&amp;DATE(YEAR(KU$8),1,1),$8:$8,"&lt;="&amp;EOMONTH(KU$8,0))/SUMIFS(139:139,$8:$8,"&gt;="&amp;DATE(YEAR(KU$8)-1,1,1),$8:$8,"&lt;="&amp;EOMONTH(KU$8,-12))-1</f>
        <v/>
      </c>
      <c r="KV142" s="1318">
        <f>SUMIFS(139:139,$8:$8,"&gt;="&amp;DATE(YEAR(KV$8),1,1),$8:$8,"&lt;="&amp;EOMONTH(KV$8,0))/SUMIFS(139:139,$8:$8,"&gt;="&amp;DATE(YEAR(KV$8)-1,1,1),$8:$8,"&lt;="&amp;EOMONTH(KV$8,-12))-1</f>
        <v/>
      </c>
      <c r="KW142" s="1318">
        <f>SUMIFS(139:139,$8:$8,"&gt;="&amp;DATE(YEAR(KW$8),1,1),$8:$8,"&lt;="&amp;EOMONTH(KW$8,0))/SUMIFS(139:139,$8:$8,"&gt;="&amp;DATE(YEAR(KW$8)-1,1,1),$8:$8,"&lt;="&amp;EOMONTH(KW$8,-12))-1</f>
        <v/>
      </c>
      <c r="KX142" s="1318">
        <f>SUMIFS(139:139,$8:$8,"&gt;="&amp;DATE(YEAR(KX$8),1,1),$8:$8,"&lt;="&amp;EOMONTH(KX$8,0))/SUMIFS(139:139,$8:$8,"&gt;="&amp;DATE(YEAR(KX$8)-1,1,1),$8:$8,"&lt;="&amp;EOMONTH(KX$8,-12))-1</f>
        <v/>
      </c>
      <c r="KY142" s="1318">
        <f>SUMIFS(139:139,$8:$8,"&gt;="&amp;DATE(YEAR(KY$8),1,1),$8:$8,"&lt;="&amp;EOMONTH(KY$8,0))/SUMIFS(139:139,$8:$8,"&gt;="&amp;DATE(YEAR(KY$8)-1,1,1),$8:$8,"&lt;="&amp;EOMONTH(KY$8,-12))-1</f>
        <v/>
      </c>
      <c r="KZ142" s="1318">
        <f>SUMIFS(139:139,$8:$8,"&gt;="&amp;DATE(YEAR(KZ$8),1,1),$8:$8,"&lt;="&amp;EOMONTH(KZ$8,0))/SUMIFS(139:139,$8:$8,"&gt;="&amp;DATE(YEAR(KZ$8)-1,1,1),$8:$8,"&lt;="&amp;EOMONTH(KZ$8,-12))-1</f>
        <v/>
      </c>
      <c r="LA142" s="1318">
        <f>SUMIFS(139:139,$8:$8,"&gt;="&amp;DATE(YEAR(LA$8),1,1),$8:$8,"&lt;="&amp;EOMONTH(LA$8,0))/SUMIFS(139:139,$8:$8,"&gt;="&amp;DATE(YEAR(LA$8)-1,1,1),$8:$8,"&lt;="&amp;EOMONTH(LA$8,-12))-1</f>
        <v/>
      </c>
      <c r="LB142" s="1318">
        <f>SUMIFS(139:139,$8:$8,"&gt;="&amp;DATE(YEAR(LB$8),1,1),$8:$8,"&lt;="&amp;EOMONTH(LB$8,0))/SUMIFS(139:139,$8:$8,"&gt;="&amp;DATE(YEAR(LB$8)-1,1,1),$8:$8,"&lt;="&amp;EOMONTH(LB$8,-12))-1</f>
        <v/>
      </c>
      <c r="LC142" s="1318">
        <f>SUMIFS(139:139,$8:$8,"&gt;="&amp;DATE(YEAR(LC$8),1,1),$8:$8,"&lt;="&amp;EOMONTH(LC$8,0))/SUMIFS(139:139,$8:$8,"&gt;="&amp;DATE(YEAR(LC$8)-1,1,1),$8:$8,"&lt;="&amp;EOMONTH(LC$8,-12))-1</f>
        <v/>
      </c>
      <c r="LD142" s="1318">
        <f>SUMIFS(139:139,$8:$8,"&gt;="&amp;DATE(YEAR(LD$8),1,1),$8:$8,"&lt;="&amp;EOMONTH(LD$8,0))/SUMIFS(139:139,$8:$8,"&gt;="&amp;DATE(YEAR(LD$8)-1,1,1),$8:$8,"&lt;="&amp;EOMONTH(LD$8,-12))-1</f>
        <v/>
      </c>
      <c r="LE142" s="1318">
        <f>SUMIFS(139:139,$8:$8,"&gt;="&amp;DATE(YEAR(LE$8),1,1),$8:$8,"&lt;="&amp;EOMONTH(LE$8,0))/SUMIFS(139:139,$8:$8,"&gt;="&amp;DATE(YEAR(LE$8)-1,1,1),$8:$8,"&lt;="&amp;EOMONTH(LE$8,-12))-1</f>
        <v/>
      </c>
      <c r="LF142" s="1318">
        <f>SUMIFS(139:139,$8:$8,"&gt;="&amp;DATE(YEAR(LF$8),1,1),$8:$8,"&lt;="&amp;EOMONTH(LF$8,0))/SUMIFS(139:139,$8:$8,"&gt;="&amp;DATE(YEAR(LF$8)-1,1,1),$8:$8,"&lt;="&amp;EOMONTH(LF$8,-12))-1</f>
        <v/>
      </c>
      <c r="LG142" s="1318">
        <f>SUMIFS(139:139,$8:$8,"&gt;="&amp;DATE(YEAR(LG$8),1,1),$8:$8,"&lt;="&amp;EOMONTH(LG$8,0))/SUMIFS(139:139,$8:$8,"&gt;="&amp;DATE(YEAR(LG$8)-1,1,1),$8:$8,"&lt;="&amp;EOMONTH(LG$8,-12))-1</f>
        <v/>
      </c>
      <c r="LH142" s="1318">
        <f>SUMIFS(139:139,$8:$8,"&gt;="&amp;DATE(YEAR(LH$8),1,1),$8:$8,"&lt;="&amp;EOMONTH(LH$8,0))/SUMIFS(139:139,$8:$8,"&gt;="&amp;DATE(YEAR(LH$8)-1,1,1),$8:$8,"&lt;="&amp;EOMONTH(LH$8,-12))-1</f>
        <v/>
      </c>
      <c r="LI142" s="1318">
        <f>SUMIFS(139:139,$8:$8,"&gt;="&amp;DATE(YEAR(LI$8),1,1),$8:$8,"&lt;="&amp;EOMONTH(LI$8,0))/SUMIFS(139:139,$8:$8,"&gt;="&amp;DATE(YEAR(LI$8)-1,1,1),$8:$8,"&lt;="&amp;EOMONTH(LI$8,-12))-1</f>
        <v/>
      </c>
      <c r="LJ142" s="1318">
        <f>SUMIFS(139:139,$8:$8,"&gt;="&amp;DATE(YEAR(LJ$8),1,1),$8:$8,"&lt;="&amp;EOMONTH(LJ$8,0))/SUMIFS(139:139,$8:$8,"&gt;="&amp;DATE(YEAR(LJ$8)-1,1,1),$8:$8,"&lt;="&amp;EOMONTH(LJ$8,-12))-1</f>
        <v/>
      </c>
      <c r="LK142" s="1318">
        <f>SUMIFS(139:139,$8:$8,"&gt;="&amp;DATE(YEAR(LK$8),1,1),$8:$8,"&lt;="&amp;EOMONTH(LK$8,0))/SUMIFS(139:139,$8:$8,"&gt;="&amp;DATE(YEAR(LK$8)-1,1,1),$8:$8,"&lt;="&amp;EOMONTH(LK$8,-12))-1</f>
        <v/>
      </c>
      <c r="LL142" s="1318">
        <f>SUMIFS(139:139,$8:$8,"&gt;="&amp;DATE(YEAR(LL$8),1,1),$8:$8,"&lt;="&amp;EOMONTH(LL$8,0))/SUMIFS(139:139,$8:$8,"&gt;="&amp;DATE(YEAR(LL$8)-1,1,1),$8:$8,"&lt;="&amp;EOMONTH(LL$8,-12))-1</f>
        <v/>
      </c>
      <c r="LM142" s="1318">
        <f>SUMIFS(139:139,$8:$8,"&gt;="&amp;DATE(YEAR(LM$8),1,1),$8:$8,"&lt;="&amp;EOMONTH(LM$8,0))/SUMIFS(139:139,$8:$8,"&gt;="&amp;DATE(YEAR(LM$8)-1,1,1),$8:$8,"&lt;="&amp;EOMONTH(LM$8,-12))-1</f>
        <v/>
      </c>
      <c r="LN142" s="1318">
        <f>SUMIFS(139:139,$8:$8,"&gt;="&amp;DATE(YEAR(LN$8),1,1),$8:$8,"&lt;="&amp;EOMONTH(LN$8,0))/SUMIFS(139:139,$8:$8,"&gt;="&amp;DATE(YEAR(LN$8)-1,1,1),$8:$8,"&lt;="&amp;EOMONTH(LN$8,-12))-1</f>
        <v/>
      </c>
      <c r="LO142" s="1318">
        <f>SUMIFS(139:139,$8:$8,"&gt;="&amp;DATE(YEAR(LO$8),1,1),$8:$8,"&lt;="&amp;EOMONTH(LO$8,0))/SUMIFS(139:139,$8:$8,"&gt;="&amp;DATE(YEAR(LO$8)-1,1,1),$8:$8,"&lt;="&amp;EOMONTH(LO$8,-12))-1</f>
        <v/>
      </c>
      <c r="LP142" s="1318">
        <f>SUMIFS(139:139,$8:$8,"&gt;="&amp;DATE(YEAR(LP$8),1,1),$8:$8,"&lt;="&amp;EOMONTH(LP$8,0))/SUMIFS(139:139,$8:$8,"&gt;="&amp;DATE(YEAR(LP$8)-1,1,1),$8:$8,"&lt;="&amp;EOMONTH(LP$8,-12))-1</f>
        <v/>
      </c>
      <c r="LQ142" s="1318">
        <f>SUMIFS(139:139,$8:$8,"&gt;="&amp;DATE(YEAR(LQ$8),1,1),$8:$8,"&lt;="&amp;EOMONTH(LQ$8,0))/SUMIFS(139:139,$8:$8,"&gt;="&amp;DATE(YEAR(LQ$8)-1,1,1),$8:$8,"&lt;="&amp;EOMONTH(LQ$8,-12))-1</f>
        <v/>
      </c>
      <c r="LR142" s="1318">
        <f>SUMIFS(139:139,$8:$8,"&gt;="&amp;DATE(YEAR(LR$8),1,1),$8:$8,"&lt;="&amp;EOMONTH(LR$8,0))/SUMIFS(139:139,$8:$8,"&gt;="&amp;DATE(YEAR(LR$8)-1,1,1),$8:$8,"&lt;="&amp;EOMONTH(LR$8,-12))-1</f>
        <v/>
      </c>
      <c r="LS142" s="1318">
        <f>SUMIFS(139:139,$8:$8,"&gt;="&amp;DATE(YEAR(LS$8),1,1),$8:$8,"&lt;="&amp;EOMONTH(LS$8,0))/SUMIFS(139:139,$8:$8,"&gt;="&amp;DATE(YEAR(LS$8)-1,1,1),$8:$8,"&lt;="&amp;EOMONTH(LS$8,-12))-1</f>
        <v/>
      </c>
    </row>
    <row r="143">
      <c r="A143" s="904" t="n"/>
      <c r="B143" s="904" t="n"/>
      <c r="C143" s="904" t="n"/>
      <c r="D143" s="904" t="n"/>
      <c r="E143" s="904" t="n"/>
      <c r="F143" s="904" t="n"/>
      <c r="G143" s="904" t="n"/>
      <c r="H143" s="904" t="n"/>
      <c r="I143" s="904" t="n"/>
      <c r="J143" s="904" t="n"/>
      <c r="K143" s="904" t="n"/>
      <c r="L143" s="904" t="n"/>
      <c r="M143" s="904" t="n"/>
      <c r="N143" s="904" t="n"/>
      <c r="O143" s="904" t="n"/>
      <c r="P143" s="904" t="n"/>
      <c r="Q143" s="904" t="n"/>
      <c r="R143" s="904" t="n"/>
      <c r="S143" s="904" t="n"/>
      <c r="T143" s="904" t="n"/>
      <c r="U143" s="904" t="n"/>
      <c r="V143" s="904" t="n"/>
      <c r="W143" s="904" t="n"/>
      <c r="X143" s="904" t="n"/>
      <c r="Y143" s="904" t="n"/>
      <c r="Z143" s="904" t="n"/>
      <c r="AA143" s="904" t="n"/>
      <c r="AB143" s="904" t="n"/>
      <c r="AC143" s="904" t="n"/>
      <c r="AD143" s="904" t="n"/>
      <c r="AE143" s="904" t="n"/>
      <c r="AF143" s="904" t="n"/>
      <c r="AG143" s="904" t="n"/>
      <c r="AH143" s="904" t="n"/>
      <c r="AI143" s="904" t="n"/>
      <c r="AJ143" s="904" t="n"/>
      <c r="AK143" s="904" t="n"/>
      <c r="AL143" s="904" t="n"/>
      <c r="AM143" s="904" t="n"/>
      <c r="AN143" s="904" t="n"/>
      <c r="AO143" s="904" t="n"/>
      <c r="AP143" s="904" t="n"/>
      <c r="AQ143" s="904" t="n"/>
      <c r="AR143" s="904" t="n"/>
      <c r="AS143" s="904" t="n"/>
      <c r="AT143" s="904" t="n"/>
      <c r="AU143" s="904" t="n"/>
      <c r="AV143" s="904" t="n"/>
      <c r="AW143" s="904" t="n"/>
      <c r="AX143" s="904" t="n"/>
      <c r="AY143" s="904" t="n"/>
      <c r="AZ143" s="904" t="n"/>
      <c r="BA143" s="904" t="n"/>
      <c r="BB143" s="904" t="n"/>
      <c r="BC143" s="904" t="n"/>
      <c r="BD143" s="904" t="n"/>
      <c r="BE143" s="904" t="n"/>
      <c r="BF143" s="904" t="n"/>
      <c r="BG143" s="904" t="n"/>
      <c r="BH143" s="904" t="n"/>
      <c r="BI143" s="904" t="n"/>
      <c r="BJ143" s="904" t="n"/>
      <c r="BK143" s="904" t="n"/>
      <c r="BL143" s="904" t="n"/>
      <c r="BM143" s="904" t="n"/>
      <c r="BN143" s="904" t="n"/>
      <c r="BO143" s="904" t="n"/>
      <c r="BP143" s="904" t="n"/>
      <c r="BQ143" s="904" t="n"/>
      <c r="BR143" s="904" t="n"/>
      <c r="BS143" s="904" t="n"/>
      <c r="BT143" s="904" t="n"/>
      <c r="BU143" s="904" t="n"/>
      <c r="BV143" s="904" t="n"/>
      <c r="BW143" s="904" t="n"/>
      <c r="BX143" s="904" t="n"/>
      <c r="BY143" s="904" t="n"/>
      <c r="BZ143" s="904" t="n"/>
      <c r="CA143" s="904" t="n"/>
      <c r="CB143" s="904" t="n"/>
      <c r="CC143" s="904" t="n"/>
      <c r="CD143" s="904" t="n"/>
      <c r="CE143" s="904" t="n"/>
      <c r="CF143" s="904" t="n"/>
      <c r="CG143" s="904" t="n"/>
      <c r="CH143" s="904" t="n"/>
      <c r="CI143" s="904" t="n"/>
      <c r="CJ143" s="904" t="n"/>
      <c r="CK143" s="904" t="n"/>
      <c r="CL143" s="904" t="n"/>
      <c r="CM143" s="904" t="n"/>
      <c r="CN143" s="904" t="n"/>
      <c r="CO143" s="904" t="n"/>
      <c r="CP143" s="904" t="n"/>
      <c r="CQ143" s="904" t="n"/>
      <c r="CR143" s="904" t="n"/>
      <c r="CS143" s="904" t="n"/>
      <c r="CT143" s="904" t="n"/>
      <c r="CU143" s="904" t="n"/>
      <c r="CV143" s="904" t="n"/>
      <c r="CW143" s="904" t="n"/>
      <c r="CX143" s="904" t="n"/>
      <c r="CY143" s="904" t="n"/>
      <c r="CZ143" s="904" t="n"/>
      <c r="DA143" s="904" t="n"/>
      <c r="DB143" s="904" t="n"/>
      <c r="DC143" s="904" t="n"/>
      <c r="DD143" s="904" t="n"/>
      <c r="DE143" s="904" t="n"/>
      <c r="DF143" s="904" t="n"/>
      <c r="DG143" s="904" t="n"/>
      <c r="DH143" s="904" t="n"/>
      <c r="DI143" s="904" t="n"/>
      <c r="DJ143" s="904" t="n"/>
      <c r="DK143" s="904" t="n"/>
      <c r="DL143" s="904" t="n"/>
      <c r="DM143" s="904" t="n"/>
      <c r="DN143" s="904" t="n"/>
      <c r="DO143" s="904" t="n"/>
      <c r="DP143" s="904" t="n"/>
      <c r="DQ143" s="904" t="n"/>
      <c r="DR143" s="904" t="n"/>
      <c r="DS143" s="904" t="n"/>
      <c r="DT143" s="904" t="n"/>
      <c r="DU143" s="904" t="n"/>
      <c r="DV143" s="904" t="n"/>
      <c r="DW143" s="904" t="n"/>
      <c r="DX143" s="904" t="n"/>
      <c r="DY143" s="904" t="n"/>
      <c r="DZ143" s="904" t="n"/>
      <c r="EA143" s="904" t="n"/>
      <c r="EB143" s="904" t="n"/>
      <c r="EC143" s="904" t="n"/>
      <c r="ED143" s="904" t="n"/>
      <c r="EE143" s="904" t="n"/>
      <c r="EF143" s="904" t="n"/>
      <c r="EG143" s="904" t="n"/>
      <c r="EH143" s="904" t="n"/>
      <c r="EI143" s="904" t="n"/>
      <c r="EJ143" s="904" t="n"/>
      <c r="EK143" s="904" t="n"/>
      <c r="EL143" s="904" t="n"/>
      <c r="EM143" s="904" t="n"/>
      <c r="EN143" s="904" t="n"/>
      <c r="EO143" s="904" t="n"/>
      <c r="EP143" s="904" t="n"/>
      <c r="EQ143" s="904" t="n"/>
      <c r="ER143" s="904" t="n"/>
      <c r="ES143" s="904" t="n"/>
      <c r="ET143" s="904" t="n"/>
      <c r="EU143" s="904" t="n"/>
      <c r="EV143" s="904" t="n"/>
      <c r="EW143" s="904" t="n"/>
      <c r="EX143" s="904" t="n"/>
      <c r="EY143" s="904" t="n"/>
      <c r="EZ143" s="904" t="n"/>
      <c r="FA143" s="904" t="n"/>
      <c r="FB143" s="904" t="n"/>
      <c r="FC143" s="904" t="n"/>
      <c r="FD143" s="904" t="n"/>
      <c r="FE143" s="904" t="n"/>
      <c r="FF143" s="904" t="n"/>
      <c r="FG143" s="904" t="n"/>
      <c r="FH143" s="904" t="n"/>
      <c r="FI143" s="904" t="n"/>
      <c r="FJ143" s="904" t="n"/>
      <c r="FK143" s="904" t="n"/>
      <c r="FL143" s="904" t="n"/>
      <c r="FM143" s="904" t="n"/>
      <c r="FN143" s="904" t="n"/>
      <c r="FO143" s="904" t="n"/>
      <c r="FP143" s="904" t="n"/>
      <c r="FQ143" s="904" t="n"/>
      <c r="FR143" s="904" t="n"/>
      <c r="FS143" s="904" t="n"/>
      <c r="FT143" s="904" t="n"/>
      <c r="FU143" s="904" t="n"/>
      <c r="FV143" s="904" t="n"/>
      <c r="FW143" s="904" t="n"/>
      <c r="FX143" s="904" t="n"/>
      <c r="FY143" s="904" t="n"/>
      <c r="FZ143" s="904" t="n"/>
      <c r="GA143" s="904" t="n"/>
      <c r="GB143" s="904" t="n"/>
      <c r="GC143" s="904" t="n"/>
      <c r="GD143" s="904" t="n"/>
      <c r="GE143" s="904" t="n"/>
      <c r="GF143" s="904" t="n"/>
      <c r="GG143" s="904" t="n"/>
      <c r="GH143" s="904" t="n"/>
      <c r="GI143" s="904" t="n"/>
      <c r="GJ143" s="904" t="n"/>
      <c r="GK143" s="904" t="n"/>
      <c r="GL143" s="904" t="n"/>
      <c r="GM143" s="904" t="n"/>
      <c r="GN143" s="904" t="n"/>
      <c r="GO143" s="904" t="n"/>
      <c r="GP143" s="904" t="n"/>
      <c r="GQ143" s="904" t="n"/>
      <c r="GR143" s="904" t="n"/>
      <c r="GS143" s="904" t="n"/>
      <c r="GT143" s="904" t="n"/>
      <c r="GU143" s="904" t="n"/>
      <c r="GV143" s="904" t="n"/>
      <c r="GW143" s="904" t="n"/>
      <c r="GX143" s="904" t="n"/>
      <c r="GY143" s="904" t="n"/>
      <c r="GZ143" s="904" t="n"/>
      <c r="HA143" s="904" t="n"/>
      <c r="HB143" s="904" t="n"/>
      <c r="HC143" s="904" t="n"/>
      <c r="HD143" s="904" t="n"/>
      <c r="HE143" s="904" t="n"/>
      <c r="HF143" s="904" t="n"/>
      <c r="HG143" s="904" t="n"/>
      <c r="HH143" s="904" t="n"/>
      <c r="HI143" s="904" t="n"/>
      <c r="HJ143" s="904" t="n"/>
      <c r="HK143" s="904" t="n"/>
      <c r="HL143" s="904" t="n"/>
      <c r="HM143" s="904" t="n"/>
      <c r="HN143" s="904" t="n"/>
      <c r="HO143" s="904" t="n"/>
      <c r="HP143" s="904" t="n"/>
      <c r="HQ143" s="904" t="n"/>
      <c r="HR143" s="904" t="n"/>
      <c r="HS143" s="904" t="n"/>
      <c r="HT143" s="904" t="n"/>
      <c r="HU143" s="904" t="n"/>
      <c r="HV143" s="904" t="n"/>
      <c r="HW143" s="904" t="n"/>
      <c r="HX143" s="904" t="n"/>
      <c r="HY143" s="904" t="n"/>
      <c r="HZ143" s="904" t="n"/>
      <c r="IA143" s="904" t="n"/>
      <c r="IB143" s="904" t="n"/>
      <c r="IC143" s="904" t="n"/>
      <c r="ID143" s="904" t="n"/>
      <c r="IE143" s="904" t="n"/>
      <c r="IF143" s="904" t="n"/>
      <c r="IG143" s="904" t="n"/>
      <c r="IH143" s="904" t="n"/>
      <c r="II143" s="904" t="n"/>
      <c r="IJ143" s="904" t="n"/>
      <c r="IK143" s="904" t="n"/>
      <c r="IL143" s="904" t="n"/>
      <c r="IM143" s="904" t="n"/>
      <c r="IN143" s="904" t="n"/>
      <c r="IO143" s="904" t="n"/>
      <c r="IP143" s="904" t="n"/>
      <c r="IQ143" s="904" t="n"/>
      <c r="IR143" s="904" t="n"/>
      <c r="IS143" s="904" t="n"/>
      <c r="IT143" s="904" t="n"/>
      <c r="IU143" s="904" t="n"/>
      <c r="IV143" s="904" t="n"/>
      <c r="IW143" s="904" t="n"/>
      <c r="IX143" s="904" t="n"/>
      <c r="IY143" s="904" t="n"/>
      <c r="IZ143" s="904" t="n"/>
      <c r="JA143" s="904" t="n"/>
      <c r="JB143" s="904" t="n"/>
      <c r="JC143" s="904" t="n"/>
      <c r="JD143" s="904" t="n"/>
      <c r="JE143" s="904" t="n"/>
      <c r="JF143" s="904" t="n"/>
      <c r="JG143" s="904" t="n"/>
      <c r="JH143" s="904" t="n"/>
      <c r="JI143" s="904" t="n"/>
      <c r="JJ143" s="904" t="n"/>
      <c r="JK143" s="904" t="n"/>
      <c r="JL143" s="904" t="n"/>
      <c r="JM143" s="904" t="n"/>
      <c r="JN143" s="904" t="n"/>
      <c r="JO143" s="904" t="n"/>
      <c r="JP143" s="904" t="n"/>
      <c r="JQ143" s="904" t="n"/>
      <c r="JR143" s="904" t="n"/>
      <c r="JS143" s="904" t="n"/>
      <c r="JT143" s="904" t="n"/>
      <c r="JU143" s="904" t="n"/>
      <c r="JV143" s="904" t="n"/>
      <c r="JW143" s="904" t="n"/>
      <c r="JX143" s="904" t="n"/>
      <c r="JY143" s="904" t="n"/>
      <c r="JZ143" s="904" t="n"/>
      <c r="KA143" s="904" t="n"/>
      <c r="KB143" s="904" t="n"/>
      <c r="KC143" s="904" t="n"/>
      <c r="KD143" s="904" t="n"/>
      <c r="KE143" s="904" t="n"/>
      <c r="KF143" s="904" t="n"/>
      <c r="KG143" s="904" t="n"/>
      <c r="KH143" s="904" t="n"/>
      <c r="KI143" s="904" t="n"/>
      <c r="KJ143" s="904" t="n"/>
      <c r="KK143" s="904" t="n"/>
      <c r="KL143" s="904" t="n"/>
      <c r="KM143" s="904" t="n"/>
      <c r="KN143" s="904" t="n"/>
      <c r="KO143" s="904" t="n"/>
      <c r="KP143" s="904" t="n"/>
      <c r="KQ143" s="904" t="n"/>
      <c r="KR143" s="904" t="n"/>
      <c r="KS143" s="904" t="n"/>
      <c r="KT143" s="904" t="n"/>
      <c r="KU143" s="904" t="n"/>
      <c r="KV143" s="904" t="n"/>
      <c r="KW143" s="904" t="n"/>
      <c r="KX143" s="904" t="n"/>
      <c r="KY143" s="904" t="n"/>
      <c r="KZ143" s="904" t="n"/>
      <c r="LA143" s="904" t="n"/>
      <c r="LB143" s="904" t="n"/>
      <c r="LC143" s="904" t="n"/>
      <c r="LD143" s="904" t="n"/>
      <c r="LE143" s="904" t="n"/>
      <c r="LF143" s="904" t="n"/>
      <c r="LG143" s="904" t="n"/>
      <c r="LH143" s="904" t="n"/>
      <c r="LI143" s="904" t="n"/>
      <c r="LJ143" s="904" t="n"/>
      <c r="LK143" s="904" t="n"/>
      <c r="LL143" s="904" t="n"/>
      <c r="LM143" s="904" t="n"/>
      <c r="LN143" s="904" t="n"/>
      <c r="LO143" s="904" t="n"/>
      <c r="LP143" s="904" t="n"/>
      <c r="LQ143" s="904" t="n"/>
      <c r="LR143" s="904" t="n"/>
      <c r="LS143" s="904" t="n"/>
    </row>
    <row r="144" ht="17.25" customFormat="1" customHeight="1" s="1310">
      <c r="A144" s="1315" t="inlineStr">
        <is>
          <t>HK Express</t>
        </is>
      </c>
      <c r="B144" s="1315" t="n"/>
      <c r="C144" s="1315" t="n"/>
      <c r="D144" s="1315" t="n"/>
      <c r="E144" s="1315" t="n"/>
      <c r="F144" s="1315" t="n"/>
      <c r="G144" s="1315" t="n"/>
      <c r="H144" s="1315" t="n"/>
      <c r="I144" s="1315" t="n"/>
      <c r="J144" s="1315" t="n"/>
      <c r="K144" s="1315" t="n"/>
      <c r="L144" s="1315" t="n"/>
      <c r="M144" s="1315" t="n"/>
      <c r="N144" s="1315" t="n"/>
      <c r="O144" s="1315" t="n"/>
      <c r="P144" s="1315" t="n"/>
      <c r="Q144" s="1315" t="n"/>
      <c r="R144" s="1315" t="n"/>
      <c r="S144" s="1315" t="n"/>
      <c r="T144" s="1315" t="n"/>
      <c r="U144" s="1315" t="n"/>
      <c r="V144" s="1315" t="n"/>
      <c r="W144" s="1316" t="n"/>
      <c r="X144" s="1316" t="n"/>
      <c r="Y144" s="1316" t="n"/>
      <c r="Z144" s="1316" t="n"/>
      <c r="AA144" s="1316" t="n"/>
      <c r="AB144" s="1316" t="n"/>
      <c r="AC144" s="1316" t="n"/>
      <c r="AD144" s="1316" t="n"/>
      <c r="AE144" s="1316" t="n"/>
      <c r="AF144" s="1316" t="n"/>
      <c r="AG144" s="1316" t="n"/>
      <c r="AH144" s="1316" t="n"/>
      <c r="AI144" s="1316" t="n"/>
      <c r="AJ144" s="1316" t="n"/>
      <c r="AK144" s="1316" t="n"/>
      <c r="AL144" s="1316" t="n"/>
      <c r="AM144" s="1316" t="n"/>
      <c r="AN144" s="1316" t="n"/>
      <c r="AO144" s="1316" t="n"/>
      <c r="AP144" s="1316" t="n"/>
      <c r="AQ144" s="1316" t="n"/>
      <c r="AR144" s="1316" t="n"/>
      <c r="AS144" s="1316" t="n"/>
      <c r="AT144" s="1316" t="n"/>
      <c r="AU144" s="1316" t="n"/>
      <c r="AV144" s="1316" t="n"/>
      <c r="AW144" s="1316" t="n"/>
      <c r="AX144" s="1316" t="n"/>
      <c r="AY144" s="1316" t="n"/>
      <c r="AZ144" s="1316" t="n"/>
      <c r="BA144" s="1316" t="n"/>
      <c r="BB144" s="1316" t="n"/>
      <c r="BC144" s="1316" t="n"/>
      <c r="BD144" s="1316" t="n"/>
      <c r="BE144" s="1316" t="n"/>
      <c r="BF144" s="1316" t="n"/>
      <c r="BG144" s="1316" t="n"/>
      <c r="BH144" s="1316" t="n"/>
      <c r="BI144" s="1316" t="n"/>
      <c r="BJ144" s="1316" t="n"/>
      <c r="BK144" s="1316" t="n"/>
      <c r="BL144" s="1316" t="n"/>
      <c r="BM144" s="1316" t="n"/>
      <c r="BN144" s="1316" t="n"/>
      <c r="BO144" s="1316" t="n"/>
      <c r="BP144" s="1316" t="n"/>
      <c r="BQ144" s="1316" t="n"/>
      <c r="BR144" s="1316" t="n"/>
      <c r="BS144" s="1316" t="n"/>
      <c r="BT144" s="1316" t="n"/>
      <c r="BU144" s="1316" t="n"/>
      <c r="BV144" s="1316" t="n"/>
      <c r="BW144" s="1316" t="n"/>
      <c r="BX144" s="1316" t="n"/>
      <c r="BY144" s="1316" t="n"/>
      <c r="BZ144" s="1316" t="n"/>
      <c r="CA144" s="1316" t="n"/>
      <c r="CB144" s="1316" t="n"/>
      <c r="CC144" s="1316" t="n"/>
      <c r="CD144" s="1316" t="n"/>
      <c r="CE144" s="1316" t="n"/>
      <c r="CF144" s="1316" t="n"/>
      <c r="CG144" s="1316" t="n"/>
      <c r="CH144" s="1316" t="n"/>
      <c r="CI144" s="1316" t="n"/>
      <c r="CJ144" s="1316" t="n"/>
      <c r="CK144" s="1316" t="n"/>
      <c r="CL144" s="1316" t="n"/>
      <c r="CM144" s="1316" t="n"/>
      <c r="CN144" s="1316" t="n"/>
      <c r="CO144" s="1316" t="n"/>
      <c r="CP144" s="1316" t="n"/>
      <c r="CQ144" s="1316" t="n"/>
      <c r="CR144" s="1316" t="n"/>
      <c r="CS144" s="1316" t="n"/>
      <c r="CT144" s="1316" t="n"/>
      <c r="CU144" s="1316" t="n"/>
      <c r="CV144" s="1316" t="n"/>
      <c r="CW144" s="1316" t="n"/>
      <c r="CX144" s="1316" t="n"/>
      <c r="CY144" s="1316" t="n"/>
      <c r="CZ144" s="1316" t="n"/>
      <c r="DA144" s="1316" t="n"/>
      <c r="DB144" s="1316" t="n"/>
      <c r="DC144" s="1316" t="n"/>
      <c r="DD144" s="1316" t="n"/>
      <c r="DE144" s="1316" t="n"/>
      <c r="DF144" s="1316" t="n"/>
      <c r="DG144" s="1316" t="n"/>
      <c r="DH144" s="1316" t="n"/>
      <c r="DI144" s="1316" t="n"/>
      <c r="DJ144" s="1316" t="n"/>
      <c r="DK144" s="1316" t="n"/>
      <c r="DL144" s="1316" t="n"/>
      <c r="DM144" s="1316" t="n"/>
      <c r="DN144" s="1316" t="n"/>
      <c r="DO144" s="880" t="n"/>
      <c r="DP144" s="1316" t="n"/>
      <c r="DQ144" s="1316" t="n"/>
      <c r="DR144" s="1316" t="n"/>
      <c r="DS144" s="1316" t="n"/>
      <c r="DT144" s="1316" t="n"/>
      <c r="DU144" s="1316" t="n"/>
      <c r="DV144" s="1316" t="n"/>
      <c r="DW144" s="1316" t="n"/>
      <c r="DX144" s="1316" t="n"/>
      <c r="DY144" s="1316" t="n"/>
      <c r="DZ144" s="881" t="n"/>
      <c r="EA144" s="881" t="n"/>
      <c r="EB144" s="881" t="n"/>
      <c r="EC144" s="881" t="n"/>
      <c r="ED144" s="881" t="n"/>
      <c r="EE144" s="881" t="n"/>
      <c r="EF144" s="881" t="n"/>
      <c r="EG144" s="881" t="n"/>
      <c r="EH144" s="881" t="n"/>
      <c r="EI144" s="881" t="n"/>
      <c r="EJ144" s="881" t="n"/>
      <c r="EK144" s="881" t="n"/>
      <c r="EL144" s="881" t="n"/>
      <c r="EM144" s="881" t="n"/>
      <c r="EN144" s="881" t="n"/>
      <c r="EO144" s="881" t="n"/>
      <c r="EP144" s="881" t="n"/>
      <c r="EQ144" s="881" t="n"/>
      <c r="ER144" s="881" t="n"/>
      <c r="ES144" s="881" t="n"/>
      <c r="ET144" s="881" t="n"/>
      <c r="EU144" s="881" t="n"/>
      <c r="EV144" s="881" t="n"/>
      <c r="EW144" s="881" t="n"/>
      <c r="EX144" s="881" t="n"/>
      <c r="EY144" s="881" t="n"/>
      <c r="EZ144" s="881" t="n"/>
      <c r="FA144" s="881" t="n"/>
      <c r="FB144" s="881" t="n"/>
      <c r="FC144" s="881" t="n"/>
      <c r="FD144" s="881" t="n"/>
      <c r="FE144" s="881" t="n"/>
      <c r="FF144" s="881" t="n"/>
      <c r="FG144" s="881" t="n"/>
      <c r="FH144" s="881" t="n"/>
      <c r="FI144" s="881" t="n"/>
      <c r="FJ144" s="881" t="n"/>
      <c r="FK144" s="881" t="n"/>
      <c r="FL144" s="881" t="n"/>
      <c r="FM144" s="881" t="n"/>
      <c r="FN144" s="881" t="n"/>
      <c r="FO144" s="881" t="n"/>
      <c r="FP144" s="881" t="n"/>
      <c r="FQ144" s="881" t="n"/>
      <c r="FR144" s="881" t="n"/>
      <c r="FS144" s="881" t="n"/>
      <c r="FT144" s="881" t="n"/>
      <c r="FU144" s="881" t="n"/>
      <c r="FV144" s="881" t="n"/>
      <c r="FW144" s="881" t="n"/>
      <c r="FX144" s="881" t="n"/>
      <c r="FY144" s="881" t="n"/>
      <c r="FZ144" s="881" t="n"/>
      <c r="GA144" s="881" t="n"/>
      <c r="GB144" s="881" t="n"/>
      <c r="GC144" s="881" t="n"/>
      <c r="GD144" s="881" t="n"/>
      <c r="GE144" s="881" t="n"/>
      <c r="GF144" s="881" t="n"/>
      <c r="GG144" s="881" t="n"/>
      <c r="GH144" s="881" t="n"/>
      <c r="GI144" s="881" t="n"/>
      <c r="GJ144" s="881" t="n"/>
      <c r="GK144" s="881" t="n"/>
      <c r="GL144" s="881" t="n"/>
      <c r="GM144" s="881" t="n"/>
      <c r="GN144" s="881" t="n"/>
      <c r="GO144" s="881" t="n"/>
      <c r="GP144" s="881" t="n"/>
      <c r="GQ144" s="881" t="n"/>
      <c r="GR144" s="881" t="n"/>
      <c r="GS144" s="881" t="n"/>
      <c r="GT144" s="881" t="n"/>
      <c r="GU144" s="881" t="n"/>
      <c r="GV144" s="881" t="n"/>
      <c r="GW144" s="881" t="n"/>
      <c r="GX144" s="881" t="n"/>
      <c r="GY144" s="881" t="n"/>
      <c r="GZ144" s="881" t="n"/>
      <c r="HA144" s="881" t="n"/>
      <c r="HB144" s="881" t="n"/>
      <c r="HC144" s="881" t="n"/>
      <c r="HD144" s="881" t="n"/>
      <c r="HE144" s="881" t="n"/>
      <c r="HF144" s="881" t="n"/>
      <c r="HG144" s="881" t="n"/>
      <c r="HH144" s="881" t="n"/>
      <c r="HI144" s="881" t="n"/>
      <c r="HJ144" s="881" t="n"/>
      <c r="HK144" s="881" t="n"/>
      <c r="HL144" s="881" t="n"/>
      <c r="HM144" s="881" t="n"/>
      <c r="HN144" s="881" t="n"/>
      <c r="HO144" s="881" t="n"/>
      <c r="HP144" s="881" t="n"/>
      <c r="HQ144" s="881" t="n"/>
      <c r="HR144" s="881" t="n"/>
      <c r="HS144" s="881" t="n"/>
      <c r="HT144" s="881" t="n"/>
      <c r="HU144" s="881" t="n"/>
      <c r="HV144" s="881" t="n"/>
      <c r="HW144" s="881" t="n"/>
      <c r="HX144" s="881" t="n"/>
      <c r="HY144" s="881" t="n"/>
      <c r="HZ144" s="881" t="n"/>
      <c r="IA144" s="881" t="n"/>
      <c r="IB144" s="881" t="n"/>
      <c r="IC144" s="881" t="n"/>
      <c r="ID144" s="881" t="n"/>
      <c r="IE144" s="881" t="n"/>
      <c r="IF144" s="881" t="n"/>
      <c r="IG144" s="881" t="n"/>
      <c r="IH144" s="881" t="n"/>
      <c r="II144" s="881" t="n"/>
      <c r="IJ144" s="881" t="n"/>
      <c r="IK144" s="881" t="n"/>
      <c r="IL144" s="881" t="n"/>
      <c r="IM144" s="881" t="n"/>
      <c r="IN144" s="881" t="n"/>
      <c r="IO144" s="881" t="n"/>
      <c r="IP144" s="881" t="n"/>
      <c r="IQ144" s="881" t="n"/>
      <c r="IR144" s="881" t="n"/>
      <c r="IS144" s="881" t="n"/>
      <c r="IT144" s="881" t="n"/>
      <c r="IU144" s="881" t="n"/>
      <c r="IV144" s="881" t="n"/>
      <c r="IW144" s="881" t="n"/>
      <c r="IX144" s="881" t="n"/>
      <c r="IY144" s="881" t="n"/>
      <c r="IZ144" s="881" t="n"/>
      <c r="JA144" s="881" t="n"/>
      <c r="JB144" s="881" t="n"/>
      <c r="JC144" s="881" t="n"/>
      <c r="JD144" s="881" t="n"/>
      <c r="JE144" s="881" t="n"/>
      <c r="JF144" s="881" t="n"/>
      <c r="JG144" s="881" t="n"/>
      <c r="JH144" s="881" t="n"/>
      <c r="JI144" s="881" t="n"/>
      <c r="JJ144" s="881" t="n"/>
      <c r="JK144" s="881" t="n"/>
      <c r="JL144" s="881" t="n"/>
      <c r="JM144" s="881" t="n"/>
      <c r="JN144" s="881" t="n"/>
      <c r="JO144" s="881" t="n"/>
      <c r="JP144" s="881" t="n"/>
      <c r="JQ144" s="881" t="n"/>
      <c r="JR144" s="881" t="n"/>
      <c r="JS144" s="881" t="n"/>
      <c r="JT144" s="881" t="n"/>
      <c r="JU144" s="881" t="n"/>
      <c r="JV144" s="881" t="n"/>
      <c r="JW144" s="881" t="n"/>
      <c r="JX144" s="881" t="n"/>
      <c r="JY144" s="881" t="n"/>
      <c r="JZ144" s="881" t="n"/>
      <c r="KA144" s="881" t="n"/>
      <c r="KB144" s="881" t="n"/>
      <c r="KC144" s="881" t="n"/>
      <c r="KD144" s="881" t="n"/>
      <c r="KE144" s="881" t="n"/>
      <c r="KF144" s="881" t="n"/>
      <c r="KG144" s="881" t="n"/>
      <c r="KH144" s="881" t="n"/>
      <c r="KI144" s="881" t="n"/>
      <c r="KJ144" s="881" t="n"/>
      <c r="KK144" s="881" t="n"/>
      <c r="KL144" s="881" t="n"/>
      <c r="KM144" s="881" t="n"/>
      <c r="KN144" s="881" t="n"/>
      <c r="KO144" s="881" t="n"/>
      <c r="KP144" s="881" t="n"/>
      <c r="KQ144" s="881" t="n"/>
      <c r="KR144" s="881" t="n"/>
      <c r="KS144" s="881" t="n"/>
      <c r="KT144" s="881" t="n"/>
      <c r="KU144" s="881" t="n"/>
      <c r="KV144" s="881" t="n"/>
      <c r="KW144" s="881" t="n"/>
      <c r="KX144" s="881" t="n"/>
      <c r="KY144" s="881" t="n"/>
      <c r="KZ144" s="881" t="n"/>
      <c r="LA144" s="881" t="n"/>
      <c r="LB144" s="881" t="n"/>
      <c r="LC144" s="881" t="n"/>
      <c r="LD144" s="881" t="n"/>
      <c r="LE144" s="881" t="n"/>
      <c r="LF144" s="881" t="n"/>
      <c r="LG144" s="881" t="n"/>
      <c r="LH144" s="881" t="n"/>
      <c r="LI144" s="881" t="n"/>
      <c r="LJ144" s="881" t="n"/>
      <c r="LK144" s="881" t="n"/>
      <c r="LL144" s="881" t="n"/>
      <c r="LM144" s="881" t="n"/>
      <c r="LN144" s="881" t="n"/>
      <c r="LO144" s="881" t="n"/>
      <c r="LP144" s="881" t="n"/>
      <c r="LQ144" s="881" t="n"/>
      <c r="LR144" s="881" t="n"/>
      <c r="LS144" s="881" t="n"/>
    </row>
    <row r="145" ht="15" customHeight="1" s="239">
      <c r="A145" s="904" t="inlineStr">
        <is>
          <t>ASK (million)</t>
        </is>
      </c>
      <c r="B145" s="904" t="n"/>
      <c r="C145" s="904" t="n"/>
      <c r="D145" s="904" t="n"/>
      <c r="E145" s="904" t="n"/>
      <c r="F145" s="904" t="n"/>
      <c r="G145" s="904" t="n"/>
      <c r="H145" s="904" t="n"/>
      <c r="I145" s="904" t="n"/>
      <c r="J145" s="904" t="n"/>
      <c r="K145" s="904" t="n"/>
      <c r="L145" s="904" t="n"/>
      <c r="M145" s="904" t="n"/>
      <c r="N145" s="904" t="n"/>
      <c r="O145" s="904" t="n"/>
      <c r="P145" s="904" t="n"/>
      <c r="Q145" s="904" t="n"/>
      <c r="R145" s="904" t="n"/>
      <c r="S145" s="904" t="n"/>
      <c r="T145" s="904" t="n"/>
      <c r="U145" s="904" t="n"/>
      <c r="V145" s="904" t="n"/>
      <c r="W145" s="904" t="n"/>
      <c r="X145" s="904" t="n"/>
      <c r="Y145" s="904" t="n"/>
      <c r="Z145" s="904" t="n"/>
      <c r="AA145" s="904" t="n"/>
      <c r="AB145" s="904" t="n"/>
      <c r="AC145" s="904" t="n"/>
      <c r="AD145" s="904" t="n"/>
      <c r="AE145" s="904" t="n"/>
      <c r="AF145" s="904" t="n"/>
      <c r="AG145" s="904" t="n"/>
      <c r="AH145" s="904" t="n"/>
      <c r="AI145" s="904" t="n"/>
      <c r="AJ145" s="904" t="n"/>
      <c r="AK145" s="904" t="n"/>
      <c r="AL145" s="904" t="n"/>
      <c r="AM145" s="904" t="n"/>
      <c r="AN145" s="904" t="n"/>
      <c r="AO145" s="904" t="n"/>
      <c r="AP145" s="904" t="n"/>
      <c r="AQ145" s="904" t="n"/>
      <c r="AR145" s="904" t="n"/>
      <c r="AS145" s="904" t="n"/>
      <c r="AT145" s="904" t="n"/>
      <c r="AU145" s="904" t="n"/>
      <c r="AV145" s="904" t="n"/>
      <c r="AW145" s="904" t="n"/>
      <c r="AX145" s="904" t="n"/>
      <c r="AY145" s="904" t="n"/>
      <c r="AZ145" s="904" t="n"/>
      <c r="BA145" s="904" t="n"/>
      <c r="BB145" s="904" t="n"/>
      <c r="BC145" s="904" t="n"/>
      <c r="BD145" s="904" t="n"/>
      <c r="BE145" s="904" t="n"/>
      <c r="BF145" s="904" t="n"/>
      <c r="BG145" s="904" t="n"/>
      <c r="BH145" s="904" t="n"/>
      <c r="BI145" s="904" t="n"/>
      <c r="BJ145" s="904" t="n"/>
      <c r="BK145" s="904" t="n"/>
      <c r="BL145" s="904" t="n"/>
      <c r="BM145" s="904" t="n"/>
      <c r="BN145" s="904" t="n"/>
      <c r="BO145" s="904" t="n"/>
      <c r="BP145" s="904" t="n"/>
      <c r="BQ145" s="904" t="n"/>
      <c r="BR145" s="904" t="n"/>
      <c r="BS145" s="904" t="n"/>
      <c r="BT145" s="904" t="n"/>
      <c r="BU145" s="904" t="n"/>
      <c r="BV145" s="904" t="n"/>
      <c r="BW145" s="904" t="n"/>
      <c r="BX145" s="904" t="n"/>
      <c r="BY145" s="904" t="n"/>
      <c r="BZ145" s="904" t="n"/>
      <c r="CA145" s="904" t="n"/>
      <c r="CB145" s="904" t="n"/>
      <c r="CC145" s="904" t="n"/>
      <c r="CD145" s="904" t="n"/>
      <c r="CE145" s="904" t="n"/>
      <c r="CF145" s="904" t="n"/>
      <c r="CG145" s="904" t="n"/>
      <c r="CH145" s="904" t="n"/>
      <c r="CI145" s="904" t="n"/>
      <c r="CJ145" s="904" t="n"/>
      <c r="CK145" s="904" t="n"/>
      <c r="CL145" s="904" t="n"/>
      <c r="CM145" s="904" t="n"/>
      <c r="CN145" s="904" t="n"/>
      <c r="CO145" s="904" t="n"/>
      <c r="CP145" s="904" t="n"/>
      <c r="CQ145" s="904" t="n"/>
      <c r="CR145" s="904" t="n"/>
      <c r="CS145" s="904" t="n"/>
      <c r="CT145" s="904" t="n"/>
      <c r="CU145" s="904" t="n"/>
      <c r="CV145" s="904" t="n"/>
      <c r="CW145" s="904" t="n"/>
      <c r="CX145" s="904" t="n"/>
      <c r="CY145" s="904" t="n"/>
      <c r="CZ145" s="904" t="n"/>
      <c r="DA145" s="904" t="n"/>
      <c r="DB145" s="904" t="n"/>
      <c r="DC145" s="904" t="n"/>
      <c r="DD145" s="904" t="n"/>
      <c r="DE145" s="904" t="n"/>
      <c r="DF145" s="904" t="n"/>
      <c r="DG145" s="904" t="n"/>
      <c r="DH145" s="904" t="n"/>
      <c r="DI145" s="904" t="n"/>
      <c r="DJ145" s="904" t="n"/>
      <c r="DK145" s="904" t="n"/>
      <c r="DL145" s="904" t="n"/>
      <c r="DM145" s="904" t="n"/>
      <c r="DN145" s="904" t="n"/>
      <c r="DO145" s="904" t="n"/>
      <c r="DP145" s="904" t="n"/>
      <c r="DQ145" s="904" t="n"/>
      <c r="DR145" s="904" t="n"/>
      <c r="DS145" s="904" t="n"/>
      <c r="DT145" s="904" t="n"/>
      <c r="DU145" s="904" t="n"/>
      <c r="DV145" s="904" t="n"/>
      <c r="DW145" s="904" t="n"/>
      <c r="DX145" s="904" t="n"/>
      <c r="DY145" s="904" t="n"/>
      <c r="DZ145" s="904" t="n"/>
      <c r="EA145" s="904" t="n"/>
      <c r="EB145" s="904" t="n"/>
      <c r="EC145" s="904" t="n"/>
      <c r="ED145" s="904" t="n"/>
      <c r="EE145" s="904" t="n"/>
      <c r="EF145" s="904" t="n"/>
      <c r="EG145" s="904" t="n"/>
      <c r="EH145" s="904" t="n"/>
      <c r="EI145" s="904" t="n"/>
      <c r="EJ145" s="904" t="n"/>
      <c r="EK145" s="904" t="n"/>
      <c r="EL145" s="904" t="n"/>
      <c r="EM145" s="904" t="n"/>
      <c r="EN145" s="904" t="n"/>
      <c r="EO145" s="904" t="n"/>
      <c r="EP145" s="904" t="n"/>
      <c r="EQ145" s="904" t="n"/>
      <c r="ER145" s="904" t="n"/>
      <c r="ES145" s="904" t="n"/>
      <c r="ET145" s="904" t="n"/>
      <c r="EU145" s="904" t="n"/>
      <c r="EV145" s="904" t="n"/>
      <c r="EW145" s="904" t="n"/>
      <c r="EX145" s="904" t="n"/>
      <c r="EY145" s="904" t="n"/>
      <c r="EZ145" s="904" t="n"/>
      <c r="FA145" s="904" t="n"/>
      <c r="FB145" s="904" t="n"/>
      <c r="FC145" s="904" t="n"/>
      <c r="FD145" s="904" t="n"/>
      <c r="FE145" s="904" t="n"/>
      <c r="FF145" s="904" t="n"/>
      <c r="FG145" s="904" t="n"/>
      <c r="FH145" s="904" t="n"/>
      <c r="FI145" s="904" t="n"/>
      <c r="FJ145" s="904" t="n"/>
      <c r="FK145" s="904" t="n"/>
      <c r="FL145" s="904" t="n"/>
      <c r="FM145" s="904" t="n"/>
      <c r="FN145" s="904" t="n"/>
      <c r="FO145" s="904" t="n"/>
      <c r="FP145" s="904" t="n"/>
      <c r="FQ145" s="904" t="n"/>
      <c r="FR145" s="904" t="n"/>
      <c r="FS145" s="904" t="n"/>
      <c r="FT145" s="904" t="n"/>
      <c r="FU145" s="904" t="n"/>
      <c r="FV145" s="904" t="n"/>
      <c r="FW145" s="904" t="n"/>
      <c r="FX145" s="904" t="n"/>
      <c r="FY145" s="904" t="n"/>
      <c r="FZ145" s="904" t="n"/>
      <c r="GA145" s="904" t="n"/>
      <c r="GB145" s="904" t="n"/>
      <c r="GC145" s="904" t="n"/>
      <c r="GD145" s="904" t="n"/>
      <c r="GE145" s="904" t="n"/>
      <c r="GF145" s="904" t="n"/>
      <c r="GG145" s="904" t="n"/>
      <c r="GH145" s="904" t="n"/>
      <c r="GI145" s="904" t="n"/>
      <c r="GJ145" s="904" t="n"/>
      <c r="GK145" s="904" t="n"/>
      <c r="GL145" s="904" t="n"/>
      <c r="GM145" s="904" t="n"/>
      <c r="GN145" s="904" t="n"/>
      <c r="GO145" s="904" t="n"/>
      <c r="GP145" s="904" t="n"/>
      <c r="GQ145" s="904" t="n"/>
      <c r="GR145" s="904" t="n"/>
      <c r="GS145" s="904" t="n"/>
      <c r="GT145" s="904" t="n"/>
      <c r="GU145" s="904" t="n"/>
      <c r="GV145" s="904" t="n"/>
      <c r="GW145" s="904" t="n"/>
      <c r="GX145" s="904" t="n"/>
      <c r="GY145" s="904" t="n"/>
      <c r="GZ145" s="904" t="n"/>
      <c r="HA145" s="904" t="n"/>
      <c r="HB145" s="904" t="n"/>
      <c r="HC145" s="904" t="n"/>
      <c r="HD145" s="904" t="n"/>
      <c r="HE145" s="904" t="n"/>
      <c r="HF145" s="904" t="n"/>
      <c r="HG145" s="904" t="n"/>
      <c r="HH145" s="904" t="n"/>
      <c r="HI145" s="904" t="n"/>
      <c r="HJ145" s="904" t="n"/>
      <c r="HK145" s="904" t="n"/>
      <c r="HL145" s="904" t="n"/>
      <c r="HM145" s="904" t="n"/>
      <c r="HN145" s="904" t="n"/>
      <c r="HO145" s="904" t="n"/>
      <c r="HP145" s="904" t="n"/>
      <c r="HQ145" s="904" t="n"/>
      <c r="HR145" s="904" t="n"/>
      <c r="HS145" s="904" t="n"/>
      <c r="HT145" s="904" t="n"/>
      <c r="HU145" s="904" t="n"/>
      <c r="HV145" s="904" t="n"/>
      <c r="HW145" s="904" t="n"/>
      <c r="HX145" s="904" t="n"/>
      <c r="HY145" s="904" t="n"/>
      <c r="HZ145" s="904" t="n"/>
      <c r="IA145" s="904" t="n"/>
      <c r="IB145" s="904" t="n"/>
      <c r="IC145" s="904" t="n"/>
      <c r="ID145" s="904" t="n"/>
      <c r="IE145" s="904" t="n"/>
      <c r="IF145" s="904" t="n"/>
      <c r="IG145" s="904" t="n"/>
      <c r="IH145" s="904" t="n"/>
      <c r="II145" s="904" t="n"/>
      <c r="IJ145" s="904" t="n"/>
      <c r="IK145" s="904" t="n"/>
      <c r="IL145" s="904" t="n"/>
      <c r="IM145" s="904" t="n"/>
      <c r="IN145" s="904" t="n"/>
      <c r="IO145" s="904" t="n"/>
      <c r="IP145" s="904" t="n"/>
      <c r="IQ145" s="904" t="n"/>
      <c r="IR145" s="904" t="n"/>
      <c r="IS145" s="904" t="n"/>
      <c r="IT145" s="904" t="n"/>
      <c r="IU145" s="904" t="n"/>
      <c r="IV145" s="904" t="n"/>
      <c r="IW145" s="904" t="n"/>
      <c r="IX145" s="904" t="n"/>
      <c r="IY145" s="904" t="n"/>
      <c r="IZ145" s="904" t="n"/>
      <c r="JA145" s="904" t="n"/>
      <c r="JB145" s="904" t="n"/>
      <c r="JC145" s="904" t="n"/>
      <c r="JD145" s="904" t="n"/>
      <c r="JE145" s="904" t="n"/>
      <c r="JF145" s="904" t="n"/>
      <c r="JG145" s="904" t="n"/>
      <c r="JH145" s="904" t="n"/>
      <c r="JI145" s="904" t="n"/>
      <c r="JJ145" s="904" t="n"/>
      <c r="JK145" s="904" t="n"/>
      <c r="JL145" s="904" t="n"/>
      <c r="JM145" s="904" t="n"/>
      <c r="JN145" s="904" t="n"/>
      <c r="JO145" s="904" t="n"/>
      <c r="JP145" s="904" t="n"/>
      <c r="JQ145" s="904" t="n"/>
      <c r="JR145" s="904" t="n"/>
      <c r="JS145" s="904" t="n"/>
      <c r="JT145" s="904" t="n"/>
      <c r="JU145" s="904" t="n"/>
      <c r="JV145" s="904" t="n"/>
      <c r="JW145" s="904" t="n"/>
      <c r="JX145" s="904" t="n"/>
      <c r="JY145" s="904" t="n"/>
      <c r="JZ145" s="904" t="n"/>
      <c r="KA145" s="904" t="n"/>
      <c r="KB145" s="904" t="n"/>
      <c r="KC145" s="904" t="n"/>
      <c r="KD145" s="904" t="n"/>
      <c r="KE145" s="904" t="n"/>
      <c r="KF145" s="904" t="n"/>
      <c r="KG145" s="904" t="n"/>
      <c r="KH145" s="904" t="n"/>
      <c r="KI145" s="904" t="n"/>
      <c r="KJ145" s="904" t="n"/>
      <c r="KK145" s="904" t="n"/>
      <c r="KL145" s="904" t="n"/>
      <c r="KM145" s="904" t="n"/>
      <c r="KN145" s="904" t="n"/>
      <c r="KO145" s="904" t="n"/>
      <c r="KP145" s="863">
        <f>LB145/(1+LB147)</f>
        <v/>
      </c>
      <c r="KQ145" s="863">
        <f>LC145/(1+LC147)</f>
        <v/>
      </c>
      <c r="KR145" s="863">
        <f>LD145/(1+LD147)</f>
        <v/>
      </c>
      <c r="KS145" s="863">
        <f>LE145/(1+LE147)</f>
        <v/>
      </c>
      <c r="KT145" s="863">
        <f>LF145/(1+LF147)</f>
        <v/>
      </c>
      <c r="KU145" s="863">
        <f>LG145/(1+LG147)</f>
        <v/>
      </c>
      <c r="KV145" s="863">
        <f>LH145/(1+LH147)</f>
        <v/>
      </c>
      <c r="KW145" s="863">
        <f>LI145/(1+LI147)</f>
        <v/>
      </c>
      <c r="KX145" s="863">
        <f>LJ145/(1+LJ147)</f>
        <v/>
      </c>
      <c r="KY145" s="863">
        <f>LK145/(1+LK147)</f>
        <v/>
      </c>
      <c r="KZ145" s="863">
        <f>LL145/(1+LL147)</f>
        <v/>
      </c>
      <c r="LA145" s="863">
        <f>LM145/(1+LM147)</f>
        <v/>
      </c>
      <c r="LB145" s="863">
        <f>LB205/1000</f>
        <v/>
      </c>
      <c r="LC145" s="863">
        <f>LC205/1000</f>
        <v/>
      </c>
      <c r="LD145" s="863">
        <f>LD205/1000</f>
        <v/>
      </c>
      <c r="LE145" s="863">
        <f>LE205/1000</f>
        <v/>
      </c>
      <c r="LF145" s="863">
        <f>LF205/1000</f>
        <v/>
      </c>
      <c r="LG145" s="863">
        <f>LG205/1000</f>
        <v/>
      </c>
      <c r="LH145" s="863">
        <f>LH205/1000</f>
        <v/>
      </c>
      <c r="LI145" s="863">
        <f>LI205/1000</f>
        <v/>
      </c>
      <c r="LJ145" s="863">
        <f>LJ205/1000</f>
        <v/>
      </c>
      <c r="LK145" s="863">
        <f>LK205/1000</f>
        <v/>
      </c>
      <c r="LL145" s="863">
        <f>LL205/1000</f>
        <v/>
      </c>
      <c r="LM145" s="863">
        <f>LM205/1000</f>
        <v/>
      </c>
      <c r="LN145" s="863">
        <f>LN205/1000</f>
        <v/>
      </c>
      <c r="LO145" s="863">
        <f>LO205/1000</f>
        <v/>
      </c>
      <c r="LP145" s="863">
        <f>LP205/1000</f>
        <v/>
      </c>
      <c r="LQ145" s="863">
        <f>LQ205/1000</f>
        <v/>
      </c>
      <c r="LR145" s="863">
        <f>LR205/1000</f>
        <v/>
      </c>
      <c r="LS145" s="863">
        <f>LS205/1000</f>
        <v/>
      </c>
      <c r="LT145" s="861" t="n"/>
    </row>
    <row r="146">
      <c r="A146" s="885" t="inlineStr">
        <is>
          <t>m cg %</t>
        </is>
      </c>
      <c r="B146" s="904" t="n"/>
      <c r="C146" s="904" t="n"/>
      <c r="D146" s="904" t="n"/>
      <c r="E146" s="904" t="n"/>
      <c r="F146" s="904" t="n"/>
      <c r="G146" s="904" t="n"/>
      <c r="H146" s="904" t="n"/>
      <c r="I146" s="904" t="n"/>
      <c r="J146" s="904" t="n"/>
      <c r="K146" s="904" t="n"/>
      <c r="L146" s="904" t="n"/>
      <c r="M146" s="904" t="n"/>
      <c r="N146" s="904" t="n"/>
      <c r="O146" s="904" t="n"/>
      <c r="P146" s="904" t="n"/>
      <c r="Q146" s="904" t="n"/>
      <c r="R146" s="904" t="n"/>
      <c r="S146" s="904" t="n"/>
      <c r="T146" s="904" t="n"/>
      <c r="U146" s="904" t="n"/>
      <c r="V146" s="904" t="n"/>
      <c r="W146" s="904" t="n"/>
      <c r="X146" s="904" t="n"/>
      <c r="Y146" s="904" t="n"/>
      <c r="Z146" s="904" t="n"/>
      <c r="AA146" s="904" t="n"/>
      <c r="AB146" s="904" t="n"/>
      <c r="AC146" s="904" t="n"/>
      <c r="AD146" s="904" t="n"/>
      <c r="AE146" s="904" t="n"/>
      <c r="AF146" s="904" t="n"/>
      <c r="AG146" s="904" t="n"/>
      <c r="AH146" s="904" t="n"/>
      <c r="AI146" s="904" t="n"/>
      <c r="AJ146" s="904" t="n"/>
      <c r="AK146" s="904" t="n"/>
      <c r="AL146" s="904" t="n"/>
      <c r="AM146" s="904" t="n"/>
      <c r="AN146" s="904" t="n"/>
      <c r="AO146" s="904" t="n"/>
      <c r="AP146" s="904" t="n"/>
      <c r="AQ146" s="904" t="n"/>
      <c r="AR146" s="904" t="n"/>
      <c r="AS146" s="904" t="n"/>
      <c r="AT146" s="904" t="n"/>
      <c r="AU146" s="904" t="n"/>
      <c r="AV146" s="904" t="n"/>
      <c r="AW146" s="904" t="n"/>
      <c r="AX146" s="904" t="n"/>
      <c r="AY146" s="904" t="n"/>
      <c r="AZ146" s="904" t="n"/>
      <c r="BA146" s="904" t="n"/>
      <c r="BB146" s="904" t="n"/>
      <c r="BC146" s="904" t="n"/>
      <c r="BD146" s="904" t="n"/>
      <c r="BE146" s="904" t="n"/>
      <c r="BF146" s="904" t="n"/>
      <c r="BG146" s="904" t="n"/>
      <c r="BH146" s="904" t="n"/>
      <c r="BI146" s="904" t="n"/>
      <c r="BJ146" s="904" t="n"/>
      <c r="BK146" s="904" t="n"/>
      <c r="BL146" s="904" t="n"/>
      <c r="BM146" s="904" t="n"/>
      <c r="BN146" s="904" t="n"/>
      <c r="BO146" s="904" t="n"/>
      <c r="BP146" s="904" t="n"/>
      <c r="BQ146" s="904" t="n"/>
      <c r="BR146" s="904" t="n"/>
      <c r="BS146" s="904" t="n"/>
      <c r="BT146" s="904" t="n"/>
      <c r="BU146" s="904" t="n"/>
      <c r="BV146" s="904" t="n"/>
      <c r="BW146" s="904" t="n"/>
      <c r="BX146" s="904" t="n"/>
      <c r="BY146" s="904" t="n"/>
      <c r="BZ146" s="904" t="n"/>
      <c r="CA146" s="904" t="n"/>
      <c r="CB146" s="904" t="n"/>
      <c r="CC146" s="904" t="n"/>
      <c r="CD146" s="904" t="n"/>
      <c r="CE146" s="904" t="n"/>
      <c r="CF146" s="904" t="n"/>
      <c r="CG146" s="904" t="n"/>
      <c r="CH146" s="904" t="n"/>
      <c r="CI146" s="904" t="n"/>
      <c r="CJ146" s="904" t="n"/>
      <c r="CK146" s="904" t="n"/>
      <c r="CL146" s="904" t="n"/>
      <c r="CM146" s="904" t="n"/>
      <c r="CN146" s="904" t="n"/>
      <c r="CO146" s="904" t="n"/>
      <c r="CP146" s="904" t="n"/>
      <c r="CQ146" s="904" t="n"/>
      <c r="CR146" s="904" t="n"/>
      <c r="CS146" s="904" t="n"/>
      <c r="CT146" s="904" t="n"/>
      <c r="CU146" s="904" t="n"/>
      <c r="CV146" s="904" t="n"/>
      <c r="CW146" s="904" t="n"/>
      <c r="CX146" s="904" t="n"/>
      <c r="CY146" s="904" t="n"/>
      <c r="CZ146" s="904" t="n"/>
      <c r="DA146" s="904" t="n"/>
      <c r="DB146" s="904" t="n"/>
      <c r="DC146" s="904" t="n"/>
      <c r="DD146" s="904" t="n"/>
      <c r="DE146" s="904" t="n"/>
      <c r="DF146" s="904" t="n"/>
      <c r="DG146" s="904" t="n"/>
      <c r="DH146" s="904" t="n"/>
      <c r="DI146" s="904" t="n"/>
      <c r="DJ146" s="904" t="n"/>
      <c r="DK146" s="904" t="n"/>
      <c r="DL146" s="904" t="n"/>
      <c r="DM146" s="904" t="n"/>
      <c r="DN146" s="904" t="n"/>
      <c r="DO146" s="904" t="n"/>
      <c r="DP146" s="904" t="n"/>
      <c r="DQ146" s="904" t="n"/>
      <c r="DR146" s="904" t="n"/>
      <c r="DS146" s="904" t="n"/>
      <c r="DT146" s="904" t="n"/>
      <c r="DU146" s="904" t="n"/>
      <c r="DV146" s="904" t="n"/>
      <c r="DW146" s="904" t="n"/>
      <c r="DX146" s="904" t="n"/>
      <c r="DY146" s="904" t="n"/>
      <c r="DZ146" s="904" t="n"/>
      <c r="EA146" s="904" t="n"/>
      <c r="EB146" s="904" t="n"/>
      <c r="EC146" s="904" t="n"/>
      <c r="ED146" s="904" t="n"/>
      <c r="EE146" s="904" t="n"/>
      <c r="EF146" s="904" t="n"/>
      <c r="EG146" s="904" t="n"/>
      <c r="EH146" s="904" t="n"/>
      <c r="EI146" s="904" t="n"/>
      <c r="EJ146" s="904" t="n"/>
      <c r="EK146" s="904" t="n"/>
      <c r="EL146" s="904" t="n"/>
      <c r="EM146" s="904" t="n"/>
      <c r="EN146" s="904" t="n"/>
      <c r="EO146" s="904" t="n"/>
      <c r="EP146" s="904" t="n"/>
      <c r="EQ146" s="904" t="n"/>
      <c r="ER146" s="904" t="n"/>
      <c r="ES146" s="904" t="n"/>
      <c r="ET146" s="904" t="n"/>
      <c r="EU146" s="904" t="n"/>
      <c r="EV146" s="904" t="n"/>
      <c r="EW146" s="904" t="n"/>
      <c r="EX146" s="904" t="n"/>
      <c r="EY146" s="904" t="n"/>
      <c r="EZ146" s="904" t="n"/>
      <c r="FA146" s="904" t="n"/>
      <c r="FB146" s="904" t="n"/>
      <c r="FC146" s="904" t="n"/>
      <c r="FD146" s="904" t="n"/>
      <c r="FE146" s="904" t="n"/>
      <c r="FF146" s="904" t="n"/>
      <c r="FG146" s="904" t="n"/>
      <c r="FH146" s="904" t="n"/>
      <c r="FI146" s="904" t="n"/>
      <c r="FJ146" s="904" t="n"/>
      <c r="FK146" s="904" t="n"/>
      <c r="FL146" s="904" t="n"/>
      <c r="FM146" s="904" t="n"/>
      <c r="FN146" s="904" t="n"/>
      <c r="FO146" s="904" t="n"/>
      <c r="FP146" s="904" t="n"/>
      <c r="FQ146" s="904" t="n"/>
      <c r="FR146" s="904" t="n"/>
      <c r="FS146" s="904" t="n"/>
      <c r="FT146" s="904" t="n"/>
      <c r="FU146" s="904" t="n"/>
      <c r="FV146" s="904" t="n"/>
      <c r="FW146" s="904" t="n"/>
      <c r="FX146" s="904" t="n"/>
      <c r="FY146" s="904" t="n"/>
      <c r="FZ146" s="904" t="n"/>
      <c r="GA146" s="904" t="n"/>
      <c r="GB146" s="904" t="n"/>
      <c r="GC146" s="904" t="n"/>
      <c r="GD146" s="904" t="n"/>
      <c r="GE146" s="904" t="n"/>
      <c r="GF146" s="904" t="n"/>
      <c r="GG146" s="904" t="n"/>
      <c r="GH146" s="904" t="n"/>
      <c r="GI146" s="904" t="n"/>
      <c r="GJ146" s="904" t="n"/>
      <c r="GK146" s="904" t="n"/>
      <c r="GL146" s="904" t="n"/>
      <c r="GM146" s="904" t="n"/>
      <c r="GN146" s="904" t="n"/>
      <c r="GO146" s="904" t="n"/>
      <c r="GP146" s="904" t="n"/>
      <c r="GQ146" s="904" t="n"/>
      <c r="GR146" s="904" t="n"/>
      <c r="GS146" s="904" t="n"/>
      <c r="GT146" s="904" t="n"/>
      <c r="GU146" s="904" t="n"/>
      <c r="GV146" s="904" t="n"/>
      <c r="GW146" s="904" t="n"/>
      <c r="GX146" s="904" t="n"/>
      <c r="GY146" s="904" t="n"/>
      <c r="GZ146" s="904" t="n"/>
      <c r="HA146" s="904" t="n"/>
      <c r="HB146" s="904" t="n"/>
      <c r="HC146" s="904" t="n"/>
      <c r="HD146" s="904" t="n"/>
      <c r="HE146" s="904" t="n"/>
      <c r="HF146" s="904" t="n"/>
      <c r="HG146" s="904" t="n"/>
      <c r="HH146" s="904" t="n"/>
      <c r="HI146" s="904" t="n"/>
      <c r="HJ146" s="904" t="n"/>
      <c r="HK146" s="904" t="n"/>
      <c r="HL146" s="904" t="n"/>
      <c r="HM146" s="904" t="n"/>
      <c r="HN146" s="904" t="n"/>
      <c r="HO146" s="904" t="n"/>
      <c r="HP146" s="904" t="n"/>
      <c r="HQ146" s="904" t="n"/>
      <c r="HR146" s="904" t="n"/>
      <c r="HS146" s="904" t="n"/>
      <c r="HT146" s="904" t="n"/>
      <c r="HU146" s="904" t="n"/>
      <c r="HV146" s="904" t="n"/>
      <c r="HW146" s="904" t="n"/>
      <c r="HX146" s="904" t="n"/>
      <c r="HY146" s="904" t="n"/>
      <c r="HZ146" s="904" t="n"/>
      <c r="IA146" s="904" t="n"/>
      <c r="IB146" s="904" t="n"/>
      <c r="IC146" s="904" t="n"/>
      <c r="ID146" s="904" t="n"/>
      <c r="IE146" s="904" t="n"/>
      <c r="IF146" s="904" t="n"/>
      <c r="IG146" s="904" t="n"/>
      <c r="IH146" s="904" t="n"/>
      <c r="II146" s="904" t="n"/>
      <c r="IJ146" s="904" t="n"/>
      <c r="IK146" s="904" t="n"/>
      <c r="IL146" s="904" t="n"/>
      <c r="IM146" s="904" t="n"/>
      <c r="IN146" s="904" t="n"/>
      <c r="IO146" s="904" t="n"/>
      <c r="IP146" s="904" t="n"/>
      <c r="IQ146" s="904" t="n"/>
      <c r="IR146" s="904" t="n"/>
      <c r="IS146" s="904" t="n"/>
      <c r="IT146" s="904" t="n"/>
      <c r="IU146" s="904" t="n"/>
      <c r="IV146" s="904" t="n"/>
      <c r="IW146" s="904" t="n"/>
      <c r="IX146" s="904" t="n"/>
      <c r="IY146" s="904" t="n"/>
      <c r="IZ146" s="904" t="n"/>
      <c r="JA146" s="904" t="n"/>
      <c r="JB146" s="904" t="n"/>
      <c r="JC146" s="904" t="n"/>
      <c r="JD146" s="904" t="n"/>
      <c r="JE146" s="904" t="n"/>
      <c r="JF146" s="904" t="n"/>
      <c r="JG146" s="904" t="n"/>
      <c r="JH146" s="904" t="n"/>
      <c r="JI146" s="904" t="n"/>
      <c r="JJ146" s="904" t="n"/>
      <c r="JK146" s="904" t="n"/>
      <c r="JL146" s="904" t="n"/>
      <c r="JM146" s="904" t="n"/>
      <c r="JN146" s="904" t="n"/>
      <c r="JO146" s="904" t="n"/>
      <c r="JP146" s="904" t="n"/>
      <c r="JQ146" s="904" t="n"/>
      <c r="JR146" s="904" t="n"/>
      <c r="JS146" s="904" t="n"/>
      <c r="JT146" s="904" t="n"/>
      <c r="JU146" s="904" t="n"/>
      <c r="JV146" s="904" t="n"/>
      <c r="JW146" s="904" t="n"/>
      <c r="JX146" s="904" t="n"/>
      <c r="JY146" s="904" t="n"/>
      <c r="JZ146" s="904" t="n"/>
      <c r="KA146" s="904" t="n"/>
      <c r="KB146" s="904" t="n"/>
      <c r="KC146" s="904" t="n"/>
      <c r="KD146" s="904" t="n"/>
      <c r="KE146" s="904" t="n"/>
      <c r="KF146" s="904" t="n"/>
      <c r="KG146" s="904" t="n"/>
      <c r="KH146" s="904" t="n"/>
      <c r="KI146" s="904" t="n"/>
      <c r="KJ146" s="904" t="n"/>
      <c r="KK146" s="904" t="n"/>
      <c r="KL146" s="904" t="n"/>
      <c r="KM146" s="904" t="n"/>
      <c r="KN146" s="904" t="n"/>
      <c r="KO146" s="904" t="n"/>
      <c r="KP146" s="1318" t="n"/>
      <c r="KQ146" s="1318">
        <f>KQ145/KP145-1</f>
        <v/>
      </c>
      <c r="KR146" s="1318">
        <f>KR145/KQ145-1</f>
        <v/>
      </c>
      <c r="KS146" s="1318">
        <f>KS145/KR145-1</f>
        <v/>
      </c>
      <c r="KT146" s="1318">
        <f>KT145/KS145-1</f>
        <v/>
      </c>
      <c r="KU146" s="1318">
        <f>KU145/KT145-1</f>
        <v/>
      </c>
      <c r="KV146" s="1318">
        <f>KV145/KU145-1</f>
        <v/>
      </c>
      <c r="KW146" s="1318">
        <f>KW145/KV145-1</f>
        <v/>
      </c>
      <c r="KX146" s="1318">
        <f>KX145/KW145-1</f>
        <v/>
      </c>
      <c r="KY146" s="1318">
        <f>KY145/KX145-1</f>
        <v/>
      </c>
      <c r="KZ146" s="1318">
        <f>KZ145/KY145-1</f>
        <v/>
      </c>
      <c r="LA146" s="1318">
        <f>LA145/KZ145-1</f>
        <v/>
      </c>
      <c r="LB146" s="1318" t="n"/>
      <c r="LC146" s="1318">
        <f>LC145/LB145-1</f>
        <v/>
      </c>
      <c r="LD146" s="1318">
        <f>LD145/LC145-1</f>
        <v/>
      </c>
      <c r="LE146" s="1318">
        <f>LE145/LD145-1</f>
        <v/>
      </c>
      <c r="LF146" s="1318">
        <f>LF145/LE145-1</f>
        <v/>
      </c>
      <c r="LG146" s="1318">
        <f>LG145/LF145-1</f>
        <v/>
      </c>
      <c r="LH146" s="1318">
        <f>LH145/LG145-1</f>
        <v/>
      </c>
      <c r="LI146" s="1318">
        <f>LI145/LH145-1</f>
        <v/>
      </c>
      <c r="LJ146" s="1318">
        <f>LJ145/LI145-1</f>
        <v/>
      </c>
      <c r="LK146" s="1318">
        <f>LK145/LJ145-1</f>
        <v/>
      </c>
      <c r="LL146" s="1318">
        <f>LL145/LK145-1</f>
        <v/>
      </c>
      <c r="LM146" s="1318">
        <f>LM145/LL145-1</f>
        <v/>
      </c>
      <c r="LN146" s="1318">
        <f>LN145/LM145-1</f>
        <v/>
      </c>
      <c r="LO146" s="1318">
        <f>LO145/LN145-1</f>
        <v/>
      </c>
      <c r="LP146" s="1318">
        <f>LP145/LO145-1</f>
        <v/>
      </c>
      <c r="LQ146" s="1318">
        <f>LQ145/LP145-1</f>
        <v/>
      </c>
      <c r="LR146" s="1318">
        <f>LR145/LQ145-1</f>
        <v/>
      </c>
      <c r="LS146" s="1318">
        <f>LS145/LR145-1</f>
        <v/>
      </c>
    </row>
    <row r="147">
      <c r="A147" s="885" t="inlineStr">
        <is>
          <t>YoY cg %</t>
        </is>
      </c>
      <c r="B147" s="904" t="n"/>
      <c r="C147" s="904" t="n"/>
      <c r="D147" s="904" t="n"/>
      <c r="E147" s="904" t="n"/>
      <c r="F147" s="904" t="n"/>
      <c r="G147" s="904" t="n"/>
      <c r="H147" s="904" t="n"/>
      <c r="I147" s="904" t="n"/>
      <c r="J147" s="904" t="n"/>
      <c r="K147" s="904" t="n"/>
      <c r="L147" s="904" t="n"/>
      <c r="M147" s="904" t="n"/>
      <c r="N147" s="904" t="n"/>
      <c r="O147" s="904" t="n"/>
      <c r="P147" s="904" t="n"/>
      <c r="Q147" s="904" t="n"/>
      <c r="R147" s="904" t="n"/>
      <c r="S147" s="904" t="n"/>
      <c r="T147" s="904" t="n"/>
      <c r="U147" s="904" t="n"/>
      <c r="V147" s="904" t="n"/>
      <c r="W147" s="904" t="n"/>
      <c r="X147" s="904" t="n"/>
      <c r="Y147" s="904" t="n"/>
      <c r="Z147" s="904" t="n"/>
      <c r="AA147" s="904" t="n"/>
      <c r="AB147" s="904" t="n"/>
      <c r="AC147" s="904" t="n"/>
      <c r="AD147" s="904" t="n"/>
      <c r="AE147" s="904" t="n"/>
      <c r="AF147" s="904" t="n"/>
      <c r="AG147" s="904" t="n"/>
      <c r="AH147" s="904" t="n"/>
      <c r="AI147" s="904" t="n"/>
      <c r="AJ147" s="904" t="n"/>
      <c r="AK147" s="904" t="n"/>
      <c r="AL147" s="904" t="n"/>
      <c r="AM147" s="904" t="n"/>
      <c r="AN147" s="904" t="n"/>
      <c r="AO147" s="904" t="n"/>
      <c r="AP147" s="904" t="n"/>
      <c r="AQ147" s="904" t="n"/>
      <c r="AR147" s="904" t="n"/>
      <c r="AS147" s="904" t="n"/>
      <c r="AT147" s="904" t="n"/>
      <c r="AU147" s="904" t="n"/>
      <c r="AV147" s="904" t="n"/>
      <c r="AW147" s="904" t="n"/>
      <c r="AX147" s="904" t="n"/>
      <c r="AY147" s="904" t="n"/>
      <c r="AZ147" s="904" t="n"/>
      <c r="BA147" s="904" t="n"/>
      <c r="BB147" s="904" t="n"/>
      <c r="BC147" s="904" t="n"/>
      <c r="BD147" s="904" t="n"/>
      <c r="BE147" s="904" t="n"/>
      <c r="BF147" s="904" t="n"/>
      <c r="BG147" s="904" t="n"/>
      <c r="BH147" s="904" t="n"/>
      <c r="BI147" s="904" t="n"/>
      <c r="BJ147" s="904" t="n"/>
      <c r="BK147" s="904" t="n"/>
      <c r="BL147" s="904" t="n"/>
      <c r="BM147" s="904" t="n"/>
      <c r="BN147" s="904" t="n"/>
      <c r="BO147" s="904" t="n"/>
      <c r="BP147" s="904" t="n"/>
      <c r="BQ147" s="904" t="n"/>
      <c r="BR147" s="904" t="n"/>
      <c r="BS147" s="904" t="n"/>
      <c r="BT147" s="904" t="n"/>
      <c r="BU147" s="904" t="n"/>
      <c r="BV147" s="904" t="n"/>
      <c r="BW147" s="904" t="n"/>
      <c r="BX147" s="904" t="n"/>
      <c r="BY147" s="904" t="n"/>
      <c r="BZ147" s="904" t="n"/>
      <c r="CA147" s="904" t="n"/>
      <c r="CB147" s="904" t="n"/>
      <c r="CC147" s="904" t="n"/>
      <c r="CD147" s="904" t="n"/>
      <c r="CE147" s="904" t="n"/>
      <c r="CF147" s="904" t="n"/>
      <c r="CG147" s="904" t="n"/>
      <c r="CH147" s="904" t="n"/>
      <c r="CI147" s="904" t="n"/>
      <c r="CJ147" s="904" t="n"/>
      <c r="CK147" s="904" t="n"/>
      <c r="CL147" s="904" t="n"/>
      <c r="CM147" s="904" t="n"/>
      <c r="CN147" s="904" t="n"/>
      <c r="CO147" s="904" t="n"/>
      <c r="CP147" s="904" t="n"/>
      <c r="CQ147" s="904" t="n"/>
      <c r="CR147" s="904" t="n"/>
      <c r="CS147" s="904" t="n"/>
      <c r="CT147" s="904" t="n"/>
      <c r="CU147" s="904" t="n"/>
      <c r="CV147" s="904" t="n"/>
      <c r="CW147" s="904" t="n"/>
      <c r="CX147" s="904" t="n"/>
      <c r="CY147" s="904" t="n"/>
      <c r="CZ147" s="904" t="n"/>
      <c r="DA147" s="904" t="n"/>
      <c r="DB147" s="904" t="n"/>
      <c r="DC147" s="904" t="n"/>
      <c r="DD147" s="904" t="n"/>
      <c r="DE147" s="904" t="n"/>
      <c r="DF147" s="904" t="n"/>
      <c r="DG147" s="904" t="n"/>
      <c r="DH147" s="904" t="n"/>
      <c r="DI147" s="904" t="n"/>
      <c r="DJ147" s="904" t="n"/>
      <c r="DK147" s="904" t="n"/>
      <c r="DL147" s="904" t="n"/>
      <c r="DM147" s="904" t="n"/>
      <c r="DN147" s="904" t="n"/>
      <c r="DO147" s="904" t="n"/>
      <c r="DP147" s="904" t="n"/>
      <c r="DQ147" s="904" t="n"/>
      <c r="DR147" s="904" t="n"/>
      <c r="DS147" s="904" t="n"/>
      <c r="DT147" s="904" t="n"/>
      <c r="DU147" s="904" t="n"/>
      <c r="DV147" s="904" t="n"/>
      <c r="DW147" s="904" t="n"/>
      <c r="DX147" s="904" t="n"/>
      <c r="DY147" s="904" t="n"/>
      <c r="DZ147" s="904" t="n"/>
      <c r="EA147" s="904" t="n"/>
      <c r="EB147" s="904" t="n"/>
      <c r="EC147" s="904" t="n"/>
      <c r="ED147" s="904" t="n"/>
      <c r="EE147" s="904" t="n"/>
      <c r="EF147" s="904" t="n"/>
      <c r="EG147" s="904" t="n"/>
      <c r="EH147" s="904" t="n"/>
      <c r="EI147" s="904" t="n"/>
      <c r="EJ147" s="904" t="n"/>
      <c r="EK147" s="904" t="n"/>
      <c r="EL147" s="904" t="n"/>
      <c r="EM147" s="904" t="n"/>
      <c r="EN147" s="904" t="n"/>
      <c r="EO147" s="904" t="n"/>
      <c r="EP147" s="904" t="n"/>
      <c r="EQ147" s="904" t="n"/>
      <c r="ER147" s="904" t="n"/>
      <c r="ES147" s="904" t="n"/>
      <c r="ET147" s="904" t="n"/>
      <c r="EU147" s="904" t="n"/>
      <c r="EV147" s="904" t="n"/>
      <c r="EW147" s="904" t="n"/>
      <c r="EX147" s="904" t="n"/>
      <c r="EY147" s="904" t="n"/>
      <c r="EZ147" s="904" t="n"/>
      <c r="FA147" s="904" t="n"/>
      <c r="FB147" s="904" t="n"/>
      <c r="FC147" s="904" t="n"/>
      <c r="FD147" s="904" t="n"/>
      <c r="FE147" s="904" t="n"/>
      <c r="FF147" s="904" t="n"/>
      <c r="FG147" s="904" t="n"/>
      <c r="FH147" s="904" t="n"/>
      <c r="FI147" s="904" t="n"/>
      <c r="FJ147" s="904" t="n"/>
      <c r="FK147" s="904" t="n"/>
      <c r="FL147" s="904" t="n"/>
      <c r="FM147" s="904" t="n"/>
      <c r="FN147" s="904" t="n"/>
      <c r="FO147" s="904" t="n"/>
      <c r="FP147" s="904" t="n"/>
      <c r="FQ147" s="904" t="n"/>
      <c r="FR147" s="904" t="n"/>
      <c r="FS147" s="904" t="n"/>
      <c r="FT147" s="904" t="n"/>
      <c r="FU147" s="904" t="n"/>
      <c r="FV147" s="904" t="n"/>
      <c r="FW147" s="904" t="n"/>
      <c r="FX147" s="904" t="n"/>
      <c r="FY147" s="904" t="n"/>
      <c r="FZ147" s="904" t="n"/>
      <c r="GA147" s="904" t="n"/>
      <c r="GB147" s="904" t="n"/>
      <c r="GC147" s="904" t="n"/>
      <c r="GD147" s="904" t="n"/>
      <c r="GE147" s="904" t="n"/>
      <c r="GF147" s="904" t="n"/>
      <c r="GG147" s="904" t="n"/>
      <c r="GH147" s="904" t="n"/>
      <c r="GI147" s="904" t="n"/>
      <c r="GJ147" s="904" t="n"/>
      <c r="GK147" s="904" t="n"/>
      <c r="GL147" s="904" t="n"/>
      <c r="GM147" s="904" t="n"/>
      <c r="GN147" s="904" t="n"/>
      <c r="GO147" s="904" t="n"/>
      <c r="GP147" s="904" t="n"/>
      <c r="GQ147" s="904" t="n"/>
      <c r="GR147" s="904" t="n"/>
      <c r="GS147" s="904" t="n"/>
      <c r="GT147" s="904" t="n"/>
      <c r="GU147" s="904" t="n"/>
      <c r="GV147" s="904" t="n"/>
      <c r="GW147" s="904" t="n"/>
      <c r="GX147" s="904" t="n"/>
      <c r="GY147" s="904" t="n"/>
      <c r="GZ147" s="904" t="n"/>
      <c r="HA147" s="904" t="n"/>
      <c r="HB147" s="904" t="n"/>
      <c r="HC147" s="904" t="n"/>
      <c r="HD147" s="904" t="n"/>
      <c r="HE147" s="904" t="n"/>
      <c r="HF147" s="904" t="n"/>
      <c r="HG147" s="904" t="n"/>
      <c r="HH147" s="904" t="n"/>
      <c r="HI147" s="904" t="n"/>
      <c r="HJ147" s="904" t="n"/>
      <c r="HK147" s="904" t="n"/>
      <c r="HL147" s="904" t="n"/>
      <c r="HM147" s="904" t="n"/>
      <c r="HN147" s="904" t="n"/>
      <c r="HO147" s="904" t="n"/>
      <c r="HP147" s="904" t="n"/>
      <c r="HQ147" s="904" t="n"/>
      <c r="HR147" s="904" t="n"/>
      <c r="HS147" s="904" t="n"/>
      <c r="HT147" s="904" t="n"/>
      <c r="HU147" s="904" t="n"/>
      <c r="HV147" s="904" t="n"/>
      <c r="HW147" s="904" t="n"/>
      <c r="HX147" s="904" t="n"/>
      <c r="HY147" s="904" t="n"/>
      <c r="HZ147" s="904" t="n"/>
      <c r="IA147" s="904" t="n"/>
      <c r="IB147" s="904" t="n"/>
      <c r="IC147" s="904" t="n"/>
      <c r="ID147" s="904" t="n"/>
      <c r="IE147" s="904" t="n"/>
      <c r="IF147" s="904" t="n"/>
      <c r="IG147" s="904" t="n"/>
      <c r="IH147" s="904" t="n"/>
      <c r="II147" s="904" t="n"/>
      <c r="IJ147" s="904" t="n"/>
      <c r="IK147" s="904" t="n"/>
      <c r="IL147" s="904" t="n"/>
      <c r="IM147" s="904" t="n"/>
      <c r="IN147" s="904" t="n"/>
      <c r="IO147" s="904" t="n"/>
      <c r="IP147" s="904" t="n"/>
      <c r="IQ147" s="904" t="n"/>
      <c r="IR147" s="904" t="n"/>
      <c r="IS147" s="904" t="n"/>
      <c r="IT147" s="904" t="n"/>
      <c r="IU147" s="904" t="n"/>
      <c r="IV147" s="904" t="n"/>
      <c r="IW147" s="904" t="n"/>
      <c r="IX147" s="904" t="n"/>
      <c r="IY147" s="904" t="n"/>
      <c r="IZ147" s="904" t="n"/>
      <c r="JA147" s="904" t="n"/>
      <c r="JB147" s="904" t="n"/>
      <c r="JC147" s="904" t="n"/>
      <c r="JD147" s="904" t="n"/>
      <c r="JE147" s="904" t="n"/>
      <c r="JF147" s="904" t="n"/>
      <c r="JG147" s="904" t="n"/>
      <c r="JH147" s="904" t="n"/>
      <c r="JI147" s="904" t="n"/>
      <c r="JJ147" s="904" t="n"/>
      <c r="JK147" s="904" t="n"/>
      <c r="JL147" s="904" t="n"/>
      <c r="JM147" s="904" t="n"/>
      <c r="JN147" s="904" t="n"/>
      <c r="JO147" s="904" t="n"/>
      <c r="JP147" s="904" t="n"/>
      <c r="JQ147" s="904" t="n"/>
      <c r="JR147" s="904" t="n"/>
      <c r="JS147" s="904" t="n"/>
      <c r="JT147" s="904" t="n"/>
      <c r="JU147" s="904" t="n"/>
      <c r="JV147" s="904" t="n"/>
      <c r="JW147" s="904" t="n"/>
      <c r="JX147" s="904" t="n"/>
      <c r="JY147" s="904" t="n"/>
      <c r="JZ147" s="904" t="n"/>
      <c r="KA147" s="904" t="n"/>
      <c r="KB147" s="904" t="n"/>
      <c r="KC147" s="904" t="n"/>
      <c r="KD147" s="904" t="n"/>
      <c r="KE147" s="904" t="n"/>
      <c r="KF147" s="904" t="n"/>
      <c r="KG147" s="904" t="n"/>
      <c r="KH147" s="904" t="n"/>
      <c r="KI147" s="904" t="n"/>
      <c r="KJ147" s="904" t="n"/>
      <c r="KK147" s="904" t="n"/>
      <c r="KL147" s="904" t="n"/>
      <c r="KM147" s="904" t="n"/>
      <c r="KN147" s="904" t="n"/>
      <c r="KO147" s="904" t="n"/>
      <c r="KP147" s="1318" t="n"/>
      <c r="KQ147" s="1318" t="n"/>
      <c r="KR147" s="1318" t="n"/>
      <c r="KS147" s="1318" t="n"/>
      <c r="KT147" s="1318" t="n"/>
      <c r="KU147" s="1318" t="n"/>
      <c r="KV147" s="1318" t="n"/>
      <c r="KW147" s="1318" t="n"/>
      <c r="KX147" s="1318" t="n"/>
      <c r="KY147" s="1318" t="n"/>
      <c r="KZ147" s="1318" t="n"/>
      <c r="LA147" s="1318" t="n"/>
      <c r="LB147" s="1318">
        <f>LB206</f>
        <v/>
      </c>
      <c r="LC147" s="1318">
        <f>LC206</f>
        <v/>
      </c>
      <c r="LD147" s="1318">
        <f>LD206</f>
        <v/>
      </c>
      <c r="LE147" s="1318">
        <f>LE206</f>
        <v/>
      </c>
      <c r="LF147" s="1318">
        <f>LF206</f>
        <v/>
      </c>
      <c r="LG147" s="1318">
        <f>LG206</f>
        <v/>
      </c>
      <c r="LH147" s="1318">
        <f>LH206</f>
        <v/>
      </c>
      <c r="LI147" s="1318">
        <f>LI206</f>
        <v/>
      </c>
      <c r="LJ147" s="1318">
        <f>LJ206</f>
        <v/>
      </c>
      <c r="LK147" s="1318">
        <f>LK206</f>
        <v/>
      </c>
      <c r="LL147" s="1318">
        <f>LL206</f>
        <v/>
      </c>
      <c r="LM147" s="1318">
        <f>LM206</f>
        <v/>
      </c>
      <c r="LN147" s="1318">
        <f>LN206</f>
        <v/>
      </c>
      <c r="LO147" s="1318">
        <f>LO206</f>
        <v/>
      </c>
      <c r="LP147" s="1318">
        <f>LP206</f>
        <v/>
      </c>
      <c r="LQ147" s="1318">
        <f>LQ206</f>
        <v/>
      </c>
      <c r="LR147" s="1318">
        <f>LR206</f>
        <v/>
      </c>
      <c r="LS147" s="1318">
        <f>LS206</f>
        <v/>
      </c>
    </row>
    <row r="148">
      <c r="A148" s="885" t="inlineStr">
        <is>
          <t>YTD cg %</t>
        </is>
      </c>
      <c r="B148" s="904" t="n"/>
      <c r="C148" s="904" t="n"/>
      <c r="D148" s="904" t="n"/>
      <c r="E148" s="904" t="n"/>
      <c r="F148" s="904" t="n"/>
      <c r="G148" s="904" t="n"/>
      <c r="H148" s="904" t="n"/>
      <c r="I148" s="904" t="n"/>
      <c r="J148" s="904" t="n"/>
      <c r="K148" s="904" t="n"/>
      <c r="L148" s="904" t="n"/>
      <c r="M148" s="904" t="n"/>
      <c r="N148" s="904" t="n"/>
      <c r="O148" s="904" t="n"/>
      <c r="P148" s="904" t="n"/>
      <c r="Q148" s="904" t="n"/>
      <c r="R148" s="904" t="n"/>
      <c r="S148" s="904" t="n"/>
      <c r="T148" s="904" t="n"/>
      <c r="U148" s="904" t="n"/>
      <c r="V148" s="904" t="n"/>
      <c r="W148" s="904" t="n"/>
      <c r="X148" s="904" t="n"/>
      <c r="Y148" s="904" t="n"/>
      <c r="Z148" s="904" t="n"/>
      <c r="AA148" s="904" t="n"/>
      <c r="AB148" s="904" t="n"/>
      <c r="AC148" s="904" t="n"/>
      <c r="AD148" s="904" t="n"/>
      <c r="AE148" s="904" t="n"/>
      <c r="AF148" s="904" t="n"/>
      <c r="AG148" s="904" t="n"/>
      <c r="AH148" s="904" t="n"/>
      <c r="AI148" s="904" t="n"/>
      <c r="AJ148" s="904" t="n"/>
      <c r="AK148" s="904" t="n"/>
      <c r="AL148" s="904" t="n"/>
      <c r="AM148" s="904" t="n"/>
      <c r="AN148" s="904" t="n"/>
      <c r="AO148" s="904" t="n"/>
      <c r="AP148" s="904" t="n"/>
      <c r="AQ148" s="904" t="n"/>
      <c r="AR148" s="904" t="n"/>
      <c r="AS148" s="904" t="n"/>
      <c r="AT148" s="904" t="n"/>
      <c r="AU148" s="904" t="n"/>
      <c r="AV148" s="904" t="n"/>
      <c r="AW148" s="904" t="n"/>
      <c r="AX148" s="904" t="n"/>
      <c r="AY148" s="904" t="n"/>
      <c r="AZ148" s="904" t="n"/>
      <c r="BA148" s="904" t="n"/>
      <c r="BB148" s="904" t="n"/>
      <c r="BC148" s="904" t="n"/>
      <c r="BD148" s="904" t="n"/>
      <c r="BE148" s="904" t="n"/>
      <c r="BF148" s="904" t="n"/>
      <c r="BG148" s="904" t="n"/>
      <c r="BH148" s="904" t="n"/>
      <c r="BI148" s="904" t="n"/>
      <c r="BJ148" s="904" t="n"/>
      <c r="BK148" s="904" t="n"/>
      <c r="BL148" s="904" t="n"/>
      <c r="BM148" s="904" t="n"/>
      <c r="BN148" s="904" t="n"/>
      <c r="BO148" s="904" t="n"/>
      <c r="BP148" s="904" t="n"/>
      <c r="BQ148" s="904" t="n"/>
      <c r="BR148" s="904" t="n"/>
      <c r="BS148" s="904" t="n"/>
      <c r="BT148" s="904" t="n"/>
      <c r="BU148" s="904" t="n"/>
      <c r="BV148" s="904" t="n"/>
      <c r="BW148" s="904" t="n"/>
      <c r="BX148" s="904" t="n"/>
      <c r="BY148" s="904" t="n"/>
      <c r="BZ148" s="904" t="n"/>
      <c r="CA148" s="904" t="n"/>
      <c r="CB148" s="904" t="n"/>
      <c r="CC148" s="904" t="n"/>
      <c r="CD148" s="904" t="n"/>
      <c r="CE148" s="904" t="n"/>
      <c r="CF148" s="904" t="n"/>
      <c r="CG148" s="904" t="n"/>
      <c r="CH148" s="904" t="n"/>
      <c r="CI148" s="904" t="n"/>
      <c r="CJ148" s="904" t="n"/>
      <c r="CK148" s="904" t="n"/>
      <c r="CL148" s="904" t="n"/>
      <c r="CM148" s="904" t="n"/>
      <c r="CN148" s="904" t="n"/>
      <c r="CO148" s="904" t="n"/>
      <c r="CP148" s="904" t="n"/>
      <c r="CQ148" s="904" t="n"/>
      <c r="CR148" s="904" t="n"/>
      <c r="CS148" s="904" t="n"/>
      <c r="CT148" s="904" t="n"/>
      <c r="CU148" s="904" t="n"/>
      <c r="CV148" s="904" t="n"/>
      <c r="CW148" s="904" t="n"/>
      <c r="CX148" s="904" t="n"/>
      <c r="CY148" s="904" t="n"/>
      <c r="CZ148" s="904" t="n"/>
      <c r="DA148" s="904" t="n"/>
      <c r="DB148" s="904" t="n"/>
      <c r="DC148" s="904" t="n"/>
      <c r="DD148" s="904" t="n"/>
      <c r="DE148" s="904" t="n"/>
      <c r="DF148" s="904" t="n"/>
      <c r="DG148" s="904" t="n"/>
      <c r="DH148" s="904" t="n"/>
      <c r="DI148" s="904" t="n"/>
      <c r="DJ148" s="904" t="n"/>
      <c r="DK148" s="904" t="n"/>
      <c r="DL148" s="904" t="n"/>
      <c r="DM148" s="904" t="n"/>
      <c r="DN148" s="904" t="n"/>
      <c r="DO148" s="904" t="n"/>
      <c r="DP148" s="904" t="n"/>
      <c r="DQ148" s="904" t="n"/>
      <c r="DR148" s="904" t="n"/>
      <c r="DS148" s="904" t="n"/>
      <c r="DT148" s="904" t="n"/>
      <c r="DU148" s="904" t="n"/>
      <c r="DV148" s="904" t="n"/>
      <c r="DW148" s="904" t="n"/>
      <c r="DX148" s="904" t="n"/>
      <c r="DY148" s="904" t="n"/>
      <c r="DZ148" s="904" t="n"/>
      <c r="EA148" s="904" t="n"/>
      <c r="EB148" s="904" t="n"/>
      <c r="EC148" s="904" t="n"/>
      <c r="ED148" s="904" t="n"/>
      <c r="EE148" s="904" t="n"/>
      <c r="EF148" s="904" t="n"/>
      <c r="EG148" s="904" t="n"/>
      <c r="EH148" s="904" t="n"/>
      <c r="EI148" s="904" t="n"/>
      <c r="EJ148" s="904" t="n"/>
      <c r="EK148" s="904" t="n"/>
      <c r="EL148" s="904" t="n"/>
      <c r="EM148" s="904" t="n"/>
      <c r="EN148" s="904" t="n"/>
      <c r="EO148" s="904" t="n"/>
      <c r="EP148" s="904" t="n"/>
      <c r="EQ148" s="904" t="n"/>
      <c r="ER148" s="904" t="n"/>
      <c r="ES148" s="904" t="n"/>
      <c r="ET148" s="904" t="n"/>
      <c r="EU148" s="904" t="n"/>
      <c r="EV148" s="904" t="n"/>
      <c r="EW148" s="904" t="n"/>
      <c r="EX148" s="904" t="n"/>
      <c r="EY148" s="904" t="n"/>
      <c r="EZ148" s="904" t="n"/>
      <c r="FA148" s="904" t="n"/>
      <c r="FB148" s="904" t="n"/>
      <c r="FC148" s="904" t="n"/>
      <c r="FD148" s="904" t="n"/>
      <c r="FE148" s="904" t="n"/>
      <c r="FF148" s="904" t="n"/>
      <c r="FG148" s="904" t="n"/>
      <c r="FH148" s="904" t="n"/>
      <c r="FI148" s="904" t="n"/>
      <c r="FJ148" s="904" t="n"/>
      <c r="FK148" s="904" t="n"/>
      <c r="FL148" s="904" t="n"/>
      <c r="FM148" s="904" t="n"/>
      <c r="FN148" s="904" t="n"/>
      <c r="FO148" s="904" t="n"/>
      <c r="FP148" s="904" t="n"/>
      <c r="FQ148" s="904" t="n"/>
      <c r="FR148" s="904" t="n"/>
      <c r="FS148" s="904" t="n"/>
      <c r="FT148" s="904" t="n"/>
      <c r="FU148" s="904" t="n"/>
      <c r="FV148" s="904" t="n"/>
      <c r="FW148" s="904" t="n"/>
      <c r="FX148" s="904" t="n"/>
      <c r="FY148" s="904" t="n"/>
      <c r="FZ148" s="904" t="n"/>
      <c r="GA148" s="904" t="n"/>
      <c r="GB148" s="904" t="n"/>
      <c r="GC148" s="904" t="n"/>
      <c r="GD148" s="904" t="n"/>
      <c r="GE148" s="904" t="n"/>
      <c r="GF148" s="904" t="n"/>
      <c r="GG148" s="904" t="n"/>
      <c r="GH148" s="904" t="n"/>
      <c r="GI148" s="904" t="n"/>
      <c r="GJ148" s="904" t="n"/>
      <c r="GK148" s="904" t="n"/>
      <c r="GL148" s="904" t="n"/>
      <c r="GM148" s="904" t="n"/>
      <c r="GN148" s="904" t="n"/>
      <c r="GO148" s="904" t="n"/>
      <c r="GP148" s="904" t="n"/>
      <c r="GQ148" s="904" t="n"/>
      <c r="GR148" s="904" t="n"/>
      <c r="GS148" s="904" t="n"/>
      <c r="GT148" s="904" t="n"/>
      <c r="GU148" s="904" t="n"/>
      <c r="GV148" s="904" t="n"/>
      <c r="GW148" s="904" t="n"/>
      <c r="GX148" s="904" t="n"/>
      <c r="GY148" s="904" t="n"/>
      <c r="GZ148" s="904" t="n"/>
      <c r="HA148" s="904" t="n"/>
      <c r="HB148" s="904" t="n"/>
      <c r="HC148" s="904" t="n"/>
      <c r="HD148" s="904" t="n"/>
      <c r="HE148" s="904" t="n"/>
      <c r="HF148" s="904" t="n"/>
      <c r="HG148" s="904" t="n"/>
      <c r="HH148" s="904" t="n"/>
      <c r="HI148" s="904" t="n"/>
      <c r="HJ148" s="904" t="n"/>
      <c r="HK148" s="904" t="n"/>
      <c r="HL148" s="904" t="n"/>
      <c r="HM148" s="904" t="n"/>
      <c r="HN148" s="904" t="n"/>
      <c r="HO148" s="904" t="n"/>
      <c r="HP148" s="904" t="n"/>
      <c r="HQ148" s="904" t="n"/>
      <c r="HR148" s="904" t="n"/>
      <c r="HS148" s="904" t="n"/>
      <c r="HT148" s="904" t="n"/>
      <c r="HU148" s="904" t="n"/>
      <c r="HV148" s="904" t="n"/>
      <c r="HW148" s="904" t="n"/>
      <c r="HX148" s="904" t="n"/>
      <c r="HY148" s="904" t="n"/>
      <c r="HZ148" s="904" t="n"/>
      <c r="IA148" s="904" t="n"/>
      <c r="IB148" s="904" t="n"/>
      <c r="IC148" s="904" t="n"/>
      <c r="ID148" s="904" t="n"/>
      <c r="IE148" s="904" t="n"/>
      <c r="IF148" s="904" t="n"/>
      <c r="IG148" s="904" t="n"/>
      <c r="IH148" s="904" t="n"/>
      <c r="II148" s="904" t="n"/>
      <c r="IJ148" s="904" t="n"/>
      <c r="IK148" s="904" t="n"/>
      <c r="IL148" s="904" t="n"/>
      <c r="IM148" s="904" t="n"/>
      <c r="IN148" s="904" t="n"/>
      <c r="IO148" s="904" t="n"/>
      <c r="IP148" s="904" t="n"/>
      <c r="IQ148" s="904" t="n"/>
      <c r="IR148" s="904" t="n"/>
      <c r="IS148" s="904" t="n"/>
      <c r="IT148" s="904" t="n"/>
      <c r="IU148" s="904" t="n"/>
      <c r="IV148" s="904" t="n"/>
      <c r="IW148" s="904" t="n"/>
      <c r="IX148" s="904" t="n"/>
      <c r="IY148" s="904" t="n"/>
      <c r="IZ148" s="904" t="n"/>
      <c r="JA148" s="904" t="n"/>
      <c r="JB148" s="904" t="n"/>
      <c r="JC148" s="904" t="n"/>
      <c r="JD148" s="904" t="n"/>
      <c r="JE148" s="904" t="n"/>
      <c r="JF148" s="904" t="n"/>
      <c r="JG148" s="904" t="n"/>
      <c r="JH148" s="904" t="n"/>
      <c r="JI148" s="904" t="n"/>
      <c r="JJ148" s="904" t="n"/>
      <c r="JK148" s="904" t="n"/>
      <c r="JL148" s="904" t="n"/>
      <c r="JM148" s="904" t="n"/>
      <c r="JN148" s="904" t="n"/>
      <c r="JO148" s="904" t="n"/>
      <c r="JP148" s="904" t="n"/>
      <c r="JQ148" s="904" t="n"/>
      <c r="JR148" s="904" t="n"/>
      <c r="JS148" s="904" t="n"/>
      <c r="JT148" s="904" t="n"/>
      <c r="JU148" s="904" t="n"/>
      <c r="JV148" s="904" t="n"/>
      <c r="JW148" s="904" t="n"/>
      <c r="JX148" s="904" t="n"/>
      <c r="JY148" s="904" t="n"/>
      <c r="JZ148" s="904" t="n"/>
      <c r="KA148" s="904" t="n"/>
      <c r="KB148" s="904" t="n"/>
      <c r="KC148" s="904" t="n"/>
      <c r="KD148" s="904" t="n"/>
      <c r="KE148" s="904" t="n"/>
      <c r="KF148" s="904" t="n"/>
      <c r="KG148" s="904" t="n"/>
      <c r="KH148" s="904" t="n"/>
      <c r="KI148" s="904" t="n"/>
      <c r="KJ148" s="904" t="n"/>
      <c r="KK148" s="904" t="n"/>
      <c r="KL148" s="904" t="n"/>
      <c r="KM148" s="904" t="n"/>
      <c r="KN148" s="904" t="n"/>
      <c r="KO148" s="904" t="n"/>
      <c r="KP148" s="1318" t="n"/>
      <c r="KQ148" s="1318" t="n"/>
      <c r="KR148" s="1318" t="n"/>
      <c r="KS148" s="1318" t="n"/>
      <c r="KT148" s="1318" t="n"/>
      <c r="KU148" s="1318" t="n"/>
      <c r="KV148" s="1318" t="n"/>
      <c r="KW148" s="1318" t="n"/>
      <c r="KX148" s="1318" t="n"/>
      <c r="KY148" s="1318" t="n"/>
      <c r="KZ148" s="1318" t="n"/>
      <c r="LA148" s="1318" t="n"/>
      <c r="LB148" s="1318">
        <f>LB207</f>
        <v/>
      </c>
      <c r="LC148" s="1318">
        <f>LC207</f>
        <v/>
      </c>
      <c r="LD148" s="1318">
        <f>LD207</f>
        <v/>
      </c>
      <c r="LE148" s="1318">
        <f>LE207</f>
        <v/>
      </c>
      <c r="LF148" s="1318">
        <f>LF207</f>
        <v/>
      </c>
      <c r="LG148" s="1318">
        <f>LG207</f>
        <v/>
      </c>
      <c r="LH148" s="1318">
        <f>LH207</f>
        <v/>
      </c>
      <c r="LI148" s="1318">
        <f>LI207</f>
        <v/>
      </c>
      <c r="LJ148" s="1318">
        <f>LJ207</f>
        <v/>
      </c>
      <c r="LK148" s="1318">
        <f>LK207</f>
        <v/>
      </c>
      <c r="LL148" s="1318">
        <f>LL207</f>
        <v/>
      </c>
      <c r="LM148" s="1318">
        <f>LM207</f>
        <v/>
      </c>
      <c r="LN148" s="1318">
        <f>LN207</f>
        <v/>
      </c>
      <c r="LO148" s="1318">
        <f>LO207</f>
        <v/>
      </c>
      <c r="LP148" s="1318">
        <f>LP207</f>
        <v/>
      </c>
      <c r="LQ148" s="1318">
        <f>LQ207</f>
        <v/>
      </c>
      <c r="LR148" s="1318">
        <f>LR207</f>
        <v/>
      </c>
      <c r="LS148" s="1318">
        <f>LS207</f>
        <v/>
      </c>
    </row>
    <row r="149" ht="15" customHeight="1" s="239">
      <c r="A149" s="904" t="inlineStr">
        <is>
          <t>RPK (million)</t>
        </is>
      </c>
      <c r="B149" s="904" t="n"/>
      <c r="C149" s="904" t="n"/>
      <c r="D149" s="904" t="n"/>
      <c r="E149" s="904" t="n"/>
      <c r="F149" s="904" t="n"/>
      <c r="G149" s="904" t="n"/>
      <c r="H149" s="904" t="n"/>
      <c r="I149" s="904" t="n"/>
      <c r="J149" s="904" t="n"/>
      <c r="K149" s="904" t="n"/>
      <c r="L149" s="904" t="n"/>
      <c r="M149" s="904" t="n"/>
      <c r="N149" s="904" t="n"/>
      <c r="O149" s="904" t="n"/>
      <c r="P149" s="904" t="n"/>
      <c r="Q149" s="904" t="n"/>
      <c r="R149" s="904" t="n"/>
      <c r="S149" s="904" t="n"/>
      <c r="T149" s="904" t="n"/>
      <c r="U149" s="904" t="n"/>
      <c r="V149" s="904" t="n"/>
      <c r="W149" s="904" t="n"/>
      <c r="X149" s="904" t="n"/>
      <c r="Y149" s="904" t="n"/>
      <c r="Z149" s="904" t="n"/>
      <c r="AA149" s="904" t="n"/>
      <c r="AB149" s="904" t="n"/>
      <c r="AC149" s="904" t="n"/>
      <c r="AD149" s="904" t="n"/>
      <c r="AE149" s="904" t="n"/>
      <c r="AF149" s="904" t="n"/>
      <c r="AG149" s="904" t="n"/>
      <c r="AH149" s="904" t="n"/>
      <c r="AI149" s="904" t="n"/>
      <c r="AJ149" s="904" t="n"/>
      <c r="AK149" s="904" t="n"/>
      <c r="AL149" s="904" t="n"/>
      <c r="AM149" s="904" t="n"/>
      <c r="AN149" s="904" t="n"/>
      <c r="AO149" s="904" t="n"/>
      <c r="AP149" s="904" t="n"/>
      <c r="AQ149" s="904" t="n"/>
      <c r="AR149" s="904" t="n"/>
      <c r="AS149" s="904" t="n"/>
      <c r="AT149" s="904" t="n"/>
      <c r="AU149" s="904" t="n"/>
      <c r="AV149" s="904" t="n"/>
      <c r="AW149" s="904" t="n"/>
      <c r="AX149" s="904" t="n"/>
      <c r="AY149" s="904" t="n"/>
      <c r="AZ149" s="904" t="n"/>
      <c r="BA149" s="904" t="n"/>
      <c r="BB149" s="904" t="n"/>
      <c r="BC149" s="904" t="n"/>
      <c r="BD149" s="904" t="n"/>
      <c r="BE149" s="904" t="n"/>
      <c r="BF149" s="904" t="n"/>
      <c r="BG149" s="904" t="n"/>
      <c r="BH149" s="904" t="n"/>
      <c r="BI149" s="904" t="n"/>
      <c r="BJ149" s="904" t="n"/>
      <c r="BK149" s="904" t="n"/>
      <c r="BL149" s="904" t="n"/>
      <c r="BM149" s="904" t="n"/>
      <c r="BN149" s="904" t="n"/>
      <c r="BO149" s="904" t="n"/>
      <c r="BP149" s="904" t="n"/>
      <c r="BQ149" s="904" t="n"/>
      <c r="BR149" s="904" t="n"/>
      <c r="BS149" s="904" t="n"/>
      <c r="BT149" s="904" t="n"/>
      <c r="BU149" s="904" t="n"/>
      <c r="BV149" s="904" t="n"/>
      <c r="BW149" s="904" t="n"/>
      <c r="BX149" s="904" t="n"/>
      <c r="BY149" s="904" t="n"/>
      <c r="BZ149" s="904" t="n"/>
      <c r="CA149" s="904" t="n"/>
      <c r="CB149" s="904" t="n"/>
      <c r="CC149" s="904" t="n"/>
      <c r="CD149" s="904" t="n"/>
      <c r="CE149" s="904" t="n"/>
      <c r="CF149" s="904" t="n"/>
      <c r="CG149" s="904" t="n"/>
      <c r="CH149" s="904" t="n"/>
      <c r="CI149" s="904" t="n"/>
      <c r="CJ149" s="904" t="n"/>
      <c r="CK149" s="904" t="n"/>
      <c r="CL149" s="904" t="n"/>
      <c r="CM149" s="904" t="n"/>
      <c r="CN149" s="904" t="n"/>
      <c r="CO149" s="904" t="n"/>
      <c r="CP149" s="904" t="n"/>
      <c r="CQ149" s="904" t="n"/>
      <c r="CR149" s="904" t="n"/>
      <c r="CS149" s="904" t="n"/>
      <c r="CT149" s="904" t="n"/>
      <c r="CU149" s="904" t="n"/>
      <c r="CV149" s="904" t="n"/>
      <c r="CW149" s="904" t="n"/>
      <c r="CX149" s="904" t="n"/>
      <c r="CY149" s="904" t="n"/>
      <c r="CZ149" s="904" t="n"/>
      <c r="DA149" s="904" t="n"/>
      <c r="DB149" s="904" t="n"/>
      <c r="DC149" s="904" t="n"/>
      <c r="DD149" s="904" t="n"/>
      <c r="DE149" s="904" t="n"/>
      <c r="DF149" s="904" t="n"/>
      <c r="DG149" s="904" t="n"/>
      <c r="DH149" s="904" t="n"/>
      <c r="DI149" s="904" t="n"/>
      <c r="DJ149" s="904" t="n"/>
      <c r="DK149" s="904" t="n"/>
      <c r="DL149" s="904" t="n"/>
      <c r="DM149" s="904" t="n"/>
      <c r="DN149" s="904" t="n"/>
      <c r="DO149" s="904" t="n"/>
      <c r="DP149" s="904" t="n"/>
      <c r="DQ149" s="904" t="n"/>
      <c r="DR149" s="904" t="n"/>
      <c r="DS149" s="904" t="n"/>
      <c r="DT149" s="904" t="n"/>
      <c r="DU149" s="904" t="n"/>
      <c r="DV149" s="904" t="n"/>
      <c r="DW149" s="904" t="n"/>
      <c r="DX149" s="904" t="n"/>
      <c r="DY149" s="904" t="n"/>
      <c r="DZ149" s="904" t="n"/>
      <c r="EA149" s="904" t="n"/>
      <c r="EB149" s="904" t="n"/>
      <c r="EC149" s="904" t="n"/>
      <c r="ED149" s="904" t="n"/>
      <c r="EE149" s="904" t="n"/>
      <c r="EF149" s="904" t="n"/>
      <c r="EG149" s="904" t="n"/>
      <c r="EH149" s="904" t="n"/>
      <c r="EI149" s="904" t="n"/>
      <c r="EJ149" s="904" t="n"/>
      <c r="EK149" s="904" t="n"/>
      <c r="EL149" s="904" t="n"/>
      <c r="EM149" s="904" t="n"/>
      <c r="EN149" s="904" t="n"/>
      <c r="EO149" s="904" t="n"/>
      <c r="EP149" s="904" t="n"/>
      <c r="EQ149" s="904" t="n"/>
      <c r="ER149" s="904" t="n"/>
      <c r="ES149" s="904" t="n"/>
      <c r="ET149" s="904" t="n"/>
      <c r="EU149" s="904" t="n"/>
      <c r="EV149" s="904" t="n"/>
      <c r="EW149" s="904" t="n"/>
      <c r="EX149" s="904" t="n"/>
      <c r="EY149" s="904" t="n"/>
      <c r="EZ149" s="904" t="n"/>
      <c r="FA149" s="904" t="n"/>
      <c r="FB149" s="904" t="n"/>
      <c r="FC149" s="904" t="n"/>
      <c r="FD149" s="904" t="n"/>
      <c r="FE149" s="904" t="n"/>
      <c r="FF149" s="904" t="n"/>
      <c r="FG149" s="904" t="n"/>
      <c r="FH149" s="904" t="n"/>
      <c r="FI149" s="904" t="n"/>
      <c r="FJ149" s="904" t="n"/>
      <c r="FK149" s="904" t="n"/>
      <c r="FL149" s="904" t="n"/>
      <c r="FM149" s="904" t="n"/>
      <c r="FN149" s="904" t="n"/>
      <c r="FO149" s="904" t="n"/>
      <c r="FP149" s="904" t="n"/>
      <c r="FQ149" s="904" t="n"/>
      <c r="FR149" s="904" t="n"/>
      <c r="FS149" s="904" t="n"/>
      <c r="FT149" s="904" t="n"/>
      <c r="FU149" s="904" t="n"/>
      <c r="FV149" s="904" t="n"/>
      <c r="FW149" s="904" t="n"/>
      <c r="FX149" s="904" t="n"/>
      <c r="FY149" s="904" t="n"/>
      <c r="FZ149" s="904" t="n"/>
      <c r="GA149" s="904" t="n"/>
      <c r="GB149" s="904" t="n"/>
      <c r="GC149" s="904" t="n"/>
      <c r="GD149" s="904" t="n"/>
      <c r="GE149" s="904" t="n"/>
      <c r="GF149" s="904" t="n"/>
      <c r="GG149" s="904" t="n"/>
      <c r="GH149" s="904" t="n"/>
      <c r="GI149" s="904" t="n"/>
      <c r="GJ149" s="904" t="n"/>
      <c r="GK149" s="904" t="n"/>
      <c r="GL149" s="904" t="n"/>
      <c r="GM149" s="904" t="n"/>
      <c r="GN149" s="904" t="n"/>
      <c r="GO149" s="904" t="n"/>
      <c r="GP149" s="904" t="n"/>
      <c r="GQ149" s="904" t="n"/>
      <c r="GR149" s="904" t="n"/>
      <c r="GS149" s="904" t="n"/>
      <c r="GT149" s="904" t="n"/>
      <c r="GU149" s="904" t="n"/>
      <c r="GV149" s="904" t="n"/>
      <c r="GW149" s="904" t="n"/>
      <c r="GX149" s="904" t="n"/>
      <c r="GY149" s="904" t="n"/>
      <c r="GZ149" s="904" t="n"/>
      <c r="HA149" s="904" t="n"/>
      <c r="HB149" s="904" t="n"/>
      <c r="HC149" s="904" t="n"/>
      <c r="HD149" s="904" t="n"/>
      <c r="HE149" s="904" t="n"/>
      <c r="HF149" s="904" t="n"/>
      <c r="HG149" s="904" t="n"/>
      <c r="HH149" s="904" t="n"/>
      <c r="HI149" s="904" t="n"/>
      <c r="HJ149" s="904" t="n"/>
      <c r="HK149" s="904" t="n"/>
      <c r="HL149" s="904" t="n"/>
      <c r="HM149" s="904" t="n"/>
      <c r="HN149" s="904" t="n"/>
      <c r="HO149" s="904" t="n"/>
      <c r="HP149" s="904" t="n"/>
      <c r="HQ149" s="904" t="n"/>
      <c r="HR149" s="904" t="n"/>
      <c r="HS149" s="904" t="n"/>
      <c r="HT149" s="904" t="n"/>
      <c r="HU149" s="904" t="n"/>
      <c r="HV149" s="904" t="n"/>
      <c r="HW149" s="904" t="n"/>
      <c r="HX149" s="904" t="n"/>
      <c r="HY149" s="904" t="n"/>
      <c r="HZ149" s="904" t="n"/>
      <c r="IA149" s="904" t="n"/>
      <c r="IB149" s="904" t="n"/>
      <c r="IC149" s="904" t="n"/>
      <c r="ID149" s="904" t="n"/>
      <c r="IE149" s="904" t="n"/>
      <c r="IF149" s="904" t="n"/>
      <c r="IG149" s="904" t="n"/>
      <c r="IH149" s="904" t="n"/>
      <c r="II149" s="904" t="n"/>
      <c r="IJ149" s="904" t="n"/>
      <c r="IK149" s="904" t="n"/>
      <c r="IL149" s="904" t="n"/>
      <c r="IM149" s="904" t="n"/>
      <c r="IN149" s="904" t="n"/>
      <c r="IO149" s="904" t="n"/>
      <c r="IP149" s="904" t="n"/>
      <c r="IQ149" s="904" t="n"/>
      <c r="IR149" s="904" t="n"/>
      <c r="IS149" s="904" t="n"/>
      <c r="IT149" s="904" t="n"/>
      <c r="IU149" s="904" t="n"/>
      <c r="IV149" s="904" t="n"/>
      <c r="IW149" s="904" t="n"/>
      <c r="IX149" s="904" t="n"/>
      <c r="IY149" s="904" t="n"/>
      <c r="IZ149" s="904" t="n"/>
      <c r="JA149" s="904" t="n"/>
      <c r="JB149" s="904" t="n"/>
      <c r="JC149" s="904" t="n"/>
      <c r="JD149" s="904" t="n"/>
      <c r="JE149" s="904" t="n"/>
      <c r="JF149" s="904" t="n"/>
      <c r="JG149" s="904" t="n"/>
      <c r="JH149" s="904" t="n"/>
      <c r="JI149" s="904" t="n"/>
      <c r="JJ149" s="904" t="n"/>
      <c r="JK149" s="904" t="n"/>
      <c r="JL149" s="904" t="n"/>
      <c r="JM149" s="904" t="n"/>
      <c r="JN149" s="904" t="n"/>
      <c r="JO149" s="904" t="n"/>
      <c r="JP149" s="904" t="n"/>
      <c r="JQ149" s="904" t="n"/>
      <c r="JR149" s="904" t="n"/>
      <c r="JS149" s="904" t="n"/>
      <c r="JT149" s="904" t="n"/>
      <c r="JU149" s="904" t="n"/>
      <c r="JV149" s="904" t="n"/>
      <c r="JW149" s="904" t="n"/>
      <c r="JX149" s="904" t="n"/>
      <c r="JY149" s="904" t="n"/>
      <c r="JZ149" s="904" t="n"/>
      <c r="KA149" s="904" t="n"/>
      <c r="KB149" s="904" t="n"/>
      <c r="KC149" s="904" t="n"/>
      <c r="KD149" s="904" t="n"/>
      <c r="KE149" s="904" t="n"/>
      <c r="KF149" s="904" t="n"/>
      <c r="KG149" s="904" t="n"/>
      <c r="KH149" s="904" t="n"/>
      <c r="KI149" s="904" t="n"/>
      <c r="KJ149" s="904" t="n"/>
      <c r="KK149" s="904" t="n"/>
      <c r="KL149" s="904" t="n"/>
      <c r="KM149" s="904" t="n"/>
      <c r="KN149" s="904" t="n"/>
      <c r="KO149" s="904" t="n"/>
      <c r="KP149" s="863">
        <f>LB149/(1+LB151)</f>
        <v/>
      </c>
      <c r="KQ149" s="863">
        <f>LC149/(1+LC151)</f>
        <v/>
      </c>
      <c r="KR149" s="863">
        <f>LD149/(1+LD151)</f>
        <v/>
      </c>
      <c r="KS149" s="863">
        <f>LE149/(1+LE151)</f>
        <v/>
      </c>
      <c r="KT149" s="863">
        <f>LF149/(1+LF151)</f>
        <v/>
      </c>
      <c r="KU149" s="863">
        <f>LG149/(1+LG151)</f>
        <v/>
      </c>
      <c r="KV149" s="863">
        <f>LH149/(1+LH151)</f>
        <v/>
      </c>
      <c r="KW149" s="863">
        <f>LI149/(1+LI151)</f>
        <v/>
      </c>
      <c r="KX149" s="863">
        <f>LJ149/(1+LJ151)</f>
        <v/>
      </c>
      <c r="KY149" s="863">
        <f>LK149/(1+LK151)</f>
        <v/>
      </c>
      <c r="KZ149" s="863">
        <f>LL149/(1+LL151)</f>
        <v/>
      </c>
      <c r="LA149" s="863">
        <f>LM149/(1+LM151)</f>
        <v/>
      </c>
      <c r="LB149" s="863">
        <f>LB208/1000</f>
        <v/>
      </c>
      <c r="LC149" s="863">
        <f>LC208/1000</f>
        <v/>
      </c>
      <c r="LD149" s="863">
        <f>LD208/1000</f>
        <v/>
      </c>
      <c r="LE149" s="863">
        <f>LE208/1000</f>
        <v/>
      </c>
      <c r="LF149" s="863">
        <f>LF208/1000</f>
        <v/>
      </c>
      <c r="LG149" s="863">
        <f>LG208/1000</f>
        <v/>
      </c>
      <c r="LH149" s="863">
        <f>LH208/1000</f>
        <v/>
      </c>
      <c r="LI149" s="863">
        <f>LI208/1000</f>
        <v/>
      </c>
      <c r="LJ149" s="863">
        <f>LJ208/1000</f>
        <v/>
      </c>
      <c r="LK149" s="863">
        <f>LK208/1000</f>
        <v/>
      </c>
      <c r="LL149" s="863">
        <f>LL208/1000</f>
        <v/>
      </c>
      <c r="LM149" s="863">
        <f>LM208/1000</f>
        <v/>
      </c>
      <c r="LN149" s="863">
        <f>LN208/1000</f>
        <v/>
      </c>
      <c r="LO149" s="863">
        <f>LO208/1000</f>
        <v/>
      </c>
      <c r="LP149" s="863">
        <f>LP208/1000</f>
        <v/>
      </c>
      <c r="LQ149" s="863">
        <f>LQ208/1000</f>
        <v/>
      </c>
      <c r="LR149" s="863">
        <f>LR208/1000</f>
        <v/>
      </c>
      <c r="LS149" s="863">
        <f>LS208/1000</f>
        <v/>
      </c>
    </row>
    <row r="150">
      <c r="A150" s="885" t="inlineStr">
        <is>
          <t>m cg %</t>
        </is>
      </c>
      <c r="B150" s="904" t="n"/>
      <c r="C150" s="904" t="n"/>
      <c r="D150" s="904" t="n"/>
      <c r="E150" s="904" t="n"/>
      <c r="F150" s="904" t="n"/>
      <c r="G150" s="904" t="n"/>
      <c r="H150" s="904" t="n"/>
      <c r="I150" s="904" t="n"/>
      <c r="J150" s="904" t="n"/>
      <c r="K150" s="904" t="n"/>
      <c r="L150" s="904" t="n"/>
      <c r="M150" s="904" t="n"/>
      <c r="N150" s="904" t="n"/>
      <c r="O150" s="904" t="n"/>
      <c r="P150" s="904" t="n"/>
      <c r="Q150" s="904" t="n"/>
      <c r="R150" s="904" t="n"/>
      <c r="S150" s="904" t="n"/>
      <c r="T150" s="904" t="n"/>
      <c r="U150" s="904" t="n"/>
      <c r="V150" s="904" t="n"/>
      <c r="W150" s="904" t="n"/>
      <c r="X150" s="904" t="n"/>
      <c r="Y150" s="904" t="n"/>
      <c r="Z150" s="904" t="n"/>
      <c r="AA150" s="904" t="n"/>
      <c r="AB150" s="904" t="n"/>
      <c r="AC150" s="904" t="n"/>
      <c r="AD150" s="904" t="n"/>
      <c r="AE150" s="904" t="n"/>
      <c r="AF150" s="904" t="n"/>
      <c r="AG150" s="904" t="n"/>
      <c r="AH150" s="904" t="n"/>
      <c r="AI150" s="904" t="n"/>
      <c r="AJ150" s="904" t="n"/>
      <c r="AK150" s="904" t="n"/>
      <c r="AL150" s="904" t="n"/>
      <c r="AM150" s="904" t="n"/>
      <c r="AN150" s="904" t="n"/>
      <c r="AO150" s="904" t="n"/>
      <c r="AP150" s="904" t="n"/>
      <c r="AQ150" s="904" t="n"/>
      <c r="AR150" s="904" t="n"/>
      <c r="AS150" s="904" t="n"/>
      <c r="AT150" s="904" t="n"/>
      <c r="AU150" s="904" t="n"/>
      <c r="AV150" s="904" t="n"/>
      <c r="AW150" s="904" t="n"/>
      <c r="AX150" s="904" t="n"/>
      <c r="AY150" s="904" t="n"/>
      <c r="AZ150" s="904" t="n"/>
      <c r="BA150" s="904" t="n"/>
      <c r="BB150" s="904" t="n"/>
      <c r="BC150" s="904" t="n"/>
      <c r="BD150" s="904" t="n"/>
      <c r="BE150" s="904" t="n"/>
      <c r="BF150" s="904" t="n"/>
      <c r="BG150" s="904" t="n"/>
      <c r="BH150" s="904" t="n"/>
      <c r="BI150" s="904" t="n"/>
      <c r="BJ150" s="904" t="n"/>
      <c r="BK150" s="904" t="n"/>
      <c r="BL150" s="904" t="n"/>
      <c r="BM150" s="904" t="n"/>
      <c r="BN150" s="904" t="n"/>
      <c r="BO150" s="904" t="n"/>
      <c r="BP150" s="904" t="n"/>
      <c r="BQ150" s="904" t="n"/>
      <c r="BR150" s="904" t="n"/>
      <c r="BS150" s="904" t="n"/>
      <c r="BT150" s="904" t="n"/>
      <c r="BU150" s="904" t="n"/>
      <c r="BV150" s="904" t="n"/>
      <c r="BW150" s="904" t="n"/>
      <c r="BX150" s="904" t="n"/>
      <c r="BY150" s="904" t="n"/>
      <c r="BZ150" s="904" t="n"/>
      <c r="CA150" s="904" t="n"/>
      <c r="CB150" s="904" t="n"/>
      <c r="CC150" s="904" t="n"/>
      <c r="CD150" s="904" t="n"/>
      <c r="CE150" s="904" t="n"/>
      <c r="CF150" s="904" t="n"/>
      <c r="CG150" s="904" t="n"/>
      <c r="CH150" s="904" t="n"/>
      <c r="CI150" s="904" t="n"/>
      <c r="CJ150" s="904" t="n"/>
      <c r="CK150" s="904" t="n"/>
      <c r="CL150" s="904" t="n"/>
      <c r="CM150" s="904" t="n"/>
      <c r="CN150" s="904" t="n"/>
      <c r="CO150" s="904" t="n"/>
      <c r="CP150" s="904" t="n"/>
      <c r="CQ150" s="904" t="n"/>
      <c r="CR150" s="904" t="n"/>
      <c r="CS150" s="904" t="n"/>
      <c r="CT150" s="904" t="n"/>
      <c r="CU150" s="904" t="n"/>
      <c r="CV150" s="904" t="n"/>
      <c r="CW150" s="904" t="n"/>
      <c r="CX150" s="904" t="n"/>
      <c r="CY150" s="904" t="n"/>
      <c r="CZ150" s="904" t="n"/>
      <c r="DA150" s="904" t="n"/>
      <c r="DB150" s="904" t="n"/>
      <c r="DC150" s="904" t="n"/>
      <c r="DD150" s="904" t="n"/>
      <c r="DE150" s="904" t="n"/>
      <c r="DF150" s="904" t="n"/>
      <c r="DG150" s="904" t="n"/>
      <c r="DH150" s="904" t="n"/>
      <c r="DI150" s="904" t="n"/>
      <c r="DJ150" s="904" t="n"/>
      <c r="DK150" s="904" t="n"/>
      <c r="DL150" s="904" t="n"/>
      <c r="DM150" s="904" t="n"/>
      <c r="DN150" s="904" t="n"/>
      <c r="DO150" s="904" t="n"/>
      <c r="DP150" s="904" t="n"/>
      <c r="DQ150" s="904" t="n"/>
      <c r="DR150" s="904" t="n"/>
      <c r="DS150" s="904" t="n"/>
      <c r="DT150" s="904" t="n"/>
      <c r="DU150" s="904" t="n"/>
      <c r="DV150" s="904" t="n"/>
      <c r="DW150" s="904" t="n"/>
      <c r="DX150" s="904" t="n"/>
      <c r="DY150" s="904" t="n"/>
      <c r="DZ150" s="904" t="n"/>
      <c r="EA150" s="904" t="n"/>
      <c r="EB150" s="904" t="n"/>
      <c r="EC150" s="904" t="n"/>
      <c r="ED150" s="904" t="n"/>
      <c r="EE150" s="904" t="n"/>
      <c r="EF150" s="904" t="n"/>
      <c r="EG150" s="904" t="n"/>
      <c r="EH150" s="904" t="n"/>
      <c r="EI150" s="904" t="n"/>
      <c r="EJ150" s="904" t="n"/>
      <c r="EK150" s="904" t="n"/>
      <c r="EL150" s="904" t="n"/>
      <c r="EM150" s="904" t="n"/>
      <c r="EN150" s="904" t="n"/>
      <c r="EO150" s="904" t="n"/>
      <c r="EP150" s="904" t="n"/>
      <c r="EQ150" s="904" t="n"/>
      <c r="ER150" s="904" t="n"/>
      <c r="ES150" s="904" t="n"/>
      <c r="ET150" s="904" t="n"/>
      <c r="EU150" s="904" t="n"/>
      <c r="EV150" s="904" t="n"/>
      <c r="EW150" s="904" t="n"/>
      <c r="EX150" s="904" t="n"/>
      <c r="EY150" s="904" t="n"/>
      <c r="EZ150" s="904" t="n"/>
      <c r="FA150" s="904" t="n"/>
      <c r="FB150" s="904" t="n"/>
      <c r="FC150" s="904" t="n"/>
      <c r="FD150" s="904" t="n"/>
      <c r="FE150" s="904" t="n"/>
      <c r="FF150" s="904" t="n"/>
      <c r="FG150" s="904" t="n"/>
      <c r="FH150" s="904" t="n"/>
      <c r="FI150" s="904" t="n"/>
      <c r="FJ150" s="904" t="n"/>
      <c r="FK150" s="904" t="n"/>
      <c r="FL150" s="904" t="n"/>
      <c r="FM150" s="904" t="n"/>
      <c r="FN150" s="904" t="n"/>
      <c r="FO150" s="904" t="n"/>
      <c r="FP150" s="904" t="n"/>
      <c r="FQ150" s="904" t="n"/>
      <c r="FR150" s="904" t="n"/>
      <c r="FS150" s="904" t="n"/>
      <c r="FT150" s="904" t="n"/>
      <c r="FU150" s="904" t="n"/>
      <c r="FV150" s="904" t="n"/>
      <c r="FW150" s="904" t="n"/>
      <c r="FX150" s="904" t="n"/>
      <c r="FY150" s="904" t="n"/>
      <c r="FZ150" s="904" t="n"/>
      <c r="GA150" s="904" t="n"/>
      <c r="GB150" s="904" t="n"/>
      <c r="GC150" s="904" t="n"/>
      <c r="GD150" s="904" t="n"/>
      <c r="GE150" s="904" t="n"/>
      <c r="GF150" s="904" t="n"/>
      <c r="GG150" s="904" t="n"/>
      <c r="GH150" s="904" t="n"/>
      <c r="GI150" s="904" t="n"/>
      <c r="GJ150" s="904" t="n"/>
      <c r="GK150" s="904" t="n"/>
      <c r="GL150" s="904" t="n"/>
      <c r="GM150" s="904" t="n"/>
      <c r="GN150" s="904" t="n"/>
      <c r="GO150" s="904" t="n"/>
      <c r="GP150" s="904" t="n"/>
      <c r="GQ150" s="904" t="n"/>
      <c r="GR150" s="904" t="n"/>
      <c r="GS150" s="904" t="n"/>
      <c r="GT150" s="904" t="n"/>
      <c r="GU150" s="904" t="n"/>
      <c r="GV150" s="904" t="n"/>
      <c r="GW150" s="904" t="n"/>
      <c r="GX150" s="904" t="n"/>
      <c r="GY150" s="904" t="n"/>
      <c r="GZ150" s="904" t="n"/>
      <c r="HA150" s="904" t="n"/>
      <c r="HB150" s="904" t="n"/>
      <c r="HC150" s="904" t="n"/>
      <c r="HD150" s="904" t="n"/>
      <c r="HE150" s="904" t="n"/>
      <c r="HF150" s="904" t="n"/>
      <c r="HG150" s="904" t="n"/>
      <c r="HH150" s="904" t="n"/>
      <c r="HI150" s="904" t="n"/>
      <c r="HJ150" s="904" t="n"/>
      <c r="HK150" s="904" t="n"/>
      <c r="HL150" s="904" t="n"/>
      <c r="HM150" s="904" t="n"/>
      <c r="HN150" s="904" t="n"/>
      <c r="HO150" s="904" t="n"/>
      <c r="HP150" s="904" t="n"/>
      <c r="HQ150" s="904" t="n"/>
      <c r="HR150" s="904" t="n"/>
      <c r="HS150" s="904" t="n"/>
      <c r="HT150" s="904" t="n"/>
      <c r="HU150" s="904" t="n"/>
      <c r="HV150" s="904" t="n"/>
      <c r="HW150" s="904" t="n"/>
      <c r="HX150" s="904" t="n"/>
      <c r="HY150" s="904" t="n"/>
      <c r="HZ150" s="904" t="n"/>
      <c r="IA150" s="904" t="n"/>
      <c r="IB150" s="904" t="n"/>
      <c r="IC150" s="904" t="n"/>
      <c r="ID150" s="904" t="n"/>
      <c r="IE150" s="904" t="n"/>
      <c r="IF150" s="904" t="n"/>
      <c r="IG150" s="904" t="n"/>
      <c r="IH150" s="904" t="n"/>
      <c r="II150" s="904" t="n"/>
      <c r="IJ150" s="904" t="n"/>
      <c r="IK150" s="904" t="n"/>
      <c r="IL150" s="904" t="n"/>
      <c r="IM150" s="904" t="n"/>
      <c r="IN150" s="904" t="n"/>
      <c r="IO150" s="904" t="n"/>
      <c r="IP150" s="904" t="n"/>
      <c r="IQ150" s="904" t="n"/>
      <c r="IR150" s="904" t="n"/>
      <c r="IS150" s="904" t="n"/>
      <c r="IT150" s="904" t="n"/>
      <c r="IU150" s="904" t="n"/>
      <c r="IV150" s="904" t="n"/>
      <c r="IW150" s="904" t="n"/>
      <c r="IX150" s="904" t="n"/>
      <c r="IY150" s="904" t="n"/>
      <c r="IZ150" s="904" t="n"/>
      <c r="JA150" s="904" t="n"/>
      <c r="JB150" s="904" t="n"/>
      <c r="JC150" s="904" t="n"/>
      <c r="JD150" s="904" t="n"/>
      <c r="JE150" s="904" t="n"/>
      <c r="JF150" s="904" t="n"/>
      <c r="JG150" s="904" t="n"/>
      <c r="JH150" s="904" t="n"/>
      <c r="JI150" s="904" t="n"/>
      <c r="JJ150" s="904" t="n"/>
      <c r="JK150" s="904" t="n"/>
      <c r="JL150" s="904" t="n"/>
      <c r="JM150" s="904" t="n"/>
      <c r="JN150" s="904" t="n"/>
      <c r="JO150" s="904" t="n"/>
      <c r="JP150" s="904" t="n"/>
      <c r="JQ150" s="904" t="n"/>
      <c r="JR150" s="904" t="n"/>
      <c r="JS150" s="904" t="n"/>
      <c r="JT150" s="904" t="n"/>
      <c r="JU150" s="904" t="n"/>
      <c r="JV150" s="904" t="n"/>
      <c r="JW150" s="904" t="n"/>
      <c r="JX150" s="904" t="n"/>
      <c r="JY150" s="904" t="n"/>
      <c r="JZ150" s="904" t="n"/>
      <c r="KA150" s="904" t="n"/>
      <c r="KB150" s="904" t="n"/>
      <c r="KC150" s="904" t="n"/>
      <c r="KD150" s="904" t="n"/>
      <c r="KE150" s="904" t="n"/>
      <c r="KF150" s="904" t="n"/>
      <c r="KG150" s="904" t="n"/>
      <c r="KH150" s="904" t="n"/>
      <c r="KI150" s="904" t="n"/>
      <c r="KJ150" s="904" t="n"/>
      <c r="KK150" s="904" t="n"/>
      <c r="KL150" s="904" t="n"/>
      <c r="KM150" s="904" t="n"/>
      <c r="KN150" s="904" t="n"/>
      <c r="KO150" s="904" t="n"/>
      <c r="KP150" s="1344" t="n"/>
      <c r="KQ150" s="1344">
        <f>KQ149/KP149-1</f>
        <v/>
      </c>
      <c r="KR150" s="1344">
        <f>KR149/KQ149-1</f>
        <v/>
      </c>
      <c r="KS150" s="1344">
        <f>KS149/KR149-1</f>
        <v/>
      </c>
      <c r="KT150" s="1344">
        <f>KT149/KS149-1</f>
        <v/>
      </c>
      <c r="KU150" s="1344">
        <f>KU149/KT149-1</f>
        <v/>
      </c>
      <c r="KV150" s="1344">
        <f>KV149/KU149-1</f>
        <v/>
      </c>
      <c r="KW150" s="1344">
        <f>KW149/KV149-1</f>
        <v/>
      </c>
      <c r="KX150" s="1344">
        <f>KX149/KW149-1</f>
        <v/>
      </c>
      <c r="KY150" s="1344">
        <f>KY149/KX149-1</f>
        <v/>
      </c>
      <c r="KZ150" s="1344">
        <f>KZ149/KY149-1</f>
        <v/>
      </c>
      <c r="LA150" s="1344">
        <f>LA149/KZ149-1</f>
        <v/>
      </c>
      <c r="LB150" s="1344" t="n"/>
      <c r="LC150" s="1344">
        <f>LC149/LB149-1</f>
        <v/>
      </c>
      <c r="LD150" s="1344">
        <f>LD149/LC149-1</f>
        <v/>
      </c>
      <c r="LE150" s="1344">
        <f>LE149/LD149-1</f>
        <v/>
      </c>
      <c r="LF150" s="1344">
        <f>LF149/LE149-1</f>
        <v/>
      </c>
      <c r="LG150" s="1344">
        <f>LG149/LF149-1</f>
        <v/>
      </c>
      <c r="LH150" s="1344">
        <f>LH149/LG149-1</f>
        <v/>
      </c>
      <c r="LI150" s="1344">
        <f>LI149/LH149-1</f>
        <v/>
      </c>
      <c r="LJ150" s="1344">
        <f>LJ149/LI149-1</f>
        <v/>
      </c>
      <c r="LK150" s="1344">
        <f>LK149/LJ149-1</f>
        <v/>
      </c>
      <c r="LL150" s="1344">
        <f>LL149/LK149-1</f>
        <v/>
      </c>
      <c r="LM150" s="1344">
        <f>LM149/LL149-1</f>
        <v/>
      </c>
      <c r="LN150" s="1344">
        <f>LN149/LM149-1</f>
        <v/>
      </c>
      <c r="LO150" s="1344">
        <f>LO149/LN149-1</f>
        <v/>
      </c>
      <c r="LP150" s="1344">
        <f>LP149/LO149-1</f>
        <v/>
      </c>
      <c r="LQ150" s="1344">
        <f>LQ149/LP149-1</f>
        <v/>
      </c>
      <c r="LR150" s="1344">
        <f>LR149/LQ149-1</f>
        <v/>
      </c>
      <c r="LS150" s="1344">
        <f>LS149/LR149-1</f>
        <v/>
      </c>
    </row>
    <row r="151">
      <c r="A151" s="885" t="inlineStr">
        <is>
          <t>YoY cg %</t>
        </is>
      </c>
      <c r="B151" s="904" t="n"/>
      <c r="C151" s="904" t="n"/>
      <c r="D151" s="904" t="n"/>
      <c r="E151" s="904" t="n"/>
      <c r="F151" s="904" t="n"/>
      <c r="G151" s="904" t="n"/>
      <c r="H151" s="904" t="n"/>
      <c r="I151" s="904" t="n"/>
      <c r="J151" s="904" t="n"/>
      <c r="K151" s="904" t="n"/>
      <c r="L151" s="904" t="n"/>
      <c r="M151" s="904" t="n"/>
      <c r="N151" s="904" t="n"/>
      <c r="O151" s="904" t="n"/>
      <c r="P151" s="904" t="n"/>
      <c r="Q151" s="904" t="n"/>
      <c r="R151" s="904" t="n"/>
      <c r="S151" s="904" t="n"/>
      <c r="T151" s="904" t="n"/>
      <c r="U151" s="904" t="n"/>
      <c r="V151" s="904" t="n"/>
      <c r="W151" s="904" t="n"/>
      <c r="X151" s="904" t="n"/>
      <c r="Y151" s="904" t="n"/>
      <c r="Z151" s="904" t="n"/>
      <c r="AA151" s="904" t="n"/>
      <c r="AB151" s="904" t="n"/>
      <c r="AC151" s="904" t="n"/>
      <c r="AD151" s="904" t="n"/>
      <c r="AE151" s="904" t="n"/>
      <c r="AF151" s="904" t="n"/>
      <c r="AG151" s="904" t="n"/>
      <c r="AH151" s="904" t="n"/>
      <c r="AI151" s="904" t="n"/>
      <c r="AJ151" s="904" t="n"/>
      <c r="AK151" s="904" t="n"/>
      <c r="AL151" s="904" t="n"/>
      <c r="AM151" s="904" t="n"/>
      <c r="AN151" s="904" t="n"/>
      <c r="AO151" s="904" t="n"/>
      <c r="AP151" s="904" t="n"/>
      <c r="AQ151" s="904" t="n"/>
      <c r="AR151" s="904" t="n"/>
      <c r="AS151" s="904" t="n"/>
      <c r="AT151" s="904" t="n"/>
      <c r="AU151" s="904" t="n"/>
      <c r="AV151" s="904" t="n"/>
      <c r="AW151" s="904" t="n"/>
      <c r="AX151" s="904" t="n"/>
      <c r="AY151" s="904" t="n"/>
      <c r="AZ151" s="904" t="n"/>
      <c r="BA151" s="904" t="n"/>
      <c r="BB151" s="904" t="n"/>
      <c r="BC151" s="904" t="n"/>
      <c r="BD151" s="904" t="n"/>
      <c r="BE151" s="904" t="n"/>
      <c r="BF151" s="904" t="n"/>
      <c r="BG151" s="904" t="n"/>
      <c r="BH151" s="904" t="n"/>
      <c r="BI151" s="904" t="n"/>
      <c r="BJ151" s="904" t="n"/>
      <c r="BK151" s="904" t="n"/>
      <c r="BL151" s="904" t="n"/>
      <c r="BM151" s="904" t="n"/>
      <c r="BN151" s="904" t="n"/>
      <c r="BO151" s="904" t="n"/>
      <c r="BP151" s="904" t="n"/>
      <c r="BQ151" s="904" t="n"/>
      <c r="BR151" s="904" t="n"/>
      <c r="BS151" s="904" t="n"/>
      <c r="BT151" s="904" t="n"/>
      <c r="BU151" s="904" t="n"/>
      <c r="BV151" s="904" t="n"/>
      <c r="BW151" s="904" t="n"/>
      <c r="BX151" s="904" t="n"/>
      <c r="BY151" s="904" t="n"/>
      <c r="BZ151" s="904" t="n"/>
      <c r="CA151" s="904" t="n"/>
      <c r="CB151" s="904" t="n"/>
      <c r="CC151" s="904" t="n"/>
      <c r="CD151" s="904" t="n"/>
      <c r="CE151" s="904" t="n"/>
      <c r="CF151" s="904" t="n"/>
      <c r="CG151" s="904" t="n"/>
      <c r="CH151" s="904" t="n"/>
      <c r="CI151" s="904" t="n"/>
      <c r="CJ151" s="904" t="n"/>
      <c r="CK151" s="904" t="n"/>
      <c r="CL151" s="904" t="n"/>
      <c r="CM151" s="904" t="n"/>
      <c r="CN151" s="904" t="n"/>
      <c r="CO151" s="904" t="n"/>
      <c r="CP151" s="904" t="n"/>
      <c r="CQ151" s="904" t="n"/>
      <c r="CR151" s="904" t="n"/>
      <c r="CS151" s="904" t="n"/>
      <c r="CT151" s="904" t="n"/>
      <c r="CU151" s="904" t="n"/>
      <c r="CV151" s="904" t="n"/>
      <c r="CW151" s="904" t="n"/>
      <c r="CX151" s="904" t="n"/>
      <c r="CY151" s="904" t="n"/>
      <c r="CZ151" s="904" t="n"/>
      <c r="DA151" s="904" t="n"/>
      <c r="DB151" s="904" t="n"/>
      <c r="DC151" s="904" t="n"/>
      <c r="DD151" s="904" t="n"/>
      <c r="DE151" s="904" t="n"/>
      <c r="DF151" s="904" t="n"/>
      <c r="DG151" s="904" t="n"/>
      <c r="DH151" s="904" t="n"/>
      <c r="DI151" s="904" t="n"/>
      <c r="DJ151" s="904" t="n"/>
      <c r="DK151" s="904" t="n"/>
      <c r="DL151" s="904" t="n"/>
      <c r="DM151" s="904" t="n"/>
      <c r="DN151" s="904" t="n"/>
      <c r="DO151" s="904" t="n"/>
      <c r="DP151" s="904" t="n"/>
      <c r="DQ151" s="904" t="n"/>
      <c r="DR151" s="904" t="n"/>
      <c r="DS151" s="904" t="n"/>
      <c r="DT151" s="904" t="n"/>
      <c r="DU151" s="904" t="n"/>
      <c r="DV151" s="904" t="n"/>
      <c r="DW151" s="904" t="n"/>
      <c r="DX151" s="904" t="n"/>
      <c r="DY151" s="904" t="n"/>
      <c r="DZ151" s="904" t="n"/>
      <c r="EA151" s="904" t="n"/>
      <c r="EB151" s="904" t="n"/>
      <c r="EC151" s="904" t="n"/>
      <c r="ED151" s="904" t="n"/>
      <c r="EE151" s="904" t="n"/>
      <c r="EF151" s="904" t="n"/>
      <c r="EG151" s="904" t="n"/>
      <c r="EH151" s="904" t="n"/>
      <c r="EI151" s="904" t="n"/>
      <c r="EJ151" s="904" t="n"/>
      <c r="EK151" s="904" t="n"/>
      <c r="EL151" s="904" t="n"/>
      <c r="EM151" s="904" t="n"/>
      <c r="EN151" s="904" t="n"/>
      <c r="EO151" s="904" t="n"/>
      <c r="EP151" s="904" t="n"/>
      <c r="EQ151" s="904" t="n"/>
      <c r="ER151" s="904" t="n"/>
      <c r="ES151" s="904" t="n"/>
      <c r="ET151" s="904" t="n"/>
      <c r="EU151" s="904" t="n"/>
      <c r="EV151" s="904" t="n"/>
      <c r="EW151" s="904" t="n"/>
      <c r="EX151" s="904" t="n"/>
      <c r="EY151" s="904" t="n"/>
      <c r="EZ151" s="904" t="n"/>
      <c r="FA151" s="904" t="n"/>
      <c r="FB151" s="904" t="n"/>
      <c r="FC151" s="904" t="n"/>
      <c r="FD151" s="904" t="n"/>
      <c r="FE151" s="904" t="n"/>
      <c r="FF151" s="904" t="n"/>
      <c r="FG151" s="904" t="n"/>
      <c r="FH151" s="904" t="n"/>
      <c r="FI151" s="904" t="n"/>
      <c r="FJ151" s="904" t="n"/>
      <c r="FK151" s="904" t="n"/>
      <c r="FL151" s="904" t="n"/>
      <c r="FM151" s="904" t="n"/>
      <c r="FN151" s="904" t="n"/>
      <c r="FO151" s="904" t="n"/>
      <c r="FP151" s="904" t="n"/>
      <c r="FQ151" s="904" t="n"/>
      <c r="FR151" s="904" t="n"/>
      <c r="FS151" s="904" t="n"/>
      <c r="FT151" s="904" t="n"/>
      <c r="FU151" s="904" t="n"/>
      <c r="FV151" s="904" t="n"/>
      <c r="FW151" s="904" t="n"/>
      <c r="FX151" s="904" t="n"/>
      <c r="FY151" s="904" t="n"/>
      <c r="FZ151" s="904" t="n"/>
      <c r="GA151" s="904" t="n"/>
      <c r="GB151" s="904" t="n"/>
      <c r="GC151" s="904" t="n"/>
      <c r="GD151" s="904" t="n"/>
      <c r="GE151" s="904" t="n"/>
      <c r="GF151" s="904" t="n"/>
      <c r="GG151" s="904" t="n"/>
      <c r="GH151" s="904" t="n"/>
      <c r="GI151" s="904" t="n"/>
      <c r="GJ151" s="904" t="n"/>
      <c r="GK151" s="904" t="n"/>
      <c r="GL151" s="904" t="n"/>
      <c r="GM151" s="904" t="n"/>
      <c r="GN151" s="904" t="n"/>
      <c r="GO151" s="904" t="n"/>
      <c r="GP151" s="904" t="n"/>
      <c r="GQ151" s="904" t="n"/>
      <c r="GR151" s="904" t="n"/>
      <c r="GS151" s="904" t="n"/>
      <c r="GT151" s="904" t="n"/>
      <c r="GU151" s="904" t="n"/>
      <c r="GV151" s="904" t="n"/>
      <c r="GW151" s="904" t="n"/>
      <c r="GX151" s="904" t="n"/>
      <c r="GY151" s="904" t="n"/>
      <c r="GZ151" s="904" t="n"/>
      <c r="HA151" s="904" t="n"/>
      <c r="HB151" s="904" t="n"/>
      <c r="HC151" s="904" t="n"/>
      <c r="HD151" s="904" t="n"/>
      <c r="HE151" s="904" t="n"/>
      <c r="HF151" s="904" t="n"/>
      <c r="HG151" s="904" t="n"/>
      <c r="HH151" s="904" t="n"/>
      <c r="HI151" s="904" t="n"/>
      <c r="HJ151" s="904" t="n"/>
      <c r="HK151" s="904" t="n"/>
      <c r="HL151" s="904" t="n"/>
      <c r="HM151" s="904" t="n"/>
      <c r="HN151" s="904" t="n"/>
      <c r="HO151" s="904" t="n"/>
      <c r="HP151" s="904" t="n"/>
      <c r="HQ151" s="904" t="n"/>
      <c r="HR151" s="904" t="n"/>
      <c r="HS151" s="904" t="n"/>
      <c r="HT151" s="904" t="n"/>
      <c r="HU151" s="904" t="n"/>
      <c r="HV151" s="904" t="n"/>
      <c r="HW151" s="904" t="n"/>
      <c r="HX151" s="904" t="n"/>
      <c r="HY151" s="904" t="n"/>
      <c r="HZ151" s="904" t="n"/>
      <c r="IA151" s="904" t="n"/>
      <c r="IB151" s="904" t="n"/>
      <c r="IC151" s="904" t="n"/>
      <c r="ID151" s="904" t="n"/>
      <c r="IE151" s="904" t="n"/>
      <c r="IF151" s="904" t="n"/>
      <c r="IG151" s="904" t="n"/>
      <c r="IH151" s="904" t="n"/>
      <c r="II151" s="904" t="n"/>
      <c r="IJ151" s="904" t="n"/>
      <c r="IK151" s="904" t="n"/>
      <c r="IL151" s="904" t="n"/>
      <c r="IM151" s="904" t="n"/>
      <c r="IN151" s="904" t="n"/>
      <c r="IO151" s="904" t="n"/>
      <c r="IP151" s="904" t="n"/>
      <c r="IQ151" s="904" t="n"/>
      <c r="IR151" s="904" t="n"/>
      <c r="IS151" s="904" t="n"/>
      <c r="IT151" s="904" t="n"/>
      <c r="IU151" s="904" t="n"/>
      <c r="IV151" s="904" t="n"/>
      <c r="IW151" s="904" t="n"/>
      <c r="IX151" s="904" t="n"/>
      <c r="IY151" s="904" t="n"/>
      <c r="IZ151" s="904" t="n"/>
      <c r="JA151" s="904" t="n"/>
      <c r="JB151" s="904" t="n"/>
      <c r="JC151" s="904" t="n"/>
      <c r="JD151" s="904" t="n"/>
      <c r="JE151" s="904" t="n"/>
      <c r="JF151" s="904" t="n"/>
      <c r="JG151" s="904" t="n"/>
      <c r="JH151" s="904" t="n"/>
      <c r="JI151" s="904" t="n"/>
      <c r="JJ151" s="904" t="n"/>
      <c r="JK151" s="904" t="n"/>
      <c r="JL151" s="904" t="n"/>
      <c r="JM151" s="904" t="n"/>
      <c r="JN151" s="904" t="n"/>
      <c r="JO151" s="904" t="n"/>
      <c r="JP151" s="904" t="n"/>
      <c r="JQ151" s="904" t="n"/>
      <c r="JR151" s="904" t="n"/>
      <c r="JS151" s="904" t="n"/>
      <c r="JT151" s="904" t="n"/>
      <c r="JU151" s="904" t="n"/>
      <c r="JV151" s="904" t="n"/>
      <c r="JW151" s="904" t="n"/>
      <c r="JX151" s="904" t="n"/>
      <c r="JY151" s="904" t="n"/>
      <c r="JZ151" s="904" t="n"/>
      <c r="KA151" s="904" t="n"/>
      <c r="KB151" s="904" t="n"/>
      <c r="KC151" s="904" t="n"/>
      <c r="KD151" s="904" t="n"/>
      <c r="KE151" s="904" t="n"/>
      <c r="KF151" s="904" t="n"/>
      <c r="KG151" s="904" t="n"/>
      <c r="KH151" s="904" t="n"/>
      <c r="KI151" s="904" t="n"/>
      <c r="KJ151" s="904" t="n"/>
      <c r="KK151" s="904" t="n"/>
      <c r="KL151" s="904" t="n"/>
      <c r="KM151" s="904" t="n"/>
      <c r="KN151" s="904" t="n"/>
      <c r="KO151" s="904" t="n"/>
      <c r="KP151" s="1318" t="n"/>
      <c r="KQ151" s="1318" t="n"/>
      <c r="KR151" s="1318" t="n"/>
      <c r="KS151" s="1318" t="n"/>
      <c r="KT151" s="1318" t="n"/>
      <c r="KU151" s="1318" t="n"/>
      <c r="KV151" s="1318" t="n"/>
      <c r="KW151" s="1318" t="n"/>
      <c r="KX151" s="1318" t="n"/>
      <c r="KY151" s="1318" t="n"/>
      <c r="KZ151" s="1318" t="n"/>
      <c r="LA151" s="1318" t="n"/>
      <c r="LB151" s="1318">
        <f>LB209</f>
        <v/>
      </c>
      <c r="LC151" s="1318">
        <f>LC209</f>
        <v/>
      </c>
      <c r="LD151" s="1318">
        <f>LD209</f>
        <v/>
      </c>
      <c r="LE151" s="1318">
        <f>LE209</f>
        <v/>
      </c>
      <c r="LF151" s="1318">
        <f>LF209</f>
        <v/>
      </c>
      <c r="LG151" s="1318">
        <f>LG209</f>
        <v/>
      </c>
      <c r="LH151" s="1318">
        <f>LH209</f>
        <v/>
      </c>
      <c r="LI151" s="1318">
        <f>LI209</f>
        <v/>
      </c>
      <c r="LJ151" s="1318">
        <f>LJ209</f>
        <v/>
      </c>
      <c r="LK151" s="1318">
        <f>LK209</f>
        <v/>
      </c>
      <c r="LL151" s="1318">
        <f>LL209</f>
        <v/>
      </c>
      <c r="LM151" s="1318">
        <f>LM209</f>
        <v/>
      </c>
      <c r="LN151" s="1318">
        <f>LN209</f>
        <v/>
      </c>
      <c r="LO151" s="1318">
        <f>LO209</f>
        <v/>
      </c>
      <c r="LP151" s="1318">
        <f>LP209</f>
        <v/>
      </c>
      <c r="LQ151" s="1318">
        <f>LQ209</f>
        <v/>
      </c>
      <c r="LR151" s="1318">
        <f>LR209</f>
        <v/>
      </c>
      <c r="LS151" s="1318">
        <f>LS209</f>
        <v/>
      </c>
    </row>
    <row r="152">
      <c r="A152" s="885" t="inlineStr">
        <is>
          <t>YTD cg %</t>
        </is>
      </c>
      <c r="B152" s="904" t="n"/>
      <c r="C152" s="904" t="n"/>
      <c r="D152" s="904" t="n"/>
      <c r="E152" s="904" t="n"/>
      <c r="F152" s="904" t="n"/>
      <c r="G152" s="904" t="n"/>
      <c r="H152" s="904" t="n"/>
      <c r="I152" s="904" t="n"/>
      <c r="J152" s="904" t="n"/>
      <c r="K152" s="904" t="n"/>
      <c r="L152" s="904" t="n"/>
      <c r="M152" s="904" t="n"/>
      <c r="N152" s="904" t="n"/>
      <c r="O152" s="904" t="n"/>
      <c r="P152" s="904" t="n"/>
      <c r="Q152" s="904" t="n"/>
      <c r="R152" s="904" t="n"/>
      <c r="S152" s="904" t="n"/>
      <c r="T152" s="904" t="n"/>
      <c r="U152" s="904" t="n"/>
      <c r="V152" s="904" t="n"/>
      <c r="W152" s="904" t="n"/>
      <c r="X152" s="904" t="n"/>
      <c r="Y152" s="904" t="n"/>
      <c r="Z152" s="904" t="n"/>
      <c r="AA152" s="904" t="n"/>
      <c r="AB152" s="904" t="n"/>
      <c r="AC152" s="904" t="n"/>
      <c r="AD152" s="904" t="n"/>
      <c r="AE152" s="904" t="n"/>
      <c r="AF152" s="904" t="n"/>
      <c r="AG152" s="904" t="n"/>
      <c r="AH152" s="904" t="n"/>
      <c r="AI152" s="904" t="n"/>
      <c r="AJ152" s="904" t="n"/>
      <c r="AK152" s="904" t="n"/>
      <c r="AL152" s="904" t="n"/>
      <c r="AM152" s="904" t="n"/>
      <c r="AN152" s="904" t="n"/>
      <c r="AO152" s="904" t="n"/>
      <c r="AP152" s="904" t="n"/>
      <c r="AQ152" s="904" t="n"/>
      <c r="AR152" s="904" t="n"/>
      <c r="AS152" s="904" t="n"/>
      <c r="AT152" s="904" t="n"/>
      <c r="AU152" s="904" t="n"/>
      <c r="AV152" s="904" t="n"/>
      <c r="AW152" s="904" t="n"/>
      <c r="AX152" s="904" t="n"/>
      <c r="AY152" s="904" t="n"/>
      <c r="AZ152" s="904" t="n"/>
      <c r="BA152" s="904" t="n"/>
      <c r="BB152" s="904" t="n"/>
      <c r="BC152" s="904" t="n"/>
      <c r="BD152" s="904" t="n"/>
      <c r="BE152" s="904" t="n"/>
      <c r="BF152" s="904" t="n"/>
      <c r="BG152" s="904" t="n"/>
      <c r="BH152" s="904" t="n"/>
      <c r="BI152" s="904" t="n"/>
      <c r="BJ152" s="904" t="n"/>
      <c r="BK152" s="904" t="n"/>
      <c r="BL152" s="904" t="n"/>
      <c r="BM152" s="904" t="n"/>
      <c r="BN152" s="904" t="n"/>
      <c r="BO152" s="904" t="n"/>
      <c r="BP152" s="904" t="n"/>
      <c r="BQ152" s="904" t="n"/>
      <c r="BR152" s="904" t="n"/>
      <c r="BS152" s="904" t="n"/>
      <c r="BT152" s="904" t="n"/>
      <c r="BU152" s="904" t="n"/>
      <c r="BV152" s="904" t="n"/>
      <c r="BW152" s="904" t="n"/>
      <c r="BX152" s="904" t="n"/>
      <c r="BY152" s="904" t="n"/>
      <c r="BZ152" s="904" t="n"/>
      <c r="CA152" s="904" t="n"/>
      <c r="CB152" s="904" t="n"/>
      <c r="CC152" s="904" t="n"/>
      <c r="CD152" s="904" t="n"/>
      <c r="CE152" s="904" t="n"/>
      <c r="CF152" s="904" t="n"/>
      <c r="CG152" s="904" t="n"/>
      <c r="CH152" s="904" t="n"/>
      <c r="CI152" s="904" t="n"/>
      <c r="CJ152" s="904" t="n"/>
      <c r="CK152" s="904" t="n"/>
      <c r="CL152" s="904" t="n"/>
      <c r="CM152" s="904" t="n"/>
      <c r="CN152" s="904" t="n"/>
      <c r="CO152" s="904" t="n"/>
      <c r="CP152" s="904" t="n"/>
      <c r="CQ152" s="904" t="n"/>
      <c r="CR152" s="904" t="n"/>
      <c r="CS152" s="904" t="n"/>
      <c r="CT152" s="904" t="n"/>
      <c r="CU152" s="904" t="n"/>
      <c r="CV152" s="904" t="n"/>
      <c r="CW152" s="904" t="n"/>
      <c r="CX152" s="904" t="n"/>
      <c r="CY152" s="904" t="n"/>
      <c r="CZ152" s="904" t="n"/>
      <c r="DA152" s="904" t="n"/>
      <c r="DB152" s="904" t="n"/>
      <c r="DC152" s="904" t="n"/>
      <c r="DD152" s="904" t="n"/>
      <c r="DE152" s="904" t="n"/>
      <c r="DF152" s="904" t="n"/>
      <c r="DG152" s="904" t="n"/>
      <c r="DH152" s="904" t="n"/>
      <c r="DI152" s="904" t="n"/>
      <c r="DJ152" s="904" t="n"/>
      <c r="DK152" s="904" t="n"/>
      <c r="DL152" s="904" t="n"/>
      <c r="DM152" s="904" t="n"/>
      <c r="DN152" s="904" t="n"/>
      <c r="DO152" s="904" t="n"/>
      <c r="DP152" s="904" t="n"/>
      <c r="DQ152" s="904" t="n"/>
      <c r="DR152" s="904" t="n"/>
      <c r="DS152" s="904" t="n"/>
      <c r="DT152" s="904" t="n"/>
      <c r="DU152" s="904" t="n"/>
      <c r="DV152" s="904" t="n"/>
      <c r="DW152" s="904" t="n"/>
      <c r="DX152" s="904" t="n"/>
      <c r="DY152" s="904" t="n"/>
      <c r="DZ152" s="904" t="n"/>
      <c r="EA152" s="904" t="n"/>
      <c r="EB152" s="904" t="n"/>
      <c r="EC152" s="904" t="n"/>
      <c r="ED152" s="904" t="n"/>
      <c r="EE152" s="904" t="n"/>
      <c r="EF152" s="904" t="n"/>
      <c r="EG152" s="904" t="n"/>
      <c r="EH152" s="904" t="n"/>
      <c r="EI152" s="904" t="n"/>
      <c r="EJ152" s="904" t="n"/>
      <c r="EK152" s="904" t="n"/>
      <c r="EL152" s="904" t="n"/>
      <c r="EM152" s="904" t="n"/>
      <c r="EN152" s="904" t="n"/>
      <c r="EO152" s="904" t="n"/>
      <c r="EP152" s="904" t="n"/>
      <c r="EQ152" s="904" t="n"/>
      <c r="ER152" s="904" t="n"/>
      <c r="ES152" s="904" t="n"/>
      <c r="ET152" s="904" t="n"/>
      <c r="EU152" s="904" t="n"/>
      <c r="EV152" s="904" t="n"/>
      <c r="EW152" s="904" t="n"/>
      <c r="EX152" s="904" t="n"/>
      <c r="EY152" s="904" t="n"/>
      <c r="EZ152" s="904" t="n"/>
      <c r="FA152" s="904" t="n"/>
      <c r="FB152" s="904" t="n"/>
      <c r="FC152" s="904" t="n"/>
      <c r="FD152" s="904" t="n"/>
      <c r="FE152" s="904" t="n"/>
      <c r="FF152" s="904" t="n"/>
      <c r="FG152" s="904" t="n"/>
      <c r="FH152" s="904" t="n"/>
      <c r="FI152" s="904" t="n"/>
      <c r="FJ152" s="904" t="n"/>
      <c r="FK152" s="904" t="n"/>
      <c r="FL152" s="904" t="n"/>
      <c r="FM152" s="904" t="n"/>
      <c r="FN152" s="904" t="n"/>
      <c r="FO152" s="904" t="n"/>
      <c r="FP152" s="904" t="n"/>
      <c r="FQ152" s="904" t="n"/>
      <c r="FR152" s="904" t="n"/>
      <c r="FS152" s="904" t="n"/>
      <c r="FT152" s="904" t="n"/>
      <c r="FU152" s="904" t="n"/>
      <c r="FV152" s="904" t="n"/>
      <c r="FW152" s="904" t="n"/>
      <c r="FX152" s="904" t="n"/>
      <c r="FY152" s="904" t="n"/>
      <c r="FZ152" s="904" t="n"/>
      <c r="GA152" s="904" t="n"/>
      <c r="GB152" s="904" t="n"/>
      <c r="GC152" s="904" t="n"/>
      <c r="GD152" s="904" t="n"/>
      <c r="GE152" s="904" t="n"/>
      <c r="GF152" s="904" t="n"/>
      <c r="GG152" s="904" t="n"/>
      <c r="GH152" s="904" t="n"/>
      <c r="GI152" s="904" t="n"/>
      <c r="GJ152" s="904" t="n"/>
      <c r="GK152" s="904" t="n"/>
      <c r="GL152" s="904" t="n"/>
      <c r="GM152" s="904" t="n"/>
      <c r="GN152" s="904" t="n"/>
      <c r="GO152" s="904" t="n"/>
      <c r="GP152" s="904" t="n"/>
      <c r="GQ152" s="904" t="n"/>
      <c r="GR152" s="904" t="n"/>
      <c r="GS152" s="904" t="n"/>
      <c r="GT152" s="904" t="n"/>
      <c r="GU152" s="904" t="n"/>
      <c r="GV152" s="904" t="n"/>
      <c r="GW152" s="904" t="n"/>
      <c r="GX152" s="904" t="n"/>
      <c r="GY152" s="904" t="n"/>
      <c r="GZ152" s="904" t="n"/>
      <c r="HA152" s="904" t="n"/>
      <c r="HB152" s="904" t="n"/>
      <c r="HC152" s="904" t="n"/>
      <c r="HD152" s="904" t="n"/>
      <c r="HE152" s="904" t="n"/>
      <c r="HF152" s="904" t="n"/>
      <c r="HG152" s="904" t="n"/>
      <c r="HH152" s="904" t="n"/>
      <c r="HI152" s="904" t="n"/>
      <c r="HJ152" s="904" t="n"/>
      <c r="HK152" s="904" t="n"/>
      <c r="HL152" s="904" t="n"/>
      <c r="HM152" s="904" t="n"/>
      <c r="HN152" s="904" t="n"/>
      <c r="HO152" s="904" t="n"/>
      <c r="HP152" s="904" t="n"/>
      <c r="HQ152" s="904" t="n"/>
      <c r="HR152" s="904" t="n"/>
      <c r="HS152" s="904" t="n"/>
      <c r="HT152" s="904" t="n"/>
      <c r="HU152" s="904" t="n"/>
      <c r="HV152" s="904" t="n"/>
      <c r="HW152" s="904" t="n"/>
      <c r="HX152" s="904" t="n"/>
      <c r="HY152" s="904" t="n"/>
      <c r="HZ152" s="904" t="n"/>
      <c r="IA152" s="904" t="n"/>
      <c r="IB152" s="904" t="n"/>
      <c r="IC152" s="904" t="n"/>
      <c r="ID152" s="904" t="n"/>
      <c r="IE152" s="904" t="n"/>
      <c r="IF152" s="904" t="n"/>
      <c r="IG152" s="904" t="n"/>
      <c r="IH152" s="904" t="n"/>
      <c r="II152" s="904" t="n"/>
      <c r="IJ152" s="904" t="n"/>
      <c r="IK152" s="904" t="n"/>
      <c r="IL152" s="904" t="n"/>
      <c r="IM152" s="904" t="n"/>
      <c r="IN152" s="904" t="n"/>
      <c r="IO152" s="904" t="n"/>
      <c r="IP152" s="904" t="n"/>
      <c r="IQ152" s="904" t="n"/>
      <c r="IR152" s="904" t="n"/>
      <c r="IS152" s="904" t="n"/>
      <c r="IT152" s="904" t="n"/>
      <c r="IU152" s="904" t="n"/>
      <c r="IV152" s="904" t="n"/>
      <c r="IW152" s="904" t="n"/>
      <c r="IX152" s="904" t="n"/>
      <c r="IY152" s="904" t="n"/>
      <c r="IZ152" s="904" t="n"/>
      <c r="JA152" s="904" t="n"/>
      <c r="JB152" s="904" t="n"/>
      <c r="JC152" s="904" t="n"/>
      <c r="JD152" s="904" t="n"/>
      <c r="JE152" s="904" t="n"/>
      <c r="JF152" s="904" t="n"/>
      <c r="JG152" s="904" t="n"/>
      <c r="JH152" s="904" t="n"/>
      <c r="JI152" s="904" t="n"/>
      <c r="JJ152" s="904" t="n"/>
      <c r="JK152" s="904" t="n"/>
      <c r="JL152" s="904" t="n"/>
      <c r="JM152" s="904" t="n"/>
      <c r="JN152" s="904" t="n"/>
      <c r="JO152" s="904" t="n"/>
      <c r="JP152" s="904" t="n"/>
      <c r="JQ152" s="904" t="n"/>
      <c r="JR152" s="904" t="n"/>
      <c r="JS152" s="904" t="n"/>
      <c r="JT152" s="904" t="n"/>
      <c r="JU152" s="904" t="n"/>
      <c r="JV152" s="904" t="n"/>
      <c r="JW152" s="904" t="n"/>
      <c r="JX152" s="904" t="n"/>
      <c r="JY152" s="904" t="n"/>
      <c r="JZ152" s="904" t="n"/>
      <c r="KA152" s="904" t="n"/>
      <c r="KB152" s="904" t="n"/>
      <c r="KC152" s="904" t="n"/>
      <c r="KD152" s="904" t="n"/>
      <c r="KE152" s="904" t="n"/>
      <c r="KF152" s="904" t="n"/>
      <c r="KG152" s="904" t="n"/>
      <c r="KH152" s="904" t="n"/>
      <c r="KI152" s="904" t="n"/>
      <c r="KJ152" s="904" t="n"/>
      <c r="KK152" s="904" t="n"/>
      <c r="KL152" s="904" t="n"/>
      <c r="KM152" s="904" t="n"/>
      <c r="KN152" s="904" t="n"/>
      <c r="KO152" s="904" t="n"/>
      <c r="KP152" s="1318" t="n"/>
      <c r="KQ152" s="1318" t="n"/>
      <c r="KR152" s="1318" t="n"/>
      <c r="KS152" s="1318" t="n"/>
      <c r="KT152" s="1318" t="n"/>
      <c r="KU152" s="1318" t="n"/>
      <c r="KV152" s="1318" t="n"/>
      <c r="KW152" s="1318" t="n"/>
      <c r="KX152" s="1318" t="n"/>
      <c r="KY152" s="1318" t="n"/>
      <c r="KZ152" s="1318" t="n"/>
      <c r="LA152" s="1318" t="n"/>
      <c r="LB152" s="1318">
        <f>LB210</f>
        <v/>
      </c>
      <c r="LC152" s="1318">
        <f>LC210</f>
        <v/>
      </c>
      <c r="LD152" s="1318">
        <f>LD210</f>
        <v/>
      </c>
      <c r="LE152" s="1318">
        <f>LE210</f>
        <v/>
      </c>
      <c r="LF152" s="1318">
        <f>LF210</f>
        <v/>
      </c>
      <c r="LG152" s="1318">
        <f>LG210</f>
        <v/>
      </c>
      <c r="LH152" s="1318">
        <f>LH210</f>
        <v/>
      </c>
      <c r="LI152" s="1318">
        <f>LI210</f>
        <v/>
      </c>
      <c r="LJ152" s="1318">
        <f>LJ210</f>
        <v/>
      </c>
      <c r="LK152" s="1318">
        <f>LK210</f>
        <v/>
      </c>
      <c r="LL152" s="1318">
        <f>LL210</f>
        <v/>
      </c>
      <c r="LM152" s="1318">
        <f>LM210</f>
        <v/>
      </c>
      <c r="LN152" s="1318">
        <f>LN210</f>
        <v/>
      </c>
      <c r="LO152" s="1318">
        <f>LO210</f>
        <v/>
      </c>
      <c r="LP152" s="1318">
        <f>LP210</f>
        <v/>
      </c>
      <c r="LQ152" s="1318">
        <f>LQ210</f>
        <v/>
      </c>
      <c r="LR152" s="1318">
        <f>LR210</f>
        <v/>
      </c>
      <c r="LS152" s="1318">
        <f>LS210</f>
        <v/>
      </c>
    </row>
    <row r="153">
      <c r="A153" s="904" t="inlineStr">
        <is>
          <t>PLF %</t>
        </is>
      </c>
      <c r="B153" s="904" t="n"/>
      <c r="C153" s="904" t="n"/>
      <c r="D153" s="904" t="n"/>
      <c r="E153" s="904" t="n"/>
      <c r="F153" s="904" t="n"/>
      <c r="G153" s="904" t="n"/>
      <c r="H153" s="904" t="n"/>
      <c r="I153" s="904" t="n"/>
      <c r="J153" s="904" t="n"/>
      <c r="K153" s="904" t="n"/>
      <c r="L153" s="904" t="n"/>
      <c r="M153" s="904" t="n"/>
      <c r="N153" s="904" t="n"/>
      <c r="O153" s="904" t="n"/>
      <c r="P153" s="904" t="n"/>
      <c r="Q153" s="904" t="n"/>
      <c r="R153" s="904" t="n"/>
      <c r="S153" s="904" t="n"/>
      <c r="T153" s="904" t="n"/>
      <c r="U153" s="904" t="n"/>
      <c r="V153" s="904" t="n"/>
      <c r="W153" s="904" t="n"/>
      <c r="X153" s="904" t="n"/>
      <c r="Y153" s="904" t="n"/>
      <c r="Z153" s="904" t="n"/>
      <c r="AA153" s="904" t="n"/>
      <c r="AB153" s="904" t="n"/>
      <c r="AC153" s="904" t="n"/>
      <c r="AD153" s="904" t="n"/>
      <c r="AE153" s="904" t="n"/>
      <c r="AF153" s="904" t="n"/>
      <c r="AG153" s="904" t="n"/>
      <c r="AH153" s="904" t="n"/>
      <c r="AI153" s="904" t="n"/>
      <c r="AJ153" s="904" t="n"/>
      <c r="AK153" s="904" t="n"/>
      <c r="AL153" s="904" t="n"/>
      <c r="AM153" s="904" t="n"/>
      <c r="AN153" s="904" t="n"/>
      <c r="AO153" s="904" t="n"/>
      <c r="AP153" s="904" t="n"/>
      <c r="AQ153" s="904" t="n"/>
      <c r="AR153" s="904" t="n"/>
      <c r="AS153" s="904" t="n"/>
      <c r="AT153" s="904" t="n"/>
      <c r="AU153" s="904" t="n"/>
      <c r="AV153" s="904" t="n"/>
      <c r="AW153" s="904" t="n"/>
      <c r="AX153" s="904" t="n"/>
      <c r="AY153" s="904" t="n"/>
      <c r="AZ153" s="904" t="n"/>
      <c r="BA153" s="904" t="n"/>
      <c r="BB153" s="904" t="n"/>
      <c r="BC153" s="904" t="n"/>
      <c r="BD153" s="904" t="n"/>
      <c r="BE153" s="904" t="n"/>
      <c r="BF153" s="904" t="n"/>
      <c r="BG153" s="904" t="n"/>
      <c r="BH153" s="904" t="n"/>
      <c r="BI153" s="904" t="n"/>
      <c r="BJ153" s="904" t="n"/>
      <c r="BK153" s="904" t="n"/>
      <c r="BL153" s="904" t="n"/>
      <c r="BM153" s="904" t="n"/>
      <c r="BN153" s="904" t="n"/>
      <c r="BO153" s="904" t="n"/>
      <c r="BP153" s="904" t="n"/>
      <c r="BQ153" s="904" t="n"/>
      <c r="BR153" s="904" t="n"/>
      <c r="BS153" s="904" t="n"/>
      <c r="BT153" s="904" t="n"/>
      <c r="BU153" s="904" t="n"/>
      <c r="BV153" s="904" t="n"/>
      <c r="BW153" s="904" t="n"/>
      <c r="BX153" s="904" t="n"/>
      <c r="BY153" s="904" t="n"/>
      <c r="BZ153" s="904" t="n"/>
      <c r="CA153" s="904" t="n"/>
      <c r="CB153" s="904" t="n"/>
      <c r="CC153" s="904" t="n"/>
      <c r="CD153" s="904" t="n"/>
      <c r="CE153" s="904" t="n"/>
      <c r="CF153" s="904" t="n"/>
      <c r="CG153" s="904" t="n"/>
      <c r="CH153" s="904" t="n"/>
      <c r="CI153" s="904" t="n"/>
      <c r="CJ153" s="904" t="n"/>
      <c r="CK153" s="904" t="n"/>
      <c r="CL153" s="904" t="n"/>
      <c r="CM153" s="904" t="n"/>
      <c r="CN153" s="904" t="n"/>
      <c r="CO153" s="904" t="n"/>
      <c r="CP153" s="904" t="n"/>
      <c r="CQ153" s="904" t="n"/>
      <c r="CR153" s="904" t="n"/>
      <c r="CS153" s="904" t="n"/>
      <c r="CT153" s="904" t="n"/>
      <c r="CU153" s="904" t="n"/>
      <c r="CV153" s="904" t="n"/>
      <c r="CW153" s="904" t="n"/>
      <c r="CX153" s="904" t="n"/>
      <c r="CY153" s="904" t="n"/>
      <c r="CZ153" s="904" t="n"/>
      <c r="DA153" s="904" t="n"/>
      <c r="DB153" s="904" t="n"/>
      <c r="DC153" s="904" t="n"/>
      <c r="DD153" s="904" t="n"/>
      <c r="DE153" s="904" t="n"/>
      <c r="DF153" s="904" t="n"/>
      <c r="DG153" s="904" t="n"/>
      <c r="DH153" s="904" t="n"/>
      <c r="DI153" s="904" t="n"/>
      <c r="DJ153" s="904" t="n"/>
      <c r="DK153" s="904" t="n"/>
      <c r="DL153" s="904" t="n"/>
      <c r="DM153" s="904" t="n"/>
      <c r="DN153" s="904" t="n"/>
      <c r="DO153" s="904" t="n"/>
      <c r="DP153" s="904" t="n"/>
      <c r="DQ153" s="904" t="n"/>
      <c r="DR153" s="904" t="n"/>
      <c r="DS153" s="904" t="n"/>
      <c r="DT153" s="904" t="n"/>
      <c r="DU153" s="904" t="n"/>
      <c r="DV153" s="904" t="n"/>
      <c r="DW153" s="904" t="n"/>
      <c r="DX153" s="904" t="n"/>
      <c r="DY153" s="904" t="n"/>
      <c r="DZ153" s="904" t="n"/>
      <c r="EA153" s="904" t="n"/>
      <c r="EB153" s="904" t="n"/>
      <c r="EC153" s="904" t="n"/>
      <c r="ED153" s="904" t="n"/>
      <c r="EE153" s="904" t="n"/>
      <c r="EF153" s="904" t="n"/>
      <c r="EG153" s="904" t="n"/>
      <c r="EH153" s="904" t="n"/>
      <c r="EI153" s="904" t="n"/>
      <c r="EJ153" s="904" t="n"/>
      <c r="EK153" s="904" t="n"/>
      <c r="EL153" s="904" t="n"/>
      <c r="EM153" s="904" t="n"/>
      <c r="EN153" s="904" t="n"/>
      <c r="EO153" s="904" t="n"/>
      <c r="EP153" s="904" t="n"/>
      <c r="EQ153" s="904" t="n"/>
      <c r="ER153" s="904" t="n"/>
      <c r="ES153" s="904" t="n"/>
      <c r="ET153" s="904" t="n"/>
      <c r="EU153" s="904" t="n"/>
      <c r="EV153" s="904" t="n"/>
      <c r="EW153" s="904" t="n"/>
      <c r="EX153" s="904" t="n"/>
      <c r="EY153" s="904" t="n"/>
      <c r="EZ153" s="904" t="n"/>
      <c r="FA153" s="904" t="n"/>
      <c r="FB153" s="904" t="n"/>
      <c r="FC153" s="904" t="n"/>
      <c r="FD153" s="904" t="n"/>
      <c r="FE153" s="904" t="n"/>
      <c r="FF153" s="904" t="n"/>
      <c r="FG153" s="904" t="n"/>
      <c r="FH153" s="904" t="n"/>
      <c r="FI153" s="904" t="n"/>
      <c r="FJ153" s="904" t="n"/>
      <c r="FK153" s="904" t="n"/>
      <c r="FL153" s="904" t="n"/>
      <c r="FM153" s="904" t="n"/>
      <c r="FN153" s="904" t="n"/>
      <c r="FO153" s="904" t="n"/>
      <c r="FP153" s="904" t="n"/>
      <c r="FQ153" s="904" t="n"/>
      <c r="FR153" s="904" t="n"/>
      <c r="FS153" s="904" t="n"/>
      <c r="FT153" s="904" t="n"/>
      <c r="FU153" s="904" t="n"/>
      <c r="FV153" s="904" t="n"/>
      <c r="FW153" s="904" t="n"/>
      <c r="FX153" s="904" t="n"/>
      <c r="FY153" s="904" t="n"/>
      <c r="FZ153" s="904" t="n"/>
      <c r="GA153" s="904" t="n"/>
      <c r="GB153" s="904" t="n"/>
      <c r="GC153" s="904" t="n"/>
      <c r="GD153" s="904" t="n"/>
      <c r="GE153" s="904" t="n"/>
      <c r="GF153" s="904" t="n"/>
      <c r="GG153" s="904" t="n"/>
      <c r="GH153" s="904" t="n"/>
      <c r="GI153" s="904" t="n"/>
      <c r="GJ153" s="904" t="n"/>
      <c r="GK153" s="904" t="n"/>
      <c r="GL153" s="904" t="n"/>
      <c r="GM153" s="904" t="n"/>
      <c r="GN153" s="904" t="n"/>
      <c r="GO153" s="904" t="n"/>
      <c r="GP153" s="904" t="n"/>
      <c r="GQ153" s="904" t="n"/>
      <c r="GR153" s="904" t="n"/>
      <c r="GS153" s="904" t="n"/>
      <c r="GT153" s="904" t="n"/>
      <c r="GU153" s="904" t="n"/>
      <c r="GV153" s="904" t="n"/>
      <c r="GW153" s="904" t="n"/>
      <c r="GX153" s="904" t="n"/>
      <c r="GY153" s="904" t="n"/>
      <c r="GZ153" s="904" t="n"/>
      <c r="HA153" s="904" t="n"/>
      <c r="HB153" s="904" t="n"/>
      <c r="HC153" s="904" t="n"/>
      <c r="HD153" s="904" t="n"/>
      <c r="HE153" s="904" t="n"/>
      <c r="HF153" s="904" t="n"/>
      <c r="HG153" s="904" t="n"/>
      <c r="HH153" s="904" t="n"/>
      <c r="HI153" s="904" t="n"/>
      <c r="HJ153" s="904" t="n"/>
      <c r="HK153" s="904" t="n"/>
      <c r="HL153" s="904" t="n"/>
      <c r="HM153" s="904" t="n"/>
      <c r="HN153" s="904" t="n"/>
      <c r="HO153" s="904" t="n"/>
      <c r="HP153" s="904" t="n"/>
      <c r="HQ153" s="904" t="n"/>
      <c r="HR153" s="904" t="n"/>
      <c r="HS153" s="904" t="n"/>
      <c r="HT153" s="904" t="n"/>
      <c r="HU153" s="904" t="n"/>
      <c r="HV153" s="904" t="n"/>
      <c r="HW153" s="904" t="n"/>
      <c r="HX153" s="904" t="n"/>
      <c r="HY153" s="904" t="n"/>
      <c r="HZ153" s="904" t="n"/>
      <c r="IA153" s="904" t="n"/>
      <c r="IB153" s="904" t="n"/>
      <c r="IC153" s="904" t="n"/>
      <c r="ID153" s="904" t="n"/>
      <c r="IE153" s="904" t="n"/>
      <c r="IF153" s="904" t="n"/>
      <c r="IG153" s="904" t="n"/>
      <c r="IH153" s="904" t="n"/>
      <c r="II153" s="904" t="n"/>
      <c r="IJ153" s="904" t="n"/>
      <c r="IK153" s="904" t="n"/>
      <c r="IL153" s="904" t="n"/>
      <c r="IM153" s="904" t="n"/>
      <c r="IN153" s="904" t="n"/>
      <c r="IO153" s="904" t="n"/>
      <c r="IP153" s="904" t="n"/>
      <c r="IQ153" s="904" t="n"/>
      <c r="IR153" s="904" t="n"/>
      <c r="IS153" s="904" t="n"/>
      <c r="IT153" s="904" t="n"/>
      <c r="IU153" s="904" t="n"/>
      <c r="IV153" s="904" t="n"/>
      <c r="IW153" s="904" t="n"/>
      <c r="IX153" s="904" t="n"/>
      <c r="IY153" s="904" t="n"/>
      <c r="IZ153" s="904" t="n"/>
      <c r="JA153" s="904" t="n"/>
      <c r="JB153" s="904" t="n"/>
      <c r="JC153" s="904" t="n"/>
      <c r="JD153" s="904" t="n"/>
      <c r="JE153" s="904" t="n"/>
      <c r="JF153" s="904" t="n"/>
      <c r="JG153" s="904" t="n"/>
      <c r="JH153" s="904" t="n"/>
      <c r="JI153" s="904" t="n"/>
      <c r="JJ153" s="904" t="n"/>
      <c r="JK153" s="904" t="n"/>
      <c r="JL153" s="904" t="n"/>
      <c r="JM153" s="904" t="n"/>
      <c r="JN153" s="904" t="n"/>
      <c r="JO153" s="904" t="n"/>
      <c r="JP153" s="904" t="n"/>
      <c r="JQ153" s="904" t="n"/>
      <c r="JR153" s="904" t="n"/>
      <c r="JS153" s="904" t="n"/>
      <c r="JT153" s="904" t="n"/>
      <c r="JU153" s="904" t="n"/>
      <c r="JV153" s="904" t="n"/>
      <c r="JW153" s="904" t="n"/>
      <c r="JX153" s="904" t="n"/>
      <c r="JY153" s="904" t="n"/>
      <c r="JZ153" s="904" t="n"/>
      <c r="KA153" s="904" t="n"/>
      <c r="KB153" s="904" t="n"/>
      <c r="KC153" s="904" t="n"/>
      <c r="KD153" s="904" t="n"/>
      <c r="KE153" s="904" t="n"/>
      <c r="KF153" s="904" t="n"/>
      <c r="KG153" s="904" t="n"/>
      <c r="KH153" s="904" t="n"/>
      <c r="KI153" s="904" t="n"/>
      <c r="KJ153" s="904" t="n"/>
      <c r="KK153" s="904" t="n"/>
      <c r="KL153" s="904" t="n"/>
      <c r="KM153" s="904" t="n"/>
      <c r="KN153" s="904" t="n"/>
      <c r="KO153" s="904" t="n"/>
      <c r="KP153" s="1318">
        <f>KP149/KP145</f>
        <v/>
      </c>
      <c r="KQ153" s="1318">
        <f>KQ149/KQ145</f>
        <v/>
      </c>
      <c r="KR153" s="1318">
        <f>KR149/KR145</f>
        <v/>
      </c>
      <c r="KS153" s="1318">
        <f>KS149/KS145</f>
        <v/>
      </c>
      <c r="KT153" s="1318">
        <f>KT149/KT145</f>
        <v/>
      </c>
      <c r="KU153" s="1318">
        <f>KU149/KU145</f>
        <v/>
      </c>
      <c r="KV153" s="1318">
        <f>KV149/KV145</f>
        <v/>
      </c>
      <c r="KW153" s="1318">
        <f>KW149/KW145</f>
        <v/>
      </c>
      <c r="KX153" s="1318">
        <f>KX149/KX145</f>
        <v/>
      </c>
      <c r="KY153" s="1318">
        <f>KY149/KY145</f>
        <v/>
      </c>
      <c r="KZ153" s="1318">
        <f>KZ149/KZ145</f>
        <v/>
      </c>
      <c r="LA153" s="1318">
        <f>LA149/LA145</f>
        <v/>
      </c>
      <c r="LB153" s="1318">
        <f>LB149/LB145</f>
        <v/>
      </c>
      <c r="LC153" s="1318">
        <f>LC149/LC145</f>
        <v/>
      </c>
      <c r="LD153" s="1318">
        <f>LD149/LD145</f>
        <v/>
      </c>
      <c r="LE153" s="1318">
        <f>LE149/LE145</f>
        <v/>
      </c>
      <c r="LF153" s="1318">
        <f>LF149/LF145</f>
        <v/>
      </c>
      <c r="LG153" s="1318">
        <f>LG149/LG145</f>
        <v/>
      </c>
      <c r="LH153" s="1318">
        <f>LH149/LH145</f>
        <v/>
      </c>
      <c r="LI153" s="1318">
        <f>LI149/LI145</f>
        <v/>
      </c>
      <c r="LJ153" s="1318">
        <f>LJ149/LJ145</f>
        <v/>
      </c>
      <c r="LK153" s="1318">
        <f>LK149/LK145</f>
        <v/>
      </c>
      <c r="LL153" s="1318">
        <f>LL149/LL145</f>
        <v/>
      </c>
      <c r="LM153" s="1318">
        <f>LM149/LM145</f>
        <v/>
      </c>
      <c r="LN153" s="1318">
        <f>LN149/LN145</f>
        <v/>
      </c>
      <c r="LO153" s="1318">
        <f>LO149/LO145</f>
        <v/>
      </c>
      <c r="LP153" s="1318">
        <f>LP149/LP145</f>
        <v/>
      </c>
      <c r="LQ153" s="1318">
        <f>LQ149/LQ145</f>
        <v/>
      </c>
      <c r="LR153" s="1318">
        <f>LR149/LR145</f>
        <v/>
      </c>
      <c r="LS153" s="1318">
        <f>LS149/LS145</f>
        <v/>
      </c>
    </row>
    <row r="154">
      <c r="A154" s="885" t="inlineStr">
        <is>
          <t>m cg %</t>
        </is>
      </c>
      <c r="B154" s="904" t="n"/>
      <c r="C154" s="904" t="n"/>
      <c r="D154" s="904" t="n"/>
      <c r="E154" s="904" t="n"/>
      <c r="F154" s="904" t="n"/>
      <c r="G154" s="904" t="n"/>
      <c r="H154" s="904" t="n"/>
      <c r="I154" s="904" t="n"/>
      <c r="J154" s="904" t="n"/>
      <c r="K154" s="904" t="n"/>
      <c r="L154" s="904" t="n"/>
      <c r="M154" s="904" t="n"/>
      <c r="N154" s="904" t="n"/>
      <c r="O154" s="904" t="n"/>
      <c r="P154" s="904" t="n"/>
      <c r="Q154" s="904" t="n"/>
      <c r="R154" s="904" t="n"/>
      <c r="S154" s="904" t="n"/>
      <c r="T154" s="904" t="n"/>
      <c r="U154" s="904" t="n"/>
      <c r="V154" s="904" t="n"/>
      <c r="W154" s="904" t="n"/>
      <c r="X154" s="904" t="n"/>
      <c r="Y154" s="904" t="n"/>
      <c r="Z154" s="904" t="n"/>
      <c r="AA154" s="904" t="n"/>
      <c r="AB154" s="904" t="n"/>
      <c r="AC154" s="904" t="n"/>
      <c r="AD154" s="904" t="n"/>
      <c r="AE154" s="904" t="n"/>
      <c r="AF154" s="904" t="n"/>
      <c r="AG154" s="904" t="n"/>
      <c r="AH154" s="904" t="n"/>
      <c r="AI154" s="904" t="n"/>
      <c r="AJ154" s="904" t="n"/>
      <c r="AK154" s="904" t="n"/>
      <c r="AL154" s="904" t="n"/>
      <c r="AM154" s="904" t="n"/>
      <c r="AN154" s="904" t="n"/>
      <c r="AO154" s="904" t="n"/>
      <c r="AP154" s="904" t="n"/>
      <c r="AQ154" s="904" t="n"/>
      <c r="AR154" s="904" t="n"/>
      <c r="AS154" s="904" t="n"/>
      <c r="AT154" s="904" t="n"/>
      <c r="AU154" s="904" t="n"/>
      <c r="AV154" s="904" t="n"/>
      <c r="AW154" s="904" t="n"/>
      <c r="AX154" s="904" t="n"/>
      <c r="AY154" s="904" t="n"/>
      <c r="AZ154" s="904" t="n"/>
      <c r="BA154" s="904" t="n"/>
      <c r="BB154" s="904" t="n"/>
      <c r="BC154" s="904" t="n"/>
      <c r="BD154" s="904" t="n"/>
      <c r="BE154" s="904" t="n"/>
      <c r="BF154" s="904" t="n"/>
      <c r="BG154" s="904" t="n"/>
      <c r="BH154" s="904" t="n"/>
      <c r="BI154" s="904" t="n"/>
      <c r="BJ154" s="904" t="n"/>
      <c r="BK154" s="904" t="n"/>
      <c r="BL154" s="904" t="n"/>
      <c r="BM154" s="904" t="n"/>
      <c r="BN154" s="904" t="n"/>
      <c r="BO154" s="904" t="n"/>
      <c r="BP154" s="904" t="n"/>
      <c r="BQ154" s="904" t="n"/>
      <c r="BR154" s="904" t="n"/>
      <c r="BS154" s="904" t="n"/>
      <c r="BT154" s="904" t="n"/>
      <c r="BU154" s="904" t="n"/>
      <c r="BV154" s="904" t="n"/>
      <c r="BW154" s="904" t="n"/>
      <c r="BX154" s="904" t="n"/>
      <c r="BY154" s="904" t="n"/>
      <c r="BZ154" s="904" t="n"/>
      <c r="CA154" s="904" t="n"/>
      <c r="CB154" s="904" t="n"/>
      <c r="CC154" s="904" t="n"/>
      <c r="CD154" s="904" t="n"/>
      <c r="CE154" s="904" t="n"/>
      <c r="CF154" s="904" t="n"/>
      <c r="CG154" s="904" t="n"/>
      <c r="CH154" s="904" t="n"/>
      <c r="CI154" s="904" t="n"/>
      <c r="CJ154" s="904" t="n"/>
      <c r="CK154" s="904" t="n"/>
      <c r="CL154" s="904" t="n"/>
      <c r="CM154" s="904" t="n"/>
      <c r="CN154" s="904" t="n"/>
      <c r="CO154" s="904" t="n"/>
      <c r="CP154" s="904" t="n"/>
      <c r="CQ154" s="904" t="n"/>
      <c r="CR154" s="904" t="n"/>
      <c r="CS154" s="904" t="n"/>
      <c r="CT154" s="904" t="n"/>
      <c r="CU154" s="904" t="n"/>
      <c r="CV154" s="904" t="n"/>
      <c r="CW154" s="904" t="n"/>
      <c r="CX154" s="904" t="n"/>
      <c r="CY154" s="904" t="n"/>
      <c r="CZ154" s="904" t="n"/>
      <c r="DA154" s="904" t="n"/>
      <c r="DB154" s="904" t="n"/>
      <c r="DC154" s="904" t="n"/>
      <c r="DD154" s="904" t="n"/>
      <c r="DE154" s="904" t="n"/>
      <c r="DF154" s="904" t="n"/>
      <c r="DG154" s="904" t="n"/>
      <c r="DH154" s="904" t="n"/>
      <c r="DI154" s="904" t="n"/>
      <c r="DJ154" s="904" t="n"/>
      <c r="DK154" s="904" t="n"/>
      <c r="DL154" s="904" t="n"/>
      <c r="DM154" s="904" t="n"/>
      <c r="DN154" s="904" t="n"/>
      <c r="DO154" s="904" t="n"/>
      <c r="DP154" s="904" t="n"/>
      <c r="DQ154" s="904" t="n"/>
      <c r="DR154" s="904" t="n"/>
      <c r="DS154" s="904" t="n"/>
      <c r="DT154" s="904" t="n"/>
      <c r="DU154" s="904" t="n"/>
      <c r="DV154" s="904" t="n"/>
      <c r="DW154" s="904" t="n"/>
      <c r="DX154" s="904" t="n"/>
      <c r="DY154" s="904" t="n"/>
      <c r="DZ154" s="904" t="n"/>
      <c r="EA154" s="904" t="n"/>
      <c r="EB154" s="904" t="n"/>
      <c r="EC154" s="904" t="n"/>
      <c r="ED154" s="904" t="n"/>
      <c r="EE154" s="904" t="n"/>
      <c r="EF154" s="904" t="n"/>
      <c r="EG154" s="904" t="n"/>
      <c r="EH154" s="904" t="n"/>
      <c r="EI154" s="904" t="n"/>
      <c r="EJ154" s="904" t="n"/>
      <c r="EK154" s="904" t="n"/>
      <c r="EL154" s="904" t="n"/>
      <c r="EM154" s="904" t="n"/>
      <c r="EN154" s="904" t="n"/>
      <c r="EO154" s="904" t="n"/>
      <c r="EP154" s="904" t="n"/>
      <c r="EQ154" s="904" t="n"/>
      <c r="ER154" s="904" t="n"/>
      <c r="ES154" s="904" t="n"/>
      <c r="ET154" s="904" t="n"/>
      <c r="EU154" s="904" t="n"/>
      <c r="EV154" s="904" t="n"/>
      <c r="EW154" s="904" t="n"/>
      <c r="EX154" s="904" t="n"/>
      <c r="EY154" s="904" t="n"/>
      <c r="EZ154" s="904" t="n"/>
      <c r="FA154" s="904" t="n"/>
      <c r="FB154" s="904" t="n"/>
      <c r="FC154" s="904" t="n"/>
      <c r="FD154" s="904" t="n"/>
      <c r="FE154" s="904" t="n"/>
      <c r="FF154" s="904" t="n"/>
      <c r="FG154" s="904" t="n"/>
      <c r="FH154" s="904" t="n"/>
      <c r="FI154" s="904" t="n"/>
      <c r="FJ154" s="904" t="n"/>
      <c r="FK154" s="904" t="n"/>
      <c r="FL154" s="904" t="n"/>
      <c r="FM154" s="904" t="n"/>
      <c r="FN154" s="904" t="n"/>
      <c r="FO154" s="904" t="n"/>
      <c r="FP154" s="904" t="n"/>
      <c r="FQ154" s="904" t="n"/>
      <c r="FR154" s="904" t="n"/>
      <c r="FS154" s="904" t="n"/>
      <c r="FT154" s="904" t="n"/>
      <c r="FU154" s="904" t="n"/>
      <c r="FV154" s="904" t="n"/>
      <c r="FW154" s="904" t="n"/>
      <c r="FX154" s="904" t="n"/>
      <c r="FY154" s="904" t="n"/>
      <c r="FZ154" s="904" t="n"/>
      <c r="GA154" s="904" t="n"/>
      <c r="GB154" s="904" t="n"/>
      <c r="GC154" s="904" t="n"/>
      <c r="GD154" s="904" t="n"/>
      <c r="GE154" s="904" t="n"/>
      <c r="GF154" s="904" t="n"/>
      <c r="GG154" s="904" t="n"/>
      <c r="GH154" s="904" t="n"/>
      <c r="GI154" s="904" t="n"/>
      <c r="GJ154" s="904" t="n"/>
      <c r="GK154" s="904" t="n"/>
      <c r="GL154" s="904" t="n"/>
      <c r="GM154" s="904" t="n"/>
      <c r="GN154" s="904" t="n"/>
      <c r="GO154" s="904" t="n"/>
      <c r="GP154" s="904" t="n"/>
      <c r="GQ154" s="904" t="n"/>
      <c r="GR154" s="904" t="n"/>
      <c r="GS154" s="904" t="n"/>
      <c r="GT154" s="904" t="n"/>
      <c r="GU154" s="904" t="n"/>
      <c r="GV154" s="904" t="n"/>
      <c r="GW154" s="904" t="n"/>
      <c r="GX154" s="904" t="n"/>
      <c r="GY154" s="904" t="n"/>
      <c r="GZ154" s="904" t="n"/>
      <c r="HA154" s="904" t="n"/>
      <c r="HB154" s="904" t="n"/>
      <c r="HC154" s="904" t="n"/>
      <c r="HD154" s="904" t="n"/>
      <c r="HE154" s="904" t="n"/>
      <c r="HF154" s="904" t="n"/>
      <c r="HG154" s="904" t="n"/>
      <c r="HH154" s="904" t="n"/>
      <c r="HI154" s="904" t="n"/>
      <c r="HJ154" s="904" t="n"/>
      <c r="HK154" s="904" t="n"/>
      <c r="HL154" s="904" t="n"/>
      <c r="HM154" s="904" t="n"/>
      <c r="HN154" s="904" t="n"/>
      <c r="HO154" s="904" t="n"/>
      <c r="HP154" s="904" t="n"/>
      <c r="HQ154" s="904" t="n"/>
      <c r="HR154" s="904" t="n"/>
      <c r="HS154" s="904" t="n"/>
      <c r="HT154" s="904" t="n"/>
      <c r="HU154" s="904" t="n"/>
      <c r="HV154" s="904" t="n"/>
      <c r="HW154" s="904" t="n"/>
      <c r="HX154" s="904" t="n"/>
      <c r="HY154" s="904" t="n"/>
      <c r="HZ154" s="904" t="n"/>
      <c r="IA154" s="904" t="n"/>
      <c r="IB154" s="904" t="n"/>
      <c r="IC154" s="904" t="n"/>
      <c r="ID154" s="904" t="n"/>
      <c r="IE154" s="904" t="n"/>
      <c r="IF154" s="904" t="n"/>
      <c r="IG154" s="904" t="n"/>
      <c r="IH154" s="904" t="n"/>
      <c r="II154" s="904" t="n"/>
      <c r="IJ154" s="904" t="n"/>
      <c r="IK154" s="904" t="n"/>
      <c r="IL154" s="904" t="n"/>
      <c r="IM154" s="904" t="n"/>
      <c r="IN154" s="904" t="n"/>
      <c r="IO154" s="904" t="n"/>
      <c r="IP154" s="904" t="n"/>
      <c r="IQ154" s="904" t="n"/>
      <c r="IR154" s="904" t="n"/>
      <c r="IS154" s="904" t="n"/>
      <c r="IT154" s="904" t="n"/>
      <c r="IU154" s="904" t="n"/>
      <c r="IV154" s="904" t="n"/>
      <c r="IW154" s="904" t="n"/>
      <c r="IX154" s="904" t="n"/>
      <c r="IY154" s="904" t="n"/>
      <c r="IZ154" s="904" t="n"/>
      <c r="JA154" s="904" t="n"/>
      <c r="JB154" s="904" t="n"/>
      <c r="JC154" s="904" t="n"/>
      <c r="JD154" s="904" t="n"/>
      <c r="JE154" s="904" t="n"/>
      <c r="JF154" s="904" t="n"/>
      <c r="JG154" s="904" t="n"/>
      <c r="JH154" s="904" t="n"/>
      <c r="JI154" s="904" t="n"/>
      <c r="JJ154" s="904" t="n"/>
      <c r="JK154" s="904" t="n"/>
      <c r="JL154" s="904" t="n"/>
      <c r="JM154" s="904" t="n"/>
      <c r="JN154" s="904" t="n"/>
      <c r="JO154" s="904" t="n"/>
      <c r="JP154" s="904" t="n"/>
      <c r="JQ154" s="904" t="n"/>
      <c r="JR154" s="904" t="n"/>
      <c r="JS154" s="904" t="n"/>
      <c r="JT154" s="904" t="n"/>
      <c r="JU154" s="904" t="n"/>
      <c r="JV154" s="904" t="n"/>
      <c r="JW154" s="904" t="n"/>
      <c r="JX154" s="904" t="n"/>
      <c r="JY154" s="904" t="n"/>
      <c r="JZ154" s="904" t="n"/>
      <c r="KA154" s="904" t="n"/>
      <c r="KB154" s="904" t="n"/>
      <c r="KC154" s="904" t="n"/>
      <c r="KD154" s="904" t="n"/>
      <c r="KE154" s="904" t="n"/>
      <c r="KF154" s="904" t="n"/>
      <c r="KG154" s="904" t="n"/>
      <c r="KH154" s="904" t="n"/>
      <c r="KI154" s="904" t="n"/>
      <c r="KJ154" s="904" t="n"/>
      <c r="KK154" s="904" t="n"/>
      <c r="KL154" s="904" t="n"/>
      <c r="KM154" s="904" t="n"/>
      <c r="KN154" s="904" t="n"/>
      <c r="KO154" s="904" t="n"/>
      <c r="KP154" s="1318" t="n"/>
      <c r="KQ154" s="1318">
        <f>KQ153-KP153</f>
        <v/>
      </c>
      <c r="KR154" s="1318">
        <f>KR153-KQ153</f>
        <v/>
      </c>
      <c r="KS154" s="1318">
        <f>KS153-KR153</f>
        <v/>
      </c>
      <c r="KT154" s="1318">
        <f>KT153-KS153</f>
        <v/>
      </c>
      <c r="KU154" s="1318">
        <f>KU153-KT153</f>
        <v/>
      </c>
      <c r="KV154" s="1318">
        <f>KV153-KU153</f>
        <v/>
      </c>
      <c r="KW154" s="1318">
        <f>KW153-KV153</f>
        <v/>
      </c>
      <c r="KX154" s="1318">
        <f>KX153-KW153</f>
        <v/>
      </c>
      <c r="KY154" s="1318">
        <f>KY153-KX153</f>
        <v/>
      </c>
      <c r="KZ154" s="1318">
        <f>KZ153-KY153</f>
        <v/>
      </c>
      <c r="LA154" s="1318">
        <f>LA153-KZ153</f>
        <v/>
      </c>
      <c r="LB154" s="1318" t="n"/>
      <c r="LC154" s="1318">
        <f>LC153-LB153</f>
        <v/>
      </c>
      <c r="LD154" s="1318">
        <f>LD153-LC153</f>
        <v/>
      </c>
      <c r="LE154" s="1318">
        <f>LE153-LD153</f>
        <v/>
      </c>
      <c r="LF154" s="1318">
        <f>LF153-LE153</f>
        <v/>
      </c>
      <c r="LG154" s="1318">
        <f>LG153-LF153</f>
        <v/>
      </c>
      <c r="LH154" s="1318">
        <f>LH153-LG153</f>
        <v/>
      </c>
      <c r="LI154" s="1318">
        <f>LI153-LH153</f>
        <v/>
      </c>
      <c r="LJ154" s="1318">
        <f>LJ153-LI153</f>
        <v/>
      </c>
      <c r="LK154" s="1318">
        <f>LK153-LJ153</f>
        <v/>
      </c>
      <c r="LL154" s="1318">
        <f>LL153-LK153</f>
        <v/>
      </c>
      <c r="LM154" s="1318">
        <f>LM153-LL153</f>
        <v/>
      </c>
      <c r="LN154" s="1318">
        <f>LN153-LM153</f>
        <v/>
      </c>
      <c r="LO154" s="1318">
        <f>LO153-LN153</f>
        <v/>
      </c>
      <c r="LP154" s="1318">
        <f>LP153-LO153</f>
        <v/>
      </c>
      <c r="LQ154" s="1318">
        <f>LQ153-LP153</f>
        <v/>
      </c>
      <c r="LR154" s="1318">
        <f>LR153-LQ153</f>
        <v/>
      </c>
      <c r="LS154" s="1318">
        <f>LS153-LR153</f>
        <v/>
      </c>
    </row>
    <row r="155">
      <c r="A155" s="885" t="inlineStr">
        <is>
          <t>YoY cg %</t>
        </is>
      </c>
      <c r="B155" s="904" t="n"/>
      <c r="C155" s="904" t="n"/>
      <c r="D155" s="904" t="n"/>
      <c r="E155" s="904" t="n"/>
      <c r="F155" s="904" t="n"/>
      <c r="G155" s="904" t="n"/>
      <c r="H155" s="904" t="n"/>
      <c r="I155" s="904" t="n"/>
      <c r="J155" s="904" t="n"/>
      <c r="K155" s="904" t="n"/>
      <c r="L155" s="904" t="n"/>
      <c r="M155" s="904" t="n"/>
      <c r="N155" s="904" t="n"/>
      <c r="O155" s="904" t="n"/>
      <c r="P155" s="904" t="n"/>
      <c r="Q155" s="904" t="n"/>
      <c r="R155" s="904" t="n"/>
      <c r="S155" s="904" t="n"/>
      <c r="T155" s="904" t="n"/>
      <c r="U155" s="904" t="n"/>
      <c r="V155" s="904" t="n"/>
      <c r="W155" s="904" t="n"/>
      <c r="X155" s="904" t="n"/>
      <c r="Y155" s="904" t="n"/>
      <c r="Z155" s="904" t="n"/>
      <c r="AA155" s="904" t="n"/>
      <c r="AB155" s="904" t="n"/>
      <c r="AC155" s="904" t="n"/>
      <c r="AD155" s="904" t="n"/>
      <c r="AE155" s="904" t="n"/>
      <c r="AF155" s="904" t="n"/>
      <c r="AG155" s="904" t="n"/>
      <c r="AH155" s="904" t="n"/>
      <c r="AI155" s="904" t="n"/>
      <c r="AJ155" s="904" t="n"/>
      <c r="AK155" s="904" t="n"/>
      <c r="AL155" s="904" t="n"/>
      <c r="AM155" s="904" t="n"/>
      <c r="AN155" s="904" t="n"/>
      <c r="AO155" s="904" t="n"/>
      <c r="AP155" s="904" t="n"/>
      <c r="AQ155" s="904" t="n"/>
      <c r="AR155" s="904" t="n"/>
      <c r="AS155" s="904" t="n"/>
      <c r="AT155" s="904" t="n"/>
      <c r="AU155" s="904" t="n"/>
      <c r="AV155" s="904" t="n"/>
      <c r="AW155" s="904" t="n"/>
      <c r="AX155" s="904" t="n"/>
      <c r="AY155" s="904" t="n"/>
      <c r="AZ155" s="904" t="n"/>
      <c r="BA155" s="904" t="n"/>
      <c r="BB155" s="904" t="n"/>
      <c r="BC155" s="904" t="n"/>
      <c r="BD155" s="904" t="n"/>
      <c r="BE155" s="904" t="n"/>
      <c r="BF155" s="904" t="n"/>
      <c r="BG155" s="904" t="n"/>
      <c r="BH155" s="904" t="n"/>
      <c r="BI155" s="904" t="n"/>
      <c r="BJ155" s="904" t="n"/>
      <c r="BK155" s="904" t="n"/>
      <c r="BL155" s="904" t="n"/>
      <c r="BM155" s="904" t="n"/>
      <c r="BN155" s="904" t="n"/>
      <c r="BO155" s="904" t="n"/>
      <c r="BP155" s="904" t="n"/>
      <c r="BQ155" s="904" t="n"/>
      <c r="BR155" s="904" t="n"/>
      <c r="BS155" s="904" t="n"/>
      <c r="BT155" s="904" t="n"/>
      <c r="BU155" s="904" t="n"/>
      <c r="BV155" s="904" t="n"/>
      <c r="BW155" s="904" t="n"/>
      <c r="BX155" s="904" t="n"/>
      <c r="BY155" s="904" t="n"/>
      <c r="BZ155" s="904" t="n"/>
      <c r="CA155" s="904" t="n"/>
      <c r="CB155" s="904" t="n"/>
      <c r="CC155" s="904" t="n"/>
      <c r="CD155" s="904" t="n"/>
      <c r="CE155" s="904" t="n"/>
      <c r="CF155" s="904" t="n"/>
      <c r="CG155" s="904" t="n"/>
      <c r="CH155" s="904" t="n"/>
      <c r="CI155" s="904" t="n"/>
      <c r="CJ155" s="904" t="n"/>
      <c r="CK155" s="904" t="n"/>
      <c r="CL155" s="904" t="n"/>
      <c r="CM155" s="904" t="n"/>
      <c r="CN155" s="904" t="n"/>
      <c r="CO155" s="904" t="n"/>
      <c r="CP155" s="904" t="n"/>
      <c r="CQ155" s="904" t="n"/>
      <c r="CR155" s="904" t="n"/>
      <c r="CS155" s="904" t="n"/>
      <c r="CT155" s="904" t="n"/>
      <c r="CU155" s="904" t="n"/>
      <c r="CV155" s="904" t="n"/>
      <c r="CW155" s="904" t="n"/>
      <c r="CX155" s="904" t="n"/>
      <c r="CY155" s="904" t="n"/>
      <c r="CZ155" s="904" t="n"/>
      <c r="DA155" s="904" t="n"/>
      <c r="DB155" s="904" t="n"/>
      <c r="DC155" s="904" t="n"/>
      <c r="DD155" s="904" t="n"/>
      <c r="DE155" s="904" t="n"/>
      <c r="DF155" s="904" t="n"/>
      <c r="DG155" s="904" t="n"/>
      <c r="DH155" s="904" t="n"/>
      <c r="DI155" s="904" t="n"/>
      <c r="DJ155" s="904" t="n"/>
      <c r="DK155" s="904" t="n"/>
      <c r="DL155" s="904" t="n"/>
      <c r="DM155" s="904" t="n"/>
      <c r="DN155" s="904" t="n"/>
      <c r="DO155" s="904" t="n"/>
      <c r="DP155" s="904" t="n"/>
      <c r="DQ155" s="904" t="n"/>
      <c r="DR155" s="904" t="n"/>
      <c r="DS155" s="904" t="n"/>
      <c r="DT155" s="904" t="n"/>
      <c r="DU155" s="904" t="n"/>
      <c r="DV155" s="904" t="n"/>
      <c r="DW155" s="904" t="n"/>
      <c r="DX155" s="904" t="n"/>
      <c r="DY155" s="904" t="n"/>
      <c r="DZ155" s="904" t="n"/>
      <c r="EA155" s="904" t="n"/>
      <c r="EB155" s="904" t="n"/>
      <c r="EC155" s="904" t="n"/>
      <c r="ED155" s="904" t="n"/>
      <c r="EE155" s="904" t="n"/>
      <c r="EF155" s="904" t="n"/>
      <c r="EG155" s="904" t="n"/>
      <c r="EH155" s="904" t="n"/>
      <c r="EI155" s="904" t="n"/>
      <c r="EJ155" s="904" t="n"/>
      <c r="EK155" s="904" t="n"/>
      <c r="EL155" s="904" t="n"/>
      <c r="EM155" s="904" t="n"/>
      <c r="EN155" s="904" t="n"/>
      <c r="EO155" s="904" t="n"/>
      <c r="EP155" s="904" t="n"/>
      <c r="EQ155" s="904" t="n"/>
      <c r="ER155" s="904" t="n"/>
      <c r="ES155" s="904" t="n"/>
      <c r="ET155" s="904" t="n"/>
      <c r="EU155" s="904" t="n"/>
      <c r="EV155" s="904" t="n"/>
      <c r="EW155" s="904" t="n"/>
      <c r="EX155" s="904" t="n"/>
      <c r="EY155" s="904" t="n"/>
      <c r="EZ155" s="904" t="n"/>
      <c r="FA155" s="904" t="n"/>
      <c r="FB155" s="904" t="n"/>
      <c r="FC155" s="904" t="n"/>
      <c r="FD155" s="904" t="n"/>
      <c r="FE155" s="904" t="n"/>
      <c r="FF155" s="904" t="n"/>
      <c r="FG155" s="904" t="n"/>
      <c r="FH155" s="904" t="n"/>
      <c r="FI155" s="904" t="n"/>
      <c r="FJ155" s="904" t="n"/>
      <c r="FK155" s="904" t="n"/>
      <c r="FL155" s="904" t="n"/>
      <c r="FM155" s="904" t="n"/>
      <c r="FN155" s="904" t="n"/>
      <c r="FO155" s="904" t="n"/>
      <c r="FP155" s="904" t="n"/>
      <c r="FQ155" s="904" t="n"/>
      <c r="FR155" s="904" t="n"/>
      <c r="FS155" s="904" t="n"/>
      <c r="FT155" s="904" t="n"/>
      <c r="FU155" s="904" t="n"/>
      <c r="FV155" s="904" t="n"/>
      <c r="FW155" s="904" t="n"/>
      <c r="FX155" s="904" t="n"/>
      <c r="FY155" s="904" t="n"/>
      <c r="FZ155" s="904" t="n"/>
      <c r="GA155" s="904" t="n"/>
      <c r="GB155" s="904" t="n"/>
      <c r="GC155" s="904" t="n"/>
      <c r="GD155" s="904" t="n"/>
      <c r="GE155" s="904" t="n"/>
      <c r="GF155" s="904" t="n"/>
      <c r="GG155" s="904" t="n"/>
      <c r="GH155" s="904" t="n"/>
      <c r="GI155" s="904" t="n"/>
      <c r="GJ155" s="904" t="n"/>
      <c r="GK155" s="904" t="n"/>
      <c r="GL155" s="904" t="n"/>
      <c r="GM155" s="904" t="n"/>
      <c r="GN155" s="904" t="n"/>
      <c r="GO155" s="904" t="n"/>
      <c r="GP155" s="904" t="n"/>
      <c r="GQ155" s="904" t="n"/>
      <c r="GR155" s="904" t="n"/>
      <c r="GS155" s="904" t="n"/>
      <c r="GT155" s="904" t="n"/>
      <c r="GU155" s="904" t="n"/>
      <c r="GV155" s="904" t="n"/>
      <c r="GW155" s="904" t="n"/>
      <c r="GX155" s="904" t="n"/>
      <c r="GY155" s="904" t="n"/>
      <c r="GZ155" s="904" t="n"/>
      <c r="HA155" s="904" t="n"/>
      <c r="HB155" s="904" t="n"/>
      <c r="HC155" s="904" t="n"/>
      <c r="HD155" s="904" t="n"/>
      <c r="HE155" s="904" t="n"/>
      <c r="HF155" s="904" t="n"/>
      <c r="HG155" s="904" t="n"/>
      <c r="HH155" s="904" t="n"/>
      <c r="HI155" s="904" t="n"/>
      <c r="HJ155" s="904" t="n"/>
      <c r="HK155" s="904" t="n"/>
      <c r="HL155" s="904" t="n"/>
      <c r="HM155" s="904" t="n"/>
      <c r="HN155" s="904" t="n"/>
      <c r="HO155" s="904" t="n"/>
      <c r="HP155" s="904" t="n"/>
      <c r="HQ155" s="904" t="n"/>
      <c r="HR155" s="904" t="n"/>
      <c r="HS155" s="904" t="n"/>
      <c r="HT155" s="904" t="n"/>
      <c r="HU155" s="904" t="n"/>
      <c r="HV155" s="904" t="n"/>
      <c r="HW155" s="904" t="n"/>
      <c r="HX155" s="904" t="n"/>
      <c r="HY155" s="904" t="n"/>
      <c r="HZ155" s="904" t="n"/>
      <c r="IA155" s="904" t="n"/>
      <c r="IB155" s="904" t="n"/>
      <c r="IC155" s="904" t="n"/>
      <c r="ID155" s="904" t="n"/>
      <c r="IE155" s="904" t="n"/>
      <c r="IF155" s="904" t="n"/>
      <c r="IG155" s="904" t="n"/>
      <c r="IH155" s="904" t="n"/>
      <c r="II155" s="904" t="n"/>
      <c r="IJ155" s="904" t="n"/>
      <c r="IK155" s="904" t="n"/>
      <c r="IL155" s="904" t="n"/>
      <c r="IM155" s="904" t="n"/>
      <c r="IN155" s="904" t="n"/>
      <c r="IO155" s="904" t="n"/>
      <c r="IP155" s="904" t="n"/>
      <c r="IQ155" s="904" t="n"/>
      <c r="IR155" s="904" t="n"/>
      <c r="IS155" s="904" t="n"/>
      <c r="IT155" s="904" t="n"/>
      <c r="IU155" s="904" t="n"/>
      <c r="IV155" s="904" t="n"/>
      <c r="IW155" s="904" t="n"/>
      <c r="IX155" s="904" t="n"/>
      <c r="IY155" s="904" t="n"/>
      <c r="IZ155" s="904" t="n"/>
      <c r="JA155" s="904" t="n"/>
      <c r="JB155" s="904" t="n"/>
      <c r="JC155" s="904" t="n"/>
      <c r="JD155" s="904" t="n"/>
      <c r="JE155" s="904" t="n"/>
      <c r="JF155" s="904" t="n"/>
      <c r="JG155" s="904" t="n"/>
      <c r="JH155" s="904" t="n"/>
      <c r="JI155" s="904" t="n"/>
      <c r="JJ155" s="904" t="n"/>
      <c r="JK155" s="904" t="n"/>
      <c r="JL155" s="904" t="n"/>
      <c r="JM155" s="904" t="n"/>
      <c r="JN155" s="904" t="n"/>
      <c r="JO155" s="904" t="n"/>
      <c r="JP155" s="904" t="n"/>
      <c r="JQ155" s="904" t="n"/>
      <c r="JR155" s="904" t="n"/>
      <c r="JS155" s="904" t="n"/>
      <c r="JT155" s="904" t="n"/>
      <c r="JU155" s="904" t="n"/>
      <c r="JV155" s="904" t="n"/>
      <c r="JW155" s="904" t="n"/>
      <c r="JX155" s="904" t="n"/>
      <c r="JY155" s="904" t="n"/>
      <c r="JZ155" s="904" t="n"/>
      <c r="KA155" s="904" t="n"/>
      <c r="KB155" s="904" t="n"/>
      <c r="KC155" s="904" t="n"/>
      <c r="KD155" s="904" t="n"/>
      <c r="KE155" s="904" t="n"/>
      <c r="KF155" s="904" t="n"/>
      <c r="KG155" s="904" t="n"/>
      <c r="KH155" s="904" t="n"/>
      <c r="KI155" s="904" t="n"/>
      <c r="KJ155" s="904" t="n"/>
      <c r="KK155" s="904" t="n"/>
      <c r="KL155" s="904" t="n"/>
      <c r="KM155" s="904" t="n"/>
      <c r="KN155" s="904" t="n"/>
      <c r="KO155" s="904" t="n"/>
      <c r="KP155" s="1318" t="n"/>
      <c r="KQ155" s="1318" t="n"/>
      <c r="KR155" s="1318" t="n"/>
      <c r="KS155" s="1318" t="n"/>
      <c r="KT155" s="1318" t="n"/>
      <c r="KU155" s="1318" t="n"/>
      <c r="KV155" s="1318" t="n"/>
      <c r="KW155" s="1318" t="n"/>
      <c r="KX155" s="1318" t="n"/>
      <c r="KY155" s="1318" t="n"/>
      <c r="KZ155" s="1318" t="n"/>
      <c r="LA155" s="1318" t="n"/>
      <c r="LB155" s="1318">
        <f>LB153-KP153</f>
        <v/>
      </c>
      <c r="LC155" s="1318">
        <f>LC153-KQ153</f>
        <v/>
      </c>
      <c r="LD155" s="1318">
        <f>LD153-KR153</f>
        <v/>
      </c>
      <c r="LE155" s="1318">
        <f>LE153-KS153</f>
        <v/>
      </c>
      <c r="LF155" s="1318">
        <f>LF153-KT153</f>
        <v/>
      </c>
      <c r="LG155" s="1318">
        <f>LG153-KU153</f>
        <v/>
      </c>
      <c r="LH155" s="1318">
        <f>LH153-KV153</f>
        <v/>
      </c>
      <c r="LI155" s="1318">
        <f>LI153-KW153</f>
        <v/>
      </c>
      <c r="LJ155" s="1318">
        <f>LJ153-KX153</f>
        <v/>
      </c>
      <c r="LK155" s="1318">
        <f>LK153-KY153</f>
        <v/>
      </c>
      <c r="LL155" s="1318">
        <f>LL153-KZ153</f>
        <v/>
      </c>
      <c r="LM155" s="1318">
        <f>LM153-LA153</f>
        <v/>
      </c>
      <c r="LN155" s="1318">
        <f>LN153-LB153</f>
        <v/>
      </c>
      <c r="LO155" s="1318">
        <f>LO153-LC153</f>
        <v/>
      </c>
      <c r="LP155" s="1318">
        <f>LP153-LD153</f>
        <v/>
      </c>
      <c r="LQ155" s="1318">
        <f>LQ153-LE153</f>
        <v/>
      </c>
      <c r="LR155" s="1318">
        <f>LR153-LF153</f>
        <v/>
      </c>
      <c r="LS155" s="1318">
        <f>LS153-LG153</f>
        <v/>
      </c>
    </row>
    <row r="156">
      <c r="A156" s="885" t="inlineStr">
        <is>
          <t>YTD</t>
        </is>
      </c>
      <c r="B156" s="904" t="n"/>
      <c r="C156" s="904" t="n"/>
      <c r="D156" s="904" t="n"/>
      <c r="E156" s="904" t="n"/>
      <c r="F156" s="904" t="n"/>
      <c r="G156" s="904" t="n"/>
      <c r="H156" s="904" t="n"/>
      <c r="I156" s="904" t="n"/>
      <c r="J156" s="904" t="n"/>
      <c r="K156" s="904" t="n"/>
      <c r="L156" s="904" t="n"/>
      <c r="M156" s="904" t="n"/>
      <c r="N156" s="904" t="n"/>
      <c r="O156" s="904" t="n"/>
      <c r="P156" s="904" t="n"/>
      <c r="Q156" s="904" t="n"/>
      <c r="R156" s="904" t="n"/>
      <c r="S156" s="904" t="n"/>
      <c r="T156" s="904" t="n"/>
      <c r="U156" s="904" t="n"/>
      <c r="V156" s="904" t="n"/>
      <c r="W156" s="904" t="n"/>
      <c r="X156" s="904" t="n"/>
      <c r="Y156" s="904" t="n"/>
      <c r="Z156" s="904" t="n"/>
      <c r="AA156" s="904" t="n"/>
      <c r="AB156" s="904" t="n"/>
      <c r="AC156" s="904" t="n"/>
      <c r="AD156" s="904" t="n"/>
      <c r="AE156" s="904" t="n"/>
      <c r="AF156" s="904" t="n"/>
      <c r="AG156" s="904" t="n"/>
      <c r="AH156" s="904" t="n"/>
      <c r="AI156" s="904" t="n"/>
      <c r="AJ156" s="904" t="n"/>
      <c r="AK156" s="904" t="n"/>
      <c r="AL156" s="904" t="n"/>
      <c r="AM156" s="904" t="n"/>
      <c r="AN156" s="904" t="n"/>
      <c r="AO156" s="904" t="n"/>
      <c r="AP156" s="904" t="n"/>
      <c r="AQ156" s="904" t="n"/>
      <c r="AR156" s="904" t="n"/>
      <c r="AS156" s="904" t="n"/>
      <c r="AT156" s="904" t="n"/>
      <c r="AU156" s="904" t="n"/>
      <c r="AV156" s="904" t="n"/>
      <c r="AW156" s="904" t="n"/>
      <c r="AX156" s="904" t="n"/>
      <c r="AY156" s="904" t="n"/>
      <c r="AZ156" s="904" t="n"/>
      <c r="BA156" s="904" t="n"/>
      <c r="BB156" s="904" t="n"/>
      <c r="BC156" s="904" t="n"/>
      <c r="BD156" s="904" t="n"/>
      <c r="BE156" s="904" t="n"/>
      <c r="BF156" s="904" t="n"/>
      <c r="BG156" s="904" t="n"/>
      <c r="BH156" s="904" t="n"/>
      <c r="BI156" s="904" t="n"/>
      <c r="BJ156" s="904" t="n"/>
      <c r="BK156" s="904" t="n"/>
      <c r="BL156" s="904" t="n"/>
      <c r="BM156" s="904" t="n"/>
      <c r="BN156" s="904" t="n"/>
      <c r="BO156" s="904" t="n"/>
      <c r="BP156" s="904" t="n"/>
      <c r="BQ156" s="904" t="n"/>
      <c r="BR156" s="904" t="n"/>
      <c r="BS156" s="904" t="n"/>
      <c r="BT156" s="904" t="n"/>
      <c r="BU156" s="904" t="n"/>
      <c r="BV156" s="904" t="n"/>
      <c r="BW156" s="904" t="n"/>
      <c r="BX156" s="904" t="n"/>
      <c r="BY156" s="904" t="n"/>
      <c r="BZ156" s="904" t="n"/>
      <c r="CA156" s="904" t="n"/>
      <c r="CB156" s="904" t="n"/>
      <c r="CC156" s="904" t="n"/>
      <c r="CD156" s="904" t="n"/>
      <c r="CE156" s="904" t="n"/>
      <c r="CF156" s="904" t="n"/>
      <c r="CG156" s="904" t="n"/>
      <c r="CH156" s="904" t="n"/>
      <c r="CI156" s="904" t="n"/>
      <c r="CJ156" s="904" t="n"/>
      <c r="CK156" s="904" t="n"/>
      <c r="CL156" s="904" t="n"/>
      <c r="CM156" s="904" t="n"/>
      <c r="CN156" s="904" t="n"/>
      <c r="CO156" s="904" t="n"/>
      <c r="CP156" s="904" t="n"/>
      <c r="CQ156" s="904" t="n"/>
      <c r="CR156" s="904" t="n"/>
      <c r="CS156" s="904" t="n"/>
      <c r="CT156" s="904" t="n"/>
      <c r="CU156" s="904" t="n"/>
      <c r="CV156" s="904" t="n"/>
      <c r="CW156" s="904" t="n"/>
      <c r="CX156" s="904" t="n"/>
      <c r="CY156" s="904" t="n"/>
      <c r="CZ156" s="904" t="n"/>
      <c r="DA156" s="904" t="n"/>
      <c r="DB156" s="904" t="n"/>
      <c r="DC156" s="904" t="n"/>
      <c r="DD156" s="904" t="n"/>
      <c r="DE156" s="904" t="n"/>
      <c r="DF156" s="904" t="n"/>
      <c r="DG156" s="904" t="n"/>
      <c r="DH156" s="904" t="n"/>
      <c r="DI156" s="904" t="n"/>
      <c r="DJ156" s="904" t="n"/>
      <c r="DK156" s="904" t="n"/>
      <c r="DL156" s="904" t="n"/>
      <c r="DM156" s="904" t="n"/>
      <c r="DN156" s="904" t="n"/>
      <c r="DO156" s="904" t="n"/>
      <c r="DP156" s="904" t="n"/>
      <c r="DQ156" s="904" t="n"/>
      <c r="DR156" s="904" t="n"/>
      <c r="DS156" s="904" t="n"/>
      <c r="DT156" s="904" t="n"/>
      <c r="DU156" s="904" t="n"/>
      <c r="DV156" s="904" t="n"/>
      <c r="DW156" s="904" t="n"/>
      <c r="DX156" s="904" t="n"/>
      <c r="DY156" s="904" t="n"/>
      <c r="DZ156" s="904" t="n"/>
      <c r="EA156" s="904" t="n"/>
      <c r="EB156" s="904" t="n"/>
      <c r="EC156" s="904" t="n"/>
      <c r="ED156" s="904" t="n"/>
      <c r="EE156" s="904" t="n"/>
      <c r="EF156" s="904" t="n"/>
      <c r="EG156" s="904" t="n"/>
      <c r="EH156" s="904" t="n"/>
      <c r="EI156" s="904" t="n"/>
      <c r="EJ156" s="904" t="n"/>
      <c r="EK156" s="904" t="n"/>
      <c r="EL156" s="904" t="n"/>
      <c r="EM156" s="904" t="n"/>
      <c r="EN156" s="904" t="n"/>
      <c r="EO156" s="904" t="n"/>
      <c r="EP156" s="904" t="n"/>
      <c r="EQ156" s="904" t="n"/>
      <c r="ER156" s="904" t="n"/>
      <c r="ES156" s="904" t="n"/>
      <c r="ET156" s="904" t="n"/>
      <c r="EU156" s="904" t="n"/>
      <c r="EV156" s="904" t="n"/>
      <c r="EW156" s="904" t="n"/>
      <c r="EX156" s="904" t="n"/>
      <c r="EY156" s="904" t="n"/>
      <c r="EZ156" s="904" t="n"/>
      <c r="FA156" s="904" t="n"/>
      <c r="FB156" s="904" t="n"/>
      <c r="FC156" s="904" t="n"/>
      <c r="FD156" s="904" t="n"/>
      <c r="FE156" s="904" t="n"/>
      <c r="FF156" s="904" t="n"/>
      <c r="FG156" s="904" t="n"/>
      <c r="FH156" s="904" t="n"/>
      <c r="FI156" s="904" t="n"/>
      <c r="FJ156" s="904" t="n"/>
      <c r="FK156" s="904" t="n"/>
      <c r="FL156" s="904" t="n"/>
      <c r="FM156" s="904" t="n"/>
      <c r="FN156" s="904" t="n"/>
      <c r="FO156" s="904" t="n"/>
      <c r="FP156" s="904" t="n"/>
      <c r="FQ156" s="904" t="n"/>
      <c r="FR156" s="904" t="n"/>
      <c r="FS156" s="904" t="n"/>
      <c r="FT156" s="904" t="n"/>
      <c r="FU156" s="904" t="n"/>
      <c r="FV156" s="904" t="n"/>
      <c r="FW156" s="904" t="n"/>
      <c r="FX156" s="904" t="n"/>
      <c r="FY156" s="904" t="n"/>
      <c r="FZ156" s="904" t="n"/>
      <c r="GA156" s="904" t="n"/>
      <c r="GB156" s="904" t="n"/>
      <c r="GC156" s="904" t="n"/>
      <c r="GD156" s="904" t="n"/>
      <c r="GE156" s="904" t="n"/>
      <c r="GF156" s="904" t="n"/>
      <c r="GG156" s="904" t="n"/>
      <c r="GH156" s="904" t="n"/>
      <c r="GI156" s="904" t="n"/>
      <c r="GJ156" s="904" t="n"/>
      <c r="GK156" s="904" t="n"/>
      <c r="GL156" s="904" t="n"/>
      <c r="GM156" s="904" t="n"/>
      <c r="GN156" s="904" t="n"/>
      <c r="GO156" s="904" t="n"/>
      <c r="GP156" s="904" t="n"/>
      <c r="GQ156" s="904" t="n"/>
      <c r="GR156" s="904" t="n"/>
      <c r="GS156" s="904" t="n"/>
      <c r="GT156" s="904" t="n"/>
      <c r="GU156" s="904" t="n"/>
      <c r="GV156" s="904" t="n"/>
      <c r="GW156" s="904" t="n"/>
      <c r="GX156" s="904" t="n"/>
      <c r="GY156" s="904" t="n"/>
      <c r="GZ156" s="904" t="n"/>
      <c r="HA156" s="904" t="n"/>
      <c r="HB156" s="904" t="n"/>
      <c r="HC156" s="904" t="n"/>
      <c r="HD156" s="904" t="n"/>
      <c r="HE156" s="904" t="n"/>
      <c r="HF156" s="904" t="n"/>
      <c r="HG156" s="904" t="n"/>
      <c r="HH156" s="904" t="n"/>
      <c r="HI156" s="904" t="n"/>
      <c r="HJ156" s="904" t="n"/>
      <c r="HK156" s="904" t="n"/>
      <c r="HL156" s="904" t="n"/>
      <c r="HM156" s="904" t="n"/>
      <c r="HN156" s="904" t="n"/>
      <c r="HO156" s="904" t="n"/>
      <c r="HP156" s="904" t="n"/>
      <c r="HQ156" s="904" t="n"/>
      <c r="HR156" s="904" t="n"/>
      <c r="HS156" s="904" t="n"/>
      <c r="HT156" s="904" t="n"/>
      <c r="HU156" s="904" t="n"/>
      <c r="HV156" s="904" t="n"/>
      <c r="HW156" s="904" t="n"/>
      <c r="HX156" s="904" t="n"/>
      <c r="HY156" s="904" t="n"/>
      <c r="HZ156" s="904" t="n"/>
      <c r="IA156" s="904" t="n"/>
      <c r="IB156" s="904" t="n"/>
      <c r="IC156" s="904" t="n"/>
      <c r="ID156" s="904" t="n"/>
      <c r="IE156" s="904" t="n"/>
      <c r="IF156" s="904" t="n"/>
      <c r="IG156" s="904" t="n"/>
      <c r="IH156" s="904" t="n"/>
      <c r="II156" s="904" t="n"/>
      <c r="IJ156" s="904" t="n"/>
      <c r="IK156" s="904" t="n"/>
      <c r="IL156" s="904" t="n"/>
      <c r="IM156" s="904" t="n"/>
      <c r="IN156" s="904" t="n"/>
      <c r="IO156" s="904" t="n"/>
      <c r="IP156" s="904" t="n"/>
      <c r="IQ156" s="904" t="n"/>
      <c r="IR156" s="904" t="n"/>
      <c r="IS156" s="904" t="n"/>
      <c r="IT156" s="904" t="n"/>
      <c r="IU156" s="904" t="n"/>
      <c r="IV156" s="904" t="n"/>
      <c r="IW156" s="904" t="n"/>
      <c r="IX156" s="904" t="n"/>
      <c r="IY156" s="904" t="n"/>
      <c r="IZ156" s="904" t="n"/>
      <c r="JA156" s="904" t="n"/>
      <c r="JB156" s="904" t="n"/>
      <c r="JC156" s="904" t="n"/>
      <c r="JD156" s="904" t="n"/>
      <c r="JE156" s="904" t="n"/>
      <c r="JF156" s="904" t="n"/>
      <c r="JG156" s="904" t="n"/>
      <c r="JH156" s="904" t="n"/>
      <c r="JI156" s="904" t="n"/>
      <c r="JJ156" s="904" t="n"/>
      <c r="JK156" s="904" t="n"/>
      <c r="JL156" s="904" t="n"/>
      <c r="JM156" s="904" t="n"/>
      <c r="JN156" s="904" t="n"/>
      <c r="JO156" s="904" t="n"/>
      <c r="JP156" s="904" t="n"/>
      <c r="JQ156" s="904" t="n"/>
      <c r="JR156" s="904" t="n"/>
      <c r="JS156" s="904" t="n"/>
      <c r="JT156" s="904" t="n"/>
      <c r="JU156" s="904" t="n"/>
      <c r="JV156" s="904" t="n"/>
      <c r="JW156" s="904" t="n"/>
      <c r="JX156" s="904" t="n"/>
      <c r="JY156" s="904" t="n"/>
      <c r="JZ156" s="904" t="n"/>
      <c r="KA156" s="904" t="n"/>
      <c r="KB156" s="904" t="n"/>
      <c r="KC156" s="904" t="n"/>
      <c r="KD156" s="904" t="n"/>
      <c r="KE156" s="904" t="n"/>
      <c r="KF156" s="904" t="n"/>
      <c r="KG156" s="904" t="n"/>
      <c r="KH156" s="904" t="n"/>
      <c r="KI156" s="904" t="n"/>
      <c r="KJ156" s="904" t="n"/>
      <c r="KK156" s="904" t="n"/>
      <c r="KL156" s="904" t="n"/>
      <c r="KM156" s="904" t="n"/>
      <c r="KN156" s="904" t="n"/>
      <c r="KO156" s="904" t="n"/>
      <c r="KP156" s="1318">
        <f>SUMIFS(149:149,$8:$8,"&gt;="&amp;DATE(YEAR(KP$8),1,1),$8:$8,"&lt;="&amp;EOMONTH(KP$8,0))/SUMIFS(145:145,$8:$8,"&gt;="&amp;DATE(YEAR(KP$8),1,1),$8:$8,"&lt;="&amp;EOMONTH(KP$8,0))</f>
        <v/>
      </c>
      <c r="KQ156" s="1318">
        <f>SUMIFS(149:149,$8:$8,"&gt;="&amp;DATE(YEAR(KQ$8),1,1),$8:$8,"&lt;="&amp;EOMONTH(KQ$8,0))/SUMIFS(145:145,$8:$8,"&gt;="&amp;DATE(YEAR(KQ$8),1,1),$8:$8,"&lt;="&amp;EOMONTH(KQ$8,0))</f>
        <v/>
      </c>
      <c r="KR156" s="1318">
        <f>SUMIFS(149:149,$8:$8,"&gt;="&amp;DATE(YEAR(KR$8),1,1),$8:$8,"&lt;="&amp;EOMONTH(KR$8,0))/SUMIFS(145:145,$8:$8,"&gt;="&amp;DATE(YEAR(KR$8),1,1),$8:$8,"&lt;="&amp;EOMONTH(KR$8,0))</f>
        <v/>
      </c>
      <c r="KS156" s="1318">
        <f>SUMIFS(149:149,$8:$8,"&gt;="&amp;DATE(YEAR(KS$8),1,1),$8:$8,"&lt;="&amp;EOMONTH(KS$8,0))/SUMIFS(145:145,$8:$8,"&gt;="&amp;DATE(YEAR(KS$8),1,1),$8:$8,"&lt;="&amp;EOMONTH(KS$8,0))</f>
        <v/>
      </c>
      <c r="KT156" s="1318">
        <f>SUMIFS(149:149,$8:$8,"&gt;="&amp;DATE(YEAR(KT$8),1,1),$8:$8,"&lt;="&amp;EOMONTH(KT$8,0))/SUMIFS(145:145,$8:$8,"&gt;="&amp;DATE(YEAR(KT$8),1,1),$8:$8,"&lt;="&amp;EOMONTH(KT$8,0))</f>
        <v/>
      </c>
      <c r="KU156" s="1318">
        <f>SUMIFS(149:149,$8:$8,"&gt;="&amp;DATE(YEAR(KU$8),1,1),$8:$8,"&lt;="&amp;EOMONTH(KU$8,0))/SUMIFS(145:145,$8:$8,"&gt;="&amp;DATE(YEAR(KU$8),1,1),$8:$8,"&lt;="&amp;EOMONTH(KU$8,0))</f>
        <v/>
      </c>
      <c r="KV156" s="1318">
        <f>SUMIFS(149:149,$8:$8,"&gt;="&amp;DATE(YEAR(KV$8),1,1),$8:$8,"&lt;="&amp;EOMONTH(KV$8,0))/SUMIFS(145:145,$8:$8,"&gt;="&amp;DATE(YEAR(KV$8),1,1),$8:$8,"&lt;="&amp;EOMONTH(KV$8,0))</f>
        <v/>
      </c>
      <c r="KW156" s="1318">
        <f>SUMIFS(149:149,$8:$8,"&gt;="&amp;DATE(YEAR(KW$8),1,1),$8:$8,"&lt;="&amp;EOMONTH(KW$8,0))/SUMIFS(145:145,$8:$8,"&gt;="&amp;DATE(YEAR(KW$8),1,1),$8:$8,"&lt;="&amp;EOMONTH(KW$8,0))</f>
        <v/>
      </c>
      <c r="KX156" s="1318">
        <f>SUMIFS(149:149,$8:$8,"&gt;="&amp;DATE(YEAR(KX$8),1,1),$8:$8,"&lt;="&amp;EOMONTH(KX$8,0))/SUMIFS(145:145,$8:$8,"&gt;="&amp;DATE(YEAR(KX$8),1,1),$8:$8,"&lt;="&amp;EOMONTH(KX$8,0))</f>
        <v/>
      </c>
      <c r="KY156" s="1318">
        <f>SUMIFS(149:149,$8:$8,"&gt;="&amp;DATE(YEAR(KY$8),1,1),$8:$8,"&lt;="&amp;EOMONTH(KY$8,0))/SUMIFS(145:145,$8:$8,"&gt;="&amp;DATE(YEAR(KY$8),1,1),$8:$8,"&lt;="&amp;EOMONTH(KY$8,0))</f>
        <v/>
      </c>
      <c r="KZ156" s="1318">
        <f>SUMIFS(149:149,$8:$8,"&gt;="&amp;DATE(YEAR(KZ$8),1,1),$8:$8,"&lt;="&amp;EOMONTH(KZ$8,0))/SUMIFS(145:145,$8:$8,"&gt;="&amp;DATE(YEAR(KZ$8),1,1),$8:$8,"&lt;="&amp;EOMONTH(KZ$8,0))</f>
        <v/>
      </c>
      <c r="LA156" s="1318">
        <f>SUMIFS(149:149,$8:$8,"&gt;="&amp;DATE(YEAR(LA$8),1,1),$8:$8,"&lt;="&amp;EOMONTH(LA$8,0))/SUMIFS(145:145,$8:$8,"&gt;="&amp;DATE(YEAR(LA$8),1,1),$8:$8,"&lt;="&amp;EOMONTH(LA$8,0))</f>
        <v/>
      </c>
      <c r="LB156" s="1318">
        <f>SUMIFS(149:149,$8:$8,"&gt;="&amp;DATE(YEAR(LB$8),1,1),$8:$8,"&lt;="&amp;EOMONTH(LB$8,0))/SUMIFS(145:145,$8:$8,"&gt;="&amp;DATE(YEAR(LB$8),1,1),$8:$8,"&lt;="&amp;EOMONTH(LB$8,0))</f>
        <v/>
      </c>
      <c r="LC156" s="1318">
        <f>SUMIFS(149:149,$8:$8,"&gt;="&amp;DATE(YEAR(LC$8),1,1),$8:$8,"&lt;="&amp;EOMONTH(LC$8,0))/SUMIFS(145:145,$8:$8,"&gt;="&amp;DATE(YEAR(LC$8),1,1),$8:$8,"&lt;="&amp;EOMONTH(LC$8,0))</f>
        <v/>
      </c>
      <c r="LD156" s="1318">
        <f>SUMIFS(149:149,$8:$8,"&gt;="&amp;DATE(YEAR(LD$8),1,1),$8:$8,"&lt;="&amp;EOMONTH(LD$8,0))/SUMIFS(145:145,$8:$8,"&gt;="&amp;DATE(YEAR(LD$8),1,1),$8:$8,"&lt;="&amp;EOMONTH(LD$8,0))</f>
        <v/>
      </c>
      <c r="LE156" s="1318">
        <f>SUMIFS(149:149,$8:$8,"&gt;="&amp;DATE(YEAR(LE$8),1,1),$8:$8,"&lt;="&amp;EOMONTH(LE$8,0))/SUMIFS(145:145,$8:$8,"&gt;="&amp;DATE(YEAR(LE$8),1,1),$8:$8,"&lt;="&amp;EOMONTH(LE$8,0))</f>
        <v/>
      </c>
      <c r="LF156" s="1318">
        <f>SUMIFS(149:149,$8:$8,"&gt;="&amp;DATE(YEAR(LF$8),1,1),$8:$8,"&lt;="&amp;EOMONTH(LF$8,0))/SUMIFS(145:145,$8:$8,"&gt;="&amp;DATE(YEAR(LF$8),1,1),$8:$8,"&lt;="&amp;EOMONTH(LF$8,0))</f>
        <v/>
      </c>
      <c r="LG156" s="1318">
        <f>SUMIFS(149:149,$8:$8,"&gt;="&amp;DATE(YEAR(LG$8),1,1),$8:$8,"&lt;="&amp;EOMONTH(LG$8,0))/SUMIFS(145:145,$8:$8,"&gt;="&amp;DATE(YEAR(LG$8),1,1),$8:$8,"&lt;="&amp;EOMONTH(LG$8,0))</f>
        <v/>
      </c>
      <c r="LH156" s="1318">
        <f>SUMIFS(149:149,$8:$8,"&gt;="&amp;DATE(YEAR(LH$8),1,1),$8:$8,"&lt;="&amp;EOMONTH(LH$8,0))/SUMIFS(145:145,$8:$8,"&gt;="&amp;DATE(YEAR(LH$8),1,1),$8:$8,"&lt;="&amp;EOMONTH(LH$8,0))</f>
        <v/>
      </c>
      <c r="LI156" s="1318">
        <f>SUMIFS(149:149,$8:$8,"&gt;="&amp;DATE(YEAR(LI$8),1,1),$8:$8,"&lt;="&amp;EOMONTH(LI$8,0))/SUMIFS(145:145,$8:$8,"&gt;="&amp;DATE(YEAR(LI$8),1,1),$8:$8,"&lt;="&amp;EOMONTH(LI$8,0))</f>
        <v/>
      </c>
      <c r="LJ156" s="1318">
        <f>SUMIFS(149:149,$8:$8,"&gt;="&amp;DATE(YEAR(LJ$8),1,1),$8:$8,"&lt;="&amp;EOMONTH(LJ$8,0))/SUMIFS(145:145,$8:$8,"&gt;="&amp;DATE(YEAR(LJ$8),1,1),$8:$8,"&lt;="&amp;EOMONTH(LJ$8,0))</f>
        <v/>
      </c>
      <c r="LK156" s="1318">
        <f>SUMIFS(149:149,$8:$8,"&gt;="&amp;DATE(YEAR(LK$8),1,1),$8:$8,"&lt;="&amp;EOMONTH(LK$8,0))/SUMIFS(145:145,$8:$8,"&gt;="&amp;DATE(YEAR(LK$8),1,1),$8:$8,"&lt;="&amp;EOMONTH(LK$8,0))</f>
        <v/>
      </c>
      <c r="LL156" s="1318">
        <f>SUMIFS(149:149,$8:$8,"&gt;="&amp;DATE(YEAR(LL$8),1,1),$8:$8,"&lt;="&amp;EOMONTH(LL$8,0))/SUMIFS(145:145,$8:$8,"&gt;="&amp;DATE(YEAR(LL$8),1,1),$8:$8,"&lt;="&amp;EOMONTH(LL$8,0))</f>
        <v/>
      </c>
      <c r="LM156" s="1318">
        <f>SUMIFS(149:149,$8:$8,"&gt;="&amp;DATE(YEAR(LM$8),1,1),$8:$8,"&lt;="&amp;EOMONTH(LM$8,0))/SUMIFS(145:145,$8:$8,"&gt;="&amp;DATE(YEAR(LM$8),1,1),$8:$8,"&lt;="&amp;EOMONTH(LM$8,0))</f>
        <v/>
      </c>
      <c r="LN156" s="1318">
        <f>SUMIFS(149:149,$8:$8,"&gt;="&amp;DATE(YEAR(LN$8),1,1),$8:$8,"&lt;="&amp;EOMONTH(LN$8,0))/SUMIFS(145:145,$8:$8,"&gt;="&amp;DATE(YEAR(LN$8),1,1),$8:$8,"&lt;="&amp;EOMONTH(LN$8,0))</f>
        <v/>
      </c>
      <c r="LO156" s="1318">
        <f>SUMIFS(149:149,$8:$8,"&gt;="&amp;DATE(YEAR(LO$8),1,1),$8:$8,"&lt;="&amp;EOMONTH(LO$8,0))/SUMIFS(145:145,$8:$8,"&gt;="&amp;DATE(YEAR(LO$8),1,1),$8:$8,"&lt;="&amp;EOMONTH(LO$8,0))</f>
        <v/>
      </c>
      <c r="LP156" s="1318">
        <f>SUMIFS(149:149,$8:$8,"&gt;="&amp;DATE(YEAR(LP$8),1,1),$8:$8,"&lt;="&amp;EOMONTH(LP$8,0))/SUMIFS(145:145,$8:$8,"&gt;="&amp;DATE(YEAR(LP$8),1,1),$8:$8,"&lt;="&amp;EOMONTH(LP$8,0))</f>
        <v/>
      </c>
      <c r="LQ156" s="1318">
        <f>SUMIFS(149:149,$8:$8,"&gt;="&amp;DATE(YEAR(LQ$8),1,1),$8:$8,"&lt;="&amp;EOMONTH(LQ$8,0))/SUMIFS(145:145,$8:$8,"&gt;="&amp;DATE(YEAR(LQ$8),1,1),$8:$8,"&lt;="&amp;EOMONTH(LQ$8,0))</f>
        <v/>
      </c>
      <c r="LR156" s="1318">
        <f>SUMIFS(149:149,$8:$8,"&gt;="&amp;DATE(YEAR(LR$8),1,1),$8:$8,"&lt;="&amp;EOMONTH(LR$8,0))/SUMIFS(145:145,$8:$8,"&gt;="&amp;DATE(YEAR(LR$8),1,1),$8:$8,"&lt;="&amp;EOMONTH(LR$8,0))</f>
        <v/>
      </c>
      <c r="LS156" s="1318">
        <f>SUMIFS(149:149,$8:$8,"&gt;="&amp;DATE(YEAR(LS$8),1,1),$8:$8,"&lt;="&amp;EOMONTH(LS$8,0))/SUMIFS(145:145,$8:$8,"&gt;="&amp;DATE(YEAR(LS$8),1,1),$8:$8,"&lt;="&amp;EOMONTH(LS$8,0))</f>
        <v/>
      </c>
    </row>
    <row r="157">
      <c r="A157" s="885" t="inlineStr">
        <is>
          <t>YTD cg %</t>
        </is>
      </c>
      <c r="B157" s="904" t="n"/>
      <c r="C157" s="904" t="n"/>
      <c r="D157" s="904" t="n"/>
      <c r="E157" s="904" t="n"/>
      <c r="F157" s="904" t="n"/>
      <c r="G157" s="904" t="n"/>
      <c r="H157" s="904" t="n"/>
      <c r="I157" s="904" t="n"/>
      <c r="J157" s="904" t="n"/>
      <c r="K157" s="904" t="n"/>
      <c r="L157" s="904" t="n"/>
      <c r="M157" s="904" t="n"/>
      <c r="N157" s="904" t="n"/>
      <c r="O157" s="904" t="n"/>
      <c r="P157" s="904" t="n"/>
      <c r="Q157" s="904" t="n"/>
      <c r="R157" s="904" t="n"/>
      <c r="S157" s="904" t="n"/>
      <c r="T157" s="904" t="n"/>
      <c r="U157" s="904" t="n"/>
      <c r="V157" s="904" t="n"/>
      <c r="W157" s="904" t="n"/>
      <c r="X157" s="904" t="n"/>
      <c r="Y157" s="904" t="n"/>
      <c r="Z157" s="904" t="n"/>
      <c r="AA157" s="904" t="n"/>
      <c r="AB157" s="904" t="n"/>
      <c r="AC157" s="904" t="n"/>
      <c r="AD157" s="904" t="n"/>
      <c r="AE157" s="904" t="n"/>
      <c r="AF157" s="904" t="n"/>
      <c r="AG157" s="904" t="n"/>
      <c r="AH157" s="904" t="n"/>
      <c r="AI157" s="904" t="n"/>
      <c r="AJ157" s="904" t="n"/>
      <c r="AK157" s="904" t="n"/>
      <c r="AL157" s="904" t="n"/>
      <c r="AM157" s="904" t="n"/>
      <c r="AN157" s="904" t="n"/>
      <c r="AO157" s="904" t="n"/>
      <c r="AP157" s="904" t="n"/>
      <c r="AQ157" s="904" t="n"/>
      <c r="AR157" s="904" t="n"/>
      <c r="AS157" s="904" t="n"/>
      <c r="AT157" s="904" t="n"/>
      <c r="AU157" s="904" t="n"/>
      <c r="AV157" s="904" t="n"/>
      <c r="AW157" s="904" t="n"/>
      <c r="AX157" s="904" t="n"/>
      <c r="AY157" s="904" t="n"/>
      <c r="AZ157" s="904" t="n"/>
      <c r="BA157" s="904" t="n"/>
      <c r="BB157" s="904" t="n"/>
      <c r="BC157" s="904" t="n"/>
      <c r="BD157" s="904" t="n"/>
      <c r="BE157" s="904" t="n"/>
      <c r="BF157" s="904" t="n"/>
      <c r="BG157" s="904" t="n"/>
      <c r="BH157" s="904" t="n"/>
      <c r="BI157" s="904" t="n"/>
      <c r="BJ157" s="904" t="n"/>
      <c r="BK157" s="904" t="n"/>
      <c r="BL157" s="904" t="n"/>
      <c r="BM157" s="904" t="n"/>
      <c r="BN157" s="904" t="n"/>
      <c r="BO157" s="904" t="n"/>
      <c r="BP157" s="904" t="n"/>
      <c r="BQ157" s="904" t="n"/>
      <c r="BR157" s="904" t="n"/>
      <c r="BS157" s="904" t="n"/>
      <c r="BT157" s="904" t="n"/>
      <c r="BU157" s="904" t="n"/>
      <c r="BV157" s="904" t="n"/>
      <c r="BW157" s="904" t="n"/>
      <c r="BX157" s="904" t="n"/>
      <c r="BY157" s="904" t="n"/>
      <c r="BZ157" s="904" t="n"/>
      <c r="CA157" s="904" t="n"/>
      <c r="CB157" s="904" t="n"/>
      <c r="CC157" s="904" t="n"/>
      <c r="CD157" s="904" t="n"/>
      <c r="CE157" s="904" t="n"/>
      <c r="CF157" s="904" t="n"/>
      <c r="CG157" s="904" t="n"/>
      <c r="CH157" s="904" t="n"/>
      <c r="CI157" s="904" t="n"/>
      <c r="CJ157" s="904" t="n"/>
      <c r="CK157" s="904" t="n"/>
      <c r="CL157" s="904" t="n"/>
      <c r="CM157" s="904" t="n"/>
      <c r="CN157" s="904" t="n"/>
      <c r="CO157" s="904" t="n"/>
      <c r="CP157" s="904" t="n"/>
      <c r="CQ157" s="904" t="n"/>
      <c r="CR157" s="904" t="n"/>
      <c r="CS157" s="904" t="n"/>
      <c r="CT157" s="904" t="n"/>
      <c r="CU157" s="904" t="n"/>
      <c r="CV157" s="904" t="n"/>
      <c r="CW157" s="904" t="n"/>
      <c r="CX157" s="904" t="n"/>
      <c r="CY157" s="904" t="n"/>
      <c r="CZ157" s="904" t="n"/>
      <c r="DA157" s="904" t="n"/>
      <c r="DB157" s="904" t="n"/>
      <c r="DC157" s="904" t="n"/>
      <c r="DD157" s="904" t="n"/>
      <c r="DE157" s="904" t="n"/>
      <c r="DF157" s="904" t="n"/>
      <c r="DG157" s="904" t="n"/>
      <c r="DH157" s="904" t="n"/>
      <c r="DI157" s="904" t="n"/>
      <c r="DJ157" s="904" t="n"/>
      <c r="DK157" s="904" t="n"/>
      <c r="DL157" s="904" t="n"/>
      <c r="DM157" s="904" t="n"/>
      <c r="DN157" s="904" t="n"/>
      <c r="DO157" s="904" t="n"/>
      <c r="DP157" s="904" t="n"/>
      <c r="DQ157" s="904" t="n"/>
      <c r="DR157" s="904" t="n"/>
      <c r="DS157" s="904" t="n"/>
      <c r="DT157" s="904" t="n"/>
      <c r="DU157" s="904" t="n"/>
      <c r="DV157" s="904" t="n"/>
      <c r="DW157" s="904" t="n"/>
      <c r="DX157" s="904" t="n"/>
      <c r="DY157" s="904" t="n"/>
      <c r="DZ157" s="904" t="n"/>
      <c r="EA157" s="904" t="n"/>
      <c r="EB157" s="904" t="n"/>
      <c r="EC157" s="904" t="n"/>
      <c r="ED157" s="904" t="n"/>
      <c r="EE157" s="904" t="n"/>
      <c r="EF157" s="904" t="n"/>
      <c r="EG157" s="904" t="n"/>
      <c r="EH157" s="904" t="n"/>
      <c r="EI157" s="904" t="n"/>
      <c r="EJ157" s="904" t="n"/>
      <c r="EK157" s="904" t="n"/>
      <c r="EL157" s="904" t="n"/>
      <c r="EM157" s="904" t="n"/>
      <c r="EN157" s="904" t="n"/>
      <c r="EO157" s="904" t="n"/>
      <c r="EP157" s="904" t="n"/>
      <c r="EQ157" s="904" t="n"/>
      <c r="ER157" s="904" t="n"/>
      <c r="ES157" s="904" t="n"/>
      <c r="ET157" s="904" t="n"/>
      <c r="EU157" s="904" t="n"/>
      <c r="EV157" s="904" t="n"/>
      <c r="EW157" s="904" t="n"/>
      <c r="EX157" s="904" t="n"/>
      <c r="EY157" s="904" t="n"/>
      <c r="EZ157" s="904" t="n"/>
      <c r="FA157" s="904" t="n"/>
      <c r="FB157" s="904" t="n"/>
      <c r="FC157" s="904" t="n"/>
      <c r="FD157" s="904" t="n"/>
      <c r="FE157" s="904" t="n"/>
      <c r="FF157" s="904" t="n"/>
      <c r="FG157" s="904" t="n"/>
      <c r="FH157" s="904" t="n"/>
      <c r="FI157" s="904" t="n"/>
      <c r="FJ157" s="904" t="n"/>
      <c r="FK157" s="904" t="n"/>
      <c r="FL157" s="904" t="n"/>
      <c r="FM157" s="904" t="n"/>
      <c r="FN157" s="904" t="n"/>
      <c r="FO157" s="904" t="n"/>
      <c r="FP157" s="904" t="n"/>
      <c r="FQ157" s="904" t="n"/>
      <c r="FR157" s="904" t="n"/>
      <c r="FS157" s="904" t="n"/>
      <c r="FT157" s="904" t="n"/>
      <c r="FU157" s="904" t="n"/>
      <c r="FV157" s="904" t="n"/>
      <c r="FW157" s="904" t="n"/>
      <c r="FX157" s="904" t="n"/>
      <c r="FY157" s="904" t="n"/>
      <c r="FZ157" s="904" t="n"/>
      <c r="GA157" s="904" t="n"/>
      <c r="GB157" s="904" t="n"/>
      <c r="GC157" s="904" t="n"/>
      <c r="GD157" s="904" t="n"/>
      <c r="GE157" s="904" t="n"/>
      <c r="GF157" s="904" t="n"/>
      <c r="GG157" s="904" t="n"/>
      <c r="GH157" s="904" t="n"/>
      <c r="GI157" s="904" t="n"/>
      <c r="GJ157" s="904" t="n"/>
      <c r="GK157" s="904" t="n"/>
      <c r="GL157" s="904" t="n"/>
      <c r="GM157" s="904" t="n"/>
      <c r="GN157" s="904" t="n"/>
      <c r="GO157" s="904" t="n"/>
      <c r="GP157" s="904" t="n"/>
      <c r="GQ157" s="904" t="n"/>
      <c r="GR157" s="904" t="n"/>
      <c r="GS157" s="904" t="n"/>
      <c r="GT157" s="904" t="n"/>
      <c r="GU157" s="904" t="n"/>
      <c r="GV157" s="904" t="n"/>
      <c r="GW157" s="904" t="n"/>
      <c r="GX157" s="904" t="n"/>
      <c r="GY157" s="904" t="n"/>
      <c r="GZ157" s="904" t="n"/>
      <c r="HA157" s="904" t="n"/>
      <c r="HB157" s="904" t="n"/>
      <c r="HC157" s="904" t="n"/>
      <c r="HD157" s="904" t="n"/>
      <c r="HE157" s="904" t="n"/>
      <c r="HF157" s="904" t="n"/>
      <c r="HG157" s="904" t="n"/>
      <c r="HH157" s="904" t="n"/>
      <c r="HI157" s="904" t="n"/>
      <c r="HJ157" s="904" t="n"/>
      <c r="HK157" s="904" t="n"/>
      <c r="HL157" s="904" t="n"/>
      <c r="HM157" s="904" t="n"/>
      <c r="HN157" s="904" t="n"/>
      <c r="HO157" s="904" t="n"/>
      <c r="HP157" s="904" t="n"/>
      <c r="HQ157" s="904" t="n"/>
      <c r="HR157" s="904" t="n"/>
      <c r="HS157" s="904" t="n"/>
      <c r="HT157" s="904" t="n"/>
      <c r="HU157" s="904" t="n"/>
      <c r="HV157" s="904" t="n"/>
      <c r="HW157" s="904" t="n"/>
      <c r="HX157" s="904" t="n"/>
      <c r="HY157" s="904" t="n"/>
      <c r="HZ157" s="904" t="n"/>
      <c r="IA157" s="904" t="n"/>
      <c r="IB157" s="904" t="n"/>
      <c r="IC157" s="904" t="n"/>
      <c r="ID157" s="904" t="n"/>
      <c r="IE157" s="904" t="n"/>
      <c r="IF157" s="904" t="n"/>
      <c r="IG157" s="904" t="n"/>
      <c r="IH157" s="904" t="n"/>
      <c r="II157" s="904" t="n"/>
      <c r="IJ157" s="904" t="n"/>
      <c r="IK157" s="904" t="n"/>
      <c r="IL157" s="904" t="n"/>
      <c r="IM157" s="904" t="n"/>
      <c r="IN157" s="904" t="n"/>
      <c r="IO157" s="904" t="n"/>
      <c r="IP157" s="904" t="n"/>
      <c r="IQ157" s="904" t="n"/>
      <c r="IR157" s="904" t="n"/>
      <c r="IS157" s="904" t="n"/>
      <c r="IT157" s="904" t="n"/>
      <c r="IU157" s="904" t="n"/>
      <c r="IV157" s="904" t="n"/>
      <c r="IW157" s="904" t="n"/>
      <c r="IX157" s="904" t="n"/>
      <c r="IY157" s="904" t="n"/>
      <c r="IZ157" s="904" t="n"/>
      <c r="JA157" s="904" t="n"/>
      <c r="JB157" s="904" t="n"/>
      <c r="JC157" s="904" t="n"/>
      <c r="JD157" s="904" t="n"/>
      <c r="JE157" s="904" t="n"/>
      <c r="JF157" s="904" t="n"/>
      <c r="JG157" s="904" t="n"/>
      <c r="JH157" s="904" t="n"/>
      <c r="JI157" s="904" t="n"/>
      <c r="JJ157" s="904" t="n"/>
      <c r="JK157" s="904" t="n"/>
      <c r="JL157" s="904" t="n"/>
      <c r="JM157" s="904" t="n"/>
      <c r="JN157" s="904" t="n"/>
      <c r="JO157" s="904" t="n"/>
      <c r="JP157" s="904" t="n"/>
      <c r="JQ157" s="904" t="n"/>
      <c r="JR157" s="904" t="n"/>
      <c r="JS157" s="904" t="n"/>
      <c r="JT157" s="904" t="n"/>
      <c r="JU157" s="904" t="n"/>
      <c r="JV157" s="904" t="n"/>
      <c r="JW157" s="904" t="n"/>
      <c r="JX157" s="904" t="n"/>
      <c r="JY157" s="904" t="n"/>
      <c r="JZ157" s="904" t="n"/>
      <c r="KA157" s="904" t="n"/>
      <c r="KB157" s="904" t="n"/>
      <c r="KC157" s="904" t="n"/>
      <c r="KD157" s="904" t="n"/>
      <c r="KE157" s="904" t="n"/>
      <c r="KF157" s="904" t="n"/>
      <c r="KG157" s="904" t="n"/>
      <c r="KH157" s="904" t="n"/>
      <c r="KI157" s="904" t="n"/>
      <c r="KJ157" s="904" t="n"/>
      <c r="KK157" s="904" t="n"/>
      <c r="KL157" s="904" t="n"/>
      <c r="KM157" s="904" t="n"/>
      <c r="KN157" s="904" t="n"/>
      <c r="KO157" s="904" t="n"/>
      <c r="KP157" s="1318" t="n"/>
      <c r="KQ157" s="1318" t="n"/>
      <c r="KR157" s="1318" t="n"/>
      <c r="KS157" s="1318" t="n"/>
      <c r="KT157" s="1318" t="n"/>
      <c r="KU157" s="1318" t="n"/>
      <c r="KV157" s="1318" t="n"/>
      <c r="KW157" s="1318" t="n"/>
      <c r="KX157" s="1318" t="n"/>
      <c r="KY157" s="1318" t="n"/>
      <c r="KZ157" s="1318" t="n"/>
      <c r="LA157" s="1318" t="n"/>
      <c r="LB157" s="1318">
        <f>LB156-KP156</f>
        <v/>
      </c>
      <c r="LC157" s="1318">
        <f>LC156-KQ156</f>
        <v/>
      </c>
      <c r="LD157" s="1318">
        <f>LD156-KR156</f>
        <v/>
      </c>
      <c r="LE157" s="1318">
        <f>LE156-KS156</f>
        <v/>
      </c>
      <c r="LF157" s="1318">
        <f>LF156-KT156</f>
        <v/>
      </c>
      <c r="LG157" s="1318">
        <f>LG156-KU156</f>
        <v/>
      </c>
      <c r="LH157" s="1318">
        <f>LH156-KV156</f>
        <v/>
      </c>
      <c r="LI157" s="1318">
        <f>LI156-KW156</f>
        <v/>
      </c>
      <c r="LJ157" s="1318">
        <f>LJ156-KX156</f>
        <v/>
      </c>
      <c r="LK157" s="1318">
        <f>LK156-KY156</f>
        <v/>
      </c>
      <c r="LL157" s="1318">
        <f>LL156-KZ156</f>
        <v/>
      </c>
      <c r="LM157" s="1318">
        <f>LM156-LA156</f>
        <v/>
      </c>
      <c r="LN157" s="1318">
        <f>LN156-LB156</f>
        <v/>
      </c>
      <c r="LO157" s="1318">
        <f>LO156-LC156</f>
        <v/>
      </c>
      <c r="LP157" s="1318">
        <f>LP156-LD156</f>
        <v/>
      </c>
      <c r="LQ157" s="1318">
        <f>LQ156-LE156</f>
        <v/>
      </c>
      <c r="LR157" s="1318">
        <f>LR156-LF156</f>
        <v/>
      </c>
      <c r="LS157" s="1318">
        <f>LS156-LG156</f>
        <v/>
      </c>
    </row>
    <row r="158" ht="15" customHeight="1" s="239">
      <c r="A158" s="904" t="inlineStr">
        <is>
          <t>Number of passengers carried</t>
        </is>
      </c>
      <c r="B158" s="904" t="n"/>
      <c r="C158" s="904" t="n"/>
      <c r="D158" s="904" t="n"/>
      <c r="E158" s="904" t="n"/>
      <c r="F158" s="904" t="n"/>
      <c r="G158" s="904" t="n"/>
      <c r="H158" s="904" t="n"/>
      <c r="I158" s="904" t="n"/>
      <c r="J158" s="904" t="n"/>
      <c r="K158" s="904" t="n"/>
      <c r="L158" s="904" t="n"/>
      <c r="M158" s="904" t="n"/>
      <c r="N158" s="904" t="n"/>
      <c r="O158" s="904" t="n"/>
      <c r="P158" s="904" t="n"/>
      <c r="Q158" s="904" t="n"/>
      <c r="R158" s="904" t="n"/>
      <c r="S158" s="904" t="n"/>
      <c r="T158" s="904" t="n"/>
      <c r="U158" s="904" t="n"/>
      <c r="V158" s="904" t="n"/>
      <c r="W158" s="904" t="n"/>
      <c r="X158" s="904" t="n"/>
      <c r="Y158" s="904" t="n"/>
      <c r="Z158" s="904" t="n"/>
      <c r="AA158" s="904" t="n"/>
      <c r="AB158" s="904" t="n"/>
      <c r="AC158" s="904" t="n"/>
      <c r="AD158" s="904" t="n"/>
      <c r="AE158" s="904" t="n"/>
      <c r="AF158" s="904" t="n"/>
      <c r="AG158" s="904" t="n"/>
      <c r="AH158" s="904" t="n"/>
      <c r="AI158" s="904" t="n"/>
      <c r="AJ158" s="904" t="n"/>
      <c r="AK158" s="904" t="n"/>
      <c r="AL158" s="904" t="n"/>
      <c r="AM158" s="904" t="n"/>
      <c r="AN158" s="904" t="n"/>
      <c r="AO158" s="904" t="n"/>
      <c r="AP158" s="904" t="n"/>
      <c r="AQ158" s="904" t="n"/>
      <c r="AR158" s="904" t="n"/>
      <c r="AS158" s="904" t="n"/>
      <c r="AT158" s="904" t="n"/>
      <c r="AU158" s="904" t="n"/>
      <c r="AV158" s="904" t="n"/>
      <c r="AW158" s="904" t="n"/>
      <c r="AX158" s="904" t="n"/>
      <c r="AY158" s="904" t="n"/>
      <c r="AZ158" s="904" t="n"/>
      <c r="BA158" s="904" t="n"/>
      <c r="BB158" s="904" t="n"/>
      <c r="BC158" s="904" t="n"/>
      <c r="BD158" s="904" t="n"/>
      <c r="BE158" s="904" t="n"/>
      <c r="BF158" s="904" t="n"/>
      <c r="BG158" s="904" t="n"/>
      <c r="BH158" s="904" t="n"/>
      <c r="BI158" s="904" t="n"/>
      <c r="BJ158" s="904" t="n"/>
      <c r="BK158" s="904" t="n"/>
      <c r="BL158" s="904" t="n"/>
      <c r="BM158" s="904" t="n"/>
      <c r="BN158" s="904" t="n"/>
      <c r="BO158" s="904" t="n"/>
      <c r="BP158" s="904" t="n"/>
      <c r="BQ158" s="904" t="n"/>
      <c r="BR158" s="904" t="n"/>
      <c r="BS158" s="904" t="n"/>
      <c r="BT158" s="904" t="n"/>
      <c r="BU158" s="904" t="n"/>
      <c r="BV158" s="904" t="n"/>
      <c r="BW158" s="904" t="n"/>
      <c r="BX158" s="904" t="n"/>
      <c r="BY158" s="904" t="n"/>
      <c r="BZ158" s="904" t="n"/>
      <c r="CA158" s="904" t="n"/>
      <c r="CB158" s="904" t="n"/>
      <c r="CC158" s="904" t="n"/>
      <c r="CD158" s="904" t="n"/>
      <c r="CE158" s="904" t="n"/>
      <c r="CF158" s="904" t="n"/>
      <c r="CG158" s="904" t="n"/>
      <c r="CH158" s="904" t="n"/>
      <c r="CI158" s="904" t="n"/>
      <c r="CJ158" s="904" t="n"/>
      <c r="CK158" s="904" t="n"/>
      <c r="CL158" s="904" t="n"/>
      <c r="CM158" s="904" t="n"/>
      <c r="CN158" s="904" t="n"/>
      <c r="CO158" s="904" t="n"/>
      <c r="CP158" s="904" t="n"/>
      <c r="CQ158" s="904" t="n"/>
      <c r="CR158" s="904" t="n"/>
      <c r="CS158" s="904" t="n"/>
      <c r="CT158" s="904" t="n"/>
      <c r="CU158" s="904" t="n"/>
      <c r="CV158" s="904" t="n"/>
      <c r="CW158" s="904" t="n"/>
      <c r="CX158" s="904" t="n"/>
      <c r="CY158" s="904" t="n"/>
      <c r="CZ158" s="904" t="n"/>
      <c r="DA158" s="904" t="n"/>
      <c r="DB158" s="904" t="n"/>
      <c r="DC158" s="904" t="n"/>
      <c r="DD158" s="904" t="n"/>
      <c r="DE158" s="904" t="n"/>
      <c r="DF158" s="904" t="n"/>
      <c r="DG158" s="904" t="n"/>
      <c r="DH158" s="904" t="n"/>
      <c r="DI158" s="904" t="n"/>
      <c r="DJ158" s="904" t="n"/>
      <c r="DK158" s="904" t="n"/>
      <c r="DL158" s="904" t="n"/>
      <c r="DM158" s="904" t="n"/>
      <c r="DN158" s="904" t="n"/>
      <c r="DO158" s="904" t="n"/>
      <c r="DP158" s="904" t="n"/>
      <c r="DQ158" s="904" t="n"/>
      <c r="DR158" s="904" t="n"/>
      <c r="DS158" s="904" t="n"/>
      <c r="DT158" s="904" t="n"/>
      <c r="DU158" s="904" t="n"/>
      <c r="DV158" s="904" t="n"/>
      <c r="DW158" s="904" t="n"/>
      <c r="DX158" s="904" t="n"/>
      <c r="DY158" s="904" t="n"/>
      <c r="DZ158" s="904" t="n"/>
      <c r="EA158" s="904" t="n"/>
      <c r="EB158" s="904" t="n"/>
      <c r="EC158" s="904" t="n"/>
      <c r="ED158" s="904" t="n"/>
      <c r="EE158" s="904" t="n"/>
      <c r="EF158" s="904" t="n"/>
      <c r="EG158" s="904" t="n"/>
      <c r="EH158" s="904" t="n"/>
      <c r="EI158" s="904" t="n"/>
      <c r="EJ158" s="904" t="n"/>
      <c r="EK158" s="904" t="n"/>
      <c r="EL158" s="904" t="n"/>
      <c r="EM158" s="904" t="n"/>
      <c r="EN158" s="904" t="n"/>
      <c r="EO158" s="904" t="n"/>
      <c r="EP158" s="904" t="n"/>
      <c r="EQ158" s="904" t="n"/>
      <c r="ER158" s="904" t="n"/>
      <c r="ES158" s="904" t="n"/>
      <c r="ET158" s="904" t="n"/>
      <c r="EU158" s="904" t="n"/>
      <c r="EV158" s="904" t="n"/>
      <c r="EW158" s="904" t="n"/>
      <c r="EX158" s="904" t="n"/>
      <c r="EY158" s="904" t="n"/>
      <c r="EZ158" s="904" t="n"/>
      <c r="FA158" s="904" t="n"/>
      <c r="FB158" s="904" t="n"/>
      <c r="FC158" s="904" t="n"/>
      <c r="FD158" s="904" t="n"/>
      <c r="FE158" s="904" t="n"/>
      <c r="FF158" s="904" t="n"/>
      <c r="FG158" s="904" t="n"/>
      <c r="FH158" s="904" t="n"/>
      <c r="FI158" s="904" t="n"/>
      <c r="FJ158" s="904" t="n"/>
      <c r="FK158" s="904" t="n"/>
      <c r="FL158" s="904" t="n"/>
      <c r="FM158" s="904" t="n"/>
      <c r="FN158" s="904" t="n"/>
      <c r="FO158" s="904" t="n"/>
      <c r="FP158" s="904" t="n"/>
      <c r="FQ158" s="904" t="n"/>
      <c r="FR158" s="904" t="n"/>
      <c r="FS158" s="904" t="n"/>
      <c r="FT158" s="904" t="n"/>
      <c r="FU158" s="904" t="n"/>
      <c r="FV158" s="904" t="n"/>
      <c r="FW158" s="904" t="n"/>
      <c r="FX158" s="904" t="n"/>
      <c r="FY158" s="904" t="n"/>
      <c r="FZ158" s="904" t="n"/>
      <c r="GA158" s="904" t="n"/>
      <c r="GB158" s="904" t="n"/>
      <c r="GC158" s="904" t="n"/>
      <c r="GD158" s="904" t="n"/>
      <c r="GE158" s="904" t="n"/>
      <c r="GF158" s="904" t="n"/>
      <c r="GG158" s="904" t="n"/>
      <c r="GH158" s="904" t="n"/>
      <c r="GI158" s="904" t="n"/>
      <c r="GJ158" s="904" t="n"/>
      <c r="GK158" s="904" t="n"/>
      <c r="GL158" s="904" t="n"/>
      <c r="GM158" s="904" t="n"/>
      <c r="GN158" s="904" t="n"/>
      <c r="GO158" s="904" t="n"/>
      <c r="GP158" s="904" t="n"/>
      <c r="GQ158" s="904" t="n"/>
      <c r="GR158" s="904" t="n"/>
      <c r="GS158" s="904" t="n"/>
      <c r="GT158" s="904" t="n"/>
      <c r="GU158" s="904" t="n"/>
      <c r="GV158" s="904" t="n"/>
      <c r="GW158" s="904" t="n"/>
      <c r="GX158" s="904" t="n"/>
      <c r="GY158" s="904" t="n"/>
      <c r="GZ158" s="904" t="n"/>
      <c r="HA158" s="904" t="n"/>
      <c r="HB158" s="904" t="n"/>
      <c r="HC158" s="904" t="n"/>
      <c r="HD158" s="904" t="n"/>
      <c r="HE158" s="904" t="n"/>
      <c r="HF158" s="904" t="n"/>
      <c r="HG158" s="904" t="n"/>
      <c r="HH158" s="904" t="n"/>
      <c r="HI158" s="904" t="n"/>
      <c r="HJ158" s="904" t="n"/>
      <c r="HK158" s="904" t="n"/>
      <c r="HL158" s="904" t="n"/>
      <c r="HM158" s="904" t="n"/>
      <c r="HN158" s="904" t="n"/>
      <c r="HO158" s="904" t="n"/>
      <c r="HP158" s="904" t="n"/>
      <c r="HQ158" s="904" t="n"/>
      <c r="HR158" s="904" t="n"/>
      <c r="HS158" s="904" t="n"/>
      <c r="HT158" s="904" t="n"/>
      <c r="HU158" s="904" t="n"/>
      <c r="HV158" s="904" t="n"/>
      <c r="HW158" s="904" t="n"/>
      <c r="HX158" s="904" t="n"/>
      <c r="HY158" s="904" t="n"/>
      <c r="HZ158" s="904" t="n"/>
      <c r="IA158" s="904" t="n"/>
      <c r="IB158" s="904" t="n"/>
      <c r="IC158" s="904" t="n"/>
      <c r="ID158" s="904" t="n"/>
      <c r="IE158" s="904" t="n"/>
      <c r="IF158" s="904" t="n"/>
      <c r="IG158" s="904" t="n"/>
      <c r="IH158" s="904" t="n"/>
      <c r="II158" s="904" t="n"/>
      <c r="IJ158" s="904" t="n"/>
      <c r="IK158" s="904" t="n"/>
      <c r="IL158" s="904" t="n"/>
      <c r="IM158" s="904" t="n"/>
      <c r="IN158" s="904" t="n"/>
      <c r="IO158" s="904" t="n"/>
      <c r="IP158" s="904" t="n"/>
      <c r="IQ158" s="904" t="n"/>
      <c r="IR158" s="904" t="n"/>
      <c r="IS158" s="904" t="n"/>
      <c r="IT158" s="904" t="n"/>
      <c r="IU158" s="904" t="n"/>
      <c r="IV158" s="904" t="n"/>
      <c r="IW158" s="904" t="n"/>
      <c r="IX158" s="904" t="n"/>
      <c r="IY158" s="904" t="n"/>
      <c r="IZ158" s="904" t="n"/>
      <c r="JA158" s="904" t="n"/>
      <c r="JB158" s="904" t="n"/>
      <c r="JC158" s="904" t="n"/>
      <c r="JD158" s="904" t="n"/>
      <c r="JE158" s="904" t="n"/>
      <c r="JF158" s="904" t="n"/>
      <c r="JG158" s="904" t="n"/>
      <c r="JH158" s="904" t="n"/>
      <c r="JI158" s="904" t="n"/>
      <c r="JJ158" s="904" t="n"/>
      <c r="JK158" s="904" t="n"/>
      <c r="JL158" s="904" t="n"/>
      <c r="JM158" s="904" t="n"/>
      <c r="JN158" s="904" t="n"/>
      <c r="JO158" s="904" t="n"/>
      <c r="JP158" s="904" t="n"/>
      <c r="JQ158" s="904" t="n"/>
      <c r="JR158" s="904" t="n"/>
      <c r="JS158" s="904" t="n"/>
      <c r="JT158" s="904" t="n"/>
      <c r="JU158" s="904" t="n"/>
      <c r="JV158" s="904" t="n"/>
      <c r="JW158" s="904" t="n"/>
      <c r="JX158" s="904" t="n"/>
      <c r="JY158" s="904" t="n"/>
      <c r="JZ158" s="904" t="n"/>
      <c r="KA158" s="904" t="n"/>
      <c r="KB158" s="904" t="n"/>
      <c r="KC158" s="904" t="n"/>
      <c r="KD158" s="904" t="n"/>
      <c r="KE158" s="904" t="n"/>
      <c r="KF158" s="904" t="n"/>
      <c r="KG158" s="904" t="n"/>
      <c r="KH158" s="904" t="n"/>
      <c r="KI158" s="904" t="n"/>
      <c r="KJ158" s="904" t="n"/>
      <c r="KK158" s="904" t="n"/>
      <c r="KL158" s="904" t="n"/>
      <c r="KM158" s="904" t="n"/>
      <c r="KN158" s="904" t="n"/>
      <c r="KO158" s="904" t="n"/>
      <c r="KP158" s="863">
        <f>LB158/(1+LB160)</f>
        <v/>
      </c>
      <c r="KQ158" s="863">
        <f>LC158/(1+LC160)</f>
        <v/>
      </c>
      <c r="KR158" s="863">
        <f>LD158/(1+LD160)</f>
        <v/>
      </c>
      <c r="KS158" s="863">
        <f>LE158/(1+LE160)</f>
        <v/>
      </c>
      <c r="KT158" s="863">
        <f>LF158/(1+LF160)</f>
        <v/>
      </c>
      <c r="KU158" s="863">
        <f>LG158/(1+LG160)</f>
        <v/>
      </c>
      <c r="KV158" s="863">
        <f>LH158/(1+LH160)</f>
        <v/>
      </c>
      <c r="KW158" s="863">
        <f>LI158/(1+LI160)</f>
        <v/>
      </c>
      <c r="KX158" s="863">
        <f>LJ158/(1+LJ160)</f>
        <v/>
      </c>
      <c r="KY158" s="863">
        <f>LK158/(1+LK160)</f>
        <v/>
      </c>
      <c r="KZ158" s="863">
        <f>LL158/(1+LL160)</f>
        <v/>
      </c>
      <c r="LA158" s="863">
        <f>LM158/(1+LM160)</f>
        <v/>
      </c>
      <c r="LB158" s="863">
        <f>LB214</f>
        <v/>
      </c>
      <c r="LC158" s="863">
        <f>LC214</f>
        <v/>
      </c>
      <c r="LD158" s="863">
        <f>LD214</f>
        <v/>
      </c>
      <c r="LE158" s="863">
        <f>LE214</f>
        <v/>
      </c>
      <c r="LF158" s="863">
        <f>LF214</f>
        <v/>
      </c>
      <c r="LG158" s="863">
        <f>LG214</f>
        <v/>
      </c>
      <c r="LH158" s="863">
        <f>LH214</f>
        <v/>
      </c>
      <c r="LI158" s="863">
        <f>LI214</f>
        <v/>
      </c>
      <c r="LJ158" s="863">
        <f>LJ214</f>
        <v/>
      </c>
      <c r="LK158" s="863">
        <f>LK214</f>
        <v/>
      </c>
      <c r="LL158" s="863">
        <f>LL214</f>
        <v/>
      </c>
      <c r="LM158" s="863">
        <f>LM214</f>
        <v/>
      </c>
      <c r="LN158" s="863">
        <f>LN214</f>
        <v/>
      </c>
      <c r="LO158" s="863">
        <f>LO214</f>
        <v/>
      </c>
      <c r="LP158" s="863">
        <f>LP214</f>
        <v/>
      </c>
      <c r="LQ158" s="863">
        <f>LQ214</f>
        <v/>
      </c>
      <c r="LR158" s="863">
        <f>LR214</f>
        <v/>
      </c>
      <c r="LS158" s="863">
        <f>LS214</f>
        <v/>
      </c>
    </row>
    <row r="159">
      <c r="A159" s="885" t="inlineStr">
        <is>
          <t>m cg %</t>
        </is>
      </c>
      <c r="B159" s="904" t="n"/>
      <c r="C159" s="904" t="n"/>
      <c r="D159" s="904" t="n"/>
      <c r="E159" s="904" t="n"/>
      <c r="F159" s="904" t="n"/>
      <c r="G159" s="904" t="n"/>
      <c r="H159" s="904" t="n"/>
      <c r="I159" s="904" t="n"/>
      <c r="J159" s="904" t="n"/>
      <c r="K159" s="904" t="n"/>
      <c r="L159" s="904" t="n"/>
      <c r="M159" s="904" t="n"/>
      <c r="N159" s="904" t="n"/>
      <c r="O159" s="904" t="n"/>
      <c r="P159" s="904" t="n"/>
      <c r="Q159" s="904" t="n"/>
      <c r="R159" s="904" t="n"/>
      <c r="S159" s="904" t="n"/>
      <c r="T159" s="904" t="n"/>
      <c r="U159" s="904" t="n"/>
      <c r="V159" s="904" t="n"/>
      <c r="W159" s="904" t="n"/>
      <c r="X159" s="904" t="n"/>
      <c r="Y159" s="904" t="n"/>
      <c r="Z159" s="904" t="n"/>
      <c r="AA159" s="904" t="n"/>
      <c r="AB159" s="904" t="n"/>
      <c r="AC159" s="904" t="n"/>
      <c r="AD159" s="904" t="n"/>
      <c r="AE159" s="904" t="n"/>
      <c r="AF159" s="904" t="n"/>
      <c r="AG159" s="904" t="n"/>
      <c r="AH159" s="904" t="n"/>
      <c r="AI159" s="904" t="n"/>
      <c r="AJ159" s="904" t="n"/>
      <c r="AK159" s="904" t="n"/>
      <c r="AL159" s="904" t="n"/>
      <c r="AM159" s="904" t="n"/>
      <c r="AN159" s="904" t="n"/>
      <c r="AO159" s="904" t="n"/>
      <c r="AP159" s="904" t="n"/>
      <c r="AQ159" s="904" t="n"/>
      <c r="AR159" s="904" t="n"/>
      <c r="AS159" s="904" t="n"/>
      <c r="AT159" s="904" t="n"/>
      <c r="AU159" s="904" t="n"/>
      <c r="AV159" s="904" t="n"/>
      <c r="AW159" s="904" t="n"/>
      <c r="AX159" s="904" t="n"/>
      <c r="AY159" s="904" t="n"/>
      <c r="AZ159" s="904" t="n"/>
      <c r="BA159" s="904" t="n"/>
      <c r="BB159" s="904" t="n"/>
      <c r="BC159" s="904" t="n"/>
      <c r="BD159" s="904" t="n"/>
      <c r="BE159" s="904" t="n"/>
      <c r="BF159" s="904" t="n"/>
      <c r="BG159" s="904" t="n"/>
      <c r="BH159" s="904" t="n"/>
      <c r="BI159" s="904" t="n"/>
      <c r="BJ159" s="904" t="n"/>
      <c r="BK159" s="904" t="n"/>
      <c r="BL159" s="904" t="n"/>
      <c r="BM159" s="904" t="n"/>
      <c r="BN159" s="904" t="n"/>
      <c r="BO159" s="904" t="n"/>
      <c r="BP159" s="904" t="n"/>
      <c r="BQ159" s="904" t="n"/>
      <c r="BR159" s="904" t="n"/>
      <c r="BS159" s="904" t="n"/>
      <c r="BT159" s="904" t="n"/>
      <c r="BU159" s="904" t="n"/>
      <c r="BV159" s="904" t="n"/>
      <c r="BW159" s="904" t="n"/>
      <c r="BX159" s="904" t="n"/>
      <c r="BY159" s="904" t="n"/>
      <c r="BZ159" s="904" t="n"/>
      <c r="CA159" s="904" t="n"/>
      <c r="CB159" s="904" t="n"/>
      <c r="CC159" s="904" t="n"/>
      <c r="CD159" s="904" t="n"/>
      <c r="CE159" s="904" t="n"/>
      <c r="CF159" s="904" t="n"/>
      <c r="CG159" s="904" t="n"/>
      <c r="CH159" s="904" t="n"/>
      <c r="CI159" s="904" t="n"/>
      <c r="CJ159" s="904" t="n"/>
      <c r="CK159" s="904" t="n"/>
      <c r="CL159" s="904" t="n"/>
      <c r="CM159" s="904" t="n"/>
      <c r="CN159" s="904" t="n"/>
      <c r="CO159" s="904" t="n"/>
      <c r="CP159" s="904" t="n"/>
      <c r="CQ159" s="904" t="n"/>
      <c r="CR159" s="904" t="n"/>
      <c r="CS159" s="904" t="n"/>
      <c r="CT159" s="904" t="n"/>
      <c r="CU159" s="904" t="n"/>
      <c r="CV159" s="904" t="n"/>
      <c r="CW159" s="904" t="n"/>
      <c r="CX159" s="904" t="n"/>
      <c r="CY159" s="904" t="n"/>
      <c r="CZ159" s="904" t="n"/>
      <c r="DA159" s="904" t="n"/>
      <c r="DB159" s="904" t="n"/>
      <c r="DC159" s="904" t="n"/>
      <c r="DD159" s="904" t="n"/>
      <c r="DE159" s="904" t="n"/>
      <c r="DF159" s="904" t="n"/>
      <c r="DG159" s="904" t="n"/>
      <c r="DH159" s="904" t="n"/>
      <c r="DI159" s="904" t="n"/>
      <c r="DJ159" s="904" t="n"/>
      <c r="DK159" s="904" t="n"/>
      <c r="DL159" s="904" t="n"/>
      <c r="DM159" s="904" t="n"/>
      <c r="DN159" s="904" t="n"/>
      <c r="DO159" s="904" t="n"/>
      <c r="DP159" s="904" t="n"/>
      <c r="DQ159" s="904" t="n"/>
      <c r="DR159" s="904" t="n"/>
      <c r="DS159" s="904" t="n"/>
      <c r="DT159" s="904" t="n"/>
      <c r="DU159" s="904" t="n"/>
      <c r="DV159" s="904" t="n"/>
      <c r="DW159" s="904" t="n"/>
      <c r="DX159" s="904" t="n"/>
      <c r="DY159" s="904" t="n"/>
      <c r="DZ159" s="904" t="n"/>
      <c r="EA159" s="904" t="n"/>
      <c r="EB159" s="904" t="n"/>
      <c r="EC159" s="904" t="n"/>
      <c r="ED159" s="904" t="n"/>
      <c r="EE159" s="904" t="n"/>
      <c r="EF159" s="904" t="n"/>
      <c r="EG159" s="904" t="n"/>
      <c r="EH159" s="904" t="n"/>
      <c r="EI159" s="904" t="n"/>
      <c r="EJ159" s="904" t="n"/>
      <c r="EK159" s="904" t="n"/>
      <c r="EL159" s="904" t="n"/>
      <c r="EM159" s="904" t="n"/>
      <c r="EN159" s="904" t="n"/>
      <c r="EO159" s="904" t="n"/>
      <c r="EP159" s="904" t="n"/>
      <c r="EQ159" s="904" t="n"/>
      <c r="ER159" s="904" t="n"/>
      <c r="ES159" s="904" t="n"/>
      <c r="ET159" s="904" t="n"/>
      <c r="EU159" s="904" t="n"/>
      <c r="EV159" s="904" t="n"/>
      <c r="EW159" s="904" t="n"/>
      <c r="EX159" s="904" t="n"/>
      <c r="EY159" s="904" t="n"/>
      <c r="EZ159" s="904" t="n"/>
      <c r="FA159" s="904" t="n"/>
      <c r="FB159" s="904" t="n"/>
      <c r="FC159" s="904" t="n"/>
      <c r="FD159" s="904" t="n"/>
      <c r="FE159" s="904" t="n"/>
      <c r="FF159" s="904" t="n"/>
      <c r="FG159" s="904" t="n"/>
      <c r="FH159" s="904" t="n"/>
      <c r="FI159" s="904" t="n"/>
      <c r="FJ159" s="904" t="n"/>
      <c r="FK159" s="904" t="n"/>
      <c r="FL159" s="904" t="n"/>
      <c r="FM159" s="904" t="n"/>
      <c r="FN159" s="904" t="n"/>
      <c r="FO159" s="904" t="n"/>
      <c r="FP159" s="904" t="n"/>
      <c r="FQ159" s="904" t="n"/>
      <c r="FR159" s="904" t="n"/>
      <c r="FS159" s="904" t="n"/>
      <c r="FT159" s="904" t="n"/>
      <c r="FU159" s="904" t="n"/>
      <c r="FV159" s="904" t="n"/>
      <c r="FW159" s="904" t="n"/>
      <c r="FX159" s="904" t="n"/>
      <c r="FY159" s="904" t="n"/>
      <c r="FZ159" s="904" t="n"/>
      <c r="GA159" s="904" t="n"/>
      <c r="GB159" s="904" t="n"/>
      <c r="GC159" s="904" t="n"/>
      <c r="GD159" s="904" t="n"/>
      <c r="GE159" s="904" t="n"/>
      <c r="GF159" s="904" t="n"/>
      <c r="GG159" s="904" t="n"/>
      <c r="GH159" s="904" t="n"/>
      <c r="GI159" s="904" t="n"/>
      <c r="GJ159" s="904" t="n"/>
      <c r="GK159" s="904" t="n"/>
      <c r="GL159" s="904" t="n"/>
      <c r="GM159" s="904" t="n"/>
      <c r="GN159" s="904" t="n"/>
      <c r="GO159" s="904" t="n"/>
      <c r="GP159" s="904" t="n"/>
      <c r="GQ159" s="904" t="n"/>
      <c r="GR159" s="904" t="n"/>
      <c r="GS159" s="904" t="n"/>
      <c r="GT159" s="904" t="n"/>
      <c r="GU159" s="904" t="n"/>
      <c r="GV159" s="904" t="n"/>
      <c r="GW159" s="904" t="n"/>
      <c r="GX159" s="904" t="n"/>
      <c r="GY159" s="904" t="n"/>
      <c r="GZ159" s="904" t="n"/>
      <c r="HA159" s="904" t="n"/>
      <c r="HB159" s="904" t="n"/>
      <c r="HC159" s="904" t="n"/>
      <c r="HD159" s="904" t="n"/>
      <c r="HE159" s="904" t="n"/>
      <c r="HF159" s="904" t="n"/>
      <c r="HG159" s="904" t="n"/>
      <c r="HH159" s="904" t="n"/>
      <c r="HI159" s="904" t="n"/>
      <c r="HJ159" s="904" t="n"/>
      <c r="HK159" s="904" t="n"/>
      <c r="HL159" s="904" t="n"/>
      <c r="HM159" s="904" t="n"/>
      <c r="HN159" s="904" t="n"/>
      <c r="HO159" s="904" t="n"/>
      <c r="HP159" s="904" t="n"/>
      <c r="HQ159" s="904" t="n"/>
      <c r="HR159" s="904" t="n"/>
      <c r="HS159" s="904" t="n"/>
      <c r="HT159" s="904" t="n"/>
      <c r="HU159" s="904" t="n"/>
      <c r="HV159" s="904" t="n"/>
      <c r="HW159" s="904" t="n"/>
      <c r="HX159" s="904" t="n"/>
      <c r="HY159" s="904" t="n"/>
      <c r="HZ159" s="904" t="n"/>
      <c r="IA159" s="904" t="n"/>
      <c r="IB159" s="904" t="n"/>
      <c r="IC159" s="904" t="n"/>
      <c r="ID159" s="904" t="n"/>
      <c r="IE159" s="904" t="n"/>
      <c r="IF159" s="904" t="n"/>
      <c r="IG159" s="904" t="n"/>
      <c r="IH159" s="904" t="n"/>
      <c r="II159" s="904" t="n"/>
      <c r="IJ159" s="904" t="n"/>
      <c r="IK159" s="904" t="n"/>
      <c r="IL159" s="904" t="n"/>
      <c r="IM159" s="904" t="n"/>
      <c r="IN159" s="904" t="n"/>
      <c r="IO159" s="904" t="n"/>
      <c r="IP159" s="904" t="n"/>
      <c r="IQ159" s="904" t="n"/>
      <c r="IR159" s="904" t="n"/>
      <c r="IS159" s="904" t="n"/>
      <c r="IT159" s="904" t="n"/>
      <c r="IU159" s="904" t="n"/>
      <c r="IV159" s="904" t="n"/>
      <c r="IW159" s="904" t="n"/>
      <c r="IX159" s="904" t="n"/>
      <c r="IY159" s="904" t="n"/>
      <c r="IZ159" s="904" t="n"/>
      <c r="JA159" s="904" t="n"/>
      <c r="JB159" s="904" t="n"/>
      <c r="JC159" s="904" t="n"/>
      <c r="JD159" s="904" t="n"/>
      <c r="JE159" s="904" t="n"/>
      <c r="JF159" s="904" t="n"/>
      <c r="JG159" s="904" t="n"/>
      <c r="JH159" s="904" t="n"/>
      <c r="JI159" s="904" t="n"/>
      <c r="JJ159" s="904" t="n"/>
      <c r="JK159" s="904" t="n"/>
      <c r="JL159" s="904" t="n"/>
      <c r="JM159" s="904" t="n"/>
      <c r="JN159" s="904" t="n"/>
      <c r="JO159" s="904" t="n"/>
      <c r="JP159" s="904" t="n"/>
      <c r="JQ159" s="904" t="n"/>
      <c r="JR159" s="904" t="n"/>
      <c r="JS159" s="904" t="n"/>
      <c r="JT159" s="904" t="n"/>
      <c r="JU159" s="904" t="n"/>
      <c r="JV159" s="904" t="n"/>
      <c r="JW159" s="904" t="n"/>
      <c r="JX159" s="904" t="n"/>
      <c r="JY159" s="904" t="n"/>
      <c r="JZ159" s="904" t="n"/>
      <c r="KA159" s="904" t="n"/>
      <c r="KB159" s="904" t="n"/>
      <c r="KC159" s="904" t="n"/>
      <c r="KD159" s="904" t="n"/>
      <c r="KE159" s="904" t="n"/>
      <c r="KF159" s="904" t="n"/>
      <c r="KG159" s="904" t="n"/>
      <c r="KH159" s="904" t="n"/>
      <c r="KI159" s="904" t="n"/>
      <c r="KJ159" s="904" t="n"/>
      <c r="KK159" s="904" t="n"/>
      <c r="KL159" s="904" t="n"/>
      <c r="KM159" s="904" t="n"/>
      <c r="KN159" s="904" t="n"/>
      <c r="KO159" s="904" t="n"/>
      <c r="KP159" s="1318" t="n"/>
      <c r="KQ159" s="1318">
        <f>KQ158/KP158-1</f>
        <v/>
      </c>
      <c r="KR159" s="1318">
        <f>KR158/KQ158-1</f>
        <v/>
      </c>
      <c r="KS159" s="1318">
        <f>KS158/KR158-1</f>
        <v/>
      </c>
      <c r="KT159" s="1318">
        <f>KT158/KS158-1</f>
        <v/>
      </c>
      <c r="KU159" s="1318">
        <f>KU158/KT158-1</f>
        <v/>
      </c>
      <c r="KV159" s="1318">
        <f>KV158/KU158-1</f>
        <v/>
      </c>
      <c r="KW159" s="1318">
        <f>KW158/KV158-1</f>
        <v/>
      </c>
      <c r="KX159" s="1318">
        <f>KX158/KW158-1</f>
        <v/>
      </c>
      <c r="KY159" s="1318">
        <f>KY158/KX158-1</f>
        <v/>
      </c>
      <c r="KZ159" s="1318">
        <f>KZ158/KY158-1</f>
        <v/>
      </c>
      <c r="LA159" s="1318">
        <f>LA158/KZ158-1</f>
        <v/>
      </c>
      <c r="LB159" s="1318" t="n"/>
      <c r="LC159" s="1318">
        <f>LC158/LB158-1</f>
        <v/>
      </c>
      <c r="LD159" s="1318">
        <f>LD158/LC158-1</f>
        <v/>
      </c>
      <c r="LE159" s="1318">
        <f>LE158/LD158-1</f>
        <v/>
      </c>
      <c r="LF159" s="1318">
        <f>LF158/LE158-1</f>
        <v/>
      </c>
      <c r="LG159" s="1318">
        <f>LG158/LF158-1</f>
        <v/>
      </c>
      <c r="LH159" s="1318">
        <f>LH158/LG158-1</f>
        <v/>
      </c>
      <c r="LI159" s="1318">
        <f>LI158/LH158-1</f>
        <v/>
      </c>
      <c r="LJ159" s="1318">
        <f>LJ158/LI158-1</f>
        <v/>
      </c>
      <c r="LK159" s="1318">
        <f>LK158/LJ158-1</f>
        <v/>
      </c>
      <c r="LL159" s="1318">
        <f>LL158/LK158-1</f>
        <v/>
      </c>
      <c r="LM159" s="1318">
        <f>LM158/LL158-1</f>
        <v/>
      </c>
      <c r="LN159" s="1318">
        <f>LN158/LM158-1</f>
        <v/>
      </c>
      <c r="LO159" s="1318">
        <f>LO158/LN158-1</f>
        <v/>
      </c>
      <c r="LP159" s="1318">
        <f>LP158/LO158-1</f>
        <v/>
      </c>
      <c r="LQ159" s="1318">
        <f>LQ158/LP158-1</f>
        <v/>
      </c>
      <c r="LR159" s="1318">
        <f>LR158/LQ158-1</f>
        <v/>
      </c>
      <c r="LS159" s="1318">
        <f>LS158/LR158-1</f>
        <v/>
      </c>
    </row>
    <row r="160">
      <c r="A160" s="885" t="inlineStr">
        <is>
          <t>YoY cg %</t>
        </is>
      </c>
      <c r="B160" s="904" t="n"/>
      <c r="C160" s="904" t="n"/>
      <c r="D160" s="904" t="n"/>
      <c r="E160" s="904" t="n"/>
      <c r="F160" s="904" t="n"/>
      <c r="G160" s="904" t="n"/>
      <c r="H160" s="904" t="n"/>
      <c r="I160" s="904" t="n"/>
      <c r="J160" s="904" t="n"/>
      <c r="K160" s="904" t="n"/>
      <c r="L160" s="904" t="n"/>
      <c r="M160" s="904" t="n"/>
      <c r="N160" s="904" t="n"/>
      <c r="O160" s="904" t="n"/>
      <c r="P160" s="904" t="n"/>
      <c r="Q160" s="904" t="n"/>
      <c r="R160" s="904" t="n"/>
      <c r="S160" s="904" t="n"/>
      <c r="T160" s="904" t="n"/>
      <c r="U160" s="904" t="n"/>
      <c r="V160" s="904" t="n"/>
      <c r="W160" s="904" t="n"/>
      <c r="X160" s="904" t="n"/>
      <c r="Y160" s="904" t="n"/>
      <c r="Z160" s="904" t="n"/>
      <c r="AA160" s="904" t="n"/>
      <c r="AB160" s="904" t="n"/>
      <c r="AC160" s="904" t="n"/>
      <c r="AD160" s="904" t="n"/>
      <c r="AE160" s="904" t="n"/>
      <c r="AF160" s="904" t="n"/>
      <c r="AG160" s="904" t="n"/>
      <c r="AH160" s="904" t="n"/>
      <c r="AI160" s="904" t="n"/>
      <c r="AJ160" s="904" t="n"/>
      <c r="AK160" s="904" t="n"/>
      <c r="AL160" s="904" t="n"/>
      <c r="AM160" s="904" t="n"/>
      <c r="AN160" s="904" t="n"/>
      <c r="AO160" s="904" t="n"/>
      <c r="AP160" s="904" t="n"/>
      <c r="AQ160" s="904" t="n"/>
      <c r="AR160" s="904" t="n"/>
      <c r="AS160" s="904" t="n"/>
      <c r="AT160" s="904" t="n"/>
      <c r="AU160" s="904" t="n"/>
      <c r="AV160" s="904" t="n"/>
      <c r="AW160" s="904" t="n"/>
      <c r="AX160" s="904" t="n"/>
      <c r="AY160" s="904" t="n"/>
      <c r="AZ160" s="904" t="n"/>
      <c r="BA160" s="904" t="n"/>
      <c r="BB160" s="904" t="n"/>
      <c r="BC160" s="904" t="n"/>
      <c r="BD160" s="904" t="n"/>
      <c r="BE160" s="904" t="n"/>
      <c r="BF160" s="904" t="n"/>
      <c r="BG160" s="904" t="n"/>
      <c r="BH160" s="904" t="n"/>
      <c r="BI160" s="904" t="n"/>
      <c r="BJ160" s="904" t="n"/>
      <c r="BK160" s="904" t="n"/>
      <c r="BL160" s="904" t="n"/>
      <c r="BM160" s="904" t="n"/>
      <c r="BN160" s="904" t="n"/>
      <c r="BO160" s="904" t="n"/>
      <c r="BP160" s="904" t="n"/>
      <c r="BQ160" s="904" t="n"/>
      <c r="BR160" s="904" t="n"/>
      <c r="BS160" s="904" t="n"/>
      <c r="BT160" s="904" t="n"/>
      <c r="BU160" s="904" t="n"/>
      <c r="BV160" s="904" t="n"/>
      <c r="BW160" s="904" t="n"/>
      <c r="BX160" s="904" t="n"/>
      <c r="BY160" s="904" t="n"/>
      <c r="BZ160" s="904" t="n"/>
      <c r="CA160" s="904" t="n"/>
      <c r="CB160" s="904" t="n"/>
      <c r="CC160" s="904" t="n"/>
      <c r="CD160" s="904" t="n"/>
      <c r="CE160" s="904" t="n"/>
      <c r="CF160" s="904" t="n"/>
      <c r="CG160" s="904" t="n"/>
      <c r="CH160" s="904" t="n"/>
      <c r="CI160" s="904" t="n"/>
      <c r="CJ160" s="904" t="n"/>
      <c r="CK160" s="904" t="n"/>
      <c r="CL160" s="904" t="n"/>
      <c r="CM160" s="904" t="n"/>
      <c r="CN160" s="904" t="n"/>
      <c r="CO160" s="904" t="n"/>
      <c r="CP160" s="904" t="n"/>
      <c r="CQ160" s="904" t="n"/>
      <c r="CR160" s="904" t="n"/>
      <c r="CS160" s="904" t="n"/>
      <c r="CT160" s="904" t="n"/>
      <c r="CU160" s="904" t="n"/>
      <c r="CV160" s="904" t="n"/>
      <c r="CW160" s="904" t="n"/>
      <c r="CX160" s="904" t="n"/>
      <c r="CY160" s="904" t="n"/>
      <c r="CZ160" s="904" t="n"/>
      <c r="DA160" s="904" t="n"/>
      <c r="DB160" s="904" t="n"/>
      <c r="DC160" s="904" t="n"/>
      <c r="DD160" s="904" t="n"/>
      <c r="DE160" s="904" t="n"/>
      <c r="DF160" s="904" t="n"/>
      <c r="DG160" s="904" t="n"/>
      <c r="DH160" s="904" t="n"/>
      <c r="DI160" s="904" t="n"/>
      <c r="DJ160" s="904" t="n"/>
      <c r="DK160" s="904" t="n"/>
      <c r="DL160" s="904" t="n"/>
      <c r="DM160" s="904" t="n"/>
      <c r="DN160" s="904" t="n"/>
      <c r="DO160" s="904" t="n"/>
      <c r="DP160" s="904" t="n"/>
      <c r="DQ160" s="904" t="n"/>
      <c r="DR160" s="904" t="n"/>
      <c r="DS160" s="904" t="n"/>
      <c r="DT160" s="904" t="n"/>
      <c r="DU160" s="904" t="n"/>
      <c r="DV160" s="904" t="n"/>
      <c r="DW160" s="904" t="n"/>
      <c r="DX160" s="904" t="n"/>
      <c r="DY160" s="904" t="n"/>
      <c r="DZ160" s="904" t="n"/>
      <c r="EA160" s="904" t="n"/>
      <c r="EB160" s="904" t="n"/>
      <c r="EC160" s="904" t="n"/>
      <c r="ED160" s="904" t="n"/>
      <c r="EE160" s="904" t="n"/>
      <c r="EF160" s="904" t="n"/>
      <c r="EG160" s="904" t="n"/>
      <c r="EH160" s="904" t="n"/>
      <c r="EI160" s="904" t="n"/>
      <c r="EJ160" s="904" t="n"/>
      <c r="EK160" s="904" t="n"/>
      <c r="EL160" s="904" t="n"/>
      <c r="EM160" s="904" t="n"/>
      <c r="EN160" s="904" t="n"/>
      <c r="EO160" s="904" t="n"/>
      <c r="EP160" s="904" t="n"/>
      <c r="EQ160" s="904" t="n"/>
      <c r="ER160" s="904" t="n"/>
      <c r="ES160" s="904" t="n"/>
      <c r="ET160" s="904" t="n"/>
      <c r="EU160" s="904" t="n"/>
      <c r="EV160" s="904" t="n"/>
      <c r="EW160" s="904" t="n"/>
      <c r="EX160" s="904" t="n"/>
      <c r="EY160" s="904" t="n"/>
      <c r="EZ160" s="904" t="n"/>
      <c r="FA160" s="904" t="n"/>
      <c r="FB160" s="904" t="n"/>
      <c r="FC160" s="904" t="n"/>
      <c r="FD160" s="904" t="n"/>
      <c r="FE160" s="904" t="n"/>
      <c r="FF160" s="904" t="n"/>
      <c r="FG160" s="904" t="n"/>
      <c r="FH160" s="904" t="n"/>
      <c r="FI160" s="904" t="n"/>
      <c r="FJ160" s="904" t="n"/>
      <c r="FK160" s="904" t="n"/>
      <c r="FL160" s="904" t="n"/>
      <c r="FM160" s="904" t="n"/>
      <c r="FN160" s="904" t="n"/>
      <c r="FO160" s="904" t="n"/>
      <c r="FP160" s="904" t="n"/>
      <c r="FQ160" s="904" t="n"/>
      <c r="FR160" s="904" t="n"/>
      <c r="FS160" s="904" t="n"/>
      <c r="FT160" s="904" t="n"/>
      <c r="FU160" s="904" t="n"/>
      <c r="FV160" s="904" t="n"/>
      <c r="FW160" s="904" t="n"/>
      <c r="FX160" s="904" t="n"/>
      <c r="FY160" s="904" t="n"/>
      <c r="FZ160" s="904" t="n"/>
      <c r="GA160" s="904" t="n"/>
      <c r="GB160" s="904" t="n"/>
      <c r="GC160" s="904" t="n"/>
      <c r="GD160" s="904" t="n"/>
      <c r="GE160" s="904" t="n"/>
      <c r="GF160" s="904" t="n"/>
      <c r="GG160" s="904" t="n"/>
      <c r="GH160" s="904" t="n"/>
      <c r="GI160" s="904" t="n"/>
      <c r="GJ160" s="904" t="n"/>
      <c r="GK160" s="904" t="n"/>
      <c r="GL160" s="904" t="n"/>
      <c r="GM160" s="904" t="n"/>
      <c r="GN160" s="904" t="n"/>
      <c r="GO160" s="904" t="n"/>
      <c r="GP160" s="904" t="n"/>
      <c r="GQ160" s="904" t="n"/>
      <c r="GR160" s="904" t="n"/>
      <c r="GS160" s="904" t="n"/>
      <c r="GT160" s="904" t="n"/>
      <c r="GU160" s="904" t="n"/>
      <c r="GV160" s="904" t="n"/>
      <c r="GW160" s="904" t="n"/>
      <c r="GX160" s="904" t="n"/>
      <c r="GY160" s="904" t="n"/>
      <c r="GZ160" s="904" t="n"/>
      <c r="HA160" s="904" t="n"/>
      <c r="HB160" s="904" t="n"/>
      <c r="HC160" s="904" t="n"/>
      <c r="HD160" s="904" t="n"/>
      <c r="HE160" s="904" t="n"/>
      <c r="HF160" s="904" t="n"/>
      <c r="HG160" s="904" t="n"/>
      <c r="HH160" s="904" t="n"/>
      <c r="HI160" s="904" t="n"/>
      <c r="HJ160" s="904" t="n"/>
      <c r="HK160" s="904" t="n"/>
      <c r="HL160" s="904" t="n"/>
      <c r="HM160" s="904" t="n"/>
      <c r="HN160" s="904" t="n"/>
      <c r="HO160" s="904" t="n"/>
      <c r="HP160" s="904" t="n"/>
      <c r="HQ160" s="904" t="n"/>
      <c r="HR160" s="904" t="n"/>
      <c r="HS160" s="904" t="n"/>
      <c r="HT160" s="904" t="n"/>
      <c r="HU160" s="904" t="n"/>
      <c r="HV160" s="904" t="n"/>
      <c r="HW160" s="904" t="n"/>
      <c r="HX160" s="904" t="n"/>
      <c r="HY160" s="904" t="n"/>
      <c r="HZ160" s="904" t="n"/>
      <c r="IA160" s="904" t="n"/>
      <c r="IB160" s="904" t="n"/>
      <c r="IC160" s="904" t="n"/>
      <c r="ID160" s="904" t="n"/>
      <c r="IE160" s="904" t="n"/>
      <c r="IF160" s="904" t="n"/>
      <c r="IG160" s="904" t="n"/>
      <c r="IH160" s="904" t="n"/>
      <c r="II160" s="904" t="n"/>
      <c r="IJ160" s="904" t="n"/>
      <c r="IK160" s="904" t="n"/>
      <c r="IL160" s="904" t="n"/>
      <c r="IM160" s="904" t="n"/>
      <c r="IN160" s="904" t="n"/>
      <c r="IO160" s="904" t="n"/>
      <c r="IP160" s="904" t="n"/>
      <c r="IQ160" s="904" t="n"/>
      <c r="IR160" s="904" t="n"/>
      <c r="IS160" s="904" t="n"/>
      <c r="IT160" s="904" t="n"/>
      <c r="IU160" s="904" t="n"/>
      <c r="IV160" s="904" t="n"/>
      <c r="IW160" s="904" t="n"/>
      <c r="IX160" s="904" t="n"/>
      <c r="IY160" s="904" t="n"/>
      <c r="IZ160" s="904" t="n"/>
      <c r="JA160" s="904" t="n"/>
      <c r="JB160" s="904" t="n"/>
      <c r="JC160" s="904" t="n"/>
      <c r="JD160" s="904" t="n"/>
      <c r="JE160" s="904" t="n"/>
      <c r="JF160" s="904" t="n"/>
      <c r="JG160" s="904" t="n"/>
      <c r="JH160" s="904" t="n"/>
      <c r="JI160" s="904" t="n"/>
      <c r="JJ160" s="904" t="n"/>
      <c r="JK160" s="904" t="n"/>
      <c r="JL160" s="904" t="n"/>
      <c r="JM160" s="904" t="n"/>
      <c r="JN160" s="904" t="n"/>
      <c r="JO160" s="904" t="n"/>
      <c r="JP160" s="904" t="n"/>
      <c r="JQ160" s="904" t="n"/>
      <c r="JR160" s="904" t="n"/>
      <c r="JS160" s="904" t="n"/>
      <c r="JT160" s="904" t="n"/>
      <c r="JU160" s="904" t="n"/>
      <c r="JV160" s="904" t="n"/>
      <c r="JW160" s="904" t="n"/>
      <c r="JX160" s="904" t="n"/>
      <c r="JY160" s="904" t="n"/>
      <c r="JZ160" s="904" t="n"/>
      <c r="KA160" s="904" t="n"/>
      <c r="KB160" s="904" t="n"/>
      <c r="KC160" s="904" t="n"/>
      <c r="KD160" s="904" t="n"/>
      <c r="KE160" s="904" t="n"/>
      <c r="KF160" s="904" t="n"/>
      <c r="KG160" s="904" t="n"/>
      <c r="KH160" s="904" t="n"/>
      <c r="KI160" s="904" t="n"/>
      <c r="KJ160" s="904" t="n"/>
      <c r="KK160" s="904" t="n"/>
      <c r="KL160" s="904" t="n"/>
      <c r="KM160" s="904" t="n"/>
      <c r="KN160" s="904" t="n"/>
      <c r="KO160" s="904" t="n"/>
      <c r="KP160" s="1318" t="n"/>
      <c r="KQ160" s="1318" t="n"/>
      <c r="KR160" s="1318" t="n"/>
      <c r="KS160" s="1318" t="n"/>
      <c r="KT160" s="1318" t="n"/>
      <c r="KU160" s="1318" t="n"/>
      <c r="KV160" s="1318" t="n"/>
      <c r="KW160" s="1318" t="n"/>
      <c r="KX160" s="1318" t="n"/>
      <c r="KY160" s="1318" t="n"/>
      <c r="KZ160" s="1318" t="n"/>
      <c r="LA160" s="1318" t="n"/>
      <c r="LB160" s="1318">
        <f>LB215</f>
        <v/>
      </c>
      <c r="LC160" s="1318">
        <f>LC215</f>
        <v/>
      </c>
      <c r="LD160" s="1318">
        <f>LD215</f>
        <v/>
      </c>
      <c r="LE160" s="1318">
        <f>LE215</f>
        <v/>
      </c>
      <c r="LF160" s="1318">
        <f>LF215</f>
        <v/>
      </c>
      <c r="LG160" s="1318">
        <f>LG215</f>
        <v/>
      </c>
      <c r="LH160" s="1318">
        <f>LH215</f>
        <v/>
      </c>
      <c r="LI160" s="1318">
        <f>LI215</f>
        <v/>
      </c>
      <c r="LJ160" s="1318">
        <f>LJ215</f>
        <v/>
      </c>
      <c r="LK160" s="1318">
        <f>LK215</f>
        <v/>
      </c>
      <c r="LL160" s="1318">
        <f>LL215</f>
        <v/>
      </c>
      <c r="LM160" s="1318">
        <f>LM215</f>
        <v/>
      </c>
      <c r="LN160" s="1318">
        <f>LN215</f>
        <v/>
      </c>
      <c r="LO160" s="1318">
        <f>LO215</f>
        <v/>
      </c>
      <c r="LP160" s="1318">
        <f>LP215</f>
        <v/>
      </c>
      <c r="LQ160" s="1318">
        <f>LQ215</f>
        <v/>
      </c>
      <c r="LR160" s="1318">
        <f>LR215</f>
        <v/>
      </c>
      <c r="LS160" s="1318">
        <f>LS215</f>
        <v/>
      </c>
    </row>
    <row r="161">
      <c r="A161" s="885" t="inlineStr">
        <is>
          <t>YTD cg %</t>
        </is>
      </c>
      <c r="B161" s="904" t="n"/>
      <c r="C161" s="904" t="n"/>
      <c r="D161" s="904" t="n"/>
      <c r="E161" s="904" t="n"/>
      <c r="F161" s="904" t="n"/>
      <c r="G161" s="904" t="n"/>
      <c r="H161" s="904" t="n"/>
      <c r="I161" s="904" t="n"/>
      <c r="J161" s="904" t="n"/>
      <c r="K161" s="904" t="n"/>
      <c r="L161" s="904" t="n"/>
      <c r="M161" s="904" t="n"/>
      <c r="N161" s="904" t="n"/>
      <c r="O161" s="904" t="n"/>
      <c r="P161" s="904" t="n"/>
      <c r="Q161" s="904" t="n"/>
      <c r="R161" s="904" t="n"/>
      <c r="S161" s="904" t="n"/>
      <c r="T161" s="904" t="n"/>
      <c r="U161" s="904" t="n"/>
      <c r="V161" s="904" t="n"/>
      <c r="W161" s="904" t="n"/>
      <c r="X161" s="904" t="n"/>
      <c r="Y161" s="904" t="n"/>
      <c r="Z161" s="904" t="n"/>
      <c r="AA161" s="904" t="n"/>
      <c r="AB161" s="904" t="n"/>
      <c r="AC161" s="904" t="n"/>
      <c r="AD161" s="904" t="n"/>
      <c r="AE161" s="904" t="n"/>
      <c r="AF161" s="904" t="n"/>
      <c r="AG161" s="904" t="n"/>
      <c r="AH161" s="904" t="n"/>
      <c r="AI161" s="904" t="n"/>
      <c r="AJ161" s="904" t="n"/>
      <c r="AK161" s="904" t="n"/>
      <c r="AL161" s="904" t="n"/>
      <c r="AM161" s="904" t="n"/>
      <c r="AN161" s="904" t="n"/>
      <c r="AO161" s="904" t="n"/>
      <c r="AP161" s="904" t="n"/>
      <c r="AQ161" s="904" t="n"/>
      <c r="AR161" s="904" t="n"/>
      <c r="AS161" s="904" t="n"/>
      <c r="AT161" s="904" t="n"/>
      <c r="AU161" s="904" t="n"/>
      <c r="AV161" s="904" t="n"/>
      <c r="AW161" s="904" t="n"/>
      <c r="AX161" s="904" t="n"/>
      <c r="AY161" s="904" t="n"/>
      <c r="AZ161" s="904" t="n"/>
      <c r="BA161" s="904" t="n"/>
      <c r="BB161" s="904" t="n"/>
      <c r="BC161" s="904" t="n"/>
      <c r="BD161" s="904" t="n"/>
      <c r="BE161" s="904" t="n"/>
      <c r="BF161" s="904" t="n"/>
      <c r="BG161" s="904" t="n"/>
      <c r="BH161" s="904" t="n"/>
      <c r="BI161" s="904" t="n"/>
      <c r="BJ161" s="904" t="n"/>
      <c r="BK161" s="904" t="n"/>
      <c r="BL161" s="904" t="n"/>
      <c r="BM161" s="904" t="n"/>
      <c r="BN161" s="904" t="n"/>
      <c r="BO161" s="904" t="n"/>
      <c r="BP161" s="904" t="n"/>
      <c r="BQ161" s="904" t="n"/>
      <c r="BR161" s="904" t="n"/>
      <c r="BS161" s="904" t="n"/>
      <c r="BT161" s="904" t="n"/>
      <c r="BU161" s="904" t="n"/>
      <c r="BV161" s="904" t="n"/>
      <c r="BW161" s="904" t="n"/>
      <c r="BX161" s="904" t="n"/>
      <c r="BY161" s="904" t="n"/>
      <c r="BZ161" s="904" t="n"/>
      <c r="CA161" s="904" t="n"/>
      <c r="CB161" s="904" t="n"/>
      <c r="CC161" s="904" t="n"/>
      <c r="CD161" s="904" t="n"/>
      <c r="CE161" s="904" t="n"/>
      <c r="CF161" s="904" t="n"/>
      <c r="CG161" s="904" t="n"/>
      <c r="CH161" s="904" t="n"/>
      <c r="CI161" s="904" t="n"/>
      <c r="CJ161" s="904" t="n"/>
      <c r="CK161" s="904" t="n"/>
      <c r="CL161" s="904" t="n"/>
      <c r="CM161" s="904" t="n"/>
      <c r="CN161" s="904" t="n"/>
      <c r="CO161" s="904" t="n"/>
      <c r="CP161" s="904" t="n"/>
      <c r="CQ161" s="904" t="n"/>
      <c r="CR161" s="904" t="n"/>
      <c r="CS161" s="904" t="n"/>
      <c r="CT161" s="904" t="n"/>
      <c r="CU161" s="904" t="n"/>
      <c r="CV161" s="904" t="n"/>
      <c r="CW161" s="904" t="n"/>
      <c r="CX161" s="904" t="n"/>
      <c r="CY161" s="904" t="n"/>
      <c r="CZ161" s="904" t="n"/>
      <c r="DA161" s="904" t="n"/>
      <c r="DB161" s="904" t="n"/>
      <c r="DC161" s="904" t="n"/>
      <c r="DD161" s="904" t="n"/>
      <c r="DE161" s="904" t="n"/>
      <c r="DF161" s="904" t="n"/>
      <c r="DG161" s="904" t="n"/>
      <c r="DH161" s="904" t="n"/>
      <c r="DI161" s="904" t="n"/>
      <c r="DJ161" s="904" t="n"/>
      <c r="DK161" s="904" t="n"/>
      <c r="DL161" s="904" t="n"/>
      <c r="DM161" s="904" t="n"/>
      <c r="DN161" s="904" t="n"/>
      <c r="DO161" s="904" t="n"/>
      <c r="DP161" s="904" t="n"/>
      <c r="DQ161" s="904" t="n"/>
      <c r="DR161" s="904" t="n"/>
      <c r="DS161" s="904" t="n"/>
      <c r="DT161" s="904" t="n"/>
      <c r="DU161" s="904" t="n"/>
      <c r="DV161" s="904" t="n"/>
      <c r="DW161" s="904" t="n"/>
      <c r="DX161" s="904" t="n"/>
      <c r="DY161" s="904" t="n"/>
      <c r="DZ161" s="904" t="n"/>
      <c r="EA161" s="904" t="n"/>
      <c r="EB161" s="904" t="n"/>
      <c r="EC161" s="904" t="n"/>
      <c r="ED161" s="904" t="n"/>
      <c r="EE161" s="904" t="n"/>
      <c r="EF161" s="904" t="n"/>
      <c r="EG161" s="904" t="n"/>
      <c r="EH161" s="904" t="n"/>
      <c r="EI161" s="904" t="n"/>
      <c r="EJ161" s="904" t="n"/>
      <c r="EK161" s="904" t="n"/>
      <c r="EL161" s="904" t="n"/>
      <c r="EM161" s="904" t="n"/>
      <c r="EN161" s="904" t="n"/>
      <c r="EO161" s="904" t="n"/>
      <c r="EP161" s="904" t="n"/>
      <c r="EQ161" s="904" t="n"/>
      <c r="ER161" s="904" t="n"/>
      <c r="ES161" s="904" t="n"/>
      <c r="ET161" s="904" t="n"/>
      <c r="EU161" s="904" t="n"/>
      <c r="EV161" s="904" t="n"/>
      <c r="EW161" s="904" t="n"/>
      <c r="EX161" s="904" t="n"/>
      <c r="EY161" s="904" t="n"/>
      <c r="EZ161" s="904" t="n"/>
      <c r="FA161" s="904" t="n"/>
      <c r="FB161" s="904" t="n"/>
      <c r="FC161" s="904" t="n"/>
      <c r="FD161" s="904" t="n"/>
      <c r="FE161" s="904" t="n"/>
      <c r="FF161" s="904" t="n"/>
      <c r="FG161" s="904" t="n"/>
      <c r="FH161" s="904" t="n"/>
      <c r="FI161" s="904" t="n"/>
      <c r="FJ161" s="904" t="n"/>
      <c r="FK161" s="904" t="n"/>
      <c r="FL161" s="904" t="n"/>
      <c r="FM161" s="904" t="n"/>
      <c r="FN161" s="904" t="n"/>
      <c r="FO161" s="904" t="n"/>
      <c r="FP161" s="904" t="n"/>
      <c r="FQ161" s="904" t="n"/>
      <c r="FR161" s="904" t="n"/>
      <c r="FS161" s="904" t="n"/>
      <c r="FT161" s="904" t="n"/>
      <c r="FU161" s="904" t="n"/>
      <c r="FV161" s="904" t="n"/>
      <c r="FW161" s="904" t="n"/>
      <c r="FX161" s="904" t="n"/>
      <c r="FY161" s="904" t="n"/>
      <c r="FZ161" s="904" t="n"/>
      <c r="GA161" s="904" t="n"/>
      <c r="GB161" s="904" t="n"/>
      <c r="GC161" s="904" t="n"/>
      <c r="GD161" s="904" t="n"/>
      <c r="GE161" s="904" t="n"/>
      <c r="GF161" s="904" t="n"/>
      <c r="GG161" s="904" t="n"/>
      <c r="GH161" s="904" t="n"/>
      <c r="GI161" s="904" t="n"/>
      <c r="GJ161" s="904" t="n"/>
      <c r="GK161" s="904" t="n"/>
      <c r="GL161" s="904" t="n"/>
      <c r="GM161" s="904" t="n"/>
      <c r="GN161" s="904" t="n"/>
      <c r="GO161" s="904" t="n"/>
      <c r="GP161" s="904" t="n"/>
      <c r="GQ161" s="904" t="n"/>
      <c r="GR161" s="904" t="n"/>
      <c r="GS161" s="904" t="n"/>
      <c r="GT161" s="904" t="n"/>
      <c r="GU161" s="904" t="n"/>
      <c r="GV161" s="904" t="n"/>
      <c r="GW161" s="904" t="n"/>
      <c r="GX161" s="904" t="n"/>
      <c r="GY161" s="904" t="n"/>
      <c r="GZ161" s="904" t="n"/>
      <c r="HA161" s="904" t="n"/>
      <c r="HB161" s="904" t="n"/>
      <c r="HC161" s="904" t="n"/>
      <c r="HD161" s="904" t="n"/>
      <c r="HE161" s="904" t="n"/>
      <c r="HF161" s="904" t="n"/>
      <c r="HG161" s="904" t="n"/>
      <c r="HH161" s="904" t="n"/>
      <c r="HI161" s="904" t="n"/>
      <c r="HJ161" s="904" t="n"/>
      <c r="HK161" s="904" t="n"/>
      <c r="HL161" s="904" t="n"/>
      <c r="HM161" s="904" t="n"/>
      <c r="HN161" s="904" t="n"/>
      <c r="HO161" s="904" t="n"/>
      <c r="HP161" s="904" t="n"/>
      <c r="HQ161" s="904" t="n"/>
      <c r="HR161" s="904" t="n"/>
      <c r="HS161" s="904" t="n"/>
      <c r="HT161" s="904" t="n"/>
      <c r="HU161" s="904" t="n"/>
      <c r="HV161" s="904" t="n"/>
      <c r="HW161" s="904" t="n"/>
      <c r="HX161" s="904" t="n"/>
      <c r="HY161" s="904" t="n"/>
      <c r="HZ161" s="904" t="n"/>
      <c r="IA161" s="904" t="n"/>
      <c r="IB161" s="904" t="n"/>
      <c r="IC161" s="904" t="n"/>
      <c r="ID161" s="904" t="n"/>
      <c r="IE161" s="904" t="n"/>
      <c r="IF161" s="904" t="n"/>
      <c r="IG161" s="904" t="n"/>
      <c r="IH161" s="904" t="n"/>
      <c r="II161" s="904" t="n"/>
      <c r="IJ161" s="904" t="n"/>
      <c r="IK161" s="904" t="n"/>
      <c r="IL161" s="904" t="n"/>
      <c r="IM161" s="904" t="n"/>
      <c r="IN161" s="904" t="n"/>
      <c r="IO161" s="904" t="n"/>
      <c r="IP161" s="904" t="n"/>
      <c r="IQ161" s="904" t="n"/>
      <c r="IR161" s="904" t="n"/>
      <c r="IS161" s="904" t="n"/>
      <c r="IT161" s="904" t="n"/>
      <c r="IU161" s="904" t="n"/>
      <c r="IV161" s="904" t="n"/>
      <c r="IW161" s="904" t="n"/>
      <c r="IX161" s="904" t="n"/>
      <c r="IY161" s="904" t="n"/>
      <c r="IZ161" s="904" t="n"/>
      <c r="JA161" s="904" t="n"/>
      <c r="JB161" s="904" t="n"/>
      <c r="JC161" s="904" t="n"/>
      <c r="JD161" s="904" t="n"/>
      <c r="JE161" s="904" t="n"/>
      <c r="JF161" s="904" t="n"/>
      <c r="JG161" s="904" t="n"/>
      <c r="JH161" s="904" t="n"/>
      <c r="JI161" s="904" t="n"/>
      <c r="JJ161" s="904" t="n"/>
      <c r="JK161" s="904" t="n"/>
      <c r="JL161" s="904" t="n"/>
      <c r="JM161" s="904" t="n"/>
      <c r="JN161" s="904" t="n"/>
      <c r="JO161" s="904" t="n"/>
      <c r="JP161" s="904" t="n"/>
      <c r="JQ161" s="904" t="n"/>
      <c r="JR161" s="904" t="n"/>
      <c r="JS161" s="904" t="n"/>
      <c r="JT161" s="904" t="n"/>
      <c r="JU161" s="904" t="n"/>
      <c r="JV161" s="904" t="n"/>
      <c r="JW161" s="904" t="n"/>
      <c r="JX161" s="904" t="n"/>
      <c r="JY161" s="904" t="n"/>
      <c r="JZ161" s="904" t="n"/>
      <c r="KA161" s="904" t="n"/>
      <c r="KB161" s="904" t="n"/>
      <c r="KC161" s="904" t="n"/>
      <c r="KD161" s="904" t="n"/>
      <c r="KE161" s="904" t="n"/>
      <c r="KF161" s="904" t="n"/>
      <c r="KG161" s="904" t="n"/>
      <c r="KH161" s="904" t="n"/>
      <c r="KI161" s="904" t="n"/>
      <c r="KJ161" s="904" t="n"/>
      <c r="KK161" s="904" t="n"/>
      <c r="KL161" s="904" t="n"/>
      <c r="KM161" s="904" t="n"/>
      <c r="KN161" s="904" t="n"/>
      <c r="KO161" s="904" t="n"/>
      <c r="KP161" s="1318" t="n"/>
      <c r="KQ161" s="1318" t="n"/>
      <c r="KR161" s="1318" t="n"/>
      <c r="KS161" s="1318" t="n"/>
      <c r="KT161" s="1318" t="n"/>
      <c r="KU161" s="1318" t="n"/>
      <c r="KV161" s="1318" t="n"/>
      <c r="KW161" s="1318" t="n"/>
      <c r="KX161" s="1318" t="n"/>
      <c r="KY161" s="1318" t="n"/>
      <c r="KZ161" s="1318" t="n"/>
      <c r="LA161" s="1318" t="n"/>
      <c r="LB161" s="1318">
        <f>LB216</f>
        <v/>
      </c>
      <c r="LC161" s="1318">
        <f>LC216</f>
        <v/>
      </c>
      <c r="LD161" s="1318">
        <f>LD216</f>
        <v/>
      </c>
      <c r="LE161" s="1318">
        <f>LE216</f>
        <v/>
      </c>
      <c r="LF161" s="1318">
        <f>LF216</f>
        <v/>
      </c>
      <c r="LG161" s="1318">
        <f>LG216</f>
        <v/>
      </c>
      <c r="LH161" s="1318">
        <f>LH216</f>
        <v/>
      </c>
      <c r="LI161" s="1318">
        <f>LI216</f>
        <v/>
      </c>
      <c r="LJ161" s="1318">
        <f>LJ216</f>
        <v/>
      </c>
      <c r="LK161" s="1318">
        <f>LK216</f>
        <v/>
      </c>
      <c r="LL161" s="1318">
        <f>LL216</f>
        <v/>
      </c>
      <c r="LM161" s="1318">
        <f>LM216</f>
        <v/>
      </c>
      <c r="LN161" s="1318">
        <f>LN216</f>
        <v/>
      </c>
      <c r="LO161" s="1318">
        <f>LO216</f>
        <v/>
      </c>
      <c r="LP161" s="1318">
        <f>LP216</f>
        <v/>
      </c>
      <c r="LQ161" s="1318">
        <f>LQ216</f>
        <v/>
      </c>
      <c r="LR161" s="1318">
        <f>LR216</f>
        <v/>
      </c>
      <c r="LS161" s="1318">
        <f>LS216</f>
        <v/>
      </c>
    </row>
    <row r="162" ht="15" customHeight="1" s="239">
      <c r="A162" s="904" t="inlineStr">
        <is>
          <t>Number of passenger flight sectors</t>
        </is>
      </c>
      <c r="B162" s="904" t="n"/>
      <c r="C162" s="904" t="n"/>
      <c r="D162" s="904" t="n"/>
      <c r="E162" s="904" t="n"/>
      <c r="F162" s="904" t="n"/>
      <c r="G162" s="904" t="n"/>
      <c r="H162" s="904" t="n"/>
      <c r="I162" s="904" t="n"/>
      <c r="J162" s="904" t="n"/>
      <c r="K162" s="904" t="n"/>
      <c r="L162" s="904" t="n"/>
      <c r="M162" s="904" t="n"/>
      <c r="N162" s="904" t="n"/>
      <c r="O162" s="904" t="n"/>
      <c r="P162" s="904" t="n"/>
      <c r="Q162" s="904" t="n"/>
      <c r="R162" s="904" t="n"/>
      <c r="S162" s="904" t="n"/>
      <c r="T162" s="904" t="n"/>
      <c r="U162" s="904" t="n"/>
      <c r="V162" s="904" t="n"/>
      <c r="W162" s="904" t="n"/>
      <c r="X162" s="904" t="n"/>
      <c r="Y162" s="904" t="n"/>
      <c r="Z162" s="904" t="n"/>
      <c r="AA162" s="904" t="n"/>
      <c r="AB162" s="904" t="n"/>
      <c r="AC162" s="904" t="n"/>
      <c r="AD162" s="904" t="n"/>
      <c r="AE162" s="904" t="n"/>
      <c r="AF162" s="904" t="n"/>
      <c r="AG162" s="904" t="n"/>
      <c r="AH162" s="904" t="n"/>
      <c r="AI162" s="904" t="n"/>
      <c r="AJ162" s="904" t="n"/>
      <c r="AK162" s="904" t="n"/>
      <c r="AL162" s="904" t="n"/>
      <c r="AM162" s="904" t="n"/>
      <c r="AN162" s="904" t="n"/>
      <c r="AO162" s="904" t="n"/>
      <c r="AP162" s="904" t="n"/>
      <c r="AQ162" s="904" t="n"/>
      <c r="AR162" s="904" t="n"/>
      <c r="AS162" s="904" t="n"/>
      <c r="AT162" s="904" t="n"/>
      <c r="AU162" s="904" t="n"/>
      <c r="AV162" s="904" t="n"/>
      <c r="AW162" s="904" t="n"/>
      <c r="AX162" s="904" t="n"/>
      <c r="AY162" s="904" t="n"/>
      <c r="AZ162" s="904" t="n"/>
      <c r="BA162" s="904" t="n"/>
      <c r="BB162" s="904" t="n"/>
      <c r="BC162" s="904" t="n"/>
      <c r="BD162" s="904" t="n"/>
      <c r="BE162" s="904" t="n"/>
      <c r="BF162" s="904" t="n"/>
      <c r="BG162" s="904" t="n"/>
      <c r="BH162" s="904" t="n"/>
      <c r="BI162" s="904" t="n"/>
      <c r="BJ162" s="904" t="n"/>
      <c r="BK162" s="904" t="n"/>
      <c r="BL162" s="904" t="n"/>
      <c r="BM162" s="904" t="n"/>
      <c r="BN162" s="904" t="n"/>
      <c r="BO162" s="904" t="n"/>
      <c r="BP162" s="904" t="n"/>
      <c r="BQ162" s="904" t="n"/>
      <c r="BR162" s="904" t="n"/>
      <c r="BS162" s="904" t="n"/>
      <c r="BT162" s="904" t="n"/>
      <c r="BU162" s="904" t="n"/>
      <c r="BV162" s="904" t="n"/>
      <c r="BW162" s="904" t="n"/>
      <c r="BX162" s="904" t="n"/>
      <c r="BY162" s="904" t="n"/>
      <c r="BZ162" s="904" t="n"/>
      <c r="CA162" s="904" t="n"/>
      <c r="CB162" s="904" t="n"/>
      <c r="CC162" s="904" t="n"/>
      <c r="CD162" s="904" t="n"/>
      <c r="CE162" s="904" t="n"/>
      <c r="CF162" s="904" t="n"/>
      <c r="CG162" s="904" t="n"/>
      <c r="CH162" s="904" t="n"/>
      <c r="CI162" s="904" t="n"/>
      <c r="CJ162" s="904" t="n"/>
      <c r="CK162" s="904" t="n"/>
      <c r="CL162" s="904" t="n"/>
      <c r="CM162" s="904" t="n"/>
      <c r="CN162" s="904" t="n"/>
      <c r="CO162" s="904" t="n"/>
      <c r="CP162" s="904" t="n"/>
      <c r="CQ162" s="904" t="n"/>
      <c r="CR162" s="904" t="n"/>
      <c r="CS162" s="904" t="n"/>
      <c r="CT162" s="904" t="n"/>
      <c r="CU162" s="904" t="n"/>
      <c r="CV162" s="904" t="n"/>
      <c r="CW162" s="904" t="n"/>
      <c r="CX162" s="904" t="n"/>
      <c r="CY162" s="904" t="n"/>
      <c r="CZ162" s="904" t="n"/>
      <c r="DA162" s="904" t="n"/>
      <c r="DB162" s="904" t="n"/>
      <c r="DC162" s="904" t="n"/>
      <c r="DD162" s="904" t="n"/>
      <c r="DE162" s="904" t="n"/>
      <c r="DF162" s="904" t="n"/>
      <c r="DG162" s="904" t="n"/>
      <c r="DH162" s="904" t="n"/>
      <c r="DI162" s="904" t="n"/>
      <c r="DJ162" s="904" t="n"/>
      <c r="DK162" s="904" t="n"/>
      <c r="DL162" s="904" t="n"/>
      <c r="DM162" s="904" t="n"/>
      <c r="DN162" s="904" t="n"/>
      <c r="DO162" s="904" t="n"/>
      <c r="DP162" s="904" t="n"/>
      <c r="DQ162" s="904" t="n"/>
      <c r="DR162" s="904" t="n"/>
      <c r="DS162" s="904" t="n"/>
      <c r="DT162" s="904" t="n"/>
      <c r="DU162" s="904" t="n"/>
      <c r="DV162" s="904" t="n"/>
      <c r="DW162" s="904" t="n"/>
      <c r="DX162" s="904" t="n"/>
      <c r="DY162" s="904" t="n"/>
      <c r="DZ162" s="904" t="n"/>
      <c r="EA162" s="904" t="n"/>
      <c r="EB162" s="904" t="n"/>
      <c r="EC162" s="904" t="n"/>
      <c r="ED162" s="904" t="n"/>
      <c r="EE162" s="904" t="n"/>
      <c r="EF162" s="904" t="n"/>
      <c r="EG162" s="904" t="n"/>
      <c r="EH162" s="904" t="n"/>
      <c r="EI162" s="904" t="n"/>
      <c r="EJ162" s="904" t="n"/>
      <c r="EK162" s="904" t="n"/>
      <c r="EL162" s="904" t="n"/>
      <c r="EM162" s="904" t="n"/>
      <c r="EN162" s="904" t="n"/>
      <c r="EO162" s="904" t="n"/>
      <c r="EP162" s="904" t="n"/>
      <c r="EQ162" s="904" t="n"/>
      <c r="ER162" s="904" t="n"/>
      <c r="ES162" s="904" t="n"/>
      <c r="ET162" s="904" t="n"/>
      <c r="EU162" s="904" t="n"/>
      <c r="EV162" s="904" t="n"/>
      <c r="EW162" s="904" t="n"/>
      <c r="EX162" s="904" t="n"/>
      <c r="EY162" s="904" t="n"/>
      <c r="EZ162" s="904" t="n"/>
      <c r="FA162" s="904" t="n"/>
      <c r="FB162" s="904" t="n"/>
      <c r="FC162" s="904" t="n"/>
      <c r="FD162" s="904" t="n"/>
      <c r="FE162" s="904" t="n"/>
      <c r="FF162" s="904" t="n"/>
      <c r="FG162" s="904" t="n"/>
      <c r="FH162" s="904" t="n"/>
      <c r="FI162" s="904" t="n"/>
      <c r="FJ162" s="904" t="n"/>
      <c r="FK162" s="904" t="n"/>
      <c r="FL162" s="904" t="n"/>
      <c r="FM162" s="904" t="n"/>
      <c r="FN162" s="904" t="n"/>
      <c r="FO162" s="904" t="n"/>
      <c r="FP162" s="904" t="n"/>
      <c r="FQ162" s="904" t="n"/>
      <c r="FR162" s="904" t="n"/>
      <c r="FS162" s="904" t="n"/>
      <c r="FT162" s="904" t="n"/>
      <c r="FU162" s="904" t="n"/>
      <c r="FV162" s="904" t="n"/>
      <c r="FW162" s="904" t="n"/>
      <c r="FX162" s="904" t="n"/>
      <c r="FY162" s="904" t="n"/>
      <c r="FZ162" s="904" t="n"/>
      <c r="GA162" s="904" t="n"/>
      <c r="GB162" s="904" t="n"/>
      <c r="GC162" s="904" t="n"/>
      <c r="GD162" s="904" t="n"/>
      <c r="GE162" s="904" t="n"/>
      <c r="GF162" s="904" t="n"/>
      <c r="GG162" s="904" t="n"/>
      <c r="GH162" s="904" t="n"/>
      <c r="GI162" s="904" t="n"/>
      <c r="GJ162" s="904" t="n"/>
      <c r="GK162" s="904" t="n"/>
      <c r="GL162" s="904" t="n"/>
      <c r="GM162" s="904" t="n"/>
      <c r="GN162" s="904" t="n"/>
      <c r="GO162" s="904" t="n"/>
      <c r="GP162" s="904" t="n"/>
      <c r="GQ162" s="904" t="n"/>
      <c r="GR162" s="904" t="n"/>
      <c r="GS162" s="904" t="n"/>
      <c r="GT162" s="904" t="n"/>
      <c r="GU162" s="904" t="n"/>
      <c r="GV162" s="904" t="n"/>
      <c r="GW162" s="904" t="n"/>
      <c r="GX162" s="904" t="n"/>
      <c r="GY162" s="904" t="n"/>
      <c r="GZ162" s="904" t="n"/>
      <c r="HA162" s="904" t="n"/>
      <c r="HB162" s="904" t="n"/>
      <c r="HC162" s="904" t="n"/>
      <c r="HD162" s="904" t="n"/>
      <c r="HE162" s="904" t="n"/>
      <c r="HF162" s="904" t="n"/>
      <c r="HG162" s="904" t="n"/>
      <c r="HH162" s="904" t="n"/>
      <c r="HI162" s="904" t="n"/>
      <c r="HJ162" s="904" t="n"/>
      <c r="HK162" s="904" t="n"/>
      <c r="HL162" s="904" t="n"/>
      <c r="HM162" s="904" t="n"/>
      <c r="HN162" s="904" t="n"/>
      <c r="HO162" s="904" t="n"/>
      <c r="HP162" s="904" t="n"/>
      <c r="HQ162" s="904" t="n"/>
      <c r="HR162" s="904" t="n"/>
      <c r="HS162" s="904" t="n"/>
      <c r="HT162" s="904" t="n"/>
      <c r="HU162" s="904" t="n"/>
      <c r="HV162" s="904" t="n"/>
      <c r="HW162" s="904" t="n"/>
      <c r="HX162" s="904" t="n"/>
      <c r="HY162" s="904" t="n"/>
      <c r="HZ162" s="904" t="n"/>
      <c r="IA162" s="904" t="n"/>
      <c r="IB162" s="904" t="n"/>
      <c r="IC162" s="904" t="n"/>
      <c r="ID162" s="904" t="n"/>
      <c r="IE162" s="904" t="n"/>
      <c r="IF162" s="904" t="n"/>
      <c r="IG162" s="904" t="n"/>
      <c r="IH162" s="904" t="n"/>
      <c r="II162" s="904" t="n"/>
      <c r="IJ162" s="904" t="n"/>
      <c r="IK162" s="904" t="n"/>
      <c r="IL162" s="904" t="n"/>
      <c r="IM162" s="904" t="n"/>
      <c r="IN162" s="904" t="n"/>
      <c r="IO162" s="904" t="n"/>
      <c r="IP162" s="904" t="n"/>
      <c r="IQ162" s="904" t="n"/>
      <c r="IR162" s="904" t="n"/>
      <c r="IS162" s="904" t="n"/>
      <c r="IT162" s="904" t="n"/>
      <c r="IU162" s="904" t="n"/>
      <c r="IV162" s="904" t="n"/>
      <c r="IW162" s="904" t="n"/>
      <c r="IX162" s="904" t="n"/>
      <c r="IY162" s="904" t="n"/>
      <c r="IZ162" s="904" t="n"/>
      <c r="JA162" s="904" t="n"/>
      <c r="JB162" s="904" t="n"/>
      <c r="JC162" s="904" t="n"/>
      <c r="JD162" s="904" t="n"/>
      <c r="JE162" s="904" t="n"/>
      <c r="JF162" s="904" t="n"/>
      <c r="JG162" s="904" t="n"/>
      <c r="JH162" s="904" t="n"/>
      <c r="JI162" s="904" t="n"/>
      <c r="JJ162" s="904" t="n"/>
      <c r="JK162" s="904" t="n"/>
      <c r="JL162" s="904" t="n"/>
      <c r="JM162" s="904" t="n"/>
      <c r="JN162" s="904" t="n"/>
      <c r="JO162" s="904" t="n"/>
      <c r="JP162" s="904" t="n"/>
      <c r="JQ162" s="904" t="n"/>
      <c r="JR162" s="904" t="n"/>
      <c r="JS162" s="904" t="n"/>
      <c r="JT162" s="904" t="n"/>
      <c r="JU162" s="904" t="n"/>
      <c r="JV162" s="904" t="n"/>
      <c r="JW162" s="904" t="n"/>
      <c r="JX162" s="904" t="n"/>
      <c r="JY162" s="904" t="n"/>
      <c r="JZ162" s="904" t="n"/>
      <c r="KA162" s="904" t="n"/>
      <c r="KB162" s="904" t="n"/>
      <c r="KC162" s="904" t="n"/>
      <c r="KD162" s="904" t="n"/>
      <c r="KE162" s="904" t="n"/>
      <c r="KF162" s="904" t="n"/>
      <c r="KG162" s="904" t="n"/>
      <c r="KH162" s="904" t="n"/>
      <c r="KI162" s="904" t="n"/>
      <c r="KJ162" s="904" t="n"/>
      <c r="KK162" s="904" t="n"/>
      <c r="KL162" s="904" t="n"/>
      <c r="KM162" s="904" t="n"/>
      <c r="KN162" s="904" t="n"/>
      <c r="KO162" s="904" t="n"/>
      <c r="KP162" s="863">
        <f>LB162/(1+LB164)</f>
        <v/>
      </c>
      <c r="KQ162" s="863">
        <f>LC162/(1+LC164)</f>
        <v/>
      </c>
      <c r="KR162" s="863">
        <f>LD162/(1+LD164)</f>
        <v/>
      </c>
      <c r="KS162" s="863">
        <f>LE162/(1+LE164)</f>
        <v/>
      </c>
      <c r="KT162" s="863">
        <f>LF162/(1+LF164)</f>
        <v/>
      </c>
      <c r="KU162" s="863">
        <f>LG162/(1+LG164)</f>
        <v/>
      </c>
      <c r="KV162" s="863">
        <f>LH162/(1+LH164)</f>
        <v/>
      </c>
      <c r="KW162" s="863">
        <f>LI162/(1+LI164)</f>
        <v/>
      </c>
      <c r="KX162" s="863">
        <f>LJ162/(1+LJ164)</f>
        <v/>
      </c>
      <c r="KY162" s="863">
        <f>LK162/(1+LK164)</f>
        <v/>
      </c>
      <c r="KZ162" s="863">
        <f>LL162/(1+LL164)</f>
        <v/>
      </c>
      <c r="LA162" s="863">
        <f>LM162/(1+LM164)</f>
        <v/>
      </c>
      <c r="LB162" s="863">
        <f>LB211</f>
        <v/>
      </c>
      <c r="LC162" s="863">
        <f>LC211</f>
        <v/>
      </c>
      <c r="LD162" s="863">
        <f>LD211</f>
        <v/>
      </c>
      <c r="LE162" s="863">
        <f>LE211</f>
        <v/>
      </c>
      <c r="LF162" s="863">
        <f>LF211</f>
        <v/>
      </c>
      <c r="LG162" s="863">
        <f>LG211</f>
        <v/>
      </c>
      <c r="LH162" s="863">
        <f>LH211</f>
        <v/>
      </c>
      <c r="LI162" s="863">
        <f>LI211</f>
        <v/>
      </c>
      <c r="LJ162" s="863">
        <f>LJ211</f>
        <v/>
      </c>
      <c r="LK162" s="863">
        <f>LK211</f>
        <v/>
      </c>
      <c r="LL162" s="863">
        <f>LL211</f>
        <v/>
      </c>
      <c r="LM162" s="863">
        <f>LM211</f>
        <v/>
      </c>
      <c r="LN162" s="863">
        <f>LN211</f>
        <v/>
      </c>
      <c r="LO162" s="863">
        <f>LO211</f>
        <v/>
      </c>
      <c r="LP162" s="863">
        <f>LP211</f>
        <v/>
      </c>
      <c r="LQ162" s="863">
        <f>LQ211</f>
        <v/>
      </c>
      <c r="LR162" s="863">
        <f>LR211</f>
        <v/>
      </c>
      <c r="LS162" s="863">
        <f>LS211</f>
        <v/>
      </c>
    </row>
    <row r="163">
      <c r="A163" s="885" t="inlineStr">
        <is>
          <t>m cg %</t>
        </is>
      </c>
      <c r="B163" s="904" t="n"/>
      <c r="C163" s="904" t="n"/>
      <c r="D163" s="904" t="n"/>
      <c r="E163" s="904" t="n"/>
      <c r="F163" s="904" t="n"/>
      <c r="G163" s="904" t="n"/>
      <c r="H163" s="904" t="n"/>
      <c r="I163" s="904" t="n"/>
      <c r="J163" s="904" t="n"/>
      <c r="K163" s="904" t="n"/>
      <c r="L163" s="904" t="n"/>
      <c r="M163" s="904" t="n"/>
      <c r="N163" s="904" t="n"/>
      <c r="O163" s="904" t="n"/>
      <c r="P163" s="904" t="n"/>
      <c r="Q163" s="904" t="n"/>
      <c r="R163" s="904" t="n"/>
      <c r="S163" s="904" t="n"/>
      <c r="T163" s="904" t="n"/>
      <c r="U163" s="904" t="n"/>
      <c r="V163" s="904" t="n"/>
      <c r="W163" s="904" t="n"/>
      <c r="X163" s="904" t="n"/>
      <c r="Y163" s="904" t="n"/>
      <c r="Z163" s="904" t="n"/>
      <c r="AA163" s="904" t="n"/>
      <c r="AB163" s="904" t="n"/>
      <c r="AC163" s="904" t="n"/>
      <c r="AD163" s="904" t="n"/>
      <c r="AE163" s="904" t="n"/>
      <c r="AF163" s="904" t="n"/>
      <c r="AG163" s="904" t="n"/>
      <c r="AH163" s="904" t="n"/>
      <c r="AI163" s="904" t="n"/>
      <c r="AJ163" s="904" t="n"/>
      <c r="AK163" s="904" t="n"/>
      <c r="AL163" s="904" t="n"/>
      <c r="AM163" s="904" t="n"/>
      <c r="AN163" s="904" t="n"/>
      <c r="AO163" s="904" t="n"/>
      <c r="AP163" s="904" t="n"/>
      <c r="AQ163" s="904" t="n"/>
      <c r="AR163" s="904" t="n"/>
      <c r="AS163" s="904" t="n"/>
      <c r="AT163" s="904" t="n"/>
      <c r="AU163" s="904" t="n"/>
      <c r="AV163" s="904" t="n"/>
      <c r="AW163" s="904" t="n"/>
      <c r="AX163" s="904" t="n"/>
      <c r="AY163" s="904" t="n"/>
      <c r="AZ163" s="904" t="n"/>
      <c r="BA163" s="904" t="n"/>
      <c r="BB163" s="904" t="n"/>
      <c r="BC163" s="904" t="n"/>
      <c r="BD163" s="904" t="n"/>
      <c r="BE163" s="904" t="n"/>
      <c r="BF163" s="904" t="n"/>
      <c r="BG163" s="904" t="n"/>
      <c r="BH163" s="904" t="n"/>
      <c r="BI163" s="904" t="n"/>
      <c r="BJ163" s="904" t="n"/>
      <c r="BK163" s="904" t="n"/>
      <c r="BL163" s="904" t="n"/>
      <c r="BM163" s="904" t="n"/>
      <c r="BN163" s="904" t="n"/>
      <c r="BO163" s="904" t="n"/>
      <c r="BP163" s="904" t="n"/>
      <c r="BQ163" s="904" t="n"/>
      <c r="BR163" s="904" t="n"/>
      <c r="BS163" s="904" t="n"/>
      <c r="BT163" s="904" t="n"/>
      <c r="BU163" s="904" t="n"/>
      <c r="BV163" s="904" t="n"/>
      <c r="BW163" s="904" t="n"/>
      <c r="BX163" s="904" t="n"/>
      <c r="BY163" s="904" t="n"/>
      <c r="BZ163" s="904" t="n"/>
      <c r="CA163" s="904" t="n"/>
      <c r="CB163" s="904" t="n"/>
      <c r="CC163" s="904" t="n"/>
      <c r="CD163" s="904" t="n"/>
      <c r="CE163" s="904" t="n"/>
      <c r="CF163" s="904" t="n"/>
      <c r="CG163" s="904" t="n"/>
      <c r="CH163" s="904" t="n"/>
      <c r="CI163" s="904" t="n"/>
      <c r="CJ163" s="904" t="n"/>
      <c r="CK163" s="904" t="n"/>
      <c r="CL163" s="904" t="n"/>
      <c r="CM163" s="904" t="n"/>
      <c r="CN163" s="904" t="n"/>
      <c r="CO163" s="904" t="n"/>
      <c r="CP163" s="904" t="n"/>
      <c r="CQ163" s="904" t="n"/>
      <c r="CR163" s="904" t="n"/>
      <c r="CS163" s="904" t="n"/>
      <c r="CT163" s="904" t="n"/>
      <c r="CU163" s="904" t="n"/>
      <c r="CV163" s="904" t="n"/>
      <c r="CW163" s="904" t="n"/>
      <c r="CX163" s="904" t="n"/>
      <c r="CY163" s="904" t="n"/>
      <c r="CZ163" s="904" t="n"/>
      <c r="DA163" s="904" t="n"/>
      <c r="DB163" s="904" t="n"/>
      <c r="DC163" s="904" t="n"/>
      <c r="DD163" s="904" t="n"/>
      <c r="DE163" s="904" t="n"/>
      <c r="DF163" s="904" t="n"/>
      <c r="DG163" s="904" t="n"/>
      <c r="DH163" s="904" t="n"/>
      <c r="DI163" s="904" t="n"/>
      <c r="DJ163" s="904" t="n"/>
      <c r="DK163" s="904" t="n"/>
      <c r="DL163" s="904" t="n"/>
      <c r="DM163" s="904" t="n"/>
      <c r="DN163" s="904" t="n"/>
      <c r="DO163" s="904" t="n"/>
      <c r="DP163" s="904" t="n"/>
      <c r="DQ163" s="904" t="n"/>
      <c r="DR163" s="904" t="n"/>
      <c r="DS163" s="904" t="n"/>
      <c r="DT163" s="904" t="n"/>
      <c r="DU163" s="904" t="n"/>
      <c r="DV163" s="904" t="n"/>
      <c r="DW163" s="904" t="n"/>
      <c r="DX163" s="904" t="n"/>
      <c r="DY163" s="904" t="n"/>
      <c r="DZ163" s="904" t="n"/>
      <c r="EA163" s="904" t="n"/>
      <c r="EB163" s="904" t="n"/>
      <c r="EC163" s="904" t="n"/>
      <c r="ED163" s="904" t="n"/>
      <c r="EE163" s="904" t="n"/>
      <c r="EF163" s="904" t="n"/>
      <c r="EG163" s="904" t="n"/>
      <c r="EH163" s="904" t="n"/>
      <c r="EI163" s="904" t="n"/>
      <c r="EJ163" s="904" t="n"/>
      <c r="EK163" s="904" t="n"/>
      <c r="EL163" s="904" t="n"/>
      <c r="EM163" s="904" t="n"/>
      <c r="EN163" s="904" t="n"/>
      <c r="EO163" s="904" t="n"/>
      <c r="EP163" s="904" t="n"/>
      <c r="EQ163" s="904" t="n"/>
      <c r="ER163" s="904" t="n"/>
      <c r="ES163" s="904" t="n"/>
      <c r="ET163" s="904" t="n"/>
      <c r="EU163" s="904" t="n"/>
      <c r="EV163" s="904" t="n"/>
      <c r="EW163" s="904" t="n"/>
      <c r="EX163" s="904" t="n"/>
      <c r="EY163" s="904" t="n"/>
      <c r="EZ163" s="904" t="n"/>
      <c r="FA163" s="904" t="n"/>
      <c r="FB163" s="904" t="n"/>
      <c r="FC163" s="904" t="n"/>
      <c r="FD163" s="904" t="n"/>
      <c r="FE163" s="904" t="n"/>
      <c r="FF163" s="904" t="n"/>
      <c r="FG163" s="904" t="n"/>
      <c r="FH163" s="904" t="n"/>
      <c r="FI163" s="904" t="n"/>
      <c r="FJ163" s="904" t="n"/>
      <c r="FK163" s="904" t="n"/>
      <c r="FL163" s="904" t="n"/>
      <c r="FM163" s="904" t="n"/>
      <c r="FN163" s="904" t="n"/>
      <c r="FO163" s="904" t="n"/>
      <c r="FP163" s="904" t="n"/>
      <c r="FQ163" s="904" t="n"/>
      <c r="FR163" s="904" t="n"/>
      <c r="FS163" s="904" t="n"/>
      <c r="FT163" s="904" t="n"/>
      <c r="FU163" s="904" t="n"/>
      <c r="FV163" s="904" t="n"/>
      <c r="FW163" s="904" t="n"/>
      <c r="FX163" s="904" t="n"/>
      <c r="FY163" s="904" t="n"/>
      <c r="FZ163" s="904" t="n"/>
      <c r="GA163" s="904" t="n"/>
      <c r="GB163" s="904" t="n"/>
      <c r="GC163" s="904" t="n"/>
      <c r="GD163" s="904" t="n"/>
      <c r="GE163" s="904" t="n"/>
      <c r="GF163" s="904" t="n"/>
      <c r="GG163" s="904" t="n"/>
      <c r="GH163" s="904" t="n"/>
      <c r="GI163" s="904" t="n"/>
      <c r="GJ163" s="904" t="n"/>
      <c r="GK163" s="904" t="n"/>
      <c r="GL163" s="904" t="n"/>
      <c r="GM163" s="904" t="n"/>
      <c r="GN163" s="904" t="n"/>
      <c r="GO163" s="904" t="n"/>
      <c r="GP163" s="904" t="n"/>
      <c r="GQ163" s="904" t="n"/>
      <c r="GR163" s="904" t="n"/>
      <c r="GS163" s="904" t="n"/>
      <c r="GT163" s="904" t="n"/>
      <c r="GU163" s="904" t="n"/>
      <c r="GV163" s="904" t="n"/>
      <c r="GW163" s="904" t="n"/>
      <c r="GX163" s="904" t="n"/>
      <c r="GY163" s="904" t="n"/>
      <c r="GZ163" s="904" t="n"/>
      <c r="HA163" s="904" t="n"/>
      <c r="HB163" s="904" t="n"/>
      <c r="HC163" s="904" t="n"/>
      <c r="HD163" s="904" t="n"/>
      <c r="HE163" s="904" t="n"/>
      <c r="HF163" s="904" t="n"/>
      <c r="HG163" s="904" t="n"/>
      <c r="HH163" s="904" t="n"/>
      <c r="HI163" s="904" t="n"/>
      <c r="HJ163" s="904" t="n"/>
      <c r="HK163" s="904" t="n"/>
      <c r="HL163" s="904" t="n"/>
      <c r="HM163" s="904" t="n"/>
      <c r="HN163" s="904" t="n"/>
      <c r="HO163" s="904" t="n"/>
      <c r="HP163" s="904" t="n"/>
      <c r="HQ163" s="904" t="n"/>
      <c r="HR163" s="904" t="n"/>
      <c r="HS163" s="904" t="n"/>
      <c r="HT163" s="904" t="n"/>
      <c r="HU163" s="904" t="n"/>
      <c r="HV163" s="904" t="n"/>
      <c r="HW163" s="904" t="n"/>
      <c r="HX163" s="904" t="n"/>
      <c r="HY163" s="904" t="n"/>
      <c r="HZ163" s="904" t="n"/>
      <c r="IA163" s="904" t="n"/>
      <c r="IB163" s="904" t="n"/>
      <c r="IC163" s="904" t="n"/>
      <c r="ID163" s="904" t="n"/>
      <c r="IE163" s="904" t="n"/>
      <c r="IF163" s="904" t="n"/>
      <c r="IG163" s="904" t="n"/>
      <c r="IH163" s="904" t="n"/>
      <c r="II163" s="904" t="n"/>
      <c r="IJ163" s="904" t="n"/>
      <c r="IK163" s="904" t="n"/>
      <c r="IL163" s="904" t="n"/>
      <c r="IM163" s="904" t="n"/>
      <c r="IN163" s="904" t="n"/>
      <c r="IO163" s="904" t="n"/>
      <c r="IP163" s="904" t="n"/>
      <c r="IQ163" s="904" t="n"/>
      <c r="IR163" s="904" t="n"/>
      <c r="IS163" s="904" t="n"/>
      <c r="IT163" s="904" t="n"/>
      <c r="IU163" s="904" t="n"/>
      <c r="IV163" s="904" t="n"/>
      <c r="IW163" s="904" t="n"/>
      <c r="IX163" s="904" t="n"/>
      <c r="IY163" s="904" t="n"/>
      <c r="IZ163" s="904" t="n"/>
      <c r="JA163" s="904" t="n"/>
      <c r="JB163" s="904" t="n"/>
      <c r="JC163" s="904" t="n"/>
      <c r="JD163" s="904" t="n"/>
      <c r="JE163" s="904" t="n"/>
      <c r="JF163" s="904" t="n"/>
      <c r="JG163" s="904" t="n"/>
      <c r="JH163" s="904" t="n"/>
      <c r="JI163" s="904" t="n"/>
      <c r="JJ163" s="904" t="n"/>
      <c r="JK163" s="904" t="n"/>
      <c r="JL163" s="904" t="n"/>
      <c r="JM163" s="904" t="n"/>
      <c r="JN163" s="904" t="n"/>
      <c r="JO163" s="904" t="n"/>
      <c r="JP163" s="904" t="n"/>
      <c r="JQ163" s="904" t="n"/>
      <c r="JR163" s="904" t="n"/>
      <c r="JS163" s="904" t="n"/>
      <c r="JT163" s="904" t="n"/>
      <c r="JU163" s="904" t="n"/>
      <c r="JV163" s="904" t="n"/>
      <c r="JW163" s="904" t="n"/>
      <c r="JX163" s="904" t="n"/>
      <c r="JY163" s="904" t="n"/>
      <c r="JZ163" s="904" t="n"/>
      <c r="KA163" s="904" t="n"/>
      <c r="KB163" s="904" t="n"/>
      <c r="KC163" s="904" t="n"/>
      <c r="KD163" s="904" t="n"/>
      <c r="KE163" s="904" t="n"/>
      <c r="KF163" s="904" t="n"/>
      <c r="KG163" s="904" t="n"/>
      <c r="KH163" s="904" t="n"/>
      <c r="KI163" s="904" t="n"/>
      <c r="KJ163" s="904" t="n"/>
      <c r="KK163" s="904" t="n"/>
      <c r="KL163" s="904" t="n"/>
      <c r="KM163" s="904" t="n"/>
      <c r="KN163" s="904" t="n"/>
      <c r="KO163" s="904" t="n"/>
      <c r="KP163" s="1318" t="n"/>
      <c r="KQ163" s="1318">
        <f>KQ162/KP162-1</f>
        <v/>
      </c>
      <c r="KR163" s="1318">
        <f>KR162/KQ162-1</f>
        <v/>
      </c>
      <c r="KS163" s="1318">
        <f>KS162/KR162-1</f>
        <v/>
      </c>
      <c r="KT163" s="1318">
        <f>KT162/KS162-1</f>
        <v/>
      </c>
      <c r="KU163" s="1318">
        <f>KU162/KT162-1</f>
        <v/>
      </c>
      <c r="KV163" s="1318">
        <f>KV162/KU162-1</f>
        <v/>
      </c>
      <c r="KW163" s="1318">
        <f>KW162/KV162-1</f>
        <v/>
      </c>
      <c r="KX163" s="1318">
        <f>KX162/KW162-1</f>
        <v/>
      </c>
      <c r="KY163" s="1318">
        <f>KY162/KX162-1</f>
        <v/>
      </c>
      <c r="KZ163" s="1318">
        <f>KZ162/KY162-1</f>
        <v/>
      </c>
      <c r="LA163" s="1318">
        <f>LA162/KZ162-1</f>
        <v/>
      </c>
      <c r="LB163" s="1318" t="n"/>
      <c r="LC163" s="1318">
        <f>LC162/LB162-1</f>
        <v/>
      </c>
      <c r="LD163" s="1318">
        <f>LD162/LC162-1</f>
        <v/>
      </c>
      <c r="LE163" s="1318">
        <f>LE162/LD162-1</f>
        <v/>
      </c>
      <c r="LF163" s="1318">
        <f>LF162/LE162-1</f>
        <v/>
      </c>
      <c r="LG163" s="1318">
        <f>LG162/LF162-1</f>
        <v/>
      </c>
      <c r="LH163" s="1318">
        <f>LH162/LG162-1</f>
        <v/>
      </c>
      <c r="LI163" s="1318">
        <f>LI162/LH162-1</f>
        <v/>
      </c>
      <c r="LJ163" s="1318">
        <f>LJ162/LI162-1</f>
        <v/>
      </c>
      <c r="LK163" s="1318">
        <f>LK162/LJ162-1</f>
        <v/>
      </c>
      <c r="LL163" s="1318">
        <f>LL162/LK162-1</f>
        <v/>
      </c>
      <c r="LM163" s="1318">
        <f>LM162/LL162-1</f>
        <v/>
      </c>
      <c r="LN163" s="1318">
        <f>LN162/LM162-1</f>
        <v/>
      </c>
      <c r="LO163" s="1318">
        <f>LO162/LN162-1</f>
        <v/>
      </c>
      <c r="LP163" s="1318">
        <f>LP162/LO162-1</f>
        <v/>
      </c>
      <c r="LQ163" s="1318">
        <f>LQ162/LP162-1</f>
        <v/>
      </c>
      <c r="LR163" s="1318">
        <f>LR162/LQ162-1</f>
        <v/>
      </c>
      <c r="LS163" s="1318">
        <f>LS162/LR162-1</f>
        <v/>
      </c>
    </row>
    <row r="164">
      <c r="A164" s="885" t="inlineStr">
        <is>
          <t>YoY cg %</t>
        </is>
      </c>
      <c r="B164" s="904" t="n"/>
      <c r="C164" s="904" t="n"/>
      <c r="D164" s="904" t="n"/>
      <c r="E164" s="904" t="n"/>
      <c r="F164" s="904" t="n"/>
      <c r="G164" s="904" t="n"/>
      <c r="H164" s="904" t="n"/>
      <c r="I164" s="904" t="n"/>
      <c r="J164" s="904" t="n"/>
      <c r="K164" s="904" t="n"/>
      <c r="L164" s="904" t="n"/>
      <c r="M164" s="904" t="n"/>
      <c r="N164" s="904" t="n"/>
      <c r="O164" s="904" t="n"/>
      <c r="P164" s="904" t="n"/>
      <c r="Q164" s="904" t="n"/>
      <c r="R164" s="904" t="n"/>
      <c r="S164" s="904" t="n"/>
      <c r="T164" s="904" t="n"/>
      <c r="U164" s="904" t="n"/>
      <c r="V164" s="904" t="n"/>
      <c r="W164" s="904" t="n"/>
      <c r="X164" s="904" t="n"/>
      <c r="Y164" s="904" t="n"/>
      <c r="Z164" s="904" t="n"/>
      <c r="AA164" s="904" t="n"/>
      <c r="AB164" s="904" t="n"/>
      <c r="AC164" s="904" t="n"/>
      <c r="AD164" s="904" t="n"/>
      <c r="AE164" s="904" t="n"/>
      <c r="AF164" s="904" t="n"/>
      <c r="AG164" s="904" t="n"/>
      <c r="AH164" s="904" t="n"/>
      <c r="AI164" s="904" t="n"/>
      <c r="AJ164" s="904" t="n"/>
      <c r="AK164" s="904" t="n"/>
      <c r="AL164" s="904" t="n"/>
      <c r="AM164" s="904" t="n"/>
      <c r="AN164" s="904" t="n"/>
      <c r="AO164" s="904" t="n"/>
      <c r="AP164" s="904" t="n"/>
      <c r="AQ164" s="904" t="n"/>
      <c r="AR164" s="904" t="n"/>
      <c r="AS164" s="904" t="n"/>
      <c r="AT164" s="904" t="n"/>
      <c r="AU164" s="904" t="n"/>
      <c r="AV164" s="904" t="n"/>
      <c r="AW164" s="904" t="n"/>
      <c r="AX164" s="904" t="n"/>
      <c r="AY164" s="904" t="n"/>
      <c r="AZ164" s="904" t="n"/>
      <c r="BA164" s="904" t="n"/>
      <c r="BB164" s="904" t="n"/>
      <c r="BC164" s="904" t="n"/>
      <c r="BD164" s="904" t="n"/>
      <c r="BE164" s="904" t="n"/>
      <c r="BF164" s="904" t="n"/>
      <c r="BG164" s="904" t="n"/>
      <c r="BH164" s="904" t="n"/>
      <c r="BI164" s="904" t="n"/>
      <c r="BJ164" s="904" t="n"/>
      <c r="BK164" s="904" t="n"/>
      <c r="BL164" s="904" t="n"/>
      <c r="BM164" s="904" t="n"/>
      <c r="BN164" s="904" t="n"/>
      <c r="BO164" s="904" t="n"/>
      <c r="BP164" s="904" t="n"/>
      <c r="BQ164" s="904" t="n"/>
      <c r="BR164" s="904" t="n"/>
      <c r="BS164" s="904" t="n"/>
      <c r="BT164" s="904" t="n"/>
      <c r="BU164" s="904" t="n"/>
      <c r="BV164" s="904" t="n"/>
      <c r="BW164" s="904" t="n"/>
      <c r="BX164" s="904" t="n"/>
      <c r="BY164" s="904" t="n"/>
      <c r="BZ164" s="904" t="n"/>
      <c r="CA164" s="904" t="n"/>
      <c r="CB164" s="904" t="n"/>
      <c r="CC164" s="904" t="n"/>
      <c r="CD164" s="904" t="n"/>
      <c r="CE164" s="904" t="n"/>
      <c r="CF164" s="904" t="n"/>
      <c r="CG164" s="904" t="n"/>
      <c r="CH164" s="904" t="n"/>
      <c r="CI164" s="904" t="n"/>
      <c r="CJ164" s="904" t="n"/>
      <c r="CK164" s="904" t="n"/>
      <c r="CL164" s="904" t="n"/>
      <c r="CM164" s="904" t="n"/>
      <c r="CN164" s="904" t="n"/>
      <c r="CO164" s="904" t="n"/>
      <c r="CP164" s="904" t="n"/>
      <c r="CQ164" s="904" t="n"/>
      <c r="CR164" s="904" t="n"/>
      <c r="CS164" s="904" t="n"/>
      <c r="CT164" s="904" t="n"/>
      <c r="CU164" s="904" t="n"/>
      <c r="CV164" s="904" t="n"/>
      <c r="CW164" s="904" t="n"/>
      <c r="CX164" s="904" t="n"/>
      <c r="CY164" s="904" t="n"/>
      <c r="CZ164" s="904" t="n"/>
      <c r="DA164" s="904" t="n"/>
      <c r="DB164" s="904" t="n"/>
      <c r="DC164" s="904" t="n"/>
      <c r="DD164" s="904" t="n"/>
      <c r="DE164" s="904" t="n"/>
      <c r="DF164" s="904" t="n"/>
      <c r="DG164" s="904" t="n"/>
      <c r="DH164" s="904" t="n"/>
      <c r="DI164" s="904" t="n"/>
      <c r="DJ164" s="904" t="n"/>
      <c r="DK164" s="904" t="n"/>
      <c r="DL164" s="904" t="n"/>
      <c r="DM164" s="904" t="n"/>
      <c r="DN164" s="904" t="n"/>
      <c r="DO164" s="904" t="n"/>
      <c r="DP164" s="904" t="n"/>
      <c r="DQ164" s="904" t="n"/>
      <c r="DR164" s="904" t="n"/>
      <c r="DS164" s="904" t="n"/>
      <c r="DT164" s="904" t="n"/>
      <c r="DU164" s="904" t="n"/>
      <c r="DV164" s="904" t="n"/>
      <c r="DW164" s="904" t="n"/>
      <c r="DX164" s="904" t="n"/>
      <c r="DY164" s="904" t="n"/>
      <c r="DZ164" s="904" t="n"/>
      <c r="EA164" s="904" t="n"/>
      <c r="EB164" s="904" t="n"/>
      <c r="EC164" s="904" t="n"/>
      <c r="ED164" s="904" t="n"/>
      <c r="EE164" s="904" t="n"/>
      <c r="EF164" s="904" t="n"/>
      <c r="EG164" s="904" t="n"/>
      <c r="EH164" s="904" t="n"/>
      <c r="EI164" s="904" t="n"/>
      <c r="EJ164" s="904" t="n"/>
      <c r="EK164" s="904" t="n"/>
      <c r="EL164" s="904" t="n"/>
      <c r="EM164" s="904" t="n"/>
      <c r="EN164" s="904" t="n"/>
      <c r="EO164" s="904" t="n"/>
      <c r="EP164" s="904" t="n"/>
      <c r="EQ164" s="904" t="n"/>
      <c r="ER164" s="904" t="n"/>
      <c r="ES164" s="904" t="n"/>
      <c r="ET164" s="904" t="n"/>
      <c r="EU164" s="904" t="n"/>
      <c r="EV164" s="904" t="n"/>
      <c r="EW164" s="904" t="n"/>
      <c r="EX164" s="904" t="n"/>
      <c r="EY164" s="904" t="n"/>
      <c r="EZ164" s="904" t="n"/>
      <c r="FA164" s="904" t="n"/>
      <c r="FB164" s="904" t="n"/>
      <c r="FC164" s="904" t="n"/>
      <c r="FD164" s="904" t="n"/>
      <c r="FE164" s="904" t="n"/>
      <c r="FF164" s="904" t="n"/>
      <c r="FG164" s="904" t="n"/>
      <c r="FH164" s="904" t="n"/>
      <c r="FI164" s="904" t="n"/>
      <c r="FJ164" s="904" t="n"/>
      <c r="FK164" s="904" t="n"/>
      <c r="FL164" s="904" t="n"/>
      <c r="FM164" s="904" t="n"/>
      <c r="FN164" s="904" t="n"/>
      <c r="FO164" s="904" t="n"/>
      <c r="FP164" s="904" t="n"/>
      <c r="FQ164" s="904" t="n"/>
      <c r="FR164" s="904" t="n"/>
      <c r="FS164" s="904" t="n"/>
      <c r="FT164" s="904" t="n"/>
      <c r="FU164" s="904" t="n"/>
      <c r="FV164" s="904" t="n"/>
      <c r="FW164" s="904" t="n"/>
      <c r="FX164" s="904" t="n"/>
      <c r="FY164" s="904" t="n"/>
      <c r="FZ164" s="904" t="n"/>
      <c r="GA164" s="904" t="n"/>
      <c r="GB164" s="904" t="n"/>
      <c r="GC164" s="904" t="n"/>
      <c r="GD164" s="904" t="n"/>
      <c r="GE164" s="904" t="n"/>
      <c r="GF164" s="904" t="n"/>
      <c r="GG164" s="904" t="n"/>
      <c r="GH164" s="904" t="n"/>
      <c r="GI164" s="904" t="n"/>
      <c r="GJ164" s="904" t="n"/>
      <c r="GK164" s="904" t="n"/>
      <c r="GL164" s="904" t="n"/>
      <c r="GM164" s="904" t="n"/>
      <c r="GN164" s="904" t="n"/>
      <c r="GO164" s="904" t="n"/>
      <c r="GP164" s="904" t="n"/>
      <c r="GQ164" s="904" t="n"/>
      <c r="GR164" s="904" t="n"/>
      <c r="GS164" s="904" t="n"/>
      <c r="GT164" s="904" t="n"/>
      <c r="GU164" s="904" t="n"/>
      <c r="GV164" s="904" t="n"/>
      <c r="GW164" s="904" t="n"/>
      <c r="GX164" s="904" t="n"/>
      <c r="GY164" s="904" t="n"/>
      <c r="GZ164" s="904" t="n"/>
      <c r="HA164" s="904" t="n"/>
      <c r="HB164" s="904" t="n"/>
      <c r="HC164" s="904" t="n"/>
      <c r="HD164" s="904" t="n"/>
      <c r="HE164" s="904" t="n"/>
      <c r="HF164" s="904" t="n"/>
      <c r="HG164" s="904" t="n"/>
      <c r="HH164" s="904" t="n"/>
      <c r="HI164" s="904" t="n"/>
      <c r="HJ164" s="904" t="n"/>
      <c r="HK164" s="904" t="n"/>
      <c r="HL164" s="904" t="n"/>
      <c r="HM164" s="904" t="n"/>
      <c r="HN164" s="904" t="n"/>
      <c r="HO164" s="904" t="n"/>
      <c r="HP164" s="904" t="n"/>
      <c r="HQ164" s="904" t="n"/>
      <c r="HR164" s="904" t="n"/>
      <c r="HS164" s="904" t="n"/>
      <c r="HT164" s="904" t="n"/>
      <c r="HU164" s="904" t="n"/>
      <c r="HV164" s="904" t="n"/>
      <c r="HW164" s="904" t="n"/>
      <c r="HX164" s="904" t="n"/>
      <c r="HY164" s="904" t="n"/>
      <c r="HZ164" s="904" t="n"/>
      <c r="IA164" s="904" t="n"/>
      <c r="IB164" s="904" t="n"/>
      <c r="IC164" s="904" t="n"/>
      <c r="ID164" s="904" t="n"/>
      <c r="IE164" s="904" t="n"/>
      <c r="IF164" s="904" t="n"/>
      <c r="IG164" s="904" t="n"/>
      <c r="IH164" s="904" t="n"/>
      <c r="II164" s="904" t="n"/>
      <c r="IJ164" s="904" t="n"/>
      <c r="IK164" s="904" t="n"/>
      <c r="IL164" s="904" t="n"/>
      <c r="IM164" s="904" t="n"/>
      <c r="IN164" s="904" t="n"/>
      <c r="IO164" s="904" t="n"/>
      <c r="IP164" s="904" t="n"/>
      <c r="IQ164" s="904" t="n"/>
      <c r="IR164" s="904" t="n"/>
      <c r="IS164" s="904" t="n"/>
      <c r="IT164" s="904" t="n"/>
      <c r="IU164" s="904" t="n"/>
      <c r="IV164" s="904" t="n"/>
      <c r="IW164" s="904" t="n"/>
      <c r="IX164" s="904" t="n"/>
      <c r="IY164" s="904" t="n"/>
      <c r="IZ164" s="904" t="n"/>
      <c r="JA164" s="904" t="n"/>
      <c r="JB164" s="904" t="n"/>
      <c r="JC164" s="904" t="n"/>
      <c r="JD164" s="904" t="n"/>
      <c r="JE164" s="904" t="n"/>
      <c r="JF164" s="904" t="n"/>
      <c r="JG164" s="904" t="n"/>
      <c r="JH164" s="904" t="n"/>
      <c r="JI164" s="904" t="n"/>
      <c r="JJ164" s="904" t="n"/>
      <c r="JK164" s="904" t="n"/>
      <c r="JL164" s="904" t="n"/>
      <c r="JM164" s="904" t="n"/>
      <c r="JN164" s="904" t="n"/>
      <c r="JO164" s="904" t="n"/>
      <c r="JP164" s="904" t="n"/>
      <c r="JQ164" s="904" t="n"/>
      <c r="JR164" s="904" t="n"/>
      <c r="JS164" s="904" t="n"/>
      <c r="JT164" s="904" t="n"/>
      <c r="JU164" s="904" t="n"/>
      <c r="JV164" s="904" t="n"/>
      <c r="JW164" s="904" t="n"/>
      <c r="JX164" s="904" t="n"/>
      <c r="JY164" s="904" t="n"/>
      <c r="JZ164" s="904" t="n"/>
      <c r="KA164" s="904" t="n"/>
      <c r="KB164" s="904" t="n"/>
      <c r="KC164" s="904" t="n"/>
      <c r="KD164" s="904" t="n"/>
      <c r="KE164" s="904" t="n"/>
      <c r="KF164" s="904" t="n"/>
      <c r="KG164" s="904" t="n"/>
      <c r="KH164" s="904" t="n"/>
      <c r="KI164" s="904" t="n"/>
      <c r="KJ164" s="904" t="n"/>
      <c r="KK164" s="904" t="n"/>
      <c r="KL164" s="904" t="n"/>
      <c r="KM164" s="904" t="n"/>
      <c r="KN164" s="904" t="n"/>
      <c r="KO164" s="904" t="n"/>
      <c r="KP164" s="1318" t="n"/>
      <c r="KQ164" s="1318" t="n"/>
      <c r="KR164" s="1318" t="n"/>
      <c r="KS164" s="1318" t="n"/>
      <c r="KT164" s="904" t="n"/>
      <c r="KU164" s="904" t="n"/>
      <c r="KV164" s="904" t="n"/>
      <c r="KW164" s="904" t="n"/>
      <c r="KX164" s="904" t="n"/>
      <c r="KY164" s="904" t="n"/>
      <c r="KZ164" s="904" t="n"/>
      <c r="LA164" s="904" t="n"/>
      <c r="LB164" s="1318">
        <f>LB212</f>
        <v/>
      </c>
      <c r="LC164" s="1318">
        <f>LC212</f>
        <v/>
      </c>
      <c r="LD164" s="1318">
        <f>LD212</f>
        <v/>
      </c>
      <c r="LE164" s="1318">
        <f>LE212</f>
        <v/>
      </c>
      <c r="LF164" s="1318">
        <f>LF212</f>
        <v/>
      </c>
      <c r="LG164" s="1318">
        <f>LG212</f>
        <v/>
      </c>
      <c r="LH164" s="1318">
        <f>LH212</f>
        <v/>
      </c>
      <c r="LI164" s="1318">
        <f>LI212</f>
        <v/>
      </c>
      <c r="LJ164" s="1318">
        <f>LJ212</f>
        <v/>
      </c>
      <c r="LK164" s="1318">
        <f>LK212</f>
        <v/>
      </c>
      <c r="LL164" s="1318">
        <f>LL212</f>
        <v/>
      </c>
      <c r="LM164" s="1318">
        <f>LM212</f>
        <v/>
      </c>
      <c r="LN164" s="1318">
        <f>LN212</f>
        <v/>
      </c>
      <c r="LO164" s="1318">
        <f>LO212</f>
        <v/>
      </c>
      <c r="LP164" s="1318">
        <f>LP212</f>
        <v/>
      </c>
      <c r="LQ164" s="1318">
        <f>LQ212</f>
        <v/>
      </c>
      <c r="LR164" s="1318">
        <f>LR212</f>
        <v/>
      </c>
      <c r="LS164" s="1318">
        <f>LS212</f>
        <v/>
      </c>
    </row>
    <row r="165">
      <c r="A165" s="885" t="inlineStr">
        <is>
          <t>YTD cg %</t>
        </is>
      </c>
      <c r="B165" s="904" t="n"/>
      <c r="C165" s="904" t="n"/>
      <c r="D165" s="904" t="n"/>
      <c r="E165" s="904" t="n"/>
      <c r="F165" s="904" t="n"/>
      <c r="G165" s="904" t="n"/>
      <c r="H165" s="904" t="n"/>
      <c r="I165" s="904" t="n"/>
      <c r="J165" s="904" t="n"/>
      <c r="K165" s="904" t="n"/>
      <c r="L165" s="904" t="n"/>
      <c r="M165" s="904" t="n"/>
      <c r="N165" s="904" t="n"/>
      <c r="O165" s="904" t="n"/>
      <c r="P165" s="904" t="n"/>
      <c r="Q165" s="904" t="n"/>
      <c r="R165" s="904" t="n"/>
      <c r="S165" s="904" t="n"/>
      <c r="T165" s="904" t="n"/>
      <c r="U165" s="904" t="n"/>
      <c r="V165" s="904" t="n"/>
      <c r="W165" s="904" t="n"/>
      <c r="X165" s="904" t="n"/>
      <c r="Y165" s="904" t="n"/>
      <c r="Z165" s="904" t="n"/>
      <c r="AA165" s="904" t="n"/>
      <c r="AB165" s="904" t="n"/>
      <c r="AC165" s="904" t="n"/>
      <c r="AD165" s="904" t="n"/>
      <c r="AE165" s="904" t="n"/>
      <c r="AF165" s="904" t="n"/>
      <c r="AG165" s="904" t="n"/>
      <c r="AH165" s="904" t="n"/>
      <c r="AI165" s="904" t="n"/>
      <c r="AJ165" s="904" t="n"/>
      <c r="AK165" s="904" t="n"/>
      <c r="AL165" s="904" t="n"/>
      <c r="AM165" s="904" t="n"/>
      <c r="AN165" s="904" t="n"/>
      <c r="AO165" s="904" t="n"/>
      <c r="AP165" s="904" t="n"/>
      <c r="AQ165" s="904" t="n"/>
      <c r="AR165" s="904" t="n"/>
      <c r="AS165" s="904" t="n"/>
      <c r="AT165" s="904" t="n"/>
      <c r="AU165" s="904" t="n"/>
      <c r="AV165" s="904" t="n"/>
      <c r="AW165" s="904" t="n"/>
      <c r="AX165" s="904" t="n"/>
      <c r="AY165" s="904" t="n"/>
      <c r="AZ165" s="904" t="n"/>
      <c r="BA165" s="904" t="n"/>
      <c r="BB165" s="904" t="n"/>
      <c r="BC165" s="904" t="n"/>
      <c r="BD165" s="904" t="n"/>
      <c r="BE165" s="904" t="n"/>
      <c r="BF165" s="904" t="n"/>
      <c r="BG165" s="904" t="n"/>
      <c r="BH165" s="904" t="n"/>
      <c r="BI165" s="904" t="n"/>
      <c r="BJ165" s="904" t="n"/>
      <c r="BK165" s="904" t="n"/>
      <c r="BL165" s="904" t="n"/>
      <c r="BM165" s="904" t="n"/>
      <c r="BN165" s="904" t="n"/>
      <c r="BO165" s="904" t="n"/>
      <c r="BP165" s="904" t="n"/>
      <c r="BQ165" s="904" t="n"/>
      <c r="BR165" s="904" t="n"/>
      <c r="BS165" s="904" t="n"/>
      <c r="BT165" s="904" t="n"/>
      <c r="BU165" s="904" t="n"/>
      <c r="BV165" s="904" t="n"/>
      <c r="BW165" s="904" t="n"/>
      <c r="BX165" s="904" t="n"/>
      <c r="BY165" s="904" t="n"/>
      <c r="BZ165" s="904" t="n"/>
      <c r="CA165" s="904" t="n"/>
      <c r="CB165" s="904" t="n"/>
      <c r="CC165" s="904" t="n"/>
      <c r="CD165" s="904" t="n"/>
      <c r="CE165" s="904" t="n"/>
      <c r="CF165" s="904" t="n"/>
      <c r="CG165" s="904" t="n"/>
      <c r="CH165" s="904" t="n"/>
      <c r="CI165" s="904" t="n"/>
      <c r="CJ165" s="904" t="n"/>
      <c r="CK165" s="904" t="n"/>
      <c r="CL165" s="904" t="n"/>
      <c r="CM165" s="904" t="n"/>
      <c r="CN165" s="904" t="n"/>
      <c r="CO165" s="904" t="n"/>
      <c r="CP165" s="904" t="n"/>
      <c r="CQ165" s="904" t="n"/>
      <c r="CR165" s="904" t="n"/>
      <c r="CS165" s="904" t="n"/>
      <c r="CT165" s="904" t="n"/>
      <c r="CU165" s="904" t="n"/>
      <c r="CV165" s="904" t="n"/>
      <c r="CW165" s="904" t="n"/>
      <c r="CX165" s="904" t="n"/>
      <c r="CY165" s="904" t="n"/>
      <c r="CZ165" s="904" t="n"/>
      <c r="DA165" s="904" t="n"/>
      <c r="DB165" s="904" t="n"/>
      <c r="DC165" s="904" t="n"/>
      <c r="DD165" s="904" t="n"/>
      <c r="DE165" s="904" t="n"/>
      <c r="DF165" s="904" t="n"/>
      <c r="DG165" s="904" t="n"/>
      <c r="DH165" s="904" t="n"/>
      <c r="DI165" s="904" t="n"/>
      <c r="DJ165" s="904" t="n"/>
      <c r="DK165" s="904" t="n"/>
      <c r="DL165" s="904" t="n"/>
      <c r="DM165" s="904" t="n"/>
      <c r="DN165" s="904" t="n"/>
      <c r="DO165" s="904" t="n"/>
      <c r="DP165" s="904" t="n"/>
      <c r="DQ165" s="904" t="n"/>
      <c r="DR165" s="904" t="n"/>
      <c r="DS165" s="904" t="n"/>
      <c r="DT165" s="904" t="n"/>
      <c r="DU165" s="904" t="n"/>
      <c r="DV165" s="904" t="n"/>
      <c r="DW165" s="904" t="n"/>
      <c r="DX165" s="904" t="n"/>
      <c r="DY165" s="904" t="n"/>
      <c r="DZ165" s="904" t="n"/>
      <c r="EA165" s="904" t="n"/>
      <c r="EB165" s="904" t="n"/>
      <c r="EC165" s="904" t="n"/>
      <c r="ED165" s="904" t="n"/>
      <c r="EE165" s="904" t="n"/>
      <c r="EF165" s="904" t="n"/>
      <c r="EG165" s="904" t="n"/>
      <c r="EH165" s="904" t="n"/>
      <c r="EI165" s="904" t="n"/>
      <c r="EJ165" s="904" t="n"/>
      <c r="EK165" s="904" t="n"/>
      <c r="EL165" s="904" t="n"/>
      <c r="EM165" s="904" t="n"/>
      <c r="EN165" s="904" t="n"/>
      <c r="EO165" s="904" t="n"/>
      <c r="EP165" s="904" t="n"/>
      <c r="EQ165" s="904" t="n"/>
      <c r="ER165" s="904" t="n"/>
      <c r="ES165" s="904" t="n"/>
      <c r="ET165" s="904" t="n"/>
      <c r="EU165" s="904" t="n"/>
      <c r="EV165" s="904" t="n"/>
      <c r="EW165" s="904" t="n"/>
      <c r="EX165" s="904" t="n"/>
      <c r="EY165" s="904" t="n"/>
      <c r="EZ165" s="904" t="n"/>
      <c r="FA165" s="904" t="n"/>
      <c r="FB165" s="904" t="n"/>
      <c r="FC165" s="904" t="n"/>
      <c r="FD165" s="904" t="n"/>
      <c r="FE165" s="904" t="n"/>
      <c r="FF165" s="904" t="n"/>
      <c r="FG165" s="904" t="n"/>
      <c r="FH165" s="904" t="n"/>
      <c r="FI165" s="904" t="n"/>
      <c r="FJ165" s="904" t="n"/>
      <c r="FK165" s="904" t="n"/>
      <c r="FL165" s="904" t="n"/>
      <c r="FM165" s="904" t="n"/>
      <c r="FN165" s="904" t="n"/>
      <c r="FO165" s="904" t="n"/>
      <c r="FP165" s="904" t="n"/>
      <c r="FQ165" s="904" t="n"/>
      <c r="FR165" s="904" t="n"/>
      <c r="FS165" s="904" t="n"/>
      <c r="FT165" s="904" t="n"/>
      <c r="FU165" s="904" t="n"/>
      <c r="FV165" s="904" t="n"/>
      <c r="FW165" s="904" t="n"/>
      <c r="FX165" s="904" t="n"/>
      <c r="FY165" s="904" t="n"/>
      <c r="FZ165" s="904" t="n"/>
      <c r="GA165" s="904" t="n"/>
      <c r="GB165" s="904" t="n"/>
      <c r="GC165" s="904" t="n"/>
      <c r="GD165" s="904" t="n"/>
      <c r="GE165" s="904" t="n"/>
      <c r="GF165" s="904" t="n"/>
      <c r="GG165" s="904" t="n"/>
      <c r="GH165" s="904" t="n"/>
      <c r="GI165" s="904" t="n"/>
      <c r="GJ165" s="904" t="n"/>
      <c r="GK165" s="904" t="n"/>
      <c r="GL165" s="904" t="n"/>
      <c r="GM165" s="904" t="n"/>
      <c r="GN165" s="904" t="n"/>
      <c r="GO165" s="904" t="n"/>
      <c r="GP165" s="904" t="n"/>
      <c r="GQ165" s="904" t="n"/>
      <c r="GR165" s="904" t="n"/>
      <c r="GS165" s="904" t="n"/>
      <c r="GT165" s="904" t="n"/>
      <c r="GU165" s="904" t="n"/>
      <c r="GV165" s="904" t="n"/>
      <c r="GW165" s="904" t="n"/>
      <c r="GX165" s="904" t="n"/>
      <c r="GY165" s="904" t="n"/>
      <c r="GZ165" s="904" t="n"/>
      <c r="HA165" s="904" t="n"/>
      <c r="HB165" s="904" t="n"/>
      <c r="HC165" s="904" t="n"/>
      <c r="HD165" s="904" t="n"/>
      <c r="HE165" s="904" t="n"/>
      <c r="HF165" s="904" t="n"/>
      <c r="HG165" s="904" t="n"/>
      <c r="HH165" s="904" t="n"/>
      <c r="HI165" s="904" t="n"/>
      <c r="HJ165" s="904" t="n"/>
      <c r="HK165" s="904" t="n"/>
      <c r="HL165" s="904" t="n"/>
      <c r="HM165" s="904" t="n"/>
      <c r="HN165" s="904" t="n"/>
      <c r="HO165" s="904" t="n"/>
      <c r="HP165" s="904" t="n"/>
      <c r="HQ165" s="904" t="n"/>
      <c r="HR165" s="904" t="n"/>
      <c r="HS165" s="904" t="n"/>
      <c r="HT165" s="904" t="n"/>
      <c r="HU165" s="904" t="n"/>
      <c r="HV165" s="904" t="n"/>
      <c r="HW165" s="904" t="n"/>
      <c r="HX165" s="904" t="n"/>
      <c r="HY165" s="904" t="n"/>
      <c r="HZ165" s="904" t="n"/>
      <c r="IA165" s="904" t="n"/>
      <c r="IB165" s="904" t="n"/>
      <c r="IC165" s="904" t="n"/>
      <c r="ID165" s="904" t="n"/>
      <c r="IE165" s="904" t="n"/>
      <c r="IF165" s="904" t="n"/>
      <c r="IG165" s="904" t="n"/>
      <c r="IH165" s="904" t="n"/>
      <c r="II165" s="904" t="n"/>
      <c r="IJ165" s="904" t="n"/>
      <c r="IK165" s="904" t="n"/>
      <c r="IL165" s="904" t="n"/>
      <c r="IM165" s="904" t="n"/>
      <c r="IN165" s="904" t="n"/>
      <c r="IO165" s="904" t="n"/>
      <c r="IP165" s="904" t="n"/>
      <c r="IQ165" s="904" t="n"/>
      <c r="IR165" s="904" t="n"/>
      <c r="IS165" s="904" t="n"/>
      <c r="IT165" s="904" t="n"/>
      <c r="IU165" s="904" t="n"/>
      <c r="IV165" s="904" t="n"/>
      <c r="IW165" s="904" t="n"/>
      <c r="IX165" s="904" t="n"/>
      <c r="IY165" s="904" t="n"/>
      <c r="IZ165" s="904" t="n"/>
      <c r="JA165" s="904" t="n"/>
      <c r="JB165" s="904" t="n"/>
      <c r="JC165" s="904" t="n"/>
      <c r="JD165" s="904" t="n"/>
      <c r="JE165" s="904" t="n"/>
      <c r="JF165" s="904" t="n"/>
      <c r="JG165" s="904" t="n"/>
      <c r="JH165" s="904" t="n"/>
      <c r="JI165" s="904" t="n"/>
      <c r="JJ165" s="904" t="n"/>
      <c r="JK165" s="904" t="n"/>
      <c r="JL165" s="904" t="n"/>
      <c r="JM165" s="904" t="n"/>
      <c r="JN165" s="904" t="n"/>
      <c r="JO165" s="904" t="n"/>
      <c r="JP165" s="904" t="n"/>
      <c r="JQ165" s="904" t="n"/>
      <c r="JR165" s="904" t="n"/>
      <c r="JS165" s="904" t="n"/>
      <c r="JT165" s="904" t="n"/>
      <c r="JU165" s="904" t="n"/>
      <c r="JV165" s="904" t="n"/>
      <c r="JW165" s="904" t="n"/>
      <c r="JX165" s="904" t="n"/>
      <c r="JY165" s="904" t="n"/>
      <c r="JZ165" s="904" t="n"/>
      <c r="KA165" s="904" t="n"/>
      <c r="KB165" s="904" t="n"/>
      <c r="KC165" s="904" t="n"/>
      <c r="KD165" s="904" t="n"/>
      <c r="KE165" s="904" t="n"/>
      <c r="KF165" s="904" t="n"/>
      <c r="KG165" s="904" t="n"/>
      <c r="KH165" s="904" t="n"/>
      <c r="KI165" s="904" t="n"/>
      <c r="KJ165" s="904" t="n"/>
      <c r="KK165" s="904" t="n"/>
      <c r="KL165" s="904" t="n"/>
      <c r="KM165" s="904" t="n"/>
      <c r="KN165" s="904" t="n"/>
      <c r="KO165" s="904" t="n"/>
      <c r="KP165" s="1318" t="n"/>
      <c r="KQ165" s="1318" t="n"/>
      <c r="KR165" s="1318" t="n"/>
      <c r="KS165" s="1318" t="n"/>
      <c r="KT165" s="904" t="n"/>
      <c r="KU165" s="904" t="n"/>
      <c r="KV165" s="904" t="n"/>
      <c r="KW165" s="904" t="n"/>
      <c r="KX165" s="904" t="n"/>
      <c r="KY165" s="904" t="n"/>
      <c r="KZ165" s="904" t="n"/>
      <c r="LA165" s="904" t="n"/>
      <c r="LB165" s="1318">
        <f>LB213</f>
        <v/>
      </c>
      <c r="LC165" s="1318">
        <f>LC213</f>
        <v/>
      </c>
      <c r="LD165" s="1318">
        <f>LD213</f>
        <v/>
      </c>
      <c r="LE165" s="1318">
        <f>LE213</f>
        <v/>
      </c>
      <c r="LF165" s="1318">
        <f>LF213</f>
        <v/>
      </c>
      <c r="LG165" s="1318">
        <f>LG213</f>
        <v/>
      </c>
      <c r="LH165" s="1318">
        <f>LH213</f>
        <v/>
      </c>
      <c r="LI165" s="1318">
        <f>LI213</f>
        <v/>
      </c>
      <c r="LJ165" s="1318">
        <f>LJ213</f>
        <v/>
      </c>
      <c r="LK165" s="1318">
        <f>LK213</f>
        <v/>
      </c>
      <c r="LL165" s="1318">
        <f>LL213</f>
        <v/>
      </c>
      <c r="LM165" s="1318">
        <f>LM213</f>
        <v/>
      </c>
      <c r="LN165" s="1318">
        <f>LN213</f>
        <v/>
      </c>
      <c r="LO165" s="1318">
        <f>LO213</f>
        <v/>
      </c>
      <c r="LP165" s="1318">
        <f>LP213</f>
        <v/>
      </c>
      <c r="LQ165" s="1318">
        <f>LQ213</f>
        <v/>
      </c>
      <c r="LR165" s="1318">
        <f>LR213</f>
        <v/>
      </c>
      <c r="LS165" s="1318">
        <f>LS213</f>
        <v/>
      </c>
    </row>
    <row r="166">
      <c r="A166" s="904" t="n"/>
      <c r="B166" s="904" t="n"/>
      <c r="C166" s="904" t="n"/>
      <c r="D166" s="904" t="n"/>
      <c r="E166" s="904" t="n"/>
      <c r="F166" s="904" t="n"/>
      <c r="G166" s="904" t="n"/>
      <c r="H166" s="904" t="n"/>
      <c r="I166" s="904" t="n"/>
      <c r="J166" s="904" t="n"/>
      <c r="K166" s="904" t="n"/>
      <c r="L166" s="904" t="n"/>
      <c r="M166" s="904" t="n"/>
      <c r="N166" s="904" t="n"/>
      <c r="O166" s="904" t="n"/>
      <c r="P166" s="904" t="n"/>
      <c r="Q166" s="904" t="n"/>
      <c r="R166" s="904" t="n"/>
      <c r="S166" s="904" t="n"/>
      <c r="T166" s="904" t="n"/>
      <c r="U166" s="904" t="n"/>
      <c r="V166" s="904" t="n"/>
      <c r="W166" s="904" t="n"/>
      <c r="X166" s="904" t="n"/>
      <c r="Y166" s="904" t="n"/>
      <c r="Z166" s="904" t="n"/>
      <c r="AA166" s="904" t="n"/>
      <c r="AB166" s="904" t="n"/>
      <c r="AC166" s="904" t="n"/>
      <c r="AD166" s="904" t="n"/>
      <c r="AE166" s="904" t="n"/>
      <c r="AF166" s="904" t="n"/>
      <c r="AG166" s="904" t="n"/>
      <c r="AH166" s="904" t="n"/>
      <c r="AI166" s="904" t="n"/>
      <c r="AJ166" s="904" t="n"/>
      <c r="AK166" s="904" t="n"/>
      <c r="AL166" s="904" t="n"/>
      <c r="AM166" s="904" t="n"/>
      <c r="AN166" s="904" t="n"/>
      <c r="AO166" s="904" t="n"/>
      <c r="AP166" s="904" t="n"/>
      <c r="AQ166" s="904" t="n"/>
      <c r="AR166" s="904" t="n"/>
      <c r="AS166" s="904" t="n"/>
      <c r="AT166" s="904" t="n"/>
      <c r="AU166" s="904" t="n"/>
      <c r="AV166" s="904" t="n"/>
      <c r="AW166" s="904" t="n"/>
      <c r="AX166" s="904" t="n"/>
      <c r="AY166" s="904" t="n"/>
      <c r="AZ166" s="904" t="n"/>
      <c r="BA166" s="904" t="n"/>
      <c r="BB166" s="904" t="n"/>
      <c r="BC166" s="904" t="n"/>
      <c r="BD166" s="904" t="n"/>
      <c r="BE166" s="904" t="n"/>
      <c r="BF166" s="904" t="n"/>
      <c r="BG166" s="904" t="n"/>
      <c r="BH166" s="904" t="n"/>
      <c r="BI166" s="904" t="n"/>
      <c r="BJ166" s="904" t="n"/>
      <c r="BK166" s="904" t="n"/>
      <c r="BL166" s="904" t="n"/>
      <c r="BM166" s="904" t="n"/>
      <c r="BN166" s="904" t="n"/>
      <c r="BO166" s="904" t="n"/>
      <c r="BP166" s="904" t="n"/>
      <c r="BQ166" s="904" t="n"/>
      <c r="BR166" s="904" t="n"/>
      <c r="BS166" s="904" t="n"/>
      <c r="BT166" s="904" t="n"/>
      <c r="BU166" s="904" t="n"/>
      <c r="BV166" s="904" t="n"/>
      <c r="BW166" s="904" t="n"/>
      <c r="BX166" s="904" t="n"/>
      <c r="BY166" s="904" t="n"/>
      <c r="BZ166" s="904" t="n"/>
      <c r="CA166" s="904" t="n"/>
      <c r="CB166" s="904" t="n"/>
      <c r="CC166" s="904" t="n"/>
      <c r="CD166" s="904" t="n"/>
      <c r="CE166" s="904" t="n"/>
      <c r="CF166" s="904" t="n"/>
      <c r="CG166" s="904" t="n"/>
      <c r="CH166" s="904" t="n"/>
      <c r="CI166" s="904" t="n"/>
      <c r="CJ166" s="904" t="n"/>
      <c r="CK166" s="904" t="n"/>
      <c r="CL166" s="904" t="n"/>
      <c r="CM166" s="904" t="n"/>
      <c r="CN166" s="904" t="n"/>
      <c r="CO166" s="904" t="n"/>
      <c r="CP166" s="904" t="n"/>
      <c r="CQ166" s="904" t="n"/>
      <c r="CR166" s="904" t="n"/>
      <c r="CS166" s="904" t="n"/>
      <c r="CT166" s="904" t="n"/>
      <c r="CU166" s="904" t="n"/>
      <c r="CV166" s="904" t="n"/>
      <c r="CW166" s="904" t="n"/>
      <c r="CX166" s="904" t="n"/>
      <c r="CY166" s="904" t="n"/>
      <c r="CZ166" s="904" t="n"/>
      <c r="DA166" s="904" t="n"/>
      <c r="DB166" s="904" t="n"/>
      <c r="DC166" s="904" t="n"/>
      <c r="DD166" s="904" t="n"/>
      <c r="DE166" s="904" t="n"/>
      <c r="DF166" s="904" t="n"/>
      <c r="DG166" s="904" t="n"/>
      <c r="DH166" s="904" t="n"/>
      <c r="DI166" s="904" t="n"/>
      <c r="DJ166" s="904" t="n"/>
      <c r="DK166" s="904" t="n"/>
      <c r="DL166" s="904" t="n"/>
      <c r="DM166" s="904" t="n"/>
      <c r="DN166" s="904" t="n"/>
      <c r="DO166" s="904" t="n"/>
      <c r="DP166" s="904" t="n"/>
      <c r="DQ166" s="904" t="n"/>
      <c r="DR166" s="904" t="n"/>
      <c r="DS166" s="904" t="n"/>
      <c r="DT166" s="904" t="n"/>
      <c r="DU166" s="904" t="n"/>
      <c r="DV166" s="904" t="n"/>
      <c r="DW166" s="904" t="n"/>
      <c r="DX166" s="904" t="n"/>
      <c r="DY166" s="904" t="n"/>
      <c r="DZ166" s="904" t="n"/>
      <c r="EA166" s="904" t="n"/>
      <c r="EB166" s="904" t="n"/>
      <c r="EC166" s="904" t="n"/>
      <c r="ED166" s="904" t="n"/>
      <c r="EE166" s="904" t="n"/>
      <c r="EF166" s="904" t="n"/>
      <c r="EG166" s="904" t="n"/>
      <c r="EH166" s="904" t="n"/>
      <c r="EI166" s="904" t="n"/>
      <c r="EJ166" s="904" t="n"/>
      <c r="EK166" s="904" t="n"/>
      <c r="EL166" s="904" t="n"/>
      <c r="EM166" s="904" t="n"/>
      <c r="EN166" s="904" t="n"/>
      <c r="EO166" s="904" t="n"/>
      <c r="EP166" s="904" t="n"/>
      <c r="EQ166" s="904" t="n"/>
      <c r="ER166" s="904" t="n"/>
      <c r="ES166" s="904" t="n"/>
      <c r="ET166" s="904" t="n"/>
      <c r="EU166" s="904" t="n"/>
      <c r="EV166" s="904" t="n"/>
      <c r="EW166" s="904" t="n"/>
      <c r="EX166" s="904" t="n"/>
      <c r="EY166" s="904" t="n"/>
      <c r="EZ166" s="904" t="n"/>
      <c r="FA166" s="904" t="n"/>
      <c r="FB166" s="904" t="n"/>
      <c r="FC166" s="904" t="n"/>
      <c r="FD166" s="904" t="n"/>
      <c r="FE166" s="904" t="n"/>
      <c r="FF166" s="904" t="n"/>
      <c r="FG166" s="904" t="n"/>
      <c r="FH166" s="904" t="n"/>
      <c r="FI166" s="904" t="n"/>
      <c r="FJ166" s="904" t="n"/>
      <c r="FK166" s="904" t="n"/>
      <c r="FL166" s="904" t="n"/>
      <c r="FM166" s="904" t="n"/>
      <c r="FN166" s="904" t="n"/>
      <c r="FO166" s="904" t="n"/>
      <c r="FP166" s="904" t="n"/>
      <c r="FQ166" s="904" t="n"/>
      <c r="FR166" s="904" t="n"/>
      <c r="FS166" s="904" t="n"/>
      <c r="FT166" s="904" t="n"/>
      <c r="FU166" s="904" t="n"/>
      <c r="FV166" s="904" t="n"/>
      <c r="FW166" s="904" t="n"/>
      <c r="FX166" s="904" t="n"/>
      <c r="FY166" s="904" t="n"/>
      <c r="FZ166" s="904" t="n"/>
      <c r="GA166" s="904" t="n"/>
      <c r="GB166" s="904" t="n"/>
      <c r="GC166" s="904" t="n"/>
      <c r="GD166" s="904" t="n"/>
      <c r="GE166" s="904" t="n"/>
      <c r="GF166" s="904" t="n"/>
      <c r="GG166" s="904" t="n"/>
      <c r="GH166" s="904" t="n"/>
      <c r="GI166" s="904" t="n"/>
      <c r="GJ166" s="904" t="n"/>
      <c r="GK166" s="904" t="n"/>
      <c r="GL166" s="904" t="n"/>
      <c r="GM166" s="904" t="n"/>
      <c r="GN166" s="904" t="n"/>
      <c r="GO166" s="904" t="n"/>
      <c r="GP166" s="904" t="n"/>
      <c r="GQ166" s="904" t="n"/>
      <c r="GR166" s="904" t="n"/>
      <c r="GS166" s="904" t="n"/>
      <c r="GT166" s="904" t="n"/>
      <c r="GU166" s="904" t="n"/>
      <c r="GV166" s="904" t="n"/>
      <c r="GW166" s="904" t="n"/>
      <c r="GX166" s="904" t="n"/>
      <c r="GY166" s="904" t="n"/>
      <c r="GZ166" s="904" t="n"/>
      <c r="HA166" s="904" t="n"/>
      <c r="HB166" s="904" t="n"/>
      <c r="HC166" s="904" t="n"/>
      <c r="HD166" s="904" t="n"/>
      <c r="HE166" s="904" t="n"/>
      <c r="HF166" s="904" t="n"/>
      <c r="HG166" s="904" t="n"/>
      <c r="HH166" s="904" t="n"/>
      <c r="HI166" s="904" t="n"/>
      <c r="HJ166" s="904" t="n"/>
      <c r="HK166" s="904" t="n"/>
      <c r="HL166" s="904" t="n"/>
      <c r="HM166" s="904" t="n"/>
      <c r="HN166" s="904" t="n"/>
      <c r="HO166" s="904" t="n"/>
      <c r="HP166" s="904" t="n"/>
      <c r="HQ166" s="904" t="n"/>
      <c r="HR166" s="904" t="n"/>
      <c r="HS166" s="904" t="n"/>
      <c r="HT166" s="904" t="n"/>
      <c r="HU166" s="904" t="n"/>
      <c r="HV166" s="904" t="n"/>
      <c r="HW166" s="904" t="n"/>
      <c r="HX166" s="904" t="n"/>
      <c r="HY166" s="904" t="n"/>
      <c r="HZ166" s="904" t="n"/>
      <c r="IA166" s="904" t="n"/>
      <c r="IB166" s="904" t="n"/>
      <c r="IC166" s="904" t="n"/>
      <c r="ID166" s="904" t="n"/>
      <c r="IE166" s="904" t="n"/>
      <c r="IF166" s="904" t="n"/>
      <c r="IG166" s="904" t="n"/>
      <c r="IH166" s="904" t="n"/>
      <c r="II166" s="904" t="n"/>
      <c r="IJ166" s="904" t="n"/>
      <c r="IK166" s="904" t="n"/>
      <c r="IL166" s="904" t="n"/>
      <c r="IM166" s="904" t="n"/>
      <c r="IN166" s="904" t="n"/>
      <c r="IO166" s="904" t="n"/>
      <c r="IP166" s="904" t="n"/>
      <c r="IQ166" s="904" t="n"/>
      <c r="IR166" s="904" t="n"/>
      <c r="IS166" s="904" t="n"/>
      <c r="IT166" s="904" t="n"/>
      <c r="IU166" s="904" t="n"/>
      <c r="IV166" s="904" t="n"/>
      <c r="IW166" s="904" t="n"/>
      <c r="IX166" s="904" t="n"/>
      <c r="IY166" s="904" t="n"/>
      <c r="IZ166" s="904" t="n"/>
      <c r="JA166" s="904" t="n"/>
      <c r="JB166" s="904" t="n"/>
      <c r="JC166" s="904" t="n"/>
      <c r="JD166" s="904" t="n"/>
      <c r="JE166" s="904" t="n"/>
      <c r="JF166" s="904" t="n"/>
      <c r="JG166" s="904" t="n"/>
      <c r="JH166" s="904" t="n"/>
      <c r="JI166" s="904" t="n"/>
      <c r="JJ166" s="904" t="n"/>
      <c r="JK166" s="904" t="n"/>
      <c r="JL166" s="904" t="n"/>
      <c r="JM166" s="904" t="n"/>
      <c r="JN166" s="904" t="n"/>
      <c r="JO166" s="904" t="n"/>
      <c r="JP166" s="904" t="n"/>
      <c r="JQ166" s="904" t="n"/>
      <c r="JR166" s="904" t="n"/>
      <c r="JS166" s="904" t="n"/>
      <c r="JT166" s="904" t="n"/>
      <c r="JU166" s="904" t="n"/>
      <c r="JV166" s="904" t="n"/>
      <c r="JW166" s="904" t="n"/>
      <c r="JX166" s="904" t="n"/>
      <c r="JY166" s="904" t="n"/>
      <c r="JZ166" s="904" t="n"/>
      <c r="KA166" s="904" t="n"/>
      <c r="KB166" s="904" t="n"/>
      <c r="KC166" s="904" t="n"/>
      <c r="KD166" s="904" t="n"/>
      <c r="KE166" s="904" t="n"/>
      <c r="KF166" s="904" t="n"/>
      <c r="KG166" s="904" t="n"/>
      <c r="KH166" s="904" t="n"/>
      <c r="KI166" s="904" t="n"/>
      <c r="KJ166" s="904" t="n"/>
      <c r="KK166" s="904" t="n"/>
      <c r="KL166" s="904" t="n"/>
      <c r="KM166" s="904" t="n"/>
      <c r="KN166" s="904" t="n"/>
      <c r="KO166" s="904" t="n"/>
      <c r="KP166" s="904" t="n"/>
      <c r="KQ166" s="904" t="n"/>
      <c r="KR166" s="904" t="n"/>
      <c r="KS166" s="904" t="n"/>
      <c r="KT166" s="904" t="n"/>
      <c r="KU166" s="904" t="n"/>
      <c r="KV166" s="904" t="n"/>
      <c r="KW166" s="904" t="n"/>
      <c r="KX166" s="904" t="n"/>
      <c r="KY166" s="904" t="n"/>
      <c r="KZ166" s="904" t="n"/>
      <c r="LA166" s="904" t="n"/>
      <c r="LB166" s="904" t="n"/>
      <c r="LC166" s="904" t="n"/>
      <c r="LD166" s="904" t="n"/>
      <c r="LE166" s="904" t="n"/>
      <c r="LF166" s="904" t="n"/>
      <c r="LG166" s="904" t="n"/>
      <c r="LH166" s="904" t="n"/>
      <c r="LI166" s="904" t="n"/>
      <c r="LJ166" s="904" t="n"/>
      <c r="LK166" s="904" t="n"/>
      <c r="LL166" s="904" t="n"/>
      <c r="LM166" s="904" t="n"/>
      <c r="LN166" s="904" t="n"/>
      <c r="LO166" s="904" t="n"/>
      <c r="LP166" s="904" t="n"/>
      <c r="LQ166" s="904" t="n"/>
      <c r="LR166" s="904" t="n"/>
      <c r="LS166" s="904" t="n"/>
    </row>
    <row r="167" ht="17.25" customFormat="1" customHeight="1" s="1310">
      <c r="A167" s="1315" t="inlineStr">
        <is>
          <t>Overall</t>
        </is>
      </c>
      <c r="B167" s="1315" t="n"/>
      <c r="C167" s="1315" t="n"/>
      <c r="D167" s="1315" t="n"/>
      <c r="E167" s="1315" t="n"/>
      <c r="F167" s="1315" t="n"/>
      <c r="G167" s="1315" t="n"/>
      <c r="H167" s="1315" t="n"/>
      <c r="I167" s="1315" t="n"/>
      <c r="J167" s="1315" t="n"/>
      <c r="K167" s="1315" t="n"/>
      <c r="L167" s="1315" t="n"/>
      <c r="M167" s="1315" t="n"/>
      <c r="N167" s="1315" t="n"/>
      <c r="O167" s="1315" t="n"/>
      <c r="P167" s="1315" t="n"/>
      <c r="Q167" s="1315" t="n"/>
      <c r="R167" s="1315" t="n"/>
      <c r="S167" s="1315" t="n"/>
      <c r="T167" s="1315" t="n"/>
      <c r="U167" s="1315" t="n"/>
      <c r="V167" s="1315" t="n"/>
      <c r="W167" s="1316" t="n"/>
      <c r="X167" s="1316" t="n"/>
      <c r="Y167" s="1316" t="n"/>
      <c r="Z167" s="1316" t="n"/>
      <c r="AA167" s="1316" t="n"/>
      <c r="AB167" s="1316" t="n"/>
      <c r="AC167" s="1316" t="n"/>
      <c r="AD167" s="1316" t="n"/>
      <c r="AE167" s="1316" t="n"/>
      <c r="AF167" s="1316" t="n"/>
      <c r="AG167" s="1316" t="n"/>
      <c r="AH167" s="1316" t="n"/>
      <c r="AI167" s="1316" t="n"/>
      <c r="AJ167" s="1316" t="n"/>
      <c r="AK167" s="1316" t="n"/>
      <c r="AL167" s="1316" t="n"/>
      <c r="AM167" s="1316" t="n"/>
      <c r="AN167" s="1316" t="n"/>
      <c r="AO167" s="1316" t="n"/>
      <c r="AP167" s="1316" t="n"/>
      <c r="AQ167" s="1316" t="n"/>
      <c r="AR167" s="1316" t="n"/>
      <c r="AS167" s="1316" t="n"/>
      <c r="AT167" s="1316" t="n"/>
      <c r="AU167" s="1316" t="n"/>
      <c r="AV167" s="1316" t="n"/>
      <c r="AW167" s="1316" t="n"/>
      <c r="AX167" s="1316" t="n"/>
      <c r="AY167" s="1316" t="n"/>
      <c r="AZ167" s="1316" t="n"/>
      <c r="BA167" s="1316" t="n"/>
      <c r="BB167" s="1316" t="n"/>
      <c r="BC167" s="1316" t="n"/>
      <c r="BD167" s="1316" t="n"/>
      <c r="BE167" s="1316" t="n"/>
      <c r="BF167" s="1316" t="n"/>
      <c r="BG167" s="1316" t="n"/>
      <c r="BH167" s="1316" t="n"/>
      <c r="BI167" s="1316" t="n"/>
      <c r="BJ167" s="1316" t="n"/>
      <c r="BK167" s="1316" t="n"/>
      <c r="BL167" s="1316" t="n"/>
      <c r="BM167" s="1316" t="n"/>
      <c r="BN167" s="1316" t="n"/>
      <c r="BO167" s="1316" t="n"/>
      <c r="BP167" s="1316" t="n"/>
      <c r="BQ167" s="1316" t="n"/>
      <c r="BR167" s="1316" t="n"/>
      <c r="BS167" s="1316" t="n"/>
      <c r="BT167" s="1316" t="n"/>
      <c r="BU167" s="1316" t="n"/>
      <c r="BV167" s="1316" t="n"/>
      <c r="BW167" s="1316" t="n"/>
      <c r="BX167" s="1316" t="n"/>
      <c r="BY167" s="1316" t="n"/>
      <c r="BZ167" s="1316" t="n"/>
      <c r="CA167" s="1316" t="n"/>
      <c r="CB167" s="1316" t="n"/>
      <c r="CC167" s="1316" t="n"/>
      <c r="CD167" s="1316" t="n"/>
      <c r="CE167" s="1316" t="n"/>
      <c r="CF167" s="1316" t="n"/>
      <c r="CG167" s="1316" t="n"/>
      <c r="CH167" s="1316" t="n"/>
      <c r="CI167" s="1316" t="n"/>
      <c r="CJ167" s="1316" t="n"/>
      <c r="CK167" s="1316" t="n"/>
      <c r="CL167" s="1316" t="n"/>
      <c r="CM167" s="1316" t="n"/>
      <c r="CN167" s="1316" t="n"/>
      <c r="CO167" s="1316" t="n"/>
      <c r="CP167" s="1316" t="n"/>
      <c r="CQ167" s="1316" t="n"/>
      <c r="CR167" s="1316" t="n"/>
      <c r="CS167" s="1316" t="n"/>
      <c r="CT167" s="1316" t="n"/>
      <c r="CU167" s="1316" t="n"/>
      <c r="CV167" s="1316" t="n"/>
      <c r="CW167" s="1316" t="n"/>
      <c r="CX167" s="1316" t="n"/>
      <c r="CY167" s="1316" t="n"/>
      <c r="CZ167" s="1316" t="n"/>
      <c r="DA167" s="1316" t="n"/>
      <c r="DB167" s="1316" t="n"/>
      <c r="DC167" s="1316" t="n"/>
      <c r="DD167" s="1316" t="n"/>
      <c r="DE167" s="1316" t="n"/>
      <c r="DF167" s="1316" t="n"/>
      <c r="DG167" s="1316" t="n"/>
      <c r="DH167" s="1316" t="n"/>
      <c r="DI167" s="1316" t="n"/>
      <c r="DJ167" s="1316" t="n"/>
      <c r="DK167" s="1316" t="n"/>
      <c r="DL167" s="1316" t="n"/>
      <c r="DM167" s="1316" t="n"/>
      <c r="DN167" s="1316" t="n"/>
      <c r="DO167" s="880" t="n"/>
      <c r="DP167" s="1316" t="n"/>
      <c r="DQ167" s="1316" t="n"/>
      <c r="DR167" s="1316" t="n"/>
      <c r="DS167" s="1316" t="n"/>
      <c r="DT167" s="1316" t="n"/>
      <c r="DU167" s="1316" t="n"/>
      <c r="DV167" s="1316" t="n"/>
      <c r="DW167" s="1316" t="n"/>
      <c r="DX167" s="1316" t="n"/>
      <c r="DY167" s="1316" t="n"/>
      <c r="DZ167" s="881" t="n"/>
      <c r="EA167" s="881" t="n"/>
      <c r="EB167" s="881" t="n"/>
      <c r="EC167" s="881" t="n"/>
      <c r="ED167" s="881" t="n"/>
      <c r="EE167" s="881" t="n"/>
      <c r="EF167" s="881" t="n"/>
      <c r="EG167" s="881" t="n"/>
      <c r="EH167" s="881" t="n"/>
      <c r="EI167" s="881" t="n"/>
      <c r="EJ167" s="881" t="n"/>
      <c r="EK167" s="881" t="n"/>
      <c r="EL167" s="881" t="n"/>
      <c r="EM167" s="881" t="n"/>
      <c r="EN167" s="881" t="n"/>
      <c r="EO167" s="881" t="n"/>
      <c r="EP167" s="881" t="n"/>
      <c r="EQ167" s="881" t="n"/>
      <c r="ER167" s="881" t="n"/>
      <c r="ES167" s="881" t="n"/>
      <c r="ET167" s="881" t="n"/>
      <c r="EU167" s="881" t="n"/>
      <c r="EV167" s="881" t="n"/>
      <c r="EW167" s="881" t="n"/>
      <c r="EX167" s="881" t="n"/>
      <c r="EY167" s="881" t="n"/>
      <c r="EZ167" s="881" t="n"/>
      <c r="FA167" s="881" t="n"/>
      <c r="FB167" s="881" t="n"/>
      <c r="FC167" s="881" t="n"/>
      <c r="FD167" s="881" t="n"/>
      <c r="FE167" s="881" t="n"/>
      <c r="FF167" s="881" t="n"/>
      <c r="FG167" s="881" t="n"/>
      <c r="FH167" s="881" t="n"/>
      <c r="FI167" s="881" t="n"/>
      <c r="FJ167" s="881" t="n"/>
      <c r="FK167" s="881" t="n"/>
      <c r="FL167" s="881" t="n"/>
      <c r="FM167" s="881" t="n"/>
      <c r="FN167" s="881" t="n"/>
      <c r="FO167" s="881" t="n"/>
      <c r="FP167" s="881" t="n"/>
      <c r="FQ167" s="881" t="n"/>
      <c r="FR167" s="881" t="n"/>
      <c r="FS167" s="881" t="n"/>
      <c r="FT167" s="881" t="n"/>
      <c r="FU167" s="881" t="n"/>
      <c r="FV167" s="881" t="n"/>
      <c r="FW167" s="881" t="n"/>
      <c r="FX167" s="881" t="n"/>
      <c r="FY167" s="881" t="n"/>
      <c r="FZ167" s="881" t="n"/>
      <c r="GA167" s="881" t="n"/>
      <c r="GB167" s="881" t="n"/>
      <c r="GC167" s="881" t="n"/>
      <c r="GD167" s="881" t="n"/>
      <c r="GE167" s="881" t="n"/>
      <c r="GF167" s="881" t="n"/>
      <c r="GG167" s="881" t="n"/>
      <c r="GH167" s="881" t="n"/>
      <c r="GI167" s="881" t="n"/>
      <c r="GJ167" s="881" t="n"/>
      <c r="GK167" s="881" t="n"/>
      <c r="GL167" s="881" t="n"/>
      <c r="GM167" s="881" t="n"/>
      <c r="GN167" s="881" t="n"/>
      <c r="GO167" s="881" t="n"/>
      <c r="GP167" s="881" t="n"/>
      <c r="GQ167" s="881" t="n"/>
      <c r="GR167" s="881" t="n"/>
      <c r="GS167" s="881" t="n"/>
      <c r="GT167" s="881" t="n"/>
      <c r="GU167" s="881" t="n"/>
      <c r="GV167" s="881" t="n"/>
      <c r="GW167" s="881" t="n"/>
      <c r="GX167" s="881" t="n"/>
      <c r="GY167" s="881" t="n"/>
      <c r="GZ167" s="881" t="n"/>
      <c r="HA167" s="881" t="n"/>
      <c r="HB167" s="881" t="n"/>
      <c r="HC167" s="881" t="n"/>
      <c r="HD167" s="881" t="n"/>
      <c r="HE167" s="881" t="n"/>
      <c r="HF167" s="881" t="n"/>
      <c r="HG167" s="881" t="n"/>
      <c r="HH167" s="881" t="n"/>
      <c r="HI167" s="881" t="n"/>
      <c r="HJ167" s="881" t="n"/>
      <c r="HK167" s="881" t="n"/>
      <c r="HL167" s="881" t="n"/>
      <c r="HM167" s="881" t="n"/>
      <c r="HN167" s="881" t="n"/>
      <c r="HO167" s="881" t="n"/>
      <c r="HP167" s="881" t="n"/>
      <c r="HQ167" s="881" t="n"/>
      <c r="HR167" s="881" t="n"/>
      <c r="HS167" s="881" t="n"/>
      <c r="HT167" s="881" t="n"/>
      <c r="HU167" s="881" t="n"/>
      <c r="HV167" s="881" t="n"/>
      <c r="HW167" s="881" t="n"/>
      <c r="HX167" s="881" t="n"/>
      <c r="HY167" s="881" t="n"/>
      <c r="HZ167" s="881" t="n"/>
      <c r="IA167" s="881" t="n"/>
      <c r="IB167" s="881" t="n"/>
      <c r="IC167" s="881" t="n"/>
      <c r="ID167" s="881" t="n"/>
      <c r="IE167" s="881" t="n"/>
      <c r="IF167" s="881" t="n"/>
      <c r="IG167" s="881" t="n"/>
      <c r="IH167" s="881" t="n"/>
      <c r="II167" s="881" t="n"/>
      <c r="IJ167" s="881" t="n"/>
      <c r="IK167" s="881" t="n"/>
      <c r="IL167" s="881" t="n"/>
      <c r="IM167" s="881" t="n"/>
      <c r="IN167" s="881" t="n"/>
      <c r="IO167" s="881" t="n"/>
      <c r="IP167" s="881" t="n"/>
      <c r="IQ167" s="881" t="n"/>
      <c r="IR167" s="881" t="n"/>
      <c r="IS167" s="881" t="n"/>
      <c r="IT167" s="881" t="n"/>
      <c r="IU167" s="881" t="n"/>
      <c r="IV167" s="881" t="n"/>
      <c r="IW167" s="881" t="n"/>
      <c r="IX167" s="881" t="n"/>
      <c r="IY167" s="881" t="n"/>
      <c r="IZ167" s="881" t="n"/>
      <c r="JA167" s="881" t="n"/>
      <c r="JB167" s="881" t="n"/>
      <c r="JC167" s="881" t="n"/>
      <c r="JD167" s="881" t="n"/>
      <c r="JE167" s="881" t="n"/>
      <c r="JF167" s="881" t="n"/>
      <c r="JG167" s="881" t="n"/>
      <c r="JH167" s="881" t="n"/>
      <c r="JI167" s="881" t="n"/>
      <c r="JJ167" s="881" t="n"/>
      <c r="JK167" s="881" t="n"/>
      <c r="JL167" s="881" t="n"/>
      <c r="JM167" s="881" t="n"/>
      <c r="JN167" s="881" t="n"/>
      <c r="JO167" s="881" t="n"/>
      <c r="JP167" s="881" t="n"/>
      <c r="JQ167" s="881" t="n"/>
      <c r="JR167" s="881" t="n"/>
      <c r="JS167" s="881" t="n"/>
      <c r="JT167" s="881" t="n"/>
      <c r="JU167" s="881" t="n"/>
      <c r="JV167" s="881" t="n"/>
      <c r="JW167" s="881" t="n"/>
      <c r="JX167" s="881" t="n"/>
      <c r="JY167" s="881" t="n"/>
      <c r="JZ167" s="881" t="n"/>
      <c r="KA167" s="881" t="n"/>
      <c r="KB167" s="881" t="n"/>
      <c r="KC167" s="881" t="n"/>
      <c r="KD167" s="881" t="n"/>
      <c r="KE167" s="881" t="n"/>
      <c r="KF167" s="881" t="n"/>
      <c r="KG167" s="881" t="n"/>
      <c r="KH167" s="881" t="n"/>
      <c r="KI167" s="881" t="n"/>
      <c r="KJ167" s="881" t="n"/>
      <c r="KK167" s="881" t="n"/>
      <c r="KL167" s="881" t="n"/>
      <c r="KM167" s="881" t="n"/>
      <c r="KN167" s="881" t="n"/>
      <c r="KO167" s="881" t="n"/>
      <c r="KP167" s="881" t="n"/>
      <c r="KQ167" s="881" t="n"/>
      <c r="KR167" s="881" t="n"/>
      <c r="KS167" s="881" t="n"/>
      <c r="KT167" s="881" t="n"/>
      <c r="KU167" s="881" t="n"/>
      <c r="KV167" s="881" t="n"/>
      <c r="KW167" s="881" t="n"/>
      <c r="KX167" s="881" t="n"/>
      <c r="KY167" s="881" t="n"/>
      <c r="KZ167" s="881" t="n"/>
      <c r="LA167" s="881" t="n"/>
      <c r="LB167" s="881" t="n"/>
      <c r="LC167" s="881" t="n"/>
      <c r="LD167" s="881" t="n"/>
      <c r="LE167" s="881" t="n"/>
      <c r="LF167" s="881" t="n"/>
      <c r="LG167" s="881" t="n"/>
      <c r="LH167" s="881" t="n"/>
      <c r="LI167" s="881" t="n"/>
      <c r="LJ167" s="881" t="n"/>
      <c r="LK167" s="881" t="n"/>
      <c r="LL167" s="881" t="n"/>
      <c r="LM167" s="881" t="n"/>
      <c r="LN167" s="881" t="n"/>
      <c r="LO167" s="881" t="n"/>
      <c r="LP167" s="881" t="n"/>
      <c r="LQ167" s="881" t="n"/>
      <c r="LR167" s="881" t="n"/>
      <c r="LS167" s="881" t="n"/>
    </row>
    <row r="168">
      <c r="A168" s="904" t="inlineStr">
        <is>
          <t>ASK (million)</t>
        </is>
      </c>
      <c r="B168" s="904" t="n"/>
      <c r="C168" s="904" t="n"/>
      <c r="D168" s="904" t="n"/>
      <c r="E168" s="904" t="n"/>
      <c r="F168" s="904" t="n"/>
      <c r="G168" s="904" t="n"/>
      <c r="H168" s="904" t="n"/>
      <c r="I168" s="904" t="n"/>
      <c r="J168" s="904" t="n"/>
      <c r="K168" s="904" t="n"/>
      <c r="L168" s="904" t="n"/>
      <c r="M168" s="904" t="n"/>
      <c r="N168" s="904" t="n"/>
      <c r="O168" s="904" t="n"/>
      <c r="P168" s="904" t="n"/>
      <c r="Q168" s="904" t="n"/>
      <c r="R168" s="904" t="n"/>
      <c r="S168" s="904" t="n"/>
      <c r="T168" s="904" t="n"/>
      <c r="U168" s="904" t="n"/>
      <c r="V168" s="904" t="n"/>
      <c r="W168" s="904" t="n"/>
      <c r="X168" s="904" t="n"/>
      <c r="Y168" s="904" t="n"/>
      <c r="Z168" s="904" t="n"/>
      <c r="AA168" s="904" t="n"/>
      <c r="AB168" s="904" t="n"/>
      <c r="AC168" s="904" t="n"/>
      <c r="AD168" s="904" t="n"/>
      <c r="AE168" s="904" t="n"/>
      <c r="AF168" s="904" t="n"/>
      <c r="AG168" s="904" t="n"/>
      <c r="AH168" s="904" t="n"/>
      <c r="AI168" s="904" t="n"/>
      <c r="AJ168" s="904" t="n"/>
      <c r="AK168" s="904" t="n"/>
      <c r="AL168" s="904" t="n"/>
      <c r="AM168" s="904" t="n"/>
      <c r="AN168" s="904" t="n"/>
      <c r="AO168" s="904" t="n"/>
      <c r="AP168" s="904" t="n"/>
      <c r="AQ168" s="904" t="n"/>
      <c r="AR168" s="904" t="n"/>
      <c r="AS168" s="904" t="n"/>
      <c r="AT168" s="904" t="n"/>
      <c r="AU168" s="904" t="n"/>
      <c r="AV168" s="904" t="n"/>
      <c r="AW168" s="904" t="n"/>
      <c r="AX168" s="904" t="n"/>
      <c r="AY168" s="904" t="n"/>
      <c r="AZ168" s="904" t="n"/>
      <c r="BA168" s="904" t="n"/>
      <c r="BB168" s="904" t="n"/>
      <c r="BC168" s="904" t="n"/>
      <c r="BD168" s="904" t="n"/>
      <c r="BE168" s="904" t="n"/>
      <c r="BF168" s="904" t="n"/>
      <c r="BG168" s="904" t="n"/>
      <c r="BH168" s="904" t="n"/>
      <c r="BI168" s="904" t="n"/>
      <c r="BJ168" s="904" t="n"/>
      <c r="BK168" s="904" t="n"/>
      <c r="BL168" s="904" t="n"/>
      <c r="BM168" s="904" t="n"/>
      <c r="BN168" s="904" t="n"/>
      <c r="BO168" s="904" t="n"/>
      <c r="BP168" s="904" t="n"/>
      <c r="BQ168" s="904" t="n"/>
      <c r="BR168" s="904" t="n"/>
      <c r="BS168" s="904" t="n"/>
      <c r="BT168" s="904" t="n"/>
      <c r="BU168" s="904" t="n"/>
      <c r="BV168" s="904" t="n"/>
      <c r="BW168" s="904" t="n"/>
      <c r="BX168" s="904" t="n"/>
      <c r="BY168" s="904" t="n"/>
      <c r="BZ168" s="904" t="n"/>
      <c r="CA168" s="904" t="n"/>
      <c r="CB168" s="904" t="n"/>
      <c r="CC168" s="904" t="n"/>
      <c r="CD168" s="904" t="n"/>
      <c r="CE168" s="904" t="n"/>
      <c r="CF168" s="904" t="n"/>
      <c r="CG168" s="904" t="n"/>
      <c r="CH168" s="904" t="n"/>
      <c r="CI168" s="904" t="n"/>
      <c r="CJ168" s="904" t="n"/>
      <c r="CK168" s="904" t="n"/>
      <c r="CL168" s="904" t="n"/>
      <c r="CM168" s="904" t="n"/>
      <c r="CN168" s="904" t="n"/>
      <c r="CO168" s="904" t="n"/>
      <c r="CP168" s="904" t="n"/>
      <c r="CQ168" s="904" t="n"/>
      <c r="CR168" s="904" t="n"/>
      <c r="CS168" s="904" t="n"/>
      <c r="CT168" s="904" t="n"/>
      <c r="CU168" s="904" t="n"/>
      <c r="CV168" s="904" t="n"/>
      <c r="CW168" s="904" t="n"/>
      <c r="CX168" s="904" t="n"/>
      <c r="CY168" s="904" t="n"/>
      <c r="CZ168" s="904" t="n"/>
      <c r="DA168" s="904" t="n"/>
      <c r="DB168" s="904" t="n"/>
      <c r="DC168" s="904" t="n"/>
      <c r="DD168" s="904" t="n"/>
      <c r="DE168" s="904" t="n"/>
      <c r="DF168" s="904" t="n"/>
      <c r="DG168" s="904" t="n"/>
      <c r="DH168" s="904" t="n"/>
      <c r="DI168" s="904" t="n"/>
      <c r="DJ168" s="904" t="n"/>
      <c r="DK168" s="904" t="n"/>
      <c r="DL168" s="904" t="n"/>
      <c r="DM168" s="904" t="n"/>
      <c r="DN168" s="904" t="n"/>
      <c r="DO168" s="904" t="n"/>
      <c r="DP168" s="904" t="n"/>
      <c r="DQ168" s="904" t="n"/>
      <c r="DR168" s="904" t="n"/>
      <c r="DS168" s="904" t="n"/>
      <c r="DT168" s="904" t="n"/>
      <c r="DU168" s="904" t="n"/>
      <c r="DV168" s="904" t="n"/>
      <c r="DW168" s="904" t="n"/>
      <c r="DX168" s="904" t="n"/>
      <c r="DY168" s="904" t="n"/>
      <c r="DZ168" s="904" t="n"/>
      <c r="EA168" s="904" t="n"/>
      <c r="EB168" s="904" t="n"/>
      <c r="EC168" s="904" t="n"/>
      <c r="ED168" s="904" t="n"/>
      <c r="EE168" s="904" t="n"/>
      <c r="EF168" s="904" t="n"/>
      <c r="EG168" s="904" t="n"/>
      <c r="EH168" s="904" t="n"/>
      <c r="EI168" s="904" t="n"/>
      <c r="EJ168" s="904" t="n"/>
      <c r="EK168" s="904" t="n"/>
      <c r="EL168" s="904" t="n"/>
      <c r="EM168" s="904" t="n"/>
      <c r="EN168" s="904" t="n"/>
      <c r="EO168" s="904" t="n"/>
      <c r="EP168" s="904" t="n"/>
      <c r="EQ168" s="904" t="n"/>
      <c r="ER168" s="904" t="n"/>
      <c r="ES168" s="904" t="n"/>
      <c r="ET168" s="904" t="n"/>
      <c r="EU168" s="904" t="n"/>
      <c r="EV168" s="904" t="n"/>
      <c r="EW168" s="904" t="n"/>
      <c r="EX168" s="904" t="n"/>
      <c r="EY168" s="904" t="n"/>
      <c r="EZ168" s="904" t="n"/>
      <c r="FA168" s="904" t="n"/>
      <c r="FB168" s="904" t="n"/>
      <c r="FC168" s="904" t="n"/>
      <c r="FD168" s="904" t="n"/>
      <c r="FE168" s="904" t="n"/>
      <c r="FF168" s="904" t="n"/>
      <c r="FG168" s="904" t="n"/>
      <c r="FH168" s="904" t="n"/>
      <c r="FI168" s="904" t="n"/>
      <c r="FJ168" s="904" t="n"/>
      <c r="FK168" s="904" t="n"/>
      <c r="FL168" s="904" t="n"/>
      <c r="FM168" s="904" t="n"/>
      <c r="FN168" s="904" t="n"/>
      <c r="FO168" s="904" t="n"/>
      <c r="FP168" s="904" t="n"/>
      <c r="FQ168" s="904" t="n"/>
      <c r="FR168" s="904" t="n"/>
      <c r="FS168" s="904" t="n"/>
      <c r="FT168" s="904" t="n"/>
      <c r="FU168" s="904" t="n"/>
      <c r="FV168" s="904" t="n"/>
      <c r="FW168" s="904" t="n"/>
      <c r="FX168" s="904" t="n"/>
      <c r="FY168" s="904" t="n"/>
      <c r="FZ168" s="904" t="n"/>
      <c r="GA168" s="904" t="n"/>
      <c r="GB168" s="904" t="n"/>
      <c r="GC168" s="904" t="n"/>
      <c r="GD168" s="904" t="n"/>
      <c r="GE168" s="904" t="n"/>
      <c r="GF168" s="904" t="n"/>
      <c r="GG168" s="904" t="n"/>
      <c r="GH168" s="904" t="n"/>
      <c r="GI168" s="904" t="n"/>
      <c r="GJ168" s="904" t="n"/>
      <c r="GK168" s="904" t="n"/>
      <c r="GL168" s="904" t="n"/>
      <c r="GM168" s="904" t="n"/>
      <c r="GN168" s="904" t="n"/>
      <c r="GO168" s="904" t="n"/>
      <c r="GP168" s="904" t="n"/>
      <c r="GQ168" s="904" t="n"/>
      <c r="GR168" s="904" t="n"/>
      <c r="GS168" s="904" t="n"/>
      <c r="GT168" s="904" t="n"/>
      <c r="GU168" s="904" t="n"/>
      <c r="GV168" s="904" t="n"/>
      <c r="GW168" s="904" t="n"/>
      <c r="GX168" s="904" t="n"/>
      <c r="GY168" s="904" t="n"/>
      <c r="GZ168" s="904" t="n"/>
      <c r="HA168" s="904" t="n"/>
      <c r="HB168" s="904" t="n"/>
      <c r="HC168" s="904" t="n"/>
      <c r="HD168" s="904" t="n"/>
      <c r="HE168" s="904" t="n"/>
      <c r="HF168" s="904" t="n"/>
      <c r="HG168" s="904" t="n"/>
      <c r="HH168" s="904" t="n"/>
      <c r="HI168" s="904" t="n"/>
      <c r="HJ168" s="904" t="n"/>
      <c r="HK168" s="904" t="n"/>
      <c r="HL168" s="904" t="n"/>
      <c r="HM168" s="904" t="n"/>
      <c r="HN168" s="904" t="n"/>
      <c r="HO168" s="904" t="n"/>
      <c r="HP168" s="904" t="n"/>
      <c r="HQ168" s="904" t="n"/>
      <c r="HR168" s="904" t="n"/>
      <c r="HS168" s="904" t="n"/>
      <c r="HT168" s="904" t="n"/>
      <c r="HU168" s="904" t="n"/>
      <c r="HV168" s="904" t="n"/>
      <c r="HW168" s="904" t="n"/>
      <c r="HX168" s="904" t="n"/>
      <c r="HY168" s="904" t="n"/>
      <c r="HZ168" s="904" t="n"/>
      <c r="IA168" s="904" t="n"/>
      <c r="IB168" s="904" t="n"/>
      <c r="IC168" s="904" t="n"/>
      <c r="ID168" s="904" t="n"/>
      <c r="IE168" s="904" t="n"/>
      <c r="IF168" s="904" t="n"/>
      <c r="IG168" s="904" t="n"/>
      <c r="IH168" s="904" t="n"/>
      <c r="II168" s="904" t="n"/>
      <c r="IJ168" s="904" t="n"/>
      <c r="IK168" s="904" t="n"/>
      <c r="IL168" s="904" t="n"/>
      <c r="IM168" s="904" t="n"/>
      <c r="IN168" s="904" t="n"/>
      <c r="IO168" s="904" t="n"/>
      <c r="IP168" s="904" t="n"/>
      <c r="IQ168" s="904" t="n"/>
      <c r="IR168" s="904" t="n"/>
      <c r="IS168" s="904" t="n"/>
      <c r="IT168" s="904" t="n"/>
      <c r="IU168" s="904" t="n"/>
      <c r="IV168" s="904" t="n"/>
      <c r="IW168" s="904" t="n"/>
      <c r="IX168" s="904" t="n"/>
      <c r="IY168" s="904" t="n"/>
      <c r="IZ168" s="904" t="n"/>
      <c r="JA168" s="904" t="n"/>
      <c r="JB168" s="904" t="n"/>
      <c r="JC168" s="904" t="n"/>
      <c r="JD168" s="904" t="n"/>
      <c r="JE168" s="904" t="n"/>
      <c r="JF168" s="904" t="n"/>
      <c r="JG168" s="904" t="n"/>
      <c r="JH168" s="904" t="n"/>
      <c r="JI168" s="904" t="n"/>
      <c r="JJ168" s="904" t="n"/>
      <c r="JK168" s="904" t="n"/>
      <c r="JL168" s="904" t="n"/>
      <c r="JM168" s="904" t="n"/>
      <c r="JN168" s="904" t="n"/>
      <c r="JO168" s="904" t="n"/>
      <c r="JP168" s="904" t="n"/>
      <c r="JQ168" s="904" t="n"/>
      <c r="JR168" s="904" t="n"/>
      <c r="JS168" s="904" t="n"/>
      <c r="JT168" s="904" t="n"/>
      <c r="JU168" s="904" t="n"/>
      <c r="JV168" s="904" t="n"/>
      <c r="JW168" s="904" t="n"/>
      <c r="JX168" s="904" t="n"/>
      <c r="JY168" s="904" t="n"/>
      <c r="JZ168" s="904" t="n"/>
      <c r="KA168" s="904" t="n"/>
      <c r="KB168" s="904" t="n"/>
      <c r="KC168" s="904" t="n"/>
      <c r="KD168" s="904" t="n"/>
      <c r="KE168" s="904" t="n"/>
      <c r="KF168" s="904" t="n"/>
      <c r="KG168" s="904" t="n"/>
      <c r="KH168" s="904" t="n"/>
      <c r="KI168" s="904" t="n"/>
      <c r="KJ168" s="904" t="n"/>
      <c r="KK168" s="904" t="n"/>
      <c r="KL168" s="904" t="n"/>
      <c r="KM168" s="904" t="n"/>
      <c r="KN168" s="904" t="n"/>
      <c r="KO168" s="904" t="n"/>
      <c r="KP168" s="870">
        <f>+KP10+KP145</f>
        <v/>
      </c>
      <c r="KQ168" s="870">
        <f>+KQ10+KQ145</f>
        <v/>
      </c>
      <c r="KR168" s="870">
        <f>+KR10+KR145</f>
        <v/>
      </c>
      <c r="KS168" s="870">
        <f>+KS10+KS145</f>
        <v/>
      </c>
      <c r="KT168" s="870">
        <f>+KT10+KT145</f>
        <v/>
      </c>
      <c r="KU168" s="870">
        <f>+KU10+KU145</f>
        <v/>
      </c>
      <c r="KV168" s="870">
        <f>+KV10+KV145</f>
        <v/>
      </c>
      <c r="KW168" s="870">
        <f>+KW10+KW145</f>
        <v/>
      </c>
      <c r="KX168" s="870">
        <f>+KX10+KX145</f>
        <v/>
      </c>
      <c r="KY168" s="870">
        <f>+KY10+KY145</f>
        <v/>
      </c>
      <c r="KZ168" s="870">
        <f>+KZ10+KZ145</f>
        <v/>
      </c>
      <c r="LA168" s="870">
        <f>+LA10+LA145</f>
        <v/>
      </c>
      <c r="LB168" s="870">
        <f>+LB10+LB145</f>
        <v/>
      </c>
      <c r="LC168" s="870">
        <f>+LC10+LC145</f>
        <v/>
      </c>
      <c r="LD168" s="870">
        <f>+LD10+LD145</f>
        <v/>
      </c>
      <c r="LE168" s="870">
        <f>+LE10+LE145</f>
        <v/>
      </c>
      <c r="LF168" s="870">
        <f>+LF10+LF145</f>
        <v/>
      </c>
      <c r="LG168" s="870">
        <f>+LG10+LG145</f>
        <v/>
      </c>
      <c r="LH168" s="870">
        <f>+LH10+LH145</f>
        <v/>
      </c>
      <c r="LI168" s="870">
        <f>+LI10+LI145</f>
        <v/>
      </c>
      <c r="LJ168" s="870">
        <f>+LJ10+LJ145</f>
        <v/>
      </c>
      <c r="LK168" s="870">
        <f>+LK10+LK145</f>
        <v/>
      </c>
      <c r="LL168" s="870">
        <f>+LL10+LL145</f>
        <v/>
      </c>
      <c r="LM168" s="870">
        <f>+LM10+LM145</f>
        <v/>
      </c>
      <c r="LN168" s="870">
        <f>+LN10+LN145</f>
        <v/>
      </c>
      <c r="LO168" s="870">
        <f>+LO10+LO145</f>
        <v/>
      </c>
      <c r="LP168" s="870">
        <f>+LP10+LP145</f>
        <v/>
      </c>
      <c r="LQ168" s="870">
        <f>+LQ10+LQ145</f>
        <v/>
      </c>
      <c r="LR168" s="870">
        <f>+LR10+LR145</f>
        <v/>
      </c>
      <c r="LS168" s="870">
        <f>+LS10+LS145</f>
        <v/>
      </c>
      <c r="LU168" s="1345" t="n"/>
    </row>
    <row r="169">
      <c r="A169" s="885" t="inlineStr">
        <is>
          <t>m cg %</t>
        </is>
      </c>
      <c r="B169" s="904" t="n"/>
      <c r="C169" s="904" t="n"/>
      <c r="D169" s="904" t="n"/>
      <c r="E169" s="904" t="n"/>
      <c r="F169" s="904" t="n"/>
      <c r="G169" s="904" t="n"/>
      <c r="H169" s="904" t="n"/>
      <c r="I169" s="904" t="n"/>
      <c r="J169" s="904" t="n"/>
      <c r="K169" s="904" t="n"/>
      <c r="L169" s="904" t="n"/>
      <c r="M169" s="904" t="n"/>
      <c r="N169" s="904" t="n"/>
      <c r="O169" s="904" t="n"/>
      <c r="P169" s="904" t="n"/>
      <c r="Q169" s="904" t="n"/>
      <c r="R169" s="904" t="n"/>
      <c r="S169" s="904" t="n"/>
      <c r="T169" s="904" t="n"/>
      <c r="U169" s="904" t="n"/>
      <c r="V169" s="904" t="n"/>
      <c r="W169" s="904" t="n"/>
      <c r="X169" s="904" t="n"/>
      <c r="Y169" s="904" t="n"/>
      <c r="Z169" s="904" t="n"/>
      <c r="AA169" s="904" t="n"/>
      <c r="AB169" s="904" t="n"/>
      <c r="AC169" s="904" t="n"/>
      <c r="AD169" s="904" t="n"/>
      <c r="AE169" s="904" t="n"/>
      <c r="AF169" s="904" t="n"/>
      <c r="AG169" s="904" t="n"/>
      <c r="AH169" s="904" t="n"/>
      <c r="AI169" s="904" t="n"/>
      <c r="AJ169" s="904" t="n"/>
      <c r="AK169" s="904" t="n"/>
      <c r="AL169" s="904" t="n"/>
      <c r="AM169" s="904" t="n"/>
      <c r="AN169" s="904" t="n"/>
      <c r="AO169" s="904" t="n"/>
      <c r="AP169" s="904" t="n"/>
      <c r="AQ169" s="904" t="n"/>
      <c r="AR169" s="904" t="n"/>
      <c r="AS169" s="904" t="n"/>
      <c r="AT169" s="904" t="n"/>
      <c r="AU169" s="904" t="n"/>
      <c r="AV169" s="904" t="n"/>
      <c r="AW169" s="904" t="n"/>
      <c r="AX169" s="904" t="n"/>
      <c r="AY169" s="904" t="n"/>
      <c r="AZ169" s="904" t="n"/>
      <c r="BA169" s="904" t="n"/>
      <c r="BB169" s="904" t="n"/>
      <c r="BC169" s="904" t="n"/>
      <c r="BD169" s="904" t="n"/>
      <c r="BE169" s="904" t="n"/>
      <c r="BF169" s="904" t="n"/>
      <c r="BG169" s="904" t="n"/>
      <c r="BH169" s="904" t="n"/>
      <c r="BI169" s="904" t="n"/>
      <c r="BJ169" s="904" t="n"/>
      <c r="BK169" s="904" t="n"/>
      <c r="BL169" s="904" t="n"/>
      <c r="BM169" s="904" t="n"/>
      <c r="BN169" s="904" t="n"/>
      <c r="BO169" s="904" t="n"/>
      <c r="BP169" s="904" t="n"/>
      <c r="BQ169" s="904" t="n"/>
      <c r="BR169" s="904" t="n"/>
      <c r="BS169" s="904" t="n"/>
      <c r="BT169" s="904" t="n"/>
      <c r="BU169" s="904" t="n"/>
      <c r="BV169" s="904" t="n"/>
      <c r="BW169" s="904" t="n"/>
      <c r="BX169" s="904" t="n"/>
      <c r="BY169" s="904" t="n"/>
      <c r="BZ169" s="904" t="n"/>
      <c r="CA169" s="904" t="n"/>
      <c r="CB169" s="904" t="n"/>
      <c r="CC169" s="904" t="n"/>
      <c r="CD169" s="904" t="n"/>
      <c r="CE169" s="904" t="n"/>
      <c r="CF169" s="904" t="n"/>
      <c r="CG169" s="904" t="n"/>
      <c r="CH169" s="904" t="n"/>
      <c r="CI169" s="904" t="n"/>
      <c r="CJ169" s="904" t="n"/>
      <c r="CK169" s="904" t="n"/>
      <c r="CL169" s="904" t="n"/>
      <c r="CM169" s="904" t="n"/>
      <c r="CN169" s="904" t="n"/>
      <c r="CO169" s="904" t="n"/>
      <c r="CP169" s="904" t="n"/>
      <c r="CQ169" s="904" t="n"/>
      <c r="CR169" s="904" t="n"/>
      <c r="CS169" s="904" t="n"/>
      <c r="CT169" s="904" t="n"/>
      <c r="CU169" s="904" t="n"/>
      <c r="CV169" s="904" t="n"/>
      <c r="CW169" s="904" t="n"/>
      <c r="CX169" s="904" t="n"/>
      <c r="CY169" s="904" t="n"/>
      <c r="CZ169" s="904" t="n"/>
      <c r="DA169" s="904" t="n"/>
      <c r="DB169" s="904" t="n"/>
      <c r="DC169" s="904" t="n"/>
      <c r="DD169" s="904" t="n"/>
      <c r="DE169" s="904" t="n"/>
      <c r="DF169" s="904" t="n"/>
      <c r="DG169" s="904" t="n"/>
      <c r="DH169" s="904" t="n"/>
      <c r="DI169" s="904" t="n"/>
      <c r="DJ169" s="904" t="n"/>
      <c r="DK169" s="904" t="n"/>
      <c r="DL169" s="904" t="n"/>
      <c r="DM169" s="904" t="n"/>
      <c r="DN169" s="904" t="n"/>
      <c r="DO169" s="904" t="n"/>
      <c r="DP169" s="904" t="n"/>
      <c r="DQ169" s="904" t="n"/>
      <c r="DR169" s="904" t="n"/>
      <c r="DS169" s="904" t="n"/>
      <c r="DT169" s="904" t="n"/>
      <c r="DU169" s="904" t="n"/>
      <c r="DV169" s="904" t="n"/>
      <c r="DW169" s="904" t="n"/>
      <c r="DX169" s="904" t="n"/>
      <c r="DY169" s="904" t="n"/>
      <c r="DZ169" s="904" t="n"/>
      <c r="EA169" s="904" t="n"/>
      <c r="EB169" s="904" t="n"/>
      <c r="EC169" s="904" t="n"/>
      <c r="ED169" s="904" t="n"/>
      <c r="EE169" s="904" t="n"/>
      <c r="EF169" s="904" t="n"/>
      <c r="EG169" s="904" t="n"/>
      <c r="EH169" s="904" t="n"/>
      <c r="EI169" s="904" t="n"/>
      <c r="EJ169" s="904" t="n"/>
      <c r="EK169" s="904" t="n"/>
      <c r="EL169" s="904" t="n"/>
      <c r="EM169" s="904" t="n"/>
      <c r="EN169" s="904" t="n"/>
      <c r="EO169" s="904" t="n"/>
      <c r="EP169" s="904" t="n"/>
      <c r="EQ169" s="904" t="n"/>
      <c r="ER169" s="904" t="n"/>
      <c r="ES169" s="904" t="n"/>
      <c r="ET169" s="904" t="n"/>
      <c r="EU169" s="904" t="n"/>
      <c r="EV169" s="904" t="n"/>
      <c r="EW169" s="904" t="n"/>
      <c r="EX169" s="904" t="n"/>
      <c r="EY169" s="904" t="n"/>
      <c r="EZ169" s="904" t="n"/>
      <c r="FA169" s="904" t="n"/>
      <c r="FB169" s="904" t="n"/>
      <c r="FC169" s="904" t="n"/>
      <c r="FD169" s="904" t="n"/>
      <c r="FE169" s="904" t="n"/>
      <c r="FF169" s="904" t="n"/>
      <c r="FG169" s="904" t="n"/>
      <c r="FH169" s="904" t="n"/>
      <c r="FI169" s="904" t="n"/>
      <c r="FJ169" s="904" t="n"/>
      <c r="FK169" s="904" t="n"/>
      <c r="FL169" s="904" t="n"/>
      <c r="FM169" s="904" t="n"/>
      <c r="FN169" s="904" t="n"/>
      <c r="FO169" s="904" t="n"/>
      <c r="FP169" s="904" t="n"/>
      <c r="FQ169" s="904" t="n"/>
      <c r="FR169" s="904" t="n"/>
      <c r="FS169" s="904" t="n"/>
      <c r="FT169" s="904" t="n"/>
      <c r="FU169" s="904" t="n"/>
      <c r="FV169" s="904" t="n"/>
      <c r="FW169" s="904" t="n"/>
      <c r="FX169" s="904" t="n"/>
      <c r="FY169" s="904" t="n"/>
      <c r="FZ169" s="904" t="n"/>
      <c r="GA169" s="904" t="n"/>
      <c r="GB169" s="904" t="n"/>
      <c r="GC169" s="904" t="n"/>
      <c r="GD169" s="904" t="n"/>
      <c r="GE169" s="904" t="n"/>
      <c r="GF169" s="904" t="n"/>
      <c r="GG169" s="904" t="n"/>
      <c r="GH169" s="904" t="n"/>
      <c r="GI169" s="904" t="n"/>
      <c r="GJ169" s="904" t="n"/>
      <c r="GK169" s="904" t="n"/>
      <c r="GL169" s="904" t="n"/>
      <c r="GM169" s="904" t="n"/>
      <c r="GN169" s="904" t="n"/>
      <c r="GO169" s="904" t="n"/>
      <c r="GP169" s="904" t="n"/>
      <c r="GQ169" s="904" t="n"/>
      <c r="GR169" s="904" t="n"/>
      <c r="GS169" s="904" t="n"/>
      <c r="GT169" s="904" t="n"/>
      <c r="GU169" s="904" t="n"/>
      <c r="GV169" s="904" t="n"/>
      <c r="GW169" s="904" t="n"/>
      <c r="GX169" s="904" t="n"/>
      <c r="GY169" s="904" t="n"/>
      <c r="GZ169" s="904" t="n"/>
      <c r="HA169" s="904" t="n"/>
      <c r="HB169" s="904" t="n"/>
      <c r="HC169" s="904" t="n"/>
      <c r="HD169" s="904" t="n"/>
      <c r="HE169" s="904" t="n"/>
      <c r="HF169" s="904" t="n"/>
      <c r="HG169" s="904" t="n"/>
      <c r="HH169" s="904" t="n"/>
      <c r="HI169" s="904" t="n"/>
      <c r="HJ169" s="904" t="n"/>
      <c r="HK169" s="904" t="n"/>
      <c r="HL169" s="904" t="n"/>
      <c r="HM169" s="904" t="n"/>
      <c r="HN169" s="904" t="n"/>
      <c r="HO169" s="904" t="n"/>
      <c r="HP169" s="904" t="n"/>
      <c r="HQ169" s="904" t="n"/>
      <c r="HR169" s="904" t="n"/>
      <c r="HS169" s="904" t="n"/>
      <c r="HT169" s="904" t="n"/>
      <c r="HU169" s="904" t="n"/>
      <c r="HV169" s="904" t="n"/>
      <c r="HW169" s="904" t="n"/>
      <c r="HX169" s="904" t="n"/>
      <c r="HY169" s="904" t="n"/>
      <c r="HZ169" s="904" t="n"/>
      <c r="IA169" s="904" t="n"/>
      <c r="IB169" s="904" t="n"/>
      <c r="IC169" s="904" t="n"/>
      <c r="ID169" s="904" t="n"/>
      <c r="IE169" s="904" t="n"/>
      <c r="IF169" s="904" t="n"/>
      <c r="IG169" s="904" t="n"/>
      <c r="IH169" s="904" t="n"/>
      <c r="II169" s="904" t="n"/>
      <c r="IJ169" s="904" t="n"/>
      <c r="IK169" s="904" t="n"/>
      <c r="IL169" s="904" t="n"/>
      <c r="IM169" s="904" t="n"/>
      <c r="IN169" s="904" t="n"/>
      <c r="IO169" s="904" t="n"/>
      <c r="IP169" s="904" t="n"/>
      <c r="IQ169" s="904" t="n"/>
      <c r="IR169" s="904" t="n"/>
      <c r="IS169" s="904" t="n"/>
      <c r="IT169" s="904" t="n"/>
      <c r="IU169" s="904" t="n"/>
      <c r="IV169" s="904" t="n"/>
      <c r="IW169" s="904" t="n"/>
      <c r="IX169" s="904" t="n"/>
      <c r="IY169" s="904" t="n"/>
      <c r="IZ169" s="904" t="n"/>
      <c r="JA169" s="904" t="n"/>
      <c r="JB169" s="904" t="n"/>
      <c r="JC169" s="904" t="n"/>
      <c r="JD169" s="904" t="n"/>
      <c r="JE169" s="904" t="n"/>
      <c r="JF169" s="904" t="n"/>
      <c r="JG169" s="904" t="n"/>
      <c r="JH169" s="904" t="n"/>
      <c r="JI169" s="904" t="n"/>
      <c r="JJ169" s="904" t="n"/>
      <c r="JK169" s="904" t="n"/>
      <c r="JL169" s="904" t="n"/>
      <c r="JM169" s="904" t="n"/>
      <c r="JN169" s="904" t="n"/>
      <c r="JO169" s="904" t="n"/>
      <c r="JP169" s="904" t="n"/>
      <c r="JQ169" s="904" t="n"/>
      <c r="JR169" s="904" t="n"/>
      <c r="JS169" s="904" t="n"/>
      <c r="JT169" s="904" t="n"/>
      <c r="JU169" s="904" t="n"/>
      <c r="JV169" s="904" t="n"/>
      <c r="JW169" s="904" t="n"/>
      <c r="JX169" s="904" t="n"/>
      <c r="JY169" s="904" t="n"/>
      <c r="JZ169" s="904" t="n"/>
      <c r="KA169" s="904" t="n"/>
      <c r="KB169" s="904" t="n"/>
      <c r="KC169" s="904" t="n"/>
      <c r="KD169" s="904" t="n"/>
      <c r="KE169" s="904" t="n"/>
      <c r="KF169" s="904" t="n"/>
      <c r="KG169" s="904" t="n"/>
      <c r="KH169" s="904" t="n"/>
      <c r="KI169" s="904" t="n"/>
      <c r="KJ169" s="904" t="n"/>
      <c r="KK169" s="904" t="n"/>
      <c r="KL169" s="904" t="n"/>
      <c r="KM169" s="904" t="n"/>
      <c r="KN169" s="904" t="n"/>
      <c r="KO169" s="904" t="n"/>
      <c r="KP169" s="904" t="n"/>
      <c r="KQ169" s="1318">
        <f>KQ168/KP168-1</f>
        <v/>
      </c>
      <c r="KR169" s="1318">
        <f>KR168/KQ168-1</f>
        <v/>
      </c>
      <c r="KS169" s="1318">
        <f>KS168/KR168-1</f>
        <v/>
      </c>
      <c r="KT169" s="1318">
        <f>KT168/KS168-1</f>
        <v/>
      </c>
      <c r="KU169" s="1318">
        <f>KU168/KT168-1</f>
        <v/>
      </c>
      <c r="KV169" s="1318">
        <f>KV168/KU168-1</f>
        <v/>
      </c>
      <c r="KW169" s="1318">
        <f>KW168/KV168-1</f>
        <v/>
      </c>
      <c r="KX169" s="1318">
        <f>KX168/KW168-1</f>
        <v/>
      </c>
      <c r="KY169" s="1318">
        <f>KY168/KX168-1</f>
        <v/>
      </c>
      <c r="KZ169" s="1318">
        <f>KZ168/KY168-1</f>
        <v/>
      </c>
      <c r="LA169" s="1318">
        <f>LA168/KZ168-1</f>
        <v/>
      </c>
      <c r="LB169" s="1318">
        <f>LB168/LA168-1</f>
        <v/>
      </c>
      <c r="LC169" s="1318">
        <f>LC168/LB168-1</f>
        <v/>
      </c>
      <c r="LD169" s="1318">
        <f>LD168/LC168-1</f>
        <v/>
      </c>
      <c r="LE169" s="1318">
        <f>LE168/LD168-1</f>
        <v/>
      </c>
      <c r="LF169" s="1318">
        <f>LF168/LE168-1</f>
        <v/>
      </c>
      <c r="LG169" s="1318">
        <f>LG168/LF168-1</f>
        <v/>
      </c>
      <c r="LH169" s="1318">
        <f>LH168/LG168-1</f>
        <v/>
      </c>
      <c r="LI169" s="1318">
        <f>LI168/LH168-1</f>
        <v/>
      </c>
      <c r="LJ169" s="1318">
        <f>LJ168/LI168-1</f>
        <v/>
      </c>
      <c r="LK169" s="1318">
        <f>LK168/LJ168-1</f>
        <v/>
      </c>
      <c r="LL169" s="1318">
        <f>LL168/LK168-1</f>
        <v/>
      </c>
      <c r="LM169" s="1318">
        <f>LM168/LL168-1</f>
        <v/>
      </c>
      <c r="LN169" s="1318">
        <f>LN168/LM168-1</f>
        <v/>
      </c>
      <c r="LO169" s="1318">
        <f>LO168/LN168-1</f>
        <v/>
      </c>
      <c r="LP169" s="1318">
        <f>LP168/LO168-1</f>
        <v/>
      </c>
      <c r="LQ169" s="1318">
        <f>LQ168/LP168-1</f>
        <v/>
      </c>
      <c r="LR169" s="1318">
        <f>LR168/LQ168-1</f>
        <v/>
      </c>
      <c r="LS169" s="1318">
        <f>LS168/LR168-1</f>
        <v/>
      </c>
    </row>
    <row r="170">
      <c r="A170" s="885" t="inlineStr">
        <is>
          <t>YoY cg %</t>
        </is>
      </c>
      <c r="B170" s="904" t="n"/>
      <c r="C170" s="904" t="n"/>
      <c r="D170" s="904" t="n"/>
      <c r="E170" s="904" t="n"/>
      <c r="F170" s="904" t="n"/>
      <c r="G170" s="904" t="n"/>
      <c r="H170" s="904" t="n"/>
      <c r="I170" s="904" t="n"/>
      <c r="J170" s="904" t="n"/>
      <c r="K170" s="904" t="n"/>
      <c r="L170" s="904" t="n"/>
      <c r="M170" s="904" t="n"/>
      <c r="N170" s="904" t="n"/>
      <c r="O170" s="904" t="n"/>
      <c r="P170" s="904" t="n"/>
      <c r="Q170" s="904" t="n"/>
      <c r="R170" s="904" t="n"/>
      <c r="S170" s="904" t="n"/>
      <c r="T170" s="904" t="n"/>
      <c r="U170" s="904" t="n"/>
      <c r="V170" s="904" t="n"/>
      <c r="W170" s="904" t="n"/>
      <c r="X170" s="904" t="n"/>
      <c r="Y170" s="904" t="n"/>
      <c r="Z170" s="904" t="n"/>
      <c r="AA170" s="904" t="n"/>
      <c r="AB170" s="904" t="n"/>
      <c r="AC170" s="904" t="n"/>
      <c r="AD170" s="904" t="n"/>
      <c r="AE170" s="904" t="n"/>
      <c r="AF170" s="904" t="n"/>
      <c r="AG170" s="904" t="n"/>
      <c r="AH170" s="904" t="n"/>
      <c r="AI170" s="904" t="n"/>
      <c r="AJ170" s="904" t="n"/>
      <c r="AK170" s="904" t="n"/>
      <c r="AL170" s="904" t="n"/>
      <c r="AM170" s="904" t="n"/>
      <c r="AN170" s="904" t="n"/>
      <c r="AO170" s="904" t="n"/>
      <c r="AP170" s="904" t="n"/>
      <c r="AQ170" s="904" t="n"/>
      <c r="AR170" s="904" t="n"/>
      <c r="AS170" s="904" t="n"/>
      <c r="AT170" s="904" t="n"/>
      <c r="AU170" s="904" t="n"/>
      <c r="AV170" s="904" t="n"/>
      <c r="AW170" s="904" t="n"/>
      <c r="AX170" s="904" t="n"/>
      <c r="AY170" s="904" t="n"/>
      <c r="AZ170" s="904" t="n"/>
      <c r="BA170" s="904" t="n"/>
      <c r="BB170" s="904" t="n"/>
      <c r="BC170" s="904" t="n"/>
      <c r="BD170" s="904" t="n"/>
      <c r="BE170" s="904" t="n"/>
      <c r="BF170" s="904" t="n"/>
      <c r="BG170" s="904" t="n"/>
      <c r="BH170" s="904" t="n"/>
      <c r="BI170" s="904" t="n"/>
      <c r="BJ170" s="904" t="n"/>
      <c r="BK170" s="904" t="n"/>
      <c r="BL170" s="904" t="n"/>
      <c r="BM170" s="904" t="n"/>
      <c r="BN170" s="904" t="n"/>
      <c r="BO170" s="904" t="n"/>
      <c r="BP170" s="904" t="n"/>
      <c r="BQ170" s="904" t="n"/>
      <c r="BR170" s="904" t="n"/>
      <c r="BS170" s="904" t="n"/>
      <c r="BT170" s="904" t="n"/>
      <c r="BU170" s="904" t="n"/>
      <c r="BV170" s="904" t="n"/>
      <c r="BW170" s="904" t="n"/>
      <c r="BX170" s="904" t="n"/>
      <c r="BY170" s="904" t="n"/>
      <c r="BZ170" s="904" t="n"/>
      <c r="CA170" s="904" t="n"/>
      <c r="CB170" s="904" t="n"/>
      <c r="CC170" s="904" t="n"/>
      <c r="CD170" s="904" t="n"/>
      <c r="CE170" s="904" t="n"/>
      <c r="CF170" s="904" t="n"/>
      <c r="CG170" s="904" t="n"/>
      <c r="CH170" s="904" t="n"/>
      <c r="CI170" s="904" t="n"/>
      <c r="CJ170" s="904" t="n"/>
      <c r="CK170" s="904" t="n"/>
      <c r="CL170" s="904" t="n"/>
      <c r="CM170" s="904" t="n"/>
      <c r="CN170" s="904" t="n"/>
      <c r="CO170" s="904" t="n"/>
      <c r="CP170" s="904" t="n"/>
      <c r="CQ170" s="904" t="n"/>
      <c r="CR170" s="904" t="n"/>
      <c r="CS170" s="904" t="n"/>
      <c r="CT170" s="904" t="n"/>
      <c r="CU170" s="904" t="n"/>
      <c r="CV170" s="904" t="n"/>
      <c r="CW170" s="904" t="n"/>
      <c r="CX170" s="904" t="n"/>
      <c r="CY170" s="904" t="n"/>
      <c r="CZ170" s="904" t="n"/>
      <c r="DA170" s="904" t="n"/>
      <c r="DB170" s="904" t="n"/>
      <c r="DC170" s="904" t="n"/>
      <c r="DD170" s="904" t="n"/>
      <c r="DE170" s="904" t="n"/>
      <c r="DF170" s="904" t="n"/>
      <c r="DG170" s="904" t="n"/>
      <c r="DH170" s="904" t="n"/>
      <c r="DI170" s="904" t="n"/>
      <c r="DJ170" s="904" t="n"/>
      <c r="DK170" s="904" t="n"/>
      <c r="DL170" s="904" t="n"/>
      <c r="DM170" s="904" t="n"/>
      <c r="DN170" s="904" t="n"/>
      <c r="DO170" s="904" t="n"/>
      <c r="DP170" s="904" t="n"/>
      <c r="DQ170" s="904" t="n"/>
      <c r="DR170" s="904" t="n"/>
      <c r="DS170" s="904" t="n"/>
      <c r="DT170" s="904" t="n"/>
      <c r="DU170" s="904" t="n"/>
      <c r="DV170" s="904" t="n"/>
      <c r="DW170" s="904" t="n"/>
      <c r="DX170" s="904" t="n"/>
      <c r="DY170" s="904" t="n"/>
      <c r="DZ170" s="904" t="n"/>
      <c r="EA170" s="904" t="n"/>
      <c r="EB170" s="904" t="n"/>
      <c r="EC170" s="904" t="n"/>
      <c r="ED170" s="904" t="n"/>
      <c r="EE170" s="904" t="n"/>
      <c r="EF170" s="904" t="n"/>
      <c r="EG170" s="904" t="n"/>
      <c r="EH170" s="904" t="n"/>
      <c r="EI170" s="904" t="n"/>
      <c r="EJ170" s="904" t="n"/>
      <c r="EK170" s="904" t="n"/>
      <c r="EL170" s="904" t="n"/>
      <c r="EM170" s="904" t="n"/>
      <c r="EN170" s="904" t="n"/>
      <c r="EO170" s="904" t="n"/>
      <c r="EP170" s="904" t="n"/>
      <c r="EQ170" s="904" t="n"/>
      <c r="ER170" s="904" t="n"/>
      <c r="ES170" s="904" t="n"/>
      <c r="ET170" s="904" t="n"/>
      <c r="EU170" s="904" t="n"/>
      <c r="EV170" s="904" t="n"/>
      <c r="EW170" s="904" t="n"/>
      <c r="EX170" s="904" t="n"/>
      <c r="EY170" s="904" t="n"/>
      <c r="EZ170" s="904" t="n"/>
      <c r="FA170" s="904" t="n"/>
      <c r="FB170" s="904" t="n"/>
      <c r="FC170" s="904" t="n"/>
      <c r="FD170" s="904" t="n"/>
      <c r="FE170" s="904" t="n"/>
      <c r="FF170" s="904" t="n"/>
      <c r="FG170" s="904" t="n"/>
      <c r="FH170" s="904" t="n"/>
      <c r="FI170" s="904" t="n"/>
      <c r="FJ170" s="904" t="n"/>
      <c r="FK170" s="904" t="n"/>
      <c r="FL170" s="904" t="n"/>
      <c r="FM170" s="904" t="n"/>
      <c r="FN170" s="904" t="n"/>
      <c r="FO170" s="904" t="n"/>
      <c r="FP170" s="904" t="n"/>
      <c r="FQ170" s="904" t="n"/>
      <c r="FR170" s="904" t="n"/>
      <c r="FS170" s="904" t="n"/>
      <c r="FT170" s="904" t="n"/>
      <c r="FU170" s="904" t="n"/>
      <c r="FV170" s="904" t="n"/>
      <c r="FW170" s="904" t="n"/>
      <c r="FX170" s="904" t="n"/>
      <c r="FY170" s="904" t="n"/>
      <c r="FZ170" s="904" t="n"/>
      <c r="GA170" s="904" t="n"/>
      <c r="GB170" s="904" t="n"/>
      <c r="GC170" s="904" t="n"/>
      <c r="GD170" s="904" t="n"/>
      <c r="GE170" s="904" t="n"/>
      <c r="GF170" s="904" t="n"/>
      <c r="GG170" s="904" t="n"/>
      <c r="GH170" s="904" t="n"/>
      <c r="GI170" s="904" t="n"/>
      <c r="GJ170" s="904" t="n"/>
      <c r="GK170" s="904" t="n"/>
      <c r="GL170" s="904" t="n"/>
      <c r="GM170" s="904" t="n"/>
      <c r="GN170" s="904" t="n"/>
      <c r="GO170" s="904" t="n"/>
      <c r="GP170" s="904" t="n"/>
      <c r="GQ170" s="904" t="n"/>
      <c r="GR170" s="904" t="n"/>
      <c r="GS170" s="904" t="n"/>
      <c r="GT170" s="904" t="n"/>
      <c r="GU170" s="904" t="n"/>
      <c r="GV170" s="904" t="n"/>
      <c r="GW170" s="904" t="n"/>
      <c r="GX170" s="904" t="n"/>
      <c r="GY170" s="904" t="n"/>
      <c r="GZ170" s="904" t="n"/>
      <c r="HA170" s="904" t="n"/>
      <c r="HB170" s="904" t="n"/>
      <c r="HC170" s="904" t="n"/>
      <c r="HD170" s="904" t="n"/>
      <c r="HE170" s="904" t="n"/>
      <c r="HF170" s="904" t="n"/>
      <c r="HG170" s="904" t="n"/>
      <c r="HH170" s="904" t="n"/>
      <c r="HI170" s="904" t="n"/>
      <c r="HJ170" s="904" t="n"/>
      <c r="HK170" s="904" t="n"/>
      <c r="HL170" s="904" t="n"/>
      <c r="HM170" s="904" t="n"/>
      <c r="HN170" s="904" t="n"/>
      <c r="HO170" s="904" t="n"/>
      <c r="HP170" s="904" t="n"/>
      <c r="HQ170" s="904" t="n"/>
      <c r="HR170" s="904" t="n"/>
      <c r="HS170" s="904" t="n"/>
      <c r="HT170" s="904" t="n"/>
      <c r="HU170" s="904" t="n"/>
      <c r="HV170" s="904" t="n"/>
      <c r="HW170" s="904" t="n"/>
      <c r="HX170" s="904" t="n"/>
      <c r="HY170" s="904" t="n"/>
      <c r="HZ170" s="904" t="n"/>
      <c r="IA170" s="904" t="n"/>
      <c r="IB170" s="904" t="n"/>
      <c r="IC170" s="904" t="n"/>
      <c r="ID170" s="904" t="n"/>
      <c r="IE170" s="904" t="n"/>
      <c r="IF170" s="904" t="n"/>
      <c r="IG170" s="904" t="n"/>
      <c r="IH170" s="904" t="n"/>
      <c r="II170" s="904" t="n"/>
      <c r="IJ170" s="904" t="n"/>
      <c r="IK170" s="904" t="n"/>
      <c r="IL170" s="904" t="n"/>
      <c r="IM170" s="904" t="n"/>
      <c r="IN170" s="904" t="n"/>
      <c r="IO170" s="904" t="n"/>
      <c r="IP170" s="904" t="n"/>
      <c r="IQ170" s="904" t="n"/>
      <c r="IR170" s="904" t="n"/>
      <c r="IS170" s="904" t="n"/>
      <c r="IT170" s="904" t="n"/>
      <c r="IU170" s="904" t="n"/>
      <c r="IV170" s="904" t="n"/>
      <c r="IW170" s="904" t="n"/>
      <c r="IX170" s="904" t="n"/>
      <c r="IY170" s="904" t="n"/>
      <c r="IZ170" s="904" t="n"/>
      <c r="JA170" s="904" t="n"/>
      <c r="JB170" s="904" t="n"/>
      <c r="JC170" s="904" t="n"/>
      <c r="JD170" s="904" t="n"/>
      <c r="JE170" s="904" t="n"/>
      <c r="JF170" s="904" t="n"/>
      <c r="JG170" s="904" t="n"/>
      <c r="JH170" s="904" t="n"/>
      <c r="JI170" s="904" t="n"/>
      <c r="JJ170" s="904" t="n"/>
      <c r="JK170" s="904" t="n"/>
      <c r="JL170" s="904" t="n"/>
      <c r="JM170" s="904" t="n"/>
      <c r="JN170" s="904" t="n"/>
      <c r="JO170" s="904" t="n"/>
      <c r="JP170" s="904" t="n"/>
      <c r="JQ170" s="904" t="n"/>
      <c r="JR170" s="904" t="n"/>
      <c r="JS170" s="904" t="n"/>
      <c r="JT170" s="904" t="n"/>
      <c r="JU170" s="904" t="n"/>
      <c r="JV170" s="904" t="n"/>
      <c r="JW170" s="904" t="n"/>
      <c r="JX170" s="904" t="n"/>
      <c r="JY170" s="904" t="n"/>
      <c r="JZ170" s="904" t="n"/>
      <c r="KA170" s="904" t="n"/>
      <c r="KB170" s="904" t="n"/>
      <c r="KC170" s="904" t="n"/>
      <c r="KD170" s="904" t="n"/>
      <c r="KE170" s="904" t="n"/>
      <c r="KF170" s="904" t="n"/>
      <c r="KG170" s="904" t="n"/>
      <c r="KH170" s="904" t="n"/>
      <c r="KI170" s="904" t="n"/>
      <c r="KJ170" s="904" t="n"/>
      <c r="KK170" s="904" t="n"/>
      <c r="KL170" s="904" t="n"/>
      <c r="KM170" s="904" t="n"/>
      <c r="KN170" s="904" t="n"/>
      <c r="KO170" s="904" t="n"/>
      <c r="KP170" s="904" t="n"/>
      <c r="KQ170" s="904" t="n"/>
      <c r="KR170" s="904" t="n"/>
      <c r="KS170" s="904" t="n"/>
      <c r="KT170" s="904" t="n"/>
      <c r="KU170" s="904" t="n"/>
      <c r="KV170" s="904" t="n"/>
      <c r="KW170" s="904" t="n"/>
      <c r="KX170" s="904" t="n"/>
      <c r="KY170" s="904" t="n"/>
      <c r="KZ170" s="904" t="n"/>
      <c r="LA170" s="904" t="n"/>
      <c r="LB170" s="904" t="n"/>
      <c r="LC170" s="1318">
        <f>LC168/KQ168-1</f>
        <v/>
      </c>
      <c r="LD170" s="1318">
        <f>LD168/KR168-1</f>
        <v/>
      </c>
      <c r="LE170" s="1318">
        <f>LE168/KS168-1</f>
        <v/>
      </c>
      <c r="LF170" s="1318">
        <f>LF168/KT168-1</f>
        <v/>
      </c>
      <c r="LG170" s="1318">
        <f>LG168/KU168-1</f>
        <v/>
      </c>
      <c r="LH170" s="1318">
        <f>LH168/KV168-1</f>
        <v/>
      </c>
      <c r="LI170" s="1318">
        <f>LI168/KW168-1</f>
        <v/>
      </c>
      <c r="LJ170" s="1318">
        <f>LJ168/KX168-1</f>
        <v/>
      </c>
      <c r="LK170" s="1318">
        <f>LK168/KY168-1</f>
        <v/>
      </c>
      <c r="LL170" s="1318">
        <f>LL168/KZ168-1</f>
        <v/>
      </c>
      <c r="LM170" s="1318">
        <f>LM168/LA168-1</f>
        <v/>
      </c>
      <c r="LN170" s="1318">
        <f>LN168/LB168-1</f>
        <v/>
      </c>
      <c r="LO170" s="1318">
        <f>LO168/LC168-1</f>
        <v/>
      </c>
      <c r="LP170" s="1318">
        <f>LP168/LD168-1</f>
        <v/>
      </c>
      <c r="LQ170" s="1318">
        <f>LQ168/LE168-1</f>
        <v/>
      </c>
      <c r="LR170" s="1318">
        <f>LR168/LF168-1</f>
        <v/>
      </c>
      <c r="LS170" s="1318">
        <f>LS168/LG168-1</f>
        <v/>
      </c>
    </row>
    <row r="171">
      <c r="A171" s="885" t="inlineStr">
        <is>
          <t>YTD cg %</t>
        </is>
      </c>
      <c r="B171" s="904" t="n"/>
      <c r="C171" s="904" t="n"/>
      <c r="D171" s="904" t="n"/>
      <c r="E171" s="904" t="n"/>
      <c r="F171" s="904" t="n"/>
      <c r="G171" s="904" t="n"/>
      <c r="H171" s="904" t="n"/>
      <c r="I171" s="904" t="n"/>
      <c r="J171" s="904" t="n"/>
      <c r="K171" s="904" t="n"/>
      <c r="L171" s="904" t="n"/>
      <c r="M171" s="904" t="n"/>
      <c r="N171" s="904" t="n"/>
      <c r="O171" s="904" t="n"/>
      <c r="P171" s="904" t="n"/>
      <c r="Q171" s="904" t="n"/>
      <c r="R171" s="904" t="n"/>
      <c r="S171" s="904" t="n"/>
      <c r="T171" s="904" t="n"/>
      <c r="U171" s="904" t="n"/>
      <c r="V171" s="904" t="n"/>
      <c r="W171" s="904" t="n"/>
      <c r="X171" s="904" t="n"/>
      <c r="Y171" s="904" t="n"/>
      <c r="Z171" s="904" t="n"/>
      <c r="AA171" s="904" t="n"/>
      <c r="AB171" s="904" t="n"/>
      <c r="AC171" s="904" t="n"/>
      <c r="AD171" s="904" t="n"/>
      <c r="AE171" s="904" t="n"/>
      <c r="AF171" s="904" t="n"/>
      <c r="AG171" s="904" t="n"/>
      <c r="AH171" s="904" t="n"/>
      <c r="AI171" s="904" t="n"/>
      <c r="AJ171" s="904" t="n"/>
      <c r="AK171" s="904" t="n"/>
      <c r="AL171" s="904" t="n"/>
      <c r="AM171" s="904" t="n"/>
      <c r="AN171" s="904" t="n"/>
      <c r="AO171" s="904" t="n"/>
      <c r="AP171" s="904" t="n"/>
      <c r="AQ171" s="904" t="n"/>
      <c r="AR171" s="904" t="n"/>
      <c r="AS171" s="904" t="n"/>
      <c r="AT171" s="904" t="n"/>
      <c r="AU171" s="904" t="n"/>
      <c r="AV171" s="904" t="n"/>
      <c r="AW171" s="904" t="n"/>
      <c r="AX171" s="904" t="n"/>
      <c r="AY171" s="904" t="n"/>
      <c r="AZ171" s="904" t="n"/>
      <c r="BA171" s="904" t="n"/>
      <c r="BB171" s="904" t="n"/>
      <c r="BC171" s="904" t="n"/>
      <c r="BD171" s="904" t="n"/>
      <c r="BE171" s="904" t="n"/>
      <c r="BF171" s="904" t="n"/>
      <c r="BG171" s="904" t="n"/>
      <c r="BH171" s="904" t="n"/>
      <c r="BI171" s="904" t="n"/>
      <c r="BJ171" s="904" t="n"/>
      <c r="BK171" s="904" t="n"/>
      <c r="BL171" s="904" t="n"/>
      <c r="BM171" s="904" t="n"/>
      <c r="BN171" s="904" t="n"/>
      <c r="BO171" s="904" t="n"/>
      <c r="BP171" s="904" t="n"/>
      <c r="BQ171" s="904" t="n"/>
      <c r="BR171" s="904" t="n"/>
      <c r="BS171" s="904" t="n"/>
      <c r="BT171" s="904" t="n"/>
      <c r="BU171" s="904" t="n"/>
      <c r="BV171" s="904" t="n"/>
      <c r="BW171" s="904" t="n"/>
      <c r="BX171" s="904" t="n"/>
      <c r="BY171" s="904" t="n"/>
      <c r="BZ171" s="904" t="n"/>
      <c r="CA171" s="904" t="n"/>
      <c r="CB171" s="904" t="n"/>
      <c r="CC171" s="904" t="n"/>
      <c r="CD171" s="904" t="n"/>
      <c r="CE171" s="904" t="n"/>
      <c r="CF171" s="904" t="n"/>
      <c r="CG171" s="904" t="n"/>
      <c r="CH171" s="904" t="n"/>
      <c r="CI171" s="904" t="n"/>
      <c r="CJ171" s="904" t="n"/>
      <c r="CK171" s="904" t="n"/>
      <c r="CL171" s="904" t="n"/>
      <c r="CM171" s="904" t="n"/>
      <c r="CN171" s="904" t="n"/>
      <c r="CO171" s="904" t="n"/>
      <c r="CP171" s="904" t="n"/>
      <c r="CQ171" s="904" t="n"/>
      <c r="CR171" s="904" t="n"/>
      <c r="CS171" s="904" t="n"/>
      <c r="CT171" s="904" t="n"/>
      <c r="CU171" s="904" t="n"/>
      <c r="CV171" s="904" t="n"/>
      <c r="CW171" s="904" t="n"/>
      <c r="CX171" s="904" t="n"/>
      <c r="CY171" s="904" t="n"/>
      <c r="CZ171" s="904" t="n"/>
      <c r="DA171" s="904" t="n"/>
      <c r="DB171" s="904" t="n"/>
      <c r="DC171" s="904" t="n"/>
      <c r="DD171" s="904" t="n"/>
      <c r="DE171" s="904" t="n"/>
      <c r="DF171" s="904" t="n"/>
      <c r="DG171" s="904" t="n"/>
      <c r="DH171" s="904" t="n"/>
      <c r="DI171" s="904" t="n"/>
      <c r="DJ171" s="904" t="n"/>
      <c r="DK171" s="904" t="n"/>
      <c r="DL171" s="904" t="n"/>
      <c r="DM171" s="904" t="n"/>
      <c r="DN171" s="904" t="n"/>
      <c r="DO171" s="904" t="n"/>
      <c r="DP171" s="904" t="n"/>
      <c r="DQ171" s="904" t="n"/>
      <c r="DR171" s="904" t="n"/>
      <c r="DS171" s="904" t="n"/>
      <c r="DT171" s="904" t="n"/>
      <c r="DU171" s="904" t="n"/>
      <c r="DV171" s="904" t="n"/>
      <c r="DW171" s="904" t="n"/>
      <c r="DX171" s="904" t="n"/>
      <c r="DY171" s="904" t="n"/>
      <c r="DZ171" s="904" t="n"/>
      <c r="EA171" s="904" t="n"/>
      <c r="EB171" s="904" t="n"/>
      <c r="EC171" s="904" t="n"/>
      <c r="ED171" s="904" t="n"/>
      <c r="EE171" s="904" t="n"/>
      <c r="EF171" s="904" t="n"/>
      <c r="EG171" s="904" t="n"/>
      <c r="EH171" s="904" t="n"/>
      <c r="EI171" s="904" t="n"/>
      <c r="EJ171" s="904" t="n"/>
      <c r="EK171" s="904" t="n"/>
      <c r="EL171" s="904" t="n"/>
      <c r="EM171" s="904" t="n"/>
      <c r="EN171" s="904" t="n"/>
      <c r="EO171" s="904" t="n"/>
      <c r="EP171" s="904" t="n"/>
      <c r="EQ171" s="904" t="n"/>
      <c r="ER171" s="904" t="n"/>
      <c r="ES171" s="904" t="n"/>
      <c r="ET171" s="904" t="n"/>
      <c r="EU171" s="904" t="n"/>
      <c r="EV171" s="904" t="n"/>
      <c r="EW171" s="904" t="n"/>
      <c r="EX171" s="904" t="n"/>
      <c r="EY171" s="904" t="n"/>
      <c r="EZ171" s="904" t="n"/>
      <c r="FA171" s="904" t="n"/>
      <c r="FB171" s="904" t="n"/>
      <c r="FC171" s="904" t="n"/>
      <c r="FD171" s="904" t="n"/>
      <c r="FE171" s="904" t="n"/>
      <c r="FF171" s="904" t="n"/>
      <c r="FG171" s="904" t="n"/>
      <c r="FH171" s="904" t="n"/>
      <c r="FI171" s="904" t="n"/>
      <c r="FJ171" s="904" t="n"/>
      <c r="FK171" s="904" t="n"/>
      <c r="FL171" s="904" t="n"/>
      <c r="FM171" s="904" t="n"/>
      <c r="FN171" s="904" t="n"/>
      <c r="FO171" s="904" t="n"/>
      <c r="FP171" s="904" t="n"/>
      <c r="FQ171" s="904" t="n"/>
      <c r="FR171" s="904" t="n"/>
      <c r="FS171" s="904" t="n"/>
      <c r="FT171" s="904" t="n"/>
      <c r="FU171" s="904" t="n"/>
      <c r="FV171" s="904" t="n"/>
      <c r="FW171" s="904" t="n"/>
      <c r="FX171" s="904" t="n"/>
      <c r="FY171" s="904" t="n"/>
      <c r="FZ171" s="904" t="n"/>
      <c r="GA171" s="904" t="n"/>
      <c r="GB171" s="904" t="n"/>
      <c r="GC171" s="904" t="n"/>
      <c r="GD171" s="904" t="n"/>
      <c r="GE171" s="904" t="n"/>
      <c r="GF171" s="904" t="n"/>
      <c r="GG171" s="904" t="n"/>
      <c r="GH171" s="904" t="n"/>
      <c r="GI171" s="904" t="n"/>
      <c r="GJ171" s="904" t="n"/>
      <c r="GK171" s="904" t="n"/>
      <c r="GL171" s="904" t="n"/>
      <c r="GM171" s="904" t="n"/>
      <c r="GN171" s="904" t="n"/>
      <c r="GO171" s="904" t="n"/>
      <c r="GP171" s="904" t="n"/>
      <c r="GQ171" s="904" t="n"/>
      <c r="GR171" s="904" t="n"/>
      <c r="GS171" s="904" t="n"/>
      <c r="GT171" s="904" t="n"/>
      <c r="GU171" s="904" t="n"/>
      <c r="GV171" s="904" t="n"/>
      <c r="GW171" s="904" t="n"/>
      <c r="GX171" s="904" t="n"/>
      <c r="GY171" s="904" t="n"/>
      <c r="GZ171" s="904" t="n"/>
      <c r="HA171" s="904" t="n"/>
      <c r="HB171" s="904" t="n"/>
      <c r="HC171" s="904" t="n"/>
      <c r="HD171" s="904" t="n"/>
      <c r="HE171" s="904" t="n"/>
      <c r="HF171" s="904" t="n"/>
      <c r="HG171" s="904" t="n"/>
      <c r="HH171" s="904" t="n"/>
      <c r="HI171" s="904" t="n"/>
      <c r="HJ171" s="904" t="n"/>
      <c r="HK171" s="904" t="n"/>
      <c r="HL171" s="904" t="n"/>
      <c r="HM171" s="904" t="n"/>
      <c r="HN171" s="904" t="n"/>
      <c r="HO171" s="904" t="n"/>
      <c r="HP171" s="904" t="n"/>
      <c r="HQ171" s="904" t="n"/>
      <c r="HR171" s="904" t="n"/>
      <c r="HS171" s="904" t="n"/>
      <c r="HT171" s="904" t="n"/>
      <c r="HU171" s="904" t="n"/>
      <c r="HV171" s="904" t="n"/>
      <c r="HW171" s="904" t="n"/>
      <c r="HX171" s="904" t="n"/>
      <c r="HY171" s="904" t="n"/>
      <c r="HZ171" s="904" t="n"/>
      <c r="IA171" s="904" t="n"/>
      <c r="IB171" s="904" t="n"/>
      <c r="IC171" s="904" t="n"/>
      <c r="ID171" s="904" t="n"/>
      <c r="IE171" s="904" t="n"/>
      <c r="IF171" s="904" t="n"/>
      <c r="IG171" s="904" t="n"/>
      <c r="IH171" s="904" t="n"/>
      <c r="II171" s="904" t="n"/>
      <c r="IJ171" s="904" t="n"/>
      <c r="IK171" s="904" t="n"/>
      <c r="IL171" s="904" t="n"/>
      <c r="IM171" s="904" t="n"/>
      <c r="IN171" s="904" t="n"/>
      <c r="IO171" s="904" t="n"/>
      <c r="IP171" s="904" t="n"/>
      <c r="IQ171" s="904" t="n"/>
      <c r="IR171" s="904" t="n"/>
      <c r="IS171" s="904" t="n"/>
      <c r="IT171" s="904" t="n"/>
      <c r="IU171" s="904" t="n"/>
      <c r="IV171" s="904" t="n"/>
      <c r="IW171" s="904" t="n"/>
      <c r="IX171" s="904" t="n"/>
      <c r="IY171" s="904" t="n"/>
      <c r="IZ171" s="904" t="n"/>
      <c r="JA171" s="904" t="n"/>
      <c r="JB171" s="904" t="n"/>
      <c r="JC171" s="904" t="n"/>
      <c r="JD171" s="904" t="n"/>
      <c r="JE171" s="904" t="n"/>
      <c r="JF171" s="904" t="n"/>
      <c r="JG171" s="904" t="n"/>
      <c r="JH171" s="904" t="n"/>
      <c r="JI171" s="904" t="n"/>
      <c r="JJ171" s="904" t="n"/>
      <c r="JK171" s="904" t="n"/>
      <c r="JL171" s="904" t="n"/>
      <c r="JM171" s="904" t="n"/>
      <c r="JN171" s="904" t="n"/>
      <c r="JO171" s="904" t="n"/>
      <c r="JP171" s="904" t="n"/>
      <c r="JQ171" s="904" t="n"/>
      <c r="JR171" s="904" t="n"/>
      <c r="JS171" s="904" t="n"/>
      <c r="JT171" s="904" t="n"/>
      <c r="JU171" s="904" t="n"/>
      <c r="JV171" s="904" t="n"/>
      <c r="JW171" s="904" t="n"/>
      <c r="JX171" s="904" t="n"/>
      <c r="JY171" s="904" t="n"/>
      <c r="JZ171" s="904" t="n"/>
      <c r="KA171" s="904" t="n"/>
      <c r="KB171" s="904" t="n"/>
      <c r="KC171" s="904" t="n"/>
      <c r="KD171" s="904" t="n"/>
      <c r="KE171" s="904" t="n"/>
      <c r="KF171" s="904" t="n"/>
      <c r="KG171" s="904" t="n"/>
      <c r="KH171" s="904" t="n"/>
      <c r="KI171" s="904" t="n"/>
      <c r="KJ171" s="904" t="n"/>
      <c r="KK171" s="904" t="n"/>
      <c r="KL171" s="904" t="n"/>
      <c r="KM171" s="904" t="n"/>
      <c r="KN171" s="904" t="n"/>
      <c r="KO171" s="904" t="n"/>
      <c r="KP171" s="904" t="n"/>
      <c r="KQ171" s="904" t="n"/>
      <c r="KR171" s="904" t="n"/>
      <c r="KS171" s="904" t="n"/>
      <c r="KT171" s="904" t="n"/>
      <c r="KU171" s="904" t="n"/>
      <c r="KV171" s="904" t="n"/>
      <c r="KW171" s="904" t="n"/>
      <c r="KX171" s="904" t="n"/>
      <c r="KY171" s="904" t="n"/>
      <c r="KZ171" s="904" t="n"/>
      <c r="LA171" s="904" t="n"/>
      <c r="LB171" s="904" t="n"/>
      <c r="LC171" s="1318">
        <f>SUMIFS(168:168,$8:$8,"&gt;="&amp;DATE(YEAR(LC$8),1,1),$8:$8,"&lt;="&amp;EOMONTH(LC$8,0))/SUMIFS(168:168,$8:$8,"&gt;="&amp;DATE(YEAR(LC$8)-1,1,1),$8:$8,"&lt;="&amp;EOMONTH(LC$8,-12))-1</f>
        <v/>
      </c>
      <c r="LD171" s="1318">
        <f>SUMIFS(168:168,$8:$8,"&gt;="&amp;DATE(YEAR(LD$8),1,1),$8:$8,"&lt;="&amp;EOMONTH(LD$8,0))/SUMIFS(168:168,$8:$8,"&gt;="&amp;DATE(YEAR(LD$8)-1,1,1),$8:$8,"&lt;="&amp;EOMONTH(LD$8,-12))-1</f>
        <v/>
      </c>
      <c r="LE171" s="1318">
        <f>SUMIFS(168:168,$8:$8,"&gt;="&amp;DATE(YEAR(LE$8),1,1),$8:$8,"&lt;="&amp;EOMONTH(LE$8,0))/SUMIFS(168:168,$8:$8,"&gt;="&amp;DATE(YEAR(LE$8)-1,1,1),$8:$8,"&lt;="&amp;EOMONTH(LE$8,-12))-1</f>
        <v/>
      </c>
      <c r="LF171" s="1318">
        <f>SUMIFS(168:168,$8:$8,"&gt;="&amp;DATE(YEAR(LF$8),1,1),$8:$8,"&lt;="&amp;EOMONTH(LF$8,0))/SUMIFS(168:168,$8:$8,"&gt;="&amp;DATE(YEAR(LF$8)-1,1,1),$8:$8,"&lt;="&amp;EOMONTH(LF$8,-12))-1</f>
        <v/>
      </c>
      <c r="LG171" s="1318">
        <f>SUMIFS(168:168,$8:$8,"&gt;="&amp;DATE(YEAR(LG$8),1,1),$8:$8,"&lt;="&amp;EOMONTH(LG$8,0))/SUMIFS(168:168,$8:$8,"&gt;="&amp;DATE(YEAR(LG$8)-1,1,1),$8:$8,"&lt;="&amp;EOMONTH(LG$8,-12))-1</f>
        <v/>
      </c>
      <c r="LH171" s="1318">
        <f>SUMIFS(168:168,$8:$8,"&gt;="&amp;DATE(YEAR(LH$8),1,1),$8:$8,"&lt;="&amp;EOMONTH(LH$8,0))/SUMIFS(168:168,$8:$8,"&gt;="&amp;DATE(YEAR(LH$8)-1,1,1),$8:$8,"&lt;="&amp;EOMONTH(LH$8,-12))-1</f>
        <v/>
      </c>
      <c r="LI171" s="1318">
        <f>SUMIFS(168:168,$8:$8,"&gt;="&amp;DATE(YEAR(LI$8),1,1),$8:$8,"&lt;="&amp;EOMONTH(LI$8,0))/SUMIFS(168:168,$8:$8,"&gt;="&amp;DATE(YEAR(LI$8)-1,1,1),$8:$8,"&lt;="&amp;EOMONTH(LI$8,-12))-1</f>
        <v/>
      </c>
      <c r="LJ171" s="1318">
        <f>SUMIFS(168:168,$8:$8,"&gt;="&amp;DATE(YEAR(LJ$8),1,1),$8:$8,"&lt;="&amp;EOMONTH(LJ$8,0))/SUMIFS(168:168,$8:$8,"&gt;="&amp;DATE(YEAR(LJ$8)-1,1,1),$8:$8,"&lt;="&amp;EOMONTH(LJ$8,-12))-1</f>
        <v/>
      </c>
      <c r="LK171" s="1318">
        <f>SUMIFS(168:168,$8:$8,"&gt;="&amp;DATE(YEAR(LK$8),1,1),$8:$8,"&lt;="&amp;EOMONTH(LK$8,0))/SUMIFS(168:168,$8:$8,"&gt;="&amp;DATE(YEAR(LK$8)-1,1,1),$8:$8,"&lt;="&amp;EOMONTH(LK$8,-12))-1</f>
        <v/>
      </c>
      <c r="LL171" s="1318">
        <f>SUMIFS(168:168,$8:$8,"&gt;="&amp;DATE(YEAR(LL$8),1,1),$8:$8,"&lt;="&amp;EOMONTH(LL$8,0))/SUMIFS(168:168,$8:$8,"&gt;="&amp;DATE(YEAR(LL$8)-1,1,1),$8:$8,"&lt;="&amp;EOMONTH(LL$8,-12))-1</f>
        <v/>
      </c>
      <c r="LM171" s="1318">
        <f>SUMIFS(168:168,$8:$8,"&gt;="&amp;DATE(YEAR(LM$8),1,1),$8:$8,"&lt;="&amp;EOMONTH(LM$8,0))/SUMIFS(168:168,$8:$8,"&gt;="&amp;DATE(YEAR(LM$8)-1,1,1),$8:$8,"&lt;="&amp;EOMONTH(LM$8,-12))-1</f>
        <v/>
      </c>
      <c r="LN171" s="1318">
        <f>SUMIFS(168:168,$8:$8,"&gt;="&amp;DATE(YEAR(LN$8),1,1),$8:$8,"&lt;="&amp;EOMONTH(LN$8,0))/SUMIFS(168:168,$8:$8,"&gt;="&amp;DATE(YEAR(LN$8)-1,1,1),$8:$8,"&lt;="&amp;EOMONTH(LN$8,-12))-1</f>
        <v/>
      </c>
      <c r="LO171" s="1318">
        <f>SUMIFS(168:168,$8:$8,"&gt;="&amp;DATE(YEAR(LO$8),1,1),$8:$8,"&lt;="&amp;EOMONTH(LO$8,0))/SUMIFS(168:168,$8:$8,"&gt;="&amp;DATE(YEAR(LO$8)-1,1,1),$8:$8,"&lt;="&amp;EOMONTH(LO$8,-12))-1</f>
        <v/>
      </c>
      <c r="LP171" s="1318">
        <f>SUMIFS(168:168,$8:$8,"&gt;="&amp;DATE(YEAR(LP$8),1,1),$8:$8,"&lt;="&amp;EOMONTH(LP$8,0))/SUMIFS(168:168,$8:$8,"&gt;="&amp;DATE(YEAR(LP$8)-1,1,1),$8:$8,"&lt;="&amp;EOMONTH(LP$8,-12))-1</f>
        <v/>
      </c>
      <c r="LQ171" s="1318">
        <f>SUMIFS(168:168,$8:$8,"&gt;="&amp;DATE(YEAR(LQ$8),1,1),$8:$8,"&lt;="&amp;EOMONTH(LQ$8,0))/SUMIFS(168:168,$8:$8,"&gt;="&amp;DATE(YEAR(LQ$8)-1,1,1),$8:$8,"&lt;="&amp;EOMONTH(LQ$8,-12))-1</f>
        <v/>
      </c>
      <c r="LR171" s="1318">
        <f>SUMIFS(168:168,$8:$8,"&gt;="&amp;DATE(YEAR(LR$8),1,1),$8:$8,"&lt;="&amp;EOMONTH(LR$8,0))/SUMIFS(168:168,$8:$8,"&gt;="&amp;DATE(YEAR(LR$8)-1,1,1),$8:$8,"&lt;="&amp;EOMONTH(LR$8,-12))-1</f>
        <v/>
      </c>
      <c r="LS171" s="1318">
        <f>SUMIFS(168:168,$8:$8,"&gt;="&amp;DATE(YEAR(LS$8),1,1),$8:$8,"&lt;="&amp;EOMONTH(LS$8,0))/SUMIFS(168:168,$8:$8,"&gt;="&amp;DATE(YEAR(LS$8)-1,1,1),$8:$8,"&lt;="&amp;EOMONTH(LS$8,-12))-1</f>
        <v/>
      </c>
    </row>
    <row r="172">
      <c r="A172" s="904" t="inlineStr">
        <is>
          <t>RPK (million)</t>
        </is>
      </c>
      <c r="B172" s="904" t="n"/>
      <c r="C172" s="904" t="n"/>
      <c r="D172" s="904" t="n"/>
      <c r="E172" s="904" t="n"/>
      <c r="F172" s="904" t="n"/>
      <c r="G172" s="904" t="n"/>
      <c r="H172" s="904" t="n"/>
      <c r="I172" s="904" t="n"/>
      <c r="J172" s="904" t="n"/>
      <c r="K172" s="904" t="n"/>
      <c r="L172" s="904" t="n"/>
      <c r="M172" s="904" t="n"/>
      <c r="N172" s="904" t="n"/>
      <c r="O172" s="904" t="n"/>
      <c r="P172" s="904" t="n"/>
      <c r="Q172" s="904" t="n"/>
      <c r="R172" s="904" t="n"/>
      <c r="S172" s="904" t="n"/>
      <c r="T172" s="904" t="n"/>
      <c r="U172" s="904" t="n"/>
      <c r="V172" s="904" t="n"/>
      <c r="W172" s="904" t="n"/>
      <c r="X172" s="904" t="n"/>
      <c r="Y172" s="904" t="n"/>
      <c r="Z172" s="904" t="n"/>
      <c r="AA172" s="904" t="n"/>
      <c r="AB172" s="904" t="n"/>
      <c r="AC172" s="904" t="n"/>
      <c r="AD172" s="904" t="n"/>
      <c r="AE172" s="904" t="n"/>
      <c r="AF172" s="904" t="n"/>
      <c r="AG172" s="904" t="n"/>
      <c r="AH172" s="904" t="n"/>
      <c r="AI172" s="904" t="n"/>
      <c r="AJ172" s="904" t="n"/>
      <c r="AK172" s="904" t="n"/>
      <c r="AL172" s="904" t="n"/>
      <c r="AM172" s="904" t="n"/>
      <c r="AN172" s="904" t="n"/>
      <c r="AO172" s="904" t="n"/>
      <c r="AP172" s="904" t="n"/>
      <c r="AQ172" s="904" t="n"/>
      <c r="AR172" s="904" t="n"/>
      <c r="AS172" s="904" t="n"/>
      <c r="AT172" s="904" t="n"/>
      <c r="AU172" s="904" t="n"/>
      <c r="AV172" s="904" t="n"/>
      <c r="AW172" s="904" t="n"/>
      <c r="AX172" s="904" t="n"/>
      <c r="AY172" s="904" t="n"/>
      <c r="AZ172" s="904" t="n"/>
      <c r="BA172" s="904" t="n"/>
      <c r="BB172" s="904" t="n"/>
      <c r="BC172" s="904" t="n"/>
      <c r="BD172" s="904" t="n"/>
      <c r="BE172" s="904" t="n"/>
      <c r="BF172" s="904" t="n"/>
      <c r="BG172" s="904" t="n"/>
      <c r="BH172" s="904" t="n"/>
      <c r="BI172" s="904" t="n"/>
      <c r="BJ172" s="904" t="n"/>
      <c r="BK172" s="904" t="n"/>
      <c r="BL172" s="904" t="n"/>
      <c r="BM172" s="904" t="n"/>
      <c r="BN172" s="904" t="n"/>
      <c r="BO172" s="904" t="n"/>
      <c r="BP172" s="904" t="n"/>
      <c r="BQ172" s="904" t="n"/>
      <c r="BR172" s="904" t="n"/>
      <c r="BS172" s="904" t="n"/>
      <c r="BT172" s="904" t="n"/>
      <c r="BU172" s="904" t="n"/>
      <c r="BV172" s="904" t="n"/>
      <c r="BW172" s="904" t="n"/>
      <c r="BX172" s="904" t="n"/>
      <c r="BY172" s="904" t="n"/>
      <c r="BZ172" s="904" t="n"/>
      <c r="CA172" s="904" t="n"/>
      <c r="CB172" s="904" t="n"/>
      <c r="CC172" s="904" t="n"/>
      <c r="CD172" s="904" t="n"/>
      <c r="CE172" s="904" t="n"/>
      <c r="CF172" s="904" t="n"/>
      <c r="CG172" s="904" t="n"/>
      <c r="CH172" s="904" t="n"/>
      <c r="CI172" s="904" t="n"/>
      <c r="CJ172" s="904" t="n"/>
      <c r="CK172" s="904" t="n"/>
      <c r="CL172" s="904" t="n"/>
      <c r="CM172" s="904" t="n"/>
      <c r="CN172" s="904" t="n"/>
      <c r="CO172" s="904" t="n"/>
      <c r="CP172" s="904" t="n"/>
      <c r="CQ172" s="904" t="n"/>
      <c r="CR172" s="904" t="n"/>
      <c r="CS172" s="904" t="n"/>
      <c r="CT172" s="904" t="n"/>
      <c r="CU172" s="904" t="n"/>
      <c r="CV172" s="904" t="n"/>
      <c r="CW172" s="904" t="n"/>
      <c r="CX172" s="904" t="n"/>
      <c r="CY172" s="904" t="n"/>
      <c r="CZ172" s="904" t="n"/>
      <c r="DA172" s="904" t="n"/>
      <c r="DB172" s="904" t="n"/>
      <c r="DC172" s="904" t="n"/>
      <c r="DD172" s="904" t="n"/>
      <c r="DE172" s="904" t="n"/>
      <c r="DF172" s="904" t="n"/>
      <c r="DG172" s="904" t="n"/>
      <c r="DH172" s="904" t="n"/>
      <c r="DI172" s="904" t="n"/>
      <c r="DJ172" s="904" t="n"/>
      <c r="DK172" s="904" t="n"/>
      <c r="DL172" s="904" t="n"/>
      <c r="DM172" s="904" t="n"/>
      <c r="DN172" s="904" t="n"/>
      <c r="DO172" s="904" t="n"/>
      <c r="DP172" s="904" t="n"/>
      <c r="DQ172" s="904" t="n"/>
      <c r="DR172" s="904" t="n"/>
      <c r="DS172" s="904" t="n"/>
      <c r="DT172" s="904" t="n"/>
      <c r="DU172" s="904" t="n"/>
      <c r="DV172" s="904" t="n"/>
      <c r="DW172" s="904" t="n"/>
      <c r="DX172" s="904" t="n"/>
      <c r="DY172" s="904" t="n"/>
      <c r="DZ172" s="904" t="n"/>
      <c r="EA172" s="904" t="n"/>
      <c r="EB172" s="904" t="n"/>
      <c r="EC172" s="904" t="n"/>
      <c r="ED172" s="904" t="n"/>
      <c r="EE172" s="904" t="n"/>
      <c r="EF172" s="904" t="n"/>
      <c r="EG172" s="904" t="n"/>
      <c r="EH172" s="904" t="n"/>
      <c r="EI172" s="904" t="n"/>
      <c r="EJ172" s="904" t="n"/>
      <c r="EK172" s="904" t="n"/>
      <c r="EL172" s="904" t="n"/>
      <c r="EM172" s="904" t="n"/>
      <c r="EN172" s="904" t="n"/>
      <c r="EO172" s="904" t="n"/>
      <c r="EP172" s="904" t="n"/>
      <c r="EQ172" s="904" t="n"/>
      <c r="ER172" s="904" t="n"/>
      <c r="ES172" s="904" t="n"/>
      <c r="ET172" s="904" t="n"/>
      <c r="EU172" s="904" t="n"/>
      <c r="EV172" s="904" t="n"/>
      <c r="EW172" s="904" t="n"/>
      <c r="EX172" s="904" t="n"/>
      <c r="EY172" s="904" t="n"/>
      <c r="EZ172" s="904" t="n"/>
      <c r="FA172" s="904" t="n"/>
      <c r="FB172" s="904" t="n"/>
      <c r="FC172" s="904" t="n"/>
      <c r="FD172" s="904" t="n"/>
      <c r="FE172" s="904" t="n"/>
      <c r="FF172" s="904" t="n"/>
      <c r="FG172" s="904" t="n"/>
      <c r="FH172" s="904" t="n"/>
      <c r="FI172" s="904" t="n"/>
      <c r="FJ172" s="904" t="n"/>
      <c r="FK172" s="904" t="n"/>
      <c r="FL172" s="904" t="n"/>
      <c r="FM172" s="904" t="n"/>
      <c r="FN172" s="904" t="n"/>
      <c r="FO172" s="904" t="n"/>
      <c r="FP172" s="904" t="n"/>
      <c r="FQ172" s="904" t="n"/>
      <c r="FR172" s="904" t="n"/>
      <c r="FS172" s="904" t="n"/>
      <c r="FT172" s="904" t="n"/>
      <c r="FU172" s="904" t="n"/>
      <c r="FV172" s="904" t="n"/>
      <c r="FW172" s="904" t="n"/>
      <c r="FX172" s="904" t="n"/>
      <c r="FY172" s="904" t="n"/>
      <c r="FZ172" s="904" t="n"/>
      <c r="GA172" s="904" t="n"/>
      <c r="GB172" s="904" t="n"/>
      <c r="GC172" s="904" t="n"/>
      <c r="GD172" s="904" t="n"/>
      <c r="GE172" s="904" t="n"/>
      <c r="GF172" s="904" t="n"/>
      <c r="GG172" s="904" t="n"/>
      <c r="GH172" s="904" t="n"/>
      <c r="GI172" s="904" t="n"/>
      <c r="GJ172" s="904" t="n"/>
      <c r="GK172" s="904" t="n"/>
      <c r="GL172" s="904" t="n"/>
      <c r="GM172" s="904" t="n"/>
      <c r="GN172" s="904" t="n"/>
      <c r="GO172" s="904" t="n"/>
      <c r="GP172" s="904" t="n"/>
      <c r="GQ172" s="904" t="n"/>
      <c r="GR172" s="904" t="n"/>
      <c r="GS172" s="904" t="n"/>
      <c r="GT172" s="904" t="n"/>
      <c r="GU172" s="904" t="n"/>
      <c r="GV172" s="904" t="n"/>
      <c r="GW172" s="904" t="n"/>
      <c r="GX172" s="904" t="n"/>
      <c r="GY172" s="904" t="n"/>
      <c r="GZ172" s="904" t="n"/>
      <c r="HA172" s="904" t="n"/>
      <c r="HB172" s="904" t="n"/>
      <c r="HC172" s="904" t="n"/>
      <c r="HD172" s="904" t="n"/>
      <c r="HE172" s="904" t="n"/>
      <c r="HF172" s="904" t="n"/>
      <c r="HG172" s="904" t="n"/>
      <c r="HH172" s="904" t="n"/>
      <c r="HI172" s="904" t="n"/>
      <c r="HJ172" s="904" t="n"/>
      <c r="HK172" s="904" t="n"/>
      <c r="HL172" s="904" t="n"/>
      <c r="HM172" s="904" t="n"/>
      <c r="HN172" s="904" t="n"/>
      <c r="HO172" s="904" t="n"/>
      <c r="HP172" s="904" t="n"/>
      <c r="HQ172" s="904" t="n"/>
      <c r="HR172" s="904" t="n"/>
      <c r="HS172" s="904" t="n"/>
      <c r="HT172" s="904" t="n"/>
      <c r="HU172" s="904" t="n"/>
      <c r="HV172" s="904" t="n"/>
      <c r="HW172" s="904" t="n"/>
      <c r="HX172" s="904" t="n"/>
      <c r="HY172" s="904" t="n"/>
      <c r="HZ172" s="904" t="n"/>
      <c r="IA172" s="904" t="n"/>
      <c r="IB172" s="904" t="n"/>
      <c r="IC172" s="904" t="n"/>
      <c r="ID172" s="904" t="n"/>
      <c r="IE172" s="904" t="n"/>
      <c r="IF172" s="904" t="n"/>
      <c r="IG172" s="904" t="n"/>
      <c r="IH172" s="904" t="n"/>
      <c r="II172" s="904" t="n"/>
      <c r="IJ172" s="904" t="n"/>
      <c r="IK172" s="904" t="n"/>
      <c r="IL172" s="904" t="n"/>
      <c r="IM172" s="904" t="n"/>
      <c r="IN172" s="904" t="n"/>
      <c r="IO172" s="904" t="n"/>
      <c r="IP172" s="904" t="n"/>
      <c r="IQ172" s="904" t="n"/>
      <c r="IR172" s="904" t="n"/>
      <c r="IS172" s="904" t="n"/>
      <c r="IT172" s="904" t="n"/>
      <c r="IU172" s="904" t="n"/>
      <c r="IV172" s="904" t="n"/>
      <c r="IW172" s="904" t="n"/>
      <c r="IX172" s="904" t="n"/>
      <c r="IY172" s="904" t="n"/>
      <c r="IZ172" s="904" t="n"/>
      <c r="JA172" s="904" t="n"/>
      <c r="JB172" s="904" t="n"/>
      <c r="JC172" s="904" t="n"/>
      <c r="JD172" s="904" t="n"/>
      <c r="JE172" s="904" t="n"/>
      <c r="JF172" s="904" t="n"/>
      <c r="JG172" s="904" t="n"/>
      <c r="JH172" s="904" t="n"/>
      <c r="JI172" s="904" t="n"/>
      <c r="JJ172" s="904" t="n"/>
      <c r="JK172" s="904" t="n"/>
      <c r="JL172" s="904" t="n"/>
      <c r="JM172" s="904" t="n"/>
      <c r="JN172" s="904" t="n"/>
      <c r="JO172" s="904" t="n"/>
      <c r="JP172" s="904" t="n"/>
      <c r="JQ172" s="904" t="n"/>
      <c r="JR172" s="904" t="n"/>
      <c r="JS172" s="904" t="n"/>
      <c r="JT172" s="904" t="n"/>
      <c r="JU172" s="904" t="n"/>
      <c r="JV172" s="904" t="n"/>
      <c r="JW172" s="904" t="n"/>
      <c r="JX172" s="904" t="n"/>
      <c r="JY172" s="904" t="n"/>
      <c r="JZ172" s="904" t="n"/>
      <c r="KA172" s="904" t="n"/>
      <c r="KB172" s="904" t="n"/>
      <c r="KC172" s="904" t="n"/>
      <c r="KD172" s="904" t="n"/>
      <c r="KE172" s="904" t="n"/>
      <c r="KF172" s="904" t="n"/>
      <c r="KG172" s="904" t="n"/>
      <c r="KH172" s="904" t="n"/>
      <c r="KI172" s="904" t="n"/>
      <c r="KJ172" s="904" t="n"/>
      <c r="KK172" s="904" t="n"/>
      <c r="KL172" s="904" t="n"/>
      <c r="KM172" s="904" t="n"/>
      <c r="KN172" s="904" t="n"/>
      <c r="KO172" s="904" t="n"/>
      <c r="KP172" s="870">
        <f>+KP46+KP149</f>
        <v/>
      </c>
      <c r="KQ172" s="870">
        <f>+KQ46+KQ149</f>
        <v/>
      </c>
      <c r="KR172" s="870">
        <f>+KR46+KR149</f>
        <v/>
      </c>
      <c r="KS172" s="870">
        <f>+KS46+KS149</f>
        <v/>
      </c>
      <c r="KT172" s="870">
        <f>+KT46+KT149</f>
        <v/>
      </c>
      <c r="KU172" s="870">
        <f>+KU46+KU149</f>
        <v/>
      </c>
      <c r="KV172" s="870">
        <f>+KV46+KV149</f>
        <v/>
      </c>
      <c r="KW172" s="870">
        <f>+KW46+KW149</f>
        <v/>
      </c>
      <c r="KX172" s="870">
        <f>+KX46+KX149</f>
        <v/>
      </c>
      <c r="KY172" s="870">
        <f>+KY46+KY149</f>
        <v/>
      </c>
      <c r="KZ172" s="870">
        <f>+KZ46+KZ149</f>
        <v/>
      </c>
      <c r="LA172" s="870">
        <f>+LA46+LA149</f>
        <v/>
      </c>
      <c r="LB172" s="870">
        <f>+LB46+LB149</f>
        <v/>
      </c>
      <c r="LC172" s="870">
        <f>+LC46+LC149</f>
        <v/>
      </c>
      <c r="LD172" s="870">
        <f>+LD46+LD149</f>
        <v/>
      </c>
      <c r="LE172" s="870">
        <f>+LE46+LE149</f>
        <v/>
      </c>
      <c r="LF172" s="870">
        <f>+LF46+LF149</f>
        <v/>
      </c>
      <c r="LG172" s="870">
        <f>+LG46+LG149</f>
        <v/>
      </c>
      <c r="LH172" s="870">
        <f>+LH46+LH149</f>
        <v/>
      </c>
      <c r="LI172" s="870">
        <f>+LI46+LI149</f>
        <v/>
      </c>
      <c r="LJ172" s="870">
        <f>+LJ46+LJ149</f>
        <v/>
      </c>
      <c r="LK172" s="870">
        <f>+LK46+LK149</f>
        <v/>
      </c>
      <c r="LL172" s="870">
        <f>+LL46+LL149</f>
        <v/>
      </c>
      <c r="LM172" s="870">
        <f>+LM46+LM149</f>
        <v/>
      </c>
      <c r="LN172" s="870">
        <f>+LN46+LN149</f>
        <v/>
      </c>
      <c r="LO172" s="870">
        <f>+LO46+LO149</f>
        <v/>
      </c>
      <c r="LP172" s="870">
        <f>+LP46+LP149</f>
        <v/>
      </c>
      <c r="LQ172" s="870">
        <f>+LQ46+LQ149</f>
        <v/>
      </c>
      <c r="LR172" s="870">
        <f>+LR46+LR149</f>
        <v/>
      </c>
      <c r="LS172" s="870">
        <f>+LS46+LS149</f>
        <v/>
      </c>
      <c r="LU172" s="1345" t="n"/>
    </row>
    <row r="173">
      <c r="A173" s="885" t="inlineStr">
        <is>
          <t>m cg %</t>
        </is>
      </c>
      <c r="B173" s="904" t="n"/>
      <c r="C173" s="904" t="n"/>
      <c r="D173" s="904" t="n"/>
      <c r="E173" s="904" t="n"/>
      <c r="F173" s="904" t="n"/>
      <c r="G173" s="904" t="n"/>
      <c r="H173" s="904" t="n"/>
      <c r="I173" s="904" t="n"/>
      <c r="J173" s="904" t="n"/>
      <c r="K173" s="904" t="n"/>
      <c r="L173" s="904" t="n"/>
      <c r="M173" s="904" t="n"/>
      <c r="N173" s="904" t="n"/>
      <c r="O173" s="904" t="n"/>
      <c r="P173" s="904" t="n"/>
      <c r="Q173" s="904" t="n"/>
      <c r="R173" s="904" t="n"/>
      <c r="S173" s="904" t="n"/>
      <c r="T173" s="904" t="n"/>
      <c r="U173" s="904" t="n"/>
      <c r="V173" s="904" t="n"/>
      <c r="W173" s="904" t="n"/>
      <c r="X173" s="904" t="n"/>
      <c r="Y173" s="904" t="n"/>
      <c r="Z173" s="904" t="n"/>
      <c r="AA173" s="904" t="n"/>
      <c r="AB173" s="904" t="n"/>
      <c r="AC173" s="904" t="n"/>
      <c r="AD173" s="904" t="n"/>
      <c r="AE173" s="904" t="n"/>
      <c r="AF173" s="904" t="n"/>
      <c r="AG173" s="904" t="n"/>
      <c r="AH173" s="904" t="n"/>
      <c r="AI173" s="904" t="n"/>
      <c r="AJ173" s="904" t="n"/>
      <c r="AK173" s="904" t="n"/>
      <c r="AL173" s="904" t="n"/>
      <c r="AM173" s="904" t="n"/>
      <c r="AN173" s="904" t="n"/>
      <c r="AO173" s="904" t="n"/>
      <c r="AP173" s="904" t="n"/>
      <c r="AQ173" s="904" t="n"/>
      <c r="AR173" s="904" t="n"/>
      <c r="AS173" s="904" t="n"/>
      <c r="AT173" s="904" t="n"/>
      <c r="AU173" s="904" t="n"/>
      <c r="AV173" s="904" t="n"/>
      <c r="AW173" s="904" t="n"/>
      <c r="AX173" s="904" t="n"/>
      <c r="AY173" s="904" t="n"/>
      <c r="AZ173" s="904" t="n"/>
      <c r="BA173" s="904" t="n"/>
      <c r="BB173" s="904" t="n"/>
      <c r="BC173" s="904" t="n"/>
      <c r="BD173" s="904" t="n"/>
      <c r="BE173" s="904" t="n"/>
      <c r="BF173" s="904" t="n"/>
      <c r="BG173" s="904" t="n"/>
      <c r="BH173" s="904" t="n"/>
      <c r="BI173" s="904" t="n"/>
      <c r="BJ173" s="904" t="n"/>
      <c r="BK173" s="904" t="n"/>
      <c r="BL173" s="904" t="n"/>
      <c r="BM173" s="904" t="n"/>
      <c r="BN173" s="904" t="n"/>
      <c r="BO173" s="904" t="n"/>
      <c r="BP173" s="904" t="n"/>
      <c r="BQ173" s="904" t="n"/>
      <c r="BR173" s="904" t="n"/>
      <c r="BS173" s="904" t="n"/>
      <c r="BT173" s="904" t="n"/>
      <c r="BU173" s="904" t="n"/>
      <c r="BV173" s="904" t="n"/>
      <c r="BW173" s="904" t="n"/>
      <c r="BX173" s="904" t="n"/>
      <c r="BY173" s="904" t="n"/>
      <c r="BZ173" s="904" t="n"/>
      <c r="CA173" s="904" t="n"/>
      <c r="CB173" s="904" t="n"/>
      <c r="CC173" s="904" t="n"/>
      <c r="CD173" s="904" t="n"/>
      <c r="CE173" s="904" t="n"/>
      <c r="CF173" s="904" t="n"/>
      <c r="CG173" s="904" t="n"/>
      <c r="CH173" s="904" t="n"/>
      <c r="CI173" s="904" t="n"/>
      <c r="CJ173" s="904" t="n"/>
      <c r="CK173" s="904" t="n"/>
      <c r="CL173" s="904" t="n"/>
      <c r="CM173" s="904" t="n"/>
      <c r="CN173" s="904" t="n"/>
      <c r="CO173" s="904" t="n"/>
      <c r="CP173" s="904" t="n"/>
      <c r="CQ173" s="904" t="n"/>
      <c r="CR173" s="904" t="n"/>
      <c r="CS173" s="904" t="n"/>
      <c r="CT173" s="904" t="n"/>
      <c r="CU173" s="904" t="n"/>
      <c r="CV173" s="904" t="n"/>
      <c r="CW173" s="904" t="n"/>
      <c r="CX173" s="904" t="n"/>
      <c r="CY173" s="904" t="n"/>
      <c r="CZ173" s="904" t="n"/>
      <c r="DA173" s="904" t="n"/>
      <c r="DB173" s="904" t="n"/>
      <c r="DC173" s="904" t="n"/>
      <c r="DD173" s="904" t="n"/>
      <c r="DE173" s="904" t="n"/>
      <c r="DF173" s="904" t="n"/>
      <c r="DG173" s="904" t="n"/>
      <c r="DH173" s="904" t="n"/>
      <c r="DI173" s="904" t="n"/>
      <c r="DJ173" s="904" t="n"/>
      <c r="DK173" s="904" t="n"/>
      <c r="DL173" s="904" t="n"/>
      <c r="DM173" s="904" t="n"/>
      <c r="DN173" s="904" t="n"/>
      <c r="DO173" s="904" t="n"/>
      <c r="DP173" s="904" t="n"/>
      <c r="DQ173" s="904" t="n"/>
      <c r="DR173" s="904" t="n"/>
      <c r="DS173" s="904" t="n"/>
      <c r="DT173" s="904" t="n"/>
      <c r="DU173" s="904" t="n"/>
      <c r="DV173" s="904" t="n"/>
      <c r="DW173" s="904" t="n"/>
      <c r="DX173" s="904" t="n"/>
      <c r="DY173" s="904" t="n"/>
      <c r="DZ173" s="904" t="n"/>
      <c r="EA173" s="904" t="n"/>
      <c r="EB173" s="904" t="n"/>
      <c r="EC173" s="904" t="n"/>
      <c r="ED173" s="904" t="n"/>
      <c r="EE173" s="904" t="n"/>
      <c r="EF173" s="904" t="n"/>
      <c r="EG173" s="904" t="n"/>
      <c r="EH173" s="904" t="n"/>
      <c r="EI173" s="904" t="n"/>
      <c r="EJ173" s="904" t="n"/>
      <c r="EK173" s="904" t="n"/>
      <c r="EL173" s="904" t="n"/>
      <c r="EM173" s="904" t="n"/>
      <c r="EN173" s="904" t="n"/>
      <c r="EO173" s="904" t="n"/>
      <c r="EP173" s="904" t="n"/>
      <c r="EQ173" s="904" t="n"/>
      <c r="ER173" s="904" t="n"/>
      <c r="ES173" s="904" t="n"/>
      <c r="ET173" s="904" t="n"/>
      <c r="EU173" s="904" t="n"/>
      <c r="EV173" s="904" t="n"/>
      <c r="EW173" s="904" t="n"/>
      <c r="EX173" s="904" t="n"/>
      <c r="EY173" s="904" t="n"/>
      <c r="EZ173" s="904" t="n"/>
      <c r="FA173" s="904" t="n"/>
      <c r="FB173" s="904" t="n"/>
      <c r="FC173" s="904" t="n"/>
      <c r="FD173" s="904" t="n"/>
      <c r="FE173" s="904" t="n"/>
      <c r="FF173" s="904" t="n"/>
      <c r="FG173" s="904" t="n"/>
      <c r="FH173" s="904" t="n"/>
      <c r="FI173" s="904" t="n"/>
      <c r="FJ173" s="904" t="n"/>
      <c r="FK173" s="904" t="n"/>
      <c r="FL173" s="904" t="n"/>
      <c r="FM173" s="904" t="n"/>
      <c r="FN173" s="904" t="n"/>
      <c r="FO173" s="904" t="n"/>
      <c r="FP173" s="904" t="n"/>
      <c r="FQ173" s="904" t="n"/>
      <c r="FR173" s="904" t="n"/>
      <c r="FS173" s="904" t="n"/>
      <c r="FT173" s="904" t="n"/>
      <c r="FU173" s="904" t="n"/>
      <c r="FV173" s="904" t="n"/>
      <c r="FW173" s="904" t="n"/>
      <c r="FX173" s="904" t="n"/>
      <c r="FY173" s="904" t="n"/>
      <c r="FZ173" s="904" t="n"/>
      <c r="GA173" s="904" t="n"/>
      <c r="GB173" s="904" t="n"/>
      <c r="GC173" s="904" t="n"/>
      <c r="GD173" s="904" t="n"/>
      <c r="GE173" s="904" t="n"/>
      <c r="GF173" s="904" t="n"/>
      <c r="GG173" s="904" t="n"/>
      <c r="GH173" s="904" t="n"/>
      <c r="GI173" s="904" t="n"/>
      <c r="GJ173" s="904" t="n"/>
      <c r="GK173" s="904" t="n"/>
      <c r="GL173" s="904" t="n"/>
      <c r="GM173" s="904" t="n"/>
      <c r="GN173" s="904" t="n"/>
      <c r="GO173" s="904" t="n"/>
      <c r="GP173" s="904" t="n"/>
      <c r="GQ173" s="904" t="n"/>
      <c r="GR173" s="904" t="n"/>
      <c r="GS173" s="904" t="n"/>
      <c r="GT173" s="904" t="n"/>
      <c r="GU173" s="904" t="n"/>
      <c r="GV173" s="904" t="n"/>
      <c r="GW173" s="904" t="n"/>
      <c r="GX173" s="904" t="n"/>
      <c r="GY173" s="904" t="n"/>
      <c r="GZ173" s="904" t="n"/>
      <c r="HA173" s="904" t="n"/>
      <c r="HB173" s="904" t="n"/>
      <c r="HC173" s="904" t="n"/>
      <c r="HD173" s="904" t="n"/>
      <c r="HE173" s="904" t="n"/>
      <c r="HF173" s="904" t="n"/>
      <c r="HG173" s="904" t="n"/>
      <c r="HH173" s="904" t="n"/>
      <c r="HI173" s="904" t="n"/>
      <c r="HJ173" s="904" t="n"/>
      <c r="HK173" s="904" t="n"/>
      <c r="HL173" s="904" t="n"/>
      <c r="HM173" s="904" t="n"/>
      <c r="HN173" s="904" t="n"/>
      <c r="HO173" s="904" t="n"/>
      <c r="HP173" s="904" t="n"/>
      <c r="HQ173" s="904" t="n"/>
      <c r="HR173" s="904" t="n"/>
      <c r="HS173" s="904" t="n"/>
      <c r="HT173" s="904" t="n"/>
      <c r="HU173" s="904" t="n"/>
      <c r="HV173" s="904" t="n"/>
      <c r="HW173" s="904" t="n"/>
      <c r="HX173" s="904" t="n"/>
      <c r="HY173" s="904" t="n"/>
      <c r="HZ173" s="904" t="n"/>
      <c r="IA173" s="904" t="n"/>
      <c r="IB173" s="904" t="n"/>
      <c r="IC173" s="904" t="n"/>
      <c r="ID173" s="904" t="n"/>
      <c r="IE173" s="904" t="n"/>
      <c r="IF173" s="904" t="n"/>
      <c r="IG173" s="904" t="n"/>
      <c r="IH173" s="904" t="n"/>
      <c r="II173" s="904" t="n"/>
      <c r="IJ173" s="904" t="n"/>
      <c r="IK173" s="904" t="n"/>
      <c r="IL173" s="904" t="n"/>
      <c r="IM173" s="904" t="n"/>
      <c r="IN173" s="904" t="n"/>
      <c r="IO173" s="904" t="n"/>
      <c r="IP173" s="904" t="n"/>
      <c r="IQ173" s="904" t="n"/>
      <c r="IR173" s="904" t="n"/>
      <c r="IS173" s="904" t="n"/>
      <c r="IT173" s="904" t="n"/>
      <c r="IU173" s="904" t="n"/>
      <c r="IV173" s="904" t="n"/>
      <c r="IW173" s="904" t="n"/>
      <c r="IX173" s="904" t="n"/>
      <c r="IY173" s="904" t="n"/>
      <c r="IZ173" s="904" t="n"/>
      <c r="JA173" s="904" t="n"/>
      <c r="JB173" s="904" t="n"/>
      <c r="JC173" s="904" t="n"/>
      <c r="JD173" s="904" t="n"/>
      <c r="JE173" s="904" t="n"/>
      <c r="JF173" s="904" t="n"/>
      <c r="JG173" s="904" t="n"/>
      <c r="JH173" s="904" t="n"/>
      <c r="JI173" s="904" t="n"/>
      <c r="JJ173" s="904" t="n"/>
      <c r="JK173" s="904" t="n"/>
      <c r="JL173" s="904" t="n"/>
      <c r="JM173" s="904" t="n"/>
      <c r="JN173" s="904" t="n"/>
      <c r="JO173" s="904" t="n"/>
      <c r="JP173" s="904" t="n"/>
      <c r="JQ173" s="904" t="n"/>
      <c r="JR173" s="904" t="n"/>
      <c r="JS173" s="904" t="n"/>
      <c r="JT173" s="904" t="n"/>
      <c r="JU173" s="904" t="n"/>
      <c r="JV173" s="904" t="n"/>
      <c r="JW173" s="904" t="n"/>
      <c r="JX173" s="904" t="n"/>
      <c r="JY173" s="904" t="n"/>
      <c r="JZ173" s="904" t="n"/>
      <c r="KA173" s="904" t="n"/>
      <c r="KB173" s="904" t="n"/>
      <c r="KC173" s="904" t="n"/>
      <c r="KD173" s="904" t="n"/>
      <c r="KE173" s="904" t="n"/>
      <c r="KF173" s="904" t="n"/>
      <c r="KG173" s="904" t="n"/>
      <c r="KH173" s="904" t="n"/>
      <c r="KI173" s="904" t="n"/>
      <c r="KJ173" s="904" t="n"/>
      <c r="KK173" s="904" t="n"/>
      <c r="KL173" s="904" t="n"/>
      <c r="KM173" s="904" t="n"/>
      <c r="KN173" s="904" t="n"/>
      <c r="KO173" s="904" t="n"/>
      <c r="KP173" s="904" t="n"/>
      <c r="KQ173" s="1318">
        <f>KQ172/KP172-1</f>
        <v/>
      </c>
      <c r="KR173" s="1318">
        <f>KR172/KQ172-1</f>
        <v/>
      </c>
      <c r="KS173" s="1318">
        <f>KS172/KR172-1</f>
        <v/>
      </c>
      <c r="KT173" s="1318">
        <f>KT172/KS172-1</f>
        <v/>
      </c>
      <c r="KU173" s="1318">
        <f>KU172/KT172-1</f>
        <v/>
      </c>
      <c r="KV173" s="1318">
        <f>KV172/KU172-1</f>
        <v/>
      </c>
      <c r="KW173" s="1318">
        <f>KW172/KV172-1</f>
        <v/>
      </c>
      <c r="KX173" s="1318">
        <f>KX172/KW172-1</f>
        <v/>
      </c>
      <c r="KY173" s="1318">
        <f>KY172/KX172-1</f>
        <v/>
      </c>
      <c r="KZ173" s="1318">
        <f>KZ172/KY172-1</f>
        <v/>
      </c>
      <c r="LA173" s="1318">
        <f>LA172/KZ172-1</f>
        <v/>
      </c>
      <c r="LB173" s="1318">
        <f>LB172/LA172-1</f>
        <v/>
      </c>
      <c r="LC173" s="1318">
        <f>LC172/LB172-1</f>
        <v/>
      </c>
      <c r="LD173" s="1318">
        <f>LD172/LC172-1</f>
        <v/>
      </c>
      <c r="LE173" s="1318">
        <f>LE172/LD172-1</f>
        <v/>
      </c>
      <c r="LF173" s="1318">
        <f>LF172/LE172-1</f>
        <v/>
      </c>
      <c r="LG173" s="1318">
        <f>LG172/LF172-1</f>
        <v/>
      </c>
      <c r="LH173" s="1318">
        <f>LH172/LG172-1</f>
        <v/>
      </c>
      <c r="LI173" s="1318">
        <f>LI172/LH172-1</f>
        <v/>
      </c>
      <c r="LJ173" s="1318">
        <f>LJ172/LI172-1</f>
        <v/>
      </c>
      <c r="LK173" s="1318">
        <f>LK172/LJ172-1</f>
        <v/>
      </c>
      <c r="LL173" s="1318">
        <f>LL172/LK172-1</f>
        <v/>
      </c>
      <c r="LM173" s="1318">
        <f>LM172/LL172-1</f>
        <v/>
      </c>
      <c r="LN173" s="1318">
        <f>LN172/LM172-1</f>
        <v/>
      </c>
      <c r="LO173" s="1318">
        <f>LO172/LN172-1</f>
        <v/>
      </c>
      <c r="LP173" s="1318">
        <f>LP172/LO172-1</f>
        <v/>
      </c>
      <c r="LQ173" s="1318">
        <f>LQ172/LP172-1</f>
        <v/>
      </c>
      <c r="LR173" s="1318">
        <f>LR172/LQ172-1</f>
        <v/>
      </c>
      <c r="LS173" s="1318">
        <f>LS172/LR172-1</f>
        <v/>
      </c>
    </row>
    <row r="174">
      <c r="A174" s="885" t="inlineStr">
        <is>
          <t>YoY cg %</t>
        </is>
      </c>
      <c r="B174" s="904" t="n"/>
      <c r="C174" s="904" t="n"/>
      <c r="D174" s="904" t="n"/>
      <c r="E174" s="904" t="n"/>
      <c r="F174" s="904" t="n"/>
      <c r="G174" s="904" t="n"/>
      <c r="H174" s="904" t="n"/>
      <c r="I174" s="904" t="n"/>
      <c r="J174" s="904" t="n"/>
      <c r="K174" s="904" t="n"/>
      <c r="L174" s="904" t="n"/>
      <c r="M174" s="904" t="n"/>
      <c r="N174" s="904" t="n"/>
      <c r="O174" s="904" t="n"/>
      <c r="P174" s="904" t="n"/>
      <c r="Q174" s="904" t="n"/>
      <c r="R174" s="904" t="n"/>
      <c r="S174" s="904" t="n"/>
      <c r="T174" s="904" t="n"/>
      <c r="U174" s="904" t="n"/>
      <c r="V174" s="904" t="n"/>
      <c r="W174" s="904" t="n"/>
      <c r="X174" s="904" t="n"/>
      <c r="Y174" s="904" t="n"/>
      <c r="Z174" s="904" t="n"/>
      <c r="AA174" s="904" t="n"/>
      <c r="AB174" s="904" t="n"/>
      <c r="AC174" s="904" t="n"/>
      <c r="AD174" s="904" t="n"/>
      <c r="AE174" s="904" t="n"/>
      <c r="AF174" s="904" t="n"/>
      <c r="AG174" s="904" t="n"/>
      <c r="AH174" s="904" t="n"/>
      <c r="AI174" s="904" t="n"/>
      <c r="AJ174" s="904" t="n"/>
      <c r="AK174" s="904" t="n"/>
      <c r="AL174" s="904" t="n"/>
      <c r="AM174" s="904" t="n"/>
      <c r="AN174" s="904" t="n"/>
      <c r="AO174" s="904" t="n"/>
      <c r="AP174" s="904" t="n"/>
      <c r="AQ174" s="904" t="n"/>
      <c r="AR174" s="904" t="n"/>
      <c r="AS174" s="904" t="n"/>
      <c r="AT174" s="904" t="n"/>
      <c r="AU174" s="904" t="n"/>
      <c r="AV174" s="904" t="n"/>
      <c r="AW174" s="904" t="n"/>
      <c r="AX174" s="904" t="n"/>
      <c r="AY174" s="904" t="n"/>
      <c r="AZ174" s="904" t="n"/>
      <c r="BA174" s="904" t="n"/>
      <c r="BB174" s="904" t="n"/>
      <c r="BC174" s="904" t="n"/>
      <c r="BD174" s="904" t="n"/>
      <c r="BE174" s="904" t="n"/>
      <c r="BF174" s="904" t="n"/>
      <c r="BG174" s="904" t="n"/>
      <c r="BH174" s="904" t="n"/>
      <c r="BI174" s="904" t="n"/>
      <c r="BJ174" s="904" t="n"/>
      <c r="BK174" s="904" t="n"/>
      <c r="BL174" s="904" t="n"/>
      <c r="BM174" s="904" t="n"/>
      <c r="BN174" s="904" t="n"/>
      <c r="BO174" s="904" t="n"/>
      <c r="BP174" s="904" t="n"/>
      <c r="BQ174" s="904" t="n"/>
      <c r="BR174" s="904" t="n"/>
      <c r="BS174" s="904" t="n"/>
      <c r="BT174" s="904" t="n"/>
      <c r="BU174" s="904" t="n"/>
      <c r="BV174" s="904" t="n"/>
      <c r="BW174" s="904" t="n"/>
      <c r="BX174" s="904" t="n"/>
      <c r="BY174" s="904" t="n"/>
      <c r="BZ174" s="904" t="n"/>
      <c r="CA174" s="904" t="n"/>
      <c r="CB174" s="904" t="n"/>
      <c r="CC174" s="904" t="n"/>
      <c r="CD174" s="904" t="n"/>
      <c r="CE174" s="904" t="n"/>
      <c r="CF174" s="904" t="n"/>
      <c r="CG174" s="904" t="n"/>
      <c r="CH174" s="904" t="n"/>
      <c r="CI174" s="904" t="n"/>
      <c r="CJ174" s="904" t="n"/>
      <c r="CK174" s="904" t="n"/>
      <c r="CL174" s="904" t="n"/>
      <c r="CM174" s="904" t="n"/>
      <c r="CN174" s="904" t="n"/>
      <c r="CO174" s="904" t="n"/>
      <c r="CP174" s="904" t="n"/>
      <c r="CQ174" s="904" t="n"/>
      <c r="CR174" s="904" t="n"/>
      <c r="CS174" s="904" t="n"/>
      <c r="CT174" s="904" t="n"/>
      <c r="CU174" s="904" t="n"/>
      <c r="CV174" s="904" t="n"/>
      <c r="CW174" s="904" t="n"/>
      <c r="CX174" s="904" t="n"/>
      <c r="CY174" s="904" t="n"/>
      <c r="CZ174" s="904" t="n"/>
      <c r="DA174" s="904" t="n"/>
      <c r="DB174" s="904" t="n"/>
      <c r="DC174" s="904" t="n"/>
      <c r="DD174" s="904" t="n"/>
      <c r="DE174" s="904" t="n"/>
      <c r="DF174" s="904" t="n"/>
      <c r="DG174" s="904" t="n"/>
      <c r="DH174" s="904" t="n"/>
      <c r="DI174" s="904" t="n"/>
      <c r="DJ174" s="904" t="n"/>
      <c r="DK174" s="904" t="n"/>
      <c r="DL174" s="904" t="n"/>
      <c r="DM174" s="904" t="n"/>
      <c r="DN174" s="904" t="n"/>
      <c r="DO174" s="904" t="n"/>
      <c r="DP174" s="904" t="n"/>
      <c r="DQ174" s="904" t="n"/>
      <c r="DR174" s="904" t="n"/>
      <c r="DS174" s="904" t="n"/>
      <c r="DT174" s="904" t="n"/>
      <c r="DU174" s="904" t="n"/>
      <c r="DV174" s="904" t="n"/>
      <c r="DW174" s="904" t="n"/>
      <c r="DX174" s="904" t="n"/>
      <c r="DY174" s="904" t="n"/>
      <c r="DZ174" s="904" t="n"/>
      <c r="EA174" s="904" t="n"/>
      <c r="EB174" s="904" t="n"/>
      <c r="EC174" s="904" t="n"/>
      <c r="ED174" s="904" t="n"/>
      <c r="EE174" s="904" t="n"/>
      <c r="EF174" s="904" t="n"/>
      <c r="EG174" s="904" t="n"/>
      <c r="EH174" s="904" t="n"/>
      <c r="EI174" s="904" t="n"/>
      <c r="EJ174" s="904" t="n"/>
      <c r="EK174" s="904" t="n"/>
      <c r="EL174" s="904" t="n"/>
      <c r="EM174" s="904" t="n"/>
      <c r="EN174" s="904" t="n"/>
      <c r="EO174" s="904" t="n"/>
      <c r="EP174" s="904" t="n"/>
      <c r="EQ174" s="904" t="n"/>
      <c r="ER174" s="904" t="n"/>
      <c r="ES174" s="904" t="n"/>
      <c r="ET174" s="904" t="n"/>
      <c r="EU174" s="904" t="n"/>
      <c r="EV174" s="904" t="n"/>
      <c r="EW174" s="904" t="n"/>
      <c r="EX174" s="904" t="n"/>
      <c r="EY174" s="904" t="n"/>
      <c r="EZ174" s="904" t="n"/>
      <c r="FA174" s="904" t="n"/>
      <c r="FB174" s="904" t="n"/>
      <c r="FC174" s="904" t="n"/>
      <c r="FD174" s="904" t="n"/>
      <c r="FE174" s="904" t="n"/>
      <c r="FF174" s="904" t="n"/>
      <c r="FG174" s="904" t="n"/>
      <c r="FH174" s="904" t="n"/>
      <c r="FI174" s="904" t="n"/>
      <c r="FJ174" s="904" t="n"/>
      <c r="FK174" s="904" t="n"/>
      <c r="FL174" s="904" t="n"/>
      <c r="FM174" s="904" t="n"/>
      <c r="FN174" s="904" t="n"/>
      <c r="FO174" s="904" t="n"/>
      <c r="FP174" s="904" t="n"/>
      <c r="FQ174" s="904" t="n"/>
      <c r="FR174" s="904" t="n"/>
      <c r="FS174" s="904" t="n"/>
      <c r="FT174" s="904" t="n"/>
      <c r="FU174" s="904" t="n"/>
      <c r="FV174" s="904" t="n"/>
      <c r="FW174" s="904" t="n"/>
      <c r="FX174" s="904" t="n"/>
      <c r="FY174" s="904" t="n"/>
      <c r="FZ174" s="904" t="n"/>
      <c r="GA174" s="904" t="n"/>
      <c r="GB174" s="904" t="n"/>
      <c r="GC174" s="904" t="n"/>
      <c r="GD174" s="904" t="n"/>
      <c r="GE174" s="904" t="n"/>
      <c r="GF174" s="904" t="n"/>
      <c r="GG174" s="904" t="n"/>
      <c r="GH174" s="904" t="n"/>
      <c r="GI174" s="904" t="n"/>
      <c r="GJ174" s="904" t="n"/>
      <c r="GK174" s="904" t="n"/>
      <c r="GL174" s="904" t="n"/>
      <c r="GM174" s="904" t="n"/>
      <c r="GN174" s="904" t="n"/>
      <c r="GO174" s="904" t="n"/>
      <c r="GP174" s="904" t="n"/>
      <c r="GQ174" s="904" t="n"/>
      <c r="GR174" s="904" t="n"/>
      <c r="GS174" s="904" t="n"/>
      <c r="GT174" s="904" t="n"/>
      <c r="GU174" s="904" t="n"/>
      <c r="GV174" s="904" t="n"/>
      <c r="GW174" s="904" t="n"/>
      <c r="GX174" s="904" t="n"/>
      <c r="GY174" s="904" t="n"/>
      <c r="GZ174" s="904" t="n"/>
      <c r="HA174" s="904" t="n"/>
      <c r="HB174" s="904" t="n"/>
      <c r="HC174" s="904" t="n"/>
      <c r="HD174" s="904" t="n"/>
      <c r="HE174" s="904" t="n"/>
      <c r="HF174" s="904" t="n"/>
      <c r="HG174" s="904" t="n"/>
      <c r="HH174" s="904" t="n"/>
      <c r="HI174" s="904" t="n"/>
      <c r="HJ174" s="904" t="n"/>
      <c r="HK174" s="904" t="n"/>
      <c r="HL174" s="904" t="n"/>
      <c r="HM174" s="904" t="n"/>
      <c r="HN174" s="904" t="n"/>
      <c r="HO174" s="904" t="n"/>
      <c r="HP174" s="904" t="n"/>
      <c r="HQ174" s="904" t="n"/>
      <c r="HR174" s="904" t="n"/>
      <c r="HS174" s="904" t="n"/>
      <c r="HT174" s="904" t="n"/>
      <c r="HU174" s="904" t="n"/>
      <c r="HV174" s="904" t="n"/>
      <c r="HW174" s="904" t="n"/>
      <c r="HX174" s="904" t="n"/>
      <c r="HY174" s="904" t="n"/>
      <c r="HZ174" s="904" t="n"/>
      <c r="IA174" s="904" t="n"/>
      <c r="IB174" s="904" t="n"/>
      <c r="IC174" s="904" t="n"/>
      <c r="ID174" s="904" t="n"/>
      <c r="IE174" s="904" t="n"/>
      <c r="IF174" s="904" t="n"/>
      <c r="IG174" s="904" t="n"/>
      <c r="IH174" s="904" t="n"/>
      <c r="II174" s="904" t="n"/>
      <c r="IJ174" s="904" t="n"/>
      <c r="IK174" s="904" t="n"/>
      <c r="IL174" s="904" t="n"/>
      <c r="IM174" s="904" t="n"/>
      <c r="IN174" s="904" t="n"/>
      <c r="IO174" s="904" t="n"/>
      <c r="IP174" s="904" t="n"/>
      <c r="IQ174" s="904" t="n"/>
      <c r="IR174" s="904" t="n"/>
      <c r="IS174" s="904" t="n"/>
      <c r="IT174" s="904" t="n"/>
      <c r="IU174" s="904" t="n"/>
      <c r="IV174" s="904" t="n"/>
      <c r="IW174" s="904" t="n"/>
      <c r="IX174" s="904" t="n"/>
      <c r="IY174" s="904" t="n"/>
      <c r="IZ174" s="904" t="n"/>
      <c r="JA174" s="904" t="n"/>
      <c r="JB174" s="904" t="n"/>
      <c r="JC174" s="904" t="n"/>
      <c r="JD174" s="904" t="n"/>
      <c r="JE174" s="904" t="n"/>
      <c r="JF174" s="904" t="n"/>
      <c r="JG174" s="904" t="n"/>
      <c r="JH174" s="904" t="n"/>
      <c r="JI174" s="904" t="n"/>
      <c r="JJ174" s="904" t="n"/>
      <c r="JK174" s="904" t="n"/>
      <c r="JL174" s="904" t="n"/>
      <c r="JM174" s="904" t="n"/>
      <c r="JN174" s="904" t="n"/>
      <c r="JO174" s="904" t="n"/>
      <c r="JP174" s="904" t="n"/>
      <c r="JQ174" s="904" t="n"/>
      <c r="JR174" s="904" t="n"/>
      <c r="JS174" s="904" t="n"/>
      <c r="JT174" s="904" t="n"/>
      <c r="JU174" s="904" t="n"/>
      <c r="JV174" s="904" t="n"/>
      <c r="JW174" s="904" t="n"/>
      <c r="JX174" s="904" t="n"/>
      <c r="JY174" s="904" t="n"/>
      <c r="JZ174" s="904" t="n"/>
      <c r="KA174" s="904" t="n"/>
      <c r="KB174" s="904" t="n"/>
      <c r="KC174" s="904" t="n"/>
      <c r="KD174" s="904" t="n"/>
      <c r="KE174" s="904" t="n"/>
      <c r="KF174" s="904" t="n"/>
      <c r="KG174" s="904" t="n"/>
      <c r="KH174" s="904" t="n"/>
      <c r="KI174" s="904" t="n"/>
      <c r="KJ174" s="904" t="n"/>
      <c r="KK174" s="904" t="n"/>
      <c r="KL174" s="904" t="n"/>
      <c r="KM174" s="904" t="n"/>
      <c r="KN174" s="904" t="n"/>
      <c r="KO174" s="904" t="n"/>
      <c r="KP174" s="904" t="n"/>
      <c r="KQ174" s="904" t="n"/>
      <c r="KR174" s="904" t="n"/>
      <c r="KS174" s="904" t="n"/>
      <c r="KT174" s="904" t="n"/>
      <c r="KU174" s="904" t="n"/>
      <c r="KV174" s="904" t="n"/>
      <c r="KW174" s="904" t="n"/>
      <c r="KX174" s="904" t="n"/>
      <c r="KY174" s="904" t="n"/>
      <c r="KZ174" s="904" t="n"/>
      <c r="LA174" s="904" t="n"/>
      <c r="LB174" s="904" t="n"/>
      <c r="LC174" s="1318">
        <f>LC172/KQ172-1</f>
        <v/>
      </c>
      <c r="LD174" s="1318">
        <f>LD172/KR172-1</f>
        <v/>
      </c>
      <c r="LE174" s="1318">
        <f>LE172/KS172-1</f>
        <v/>
      </c>
      <c r="LF174" s="1318">
        <f>LF172/KT172-1</f>
        <v/>
      </c>
      <c r="LG174" s="1318">
        <f>LG172/KU172-1</f>
        <v/>
      </c>
      <c r="LH174" s="1318">
        <f>LH172/KV172-1</f>
        <v/>
      </c>
      <c r="LI174" s="1318">
        <f>LI172/KW172-1</f>
        <v/>
      </c>
      <c r="LJ174" s="1318">
        <f>LJ172/KX172-1</f>
        <v/>
      </c>
      <c r="LK174" s="1318">
        <f>LK172/KY172-1</f>
        <v/>
      </c>
      <c r="LL174" s="1318">
        <f>LL172/KZ172-1</f>
        <v/>
      </c>
      <c r="LM174" s="1318">
        <f>LM172/LA172-1</f>
        <v/>
      </c>
      <c r="LN174" s="1318">
        <f>LN172/LB172-1</f>
        <v/>
      </c>
      <c r="LO174" s="1318">
        <f>LO172/LC172-1</f>
        <v/>
      </c>
      <c r="LP174" s="1318">
        <f>LP172/LD172-1</f>
        <v/>
      </c>
      <c r="LQ174" s="1318">
        <f>LQ172/LE172-1</f>
        <v/>
      </c>
      <c r="LR174" s="1318">
        <f>LR172/LF172-1</f>
        <v/>
      </c>
      <c r="LS174" s="1318">
        <f>LS172/LG172-1</f>
        <v/>
      </c>
    </row>
    <row r="175">
      <c r="A175" s="885" t="inlineStr">
        <is>
          <t>YTD cg %</t>
        </is>
      </c>
      <c r="B175" s="904" t="n"/>
      <c r="C175" s="904" t="n"/>
      <c r="D175" s="904" t="n"/>
      <c r="E175" s="904" t="n"/>
      <c r="F175" s="904" t="n"/>
      <c r="G175" s="904" t="n"/>
      <c r="H175" s="904" t="n"/>
      <c r="I175" s="904" t="n"/>
      <c r="J175" s="904" t="n"/>
      <c r="K175" s="904" t="n"/>
      <c r="L175" s="904" t="n"/>
      <c r="M175" s="904" t="n"/>
      <c r="N175" s="904" t="n"/>
      <c r="O175" s="904" t="n"/>
      <c r="P175" s="904" t="n"/>
      <c r="Q175" s="904" t="n"/>
      <c r="R175" s="904" t="n"/>
      <c r="S175" s="904" t="n"/>
      <c r="T175" s="904" t="n"/>
      <c r="U175" s="904" t="n"/>
      <c r="V175" s="904" t="n"/>
      <c r="W175" s="904" t="n"/>
      <c r="X175" s="904" t="n"/>
      <c r="Y175" s="904" t="n"/>
      <c r="Z175" s="904" t="n"/>
      <c r="AA175" s="904" t="n"/>
      <c r="AB175" s="904" t="n"/>
      <c r="AC175" s="904" t="n"/>
      <c r="AD175" s="904" t="n"/>
      <c r="AE175" s="904" t="n"/>
      <c r="AF175" s="904" t="n"/>
      <c r="AG175" s="904" t="n"/>
      <c r="AH175" s="904" t="n"/>
      <c r="AI175" s="904" t="n"/>
      <c r="AJ175" s="904" t="n"/>
      <c r="AK175" s="904" t="n"/>
      <c r="AL175" s="904" t="n"/>
      <c r="AM175" s="904" t="n"/>
      <c r="AN175" s="904" t="n"/>
      <c r="AO175" s="904" t="n"/>
      <c r="AP175" s="904" t="n"/>
      <c r="AQ175" s="904" t="n"/>
      <c r="AR175" s="904" t="n"/>
      <c r="AS175" s="904" t="n"/>
      <c r="AT175" s="904" t="n"/>
      <c r="AU175" s="904" t="n"/>
      <c r="AV175" s="904" t="n"/>
      <c r="AW175" s="904" t="n"/>
      <c r="AX175" s="904" t="n"/>
      <c r="AY175" s="904" t="n"/>
      <c r="AZ175" s="904" t="n"/>
      <c r="BA175" s="904" t="n"/>
      <c r="BB175" s="904" t="n"/>
      <c r="BC175" s="904" t="n"/>
      <c r="BD175" s="904" t="n"/>
      <c r="BE175" s="904" t="n"/>
      <c r="BF175" s="904" t="n"/>
      <c r="BG175" s="904" t="n"/>
      <c r="BH175" s="904" t="n"/>
      <c r="BI175" s="904" t="n"/>
      <c r="BJ175" s="904" t="n"/>
      <c r="BK175" s="904" t="n"/>
      <c r="BL175" s="904" t="n"/>
      <c r="BM175" s="904" t="n"/>
      <c r="BN175" s="904" t="n"/>
      <c r="BO175" s="904" t="n"/>
      <c r="BP175" s="904" t="n"/>
      <c r="BQ175" s="904" t="n"/>
      <c r="BR175" s="904" t="n"/>
      <c r="BS175" s="904" t="n"/>
      <c r="BT175" s="904" t="n"/>
      <c r="BU175" s="904" t="n"/>
      <c r="BV175" s="904" t="n"/>
      <c r="BW175" s="904" t="n"/>
      <c r="BX175" s="904" t="n"/>
      <c r="BY175" s="904" t="n"/>
      <c r="BZ175" s="904" t="n"/>
      <c r="CA175" s="904" t="n"/>
      <c r="CB175" s="904" t="n"/>
      <c r="CC175" s="904" t="n"/>
      <c r="CD175" s="904" t="n"/>
      <c r="CE175" s="904" t="n"/>
      <c r="CF175" s="904" t="n"/>
      <c r="CG175" s="904" t="n"/>
      <c r="CH175" s="904" t="n"/>
      <c r="CI175" s="904" t="n"/>
      <c r="CJ175" s="904" t="n"/>
      <c r="CK175" s="904" t="n"/>
      <c r="CL175" s="904" t="n"/>
      <c r="CM175" s="904" t="n"/>
      <c r="CN175" s="904" t="n"/>
      <c r="CO175" s="904" t="n"/>
      <c r="CP175" s="904" t="n"/>
      <c r="CQ175" s="904" t="n"/>
      <c r="CR175" s="904" t="n"/>
      <c r="CS175" s="904" t="n"/>
      <c r="CT175" s="904" t="n"/>
      <c r="CU175" s="904" t="n"/>
      <c r="CV175" s="904" t="n"/>
      <c r="CW175" s="904" t="n"/>
      <c r="CX175" s="904" t="n"/>
      <c r="CY175" s="904" t="n"/>
      <c r="CZ175" s="904" t="n"/>
      <c r="DA175" s="904" t="n"/>
      <c r="DB175" s="904" t="n"/>
      <c r="DC175" s="904" t="n"/>
      <c r="DD175" s="904" t="n"/>
      <c r="DE175" s="904" t="n"/>
      <c r="DF175" s="904" t="n"/>
      <c r="DG175" s="904" t="n"/>
      <c r="DH175" s="904" t="n"/>
      <c r="DI175" s="904" t="n"/>
      <c r="DJ175" s="904" t="n"/>
      <c r="DK175" s="904" t="n"/>
      <c r="DL175" s="904" t="n"/>
      <c r="DM175" s="904" t="n"/>
      <c r="DN175" s="904" t="n"/>
      <c r="DO175" s="904" t="n"/>
      <c r="DP175" s="904" t="n"/>
      <c r="DQ175" s="904" t="n"/>
      <c r="DR175" s="904" t="n"/>
      <c r="DS175" s="904" t="n"/>
      <c r="DT175" s="904" t="n"/>
      <c r="DU175" s="904" t="n"/>
      <c r="DV175" s="904" t="n"/>
      <c r="DW175" s="904" t="n"/>
      <c r="DX175" s="904" t="n"/>
      <c r="DY175" s="904" t="n"/>
      <c r="DZ175" s="904" t="n"/>
      <c r="EA175" s="904" t="n"/>
      <c r="EB175" s="904" t="n"/>
      <c r="EC175" s="904" t="n"/>
      <c r="ED175" s="904" t="n"/>
      <c r="EE175" s="904" t="n"/>
      <c r="EF175" s="904" t="n"/>
      <c r="EG175" s="904" t="n"/>
      <c r="EH175" s="904" t="n"/>
      <c r="EI175" s="904" t="n"/>
      <c r="EJ175" s="904" t="n"/>
      <c r="EK175" s="904" t="n"/>
      <c r="EL175" s="904" t="n"/>
      <c r="EM175" s="904" t="n"/>
      <c r="EN175" s="904" t="n"/>
      <c r="EO175" s="904" t="n"/>
      <c r="EP175" s="904" t="n"/>
      <c r="EQ175" s="904" t="n"/>
      <c r="ER175" s="904" t="n"/>
      <c r="ES175" s="904" t="n"/>
      <c r="ET175" s="904" t="n"/>
      <c r="EU175" s="904" t="n"/>
      <c r="EV175" s="904" t="n"/>
      <c r="EW175" s="904" t="n"/>
      <c r="EX175" s="904" t="n"/>
      <c r="EY175" s="904" t="n"/>
      <c r="EZ175" s="904" t="n"/>
      <c r="FA175" s="904" t="n"/>
      <c r="FB175" s="904" t="n"/>
      <c r="FC175" s="904" t="n"/>
      <c r="FD175" s="904" t="n"/>
      <c r="FE175" s="904" t="n"/>
      <c r="FF175" s="904" t="n"/>
      <c r="FG175" s="904" t="n"/>
      <c r="FH175" s="904" t="n"/>
      <c r="FI175" s="904" t="n"/>
      <c r="FJ175" s="904" t="n"/>
      <c r="FK175" s="904" t="n"/>
      <c r="FL175" s="904" t="n"/>
      <c r="FM175" s="904" t="n"/>
      <c r="FN175" s="904" t="n"/>
      <c r="FO175" s="904" t="n"/>
      <c r="FP175" s="904" t="n"/>
      <c r="FQ175" s="904" t="n"/>
      <c r="FR175" s="904" t="n"/>
      <c r="FS175" s="904" t="n"/>
      <c r="FT175" s="904" t="n"/>
      <c r="FU175" s="904" t="n"/>
      <c r="FV175" s="904" t="n"/>
      <c r="FW175" s="904" t="n"/>
      <c r="FX175" s="904" t="n"/>
      <c r="FY175" s="904" t="n"/>
      <c r="FZ175" s="904" t="n"/>
      <c r="GA175" s="904" t="n"/>
      <c r="GB175" s="904" t="n"/>
      <c r="GC175" s="904" t="n"/>
      <c r="GD175" s="904" t="n"/>
      <c r="GE175" s="904" t="n"/>
      <c r="GF175" s="904" t="n"/>
      <c r="GG175" s="904" t="n"/>
      <c r="GH175" s="904" t="n"/>
      <c r="GI175" s="904" t="n"/>
      <c r="GJ175" s="904" t="n"/>
      <c r="GK175" s="904" t="n"/>
      <c r="GL175" s="904" t="n"/>
      <c r="GM175" s="904" t="n"/>
      <c r="GN175" s="904" t="n"/>
      <c r="GO175" s="904" t="n"/>
      <c r="GP175" s="904" t="n"/>
      <c r="GQ175" s="904" t="n"/>
      <c r="GR175" s="904" t="n"/>
      <c r="GS175" s="904" t="n"/>
      <c r="GT175" s="904" t="n"/>
      <c r="GU175" s="904" t="n"/>
      <c r="GV175" s="904" t="n"/>
      <c r="GW175" s="904" t="n"/>
      <c r="GX175" s="904" t="n"/>
      <c r="GY175" s="904" t="n"/>
      <c r="GZ175" s="904" t="n"/>
      <c r="HA175" s="904" t="n"/>
      <c r="HB175" s="904" t="n"/>
      <c r="HC175" s="904" t="n"/>
      <c r="HD175" s="904" t="n"/>
      <c r="HE175" s="904" t="n"/>
      <c r="HF175" s="904" t="n"/>
      <c r="HG175" s="904" t="n"/>
      <c r="HH175" s="904" t="n"/>
      <c r="HI175" s="904" t="n"/>
      <c r="HJ175" s="904" t="n"/>
      <c r="HK175" s="904" t="n"/>
      <c r="HL175" s="904" t="n"/>
      <c r="HM175" s="904" t="n"/>
      <c r="HN175" s="904" t="n"/>
      <c r="HO175" s="904" t="n"/>
      <c r="HP175" s="904" t="n"/>
      <c r="HQ175" s="904" t="n"/>
      <c r="HR175" s="904" t="n"/>
      <c r="HS175" s="904" t="n"/>
      <c r="HT175" s="904" t="n"/>
      <c r="HU175" s="904" t="n"/>
      <c r="HV175" s="904" t="n"/>
      <c r="HW175" s="904" t="n"/>
      <c r="HX175" s="904" t="n"/>
      <c r="HY175" s="904" t="n"/>
      <c r="HZ175" s="904" t="n"/>
      <c r="IA175" s="904" t="n"/>
      <c r="IB175" s="904" t="n"/>
      <c r="IC175" s="904" t="n"/>
      <c r="ID175" s="904" t="n"/>
      <c r="IE175" s="904" t="n"/>
      <c r="IF175" s="904" t="n"/>
      <c r="IG175" s="904" t="n"/>
      <c r="IH175" s="904" t="n"/>
      <c r="II175" s="904" t="n"/>
      <c r="IJ175" s="904" t="n"/>
      <c r="IK175" s="904" t="n"/>
      <c r="IL175" s="904" t="n"/>
      <c r="IM175" s="904" t="n"/>
      <c r="IN175" s="904" t="n"/>
      <c r="IO175" s="904" t="n"/>
      <c r="IP175" s="904" t="n"/>
      <c r="IQ175" s="904" t="n"/>
      <c r="IR175" s="904" t="n"/>
      <c r="IS175" s="904" t="n"/>
      <c r="IT175" s="904" t="n"/>
      <c r="IU175" s="904" t="n"/>
      <c r="IV175" s="904" t="n"/>
      <c r="IW175" s="904" t="n"/>
      <c r="IX175" s="904" t="n"/>
      <c r="IY175" s="904" t="n"/>
      <c r="IZ175" s="904" t="n"/>
      <c r="JA175" s="904" t="n"/>
      <c r="JB175" s="904" t="n"/>
      <c r="JC175" s="904" t="n"/>
      <c r="JD175" s="904" t="n"/>
      <c r="JE175" s="904" t="n"/>
      <c r="JF175" s="904" t="n"/>
      <c r="JG175" s="904" t="n"/>
      <c r="JH175" s="904" t="n"/>
      <c r="JI175" s="904" t="n"/>
      <c r="JJ175" s="904" t="n"/>
      <c r="JK175" s="904" t="n"/>
      <c r="JL175" s="904" t="n"/>
      <c r="JM175" s="904" t="n"/>
      <c r="JN175" s="904" t="n"/>
      <c r="JO175" s="904" t="n"/>
      <c r="JP175" s="904" t="n"/>
      <c r="JQ175" s="904" t="n"/>
      <c r="JR175" s="904" t="n"/>
      <c r="JS175" s="904" t="n"/>
      <c r="JT175" s="904" t="n"/>
      <c r="JU175" s="904" t="n"/>
      <c r="JV175" s="904" t="n"/>
      <c r="JW175" s="904" t="n"/>
      <c r="JX175" s="904" t="n"/>
      <c r="JY175" s="904" t="n"/>
      <c r="JZ175" s="904" t="n"/>
      <c r="KA175" s="904" t="n"/>
      <c r="KB175" s="904" t="n"/>
      <c r="KC175" s="904" t="n"/>
      <c r="KD175" s="904" t="n"/>
      <c r="KE175" s="904" t="n"/>
      <c r="KF175" s="904" t="n"/>
      <c r="KG175" s="904" t="n"/>
      <c r="KH175" s="904" t="n"/>
      <c r="KI175" s="904" t="n"/>
      <c r="KJ175" s="904" t="n"/>
      <c r="KK175" s="904" t="n"/>
      <c r="KL175" s="904" t="n"/>
      <c r="KM175" s="904" t="n"/>
      <c r="KN175" s="904" t="n"/>
      <c r="KO175" s="904" t="n"/>
      <c r="KP175" s="904" t="n"/>
      <c r="KQ175" s="904" t="n"/>
      <c r="KR175" s="904" t="n"/>
      <c r="KS175" s="904" t="n"/>
      <c r="KT175" s="904" t="n"/>
      <c r="KU175" s="904" t="n"/>
      <c r="KV175" s="904" t="n"/>
      <c r="KW175" s="904" t="n"/>
      <c r="KX175" s="904" t="n"/>
      <c r="KY175" s="904" t="n"/>
      <c r="KZ175" s="904" t="n"/>
      <c r="LA175" s="904" t="n"/>
      <c r="LB175" s="904" t="n"/>
      <c r="LC175" s="1318">
        <f>SUMIFS(172:172,$8:$8,"&gt;="&amp;DATE(YEAR(LC$8),1,1),$8:$8,"&lt;="&amp;EOMONTH(LC$8,0))/SUMIFS(172:172,$8:$8,"&gt;="&amp;DATE(YEAR(LC$8)-1,1,1),$8:$8,"&lt;="&amp;EOMONTH(LC$8,-12))-1</f>
        <v/>
      </c>
      <c r="LD175" s="1318">
        <f>SUMIFS(172:172,$8:$8,"&gt;="&amp;DATE(YEAR(LD$8),1,1),$8:$8,"&lt;="&amp;EOMONTH(LD$8,0))/SUMIFS(172:172,$8:$8,"&gt;="&amp;DATE(YEAR(LD$8)-1,1,1),$8:$8,"&lt;="&amp;EOMONTH(LD$8,-12))-1</f>
        <v/>
      </c>
      <c r="LE175" s="1318">
        <f>SUMIFS(172:172,$8:$8,"&gt;="&amp;DATE(YEAR(LE$8),1,1),$8:$8,"&lt;="&amp;EOMONTH(LE$8,0))/SUMIFS(172:172,$8:$8,"&gt;="&amp;DATE(YEAR(LE$8)-1,1,1),$8:$8,"&lt;="&amp;EOMONTH(LE$8,-12))-1</f>
        <v/>
      </c>
      <c r="LF175" s="1318">
        <f>SUMIFS(172:172,$8:$8,"&gt;="&amp;DATE(YEAR(LF$8),1,1),$8:$8,"&lt;="&amp;EOMONTH(LF$8,0))/SUMIFS(172:172,$8:$8,"&gt;="&amp;DATE(YEAR(LF$8)-1,1,1),$8:$8,"&lt;="&amp;EOMONTH(LF$8,-12))-1</f>
        <v/>
      </c>
      <c r="LG175" s="1318">
        <f>SUMIFS(172:172,$8:$8,"&gt;="&amp;DATE(YEAR(LG$8),1,1),$8:$8,"&lt;="&amp;EOMONTH(LG$8,0))/SUMIFS(172:172,$8:$8,"&gt;="&amp;DATE(YEAR(LG$8)-1,1,1),$8:$8,"&lt;="&amp;EOMONTH(LG$8,-12))-1</f>
        <v/>
      </c>
      <c r="LH175" s="1318">
        <f>SUMIFS(172:172,$8:$8,"&gt;="&amp;DATE(YEAR(LH$8),1,1),$8:$8,"&lt;="&amp;EOMONTH(LH$8,0))/SUMIFS(172:172,$8:$8,"&gt;="&amp;DATE(YEAR(LH$8)-1,1,1),$8:$8,"&lt;="&amp;EOMONTH(LH$8,-12))-1</f>
        <v/>
      </c>
      <c r="LI175" s="1318">
        <f>SUMIFS(172:172,$8:$8,"&gt;="&amp;DATE(YEAR(LI$8),1,1),$8:$8,"&lt;="&amp;EOMONTH(LI$8,0))/SUMIFS(172:172,$8:$8,"&gt;="&amp;DATE(YEAR(LI$8)-1,1,1),$8:$8,"&lt;="&amp;EOMONTH(LI$8,-12))-1</f>
        <v/>
      </c>
      <c r="LJ175" s="1318">
        <f>SUMIFS(172:172,$8:$8,"&gt;="&amp;DATE(YEAR(LJ$8),1,1),$8:$8,"&lt;="&amp;EOMONTH(LJ$8,0))/SUMIFS(172:172,$8:$8,"&gt;="&amp;DATE(YEAR(LJ$8)-1,1,1),$8:$8,"&lt;="&amp;EOMONTH(LJ$8,-12))-1</f>
        <v/>
      </c>
      <c r="LK175" s="1318">
        <f>SUMIFS(172:172,$8:$8,"&gt;="&amp;DATE(YEAR(LK$8),1,1),$8:$8,"&lt;="&amp;EOMONTH(LK$8,0))/SUMIFS(172:172,$8:$8,"&gt;="&amp;DATE(YEAR(LK$8)-1,1,1),$8:$8,"&lt;="&amp;EOMONTH(LK$8,-12))-1</f>
        <v/>
      </c>
      <c r="LL175" s="1318">
        <f>SUMIFS(172:172,$8:$8,"&gt;="&amp;DATE(YEAR(LL$8),1,1),$8:$8,"&lt;="&amp;EOMONTH(LL$8,0))/SUMIFS(172:172,$8:$8,"&gt;="&amp;DATE(YEAR(LL$8)-1,1,1),$8:$8,"&lt;="&amp;EOMONTH(LL$8,-12))-1</f>
        <v/>
      </c>
      <c r="LM175" s="1318">
        <f>SUMIFS(172:172,$8:$8,"&gt;="&amp;DATE(YEAR(LM$8),1,1),$8:$8,"&lt;="&amp;EOMONTH(LM$8,0))/SUMIFS(172:172,$8:$8,"&gt;="&amp;DATE(YEAR(LM$8)-1,1,1),$8:$8,"&lt;="&amp;EOMONTH(LM$8,-12))-1</f>
        <v/>
      </c>
      <c r="LN175" s="1318">
        <f>SUMIFS(172:172,$8:$8,"&gt;="&amp;DATE(YEAR(LN$8),1,1),$8:$8,"&lt;="&amp;EOMONTH(LN$8,0))/SUMIFS(172:172,$8:$8,"&gt;="&amp;DATE(YEAR(LN$8)-1,1,1),$8:$8,"&lt;="&amp;EOMONTH(LN$8,-12))-1</f>
        <v/>
      </c>
      <c r="LO175" s="1318">
        <f>SUMIFS(172:172,$8:$8,"&gt;="&amp;DATE(YEAR(LO$8),1,1),$8:$8,"&lt;="&amp;EOMONTH(LO$8,0))/SUMIFS(172:172,$8:$8,"&gt;="&amp;DATE(YEAR(LO$8)-1,1,1),$8:$8,"&lt;="&amp;EOMONTH(LO$8,-12))-1</f>
        <v/>
      </c>
      <c r="LP175" s="1318">
        <f>SUMIFS(172:172,$8:$8,"&gt;="&amp;DATE(YEAR(LP$8),1,1),$8:$8,"&lt;="&amp;EOMONTH(LP$8,0))/SUMIFS(172:172,$8:$8,"&gt;="&amp;DATE(YEAR(LP$8)-1,1,1),$8:$8,"&lt;="&amp;EOMONTH(LP$8,-12))-1</f>
        <v/>
      </c>
      <c r="LQ175" s="1318">
        <f>SUMIFS(172:172,$8:$8,"&gt;="&amp;DATE(YEAR(LQ$8),1,1),$8:$8,"&lt;="&amp;EOMONTH(LQ$8,0))/SUMIFS(172:172,$8:$8,"&gt;="&amp;DATE(YEAR(LQ$8)-1,1,1),$8:$8,"&lt;="&amp;EOMONTH(LQ$8,-12))-1</f>
        <v/>
      </c>
      <c r="LR175" s="1318">
        <f>SUMIFS(172:172,$8:$8,"&gt;="&amp;DATE(YEAR(LR$8),1,1),$8:$8,"&lt;="&amp;EOMONTH(LR$8,0))/SUMIFS(172:172,$8:$8,"&gt;="&amp;DATE(YEAR(LR$8)-1,1,1),$8:$8,"&lt;="&amp;EOMONTH(LR$8,-12))-1</f>
        <v/>
      </c>
      <c r="LS175" s="1318">
        <f>SUMIFS(172:172,$8:$8,"&gt;="&amp;DATE(YEAR(LS$8),1,1),$8:$8,"&lt;="&amp;EOMONTH(LS$8,0))/SUMIFS(172:172,$8:$8,"&gt;="&amp;DATE(YEAR(LS$8)-1,1,1),$8:$8,"&lt;="&amp;EOMONTH(LS$8,-12))-1</f>
        <v/>
      </c>
    </row>
    <row r="176">
      <c r="A176" s="904" t="inlineStr">
        <is>
          <t>PLF %</t>
        </is>
      </c>
      <c r="B176" s="904" t="n"/>
      <c r="C176" s="904" t="n"/>
      <c r="D176" s="904" t="n"/>
      <c r="E176" s="904" t="n"/>
      <c r="F176" s="904" t="n"/>
      <c r="G176" s="904" t="n"/>
      <c r="H176" s="904" t="n"/>
      <c r="I176" s="904" t="n"/>
      <c r="J176" s="904" t="n"/>
      <c r="K176" s="904" t="n"/>
      <c r="L176" s="904" t="n"/>
      <c r="M176" s="904" t="n"/>
      <c r="N176" s="904" t="n"/>
      <c r="O176" s="904" t="n"/>
      <c r="P176" s="904" t="n"/>
      <c r="Q176" s="904" t="n"/>
      <c r="R176" s="904" t="n"/>
      <c r="S176" s="904" t="n"/>
      <c r="T176" s="904" t="n"/>
      <c r="U176" s="904" t="n"/>
      <c r="V176" s="904" t="n"/>
      <c r="W176" s="904" t="n"/>
      <c r="X176" s="904" t="n"/>
      <c r="Y176" s="904" t="n"/>
      <c r="Z176" s="904" t="n"/>
      <c r="AA176" s="904" t="n"/>
      <c r="AB176" s="904" t="n"/>
      <c r="AC176" s="904" t="n"/>
      <c r="AD176" s="904" t="n"/>
      <c r="AE176" s="904" t="n"/>
      <c r="AF176" s="904" t="n"/>
      <c r="AG176" s="904" t="n"/>
      <c r="AH176" s="904" t="n"/>
      <c r="AI176" s="904" t="n"/>
      <c r="AJ176" s="904" t="n"/>
      <c r="AK176" s="904" t="n"/>
      <c r="AL176" s="904" t="n"/>
      <c r="AM176" s="904" t="n"/>
      <c r="AN176" s="904" t="n"/>
      <c r="AO176" s="904" t="n"/>
      <c r="AP176" s="904" t="n"/>
      <c r="AQ176" s="904" t="n"/>
      <c r="AR176" s="904" t="n"/>
      <c r="AS176" s="904" t="n"/>
      <c r="AT176" s="904" t="n"/>
      <c r="AU176" s="904" t="n"/>
      <c r="AV176" s="904" t="n"/>
      <c r="AW176" s="904" t="n"/>
      <c r="AX176" s="904" t="n"/>
      <c r="AY176" s="904" t="n"/>
      <c r="AZ176" s="904" t="n"/>
      <c r="BA176" s="904" t="n"/>
      <c r="BB176" s="904" t="n"/>
      <c r="BC176" s="904" t="n"/>
      <c r="BD176" s="904" t="n"/>
      <c r="BE176" s="904" t="n"/>
      <c r="BF176" s="904" t="n"/>
      <c r="BG176" s="904" t="n"/>
      <c r="BH176" s="904" t="n"/>
      <c r="BI176" s="904" t="n"/>
      <c r="BJ176" s="904" t="n"/>
      <c r="BK176" s="904" t="n"/>
      <c r="BL176" s="904" t="n"/>
      <c r="BM176" s="904" t="n"/>
      <c r="BN176" s="904" t="n"/>
      <c r="BO176" s="904" t="n"/>
      <c r="BP176" s="904" t="n"/>
      <c r="BQ176" s="904" t="n"/>
      <c r="BR176" s="904" t="n"/>
      <c r="BS176" s="904" t="n"/>
      <c r="BT176" s="904" t="n"/>
      <c r="BU176" s="904" t="n"/>
      <c r="BV176" s="904" t="n"/>
      <c r="BW176" s="904" t="n"/>
      <c r="BX176" s="904" t="n"/>
      <c r="BY176" s="904" t="n"/>
      <c r="BZ176" s="904" t="n"/>
      <c r="CA176" s="904" t="n"/>
      <c r="CB176" s="904" t="n"/>
      <c r="CC176" s="904" t="n"/>
      <c r="CD176" s="904" t="n"/>
      <c r="CE176" s="904" t="n"/>
      <c r="CF176" s="904" t="n"/>
      <c r="CG176" s="904" t="n"/>
      <c r="CH176" s="904" t="n"/>
      <c r="CI176" s="904" t="n"/>
      <c r="CJ176" s="904" t="n"/>
      <c r="CK176" s="904" t="n"/>
      <c r="CL176" s="904" t="n"/>
      <c r="CM176" s="904" t="n"/>
      <c r="CN176" s="904" t="n"/>
      <c r="CO176" s="904" t="n"/>
      <c r="CP176" s="904" t="n"/>
      <c r="CQ176" s="904" t="n"/>
      <c r="CR176" s="904" t="n"/>
      <c r="CS176" s="904" t="n"/>
      <c r="CT176" s="904" t="n"/>
      <c r="CU176" s="904" t="n"/>
      <c r="CV176" s="904" t="n"/>
      <c r="CW176" s="904" t="n"/>
      <c r="CX176" s="904" t="n"/>
      <c r="CY176" s="904" t="n"/>
      <c r="CZ176" s="904" t="n"/>
      <c r="DA176" s="904" t="n"/>
      <c r="DB176" s="904" t="n"/>
      <c r="DC176" s="904" t="n"/>
      <c r="DD176" s="904" t="n"/>
      <c r="DE176" s="904" t="n"/>
      <c r="DF176" s="904" t="n"/>
      <c r="DG176" s="904" t="n"/>
      <c r="DH176" s="904" t="n"/>
      <c r="DI176" s="904" t="n"/>
      <c r="DJ176" s="904" t="n"/>
      <c r="DK176" s="904" t="n"/>
      <c r="DL176" s="904" t="n"/>
      <c r="DM176" s="904" t="n"/>
      <c r="DN176" s="904" t="n"/>
      <c r="DO176" s="904" t="n"/>
      <c r="DP176" s="904" t="n"/>
      <c r="DQ176" s="904" t="n"/>
      <c r="DR176" s="904" t="n"/>
      <c r="DS176" s="904" t="n"/>
      <c r="DT176" s="904" t="n"/>
      <c r="DU176" s="904" t="n"/>
      <c r="DV176" s="904" t="n"/>
      <c r="DW176" s="904" t="n"/>
      <c r="DX176" s="904" t="n"/>
      <c r="DY176" s="904" t="n"/>
      <c r="DZ176" s="904" t="n"/>
      <c r="EA176" s="904" t="n"/>
      <c r="EB176" s="904" t="n"/>
      <c r="EC176" s="904" t="n"/>
      <c r="ED176" s="904" t="n"/>
      <c r="EE176" s="904" t="n"/>
      <c r="EF176" s="904" t="n"/>
      <c r="EG176" s="904" t="n"/>
      <c r="EH176" s="904" t="n"/>
      <c r="EI176" s="904" t="n"/>
      <c r="EJ176" s="904" t="n"/>
      <c r="EK176" s="904" t="n"/>
      <c r="EL176" s="904" t="n"/>
      <c r="EM176" s="904" t="n"/>
      <c r="EN176" s="904" t="n"/>
      <c r="EO176" s="904" t="n"/>
      <c r="EP176" s="904" t="n"/>
      <c r="EQ176" s="904" t="n"/>
      <c r="ER176" s="904" t="n"/>
      <c r="ES176" s="904" t="n"/>
      <c r="ET176" s="904" t="n"/>
      <c r="EU176" s="904" t="n"/>
      <c r="EV176" s="904" t="n"/>
      <c r="EW176" s="904" t="n"/>
      <c r="EX176" s="904" t="n"/>
      <c r="EY176" s="904" t="n"/>
      <c r="EZ176" s="904" t="n"/>
      <c r="FA176" s="904" t="n"/>
      <c r="FB176" s="904" t="n"/>
      <c r="FC176" s="904" t="n"/>
      <c r="FD176" s="904" t="n"/>
      <c r="FE176" s="904" t="n"/>
      <c r="FF176" s="904" t="n"/>
      <c r="FG176" s="904" t="n"/>
      <c r="FH176" s="904" t="n"/>
      <c r="FI176" s="904" t="n"/>
      <c r="FJ176" s="904" t="n"/>
      <c r="FK176" s="904" t="n"/>
      <c r="FL176" s="904" t="n"/>
      <c r="FM176" s="904" t="n"/>
      <c r="FN176" s="904" t="n"/>
      <c r="FO176" s="904" t="n"/>
      <c r="FP176" s="904" t="n"/>
      <c r="FQ176" s="904" t="n"/>
      <c r="FR176" s="904" t="n"/>
      <c r="FS176" s="904" t="n"/>
      <c r="FT176" s="904" t="n"/>
      <c r="FU176" s="904" t="n"/>
      <c r="FV176" s="904" t="n"/>
      <c r="FW176" s="904" t="n"/>
      <c r="FX176" s="904" t="n"/>
      <c r="FY176" s="904" t="n"/>
      <c r="FZ176" s="904" t="n"/>
      <c r="GA176" s="904" t="n"/>
      <c r="GB176" s="904" t="n"/>
      <c r="GC176" s="904" t="n"/>
      <c r="GD176" s="904" t="n"/>
      <c r="GE176" s="904" t="n"/>
      <c r="GF176" s="904" t="n"/>
      <c r="GG176" s="904" t="n"/>
      <c r="GH176" s="904" t="n"/>
      <c r="GI176" s="904" t="n"/>
      <c r="GJ176" s="904" t="n"/>
      <c r="GK176" s="904" t="n"/>
      <c r="GL176" s="904" t="n"/>
      <c r="GM176" s="904" t="n"/>
      <c r="GN176" s="904" t="n"/>
      <c r="GO176" s="904" t="n"/>
      <c r="GP176" s="904" t="n"/>
      <c r="GQ176" s="904" t="n"/>
      <c r="GR176" s="904" t="n"/>
      <c r="GS176" s="904" t="n"/>
      <c r="GT176" s="904" t="n"/>
      <c r="GU176" s="904" t="n"/>
      <c r="GV176" s="904" t="n"/>
      <c r="GW176" s="904" t="n"/>
      <c r="GX176" s="904" t="n"/>
      <c r="GY176" s="904" t="n"/>
      <c r="GZ176" s="904" t="n"/>
      <c r="HA176" s="904" t="n"/>
      <c r="HB176" s="904" t="n"/>
      <c r="HC176" s="904" t="n"/>
      <c r="HD176" s="904" t="n"/>
      <c r="HE176" s="904" t="n"/>
      <c r="HF176" s="904" t="n"/>
      <c r="HG176" s="904" t="n"/>
      <c r="HH176" s="904" t="n"/>
      <c r="HI176" s="904" t="n"/>
      <c r="HJ176" s="904" t="n"/>
      <c r="HK176" s="904" t="n"/>
      <c r="HL176" s="904" t="n"/>
      <c r="HM176" s="904" t="n"/>
      <c r="HN176" s="904" t="n"/>
      <c r="HO176" s="904" t="n"/>
      <c r="HP176" s="904" t="n"/>
      <c r="HQ176" s="904" t="n"/>
      <c r="HR176" s="904" t="n"/>
      <c r="HS176" s="904" t="n"/>
      <c r="HT176" s="904" t="n"/>
      <c r="HU176" s="904" t="n"/>
      <c r="HV176" s="904" t="n"/>
      <c r="HW176" s="904" t="n"/>
      <c r="HX176" s="904" t="n"/>
      <c r="HY176" s="904" t="n"/>
      <c r="HZ176" s="904" t="n"/>
      <c r="IA176" s="904" t="n"/>
      <c r="IB176" s="904" t="n"/>
      <c r="IC176" s="904" t="n"/>
      <c r="ID176" s="904" t="n"/>
      <c r="IE176" s="904" t="n"/>
      <c r="IF176" s="904" t="n"/>
      <c r="IG176" s="904" t="n"/>
      <c r="IH176" s="904" t="n"/>
      <c r="II176" s="904" t="n"/>
      <c r="IJ176" s="904" t="n"/>
      <c r="IK176" s="904" t="n"/>
      <c r="IL176" s="904" t="n"/>
      <c r="IM176" s="904" t="n"/>
      <c r="IN176" s="904" t="n"/>
      <c r="IO176" s="904" t="n"/>
      <c r="IP176" s="904" t="n"/>
      <c r="IQ176" s="904" t="n"/>
      <c r="IR176" s="904" t="n"/>
      <c r="IS176" s="904" t="n"/>
      <c r="IT176" s="904" t="n"/>
      <c r="IU176" s="904" t="n"/>
      <c r="IV176" s="904" t="n"/>
      <c r="IW176" s="904" t="n"/>
      <c r="IX176" s="904" t="n"/>
      <c r="IY176" s="904" t="n"/>
      <c r="IZ176" s="904" t="n"/>
      <c r="JA176" s="904" t="n"/>
      <c r="JB176" s="904" t="n"/>
      <c r="JC176" s="904" t="n"/>
      <c r="JD176" s="904" t="n"/>
      <c r="JE176" s="904" t="n"/>
      <c r="JF176" s="904" t="n"/>
      <c r="JG176" s="904" t="n"/>
      <c r="JH176" s="904" t="n"/>
      <c r="JI176" s="904" t="n"/>
      <c r="JJ176" s="904" t="n"/>
      <c r="JK176" s="904" t="n"/>
      <c r="JL176" s="904" t="n"/>
      <c r="JM176" s="904" t="n"/>
      <c r="JN176" s="904" t="n"/>
      <c r="JO176" s="904" t="n"/>
      <c r="JP176" s="904" t="n"/>
      <c r="JQ176" s="904" t="n"/>
      <c r="JR176" s="904" t="n"/>
      <c r="JS176" s="904" t="n"/>
      <c r="JT176" s="904" t="n"/>
      <c r="JU176" s="904" t="n"/>
      <c r="JV176" s="904" t="n"/>
      <c r="JW176" s="904" t="n"/>
      <c r="JX176" s="904" t="n"/>
      <c r="JY176" s="904" t="n"/>
      <c r="JZ176" s="904" t="n"/>
      <c r="KA176" s="904" t="n"/>
      <c r="KB176" s="904" t="n"/>
      <c r="KC176" s="904" t="n"/>
      <c r="KD176" s="904" t="n"/>
      <c r="KE176" s="904" t="n"/>
      <c r="KF176" s="904" t="n"/>
      <c r="KG176" s="904" t="n"/>
      <c r="KH176" s="904" t="n"/>
      <c r="KI176" s="904" t="n"/>
      <c r="KJ176" s="904" t="n"/>
      <c r="KK176" s="904" t="n"/>
      <c r="KL176" s="904" t="n"/>
      <c r="KM176" s="904" t="n"/>
      <c r="KN176" s="904" t="n"/>
      <c r="KO176" s="904" t="n"/>
      <c r="KP176" s="1344">
        <f>KP172/KP168</f>
        <v/>
      </c>
      <c r="KQ176" s="1344">
        <f>KQ172/KQ168</f>
        <v/>
      </c>
      <c r="KR176" s="1344">
        <f>KR172/KR168</f>
        <v/>
      </c>
      <c r="KS176" s="1344">
        <f>KS172/KS168</f>
        <v/>
      </c>
      <c r="KT176" s="1344">
        <f>KT172/KT168</f>
        <v/>
      </c>
      <c r="KU176" s="1344">
        <f>KU172/KU168</f>
        <v/>
      </c>
      <c r="KV176" s="1344">
        <f>KV172/KV168</f>
        <v/>
      </c>
      <c r="KW176" s="1344">
        <f>KW172/KW168</f>
        <v/>
      </c>
      <c r="KX176" s="1344">
        <f>KX172/KX168</f>
        <v/>
      </c>
      <c r="KY176" s="1344">
        <f>KY172/KY168</f>
        <v/>
      </c>
      <c r="KZ176" s="1344">
        <f>KZ172/KZ168</f>
        <v/>
      </c>
      <c r="LA176" s="1344">
        <f>LA172/LA168</f>
        <v/>
      </c>
      <c r="LB176" s="1344">
        <f>LB172/LB168</f>
        <v/>
      </c>
      <c r="LC176" s="1344">
        <f>LC172/LC168</f>
        <v/>
      </c>
      <c r="LD176" s="1344">
        <f>LD172/LD168</f>
        <v/>
      </c>
      <c r="LE176" s="1344">
        <f>LE172/LE168</f>
        <v/>
      </c>
      <c r="LF176" s="1344">
        <f>LF172/LF168</f>
        <v/>
      </c>
      <c r="LG176" s="1344">
        <f>LG172/LG168</f>
        <v/>
      </c>
      <c r="LH176" s="1344">
        <f>LH172/LH168</f>
        <v/>
      </c>
      <c r="LI176" s="1344">
        <f>LI172/LI168</f>
        <v/>
      </c>
      <c r="LJ176" s="1344">
        <f>LJ172/LJ168</f>
        <v/>
      </c>
      <c r="LK176" s="1344">
        <f>LK172/LK168</f>
        <v/>
      </c>
      <c r="LL176" s="1344">
        <f>LL172/LL168</f>
        <v/>
      </c>
      <c r="LM176" s="1344">
        <f>LM172/LM168</f>
        <v/>
      </c>
      <c r="LN176" s="1344">
        <f>LN172/LN168</f>
        <v/>
      </c>
      <c r="LO176" s="1344">
        <f>LO172/LO168</f>
        <v/>
      </c>
      <c r="LP176" s="1344">
        <f>LP172/LP168</f>
        <v/>
      </c>
      <c r="LQ176" s="1344">
        <f>LQ172/LQ168</f>
        <v/>
      </c>
      <c r="LR176" s="1344">
        <f>LR172/LR168</f>
        <v/>
      </c>
      <c r="LS176" s="1344">
        <f>LS172/LS168</f>
        <v/>
      </c>
      <c r="LT176" s="1345" t="n"/>
      <c r="LU176" s="1345" t="n"/>
      <c r="LV176" s="1346" t="n"/>
    </row>
    <row r="177">
      <c r="A177" s="885" t="inlineStr">
        <is>
          <t>m cg %</t>
        </is>
      </c>
      <c r="B177" s="904" t="n"/>
      <c r="C177" s="904" t="n"/>
      <c r="D177" s="904" t="n"/>
      <c r="E177" s="904" t="n"/>
      <c r="F177" s="904" t="n"/>
      <c r="G177" s="904" t="n"/>
      <c r="H177" s="904" t="n"/>
      <c r="I177" s="904" t="n"/>
      <c r="J177" s="904" t="n"/>
      <c r="K177" s="904" t="n"/>
      <c r="L177" s="904" t="n"/>
      <c r="M177" s="904" t="n"/>
      <c r="N177" s="904" t="n"/>
      <c r="O177" s="904" t="n"/>
      <c r="P177" s="904" t="n"/>
      <c r="Q177" s="904" t="n"/>
      <c r="R177" s="904" t="n"/>
      <c r="S177" s="904" t="n"/>
      <c r="T177" s="904" t="n"/>
      <c r="U177" s="904" t="n"/>
      <c r="V177" s="904" t="n"/>
      <c r="W177" s="904" t="n"/>
      <c r="X177" s="904" t="n"/>
      <c r="Y177" s="904" t="n"/>
      <c r="Z177" s="904" t="n"/>
      <c r="AA177" s="904" t="n"/>
      <c r="AB177" s="904" t="n"/>
      <c r="AC177" s="904" t="n"/>
      <c r="AD177" s="904" t="n"/>
      <c r="AE177" s="904" t="n"/>
      <c r="AF177" s="904" t="n"/>
      <c r="AG177" s="904" t="n"/>
      <c r="AH177" s="904" t="n"/>
      <c r="AI177" s="904" t="n"/>
      <c r="AJ177" s="904" t="n"/>
      <c r="AK177" s="904" t="n"/>
      <c r="AL177" s="904" t="n"/>
      <c r="AM177" s="904" t="n"/>
      <c r="AN177" s="904" t="n"/>
      <c r="AO177" s="904" t="n"/>
      <c r="AP177" s="904" t="n"/>
      <c r="AQ177" s="904" t="n"/>
      <c r="AR177" s="904" t="n"/>
      <c r="AS177" s="904" t="n"/>
      <c r="AT177" s="904" t="n"/>
      <c r="AU177" s="904" t="n"/>
      <c r="AV177" s="904" t="n"/>
      <c r="AW177" s="904" t="n"/>
      <c r="AX177" s="904" t="n"/>
      <c r="AY177" s="904" t="n"/>
      <c r="AZ177" s="904" t="n"/>
      <c r="BA177" s="904" t="n"/>
      <c r="BB177" s="904" t="n"/>
      <c r="BC177" s="904" t="n"/>
      <c r="BD177" s="904" t="n"/>
      <c r="BE177" s="904" t="n"/>
      <c r="BF177" s="904" t="n"/>
      <c r="BG177" s="904" t="n"/>
      <c r="BH177" s="904" t="n"/>
      <c r="BI177" s="904" t="n"/>
      <c r="BJ177" s="904" t="n"/>
      <c r="BK177" s="904" t="n"/>
      <c r="BL177" s="904" t="n"/>
      <c r="BM177" s="904" t="n"/>
      <c r="BN177" s="904" t="n"/>
      <c r="BO177" s="904" t="n"/>
      <c r="BP177" s="904" t="n"/>
      <c r="BQ177" s="904" t="n"/>
      <c r="BR177" s="904" t="n"/>
      <c r="BS177" s="904" t="n"/>
      <c r="BT177" s="904" t="n"/>
      <c r="BU177" s="904" t="n"/>
      <c r="BV177" s="904" t="n"/>
      <c r="BW177" s="904" t="n"/>
      <c r="BX177" s="904" t="n"/>
      <c r="BY177" s="904" t="n"/>
      <c r="BZ177" s="904" t="n"/>
      <c r="CA177" s="904" t="n"/>
      <c r="CB177" s="904" t="n"/>
      <c r="CC177" s="904" t="n"/>
      <c r="CD177" s="904" t="n"/>
      <c r="CE177" s="904" t="n"/>
      <c r="CF177" s="904" t="n"/>
      <c r="CG177" s="904" t="n"/>
      <c r="CH177" s="904" t="n"/>
      <c r="CI177" s="904" t="n"/>
      <c r="CJ177" s="904" t="n"/>
      <c r="CK177" s="904" t="n"/>
      <c r="CL177" s="904" t="n"/>
      <c r="CM177" s="904" t="n"/>
      <c r="CN177" s="904" t="n"/>
      <c r="CO177" s="904" t="n"/>
      <c r="CP177" s="904" t="n"/>
      <c r="CQ177" s="904" t="n"/>
      <c r="CR177" s="904" t="n"/>
      <c r="CS177" s="904" t="n"/>
      <c r="CT177" s="904" t="n"/>
      <c r="CU177" s="904" t="n"/>
      <c r="CV177" s="904" t="n"/>
      <c r="CW177" s="904" t="n"/>
      <c r="CX177" s="904" t="n"/>
      <c r="CY177" s="904" t="n"/>
      <c r="CZ177" s="904" t="n"/>
      <c r="DA177" s="904" t="n"/>
      <c r="DB177" s="904" t="n"/>
      <c r="DC177" s="904" t="n"/>
      <c r="DD177" s="904" t="n"/>
      <c r="DE177" s="904" t="n"/>
      <c r="DF177" s="904" t="n"/>
      <c r="DG177" s="904" t="n"/>
      <c r="DH177" s="904" t="n"/>
      <c r="DI177" s="904" t="n"/>
      <c r="DJ177" s="904" t="n"/>
      <c r="DK177" s="904" t="n"/>
      <c r="DL177" s="904" t="n"/>
      <c r="DM177" s="904" t="n"/>
      <c r="DN177" s="904" t="n"/>
      <c r="DO177" s="904" t="n"/>
      <c r="DP177" s="904" t="n"/>
      <c r="DQ177" s="904" t="n"/>
      <c r="DR177" s="904" t="n"/>
      <c r="DS177" s="904" t="n"/>
      <c r="DT177" s="904" t="n"/>
      <c r="DU177" s="904" t="n"/>
      <c r="DV177" s="904" t="n"/>
      <c r="DW177" s="904" t="n"/>
      <c r="DX177" s="904" t="n"/>
      <c r="DY177" s="904" t="n"/>
      <c r="DZ177" s="904" t="n"/>
      <c r="EA177" s="904" t="n"/>
      <c r="EB177" s="904" t="n"/>
      <c r="EC177" s="904" t="n"/>
      <c r="ED177" s="904" t="n"/>
      <c r="EE177" s="904" t="n"/>
      <c r="EF177" s="904" t="n"/>
      <c r="EG177" s="904" t="n"/>
      <c r="EH177" s="904" t="n"/>
      <c r="EI177" s="904" t="n"/>
      <c r="EJ177" s="904" t="n"/>
      <c r="EK177" s="904" t="n"/>
      <c r="EL177" s="904" t="n"/>
      <c r="EM177" s="904" t="n"/>
      <c r="EN177" s="904" t="n"/>
      <c r="EO177" s="904" t="n"/>
      <c r="EP177" s="904" t="n"/>
      <c r="EQ177" s="904" t="n"/>
      <c r="ER177" s="904" t="n"/>
      <c r="ES177" s="904" t="n"/>
      <c r="ET177" s="904" t="n"/>
      <c r="EU177" s="904" t="n"/>
      <c r="EV177" s="904" t="n"/>
      <c r="EW177" s="904" t="n"/>
      <c r="EX177" s="904" t="n"/>
      <c r="EY177" s="904" t="n"/>
      <c r="EZ177" s="904" t="n"/>
      <c r="FA177" s="904" t="n"/>
      <c r="FB177" s="904" t="n"/>
      <c r="FC177" s="904" t="n"/>
      <c r="FD177" s="904" t="n"/>
      <c r="FE177" s="904" t="n"/>
      <c r="FF177" s="904" t="n"/>
      <c r="FG177" s="904" t="n"/>
      <c r="FH177" s="904" t="n"/>
      <c r="FI177" s="904" t="n"/>
      <c r="FJ177" s="904" t="n"/>
      <c r="FK177" s="904" t="n"/>
      <c r="FL177" s="904" t="n"/>
      <c r="FM177" s="904" t="n"/>
      <c r="FN177" s="904" t="n"/>
      <c r="FO177" s="904" t="n"/>
      <c r="FP177" s="904" t="n"/>
      <c r="FQ177" s="904" t="n"/>
      <c r="FR177" s="904" t="n"/>
      <c r="FS177" s="904" t="n"/>
      <c r="FT177" s="904" t="n"/>
      <c r="FU177" s="904" t="n"/>
      <c r="FV177" s="904" t="n"/>
      <c r="FW177" s="904" t="n"/>
      <c r="FX177" s="904" t="n"/>
      <c r="FY177" s="904" t="n"/>
      <c r="FZ177" s="904" t="n"/>
      <c r="GA177" s="904" t="n"/>
      <c r="GB177" s="904" t="n"/>
      <c r="GC177" s="904" t="n"/>
      <c r="GD177" s="904" t="n"/>
      <c r="GE177" s="904" t="n"/>
      <c r="GF177" s="904" t="n"/>
      <c r="GG177" s="904" t="n"/>
      <c r="GH177" s="904" t="n"/>
      <c r="GI177" s="904" t="n"/>
      <c r="GJ177" s="904" t="n"/>
      <c r="GK177" s="904" t="n"/>
      <c r="GL177" s="904" t="n"/>
      <c r="GM177" s="904" t="n"/>
      <c r="GN177" s="904" t="n"/>
      <c r="GO177" s="904" t="n"/>
      <c r="GP177" s="904" t="n"/>
      <c r="GQ177" s="904" t="n"/>
      <c r="GR177" s="904" t="n"/>
      <c r="GS177" s="904" t="n"/>
      <c r="GT177" s="904" t="n"/>
      <c r="GU177" s="904" t="n"/>
      <c r="GV177" s="904" t="n"/>
      <c r="GW177" s="904" t="n"/>
      <c r="GX177" s="904" t="n"/>
      <c r="GY177" s="904" t="n"/>
      <c r="GZ177" s="904" t="n"/>
      <c r="HA177" s="904" t="n"/>
      <c r="HB177" s="904" t="n"/>
      <c r="HC177" s="904" t="n"/>
      <c r="HD177" s="904" t="n"/>
      <c r="HE177" s="904" t="n"/>
      <c r="HF177" s="904" t="n"/>
      <c r="HG177" s="904" t="n"/>
      <c r="HH177" s="904" t="n"/>
      <c r="HI177" s="904" t="n"/>
      <c r="HJ177" s="904" t="n"/>
      <c r="HK177" s="904" t="n"/>
      <c r="HL177" s="904" t="n"/>
      <c r="HM177" s="904" t="n"/>
      <c r="HN177" s="904" t="n"/>
      <c r="HO177" s="904" t="n"/>
      <c r="HP177" s="904" t="n"/>
      <c r="HQ177" s="904" t="n"/>
      <c r="HR177" s="904" t="n"/>
      <c r="HS177" s="904" t="n"/>
      <c r="HT177" s="904" t="n"/>
      <c r="HU177" s="904" t="n"/>
      <c r="HV177" s="904" t="n"/>
      <c r="HW177" s="904" t="n"/>
      <c r="HX177" s="904" t="n"/>
      <c r="HY177" s="904" t="n"/>
      <c r="HZ177" s="904" t="n"/>
      <c r="IA177" s="904" t="n"/>
      <c r="IB177" s="904" t="n"/>
      <c r="IC177" s="904" t="n"/>
      <c r="ID177" s="904" t="n"/>
      <c r="IE177" s="904" t="n"/>
      <c r="IF177" s="904" t="n"/>
      <c r="IG177" s="904" t="n"/>
      <c r="IH177" s="904" t="n"/>
      <c r="II177" s="904" t="n"/>
      <c r="IJ177" s="904" t="n"/>
      <c r="IK177" s="904" t="n"/>
      <c r="IL177" s="904" t="n"/>
      <c r="IM177" s="904" t="n"/>
      <c r="IN177" s="904" t="n"/>
      <c r="IO177" s="904" t="n"/>
      <c r="IP177" s="904" t="n"/>
      <c r="IQ177" s="904" t="n"/>
      <c r="IR177" s="904" t="n"/>
      <c r="IS177" s="904" t="n"/>
      <c r="IT177" s="904" t="n"/>
      <c r="IU177" s="904" t="n"/>
      <c r="IV177" s="904" t="n"/>
      <c r="IW177" s="904" t="n"/>
      <c r="IX177" s="904" t="n"/>
      <c r="IY177" s="904" t="n"/>
      <c r="IZ177" s="904" t="n"/>
      <c r="JA177" s="904" t="n"/>
      <c r="JB177" s="904" t="n"/>
      <c r="JC177" s="904" t="n"/>
      <c r="JD177" s="904" t="n"/>
      <c r="JE177" s="904" t="n"/>
      <c r="JF177" s="904" t="n"/>
      <c r="JG177" s="904" t="n"/>
      <c r="JH177" s="904" t="n"/>
      <c r="JI177" s="904" t="n"/>
      <c r="JJ177" s="904" t="n"/>
      <c r="JK177" s="904" t="n"/>
      <c r="JL177" s="904" t="n"/>
      <c r="JM177" s="904" t="n"/>
      <c r="JN177" s="904" t="n"/>
      <c r="JO177" s="904" t="n"/>
      <c r="JP177" s="904" t="n"/>
      <c r="JQ177" s="904" t="n"/>
      <c r="JR177" s="904" t="n"/>
      <c r="JS177" s="904" t="n"/>
      <c r="JT177" s="904" t="n"/>
      <c r="JU177" s="904" t="n"/>
      <c r="JV177" s="904" t="n"/>
      <c r="JW177" s="904" t="n"/>
      <c r="JX177" s="904" t="n"/>
      <c r="JY177" s="904" t="n"/>
      <c r="JZ177" s="904" t="n"/>
      <c r="KA177" s="904" t="n"/>
      <c r="KB177" s="904" t="n"/>
      <c r="KC177" s="904" t="n"/>
      <c r="KD177" s="904" t="n"/>
      <c r="KE177" s="904" t="n"/>
      <c r="KF177" s="904" t="n"/>
      <c r="KG177" s="904" t="n"/>
      <c r="KH177" s="904" t="n"/>
      <c r="KI177" s="904" t="n"/>
      <c r="KJ177" s="904" t="n"/>
      <c r="KK177" s="904" t="n"/>
      <c r="KL177" s="904" t="n"/>
      <c r="KM177" s="904" t="n"/>
      <c r="KN177" s="904" t="n"/>
      <c r="KO177" s="904" t="n"/>
      <c r="KP177" s="904" t="n"/>
      <c r="KQ177" s="1337">
        <f>KQ176-KP176</f>
        <v/>
      </c>
      <c r="KR177" s="1337">
        <f>KR176-KQ176</f>
        <v/>
      </c>
      <c r="KS177" s="1337">
        <f>KS176-KR176</f>
        <v/>
      </c>
      <c r="KT177" s="1337">
        <f>KT176-KS176</f>
        <v/>
      </c>
      <c r="KU177" s="1337">
        <f>KU176-KT176</f>
        <v/>
      </c>
      <c r="KV177" s="1337">
        <f>KV176-KU176</f>
        <v/>
      </c>
      <c r="KW177" s="1337">
        <f>KW176-KV176</f>
        <v/>
      </c>
      <c r="KX177" s="1337">
        <f>KX176-KW176</f>
        <v/>
      </c>
      <c r="KY177" s="1337">
        <f>KY176-KX176</f>
        <v/>
      </c>
      <c r="KZ177" s="1337">
        <f>KZ176-KY176</f>
        <v/>
      </c>
      <c r="LA177" s="1337">
        <f>LA176-KZ176</f>
        <v/>
      </c>
      <c r="LB177" s="1337">
        <f>LB176-LA176</f>
        <v/>
      </c>
      <c r="LC177" s="1337">
        <f>LC176-LB176</f>
        <v/>
      </c>
      <c r="LD177" s="1337">
        <f>LD176-LC176</f>
        <v/>
      </c>
      <c r="LE177" s="1337">
        <f>LE176-LD176</f>
        <v/>
      </c>
      <c r="LF177" s="1337">
        <f>LF176-LE176</f>
        <v/>
      </c>
      <c r="LG177" s="1337">
        <f>LG176-LF176</f>
        <v/>
      </c>
      <c r="LH177" s="1337">
        <f>LH176-LG176</f>
        <v/>
      </c>
      <c r="LI177" s="1337">
        <f>LI176-LH176</f>
        <v/>
      </c>
      <c r="LJ177" s="1337">
        <f>LJ176-LI176</f>
        <v/>
      </c>
      <c r="LK177" s="1337">
        <f>LK176-LJ176</f>
        <v/>
      </c>
      <c r="LL177" s="1337">
        <f>LL176-LK176</f>
        <v/>
      </c>
      <c r="LM177" s="1337">
        <f>LM176-LL176</f>
        <v/>
      </c>
      <c r="LN177" s="1337">
        <f>LN176-LM176</f>
        <v/>
      </c>
      <c r="LO177" s="1337">
        <f>LO176-LN176</f>
        <v/>
      </c>
      <c r="LP177" s="1337">
        <f>LP176-LO176</f>
        <v/>
      </c>
      <c r="LQ177" s="1337">
        <f>LQ176-LP176</f>
        <v/>
      </c>
      <c r="LR177" s="1337">
        <f>LR176-LQ176</f>
        <v/>
      </c>
      <c r="LS177" s="1337">
        <f>LS176-LR176</f>
        <v/>
      </c>
    </row>
    <row r="178">
      <c r="A178" s="885" t="inlineStr">
        <is>
          <t>YoY cg %</t>
        </is>
      </c>
      <c r="B178" s="904" t="n"/>
      <c r="C178" s="904" t="n"/>
      <c r="D178" s="904" t="n"/>
      <c r="E178" s="904" t="n"/>
      <c r="F178" s="904" t="n"/>
      <c r="G178" s="904" t="n"/>
      <c r="H178" s="904" t="n"/>
      <c r="I178" s="904" t="n"/>
      <c r="J178" s="904" t="n"/>
      <c r="K178" s="904" t="n"/>
      <c r="L178" s="904" t="n"/>
      <c r="M178" s="904" t="n"/>
      <c r="N178" s="904" t="n"/>
      <c r="O178" s="904" t="n"/>
      <c r="P178" s="904" t="n"/>
      <c r="Q178" s="904" t="n"/>
      <c r="R178" s="904" t="n"/>
      <c r="S178" s="904" t="n"/>
      <c r="T178" s="904" t="n"/>
      <c r="U178" s="904" t="n"/>
      <c r="V178" s="904" t="n"/>
      <c r="W178" s="904" t="n"/>
      <c r="X178" s="904" t="n"/>
      <c r="Y178" s="904" t="n"/>
      <c r="Z178" s="904" t="n"/>
      <c r="AA178" s="904" t="n"/>
      <c r="AB178" s="904" t="n"/>
      <c r="AC178" s="904" t="n"/>
      <c r="AD178" s="904" t="n"/>
      <c r="AE178" s="904" t="n"/>
      <c r="AF178" s="904" t="n"/>
      <c r="AG178" s="904" t="n"/>
      <c r="AH178" s="904" t="n"/>
      <c r="AI178" s="904" t="n"/>
      <c r="AJ178" s="904" t="n"/>
      <c r="AK178" s="904" t="n"/>
      <c r="AL178" s="904" t="n"/>
      <c r="AM178" s="904" t="n"/>
      <c r="AN178" s="904" t="n"/>
      <c r="AO178" s="904" t="n"/>
      <c r="AP178" s="904" t="n"/>
      <c r="AQ178" s="904" t="n"/>
      <c r="AR178" s="904" t="n"/>
      <c r="AS178" s="904" t="n"/>
      <c r="AT178" s="904" t="n"/>
      <c r="AU178" s="904" t="n"/>
      <c r="AV178" s="904" t="n"/>
      <c r="AW178" s="904" t="n"/>
      <c r="AX178" s="904" t="n"/>
      <c r="AY178" s="904" t="n"/>
      <c r="AZ178" s="904" t="n"/>
      <c r="BA178" s="904" t="n"/>
      <c r="BB178" s="904" t="n"/>
      <c r="BC178" s="904" t="n"/>
      <c r="BD178" s="904" t="n"/>
      <c r="BE178" s="904" t="n"/>
      <c r="BF178" s="904" t="n"/>
      <c r="BG178" s="904" t="n"/>
      <c r="BH178" s="904" t="n"/>
      <c r="BI178" s="904" t="n"/>
      <c r="BJ178" s="904" t="n"/>
      <c r="BK178" s="904" t="n"/>
      <c r="BL178" s="904" t="n"/>
      <c r="BM178" s="904" t="n"/>
      <c r="BN178" s="904" t="n"/>
      <c r="BO178" s="904" t="n"/>
      <c r="BP178" s="904" t="n"/>
      <c r="BQ178" s="904" t="n"/>
      <c r="BR178" s="904" t="n"/>
      <c r="BS178" s="904" t="n"/>
      <c r="BT178" s="904" t="n"/>
      <c r="BU178" s="904" t="n"/>
      <c r="BV178" s="904" t="n"/>
      <c r="BW178" s="904" t="n"/>
      <c r="BX178" s="904" t="n"/>
      <c r="BY178" s="904" t="n"/>
      <c r="BZ178" s="904" t="n"/>
      <c r="CA178" s="904" t="n"/>
      <c r="CB178" s="904" t="n"/>
      <c r="CC178" s="904" t="n"/>
      <c r="CD178" s="904" t="n"/>
      <c r="CE178" s="904" t="n"/>
      <c r="CF178" s="904" t="n"/>
      <c r="CG178" s="904" t="n"/>
      <c r="CH178" s="904" t="n"/>
      <c r="CI178" s="904" t="n"/>
      <c r="CJ178" s="904" t="n"/>
      <c r="CK178" s="904" t="n"/>
      <c r="CL178" s="904" t="n"/>
      <c r="CM178" s="904" t="n"/>
      <c r="CN178" s="904" t="n"/>
      <c r="CO178" s="904" t="n"/>
      <c r="CP178" s="904" t="n"/>
      <c r="CQ178" s="904" t="n"/>
      <c r="CR178" s="904" t="n"/>
      <c r="CS178" s="904" t="n"/>
      <c r="CT178" s="904" t="n"/>
      <c r="CU178" s="904" t="n"/>
      <c r="CV178" s="904" t="n"/>
      <c r="CW178" s="904" t="n"/>
      <c r="CX178" s="904" t="n"/>
      <c r="CY178" s="904" t="n"/>
      <c r="CZ178" s="904" t="n"/>
      <c r="DA178" s="904" t="n"/>
      <c r="DB178" s="904" t="n"/>
      <c r="DC178" s="904" t="n"/>
      <c r="DD178" s="904" t="n"/>
      <c r="DE178" s="904" t="n"/>
      <c r="DF178" s="904" t="n"/>
      <c r="DG178" s="904" t="n"/>
      <c r="DH178" s="904" t="n"/>
      <c r="DI178" s="904" t="n"/>
      <c r="DJ178" s="904" t="n"/>
      <c r="DK178" s="904" t="n"/>
      <c r="DL178" s="904" t="n"/>
      <c r="DM178" s="904" t="n"/>
      <c r="DN178" s="904" t="n"/>
      <c r="DO178" s="904" t="n"/>
      <c r="DP178" s="904" t="n"/>
      <c r="DQ178" s="904" t="n"/>
      <c r="DR178" s="904" t="n"/>
      <c r="DS178" s="904" t="n"/>
      <c r="DT178" s="904" t="n"/>
      <c r="DU178" s="904" t="n"/>
      <c r="DV178" s="904" t="n"/>
      <c r="DW178" s="904" t="n"/>
      <c r="DX178" s="904" t="n"/>
      <c r="DY178" s="904" t="n"/>
      <c r="DZ178" s="904" t="n"/>
      <c r="EA178" s="904" t="n"/>
      <c r="EB178" s="904" t="n"/>
      <c r="EC178" s="904" t="n"/>
      <c r="ED178" s="904" t="n"/>
      <c r="EE178" s="904" t="n"/>
      <c r="EF178" s="904" t="n"/>
      <c r="EG178" s="904" t="n"/>
      <c r="EH178" s="904" t="n"/>
      <c r="EI178" s="904" t="n"/>
      <c r="EJ178" s="904" t="n"/>
      <c r="EK178" s="904" t="n"/>
      <c r="EL178" s="904" t="n"/>
      <c r="EM178" s="904" t="n"/>
      <c r="EN178" s="904" t="n"/>
      <c r="EO178" s="904" t="n"/>
      <c r="EP178" s="904" t="n"/>
      <c r="EQ178" s="904" t="n"/>
      <c r="ER178" s="904" t="n"/>
      <c r="ES178" s="904" t="n"/>
      <c r="ET178" s="904" t="n"/>
      <c r="EU178" s="904" t="n"/>
      <c r="EV178" s="904" t="n"/>
      <c r="EW178" s="904" t="n"/>
      <c r="EX178" s="904" t="n"/>
      <c r="EY178" s="904" t="n"/>
      <c r="EZ178" s="904" t="n"/>
      <c r="FA178" s="904" t="n"/>
      <c r="FB178" s="904" t="n"/>
      <c r="FC178" s="904" t="n"/>
      <c r="FD178" s="904" t="n"/>
      <c r="FE178" s="904" t="n"/>
      <c r="FF178" s="904" t="n"/>
      <c r="FG178" s="904" t="n"/>
      <c r="FH178" s="904" t="n"/>
      <c r="FI178" s="904" t="n"/>
      <c r="FJ178" s="904" t="n"/>
      <c r="FK178" s="904" t="n"/>
      <c r="FL178" s="904" t="n"/>
      <c r="FM178" s="904" t="n"/>
      <c r="FN178" s="904" t="n"/>
      <c r="FO178" s="904" t="n"/>
      <c r="FP178" s="904" t="n"/>
      <c r="FQ178" s="904" t="n"/>
      <c r="FR178" s="904" t="n"/>
      <c r="FS178" s="904" t="n"/>
      <c r="FT178" s="904" t="n"/>
      <c r="FU178" s="904" t="n"/>
      <c r="FV178" s="904" t="n"/>
      <c r="FW178" s="904" t="n"/>
      <c r="FX178" s="904" t="n"/>
      <c r="FY178" s="904" t="n"/>
      <c r="FZ178" s="904" t="n"/>
      <c r="GA178" s="904" t="n"/>
      <c r="GB178" s="904" t="n"/>
      <c r="GC178" s="904" t="n"/>
      <c r="GD178" s="904" t="n"/>
      <c r="GE178" s="904" t="n"/>
      <c r="GF178" s="904" t="n"/>
      <c r="GG178" s="904" t="n"/>
      <c r="GH178" s="904" t="n"/>
      <c r="GI178" s="904" t="n"/>
      <c r="GJ178" s="904" t="n"/>
      <c r="GK178" s="904" t="n"/>
      <c r="GL178" s="904" t="n"/>
      <c r="GM178" s="904" t="n"/>
      <c r="GN178" s="904" t="n"/>
      <c r="GO178" s="904" t="n"/>
      <c r="GP178" s="904" t="n"/>
      <c r="GQ178" s="904" t="n"/>
      <c r="GR178" s="904" t="n"/>
      <c r="GS178" s="904" t="n"/>
      <c r="GT178" s="904" t="n"/>
      <c r="GU178" s="904" t="n"/>
      <c r="GV178" s="904" t="n"/>
      <c r="GW178" s="904" t="n"/>
      <c r="GX178" s="904" t="n"/>
      <c r="GY178" s="904" t="n"/>
      <c r="GZ178" s="904" t="n"/>
      <c r="HA178" s="904" t="n"/>
      <c r="HB178" s="904" t="n"/>
      <c r="HC178" s="904" t="n"/>
      <c r="HD178" s="904" t="n"/>
      <c r="HE178" s="904" t="n"/>
      <c r="HF178" s="904" t="n"/>
      <c r="HG178" s="904" t="n"/>
      <c r="HH178" s="904" t="n"/>
      <c r="HI178" s="904" t="n"/>
      <c r="HJ178" s="904" t="n"/>
      <c r="HK178" s="904" t="n"/>
      <c r="HL178" s="904" t="n"/>
      <c r="HM178" s="904" t="n"/>
      <c r="HN178" s="904" t="n"/>
      <c r="HO178" s="904" t="n"/>
      <c r="HP178" s="904" t="n"/>
      <c r="HQ178" s="904" t="n"/>
      <c r="HR178" s="904" t="n"/>
      <c r="HS178" s="904" t="n"/>
      <c r="HT178" s="904" t="n"/>
      <c r="HU178" s="904" t="n"/>
      <c r="HV178" s="904" t="n"/>
      <c r="HW178" s="904" t="n"/>
      <c r="HX178" s="904" t="n"/>
      <c r="HY178" s="904" t="n"/>
      <c r="HZ178" s="904" t="n"/>
      <c r="IA178" s="904" t="n"/>
      <c r="IB178" s="904" t="n"/>
      <c r="IC178" s="904" t="n"/>
      <c r="ID178" s="904" t="n"/>
      <c r="IE178" s="904" t="n"/>
      <c r="IF178" s="904" t="n"/>
      <c r="IG178" s="904" t="n"/>
      <c r="IH178" s="904" t="n"/>
      <c r="II178" s="904" t="n"/>
      <c r="IJ178" s="904" t="n"/>
      <c r="IK178" s="904" t="n"/>
      <c r="IL178" s="904" t="n"/>
      <c r="IM178" s="904" t="n"/>
      <c r="IN178" s="904" t="n"/>
      <c r="IO178" s="904" t="n"/>
      <c r="IP178" s="904" t="n"/>
      <c r="IQ178" s="904" t="n"/>
      <c r="IR178" s="904" t="n"/>
      <c r="IS178" s="904" t="n"/>
      <c r="IT178" s="904" t="n"/>
      <c r="IU178" s="904" t="n"/>
      <c r="IV178" s="904" t="n"/>
      <c r="IW178" s="904" t="n"/>
      <c r="IX178" s="904" t="n"/>
      <c r="IY178" s="904" t="n"/>
      <c r="IZ178" s="904" t="n"/>
      <c r="JA178" s="904" t="n"/>
      <c r="JB178" s="904" t="n"/>
      <c r="JC178" s="904" t="n"/>
      <c r="JD178" s="904" t="n"/>
      <c r="JE178" s="904" t="n"/>
      <c r="JF178" s="904" t="n"/>
      <c r="JG178" s="904" t="n"/>
      <c r="JH178" s="904" t="n"/>
      <c r="JI178" s="904" t="n"/>
      <c r="JJ178" s="904" t="n"/>
      <c r="JK178" s="904" t="n"/>
      <c r="JL178" s="904" t="n"/>
      <c r="JM178" s="904" t="n"/>
      <c r="JN178" s="904" t="n"/>
      <c r="JO178" s="904" t="n"/>
      <c r="JP178" s="904" t="n"/>
      <c r="JQ178" s="904" t="n"/>
      <c r="JR178" s="904" t="n"/>
      <c r="JS178" s="904" t="n"/>
      <c r="JT178" s="904" t="n"/>
      <c r="JU178" s="904" t="n"/>
      <c r="JV178" s="904" t="n"/>
      <c r="JW178" s="904" t="n"/>
      <c r="JX178" s="904" t="n"/>
      <c r="JY178" s="904" t="n"/>
      <c r="JZ178" s="904" t="n"/>
      <c r="KA178" s="904" t="n"/>
      <c r="KB178" s="904" t="n"/>
      <c r="KC178" s="904" t="n"/>
      <c r="KD178" s="904" t="n"/>
      <c r="KE178" s="904" t="n"/>
      <c r="KF178" s="904" t="n"/>
      <c r="KG178" s="904" t="n"/>
      <c r="KH178" s="904" t="n"/>
      <c r="KI178" s="904" t="n"/>
      <c r="KJ178" s="904" t="n"/>
      <c r="KK178" s="904" t="n"/>
      <c r="KL178" s="904" t="n"/>
      <c r="KM178" s="904" t="n"/>
      <c r="KN178" s="904" t="n"/>
      <c r="KO178" s="904" t="n"/>
      <c r="KP178" s="904" t="n"/>
      <c r="KQ178" s="904" t="n"/>
      <c r="KR178" s="904" t="n"/>
      <c r="KS178" s="904" t="n"/>
      <c r="KT178" s="904" t="n"/>
      <c r="KU178" s="904" t="n"/>
      <c r="KV178" s="904" t="n"/>
      <c r="KW178" s="904" t="n"/>
      <c r="KX178" s="904" t="n"/>
      <c r="KY178" s="904" t="n"/>
      <c r="KZ178" s="904" t="n"/>
      <c r="LA178" s="904" t="n"/>
      <c r="LB178" s="904" t="n"/>
      <c r="LC178" s="1337">
        <f>LC176-KQ176</f>
        <v/>
      </c>
      <c r="LD178" s="1337">
        <f>LD176-KR176</f>
        <v/>
      </c>
      <c r="LE178" s="1337">
        <f>LE176-KS176</f>
        <v/>
      </c>
      <c r="LF178" s="1337">
        <f>LF176-KT176</f>
        <v/>
      </c>
      <c r="LG178" s="1337">
        <f>LG176-KU176</f>
        <v/>
      </c>
      <c r="LH178" s="1337">
        <f>LH176-KV176</f>
        <v/>
      </c>
      <c r="LI178" s="1337">
        <f>LI176-KW176</f>
        <v/>
      </c>
      <c r="LJ178" s="1337">
        <f>LJ176-KX176</f>
        <v/>
      </c>
      <c r="LK178" s="1337">
        <f>LK176-KY176</f>
        <v/>
      </c>
      <c r="LL178" s="1337">
        <f>LL176-KZ176</f>
        <v/>
      </c>
      <c r="LM178" s="1337">
        <f>LM176-LA176</f>
        <v/>
      </c>
      <c r="LN178" s="1337">
        <f>LN176-LB176</f>
        <v/>
      </c>
      <c r="LO178" s="1337">
        <f>LO176-LC176</f>
        <v/>
      </c>
      <c r="LP178" s="1337">
        <f>LP176-LD176</f>
        <v/>
      </c>
      <c r="LQ178" s="1337">
        <f>LQ176-LE176</f>
        <v/>
      </c>
      <c r="LR178" s="1337">
        <f>LR176-LF176</f>
        <v/>
      </c>
      <c r="LS178" s="1337">
        <f>LS176-LG176</f>
        <v/>
      </c>
    </row>
    <row r="179">
      <c r="A179" s="885" t="inlineStr">
        <is>
          <t>YTD</t>
        </is>
      </c>
      <c r="B179" s="904" t="n"/>
      <c r="C179" s="904" t="n"/>
      <c r="D179" s="904" t="n"/>
      <c r="E179" s="904" t="n"/>
      <c r="F179" s="904" t="n"/>
      <c r="G179" s="904" t="n"/>
      <c r="H179" s="904" t="n"/>
      <c r="I179" s="904" t="n"/>
      <c r="J179" s="904" t="n"/>
      <c r="K179" s="904" t="n"/>
      <c r="L179" s="904" t="n"/>
      <c r="M179" s="904" t="n"/>
      <c r="N179" s="904" t="n"/>
      <c r="O179" s="904" t="n"/>
      <c r="P179" s="904" t="n"/>
      <c r="Q179" s="904" t="n"/>
      <c r="R179" s="904" t="n"/>
      <c r="S179" s="904" t="n"/>
      <c r="T179" s="904" t="n"/>
      <c r="U179" s="904" t="n"/>
      <c r="V179" s="904" t="n"/>
      <c r="W179" s="904" t="n"/>
      <c r="X179" s="904" t="n"/>
      <c r="Y179" s="904" t="n"/>
      <c r="Z179" s="904" t="n"/>
      <c r="AA179" s="904" t="n"/>
      <c r="AB179" s="904" t="n"/>
      <c r="AC179" s="904" t="n"/>
      <c r="AD179" s="904" t="n"/>
      <c r="AE179" s="904" t="n"/>
      <c r="AF179" s="904" t="n"/>
      <c r="AG179" s="904" t="n"/>
      <c r="AH179" s="904" t="n"/>
      <c r="AI179" s="904" t="n"/>
      <c r="AJ179" s="904" t="n"/>
      <c r="AK179" s="904" t="n"/>
      <c r="AL179" s="904" t="n"/>
      <c r="AM179" s="904" t="n"/>
      <c r="AN179" s="904" t="n"/>
      <c r="AO179" s="904" t="n"/>
      <c r="AP179" s="904" t="n"/>
      <c r="AQ179" s="904" t="n"/>
      <c r="AR179" s="904" t="n"/>
      <c r="AS179" s="904" t="n"/>
      <c r="AT179" s="904" t="n"/>
      <c r="AU179" s="904" t="n"/>
      <c r="AV179" s="904" t="n"/>
      <c r="AW179" s="904" t="n"/>
      <c r="AX179" s="904" t="n"/>
      <c r="AY179" s="904" t="n"/>
      <c r="AZ179" s="904" t="n"/>
      <c r="BA179" s="904" t="n"/>
      <c r="BB179" s="904" t="n"/>
      <c r="BC179" s="904" t="n"/>
      <c r="BD179" s="904" t="n"/>
      <c r="BE179" s="904" t="n"/>
      <c r="BF179" s="904" t="n"/>
      <c r="BG179" s="904" t="n"/>
      <c r="BH179" s="904" t="n"/>
      <c r="BI179" s="904" t="n"/>
      <c r="BJ179" s="904" t="n"/>
      <c r="BK179" s="904" t="n"/>
      <c r="BL179" s="904" t="n"/>
      <c r="BM179" s="904" t="n"/>
      <c r="BN179" s="904" t="n"/>
      <c r="BO179" s="904" t="n"/>
      <c r="BP179" s="904" t="n"/>
      <c r="BQ179" s="904" t="n"/>
      <c r="BR179" s="904" t="n"/>
      <c r="BS179" s="904" t="n"/>
      <c r="BT179" s="904" t="n"/>
      <c r="BU179" s="904" t="n"/>
      <c r="BV179" s="904" t="n"/>
      <c r="BW179" s="904" t="n"/>
      <c r="BX179" s="904" t="n"/>
      <c r="BY179" s="904" t="n"/>
      <c r="BZ179" s="904" t="n"/>
      <c r="CA179" s="904" t="n"/>
      <c r="CB179" s="904" t="n"/>
      <c r="CC179" s="904" t="n"/>
      <c r="CD179" s="904" t="n"/>
      <c r="CE179" s="904" t="n"/>
      <c r="CF179" s="904" t="n"/>
      <c r="CG179" s="904" t="n"/>
      <c r="CH179" s="904" t="n"/>
      <c r="CI179" s="904" t="n"/>
      <c r="CJ179" s="904" t="n"/>
      <c r="CK179" s="904" t="n"/>
      <c r="CL179" s="904" t="n"/>
      <c r="CM179" s="904" t="n"/>
      <c r="CN179" s="904" t="n"/>
      <c r="CO179" s="904" t="n"/>
      <c r="CP179" s="904" t="n"/>
      <c r="CQ179" s="904" t="n"/>
      <c r="CR179" s="904" t="n"/>
      <c r="CS179" s="904" t="n"/>
      <c r="CT179" s="904" t="n"/>
      <c r="CU179" s="904" t="n"/>
      <c r="CV179" s="904" t="n"/>
      <c r="CW179" s="904" t="n"/>
      <c r="CX179" s="904" t="n"/>
      <c r="CY179" s="904" t="n"/>
      <c r="CZ179" s="904" t="n"/>
      <c r="DA179" s="904" t="n"/>
      <c r="DB179" s="904" t="n"/>
      <c r="DC179" s="904" t="n"/>
      <c r="DD179" s="904" t="n"/>
      <c r="DE179" s="904" t="n"/>
      <c r="DF179" s="904" t="n"/>
      <c r="DG179" s="904" t="n"/>
      <c r="DH179" s="904" t="n"/>
      <c r="DI179" s="904" t="n"/>
      <c r="DJ179" s="904" t="n"/>
      <c r="DK179" s="904" t="n"/>
      <c r="DL179" s="904" t="n"/>
      <c r="DM179" s="904" t="n"/>
      <c r="DN179" s="904" t="n"/>
      <c r="DO179" s="904" t="n"/>
      <c r="DP179" s="904" t="n"/>
      <c r="DQ179" s="904" t="n"/>
      <c r="DR179" s="904" t="n"/>
      <c r="DS179" s="904" t="n"/>
      <c r="DT179" s="904" t="n"/>
      <c r="DU179" s="904" t="n"/>
      <c r="DV179" s="904" t="n"/>
      <c r="DW179" s="904" t="n"/>
      <c r="DX179" s="904" t="n"/>
      <c r="DY179" s="904" t="n"/>
      <c r="DZ179" s="904" t="n"/>
      <c r="EA179" s="904" t="n"/>
      <c r="EB179" s="904" t="n"/>
      <c r="EC179" s="904" t="n"/>
      <c r="ED179" s="904" t="n"/>
      <c r="EE179" s="904" t="n"/>
      <c r="EF179" s="904" t="n"/>
      <c r="EG179" s="904" t="n"/>
      <c r="EH179" s="904" t="n"/>
      <c r="EI179" s="904" t="n"/>
      <c r="EJ179" s="904" t="n"/>
      <c r="EK179" s="904" t="n"/>
      <c r="EL179" s="904" t="n"/>
      <c r="EM179" s="904" t="n"/>
      <c r="EN179" s="904" t="n"/>
      <c r="EO179" s="904" t="n"/>
      <c r="EP179" s="904" t="n"/>
      <c r="EQ179" s="904" t="n"/>
      <c r="ER179" s="904" t="n"/>
      <c r="ES179" s="904" t="n"/>
      <c r="ET179" s="904" t="n"/>
      <c r="EU179" s="904" t="n"/>
      <c r="EV179" s="904" t="n"/>
      <c r="EW179" s="904" t="n"/>
      <c r="EX179" s="904" t="n"/>
      <c r="EY179" s="904" t="n"/>
      <c r="EZ179" s="904" t="n"/>
      <c r="FA179" s="904" t="n"/>
      <c r="FB179" s="904" t="n"/>
      <c r="FC179" s="904" t="n"/>
      <c r="FD179" s="904" t="n"/>
      <c r="FE179" s="904" t="n"/>
      <c r="FF179" s="904" t="n"/>
      <c r="FG179" s="904" t="n"/>
      <c r="FH179" s="904" t="n"/>
      <c r="FI179" s="904" t="n"/>
      <c r="FJ179" s="904" t="n"/>
      <c r="FK179" s="904" t="n"/>
      <c r="FL179" s="904" t="n"/>
      <c r="FM179" s="904" t="n"/>
      <c r="FN179" s="904" t="n"/>
      <c r="FO179" s="904" t="n"/>
      <c r="FP179" s="904" t="n"/>
      <c r="FQ179" s="904" t="n"/>
      <c r="FR179" s="904" t="n"/>
      <c r="FS179" s="904" t="n"/>
      <c r="FT179" s="904" t="n"/>
      <c r="FU179" s="904" t="n"/>
      <c r="FV179" s="904" t="n"/>
      <c r="FW179" s="904" t="n"/>
      <c r="FX179" s="904" t="n"/>
      <c r="FY179" s="904" t="n"/>
      <c r="FZ179" s="904" t="n"/>
      <c r="GA179" s="904" t="n"/>
      <c r="GB179" s="904" t="n"/>
      <c r="GC179" s="904" t="n"/>
      <c r="GD179" s="904" t="n"/>
      <c r="GE179" s="904" t="n"/>
      <c r="GF179" s="904" t="n"/>
      <c r="GG179" s="904" t="n"/>
      <c r="GH179" s="904" t="n"/>
      <c r="GI179" s="904" t="n"/>
      <c r="GJ179" s="904" t="n"/>
      <c r="GK179" s="904" t="n"/>
      <c r="GL179" s="904" t="n"/>
      <c r="GM179" s="904" t="n"/>
      <c r="GN179" s="904" t="n"/>
      <c r="GO179" s="904" t="n"/>
      <c r="GP179" s="904" t="n"/>
      <c r="GQ179" s="904" t="n"/>
      <c r="GR179" s="904" t="n"/>
      <c r="GS179" s="904" t="n"/>
      <c r="GT179" s="904" t="n"/>
      <c r="GU179" s="904" t="n"/>
      <c r="GV179" s="904" t="n"/>
      <c r="GW179" s="904" t="n"/>
      <c r="GX179" s="904" t="n"/>
      <c r="GY179" s="904" t="n"/>
      <c r="GZ179" s="904" t="n"/>
      <c r="HA179" s="904" t="n"/>
      <c r="HB179" s="904" t="n"/>
      <c r="HC179" s="904" t="n"/>
      <c r="HD179" s="904" t="n"/>
      <c r="HE179" s="904" t="n"/>
      <c r="HF179" s="904" t="n"/>
      <c r="HG179" s="904" t="n"/>
      <c r="HH179" s="904" t="n"/>
      <c r="HI179" s="904" t="n"/>
      <c r="HJ179" s="904" t="n"/>
      <c r="HK179" s="904" t="n"/>
      <c r="HL179" s="904" t="n"/>
      <c r="HM179" s="904" t="n"/>
      <c r="HN179" s="904" t="n"/>
      <c r="HO179" s="904" t="n"/>
      <c r="HP179" s="904" t="n"/>
      <c r="HQ179" s="904" t="n"/>
      <c r="HR179" s="904" t="n"/>
      <c r="HS179" s="904" t="n"/>
      <c r="HT179" s="904" t="n"/>
      <c r="HU179" s="904" t="n"/>
      <c r="HV179" s="904" t="n"/>
      <c r="HW179" s="904" t="n"/>
      <c r="HX179" s="904" t="n"/>
      <c r="HY179" s="904" t="n"/>
      <c r="HZ179" s="904" t="n"/>
      <c r="IA179" s="904" t="n"/>
      <c r="IB179" s="904" t="n"/>
      <c r="IC179" s="904" t="n"/>
      <c r="ID179" s="904" t="n"/>
      <c r="IE179" s="904" t="n"/>
      <c r="IF179" s="904" t="n"/>
      <c r="IG179" s="904" t="n"/>
      <c r="IH179" s="904" t="n"/>
      <c r="II179" s="904" t="n"/>
      <c r="IJ179" s="904" t="n"/>
      <c r="IK179" s="904" t="n"/>
      <c r="IL179" s="904" t="n"/>
      <c r="IM179" s="904" t="n"/>
      <c r="IN179" s="904" t="n"/>
      <c r="IO179" s="904" t="n"/>
      <c r="IP179" s="904" t="n"/>
      <c r="IQ179" s="904" t="n"/>
      <c r="IR179" s="904" t="n"/>
      <c r="IS179" s="904" t="n"/>
      <c r="IT179" s="904" t="n"/>
      <c r="IU179" s="904" t="n"/>
      <c r="IV179" s="904" t="n"/>
      <c r="IW179" s="904" t="n"/>
      <c r="IX179" s="904" t="n"/>
      <c r="IY179" s="904" t="n"/>
      <c r="IZ179" s="904" t="n"/>
      <c r="JA179" s="904" t="n"/>
      <c r="JB179" s="904" t="n"/>
      <c r="JC179" s="904" t="n"/>
      <c r="JD179" s="904" t="n"/>
      <c r="JE179" s="904" t="n"/>
      <c r="JF179" s="904" t="n"/>
      <c r="JG179" s="904" t="n"/>
      <c r="JH179" s="904" t="n"/>
      <c r="JI179" s="904" t="n"/>
      <c r="JJ179" s="904" t="n"/>
      <c r="JK179" s="904" t="n"/>
      <c r="JL179" s="904" t="n"/>
      <c r="JM179" s="904" t="n"/>
      <c r="JN179" s="904" t="n"/>
      <c r="JO179" s="904" t="n"/>
      <c r="JP179" s="904" t="n"/>
      <c r="JQ179" s="904" t="n"/>
      <c r="JR179" s="904" t="n"/>
      <c r="JS179" s="904" t="n"/>
      <c r="JT179" s="904" t="n"/>
      <c r="JU179" s="904" t="n"/>
      <c r="JV179" s="904" t="n"/>
      <c r="JW179" s="904" t="n"/>
      <c r="JX179" s="904" t="n"/>
      <c r="JY179" s="904" t="n"/>
      <c r="JZ179" s="904" t="n"/>
      <c r="KA179" s="904" t="n"/>
      <c r="KB179" s="904" t="n"/>
      <c r="KC179" s="904" t="n"/>
      <c r="KD179" s="904" t="n"/>
      <c r="KE179" s="904" t="n"/>
      <c r="KF179" s="904" t="n"/>
      <c r="KG179" s="904" t="n"/>
      <c r="KH179" s="904" t="n"/>
      <c r="KI179" s="904" t="n"/>
      <c r="KJ179" s="904" t="n"/>
      <c r="KK179" s="904" t="n"/>
      <c r="KL179" s="904" t="n"/>
      <c r="KM179" s="904" t="n"/>
      <c r="KN179" s="904" t="n"/>
      <c r="KO179" s="904" t="n"/>
      <c r="KP179" s="1318">
        <f>SUMIFS(172:172,$8:$8,"&gt;="&amp;DATE(YEAR(KP$8),1,1),$8:$8,"&lt;="&amp;EOMONTH(KP$8,0))/SUMIFS(168:168,$8:$8,"&gt;="&amp;DATE(YEAR(KP$8),1,1),$8:$8,"&lt;="&amp;EOMONTH(KP$8,0))</f>
        <v/>
      </c>
      <c r="KQ179" s="1318">
        <f>SUMIFS(172:172,$8:$8,"&gt;="&amp;DATE(YEAR(KQ$8),1,1),$8:$8,"&lt;="&amp;EOMONTH(KQ$8,0))/SUMIFS(168:168,$8:$8,"&gt;="&amp;DATE(YEAR(KQ$8),1,1),$8:$8,"&lt;="&amp;EOMONTH(KQ$8,0))</f>
        <v/>
      </c>
      <c r="KR179" s="1318">
        <f>SUMIFS(172:172,$8:$8,"&gt;="&amp;DATE(YEAR(KR$8),1,1),$8:$8,"&lt;="&amp;EOMONTH(KR$8,0))/SUMIFS(168:168,$8:$8,"&gt;="&amp;DATE(YEAR(KR$8),1,1),$8:$8,"&lt;="&amp;EOMONTH(KR$8,0))</f>
        <v/>
      </c>
      <c r="KS179" s="1318">
        <f>SUMIFS(172:172,$8:$8,"&gt;="&amp;DATE(YEAR(KS$8),1,1),$8:$8,"&lt;="&amp;EOMONTH(KS$8,0))/SUMIFS(168:168,$8:$8,"&gt;="&amp;DATE(YEAR(KS$8),1,1),$8:$8,"&lt;="&amp;EOMONTH(KS$8,0))</f>
        <v/>
      </c>
      <c r="KT179" s="1318">
        <f>SUMIFS(172:172,$8:$8,"&gt;="&amp;DATE(YEAR(KT$8),1,1),$8:$8,"&lt;="&amp;EOMONTH(KT$8,0))/SUMIFS(168:168,$8:$8,"&gt;="&amp;DATE(YEAR(KT$8),1,1),$8:$8,"&lt;="&amp;EOMONTH(KT$8,0))</f>
        <v/>
      </c>
      <c r="KU179" s="1318">
        <f>SUMIFS(172:172,$8:$8,"&gt;="&amp;DATE(YEAR(KU$8),1,1),$8:$8,"&lt;="&amp;EOMONTH(KU$8,0))/SUMIFS(168:168,$8:$8,"&gt;="&amp;DATE(YEAR(KU$8),1,1),$8:$8,"&lt;="&amp;EOMONTH(KU$8,0))</f>
        <v/>
      </c>
      <c r="KV179" s="1318">
        <f>SUMIFS(172:172,$8:$8,"&gt;="&amp;DATE(YEAR(KV$8),1,1),$8:$8,"&lt;="&amp;EOMONTH(KV$8,0))/SUMIFS(168:168,$8:$8,"&gt;="&amp;DATE(YEAR(KV$8),1,1),$8:$8,"&lt;="&amp;EOMONTH(KV$8,0))</f>
        <v/>
      </c>
      <c r="KW179" s="1318">
        <f>SUMIFS(172:172,$8:$8,"&gt;="&amp;DATE(YEAR(KW$8),1,1),$8:$8,"&lt;="&amp;EOMONTH(KW$8,0))/SUMIFS(168:168,$8:$8,"&gt;="&amp;DATE(YEAR(KW$8),1,1),$8:$8,"&lt;="&amp;EOMONTH(KW$8,0))</f>
        <v/>
      </c>
      <c r="KX179" s="1318">
        <f>SUMIFS(172:172,$8:$8,"&gt;="&amp;DATE(YEAR(KX$8),1,1),$8:$8,"&lt;="&amp;EOMONTH(KX$8,0))/SUMIFS(168:168,$8:$8,"&gt;="&amp;DATE(YEAR(KX$8),1,1),$8:$8,"&lt;="&amp;EOMONTH(KX$8,0))</f>
        <v/>
      </c>
      <c r="KY179" s="1318">
        <f>SUMIFS(172:172,$8:$8,"&gt;="&amp;DATE(YEAR(KY$8),1,1),$8:$8,"&lt;="&amp;EOMONTH(KY$8,0))/SUMIFS(168:168,$8:$8,"&gt;="&amp;DATE(YEAR(KY$8),1,1),$8:$8,"&lt;="&amp;EOMONTH(KY$8,0))</f>
        <v/>
      </c>
      <c r="KZ179" s="1318">
        <f>SUMIFS(172:172,$8:$8,"&gt;="&amp;DATE(YEAR(KZ$8),1,1),$8:$8,"&lt;="&amp;EOMONTH(KZ$8,0))/SUMIFS(168:168,$8:$8,"&gt;="&amp;DATE(YEAR(KZ$8),1,1),$8:$8,"&lt;="&amp;EOMONTH(KZ$8,0))</f>
        <v/>
      </c>
      <c r="LA179" s="1318">
        <f>SUMIFS(172:172,$8:$8,"&gt;="&amp;DATE(YEAR(LA$8),1,1),$8:$8,"&lt;="&amp;EOMONTH(LA$8,0))/SUMIFS(168:168,$8:$8,"&gt;="&amp;DATE(YEAR(LA$8),1,1),$8:$8,"&lt;="&amp;EOMONTH(LA$8,0))</f>
        <v/>
      </c>
      <c r="LB179" s="1318">
        <f>SUMIFS(172:172,$8:$8,"&gt;="&amp;DATE(YEAR(LB$8),1,1),$8:$8,"&lt;="&amp;EOMONTH(LB$8,0))/SUMIFS(168:168,$8:$8,"&gt;="&amp;DATE(YEAR(LB$8),1,1),$8:$8,"&lt;="&amp;EOMONTH(LB$8,0))</f>
        <v/>
      </c>
      <c r="LC179" s="1318">
        <f>SUMIFS(172:172,$8:$8,"&gt;="&amp;DATE(YEAR(LC$8),1,1),$8:$8,"&lt;="&amp;EOMONTH(LC$8,0))/SUMIFS(168:168,$8:$8,"&gt;="&amp;DATE(YEAR(LC$8),1,1),$8:$8,"&lt;="&amp;EOMONTH(LC$8,0))</f>
        <v/>
      </c>
      <c r="LD179" s="1318">
        <f>SUMIFS(172:172,$8:$8,"&gt;="&amp;DATE(YEAR(LD$8),1,1),$8:$8,"&lt;="&amp;EOMONTH(LD$8,0))/SUMIFS(168:168,$8:$8,"&gt;="&amp;DATE(YEAR(LD$8),1,1),$8:$8,"&lt;="&amp;EOMONTH(LD$8,0))</f>
        <v/>
      </c>
      <c r="LE179" s="1318">
        <f>SUMIFS(172:172,$8:$8,"&gt;="&amp;DATE(YEAR(LE$8),1,1),$8:$8,"&lt;="&amp;EOMONTH(LE$8,0))/SUMIFS(168:168,$8:$8,"&gt;="&amp;DATE(YEAR(LE$8),1,1),$8:$8,"&lt;="&amp;EOMONTH(LE$8,0))</f>
        <v/>
      </c>
      <c r="LF179" s="1318">
        <f>SUMIFS(172:172,$8:$8,"&gt;="&amp;DATE(YEAR(LF$8),1,1),$8:$8,"&lt;="&amp;EOMONTH(LF$8,0))/SUMIFS(168:168,$8:$8,"&gt;="&amp;DATE(YEAR(LF$8),1,1),$8:$8,"&lt;="&amp;EOMONTH(LF$8,0))</f>
        <v/>
      </c>
      <c r="LG179" s="1318">
        <f>SUMIFS(172:172,$8:$8,"&gt;="&amp;DATE(YEAR(LG$8),1,1),$8:$8,"&lt;="&amp;EOMONTH(LG$8,0))/SUMIFS(168:168,$8:$8,"&gt;="&amp;DATE(YEAR(LG$8),1,1),$8:$8,"&lt;="&amp;EOMONTH(LG$8,0))</f>
        <v/>
      </c>
      <c r="LH179" s="1318">
        <f>SUMIFS(172:172,$8:$8,"&gt;="&amp;DATE(YEAR(LH$8),1,1),$8:$8,"&lt;="&amp;EOMONTH(LH$8,0))/SUMIFS(168:168,$8:$8,"&gt;="&amp;DATE(YEAR(LH$8),1,1),$8:$8,"&lt;="&amp;EOMONTH(LH$8,0))</f>
        <v/>
      </c>
      <c r="LI179" s="1318">
        <f>SUMIFS(172:172,$8:$8,"&gt;="&amp;DATE(YEAR(LI$8),1,1),$8:$8,"&lt;="&amp;EOMONTH(LI$8,0))/SUMIFS(168:168,$8:$8,"&gt;="&amp;DATE(YEAR(LI$8),1,1),$8:$8,"&lt;="&amp;EOMONTH(LI$8,0))</f>
        <v/>
      </c>
      <c r="LJ179" s="1318">
        <f>SUMIFS(172:172,$8:$8,"&gt;="&amp;DATE(YEAR(LJ$8),1,1),$8:$8,"&lt;="&amp;EOMONTH(LJ$8,0))/SUMIFS(168:168,$8:$8,"&gt;="&amp;DATE(YEAR(LJ$8),1,1),$8:$8,"&lt;="&amp;EOMONTH(LJ$8,0))</f>
        <v/>
      </c>
      <c r="LK179" s="1318">
        <f>SUMIFS(172:172,$8:$8,"&gt;="&amp;DATE(YEAR(LK$8),1,1),$8:$8,"&lt;="&amp;EOMONTH(LK$8,0))/SUMIFS(168:168,$8:$8,"&gt;="&amp;DATE(YEAR(LK$8),1,1),$8:$8,"&lt;="&amp;EOMONTH(LK$8,0))</f>
        <v/>
      </c>
      <c r="LL179" s="1318">
        <f>SUMIFS(172:172,$8:$8,"&gt;="&amp;DATE(YEAR(LL$8),1,1),$8:$8,"&lt;="&amp;EOMONTH(LL$8,0))/SUMIFS(168:168,$8:$8,"&gt;="&amp;DATE(YEAR(LL$8),1,1),$8:$8,"&lt;="&amp;EOMONTH(LL$8,0))</f>
        <v/>
      </c>
      <c r="LM179" s="1318">
        <f>SUMIFS(172:172,$8:$8,"&gt;="&amp;DATE(YEAR(LM$8),1,1),$8:$8,"&lt;="&amp;EOMONTH(LM$8,0))/SUMIFS(168:168,$8:$8,"&gt;="&amp;DATE(YEAR(LM$8),1,1),$8:$8,"&lt;="&amp;EOMONTH(LM$8,0))</f>
        <v/>
      </c>
      <c r="LN179" s="1318">
        <f>SUMIFS(172:172,$8:$8,"&gt;="&amp;DATE(YEAR(LN$8),1,1),$8:$8,"&lt;="&amp;EOMONTH(LN$8,0))/SUMIFS(168:168,$8:$8,"&gt;="&amp;DATE(YEAR(LN$8),1,1),$8:$8,"&lt;="&amp;EOMONTH(LN$8,0))</f>
        <v/>
      </c>
      <c r="LO179" s="1318">
        <f>SUMIFS(172:172,$8:$8,"&gt;="&amp;DATE(YEAR(LO$8),1,1),$8:$8,"&lt;="&amp;EOMONTH(LO$8,0))/SUMIFS(168:168,$8:$8,"&gt;="&amp;DATE(YEAR(LO$8),1,1),$8:$8,"&lt;="&amp;EOMONTH(LO$8,0))</f>
        <v/>
      </c>
      <c r="LP179" s="1318">
        <f>SUMIFS(172:172,$8:$8,"&gt;="&amp;DATE(YEAR(LP$8),1,1),$8:$8,"&lt;="&amp;EOMONTH(LP$8,0))/SUMIFS(168:168,$8:$8,"&gt;="&amp;DATE(YEAR(LP$8),1,1),$8:$8,"&lt;="&amp;EOMONTH(LP$8,0))</f>
        <v/>
      </c>
      <c r="LQ179" s="1318">
        <f>SUMIFS(172:172,$8:$8,"&gt;="&amp;DATE(YEAR(LQ$8),1,1),$8:$8,"&lt;="&amp;EOMONTH(LQ$8,0))/SUMIFS(168:168,$8:$8,"&gt;="&amp;DATE(YEAR(LQ$8),1,1),$8:$8,"&lt;="&amp;EOMONTH(LQ$8,0))</f>
        <v/>
      </c>
      <c r="LR179" s="1318">
        <f>SUMIFS(172:172,$8:$8,"&gt;="&amp;DATE(YEAR(LR$8),1,1),$8:$8,"&lt;="&amp;EOMONTH(LR$8,0))/SUMIFS(168:168,$8:$8,"&gt;="&amp;DATE(YEAR(LR$8),1,1),$8:$8,"&lt;="&amp;EOMONTH(LR$8,0))</f>
        <v/>
      </c>
      <c r="LS179" s="1318">
        <f>SUMIFS(172:172,$8:$8,"&gt;="&amp;DATE(YEAR(LS$8),1,1),$8:$8,"&lt;="&amp;EOMONTH(LS$8,0))/SUMIFS(168:168,$8:$8,"&gt;="&amp;DATE(YEAR(LS$8),1,1),$8:$8,"&lt;="&amp;EOMONTH(LS$8,0))</f>
        <v/>
      </c>
    </row>
    <row r="180">
      <c r="A180" s="885" t="inlineStr">
        <is>
          <t>YTD cg %</t>
        </is>
      </c>
      <c r="B180" s="904" t="n"/>
      <c r="C180" s="904" t="n"/>
      <c r="D180" s="904" t="n"/>
      <c r="E180" s="904" t="n"/>
      <c r="F180" s="904" t="n"/>
      <c r="G180" s="904" t="n"/>
      <c r="H180" s="904" t="n"/>
      <c r="I180" s="904" t="n"/>
      <c r="J180" s="904" t="n"/>
      <c r="K180" s="904" t="n"/>
      <c r="L180" s="904" t="n"/>
      <c r="M180" s="904" t="n"/>
      <c r="N180" s="904" t="n"/>
      <c r="O180" s="904" t="n"/>
      <c r="P180" s="904" t="n"/>
      <c r="Q180" s="904" t="n"/>
      <c r="R180" s="904" t="n"/>
      <c r="S180" s="904" t="n"/>
      <c r="T180" s="904" t="n"/>
      <c r="U180" s="904" t="n"/>
      <c r="V180" s="904" t="n"/>
      <c r="W180" s="904" t="n"/>
      <c r="X180" s="904" t="n"/>
      <c r="Y180" s="904" t="n"/>
      <c r="Z180" s="904" t="n"/>
      <c r="AA180" s="904" t="n"/>
      <c r="AB180" s="904" t="n"/>
      <c r="AC180" s="904" t="n"/>
      <c r="AD180" s="904" t="n"/>
      <c r="AE180" s="904" t="n"/>
      <c r="AF180" s="904" t="n"/>
      <c r="AG180" s="904" t="n"/>
      <c r="AH180" s="904" t="n"/>
      <c r="AI180" s="904" t="n"/>
      <c r="AJ180" s="904" t="n"/>
      <c r="AK180" s="904" t="n"/>
      <c r="AL180" s="904" t="n"/>
      <c r="AM180" s="904" t="n"/>
      <c r="AN180" s="904" t="n"/>
      <c r="AO180" s="904" t="n"/>
      <c r="AP180" s="904" t="n"/>
      <c r="AQ180" s="904" t="n"/>
      <c r="AR180" s="904" t="n"/>
      <c r="AS180" s="904" t="n"/>
      <c r="AT180" s="904" t="n"/>
      <c r="AU180" s="904" t="n"/>
      <c r="AV180" s="904" t="n"/>
      <c r="AW180" s="904" t="n"/>
      <c r="AX180" s="904" t="n"/>
      <c r="AY180" s="904" t="n"/>
      <c r="AZ180" s="904" t="n"/>
      <c r="BA180" s="904" t="n"/>
      <c r="BB180" s="904" t="n"/>
      <c r="BC180" s="904" t="n"/>
      <c r="BD180" s="904" t="n"/>
      <c r="BE180" s="904" t="n"/>
      <c r="BF180" s="904" t="n"/>
      <c r="BG180" s="904" t="n"/>
      <c r="BH180" s="904" t="n"/>
      <c r="BI180" s="904" t="n"/>
      <c r="BJ180" s="904" t="n"/>
      <c r="BK180" s="904" t="n"/>
      <c r="BL180" s="904" t="n"/>
      <c r="BM180" s="904" t="n"/>
      <c r="BN180" s="904" t="n"/>
      <c r="BO180" s="904" t="n"/>
      <c r="BP180" s="904" t="n"/>
      <c r="BQ180" s="904" t="n"/>
      <c r="BR180" s="904" t="n"/>
      <c r="BS180" s="904" t="n"/>
      <c r="BT180" s="904" t="n"/>
      <c r="BU180" s="904" t="n"/>
      <c r="BV180" s="904" t="n"/>
      <c r="BW180" s="904" t="n"/>
      <c r="BX180" s="904" t="n"/>
      <c r="BY180" s="904" t="n"/>
      <c r="BZ180" s="904" t="n"/>
      <c r="CA180" s="904" t="n"/>
      <c r="CB180" s="904" t="n"/>
      <c r="CC180" s="904" t="n"/>
      <c r="CD180" s="904" t="n"/>
      <c r="CE180" s="904" t="n"/>
      <c r="CF180" s="904" t="n"/>
      <c r="CG180" s="904" t="n"/>
      <c r="CH180" s="904" t="n"/>
      <c r="CI180" s="904" t="n"/>
      <c r="CJ180" s="904" t="n"/>
      <c r="CK180" s="904" t="n"/>
      <c r="CL180" s="904" t="n"/>
      <c r="CM180" s="904" t="n"/>
      <c r="CN180" s="904" t="n"/>
      <c r="CO180" s="904" t="n"/>
      <c r="CP180" s="904" t="n"/>
      <c r="CQ180" s="904" t="n"/>
      <c r="CR180" s="904" t="n"/>
      <c r="CS180" s="904" t="n"/>
      <c r="CT180" s="904" t="n"/>
      <c r="CU180" s="904" t="n"/>
      <c r="CV180" s="904" t="n"/>
      <c r="CW180" s="904" t="n"/>
      <c r="CX180" s="904" t="n"/>
      <c r="CY180" s="904" t="n"/>
      <c r="CZ180" s="904" t="n"/>
      <c r="DA180" s="904" t="n"/>
      <c r="DB180" s="904" t="n"/>
      <c r="DC180" s="904" t="n"/>
      <c r="DD180" s="904" t="n"/>
      <c r="DE180" s="904" t="n"/>
      <c r="DF180" s="904" t="n"/>
      <c r="DG180" s="904" t="n"/>
      <c r="DH180" s="904" t="n"/>
      <c r="DI180" s="904" t="n"/>
      <c r="DJ180" s="904" t="n"/>
      <c r="DK180" s="904" t="n"/>
      <c r="DL180" s="904" t="n"/>
      <c r="DM180" s="904" t="n"/>
      <c r="DN180" s="904" t="n"/>
      <c r="DO180" s="904" t="n"/>
      <c r="DP180" s="904" t="n"/>
      <c r="DQ180" s="904" t="n"/>
      <c r="DR180" s="904" t="n"/>
      <c r="DS180" s="904" t="n"/>
      <c r="DT180" s="904" t="n"/>
      <c r="DU180" s="904" t="n"/>
      <c r="DV180" s="904" t="n"/>
      <c r="DW180" s="904" t="n"/>
      <c r="DX180" s="904" t="n"/>
      <c r="DY180" s="904" t="n"/>
      <c r="DZ180" s="904" t="n"/>
      <c r="EA180" s="904" t="n"/>
      <c r="EB180" s="904" t="n"/>
      <c r="EC180" s="904" t="n"/>
      <c r="ED180" s="904" t="n"/>
      <c r="EE180" s="904" t="n"/>
      <c r="EF180" s="904" t="n"/>
      <c r="EG180" s="904" t="n"/>
      <c r="EH180" s="904" t="n"/>
      <c r="EI180" s="904" t="n"/>
      <c r="EJ180" s="904" t="n"/>
      <c r="EK180" s="904" t="n"/>
      <c r="EL180" s="904" t="n"/>
      <c r="EM180" s="904" t="n"/>
      <c r="EN180" s="904" t="n"/>
      <c r="EO180" s="904" t="n"/>
      <c r="EP180" s="904" t="n"/>
      <c r="EQ180" s="904" t="n"/>
      <c r="ER180" s="904" t="n"/>
      <c r="ES180" s="904" t="n"/>
      <c r="ET180" s="904" t="n"/>
      <c r="EU180" s="904" t="n"/>
      <c r="EV180" s="904" t="n"/>
      <c r="EW180" s="904" t="n"/>
      <c r="EX180" s="904" t="n"/>
      <c r="EY180" s="904" t="n"/>
      <c r="EZ180" s="904" t="n"/>
      <c r="FA180" s="904" t="n"/>
      <c r="FB180" s="904" t="n"/>
      <c r="FC180" s="904" t="n"/>
      <c r="FD180" s="904" t="n"/>
      <c r="FE180" s="904" t="n"/>
      <c r="FF180" s="904" t="n"/>
      <c r="FG180" s="904" t="n"/>
      <c r="FH180" s="904" t="n"/>
      <c r="FI180" s="904" t="n"/>
      <c r="FJ180" s="904" t="n"/>
      <c r="FK180" s="904" t="n"/>
      <c r="FL180" s="904" t="n"/>
      <c r="FM180" s="904" t="n"/>
      <c r="FN180" s="904" t="n"/>
      <c r="FO180" s="904" t="n"/>
      <c r="FP180" s="904" t="n"/>
      <c r="FQ180" s="904" t="n"/>
      <c r="FR180" s="904" t="n"/>
      <c r="FS180" s="904" t="n"/>
      <c r="FT180" s="904" t="n"/>
      <c r="FU180" s="904" t="n"/>
      <c r="FV180" s="904" t="n"/>
      <c r="FW180" s="904" t="n"/>
      <c r="FX180" s="904" t="n"/>
      <c r="FY180" s="904" t="n"/>
      <c r="FZ180" s="904" t="n"/>
      <c r="GA180" s="904" t="n"/>
      <c r="GB180" s="904" t="n"/>
      <c r="GC180" s="904" t="n"/>
      <c r="GD180" s="904" t="n"/>
      <c r="GE180" s="904" t="n"/>
      <c r="GF180" s="904" t="n"/>
      <c r="GG180" s="904" t="n"/>
      <c r="GH180" s="904" t="n"/>
      <c r="GI180" s="904" t="n"/>
      <c r="GJ180" s="904" t="n"/>
      <c r="GK180" s="904" t="n"/>
      <c r="GL180" s="904" t="n"/>
      <c r="GM180" s="904" t="n"/>
      <c r="GN180" s="904" t="n"/>
      <c r="GO180" s="904" t="n"/>
      <c r="GP180" s="904" t="n"/>
      <c r="GQ180" s="904" t="n"/>
      <c r="GR180" s="904" t="n"/>
      <c r="GS180" s="904" t="n"/>
      <c r="GT180" s="904" t="n"/>
      <c r="GU180" s="904" t="n"/>
      <c r="GV180" s="904" t="n"/>
      <c r="GW180" s="904" t="n"/>
      <c r="GX180" s="904" t="n"/>
      <c r="GY180" s="904" t="n"/>
      <c r="GZ180" s="904" t="n"/>
      <c r="HA180" s="904" t="n"/>
      <c r="HB180" s="904" t="n"/>
      <c r="HC180" s="904" t="n"/>
      <c r="HD180" s="904" t="n"/>
      <c r="HE180" s="904" t="n"/>
      <c r="HF180" s="904" t="n"/>
      <c r="HG180" s="904" t="n"/>
      <c r="HH180" s="904" t="n"/>
      <c r="HI180" s="904" t="n"/>
      <c r="HJ180" s="904" t="n"/>
      <c r="HK180" s="904" t="n"/>
      <c r="HL180" s="904" t="n"/>
      <c r="HM180" s="904" t="n"/>
      <c r="HN180" s="904" t="n"/>
      <c r="HO180" s="904" t="n"/>
      <c r="HP180" s="904" t="n"/>
      <c r="HQ180" s="904" t="n"/>
      <c r="HR180" s="904" t="n"/>
      <c r="HS180" s="904" t="n"/>
      <c r="HT180" s="904" t="n"/>
      <c r="HU180" s="904" t="n"/>
      <c r="HV180" s="904" t="n"/>
      <c r="HW180" s="904" t="n"/>
      <c r="HX180" s="904" t="n"/>
      <c r="HY180" s="904" t="n"/>
      <c r="HZ180" s="904" t="n"/>
      <c r="IA180" s="904" t="n"/>
      <c r="IB180" s="904" t="n"/>
      <c r="IC180" s="904" t="n"/>
      <c r="ID180" s="904" t="n"/>
      <c r="IE180" s="904" t="n"/>
      <c r="IF180" s="904" t="n"/>
      <c r="IG180" s="904" t="n"/>
      <c r="IH180" s="904" t="n"/>
      <c r="II180" s="904" t="n"/>
      <c r="IJ180" s="904" t="n"/>
      <c r="IK180" s="904" t="n"/>
      <c r="IL180" s="904" t="n"/>
      <c r="IM180" s="904" t="n"/>
      <c r="IN180" s="904" t="n"/>
      <c r="IO180" s="904" t="n"/>
      <c r="IP180" s="904" t="n"/>
      <c r="IQ180" s="904" t="n"/>
      <c r="IR180" s="904" t="n"/>
      <c r="IS180" s="904" t="n"/>
      <c r="IT180" s="904" t="n"/>
      <c r="IU180" s="904" t="n"/>
      <c r="IV180" s="904" t="n"/>
      <c r="IW180" s="904" t="n"/>
      <c r="IX180" s="904" t="n"/>
      <c r="IY180" s="904" t="n"/>
      <c r="IZ180" s="904" t="n"/>
      <c r="JA180" s="904" t="n"/>
      <c r="JB180" s="904" t="n"/>
      <c r="JC180" s="904" t="n"/>
      <c r="JD180" s="904" t="n"/>
      <c r="JE180" s="904" t="n"/>
      <c r="JF180" s="904" t="n"/>
      <c r="JG180" s="904" t="n"/>
      <c r="JH180" s="904" t="n"/>
      <c r="JI180" s="904" t="n"/>
      <c r="JJ180" s="904" t="n"/>
      <c r="JK180" s="904" t="n"/>
      <c r="JL180" s="904" t="n"/>
      <c r="JM180" s="904" t="n"/>
      <c r="JN180" s="904" t="n"/>
      <c r="JO180" s="904" t="n"/>
      <c r="JP180" s="904" t="n"/>
      <c r="JQ180" s="904" t="n"/>
      <c r="JR180" s="904" t="n"/>
      <c r="JS180" s="904" t="n"/>
      <c r="JT180" s="904" t="n"/>
      <c r="JU180" s="904" t="n"/>
      <c r="JV180" s="904" t="n"/>
      <c r="JW180" s="904" t="n"/>
      <c r="JX180" s="904" t="n"/>
      <c r="JY180" s="904" t="n"/>
      <c r="JZ180" s="904" t="n"/>
      <c r="KA180" s="904" t="n"/>
      <c r="KB180" s="904" t="n"/>
      <c r="KC180" s="904" t="n"/>
      <c r="KD180" s="904" t="n"/>
      <c r="KE180" s="904" t="n"/>
      <c r="KF180" s="904" t="n"/>
      <c r="KG180" s="904" t="n"/>
      <c r="KH180" s="904" t="n"/>
      <c r="KI180" s="904" t="n"/>
      <c r="KJ180" s="904" t="n"/>
      <c r="KK180" s="904" t="n"/>
      <c r="KL180" s="904" t="n"/>
      <c r="KM180" s="904" t="n"/>
      <c r="KN180" s="904" t="n"/>
      <c r="KO180" s="904" t="n"/>
      <c r="KP180" s="904" t="n"/>
      <c r="KQ180" s="904" t="n"/>
      <c r="KR180" s="904" t="n"/>
      <c r="KS180" s="904" t="n"/>
      <c r="KT180" s="904" t="n"/>
      <c r="KU180" s="904" t="n"/>
      <c r="KV180" s="904" t="n"/>
      <c r="KW180" s="904" t="n"/>
      <c r="KX180" s="904" t="n"/>
      <c r="KY180" s="904" t="n"/>
      <c r="KZ180" s="904" t="n"/>
      <c r="LA180" s="904" t="n"/>
      <c r="LB180" s="904" t="n"/>
      <c r="LC180" s="1318">
        <f>LC179-KQ179</f>
        <v/>
      </c>
      <c r="LD180" s="1318">
        <f>LD179-KR179</f>
        <v/>
      </c>
      <c r="LE180" s="1318">
        <f>LE179-KS179</f>
        <v/>
      </c>
      <c r="LF180" s="1318">
        <f>LF179-KT179</f>
        <v/>
      </c>
      <c r="LG180" s="1318">
        <f>LG179-KU179</f>
        <v/>
      </c>
      <c r="LH180" s="1318">
        <f>LH179-KV179</f>
        <v/>
      </c>
      <c r="LI180" s="1318">
        <f>LI179-KW179</f>
        <v/>
      </c>
      <c r="LJ180" s="1318">
        <f>LJ179-KX179</f>
        <v/>
      </c>
      <c r="LK180" s="1318">
        <f>LK179-KY179</f>
        <v/>
      </c>
      <c r="LL180" s="1318">
        <f>LL179-KZ179</f>
        <v/>
      </c>
      <c r="LM180" s="1318">
        <f>LM179-LA179</f>
        <v/>
      </c>
      <c r="LN180" s="1318">
        <f>LN179-LB179</f>
        <v/>
      </c>
      <c r="LO180" s="1318">
        <f>LO179-LC179</f>
        <v/>
      </c>
      <c r="LP180" s="1318">
        <f>LP179-LD179</f>
        <v/>
      </c>
      <c r="LQ180" s="1318">
        <f>LQ179-LE179</f>
        <v/>
      </c>
      <c r="LR180" s="1318">
        <f>LR179-LF179</f>
        <v/>
      </c>
      <c r="LS180" s="1318">
        <f>LS179-LG179</f>
        <v/>
      </c>
    </row>
    <row r="181">
      <c r="A181" s="904" t="inlineStr">
        <is>
          <t>Number of passengers carried ('000)</t>
        </is>
      </c>
      <c r="B181" s="904" t="n"/>
      <c r="C181" s="904" t="n"/>
      <c r="D181" s="904" t="n"/>
      <c r="E181" s="904" t="n"/>
      <c r="F181" s="904" t="n"/>
      <c r="G181" s="904" t="n"/>
      <c r="H181" s="904" t="n"/>
      <c r="I181" s="904" t="n"/>
      <c r="J181" s="904" t="n"/>
      <c r="K181" s="904" t="n"/>
      <c r="L181" s="904" t="n"/>
      <c r="M181" s="904" t="n"/>
      <c r="N181" s="904" t="n"/>
      <c r="O181" s="904" t="n"/>
      <c r="P181" s="904" t="n"/>
      <c r="Q181" s="904" t="n"/>
      <c r="R181" s="904" t="n"/>
      <c r="S181" s="904" t="n"/>
      <c r="T181" s="904" t="n"/>
      <c r="U181" s="904" t="n"/>
      <c r="V181" s="904" t="n"/>
      <c r="W181" s="904" t="n"/>
      <c r="X181" s="904" t="n"/>
      <c r="Y181" s="904" t="n"/>
      <c r="Z181" s="904" t="n"/>
      <c r="AA181" s="904" t="n"/>
      <c r="AB181" s="904" t="n"/>
      <c r="AC181" s="904" t="n"/>
      <c r="AD181" s="904" t="n"/>
      <c r="AE181" s="904" t="n"/>
      <c r="AF181" s="904" t="n"/>
      <c r="AG181" s="904" t="n"/>
      <c r="AH181" s="904" t="n"/>
      <c r="AI181" s="904" t="n"/>
      <c r="AJ181" s="904" t="n"/>
      <c r="AK181" s="904" t="n"/>
      <c r="AL181" s="904" t="n"/>
      <c r="AM181" s="904" t="n"/>
      <c r="AN181" s="904" t="n"/>
      <c r="AO181" s="904" t="n"/>
      <c r="AP181" s="904" t="n"/>
      <c r="AQ181" s="904" t="n"/>
      <c r="AR181" s="904" t="n"/>
      <c r="AS181" s="904" t="n"/>
      <c r="AT181" s="904" t="n"/>
      <c r="AU181" s="904" t="n"/>
      <c r="AV181" s="904" t="n"/>
      <c r="AW181" s="904" t="n"/>
      <c r="AX181" s="904" t="n"/>
      <c r="AY181" s="904" t="n"/>
      <c r="AZ181" s="904" t="n"/>
      <c r="BA181" s="904" t="n"/>
      <c r="BB181" s="904" t="n"/>
      <c r="BC181" s="904" t="n"/>
      <c r="BD181" s="904" t="n"/>
      <c r="BE181" s="904" t="n"/>
      <c r="BF181" s="904" t="n"/>
      <c r="BG181" s="904" t="n"/>
      <c r="BH181" s="904" t="n"/>
      <c r="BI181" s="904" t="n"/>
      <c r="BJ181" s="904" t="n"/>
      <c r="BK181" s="904" t="n"/>
      <c r="BL181" s="904" t="n"/>
      <c r="BM181" s="904" t="n"/>
      <c r="BN181" s="904" t="n"/>
      <c r="BO181" s="904" t="n"/>
      <c r="BP181" s="904" t="n"/>
      <c r="BQ181" s="904" t="n"/>
      <c r="BR181" s="904" t="n"/>
      <c r="BS181" s="904" t="n"/>
      <c r="BT181" s="904" t="n"/>
      <c r="BU181" s="904" t="n"/>
      <c r="BV181" s="904" t="n"/>
      <c r="BW181" s="904" t="n"/>
      <c r="BX181" s="904" t="n"/>
      <c r="BY181" s="904" t="n"/>
      <c r="BZ181" s="904" t="n"/>
      <c r="CA181" s="904" t="n"/>
      <c r="CB181" s="904" t="n"/>
      <c r="CC181" s="904" t="n"/>
      <c r="CD181" s="904" t="n"/>
      <c r="CE181" s="904" t="n"/>
      <c r="CF181" s="904" t="n"/>
      <c r="CG181" s="904" t="n"/>
      <c r="CH181" s="904" t="n"/>
      <c r="CI181" s="904" t="n"/>
      <c r="CJ181" s="904" t="n"/>
      <c r="CK181" s="904" t="n"/>
      <c r="CL181" s="904" t="n"/>
      <c r="CM181" s="904" t="n"/>
      <c r="CN181" s="904" t="n"/>
      <c r="CO181" s="904" t="n"/>
      <c r="CP181" s="904" t="n"/>
      <c r="CQ181" s="904" t="n"/>
      <c r="CR181" s="904" t="n"/>
      <c r="CS181" s="904" t="n"/>
      <c r="CT181" s="904" t="n"/>
      <c r="CU181" s="904" t="n"/>
      <c r="CV181" s="904" t="n"/>
      <c r="CW181" s="904" t="n"/>
      <c r="CX181" s="904" t="n"/>
      <c r="CY181" s="904" t="n"/>
      <c r="CZ181" s="904" t="n"/>
      <c r="DA181" s="904" t="n"/>
      <c r="DB181" s="904" t="n"/>
      <c r="DC181" s="904" t="n"/>
      <c r="DD181" s="904" t="n"/>
      <c r="DE181" s="904" t="n"/>
      <c r="DF181" s="904" t="n"/>
      <c r="DG181" s="904" t="n"/>
      <c r="DH181" s="904" t="n"/>
      <c r="DI181" s="904" t="n"/>
      <c r="DJ181" s="904" t="n"/>
      <c r="DK181" s="904" t="n"/>
      <c r="DL181" s="904" t="n"/>
      <c r="DM181" s="904" t="n"/>
      <c r="DN181" s="904" t="n"/>
      <c r="DO181" s="904" t="n"/>
      <c r="DP181" s="904" t="n"/>
      <c r="DQ181" s="904" t="n"/>
      <c r="DR181" s="904" t="n"/>
      <c r="DS181" s="904" t="n"/>
      <c r="DT181" s="904" t="n"/>
      <c r="DU181" s="904" t="n"/>
      <c r="DV181" s="904" t="n"/>
      <c r="DW181" s="904" t="n"/>
      <c r="DX181" s="904" t="n"/>
      <c r="DY181" s="904" t="n"/>
      <c r="DZ181" s="904" t="n"/>
      <c r="EA181" s="904" t="n"/>
      <c r="EB181" s="904" t="n"/>
      <c r="EC181" s="904" t="n"/>
      <c r="ED181" s="904" t="n"/>
      <c r="EE181" s="904" t="n"/>
      <c r="EF181" s="904" t="n"/>
      <c r="EG181" s="904" t="n"/>
      <c r="EH181" s="904" t="n"/>
      <c r="EI181" s="904" t="n"/>
      <c r="EJ181" s="904" t="n"/>
      <c r="EK181" s="904" t="n"/>
      <c r="EL181" s="904" t="n"/>
      <c r="EM181" s="904" t="n"/>
      <c r="EN181" s="904" t="n"/>
      <c r="EO181" s="904" t="n"/>
      <c r="EP181" s="904" t="n"/>
      <c r="EQ181" s="904" t="n"/>
      <c r="ER181" s="904" t="n"/>
      <c r="ES181" s="904" t="n"/>
      <c r="ET181" s="904" t="n"/>
      <c r="EU181" s="904" t="n"/>
      <c r="EV181" s="904" t="n"/>
      <c r="EW181" s="904" t="n"/>
      <c r="EX181" s="904" t="n"/>
      <c r="EY181" s="904" t="n"/>
      <c r="EZ181" s="904" t="n"/>
      <c r="FA181" s="904" t="n"/>
      <c r="FB181" s="904" t="n"/>
      <c r="FC181" s="904" t="n"/>
      <c r="FD181" s="904" t="n"/>
      <c r="FE181" s="904" t="n"/>
      <c r="FF181" s="904" t="n"/>
      <c r="FG181" s="904" t="n"/>
      <c r="FH181" s="904" t="n"/>
      <c r="FI181" s="904" t="n"/>
      <c r="FJ181" s="904" t="n"/>
      <c r="FK181" s="904" t="n"/>
      <c r="FL181" s="904" t="n"/>
      <c r="FM181" s="904" t="n"/>
      <c r="FN181" s="904" t="n"/>
      <c r="FO181" s="904" t="n"/>
      <c r="FP181" s="904" t="n"/>
      <c r="FQ181" s="904" t="n"/>
      <c r="FR181" s="904" t="n"/>
      <c r="FS181" s="904" t="n"/>
      <c r="FT181" s="904" t="n"/>
      <c r="FU181" s="904" t="n"/>
      <c r="FV181" s="904" t="n"/>
      <c r="FW181" s="904" t="n"/>
      <c r="FX181" s="904" t="n"/>
      <c r="FY181" s="904" t="n"/>
      <c r="FZ181" s="904" t="n"/>
      <c r="GA181" s="904" t="n"/>
      <c r="GB181" s="904" t="n"/>
      <c r="GC181" s="904" t="n"/>
      <c r="GD181" s="904" t="n"/>
      <c r="GE181" s="904" t="n"/>
      <c r="GF181" s="904" t="n"/>
      <c r="GG181" s="904" t="n"/>
      <c r="GH181" s="904" t="n"/>
      <c r="GI181" s="904" t="n"/>
      <c r="GJ181" s="904" t="n"/>
      <c r="GK181" s="904" t="n"/>
      <c r="GL181" s="904" t="n"/>
      <c r="GM181" s="904" t="n"/>
      <c r="GN181" s="904" t="n"/>
      <c r="GO181" s="904" t="n"/>
      <c r="GP181" s="904" t="n"/>
      <c r="GQ181" s="904" t="n"/>
      <c r="GR181" s="904" t="n"/>
      <c r="GS181" s="904" t="n"/>
      <c r="GT181" s="904" t="n"/>
      <c r="GU181" s="904" t="n"/>
      <c r="GV181" s="904" t="n"/>
      <c r="GW181" s="904" t="n"/>
      <c r="GX181" s="904" t="n"/>
      <c r="GY181" s="904" t="n"/>
      <c r="GZ181" s="904" t="n"/>
      <c r="HA181" s="904" t="n"/>
      <c r="HB181" s="904" t="n"/>
      <c r="HC181" s="904" t="n"/>
      <c r="HD181" s="904" t="n"/>
      <c r="HE181" s="904" t="n"/>
      <c r="HF181" s="904" t="n"/>
      <c r="HG181" s="904" t="n"/>
      <c r="HH181" s="904" t="n"/>
      <c r="HI181" s="904" t="n"/>
      <c r="HJ181" s="904" t="n"/>
      <c r="HK181" s="904" t="n"/>
      <c r="HL181" s="904" t="n"/>
      <c r="HM181" s="904" t="n"/>
      <c r="HN181" s="904" t="n"/>
      <c r="HO181" s="904" t="n"/>
      <c r="HP181" s="904" t="n"/>
      <c r="HQ181" s="904" t="n"/>
      <c r="HR181" s="904" t="n"/>
      <c r="HS181" s="904" t="n"/>
      <c r="HT181" s="904" t="n"/>
      <c r="HU181" s="904" t="n"/>
      <c r="HV181" s="904" t="n"/>
      <c r="HW181" s="904" t="n"/>
      <c r="HX181" s="904" t="n"/>
      <c r="HY181" s="904" t="n"/>
      <c r="HZ181" s="904" t="n"/>
      <c r="IA181" s="904" t="n"/>
      <c r="IB181" s="904" t="n"/>
      <c r="IC181" s="904" t="n"/>
      <c r="ID181" s="904" t="n"/>
      <c r="IE181" s="904" t="n"/>
      <c r="IF181" s="904" t="n"/>
      <c r="IG181" s="904" t="n"/>
      <c r="IH181" s="904" t="n"/>
      <c r="II181" s="904" t="n"/>
      <c r="IJ181" s="904" t="n"/>
      <c r="IK181" s="904" t="n"/>
      <c r="IL181" s="904" t="n"/>
      <c r="IM181" s="904" t="n"/>
      <c r="IN181" s="904" t="n"/>
      <c r="IO181" s="904" t="n"/>
      <c r="IP181" s="904" t="n"/>
      <c r="IQ181" s="904" t="n"/>
      <c r="IR181" s="904" t="n"/>
      <c r="IS181" s="904" t="n"/>
      <c r="IT181" s="904" t="n"/>
      <c r="IU181" s="904" t="n"/>
      <c r="IV181" s="904" t="n"/>
      <c r="IW181" s="904" t="n"/>
      <c r="IX181" s="904" t="n"/>
      <c r="IY181" s="904" t="n"/>
      <c r="IZ181" s="904" t="n"/>
      <c r="JA181" s="904" t="n"/>
      <c r="JB181" s="904" t="n"/>
      <c r="JC181" s="904" t="n"/>
      <c r="JD181" s="904" t="n"/>
      <c r="JE181" s="904" t="n"/>
      <c r="JF181" s="904" t="n"/>
      <c r="JG181" s="904" t="n"/>
      <c r="JH181" s="904" t="n"/>
      <c r="JI181" s="904" t="n"/>
      <c r="JJ181" s="904" t="n"/>
      <c r="JK181" s="904" t="n"/>
      <c r="JL181" s="904" t="n"/>
      <c r="JM181" s="904" t="n"/>
      <c r="JN181" s="904" t="n"/>
      <c r="JO181" s="904" t="n"/>
      <c r="JP181" s="904" t="n"/>
      <c r="JQ181" s="904" t="n"/>
      <c r="JR181" s="904" t="n"/>
      <c r="JS181" s="904" t="n"/>
      <c r="JT181" s="904" t="n"/>
      <c r="JU181" s="904" t="n"/>
      <c r="JV181" s="904" t="n"/>
      <c r="JW181" s="904" t="n"/>
      <c r="JX181" s="904" t="n"/>
      <c r="JY181" s="904" t="n"/>
      <c r="JZ181" s="904" t="n"/>
      <c r="KA181" s="904" t="n"/>
      <c r="KB181" s="904" t="n"/>
      <c r="KC181" s="904" t="n"/>
      <c r="KD181" s="904" t="n"/>
      <c r="KE181" s="904" t="n"/>
      <c r="KF181" s="904" t="n"/>
      <c r="KG181" s="904" t="n"/>
      <c r="KH181" s="904" t="n"/>
      <c r="KI181" s="904" t="n"/>
      <c r="KJ181" s="904" t="n"/>
      <c r="KK181" s="904" t="n"/>
      <c r="KL181" s="904" t="n"/>
      <c r="KM181" s="904" t="n"/>
      <c r="KN181" s="904" t="n"/>
      <c r="KO181" s="904" t="n"/>
      <c r="KP181" s="872">
        <f>+KP82+KP158/1000</f>
        <v/>
      </c>
      <c r="KQ181" s="872">
        <f>+KQ82+KQ158/1000</f>
        <v/>
      </c>
      <c r="KR181" s="872">
        <f>+KR82+KR158/1000</f>
        <v/>
      </c>
      <c r="KS181" s="872">
        <f>+KS82+KS158/1000</f>
        <v/>
      </c>
      <c r="KT181" s="872">
        <f>+KT82+KT158/1000</f>
        <v/>
      </c>
      <c r="KU181" s="872">
        <f>+KU82+KU158/1000</f>
        <v/>
      </c>
      <c r="KV181" s="872">
        <f>+KV82+KV158/1000</f>
        <v/>
      </c>
      <c r="KW181" s="872">
        <f>+KW82+KW158/1000</f>
        <v/>
      </c>
      <c r="KX181" s="872">
        <f>+KX82+KX158/1000</f>
        <v/>
      </c>
      <c r="KY181" s="872">
        <f>+KY82+KY158/1000</f>
        <v/>
      </c>
      <c r="KZ181" s="872">
        <f>+KZ82+KZ158/1000</f>
        <v/>
      </c>
      <c r="LA181" s="872">
        <f>+LA82+LA158/1000</f>
        <v/>
      </c>
      <c r="LB181" s="872">
        <f>+LB82+LB158/1000</f>
        <v/>
      </c>
      <c r="LC181" s="872">
        <f>+LC82+LC158/1000</f>
        <v/>
      </c>
      <c r="LD181" s="872">
        <f>+LD82+LD158/1000</f>
        <v/>
      </c>
      <c r="LE181" s="872">
        <f>+LE82+LE158/1000</f>
        <v/>
      </c>
      <c r="LF181" s="872">
        <f>+LF82+LF158/1000</f>
        <v/>
      </c>
      <c r="LG181" s="872">
        <f>+LG82+LG158/1000</f>
        <v/>
      </c>
      <c r="LH181" s="872">
        <f>+LH82+LH158/1000</f>
        <v/>
      </c>
      <c r="LI181" s="872">
        <f>+LI82+LI158/1000</f>
        <v/>
      </c>
      <c r="LJ181" s="872">
        <f>+LJ82+LJ158/1000</f>
        <v/>
      </c>
      <c r="LK181" s="872">
        <f>+LK82+LK158/1000</f>
        <v/>
      </c>
      <c r="LL181" s="872">
        <f>+LL82+LL158/1000</f>
        <v/>
      </c>
      <c r="LM181" s="872">
        <f>+LM82+LM158/1000</f>
        <v/>
      </c>
      <c r="LN181" s="872">
        <f>+LN82+LN158/1000</f>
        <v/>
      </c>
      <c r="LO181" s="872">
        <f>+LO82+LO158/1000</f>
        <v/>
      </c>
      <c r="LP181" s="872">
        <f>+LP82+LP158/1000</f>
        <v/>
      </c>
      <c r="LQ181" s="872">
        <f>+LQ82+LQ158/1000</f>
        <v/>
      </c>
      <c r="LR181" s="872">
        <f>+LR82+LR158/1000</f>
        <v/>
      </c>
      <c r="LS181" s="872">
        <f>+LS82+LS158/1000</f>
        <v/>
      </c>
    </row>
    <row r="182">
      <c r="A182" s="885" t="inlineStr">
        <is>
          <t>m cg %</t>
        </is>
      </c>
      <c r="B182" s="904" t="n"/>
      <c r="C182" s="904" t="n"/>
      <c r="D182" s="904" t="n"/>
      <c r="E182" s="904" t="n"/>
      <c r="F182" s="904" t="n"/>
      <c r="G182" s="904" t="n"/>
      <c r="H182" s="904" t="n"/>
      <c r="I182" s="904" t="n"/>
      <c r="J182" s="904" t="n"/>
      <c r="K182" s="904" t="n"/>
      <c r="L182" s="904" t="n"/>
      <c r="M182" s="904" t="n"/>
      <c r="N182" s="904" t="n"/>
      <c r="O182" s="904" t="n"/>
      <c r="P182" s="904" t="n"/>
      <c r="Q182" s="904" t="n"/>
      <c r="R182" s="904" t="n"/>
      <c r="S182" s="904" t="n"/>
      <c r="T182" s="904" t="n"/>
      <c r="U182" s="904" t="n"/>
      <c r="V182" s="904" t="n"/>
      <c r="W182" s="904" t="n"/>
      <c r="X182" s="904" t="n"/>
      <c r="Y182" s="904" t="n"/>
      <c r="Z182" s="904" t="n"/>
      <c r="AA182" s="904" t="n"/>
      <c r="AB182" s="904" t="n"/>
      <c r="AC182" s="904" t="n"/>
      <c r="AD182" s="904" t="n"/>
      <c r="AE182" s="904" t="n"/>
      <c r="AF182" s="904" t="n"/>
      <c r="AG182" s="904" t="n"/>
      <c r="AH182" s="904" t="n"/>
      <c r="AI182" s="904" t="n"/>
      <c r="AJ182" s="904" t="n"/>
      <c r="AK182" s="904" t="n"/>
      <c r="AL182" s="904" t="n"/>
      <c r="AM182" s="904" t="n"/>
      <c r="AN182" s="904" t="n"/>
      <c r="AO182" s="904" t="n"/>
      <c r="AP182" s="904" t="n"/>
      <c r="AQ182" s="904" t="n"/>
      <c r="AR182" s="904" t="n"/>
      <c r="AS182" s="904" t="n"/>
      <c r="AT182" s="904" t="n"/>
      <c r="AU182" s="904" t="n"/>
      <c r="AV182" s="904" t="n"/>
      <c r="AW182" s="904" t="n"/>
      <c r="AX182" s="904" t="n"/>
      <c r="AY182" s="904" t="n"/>
      <c r="AZ182" s="904" t="n"/>
      <c r="BA182" s="904" t="n"/>
      <c r="BB182" s="904" t="n"/>
      <c r="BC182" s="904" t="n"/>
      <c r="BD182" s="904" t="n"/>
      <c r="BE182" s="904" t="n"/>
      <c r="BF182" s="904" t="n"/>
      <c r="BG182" s="904" t="n"/>
      <c r="BH182" s="904" t="n"/>
      <c r="BI182" s="904" t="n"/>
      <c r="BJ182" s="904" t="n"/>
      <c r="BK182" s="904" t="n"/>
      <c r="BL182" s="904" t="n"/>
      <c r="BM182" s="904" t="n"/>
      <c r="BN182" s="904" t="n"/>
      <c r="BO182" s="904" t="n"/>
      <c r="BP182" s="904" t="n"/>
      <c r="BQ182" s="904" t="n"/>
      <c r="BR182" s="904" t="n"/>
      <c r="BS182" s="904" t="n"/>
      <c r="BT182" s="904" t="n"/>
      <c r="BU182" s="904" t="n"/>
      <c r="BV182" s="904" t="n"/>
      <c r="BW182" s="904" t="n"/>
      <c r="BX182" s="904" t="n"/>
      <c r="BY182" s="904" t="n"/>
      <c r="BZ182" s="904" t="n"/>
      <c r="CA182" s="904" t="n"/>
      <c r="CB182" s="904" t="n"/>
      <c r="CC182" s="904" t="n"/>
      <c r="CD182" s="904" t="n"/>
      <c r="CE182" s="904" t="n"/>
      <c r="CF182" s="904" t="n"/>
      <c r="CG182" s="904" t="n"/>
      <c r="CH182" s="904" t="n"/>
      <c r="CI182" s="904" t="n"/>
      <c r="CJ182" s="904" t="n"/>
      <c r="CK182" s="904" t="n"/>
      <c r="CL182" s="904" t="n"/>
      <c r="CM182" s="904" t="n"/>
      <c r="CN182" s="904" t="n"/>
      <c r="CO182" s="904" t="n"/>
      <c r="CP182" s="904" t="n"/>
      <c r="CQ182" s="904" t="n"/>
      <c r="CR182" s="904" t="n"/>
      <c r="CS182" s="904" t="n"/>
      <c r="CT182" s="904" t="n"/>
      <c r="CU182" s="904" t="n"/>
      <c r="CV182" s="904" t="n"/>
      <c r="CW182" s="904" t="n"/>
      <c r="CX182" s="904" t="n"/>
      <c r="CY182" s="904" t="n"/>
      <c r="CZ182" s="904" t="n"/>
      <c r="DA182" s="904" t="n"/>
      <c r="DB182" s="904" t="n"/>
      <c r="DC182" s="904" t="n"/>
      <c r="DD182" s="904" t="n"/>
      <c r="DE182" s="904" t="n"/>
      <c r="DF182" s="904" t="n"/>
      <c r="DG182" s="904" t="n"/>
      <c r="DH182" s="904" t="n"/>
      <c r="DI182" s="904" t="n"/>
      <c r="DJ182" s="904" t="n"/>
      <c r="DK182" s="904" t="n"/>
      <c r="DL182" s="904" t="n"/>
      <c r="DM182" s="904" t="n"/>
      <c r="DN182" s="904" t="n"/>
      <c r="DO182" s="904" t="n"/>
      <c r="DP182" s="904" t="n"/>
      <c r="DQ182" s="904" t="n"/>
      <c r="DR182" s="904" t="n"/>
      <c r="DS182" s="904" t="n"/>
      <c r="DT182" s="904" t="n"/>
      <c r="DU182" s="904" t="n"/>
      <c r="DV182" s="904" t="n"/>
      <c r="DW182" s="904" t="n"/>
      <c r="DX182" s="904" t="n"/>
      <c r="DY182" s="904" t="n"/>
      <c r="DZ182" s="904" t="n"/>
      <c r="EA182" s="904" t="n"/>
      <c r="EB182" s="904" t="n"/>
      <c r="EC182" s="904" t="n"/>
      <c r="ED182" s="904" t="n"/>
      <c r="EE182" s="904" t="n"/>
      <c r="EF182" s="904" t="n"/>
      <c r="EG182" s="904" t="n"/>
      <c r="EH182" s="904" t="n"/>
      <c r="EI182" s="904" t="n"/>
      <c r="EJ182" s="904" t="n"/>
      <c r="EK182" s="904" t="n"/>
      <c r="EL182" s="904" t="n"/>
      <c r="EM182" s="904" t="n"/>
      <c r="EN182" s="904" t="n"/>
      <c r="EO182" s="904" t="n"/>
      <c r="EP182" s="904" t="n"/>
      <c r="EQ182" s="904" t="n"/>
      <c r="ER182" s="904" t="n"/>
      <c r="ES182" s="904" t="n"/>
      <c r="ET182" s="904" t="n"/>
      <c r="EU182" s="904" t="n"/>
      <c r="EV182" s="904" t="n"/>
      <c r="EW182" s="904" t="n"/>
      <c r="EX182" s="904" t="n"/>
      <c r="EY182" s="904" t="n"/>
      <c r="EZ182" s="904" t="n"/>
      <c r="FA182" s="904" t="n"/>
      <c r="FB182" s="904" t="n"/>
      <c r="FC182" s="904" t="n"/>
      <c r="FD182" s="904" t="n"/>
      <c r="FE182" s="904" t="n"/>
      <c r="FF182" s="904" t="n"/>
      <c r="FG182" s="904" t="n"/>
      <c r="FH182" s="904" t="n"/>
      <c r="FI182" s="904" t="n"/>
      <c r="FJ182" s="904" t="n"/>
      <c r="FK182" s="904" t="n"/>
      <c r="FL182" s="904" t="n"/>
      <c r="FM182" s="904" t="n"/>
      <c r="FN182" s="904" t="n"/>
      <c r="FO182" s="904" t="n"/>
      <c r="FP182" s="904" t="n"/>
      <c r="FQ182" s="904" t="n"/>
      <c r="FR182" s="904" t="n"/>
      <c r="FS182" s="904" t="n"/>
      <c r="FT182" s="904" t="n"/>
      <c r="FU182" s="904" t="n"/>
      <c r="FV182" s="904" t="n"/>
      <c r="FW182" s="904" t="n"/>
      <c r="FX182" s="904" t="n"/>
      <c r="FY182" s="904" t="n"/>
      <c r="FZ182" s="904" t="n"/>
      <c r="GA182" s="904" t="n"/>
      <c r="GB182" s="904" t="n"/>
      <c r="GC182" s="904" t="n"/>
      <c r="GD182" s="904" t="n"/>
      <c r="GE182" s="904" t="n"/>
      <c r="GF182" s="904" t="n"/>
      <c r="GG182" s="904" t="n"/>
      <c r="GH182" s="904" t="n"/>
      <c r="GI182" s="904" t="n"/>
      <c r="GJ182" s="904" t="n"/>
      <c r="GK182" s="904" t="n"/>
      <c r="GL182" s="904" t="n"/>
      <c r="GM182" s="904" t="n"/>
      <c r="GN182" s="904" t="n"/>
      <c r="GO182" s="904" t="n"/>
      <c r="GP182" s="904" t="n"/>
      <c r="GQ182" s="904" t="n"/>
      <c r="GR182" s="904" t="n"/>
      <c r="GS182" s="904" t="n"/>
      <c r="GT182" s="904" t="n"/>
      <c r="GU182" s="904" t="n"/>
      <c r="GV182" s="904" t="n"/>
      <c r="GW182" s="904" t="n"/>
      <c r="GX182" s="904" t="n"/>
      <c r="GY182" s="904" t="n"/>
      <c r="GZ182" s="904" t="n"/>
      <c r="HA182" s="904" t="n"/>
      <c r="HB182" s="904" t="n"/>
      <c r="HC182" s="904" t="n"/>
      <c r="HD182" s="904" t="n"/>
      <c r="HE182" s="904" t="n"/>
      <c r="HF182" s="904" t="n"/>
      <c r="HG182" s="904" t="n"/>
      <c r="HH182" s="904" t="n"/>
      <c r="HI182" s="904" t="n"/>
      <c r="HJ182" s="904" t="n"/>
      <c r="HK182" s="904" t="n"/>
      <c r="HL182" s="904" t="n"/>
      <c r="HM182" s="904" t="n"/>
      <c r="HN182" s="904" t="n"/>
      <c r="HO182" s="904" t="n"/>
      <c r="HP182" s="904" t="n"/>
      <c r="HQ182" s="904" t="n"/>
      <c r="HR182" s="904" t="n"/>
      <c r="HS182" s="904" t="n"/>
      <c r="HT182" s="904" t="n"/>
      <c r="HU182" s="904" t="n"/>
      <c r="HV182" s="904" t="n"/>
      <c r="HW182" s="904" t="n"/>
      <c r="HX182" s="904" t="n"/>
      <c r="HY182" s="904" t="n"/>
      <c r="HZ182" s="904" t="n"/>
      <c r="IA182" s="904" t="n"/>
      <c r="IB182" s="904" t="n"/>
      <c r="IC182" s="904" t="n"/>
      <c r="ID182" s="904" t="n"/>
      <c r="IE182" s="904" t="n"/>
      <c r="IF182" s="904" t="n"/>
      <c r="IG182" s="904" t="n"/>
      <c r="IH182" s="904" t="n"/>
      <c r="II182" s="904" t="n"/>
      <c r="IJ182" s="904" t="n"/>
      <c r="IK182" s="904" t="n"/>
      <c r="IL182" s="904" t="n"/>
      <c r="IM182" s="904" t="n"/>
      <c r="IN182" s="904" t="n"/>
      <c r="IO182" s="904" t="n"/>
      <c r="IP182" s="904" t="n"/>
      <c r="IQ182" s="904" t="n"/>
      <c r="IR182" s="904" t="n"/>
      <c r="IS182" s="904" t="n"/>
      <c r="IT182" s="904" t="n"/>
      <c r="IU182" s="904" t="n"/>
      <c r="IV182" s="904" t="n"/>
      <c r="IW182" s="904" t="n"/>
      <c r="IX182" s="904" t="n"/>
      <c r="IY182" s="904" t="n"/>
      <c r="IZ182" s="904" t="n"/>
      <c r="JA182" s="904" t="n"/>
      <c r="JB182" s="904" t="n"/>
      <c r="JC182" s="904" t="n"/>
      <c r="JD182" s="904" t="n"/>
      <c r="JE182" s="904" t="n"/>
      <c r="JF182" s="904" t="n"/>
      <c r="JG182" s="904" t="n"/>
      <c r="JH182" s="904" t="n"/>
      <c r="JI182" s="904" t="n"/>
      <c r="JJ182" s="904" t="n"/>
      <c r="JK182" s="904" t="n"/>
      <c r="JL182" s="904" t="n"/>
      <c r="JM182" s="904" t="n"/>
      <c r="JN182" s="904" t="n"/>
      <c r="JO182" s="904" t="n"/>
      <c r="JP182" s="904" t="n"/>
      <c r="JQ182" s="904" t="n"/>
      <c r="JR182" s="904" t="n"/>
      <c r="JS182" s="904" t="n"/>
      <c r="JT182" s="904" t="n"/>
      <c r="JU182" s="904" t="n"/>
      <c r="JV182" s="904" t="n"/>
      <c r="JW182" s="904" t="n"/>
      <c r="JX182" s="904" t="n"/>
      <c r="JY182" s="904" t="n"/>
      <c r="JZ182" s="904" t="n"/>
      <c r="KA182" s="904" t="n"/>
      <c r="KB182" s="904" t="n"/>
      <c r="KC182" s="904" t="n"/>
      <c r="KD182" s="904" t="n"/>
      <c r="KE182" s="904" t="n"/>
      <c r="KF182" s="904" t="n"/>
      <c r="KG182" s="904" t="n"/>
      <c r="KH182" s="904" t="n"/>
      <c r="KI182" s="904" t="n"/>
      <c r="KJ182" s="904" t="n"/>
      <c r="KK182" s="904" t="n"/>
      <c r="KL182" s="904" t="n"/>
      <c r="KM182" s="904" t="n"/>
      <c r="KN182" s="904" t="n"/>
      <c r="KO182" s="904" t="n"/>
      <c r="KP182" s="904" t="n"/>
      <c r="KQ182" s="1318">
        <f>KQ181/KP181-1</f>
        <v/>
      </c>
      <c r="KR182" s="1318">
        <f>KR181/KQ181-1</f>
        <v/>
      </c>
      <c r="KS182" s="1318">
        <f>KS181/KR181-1</f>
        <v/>
      </c>
      <c r="KT182" s="1318">
        <f>KT181/KS181-1</f>
        <v/>
      </c>
      <c r="KU182" s="1318">
        <f>KU181/KT181-1</f>
        <v/>
      </c>
      <c r="KV182" s="1318">
        <f>KV181/KU181-1</f>
        <v/>
      </c>
      <c r="KW182" s="1318">
        <f>KW181/KV181-1</f>
        <v/>
      </c>
      <c r="KX182" s="1318">
        <f>KX181/KW181-1</f>
        <v/>
      </c>
      <c r="KY182" s="1318">
        <f>KY181/KX181-1</f>
        <v/>
      </c>
      <c r="KZ182" s="1318">
        <f>KZ181/KY181-1</f>
        <v/>
      </c>
      <c r="LA182" s="1318">
        <f>LA181/KZ181-1</f>
        <v/>
      </c>
      <c r="LB182" s="1318">
        <f>LB181/LA181-1</f>
        <v/>
      </c>
      <c r="LC182" s="1318">
        <f>LC181/LB181-1</f>
        <v/>
      </c>
      <c r="LD182" s="1318">
        <f>LD181/LC181-1</f>
        <v/>
      </c>
      <c r="LE182" s="1318">
        <f>LE181/LD181-1</f>
        <v/>
      </c>
      <c r="LF182" s="1318">
        <f>LF181/LE181-1</f>
        <v/>
      </c>
      <c r="LG182" s="1318">
        <f>LG181/LF181-1</f>
        <v/>
      </c>
      <c r="LH182" s="1318">
        <f>LH181/LG181-1</f>
        <v/>
      </c>
      <c r="LI182" s="1318">
        <f>LI181/LH181-1</f>
        <v/>
      </c>
      <c r="LJ182" s="1318">
        <f>LJ181/LI181-1</f>
        <v/>
      </c>
      <c r="LK182" s="1318">
        <f>LK181/LJ181-1</f>
        <v/>
      </c>
      <c r="LL182" s="1318">
        <f>LL181/LK181-1</f>
        <v/>
      </c>
      <c r="LM182" s="1318">
        <f>LM181/LL181-1</f>
        <v/>
      </c>
      <c r="LN182" s="1318">
        <f>LN181/LM181-1</f>
        <v/>
      </c>
      <c r="LO182" s="1318">
        <f>LO181/LN181-1</f>
        <v/>
      </c>
      <c r="LP182" s="1318">
        <f>LP181/LO181-1</f>
        <v/>
      </c>
      <c r="LQ182" s="1318">
        <f>LQ181/LP181-1</f>
        <v/>
      </c>
      <c r="LR182" s="1318">
        <f>LR181/LQ181-1</f>
        <v/>
      </c>
      <c r="LS182" s="1318">
        <f>LS181/LR181-1</f>
        <v/>
      </c>
    </row>
    <row r="183">
      <c r="A183" s="885" t="inlineStr">
        <is>
          <t>YoY cg %</t>
        </is>
      </c>
      <c r="B183" s="904" t="n"/>
      <c r="C183" s="904" t="n"/>
      <c r="D183" s="904" t="n"/>
      <c r="E183" s="904" t="n"/>
      <c r="F183" s="904" t="n"/>
      <c r="G183" s="904" t="n"/>
      <c r="H183" s="904" t="n"/>
      <c r="I183" s="904" t="n"/>
      <c r="J183" s="904" t="n"/>
      <c r="K183" s="904" t="n"/>
      <c r="L183" s="904" t="n"/>
      <c r="M183" s="904" t="n"/>
      <c r="N183" s="904" t="n"/>
      <c r="O183" s="904" t="n"/>
      <c r="P183" s="904" t="n"/>
      <c r="Q183" s="904" t="n"/>
      <c r="R183" s="904" t="n"/>
      <c r="S183" s="904" t="n"/>
      <c r="T183" s="904" t="n"/>
      <c r="U183" s="904" t="n"/>
      <c r="V183" s="904" t="n"/>
      <c r="W183" s="904" t="n"/>
      <c r="X183" s="904" t="n"/>
      <c r="Y183" s="904" t="n"/>
      <c r="Z183" s="904" t="n"/>
      <c r="AA183" s="904" t="n"/>
      <c r="AB183" s="904" t="n"/>
      <c r="AC183" s="904" t="n"/>
      <c r="AD183" s="904" t="n"/>
      <c r="AE183" s="904" t="n"/>
      <c r="AF183" s="904" t="n"/>
      <c r="AG183" s="904" t="n"/>
      <c r="AH183" s="904" t="n"/>
      <c r="AI183" s="904" t="n"/>
      <c r="AJ183" s="904" t="n"/>
      <c r="AK183" s="904" t="n"/>
      <c r="AL183" s="904" t="n"/>
      <c r="AM183" s="904" t="n"/>
      <c r="AN183" s="904" t="n"/>
      <c r="AO183" s="904" t="n"/>
      <c r="AP183" s="904" t="n"/>
      <c r="AQ183" s="904" t="n"/>
      <c r="AR183" s="904" t="n"/>
      <c r="AS183" s="904" t="n"/>
      <c r="AT183" s="904" t="n"/>
      <c r="AU183" s="904" t="n"/>
      <c r="AV183" s="904" t="n"/>
      <c r="AW183" s="904" t="n"/>
      <c r="AX183" s="904" t="n"/>
      <c r="AY183" s="904" t="n"/>
      <c r="AZ183" s="904" t="n"/>
      <c r="BA183" s="904" t="n"/>
      <c r="BB183" s="904" t="n"/>
      <c r="BC183" s="904" t="n"/>
      <c r="BD183" s="904" t="n"/>
      <c r="BE183" s="904" t="n"/>
      <c r="BF183" s="904" t="n"/>
      <c r="BG183" s="904" t="n"/>
      <c r="BH183" s="904" t="n"/>
      <c r="BI183" s="904" t="n"/>
      <c r="BJ183" s="904" t="n"/>
      <c r="BK183" s="904" t="n"/>
      <c r="BL183" s="904" t="n"/>
      <c r="BM183" s="904" t="n"/>
      <c r="BN183" s="904" t="n"/>
      <c r="BO183" s="904" t="n"/>
      <c r="BP183" s="904" t="n"/>
      <c r="BQ183" s="904" t="n"/>
      <c r="BR183" s="904" t="n"/>
      <c r="BS183" s="904" t="n"/>
      <c r="BT183" s="904" t="n"/>
      <c r="BU183" s="904" t="n"/>
      <c r="BV183" s="904" t="n"/>
      <c r="BW183" s="904" t="n"/>
      <c r="BX183" s="904" t="n"/>
      <c r="BY183" s="904" t="n"/>
      <c r="BZ183" s="904" t="n"/>
      <c r="CA183" s="904" t="n"/>
      <c r="CB183" s="904" t="n"/>
      <c r="CC183" s="904" t="n"/>
      <c r="CD183" s="904" t="n"/>
      <c r="CE183" s="904" t="n"/>
      <c r="CF183" s="904" t="n"/>
      <c r="CG183" s="904" t="n"/>
      <c r="CH183" s="904" t="n"/>
      <c r="CI183" s="904" t="n"/>
      <c r="CJ183" s="904" t="n"/>
      <c r="CK183" s="904" t="n"/>
      <c r="CL183" s="904" t="n"/>
      <c r="CM183" s="904" t="n"/>
      <c r="CN183" s="904" t="n"/>
      <c r="CO183" s="904" t="n"/>
      <c r="CP183" s="904" t="n"/>
      <c r="CQ183" s="904" t="n"/>
      <c r="CR183" s="904" t="n"/>
      <c r="CS183" s="904" t="n"/>
      <c r="CT183" s="904" t="n"/>
      <c r="CU183" s="904" t="n"/>
      <c r="CV183" s="904" t="n"/>
      <c r="CW183" s="904" t="n"/>
      <c r="CX183" s="904" t="n"/>
      <c r="CY183" s="904" t="n"/>
      <c r="CZ183" s="904" t="n"/>
      <c r="DA183" s="904" t="n"/>
      <c r="DB183" s="904" t="n"/>
      <c r="DC183" s="904" t="n"/>
      <c r="DD183" s="904" t="n"/>
      <c r="DE183" s="904" t="n"/>
      <c r="DF183" s="904" t="n"/>
      <c r="DG183" s="904" t="n"/>
      <c r="DH183" s="904" t="n"/>
      <c r="DI183" s="904" t="n"/>
      <c r="DJ183" s="904" t="n"/>
      <c r="DK183" s="904" t="n"/>
      <c r="DL183" s="904" t="n"/>
      <c r="DM183" s="904" t="n"/>
      <c r="DN183" s="904" t="n"/>
      <c r="DO183" s="904" t="n"/>
      <c r="DP183" s="904" t="n"/>
      <c r="DQ183" s="904" t="n"/>
      <c r="DR183" s="904" t="n"/>
      <c r="DS183" s="904" t="n"/>
      <c r="DT183" s="904" t="n"/>
      <c r="DU183" s="904" t="n"/>
      <c r="DV183" s="904" t="n"/>
      <c r="DW183" s="904" t="n"/>
      <c r="DX183" s="904" t="n"/>
      <c r="DY183" s="904" t="n"/>
      <c r="DZ183" s="904" t="n"/>
      <c r="EA183" s="904" t="n"/>
      <c r="EB183" s="904" t="n"/>
      <c r="EC183" s="904" t="n"/>
      <c r="ED183" s="904" t="n"/>
      <c r="EE183" s="904" t="n"/>
      <c r="EF183" s="904" t="n"/>
      <c r="EG183" s="904" t="n"/>
      <c r="EH183" s="904" t="n"/>
      <c r="EI183" s="904" t="n"/>
      <c r="EJ183" s="904" t="n"/>
      <c r="EK183" s="904" t="n"/>
      <c r="EL183" s="904" t="n"/>
      <c r="EM183" s="904" t="n"/>
      <c r="EN183" s="904" t="n"/>
      <c r="EO183" s="904" t="n"/>
      <c r="EP183" s="904" t="n"/>
      <c r="EQ183" s="904" t="n"/>
      <c r="ER183" s="904" t="n"/>
      <c r="ES183" s="904" t="n"/>
      <c r="ET183" s="904" t="n"/>
      <c r="EU183" s="904" t="n"/>
      <c r="EV183" s="904" t="n"/>
      <c r="EW183" s="904" t="n"/>
      <c r="EX183" s="904" t="n"/>
      <c r="EY183" s="904" t="n"/>
      <c r="EZ183" s="904" t="n"/>
      <c r="FA183" s="904" t="n"/>
      <c r="FB183" s="904" t="n"/>
      <c r="FC183" s="904" t="n"/>
      <c r="FD183" s="904" t="n"/>
      <c r="FE183" s="904" t="n"/>
      <c r="FF183" s="904" t="n"/>
      <c r="FG183" s="904" t="n"/>
      <c r="FH183" s="904" t="n"/>
      <c r="FI183" s="904" t="n"/>
      <c r="FJ183" s="904" t="n"/>
      <c r="FK183" s="904" t="n"/>
      <c r="FL183" s="904" t="n"/>
      <c r="FM183" s="904" t="n"/>
      <c r="FN183" s="904" t="n"/>
      <c r="FO183" s="904" t="n"/>
      <c r="FP183" s="904" t="n"/>
      <c r="FQ183" s="904" t="n"/>
      <c r="FR183" s="904" t="n"/>
      <c r="FS183" s="904" t="n"/>
      <c r="FT183" s="904" t="n"/>
      <c r="FU183" s="904" t="n"/>
      <c r="FV183" s="904" t="n"/>
      <c r="FW183" s="904" t="n"/>
      <c r="FX183" s="904" t="n"/>
      <c r="FY183" s="904" t="n"/>
      <c r="FZ183" s="904" t="n"/>
      <c r="GA183" s="904" t="n"/>
      <c r="GB183" s="904" t="n"/>
      <c r="GC183" s="904" t="n"/>
      <c r="GD183" s="904" t="n"/>
      <c r="GE183" s="904" t="n"/>
      <c r="GF183" s="904" t="n"/>
      <c r="GG183" s="904" t="n"/>
      <c r="GH183" s="904" t="n"/>
      <c r="GI183" s="904" t="n"/>
      <c r="GJ183" s="904" t="n"/>
      <c r="GK183" s="904" t="n"/>
      <c r="GL183" s="904" t="n"/>
      <c r="GM183" s="904" t="n"/>
      <c r="GN183" s="904" t="n"/>
      <c r="GO183" s="904" t="n"/>
      <c r="GP183" s="904" t="n"/>
      <c r="GQ183" s="904" t="n"/>
      <c r="GR183" s="904" t="n"/>
      <c r="GS183" s="904" t="n"/>
      <c r="GT183" s="904" t="n"/>
      <c r="GU183" s="904" t="n"/>
      <c r="GV183" s="904" t="n"/>
      <c r="GW183" s="904" t="n"/>
      <c r="GX183" s="904" t="n"/>
      <c r="GY183" s="904" t="n"/>
      <c r="GZ183" s="904" t="n"/>
      <c r="HA183" s="904" t="n"/>
      <c r="HB183" s="904" t="n"/>
      <c r="HC183" s="904" t="n"/>
      <c r="HD183" s="904" t="n"/>
      <c r="HE183" s="904" t="n"/>
      <c r="HF183" s="904" t="n"/>
      <c r="HG183" s="904" t="n"/>
      <c r="HH183" s="904" t="n"/>
      <c r="HI183" s="904" t="n"/>
      <c r="HJ183" s="904" t="n"/>
      <c r="HK183" s="904" t="n"/>
      <c r="HL183" s="904" t="n"/>
      <c r="HM183" s="904" t="n"/>
      <c r="HN183" s="904" t="n"/>
      <c r="HO183" s="904" t="n"/>
      <c r="HP183" s="904" t="n"/>
      <c r="HQ183" s="904" t="n"/>
      <c r="HR183" s="904" t="n"/>
      <c r="HS183" s="904" t="n"/>
      <c r="HT183" s="904" t="n"/>
      <c r="HU183" s="904" t="n"/>
      <c r="HV183" s="904" t="n"/>
      <c r="HW183" s="904" t="n"/>
      <c r="HX183" s="904" t="n"/>
      <c r="HY183" s="904" t="n"/>
      <c r="HZ183" s="904" t="n"/>
      <c r="IA183" s="904" t="n"/>
      <c r="IB183" s="904" t="n"/>
      <c r="IC183" s="904" t="n"/>
      <c r="ID183" s="904" t="n"/>
      <c r="IE183" s="904" t="n"/>
      <c r="IF183" s="904" t="n"/>
      <c r="IG183" s="904" t="n"/>
      <c r="IH183" s="904" t="n"/>
      <c r="II183" s="904" t="n"/>
      <c r="IJ183" s="904" t="n"/>
      <c r="IK183" s="904" t="n"/>
      <c r="IL183" s="904" t="n"/>
      <c r="IM183" s="904" t="n"/>
      <c r="IN183" s="904" t="n"/>
      <c r="IO183" s="904" t="n"/>
      <c r="IP183" s="904" t="n"/>
      <c r="IQ183" s="904" t="n"/>
      <c r="IR183" s="904" t="n"/>
      <c r="IS183" s="904" t="n"/>
      <c r="IT183" s="904" t="n"/>
      <c r="IU183" s="904" t="n"/>
      <c r="IV183" s="904" t="n"/>
      <c r="IW183" s="904" t="n"/>
      <c r="IX183" s="904" t="n"/>
      <c r="IY183" s="904" t="n"/>
      <c r="IZ183" s="904" t="n"/>
      <c r="JA183" s="904" t="n"/>
      <c r="JB183" s="904" t="n"/>
      <c r="JC183" s="904" t="n"/>
      <c r="JD183" s="904" t="n"/>
      <c r="JE183" s="904" t="n"/>
      <c r="JF183" s="904" t="n"/>
      <c r="JG183" s="904" t="n"/>
      <c r="JH183" s="904" t="n"/>
      <c r="JI183" s="904" t="n"/>
      <c r="JJ183" s="904" t="n"/>
      <c r="JK183" s="904" t="n"/>
      <c r="JL183" s="904" t="n"/>
      <c r="JM183" s="904" t="n"/>
      <c r="JN183" s="904" t="n"/>
      <c r="JO183" s="904" t="n"/>
      <c r="JP183" s="904" t="n"/>
      <c r="JQ183" s="904" t="n"/>
      <c r="JR183" s="904" t="n"/>
      <c r="JS183" s="904" t="n"/>
      <c r="JT183" s="904" t="n"/>
      <c r="JU183" s="904" t="n"/>
      <c r="JV183" s="904" t="n"/>
      <c r="JW183" s="904" t="n"/>
      <c r="JX183" s="904" t="n"/>
      <c r="JY183" s="904" t="n"/>
      <c r="JZ183" s="904" t="n"/>
      <c r="KA183" s="904" t="n"/>
      <c r="KB183" s="904" t="n"/>
      <c r="KC183" s="904" t="n"/>
      <c r="KD183" s="904" t="n"/>
      <c r="KE183" s="904" t="n"/>
      <c r="KF183" s="904" t="n"/>
      <c r="KG183" s="904" t="n"/>
      <c r="KH183" s="904" t="n"/>
      <c r="KI183" s="904" t="n"/>
      <c r="KJ183" s="904" t="n"/>
      <c r="KK183" s="904" t="n"/>
      <c r="KL183" s="904" t="n"/>
      <c r="KM183" s="904" t="n"/>
      <c r="KN183" s="904" t="n"/>
      <c r="KO183" s="904" t="n"/>
      <c r="KP183" s="904" t="n"/>
      <c r="KQ183" s="904" t="n"/>
      <c r="KR183" s="904" t="n"/>
      <c r="KS183" s="904" t="n"/>
      <c r="KT183" s="904" t="n"/>
      <c r="KU183" s="904" t="n"/>
      <c r="KV183" s="904" t="n"/>
      <c r="KW183" s="904" t="n"/>
      <c r="KX183" s="904" t="n"/>
      <c r="KY183" s="904" t="n"/>
      <c r="KZ183" s="904" t="n"/>
      <c r="LA183" s="904" t="n"/>
      <c r="LB183" s="904" t="n"/>
      <c r="LC183" s="1318">
        <f>LC181/KQ181-1</f>
        <v/>
      </c>
      <c r="LD183" s="1318">
        <f>LD181/KR181-1</f>
        <v/>
      </c>
      <c r="LE183" s="1318">
        <f>LE181/KS181-1</f>
        <v/>
      </c>
      <c r="LF183" s="1318">
        <f>LF181/KT181-1</f>
        <v/>
      </c>
      <c r="LG183" s="1318">
        <f>LG181/KU181-1</f>
        <v/>
      </c>
      <c r="LH183" s="1318">
        <f>LH181/KV181-1</f>
        <v/>
      </c>
      <c r="LI183" s="1318">
        <f>LI181/KW181-1</f>
        <v/>
      </c>
      <c r="LJ183" s="1318">
        <f>LJ181/KX181-1</f>
        <v/>
      </c>
      <c r="LK183" s="1318">
        <f>LK181/KY181-1</f>
        <v/>
      </c>
      <c r="LL183" s="1318">
        <f>LL181/KZ181-1</f>
        <v/>
      </c>
      <c r="LM183" s="1318">
        <f>LM181/LA181-1</f>
        <v/>
      </c>
      <c r="LN183" s="1318">
        <f>LN181/LB181-1</f>
        <v/>
      </c>
      <c r="LO183" s="1318">
        <f>LO181/LC181-1</f>
        <v/>
      </c>
      <c r="LP183" s="1318">
        <f>LP181/LD181-1</f>
        <v/>
      </c>
      <c r="LQ183" s="1318">
        <f>LQ181/LE181-1</f>
        <v/>
      </c>
      <c r="LR183" s="1318">
        <f>LR181/LF181-1</f>
        <v/>
      </c>
      <c r="LS183" s="1318">
        <f>LS181/LG181-1</f>
        <v/>
      </c>
    </row>
    <row r="184">
      <c r="A184" s="885" t="inlineStr">
        <is>
          <t>YTD cg %</t>
        </is>
      </c>
      <c r="B184" s="904" t="n"/>
      <c r="C184" s="904" t="n"/>
      <c r="D184" s="904" t="n"/>
      <c r="E184" s="904" t="n"/>
      <c r="F184" s="904" t="n"/>
      <c r="G184" s="904" t="n"/>
      <c r="H184" s="904" t="n"/>
      <c r="I184" s="904" t="n"/>
      <c r="J184" s="904" t="n"/>
      <c r="K184" s="904" t="n"/>
      <c r="L184" s="904" t="n"/>
      <c r="M184" s="904" t="n"/>
      <c r="N184" s="904" t="n"/>
      <c r="O184" s="904" t="n"/>
      <c r="P184" s="904" t="n"/>
      <c r="Q184" s="904" t="n"/>
      <c r="R184" s="904" t="n"/>
      <c r="S184" s="904" t="n"/>
      <c r="T184" s="904" t="n"/>
      <c r="U184" s="904" t="n"/>
      <c r="V184" s="904" t="n"/>
      <c r="W184" s="904" t="n"/>
      <c r="X184" s="904" t="n"/>
      <c r="Y184" s="904" t="n"/>
      <c r="Z184" s="904" t="n"/>
      <c r="AA184" s="904" t="n"/>
      <c r="AB184" s="904" t="n"/>
      <c r="AC184" s="904" t="n"/>
      <c r="AD184" s="904" t="n"/>
      <c r="AE184" s="904" t="n"/>
      <c r="AF184" s="904" t="n"/>
      <c r="AG184" s="904" t="n"/>
      <c r="AH184" s="904" t="n"/>
      <c r="AI184" s="904" t="n"/>
      <c r="AJ184" s="904" t="n"/>
      <c r="AK184" s="904" t="n"/>
      <c r="AL184" s="904" t="n"/>
      <c r="AM184" s="904" t="n"/>
      <c r="AN184" s="904" t="n"/>
      <c r="AO184" s="904" t="n"/>
      <c r="AP184" s="904" t="n"/>
      <c r="AQ184" s="904" t="n"/>
      <c r="AR184" s="904" t="n"/>
      <c r="AS184" s="904" t="n"/>
      <c r="AT184" s="904" t="n"/>
      <c r="AU184" s="904" t="n"/>
      <c r="AV184" s="904" t="n"/>
      <c r="AW184" s="904" t="n"/>
      <c r="AX184" s="904" t="n"/>
      <c r="AY184" s="904" t="n"/>
      <c r="AZ184" s="904" t="n"/>
      <c r="BA184" s="904" t="n"/>
      <c r="BB184" s="904" t="n"/>
      <c r="BC184" s="904" t="n"/>
      <c r="BD184" s="904" t="n"/>
      <c r="BE184" s="904" t="n"/>
      <c r="BF184" s="904" t="n"/>
      <c r="BG184" s="904" t="n"/>
      <c r="BH184" s="904" t="n"/>
      <c r="BI184" s="904" t="n"/>
      <c r="BJ184" s="904" t="n"/>
      <c r="BK184" s="904" t="n"/>
      <c r="BL184" s="904" t="n"/>
      <c r="BM184" s="904" t="n"/>
      <c r="BN184" s="904" t="n"/>
      <c r="BO184" s="904" t="n"/>
      <c r="BP184" s="904" t="n"/>
      <c r="BQ184" s="904" t="n"/>
      <c r="BR184" s="904" t="n"/>
      <c r="BS184" s="904" t="n"/>
      <c r="BT184" s="904" t="n"/>
      <c r="BU184" s="904" t="n"/>
      <c r="BV184" s="904" t="n"/>
      <c r="BW184" s="904" t="n"/>
      <c r="BX184" s="904" t="n"/>
      <c r="BY184" s="904" t="n"/>
      <c r="BZ184" s="904" t="n"/>
      <c r="CA184" s="904" t="n"/>
      <c r="CB184" s="904" t="n"/>
      <c r="CC184" s="904" t="n"/>
      <c r="CD184" s="904" t="n"/>
      <c r="CE184" s="904" t="n"/>
      <c r="CF184" s="904" t="n"/>
      <c r="CG184" s="904" t="n"/>
      <c r="CH184" s="904" t="n"/>
      <c r="CI184" s="904" t="n"/>
      <c r="CJ184" s="904" t="n"/>
      <c r="CK184" s="904" t="n"/>
      <c r="CL184" s="904" t="n"/>
      <c r="CM184" s="904" t="n"/>
      <c r="CN184" s="904" t="n"/>
      <c r="CO184" s="904" t="n"/>
      <c r="CP184" s="904" t="n"/>
      <c r="CQ184" s="904" t="n"/>
      <c r="CR184" s="904" t="n"/>
      <c r="CS184" s="904" t="n"/>
      <c r="CT184" s="904" t="n"/>
      <c r="CU184" s="904" t="n"/>
      <c r="CV184" s="904" t="n"/>
      <c r="CW184" s="904" t="n"/>
      <c r="CX184" s="904" t="n"/>
      <c r="CY184" s="904" t="n"/>
      <c r="CZ184" s="904" t="n"/>
      <c r="DA184" s="904" t="n"/>
      <c r="DB184" s="904" t="n"/>
      <c r="DC184" s="904" t="n"/>
      <c r="DD184" s="904" t="n"/>
      <c r="DE184" s="904" t="n"/>
      <c r="DF184" s="904" t="n"/>
      <c r="DG184" s="904" t="n"/>
      <c r="DH184" s="904" t="n"/>
      <c r="DI184" s="904" t="n"/>
      <c r="DJ184" s="904" t="n"/>
      <c r="DK184" s="904" t="n"/>
      <c r="DL184" s="904" t="n"/>
      <c r="DM184" s="904" t="n"/>
      <c r="DN184" s="904" t="n"/>
      <c r="DO184" s="904" t="n"/>
      <c r="DP184" s="904" t="n"/>
      <c r="DQ184" s="904" t="n"/>
      <c r="DR184" s="904" t="n"/>
      <c r="DS184" s="904" t="n"/>
      <c r="DT184" s="904" t="n"/>
      <c r="DU184" s="904" t="n"/>
      <c r="DV184" s="904" t="n"/>
      <c r="DW184" s="904" t="n"/>
      <c r="DX184" s="904" t="n"/>
      <c r="DY184" s="904" t="n"/>
      <c r="DZ184" s="904" t="n"/>
      <c r="EA184" s="904" t="n"/>
      <c r="EB184" s="904" t="n"/>
      <c r="EC184" s="904" t="n"/>
      <c r="ED184" s="904" t="n"/>
      <c r="EE184" s="904" t="n"/>
      <c r="EF184" s="904" t="n"/>
      <c r="EG184" s="904" t="n"/>
      <c r="EH184" s="904" t="n"/>
      <c r="EI184" s="904" t="n"/>
      <c r="EJ184" s="904" t="n"/>
      <c r="EK184" s="904" t="n"/>
      <c r="EL184" s="904" t="n"/>
      <c r="EM184" s="904" t="n"/>
      <c r="EN184" s="904" t="n"/>
      <c r="EO184" s="904" t="n"/>
      <c r="EP184" s="904" t="n"/>
      <c r="EQ184" s="904" t="n"/>
      <c r="ER184" s="904" t="n"/>
      <c r="ES184" s="904" t="n"/>
      <c r="ET184" s="904" t="n"/>
      <c r="EU184" s="904" t="n"/>
      <c r="EV184" s="904" t="n"/>
      <c r="EW184" s="904" t="n"/>
      <c r="EX184" s="904" t="n"/>
      <c r="EY184" s="904" t="n"/>
      <c r="EZ184" s="904" t="n"/>
      <c r="FA184" s="904" t="n"/>
      <c r="FB184" s="904" t="n"/>
      <c r="FC184" s="904" t="n"/>
      <c r="FD184" s="904" t="n"/>
      <c r="FE184" s="904" t="n"/>
      <c r="FF184" s="904" t="n"/>
      <c r="FG184" s="904" t="n"/>
      <c r="FH184" s="904" t="n"/>
      <c r="FI184" s="904" t="n"/>
      <c r="FJ184" s="904" t="n"/>
      <c r="FK184" s="904" t="n"/>
      <c r="FL184" s="904" t="n"/>
      <c r="FM184" s="904" t="n"/>
      <c r="FN184" s="904" t="n"/>
      <c r="FO184" s="904" t="n"/>
      <c r="FP184" s="904" t="n"/>
      <c r="FQ184" s="904" t="n"/>
      <c r="FR184" s="904" t="n"/>
      <c r="FS184" s="904" t="n"/>
      <c r="FT184" s="904" t="n"/>
      <c r="FU184" s="904" t="n"/>
      <c r="FV184" s="904" t="n"/>
      <c r="FW184" s="904" t="n"/>
      <c r="FX184" s="904" t="n"/>
      <c r="FY184" s="904" t="n"/>
      <c r="FZ184" s="904" t="n"/>
      <c r="GA184" s="904" t="n"/>
      <c r="GB184" s="904" t="n"/>
      <c r="GC184" s="904" t="n"/>
      <c r="GD184" s="904" t="n"/>
      <c r="GE184" s="904" t="n"/>
      <c r="GF184" s="904" t="n"/>
      <c r="GG184" s="904" t="n"/>
      <c r="GH184" s="904" t="n"/>
      <c r="GI184" s="904" t="n"/>
      <c r="GJ184" s="904" t="n"/>
      <c r="GK184" s="904" t="n"/>
      <c r="GL184" s="904" t="n"/>
      <c r="GM184" s="904" t="n"/>
      <c r="GN184" s="904" t="n"/>
      <c r="GO184" s="904" t="n"/>
      <c r="GP184" s="904" t="n"/>
      <c r="GQ184" s="904" t="n"/>
      <c r="GR184" s="904" t="n"/>
      <c r="GS184" s="904" t="n"/>
      <c r="GT184" s="904" t="n"/>
      <c r="GU184" s="904" t="n"/>
      <c r="GV184" s="904" t="n"/>
      <c r="GW184" s="904" t="n"/>
      <c r="GX184" s="904" t="n"/>
      <c r="GY184" s="904" t="n"/>
      <c r="GZ184" s="904" t="n"/>
      <c r="HA184" s="904" t="n"/>
      <c r="HB184" s="904" t="n"/>
      <c r="HC184" s="904" t="n"/>
      <c r="HD184" s="904" t="n"/>
      <c r="HE184" s="904" t="n"/>
      <c r="HF184" s="904" t="n"/>
      <c r="HG184" s="904" t="n"/>
      <c r="HH184" s="904" t="n"/>
      <c r="HI184" s="904" t="n"/>
      <c r="HJ184" s="904" t="n"/>
      <c r="HK184" s="904" t="n"/>
      <c r="HL184" s="904" t="n"/>
      <c r="HM184" s="904" t="n"/>
      <c r="HN184" s="904" t="n"/>
      <c r="HO184" s="904" t="n"/>
      <c r="HP184" s="904" t="n"/>
      <c r="HQ184" s="904" t="n"/>
      <c r="HR184" s="904" t="n"/>
      <c r="HS184" s="904" t="n"/>
      <c r="HT184" s="904" t="n"/>
      <c r="HU184" s="904" t="n"/>
      <c r="HV184" s="904" t="n"/>
      <c r="HW184" s="904" t="n"/>
      <c r="HX184" s="904" t="n"/>
      <c r="HY184" s="904" t="n"/>
      <c r="HZ184" s="904" t="n"/>
      <c r="IA184" s="904" t="n"/>
      <c r="IB184" s="904" t="n"/>
      <c r="IC184" s="904" t="n"/>
      <c r="ID184" s="904" t="n"/>
      <c r="IE184" s="904" t="n"/>
      <c r="IF184" s="904" t="n"/>
      <c r="IG184" s="904" t="n"/>
      <c r="IH184" s="904" t="n"/>
      <c r="II184" s="904" t="n"/>
      <c r="IJ184" s="904" t="n"/>
      <c r="IK184" s="904" t="n"/>
      <c r="IL184" s="904" t="n"/>
      <c r="IM184" s="904" t="n"/>
      <c r="IN184" s="904" t="n"/>
      <c r="IO184" s="904" t="n"/>
      <c r="IP184" s="904" t="n"/>
      <c r="IQ184" s="904" t="n"/>
      <c r="IR184" s="904" t="n"/>
      <c r="IS184" s="904" t="n"/>
      <c r="IT184" s="904" t="n"/>
      <c r="IU184" s="904" t="n"/>
      <c r="IV184" s="904" t="n"/>
      <c r="IW184" s="904" t="n"/>
      <c r="IX184" s="904" t="n"/>
      <c r="IY184" s="904" t="n"/>
      <c r="IZ184" s="904" t="n"/>
      <c r="JA184" s="904" t="n"/>
      <c r="JB184" s="904" t="n"/>
      <c r="JC184" s="904" t="n"/>
      <c r="JD184" s="904" t="n"/>
      <c r="JE184" s="904" t="n"/>
      <c r="JF184" s="904" t="n"/>
      <c r="JG184" s="904" t="n"/>
      <c r="JH184" s="904" t="n"/>
      <c r="JI184" s="904" t="n"/>
      <c r="JJ184" s="904" t="n"/>
      <c r="JK184" s="904" t="n"/>
      <c r="JL184" s="904" t="n"/>
      <c r="JM184" s="904" t="n"/>
      <c r="JN184" s="904" t="n"/>
      <c r="JO184" s="904" t="n"/>
      <c r="JP184" s="904" t="n"/>
      <c r="JQ184" s="904" t="n"/>
      <c r="JR184" s="904" t="n"/>
      <c r="JS184" s="904" t="n"/>
      <c r="JT184" s="904" t="n"/>
      <c r="JU184" s="904" t="n"/>
      <c r="JV184" s="904" t="n"/>
      <c r="JW184" s="904" t="n"/>
      <c r="JX184" s="904" t="n"/>
      <c r="JY184" s="904" t="n"/>
      <c r="JZ184" s="904" t="n"/>
      <c r="KA184" s="904" t="n"/>
      <c r="KB184" s="904" t="n"/>
      <c r="KC184" s="904" t="n"/>
      <c r="KD184" s="904" t="n"/>
      <c r="KE184" s="904" t="n"/>
      <c r="KF184" s="904" t="n"/>
      <c r="KG184" s="904" t="n"/>
      <c r="KH184" s="904" t="n"/>
      <c r="KI184" s="904" t="n"/>
      <c r="KJ184" s="904" t="n"/>
      <c r="KK184" s="904" t="n"/>
      <c r="KL184" s="904" t="n"/>
      <c r="KM184" s="904" t="n"/>
      <c r="KN184" s="904" t="n"/>
      <c r="KO184" s="904" t="n"/>
      <c r="KP184" s="904" t="n"/>
      <c r="KQ184" s="904" t="n"/>
      <c r="KR184" s="904" t="n"/>
      <c r="KS184" s="904" t="n"/>
      <c r="KT184" s="904" t="n"/>
      <c r="KU184" s="904" t="n"/>
      <c r="KV184" s="904" t="n"/>
      <c r="KW184" s="904" t="n"/>
      <c r="KX184" s="904" t="n"/>
      <c r="KY184" s="904" t="n"/>
      <c r="KZ184" s="904" t="n"/>
      <c r="LA184" s="904" t="n"/>
      <c r="LB184" s="904" t="n"/>
      <c r="LC184" s="1318">
        <f>SUMIFS(181:181,$8:$8,"&gt;="&amp;DATE(YEAR(LC$8),1,1),$8:$8,"&lt;="&amp;EOMONTH(LC$8,0))/SUMIFS(181:181,$8:$8,"&gt;="&amp;DATE(YEAR(LC$8)-1,1,1),$8:$8,"&lt;="&amp;EOMONTH(LC$8,-12))-1</f>
        <v/>
      </c>
      <c r="LD184" s="1318">
        <f>SUMIFS(181:181,$8:$8,"&gt;="&amp;DATE(YEAR(LD$8),1,1),$8:$8,"&lt;="&amp;EOMONTH(LD$8,0))/SUMIFS(181:181,$8:$8,"&gt;="&amp;DATE(YEAR(LD$8)-1,1,1),$8:$8,"&lt;="&amp;EOMONTH(LD$8,-12))-1</f>
        <v/>
      </c>
      <c r="LE184" s="1318">
        <f>SUMIFS(181:181,$8:$8,"&gt;="&amp;DATE(YEAR(LE$8),1,1),$8:$8,"&lt;="&amp;EOMONTH(LE$8,0))/SUMIFS(181:181,$8:$8,"&gt;="&amp;DATE(YEAR(LE$8)-1,1,1),$8:$8,"&lt;="&amp;EOMONTH(LE$8,-12))-1</f>
        <v/>
      </c>
      <c r="LF184" s="1318">
        <f>SUMIFS(181:181,$8:$8,"&gt;="&amp;DATE(YEAR(LF$8),1,1),$8:$8,"&lt;="&amp;EOMONTH(LF$8,0))/SUMIFS(181:181,$8:$8,"&gt;="&amp;DATE(YEAR(LF$8)-1,1,1),$8:$8,"&lt;="&amp;EOMONTH(LF$8,-12))-1</f>
        <v/>
      </c>
      <c r="LG184" s="1318">
        <f>SUMIFS(181:181,$8:$8,"&gt;="&amp;DATE(YEAR(LG$8),1,1),$8:$8,"&lt;="&amp;EOMONTH(LG$8,0))/SUMIFS(181:181,$8:$8,"&gt;="&amp;DATE(YEAR(LG$8)-1,1,1),$8:$8,"&lt;="&amp;EOMONTH(LG$8,-12))-1</f>
        <v/>
      </c>
      <c r="LH184" s="1318">
        <f>SUMIFS(181:181,$8:$8,"&gt;="&amp;DATE(YEAR(LH$8),1,1),$8:$8,"&lt;="&amp;EOMONTH(LH$8,0))/SUMIFS(181:181,$8:$8,"&gt;="&amp;DATE(YEAR(LH$8)-1,1,1),$8:$8,"&lt;="&amp;EOMONTH(LH$8,-12))-1</f>
        <v/>
      </c>
      <c r="LI184" s="1318">
        <f>SUMIFS(181:181,$8:$8,"&gt;="&amp;DATE(YEAR(LI$8),1,1),$8:$8,"&lt;="&amp;EOMONTH(LI$8,0))/SUMIFS(181:181,$8:$8,"&gt;="&amp;DATE(YEAR(LI$8)-1,1,1),$8:$8,"&lt;="&amp;EOMONTH(LI$8,-12))-1</f>
        <v/>
      </c>
      <c r="LJ184" s="1318">
        <f>SUMIFS(181:181,$8:$8,"&gt;="&amp;DATE(YEAR(LJ$8),1,1),$8:$8,"&lt;="&amp;EOMONTH(LJ$8,0))/SUMIFS(181:181,$8:$8,"&gt;="&amp;DATE(YEAR(LJ$8)-1,1,1),$8:$8,"&lt;="&amp;EOMONTH(LJ$8,-12))-1</f>
        <v/>
      </c>
      <c r="LK184" s="1318">
        <f>SUMIFS(181:181,$8:$8,"&gt;="&amp;DATE(YEAR(LK$8),1,1),$8:$8,"&lt;="&amp;EOMONTH(LK$8,0))/SUMIFS(181:181,$8:$8,"&gt;="&amp;DATE(YEAR(LK$8)-1,1,1),$8:$8,"&lt;="&amp;EOMONTH(LK$8,-12))-1</f>
        <v/>
      </c>
      <c r="LL184" s="1318">
        <f>SUMIFS(181:181,$8:$8,"&gt;="&amp;DATE(YEAR(LL$8),1,1),$8:$8,"&lt;="&amp;EOMONTH(LL$8,0))/SUMIFS(181:181,$8:$8,"&gt;="&amp;DATE(YEAR(LL$8)-1,1,1),$8:$8,"&lt;="&amp;EOMONTH(LL$8,-12))-1</f>
        <v/>
      </c>
      <c r="LM184" s="1318">
        <f>SUMIFS(181:181,$8:$8,"&gt;="&amp;DATE(YEAR(LM$8),1,1),$8:$8,"&lt;="&amp;EOMONTH(LM$8,0))/SUMIFS(181:181,$8:$8,"&gt;="&amp;DATE(YEAR(LM$8)-1,1,1),$8:$8,"&lt;="&amp;EOMONTH(LM$8,-12))-1</f>
        <v/>
      </c>
      <c r="LN184" s="1318">
        <f>SUMIFS(181:181,$8:$8,"&gt;="&amp;DATE(YEAR(LN$8),1,1),$8:$8,"&lt;="&amp;EOMONTH(LN$8,0))/SUMIFS(181:181,$8:$8,"&gt;="&amp;DATE(YEAR(LN$8)-1,1,1),$8:$8,"&lt;="&amp;EOMONTH(LN$8,-12))-1</f>
        <v/>
      </c>
      <c r="LO184" s="1318">
        <f>SUMIFS(181:181,$8:$8,"&gt;="&amp;DATE(YEAR(LO$8),1,1),$8:$8,"&lt;="&amp;EOMONTH(LO$8,0))/SUMIFS(181:181,$8:$8,"&gt;="&amp;DATE(YEAR(LO$8)-1,1,1),$8:$8,"&lt;="&amp;EOMONTH(LO$8,-12))-1</f>
        <v/>
      </c>
      <c r="LP184" s="1318">
        <f>SUMIFS(181:181,$8:$8,"&gt;="&amp;DATE(YEAR(LP$8),1,1),$8:$8,"&lt;="&amp;EOMONTH(LP$8,0))/SUMIFS(181:181,$8:$8,"&gt;="&amp;DATE(YEAR(LP$8)-1,1,1),$8:$8,"&lt;="&amp;EOMONTH(LP$8,-12))-1</f>
        <v/>
      </c>
      <c r="LQ184" s="1318">
        <f>SUMIFS(181:181,$8:$8,"&gt;="&amp;DATE(YEAR(LQ$8),1,1),$8:$8,"&lt;="&amp;EOMONTH(LQ$8,0))/SUMIFS(181:181,$8:$8,"&gt;="&amp;DATE(YEAR(LQ$8)-1,1,1),$8:$8,"&lt;="&amp;EOMONTH(LQ$8,-12))-1</f>
        <v/>
      </c>
      <c r="LR184" s="1318">
        <f>SUMIFS(181:181,$8:$8,"&gt;="&amp;DATE(YEAR(LR$8),1,1),$8:$8,"&lt;="&amp;EOMONTH(LR$8,0))/SUMIFS(181:181,$8:$8,"&gt;="&amp;DATE(YEAR(LR$8)-1,1,1),$8:$8,"&lt;="&amp;EOMONTH(LR$8,-12))-1</f>
        <v/>
      </c>
      <c r="LS184" s="1318">
        <f>SUMIFS(181:181,$8:$8,"&gt;="&amp;DATE(YEAR(LS$8),1,1),$8:$8,"&lt;="&amp;EOMONTH(LS$8,0))/SUMIFS(181:181,$8:$8,"&gt;="&amp;DATE(YEAR(LS$8)-1,1,1),$8:$8,"&lt;="&amp;EOMONTH(LS$8,-12))-1</f>
        <v/>
      </c>
    </row>
    <row r="186">
      <c r="A186" s="564" t="n"/>
    </row>
    <row r="187">
      <c r="A187" s="564" t="n"/>
    </row>
    <row r="188">
      <c r="A188" s="564" t="n"/>
    </row>
    <row r="191" ht="36.75" customFormat="1" customHeight="1" s="1310">
      <c r="A191" s="1347" t="inlineStr">
        <is>
          <t>Raw Dataset</t>
        </is>
      </c>
      <c r="B191" s="1348" t="n"/>
      <c r="C191" s="1349" t="n"/>
      <c r="D191" s="1349" t="n"/>
      <c r="E191" s="1349" t="n"/>
      <c r="F191" s="1350" t="n"/>
      <c r="G191" s="1350" t="n"/>
      <c r="H191" s="1350" t="n"/>
      <c r="I191" s="1350" t="n"/>
      <c r="J191" s="1350" t="n"/>
      <c r="K191" s="1350" t="n"/>
      <c r="L191" s="1350" t="n"/>
      <c r="M191" s="1350" t="n"/>
      <c r="N191" s="1350" t="n"/>
      <c r="O191" s="1350" t="n"/>
      <c r="P191" s="1350" t="n"/>
      <c r="Q191" s="1349" t="n"/>
      <c r="R191" s="1350" t="n"/>
      <c r="S191" s="1350" t="n"/>
      <c r="T191" s="1350" t="n"/>
      <c r="U191" s="1350" t="n"/>
      <c r="V191" s="1350" t="n"/>
      <c r="W191" s="1350" t="n"/>
      <c r="X191" s="1350" t="n"/>
      <c r="Y191" s="1350" t="n"/>
      <c r="Z191" s="1350" t="n"/>
      <c r="AA191" s="1350" t="n"/>
      <c r="AB191" s="1350" t="n"/>
      <c r="AC191" s="1350" t="n"/>
      <c r="AD191" s="1350" t="n"/>
      <c r="AE191" s="1350" t="n"/>
      <c r="AF191" s="1350" t="n"/>
      <c r="AG191" s="1350" t="n"/>
      <c r="AH191" s="1350" t="n"/>
      <c r="AI191" s="1350" t="n"/>
      <c r="AJ191" s="1350" t="n"/>
      <c r="AK191" s="1350" t="n"/>
      <c r="AL191" s="1350" t="n"/>
      <c r="AM191" s="1350" t="n"/>
      <c r="AN191" s="1350" t="n"/>
      <c r="AO191" s="1350" t="n"/>
      <c r="AP191" s="1350" t="n"/>
      <c r="AQ191" s="1350" t="n"/>
      <c r="AR191" s="1350" t="n"/>
      <c r="AS191" s="1350" t="n"/>
      <c r="AT191" s="1350" t="n"/>
      <c r="AU191" s="1350" t="n"/>
      <c r="AV191" s="1351" t="n"/>
      <c r="AW191" s="1350" t="n"/>
      <c r="AX191" s="1350" t="n"/>
      <c r="AY191" s="1350" t="n"/>
      <c r="AZ191" s="1350" t="n"/>
      <c r="BA191" s="1350" t="n"/>
      <c r="BB191" s="1350" t="n"/>
      <c r="BC191" s="1350" t="n"/>
      <c r="BD191" s="1350" t="n"/>
      <c r="BE191" s="1350" t="n"/>
      <c r="BF191" s="1350" t="n"/>
      <c r="BG191" s="1350" t="n"/>
      <c r="BH191" s="1350" t="n"/>
      <c r="BI191" s="1350" t="n"/>
      <c r="BJ191" s="1350" t="n"/>
      <c r="BK191" s="1350" t="n"/>
      <c r="BL191" s="1350" t="n"/>
      <c r="BM191" s="1350" t="n"/>
      <c r="BN191" s="1350" t="n"/>
      <c r="BO191" s="1350" t="n"/>
      <c r="BP191" s="1350" t="n"/>
      <c r="BQ191" s="1350" t="n"/>
      <c r="BR191" s="1350" t="n"/>
      <c r="BS191" s="1350" t="n"/>
      <c r="BT191" s="1350" t="n"/>
      <c r="BU191" s="1350" t="n"/>
      <c r="BV191" s="1350" t="n"/>
      <c r="BW191" s="1350" t="n"/>
      <c r="BX191" s="1350" t="n"/>
      <c r="BY191" s="1350" t="n"/>
      <c r="BZ191" s="1350" t="n"/>
      <c r="CA191" s="1350" t="n"/>
      <c r="CB191" s="1350" t="n"/>
      <c r="CC191" s="1350" t="n"/>
      <c r="CD191" s="1350" t="n"/>
      <c r="CE191" s="1350" t="n"/>
      <c r="CF191" s="1350" t="n"/>
      <c r="CG191" s="1350" t="n"/>
      <c r="CH191" s="1350" t="n"/>
      <c r="CI191" s="1350" t="n"/>
      <c r="CJ191" s="1350" t="n"/>
      <c r="CK191" s="1350" t="n"/>
      <c r="CL191" s="1350" t="n"/>
      <c r="CM191" s="1350" t="n"/>
      <c r="CN191" s="1350" t="n"/>
      <c r="CO191" s="1350" t="n"/>
      <c r="CP191" s="1350" t="n"/>
      <c r="CQ191" s="1350" t="n"/>
      <c r="CR191" s="1350" t="n"/>
      <c r="CS191" s="1350" t="n"/>
      <c r="CT191" s="1350" t="n"/>
      <c r="CU191" s="1350" t="n"/>
      <c r="CV191" s="1350" t="n"/>
      <c r="CW191" s="1350" t="n"/>
      <c r="CX191" s="1350" t="n"/>
      <c r="CY191" s="1350" t="n"/>
      <c r="CZ191" s="1350" t="n"/>
      <c r="DA191" s="1350" t="n"/>
      <c r="DB191" s="1350" t="n"/>
      <c r="DC191" s="1350" t="n"/>
      <c r="DD191" s="1350" t="n"/>
      <c r="DE191" s="1350" t="n"/>
      <c r="DF191" s="1350" t="n"/>
      <c r="DG191" s="1350" t="n"/>
      <c r="DH191" s="1350" t="n"/>
      <c r="DI191" s="1350" t="n"/>
      <c r="DJ191" s="1350" t="n"/>
      <c r="DK191" s="1350" t="n"/>
      <c r="DL191" s="1350" t="n"/>
      <c r="DM191" s="1350" t="n"/>
      <c r="DN191" s="1350" t="n"/>
      <c r="DO191" s="1350" t="n"/>
      <c r="DP191" s="1350" t="n"/>
      <c r="DQ191" s="1350" t="n"/>
      <c r="DR191" s="1352" t="n"/>
      <c r="DS191" s="1350" t="n"/>
      <c r="DT191" s="1350" t="n"/>
      <c r="DU191" s="1350" t="n"/>
      <c r="DV191" s="1350" t="n"/>
      <c r="DW191" s="1350" t="n"/>
      <c r="DX191" s="1350" t="n"/>
      <c r="DY191" s="1350" t="n"/>
      <c r="DZ191" s="1350" t="n"/>
      <c r="EA191" s="1350" t="n"/>
      <c r="EB191" s="1350" t="n"/>
      <c r="EC191" s="1350" t="n"/>
      <c r="ED191" s="1350" t="n"/>
      <c r="EE191" s="1350" t="n"/>
      <c r="EF191" s="1350" t="n"/>
      <c r="EG191" s="1350" t="n"/>
      <c r="EH191" s="1350" t="n"/>
      <c r="EI191" s="1350" t="n"/>
      <c r="EJ191" s="1350" t="n"/>
      <c r="EK191" s="1350" t="n"/>
      <c r="EL191" s="1350" t="n"/>
      <c r="EM191" s="1350" t="n"/>
      <c r="EN191" s="1350" t="n"/>
      <c r="EO191" s="1350" t="n"/>
      <c r="EP191" s="1350" t="n"/>
      <c r="EQ191" s="1350" t="n"/>
      <c r="ER191" s="1350" t="n"/>
      <c r="ES191" s="1350" t="n"/>
      <c r="ET191" s="1350" t="n"/>
      <c r="EU191" s="1350" t="n"/>
      <c r="EV191" s="1350" t="n"/>
      <c r="EW191" s="1350" t="n"/>
      <c r="EX191" s="1350" t="n"/>
      <c r="EY191" s="1350" t="n"/>
      <c r="EZ191" s="1350" t="n"/>
      <c r="FA191" s="1350" t="n"/>
      <c r="FB191" s="1350" t="n"/>
      <c r="FC191" s="1350" t="n"/>
      <c r="FD191" s="1350" t="n"/>
      <c r="FE191" s="1350" t="n"/>
      <c r="FF191" s="1350" t="n"/>
      <c r="FG191" s="1350" t="n"/>
      <c r="FH191" s="1350" t="n"/>
      <c r="FI191" s="1350" t="n"/>
      <c r="FJ191" s="1350" t="n"/>
      <c r="FK191" s="1350" t="n"/>
      <c r="FL191" s="1350" t="n"/>
      <c r="FM191" s="1350" t="n"/>
      <c r="FN191" s="1350" t="n"/>
      <c r="FO191" s="1350" t="n"/>
      <c r="FP191" s="1350" t="n"/>
      <c r="FQ191" s="1350" t="n"/>
      <c r="FR191" s="1350" t="n"/>
      <c r="FS191" s="1350" t="n"/>
      <c r="FT191" s="1350" t="n"/>
      <c r="FU191" s="1350" t="n"/>
      <c r="FV191" s="1350" t="n"/>
      <c r="FW191" s="1350" t="n"/>
      <c r="FX191" s="1350" t="n"/>
      <c r="FY191" s="1350" t="n"/>
      <c r="FZ191" s="1350" t="n"/>
      <c r="GA191" s="1350" t="n"/>
      <c r="GB191" s="1350" t="n"/>
      <c r="GC191" s="1350" t="n"/>
      <c r="GD191" s="1350" t="n"/>
      <c r="GE191" s="1350" t="n"/>
      <c r="GF191" s="1350" t="n"/>
      <c r="GG191" s="1350" t="n"/>
      <c r="GH191" s="1350" t="n"/>
      <c r="GI191" s="1350" t="n"/>
      <c r="GJ191" s="1350" t="n"/>
      <c r="GK191" s="1350" t="n"/>
      <c r="GL191" s="1350" t="n"/>
      <c r="GM191" s="1350" t="n"/>
      <c r="GN191" s="1350" t="n"/>
      <c r="GO191" s="1350" t="n"/>
      <c r="GP191" s="1350" t="n"/>
      <c r="GQ191" s="1350" t="n"/>
      <c r="GR191" s="1350" t="n"/>
      <c r="GS191" s="1350" t="n"/>
      <c r="GT191" s="1350" t="n"/>
      <c r="GU191" s="1350" t="n"/>
      <c r="GV191" s="1350" t="n"/>
      <c r="GW191" s="1350" t="n"/>
      <c r="GX191" s="1350" t="n"/>
      <c r="GY191" s="1350" t="n"/>
      <c r="GZ191" s="1350" t="n"/>
      <c r="HA191" s="1350" t="n"/>
      <c r="HB191" s="1350" t="n"/>
      <c r="HC191" s="1350" t="n"/>
      <c r="HD191" s="1350" t="n"/>
      <c r="HE191" s="1350" t="n"/>
      <c r="HF191" s="1350" t="n"/>
      <c r="HG191" s="1350" t="n"/>
      <c r="HH191" s="1350" t="n"/>
      <c r="HI191" s="1350" t="n"/>
      <c r="HJ191" s="1350" t="n"/>
      <c r="HK191" s="1350" t="n"/>
      <c r="HL191" s="1350" t="n"/>
      <c r="HM191" s="1350" t="n"/>
      <c r="HN191" s="1350" t="n"/>
      <c r="HO191" s="1350" t="n"/>
      <c r="HP191" s="1350" t="n"/>
      <c r="HQ191" s="1350" t="n"/>
      <c r="HR191" s="1350" t="n"/>
      <c r="HS191" s="1350" t="n"/>
      <c r="HT191" s="1350" t="n"/>
      <c r="HU191" s="1350" t="n"/>
      <c r="HV191" s="1350" t="n"/>
      <c r="HW191" s="1350" t="n"/>
      <c r="HX191" s="1350" t="n"/>
      <c r="HY191" s="1350" t="n"/>
      <c r="HZ191" s="1350" t="n"/>
      <c r="IA191" s="1350" t="n"/>
      <c r="IB191" s="1350" t="n"/>
      <c r="IC191" s="1350" t="n"/>
      <c r="ID191" s="1350" t="n"/>
      <c r="IE191" s="1350" t="n"/>
      <c r="IF191" s="1350" t="n"/>
      <c r="IG191" s="1350" t="n"/>
      <c r="IH191" s="1350" t="n"/>
      <c r="II191" s="1350" t="n"/>
      <c r="IJ191" s="1350" t="n"/>
      <c r="IK191" s="1350" t="n"/>
      <c r="IL191" s="1350" t="n"/>
      <c r="IM191" s="1350" t="n"/>
      <c r="IN191" s="1350" t="n"/>
      <c r="IO191" s="1350" t="n"/>
      <c r="IP191" s="1350" t="n"/>
      <c r="IQ191" s="1350" t="n"/>
      <c r="IR191" s="1350" t="n"/>
      <c r="IS191" s="1350" t="n"/>
      <c r="IT191" s="1350" t="n"/>
      <c r="IU191" s="1350" t="n"/>
      <c r="IV191" s="1350" t="n"/>
      <c r="IW191" s="1350" t="n"/>
      <c r="IX191" s="1350" t="n"/>
      <c r="IY191" s="1350" t="n"/>
      <c r="IZ191" s="1350" t="n"/>
      <c r="JA191" s="1350" t="n"/>
      <c r="JB191" s="1350" t="n"/>
      <c r="JC191" s="1350" t="n"/>
      <c r="JD191" s="1350" t="n"/>
      <c r="JE191" s="1350" t="n"/>
      <c r="JF191" s="1350" t="n"/>
      <c r="JG191" s="1350" t="n"/>
      <c r="JH191" s="1350" t="n"/>
      <c r="JI191" s="1350" t="n"/>
      <c r="JJ191" s="1350" t="n"/>
      <c r="JK191" s="1350" t="n"/>
      <c r="JL191" s="1350" t="n"/>
      <c r="JM191" s="1350" t="n"/>
      <c r="JN191" s="1350" t="n"/>
      <c r="JO191" s="1350" t="n"/>
      <c r="JP191" s="1350" t="n"/>
      <c r="JQ191" s="1350" t="n"/>
      <c r="JR191" s="1350" t="n"/>
      <c r="JS191" s="1350" t="n"/>
      <c r="JT191" s="1350" t="n"/>
      <c r="JU191" s="1350" t="n"/>
      <c r="JV191" s="1350" t="n"/>
      <c r="JW191" s="1350" t="n"/>
      <c r="JX191" s="1350" t="n"/>
      <c r="JY191" s="1350" t="n"/>
      <c r="JZ191" s="1350" t="n"/>
      <c r="KA191" s="1350" t="n"/>
      <c r="KB191" s="1350" t="n"/>
      <c r="KC191" s="1350" t="n"/>
      <c r="KD191" s="1350" t="n"/>
      <c r="KE191" s="1350" t="n"/>
      <c r="KF191" s="1350" t="n"/>
      <c r="KG191" s="1350" t="n"/>
      <c r="KH191" s="1350" t="n"/>
      <c r="KI191" s="1350" t="n"/>
      <c r="KJ191" s="1350" t="n"/>
      <c r="KK191" s="1350" t="n"/>
      <c r="KL191" s="1350" t="n"/>
      <c r="KM191" s="1350" t="n"/>
      <c r="KN191" s="1350" t="n"/>
      <c r="KO191" s="1350" t="n"/>
      <c r="KP191" s="1350" t="n"/>
      <c r="KQ191" s="1350" t="n"/>
      <c r="KR191" s="1350" t="n"/>
      <c r="KS191" s="1350" t="n"/>
      <c r="KT191" s="1350" t="n"/>
      <c r="KU191" s="1350" t="n"/>
      <c r="KV191" s="1350" t="n"/>
      <c r="KW191" s="1350" t="n"/>
      <c r="KX191" s="1350" t="n"/>
      <c r="KY191" s="1350" t="n"/>
      <c r="KZ191" s="1350" t="n"/>
      <c r="LA191" s="1350" t="n"/>
      <c r="LB191" s="1350" t="n"/>
      <c r="LC191" s="1350" t="n"/>
      <c r="LD191" s="1350" t="n"/>
      <c r="LE191" s="1350" t="n"/>
      <c r="LF191" s="1350" t="n"/>
      <c r="LG191" s="1350" t="n"/>
      <c r="LH191" s="1350" t="n"/>
      <c r="LI191" s="1350" t="n"/>
      <c r="LJ191" s="1350" t="n"/>
      <c r="LK191" s="1350" t="n"/>
      <c r="LL191" s="1350" t="n"/>
      <c r="LM191" s="1350" t="n"/>
      <c r="LN191" s="1350" t="n"/>
      <c r="LO191" s="1350" t="n"/>
      <c r="LP191" s="1350" t="n"/>
      <c r="LQ191" s="1350" t="n"/>
      <c r="LR191" s="1350" t="n"/>
      <c r="LS191" s="1350" t="n"/>
    </row>
    <row r="192" ht="15" customHeight="1" s="239">
      <c r="A192" s="632" t="inlineStr">
        <is>
          <t>Cathay Pacific</t>
        </is>
      </c>
      <c r="B192" s="1353" t="n"/>
      <c r="C192" s="1353" t="n"/>
      <c r="D192" s="1353" t="n"/>
      <c r="E192" s="1353" t="n"/>
      <c r="F192" s="1353" t="n"/>
      <c r="G192" s="1353" t="n"/>
      <c r="H192" s="1353" t="n"/>
      <c r="I192" s="1353" t="n"/>
      <c r="J192" s="1353" t="n"/>
      <c r="K192" s="1353" t="n"/>
      <c r="L192" s="1353" t="n"/>
      <c r="M192" s="1353" t="n"/>
      <c r="N192" s="1353" t="n"/>
      <c r="O192" s="1353" t="n"/>
      <c r="P192" s="1353" t="n"/>
      <c r="Q192" s="1353" t="n"/>
      <c r="R192" s="1353" t="n"/>
      <c r="S192" s="1353" t="n"/>
      <c r="T192" s="1353" t="n"/>
      <c r="U192" s="1353" t="n"/>
      <c r="V192" s="1353" t="n"/>
      <c r="W192" s="1353" t="n"/>
      <c r="X192" s="1353" t="n"/>
      <c r="Y192" s="1353" t="n"/>
      <c r="Z192" s="1353" t="n"/>
      <c r="AA192" s="1353" t="n"/>
      <c r="AB192" s="1353" t="n"/>
      <c r="AC192" s="1353" t="n"/>
      <c r="AD192" s="1353" t="n"/>
      <c r="AE192" s="1353" t="n"/>
      <c r="AF192" s="1353" t="n"/>
      <c r="AG192" s="1353" t="n"/>
      <c r="AH192" s="1353" t="n"/>
      <c r="AI192" s="1353" t="n"/>
      <c r="AJ192" s="1353" t="n"/>
      <c r="AK192" s="1353" t="n"/>
      <c r="AL192" s="1353" t="n"/>
      <c r="AM192" s="1353" t="n"/>
      <c r="AN192" s="1353" t="n"/>
      <c r="AO192" s="1353" t="n"/>
      <c r="AP192" s="1353" t="n"/>
      <c r="AQ192" s="1353" t="n"/>
      <c r="AR192" s="1353" t="n"/>
      <c r="AS192" s="1353" t="n"/>
      <c r="AT192" s="1353" t="n"/>
      <c r="AU192" s="1353" t="n"/>
      <c r="AV192" s="1353" t="n"/>
      <c r="AW192" s="1353" t="n"/>
      <c r="AX192" s="1353" t="n"/>
      <c r="AY192" s="1353" t="n"/>
      <c r="AZ192" s="1353" t="n"/>
      <c r="BA192" s="1353" t="n"/>
      <c r="BB192" s="1353" t="n"/>
      <c r="BC192" s="1353" t="n"/>
      <c r="BD192" s="1353" t="n"/>
      <c r="BE192" s="1353" t="n"/>
      <c r="BF192" s="1353" t="n"/>
      <c r="BG192" s="1353" t="n"/>
      <c r="BH192" s="1353" t="n"/>
      <c r="BI192" s="1353" t="n"/>
      <c r="BJ192" s="1353" t="n"/>
      <c r="BK192" s="1353" t="n"/>
      <c r="BL192" s="1353" t="n"/>
      <c r="BM192" s="1353" t="n"/>
      <c r="BN192" s="1353" t="n"/>
      <c r="BO192" s="1353" t="n"/>
      <c r="BP192" s="1353" t="n"/>
      <c r="BQ192" s="1353" t="n"/>
      <c r="BR192" s="1353" t="n"/>
      <c r="BS192" s="1353" t="n"/>
      <c r="BT192" s="1353" t="n"/>
      <c r="BU192" s="1353" t="n"/>
      <c r="BV192" s="1353" t="n"/>
      <c r="BW192" s="1353" t="n"/>
      <c r="BX192" s="1353" t="n"/>
      <c r="BY192" s="1353" t="n"/>
      <c r="BZ192" s="1353" t="n"/>
      <c r="CA192" s="1353" t="n"/>
      <c r="CB192" s="1353" t="n"/>
      <c r="CC192" s="1353" t="n"/>
      <c r="CD192" s="1353" t="n"/>
      <c r="CE192" s="1353" t="n"/>
      <c r="CF192" s="1353" t="n"/>
      <c r="CG192" s="1353" t="n"/>
      <c r="CH192" s="1353" t="n"/>
      <c r="CI192" s="1353" t="n"/>
      <c r="CJ192" s="1353" t="n"/>
      <c r="CK192" s="1353" t="n"/>
      <c r="CL192" s="1353" t="n"/>
      <c r="CM192" s="1353" t="n"/>
      <c r="CN192" s="1353" t="n"/>
      <c r="CO192" s="1353" t="n"/>
      <c r="CP192" s="1353" t="n"/>
      <c r="CQ192" s="1353" t="n"/>
      <c r="CR192" s="1353" t="n"/>
      <c r="CS192" s="1353" t="n"/>
      <c r="CT192" s="1353" t="n"/>
      <c r="CU192" s="1353" t="n"/>
      <c r="CV192" s="1353" t="n"/>
      <c r="CW192" s="1353" t="n"/>
      <c r="CX192" s="1353" t="n"/>
      <c r="CY192" s="1353" t="n"/>
      <c r="CZ192" s="1353" t="n"/>
      <c r="DA192" s="1353" t="n"/>
      <c r="DB192" s="1353" t="n"/>
      <c r="DC192" s="1353" t="n"/>
      <c r="DD192" s="1353" t="n"/>
      <c r="DE192" s="1353" t="n"/>
      <c r="DF192" s="1353" t="n"/>
      <c r="DG192" s="1353" t="n"/>
      <c r="DH192" s="1353" t="n"/>
      <c r="DI192" s="1353" t="n"/>
      <c r="DJ192" s="1353" t="n"/>
      <c r="DK192" s="1353" t="n"/>
      <c r="DL192" s="1353" t="n"/>
      <c r="DM192" s="1353" t="n"/>
      <c r="DN192" s="1353" t="n"/>
      <c r="DO192" s="1353" t="n"/>
      <c r="DP192" s="1353" t="n"/>
      <c r="DQ192" s="1353" t="n"/>
      <c r="DR192" s="1353" t="n"/>
      <c r="DS192" s="1353" t="n"/>
      <c r="DT192" s="1353" t="n"/>
      <c r="DU192" s="1353" t="n"/>
      <c r="DV192" s="1353" t="n"/>
      <c r="DW192" s="1353" t="n"/>
      <c r="DX192" s="1353" t="n"/>
      <c r="DY192" s="1353" t="n"/>
      <c r="DZ192" s="1353" t="n"/>
      <c r="EA192" s="1353" t="n"/>
      <c r="EB192" s="1353" t="n"/>
      <c r="EC192" s="1353" t="n"/>
      <c r="ED192" s="1353" t="n"/>
      <c r="EE192" s="1353" t="n"/>
      <c r="EF192" s="1353" t="n"/>
      <c r="EG192" s="1353" t="n"/>
      <c r="EH192" s="1353" t="n"/>
      <c r="EI192" s="1353" t="n"/>
      <c r="EJ192" s="1353" t="n"/>
      <c r="EK192" s="1353" t="n"/>
      <c r="EL192" s="1353" t="n"/>
      <c r="EM192" s="1353" t="n"/>
      <c r="EN192" s="1353" t="n"/>
      <c r="EO192" s="1353" t="n"/>
      <c r="EP192" s="1353" t="n"/>
      <c r="EQ192" s="1353" t="n"/>
      <c r="ER192" s="1353" t="n"/>
      <c r="ES192" s="1353" t="n"/>
      <c r="ET192" s="1353" t="n"/>
      <c r="EU192" s="1353" t="n"/>
      <c r="EV192" s="1353" t="n"/>
      <c r="EW192" s="1353" t="n"/>
      <c r="EX192" s="1353" t="n"/>
      <c r="EY192" s="1353" t="n"/>
      <c r="EZ192" s="1353" t="n"/>
      <c r="FA192" s="1353" t="n"/>
      <c r="FB192" s="1353" t="n"/>
      <c r="FC192" s="1353" t="n"/>
      <c r="FD192" s="1353" t="n"/>
      <c r="FE192" s="1353" t="n"/>
      <c r="FF192" s="1353" t="n"/>
      <c r="FG192" s="1353" t="n"/>
      <c r="FH192" s="1353" t="n"/>
      <c r="FI192" s="1353" t="n"/>
      <c r="FJ192" s="1353" t="n"/>
      <c r="FK192" s="1353" t="n"/>
      <c r="FL192" s="1353" t="n"/>
      <c r="FM192" s="1353" t="n"/>
      <c r="FN192" s="1353" t="n"/>
      <c r="FO192" s="1353" t="n"/>
      <c r="FP192" s="1353" t="n"/>
      <c r="FQ192" s="1353" t="n"/>
      <c r="FR192" s="1353" t="n"/>
      <c r="FS192" s="1353" t="n"/>
      <c r="FT192" s="1353" t="n"/>
      <c r="FU192" s="1353" t="n"/>
      <c r="FV192" s="1353" t="n"/>
      <c r="FW192" s="1353" t="n"/>
      <c r="FX192" s="1353" t="n"/>
      <c r="FY192" s="1353" t="n"/>
      <c r="FZ192" s="1353" t="n"/>
      <c r="GA192" s="1353" t="n"/>
      <c r="GB192" s="1353" t="n"/>
      <c r="GC192" s="1353" t="n"/>
      <c r="GD192" s="1353" t="n"/>
      <c r="GE192" s="1353" t="n"/>
      <c r="GF192" s="1353" t="n"/>
      <c r="GG192" s="1353" t="n"/>
      <c r="GH192" s="1353" t="n"/>
      <c r="GI192" s="1353" t="n"/>
      <c r="GJ192" s="1353" t="n"/>
      <c r="GK192" s="1353" t="n"/>
      <c r="GL192" s="1353" t="n"/>
      <c r="GM192" s="1353" t="n"/>
      <c r="GN192" s="1353" t="n"/>
      <c r="GO192" s="1353" t="n"/>
      <c r="GP192" s="1353" t="n"/>
      <c r="GQ192" s="1353" t="n"/>
      <c r="GR192" s="1353" t="n"/>
      <c r="GS192" s="1353" t="n"/>
      <c r="GT192" s="1353" t="n"/>
      <c r="GU192" s="1353" t="n"/>
      <c r="GV192" s="1353" t="n"/>
      <c r="GW192" s="1353" t="n"/>
      <c r="GX192" s="1353" t="n"/>
      <c r="GY192" s="1353" t="n"/>
      <c r="GZ192" s="1353" t="n"/>
      <c r="HA192" s="1353" t="n"/>
      <c r="HB192" s="1353" t="n"/>
      <c r="HC192" s="1353" t="n"/>
      <c r="HD192" s="1353" t="n"/>
      <c r="HE192" s="1353" t="n"/>
      <c r="HF192" s="1353" t="n"/>
      <c r="HG192" s="1353" t="n"/>
      <c r="HH192" s="1353" t="n"/>
      <c r="HI192" s="1353" t="n"/>
      <c r="HJ192" s="1353" t="n"/>
      <c r="HK192" s="1353" t="n"/>
      <c r="HL192" s="1353" t="n"/>
      <c r="HM192" s="1353" t="n"/>
      <c r="HN192" s="1353" t="n"/>
      <c r="HO192" s="1353" t="n"/>
      <c r="HP192" s="1353" t="n"/>
      <c r="HQ192" s="1353" t="n"/>
      <c r="HR192" s="1353" t="n"/>
      <c r="HS192" s="1353" t="n"/>
      <c r="HT192" s="1353" t="n"/>
      <c r="HU192" s="1353" t="n"/>
      <c r="HV192" s="1353" t="n"/>
      <c r="HW192" s="1353" t="n"/>
      <c r="HX192" s="1353" t="n"/>
      <c r="HY192" s="1353" t="n"/>
      <c r="HZ192" s="1353" t="n"/>
      <c r="IA192" s="1353" t="n"/>
      <c r="IB192" s="1353" t="n"/>
      <c r="IC192" s="1353" t="n"/>
      <c r="ID192" s="1353" t="n"/>
      <c r="IE192" s="1353" t="n"/>
      <c r="IF192" s="1353" t="n"/>
      <c r="IG192" s="1353" t="n"/>
      <c r="IH192" s="1353" t="n"/>
      <c r="II192" s="1353" t="n"/>
      <c r="IJ192" s="1353" t="n"/>
      <c r="IK192" s="1353" t="n"/>
      <c r="IL192" s="1353" t="n"/>
      <c r="IM192" s="1353" t="n"/>
      <c r="IN192" s="1353" t="n"/>
      <c r="IO192" s="1353" t="n"/>
      <c r="IP192" s="1353" t="n"/>
      <c r="IQ192" s="1353" t="n"/>
      <c r="IR192" s="1353" t="n"/>
      <c r="IS192" s="1353" t="n"/>
    </row>
    <row r="193">
      <c r="A193" s="562" t="inlineStr">
        <is>
          <t>ASK ('000)</t>
        </is>
      </c>
      <c r="B193" s="1353" t="n"/>
      <c r="C193" s="1353" t="n"/>
      <c r="D193" s="1353" t="n"/>
      <c r="E193" s="1353" t="n"/>
      <c r="F193" s="1353" t="n"/>
      <c r="G193" s="1353" t="n"/>
      <c r="H193" s="1353" t="n"/>
      <c r="I193" s="1353" t="n"/>
      <c r="J193" s="1353" t="n"/>
      <c r="K193" s="1353" t="n"/>
      <c r="L193" s="1353" t="n"/>
      <c r="M193" s="1353" t="n"/>
      <c r="N193" s="1353" t="n"/>
      <c r="O193" s="1353" t="n"/>
      <c r="P193" s="1353" t="n"/>
      <c r="Q193" s="1353" t="n"/>
      <c r="R193" s="1353" t="n"/>
      <c r="S193" s="1353" t="n"/>
      <c r="T193" s="1353" t="n"/>
      <c r="U193" s="1353" t="n"/>
      <c r="V193" s="1353" t="n"/>
      <c r="W193" s="1353" t="n"/>
      <c r="X193" s="1353" t="n"/>
      <c r="Y193" s="1353" t="n"/>
      <c r="Z193" s="1353" t="n"/>
      <c r="AA193" s="1353" t="n"/>
      <c r="AB193" s="1353" t="n"/>
      <c r="AC193" s="1353" t="n"/>
      <c r="AD193" s="1353" t="n"/>
      <c r="AE193" s="1353" t="n"/>
      <c r="AF193" s="1353" t="n"/>
      <c r="AG193" s="1353" t="n"/>
      <c r="AH193" s="1353" t="n"/>
      <c r="AI193" s="1353" t="n"/>
      <c r="AJ193" s="1353" t="n"/>
      <c r="AK193" s="1353" t="n"/>
      <c r="AL193" s="1353" t="n"/>
      <c r="AM193" s="1353" t="n"/>
      <c r="AN193" s="1353" t="n"/>
      <c r="AO193" s="1353" t="n"/>
      <c r="AP193" s="1353" t="n"/>
      <c r="AQ193" s="1353" t="n"/>
      <c r="AR193" s="1353" t="n"/>
      <c r="AS193" s="1353" t="n"/>
      <c r="AT193" s="1353" t="n"/>
      <c r="AU193" s="1353" t="n"/>
      <c r="AV193" s="1353" t="n"/>
      <c r="AW193" s="1353" t="n"/>
      <c r="AX193" s="1353" t="n"/>
      <c r="AY193" s="1353" t="n"/>
      <c r="AZ193" s="1353" t="n"/>
      <c r="BA193" s="1353" t="n"/>
      <c r="BB193" s="1353" t="n"/>
      <c r="BC193" s="1353" t="n"/>
      <c r="BD193" s="1353" t="n"/>
      <c r="BE193" s="1353" t="n"/>
      <c r="BF193" s="1353" t="n"/>
      <c r="BG193" s="1353" t="n"/>
      <c r="BH193" s="1353" t="n"/>
      <c r="BI193" s="1353" t="n"/>
      <c r="BJ193" s="1353" t="n"/>
      <c r="BK193" s="1353" t="n"/>
      <c r="BL193" s="1353" t="n"/>
      <c r="BM193" s="1353" t="n"/>
      <c r="BN193" s="1353" t="n"/>
      <c r="BO193" s="1353" t="n"/>
      <c r="BP193" s="1353" t="n"/>
      <c r="BQ193" s="1353" t="n"/>
      <c r="BR193" s="1353" t="n"/>
      <c r="BS193" s="1353" t="n"/>
      <c r="BT193" s="1353" t="n"/>
      <c r="BU193" s="1353" t="n"/>
      <c r="BV193" s="1353" t="n"/>
      <c r="BW193" s="1353" t="n"/>
      <c r="BX193" s="1353" t="n"/>
      <c r="BY193" s="1353" t="n"/>
      <c r="BZ193" s="1353" t="n"/>
      <c r="CA193" s="1353" t="n"/>
      <c r="CB193" s="1353" t="n"/>
      <c r="CC193" s="1353" t="n"/>
      <c r="CD193" s="1353" t="n"/>
      <c r="CE193" s="1353" t="n"/>
      <c r="CF193" s="1353" t="n"/>
      <c r="CG193" s="1353" t="n"/>
      <c r="CH193" s="1353" t="n"/>
      <c r="CI193" s="1353" t="n"/>
      <c r="CJ193" s="1353" t="n"/>
      <c r="CK193" s="1353" t="n"/>
      <c r="CL193" s="1353" t="n"/>
      <c r="CM193" s="1353" t="n"/>
      <c r="CN193" s="1353" t="n"/>
      <c r="CO193" s="1353" t="n"/>
      <c r="CP193" s="1353" t="n"/>
      <c r="CQ193" s="1353" t="n"/>
      <c r="CR193" s="1353" t="n"/>
      <c r="CS193" s="1353" t="n"/>
      <c r="CT193" s="1353" t="n"/>
      <c r="CU193" s="1353" t="n"/>
      <c r="CV193" s="1353" t="n"/>
      <c r="CW193" s="1353" t="n"/>
      <c r="CX193" s="1353" t="n"/>
      <c r="CY193" s="1353" t="n"/>
      <c r="CZ193" s="1353" t="n"/>
      <c r="DA193" s="1353" t="n"/>
      <c r="DB193" s="1353" t="n"/>
      <c r="DC193" s="1353" t="n"/>
      <c r="DD193" s="1353" t="n"/>
      <c r="DE193" s="1353" t="n"/>
      <c r="DF193" s="1353" t="n"/>
      <c r="DG193" s="1353" t="n"/>
      <c r="DH193" s="1353" t="n"/>
      <c r="DI193" s="1353" t="n"/>
      <c r="DJ193" s="1353" t="n"/>
      <c r="DK193" s="1353" t="n"/>
      <c r="DL193" s="1353" t="n"/>
      <c r="DM193" s="1353" t="n"/>
      <c r="DN193" s="1353" t="n"/>
      <c r="DO193" s="1353" t="n"/>
      <c r="DP193" s="1353" t="n"/>
      <c r="DQ193" s="1353" t="n"/>
      <c r="DR193" s="1353" t="n"/>
      <c r="DS193" s="1353" t="n"/>
      <c r="DT193" s="1353" t="n"/>
      <c r="DU193" s="1353" t="n"/>
      <c r="DV193" s="1353" t="n"/>
      <c r="DW193" s="1353" t="n"/>
      <c r="DX193" s="1353" t="n"/>
      <c r="DY193" s="1353" t="n"/>
      <c r="DZ193" s="1353" t="n"/>
      <c r="EA193" s="1353" t="n"/>
      <c r="EB193" s="1353" t="n"/>
      <c r="EC193" s="1353" t="n"/>
      <c r="ED193" s="1353" t="n"/>
      <c r="EE193" s="1353" t="n"/>
      <c r="EF193" s="1353" t="n"/>
      <c r="EG193" s="1353" t="n"/>
      <c r="EH193" s="1353" t="n"/>
      <c r="EI193" s="1353" t="n"/>
      <c r="EJ193" s="1353" t="n"/>
      <c r="EK193" s="1353" t="n"/>
      <c r="EL193" s="1353" t="n"/>
      <c r="EM193" s="1353" t="n"/>
      <c r="EN193" s="1353" t="n"/>
      <c r="EO193" s="1353" t="n"/>
      <c r="EP193" s="1353" t="n"/>
      <c r="EQ193" s="1353" t="n"/>
      <c r="ER193" s="1353" t="n"/>
      <c r="ES193" s="1353" t="n"/>
      <c r="ET193" s="1353" t="n"/>
      <c r="EU193" s="1353" t="n"/>
      <c r="EV193" s="1353" t="n"/>
      <c r="EW193" s="1353" t="n"/>
      <c r="EX193" s="1353" t="n"/>
      <c r="EY193" s="1353" t="n"/>
      <c r="EZ193" s="1353" t="n"/>
      <c r="FA193" s="1353" t="n"/>
      <c r="FB193" s="1353" t="n"/>
      <c r="FC193" s="1353" t="n"/>
      <c r="FD193" s="1353" t="n"/>
      <c r="FE193" s="1353" t="n"/>
      <c r="FF193" s="1353" t="n"/>
      <c r="FG193" s="1353" t="n"/>
      <c r="FH193" s="1353" t="n"/>
      <c r="FI193" s="1353" t="n"/>
      <c r="FJ193" s="1353" t="n"/>
      <c r="FK193" s="1353" t="n"/>
      <c r="FL193" s="1353" t="n"/>
      <c r="FM193" s="1353" t="n"/>
      <c r="FN193" s="1353" t="n"/>
      <c r="FO193" s="1353" t="n"/>
      <c r="FP193" s="1353" t="n"/>
      <c r="FQ193" s="1353" t="n"/>
      <c r="FR193" s="1353" t="n"/>
      <c r="FS193" s="1353" t="n"/>
      <c r="FT193" s="1353" t="n"/>
      <c r="FU193" s="1353" t="n"/>
      <c r="FV193" s="1353" t="n"/>
      <c r="FW193" s="1353" t="n"/>
      <c r="FX193" s="1353" t="n"/>
      <c r="FY193" s="1353" t="n"/>
      <c r="FZ193" s="1353" t="n"/>
      <c r="GA193" s="1353" t="n"/>
      <c r="GB193" s="1353" t="n"/>
      <c r="GC193" s="1353" t="n"/>
      <c r="GD193" s="1353" t="n"/>
      <c r="GE193" s="1353" t="n"/>
      <c r="GF193" s="1353" t="n"/>
      <c r="GG193" s="1353" t="n"/>
      <c r="GH193" s="1353" t="n"/>
      <c r="GI193" s="1353" t="n"/>
      <c r="GJ193" s="1353" t="n"/>
      <c r="GK193" s="1353" t="n"/>
      <c r="GL193" s="1353" t="n"/>
      <c r="GM193" s="1353" t="n"/>
      <c r="GN193" s="1353" t="n"/>
      <c r="GO193" s="1353" t="n"/>
      <c r="GP193" s="1353" t="n"/>
      <c r="GQ193" s="1353" t="n"/>
      <c r="GR193" s="1353" t="n"/>
      <c r="GS193" s="1353" t="n"/>
      <c r="GT193" s="1353" t="n"/>
      <c r="GU193" s="1353" t="n"/>
      <c r="GV193" s="1353" t="n"/>
      <c r="GW193" s="1353" t="n"/>
      <c r="GX193" s="1353" t="n"/>
      <c r="GY193" s="1353" t="n"/>
      <c r="GZ193" s="1353" t="n"/>
      <c r="HA193" s="1353" t="n"/>
      <c r="HB193" s="1353" t="n"/>
      <c r="HC193" s="1353" t="n"/>
      <c r="HD193" s="1353" t="n"/>
      <c r="HE193" s="1353" t="n"/>
      <c r="HF193" s="1353" t="n"/>
      <c r="HG193" s="1353" t="n"/>
      <c r="HH193" s="1353" t="n"/>
      <c r="HI193" s="1353" t="n"/>
      <c r="HJ193" s="1353" t="n"/>
      <c r="HK193" s="1353" t="n"/>
      <c r="HL193" s="1353" t="n"/>
      <c r="HM193" s="1353" t="n"/>
      <c r="HN193" s="1353" t="n"/>
      <c r="HO193" s="1353" t="n"/>
      <c r="HP193" s="1353" t="n"/>
      <c r="HQ193" s="1353" t="n"/>
      <c r="HR193" s="1353" t="n"/>
      <c r="HS193" s="1353" t="n"/>
      <c r="HT193" s="1353" t="n"/>
      <c r="HU193" s="1353" t="n"/>
      <c r="HV193" s="1353" t="n"/>
      <c r="HW193" s="1353" t="n"/>
      <c r="HX193" s="1353" t="n"/>
      <c r="HY193" s="1353" t="n"/>
      <c r="HZ193" s="1353" t="n"/>
      <c r="IA193" s="1353" t="n"/>
      <c r="IB193" s="1353" t="n"/>
      <c r="IC193" s="1353" t="n"/>
      <c r="ID193" s="1353" t="n"/>
      <c r="IE193" s="1353" t="n"/>
      <c r="IF193" s="1353" t="n"/>
      <c r="IG193" s="1353" t="n"/>
      <c r="IH193" s="1353" t="n"/>
      <c r="II193" s="1353" t="n"/>
      <c r="IJ193" s="1353" t="n"/>
      <c r="IK193" s="1353" t="n"/>
      <c r="IL193" s="1353" t="n"/>
      <c r="IM193" s="1353" t="n"/>
      <c r="IN193" s="1353" t="n"/>
      <c r="IO193" s="1353" t="n"/>
      <c r="IP193" s="1353" t="n"/>
      <c r="IQ193" s="1353" t="n"/>
      <c r="IR193" s="1353" t="n"/>
      <c r="IS193" s="1353" t="n"/>
      <c r="LB193" s="634" t="n">
        <v>11269213</v>
      </c>
      <c r="LC193" s="634" t="n">
        <v>10187240</v>
      </c>
      <c r="LD193" s="634" t="n">
        <v>11357120</v>
      </c>
      <c r="LE193" s="634" t="n">
        <v>10973629</v>
      </c>
      <c r="LF193" s="634" t="n">
        <v>11466188</v>
      </c>
      <c r="LG193" s="634" t="n">
        <v>11539073</v>
      </c>
      <c r="LH193" s="634" t="n">
        <v>12256459</v>
      </c>
      <c r="LI193" s="634" t="n">
        <v>12770243</v>
      </c>
      <c r="LJ193" s="634" t="n">
        <v>11430859</v>
      </c>
      <c r="LK193" s="634" t="n">
        <v>12479345</v>
      </c>
      <c r="LL193" s="634" t="n">
        <v>11923112</v>
      </c>
      <c r="LM193" s="634" t="n">
        <v>13028694</v>
      </c>
      <c r="LN193" s="634" t="n">
        <v>12876965</v>
      </c>
      <c r="LO193" s="634" t="n">
        <v>11804261</v>
      </c>
      <c r="LP193" s="634" t="n">
        <v>12418605</v>
      </c>
      <c r="LQ193" s="634" t="n">
        <v>12667713</v>
      </c>
      <c r="LR193" s="634" t="n">
        <v>12661433</v>
      </c>
      <c r="LS193" s="634" t="n">
        <v>12232841</v>
      </c>
    </row>
    <row r="194">
      <c r="A194" s="562" t="inlineStr">
        <is>
          <t>RPK ('000)</t>
        </is>
      </c>
      <c r="B194" s="1353" t="n"/>
      <c r="C194" s="1353" t="n"/>
      <c r="D194" s="1353" t="n"/>
      <c r="E194" s="1353" t="n"/>
      <c r="F194" s="1353" t="n"/>
      <c r="G194" s="1353" t="n"/>
      <c r="H194" s="1353" t="n"/>
      <c r="I194" s="1353" t="n"/>
      <c r="J194" s="1353" t="n"/>
      <c r="K194" s="1353" t="n"/>
      <c r="L194" s="1353" t="n"/>
      <c r="M194" s="1353" t="n"/>
      <c r="N194" s="1353" t="n"/>
      <c r="O194" s="1353" t="n"/>
      <c r="P194" s="1353" t="n"/>
      <c r="Q194" s="1353" t="n"/>
      <c r="R194" s="1353" t="n"/>
      <c r="S194" s="1353" t="n"/>
      <c r="T194" s="1353" t="n"/>
      <c r="U194" s="1353" t="n"/>
      <c r="V194" s="1353" t="n"/>
      <c r="W194" s="1353" t="n"/>
      <c r="X194" s="1353" t="n"/>
      <c r="Y194" s="1353" t="n"/>
      <c r="Z194" s="1353" t="n"/>
      <c r="AA194" s="1353" t="n"/>
      <c r="AB194" s="1353" t="n"/>
      <c r="AC194" s="1353" t="n"/>
      <c r="AD194" s="1353" t="n"/>
      <c r="AE194" s="1353" t="n"/>
      <c r="AF194" s="1353" t="n"/>
      <c r="AG194" s="1353" t="n"/>
      <c r="AH194" s="1353" t="n"/>
      <c r="AI194" s="1353" t="n"/>
      <c r="AJ194" s="1353" t="n"/>
      <c r="AK194" s="1353" t="n"/>
      <c r="AL194" s="1353" t="n"/>
      <c r="AM194" s="1353" t="n"/>
      <c r="AN194" s="1353" t="n"/>
      <c r="AO194" s="1353" t="n"/>
      <c r="AP194" s="1353" t="n"/>
      <c r="AQ194" s="1353" t="n"/>
      <c r="AR194" s="1353" t="n"/>
      <c r="AS194" s="1353" t="n"/>
      <c r="AT194" s="1353" t="n"/>
      <c r="AU194" s="1353" t="n"/>
      <c r="AV194" s="1353" t="n"/>
      <c r="AW194" s="1353" t="n"/>
      <c r="AX194" s="1353" t="n"/>
      <c r="AY194" s="1353" t="n"/>
      <c r="AZ194" s="1353" t="n"/>
      <c r="BA194" s="1353" t="n"/>
      <c r="BB194" s="1353" t="n"/>
      <c r="BC194" s="1353" t="n"/>
      <c r="BD194" s="1353" t="n"/>
      <c r="BE194" s="1353" t="n"/>
      <c r="BF194" s="1353" t="n"/>
      <c r="BG194" s="1353" t="n"/>
      <c r="BH194" s="1353" t="n"/>
      <c r="BI194" s="1353" t="n"/>
      <c r="BJ194" s="1353" t="n"/>
      <c r="BK194" s="1353" t="n"/>
      <c r="BL194" s="1353" t="n"/>
      <c r="BM194" s="1353" t="n"/>
      <c r="BN194" s="1353" t="n"/>
      <c r="BO194" s="1353" t="n"/>
      <c r="BP194" s="1353" t="n"/>
      <c r="BQ194" s="1353" t="n"/>
      <c r="BR194" s="1353" t="n"/>
      <c r="BS194" s="1353" t="n"/>
      <c r="BT194" s="1353" t="n"/>
      <c r="BU194" s="1353" t="n"/>
      <c r="BV194" s="1353" t="n"/>
      <c r="BW194" s="1353" t="n"/>
      <c r="BX194" s="1353" t="n"/>
      <c r="BY194" s="1353" t="n"/>
      <c r="BZ194" s="1353" t="n"/>
      <c r="CA194" s="1353" t="n"/>
      <c r="CB194" s="1353" t="n"/>
      <c r="CC194" s="1353" t="n"/>
      <c r="CD194" s="1353" t="n"/>
      <c r="CE194" s="1353" t="n"/>
      <c r="CF194" s="1353" t="n"/>
      <c r="CG194" s="1353" t="n"/>
      <c r="CH194" s="1353" t="n"/>
      <c r="CI194" s="1353" t="n"/>
      <c r="CJ194" s="1353" t="n"/>
      <c r="CK194" s="1353" t="n"/>
      <c r="CL194" s="1353" t="n"/>
      <c r="CM194" s="1353" t="n"/>
      <c r="CN194" s="1353" t="n"/>
      <c r="CO194" s="1353" t="n"/>
      <c r="CP194" s="1353" t="n"/>
      <c r="CQ194" s="1353" t="n"/>
      <c r="CR194" s="1353" t="n"/>
      <c r="CS194" s="1353" t="n"/>
      <c r="CT194" s="1353" t="n"/>
      <c r="CU194" s="1353" t="n"/>
      <c r="CV194" s="1353" t="n"/>
      <c r="CW194" s="1353" t="n"/>
      <c r="CX194" s="1353" t="n"/>
      <c r="CY194" s="1353" t="n"/>
      <c r="CZ194" s="1353" t="n"/>
      <c r="DA194" s="1353" t="n"/>
      <c r="DB194" s="1353" t="n"/>
      <c r="DC194" s="1353" t="n"/>
      <c r="DD194" s="1353" t="n"/>
      <c r="DE194" s="1353" t="n"/>
      <c r="DF194" s="1353" t="n"/>
      <c r="DG194" s="1353" t="n"/>
      <c r="DH194" s="1353" t="n"/>
      <c r="DI194" s="1353" t="n"/>
      <c r="DJ194" s="1353" t="n"/>
      <c r="DK194" s="1353" t="n"/>
      <c r="DL194" s="1353" t="n"/>
      <c r="DM194" s="1353" t="n"/>
      <c r="DN194" s="1353" t="n"/>
      <c r="DO194" s="1353" t="n"/>
      <c r="DP194" s="1353" t="n"/>
      <c r="DQ194" s="1353" t="n"/>
      <c r="DR194" s="1353" t="n"/>
      <c r="DS194" s="1353" t="n"/>
      <c r="DT194" s="1353" t="n"/>
      <c r="DU194" s="1353" t="n"/>
      <c r="DV194" s="1353" t="n"/>
      <c r="DW194" s="1353" t="n"/>
      <c r="DX194" s="1353" t="n"/>
      <c r="DY194" s="1353" t="n"/>
      <c r="DZ194" s="1353" t="n"/>
      <c r="EA194" s="1353" t="n"/>
      <c r="EB194" s="1353" t="n"/>
      <c r="EC194" s="1353" t="n"/>
      <c r="ED194" s="1353" t="n"/>
      <c r="EE194" s="1353" t="n"/>
      <c r="EF194" s="1353" t="n"/>
      <c r="EG194" s="1353" t="n"/>
      <c r="EH194" s="1353" t="n"/>
      <c r="EI194" s="1353" t="n"/>
      <c r="EJ194" s="1353" t="n"/>
      <c r="EK194" s="1353" t="n"/>
      <c r="EL194" s="1353" t="n"/>
      <c r="EM194" s="1353" t="n"/>
      <c r="EN194" s="1353" t="n"/>
      <c r="EO194" s="1353" t="n"/>
      <c r="EP194" s="1353" t="n"/>
      <c r="EQ194" s="1353" t="n"/>
      <c r="ER194" s="1353" t="n"/>
      <c r="ES194" s="1353" t="n"/>
      <c r="ET194" s="1353" t="n"/>
      <c r="EU194" s="1353" t="n"/>
      <c r="EV194" s="1353" t="n"/>
      <c r="EW194" s="1353" t="n"/>
      <c r="EX194" s="1353" t="n"/>
      <c r="EY194" s="1353" t="n"/>
      <c r="EZ194" s="1353" t="n"/>
      <c r="FA194" s="1353" t="n"/>
      <c r="FB194" s="1353" t="n"/>
      <c r="FC194" s="1353" t="n"/>
      <c r="FD194" s="1353" t="n"/>
      <c r="FE194" s="1353" t="n"/>
      <c r="FF194" s="1353" t="n"/>
      <c r="FG194" s="1353" t="n"/>
      <c r="FH194" s="1353" t="n"/>
      <c r="FI194" s="1353" t="n"/>
      <c r="FJ194" s="1353" t="n"/>
      <c r="FK194" s="1353" t="n"/>
      <c r="FL194" s="1353" t="n"/>
      <c r="FM194" s="1353" t="n"/>
      <c r="FN194" s="1353" t="n"/>
      <c r="FO194" s="1353" t="n"/>
      <c r="FP194" s="1353" t="n"/>
      <c r="FQ194" s="1353" t="n"/>
      <c r="FR194" s="1353" t="n"/>
      <c r="FS194" s="1353" t="n"/>
      <c r="FT194" s="1353" t="n"/>
      <c r="FU194" s="1353" t="n"/>
      <c r="FV194" s="1353" t="n"/>
      <c r="FW194" s="1353" t="n"/>
      <c r="FX194" s="1353" t="n"/>
      <c r="FY194" s="1353" t="n"/>
      <c r="FZ194" s="1353" t="n"/>
      <c r="GA194" s="1353" t="n"/>
      <c r="GB194" s="1353" t="n"/>
      <c r="GC194" s="1353" t="n"/>
      <c r="GD194" s="1353" t="n"/>
      <c r="GE194" s="1353" t="n"/>
      <c r="GF194" s="1353" t="n"/>
      <c r="GG194" s="1353" t="n"/>
      <c r="GH194" s="1353" t="n"/>
      <c r="GI194" s="1353" t="n"/>
      <c r="GJ194" s="1353" t="n"/>
      <c r="GK194" s="1353" t="n"/>
      <c r="GL194" s="1353" t="n"/>
      <c r="GM194" s="1353" t="n"/>
      <c r="GN194" s="1353" t="n"/>
      <c r="GO194" s="1353" t="n"/>
      <c r="GP194" s="1353" t="n"/>
      <c r="GQ194" s="1353" t="n"/>
      <c r="GR194" s="1353" t="n"/>
      <c r="GS194" s="1353" t="n"/>
      <c r="GT194" s="1353" t="n"/>
      <c r="GU194" s="1353" t="n"/>
      <c r="GV194" s="1353" t="n"/>
      <c r="GW194" s="1353" t="n"/>
      <c r="GX194" s="1353" t="n"/>
      <c r="GY194" s="1353" t="n"/>
      <c r="GZ194" s="1353" t="n"/>
      <c r="HA194" s="1353" t="n"/>
      <c r="HB194" s="1353" t="n"/>
      <c r="HC194" s="1353" t="n"/>
      <c r="HD194" s="1353" t="n"/>
      <c r="HE194" s="1353" t="n"/>
      <c r="HF194" s="1353" t="n"/>
      <c r="HG194" s="1353" t="n"/>
      <c r="HH194" s="1353" t="n"/>
      <c r="HI194" s="1353" t="n"/>
      <c r="HJ194" s="1353" t="n"/>
      <c r="HK194" s="1353" t="n"/>
      <c r="HL194" s="1353" t="n"/>
      <c r="HM194" s="1353" t="n"/>
      <c r="HN194" s="1353" t="n"/>
      <c r="HO194" s="1353" t="n"/>
      <c r="HP194" s="1353" t="n"/>
      <c r="HQ194" s="1353" t="n"/>
      <c r="HR194" s="1353" t="n"/>
      <c r="HS194" s="1353" t="n"/>
      <c r="HT194" s="1353" t="n"/>
      <c r="HU194" s="1353" t="n"/>
      <c r="HV194" s="1353" t="n"/>
      <c r="HW194" s="1353" t="n"/>
      <c r="HX194" s="1353" t="n"/>
      <c r="HY194" s="1353" t="n"/>
      <c r="HZ194" s="1353" t="n"/>
      <c r="IA194" s="1353" t="n"/>
      <c r="IB194" s="1353" t="n"/>
      <c r="IC194" s="1353" t="n"/>
      <c r="ID194" s="1353" t="n"/>
      <c r="IE194" s="1353" t="n"/>
      <c r="IF194" s="1353" t="n"/>
      <c r="IG194" s="1353" t="n"/>
      <c r="IH194" s="1353" t="n"/>
      <c r="II194" s="1353" t="n"/>
      <c r="IJ194" s="1353" t="n"/>
      <c r="IK194" s="1353" t="n"/>
      <c r="IL194" s="1353" t="n"/>
      <c r="IM194" s="1353" t="n"/>
      <c r="IN194" s="1353" t="n"/>
      <c r="IO194" s="1353" t="n"/>
      <c r="IP194" s="1353" t="n"/>
      <c r="IQ194" s="1353" t="n"/>
      <c r="IR194" s="1353" t="n"/>
      <c r="IS194" s="1353" t="n"/>
      <c r="LB194" s="634" t="n">
        <v>9723981</v>
      </c>
      <c r="LC194" s="634" t="n">
        <v>8450299</v>
      </c>
      <c r="LD194" s="634" t="n">
        <v>9390917</v>
      </c>
      <c r="LE194" s="634" t="n">
        <v>9483200</v>
      </c>
      <c r="LF194" s="634" t="n">
        <v>9716956</v>
      </c>
      <c r="LG194" s="634" t="n">
        <v>9876538</v>
      </c>
      <c r="LH194" s="634" t="n">
        <v>10533262</v>
      </c>
      <c r="LI194" s="634" t="n">
        <v>11074075</v>
      </c>
      <c r="LJ194" s="634" t="n">
        <v>9407276</v>
      </c>
      <c r="LK194" s="634" t="n">
        <v>10710849</v>
      </c>
      <c r="LL194" s="634" t="n">
        <v>10374948</v>
      </c>
      <c r="LM194" s="634" t="n">
        <v>11124121</v>
      </c>
      <c r="LN194" s="634" t="n">
        <v>10934223</v>
      </c>
      <c r="LO194" s="634" t="n">
        <v>10106181</v>
      </c>
      <c r="LP194" s="634" t="n">
        <v>11446209</v>
      </c>
      <c r="LQ194" s="634" t="n">
        <v>11169641</v>
      </c>
      <c r="LR194" s="634" t="n">
        <v>10988053</v>
      </c>
      <c r="LS194" s="634" t="n">
        <v>10690055</v>
      </c>
    </row>
    <row r="195">
      <c r="A195" s="562" t="inlineStr">
        <is>
          <t>Number of passenger flight sectors</t>
        </is>
      </c>
      <c r="B195" s="1353" t="n"/>
      <c r="C195" s="1353" t="n"/>
      <c r="D195" s="1353" t="n"/>
      <c r="E195" s="1353" t="n"/>
      <c r="F195" s="1353" t="n"/>
      <c r="G195" s="1353" t="n"/>
      <c r="H195" s="1353" t="n"/>
      <c r="I195" s="1353" t="n"/>
      <c r="J195" s="1353" t="n"/>
      <c r="K195" s="1353" t="n"/>
      <c r="L195" s="1353" t="n"/>
      <c r="M195" s="1353" t="n"/>
      <c r="N195" s="1353" t="n"/>
      <c r="O195" s="1353" t="n"/>
      <c r="P195" s="1353" t="n"/>
      <c r="Q195" s="1353" t="n"/>
      <c r="R195" s="1353" t="n"/>
      <c r="S195" s="1353" t="n"/>
      <c r="T195" s="1353" t="n"/>
      <c r="U195" s="1353" t="n"/>
      <c r="V195" s="1353" t="n"/>
      <c r="W195" s="1353" t="n"/>
      <c r="X195" s="1353" t="n"/>
      <c r="Y195" s="1353" t="n"/>
      <c r="Z195" s="1353" t="n"/>
      <c r="AA195" s="1353" t="n"/>
      <c r="AB195" s="1353" t="n"/>
      <c r="AC195" s="1353" t="n"/>
      <c r="AD195" s="1353" t="n"/>
      <c r="AE195" s="1353" t="n"/>
      <c r="AF195" s="1353" t="n"/>
      <c r="AG195" s="1353" t="n"/>
      <c r="AH195" s="1353" t="n"/>
      <c r="AI195" s="1353" t="n"/>
      <c r="AJ195" s="1353" t="n"/>
      <c r="AK195" s="1353" t="n"/>
      <c r="AL195" s="1353" t="n"/>
      <c r="AM195" s="1353" t="n"/>
      <c r="AN195" s="1353" t="n"/>
      <c r="AO195" s="1353" t="n"/>
      <c r="AP195" s="1353" t="n"/>
      <c r="AQ195" s="1353" t="n"/>
      <c r="AR195" s="1353" t="n"/>
      <c r="AS195" s="1353" t="n"/>
      <c r="AT195" s="1353" t="n"/>
      <c r="AU195" s="1353" t="n"/>
      <c r="AV195" s="1353" t="n"/>
      <c r="AW195" s="1353" t="n"/>
      <c r="AX195" s="1353" t="n"/>
      <c r="AY195" s="1353" t="n"/>
      <c r="AZ195" s="1353" t="n"/>
      <c r="BA195" s="1353" t="n"/>
      <c r="BB195" s="1353" t="n"/>
      <c r="BC195" s="1353" t="n"/>
      <c r="BD195" s="1353" t="n"/>
      <c r="BE195" s="1353" t="n"/>
      <c r="BF195" s="1353" t="n"/>
      <c r="BG195" s="1353" t="n"/>
      <c r="BH195" s="1353" t="n"/>
      <c r="BI195" s="1353" t="n"/>
      <c r="BJ195" s="1353" t="n"/>
      <c r="BK195" s="1353" t="n"/>
      <c r="BL195" s="1353" t="n"/>
      <c r="BM195" s="1353" t="n"/>
      <c r="BN195" s="1353" t="n"/>
      <c r="BO195" s="1353" t="n"/>
      <c r="BP195" s="1353" t="n"/>
      <c r="BQ195" s="1353" t="n"/>
      <c r="BR195" s="1353" t="n"/>
      <c r="BS195" s="1353" t="n"/>
      <c r="BT195" s="1353" t="n"/>
      <c r="BU195" s="1353" t="n"/>
      <c r="BV195" s="1353" t="n"/>
      <c r="BW195" s="1353" t="n"/>
      <c r="BX195" s="1353" t="n"/>
      <c r="BY195" s="1353" t="n"/>
      <c r="BZ195" s="1353" t="n"/>
      <c r="CA195" s="1353" t="n"/>
      <c r="CB195" s="1353" t="n"/>
      <c r="CC195" s="1353" t="n"/>
      <c r="CD195" s="1353" t="n"/>
      <c r="CE195" s="1353" t="n"/>
      <c r="CF195" s="1353" t="n"/>
      <c r="CG195" s="1353" t="n"/>
      <c r="CH195" s="1353" t="n"/>
      <c r="CI195" s="1353" t="n"/>
      <c r="CJ195" s="1353" t="n"/>
      <c r="CK195" s="1353" t="n"/>
      <c r="CL195" s="1353" t="n"/>
      <c r="CM195" s="1353" t="n"/>
      <c r="CN195" s="1353" t="n"/>
      <c r="CO195" s="1353" t="n"/>
      <c r="CP195" s="1353" t="n"/>
      <c r="CQ195" s="1353" t="n"/>
      <c r="CR195" s="1353" t="n"/>
      <c r="CS195" s="1353" t="n"/>
      <c r="CT195" s="1353" t="n"/>
      <c r="CU195" s="1353" t="n"/>
      <c r="CV195" s="1353" t="n"/>
      <c r="CW195" s="1353" t="n"/>
      <c r="CX195" s="1353" t="n"/>
      <c r="CY195" s="1353" t="n"/>
      <c r="CZ195" s="1353" t="n"/>
      <c r="DA195" s="1353" t="n"/>
      <c r="DB195" s="1353" t="n"/>
      <c r="DC195" s="1353" t="n"/>
      <c r="DD195" s="1353" t="n"/>
      <c r="DE195" s="1353" t="n"/>
      <c r="DF195" s="1353" t="n"/>
      <c r="DG195" s="1353" t="n"/>
      <c r="DH195" s="1353" t="n"/>
      <c r="DI195" s="1353" t="n"/>
      <c r="DJ195" s="1353" t="n"/>
      <c r="DK195" s="1353" t="n"/>
      <c r="DL195" s="1353" t="n"/>
      <c r="DM195" s="1353" t="n"/>
      <c r="DN195" s="1353" t="n"/>
      <c r="DO195" s="1353" t="n"/>
      <c r="DP195" s="1353" t="n"/>
      <c r="DQ195" s="1353" t="n"/>
      <c r="DR195" s="1353" t="n"/>
      <c r="DS195" s="1353" t="n"/>
      <c r="DT195" s="1353" t="n"/>
      <c r="DU195" s="1353" t="n"/>
      <c r="DV195" s="1353" t="n"/>
      <c r="DW195" s="1353" t="n"/>
      <c r="DX195" s="1353" t="n"/>
      <c r="DY195" s="1353" t="n"/>
      <c r="DZ195" s="1353" t="n"/>
      <c r="EA195" s="1353" t="n"/>
      <c r="EB195" s="1353" t="n"/>
      <c r="EC195" s="1353" t="n"/>
      <c r="ED195" s="1353" t="n"/>
      <c r="EE195" s="1353" t="n"/>
      <c r="EF195" s="1353" t="n"/>
      <c r="EG195" s="1353" t="n"/>
      <c r="EH195" s="1353" t="n"/>
      <c r="EI195" s="1353" t="n"/>
      <c r="EJ195" s="1353" t="n"/>
      <c r="EK195" s="1353" t="n"/>
      <c r="EL195" s="1353" t="n"/>
      <c r="EM195" s="1353" t="n"/>
      <c r="EN195" s="1353" t="n"/>
      <c r="EO195" s="1353" t="n"/>
      <c r="EP195" s="1353" t="n"/>
      <c r="EQ195" s="1353" t="n"/>
      <c r="ER195" s="1353" t="n"/>
      <c r="ES195" s="1353" t="n"/>
      <c r="ET195" s="1353" t="n"/>
      <c r="EU195" s="1353" t="n"/>
      <c r="EV195" s="1353" t="n"/>
      <c r="EW195" s="1353" t="n"/>
      <c r="EX195" s="1353" t="n"/>
      <c r="EY195" s="1353" t="n"/>
      <c r="EZ195" s="1353" t="n"/>
      <c r="FA195" s="1353" t="n"/>
      <c r="FB195" s="1353" t="n"/>
      <c r="FC195" s="1353" t="n"/>
      <c r="FD195" s="1353" t="n"/>
      <c r="FE195" s="1353" t="n"/>
      <c r="FF195" s="1353" t="n"/>
      <c r="FG195" s="1353" t="n"/>
      <c r="FH195" s="1353" t="n"/>
      <c r="FI195" s="1353" t="n"/>
      <c r="FJ195" s="1353" t="n"/>
      <c r="FK195" s="1353" t="n"/>
      <c r="FL195" s="1353" t="n"/>
      <c r="FM195" s="1353" t="n"/>
      <c r="FN195" s="1353" t="n"/>
      <c r="FO195" s="1353" t="n"/>
      <c r="FP195" s="1353" t="n"/>
      <c r="FQ195" s="1353" t="n"/>
      <c r="FR195" s="1353" t="n"/>
      <c r="FS195" s="1353" t="n"/>
      <c r="FT195" s="1353" t="n"/>
      <c r="FU195" s="1353" t="n"/>
      <c r="FV195" s="1353" t="n"/>
      <c r="FW195" s="1353" t="n"/>
      <c r="FX195" s="1353" t="n"/>
      <c r="FY195" s="1353" t="n"/>
      <c r="FZ195" s="1353" t="n"/>
      <c r="GA195" s="1353" t="n"/>
      <c r="GB195" s="1353" t="n"/>
      <c r="GC195" s="1353" t="n"/>
      <c r="GD195" s="1353" t="n"/>
      <c r="GE195" s="1353" t="n"/>
      <c r="GF195" s="1353" t="n"/>
      <c r="GG195" s="1353" t="n"/>
      <c r="GH195" s="1353" t="n"/>
      <c r="GI195" s="1353" t="n"/>
      <c r="GJ195" s="1353" t="n"/>
      <c r="GK195" s="1353" t="n"/>
      <c r="GL195" s="1353" t="n"/>
      <c r="GM195" s="1353" t="n"/>
      <c r="GN195" s="1353" t="n"/>
      <c r="GO195" s="1353" t="n"/>
      <c r="GP195" s="1353" t="n"/>
      <c r="GQ195" s="1353" t="n"/>
      <c r="GR195" s="1353" t="n"/>
      <c r="GS195" s="1353" t="n"/>
      <c r="GT195" s="1353" t="n"/>
      <c r="GU195" s="1353" t="n"/>
      <c r="GV195" s="1353" t="n"/>
      <c r="GW195" s="1353" t="n"/>
      <c r="GX195" s="1353" t="n"/>
      <c r="GY195" s="1353" t="n"/>
      <c r="GZ195" s="1353" t="n"/>
      <c r="HA195" s="1353" t="n"/>
      <c r="HB195" s="1353" t="n"/>
      <c r="HC195" s="1353" t="n"/>
      <c r="HD195" s="1353" t="n"/>
      <c r="HE195" s="1353" t="n"/>
      <c r="HF195" s="1353" t="n"/>
      <c r="HG195" s="1353" t="n"/>
      <c r="HH195" s="1353" t="n"/>
      <c r="HI195" s="1353" t="n"/>
      <c r="HJ195" s="1353" t="n"/>
      <c r="HK195" s="1353" t="n"/>
      <c r="HL195" s="1353" t="n"/>
      <c r="HM195" s="1353" t="n"/>
      <c r="HN195" s="1353" t="n"/>
      <c r="HO195" s="1353" t="n"/>
      <c r="HP195" s="1353" t="n"/>
      <c r="HQ195" s="1353" t="n"/>
      <c r="HR195" s="1353" t="n"/>
      <c r="HS195" s="1353" t="n"/>
      <c r="HT195" s="1353" t="n"/>
      <c r="HU195" s="1353" t="n"/>
      <c r="HV195" s="1353" t="n"/>
      <c r="HW195" s="1353" t="n"/>
      <c r="HX195" s="1353" t="n"/>
      <c r="HY195" s="1353" t="n"/>
      <c r="HZ195" s="1353" t="n"/>
      <c r="IA195" s="1353" t="n"/>
      <c r="IB195" s="1353" t="n"/>
      <c r="IC195" s="1353" t="n"/>
      <c r="ID195" s="1353" t="n"/>
      <c r="IE195" s="1353" t="n"/>
      <c r="IF195" s="1353" t="n"/>
      <c r="IG195" s="1353" t="n"/>
      <c r="IH195" s="1353" t="n"/>
      <c r="II195" s="1353" t="n"/>
      <c r="IJ195" s="1353" t="n"/>
      <c r="IK195" s="1353" t="n"/>
      <c r="IL195" s="1353" t="n"/>
      <c r="IM195" s="1353" t="n"/>
      <c r="IN195" s="1353" t="n"/>
      <c r="IO195" s="1353" t="n"/>
      <c r="IP195" s="1353" t="n"/>
      <c r="IQ195" s="1353" t="n"/>
      <c r="IR195" s="1353" t="n"/>
      <c r="IS195" s="1353" t="n"/>
      <c r="LB195" s="634" t="n">
        <v>9669</v>
      </c>
      <c r="LC195" s="634" t="n">
        <v>8658</v>
      </c>
      <c r="LD195" s="634" t="n">
        <v>9734</v>
      </c>
      <c r="LE195" s="634" t="n">
        <v>9531</v>
      </c>
      <c r="LF195" s="634" t="n">
        <v>9473</v>
      </c>
      <c r="LG195" s="634" t="n">
        <v>9387</v>
      </c>
      <c r="LH195" s="634" t="n">
        <v>10202</v>
      </c>
      <c r="LI195" s="634" t="n">
        <v>10534</v>
      </c>
      <c r="LJ195" s="634" t="n">
        <v>9451</v>
      </c>
      <c r="LK195" s="634" t="n">
        <v>10516</v>
      </c>
      <c r="LL195" s="634" t="n">
        <v>10011</v>
      </c>
      <c r="LM195" s="634" t="n">
        <v>10865</v>
      </c>
      <c r="LN195" s="634" t="n">
        <v>10744</v>
      </c>
      <c r="LO195" s="634" t="n">
        <v>9936</v>
      </c>
      <c r="LP195" s="634" t="n">
        <v>10602</v>
      </c>
      <c r="LQ195" s="634" t="n">
        <v>10722</v>
      </c>
      <c r="LR195" s="634" t="n">
        <v>10645</v>
      </c>
      <c r="LS195" s="634" t="n">
        <v>10177</v>
      </c>
    </row>
    <row r="196">
      <c r="A196" s="562" t="inlineStr">
        <is>
          <t>Passengers carried</t>
        </is>
      </c>
      <c r="B196" s="1353" t="n"/>
      <c r="C196" s="1353" t="n"/>
      <c r="D196" s="1353" t="n"/>
      <c r="E196" s="1353" t="n"/>
      <c r="F196" s="1353" t="n"/>
      <c r="G196" s="1353" t="n"/>
      <c r="H196" s="1353" t="n"/>
      <c r="I196" s="1353" t="n"/>
      <c r="J196" s="1353" t="n"/>
      <c r="K196" s="1353" t="n"/>
      <c r="L196" s="1353" t="n"/>
      <c r="M196" s="1353" t="n"/>
      <c r="N196" s="1353" t="n"/>
      <c r="O196" s="1353" t="n"/>
      <c r="P196" s="1353" t="n"/>
      <c r="Q196" s="1353" t="n"/>
      <c r="R196" s="1353" t="n"/>
      <c r="S196" s="1353" t="n"/>
      <c r="T196" s="1353" t="n"/>
      <c r="U196" s="1353" t="n"/>
      <c r="V196" s="1353" t="n"/>
      <c r="W196" s="1353" t="n"/>
      <c r="X196" s="1353" t="n"/>
      <c r="Y196" s="1353" t="n"/>
      <c r="Z196" s="1353" t="n"/>
      <c r="AA196" s="1353" t="n"/>
      <c r="AB196" s="1353" t="n"/>
      <c r="AC196" s="1353" t="n"/>
      <c r="AD196" s="1353" t="n"/>
      <c r="AE196" s="1353" t="n"/>
      <c r="AF196" s="1353" t="n"/>
      <c r="AG196" s="1353" t="n"/>
      <c r="AH196" s="1353" t="n"/>
      <c r="AI196" s="1353" t="n"/>
      <c r="AJ196" s="1353" t="n"/>
      <c r="AK196" s="1353" t="n"/>
      <c r="AL196" s="1353" t="n"/>
      <c r="AM196" s="1353" t="n"/>
      <c r="AN196" s="1353" t="n"/>
      <c r="AO196" s="1353" t="n"/>
      <c r="AP196" s="1353" t="n"/>
      <c r="AQ196" s="1353" t="n"/>
      <c r="AR196" s="1353" t="n"/>
      <c r="AS196" s="1353" t="n"/>
      <c r="AT196" s="1353" t="n"/>
      <c r="AU196" s="1353" t="n"/>
      <c r="AV196" s="1353" t="n"/>
      <c r="AW196" s="1353" t="n"/>
      <c r="AX196" s="1353" t="n"/>
      <c r="AY196" s="1353" t="n"/>
      <c r="AZ196" s="1353" t="n"/>
      <c r="BA196" s="1353" t="n"/>
      <c r="BB196" s="1353" t="n"/>
      <c r="BC196" s="1353" t="n"/>
      <c r="BD196" s="1353" t="n"/>
      <c r="BE196" s="1353" t="n"/>
      <c r="BF196" s="1353" t="n"/>
      <c r="BG196" s="1353" t="n"/>
      <c r="BH196" s="1353" t="n"/>
      <c r="BI196" s="1353" t="n"/>
      <c r="BJ196" s="1353" t="n"/>
      <c r="BK196" s="1353" t="n"/>
      <c r="BL196" s="1353" t="n"/>
      <c r="BM196" s="1353" t="n"/>
      <c r="BN196" s="1353" t="n"/>
      <c r="BO196" s="1353" t="n"/>
      <c r="BP196" s="1353" t="n"/>
      <c r="BQ196" s="1353" t="n"/>
      <c r="BR196" s="1353" t="n"/>
      <c r="BS196" s="1353" t="n"/>
      <c r="BT196" s="1353" t="n"/>
      <c r="BU196" s="1353" t="n"/>
      <c r="BV196" s="1353" t="n"/>
      <c r="BW196" s="1353" t="n"/>
      <c r="BX196" s="1353" t="n"/>
      <c r="BY196" s="1353" t="n"/>
      <c r="BZ196" s="1353" t="n"/>
      <c r="CA196" s="1353" t="n"/>
      <c r="CB196" s="1353" t="n"/>
      <c r="CC196" s="1353" t="n"/>
      <c r="CD196" s="1353" t="n"/>
      <c r="CE196" s="1353" t="n"/>
      <c r="CF196" s="1353" t="n"/>
      <c r="CG196" s="1353" t="n"/>
      <c r="CH196" s="1353" t="n"/>
      <c r="CI196" s="1353" t="n"/>
      <c r="CJ196" s="1353" t="n"/>
      <c r="CK196" s="1353" t="n"/>
      <c r="CL196" s="1353" t="n"/>
      <c r="CM196" s="1353" t="n"/>
      <c r="CN196" s="1353" t="n"/>
      <c r="CO196" s="1353" t="n"/>
      <c r="CP196" s="1353" t="n"/>
      <c r="CQ196" s="1353" t="n"/>
      <c r="CR196" s="1353" t="n"/>
      <c r="CS196" s="1353" t="n"/>
      <c r="CT196" s="1353" t="n"/>
      <c r="CU196" s="1353" t="n"/>
      <c r="CV196" s="1353" t="n"/>
      <c r="CW196" s="1353" t="n"/>
      <c r="CX196" s="1353" t="n"/>
      <c r="CY196" s="1353" t="n"/>
      <c r="CZ196" s="1353" t="n"/>
      <c r="DA196" s="1353" t="n"/>
      <c r="DB196" s="1353" t="n"/>
      <c r="DC196" s="1353" t="n"/>
      <c r="DD196" s="1353" t="n"/>
      <c r="DE196" s="1353" t="n"/>
      <c r="DF196" s="1353" t="n"/>
      <c r="DG196" s="1353" t="n"/>
      <c r="DH196" s="1353" t="n"/>
      <c r="DI196" s="1353" t="n"/>
      <c r="DJ196" s="1353" t="n"/>
      <c r="DK196" s="1353" t="n"/>
      <c r="DL196" s="1353" t="n"/>
      <c r="DM196" s="1353" t="n"/>
      <c r="DN196" s="1353" t="n"/>
      <c r="DO196" s="1353" t="n"/>
      <c r="DP196" s="1353" t="n"/>
      <c r="DQ196" s="1353" t="n"/>
      <c r="DR196" s="1353" t="n"/>
      <c r="DS196" s="1353" t="n"/>
      <c r="DT196" s="1353" t="n"/>
      <c r="DU196" s="1353" t="n"/>
      <c r="DV196" s="1353" t="n"/>
      <c r="DW196" s="1353" t="n"/>
      <c r="DX196" s="1353" t="n"/>
      <c r="DY196" s="1353" t="n"/>
      <c r="DZ196" s="1353" t="n"/>
      <c r="EA196" s="1353" t="n"/>
      <c r="EB196" s="1353" t="n"/>
      <c r="EC196" s="1353" t="n"/>
      <c r="ED196" s="1353" t="n"/>
      <c r="EE196" s="1353" t="n"/>
      <c r="EF196" s="1353" t="n"/>
      <c r="EG196" s="1353" t="n"/>
      <c r="EH196" s="1353" t="n"/>
      <c r="EI196" s="1353" t="n"/>
      <c r="EJ196" s="1353" t="n"/>
      <c r="EK196" s="1353" t="n"/>
      <c r="EL196" s="1353" t="n"/>
      <c r="EM196" s="1353" t="n"/>
      <c r="EN196" s="1353" t="n"/>
      <c r="EO196" s="1353" t="n"/>
      <c r="EP196" s="1353" t="n"/>
      <c r="EQ196" s="1353" t="n"/>
      <c r="ER196" s="1353" t="n"/>
      <c r="ES196" s="1353" t="n"/>
      <c r="ET196" s="1353" t="n"/>
      <c r="EU196" s="1353" t="n"/>
      <c r="EV196" s="1353" t="n"/>
      <c r="EW196" s="1353" t="n"/>
      <c r="EX196" s="1353" t="n"/>
      <c r="EY196" s="1353" t="n"/>
      <c r="EZ196" s="1353" t="n"/>
      <c r="FA196" s="1353" t="n"/>
      <c r="FB196" s="1353" t="n"/>
      <c r="FC196" s="1353" t="n"/>
      <c r="FD196" s="1353" t="n"/>
      <c r="FE196" s="1353" t="n"/>
      <c r="FF196" s="1353" t="n"/>
      <c r="FG196" s="1353" t="n"/>
      <c r="FH196" s="1353" t="n"/>
      <c r="FI196" s="1353" t="n"/>
      <c r="FJ196" s="1353" t="n"/>
      <c r="FK196" s="1353" t="n"/>
      <c r="FL196" s="1353" t="n"/>
      <c r="FM196" s="1353" t="n"/>
      <c r="FN196" s="1353" t="n"/>
      <c r="FO196" s="1353" t="n"/>
      <c r="FP196" s="1353" t="n"/>
      <c r="FQ196" s="1353" t="n"/>
      <c r="FR196" s="1353" t="n"/>
      <c r="FS196" s="1353" t="n"/>
      <c r="FT196" s="1353" t="n"/>
      <c r="FU196" s="1353" t="n"/>
      <c r="FV196" s="1353" t="n"/>
      <c r="FW196" s="1353" t="n"/>
      <c r="FX196" s="1353" t="n"/>
      <c r="FY196" s="1353" t="n"/>
      <c r="FZ196" s="1353" t="n"/>
      <c r="GA196" s="1353" t="n"/>
      <c r="GB196" s="1353" t="n"/>
      <c r="GC196" s="1353" t="n"/>
      <c r="GD196" s="1353" t="n"/>
      <c r="GE196" s="1353" t="n"/>
      <c r="GF196" s="1353" t="n"/>
      <c r="GG196" s="1353" t="n"/>
      <c r="GH196" s="1353" t="n"/>
      <c r="GI196" s="1353" t="n"/>
      <c r="GJ196" s="1353" t="n"/>
      <c r="GK196" s="1353" t="n"/>
      <c r="GL196" s="1353" t="n"/>
      <c r="GM196" s="1353" t="n"/>
      <c r="GN196" s="1353" t="n"/>
      <c r="GO196" s="1353" t="n"/>
      <c r="GP196" s="1353" t="n"/>
      <c r="GQ196" s="1353" t="n"/>
      <c r="GR196" s="1353" t="n"/>
      <c r="GS196" s="1353" t="n"/>
      <c r="GT196" s="1353" t="n"/>
      <c r="GU196" s="1353" t="n"/>
      <c r="GV196" s="1353" t="n"/>
      <c r="GW196" s="1353" t="n"/>
      <c r="GX196" s="1353" t="n"/>
      <c r="GY196" s="1353" t="n"/>
      <c r="GZ196" s="1353" t="n"/>
      <c r="HA196" s="1353" t="n"/>
      <c r="HB196" s="1353" t="n"/>
      <c r="HC196" s="1353" t="n"/>
      <c r="HD196" s="1353" t="n"/>
      <c r="HE196" s="1353" t="n"/>
      <c r="HF196" s="1353" t="n"/>
      <c r="HG196" s="1353" t="n"/>
      <c r="HH196" s="1353" t="n"/>
      <c r="HI196" s="1353" t="n"/>
      <c r="HJ196" s="1353" t="n"/>
      <c r="HK196" s="1353" t="n"/>
      <c r="HL196" s="1353" t="n"/>
      <c r="HM196" s="1353" t="n"/>
      <c r="HN196" s="1353" t="n"/>
      <c r="HO196" s="1353" t="n"/>
      <c r="HP196" s="1353" t="n"/>
      <c r="HQ196" s="1353" t="n"/>
      <c r="HR196" s="1353" t="n"/>
      <c r="HS196" s="1353" t="n"/>
      <c r="HT196" s="1353" t="n"/>
      <c r="HU196" s="1353" t="n"/>
      <c r="HV196" s="1353" t="n"/>
      <c r="HW196" s="1353" t="n"/>
      <c r="HX196" s="1353" t="n"/>
      <c r="HY196" s="1353" t="n"/>
      <c r="HZ196" s="1353" t="n"/>
      <c r="IA196" s="1353" t="n"/>
      <c r="IB196" s="1353" t="n"/>
      <c r="IC196" s="1353" t="n"/>
      <c r="ID196" s="1353" t="n"/>
      <c r="IE196" s="1353" t="n"/>
      <c r="IF196" s="1353" t="n"/>
      <c r="IG196" s="1353" t="n"/>
      <c r="IH196" s="1353" t="n"/>
      <c r="II196" s="1353" t="n"/>
      <c r="IJ196" s="1353" t="n"/>
      <c r="IK196" s="1353" t="n"/>
      <c r="IL196" s="1353" t="n"/>
      <c r="IM196" s="1353" t="n"/>
      <c r="IN196" s="1353" t="n"/>
      <c r="IO196" s="1353" t="n"/>
      <c r="IP196" s="1353" t="n"/>
      <c r="IQ196" s="1353" t="n"/>
      <c r="IR196" s="1353" t="n"/>
      <c r="IS196" s="1353" t="n"/>
      <c r="LB196" s="634" t="n">
        <v>2352242</v>
      </c>
      <c r="LC196" s="634" t="n">
        <v>2058938</v>
      </c>
      <c r="LD196" s="634" t="n">
        <v>2256242</v>
      </c>
      <c r="LE196" s="634" t="n">
        <v>2373541</v>
      </c>
      <c r="LF196" s="634" t="n">
        <v>2284812</v>
      </c>
      <c r="LG196" s="634" t="n">
        <v>2300801</v>
      </c>
      <c r="LH196" s="634" t="n">
        <v>2489154</v>
      </c>
      <c r="LI196" s="634" t="n">
        <v>2682071</v>
      </c>
      <c r="LJ196" s="634" t="n">
        <v>2198381</v>
      </c>
      <c r="LK196" s="634" t="n">
        <v>2604215</v>
      </c>
      <c r="LL196" s="634" t="n">
        <v>2530436</v>
      </c>
      <c r="LM196" s="634" t="n">
        <v>2739817</v>
      </c>
      <c r="LN196" s="634" t="n">
        <v>2622316</v>
      </c>
      <c r="LO196" s="634" t="n">
        <v>2558431</v>
      </c>
      <c r="LP196" s="634" t="n">
        <v>2808618</v>
      </c>
      <c r="LQ196" s="634" t="n">
        <v>2764946</v>
      </c>
      <c r="LR196" s="634" t="n">
        <v>2668469</v>
      </c>
      <c r="LS196" s="634" t="n">
        <v>2582868</v>
      </c>
    </row>
    <row r="197">
      <c r="A197" s="562" t="inlineStr">
        <is>
          <t>PLF %</t>
        </is>
      </c>
      <c r="B197" s="1353" t="n"/>
      <c r="C197" s="1353" t="n"/>
      <c r="D197" s="1353" t="n"/>
      <c r="E197" s="1353" t="n"/>
      <c r="F197" s="1353" t="n"/>
      <c r="G197" s="1353" t="n"/>
      <c r="H197" s="1353" t="n"/>
      <c r="I197" s="1353" t="n"/>
      <c r="J197" s="1353" t="n"/>
      <c r="K197" s="1353" t="n"/>
      <c r="L197" s="1353" t="n"/>
      <c r="M197" s="1353" t="n"/>
      <c r="N197" s="1353" t="n"/>
      <c r="O197" s="1353" t="n"/>
      <c r="P197" s="1353" t="n"/>
      <c r="Q197" s="1353" t="n"/>
      <c r="R197" s="1353" t="n"/>
      <c r="S197" s="1353" t="n"/>
      <c r="T197" s="1353" t="n"/>
      <c r="U197" s="1353" t="n"/>
      <c r="V197" s="1353" t="n"/>
      <c r="W197" s="1353" t="n"/>
      <c r="X197" s="1353" t="n"/>
      <c r="Y197" s="1353" t="n"/>
      <c r="Z197" s="1353" t="n"/>
      <c r="AA197" s="1353" t="n"/>
      <c r="AB197" s="1353" t="n"/>
      <c r="AC197" s="1353" t="n"/>
      <c r="AD197" s="1353" t="n"/>
      <c r="AE197" s="1353" t="n"/>
      <c r="AF197" s="1353" t="n"/>
      <c r="AG197" s="1353" t="n"/>
      <c r="AH197" s="1353" t="n"/>
      <c r="AI197" s="1353" t="n"/>
      <c r="AJ197" s="1353" t="n"/>
      <c r="AK197" s="1353" t="n"/>
      <c r="AL197" s="1353" t="n"/>
      <c r="AM197" s="1353" t="n"/>
      <c r="AN197" s="1353" t="n"/>
      <c r="AO197" s="1353" t="n"/>
      <c r="AP197" s="1353" t="n"/>
      <c r="AQ197" s="1353" t="n"/>
      <c r="AR197" s="1353" t="n"/>
      <c r="AS197" s="1353" t="n"/>
      <c r="AT197" s="1353" t="n"/>
      <c r="AU197" s="1353" t="n"/>
      <c r="AV197" s="1353" t="n"/>
      <c r="AW197" s="1353" t="n"/>
      <c r="AX197" s="1353" t="n"/>
      <c r="AY197" s="1353" t="n"/>
      <c r="AZ197" s="1353" t="n"/>
      <c r="BA197" s="1353" t="n"/>
      <c r="BB197" s="1353" t="n"/>
      <c r="BC197" s="1353" t="n"/>
      <c r="BD197" s="1353" t="n"/>
      <c r="BE197" s="1353" t="n"/>
      <c r="BF197" s="1353" t="n"/>
      <c r="BG197" s="1353" t="n"/>
      <c r="BH197" s="1353" t="n"/>
      <c r="BI197" s="1353" t="n"/>
      <c r="BJ197" s="1353" t="n"/>
      <c r="BK197" s="1353" t="n"/>
      <c r="BL197" s="1353" t="n"/>
      <c r="BM197" s="1353" t="n"/>
      <c r="BN197" s="1353" t="n"/>
      <c r="BO197" s="1353" t="n"/>
      <c r="BP197" s="1353" t="n"/>
      <c r="BQ197" s="1353" t="n"/>
      <c r="BR197" s="1353" t="n"/>
      <c r="BS197" s="1353" t="n"/>
      <c r="BT197" s="1353" t="n"/>
      <c r="BU197" s="1353" t="n"/>
      <c r="BV197" s="1353" t="n"/>
      <c r="BW197" s="1353" t="n"/>
      <c r="BX197" s="1353" t="n"/>
      <c r="BY197" s="1353" t="n"/>
      <c r="BZ197" s="1353" t="n"/>
      <c r="CA197" s="1353" t="n"/>
      <c r="CB197" s="1353" t="n"/>
      <c r="CC197" s="1353" t="n"/>
      <c r="CD197" s="1353" t="n"/>
      <c r="CE197" s="1353" t="n"/>
      <c r="CF197" s="1353" t="n"/>
      <c r="CG197" s="1353" t="n"/>
      <c r="CH197" s="1353" t="n"/>
      <c r="CI197" s="1353" t="n"/>
      <c r="CJ197" s="1353" t="n"/>
      <c r="CK197" s="1353" t="n"/>
      <c r="CL197" s="1353" t="n"/>
      <c r="CM197" s="1353" t="n"/>
      <c r="CN197" s="1353" t="n"/>
      <c r="CO197" s="1353" t="n"/>
      <c r="CP197" s="1353" t="n"/>
      <c r="CQ197" s="1353" t="n"/>
      <c r="CR197" s="1353" t="n"/>
      <c r="CS197" s="1353" t="n"/>
      <c r="CT197" s="1353" t="n"/>
      <c r="CU197" s="1353" t="n"/>
      <c r="CV197" s="1353" t="n"/>
      <c r="CW197" s="1353" t="n"/>
      <c r="CX197" s="1353" t="n"/>
      <c r="CY197" s="1353" t="n"/>
      <c r="CZ197" s="1353" t="n"/>
      <c r="DA197" s="1353" t="n"/>
      <c r="DB197" s="1353" t="n"/>
      <c r="DC197" s="1353" t="n"/>
      <c r="DD197" s="1353" t="n"/>
      <c r="DE197" s="1353" t="n"/>
      <c r="DF197" s="1353" t="n"/>
      <c r="DG197" s="1353" t="n"/>
      <c r="DH197" s="1353" t="n"/>
      <c r="DI197" s="1353" t="n"/>
      <c r="DJ197" s="1353" t="n"/>
      <c r="DK197" s="1353" t="n"/>
      <c r="DL197" s="1353" t="n"/>
      <c r="DM197" s="1353" t="n"/>
      <c r="DN197" s="1353" t="n"/>
      <c r="DO197" s="1353" t="n"/>
      <c r="DP197" s="1353" t="n"/>
      <c r="DQ197" s="1353" t="n"/>
      <c r="DR197" s="1353" t="n"/>
      <c r="DS197" s="1353" t="n"/>
      <c r="DT197" s="1353" t="n"/>
      <c r="DU197" s="1353" t="n"/>
      <c r="DV197" s="1353" t="n"/>
      <c r="DW197" s="1353" t="n"/>
      <c r="DX197" s="1353" t="n"/>
      <c r="DY197" s="1353" t="n"/>
      <c r="DZ197" s="1353" t="n"/>
      <c r="EA197" s="1353" t="n"/>
      <c r="EB197" s="1353" t="n"/>
      <c r="EC197" s="1353" t="n"/>
      <c r="ED197" s="1353" t="n"/>
      <c r="EE197" s="1353" t="n"/>
      <c r="EF197" s="1353" t="n"/>
      <c r="EG197" s="1353" t="n"/>
      <c r="EH197" s="1353" t="n"/>
      <c r="EI197" s="1353" t="n"/>
      <c r="EJ197" s="1353" t="n"/>
      <c r="EK197" s="1353" t="n"/>
      <c r="EL197" s="1353" t="n"/>
      <c r="EM197" s="1353" t="n"/>
      <c r="EN197" s="1353" t="n"/>
      <c r="EO197" s="1353" t="n"/>
      <c r="EP197" s="1353" t="n"/>
      <c r="EQ197" s="1353" t="n"/>
      <c r="ER197" s="1353" t="n"/>
      <c r="ES197" s="1353" t="n"/>
      <c r="ET197" s="1353" t="n"/>
      <c r="EU197" s="1353" t="n"/>
      <c r="EV197" s="1353" t="n"/>
      <c r="EW197" s="1353" t="n"/>
      <c r="EX197" s="1353" t="n"/>
      <c r="EY197" s="1353" t="n"/>
      <c r="EZ197" s="1353" t="n"/>
      <c r="FA197" s="1353" t="n"/>
      <c r="FB197" s="1353" t="n"/>
      <c r="FC197" s="1353" t="n"/>
      <c r="FD197" s="1353" t="n"/>
      <c r="FE197" s="1353" t="n"/>
      <c r="FF197" s="1353" t="n"/>
      <c r="FG197" s="1353" t="n"/>
      <c r="FH197" s="1353" t="n"/>
      <c r="FI197" s="1353" t="n"/>
      <c r="FJ197" s="1353" t="n"/>
      <c r="FK197" s="1353" t="n"/>
      <c r="FL197" s="1353" t="n"/>
      <c r="FM197" s="1353" t="n"/>
      <c r="FN197" s="1353" t="n"/>
      <c r="FO197" s="1353" t="n"/>
      <c r="FP197" s="1353" t="n"/>
      <c r="FQ197" s="1353" t="n"/>
      <c r="FR197" s="1353" t="n"/>
      <c r="FS197" s="1353" t="n"/>
      <c r="FT197" s="1353" t="n"/>
      <c r="FU197" s="1353" t="n"/>
      <c r="FV197" s="1353" t="n"/>
      <c r="FW197" s="1353" t="n"/>
      <c r="FX197" s="1353" t="n"/>
      <c r="FY197" s="1353" t="n"/>
      <c r="FZ197" s="1353" t="n"/>
      <c r="GA197" s="1353" t="n"/>
      <c r="GB197" s="1353" t="n"/>
      <c r="GC197" s="1353" t="n"/>
      <c r="GD197" s="1353" t="n"/>
      <c r="GE197" s="1353" t="n"/>
      <c r="GF197" s="1353" t="n"/>
      <c r="GG197" s="1353" t="n"/>
      <c r="GH197" s="1353" t="n"/>
      <c r="GI197" s="1353" t="n"/>
      <c r="GJ197" s="1353" t="n"/>
      <c r="GK197" s="1353" t="n"/>
      <c r="GL197" s="1353" t="n"/>
      <c r="GM197" s="1353" t="n"/>
      <c r="GN197" s="1353" t="n"/>
      <c r="GO197" s="1353" t="n"/>
      <c r="GP197" s="1353" t="n"/>
      <c r="GQ197" s="1353" t="n"/>
      <c r="GR197" s="1353" t="n"/>
      <c r="GS197" s="1353" t="n"/>
      <c r="GT197" s="1353" t="n"/>
      <c r="GU197" s="1353" t="n"/>
      <c r="GV197" s="1353" t="n"/>
      <c r="GW197" s="1353" t="n"/>
      <c r="GX197" s="1353" t="n"/>
      <c r="GY197" s="1353" t="n"/>
      <c r="GZ197" s="1353" t="n"/>
      <c r="HA197" s="1353" t="n"/>
      <c r="HB197" s="1353" t="n"/>
      <c r="HC197" s="1353" t="n"/>
      <c r="HD197" s="1353" t="n"/>
      <c r="HE197" s="1353" t="n"/>
      <c r="HF197" s="1353" t="n"/>
      <c r="HG197" s="1353" t="n"/>
      <c r="HH197" s="1353" t="n"/>
      <c r="HI197" s="1353" t="n"/>
      <c r="HJ197" s="1353" t="n"/>
      <c r="HK197" s="1353" t="n"/>
      <c r="HL197" s="1353" t="n"/>
      <c r="HM197" s="1353" t="n"/>
      <c r="HN197" s="1353" t="n"/>
      <c r="HO197" s="1353" t="n"/>
      <c r="HP197" s="1353" t="n"/>
      <c r="HQ197" s="1353" t="n"/>
      <c r="HR197" s="1353" t="n"/>
      <c r="HS197" s="1353" t="n"/>
      <c r="HT197" s="1353" t="n"/>
      <c r="HU197" s="1353" t="n"/>
      <c r="HV197" s="1353" t="n"/>
      <c r="HW197" s="1353" t="n"/>
      <c r="HX197" s="1353" t="n"/>
      <c r="HY197" s="1353" t="n"/>
      <c r="HZ197" s="1353" t="n"/>
      <c r="IA197" s="1353" t="n"/>
      <c r="IB197" s="1353" t="n"/>
      <c r="IC197" s="1353" t="n"/>
      <c r="ID197" s="1353" t="n"/>
      <c r="IE197" s="1353" t="n"/>
      <c r="IF197" s="1353" t="n"/>
      <c r="IG197" s="1353" t="n"/>
      <c r="IH197" s="1353" t="n"/>
      <c r="II197" s="1353" t="n"/>
      <c r="IJ197" s="1353" t="n"/>
      <c r="IK197" s="1353" t="n"/>
      <c r="IL197" s="1353" t="n"/>
      <c r="IM197" s="1353" t="n"/>
      <c r="IN197" s="1353" t="n"/>
      <c r="IO197" s="1353" t="n"/>
      <c r="IP197" s="1353" t="n"/>
      <c r="IQ197" s="1353" t="n"/>
      <c r="IR197" s="1353" t="n"/>
      <c r="IS197" s="1353" t="n"/>
      <c r="LB197" s="1345">
        <f>LB194/LB193</f>
        <v/>
      </c>
      <c r="LC197" s="1345">
        <f>LC194/LC193</f>
        <v/>
      </c>
      <c r="LD197" s="1345">
        <f>LD194/LD193</f>
        <v/>
      </c>
      <c r="LE197" s="1345">
        <f>LE194/LE193</f>
        <v/>
      </c>
      <c r="LF197" s="1345">
        <f>LF194/LF193</f>
        <v/>
      </c>
      <c r="LG197" s="1345">
        <f>LG194/LG193</f>
        <v/>
      </c>
      <c r="LH197" s="1345">
        <f>LH194/LH193</f>
        <v/>
      </c>
      <c r="LI197" s="1345">
        <f>LI194/LI193</f>
        <v/>
      </c>
      <c r="LJ197" s="1345">
        <f>LJ194/LJ193</f>
        <v/>
      </c>
      <c r="LK197" s="1345">
        <f>LK194/LK193</f>
        <v/>
      </c>
      <c r="LL197" s="1345">
        <f>LL194/LL193</f>
        <v/>
      </c>
      <c r="LM197" s="1345">
        <f>LM194/LM193</f>
        <v/>
      </c>
      <c r="LN197" s="1345">
        <f>LN194/LN193</f>
        <v/>
      </c>
      <c r="LO197" s="1345">
        <f>LO194/LO193</f>
        <v/>
      </c>
      <c r="LP197" s="1345">
        <f>LP194/LP193</f>
        <v/>
      </c>
      <c r="LQ197" s="1345">
        <f>LQ194/LQ193</f>
        <v/>
      </c>
      <c r="LR197" s="1345">
        <f>LR194/LR193</f>
        <v/>
      </c>
      <c r="LS197" s="1345">
        <f>LS194/LS193</f>
        <v/>
      </c>
    </row>
    <row r="198" ht="15" customHeight="1" s="239">
      <c r="A198" s="632" t="inlineStr">
        <is>
          <t>Cathay Cargo</t>
        </is>
      </c>
      <c r="B198" s="1353" t="n"/>
      <c r="C198" s="1353" t="n"/>
      <c r="D198" s="1353" t="n"/>
      <c r="E198" s="1353" t="n"/>
      <c r="F198" s="1353" t="n"/>
      <c r="G198" s="1353" t="n"/>
      <c r="H198" s="1353" t="n"/>
      <c r="I198" s="1353" t="n"/>
      <c r="J198" s="1353" t="n"/>
      <c r="K198" s="1353" t="n"/>
      <c r="L198" s="1353" t="n"/>
      <c r="M198" s="1353" t="n"/>
      <c r="N198" s="1353" t="n"/>
      <c r="O198" s="1353" t="n"/>
      <c r="P198" s="1353" t="n"/>
      <c r="Q198" s="1353" t="n"/>
      <c r="R198" s="1353" t="n"/>
      <c r="S198" s="1353" t="n"/>
      <c r="T198" s="1353" t="n"/>
      <c r="U198" s="1353" t="n"/>
      <c r="V198" s="1353" t="n"/>
      <c r="W198" s="1353" t="n"/>
      <c r="X198" s="1353" t="n"/>
      <c r="Y198" s="1353" t="n"/>
      <c r="Z198" s="1353" t="n"/>
      <c r="AA198" s="1353" t="n"/>
      <c r="AB198" s="1353" t="n"/>
      <c r="AC198" s="1353" t="n"/>
      <c r="AD198" s="1353" t="n"/>
      <c r="AE198" s="1353" t="n"/>
      <c r="AF198" s="1353" t="n"/>
      <c r="AG198" s="1353" t="n"/>
      <c r="AH198" s="1353" t="n"/>
      <c r="AI198" s="1353" t="n"/>
      <c r="AJ198" s="1353" t="n"/>
      <c r="AK198" s="1353" t="n"/>
      <c r="AL198" s="1353" t="n"/>
      <c r="AM198" s="1353" t="n"/>
      <c r="AN198" s="1353" t="n"/>
      <c r="AO198" s="1353" t="n"/>
      <c r="AP198" s="1353" t="n"/>
      <c r="AQ198" s="1353" t="n"/>
      <c r="AR198" s="1353" t="n"/>
      <c r="AS198" s="1353" t="n"/>
      <c r="AT198" s="1353" t="n"/>
      <c r="AU198" s="1353" t="n"/>
      <c r="AV198" s="1353" t="n"/>
      <c r="AW198" s="1353" t="n"/>
      <c r="AX198" s="1353" t="n"/>
      <c r="AY198" s="1353" t="n"/>
      <c r="AZ198" s="1353" t="n"/>
      <c r="BA198" s="1353" t="n"/>
      <c r="BB198" s="1353" t="n"/>
      <c r="BC198" s="1353" t="n"/>
      <c r="BD198" s="1353" t="n"/>
      <c r="BE198" s="1353" t="n"/>
      <c r="BF198" s="1353" t="n"/>
      <c r="BG198" s="1353" t="n"/>
      <c r="BH198" s="1353" t="n"/>
      <c r="BI198" s="1353" t="n"/>
      <c r="BJ198" s="1353" t="n"/>
      <c r="BK198" s="1353" t="n"/>
      <c r="BL198" s="1353" t="n"/>
      <c r="BM198" s="1353" t="n"/>
      <c r="BN198" s="1353" t="n"/>
      <c r="BO198" s="1353" t="n"/>
      <c r="BP198" s="1353" t="n"/>
      <c r="BQ198" s="1353" t="n"/>
      <c r="BR198" s="1353" t="n"/>
      <c r="BS198" s="1353" t="n"/>
      <c r="BT198" s="1353" t="n"/>
      <c r="BU198" s="1353" t="n"/>
      <c r="BV198" s="1353" t="n"/>
      <c r="BW198" s="1353" t="n"/>
      <c r="BX198" s="1353" t="n"/>
      <c r="BY198" s="1353" t="n"/>
      <c r="BZ198" s="1353" t="n"/>
      <c r="CA198" s="1353" t="n"/>
      <c r="CB198" s="1353" t="n"/>
      <c r="CC198" s="1353" t="n"/>
      <c r="CD198" s="1353" t="n"/>
      <c r="CE198" s="1353" t="n"/>
      <c r="CF198" s="1353" t="n"/>
      <c r="CG198" s="1353" t="n"/>
      <c r="CH198" s="1353" t="n"/>
      <c r="CI198" s="1353" t="n"/>
      <c r="CJ198" s="1353" t="n"/>
      <c r="CK198" s="1353" t="n"/>
      <c r="CL198" s="1353" t="n"/>
      <c r="CM198" s="1353" t="n"/>
      <c r="CN198" s="1353" t="n"/>
      <c r="CO198" s="1353" t="n"/>
      <c r="CP198" s="1353" t="n"/>
      <c r="CQ198" s="1353" t="n"/>
      <c r="CR198" s="1353" t="n"/>
      <c r="CS198" s="1353" t="n"/>
      <c r="CT198" s="1353" t="n"/>
      <c r="CU198" s="1353" t="n"/>
      <c r="CV198" s="1353" t="n"/>
      <c r="CW198" s="1353" t="n"/>
      <c r="CX198" s="1353" t="n"/>
      <c r="CY198" s="1353" t="n"/>
      <c r="CZ198" s="1353" t="n"/>
      <c r="DA198" s="1353" t="n"/>
      <c r="DB198" s="1353" t="n"/>
      <c r="DC198" s="1353" t="n"/>
      <c r="DD198" s="1353" t="n"/>
      <c r="DE198" s="1353" t="n"/>
      <c r="DF198" s="1353" t="n"/>
      <c r="DG198" s="1353" t="n"/>
      <c r="DH198" s="1353" t="n"/>
      <c r="DI198" s="1353" t="n"/>
      <c r="DJ198" s="1353" t="n"/>
      <c r="DK198" s="1353" t="n"/>
      <c r="DL198" s="1353" t="n"/>
      <c r="DM198" s="1353" t="n"/>
      <c r="DN198" s="1353" t="n"/>
      <c r="DO198" s="1353" t="n"/>
      <c r="DP198" s="1353" t="n"/>
      <c r="DQ198" s="1353" t="n"/>
      <c r="DR198" s="1353" t="n"/>
      <c r="DS198" s="1353" t="n"/>
      <c r="DT198" s="1353" t="n"/>
      <c r="DU198" s="1353" t="n"/>
      <c r="DV198" s="1353" t="n"/>
      <c r="DW198" s="1353" t="n"/>
      <c r="DX198" s="1353" t="n"/>
      <c r="DY198" s="1353" t="n"/>
      <c r="DZ198" s="1353" t="n"/>
      <c r="EA198" s="1353" t="n"/>
      <c r="EB198" s="1353" t="n"/>
      <c r="EC198" s="1353" t="n"/>
      <c r="ED198" s="1353" t="n"/>
      <c r="EE198" s="1353" t="n"/>
      <c r="EF198" s="1353" t="n"/>
      <c r="EG198" s="1353" t="n"/>
      <c r="EH198" s="1353" t="n"/>
      <c r="EI198" s="1353" t="n"/>
      <c r="EJ198" s="1353" t="n"/>
      <c r="EK198" s="1353" t="n"/>
      <c r="EL198" s="1353" t="n"/>
      <c r="EM198" s="1353" t="n"/>
      <c r="EN198" s="1353" t="n"/>
      <c r="EO198" s="1353" t="n"/>
      <c r="EP198" s="1353" t="n"/>
      <c r="EQ198" s="1353" t="n"/>
      <c r="ER198" s="1353" t="n"/>
      <c r="ES198" s="1353" t="n"/>
      <c r="ET198" s="1353" t="n"/>
      <c r="EU198" s="1353" t="n"/>
      <c r="EV198" s="1353" t="n"/>
      <c r="EW198" s="1353" t="n"/>
      <c r="EX198" s="1353" t="n"/>
      <c r="EY198" s="1353" t="n"/>
      <c r="EZ198" s="1353" t="n"/>
      <c r="FA198" s="1353" t="n"/>
      <c r="FB198" s="1353" t="n"/>
      <c r="FC198" s="1353" t="n"/>
      <c r="FD198" s="1353" t="n"/>
      <c r="FE198" s="1353" t="n"/>
      <c r="FF198" s="1353" t="n"/>
      <c r="FG198" s="1353" t="n"/>
      <c r="FH198" s="1353" t="n"/>
      <c r="FI198" s="1353" t="n"/>
      <c r="FJ198" s="1353" t="n"/>
      <c r="FK198" s="1353" t="n"/>
      <c r="FL198" s="1353" t="n"/>
      <c r="FM198" s="1353" t="n"/>
      <c r="FN198" s="1353" t="n"/>
      <c r="FO198" s="1353" t="n"/>
      <c r="FP198" s="1353" t="n"/>
      <c r="FQ198" s="1353" t="n"/>
      <c r="FR198" s="1353" t="n"/>
      <c r="FS198" s="1353" t="n"/>
      <c r="FT198" s="1353" t="n"/>
      <c r="FU198" s="1353" t="n"/>
      <c r="FV198" s="1353" t="n"/>
      <c r="FW198" s="1353" t="n"/>
      <c r="FX198" s="1353" t="n"/>
      <c r="FY198" s="1353" t="n"/>
      <c r="FZ198" s="1353" t="n"/>
      <c r="GA198" s="1353" t="n"/>
      <c r="GB198" s="1353" t="n"/>
      <c r="GC198" s="1353" t="n"/>
      <c r="GD198" s="1353" t="n"/>
      <c r="GE198" s="1353" t="n"/>
      <c r="GF198" s="1353" t="n"/>
      <c r="GG198" s="1353" t="n"/>
      <c r="GH198" s="1353" t="n"/>
      <c r="GI198" s="1353" t="n"/>
      <c r="GJ198" s="1353" t="n"/>
      <c r="GK198" s="1353" t="n"/>
      <c r="GL198" s="1353" t="n"/>
      <c r="GM198" s="1353" t="n"/>
      <c r="GN198" s="1353" t="n"/>
      <c r="GO198" s="1353" t="n"/>
      <c r="GP198" s="1353" t="n"/>
      <c r="GQ198" s="1353" t="n"/>
      <c r="GR198" s="1353" t="n"/>
      <c r="GS198" s="1353" t="n"/>
      <c r="GT198" s="1353" t="n"/>
      <c r="GU198" s="1353" t="n"/>
      <c r="GV198" s="1353" t="n"/>
      <c r="GW198" s="1353" t="n"/>
      <c r="GX198" s="1353" t="n"/>
      <c r="GY198" s="1353" t="n"/>
      <c r="GZ198" s="1353" t="n"/>
      <c r="HA198" s="1353" t="n"/>
      <c r="HB198" s="1353" t="n"/>
      <c r="HC198" s="1353" t="n"/>
      <c r="HD198" s="1353" t="n"/>
      <c r="HE198" s="1353" t="n"/>
      <c r="HF198" s="1353" t="n"/>
      <c r="HG198" s="1353" t="n"/>
      <c r="HH198" s="1353" t="n"/>
      <c r="HI198" s="1353" t="n"/>
      <c r="HJ198" s="1353" t="n"/>
      <c r="HK198" s="1353" t="n"/>
      <c r="HL198" s="1353" t="n"/>
      <c r="HM198" s="1353" t="n"/>
      <c r="HN198" s="1353" t="n"/>
      <c r="HO198" s="1353" t="n"/>
      <c r="HP198" s="1353" t="n"/>
      <c r="HQ198" s="1353" t="n"/>
      <c r="HR198" s="1353" t="n"/>
      <c r="HS198" s="1353" t="n"/>
      <c r="HT198" s="1353" t="n"/>
      <c r="HU198" s="1353" t="n"/>
      <c r="HV198" s="1353" t="n"/>
      <c r="HW198" s="1353" t="n"/>
      <c r="HX198" s="1353" t="n"/>
      <c r="HY198" s="1353" t="n"/>
      <c r="HZ198" s="1353" t="n"/>
      <c r="IA198" s="1353" t="n"/>
      <c r="IB198" s="1353" t="n"/>
      <c r="IC198" s="1353" t="n"/>
      <c r="ID198" s="1353" t="n"/>
      <c r="IE198" s="1353" t="n"/>
      <c r="IF198" s="1353" t="n"/>
      <c r="IG198" s="1353" t="n"/>
      <c r="IH198" s="1353" t="n"/>
      <c r="II198" s="1353" t="n"/>
      <c r="IJ198" s="1353" t="n"/>
      <c r="IK198" s="1353" t="n"/>
      <c r="IL198" s="1353" t="n"/>
      <c r="IM198" s="1353" t="n"/>
      <c r="IN198" s="1353" t="n"/>
      <c r="IO198" s="1353" t="n"/>
      <c r="IP198" s="1353" t="n"/>
      <c r="IQ198" s="1353" t="n"/>
      <c r="IR198" s="1353" t="n"/>
      <c r="IS198" s="1353" t="n"/>
    </row>
    <row r="199">
      <c r="A199" s="562" t="inlineStr">
        <is>
          <t>AFTK</t>
        </is>
      </c>
      <c r="B199" s="1353" t="n"/>
      <c r="C199" s="1353" t="n"/>
      <c r="D199" s="1353" t="n"/>
      <c r="E199" s="1353" t="n"/>
      <c r="F199" s="1353" t="n"/>
      <c r="G199" s="1353" t="n"/>
      <c r="H199" s="1353" t="n"/>
      <c r="I199" s="1353" t="n"/>
      <c r="J199" s="1353" t="n"/>
      <c r="K199" s="1353" t="n"/>
      <c r="L199" s="1353" t="n"/>
      <c r="M199" s="1353" t="n"/>
      <c r="N199" s="1353" t="n"/>
      <c r="O199" s="1353" t="n"/>
      <c r="P199" s="1353" t="n"/>
      <c r="Q199" s="1353" t="n"/>
      <c r="R199" s="1353" t="n"/>
      <c r="S199" s="1353" t="n"/>
      <c r="T199" s="1353" t="n"/>
      <c r="U199" s="1353" t="n"/>
      <c r="V199" s="1353" t="n"/>
      <c r="W199" s="1353" t="n"/>
      <c r="X199" s="1353" t="n"/>
      <c r="Y199" s="1353" t="n"/>
      <c r="Z199" s="1353" t="n"/>
      <c r="AA199" s="1353" t="n"/>
      <c r="AB199" s="1353" t="n"/>
      <c r="AC199" s="1353" t="n"/>
      <c r="AD199" s="1353" t="n"/>
      <c r="AE199" s="1353" t="n"/>
      <c r="AF199" s="1353" t="n"/>
      <c r="AG199" s="1353" t="n"/>
      <c r="AH199" s="1353" t="n"/>
      <c r="AI199" s="1353" t="n"/>
      <c r="AJ199" s="1353" t="n"/>
      <c r="AK199" s="1353" t="n"/>
      <c r="AL199" s="1353" t="n"/>
      <c r="AM199" s="1353" t="n"/>
      <c r="AN199" s="1353" t="n"/>
      <c r="AO199" s="1353" t="n"/>
      <c r="AP199" s="1353" t="n"/>
      <c r="AQ199" s="1353" t="n"/>
      <c r="AR199" s="1353" t="n"/>
      <c r="AS199" s="1353" t="n"/>
      <c r="AT199" s="1353" t="n"/>
      <c r="AU199" s="1353" t="n"/>
      <c r="AV199" s="1353" t="n"/>
      <c r="AW199" s="1353" t="n"/>
      <c r="AX199" s="1353" t="n"/>
      <c r="AY199" s="1353" t="n"/>
      <c r="AZ199" s="1353" t="n"/>
      <c r="BA199" s="1353" t="n"/>
      <c r="BB199" s="1353" t="n"/>
      <c r="BC199" s="1353" t="n"/>
      <c r="BD199" s="1353" t="n"/>
      <c r="BE199" s="1353" t="n"/>
      <c r="BF199" s="1353" t="n"/>
      <c r="BG199" s="1353" t="n"/>
      <c r="BH199" s="1353" t="n"/>
      <c r="BI199" s="1353" t="n"/>
      <c r="BJ199" s="1353" t="n"/>
      <c r="BK199" s="1353" t="n"/>
      <c r="BL199" s="1353" t="n"/>
      <c r="BM199" s="1353" t="n"/>
      <c r="BN199" s="1353" t="n"/>
      <c r="BO199" s="1353" t="n"/>
      <c r="BP199" s="1353" t="n"/>
      <c r="BQ199" s="1353" t="n"/>
      <c r="BR199" s="1353" t="n"/>
      <c r="BS199" s="1353" t="n"/>
      <c r="BT199" s="1353" t="n"/>
      <c r="BU199" s="1353" t="n"/>
      <c r="BV199" s="1353" t="n"/>
      <c r="BW199" s="1353" t="n"/>
      <c r="BX199" s="1353" t="n"/>
      <c r="BY199" s="1353" t="n"/>
      <c r="BZ199" s="1353" t="n"/>
      <c r="CA199" s="1353" t="n"/>
      <c r="CB199" s="1353" t="n"/>
      <c r="CC199" s="1353" t="n"/>
      <c r="CD199" s="1353" t="n"/>
      <c r="CE199" s="1353" t="n"/>
      <c r="CF199" s="1353" t="n"/>
      <c r="CG199" s="1353" t="n"/>
      <c r="CH199" s="1353" t="n"/>
      <c r="CI199" s="1353" t="n"/>
      <c r="CJ199" s="1353" t="n"/>
      <c r="CK199" s="1353" t="n"/>
      <c r="CL199" s="1353" t="n"/>
      <c r="CM199" s="1353" t="n"/>
      <c r="CN199" s="1353" t="n"/>
      <c r="CO199" s="1353" t="n"/>
      <c r="CP199" s="1353" t="n"/>
      <c r="CQ199" s="1353" t="n"/>
      <c r="CR199" s="1353" t="n"/>
      <c r="CS199" s="1353" t="n"/>
      <c r="CT199" s="1353" t="n"/>
      <c r="CU199" s="1353" t="n"/>
      <c r="CV199" s="1353" t="n"/>
      <c r="CW199" s="1353" t="n"/>
      <c r="CX199" s="1353" t="n"/>
      <c r="CY199" s="1353" t="n"/>
      <c r="CZ199" s="1353" t="n"/>
      <c r="DA199" s="1353" t="n"/>
      <c r="DB199" s="1353" t="n"/>
      <c r="DC199" s="1353" t="n"/>
      <c r="DD199" s="1353" t="n"/>
      <c r="DE199" s="1353" t="n"/>
      <c r="DF199" s="1353" t="n"/>
      <c r="DG199" s="1353" t="n"/>
      <c r="DH199" s="1353" t="n"/>
      <c r="DI199" s="1353" t="n"/>
      <c r="DJ199" s="1353" t="n"/>
      <c r="DK199" s="1353" t="n"/>
      <c r="DL199" s="1353" t="n"/>
      <c r="DM199" s="1353" t="n"/>
      <c r="DN199" s="1353" t="n"/>
      <c r="DO199" s="1353" t="n"/>
      <c r="DP199" s="1353" t="n"/>
      <c r="DQ199" s="1353" t="n"/>
      <c r="DR199" s="1353" t="n"/>
      <c r="DS199" s="1353" t="n"/>
      <c r="DT199" s="1353" t="n"/>
      <c r="DU199" s="1353" t="n"/>
      <c r="DV199" s="1353" t="n"/>
      <c r="DW199" s="1353" t="n"/>
      <c r="DX199" s="1353" t="n"/>
      <c r="DY199" s="1353" t="n"/>
      <c r="DZ199" s="1353" t="n"/>
      <c r="EA199" s="1353" t="n"/>
      <c r="EB199" s="1353" t="n"/>
      <c r="EC199" s="1353" t="n"/>
      <c r="ED199" s="1353" t="n"/>
      <c r="EE199" s="1353" t="n"/>
      <c r="EF199" s="1353" t="n"/>
      <c r="EG199" s="1353" t="n"/>
      <c r="EH199" s="1353" t="n"/>
      <c r="EI199" s="1353" t="n"/>
      <c r="EJ199" s="1353" t="n"/>
      <c r="EK199" s="1353" t="n"/>
      <c r="EL199" s="1353" t="n"/>
      <c r="EM199" s="1353" t="n"/>
      <c r="EN199" s="1353" t="n"/>
      <c r="EO199" s="1353" t="n"/>
      <c r="EP199" s="1353" t="n"/>
      <c r="EQ199" s="1353" t="n"/>
      <c r="ER199" s="1353" t="n"/>
      <c r="ES199" s="1353" t="n"/>
      <c r="ET199" s="1353" t="n"/>
      <c r="EU199" s="1353" t="n"/>
      <c r="EV199" s="1353" t="n"/>
      <c r="EW199" s="1353" t="n"/>
      <c r="EX199" s="1353" t="n"/>
      <c r="EY199" s="1353" t="n"/>
      <c r="EZ199" s="1353" t="n"/>
      <c r="FA199" s="1353" t="n"/>
      <c r="FB199" s="1353" t="n"/>
      <c r="FC199" s="1353" t="n"/>
      <c r="FD199" s="1353" t="n"/>
      <c r="FE199" s="1353" t="n"/>
      <c r="FF199" s="1353" t="n"/>
      <c r="FG199" s="1353" t="n"/>
      <c r="FH199" s="1353" t="n"/>
      <c r="FI199" s="1353" t="n"/>
      <c r="FJ199" s="1353" t="n"/>
      <c r="FK199" s="1353" t="n"/>
      <c r="FL199" s="1353" t="n"/>
      <c r="FM199" s="1353" t="n"/>
      <c r="FN199" s="1353" t="n"/>
      <c r="FO199" s="1353" t="n"/>
      <c r="FP199" s="1353" t="n"/>
      <c r="FQ199" s="1353" t="n"/>
      <c r="FR199" s="1353" t="n"/>
      <c r="FS199" s="1353" t="n"/>
      <c r="FT199" s="1353" t="n"/>
      <c r="FU199" s="1353" t="n"/>
      <c r="FV199" s="1353" t="n"/>
      <c r="FW199" s="1353" t="n"/>
      <c r="FX199" s="1353" t="n"/>
      <c r="FY199" s="1353" t="n"/>
      <c r="FZ199" s="1353" t="n"/>
      <c r="GA199" s="1353" t="n"/>
      <c r="GB199" s="1353" t="n"/>
      <c r="GC199" s="1353" t="n"/>
      <c r="GD199" s="1353" t="n"/>
      <c r="GE199" s="1353" t="n"/>
      <c r="GF199" s="1353" t="n"/>
      <c r="GG199" s="1353" t="n"/>
      <c r="GH199" s="1353" t="n"/>
      <c r="GI199" s="1353" t="n"/>
      <c r="GJ199" s="1353" t="n"/>
      <c r="GK199" s="1353" t="n"/>
      <c r="GL199" s="1353" t="n"/>
      <c r="GM199" s="1353" t="n"/>
      <c r="GN199" s="1353" t="n"/>
      <c r="GO199" s="1353" t="n"/>
      <c r="GP199" s="1353" t="n"/>
      <c r="GQ199" s="1353" t="n"/>
      <c r="GR199" s="1353" t="n"/>
      <c r="GS199" s="1353" t="n"/>
      <c r="GT199" s="1353" t="n"/>
      <c r="GU199" s="1353" t="n"/>
      <c r="GV199" s="1353" t="n"/>
      <c r="GW199" s="1353" t="n"/>
      <c r="GX199" s="1353" t="n"/>
      <c r="GY199" s="1353" t="n"/>
      <c r="GZ199" s="1353" t="n"/>
      <c r="HA199" s="1353" t="n"/>
      <c r="HB199" s="1353" t="n"/>
      <c r="HC199" s="1353" t="n"/>
      <c r="HD199" s="1353" t="n"/>
      <c r="HE199" s="1353" t="n"/>
      <c r="HF199" s="1353" t="n"/>
      <c r="HG199" s="1353" t="n"/>
      <c r="HH199" s="1353" t="n"/>
      <c r="HI199" s="1353" t="n"/>
      <c r="HJ199" s="1353" t="n"/>
      <c r="HK199" s="1353" t="n"/>
      <c r="HL199" s="1353" t="n"/>
      <c r="HM199" s="1353" t="n"/>
      <c r="HN199" s="1353" t="n"/>
      <c r="HO199" s="1353" t="n"/>
      <c r="HP199" s="1353" t="n"/>
      <c r="HQ199" s="1353" t="n"/>
      <c r="HR199" s="1353" t="n"/>
      <c r="HS199" s="1353" t="n"/>
      <c r="HT199" s="1353" t="n"/>
      <c r="HU199" s="1353" t="n"/>
      <c r="HV199" s="1353" t="n"/>
      <c r="HW199" s="1353" t="n"/>
      <c r="HX199" s="1353" t="n"/>
      <c r="HY199" s="1353" t="n"/>
      <c r="HZ199" s="1353" t="n"/>
      <c r="IA199" s="1353" t="n"/>
      <c r="IB199" s="1353" t="n"/>
      <c r="IC199" s="1353" t="n"/>
      <c r="ID199" s="1353" t="n"/>
      <c r="IE199" s="1353" t="n"/>
      <c r="IF199" s="1353" t="n"/>
      <c r="IG199" s="1353" t="n"/>
      <c r="IH199" s="1353" t="n"/>
      <c r="II199" s="1353" t="n"/>
      <c r="IJ199" s="1353" t="n"/>
      <c r="IK199" s="1353" t="n"/>
      <c r="IL199" s="1353" t="n"/>
      <c r="IM199" s="1353" t="n"/>
      <c r="IN199" s="1353" t="n"/>
      <c r="IO199" s="1353" t="n"/>
      <c r="IP199" s="1353" t="n"/>
      <c r="IQ199" s="1353" t="n"/>
      <c r="IR199" s="1353" t="n"/>
      <c r="IS199" s="1353" t="n"/>
      <c r="LB199" s="634" t="n">
        <v>1252100</v>
      </c>
      <c r="LC199" s="634" t="n">
        <v>1107165</v>
      </c>
      <c r="LD199" s="634" t="n">
        <v>1315477</v>
      </c>
      <c r="LE199" s="634" t="n">
        <v>1203682</v>
      </c>
      <c r="LF199" s="634" t="n">
        <v>1235324</v>
      </c>
      <c r="LG199" s="634" t="n">
        <v>1222569</v>
      </c>
      <c r="LH199" s="634" t="n">
        <v>1293034</v>
      </c>
      <c r="LI199" s="634" t="n">
        <v>1350294</v>
      </c>
      <c r="LJ199" s="634" t="n">
        <v>1276894</v>
      </c>
      <c r="LK199" s="634" t="n">
        <v>1380381</v>
      </c>
      <c r="LL199" s="634" t="n">
        <v>1355358</v>
      </c>
      <c r="LM199" s="634" t="n">
        <v>1380988</v>
      </c>
      <c r="LN199" s="634" t="n">
        <v>1289450</v>
      </c>
      <c r="LO199" s="634" t="n">
        <v>1155687</v>
      </c>
      <c r="LP199" s="634" t="n">
        <v>1339646</v>
      </c>
      <c r="LQ199" s="634" t="n">
        <v>1292584</v>
      </c>
      <c r="LR199" s="634" t="n">
        <v>1310668</v>
      </c>
      <c r="LS199" s="634" t="n">
        <v>1238040</v>
      </c>
    </row>
    <row r="200">
      <c r="A200" s="562" t="inlineStr">
        <is>
          <t>RFTK</t>
        </is>
      </c>
      <c r="B200" s="1353" t="n"/>
      <c r="C200" s="1353" t="n"/>
      <c r="D200" s="1353" t="n"/>
      <c r="E200" s="1353" t="n"/>
      <c r="F200" s="1353" t="n"/>
      <c r="G200" s="1353" t="n"/>
      <c r="H200" s="1353" t="n"/>
      <c r="I200" s="1353" t="n"/>
      <c r="J200" s="1353" t="n"/>
      <c r="K200" s="1353" t="n"/>
      <c r="L200" s="1353" t="n"/>
      <c r="M200" s="1353" t="n"/>
      <c r="N200" s="1353" t="n"/>
      <c r="O200" s="1353" t="n"/>
      <c r="P200" s="1353" t="n"/>
      <c r="Q200" s="1353" t="n"/>
      <c r="R200" s="1353" t="n"/>
      <c r="S200" s="1353" t="n"/>
      <c r="T200" s="1353" t="n"/>
      <c r="U200" s="1353" t="n"/>
      <c r="V200" s="1353" t="n"/>
      <c r="W200" s="1353" t="n"/>
      <c r="X200" s="1353" t="n"/>
      <c r="Y200" s="1353" t="n"/>
      <c r="Z200" s="1353" t="n"/>
      <c r="AA200" s="1353" t="n"/>
      <c r="AB200" s="1353" t="n"/>
      <c r="AC200" s="1353" t="n"/>
      <c r="AD200" s="1353" t="n"/>
      <c r="AE200" s="1353" t="n"/>
      <c r="AF200" s="1353" t="n"/>
      <c r="AG200" s="1353" t="n"/>
      <c r="AH200" s="1353" t="n"/>
      <c r="AI200" s="1353" t="n"/>
      <c r="AJ200" s="1353" t="n"/>
      <c r="AK200" s="1353" t="n"/>
      <c r="AL200" s="1353" t="n"/>
      <c r="AM200" s="1353" t="n"/>
      <c r="AN200" s="1353" t="n"/>
      <c r="AO200" s="1353" t="n"/>
      <c r="AP200" s="1353" t="n"/>
      <c r="AQ200" s="1353" t="n"/>
      <c r="AR200" s="1353" t="n"/>
      <c r="AS200" s="1353" t="n"/>
      <c r="AT200" s="1353" t="n"/>
      <c r="AU200" s="1353" t="n"/>
      <c r="AV200" s="1353" t="n"/>
      <c r="AW200" s="1353" t="n"/>
      <c r="AX200" s="1353" t="n"/>
      <c r="AY200" s="1353" t="n"/>
      <c r="AZ200" s="1353" t="n"/>
      <c r="BA200" s="1353" t="n"/>
      <c r="BB200" s="1353" t="n"/>
      <c r="BC200" s="1353" t="n"/>
      <c r="BD200" s="1353" t="n"/>
      <c r="BE200" s="1353" t="n"/>
      <c r="BF200" s="1353" t="n"/>
      <c r="BG200" s="1353" t="n"/>
      <c r="BH200" s="1353" t="n"/>
      <c r="BI200" s="1353" t="n"/>
      <c r="BJ200" s="1353" t="n"/>
      <c r="BK200" s="1353" t="n"/>
      <c r="BL200" s="1353" t="n"/>
      <c r="BM200" s="1353" t="n"/>
      <c r="BN200" s="1353" t="n"/>
      <c r="BO200" s="1353" t="n"/>
      <c r="BP200" s="1353" t="n"/>
      <c r="BQ200" s="1353" t="n"/>
      <c r="BR200" s="1353" t="n"/>
      <c r="BS200" s="1353" t="n"/>
      <c r="BT200" s="1353" t="n"/>
      <c r="BU200" s="1353" t="n"/>
      <c r="BV200" s="1353" t="n"/>
      <c r="BW200" s="1353" t="n"/>
      <c r="BX200" s="1353" t="n"/>
      <c r="BY200" s="1353" t="n"/>
      <c r="BZ200" s="1353" t="n"/>
      <c r="CA200" s="1353" t="n"/>
      <c r="CB200" s="1353" t="n"/>
      <c r="CC200" s="1353" t="n"/>
      <c r="CD200" s="1353" t="n"/>
      <c r="CE200" s="1353" t="n"/>
      <c r="CF200" s="1353" t="n"/>
      <c r="CG200" s="1353" t="n"/>
      <c r="CH200" s="1353" t="n"/>
      <c r="CI200" s="1353" t="n"/>
      <c r="CJ200" s="1353" t="n"/>
      <c r="CK200" s="1353" t="n"/>
      <c r="CL200" s="1353" t="n"/>
      <c r="CM200" s="1353" t="n"/>
      <c r="CN200" s="1353" t="n"/>
      <c r="CO200" s="1353" t="n"/>
      <c r="CP200" s="1353" t="n"/>
      <c r="CQ200" s="1353" t="n"/>
      <c r="CR200" s="1353" t="n"/>
      <c r="CS200" s="1353" t="n"/>
      <c r="CT200" s="1353" t="n"/>
      <c r="CU200" s="1353" t="n"/>
      <c r="CV200" s="1353" t="n"/>
      <c r="CW200" s="1353" t="n"/>
      <c r="CX200" s="1353" t="n"/>
      <c r="CY200" s="1353" t="n"/>
      <c r="CZ200" s="1353" t="n"/>
      <c r="DA200" s="1353" t="n"/>
      <c r="DB200" s="1353" t="n"/>
      <c r="DC200" s="1353" t="n"/>
      <c r="DD200" s="1353" t="n"/>
      <c r="DE200" s="1353" t="n"/>
      <c r="DF200" s="1353" t="n"/>
      <c r="DG200" s="1353" t="n"/>
      <c r="DH200" s="1353" t="n"/>
      <c r="DI200" s="1353" t="n"/>
      <c r="DJ200" s="1353" t="n"/>
      <c r="DK200" s="1353" t="n"/>
      <c r="DL200" s="1353" t="n"/>
      <c r="DM200" s="1353" t="n"/>
      <c r="DN200" s="1353" t="n"/>
      <c r="DO200" s="1353" t="n"/>
      <c r="DP200" s="1353" t="n"/>
      <c r="DQ200" s="1353" t="n"/>
      <c r="DR200" s="1353" t="n"/>
      <c r="DS200" s="1353" t="n"/>
      <c r="DT200" s="1353" t="n"/>
      <c r="DU200" s="1353" t="n"/>
      <c r="DV200" s="1353" t="n"/>
      <c r="DW200" s="1353" t="n"/>
      <c r="DX200" s="1353" t="n"/>
      <c r="DY200" s="1353" t="n"/>
      <c r="DZ200" s="1353" t="n"/>
      <c r="EA200" s="1353" t="n"/>
      <c r="EB200" s="1353" t="n"/>
      <c r="EC200" s="1353" t="n"/>
      <c r="ED200" s="1353" t="n"/>
      <c r="EE200" s="1353" t="n"/>
      <c r="EF200" s="1353" t="n"/>
      <c r="EG200" s="1353" t="n"/>
      <c r="EH200" s="1353" t="n"/>
      <c r="EI200" s="1353" t="n"/>
      <c r="EJ200" s="1353" t="n"/>
      <c r="EK200" s="1353" t="n"/>
      <c r="EL200" s="1353" t="n"/>
      <c r="EM200" s="1353" t="n"/>
      <c r="EN200" s="1353" t="n"/>
      <c r="EO200" s="1353" t="n"/>
      <c r="EP200" s="1353" t="n"/>
      <c r="EQ200" s="1353" t="n"/>
      <c r="ER200" s="1353" t="n"/>
      <c r="ES200" s="1353" t="n"/>
      <c r="ET200" s="1353" t="n"/>
      <c r="EU200" s="1353" t="n"/>
      <c r="EV200" s="1353" t="n"/>
      <c r="EW200" s="1353" t="n"/>
      <c r="EX200" s="1353" t="n"/>
      <c r="EY200" s="1353" t="n"/>
      <c r="EZ200" s="1353" t="n"/>
      <c r="FA200" s="1353" t="n"/>
      <c r="FB200" s="1353" t="n"/>
      <c r="FC200" s="1353" t="n"/>
      <c r="FD200" s="1353" t="n"/>
      <c r="FE200" s="1353" t="n"/>
      <c r="FF200" s="1353" t="n"/>
      <c r="FG200" s="1353" t="n"/>
      <c r="FH200" s="1353" t="n"/>
      <c r="FI200" s="1353" t="n"/>
      <c r="FJ200" s="1353" t="n"/>
      <c r="FK200" s="1353" t="n"/>
      <c r="FL200" s="1353" t="n"/>
      <c r="FM200" s="1353" t="n"/>
      <c r="FN200" s="1353" t="n"/>
      <c r="FO200" s="1353" t="n"/>
      <c r="FP200" s="1353" t="n"/>
      <c r="FQ200" s="1353" t="n"/>
      <c r="FR200" s="1353" t="n"/>
      <c r="FS200" s="1353" t="n"/>
      <c r="FT200" s="1353" t="n"/>
      <c r="FU200" s="1353" t="n"/>
      <c r="FV200" s="1353" t="n"/>
      <c r="FW200" s="1353" t="n"/>
      <c r="FX200" s="1353" t="n"/>
      <c r="FY200" s="1353" t="n"/>
      <c r="FZ200" s="1353" t="n"/>
      <c r="GA200" s="1353" t="n"/>
      <c r="GB200" s="1353" t="n"/>
      <c r="GC200" s="1353" t="n"/>
      <c r="GD200" s="1353" t="n"/>
      <c r="GE200" s="1353" t="n"/>
      <c r="GF200" s="1353" t="n"/>
      <c r="GG200" s="1353" t="n"/>
      <c r="GH200" s="1353" t="n"/>
      <c r="GI200" s="1353" t="n"/>
      <c r="GJ200" s="1353" t="n"/>
      <c r="GK200" s="1353" t="n"/>
      <c r="GL200" s="1353" t="n"/>
      <c r="GM200" s="1353" t="n"/>
      <c r="GN200" s="1353" t="n"/>
      <c r="GO200" s="1353" t="n"/>
      <c r="GP200" s="1353" t="n"/>
      <c r="GQ200" s="1353" t="n"/>
      <c r="GR200" s="1353" t="n"/>
      <c r="GS200" s="1353" t="n"/>
      <c r="GT200" s="1353" t="n"/>
      <c r="GU200" s="1353" t="n"/>
      <c r="GV200" s="1353" t="n"/>
      <c r="GW200" s="1353" t="n"/>
      <c r="GX200" s="1353" t="n"/>
      <c r="GY200" s="1353" t="n"/>
      <c r="GZ200" s="1353" t="n"/>
      <c r="HA200" s="1353" t="n"/>
      <c r="HB200" s="1353" t="n"/>
      <c r="HC200" s="1353" t="n"/>
      <c r="HD200" s="1353" t="n"/>
      <c r="HE200" s="1353" t="n"/>
      <c r="HF200" s="1353" t="n"/>
      <c r="HG200" s="1353" t="n"/>
      <c r="HH200" s="1353" t="n"/>
      <c r="HI200" s="1353" t="n"/>
      <c r="HJ200" s="1353" t="n"/>
      <c r="HK200" s="1353" t="n"/>
      <c r="HL200" s="1353" t="n"/>
      <c r="HM200" s="1353" t="n"/>
      <c r="HN200" s="1353" t="n"/>
      <c r="HO200" s="1353" t="n"/>
      <c r="HP200" s="1353" t="n"/>
      <c r="HQ200" s="1353" t="n"/>
      <c r="HR200" s="1353" t="n"/>
      <c r="HS200" s="1353" t="n"/>
      <c r="HT200" s="1353" t="n"/>
      <c r="HU200" s="1353" t="n"/>
      <c r="HV200" s="1353" t="n"/>
      <c r="HW200" s="1353" t="n"/>
      <c r="HX200" s="1353" t="n"/>
      <c r="HY200" s="1353" t="n"/>
      <c r="HZ200" s="1353" t="n"/>
      <c r="IA200" s="1353" t="n"/>
      <c r="IB200" s="1353" t="n"/>
      <c r="IC200" s="1353" t="n"/>
      <c r="ID200" s="1353" t="n"/>
      <c r="IE200" s="1353" t="n"/>
      <c r="IF200" s="1353" t="n"/>
      <c r="IG200" s="1353" t="n"/>
      <c r="IH200" s="1353" t="n"/>
      <c r="II200" s="1353" t="n"/>
      <c r="IJ200" s="1353" t="n"/>
      <c r="IK200" s="1353" t="n"/>
      <c r="IL200" s="1353" t="n"/>
      <c r="IM200" s="1353" t="n"/>
      <c r="IN200" s="1353" t="n"/>
      <c r="IO200" s="1353" t="n"/>
      <c r="IP200" s="1353" t="n"/>
      <c r="IQ200" s="1353" t="n"/>
      <c r="IR200" s="1353" t="n"/>
      <c r="IS200" s="1353" t="n"/>
      <c r="LB200" s="634" t="n">
        <v>702832</v>
      </c>
      <c r="LC200" s="634" t="n">
        <v>640022</v>
      </c>
      <c r="LD200" s="634" t="n">
        <v>808439</v>
      </c>
      <c r="LE200" s="634" t="n">
        <v>702275</v>
      </c>
      <c r="LF200" s="634" t="n">
        <v>734101</v>
      </c>
      <c r="LG200" s="634" t="n">
        <v>714659</v>
      </c>
      <c r="LH200" s="634" t="n">
        <v>753058</v>
      </c>
      <c r="LI200" s="634" t="n">
        <v>761950</v>
      </c>
      <c r="LJ200" s="634" t="n">
        <v>729196</v>
      </c>
      <c r="LK200" s="634" t="n">
        <v>832006</v>
      </c>
      <c r="LL200" s="634" t="n">
        <v>851662</v>
      </c>
      <c r="LM200" s="634" t="n">
        <v>806783</v>
      </c>
      <c r="LN200" s="634" t="n">
        <v>707621</v>
      </c>
      <c r="LO200" s="634" t="n">
        <v>679550</v>
      </c>
      <c r="LP200" s="634" t="n">
        <v>843017</v>
      </c>
      <c r="LQ200" s="634" t="n">
        <v>752921</v>
      </c>
      <c r="LR200" s="634" t="n">
        <v>783148</v>
      </c>
      <c r="LS200" s="634" t="n">
        <v>747399</v>
      </c>
    </row>
    <row r="201">
      <c r="A201" s="562" t="inlineStr">
        <is>
          <t>Number of freight flight sectors</t>
        </is>
      </c>
      <c r="B201" s="1353" t="n"/>
      <c r="C201" s="1353" t="n"/>
      <c r="D201" s="1353" t="n"/>
      <c r="E201" s="1353" t="n"/>
      <c r="F201" s="1353" t="n"/>
      <c r="G201" s="1353" t="n"/>
      <c r="H201" s="1353" t="n"/>
      <c r="I201" s="1353" t="n"/>
      <c r="J201" s="1353" t="n"/>
      <c r="K201" s="1353" t="n"/>
      <c r="L201" s="1353" t="n"/>
      <c r="M201" s="1353" t="n"/>
      <c r="N201" s="1353" t="n"/>
      <c r="O201" s="1353" t="n"/>
      <c r="P201" s="1353" t="n"/>
      <c r="Q201" s="1353" t="n"/>
      <c r="R201" s="1353" t="n"/>
      <c r="S201" s="1353" t="n"/>
      <c r="T201" s="1353" t="n"/>
      <c r="U201" s="1353" t="n"/>
      <c r="V201" s="1353" t="n"/>
      <c r="W201" s="1353" t="n"/>
      <c r="X201" s="1353" t="n"/>
      <c r="Y201" s="1353" t="n"/>
      <c r="Z201" s="1353" t="n"/>
      <c r="AA201" s="1353" t="n"/>
      <c r="AB201" s="1353" t="n"/>
      <c r="AC201" s="1353" t="n"/>
      <c r="AD201" s="1353" t="n"/>
      <c r="AE201" s="1353" t="n"/>
      <c r="AF201" s="1353" t="n"/>
      <c r="AG201" s="1353" t="n"/>
      <c r="AH201" s="1353" t="n"/>
      <c r="AI201" s="1353" t="n"/>
      <c r="AJ201" s="1353" t="n"/>
      <c r="AK201" s="1353" t="n"/>
      <c r="AL201" s="1353" t="n"/>
      <c r="AM201" s="1353" t="n"/>
      <c r="AN201" s="1353" t="n"/>
      <c r="AO201" s="1353" t="n"/>
      <c r="AP201" s="1353" t="n"/>
      <c r="AQ201" s="1353" t="n"/>
      <c r="AR201" s="1353" t="n"/>
      <c r="AS201" s="1353" t="n"/>
      <c r="AT201" s="1353" t="n"/>
      <c r="AU201" s="1353" t="n"/>
      <c r="AV201" s="1353" t="n"/>
      <c r="AW201" s="1353" t="n"/>
      <c r="AX201" s="1353" t="n"/>
      <c r="AY201" s="1353" t="n"/>
      <c r="AZ201" s="1353" t="n"/>
      <c r="BA201" s="1353" t="n"/>
      <c r="BB201" s="1353" t="n"/>
      <c r="BC201" s="1353" t="n"/>
      <c r="BD201" s="1353" t="n"/>
      <c r="BE201" s="1353" t="n"/>
      <c r="BF201" s="1353" t="n"/>
      <c r="BG201" s="1353" t="n"/>
      <c r="BH201" s="1353" t="n"/>
      <c r="BI201" s="1353" t="n"/>
      <c r="BJ201" s="1353" t="n"/>
      <c r="BK201" s="1353" t="n"/>
      <c r="BL201" s="1353" t="n"/>
      <c r="BM201" s="1353" t="n"/>
      <c r="BN201" s="1353" t="n"/>
      <c r="BO201" s="1353" t="n"/>
      <c r="BP201" s="1353" t="n"/>
      <c r="BQ201" s="1353" t="n"/>
      <c r="BR201" s="1353" t="n"/>
      <c r="BS201" s="1353" t="n"/>
      <c r="BT201" s="1353" t="n"/>
      <c r="BU201" s="1353" t="n"/>
      <c r="BV201" s="1353" t="n"/>
      <c r="BW201" s="1353" t="n"/>
      <c r="BX201" s="1353" t="n"/>
      <c r="BY201" s="1353" t="n"/>
      <c r="BZ201" s="1353" t="n"/>
      <c r="CA201" s="1353" t="n"/>
      <c r="CB201" s="1353" t="n"/>
      <c r="CC201" s="1353" t="n"/>
      <c r="CD201" s="1353" t="n"/>
      <c r="CE201" s="1353" t="n"/>
      <c r="CF201" s="1353" t="n"/>
      <c r="CG201" s="1353" t="n"/>
      <c r="CH201" s="1353" t="n"/>
      <c r="CI201" s="1353" t="n"/>
      <c r="CJ201" s="1353" t="n"/>
      <c r="CK201" s="1353" t="n"/>
      <c r="CL201" s="1353" t="n"/>
      <c r="CM201" s="1353" t="n"/>
      <c r="CN201" s="1353" t="n"/>
      <c r="CO201" s="1353" t="n"/>
      <c r="CP201" s="1353" t="n"/>
      <c r="CQ201" s="1353" t="n"/>
      <c r="CR201" s="1353" t="n"/>
      <c r="CS201" s="1353" t="n"/>
      <c r="CT201" s="1353" t="n"/>
      <c r="CU201" s="1353" t="n"/>
      <c r="CV201" s="1353" t="n"/>
      <c r="CW201" s="1353" t="n"/>
      <c r="CX201" s="1353" t="n"/>
      <c r="CY201" s="1353" t="n"/>
      <c r="CZ201" s="1353" t="n"/>
      <c r="DA201" s="1353" t="n"/>
      <c r="DB201" s="1353" t="n"/>
      <c r="DC201" s="1353" t="n"/>
      <c r="DD201" s="1353" t="n"/>
      <c r="DE201" s="1353" t="n"/>
      <c r="DF201" s="1353" t="n"/>
      <c r="DG201" s="1353" t="n"/>
      <c r="DH201" s="1353" t="n"/>
      <c r="DI201" s="1353" t="n"/>
      <c r="DJ201" s="1353" t="n"/>
      <c r="DK201" s="1353" t="n"/>
      <c r="DL201" s="1353" t="n"/>
      <c r="DM201" s="1353" t="n"/>
      <c r="DN201" s="1353" t="n"/>
      <c r="DO201" s="1353" t="n"/>
      <c r="DP201" s="1353" t="n"/>
      <c r="DQ201" s="1353" t="n"/>
      <c r="DR201" s="1353" t="n"/>
      <c r="DS201" s="1353" t="n"/>
      <c r="DT201" s="1353" t="n"/>
      <c r="DU201" s="1353" t="n"/>
      <c r="DV201" s="1353" t="n"/>
      <c r="DW201" s="1353" t="n"/>
      <c r="DX201" s="1353" t="n"/>
      <c r="DY201" s="1353" t="n"/>
      <c r="DZ201" s="1353" t="n"/>
      <c r="EA201" s="1353" t="n"/>
      <c r="EB201" s="1353" t="n"/>
      <c r="EC201" s="1353" t="n"/>
      <c r="ED201" s="1353" t="n"/>
      <c r="EE201" s="1353" t="n"/>
      <c r="EF201" s="1353" t="n"/>
      <c r="EG201" s="1353" t="n"/>
      <c r="EH201" s="1353" t="n"/>
      <c r="EI201" s="1353" t="n"/>
      <c r="EJ201" s="1353" t="n"/>
      <c r="EK201" s="1353" t="n"/>
      <c r="EL201" s="1353" t="n"/>
      <c r="EM201" s="1353" t="n"/>
      <c r="EN201" s="1353" t="n"/>
      <c r="EO201" s="1353" t="n"/>
      <c r="EP201" s="1353" t="n"/>
      <c r="EQ201" s="1353" t="n"/>
      <c r="ER201" s="1353" t="n"/>
      <c r="ES201" s="1353" t="n"/>
      <c r="ET201" s="1353" t="n"/>
      <c r="EU201" s="1353" t="n"/>
      <c r="EV201" s="1353" t="n"/>
      <c r="EW201" s="1353" t="n"/>
      <c r="EX201" s="1353" t="n"/>
      <c r="EY201" s="1353" t="n"/>
      <c r="EZ201" s="1353" t="n"/>
      <c r="FA201" s="1353" t="n"/>
      <c r="FB201" s="1353" t="n"/>
      <c r="FC201" s="1353" t="n"/>
      <c r="FD201" s="1353" t="n"/>
      <c r="FE201" s="1353" t="n"/>
      <c r="FF201" s="1353" t="n"/>
      <c r="FG201" s="1353" t="n"/>
      <c r="FH201" s="1353" t="n"/>
      <c r="FI201" s="1353" t="n"/>
      <c r="FJ201" s="1353" t="n"/>
      <c r="FK201" s="1353" t="n"/>
      <c r="FL201" s="1353" t="n"/>
      <c r="FM201" s="1353" t="n"/>
      <c r="FN201" s="1353" t="n"/>
      <c r="FO201" s="1353" t="n"/>
      <c r="FP201" s="1353" t="n"/>
      <c r="FQ201" s="1353" t="n"/>
      <c r="FR201" s="1353" t="n"/>
      <c r="FS201" s="1353" t="n"/>
      <c r="FT201" s="1353" t="n"/>
      <c r="FU201" s="1353" t="n"/>
      <c r="FV201" s="1353" t="n"/>
      <c r="FW201" s="1353" t="n"/>
      <c r="FX201" s="1353" t="n"/>
      <c r="FY201" s="1353" t="n"/>
      <c r="FZ201" s="1353" t="n"/>
      <c r="GA201" s="1353" t="n"/>
      <c r="GB201" s="1353" t="n"/>
      <c r="GC201" s="1353" t="n"/>
      <c r="GD201" s="1353" t="n"/>
      <c r="GE201" s="1353" t="n"/>
      <c r="GF201" s="1353" t="n"/>
      <c r="GG201" s="1353" t="n"/>
      <c r="GH201" s="1353" t="n"/>
      <c r="GI201" s="1353" t="n"/>
      <c r="GJ201" s="1353" t="n"/>
      <c r="GK201" s="1353" t="n"/>
      <c r="GL201" s="1353" t="n"/>
      <c r="GM201" s="1353" t="n"/>
      <c r="GN201" s="1353" t="n"/>
      <c r="GO201" s="1353" t="n"/>
      <c r="GP201" s="1353" t="n"/>
      <c r="GQ201" s="1353" t="n"/>
      <c r="GR201" s="1353" t="n"/>
      <c r="GS201" s="1353" t="n"/>
      <c r="GT201" s="1353" t="n"/>
      <c r="GU201" s="1353" t="n"/>
      <c r="GV201" s="1353" t="n"/>
      <c r="GW201" s="1353" t="n"/>
      <c r="GX201" s="1353" t="n"/>
      <c r="GY201" s="1353" t="n"/>
      <c r="GZ201" s="1353" t="n"/>
      <c r="HA201" s="1353" t="n"/>
      <c r="HB201" s="1353" t="n"/>
      <c r="HC201" s="1353" t="n"/>
      <c r="HD201" s="1353" t="n"/>
      <c r="HE201" s="1353" t="n"/>
      <c r="HF201" s="1353" t="n"/>
      <c r="HG201" s="1353" t="n"/>
      <c r="HH201" s="1353" t="n"/>
      <c r="HI201" s="1353" t="n"/>
      <c r="HJ201" s="1353" t="n"/>
      <c r="HK201" s="1353" t="n"/>
      <c r="HL201" s="1353" t="n"/>
      <c r="HM201" s="1353" t="n"/>
      <c r="HN201" s="1353" t="n"/>
      <c r="HO201" s="1353" t="n"/>
      <c r="HP201" s="1353" t="n"/>
      <c r="HQ201" s="1353" t="n"/>
      <c r="HR201" s="1353" t="n"/>
      <c r="HS201" s="1353" t="n"/>
      <c r="HT201" s="1353" t="n"/>
      <c r="HU201" s="1353" t="n"/>
      <c r="HV201" s="1353" t="n"/>
      <c r="HW201" s="1353" t="n"/>
      <c r="HX201" s="1353" t="n"/>
      <c r="HY201" s="1353" t="n"/>
      <c r="HZ201" s="1353" t="n"/>
      <c r="IA201" s="1353" t="n"/>
      <c r="IB201" s="1353" t="n"/>
      <c r="IC201" s="1353" t="n"/>
      <c r="ID201" s="1353" t="n"/>
      <c r="IE201" s="1353" t="n"/>
      <c r="IF201" s="1353" t="n"/>
      <c r="IG201" s="1353" t="n"/>
      <c r="IH201" s="1353" t="n"/>
      <c r="II201" s="1353" t="n"/>
      <c r="IJ201" s="1353" t="n"/>
      <c r="IK201" s="1353" t="n"/>
      <c r="IL201" s="1353" t="n"/>
      <c r="IM201" s="1353" t="n"/>
      <c r="IN201" s="1353" t="n"/>
      <c r="IO201" s="1353" t="n"/>
      <c r="IP201" s="1353" t="n"/>
      <c r="IQ201" s="1353" t="n"/>
      <c r="IR201" s="1353" t="n"/>
      <c r="IS201" s="1353" t="n"/>
      <c r="LB201" s="634" t="n">
        <v>1238</v>
      </c>
      <c r="LC201" s="634" t="n">
        <v>1091</v>
      </c>
      <c r="LD201" s="634" t="n">
        <v>1350</v>
      </c>
      <c r="LE201" s="634" t="n">
        <v>1266</v>
      </c>
      <c r="LF201" s="634" t="n">
        <v>1264</v>
      </c>
      <c r="LG201" s="634" t="n">
        <v>1234</v>
      </c>
      <c r="LH201" s="634" t="n">
        <v>1286</v>
      </c>
      <c r="LI201" s="634" t="n">
        <v>1320</v>
      </c>
      <c r="LJ201" s="634" t="n">
        <v>1304</v>
      </c>
      <c r="LK201" s="634" t="n">
        <v>1388</v>
      </c>
      <c r="LL201" s="634" t="n">
        <v>1367</v>
      </c>
      <c r="LM201" s="634" t="n">
        <v>1341</v>
      </c>
      <c r="LN201" s="634" t="n">
        <v>1217</v>
      </c>
      <c r="LO201" s="634" t="n">
        <v>1028</v>
      </c>
      <c r="LP201" s="634" t="n">
        <v>1310</v>
      </c>
      <c r="LQ201" s="634" t="n">
        <v>1238</v>
      </c>
      <c r="LR201" s="634" t="n">
        <v>1272</v>
      </c>
      <c r="LS201" s="634" t="n">
        <v>1209</v>
      </c>
    </row>
    <row r="202">
      <c r="A202" s="562" t="inlineStr">
        <is>
          <t>Cargo Carried ('000 kg)</t>
        </is>
      </c>
      <c r="B202" s="1353" t="n"/>
      <c r="C202" s="1353" t="n"/>
      <c r="D202" s="1353" t="n"/>
      <c r="E202" s="1353" t="n"/>
      <c r="F202" s="1353" t="n"/>
      <c r="G202" s="1353" t="n"/>
      <c r="H202" s="1353" t="n"/>
      <c r="I202" s="1353" t="n"/>
      <c r="J202" s="1353" t="n"/>
      <c r="K202" s="1353" t="n"/>
      <c r="L202" s="1353" t="n"/>
      <c r="M202" s="1353" t="n"/>
      <c r="N202" s="1353" t="n"/>
      <c r="O202" s="1353" t="n"/>
      <c r="P202" s="1353" t="n"/>
      <c r="Q202" s="1353" t="n"/>
      <c r="R202" s="1353" t="n"/>
      <c r="S202" s="1353" t="n"/>
      <c r="T202" s="1353" t="n"/>
      <c r="U202" s="1353" t="n"/>
      <c r="V202" s="1353" t="n"/>
      <c r="W202" s="1353" t="n"/>
      <c r="X202" s="1353" t="n"/>
      <c r="Y202" s="1353" t="n"/>
      <c r="Z202" s="1353" t="n"/>
      <c r="AA202" s="1353" t="n"/>
      <c r="AB202" s="1353" t="n"/>
      <c r="AC202" s="1353" t="n"/>
      <c r="AD202" s="1353" t="n"/>
      <c r="AE202" s="1353" t="n"/>
      <c r="AF202" s="1353" t="n"/>
      <c r="AG202" s="1353" t="n"/>
      <c r="AH202" s="1353" t="n"/>
      <c r="AI202" s="1353" t="n"/>
      <c r="AJ202" s="1353" t="n"/>
      <c r="AK202" s="1353" t="n"/>
      <c r="AL202" s="1353" t="n"/>
      <c r="AM202" s="1353" t="n"/>
      <c r="AN202" s="1353" t="n"/>
      <c r="AO202" s="1353" t="n"/>
      <c r="AP202" s="1353" t="n"/>
      <c r="AQ202" s="1353" t="n"/>
      <c r="AR202" s="1353" t="n"/>
      <c r="AS202" s="1353" t="n"/>
      <c r="AT202" s="1353" t="n"/>
      <c r="AU202" s="1353" t="n"/>
      <c r="AV202" s="1353" t="n"/>
      <c r="AW202" s="1353" t="n"/>
      <c r="AX202" s="1353" t="n"/>
      <c r="AY202" s="1353" t="n"/>
      <c r="AZ202" s="1353" t="n"/>
      <c r="BA202" s="1353" t="n"/>
      <c r="BB202" s="1353" t="n"/>
      <c r="BC202" s="1353" t="n"/>
      <c r="BD202" s="1353" t="n"/>
      <c r="BE202" s="1353" t="n"/>
      <c r="BF202" s="1353" t="n"/>
      <c r="BG202" s="1353" t="n"/>
      <c r="BH202" s="1353" t="n"/>
      <c r="BI202" s="1353" t="n"/>
      <c r="BJ202" s="1353" t="n"/>
      <c r="BK202" s="1353" t="n"/>
      <c r="BL202" s="1353" t="n"/>
      <c r="BM202" s="1353" t="n"/>
      <c r="BN202" s="1353" t="n"/>
      <c r="BO202" s="1353" t="n"/>
      <c r="BP202" s="1353" t="n"/>
      <c r="BQ202" s="1353" t="n"/>
      <c r="BR202" s="1353" t="n"/>
      <c r="BS202" s="1353" t="n"/>
      <c r="BT202" s="1353" t="n"/>
      <c r="BU202" s="1353" t="n"/>
      <c r="BV202" s="1353" t="n"/>
      <c r="BW202" s="1353" t="n"/>
      <c r="BX202" s="1353" t="n"/>
      <c r="BY202" s="1353" t="n"/>
      <c r="BZ202" s="1353" t="n"/>
      <c r="CA202" s="1353" t="n"/>
      <c r="CB202" s="1353" t="n"/>
      <c r="CC202" s="1353" t="n"/>
      <c r="CD202" s="1353" t="n"/>
      <c r="CE202" s="1353" t="n"/>
      <c r="CF202" s="1353" t="n"/>
      <c r="CG202" s="1353" t="n"/>
      <c r="CH202" s="1353" t="n"/>
      <c r="CI202" s="1353" t="n"/>
      <c r="CJ202" s="1353" t="n"/>
      <c r="CK202" s="1353" t="n"/>
      <c r="CL202" s="1353" t="n"/>
      <c r="CM202" s="1353" t="n"/>
      <c r="CN202" s="1353" t="n"/>
      <c r="CO202" s="1353" t="n"/>
      <c r="CP202" s="1353" t="n"/>
      <c r="CQ202" s="1353" t="n"/>
      <c r="CR202" s="1353" t="n"/>
      <c r="CS202" s="1353" t="n"/>
      <c r="CT202" s="1353" t="n"/>
      <c r="CU202" s="1353" t="n"/>
      <c r="CV202" s="1353" t="n"/>
      <c r="CW202" s="1353" t="n"/>
      <c r="CX202" s="1353" t="n"/>
      <c r="CY202" s="1353" t="n"/>
      <c r="CZ202" s="1353" t="n"/>
      <c r="DA202" s="1353" t="n"/>
      <c r="DB202" s="1353" t="n"/>
      <c r="DC202" s="1353" t="n"/>
      <c r="DD202" s="1353" t="n"/>
      <c r="DE202" s="1353" t="n"/>
      <c r="DF202" s="1353" t="n"/>
      <c r="DG202" s="1353" t="n"/>
      <c r="DH202" s="1353" t="n"/>
      <c r="DI202" s="1353" t="n"/>
      <c r="DJ202" s="1353" t="n"/>
      <c r="DK202" s="1353" t="n"/>
      <c r="DL202" s="1353" t="n"/>
      <c r="DM202" s="1353" t="n"/>
      <c r="DN202" s="1353" t="n"/>
      <c r="DO202" s="1353" t="n"/>
      <c r="DP202" s="1353" t="n"/>
      <c r="DQ202" s="1353" t="n"/>
      <c r="DR202" s="1353" t="n"/>
      <c r="DS202" s="1353" t="n"/>
      <c r="DT202" s="1353" t="n"/>
      <c r="DU202" s="1353" t="n"/>
      <c r="DV202" s="1353" t="n"/>
      <c r="DW202" s="1353" t="n"/>
      <c r="DX202" s="1353" t="n"/>
      <c r="DY202" s="1353" t="n"/>
      <c r="DZ202" s="1353" t="n"/>
      <c r="EA202" s="1353" t="n"/>
      <c r="EB202" s="1353" t="n"/>
      <c r="EC202" s="1353" t="n"/>
      <c r="ED202" s="1353" t="n"/>
      <c r="EE202" s="1353" t="n"/>
      <c r="EF202" s="1353" t="n"/>
      <c r="EG202" s="1353" t="n"/>
      <c r="EH202" s="1353" t="n"/>
      <c r="EI202" s="1353" t="n"/>
      <c r="EJ202" s="1353" t="n"/>
      <c r="EK202" s="1353" t="n"/>
      <c r="EL202" s="1353" t="n"/>
      <c r="EM202" s="1353" t="n"/>
      <c r="EN202" s="1353" t="n"/>
      <c r="EO202" s="1353" t="n"/>
      <c r="EP202" s="1353" t="n"/>
      <c r="EQ202" s="1353" t="n"/>
      <c r="ER202" s="1353" t="n"/>
      <c r="ES202" s="1353" t="n"/>
      <c r="ET202" s="1353" t="n"/>
      <c r="EU202" s="1353" t="n"/>
      <c r="EV202" s="1353" t="n"/>
      <c r="EW202" s="1353" t="n"/>
      <c r="EX202" s="1353" t="n"/>
      <c r="EY202" s="1353" t="n"/>
      <c r="EZ202" s="1353" t="n"/>
      <c r="FA202" s="1353" t="n"/>
      <c r="FB202" s="1353" t="n"/>
      <c r="FC202" s="1353" t="n"/>
      <c r="FD202" s="1353" t="n"/>
      <c r="FE202" s="1353" t="n"/>
      <c r="FF202" s="1353" t="n"/>
      <c r="FG202" s="1353" t="n"/>
      <c r="FH202" s="1353" t="n"/>
      <c r="FI202" s="1353" t="n"/>
      <c r="FJ202" s="1353" t="n"/>
      <c r="FK202" s="1353" t="n"/>
      <c r="FL202" s="1353" t="n"/>
      <c r="FM202" s="1353" t="n"/>
      <c r="FN202" s="1353" t="n"/>
      <c r="FO202" s="1353" t="n"/>
      <c r="FP202" s="1353" t="n"/>
      <c r="FQ202" s="1353" t="n"/>
      <c r="FR202" s="1353" t="n"/>
      <c r="FS202" s="1353" t="n"/>
      <c r="FT202" s="1353" t="n"/>
      <c r="FU202" s="1353" t="n"/>
      <c r="FV202" s="1353" t="n"/>
      <c r="FW202" s="1353" t="n"/>
      <c r="FX202" s="1353" t="n"/>
      <c r="FY202" s="1353" t="n"/>
      <c r="FZ202" s="1353" t="n"/>
      <c r="GA202" s="1353" t="n"/>
      <c r="GB202" s="1353" t="n"/>
      <c r="GC202" s="1353" t="n"/>
      <c r="GD202" s="1353" t="n"/>
      <c r="GE202" s="1353" t="n"/>
      <c r="GF202" s="1353" t="n"/>
      <c r="GG202" s="1353" t="n"/>
      <c r="GH202" s="1353" t="n"/>
      <c r="GI202" s="1353" t="n"/>
      <c r="GJ202" s="1353" t="n"/>
      <c r="GK202" s="1353" t="n"/>
      <c r="GL202" s="1353" t="n"/>
      <c r="GM202" s="1353" t="n"/>
      <c r="GN202" s="1353" t="n"/>
      <c r="GO202" s="1353" t="n"/>
      <c r="GP202" s="1353" t="n"/>
      <c r="GQ202" s="1353" t="n"/>
      <c r="GR202" s="1353" t="n"/>
      <c r="GS202" s="1353" t="n"/>
      <c r="GT202" s="1353" t="n"/>
      <c r="GU202" s="1353" t="n"/>
      <c r="GV202" s="1353" t="n"/>
      <c r="GW202" s="1353" t="n"/>
      <c r="GX202" s="1353" t="n"/>
      <c r="GY202" s="1353" t="n"/>
      <c r="GZ202" s="1353" t="n"/>
      <c r="HA202" s="1353" t="n"/>
      <c r="HB202" s="1353" t="n"/>
      <c r="HC202" s="1353" t="n"/>
      <c r="HD202" s="1353" t="n"/>
      <c r="HE202" s="1353" t="n"/>
      <c r="HF202" s="1353" t="n"/>
      <c r="HG202" s="1353" t="n"/>
      <c r="HH202" s="1353" t="n"/>
      <c r="HI202" s="1353" t="n"/>
      <c r="HJ202" s="1353" t="n"/>
      <c r="HK202" s="1353" t="n"/>
      <c r="HL202" s="1353" t="n"/>
      <c r="HM202" s="1353" t="n"/>
      <c r="HN202" s="1353" t="n"/>
      <c r="HO202" s="1353" t="n"/>
      <c r="HP202" s="1353" t="n"/>
      <c r="HQ202" s="1353" t="n"/>
      <c r="HR202" s="1353" t="n"/>
      <c r="HS202" s="1353" t="n"/>
      <c r="HT202" s="1353" t="n"/>
      <c r="HU202" s="1353" t="n"/>
      <c r="HV202" s="1353" t="n"/>
      <c r="HW202" s="1353" t="n"/>
      <c r="HX202" s="1353" t="n"/>
      <c r="HY202" s="1353" t="n"/>
      <c r="HZ202" s="1353" t="n"/>
      <c r="IA202" s="1353" t="n"/>
      <c r="IB202" s="1353" t="n"/>
      <c r="IC202" s="1353" t="n"/>
      <c r="ID202" s="1353" t="n"/>
      <c r="IE202" s="1353" t="n"/>
      <c r="IF202" s="1353" t="n"/>
      <c r="IG202" s="1353" t="n"/>
      <c r="IH202" s="1353" t="n"/>
      <c r="II202" s="1353" t="n"/>
      <c r="IJ202" s="1353" t="n"/>
      <c r="IK202" s="1353" t="n"/>
      <c r="IL202" s="1353" t="n"/>
      <c r="IM202" s="1353" t="n"/>
      <c r="IN202" s="1353" t="n"/>
      <c r="IO202" s="1353" t="n"/>
      <c r="IP202" s="1353" t="n"/>
      <c r="IQ202" s="1353" t="n"/>
      <c r="IR202" s="1353" t="n"/>
      <c r="IS202" s="1353" t="n"/>
      <c r="LB202" s="634" t="n">
        <v>130572</v>
      </c>
      <c r="LC202" s="634" t="n">
        <v>119707</v>
      </c>
      <c r="LD202" s="634" t="n">
        <v>148807</v>
      </c>
      <c r="LE202" s="634" t="n">
        <v>133398</v>
      </c>
      <c r="LF202" s="634" t="n">
        <v>135807</v>
      </c>
      <c r="LG202" s="634" t="n">
        <v>132462</v>
      </c>
      <c r="LH202" s="634" t="n">
        <v>140156</v>
      </c>
      <c r="LI202" s="634" t="n">
        <v>139821</v>
      </c>
      <c r="LJ202" s="634" t="n">
        <v>134909</v>
      </c>
      <c r="LK202" s="634" t="n">
        <v>151439</v>
      </c>
      <c r="LL202" s="634" t="n">
        <v>157472</v>
      </c>
      <c r="LM202" s="634" t="n">
        <v>152175</v>
      </c>
      <c r="LN202" s="634" t="n">
        <v>137143</v>
      </c>
      <c r="LO202" s="634" t="n">
        <v>127442</v>
      </c>
      <c r="LP202" s="634" t="n">
        <v>165143</v>
      </c>
      <c r="LQ202" s="634" t="n">
        <v>144341</v>
      </c>
      <c r="LR202" s="634" t="n">
        <v>150089</v>
      </c>
      <c r="LS202" s="634" t="n">
        <v>144773</v>
      </c>
    </row>
    <row r="203">
      <c r="A203" s="562" t="inlineStr">
        <is>
          <t>Cargo load factor %</t>
        </is>
      </c>
      <c r="B203" s="1353" t="n"/>
      <c r="C203" s="1353" t="n"/>
      <c r="D203" s="1353" t="n"/>
      <c r="E203" s="1353" t="n"/>
      <c r="F203" s="1353" t="n"/>
      <c r="G203" s="1353" t="n"/>
      <c r="H203" s="1353" t="n"/>
      <c r="I203" s="1353" t="n"/>
      <c r="J203" s="1353" t="n"/>
      <c r="K203" s="1353" t="n"/>
      <c r="L203" s="1353" t="n"/>
      <c r="M203" s="1353" t="n"/>
      <c r="N203" s="1353" t="n"/>
      <c r="O203" s="1353" t="n"/>
      <c r="P203" s="1353" t="n"/>
      <c r="Q203" s="1353" t="n"/>
      <c r="R203" s="1353" t="n"/>
      <c r="S203" s="1353" t="n"/>
      <c r="T203" s="1353" t="n"/>
      <c r="U203" s="1353" t="n"/>
      <c r="V203" s="1353" t="n"/>
      <c r="W203" s="1353" t="n"/>
      <c r="X203" s="1353" t="n"/>
      <c r="Y203" s="1353" t="n"/>
      <c r="Z203" s="1353" t="n"/>
      <c r="AA203" s="1353" t="n"/>
      <c r="AB203" s="1353" t="n"/>
      <c r="AC203" s="1353" t="n"/>
      <c r="AD203" s="1353" t="n"/>
      <c r="AE203" s="1353" t="n"/>
      <c r="AF203" s="1353" t="n"/>
      <c r="AG203" s="1353" t="n"/>
      <c r="AH203" s="1353" t="n"/>
      <c r="AI203" s="1353" t="n"/>
      <c r="AJ203" s="1353" t="n"/>
      <c r="AK203" s="1353" t="n"/>
      <c r="AL203" s="1353" t="n"/>
      <c r="AM203" s="1353" t="n"/>
      <c r="AN203" s="1353" t="n"/>
      <c r="AO203" s="1353" t="n"/>
      <c r="AP203" s="1353" t="n"/>
      <c r="AQ203" s="1353" t="n"/>
      <c r="AR203" s="1353" t="n"/>
      <c r="AS203" s="1353" t="n"/>
      <c r="AT203" s="1353" t="n"/>
      <c r="AU203" s="1353" t="n"/>
      <c r="AV203" s="1353" t="n"/>
      <c r="AW203" s="1353" t="n"/>
      <c r="AX203" s="1353" t="n"/>
      <c r="AY203" s="1353" t="n"/>
      <c r="AZ203" s="1353" t="n"/>
      <c r="BA203" s="1353" t="n"/>
      <c r="BB203" s="1353" t="n"/>
      <c r="BC203" s="1353" t="n"/>
      <c r="BD203" s="1353" t="n"/>
      <c r="BE203" s="1353" t="n"/>
      <c r="BF203" s="1353" t="n"/>
      <c r="BG203" s="1353" t="n"/>
      <c r="BH203" s="1353" t="n"/>
      <c r="BI203" s="1353" t="n"/>
      <c r="BJ203" s="1353" t="n"/>
      <c r="BK203" s="1353" t="n"/>
      <c r="BL203" s="1353" t="n"/>
      <c r="BM203" s="1353" t="n"/>
      <c r="BN203" s="1353" t="n"/>
      <c r="BO203" s="1353" t="n"/>
      <c r="BP203" s="1353" t="n"/>
      <c r="BQ203" s="1353" t="n"/>
      <c r="BR203" s="1353" t="n"/>
      <c r="BS203" s="1353" t="n"/>
      <c r="BT203" s="1353" t="n"/>
      <c r="BU203" s="1353" t="n"/>
      <c r="BV203" s="1353" t="n"/>
      <c r="BW203" s="1353" t="n"/>
      <c r="BX203" s="1353" t="n"/>
      <c r="BY203" s="1353" t="n"/>
      <c r="BZ203" s="1353" t="n"/>
      <c r="CA203" s="1353" t="n"/>
      <c r="CB203" s="1353" t="n"/>
      <c r="CC203" s="1353" t="n"/>
      <c r="CD203" s="1353" t="n"/>
      <c r="CE203" s="1353" t="n"/>
      <c r="CF203" s="1353" t="n"/>
      <c r="CG203" s="1353" t="n"/>
      <c r="CH203" s="1353" t="n"/>
      <c r="CI203" s="1353" t="n"/>
      <c r="CJ203" s="1353" t="n"/>
      <c r="CK203" s="1353" t="n"/>
      <c r="CL203" s="1353" t="n"/>
      <c r="CM203" s="1353" t="n"/>
      <c r="CN203" s="1353" t="n"/>
      <c r="CO203" s="1353" t="n"/>
      <c r="CP203" s="1353" t="n"/>
      <c r="CQ203" s="1353" t="n"/>
      <c r="CR203" s="1353" t="n"/>
      <c r="CS203" s="1353" t="n"/>
      <c r="CT203" s="1353" t="n"/>
      <c r="CU203" s="1353" t="n"/>
      <c r="CV203" s="1353" t="n"/>
      <c r="CW203" s="1353" t="n"/>
      <c r="CX203" s="1353" t="n"/>
      <c r="CY203" s="1353" t="n"/>
      <c r="CZ203" s="1353" t="n"/>
      <c r="DA203" s="1353" t="n"/>
      <c r="DB203" s="1353" t="n"/>
      <c r="DC203" s="1353" t="n"/>
      <c r="DD203" s="1353" t="n"/>
      <c r="DE203" s="1353" t="n"/>
      <c r="DF203" s="1353" t="n"/>
      <c r="DG203" s="1353" t="n"/>
      <c r="DH203" s="1353" t="n"/>
      <c r="DI203" s="1353" t="n"/>
      <c r="DJ203" s="1353" t="n"/>
      <c r="DK203" s="1353" t="n"/>
      <c r="DL203" s="1353" t="n"/>
      <c r="DM203" s="1353" t="n"/>
      <c r="DN203" s="1353" t="n"/>
      <c r="DO203" s="1353" t="n"/>
      <c r="DP203" s="1353" t="n"/>
      <c r="DQ203" s="1353" t="n"/>
      <c r="DR203" s="1353" t="n"/>
      <c r="DS203" s="1353" t="n"/>
      <c r="DT203" s="1353" t="n"/>
      <c r="DU203" s="1353" t="n"/>
      <c r="DV203" s="1353" t="n"/>
      <c r="DW203" s="1353" t="n"/>
      <c r="DX203" s="1353" t="n"/>
      <c r="DY203" s="1353" t="n"/>
      <c r="DZ203" s="1353" t="n"/>
      <c r="EA203" s="1353" t="n"/>
      <c r="EB203" s="1353" t="n"/>
      <c r="EC203" s="1353" t="n"/>
      <c r="ED203" s="1353" t="n"/>
      <c r="EE203" s="1353" t="n"/>
      <c r="EF203" s="1353" t="n"/>
      <c r="EG203" s="1353" t="n"/>
      <c r="EH203" s="1353" t="n"/>
      <c r="EI203" s="1353" t="n"/>
      <c r="EJ203" s="1353" t="n"/>
      <c r="EK203" s="1353" t="n"/>
      <c r="EL203" s="1353" t="n"/>
      <c r="EM203" s="1353" t="n"/>
      <c r="EN203" s="1353" t="n"/>
      <c r="EO203" s="1353" t="n"/>
      <c r="EP203" s="1353" t="n"/>
      <c r="EQ203" s="1353" t="n"/>
      <c r="ER203" s="1353" t="n"/>
      <c r="ES203" s="1353" t="n"/>
      <c r="ET203" s="1353" t="n"/>
      <c r="EU203" s="1353" t="n"/>
      <c r="EV203" s="1353" t="n"/>
      <c r="EW203" s="1353" t="n"/>
      <c r="EX203" s="1353" t="n"/>
      <c r="EY203" s="1353" t="n"/>
      <c r="EZ203" s="1353" t="n"/>
      <c r="FA203" s="1353" t="n"/>
      <c r="FB203" s="1353" t="n"/>
      <c r="FC203" s="1353" t="n"/>
      <c r="FD203" s="1353" t="n"/>
      <c r="FE203" s="1353" t="n"/>
      <c r="FF203" s="1353" t="n"/>
      <c r="FG203" s="1353" t="n"/>
      <c r="FH203" s="1353" t="n"/>
      <c r="FI203" s="1353" t="n"/>
      <c r="FJ203" s="1353" t="n"/>
      <c r="FK203" s="1353" t="n"/>
      <c r="FL203" s="1353" t="n"/>
      <c r="FM203" s="1353" t="n"/>
      <c r="FN203" s="1353" t="n"/>
      <c r="FO203" s="1353" t="n"/>
      <c r="FP203" s="1353" t="n"/>
      <c r="FQ203" s="1353" t="n"/>
      <c r="FR203" s="1353" t="n"/>
      <c r="FS203" s="1353" t="n"/>
      <c r="FT203" s="1353" t="n"/>
      <c r="FU203" s="1353" t="n"/>
      <c r="FV203" s="1353" t="n"/>
      <c r="FW203" s="1353" t="n"/>
      <c r="FX203" s="1353" t="n"/>
      <c r="FY203" s="1353" t="n"/>
      <c r="FZ203" s="1353" t="n"/>
      <c r="GA203" s="1353" t="n"/>
      <c r="GB203" s="1353" t="n"/>
      <c r="GC203" s="1353" t="n"/>
      <c r="GD203" s="1353" t="n"/>
      <c r="GE203" s="1353" t="n"/>
      <c r="GF203" s="1353" t="n"/>
      <c r="GG203" s="1353" t="n"/>
      <c r="GH203" s="1353" t="n"/>
      <c r="GI203" s="1353" t="n"/>
      <c r="GJ203" s="1353" t="n"/>
      <c r="GK203" s="1353" t="n"/>
      <c r="GL203" s="1353" t="n"/>
      <c r="GM203" s="1353" t="n"/>
      <c r="GN203" s="1353" t="n"/>
      <c r="GO203" s="1353" t="n"/>
      <c r="GP203" s="1353" t="n"/>
      <c r="GQ203" s="1353" t="n"/>
      <c r="GR203" s="1353" t="n"/>
      <c r="GS203" s="1353" t="n"/>
      <c r="GT203" s="1353" t="n"/>
      <c r="GU203" s="1353" t="n"/>
      <c r="GV203" s="1353" t="n"/>
      <c r="GW203" s="1353" t="n"/>
      <c r="GX203" s="1353" t="n"/>
      <c r="GY203" s="1353" t="n"/>
      <c r="GZ203" s="1353" t="n"/>
      <c r="HA203" s="1353" t="n"/>
      <c r="HB203" s="1353" t="n"/>
      <c r="HC203" s="1353" t="n"/>
      <c r="HD203" s="1353" t="n"/>
      <c r="HE203" s="1353" t="n"/>
      <c r="HF203" s="1353" t="n"/>
      <c r="HG203" s="1353" t="n"/>
      <c r="HH203" s="1353" t="n"/>
      <c r="HI203" s="1353" t="n"/>
      <c r="HJ203" s="1353" t="n"/>
      <c r="HK203" s="1353" t="n"/>
      <c r="HL203" s="1353" t="n"/>
      <c r="HM203" s="1353" t="n"/>
      <c r="HN203" s="1353" t="n"/>
      <c r="HO203" s="1353" t="n"/>
      <c r="HP203" s="1353" t="n"/>
      <c r="HQ203" s="1353" t="n"/>
      <c r="HR203" s="1353" t="n"/>
      <c r="HS203" s="1353" t="n"/>
      <c r="HT203" s="1353" t="n"/>
      <c r="HU203" s="1353" t="n"/>
      <c r="HV203" s="1353" t="n"/>
      <c r="HW203" s="1353" t="n"/>
      <c r="HX203" s="1353" t="n"/>
      <c r="HY203" s="1353" t="n"/>
      <c r="HZ203" s="1353" t="n"/>
      <c r="IA203" s="1353" t="n"/>
      <c r="IB203" s="1353" t="n"/>
      <c r="IC203" s="1353" t="n"/>
      <c r="ID203" s="1353" t="n"/>
      <c r="IE203" s="1353" t="n"/>
      <c r="IF203" s="1353" t="n"/>
      <c r="IG203" s="1353" t="n"/>
      <c r="IH203" s="1353" t="n"/>
      <c r="II203" s="1353" t="n"/>
      <c r="IJ203" s="1353" t="n"/>
      <c r="IK203" s="1353" t="n"/>
      <c r="IL203" s="1353" t="n"/>
      <c r="IM203" s="1353" t="n"/>
      <c r="IN203" s="1353" t="n"/>
      <c r="IO203" s="1353" t="n"/>
      <c r="IP203" s="1353" t="n"/>
      <c r="IQ203" s="1353" t="n"/>
      <c r="IR203" s="1353" t="n"/>
      <c r="IS203" s="1353" t="n"/>
      <c r="LB203" s="1345">
        <f>LB200/LB199</f>
        <v/>
      </c>
      <c r="LC203" s="1345">
        <f>LC200/LC199</f>
        <v/>
      </c>
      <c r="LD203" s="1345">
        <f>LD200/LD199</f>
        <v/>
      </c>
      <c r="LE203" s="1345">
        <f>LE200/LE199</f>
        <v/>
      </c>
      <c r="LF203" s="1345">
        <f>LF200/LF199</f>
        <v/>
      </c>
      <c r="LG203" s="1345">
        <f>LG200/LG199</f>
        <v/>
      </c>
      <c r="LH203" s="1345">
        <f>LH200/LH199</f>
        <v/>
      </c>
      <c r="LI203" s="1345">
        <f>LI200/LI199</f>
        <v/>
      </c>
      <c r="LJ203" s="1345">
        <f>LJ200/LJ199</f>
        <v/>
      </c>
      <c r="LK203" s="1345">
        <f>LK200/LK199</f>
        <v/>
      </c>
      <c r="LL203" s="1345">
        <f>LL200/LL199</f>
        <v/>
      </c>
      <c r="LM203" s="1345">
        <f>LM200/LM199</f>
        <v/>
      </c>
      <c r="LN203" s="1345">
        <f>LN200/LN199</f>
        <v/>
      </c>
      <c r="LO203" s="1345">
        <f>LO200/LO199</f>
        <v/>
      </c>
      <c r="LP203" s="1345">
        <f>LP200/LP199</f>
        <v/>
      </c>
      <c r="LQ203" s="1345">
        <f>LQ200/LQ199</f>
        <v/>
      </c>
      <c r="LR203" s="1345">
        <f>LR200/LR199</f>
        <v/>
      </c>
      <c r="LS203" s="1345">
        <f>LS200/LS199</f>
        <v/>
      </c>
    </row>
    <row r="204" ht="15" customHeight="1" s="239">
      <c r="A204" s="632" t="inlineStr">
        <is>
          <t>HK Express</t>
        </is>
      </c>
      <c r="B204" s="1353" t="n"/>
      <c r="C204" s="1353" t="n"/>
      <c r="D204" s="1353" t="n"/>
      <c r="E204" s="1353" t="n"/>
      <c r="F204" s="1353" t="n"/>
      <c r="G204" s="1353" t="n"/>
      <c r="H204" s="1353" t="n"/>
      <c r="I204" s="1353" t="n"/>
      <c r="J204" s="1353" t="n"/>
      <c r="K204" s="1353" t="n"/>
      <c r="L204" s="1353" t="n"/>
      <c r="M204" s="1353" t="n"/>
      <c r="N204" s="1353" t="n"/>
      <c r="O204" s="1353" t="n"/>
      <c r="P204" s="1353" t="n"/>
      <c r="Q204" s="1353" t="n"/>
      <c r="R204" s="1353" t="n"/>
      <c r="S204" s="1353" t="n"/>
      <c r="T204" s="1353" t="n"/>
      <c r="U204" s="1353" t="n"/>
      <c r="V204" s="1353" t="n"/>
      <c r="W204" s="1353" t="n"/>
      <c r="X204" s="1353" t="n"/>
      <c r="Y204" s="1353" t="n"/>
      <c r="Z204" s="1353" t="n"/>
      <c r="AA204" s="1353" t="n"/>
      <c r="AB204" s="1353" t="n"/>
      <c r="AC204" s="1353" t="n"/>
      <c r="AD204" s="1353" t="n"/>
      <c r="AE204" s="1353" t="n"/>
      <c r="AF204" s="1353" t="n"/>
      <c r="AG204" s="1353" t="n"/>
      <c r="AH204" s="1353" t="n"/>
      <c r="AI204" s="1353" t="n"/>
      <c r="AJ204" s="1353" t="n"/>
      <c r="AK204" s="1353" t="n"/>
      <c r="AL204" s="1353" t="n"/>
      <c r="AM204" s="1353" t="n"/>
      <c r="AN204" s="1353" t="n"/>
      <c r="AO204" s="1353" t="n"/>
      <c r="AP204" s="1353" t="n"/>
      <c r="AQ204" s="1353" t="n"/>
      <c r="AR204" s="1353" t="n"/>
      <c r="AS204" s="1353" t="n"/>
      <c r="AT204" s="1353" t="n"/>
      <c r="AU204" s="1353" t="n"/>
      <c r="AV204" s="1353" t="n"/>
      <c r="AW204" s="1353" t="n"/>
      <c r="AX204" s="1353" t="n"/>
      <c r="AY204" s="1353" t="n"/>
      <c r="AZ204" s="1353" t="n"/>
      <c r="BA204" s="1353" t="n"/>
      <c r="BB204" s="1353" t="n"/>
      <c r="BC204" s="1353" t="n"/>
      <c r="BD204" s="1353" t="n"/>
      <c r="BE204" s="1353" t="n"/>
      <c r="BF204" s="1353" t="n"/>
      <c r="BG204" s="1353" t="n"/>
      <c r="BH204" s="1353" t="n"/>
      <c r="BI204" s="1353" t="n"/>
      <c r="BJ204" s="1353" t="n"/>
      <c r="BK204" s="1353" t="n"/>
      <c r="BL204" s="1353" t="n"/>
      <c r="BM204" s="1353" t="n"/>
      <c r="BN204" s="1353" t="n"/>
      <c r="BO204" s="1353" t="n"/>
      <c r="BP204" s="1353" t="n"/>
      <c r="BQ204" s="1353" t="n"/>
      <c r="BR204" s="1353" t="n"/>
      <c r="BS204" s="1353" t="n"/>
      <c r="BT204" s="1353" t="n"/>
      <c r="BU204" s="1353" t="n"/>
      <c r="BV204" s="1353" t="n"/>
      <c r="BW204" s="1353" t="n"/>
      <c r="BX204" s="1353" t="n"/>
      <c r="BY204" s="1353" t="n"/>
      <c r="BZ204" s="1353" t="n"/>
      <c r="CA204" s="1353" t="n"/>
      <c r="CB204" s="1353" t="n"/>
      <c r="CC204" s="1353" t="n"/>
      <c r="CD204" s="1353" t="n"/>
      <c r="CE204" s="1353" t="n"/>
      <c r="CF204" s="1353" t="n"/>
      <c r="CG204" s="1353" t="n"/>
      <c r="CH204" s="1353" t="n"/>
      <c r="CI204" s="1353" t="n"/>
      <c r="CJ204" s="1353" t="n"/>
      <c r="CK204" s="1353" t="n"/>
      <c r="CL204" s="1353" t="n"/>
      <c r="CM204" s="1353" t="n"/>
      <c r="CN204" s="1353" t="n"/>
      <c r="CO204" s="1353" t="n"/>
      <c r="CP204" s="1353" t="n"/>
      <c r="CQ204" s="1353" t="n"/>
      <c r="CR204" s="1353" t="n"/>
      <c r="CS204" s="1353" t="n"/>
      <c r="CT204" s="1353" t="n"/>
      <c r="CU204" s="1353" t="n"/>
      <c r="CV204" s="1353" t="n"/>
      <c r="CW204" s="1353" t="n"/>
      <c r="CX204" s="1353" t="n"/>
      <c r="CY204" s="1353" t="n"/>
      <c r="CZ204" s="1353" t="n"/>
      <c r="DA204" s="1353" t="n"/>
      <c r="DB204" s="1353" t="n"/>
      <c r="DC204" s="1353" t="n"/>
      <c r="DD204" s="1353" t="n"/>
      <c r="DE204" s="1353" t="n"/>
      <c r="DF204" s="1353" t="n"/>
      <c r="DG204" s="1353" t="n"/>
      <c r="DH204" s="1353" t="n"/>
      <c r="DI204" s="1353" t="n"/>
      <c r="DJ204" s="1353" t="n"/>
      <c r="DK204" s="1353" t="n"/>
      <c r="DL204" s="1353" t="n"/>
      <c r="DM204" s="1353" t="n"/>
      <c r="DN204" s="1353" t="n"/>
      <c r="DO204" s="1353" t="n"/>
      <c r="DP204" s="1353" t="n"/>
      <c r="DQ204" s="1353" t="n"/>
      <c r="DR204" s="1353" t="n"/>
      <c r="DS204" s="1353" t="n"/>
      <c r="DT204" s="1353" t="n"/>
      <c r="DU204" s="1353" t="n"/>
      <c r="DV204" s="1353" t="n"/>
      <c r="DW204" s="1353" t="n"/>
      <c r="DX204" s="1353" t="n"/>
      <c r="DY204" s="1353" t="n"/>
      <c r="DZ204" s="1353" t="n"/>
      <c r="EA204" s="1353" t="n"/>
      <c r="EB204" s="1353" t="n"/>
      <c r="EC204" s="1353" t="n"/>
      <c r="ED204" s="1353" t="n"/>
      <c r="EE204" s="1353" t="n"/>
      <c r="EF204" s="1353" t="n"/>
      <c r="EG204" s="1353" t="n"/>
      <c r="EH204" s="1353" t="n"/>
      <c r="EI204" s="1353" t="n"/>
      <c r="EJ204" s="1353" t="n"/>
      <c r="EK204" s="1353" t="n"/>
      <c r="EL204" s="1353" t="n"/>
      <c r="EM204" s="1353" t="n"/>
      <c r="EN204" s="1353" t="n"/>
      <c r="EO204" s="1353" t="n"/>
      <c r="EP204" s="1353" t="n"/>
      <c r="EQ204" s="1353" t="n"/>
      <c r="ER204" s="1353" t="n"/>
      <c r="ES204" s="1353" t="n"/>
      <c r="ET204" s="1353" t="n"/>
      <c r="EU204" s="1353" t="n"/>
      <c r="EV204" s="1353" t="n"/>
      <c r="EW204" s="1353" t="n"/>
      <c r="EX204" s="1353" t="n"/>
      <c r="EY204" s="1353" t="n"/>
      <c r="EZ204" s="1353" t="n"/>
      <c r="FA204" s="1353" t="n"/>
      <c r="FB204" s="1353" t="n"/>
      <c r="FC204" s="1353" t="n"/>
      <c r="FD204" s="1353" t="n"/>
      <c r="FE204" s="1353" t="n"/>
      <c r="FF204" s="1353" t="n"/>
      <c r="FG204" s="1353" t="n"/>
      <c r="FH204" s="1353" t="n"/>
      <c r="FI204" s="1353" t="n"/>
      <c r="FJ204" s="1353" t="n"/>
      <c r="FK204" s="1353" t="n"/>
      <c r="FL204" s="1353" t="n"/>
      <c r="FM204" s="1353" t="n"/>
      <c r="FN204" s="1353" t="n"/>
      <c r="FO204" s="1353" t="n"/>
      <c r="FP204" s="1353" t="n"/>
      <c r="FQ204" s="1353" t="n"/>
      <c r="FR204" s="1353" t="n"/>
      <c r="FS204" s="1353" t="n"/>
      <c r="FT204" s="1353" t="n"/>
      <c r="FU204" s="1353" t="n"/>
      <c r="FV204" s="1353" t="n"/>
      <c r="FW204" s="1353" t="n"/>
      <c r="FX204" s="1353" t="n"/>
      <c r="FY204" s="1353" t="n"/>
      <c r="FZ204" s="1353" t="n"/>
      <c r="GA204" s="1353" t="n"/>
      <c r="GB204" s="1353" t="n"/>
      <c r="GC204" s="1353" t="n"/>
      <c r="GD204" s="1353" t="n"/>
      <c r="GE204" s="1353" t="n"/>
      <c r="GF204" s="1353" t="n"/>
      <c r="GG204" s="1353" t="n"/>
      <c r="GH204" s="1353" t="n"/>
      <c r="GI204" s="1353" t="n"/>
      <c r="GJ204" s="1353" t="n"/>
      <c r="GK204" s="1353" t="n"/>
      <c r="GL204" s="1353" t="n"/>
      <c r="GM204" s="1353" t="n"/>
      <c r="GN204" s="1353" t="n"/>
      <c r="GO204" s="1353" t="n"/>
      <c r="GP204" s="1353" t="n"/>
      <c r="GQ204" s="1353" t="n"/>
      <c r="GR204" s="1353" t="n"/>
      <c r="GS204" s="1353" t="n"/>
      <c r="GT204" s="1353" t="n"/>
      <c r="GU204" s="1353" t="n"/>
      <c r="GV204" s="1353" t="n"/>
      <c r="GW204" s="1353" t="n"/>
      <c r="GX204" s="1353" t="n"/>
      <c r="GY204" s="1353" t="n"/>
      <c r="GZ204" s="1353" t="n"/>
      <c r="HA204" s="1353" t="n"/>
      <c r="HB204" s="1353" t="n"/>
      <c r="HC204" s="1353" t="n"/>
      <c r="HD204" s="1353" t="n"/>
      <c r="HE204" s="1353" t="n"/>
      <c r="HF204" s="1353" t="n"/>
      <c r="HG204" s="1353" t="n"/>
      <c r="HH204" s="1353" t="n"/>
      <c r="HI204" s="1353" t="n"/>
      <c r="HJ204" s="1353" t="n"/>
      <c r="HK204" s="1353" t="n"/>
      <c r="HL204" s="1353" t="n"/>
      <c r="HM204" s="1353" t="n"/>
      <c r="HN204" s="1353" t="n"/>
      <c r="HO204" s="1353" t="n"/>
      <c r="HP204" s="1353" t="n"/>
      <c r="HQ204" s="1353" t="n"/>
      <c r="HR204" s="1353" t="n"/>
      <c r="HS204" s="1353" t="n"/>
      <c r="HT204" s="1353" t="n"/>
      <c r="HU204" s="1353" t="n"/>
      <c r="HV204" s="1353" t="n"/>
      <c r="HW204" s="1353" t="n"/>
      <c r="HX204" s="1353" t="n"/>
      <c r="HY204" s="1353" t="n"/>
      <c r="HZ204" s="1353" t="n"/>
      <c r="IA204" s="1353" t="n"/>
      <c r="IB204" s="1353" t="n"/>
      <c r="IC204" s="1353" t="n"/>
      <c r="ID204" s="1353" t="n"/>
      <c r="IE204" s="1353" t="n"/>
      <c r="IF204" s="1353" t="n"/>
      <c r="IG204" s="1353" t="n"/>
      <c r="IH204" s="1353" t="n"/>
      <c r="II204" s="1353" t="n"/>
      <c r="IJ204" s="1353" t="n"/>
      <c r="IK204" s="1353" t="n"/>
      <c r="IL204" s="1353" t="n"/>
      <c r="IM204" s="1353" t="n"/>
      <c r="IN204" s="1353" t="n"/>
      <c r="IO204" s="1353" t="n"/>
      <c r="IP204" s="1353" t="n"/>
      <c r="IQ204" s="1353" t="n"/>
      <c r="IR204" s="1353" t="n"/>
      <c r="IS204" s="1353" t="n"/>
    </row>
    <row r="205">
      <c r="A205" s="562" t="inlineStr">
        <is>
          <t>ASK ('000)</t>
        </is>
      </c>
      <c r="B205" s="1353" t="n"/>
      <c r="C205" s="1353" t="n"/>
      <c r="D205" s="1353" t="n"/>
      <c r="E205" s="1353" t="n"/>
      <c r="F205" s="1353" t="n"/>
      <c r="G205" s="1353" t="n"/>
      <c r="H205" s="1353" t="n"/>
      <c r="I205" s="1353" t="n"/>
      <c r="J205" s="1353" t="n"/>
      <c r="K205" s="1353" t="n"/>
      <c r="L205" s="1353" t="n"/>
      <c r="M205" s="1353" t="n"/>
      <c r="N205" s="1353" t="n"/>
      <c r="O205" s="1353" t="n"/>
      <c r="P205" s="1353" t="n"/>
      <c r="Q205" s="1353" t="n"/>
      <c r="R205" s="1353" t="n"/>
      <c r="S205" s="1353" t="n"/>
      <c r="T205" s="1353" t="n"/>
      <c r="U205" s="1353" t="n"/>
      <c r="V205" s="1353" t="n"/>
      <c r="W205" s="1353" t="n"/>
      <c r="X205" s="1353" t="n"/>
      <c r="Y205" s="1353" t="n"/>
      <c r="Z205" s="1353" t="n"/>
      <c r="AA205" s="1353" t="n"/>
      <c r="AB205" s="1353" t="n"/>
      <c r="AC205" s="1353" t="n"/>
      <c r="AD205" s="1353" t="n"/>
      <c r="AE205" s="1353" t="n"/>
      <c r="AF205" s="1353" t="n"/>
      <c r="AG205" s="1353" t="n"/>
      <c r="AH205" s="1353" t="n"/>
      <c r="AI205" s="1353" t="n"/>
      <c r="AJ205" s="1353" t="n"/>
      <c r="AK205" s="1353" t="n"/>
      <c r="AL205" s="1353" t="n"/>
      <c r="AM205" s="1353" t="n"/>
      <c r="AN205" s="1353" t="n"/>
      <c r="AO205" s="1353" t="n"/>
      <c r="AP205" s="1353" t="n"/>
      <c r="AQ205" s="1353" t="n"/>
      <c r="AR205" s="1353" t="n"/>
      <c r="AS205" s="1353" t="n"/>
      <c r="AT205" s="1353" t="n"/>
      <c r="AU205" s="1353" t="n"/>
      <c r="AV205" s="1353" t="n"/>
      <c r="AW205" s="1353" t="n"/>
      <c r="AX205" s="1353" t="n"/>
      <c r="AY205" s="1353" t="n"/>
      <c r="AZ205" s="1353" t="n"/>
      <c r="BA205" s="1353" t="n"/>
      <c r="BB205" s="1353" t="n"/>
      <c r="BC205" s="1353" t="n"/>
      <c r="BD205" s="1353" t="n"/>
      <c r="BE205" s="1353" t="n"/>
      <c r="BF205" s="1353" t="n"/>
      <c r="BG205" s="1353" t="n"/>
      <c r="BH205" s="1353" t="n"/>
      <c r="BI205" s="1353" t="n"/>
      <c r="BJ205" s="1353" t="n"/>
      <c r="BK205" s="1353" t="n"/>
      <c r="BL205" s="1353" t="n"/>
      <c r="BM205" s="1353" t="n"/>
      <c r="BN205" s="1353" t="n"/>
      <c r="BO205" s="1353" t="n"/>
      <c r="BP205" s="1353" t="n"/>
      <c r="BQ205" s="1353" t="n"/>
      <c r="BR205" s="1353" t="n"/>
      <c r="BS205" s="1353" t="n"/>
      <c r="BT205" s="1353" t="n"/>
      <c r="BU205" s="1353" t="n"/>
      <c r="BV205" s="1353" t="n"/>
      <c r="BW205" s="1353" t="n"/>
      <c r="BX205" s="1353" t="n"/>
      <c r="BY205" s="1353" t="n"/>
      <c r="BZ205" s="1353" t="n"/>
      <c r="CA205" s="1353" t="n"/>
      <c r="CB205" s="1353" t="n"/>
      <c r="CC205" s="1353" t="n"/>
      <c r="CD205" s="1353" t="n"/>
      <c r="CE205" s="1353" t="n"/>
      <c r="CF205" s="1353" t="n"/>
      <c r="CG205" s="1353" t="n"/>
      <c r="CH205" s="1353" t="n"/>
      <c r="CI205" s="1353" t="n"/>
      <c r="CJ205" s="1353" t="n"/>
      <c r="CK205" s="1353" t="n"/>
      <c r="CL205" s="1353" t="n"/>
      <c r="CM205" s="1353" t="n"/>
      <c r="CN205" s="1353" t="n"/>
      <c r="CO205" s="1353" t="n"/>
      <c r="CP205" s="1353" t="n"/>
      <c r="CQ205" s="1353" t="n"/>
      <c r="CR205" s="1353" t="n"/>
      <c r="CS205" s="1353" t="n"/>
      <c r="CT205" s="1353" t="n"/>
      <c r="CU205" s="1353" t="n"/>
      <c r="CV205" s="1353" t="n"/>
      <c r="CW205" s="1353" t="n"/>
      <c r="CX205" s="1353" t="n"/>
      <c r="CY205" s="1353" t="n"/>
      <c r="CZ205" s="1353" t="n"/>
      <c r="DA205" s="1353" t="n"/>
      <c r="DB205" s="1353" t="n"/>
      <c r="DC205" s="1353" t="n"/>
      <c r="DD205" s="1353" t="n"/>
      <c r="DE205" s="1353" t="n"/>
      <c r="DF205" s="1353" t="n"/>
      <c r="DG205" s="1353" t="n"/>
      <c r="DH205" s="1353" t="n"/>
      <c r="DI205" s="1353" t="n"/>
      <c r="DJ205" s="1353" t="n"/>
      <c r="DK205" s="1353" t="n"/>
      <c r="DL205" s="1353" t="n"/>
      <c r="DM205" s="1353" t="n"/>
      <c r="DN205" s="1353" t="n"/>
      <c r="DO205" s="1353" t="n"/>
      <c r="DP205" s="1353" t="n"/>
      <c r="DQ205" s="1353" t="n"/>
      <c r="DR205" s="1353" t="n"/>
      <c r="DS205" s="1353" t="n"/>
      <c r="DT205" s="1353" t="n"/>
      <c r="DU205" s="1353" t="n"/>
      <c r="DV205" s="1353" t="n"/>
      <c r="DW205" s="1353" t="n"/>
      <c r="DX205" s="1353" t="n"/>
      <c r="DY205" s="1353" t="n"/>
      <c r="DZ205" s="1353" t="n"/>
      <c r="EA205" s="1353" t="n"/>
      <c r="EB205" s="1353" t="n"/>
      <c r="EC205" s="1353" t="n"/>
      <c r="ED205" s="1353" t="n"/>
      <c r="EE205" s="1353" t="n"/>
      <c r="EF205" s="1353" t="n"/>
      <c r="EG205" s="1353" t="n"/>
      <c r="EH205" s="1353" t="n"/>
      <c r="EI205" s="1353" t="n"/>
      <c r="EJ205" s="1353" t="n"/>
      <c r="EK205" s="1353" t="n"/>
      <c r="EL205" s="1353" t="n"/>
      <c r="EM205" s="1353" t="n"/>
      <c r="EN205" s="1353" t="n"/>
      <c r="EO205" s="1353" t="n"/>
      <c r="EP205" s="1353" t="n"/>
      <c r="EQ205" s="1353" t="n"/>
      <c r="ER205" s="1353" t="n"/>
      <c r="ES205" s="1353" t="n"/>
      <c r="ET205" s="1353" t="n"/>
      <c r="EU205" s="1353" t="n"/>
      <c r="EV205" s="1353" t="n"/>
      <c r="EW205" s="1353" t="n"/>
      <c r="EX205" s="1353" t="n"/>
      <c r="EY205" s="1353" t="n"/>
      <c r="EZ205" s="1353" t="n"/>
      <c r="FA205" s="1353" t="n"/>
      <c r="FB205" s="1353" t="n"/>
      <c r="FC205" s="1353" t="n"/>
      <c r="FD205" s="1353" t="n"/>
      <c r="FE205" s="1353" t="n"/>
      <c r="FF205" s="1353" t="n"/>
      <c r="FG205" s="1353" t="n"/>
      <c r="FH205" s="1353" t="n"/>
      <c r="FI205" s="1353" t="n"/>
      <c r="FJ205" s="1353" t="n"/>
      <c r="FK205" s="1353" t="n"/>
      <c r="FL205" s="1353" t="n"/>
      <c r="FM205" s="1353" t="n"/>
      <c r="FN205" s="1353" t="n"/>
      <c r="FO205" s="1353" t="n"/>
      <c r="FP205" s="1353" t="n"/>
      <c r="FQ205" s="1353" t="n"/>
      <c r="FR205" s="1353" t="n"/>
      <c r="FS205" s="1353" t="n"/>
      <c r="FT205" s="1353" t="n"/>
      <c r="FU205" s="1353" t="n"/>
      <c r="FV205" s="1353" t="n"/>
      <c r="FW205" s="1353" t="n"/>
      <c r="FX205" s="1353" t="n"/>
      <c r="FY205" s="1353" t="n"/>
      <c r="FZ205" s="1353" t="n"/>
      <c r="GA205" s="1353" t="n"/>
      <c r="GB205" s="1353" t="n"/>
      <c r="GC205" s="1353" t="n"/>
      <c r="GD205" s="1353" t="n"/>
      <c r="GE205" s="1353" t="n"/>
      <c r="GF205" s="1353" t="n"/>
      <c r="GG205" s="1353" t="n"/>
      <c r="GH205" s="1353" t="n"/>
      <c r="GI205" s="1353" t="n"/>
      <c r="GJ205" s="1353" t="n"/>
      <c r="GK205" s="1353" t="n"/>
      <c r="GL205" s="1353" t="n"/>
      <c r="GM205" s="1353" t="n"/>
      <c r="GN205" s="1353" t="n"/>
      <c r="GO205" s="1353" t="n"/>
      <c r="GP205" s="1353" t="n"/>
      <c r="GQ205" s="1353" t="n"/>
      <c r="GR205" s="1353" t="n"/>
      <c r="GS205" s="1353" t="n"/>
      <c r="GT205" s="1353" t="n"/>
      <c r="GU205" s="1353" t="n"/>
      <c r="GV205" s="1353" t="n"/>
      <c r="GW205" s="1353" t="n"/>
      <c r="GX205" s="1353" t="n"/>
      <c r="GY205" s="1353" t="n"/>
      <c r="GZ205" s="1353" t="n"/>
      <c r="HA205" s="1353" t="n"/>
      <c r="HB205" s="1353" t="n"/>
      <c r="HC205" s="1353" t="n"/>
      <c r="HD205" s="1353" t="n"/>
      <c r="HE205" s="1353" t="n"/>
      <c r="HF205" s="1353" t="n"/>
      <c r="HG205" s="1353" t="n"/>
      <c r="HH205" s="1353" t="n"/>
      <c r="HI205" s="1353" t="n"/>
      <c r="HJ205" s="1353" t="n"/>
      <c r="HK205" s="1353" t="n"/>
      <c r="HL205" s="1353" t="n"/>
      <c r="HM205" s="1353" t="n"/>
      <c r="HN205" s="1353" t="n"/>
      <c r="HO205" s="1353" t="n"/>
      <c r="HP205" s="1353" t="n"/>
      <c r="HQ205" s="1353" t="n"/>
      <c r="HR205" s="1353" t="n"/>
      <c r="HS205" s="1353" t="n"/>
      <c r="HT205" s="1353" t="n"/>
      <c r="HU205" s="1353" t="n"/>
      <c r="HV205" s="1353" t="n"/>
      <c r="HW205" s="1353" t="n"/>
      <c r="HX205" s="1353" t="n"/>
      <c r="HY205" s="1353" t="n"/>
      <c r="HZ205" s="1353" t="n"/>
      <c r="IA205" s="1353" t="n"/>
      <c r="IB205" s="1353" t="n"/>
      <c r="IC205" s="1353" t="n"/>
      <c r="ID205" s="1353" t="n"/>
      <c r="IE205" s="1353" t="n"/>
      <c r="IF205" s="1353" t="n"/>
      <c r="IG205" s="1353" t="n"/>
      <c r="IH205" s="1353" t="n"/>
      <c r="II205" s="1353" t="n"/>
      <c r="IJ205" s="1353" t="n"/>
      <c r="IK205" s="1353" t="n"/>
      <c r="IL205" s="1353" t="n"/>
      <c r="IM205" s="1353" t="n"/>
      <c r="IN205" s="1353" t="n"/>
      <c r="IO205" s="1353" t="n"/>
      <c r="IP205" s="1353" t="n"/>
      <c r="IQ205" s="1353" t="n"/>
      <c r="IR205" s="1353" t="n"/>
      <c r="IS205" s="1353" t="n"/>
      <c r="LB205" s="634" t="n">
        <v>1460744</v>
      </c>
      <c r="LC205" s="634" t="n">
        <v>1359886</v>
      </c>
      <c r="LD205" s="634" t="n">
        <v>1459666</v>
      </c>
      <c r="LE205" s="634" t="n">
        <v>1507899</v>
      </c>
      <c r="LF205" s="634" t="n">
        <v>1569393</v>
      </c>
      <c r="LG205" s="634" t="n">
        <v>1452824</v>
      </c>
      <c r="LH205" s="634" t="n">
        <v>1619321</v>
      </c>
      <c r="LI205" s="634" t="n">
        <v>1708155</v>
      </c>
      <c r="LJ205" s="634" t="n">
        <v>1304021</v>
      </c>
      <c r="LK205" s="634" t="n">
        <v>1633152</v>
      </c>
      <c r="LL205" s="634" t="n">
        <v>1413721</v>
      </c>
      <c r="LM205" s="634" t="n">
        <v>1668517</v>
      </c>
      <c r="LN205" s="634" t="n">
        <v>1648350</v>
      </c>
      <c r="LO205" s="634" t="n">
        <v>1550006</v>
      </c>
      <c r="LP205" s="634" t="n">
        <v>1637289</v>
      </c>
      <c r="LQ205" s="634" t="n">
        <v>1613614</v>
      </c>
      <c r="LR205" s="634" t="n">
        <v>1631620</v>
      </c>
      <c r="LS205" s="634" t="n">
        <v>1344677</v>
      </c>
      <c r="LU205" s="572" t="n"/>
    </row>
    <row r="206">
      <c r="A206" s="648" t="inlineStr">
        <is>
          <t>YoY %</t>
        </is>
      </c>
      <c r="B206" s="1353" t="n"/>
      <c r="C206" s="1353" t="n"/>
      <c r="D206" s="1353" t="n"/>
      <c r="E206" s="1353" t="n"/>
      <c r="F206" s="1353" t="n"/>
      <c r="G206" s="1353" t="n"/>
      <c r="H206" s="1353" t="n"/>
      <c r="I206" s="1353" t="n"/>
      <c r="J206" s="1353" t="n"/>
      <c r="K206" s="1353" t="n"/>
      <c r="L206" s="1353" t="n"/>
      <c r="M206" s="1353" t="n"/>
      <c r="N206" s="1353" t="n"/>
      <c r="O206" s="1353" t="n"/>
      <c r="P206" s="1353" t="n"/>
      <c r="Q206" s="1353" t="n"/>
      <c r="R206" s="1353" t="n"/>
      <c r="S206" s="1353" t="n"/>
      <c r="T206" s="1353" t="n"/>
      <c r="U206" s="1353" t="n"/>
      <c r="V206" s="1353" t="n"/>
      <c r="W206" s="1353" t="n"/>
      <c r="X206" s="1353" t="n"/>
      <c r="Y206" s="1353" t="n"/>
      <c r="Z206" s="1353" t="n"/>
      <c r="AA206" s="1353" t="n"/>
      <c r="AB206" s="1353" t="n"/>
      <c r="AC206" s="1353" t="n"/>
      <c r="AD206" s="1353" t="n"/>
      <c r="AE206" s="1353" t="n"/>
      <c r="AF206" s="1353" t="n"/>
      <c r="AG206" s="1353" t="n"/>
      <c r="AH206" s="1353" t="n"/>
      <c r="AI206" s="1353" t="n"/>
      <c r="AJ206" s="1353" t="n"/>
      <c r="AK206" s="1353" t="n"/>
      <c r="AL206" s="1353" t="n"/>
      <c r="AM206" s="1353" t="n"/>
      <c r="AN206" s="1353" t="n"/>
      <c r="AO206" s="1353" t="n"/>
      <c r="AP206" s="1353" t="n"/>
      <c r="AQ206" s="1353" t="n"/>
      <c r="AR206" s="1353" t="n"/>
      <c r="AS206" s="1353" t="n"/>
      <c r="AT206" s="1353" t="n"/>
      <c r="AU206" s="1353" t="n"/>
      <c r="AV206" s="1353" t="n"/>
      <c r="AW206" s="1353" t="n"/>
      <c r="AX206" s="1353" t="n"/>
      <c r="AY206" s="1353" t="n"/>
      <c r="AZ206" s="1353" t="n"/>
      <c r="BA206" s="1353" t="n"/>
      <c r="BB206" s="1353" t="n"/>
      <c r="BC206" s="1353" t="n"/>
      <c r="BD206" s="1353" t="n"/>
      <c r="BE206" s="1353" t="n"/>
      <c r="BF206" s="1353" t="n"/>
      <c r="BG206" s="1353" t="n"/>
      <c r="BH206" s="1353" t="n"/>
      <c r="BI206" s="1353" t="n"/>
      <c r="BJ206" s="1353" t="n"/>
      <c r="BK206" s="1353" t="n"/>
      <c r="BL206" s="1353" t="n"/>
      <c r="BM206" s="1353" t="n"/>
      <c r="BN206" s="1353" t="n"/>
      <c r="BO206" s="1353" t="n"/>
      <c r="BP206" s="1353" t="n"/>
      <c r="BQ206" s="1353" t="n"/>
      <c r="BR206" s="1353" t="n"/>
      <c r="BS206" s="1353" t="n"/>
      <c r="BT206" s="1353" t="n"/>
      <c r="BU206" s="1353" t="n"/>
      <c r="BV206" s="1353" t="n"/>
      <c r="BW206" s="1353" t="n"/>
      <c r="BX206" s="1353" t="n"/>
      <c r="BY206" s="1353" t="n"/>
      <c r="BZ206" s="1353" t="n"/>
      <c r="CA206" s="1353" t="n"/>
      <c r="CB206" s="1353" t="n"/>
      <c r="CC206" s="1353" t="n"/>
      <c r="CD206" s="1353" t="n"/>
      <c r="CE206" s="1353" t="n"/>
      <c r="CF206" s="1353" t="n"/>
      <c r="CG206" s="1353" t="n"/>
      <c r="CH206" s="1353" t="n"/>
      <c r="CI206" s="1353" t="n"/>
      <c r="CJ206" s="1353" t="n"/>
      <c r="CK206" s="1353" t="n"/>
      <c r="CL206" s="1353" t="n"/>
      <c r="CM206" s="1353" t="n"/>
      <c r="CN206" s="1353" t="n"/>
      <c r="CO206" s="1353" t="n"/>
      <c r="CP206" s="1353" t="n"/>
      <c r="CQ206" s="1353" t="n"/>
      <c r="CR206" s="1353" t="n"/>
      <c r="CS206" s="1353" t="n"/>
      <c r="CT206" s="1353" t="n"/>
      <c r="CU206" s="1353" t="n"/>
      <c r="CV206" s="1353" t="n"/>
      <c r="CW206" s="1353" t="n"/>
      <c r="CX206" s="1353" t="n"/>
      <c r="CY206" s="1353" t="n"/>
      <c r="CZ206" s="1353" t="n"/>
      <c r="DA206" s="1353" t="n"/>
      <c r="DB206" s="1353" t="n"/>
      <c r="DC206" s="1353" t="n"/>
      <c r="DD206" s="1353" t="n"/>
      <c r="DE206" s="1353" t="n"/>
      <c r="DF206" s="1353" t="n"/>
      <c r="DG206" s="1353" t="n"/>
      <c r="DH206" s="1353" t="n"/>
      <c r="DI206" s="1353" t="n"/>
      <c r="DJ206" s="1353" t="n"/>
      <c r="DK206" s="1353" t="n"/>
      <c r="DL206" s="1353" t="n"/>
      <c r="DM206" s="1353" t="n"/>
      <c r="DN206" s="1353" t="n"/>
      <c r="DO206" s="1353" t="n"/>
      <c r="DP206" s="1353" t="n"/>
      <c r="DQ206" s="1353" t="n"/>
      <c r="DR206" s="1353" t="n"/>
      <c r="DS206" s="1353" t="n"/>
      <c r="DT206" s="1353" t="n"/>
      <c r="DU206" s="1353" t="n"/>
      <c r="DV206" s="1353" t="n"/>
      <c r="DW206" s="1353" t="n"/>
      <c r="DX206" s="1353" t="n"/>
      <c r="DY206" s="1353" t="n"/>
      <c r="DZ206" s="1353" t="n"/>
      <c r="EA206" s="1353" t="n"/>
      <c r="EB206" s="1353" t="n"/>
      <c r="EC206" s="1353" t="n"/>
      <c r="ED206" s="1353" t="n"/>
      <c r="EE206" s="1353" t="n"/>
      <c r="EF206" s="1353" t="n"/>
      <c r="EG206" s="1353" t="n"/>
      <c r="EH206" s="1353" t="n"/>
      <c r="EI206" s="1353" t="n"/>
      <c r="EJ206" s="1353" t="n"/>
      <c r="EK206" s="1353" t="n"/>
      <c r="EL206" s="1353" t="n"/>
      <c r="EM206" s="1353" t="n"/>
      <c r="EN206" s="1353" t="n"/>
      <c r="EO206" s="1353" t="n"/>
      <c r="EP206" s="1353" t="n"/>
      <c r="EQ206" s="1353" t="n"/>
      <c r="ER206" s="1353" t="n"/>
      <c r="ES206" s="1353" t="n"/>
      <c r="ET206" s="1353" t="n"/>
      <c r="EU206" s="1353" t="n"/>
      <c r="EV206" s="1353" t="n"/>
      <c r="EW206" s="1353" t="n"/>
      <c r="EX206" s="1353" t="n"/>
      <c r="EY206" s="1353" t="n"/>
      <c r="EZ206" s="1353" t="n"/>
      <c r="FA206" s="1353" t="n"/>
      <c r="FB206" s="1353" t="n"/>
      <c r="FC206" s="1353" t="n"/>
      <c r="FD206" s="1353" t="n"/>
      <c r="FE206" s="1353" t="n"/>
      <c r="FF206" s="1353" t="n"/>
      <c r="FG206" s="1353" t="n"/>
      <c r="FH206" s="1353" t="n"/>
      <c r="FI206" s="1353" t="n"/>
      <c r="FJ206" s="1353" t="n"/>
      <c r="FK206" s="1353" t="n"/>
      <c r="FL206" s="1353" t="n"/>
      <c r="FM206" s="1353" t="n"/>
      <c r="FN206" s="1353" t="n"/>
      <c r="FO206" s="1353" t="n"/>
      <c r="FP206" s="1353" t="n"/>
      <c r="FQ206" s="1353" t="n"/>
      <c r="FR206" s="1353" t="n"/>
      <c r="FS206" s="1353" t="n"/>
      <c r="FT206" s="1353" t="n"/>
      <c r="FU206" s="1353" t="n"/>
      <c r="FV206" s="1353" t="n"/>
      <c r="FW206" s="1353" t="n"/>
      <c r="FX206" s="1353" t="n"/>
      <c r="FY206" s="1353" t="n"/>
      <c r="FZ206" s="1353" t="n"/>
      <c r="GA206" s="1353" t="n"/>
      <c r="GB206" s="1353" t="n"/>
      <c r="GC206" s="1353" t="n"/>
      <c r="GD206" s="1353" t="n"/>
      <c r="GE206" s="1353" t="n"/>
      <c r="GF206" s="1353" t="n"/>
      <c r="GG206" s="1353" t="n"/>
      <c r="GH206" s="1353" t="n"/>
      <c r="GI206" s="1353" t="n"/>
      <c r="GJ206" s="1353" t="n"/>
      <c r="GK206" s="1353" t="n"/>
      <c r="GL206" s="1353" t="n"/>
      <c r="GM206" s="1353" t="n"/>
      <c r="GN206" s="1353" t="n"/>
      <c r="GO206" s="1353" t="n"/>
      <c r="GP206" s="1353" t="n"/>
      <c r="GQ206" s="1353" t="n"/>
      <c r="GR206" s="1353" t="n"/>
      <c r="GS206" s="1353" t="n"/>
      <c r="GT206" s="1353" t="n"/>
      <c r="GU206" s="1353" t="n"/>
      <c r="GV206" s="1353" t="n"/>
      <c r="GW206" s="1353" t="n"/>
      <c r="GX206" s="1353" t="n"/>
      <c r="GY206" s="1353" t="n"/>
      <c r="GZ206" s="1353" t="n"/>
      <c r="HA206" s="1353" t="n"/>
      <c r="HB206" s="1353" t="n"/>
      <c r="HC206" s="1353" t="n"/>
      <c r="HD206" s="1353" t="n"/>
      <c r="HE206" s="1353" t="n"/>
      <c r="HF206" s="1353" t="n"/>
      <c r="HG206" s="1353" t="n"/>
      <c r="HH206" s="1353" t="n"/>
      <c r="HI206" s="1353" t="n"/>
      <c r="HJ206" s="1353" t="n"/>
      <c r="HK206" s="1353" t="n"/>
      <c r="HL206" s="1353" t="n"/>
      <c r="HM206" s="1353" t="n"/>
      <c r="HN206" s="1353" t="n"/>
      <c r="HO206" s="1353" t="n"/>
      <c r="HP206" s="1353" t="n"/>
      <c r="HQ206" s="1353" t="n"/>
      <c r="HR206" s="1353" t="n"/>
      <c r="HS206" s="1353" t="n"/>
      <c r="HT206" s="1353" t="n"/>
      <c r="HU206" s="1353" t="n"/>
      <c r="HV206" s="1353" t="n"/>
      <c r="HW206" s="1353" t="n"/>
      <c r="HX206" s="1353" t="n"/>
      <c r="HY206" s="1353" t="n"/>
      <c r="HZ206" s="1353" t="n"/>
      <c r="IA206" s="1353" t="n"/>
      <c r="IB206" s="1353" t="n"/>
      <c r="IC206" s="1353" t="n"/>
      <c r="ID206" s="1353" t="n"/>
      <c r="IE206" s="1353" t="n"/>
      <c r="IF206" s="1353" t="n"/>
      <c r="IG206" s="1353" t="n"/>
      <c r="IH206" s="1353" t="n"/>
      <c r="II206" s="1353" t="n"/>
      <c r="IJ206" s="1353" t="n"/>
      <c r="IK206" s="1353" t="n"/>
      <c r="IL206" s="1353" t="n"/>
      <c r="IM206" s="1353" t="n"/>
      <c r="IN206" s="1353" t="n"/>
      <c r="IO206" s="1353" t="n"/>
      <c r="IP206" s="1353" t="n"/>
      <c r="IQ206" s="1353" t="n"/>
      <c r="IR206" s="1353" t="n"/>
      <c r="IS206" s="1353" t="n"/>
      <c r="LB206" s="1354" t="n">
        <v>0.397</v>
      </c>
      <c r="LC206" s="1354" t="n">
        <v>0.38</v>
      </c>
      <c r="LD206" s="1354" t="n">
        <v>0.356</v>
      </c>
      <c r="LE206" s="1354" t="n">
        <v>0.42</v>
      </c>
      <c r="LF206" s="1354" t="n">
        <v>0.426</v>
      </c>
      <c r="LG206" s="1354" t="n">
        <v>0.321</v>
      </c>
      <c r="LH206" s="1354" t="n">
        <v>0.379</v>
      </c>
      <c r="LI206" s="1354" t="n">
        <v>0.405</v>
      </c>
      <c r="LJ206" s="1354" t="n">
        <v>0.109</v>
      </c>
      <c r="LK206" s="1354" t="n">
        <v>0.34</v>
      </c>
      <c r="LL206" s="1354" t="n">
        <v>0.175</v>
      </c>
      <c r="LM206" s="1354" t="n">
        <v>0.186</v>
      </c>
      <c r="LN206" s="1354" t="n">
        <v>0.128</v>
      </c>
      <c r="LO206" s="1354" t="n">
        <v>0.14</v>
      </c>
      <c r="LP206" s="1345">
        <f>LP205/LD205-1</f>
        <v/>
      </c>
      <c r="LQ206" s="1345">
        <f>LQ205/LE205-1</f>
        <v/>
      </c>
      <c r="LR206" s="1345">
        <f>LR205/LF205-1</f>
        <v/>
      </c>
      <c r="LS206" s="1345">
        <f>LS205/LG205-1</f>
        <v/>
      </c>
    </row>
    <row r="207">
      <c r="A207" s="648" t="inlineStr">
        <is>
          <t>YTD YoY %</t>
        </is>
      </c>
      <c r="B207" s="1353" t="n"/>
      <c r="C207" s="1353" t="n"/>
      <c r="D207" s="1353" t="n"/>
      <c r="E207" s="1353" t="n"/>
      <c r="F207" s="1353" t="n"/>
      <c r="G207" s="1353" t="n"/>
      <c r="H207" s="1353" t="n"/>
      <c r="I207" s="1353" t="n"/>
      <c r="J207" s="1353" t="n"/>
      <c r="K207" s="1353" t="n"/>
      <c r="L207" s="1353" t="n"/>
      <c r="M207" s="1353" t="n"/>
      <c r="N207" s="1353" t="n"/>
      <c r="O207" s="1353" t="n"/>
      <c r="P207" s="1353" t="n"/>
      <c r="Q207" s="1353" t="n"/>
      <c r="R207" s="1353" t="n"/>
      <c r="S207" s="1353" t="n"/>
      <c r="T207" s="1353" t="n"/>
      <c r="U207" s="1353" t="n"/>
      <c r="V207" s="1353" t="n"/>
      <c r="W207" s="1353" t="n"/>
      <c r="X207" s="1353" t="n"/>
      <c r="Y207" s="1353" t="n"/>
      <c r="Z207" s="1353" t="n"/>
      <c r="AA207" s="1353" t="n"/>
      <c r="AB207" s="1353" t="n"/>
      <c r="AC207" s="1353" t="n"/>
      <c r="AD207" s="1353" t="n"/>
      <c r="AE207" s="1353" t="n"/>
      <c r="AF207" s="1353" t="n"/>
      <c r="AG207" s="1353" t="n"/>
      <c r="AH207" s="1353" t="n"/>
      <c r="AI207" s="1353" t="n"/>
      <c r="AJ207" s="1353" t="n"/>
      <c r="AK207" s="1353" t="n"/>
      <c r="AL207" s="1353" t="n"/>
      <c r="AM207" s="1353" t="n"/>
      <c r="AN207" s="1353" t="n"/>
      <c r="AO207" s="1353" t="n"/>
      <c r="AP207" s="1353" t="n"/>
      <c r="AQ207" s="1353" t="n"/>
      <c r="AR207" s="1353" t="n"/>
      <c r="AS207" s="1353" t="n"/>
      <c r="AT207" s="1353" t="n"/>
      <c r="AU207" s="1353" t="n"/>
      <c r="AV207" s="1353" t="n"/>
      <c r="AW207" s="1353" t="n"/>
      <c r="AX207" s="1353" t="n"/>
      <c r="AY207" s="1353" t="n"/>
      <c r="AZ207" s="1353" t="n"/>
      <c r="BA207" s="1353" t="n"/>
      <c r="BB207" s="1353" t="n"/>
      <c r="BC207" s="1353" t="n"/>
      <c r="BD207" s="1353" t="n"/>
      <c r="BE207" s="1353" t="n"/>
      <c r="BF207" s="1353" t="n"/>
      <c r="BG207" s="1353" t="n"/>
      <c r="BH207" s="1353" t="n"/>
      <c r="BI207" s="1353" t="n"/>
      <c r="BJ207" s="1353" t="n"/>
      <c r="BK207" s="1353" t="n"/>
      <c r="BL207" s="1353" t="n"/>
      <c r="BM207" s="1353" t="n"/>
      <c r="BN207" s="1353" t="n"/>
      <c r="BO207" s="1353" t="n"/>
      <c r="BP207" s="1353" t="n"/>
      <c r="BQ207" s="1353" t="n"/>
      <c r="BR207" s="1353" t="n"/>
      <c r="BS207" s="1353" t="n"/>
      <c r="BT207" s="1353" t="n"/>
      <c r="BU207" s="1353" t="n"/>
      <c r="BV207" s="1353" t="n"/>
      <c r="BW207" s="1353" t="n"/>
      <c r="BX207" s="1353" t="n"/>
      <c r="BY207" s="1353" t="n"/>
      <c r="BZ207" s="1353" t="n"/>
      <c r="CA207" s="1353" t="n"/>
      <c r="CB207" s="1353" t="n"/>
      <c r="CC207" s="1353" t="n"/>
      <c r="CD207" s="1353" t="n"/>
      <c r="CE207" s="1353" t="n"/>
      <c r="CF207" s="1353" t="n"/>
      <c r="CG207" s="1353" t="n"/>
      <c r="CH207" s="1353" t="n"/>
      <c r="CI207" s="1353" t="n"/>
      <c r="CJ207" s="1353" t="n"/>
      <c r="CK207" s="1353" t="n"/>
      <c r="CL207" s="1353" t="n"/>
      <c r="CM207" s="1353" t="n"/>
      <c r="CN207" s="1353" t="n"/>
      <c r="CO207" s="1353" t="n"/>
      <c r="CP207" s="1353" t="n"/>
      <c r="CQ207" s="1353" t="n"/>
      <c r="CR207" s="1353" t="n"/>
      <c r="CS207" s="1353" t="n"/>
      <c r="CT207" s="1353" t="n"/>
      <c r="CU207" s="1353" t="n"/>
      <c r="CV207" s="1353" t="n"/>
      <c r="CW207" s="1353" t="n"/>
      <c r="CX207" s="1353" t="n"/>
      <c r="CY207" s="1353" t="n"/>
      <c r="CZ207" s="1353" t="n"/>
      <c r="DA207" s="1353" t="n"/>
      <c r="DB207" s="1353" t="n"/>
      <c r="DC207" s="1353" t="n"/>
      <c r="DD207" s="1353" t="n"/>
      <c r="DE207" s="1353" t="n"/>
      <c r="DF207" s="1353" t="n"/>
      <c r="DG207" s="1353" t="n"/>
      <c r="DH207" s="1353" t="n"/>
      <c r="DI207" s="1353" t="n"/>
      <c r="DJ207" s="1353" t="n"/>
      <c r="DK207" s="1353" t="n"/>
      <c r="DL207" s="1353" t="n"/>
      <c r="DM207" s="1353" t="n"/>
      <c r="DN207" s="1353" t="n"/>
      <c r="DO207" s="1353" t="n"/>
      <c r="DP207" s="1353" t="n"/>
      <c r="DQ207" s="1353" t="n"/>
      <c r="DR207" s="1353" t="n"/>
      <c r="DS207" s="1353" t="n"/>
      <c r="DT207" s="1353" t="n"/>
      <c r="DU207" s="1353" t="n"/>
      <c r="DV207" s="1353" t="n"/>
      <c r="DW207" s="1353" t="n"/>
      <c r="DX207" s="1353" t="n"/>
      <c r="DY207" s="1353" t="n"/>
      <c r="DZ207" s="1353" t="n"/>
      <c r="EA207" s="1353" t="n"/>
      <c r="EB207" s="1353" t="n"/>
      <c r="EC207" s="1353" t="n"/>
      <c r="ED207" s="1353" t="n"/>
      <c r="EE207" s="1353" t="n"/>
      <c r="EF207" s="1353" t="n"/>
      <c r="EG207" s="1353" t="n"/>
      <c r="EH207" s="1353" t="n"/>
      <c r="EI207" s="1353" t="n"/>
      <c r="EJ207" s="1353" t="n"/>
      <c r="EK207" s="1353" t="n"/>
      <c r="EL207" s="1353" t="n"/>
      <c r="EM207" s="1353" t="n"/>
      <c r="EN207" s="1353" t="n"/>
      <c r="EO207" s="1353" t="n"/>
      <c r="EP207" s="1353" t="n"/>
      <c r="EQ207" s="1353" t="n"/>
      <c r="ER207" s="1353" t="n"/>
      <c r="ES207" s="1353" t="n"/>
      <c r="ET207" s="1353" t="n"/>
      <c r="EU207" s="1353" t="n"/>
      <c r="EV207" s="1353" t="n"/>
      <c r="EW207" s="1353" t="n"/>
      <c r="EX207" s="1353" t="n"/>
      <c r="EY207" s="1353" t="n"/>
      <c r="EZ207" s="1353" t="n"/>
      <c r="FA207" s="1353" t="n"/>
      <c r="FB207" s="1353" t="n"/>
      <c r="FC207" s="1353" t="n"/>
      <c r="FD207" s="1353" t="n"/>
      <c r="FE207" s="1353" t="n"/>
      <c r="FF207" s="1353" t="n"/>
      <c r="FG207" s="1353" t="n"/>
      <c r="FH207" s="1353" t="n"/>
      <c r="FI207" s="1353" t="n"/>
      <c r="FJ207" s="1353" t="n"/>
      <c r="FK207" s="1353" t="n"/>
      <c r="FL207" s="1353" t="n"/>
      <c r="FM207" s="1353" t="n"/>
      <c r="FN207" s="1353" t="n"/>
      <c r="FO207" s="1353" t="n"/>
      <c r="FP207" s="1353" t="n"/>
      <c r="FQ207" s="1353" t="n"/>
      <c r="FR207" s="1353" t="n"/>
      <c r="FS207" s="1353" t="n"/>
      <c r="FT207" s="1353" t="n"/>
      <c r="FU207" s="1353" t="n"/>
      <c r="FV207" s="1353" t="n"/>
      <c r="FW207" s="1353" t="n"/>
      <c r="FX207" s="1353" t="n"/>
      <c r="FY207" s="1353" t="n"/>
      <c r="FZ207" s="1353" t="n"/>
      <c r="GA207" s="1353" t="n"/>
      <c r="GB207" s="1353" t="n"/>
      <c r="GC207" s="1353" t="n"/>
      <c r="GD207" s="1353" t="n"/>
      <c r="GE207" s="1353" t="n"/>
      <c r="GF207" s="1353" t="n"/>
      <c r="GG207" s="1353" t="n"/>
      <c r="GH207" s="1353" t="n"/>
      <c r="GI207" s="1353" t="n"/>
      <c r="GJ207" s="1353" t="n"/>
      <c r="GK207" s="1353" t="n"/>
      <c r="GL207" s="1353" t="n"/>
      <c r="GM207" s="1353" t="n"/>
      <c r="GN207" s="1353" t="n"/>
      <c r="GO207" s="1353" t="n"/>
      <c r="GP207" s="1353" t="n"/>
      <c r="GQ207" s="1353" t="n"/>
      <c r="GR207" s="1353" t="n"/>
      <c r="GS207" s="1353" t="n"/>
      <c r="GT207" s="1353" t="n"/>
      <c r="GU207" s="1353" t="n"/>
      <c r="GV207" s="1353" t="n"/>
      <c r="GW207" s="1353" t="n"/>
      <c r="GX207" s="1353" t="n"/>
      <c r="GY207" s="1353" t="n"/>
      <c r="GZ207" s="1353" t="n"/>
      <c r="HA207" s="1353" t="n"/>
      <c r="HB207" s="1353" t="n"/>
      <c r="HC207" s="1353" t="n"/>
      <c r="HD207" s="1353" t="n"/>
      <c r="HE207" s="1353" t="n"/>
      <c r="HF207" s="1353" t="n"/>
      <c r="HG207" s="1353" t="n"/>
      <c r="HH207" s="1353" t="n"/>
      <c r="HI207" s="1353" t="n"/>
      <c r="HJ207" s="1353" t="n"/>
      <c r="HK207" s="1353" t="n"/>
      <c r="HL207" s="1353" t="n"/>
      <c r="HM207" s="1353" t="n"/>
      <c r="HN207" s="1353" t="n"/>
      <c r="HO207" s="1353" t="n"/>
      <c r="HP207" s="1353" t="n"/>
      <c r="HQ207" s="1353" t="n"/>
      <c r="HR207" s="1353" t="n"/>
      <c r="HS207" s="1353" t="n"/>
      <c r="HT207" s="1353" t="n"/>
      <c r="HU207" s="1353" t="n"/>
      <c r="HV207" s="1353" t="n"/>
      <c r="HW207" s="1353" t="n"/>
      <c r="HX207" s="1353" t="n"/>
      <c r="HY207" s="1353" t="n"/>
      <c r="HZ207" s="1353" t="n"/>
      <c r="IA207" s="1353" t="n"/>
      <c r="IB207" s="1353" t="n"/>
      <c r="IC207" s="1353" t="n"/>
      <c r="ID207" s="1353" t="n"/>
      <c r="IE207" s="1353" t="n"/>
      <c r="IF207" s="1353" t="n"/>
      <c r="IG207" s="1353" t="n"/>
      <c r="IH207" s="1353" t="n"/>
      <c r="II207" s="1353" t="n"/>
      <c r="IJ207" s="1353" t="n"/>
      <c r="IK207" s="1353" t="n"/>
      <c r="IL207" s="1353" t="n"/>
      <c r="IM207" s="1353" t="n"/>
      <c r="IN207" s="1353" t="n"/>
      <c r="IO207" s="1353" t="n"/>
      <c r="IP207" s="1353" t="n"/>
      <c r="IQ207" s="1353" t="n"/>
      <c r="IR207" s="1353" t="n"/>
      <c r="IS207" s="1353" t="n"/>
      <c r="LB207" s="1354" t="n">
        <v>0.397</v>
      </c>
      <c r="LC207" s="1354" t="n">
        <v>0.389</v>
      </c>
      <c r="LD207" s="1354" t="n">
        <v>0.377</v>
      </c>
      <c r="LE207" s="1354" t="n">
        <v>0.388</v>
      </c>
      <c r="LF207" s="1354" t="n">
        <v>0.396</v>
      </c>
      <c r="LG207" s="1354" t="n">
        <v>0.383</v>
      </c>
      <c r="LH207" s="1354" t="n">
        <v>0.382</v>
      </c>
      <c r="LI207" s="1354" t="n">
        <v>0.386</v>
      </c>
      <c r="LJ207" s="1354" t="n">
        <v>0.353</v>
      </c>
      <c r="LK207" s="1354" t="n">
        <v>0.351</v>
      </c>
      <c r="LL207" s="1354" t="n">
        <v>0.334</v>
      </c>
      <c r="LM207" s="1354" t="n">
        <v>0.319</v>
      </c>
      <c r="LN207" s="1354" t="n">
        <v>0.128</v>
      </c>
      <c r="LO207" s="1354" t="n">
        <v>0.134</v>
      </c>
      <c r="LP207" s="1355">
        <f>SUMIFS(205:205,$8:$8,"&gt;="&amp;DATE(YEAR(LP$8),1,1),$8:$8,"&lt;="&amp;EOMONTH(LP$8,0))/SUMIFS(205:205,$8:$8,"&gt;="&amp;DATE(YEAR(LP$8)-1,1,1),$8:$8,"&lt;="&amp;EOMONTH(LP$8,-12))-1</f>
        <v/>
      </c>
      <c r="LQ207" s="1355">
        <f>SUMIFS(205:205,$8:$8,"&gt;="&amp;DATE(YEAR(LQ$8),1,1),$8:$8,"&lt;="&amp;EOMONTH(LQ$8,0))/SUMIFS(205:205,$8:$8,"&gt;="&amp;DATE(YEAR(LQ$8)-1,1,1),$8:$8,"&lt;="&amp;EOMONTH(LQ$8,-12))-1</f>
        <v/>
      </c>
      <c r="LR207" s="1355">
        <f>SUMIFS(205:205,$8:$8,"&gt;="&amp;DATE(YEAR(LR$8),1,1),$8:$8,"&lt;="&amp;EOMONTH(LR$8,0))/SUMIFS(205:205,$8:$8,"&gt;="&amp;DATE(YEAR(LR$8)-1,1,1),$8:$8,"&lt;="&amp;EOMONTH(LR$8,-12))-1</f>
        <v/>
      </c>
      <c r="LS207" s="1355">
        <f>SUMIFS(205:205,$8:$8,"&gt;="&amp;DATE(YEAR(LS$8),1,1),$8:$8,"&lt;="&amp;EOMONTH(LS$8,0))/SUMIFS(205:205,$8:$8,"&gt;="&amp;DATE(YEAR(LS$8)-1,1,1),$8:$8,"&lt;="&amp;EOMONTH(LS$8,-12))-1</f>
        <v/>
      </c>
    </row>
    <row r="208">
      <c r="A208" s="562" t="inlineStr">
        <is>
          <t>RPK ('000)</t>
        </is>
      </c>
      <c r="B208" s="1353" t="n"/>
      <c r="C208" s="1353" t="n"/>
      <c r="D208" s="1353" t="n"/>
      <c r="E208" s="1353" t="n"/>
      <c r="F208" s="1353" t="n"/>
      <c r="G208" s="1353" t="n"/>
      <c r="H208" s="1353" t="n"/>
      <c r="I208" s="1353" t="n"/>
      <c r="J208" s="1353" t="n"/>
      <c r="K208" s="1353" t="n"/>
      <c r="L208" s="1353" t="n"/>
      <c r="M208" s="1353" t="n"/>
      <c r="N208" s="1353" t="n"/>
      <c r="O208" s="1353" t="n"/>
      <c r="P208" s="1353" t="n"/>
      <c r="Q208" s="1353" t="n"/>
      <c r="R208" s="1353" t="n"/>
      <c r="S208" s="1353" t="n"/>
      <c r="T208" s="1353" t="n"/>
      <c r="U208" s="1353" t="n"/>
      <c r="V208" s="1353" t="n"/>
      <c r="W208" s="1353" t="n"/>
      <c r="X208" s="1353" t="n"/>
      <c r="Y208" s="1353" t="n"/>
      <c r="Z208" s="1353" t="n"/>
      <c r="AA208" s="1353" t="n"/>
      <c r="AB208" s="1353" t="n"/>
      <c r="AC208" s="1353" t="n"/>
      <c r="AD208" s="1353" t="n"/>
      <c r="AE208" s="1353" t="n"/>
      <c r="AF208" s="1353" t="n"/>
      <c r="AG208" s="1353" t="n"/>
      <c r="AH208" s="1353" t="n"/>
      <c r="AI208" s="1353" t="n"/>
      <c r="AJ208" s="1353" t="n"/>
      <c r="AK208" s="1353" t="n"/>
      <c r="AL208" s="1353" t="n"/>
      <c r="AM208" s="1353" t="n"/>
      <c r="AN208" s="1353" t="n"/>
      <c r="AO208" s="1353" t="n"/>
      <c r="AP208" s="1353" t="n"/>
      <c r="AQ208" s="1353" t="n"/>
      <c r="AR208" s="1353" t="n"/>
      <c r="AS208" s="1353" t="n"/>
      <c r="AT208" s="1353" t="n"/>
      <c r="AU208" s="1353" t="n"/>
      <c r="AV208" s="1353" t="n"/>
      <c r="AW208" s="1353" t="n"/>
      <c r="AX208" s="1353" t="n"/>
      <c r="AY208" s="1353" t="n"/>
      <c r="AZ208" s="1353" t="n"/>
      <c r="BA208" s="1353" t="n"/>
      <c r="BB208" s="1353" t="n"/>
      <c r="BC208" s="1353" t="n"/>
      <c r="BD208" s="1353" t="n"/>
      <c r="BE208" s="1353" t="n"/>
      <c r="BF208" s="1353" t="n"/>
      <c r="BG208" s="1353" t="n"/>
      <c r="BH208" s="1353" t="n"/>
      <c r="BI208" s="1353" t="n"/>
      <c r="BJ208" s="1353" t="n"/>
      <c r="BK208" s="1353" t="n"/>
      <c r="BL208" s="1353" t="n"/>
      <c r="BM208" s="1353" t="n"/>
      <c r="BN208" s="1353" t="n"/>
      <c r="BO208" s="1353" t="n"/>
      <c r="BP208" s="1353" t="n"/>
      <c r="BQ208" s="1353" t="n"/>
      <c r="BR208" s="1353" t="n"/>
      <c r="BS208" s="1353" t="n"/>
      <c r="BT208" s="1353" t="n"/>
      <c r="BU208" s="1353" t="n"/>
      <c r="BV208" s="1353" t="n"/>
      <c r="BW208" s="1353" t="n"/>
      <c r="BX208" s="1353" t="n"/>
      <c r="BY208" s="1353" t="n"/>
      <c r="BZ208" s="1353" t="n"/>
      <c r="CA208" s="1353" t="n"/>
      <c r="CB208" s="1353" t="n"/>
      <c r="CC208" s="1353" t="n"/>
      <c r="CD208" s="1353" t="n"/>
      <c r="CE208" s="1353" t="n"/>
      <c r="CF208" s="1353" t="n"/>
      <c r="CG208" s="1353" t="n"/>
      <c r="CH208" s="1353" t="n"/>
      <c r="CI208" s="1353" t="n"/>
      <c r="CJ208" s="1353" t="n"/>
      <c r="CK208" s="1353" t="n"/>
      <c r="CL208" s="1353" t="n"/>
      <c r="CM208" s="1353" t="n"/>
      <c r="CN208" s="1353" t="n"/>
      <c r="CO208" s="1353" t="n"/>
      <c r="CP208" s="1353" t="n"/>
      <c r="CQ208" s="1353" t="n"/>
      <c r="CR208" s="1353" t="n"/>
      <c r="CS208" s="1353" t="n"/>
      <c r="CT208" s="1353" t="n"/>
      <c r="CU208" s="1353" t="n"/>
      <c r="CV208" s="1353" t="n"/>
      <c r="CW208" s="1353" t="n"/>
      <c r="CX208" s="1353" t="n"/>
      <c r="CY208" s="1353" t="n"/>
      <c r="CZ208" s="1353" t="n"/>
      <c r="DA208" s="1353" t="n"/>
      <c r="DB208" s="1353" t="n"/>
      <c r="DC208" s="1353" t="n"/>
      <c r="DD208" s="1353" t="n"/>
      <c r="DE208" s="1353" t="n"/>
      <c r="DF208" s="1353" t="n"/>
      <c r="DG208" s="1353" t="n"/>
      <c r="DH208" s="1353" t="n"/>
      <c r="DI208" s="1353" t="n"/>
      <c r="DJ208" s="1353" t="n"/>
      <c r="DK208" s="1353" t="n"/>
      <c r="DL208" s="1353" t="n"/>
      <c r="DM208" s="1353" t="n"/>
      <c r="DN208" s="1353" t="n"/>
      <c r="DO208" s="1353" t="n"/>
      <c r="DP208" s="1353" t="n"/>
      <c r="DQ208" s="1353" t="n"/>
      <c r="DR208" s="1353" t="n"/>
      <c r="DS208" s="1353" t="n"/>
      <c r="DT208" s="1353" t="n"/>
      <c r="DU208" s="1353" t="n"/>
      <c r="DV208" s="1353" t="n"/>
      <c r="DW208" s="1353" t="n"/>
      <c r="DX208" s="1353" t="n"/>
      <c r="DY208" s="1353" t="n"/>
      <c r="DZ208" s="1353" t="n"/>
      <c r="EA208" s="1353" t="n"/>
      <c r="EB208" s="1353" t="n"/>
      <c r="EC208" s="1353" t="n"/>
      <c r="ED208" s="1353" t="n"/>
      <c r="EE208" s="1353" t="n"/>
      <c r="EF208" s="1353" t="n"/>
      <c r="EG208" s="1353" t="n"/>
      <c r="EH208" s="1353" t="n"/>
      <c r="EI208" s="1353" t="n"/>
      <c r="EJ208" s="1353" t="n"/>
      <c r="EK208" s="1353" t="n"/>
      <c r="EL208" s="1353" t="n"/>
      <c r="EM208" s="1353" t="n"/>
      <c r="EN208" s="1353" t="n"/>
      <c r="EO208" s="1353" t="n"/>
      <c r="EP208" s="1353" t="n"/>
      <c r="EQ208" s="1353" t="n"/>
      <c r="ER208" s="1353" t="n"/>
      <c r="ES208" s="1353" t="n"/>
      <c r="ET208" s="1353" t="n"/>
      <c r="EU208" s="1353" t="n"/>
      <c r="EV208" s="1353" t="n"/>
      <c r="EW208" s="1353" t="n"/>
      <c r="EX208" s="1353" t="n"/>
      <c r="EY208" s="1353" t="n"/>
      <c r="EZ208" s="1353" t="n"/>
      <c r="FA208" s="1353" t="n"/>
      <c r="FB208" s="1353" t="n"/>
      <c r="FC208" s="1353" t="n"/>
      <c r="FD208" s="1353" t="n"/>
      <c r="FE208" s="1353" t="n"/>
      <c r="FF208" s="1353" t="n"/>
      <c r="FG208" s="1353" t="n"/>
      <c r="FH208" s="1353" t="n"/>
      <c r="FI208" s="1353" t="n"/>
      <c r="FJ208" s="1353" t="n"/>
      <c r="FK208" s="1353" t="n"/>
      <c r="FL208" s="1353" t="n"/>
      <c r="FM208" s="1353" t="n"/>
      <c r="FN208" s="1353" t="n"/>
      <c r="FO208" s="1353" t="n"/>
      <c r="FP208" s="1353" t="n"/>
      <c r="FQ208" s="1353" t="n"/>
      <c r="FR208" s="1353" t="n"/>
      <c r="FS208" s="1353" t="n"/>
      <c r="FT208" s="1353" t="n"/>
      <c r="FU208" s="1353" t="n"/>
      <c r="FV208" s="1353" t="n"/>
      <c r="FW208" s="1353" t="n"/>
      <c r="FX208" s="1353" t="n"/>
      <c r="FY208" s="1353" t="n"/>
      <c r="FZ208" s="1353" t="n"/>
      <c r="GA208" s="1353" t="n"/>
      <c r="GB208" s="1353" t="n"/>
      <c r="GC208" s="1353" t="n"/>
      <c r="GD208" s="1353" t="n"/>
      <c r="GE208" s="1353" t="n"/>
      <c r="GF208" s="1353" t="n"/>
      <c r="GG208" s="1353" t="n"/>
      <c r="GH208" s="1353" t="n"/>
      <c r="GI208" s="1353" t="n"/>
      <c r="GJ208" s="1353" t="n"/>
      <c r="GK208" s="1353" t="n"/>
      <c r="GL208" s="1353" t="n"/>
      <c r="GM208" s="1353" t="n"/>
      <c r="GN208" s="1353" t="n"/>
      <c r="GO208" s="1353" t="n"/>
      <c r="GP208" s="1353" t="n"/>
      <c r="GQ208" s="1353" t="n"/>
      <c r="GR208" s="1353" t="n"/>
      <c r="GS208" s="1353" t="n"/>
      <c r="GT208" s="1353" t="n"/>
      <c r="GU208" s="1353" t="n"/>
      <c r="GV208" s="1353" t="n"/>
      <c r="GW208" s="1353" t="n"/>
      <c r="GX208" s="1353" t="n"/>
      <c r="GY208" s="1353" t="n"/>
      <c r="GZ208" s="1353" t="n"/>
      <c r="HA208" s="1353" t="n"/>
      <c r="HB208" s="1353" t="n"/>
      <c r="HC208" s="1353" t="n"/>
      <c r="HD208" s="1353" t="n"/>
      <c r="HE208" s="1353" t="n"/>
      <c r="HF208" s="1353" t="n"/>
      <c r="HG208" s="1353" t="n"/>
      <c r="HH208" s="1353" t="n"/>
      <c r="HI208" s="1353" t="n"/>
      <c r="HJ208" s="1353" t="n"/>
      <c r="HK208" s="1353" t="n"/>
      <c r="HL208" s="1353" t="n"/>
      <c r="HM208" s="1353" t="n"/>
      <c r="HN208" s="1353" t="n"/>
      <c r="HO208" s="1353" t="n"/>
      <c r="HP208" s="1353" t="n"/>
      <c r="HQ208" s="1353" t="n"/>
      <c r="HR208" s="1353" t="n"/>
      <c r="HS208" s="1353" t="n"/>
      <c r="HT208" s="1353" t="n"/>
      <c r="HU208" s="1353" t="n"/>
      <c r="HV208" s="1353" t="n"/>
      <c r="HW208" s="1353" t="n"/>
      <c r="HX208" s="1353" t="n"/>
      <c r="HY208" s="1353" t="n"/>
      <c r="HZ208" s="1353" t="n"/>
      <c r="IA208" s="1353" t="n"/>
      <c r="IB208" s="1353" t="n"/>
      <c r="IC208" s="1353" t="n"/>
      <c r="ID208" s="1353" t="n"/>
      <c r="IE208" s="1353" t="n"/>
      <c r="IF208" s="1353" t="n"/>
      <c r="IG208" s="1353" t="n"/>
      <c r="IH208" s="1353" t="n"/>
      <c r="II208" s="1353" t="n"/>
      <c r="IJ208" s="1353" t="n"/>
      <c r="IK208" s="1353" t="n"/>
      <c r="IL208" s="1353" t="n"/>
      <c r="IM208" s="1353" t="n"/>
      <c r="IN208" s="1353" t="n"/>
      <c r="IO208" s="1353" t="n"/>
      <c r="IP208" s="1353" t="n"/>
      <c r="IQ208" s="1353" t="n"/>
      <c r="IR208" s="1353" t="n"/>
      <c r="IS208" s="1353" t="n"/>
      <c r="LB208" s="634" t="n">
        <v>1235941</v>
      </c>
      <c r="LC208" s="634" t="n">
        <v>1086813</v>
      </c>
      <c r="LD208" s="634" t="n">
        <v>1153052</v>
      </c>
      <c r="LE208" s="634" t="n">
        <v>1284791</v>
      </c>
      <c r="LF208" s="634" t="n">
        <v>1163177</v>
      </c>
      <c r="LG208" s="634" t="n">
        <v>1023720</v>
      </c>
      <c r="LH208" s="634" t="n">
        <v>1225156</v>
      </c>
      <c r="LI208" s="634" t="n">
        <v>1458272</v>
      </c>
      <c r="LJ208" s="634" t="n">
        <v>948674</v>
      </c>
      <c r="LK208" s="634" t="n">
        <v>1249776</v>
      </c>
      <c r="LL208" s="634" t="n">
        <v>1178700</v>
      </c>
      <c r="LM208" s="634" t="n">
        <v>1437851</v>
      </c>
      <c r="LN208" s="634" t="n">
        <v>1337244</v>
      </c>
      <c r="LO208" s="634" t="n">
        <v>1335785</v>
      </c>
      <c r="LP208" s="634" t="n">
        <v>1382338</v>
      </c>
      <c r="LQ208" s="634" t="n">
        <v>1322934</v>
      </c>
      <c r="LR208" s="634" t="n">
        <v>1229731</v>
      </c>
      <c r="LS208" s="634" t="n">
        <v>1015338</v>
      </c>
      <c r="LU208" s="1345" t="n"/>
    </row>
    <row r="209">
      <c r="A209" s="648" t="inlineStr">
        <is>
          <t>YoY %</t>
        </is>
      </c>
      <c r="B209" s="1353" t="n"/>
      <c r="C209" s="1353" t="n"/>
      <c r="D209" s="1353" t="n"/>
      <c r="E209" s="1353" t="n"/>
      <c r="F209" s="1353" t="n"/>
      <c r="G209" s="1353" t="n"/>
      <c r="H209" s="1353" t="n"/>
      <c r="I209" s="1353" t="n"/>
      <c r="J209" s="1353" t="n"/>
      <c r="K209" s="1353" t="n"/>
      <c r="L209" s="1353" t="n"/>
      <c r="M209" s="1353" t="n"/>
      <c r="N209" s="1353" t="n"/>
      <c r="O209" s="1353" t="n"/>
      <c r="P209" s="1353" t="n"/>
      <c r="Q209" s="1353" t="n"/>
      <c r="R209" s="1353" t="n"/>
      <c r="S209" s="1353" t="n"/>
      <c r="T209" s="1353" t="n"/>
      <c r="U209" s="1353" t="n"/>
      <c r="V209" s="1353" t="n"/>
      <c r="W209" s="1353" t="n"/>
      <c r="X209" s="1353" t="n"/>
      <c r="Y209" s="1353" t="n"/>
      <c r="Z209" s="1353" t="n"/>
      <c r="AA209" s="1353" t="n"/>
      <c r="AB209" s="1353" t="n"/>
      <c r="AC209" s="1353" t="n"/>
      <c r="AD209" s="1353" t="n"/>
      <c r="AE209" s="1353" t="n"/>
      <c r="AF209" s="1353" t="n"/>
      <c r="AG209" s="1353" t="n"/>
      <c r="AH209" s="1353" t="n"/>
      <c r="AI209" s="1353" t="n"/>
      <c r="AJ209" s="1353" t="n"/>
      <c r="AK209" s="1353" t="n"/>
      <c r="AL209" s="1353" t="n"/>
      <c r="AM209" s="1353" t="n"/>
      <c r="AN209" s="1353" t="n"/>
      <c r="AO209" s="1353" t="n"/>
      <c r="AP209" s="1353" t="n"/>
      <c r="AQ209" s="1353" t="n"/>
      <c r="AR209" s="1353" t="n"/>
      <c r="AS209" s="1353" t="n"/>
      <c r="AT209" s="1353" t="n"/>
      <c r="AU209" s="1353" t="n"/>
      <c r="AV209" s="1353" t="n"/>
      <c r="AW209" s="1353" t="n"/>
      <c r="AX209" s="1353" t="n"/>
      <c r="AY209" s="1353" t="n"/>
      <c r="AZ209" s="1353" t="n"/>
      <c r="BA209" s="1353" t="n"/>
      <c r="BB209" s="1353" t="n"/>
      <c r="BC209" s="1353" t="n"/>
      <c r="BD209" s="1353" t="n"/>
      <c r="BE209" s="1353" t="n"/>
      <c r="BF209" s="1353" t="n"/>
      <c r="BG209" s="1353" t="n"/>
      <c r="BH209" s="1353" t="n"/>
      <c r="BI209" s="1353" t="n"/>
      <c r="BJ209" s="1353" t="n"/>
      <c r="BK209" s="1353" t="n"/>
      <c r="BL209" s="1353" t="n"/>
      <c r="BM209" s="1353" t="n"/>
      <c r="BN209" s="1353" t="n"/>
      <c r="BO209" s="1353" t="n"/>
      <c r="BP209" s="1353" t="n"/>
      <c r="BQ209" s="1353" t="n"/>
      <c r="BR209" s="1353" t="n"/>
      <c r="BS209" s="1353" t="n"/>
      <c r="BT209" s="1353" t="n"/>
      <c r="BU209" s="1353" t="n"/>
      <c r="BV209" s="1353" t="n"/>
      <c r="BW209" s="1353" t="n"/>
      <c r="BX209" s="1353" t="n"/>
      <c r="BY209" s="1353" t="n"/>
      <c r="BZ209" s="1353" t="n"/>
      <c r="CA209" s="1353" t="n"/>
      <c r="CB209" s="1353" t="n"/>
      <c r="CC209" s="1353" t="n"/>
      <c r="CD209" s="1353" t="n"/>
      <c r="CE209" s="1353" t="n"/>
      <c r="CF209" s="1353" t="n"/>
      <c r="CG209" s="1353" t="n"/>
      <c r="CH209" s="1353" t="n"/>
      <c r="CI209" s="1353" t="n"/>
      <c r="CJ209" s="1353" t="n"/>
      <c r="CK209" s="1353" t="n"/>
      <c r="CL209" s="1353" t="n"/>
      <c r="CM209" s="1353" t="n"/>
      <c r="CN209" s="1353" t="n"/>
      <c r="CO209" s="1353" t="n"/>
      <c r="CP209" s="1353" t="n"/>
      <c r="CQ209" s="1353" t="n"/>
      <c r="CR209" s="1353" t="n"/>
      <c r="CS209" s="1353" t="n"/>
      <c r="CT209" s="1353" t="n"/>
      <c r="CU209" s="1353" t="n"/>
      <c r="CV209" s="1353" t="n"/>
      <c r="CW209" s="1353" t="n"/>
      <c r="CX209" s="1353" t="n"/>
      <c r="CY209" s="1353" t="n"/>
      <c r="CZ209" s="1353" t="n"/>
      <c r="DA209" s="1353" t="n"/>
      <c r="DB209" s="1353" t="n"/>
      <c r="DC209" s="1353" t="n"/>
      <c r="DD209" s="1353" t="n"/>
      <c r="DE209" s="1353" t="n"/>
      <c r="DF209" s="1353" t="n"/>
      <c r="DG209" s="1353" t="n"/>
      <c r="DH209" s="1353" t="n"/>
      <c r="DI209" s="1353" t="n"/>
      <c r="DJ209" s="1353" t="n"/>
      <c r="DK209" s="1353" t="n"/>
      <c r="DL209" s="1353" t="n"/>
      <c r="DM209" s="1353" t="n"/>
      <c r="DN209" s="1353" t="n"/>
      <c r="DO209" s="1353" t="n"/>
      <c r="DP209" s="1353" t="n"/>
      <c r="DQ209" s="1353" t="n"/>
      <c r="DR209" s="1353" t="n"/>
      <c r="DS209" s="1353" t="n"/>
      <c r="DT209" s="1353" t="n"/>
      <c r="DU209" s="1353" t="n"/>
      <c r="DV209" s="1353" t="n"/>
      <c r="DW209" s="1353" t="n"/>
      <c r="DX209" s="1353" t="n"/>
      <c r="DY209" s="1353" t="n"/>
      <c r="DZ209" s="1353" t="n"/>
      <c r="EA209" s="1353" t="n"/>
      <c r="EB209" s="1353" t="n"/>
      <c r="EC209" s="1353" t="n"/>
      <c r="ED209" s="1353" t="n"/>
      <c r="EE209" s="1353" t="n"/>
      <c r="EF209" s="1353" t="n"/>
      <c r="EG209" s="1353" t="n"/>
      <c r="EH209" s="1353" t="n"/>
      <c r="EI209" s="1353" t="n"/>
      <c r="EJ209" s="1353" t="n"/>
      <c r="EK209" s="1353" t="n"/>
      <c r="EL209" s="1353" t="n"/>
      <c r="EM209" s="1353" t="n"/>
      <c r="EN209" s="1353" t="n"/>
      <c r="EO209" s="1353" t="n"/>
      <c r="EP209" s="1353" t="n"/>
      <c r="EQ209" s="1353" t="n"/>
      <c r="ER209" s="1353" t="n"/>
      <c r="ES209" s="1353" t="n"/>
      <c r="ET209" s="1353" t="n"/>
      <c r="EU209" s="1353" t="n"/>
      <c r="EV209" s="1353" t="n"/>
      <c r="EW209" s="1353" t="n"/>
      <c r="EX209" s="1353" t="n"/>
      <c r="EY209" s="1353" t="n"/>
      <c r="EZ209" s="1353" t="n"/>
      <c r="FA209" s="1353" t="n"/>
      <c r="FB209" s="1353" t="n"/>
      <c r="FC209" s="1353" t="n"/>
      <c r="FD209" s="1353" t="n"/>
      <c r="FE209" s="1353" t="n"/>
      <c r="FF209" s="1353" t="n"/>
      <c r="FG209" s="1353" t="n"/>
      <c r="FH209" s="1353" t="n"/>
      <c r="FI209" s="1353" t="n"/>
      <c r="FJ209" s="1353" t="n"/>
      <c r="FK209" s="1353" t="n"/>
      <c r="FL209" s="1353" t="n"/>
      <c r="FM209" s="1353" t="n"/>
      <c r="FN209" s="1353" t="n"/>
      <c r="FO209" s="1353" t="n"/>
      <c r="FP209" s="1353" t="n"/>
      <c r="FQ209" s="1353" t="n"/>
      <c r="FR209" s="1353" t="n"/>
      <c r="FS209" s="1353" t="n"/>
      <c r="FT209" s="1353" t="n"/>
      <c r="FU209" s="1353" t="n"/>
      <c r="FV209" s="1353" t="n"/>
      <c r="FW209" s="1353" t="n"/>
      <c r="FX209" s="1353" t="n"/>
      <c r="FY209" s="1353" t="n"/>
      <c r="FZ209" s="1353" t="n"/>
      <c r="GA209" s="1353" t="n"/>
      <c r="GB209" s="1353" t="n"/>
      <c r="GC209" s="1353" t="n"/>
      <c r="GD209" s="1353" t="n"/>
      <c r="GE209" s="1353" t="n"/>
      <c r="GF209" s="1353" t="n"/>
      <c r="GG209" s="1353" t="n"/>
      <c r="GH209" s="1353" t="n"/>
      <c r="GI209" s="1353" t="n"/>
      <c r="GJ209" s="1353" t="n"/>
      <c r="GK209" s="1353" t="n"/>
      <c r="GL209" s="1353" t="n"/>
      <c r="GM209" s="1353" t="n"/>
      <c r="GN209" s="1353" t="n"/>
      <c r="GO209" s="1353" t="n"/>
      <c r="GP209" s="1353" t="n"/>
      <c r="GQ209" s="1353" t="n"/>
      <c r="GR209" s="1353" t="n"/>
      <c r="GS209" s="1353" t="n"/>
      <c r="GT209" s="1353" t="n"/>
      <c r="GU209" s="1353" t="n"/>
      <c r="GV209" s="1353" t="n"/>
      <c r="GW209" s="1353" t="n"/>
      <c r="GX209" s="1353" t="n"/>
      <c r="GY209" s="1353" t="n"/>
      <c r="GZ209" s="1353" t="n"/>
      <c r="HA209" s="1353" t="n"/>
      <c r="HB209" s="1353" t="n"/>
      <c r="HC209" s="1353" t="n"/>
      <c r="HD209" s="1353" t="n"/>
      <c r="HE209" s="1353" t="n"/>
      <c r="HF209" s="1353" t="n"/>
      <c r="HG209" s="1353" t="n"/>
      <c r="HH209" s="1353" t="n"/>
      <c r="HI209" s="1353" t="n"/>
      <c r="HJ209" s="1353" t="n"/>
      <c r="HK209" s="1353" t="n"/>
      <c r="HL209" s="1353" t="n"/>
      <c r="HM209" s="1353" t="n"/>
      <c r="HN209" s="1353" t="n"/>
      <c r="HO209" s="1353" t="n"/>
      <c r="HP209" s="1353" t="n"/>
      <c r="HQ209" s="1353" t="n"/>
      <c r="HR209" s="1353" t="n"/>
      <c r="HS209" s="1353" t="n"/>
      <c r="HT209" s="1353" t="n"/>
      <c r="HU209" s="1353" t="n"/>
      <c r="HV209" s="1353" t="n"/>
      <c r="HW209" s="1353" t="n"/>
      <c r="HX209" s="1353" t="n"/>
      <c r="HY209" s="1353" t="n"/>
      <c r="HZ209" s="1353" t="n"/>
      <c r="IA209" s="1353" t="n"/>
      <c r="IB209" s="1353" t="n"/>
      <c r="IC209" s="1353" t="n"/>
      <c r="ID209" s="1353" t="n"/>
      <c r="IE209" s="1353" t="n"/>
      <c r="IF209" s="1353" t="n"/>
      <c r="IG209" s="1353" t="n"/>
      <c r="IH209" s="1353" t="n"/>
      <c r="II209" s="1353" t="n"/>
      <c r="IJ209" s="1353" t="n"/>
      <c r="IK209" s="1353" t="n"/>
      <c r="IL209" s="1353" t="n"/>
      <c r="IM209" s="1353" t="n"/>
      <c r="IN209" s="1353" t="n"/>
      <c r="IO209" s="1353" t="n"/>
      <c r="IP209" s="1353" t="n"/>
      <c r="IQ209" s="1353" t="n"/>
      <c r="IR209" s="1353" t="n"/>
      <c r="IS209" s="1353" t="n"/>
      <c r="LB209" s="1354" t="n">
        <v>0.398</v>
      </c>
      <c r="LC209" s="1354" t="n">
        <v>0.286</v>
      </c>
      <c r="LD209" s="1354" t="n">
        <v>0.234</v>
      </c>
      <c r="LE209" s="1354" t="n">
        <v>0.428</v>
      </c>
      <c r="LF209" s="1354" t="n">
        <v>0.286</v>
      </c>
      <c r="LG209" s="1354" t="n">
        <v>0.081</v>
      </c>
      <c r="LH209" s="1354" t="n">
        <v>0.142</v>
      </c>
      <c r="LI209" s="1354" t="n">
        <v>0.325</v>
      </c>
      <c r="LJ209" s="1354" t="n">
        <v>0.125</v>
      </c>
      <c r="LK209" s="1354" t="n">
        <v>0.299</v>
      </c>
      <c r="LL209" s="1354" t="n">
        <v>0.264</v>
      </c>
      <c r="LM209" s="1354" t="n">
        <v>0.246</v>
      </c>
      <c r="LN209" s="1354" t="n">
        <v>0.082</v>
      </c>
      <c r="LO209" s="1354" t="n">
        <v>0.229</v>
      </c>
      <c r="LP209" s="1345">
        <f>LP208/LD208-1</f>
        <v/>
      </c>
      <c r="LQ209" s="1345">
        <f>LQ208/LE208-1</f>
        <v/>
      </c>
      <c r="LR209" s="1345">
        <f>LR208/LF208-1</f>
        <v/>
      </c>
      <c r="LS209" s="1345">
        <f>LS208/LG208-1</f>
        <v/>
      </c>
    </row>
    <row r="210">
      <c r="A210" s="648" t="inlineStr">
        <is>
          <t>YTD YoY %</t>
        </is>
      </c>
      <c r="B210" s="1353" t="n"/>
      <c r="C210" s="1353" t="n"/>
      <c r="D210" s="1353" t="n"/>
      <c r="E210" s="1353" t="n"/>
      <c r="F210" s="1353" t="n"/>
      <c r="G210" s="1353" t="n"/>
      <c r="H210" s="1353" t="n"/>
      <c r="I210" s="1353" t="n"/>
      <c r="J210" s="1353" t="n"/>
      <c r="K210" s="1353" t="n"/>
      <c r="L210" s="1353" t="n"/>
      <c r="M210" s="1353" t="n"/>
      <c r="N210" s="1353" t="n"/>
      <c r="O210" s="1353" t="n"/>
      <c r="P210" s="1353" t="n"/>
      <c r="Q210" s="1353" t="n"/>
      <c r="R210" s="1353" t="n"/>
      <c r="S210" s="1353" t="n"/>
      <c r="T210" s="1353" t="n"/>
      <c r="U210" s="1353" t="n"/>
      <c r="V210" s="1353" t="n"/>
      <c r="W210" s="1353" t="n"/>
      <c r="X210" s="1353" t="n"/>
      <c r="Y210" s="1353" t="n"/>
      <c r="Z210" s="1353" t="n"/>
      <c r="AA210" s="1353" t="n"/>
      <c r="AB210" s="1353" t="n"/>
      <c r="AC210" s="1353" t="n"/>
      <c r="AD210" s="1353" t="n"/>
      <c r="AE210" s="1353" t="n"/>
      <c r="AF210" s="1353" t="n"/>
      <c r="AG210" s="1353" t="n"/>
      <c r="AH210" s="1353" t="n"/>
      <c r="AI210" s="1353" t="n"/>
      <c r="AJ210" s="1353" t="n"/>
      <c r="AK210" s="1353" t="n"/>
      <c r="AL210" s="1353" t="n"/>
      <c r="AM210" s="1353" t="n"/>
      <c r="AN210" s="1353" t="n"/>
      <c r="AO210" s="1353" t="n"/>
      <c r="AP210" s="1353" t="n"/>
      <c r="AQ210" s="1353" t="n"/>
      <c r="AR210" s="1353" t="n"/>
      <c r="AS210" s="1353" t="n"/>
      <c r="AT210" s="1353" t="n"/>
      <c r="AU210" s="1353" t="n"/>
      <c r="AV210" s="1353" t="n"/>
      <c r="AW210" s="1353" t="n"/>
      <c r="AX210" s="1353" t="n"/>
      <c r="AY210" s="1353" t="n"/>
      <c r="AZ210" s="1353" t="n"/>
      <c r="BA210" s="1353" t="n"/>
      <c r="BB210" s="1353" t="n"/>
      <c r="BC210" s="1353" t="n"/>
      <c r="BD210" s="1353" t="n"/>
      <c r="BE210" s="1353" t="n"/>
      <c r="BF210" s="1353" t="n"/>
      <c r="BG210" s="1353" t="n"/>
      <c r="BH210" s="1353" t="n"/>
      <c r="BI210" s="1353" t="n"/>
      <c r="BJ210" s="1353" t="n"/>
      <c r="BK210" s="1353" t="n"/>
      <c r="BL210" s="1353" t="n"/>
      <c r="BM210" s="1353" t="n"/>
      <c r="BN210" s="1353" t="n"/>
      <c r="BO210" s="1353" t="n"/>
      <c r="BP210" s="1353" t="n"/>
      <c r="BQ210" s="1353" t="n"/>
      <c r="BR210" s="1353" t="n"/>
      <c r="BS210" s="1353" t="n"/>
      <c r="BT210" s="1353" t="n"/>
      <c r="BU210" s="1353" t="n"/>
      <c r="BV210" s="1353" t="n"/>
      <c r="BW210" s="1353" t="n"/>
      <c r="BX210" s="1353" t="n"/>
      <c r="BY210" s="1353" t="n"/>
      <c r="BZ210" s="1353" t="n"/>
      <c r="CA210" s="1353" t="n"/>
      <c r="CB210" s="1353" t="n"/>
      <c r="CC210" s="1353" t="n"/>
      <c r="CD210" s="1353" t="n"/>
      <c r="CE210" s="1353" t="n"/>
      <c r="CF210" s="1353" t="n"/>
      <c r="CG210" s="1353" t="n"/>
      <c r="CH210" s="1353" t="n"/>
      <c r="CI210" s="1353" t="n"/>
      <c r="CJ210" s="1353" t="n"/>
      <c r="CK210" s="1353" t="n"/>
      <c r="CL210" s="1353" t="n"/>
      <c r="CM210" s="1353" t="n"/>
      <c r="CN210" s="1353" t="n"/>
      <c r="CO210" s="1353" t="n"/>
      <c r="CP210" s="1353" t="n"/>
      <c r="CQ210" s="1353" t="n"/>
      <c r="CR210" s="1353" t="n"/>
      <c r="CS210" s="1353" t="n"/>
      <c r="CT210" s="1353" t="n"/>
      <c r="CU210" s="1353" t="n"/>
      <c r="CV210" s="1353" t="n"/>
      <c r="CW210" s="1353" t="n"/>
      <c r="CX210" s="1353" t="n"/>
      <c r="CY210" s="1353" t="n"/>
      <c r="CZ210" s="1353" t="n"/>
      <c r="DA210" s="1353" t="n"/>
      <c r="DB210" s="1353" t="n"/>
      <c r="DC210" s="1353" t="n"/>
      <c r="DD210" s="1353" t="n"/>
      <c r="DE210" s="1353" t="n"/>
      <c r="DF210" s="1353" t="n"/>
      <c r="DG210" s="1353" t="n"/>
      <c r="DH210" s="1353" t="n"/>
      <c r="DI210" s="1353" t="n"/>
      <c r="DJ210" s="1353" t="n"/>
      <c r="DK210" s="1353" t="n"/>
      <c r="DL210" s="1353" t="n"/>
      <c r="DM210" s="1353" t="n"/>
      <c r="DN210" s="1353" t="n"/>
      <c r="DO210" s="1353" t="n"/>
      <c r="DP210" s="1353" t="n"/>
      <c r="DQ210" s="1353" t="n"/>
      <c r="DR210" s="1353" t="n"/>
      <c r="DS210" s="1353" t="n"/>
      <c r="DT210" s="1353" t="n"/>
      <c r="DU210" s="1353" t="n"/>
      <c r="DV210" s="1353" t="n"/>
      <c r="DW210" s="1353" t="n"/>
      <c r="DX210" s="1353" t="n"/>
      <c r="DY210" s="1353" t="n"/>
      <c r="DZ210" s="1353" t="n"/>
      <c r="EA210" s="1353" t="n"/>
      <c r="EB210" s="1353" t="n"/>
      <c r="EC210" s="1353" t="n"/>
      <c r="ED210" s="1353" t="n"/>
      <c r="EE210" s="1353" t="n"/>
      <c r="EF210" s="1353" t="n"/>
      <c r="EG210" s="1353" t="n"/>
      <c r="EH210" s="1353" t="n"/>
      <c r="EI210" s="1353" t="n"/>
      <c r="EJ210" s="1353" t="n"/>
      <c r="EK210" s="1353" t="n"/>
      <c r="EL210" s="1353" t="n"/>
      <c r="EM210" s="1353" t="n"/>
      <c r="EN210" s="1353" t="n"/>
      <c r="EO210" s="1353" t="n"/>
      <c r="EP210" s="1353" t="n"/>
      <c r="EQ210" s="1353" t="n"/>
      <c r="ER210" s="1353" t="n"/>
      <c r="ES210" s="1353" t="n"/>
      <c r="ET210" s="1353" t="n"/>
      <c r="EU210" s="1353" t="n"/>
      <c r="EV210" s="1353" t="n"/>
      <c r="EW210" s="1353" t="n"/>
      <c r="EX210" s="1353" t="n"/>
      <c r="EY210" s="1353" t="n"/>
      <c r="EZ210" s="1353" t="n"/>
      <c r="FA210" s="1353" t="n"/>
      <c r="FB210" s="1353" t="n"/>
      <c r="FC210" s="1353" t="n"/>
      <c r="FD210" s="1353" t="n"/>
      <c r="FE210" s="1353" t="n"/>
      <c r="FF210" s="1353" t="n"/>
      <c r="FG210" s="1353" t="n"/>
      <c r="FH210" s="1353" t="n"/>
      <c r="FI210" s="1353" t="n"/>
      <c r="FJ210" s="1353" t="n"/>
      <c r="FK210" s="1353" t="n"/>
      <c r="FL210" s="1353" t="n"/>
      <c r="FM210" s="1353" t="n"/>
      <c r="FN210" s="1353" t="n"/>
      <c r="FO210" s="1353" t="n"/>
      <c r="FP210" s="1353" t="n"/>
      <c r="FQ210" s="1353" t="n"/>
      <c r="FR210" s="1353" t="n"/>
      <c r="FS210" s="1353" t="n"/>
      <c r="FT210" s="1353" t="n"/>
      <c r="FU210" s="1353" t="n"/>
      <c r="FV210" s="1353" t="n"/>
      <c r="FW210" s="1353" t="n"/>
      <c r="FX210" s="1353" t="n"/>
      <c r="FY210" s="1353" t="n"/>
      <c r="FZ210" s="1353" t="n"/>
      <c r="GA210" s="1353" t="n"/>
      <c r="GB210" s="1353" t="n"/>
      <c r="GC210" s="1353" t="n"/>
      <c r="GD210" s="1353" t="n"/>
      <c r="GE210" s="1353" t="n"/>
      <c r="GF210" s="1353" t="n"/>
      <c r="GG210" s="1353" t="n"/>
      <c r="GH210" s="1353" t="n"/>
      <c r="GI210" s="1353" t="n"/>
      <c r="GJ210" s="1353" t="n"/>
      <c r="GK210" s="1353" t="n"/>
      <c r="GL210" s="1353" t="n"/>
      <c r="GM210" s="1353" t="n"/>
      <c r="GN210" s="1353" t="n"/>
      <c r="GO210" s="1353" t="n"/>
      <c r="GP210" s="1353" t="n"/>
      <c r="GQ210" s="1353" t="n"/>
      <c r="GR210" s="1353" t="n"/>
      <c r="GS210" s="1353" t="n"/>
      <c r="GT210" s="1353" t="n"/>
      <c r="GU210" s="1353" t="n"/>
      <c r="GV210" s="1353" t="n"/>
      <c r="GW210" s="1353" t="n"/>
      <c r="GX210" s="1353" t="n"/>
      <c r="GY210" s="1353" t="n"/>
      <c r="GZ210" s="1353" t="n"/>
      <c r="HA210" s="1353" t="n"/>
      <c r="HB210" s="1353" t="n"/>
      <c r="HC210" s="1353" t="n"/>
      <c r="HD210" s="1353" t="n"/>
      <c r="HE210" s="1353" t="n"/>
      <c r="HF210" s="1353" t="n"/>
      <c r="HG210" s="1353" t="n"/>
      <c r="HH210" s="1353" t="n"/>
      <c r="HI210" s="1353" t="n"/>
      <c r="HJ210" s="1353" t="n"/>
      <c r="HK210" s="1353" t="n"/>
      <c r="HL210" s="1353" t="n"/>
      <c r="HM210" s="1353" t="n"/>
      <c r="HN210" s="1353" t="n"/>
      <c r="HO210" s="1353" t="n"/>
      <c r="HP210" s="1353" t="n"/>
      <c r="HQ210" s="1353" t="n"/>
      <c r="HR210" s="1353" t="n"/>
      <c r="HS210" s="1353" t="n"/>
      <c r="HT210" s="1353" t="n"/>
      <c r="HU210" s="1353" t="n"/>
      <c r="HV210" s="1353" t="n"/>
      <c r="HW210" s="1353" t="n"/>
      <c r="HX210" s="1353" t="n"/>
      <c r="HY210" s="1353" t="n"/>
      <c r="HZ210" s="1353" t="n"/>
      <c r="IA210" s="1353" t="n"/>
      <c r="IB210" s="1353" t="n"/>
      <c r="IC210" s="1353" t="n"/>
      <c r="ID210" s="1353" t="n"/>
      <c r="IE210" s="1353" t="n"/>
      <c r="IF210" s="1353" t="n"/>
      <c r="IG210" s="1353" t="n"/>
      <c r="IH210" s="1353" t="n"/>
      <c r="II210" s="1353" t="n"/>
      <c r="IJ210" s="1353" t="n"/>
      <c r="IK210" s="1353" t="n"/>
      <c r="IL210" s="1353" t="n"/>
      <c r="IM210" s="1353" t="n"/>
      <c r="IN210" s="1353" t="n"/>
      <c r="IO210" s="1353" t="n"/>
      <c r="IP210" s="1353" t="n"/>
      <c r="IQ210" s="1353" t="n"/>
      <c r="IR210" s="1353" t="n"/>
      <c r="IS210" s="1353" t="n"/>
      <c r="LB210" s="1354" t="n">
        <v>0.398</v>
      </c>
      <c r="LC210" s="1354" t="n">
        <v>0.343</v>
      </c>
      <c r="LD210" s="1354" t="n">
        <v>0.305</v>
      </c>
      <c r="LE210" s="1354" t="n">
        <v>0.336</v>
      </c>
      <c r="LF210" s="1354" t="n">
        <v>0.326</v>
      </c>
      <c r="LG210" s="1354" t="n">
        <v>0.283</v>
      </c>
      <c r="LH210" s="1354" t="n">
        <v>0.26</v>
      </c>
      <c r="LI210" s="1354" t="n">
        <v>0.269</v>
      </c>
      <c r="LJ210" s="1354" t="n">
        <v>0.255</v>
      </c>
      <c r="LK210" s="1354" t="n">
        <v>0.259</v>
      </c>
      <c r="LL210" s="1354" t="n">
        <v>0.26</v>
      </c>
      <c r="LM210" s="1354" t="n">
        <v>0.258</v>
      </c>
      <c r="LN210" s="1354" t="n">
        <v>0.082</v>
      </c>
      <c r="LO210" s="1354" t="n">
        <v>0.151</v>
      </c>
      <c r="LP210" s="1355">
        <f>SUMIFS(208:208,$8:$8,"&gt;="&amp;DATE(YEAR(LP$8),1,1),$8:$8,"&lt;="&amp;EOMONTH(LP$8,0))/SUMIFS(208:208,$8:$8,"&gt;="&amp;DATE(YEAR(LP$8)-1,1,1),$8:$8,"&lt;="&amp;EOMONTH(LP$8,-12))-1</f>
        <v/>
      </c>
      <c r="LQ210" s="1355">
        <f>SUMIFS(208:208,$8:$8,"&gt;="&amp;DATE(YEAR(LQ$8),1,1),$8:$8,"&lt;="&amp;EOMONTH(LQ$8,0))/SUMIFS(208:208,$8:$8,"&gt;="&amp;DATE(YEAR(LQ$8)-1,1,1),$8:$8,"&lt;="&amp;EOMONTH(LQ$8,-12))-1</f>
        <v/>
      </c>
      <c r="LR210" s="1355">
        <f>SUMIFS(208:208,$8:$8,"&gt;="&amp;DATE(YEAR(LR$8),1,1),$8:$8,"&lt;="&amp;EOMONTH(LR$8,0))/SUMIFS(208:208,$8:$8,"&gt;="&amp;DATE(YEAR(LR$8)-1,1,1),$8:$8,"&lt;="&amp;EOMONTH(LR$8,-12))-1</f>
        <v/>
      </c>
      <c r="LS210" s="1355">
        <f>SUMIFS(208:208,$8:$8,"&gt;="&amp;DATE(YEAR(LS$8),1,1),$8:$8,"&lt;="&amp;EOMONTH(LS$8,0))/SUMIFS(208:208,$8:$8,"&gt;="&amp;DATE(YEAR(LS$8)-1,1,1),$8:$8,"&lt;="&amp;EOMONTH(LS$8,-12))-1</f>
        <v/>
      </c>
    </row>
    <row r="211">
      <c r="A211" s="562" t="inlineStr">
        <is>
          <t>Number of passenger flight sectors</t>
        </is>
      </c>
      <c r="B211" s="1353" t="n"/>
      <c r="C211" s="1353" t="n"/>
      <c r="D211" s="1353" t="n"/>
      <c r="E211" s="1353" t="n"/>
      <c r="F211" s="1353" t="n"/>
      <c r="G211" s="1353" t="n"/>
      <c r="H211" s="1353" t="n"/>
      <c r="I211" s="1353" t="n"/>
      <c r="J211" s="1353" t="n"/>
      <c r="K211" s="1353" t="n"/>
      <c r="L211" s="1353" t="n"/>
      <c r="M211" s="1353" t="n"/>
      <c r="N211" s="1353" t="n"/>
      <c r="O211" s="1353" t="n"/>
      <c r="P211" s="1353" t="n"/>
      <c r="Q211" s="1353" t="n"/>
      <c r="R211" s="1353" t="n"/>
      <c r="S211" s="1353" t="n"/>
      <c r="T211" s="1353" t="n"/>
      <c r="U211" s="1353" t="n"/>
      <c r="V211" s="1353" t="n"/>
      <c r="W211" s="1353" t="n"/>
      <c r="X211" s="1353" t="n"/>
      <c r="Y211" s="1353" t="n"/>
      <c r="Z211" s="1353" t="n"/>
      <c r="AA211" s="1353" t="n"/>
      <c r="AB211" s="1353" t="n"/>
      <c r="AC211" s="1353" t="n"/>
      <c r="AD211" s="1353" t="n"/>
      <c r="AE211" s="1353" t="n"/>
      <c r="AF211" s="1353" t="n"/>
      <c r="AG211" s="1353" t="n"/>
      <c r="AH211" s="1353" t="n"/>
      <c r="AI211" s="1353" t="n"/>
      <c r="AJ211" s="1353" t="n"/>
      <c r="AK211" s="1353" t="n"/>
      <c r="AL211" s="1353" t="n"/>
      <c r="AM211" s="1353" t="n"/>
      <c r="AN211" s="1353" t="n"/>
      <c r="AO211" s="1353" t="n"/>
      <c r="AP211" s="1353" t="n"/>
      <c r="AQ211" s="1353" t="n"/>
      <c r="AR211" s="1353" t="n"/>
      <c r="AS211" s="1353" t="n"/>
      <c r="AT211" s="1353" t="n"/>
      <c r="AU211" s="1353" t="n"/>
      <c r="AV211" s="1353" t="n"/>
      <c r="AW211" s="1353" t="n"/>
      <c r="AX211" s="1353" t="n"/>
      <c r="AY211" s="1353" t="n"/>
      <c r="AZ211" s="1353" t="n"/>
      <c r="BA211" s="1353" t="n"/>
      <c r="BB211" s="1353" t="n"/>
      <c r="BC211" s="1353" t="n"/>
      <c r="BD211" s="1353" t="n"/>
      <c r="BE211" s="1353" t="n"/>
      <c r="BF211" s="1353" t="n"/>
      <c r="BG211" s="1353" t="n"/>
      <c r="BH211" s="1353" t="n"/>
      <c r="BI211" s="1353" t="n"/>
      <c r="BJ211" s="1353" t="n"/>
      <c r="BK211" s="1353" t="n"/>
      <c r="BL211" s="1353" t="n"/>
      <c r="BM211" s="1353" t="n"/>
      <c r="BN211" s="1353" t="n"/>
      <c r="BO211" s="1353" t="n"/>
      <c r="BP211" s="1353" t="n"/>
      <c r="BQ211" s="1353" t="n"/>
      <c r="BR211" s="1353" t="n"/>
      <c r="BS211" s="1353" t="n"/>
      <c r="BT211" s="1353" t="n"/>
      <c r="BU211" s="1353" t="n"/>
      <c r="BV211" s="1353" t="n"/>
      <c r="BW211" s="1353" t="n"/>
      <c r="BX211" s="1353" t="n"/>
      <c r="BY211" s="1353" t="n"/>
      <c r="BZ211" s="1353" t="n"/>
      <c r="CA211" s="1353" t="n"/>
      <c r="CB211" s="1353" t="n"/>
      <c r="CC211" s="1353" t="n"/>
      <c r="CD211" s="1353" t="n"/>
      <c r="CE211" s="1353" t="n"/>
      <c r="CF211" s="1353" t="n"/>
      <c r="CG211" s="1353" t="n"/>
      <c r="CH211" s="1353" t="n"/>
      <c r="CI211" s="1353" t="n"/>
      <c r="CJ211" s="1353" t="n"/>
      <c r="CK211" s="1353" t="n"/>
      <c r="CL211" s="1353" t="n"/>
      <c r="CM211" s="1353" t="n"/>
      <c r="CN211" s="1353" t="n"/>
      <c r="CO211" s="1353" t="n"/>
      <c r="CP211" s="1353" t="n"/>
      <c r="CQ211" s="1353" t="n"/>
      <c r="CR211" s="1353" t="n"/>
      <c r="CS211" s="1353" t="n"/>
      <c r="CT211" s="1353" t="n"/>
      <c r="CU211" s="1353" t="n"/>
      <c r="CV211" s="1353" t="n"/>
      <c r="CW211" s="1353" t="n"/>
      <c r="CX211" s="1353" t="n"/>
      <c r="CY211" s="1353" t="n"/>
      <c r="CZ211" s="1353" t="n"/>
      <c r="DA211" s="1353" t="n"/>
      <c r="DB211" s="1353" t="n"/>
      <c r="DC211" s="1353" t="n"/>
      <c r="DD211" s="1353" t="n"/>
      <c r="DE211" s="1353" t="n"/>
      <c r="DF211" s="1353" t="n"/>
      <c r="DG211" s="1353" t="n"/>
      <c r="DH211" s="1353" t="n"/>
      <c r="DI211" s="1353" t="n"/>
      <c r="DJ211" s="1353" t="n"/>
      <c r="DK211" s="1353" t="n"/>
      <c r="DL211" s="1353" t="n"/>
      <c r="DM211" s="1353" t="n"/>
      <c r="DN211" s="1353" t="n"/>
      <c r="DO211" s="1353" t="n"/>
      <c r="DP211" s="1353" t="n"/>
      <c r="DQ211" s="1353" t="n"/>
      <c r="DR211" s="1353" t="n"/>
      <c r="DS211" s="1353" t="n"/>
      <c r="DT211" s="1353" t="n"/>
      <c r="DU211" s="1353" t="n"/>
      <c r="DV211" s="1353" t="n"/>
      <c r="DW211" s="1353" t="n"/>
      <c r="DX211" s="1353" t="n"/>
      <c r="DY211" s="1353" t="n"/>
      <c r="DZ211" s="1353" t="n"/>
      <c r="EA211" s="1353" t="n"/>
      <c r="EB211" s="1353" t="n"/>
      <c r="EC211" s="1353" t="n"/>
      <c r="ED211" s="1353" t="n"/>
      <c r="EE211" s="1353" t="n"/>
      <c r="EF211" s="1353" t="n"/>
      <c r="EG211" s="1353" t="n"/>
      <c r="EH211" s="1353" t="n"/>
      <c r="EI211" s="1353" t="n"/>
      <c r="EJ211" s="1353" t="n"/>
      <c r="EK211" s="1353" t="n"/>
      <c r="EL211" s="1353" t="n"/>
      <c r="EM211" s="1353" t="n"/>
      <c r="EN211" s="1353" t="n"/>
      <c r="EO211" s="1353" t="n"/>
      <c r="EP211" s="1353" t="n"/>
      <c r="EQ211" s="1353" t="n"/>
      <c r="ER211" s="1353" t="n"/>
      <c r="ES211" s="1353" t="n"/>
      <c r="ET211" s="1353" t="n"/>
      <c r="EU211" s="1353" t="n"/>
      <c r="EV211" s="1353" t="n"/>
      <c r="EW211" s="1353" t="n"/>
      <c r="EX211" s="1353" t="n"/>
      <c r="EY211" s="1353" t="n"/>
      <c r="EZ211" s="1353" t="n"/>
      <c r="FA211" s="1353" t="n"/>
      <c r="FB211" s="1353" t="n"/>
      <c r="FC211" s="1353" t="n"/>
      <c r="FD211" s="1353" t="n"/>
      <c r="FE211" s="1353" t="n"/>
      <c r="FF211" s="1353" t="n"/>
      <c r="FG211" s="1353" t="n"/>
      <c r="FH211" s="1353" t="n"/>
      <c r="FI211" s="1353" t="n"/>
      <c r="FJ211" s="1353" t="n"/>
      <c r="FK211" s="1353" t="n"/>
      <c r="FL211" s="1353" t="n"/>
      <c r="FM211" s="1353" t="n"/>
      <c r="FN211" s="1353" t="n"/>
      <c r="FO211" s="1353" t="n"/>
      <c r="FP211" s="1353" t="n"/>
      <c r="FQ211" s="1353" t="n"/>
      <c r="FR211" s="1353" t="n"/>
      <c r="FS211" s="1353" t="n"/>
      <c r="FT211" s="1353" t="n"/>
      <c r="FU211" s="1353" t="n"/>
      <c r="FV211" s="1353" t="n"/>
      <c r="FW211" s="1353" t="n"/>
      <c r="FX211" s="1353" t="n"/>
      <c r="FY211" s="1353" t="n"/>
      <c r="FZ211" s="1353" t="n"/>
      <c r="GA211" s="1353" t="n"/>
      <c r="GB211" s="1353" t="n"/>
      <c r="GC211" s="1353" t="n"/>
      <c r="GD211" s="1353" t="n"/>
      <c r="GE211" s="1353" t="n"/>
      <c r="GF211" s="1353" t="n"/>
      <c r="GG211" s="1353" t="n"/>
      <c r="GH211" s="1353" t="n"/>
      <c r="GI211" s="1353" t="n"/>
      <c r="GJ211" s="1353" t="n"/>
      <c r="GK211" s="1353" t="n"/>
      <c r="GL211" s="1353" t="n"/>
      <c r="GM211" s="1353" t="n"/>
      <c r="GN211" s="1353" t="n"/>
      <c r="GO211" s="1353" t="n"/>
      <c r="GP211" s="1353" t="n"/>
      <c r="GQ211" s="1353" t="n"/>
      <c r="GR211" s="1353" t="n"/>
      <c r="GS211" s="1353" t="n"/>
      <c r="GT211" s="1353" t="n"/>
      <c r="GU211" s="1353" t="n"/>
      <c r="GV211" s="1353" t="n"/>
      <c r="GW211" s="1353" t="n"/>
      <c r="GX211" s="1353" t="n"/>
      <c r="GY211" s="1353" t="n"/>
      <c r="GZ211" s="1353" t="n"/>
      <c r="HA211" s="1353" t="n"/>
      <c r="HB211" s="1353" t="n"/>
      <c r="HC211" s="1353" t="n"/>
      <c r="HD211" s="1353" t="n"/>
      <c r="HE211" s="1353" t="n"/>
      <c r="HF211" s="1353" t="n"/>
      <c r="HG211" s="1353" t="n"/>
      <c r="HH211" s="1353" t="n"/>
      <c r="HI211" s="1353" t="n"/>
      <c r="HJ211" s="1353" t="n"/>
      <c r="HK211" s="1353" t="n"/>
      <c r="HL211" s="1353" t="n"/>
      <c r="HM211" s="1353" t="n"/>
      <c r="HN211" s="1353" t="n"/>
      <c r="HO211" s="1353" t="n"/>
      <c r="HP211" s="1353" t="n"/>
      <c r="HQ211" s="1353" t="n"/>
      <c r="HR211" s="1353" t="n"/>
      <c r="HS211" s="1353" t="n"/>
      <c r="HT211" s="1353" t="n"/>
      <c r="HU211" s="1353" t="n"/>
      <c r="HV211" s="1353" t="n"/>
      <c r="HW211" s="1353" t="n"/>
      <c r="HX211" s="1353" t="n"/>
      <c r="HY211" s="1353" t="n"/>
      <c r="HZ211" s="1353" t="n"/>
      <c r="IA211" s="1353" t="n"/>
      <c r="IB211" s="1353" t="n"/>
      <c r="IC211" s="1353" t="n"/>
      <c r="ID211" s="1353" t="n"/>
      <c r="IE211" s="1353" t="n"/>
      <c r="IF211" s="1353" t="n"/>
      <c r="IG211" s="1353" t="n"/>
      <c r="IH211" s="1353" t="n"/>
      <c r="II211" s="1353" t="n"/>
      <c r="IJ211" s="1353" t="n"/>
      <c r="IK211" s="1353" t="n"/>
      <c r="IL211" s="1353" t="n"/>
      <c r="IM211" s="1353" t="n"/>
      <c r="IN211" s="1353" t="n"/>
      <c r="IO211" s="1353" t="n"/>
      <c r="IP211" s="1353" t="n"/>
      <c r="IQ211" s="1353" t="n"/>
      <c r="IR211" s="1353" t="n"/>
      <c r="IS211" s="1353" t="n"/>
      <c r="LB211" s="634" t="n">
        <v>3640</v>
      </c>
      <c r="LC211" s="634" t="n">
        <v>3345</v>
      </c>
      <c r="LD211" s="634" t="n">
        <v>3595</v>
      </c>
      <c r="LE211" s="634" t="n">
        <v>3734</v>
      </c>
      <c r="LF211" s="634" t="n">
        <v>3917</v>
      </c>
      <c r="LG211" s="634" t="n">
        <v>3713</v>
      </c>
      <c r="LH211" s="634" t="n">
        <v>4117</v>
      </c>
      <c r="LI211" s="634" t="n">
        <v>4309</v>
      </c>
      <c r="LJ211" s="634" t="n">
        <v>3340</v>
      </c>
      <c r="LK211" s="634" t="n">
        <v>4064</v>
      </c>
      <c r="LL211" s="634" t="n">
        <v>3600</v>
      </c>
      <c r="LM211" s="634" t="n">
        <v>4137</v>
      </c>
      <c r="LN211" s="634" t="n">
        <v>4069</v>
      </c>
      <c r="LO211" s="634" t="n">
        <v>3838</v>
      </c>
      <c r="LP211" s="634" t="n">
        <v>4084</v>
      </c>
      <c r="LQ211" s="634" t="n">
        <v>4064</v>
      </c>
      <c r="LR211" s="634" t="n">
        <v>4042</v>
      </c>
      <c r="LS211" s="634" t="n">
        <v>3336</v>
      </c>
    </row>
    <row r="212">
      <c r="A212" s="648" t="inlineStr">
        <is>
          <t>YoY %</t>
        </is>
      </c>
      <c r="B212" s="1353" t="n"/>
      <c r="C212" s="1353" t="n"/>
      <c r="D212" s="1353" t="n"/>
      <c r="E212" s="1353" t="n"/>
      <c r="F212" s="1353" t="n"/>
      <c r="G212" s="1353" t="n"/>
      <c r="H212" s="1353" t="n"/>
      <c r="I212" s="1353" t="n"/>
      <c r="J212" s="1353" t="n"/>
      <c r="K212" s="1353" t="n"/>
      <c r="L212" s="1353" t="n"/>
      <c r="M212" s="1353" t="n"/>
      <c r="N212" s="1353" t="n"/>
      <c r="O212" s="1353" t="n"/>
      <c r="P212" s="1353" t="n"/>
      <c r="Q212" s="1353" t="n"/>
      <c r="R212" s="1353" t="n"/>
      <c r="S212" s="1353" t="n"/>
      <c r="T212" s="1353" t="n"/>
      <c r="U212" s="1353" t="n"/>
      <c r="V212" s="1353" t="n"/>
      <c r="W212" s="1353" t="n"/>
      <c r="X212" s="1353" t="n"/>
      <c r="Y212" s="1353" t="n"/>
      <c r="Z212" s="1353" t="n"/>
      <c r="AA212" s="1353" t="n"/>
      <c r="AB212" s="1353" t="n"/>
      <c r="AC212" s="1353" t="n"/>
      <c r="AD212" s="1353" t="n"/>
      <c r="AE212" s="1353" t="n"/>
      <c r="AF212" s="1353" t="n"/>
      <c r="AG212" s="1353" t="n"/>
      <c r="AH212" s="1353" t="n"/>
      <c r="AI212" s="1353" t="n"/>
      <c r="AJ212" s="1353" t="n"/>
      <c r="AK212" s="1353" t="n"/>
      <c r="AL212" s="1353" t="n"/>
      <c r="AM212" s="1353" t="n"/>
      <c r="AN212" s="1353" t="n"/>
      <c r="AO212" s="1353" t="n"/>
      <c r="AP212" s="1353" t="n"/>
      <c r="AQ212" s="1353" t="n"/>
      <c r="AR212" s="1353" t="n"/>
      <c r="AS212" s="1353" t="n"/>
      <c r="AT212" s="1353" t="n"/>
      <c r="AU212" s="1353" t="n"/>
      <c r="AV212" s="1353" t="n"/>
      <c r="AW212" s="1353" t="n"/>
      <c r="AX212" s="1353" t="n"/>
      <c r="AY212" s="1353" t="n"/>
      <c r="AZ212" s="1353" t="n"/>
      <c r="BA212" s="1353" t="n"/>
      <c r="BB212" s="1353" t="n"/>
      <c r="BC212" s="1353" t="n"/>
      <c r="BD212" s="1353" t="n"/>
      <c r="BE212" s="1353" t="n"/>
      <c r="BF212" s="1353" t="n"/>
      <c r="BG212" s="1353" t="n"/>
      <c r="BH212" s="1353" t="n"/>
      <c r="BI212" s="1353" t="n"/>
      <c r="BJ212" s="1353" t="n"/>
      <c r="BK212" s="1353" t="n"/>
      <c r="BL212" s="1353" t="n"/>
      <c r="BM212" s="1353" t="n"/>
      <c r="BN212" s="1353" t="n"/>
      <c r="BO212" s="1353" t="n"/>
      <c r="BP212" s="1353" t="n"/>
      <c r="BQ212" s="1353" t="n"/>
      <c r="BR212" s="1353" t="n"/>
      <c r="BS212" s="1353" t="n"/>
      <c r="BT212" s="1353" t="n"/>
      <c r="BU212" s="1353" t="n"/>
      <c r="BV212" s="1353" t="n"/>
      <c r="BW212" s="1353" t="n"/>
      <c r="BX212" s="1353" t="n"/>
      <c r="BY212" s="1353" t="n"/>
      <c r="BZ212" s="1353" t="n"/>
      <c r="CA212" s="1353" t="n"/>
      <c r="CB212" s="1353" t="n"/>
      <c r="CC212" s="1353" t="n"/>
      <c r="CD212" s="1353" t="n"/>
      <c r="CE212" s="1353" t="n"/>
      <c r="CF212" s="1353" t="n"/>
      <c r="CG212" s="1353" t="n"/>
      <c r="CH212" s="1353" t="n"/>
      <c r="CI212" s="1353" t="n"/>
      <c r="CJ212" s="1353" t="n"/>
      <c r="CK212" s="1353" t="n"/>
      <c r="CL212" s="1353" t="n"/>
      <c r="CM212" s="1353" t="n"/>
      <c r="CN212" s="1353" t="n"/>
      <c r="CO212" s="1353" t="n"/>
      <c r="CP212" s="1353" t="n"/>
      <c r="CQ212" s="1353" t="n"/>
      <c r="CR212" s="1353" t="n"/>
      <c r="CS212" s="1353" t="n"/>
      <c r="CT212" s="1353" t="n"/>
      <c r="CU212" s="1353" t="n"/>
      <c r="CV212" s="1353" t="n"/>
      <c r="CW212" s="1353" t="n"/>
      <c r="CX212" s="1353" t="n"/>
      <c r="CY212" s="1353" t="n"/>
      <c r="CZ212" s="1353" t="n"/>
      <c r="DA212" s="1353" t="n"/>
      <c r="DB212" s="1353" t="n"/>
      <c r="DC212" s="1353" t="n"/>
      <c r="DD212" s="1353" t="n"/>
      <c r="DE212" s="1353" t="n"/>
      <c r="DF212" s="1353" t="n"/>
      <c r="DG212" s="1353" t="n"/>
      <c r="DH212" s="1353" t="n"/>
      <c r="DI212" s="1353" t="n"/>
      <c r="DJ212" s="1353" t="n"/>
      <c r="DK212" s="1353" t="n"/>
      <c r="DL212" s="1353" t="n"/>
      <c r="DM212" s="1353" t="n"/>
      <c r="DN212" s="1353" t="n"/>
      <c r="DO212" s="1353" t="n"/>
      <c r="DP212" s="1353" t="n"/>
      <c r="DQ212" s="1353" t="n"/>
      <c r="DR212" s="1353" t="n"/>
      <c r="DS212" s="1353" t="n"/>
      <c r="DT212" s="1353" t="n"/>
      <c r="DU212" s="1353" t="n"/>
      <c r="DV212" s="1353" t="n"/>
      <c r="DW212" s="1353" t="n"/>
      <c r="DX212" s="1353" t="n"/>
      <c r="DY212" s="1353" t="n"/>
      <c r="DZ212" s="1353" t="n"/>
      <c r="EA212" s="1353" t="n"/>
      <c r="EB212" s="1353" t="n"/>
      <c r="EC212" s="1353" t="n"/>
      <c r="ED212" s="1353" t="n"/>
      <c r="EE212" s="1353" t="n"/>
      <c r="EF212" s="1353" t="n"/>
      <c r="EG212" s="1353" t="n"/>
      <c r="EH212" s="1353" t="n"/>
      <c r="EI212" s="1353" t="n"/>
      <c r="EJ212" s="1353" t="n"/>
      <c r="EK212" s="1353" t="n"/>
      <c r="EL212" s="1353" t="n"/>
      <c r="EM212" s="1353" t="n"/>
      <c r="EN212" s="1353" t="n"/>
      <c r="EO212" s="1353" t="n"/>
      <c r="EP212" s="1353" t="n"/>
      <c r="EQ212" s="1353" t="n"/>
      <c r="ER212" s="1353" t="n"/>
      <c r="ES212" s="1353" t="n"/>
      <c r="ET212" s="1353" t="n"/>
      <c r="EU212" s="1353" t="n"/>
      <c r="EV212" s="1353" t="n"/>
      <c r="EW212" s="1353" t="n"/>
      <c r="EX212" s="1353" t="n"/>
      <c r="EY212" s="1353" t="n"/>
      <c r="EZ212" s="1353" t="n"/>
      <c r="FA212" s="1353" t="n"/>
      <c r="FB212" s="1353" t="n"/>
      <c r="FC212" s="1353" t="n"/>
      <c r="FD212" s="1353" t="n"/>
      <c r="FE212" s="1353" t="n"/>
      <c r="FF212" s="1353" t="n"/>
      <c r="FG212" s="1353" t="n"/>
      <c r="FH212" s="1353" t="n"/>
      <c r="FI212" s="1353" t="n"/>
      <c r="FJ212" s="1353" t="n"/>
      <c r="FK212" s="1353" t="n"/>
      <c r="FL212" s="1353" t="n"/>
      <c r="FM212" s="1353" t="n"/>
      <c r="FN212" s="1353" t="n"/>
      <c r="FO212" s="1353" t="n"/>
      <c r="FP212" s="1353" t="n"/>
      <c r="FQ212" s="1353" t="n"/>
      <c r="FR212" s="1353" t="n"/>
      <c r="FS212" s="1353" t="n"/>
      <c r="FT212" s="1353" t="n"/>
      <c r="FU212" s="1353" t="n"/>
      <c r="FV212" s="1353" t="n"/>
      <c r="FW212" s="1353" t="n"/>
      <c r="FX212" s="1353" t="n"/>
      <c r="FY212" s="1353" t="n"/>
      <c r="FZ212" s="1353" t="n"/>
      <c r="GA212" s="1353" t="n"/>
      <c r="GB212" s="1353" t="n"/>
      <c r="GC212" s="1353" t="n"/>
      <c r="GD212" s="1353" t="n"/>
      <c r="GE212" s="1353" t="n"/>
      <c r="GF212" s="1353" t="n"/>
      <c r="GG212" s="1353" t="n"/>
      <c r="GH212" s="1353" t="n"/>
      <c r="GI212" s="1353" t="n"/>
      <c r="GJ212" s="1353" t="n"/>
      <c r="GK212" s="1353" t="n"/>
      <c r="GL212" s="1353" t="n"/>
      <c r="GM212" s="1353" t="n"/>
      <c r="GN212" s="1353" t="n"/>
      <c r="GO212" s="1353" t="n"/>
      <c r="GP212" s="1353" t="n"/>
      <c r="GQ212" s="1353" t="n"/>
      <c r="GR212" s="1353" t="n"/>
      <c r="GS212" s="1353" t="n"/>
      <c r="GT212" s="1353" t="n"/>
      <c r="GU212" s="1353" t="n"/>
      <c r="GV212" s="1353" t="n"/>
      <c r="GW212" s="1353" t="n"/>
      <c r="GX212" s="1353" t="n"/>
      <c r="GY212" s="1353" t="n"/>
      <c r="GZ212" s="1353" t="n"/>
      <c r="HA212" s="1353" t="n"/>
      <c r="HB212" s="1353" t="n"/>
      <c r="HC212" s="1353" t="n"/>
      <c r="HD212" s="1353" t="n"/>
      <c r="HE212" s="1353" t="n"/>
      <c r="HF212" s="1353" t="n"/>
      <c r="HG212" s="1353" t="n"/>
      <c r="HH212" s="1353" t="n"/>
      <c r="HI212" s="1353" t="n"/>
      <c r="HJ212" s="1353" t="n"/>
      <c r="HK212" s="1353" t="n"/>
      <c r="HL212" s="1353" t="n"/>
      <c r="HM212" s="1353" t="n"/>
      <c r="HN212" s="1353" t="n"/>
      <c r="HO212" s="1353" t="n"/>
      <c r="HP212" s="1353" t="n"/>
      <c r="HQ212" s="1353" t="n"/>
      <c r="HR212" s="1353" t="n"/>
      <c r="HS212" s="1353" t="n"/>
      <c r="HT212" s="1353" t="n"/>
      <c r="HU212" s="1353" t="n"/>
      <c r="HV212" s="1353" t="n"/>
      <c r="HW212" s="1353" t="n"/>
      <c r="HX212" s="1353" t="n"/>
      <c r="HY212" s="1353" t="n"/>
      <c r="HZ212" s="1353" t="n"/>
      <c r="IA212" s="1353" t="n"/>
      <c r="IB212" s="1353" t="n"/>
      <c r="IC212" s="1353" t="n"/>
      <c r="ID212" s="1353" t="n"/>
      <c r="IE212" s="1353" t="n"/>
      <c r="IF212" s="1353" t="n"/>
      <c r="IG212" s="1353" t="n"/>
      <c r="IH212" s="1353" t="n"/>
      <c r="II212" s="1353" t="n"/>
      <c r="IJ212" s="1353" t="n"/>
      <c r="IK212" s="1353" t="n"/>
      <c r="IL212" s="1353" t="n"/>
      <c r="IM212" s="1353" t="n"/>
      <c r="IN212" s="1353" t="n"/>
      <c r="IO212" s="1353" t="n"/>
      <c r="IP212" s="1353" t="n"/>
      <c r="IQ212" s="1353" t="n"/>
      <c r="IR212" s="1353" t="n"/>
      <c r="IS212" s="1353" t="n"/>
      <c r="LB212" s="1354" t="n">
        <v>0.361</v>
      </c>
      <c r="LC212" s="1354" t="n">
        <v>0.318</v>
      </c>
      <c r="LD212" s="1354" t="n">
        <v>0.316</v>
      </c>
      <c r="LE212" s="1354" t="n">
        <v>0.408</v>
      </c>
      <c r="LF212" s="1354" t="n">
        <v>0.391</v>
      </c>
      <c r="LG212" s="1354" t="n">
        <v>0.322</v>
      </c>
      <c r="LH212" s="1354" t="n">
        <v>0.391</v>
      </c>
      <c r="LI212" s="1354" t="n">
        <v>0.386</v>
      </c>
      <c r="LJ212" s="1354" t="n">
        <v>0.114</v>
      </c>
      <c r="LK212" s="1354" t="n">
        <v>0.324</v>
      </c>
      <c r="LL212" s="1354" t="n">
        <v>0.18</v>
      </c>
      <c r="LM212" s="1354" t="n">
        <v>0.175</v>
      </c>
      <c r="LN212" s="1354" t="n">
        <v>0.118</v>
      </c>
      <c r="LO212" s="1354" t="n">
        <v>0.147</v>
      </c>
      <c r="LP212" s="1345">
        <f>LP211/LD211-1</f>
        <v/>
      </c>
      <c r="LQ212" s="1345">
        <f>LQ211/LE211-1</f>
        <v/>
      </c>
      <c r="LR212" s="1345">
        <f>LR211/LF211-1</f>
        <v/>
      </c>
      <c r="LS212" s="1345">
        <f>LS211/LG211-1</f>
        <v/>
      </c>
    </row>
    <row r="213">
      <c r="A213" s="648" t="inlineStr">
        <is>
          <t>YTD YoY %</t>
        </is>
      </c>
      <c r="B213" s="1353" t="n"/>
      <c r="C213" s="1353" t="n"/>
      <c r="D213" s="1353" t="n"/>
      <c r="E213" s="1353" t="n"/>
      <c r="F213" s="1353" t="n"/>
      <c r="G213" s="1353" t="n"/>
      <c r="H213" s="1353" t="n"/>
      <c r="I213" s="1353" t="n"/>
      <c r="J213" s="1353" t="n"/>
      <c r="K213" s="1353" t="n"/>
      <c r="L213" s="1353" t="n"/>
      <c r="M213" s="1353" t="n"/>
      <c r="N213" s="1353" t="n"/>
      <c r="O213" s="1353" t="n"/>
      <c r="P213" s="1353" t="n"/>
      <c r="Q213" s="1353" t="n"/>
      <c r="R213" s="1353" t="n"/>
      <c r="S213" s="1353" t="n"/>
      <c r="T213" s="1353" t="n"/>
      <c r="U213" s="1353" t="n"/>
      <c r="V213" s="1353" t="n"/>
      <c r="W213" s="1353" t="n"/>
      <c r="X213" s="1353" t="n"/>
      <c r="Y213" s="1353" t="n"/>
      <c r="Z213" s="1353" t="n"/>
      <c r="AA213" s="1353" t="n"/>
      <c r="AB213" s="1353" t="n"/>
      <c r="AC213" s="1353" t="n"/>
      <c r="AD213" s="1353" t="n"/>
      <c r="AE213" s="1353" t="n"/>
      <c r="AF213" s="1353" t="n"/>
      <c r="AG213" s="1353" t="n"/>
      <c r="AH213" s="1353" t="n"/>
      <c r="AI213" s="1353" t="n"/>
      <c r="AJ213" s="1353" t="n"/>
      <c r="AK213" s="1353" t="n"/>
      <c r="AL213" s="1353" t="n"/>
      <c r="AM213" s="1353" t="n"/>
      <c r="AN213" s="1353" t="n"/>
      <c r="AO213" s="1353" t="n"/>
      <c r="AP213" s="1353" t="n"/>
      <c r="AQ213" s="1353" t="n"/>
      <c r="AR213" s="1353" t="n"/>
      <c r="AS213" s="1353" t="n"/>
      <c r="AT213" s="1353" t="n"/>
      <c r="AU213" s="1353" t="n"/>
      <c r="AV213" s="1353" t="n"/>
      <c r="AW213" s="1353" t="n"/>
      <c r="AX213" s="1353" t="n"/>
      <c r="AY213" s="1353" t="n"/>
      <c r="AZ213" s="1353" t="n"/>
      <c r="BA213" s="1353" t="n"/>
      <c r="BB213" s="1353" t="n"/>
      <c r="BC213" s="1353" t="n"/>
      <c r="BD213" s="1353" t="n"/>
      <c r="BE213" s="1353" t="n"/>
      <c r="BF213" s="1353" t="n"/>
      <c r="BG213" s="1353" t="n"/>
      <c r="BH213" s="1353" t="n"/>
      <c r="BI213" s="1353" t="n"/>
      <c r="BJ213" s="1353" t="n"/>
      <c r="BK213" s="1353" t="n"/>
      <c r="BL213" s="1353" t="n"/>
      <c r="BM213" s="1353" t="n"/>
      <c r="BN213" s="1353" t="n"/>
      <c r="BO213" s="1353" t="n"/>
      <c r="BP213" s="1353" t="n"/>
      <c r="BQ213" s="1353" t="n"/>
      <c r="BR213" s="1353" t="n"/>
      <c r="BS213" s="1353" t="n"/>
      <c r="BT213" s="1353" t="n"/>
      <c r="BU213" s="1353" t="n"/>
      <c r="BV213" s="1353" t="n"/>
      <c r="BW213" s="1353" t="n"/>
      <c r="BX213" s="1353" t="n"/>
      <c r="BY213" s="1353" t="n"/>
      <c r="BZ213" s="1353" t="n"/>
      <c r="CA213" s="1353" t="n"/>
      <c r="CB213" s="1353" t="n"/>
      <c r="CC213" s="1353" t="n"/>
      <c r="CD213" s="1353" t="n"/>
      <c r="CE213" s="1353" t="n"/>
      <c r="CF213" s="1353" t="n"/>
      <c r="CG213" s="1353" t="n"/>
      <c r="CH213" s="1353" t="n"/>
      <c r="CI213" s="1353" t="n"/>
      <c r="CJ213" s="1353" t="n"/>
      <c r="CK213" s="1353" t="n"/>
      <c r="CL213" s="1353" t="n"/>
      <c r="CM213" s="1353" t="n"/>
      <c r="CN213" s="1353" t="n"/>
      <c r="CO213" s="1353" t="n"/>
      <c r="CP213" s="1353" t="n"/>
      <c r="CQ213" s="1353" t="n"/>
      <c r="CR213" s="1353" t="n"/>
      <c r="CS213" s="1353" t="n"/>
      <c r="CT213" s="1353" t="n"/>
      <c r="CU213" s="1353" t="n"/>
      <c r="CV213" s="1353" t="n"/>
      <c r="CW213" s="1353" t="n"/>
      <c r="CX213" s="1353" t="n"/>
      <c r="CY213" s="1353" t="n"/>
      <c r="CZ213" s="1353" t="n"/>
      <c r="DA213" s="1353" t="n"/>
      <c r="DB213" s="1353" t="n"/>
      <c r="DC213" s="1353" t="n"/>
      <c r="DD213" s="1353" t="n"/>
      <c r="DE213" s="1353" t="n"/>
      <c r="DF213" s="1353" t="n"/>
      <c r="DG213" s="1353" t="n"/>
      <c r="DH213" s="1353" t="n"/>
      <c r="DI213" s="1353" t="n"/>
      <c r="DJ213" s="1353" t="n"/>
      <c r="DK213" s="1353" t="n"/>
      <c r="DL213" s="1353" t="n"/>
      <c r="DM213" s="1353" t="n"/>
      <c r="DN213" s="1353" t="n"/>
      <c r="DO213" s="1353" t="n"/>
      <c r="DP213" s="1353" t="n"/>
      <c r="DQ213" s="1353" t="n"/>
      <c r="DR213" s="1353" t="n"/>
      <c r="DS213" s="1353" t="n"/>
      <c r="DT213" s="1353" t="n"/>
      <c r="DU213" s="1353" t="n"/>
      <c r="DV213" s="1353" t="n"/>
      <c r="DW213" s="1353" t="n"/>
      <c r="DX213" s="1353" t="n"/>
      <c r="DY213" s="1353" t="n"/>
      <c r="DZ213" s="1353" t="n"/>
      <c r="EA213" s="1353" t="n"/>
      <c r="EB213" s="1353" t="n"/>
      <c r="EC213" s="1353" t="n"/>
      <c r="ED213" s="1353" t="n"/>
      <c r="EE213" s="1353" t="n"/>
      <c r="EF213" s="1353" t="n"/>
      <c r="EG213" s="1353" t="n"/>
      <c r="EH213" s="1353" t="n"/>
      <c r="EI213" s="1353" t="n"/>
      <c r="EJ213" s="1353" t="n"/>
      <c r="EK213" s="1353" t="n"/>
      <c r="EL213" s="1353" t="n"/>
      <c r="EM213" s="1353" t="n"/>
      <c r="EN213" s="1353" t="n"/>
      <c r="EO213" s="1353" t="n"/>
      <c r="EP213" s="1353" t="n"/>
      <c r="EQ213" s="1353" t="n"/>
      <c r="ER213" s="1353" t="n"/>
      <c r="ES213" s="1353" t="n"/>
      <c r="ET213" s="1353" t="n"/>
      <c r="EU213" s="1353" t="n"/>
      <c r="EV213" s="1353" t="n"/>
      <c r="EW213" s="1353" t="n"/>
      <c r="EX213" s="1353" t="n"/>
      <c r="EY213" s="1353" t="n"/>
      <c r="EZ213" s="1353" t="n"/>
      <c r="FA213" s="1353" t="n"/>
      <c r="FB213" s="1353" t="n"/>
      <c r="FC213" s="1353" t="n"/>
      <c r="FD213" s="1353" t="n"/>
      <c r="FE213" s="1353" t="n"/>
      <c r="FF213" s="1353" t="n"/>
      <c r="FG213" s="1353" t="n"/>
      <c r="FH213" s="1353" t="n"/>
      <c r="FI213" s="1353" t="n"/>
      <c r="FJ213" s="1353" t="n"/>
      <c r="FK213" s="1353" t="n"/>
      <c r="FL213" s="1353" t="n"/>
      <c r="FM213" s="1353" t="n"/>
      <c r="FN213" s="1353" t="n"/>
      <c r="FO213" s="1353" t="n"/>
      <c r="FP213" s="1353" t="n"/>
      <c r="FQ213" s="1353" t="n"/>
      <c r="FR213" s="1353" t="n"/>
      <c r="FS213" s="1353" t="n"/>
      <c r="FT213" s="1353" t="n"/>
      <c r="FU213" s="1353" t="n"/>
      <c r="FV213" s="1353" t="n"/>
      <c r="FW213" s="1353" t="n"/>
      <c r="FX213" s="1353" t="n"/>
      <c r="FY213" s="1353" t="n"/>
      <c r="FZ213" s="1353" t="n"/>
      <c r="GA213" s="1353" t="n"/>
      <c r="GB213" s="1353" t="n"/>
      <c r="GC213" s="1353" t="n"/>
      <c r="GD213" s="1353" t="n"/>
      <c r="GE213" s="1353" t="n"/>
      <c r="GF213" s="1353" t="n"/>
      <c r="GG213" s="1353" t="n"/>
      <c r="GH213" s="1353" t="n"/>
      <c r="GI213" s="1353" t="n"/>
      <c r="GJ213" s="1353" t="n"/>
      <c r="GK213" s="1353" t="n"/>
      <c r="GL213" s="1353" t="n"/>
      <c r="GM213" s="1353" t="n"/>
      <c r="GN213" s="1353" t="n"/>
      <c r="GO213" s="1353" t="n"/>
      <c r="GP213" s="1353" t="n"/>
      <c r="GQ213" s="1353" t="n"/>
      <c r="GR213" s="1353" t="n"/>
      <c r="GS213" s="1353" t="n"/>
      <c r="GT213" s="1353" t="n"/>
      <c r="GU213" s="1353" t="n"/>
      <c r="GV213" s="1353" t="n"/>
      <c r="GW213" s="1353" t="n"/>
      <c r="GX213" s="1353" t="n"/>
      <c r="GY213" s="1353" t="n"/>
      <c r="GZ213" s="1353" t="n"/>
      <c r="HA213" s="1353" t="n"/>
      <c r="HB213" s="1353" t="n"/>
      <c r="HC213" s="1353" t="n"/>
      <c r="HD213" s="1353" t="n"/>
      <c r="HE213" s="1353" t="n"/>
      <c r="HF213" s="1353" t="n"/>
      <c r="HG213" s="1353" t="n"/>
      <c r="HH213" s="1353" t="n"/>
      <c r="HI213" s="1353" t="n"/>
      <c r="HJ213" s="1353" t="n"/>
      <c r="HK213" s="1353" t="n"/>
      <c r="HL213" s="1353" t="n"/>
      <c r="HM213" s="1353" t="n"/>
      <c r="HN213" s="1353" t="n"/>
      <c r="HO213" s="1353" t="n"/>
      <c r="HP213" s="1353" t="n"/>
      <c r="HQ213" s="1353" t="n"/>
      <c r="HR213" s="1353" t="n"/>
      <c r="HS213" s="1353" t="n"/>
      <c r="HT213" s="1353" t="n"/>
      <c r="HU213" s="1353" t="n"/>
      <c r="HV213" s="1353" t="n"/>
      <c r="HW213" s="1353" t="n"/>
      <c r="HX213" s="1353" t="n"/>
      <c r="HY213" s="1353" t="n"/>
      <c r="HZ213" s="1353" t="n"/>
      <c r="IA213" s="1353" t="n"/>
      <c r="IB213" s="1353" t="n"/>
      <c r="IC213" s="1353" t="n"/>
      <c r="ID213" s="1353" t="n"/>
      <c r="IE213" s="1353" t="n"/>
      <c r="IF213" s="1353" t="n"/>
      <c r="IG213" s="1353" t="n"/>
      <c r="IH213" s="1353" t="n"/>
      <c r="II213" s="1353" t="n"/>
      <c r="IJ213" s="1353" t="n"/>
      <c r="IK213" s="1353" t="n"/>
      <c r="IL213" s="1353" t="n"/>
      <c r="IM213" s="1353" t="n"/>
      <c r="IN213" s="1353" t="n"/>
      <c r="IO213" s="1353" t="n"/>
      <c r="IP213" s="1353" t="n"/>
      <c r="IQ213" s="1353" t="n"/>
      <c r="IR213" s="1353" t="n"/>
      <c r="IS213" s="1353" t="n"/>
      <c r="LB213" s="1354" t="n">
        <v>0.361</v>
      </c>
      <c r="LC213" s="1354" t="n">
        <v>0.34</v>
      </c>
      <c r="LD213" s="1354" t="n">
        <v>0.332</v>
      </c>
      <c r="LE213" s="1354" t="n">
        <v>0.351</v>
      </c>
      <c r="LF213" s="1354" t="n">
        <v>0.359</v>
      </c>
      <c r="LG213" s="1354" t="n">
        <v>0.353</v>
      </c>
      <c r="LH213" s="1354" t="n">
        <v>0.359</v>
      </c>
      <c r="LI213" s="1354" t="n">
        <v>0.362</v>
      </c>
      <c r="LJ213" s="1354" t="n">
        <v>0.333</v>
      </c>
      <c r="LK213" s="1354" t="n">
        <v>0.332</v>
      </c>
      <c r="LL213" s="1354" t="n">
        <v>0.317</v>
      </c>
      <c r="LM213" s="1354" t="n">
        <v>0.303</v>
      </c>
      <c r="LN213" s="1354" t="n">
        <v>0.118</v>
      </c>
      <c r="LO213" s="1354" t="n">
        <v>0.132</v>
      </c>
      <c r="LP213" s="1355">
        <f>SUMIFS(211:211,$8:$8,"&gt;="&amp;DATE(YEAR(LP$8),1,1),$8:$8,"&lt;="&amp;EOMONTH(LP$8,0))/SUMIFS(211:211,$8:$8,"&gt;="&amp;DATE(YEAR(LP$8)-1,1,1),$8:$8,"&lt;="&amp;EOMONTH(LP$8,-12))-1</f>
        <v/>
      </c>
      <c r="LQ213" s="1355">
        <f>SUMIFS(211:211,$8:$8,"&gt;="&amp;DATE(YEAR(LQ$8),1,1),$8:$8,"&lt;="&amp;EOMONTH(LQ$8,0))/SUMIFS(211:211,$8:$8,"&gt;="&amp;DATE(YEAR(LQ$8)-1,1,1),$8:$8,"&lt;="&amp;EOMONTH(LQ$8,-12))-1</f>
        <v/>
      </c>
      <c r="LR213" s="1355">
        <f>SUMIFS(211:211,$8:$8,"&gt;="&amp;DATE(YEAR(LR$8),1,1),$8:$8,"&lt;="&amp;EOMONTH(LR$8,0))/SUMIFS(211:211,$8:$8,"&gt;="&amp;DATE(YEAR(LR$8)-1,1,1),$8:$8,"&lt;="&amp;EOMONTH(LR$8,-12))-1</f>
        <v/>
      </c>
      <c r="LS213" s="1355">
        <f>SUMIFS(211:211,$8:$8,"&gt;="&amp;DATE(YEAR(LS$8),1,1),$8:$8,"&lt;="&amp;EOMONTH(LS$8,0))/SUMIFS(211:211,$8:$8,"&gt;="&amp;DATE(YEAR(LS$8)-1,1,1),$8:$8,"&lt;="&amp;EOMONTH(LS$8,-12))-1</f>
        <v/>
      </c>
    </row>
    <row r="214">
      <c r="A214" s="562" t="inlineStr">
        <is>
          <t>Passengers carried</t>
        </is>
      </c>
      <c r="B214" s="1353" t="n"/>
      <c r="C214" s="1353" t="n"/>
      <c r="D214" s="1353" t="n"/>
      <c r="E214" s="1353" t="n"/>
      <c r="F214" s="1353" t="n"/>
      <c r="G214" s="1353" t="n"/>
      <c r="H214" s="1353" t="n"/>
      <c r="I214" s="1353" t="n"/>
      <c r="J214" s="1353" t="n"/>
      <c r="K214" s="1353" t="n"/>
      <c r="L214" s="1353" t="n"/>
      <c r="M214" s="1353" t="n"/>
      <c r="N214" s="1353" t="n"/>
      <c r="O214" s="1353" t="n"/>
      <c r="P214" s="1353" t="n"/>
      <c r="Q214" s="1353" t="n"/>
      <c r="R214" s="1353" t="n"/>
      <c r="S214" s="1353" t="n"/>
      <c r="T214" s="1353" t="n"/>
      <c r="U214" s="1353" t="n"/>
      <c r="V214" s="1353" t="n"/>
      <c r="W214" s="1353" t="n"/>
      <c r="X214" s="1353" t="n"/>
      <c r="Y214" s="1353" t="n"/>
      <c r="Z214" s="1353" t="n"/>
      <c r="AA214" s="1353" t="n"/>
      <c r="AB214" s="1353" t="n"/>
      <c r="AC214" s="1353" t="n"/>
      <c r="AD214" s="1353" t="n"/>
      <c r="AE214" s="1353" t="n"/>
      <c r="AF214" s="1353" t="n"/>
      <c r="AG214" s="1353" t="n"/>
      <c r="AH214" s="1353" t="n"/>
      <c r="AI214" s="1353" t="n"/>
      <c r="AJ214" s="1353" t="n"/>
      <c r="AK214" s="1353" t="n"/>
      <c r="AL214" s="1353" t="n"/>
      <c r="AM214" s="1353" t="n"/>
      <c r="AN214" s="1353" t="n"/>
      <c r="AO214" s="1353" t="n"/>
      <c r="AP214" s="1353" t="n"/>
      <c r="AQ214" s="1353" t="n"/>
      <c r="AR214" s="1353" t="n"/>
      <c r="AS214" s="1353" t="n"/>
      <c r="AT214" s="1353" t="n"/>
      <c r="AU214" s="1353" t="n"/>
      <c r="AV214" s="1353" t="n"/>
      <c r="AW214" s="1353" t="n"/>
      <c r="AX214" s="1353" t="n"/>
      <c r="AY214" s="1353" t="n"/>
      <c r="AZ214" s="1353" t="n"/>
      <c r="BA214" s="1353" t="n"/>
      <c r="BB214" s="1353" t="n"/>
      <c r="BC214" s="1353" t="n"/>
      <c r="BD214" s="1353" t="n"/>
      <c r="BE214" s="1353" t="n"/>
      <c r="BF214" s="1353" t="n"/>
      <c r="BG214" s="1353" t="n"/>
      <c r="BH214" s="1353" t="n"/>
      <c r="BI214" s="1353" t="n"/>
      <c r="BJ214" s="1353" t="n"/>
      <c r="BK214" s="1353" t="n"/>
      <c r="BL214" s="1353" t="n"/>
      <c r="BM214" s="1353" t="n"/>
      <c r="BN214" s="1353" t="n"/>
      <c r="BO214" s="1353" t="n"/>
      <c r="BP214" s="1353" t="n"/>
      <c r="BQ214" s="1353" t="n"/>
      <c r="BR214" s="1353" t="n"/>
      <c r="BS214" s="1353" t="n"/>
      <c r="BT214" s="1353" t="n"/>
      <c r="BU214" s="1353" t="n"/>
      <c r="BV214" s="1353" t="n"/>
      <c r="BW214" s="1353" t="n"/>
      <c r="BX214" s="1353" t="n"/>
      <c r="BY214" s="1353" t="n"/>
      <c r="BZ214" s="1353" t="n"/>
      <c r="CA214" s="1353" t="n"/>
      <c r="CB214" s="1353" t="n"/>
      <c r="CC214" s="1353" t="n"/>
      <c r="CD214" s="1353" t="n"/>
      <c r="CE214" s="1353" t="n"/>
      <c r="CF214" s="1353" t="n"/>
      <c r="CG214" s="1353" t="n"/>
      <c r="CH214" s="1353" t="n"/>
      <c r="CI214" s="1353" t="n"/>
      <c r="CJ214" s="1353" t="n"/>
      <c r="CK214" s="1353" t="n"/>
      <c r="CL214" s="1353" t="n"/>
      <c r="CM214" s="1353" t="n"/>
      <c r="CN214" s="1353" t="n"/>
      <c r="CO214" s="1353" t="n"/>
      <c r="CP214" s="1353" t="n"/>
      <c r="CQ214" s="1353" t="n"/>
      <c r="CR214" s="1353" t="n"/>
      <c r="CS214" s="1353" t="n"/>
      <c r="CT214" s="1353" t="n"/>
      <c r="CU214" s="1353" t="n"/>
      <c r="CV214" s="1353" t="n"/>
      <c r="CW214" s="1353" t="n"/>
      <c r="CX214" s="1353" t="n"/>
      <c r="CY214" s="1353" t="n"/>
      <c r="CZ214" s="1353" t="n"/>
      <c r="DA214" s="1353" t="n"/>
      <c r="DB214" s="1353" t="n"/>
      <c r="DC214" s="1353" t="n"/>
      <c r="DD214" s="1353" t="n"/>
      <c r="DE214" s="1353" t="n"/>
      <c r="DF214" s="1353" t="n"/>
      <c r="DG214" s="1353" t="n"/>
      <c r="DH214" s="1353" t="n"/>
      <c r="DI214" s="1353" t="n"/>
      <c r="DJ214" s="1353" t="n"/>
      <c r="DK214" s="1353" t="n"/>
      <c r="DL214" s="1353" t="n"/>
      <c r="DM214" s="1353" t="n"/>
      <c r="DN214" s="1353" t="n"/>
      <c r="DO214" s="1353" t="n"/>
      <c r="DP214" s="1353" t="n"/>
      <c r="DQ214" s="1353" t="n"/>
      <c r="DR214" s="1353" t="n"/>
      <c r="DS214" s="1353" t="n"/>
      <c r="DT214" s="1353" t="n"/>
      <c r="DU214" s="1353" t="n"/>
      <c r="DV214" s="1353" t="n"/>
      <c r="DW214" s="1353" t="n"/>
      <c r="DX214" s="1353" t="n"/>
      <c r="DY214" s="1353" t="n"/>
      <c r="DZ214" s="1353" t="n"/>
      <c r="EA214" s="1353" t="n"/>
      <c r="EB214" s="1353" t="n"/>
      <c r="EC214" s="1353" t="n"/>
      <c r="ED214" s="1353" t="n"/>
      <c r="EE214" s="1353" t="n"/>
      <c r="EF214" s="1353" t="n"/>
      <c r="EG214" s="1353" t="n"/>
      <c r="EH214" s="1353" t="n"/>
      <c r="EI214" s="1353" t="n"/>
      <c r="EJ214" s="1353" t="n"/>
      <c r="EK214" s="1353" t="n"/>
      <c r="EL214" s="1353" t="n"/>
      <c r="EM214" s="1353" t="n"/>
      <c r="EN214" s="1353" t="n"/>
      <c r="EO214" s="1353" t="n"/>
      <c r="EP214" s="1353" t="n"/>
      <c r="EQ214" s="1353" t="n"/>
      <c r="ER214" s="1353" t="n"/>
      <c r="ES214" s="1353" t="n"/>
      <c r="ET214" s="1353" t="n"/>
      <c r="EU214" s="1353" t="n"/>
      <c r="EV214" s="1353" t="n"/>
      <c r="EW214" s="1353" t="n"/>
      <c r="EX214" s="1353" t="n"/>
      <c r="EY214" s="1353" t="n"/>
      <c r="EZ214" s="1353" t="n"/>
      <c r="FA214" s="1353" t="n"/>
      <c r="FB214" s="1353" t="n"/>
      <c r="FC214" s="1353" t="n"/>
      <c r="FD214" s="1353" t="n"/>
      <c r="FE214" s="1353" t="n"/>
      <c r="FF214" s="1353" t="n"/>
      <c r="FG214" s="1353" t="n"/>
      <c r="FH214" s="1353" t="n"/>
      <c r="FI214" s="1353" t="n"/>
      <c r="FJ214" s="1353" t="n"/>
      <c r="FK214" s="1353" t="n"/>
      <c r="FL214" s="1353" t="n"/>
      <c r="FM214" s="1353" t="n"/>
      <c r="FN214" s="1353" t="n"/>
      <c r="FO214" s="1353" t="n"/>
      <c r="FP214" s="1353" t="n"/>
      <c r="FQ214" s="1353" t="n"/>
      <c r="FR214" s="1353" t="n"/>
      <c r="FS214" s="1353" t="n"/>
      <c r="FT214" s="1353" t="n"/>
      <c r="FU214" s="1353" t="n"/>
      <c r="FV214" s="1353" t="n"/>
      <c r="FW214" s="1353" t="n"/>
      <c r="FX214" s="1353" t="n"/>
      <c r="FY214" s="1353" t="n"/>
      <c r="FZ214" s="1353" t="n"/>
      <c r="GA214" s="1353" t="n"/>
      <c r="GB214" s="1353" t="n"/>
      <c r="GC214" s="1353" t="n"/>
      <c r="GD214" s="1353" t="n"/>
      <c r="GE214" s="1353" t="n"/>
      <c r="GF214" s="1353" t="n"/>
      <c r="GG214" s="1353" t="n"/>
      <c r="GH214" s="1353" t="n"/>
      <c r="GI214" s="1353" t="n"/>
      <c r="GJ214" s="1353" t="n"/>
      <c r="GK214" s="1353" t="n"/>
      <c r="GL214" s="1353" t="n"/>
      <c r="GM214" s="1353" t="n"/>
      <c r="GN214" s="1353" t="n"/>
      <c r="GO214" s="1353" t="n"/>
      <c r="GP214" s="1353" t="n"/>
      <c r="GQ214" s="1353" t="n"/>
      <c r="GR214" s="1353" t="n"/>
      <c r="GS214" s="1353" t="n"/>
      <c r="GT214" s="1353" t="n"/>
      <c r="GU214" s="1353" t="n"/>
      <c r="GV214" s="1353" t="n"/>
      <c r="GW214" s="1353" t="n"/>
      <c r="GX214" s="1353" t="n"/>
      <c r="GY214" s="1353" t="n"/>
      <c r="GZ214" s="1353" t="n"/>
      <c r="HA214" s="1353" t="n"/>
      <c r="HB214" s="1353" t="n"/>
      <c r="HC214" s="1353" t="n"/>
      <c r="HD214" s="1353" t="n"/>
      <c r="HE214" s="1353" t="n"/>
      <c r="HF214" s="1353" t="n"/>
      <c r="HG214" s="1353" t="n"/>
      <c r="HH214" s="1353" t="n"/>
      <c r="HI214" s="1353" t="n"/>
      <c r="HJ214" s="1353" t="n"/>
      <c r="HK214" s="1353" t="n"/>
      <c r="HL214" s="1353" t="n"/>
      <c r="HM214" s="1353" t="n"/>
      <c r="HN214" s="1353" t="n"/>
      <c r="HO214" s="1353" t="n"/>
      <c r="HP214" s="1353" t="n"/>
      <c r="HQ214" s="1353" t="n"/>
      <c r="HR214" s="1353" t="n"/>
      <c r="HS214" s="1353" t="n"/>
      <c r="HT214" s="1353" t="n"/>
      <c r="HU214" s="1353" t="n"/>
      <c r="HV214" s="1353" t="n"/>
      <c r="HW214" s="1353" t="n"/>
      <c r="HX214" s="1353" t="n"/>
      <c r="HY214" s="1353" t="n"/>
      <c r="HZ214" s="1353" t="n"/>
      <c r="IA214" s="1353" t="n"/>
      <c r="IB214" s="1353" t="n"/>
      <c r="IC214" s="1353" t="n"/>
      <c r="ID214" s="1353" t="n"/>
      <c r="IE214" s="1353" t="n"/>
      <c r="IF214" s="1353" t="n"/>
      <c r="IG214" s="1353" t="n"/>
      <c r="IH214" s="1353" t="n"/>
      <c r="II214" s="1353" t="n"/>
      <c r="IJ214" s="1353" t="n"/>
      <c r="IK214" s="1353" t="n"/>
      <c r="IL214" s="1353" t="n"/>
      <c r="IM214" s="1353" t="n"/>
      <c r="IN214" s="1353" t="n"/>
      <c r="IO214" s="1353" t="n"/>
      <c r="IP214" s="1353" t="n"/>
      <c r="IQ214" s="1353" t="n"/>
      <c r="IR214" s="1353" t="n"/>
      <c r="IS214" s="1353" t="n"/>
      <c r="LB214" s="634" t="n">
        <v>667079</v>
      </c>
      <c r="LC214" s="634" t="n">
        <v>585941</v>
      </c>
      <c r="LD214" s="634" t="n">
        <v>616098</v>
      </c>
      <c r="LE214" s="634" t="n">
        <v>695607</v>
      </c>
      <c r="LF214" s="634" t="n">
        <v>643322</v>
      </c>
      <c r="LG214" s="634" t="n">
        <v>582886</v>
      </c>
      <c r="LH214" s="634" t="n">
        <v>685784</v>
      </c>
      <c r="LI214" s="634" t="n">
        <v>802091</v>
      </c>
      <c r="LJ214" s="634" t="n">
        <v>529216</v>
      </c>
      <c r="LK214" s="634" t="n">
        <v>683476</v>
      </c>
      <c r="LL214" s="634" t="n">
        <v>639120</v>
      </c>
      <c r="LM214" s="634" t="n">
        <v>781542</v>
      </c>
      <c r="LN214" s="634" t="n">
        <v>717561</v>
      </c>
      <c r="LO214" s="634" t="n">
        <v>730402</v>
      </c>
      <c r="LP214" s="634" t="n">
        <v>750668</v>
      </c>
      <c r="LQ214" s="634" t="n">
        <v>729846</v>
      </c>
      <c r="LR214" s="634" t="n">
        <v>674397</v>
      </c>
      <c r="LS214" s="634" t="n">
        <v>560494</v>
      </c>
    </row>
    <row r="215">
      <c r="A215" s="648" t="inlineStr">
        <is>
          <t>YoY %</t>
        </is>
      </c>
      <c r="B215" s="1353" t="n"/>
      <c r="C215" s="1353" t="n"/>
      <c r="D215" s="1353" t="n"/>
      <c r="E215" s="1353" t="n"/>
      <c r="F215" s="1353" t="n"/>
      <c r="G215" s="1353" t="n"/>
      <c r="H215" s="1353" t="n"/>
      <c r="I215" s="1353" t="n"/>
      <c r="J215" s="1353" t="n"/>
      <c r="K215" s="1353" t="n"/>
      <c r="L215" s="1353" t="n"/>
      <c r="M215" s="1353" t="n"/>
      <c r="N215" s="1353" t="n"/>
      <c r="O215" s="1353" t="n"/>
      <c r="P215" s="1353" t="n"/>
      <c r="Q215" s="1353" t="n"/>
      <c r="R215" s="1353" t="n"/>
      <c r="S215" s="1353" t="n"/>
      <c r="T215" s="1353" t="n"/>
      <c r="U215" s="1353" t="n"/>
      <c r="V215" s="1353" t="n"/>
      <c r="W215" s="1353" t="n"/>
      <c r="X215" s="1353" t="n"/>
      <c r="Y215" s="1353" t="n"/>
      <c r="Z215" s="1353" t="n"/>
      <c r="AA215" s="1353" t="n"/>
      <c r="AB215" s="1353" t="n"/>
      <c r="AC215" s="1353" t="n"/>
      <c r="AD215" s="1353" t="n"/>
      <c r="AE215" s="1353" t="n"/>
      <c r="AF215" s="1353" t="n"/>
      <c r="AG215" s="1353" t="n"/>
      <c r="AH215" s="1353" t="n"/>
      <c r="AI215" s="1353" t="n"/>
      <c r="AJ215" s="1353" t="n"/>
      <c r="AK215" s="1353" t="n"/>
      <c r="AL215" s="1353" t="n"/>
      <c r="AM215" s="1353" t="n"/>
      <c r="AN215" s="1353" t="n"/>
      <c r="AO215" s="1353" t="n"/>
      <c r="AP215" s="1353" t="n"/>
      <c r="AQ215" s="1353" t="n"/>
      <c r="AR215" s="1353" t="n"/>
      <c r="AS215" s="1353" t="n"/>
      <c r="AT215" s="1353" t="n"/>
      <c r="AU215" s="1353" t="n"/>
      <c r="AV215" s="1353" t="n"/>
      <c r="AW215" s="1353" t="n"/>
      <c r="AX215" s="1353" t="n"/>
      <c r="AY215" s="1353" t="n"/>
      <c r="AZ215" s="1353" t="n"/>
      <c r="BA215" s="1353" t="n"/>
      <c r="BB215" s="1353" t="n"/>
      <c r="BC215" s="1353" t="n"/>
      <c r="BD215" s="1353" t="n"/>
      <c r="BE215" s="1353" t="n"/>
      <c r="BF215" s="1353" t="n"/>
      <c r="BG215" s="1353" t="n"/>
      <c r="BH215" s="1353" t="n"/>
      <c r="BI215" s="1353" t="n"/>
      <c r="BJ215" s="1353" t="n"/>
      <c r="BK215" s="1353" t="n"/>
      <c r="BL215" s="1353" t="n"/>
      <c r="BM215" s="1353" t="n"/>
      <c r="BN215" s="1353" t="n"/>
      <c r="BO215" s="1353" t="n"/>
      <c r="BP215" s="1353" t="n"/>
      <c r="BQ215" s="1353" t="n"/>
      <c r="BR215" s="1353" t="n"/>
      <c r="BS215" s="1353" t="n"/>
      <c r="BT215" s="1353" t="n"/>
      <c r="BU215" s="1353" t="n"/>
      <c r="BV215" s="1353" t="n"/>
      <c r="BW215" s="1353" t="n"/>
      <c r="BX215" s="1353" t="n"/>
      <c r="BY215" s="1353" t="n"/>
      <c r="BZ215" s="1353" t="n"/>
      <c r="CA215" s="1353" t="n"/>
      <c r="CB215" s="1353" t="n"/>
      <c r="CC215" s="1353" t="n"/>
      <c r="CD215" s="1353" t="n"/>
      <c r="CE215" s="1353" t="n"/>
      <c r="CF215" s="1353" t="n"/>
      <c r="CG215" s="1353" t="n"/>
      <c r="CH215" s="1353" t="n"/>
      <c r="CI215" s="1353" t="n"/>
      <c r="CJ215" s="1353" t="n"/>
      <c r="CK215" s="1353" t="n"/>
      <c r="CL215" s="1353" t="n"/>
      <c r="CM215" s="1353" t="n"/>
      <c r="CN215" s="1353" t="n"/>
      <c r="CO215" s="1353" t="n"/>
      <c r="CP215" s="1353" t="n"/>
      <c r="CQ215" s="1353" t="n"/>
      <c r="CR215" s="1353" t="n"/>
      <c r="CS215" s="1353" t="n"/>
      <c r="CT215" s="1353" t="n"/>
      <c r="CU215" s="1353" t="n"/>
      <c r="CV215" s="1353" t="n"/>
      <c r="CW215" s="1353" t="n"/>
      <c r="CX215" s="1353" t="n"/>
      <c r="CY215" s="1353" t="n"/>
      <c r="CZ215" s="1353" t="n"/>
      <c r="DA215" s="1353" t="n"/>
      <c r="DB215" s="1353" t="n"/>
      <c r="DC215" s="1353" t="n"/>
      <c r="DD215" s="1353" t="n"/>
      <c r="DE215" s="1353" t="n"/>
      <c r="DF215" s="1353" t="n"/>
      <c r="DG215" s="1353" t="n"/>
      <c r="DH215" s="1353" t="n"/>
      <c r="DI215" s="1353" t="n"/>
      <c r="DJ215" s="1353" t="n"/>
      <c r="DK215" s="1353" t="n"/>
      <c r="DL215" s="1353" t="n"/>
      <c r="DM215" s="1353" t="n"/>
      <c r="DN215" s="1353" t="n"/>
      <c r="DO215" s="1353" t="n"/>
      <c r="DP215" s="1353" t="n"/>
      <c r="DQ215" s="1353" t="n"/>
      <c r="DR215" s="1353" t="n"/>
      <c r="DS215" s="1353" t="n"/>
      <c r="DT215" s="1353" t="n"/>
      <c r="DU215" s="1353" t="n"/>
      <c r="DV215" s="1353" t="n"/>
      <c r="DW215" s="1353" t="n"/>
      <c r="DX215" s="1353" t="n"/>
      <c r="DY215" s="1353" t="n"/>
      <c r="DZ215" s="1353" t="n"/>
      <c r="EA215" s="1353" t="n"/>
      <c r="EB215" s="1353" t="n"/>
      <c r="EC215" s="1353" t="n"/>
      <c r="ED215" s="1353" t="n"/>
      <c r="EE215" s="1353" t="n"/>
      <c r="EF215" s="1353" t="n"/>
      <c r="EG215" s="1353" t="n"/>
      <c r="EH215" s="1353" t="n"/>
      <c r="EI215" s="1353" t="n"/>
      <c r="EJ215" s="1353" t="n"/>
      <c r="EK215" s="1353" t="n"/>
      <c r="EL215" s="1353" t="n"/>
      <c r="EM215" s="1353" t="n"/>
      <c r="EN215" s="1353" t="n"/>
      <c r="EO215" s="1353" t="n"/>
      <c r="EP215" s="1353" t="n"/>
      <c r="EQ215" s="1353" t="n"/>
      <c r="ER215" s="1353" t="n"/>
      <c r="ES215" s="1353" t="n"/>
      <c r="ET215" s="1353" t="n"/>
      <c r="EU215" s="1353" t="n"/>
      <c r="EV215" s="1353" t="n"/>
      <c r="EW215" s="1353" t="n"/>
      <c r="EX215" s="1353" t="n"/>
      <c r="EY215" s="1353" t="n"/>
      <c r="EZ215" s="1353" t="n"/>
      <c r="FA215" s="1353" t="n"/>
      <c r="FB215" s="1353" t="n"/>
      <c r="FC215" s="1353" t="n"/>
      <c r="FD215" s="1353" t="n"/>
      <c r="FE215" s="1353" t="n"/>
      <c r="FF215" s="1353" t="n"/>
      <c r="FG215" s="1353" t="n"/>
      <c r="FH215" s="1353" t="n"/>
      <c r="FI215" s="1353" t="n"/>
      <c r="FJ215" s="1353" t="n"/>
      <c r="FK215" s="1353" t="n"/>
      <c r="FL215" s="1353" t="n"/>
      <c r="FM215" s="1353" t="n"/>
      <c r="FN215" s="1353" t="n"/>
      <c r="FO215" s="1353" t="n"/>
      <c r="FP215" s="1353" t="n"/>
      <c r="FQ215" s="1353" t="n"/>
      <c r="FR215" s="1353" t="n"/>
      <c r="FS215" s="1353" t="n"/>
      <c r="FT215" s="1353" t="n"/>
      <c r="FU215" s="1353" t="n"/>
      <c r="FV215" s="1353" t="n"/>
      <c r="FW215" s="1353" t="n"/>
      <c r="FX215" s="1353" t="n"/>
      <c r="FY215" s="1353" t="n"/>
      <c r="FZ215" s="1353" t="n"/>
      <c r="GA215" s="1353" t="n"/>
      <c r="GB215" s="1353" t="n"/>
      <c r="GC215" s="1353" t="n"/>
      <c r="GD215" s="1353" t="n"/>
      <c r="GE215" s="1353" t="n"/>
      <c r="GF215" s="1353" t="n"/>
      <c r="GG215" s="1353" t="n"/>
      <c r="GH215" s="1353" t="n"/>
      <c r="GI215" s="1353" t="n"/>
      <c r="GJ215" s="1353" t="n"/>
      <c r="GK215" s="1353" t="n"/>
      <c r="GL215" s="1353" t="n"/>
      <c r="GM215" s="1353" t="n"/>
      <c r="GN215" s="1353" t="n"/>
      <c r="GO215" s="1353" t="n"/>
      <c r="GP215" s="1353" t="n"/>
      <c r="GQ215" s="1353" t="n"/>
      <c r="GR215" s="1353" t="n"/>
      <c r="GS215" s="1353" t="n"/>
      <c r="GT215" s="1353" t="n"/>
      <c r="GU215" s="1353" t="n"/>
      <c r="GV215" s="1353" t="n"/>
      <c r="GW215" s="1353" t="n"/>
      <c r="GX215" s="1353" t="n"/>
      <c r="GY215" s="1353" t="n"/>
      <c r="GZ215" s="1353" t="n"/>
      <c r="HA215" s="1353" t="n"/>
      <c r="HB215" s="1353" t="n"/>
      <c r="HC215" s="1353" t="n"/>
      <c r="HD215" s="1353" t="n"/>
      <c r="HE215" s="1353" t="n"/>
      <c r="HF215" s="1353" t="n"/>
      <c r="HG215" s="1353" t="n"/>
      <c r="HH215" s="1353" t="n"/>
      <c r="HI215" s="1353" t="n"/>
      <c r="HJ215" s="1353" t="n"/>
      <c r="HK215" s="1353" t="n"/>
      <c r="HL215" s="1353" t="n"/>
      <c r="HM215" s="1353" t="n"/>
      <c r="HN215" s="1353" t="n"/>
      <c r="HO215" s="1353" t="n"/>
      <c r="HP215" s="1353" t="n"/>
      <c r="HQ215" s="1353" t="n"/>
      <c r="HR215" s="1353" t="n"/>
      <c r="HS215" s="1353" t="n"/>
      <c r="HT215" s="1353" t="n"/>
      <c r="HU215" s="1353" t="n"/>
      <c r="HV215" s="1353" t="n"/>
      <c r="HW215" s="1353" t="n"/>
      <c r="HX215" s="1353" t="n"/>
      <c r="HY215" s="1353" t="n"/>
      <c r="HZ215" s="1353" t="n"/>
      <c r="IA215" s="1353" t="n"/>
      <c r="IB215" s="1353" t="n"/>
      <c r="IC215" s="1353" t="n"/>
      <c r="ID215" s="1353" t="n"/>
      <c r="IE215" s="1353" t="n"/>
      <c r="IF215" s="1353" t="n"/>
      <c r="IG215" s="1353" t="n"/>
      <c r="IH215" s="1353" t="n"/>
      <c r="II215" s="1353" t="n"/>
      <c r="IJ215" s="1353" t="n"/>
      <c r="IK215" s="1353" t="n"/>
      <c r="IL215" s="1353" t="n"/>
      <c r="IM215" s="1353" t="n"/>
      <c r="IN215" s="1353" t="n"/>
      <c r="IO215" s="1353" t="n"/>
      <c r="IP215" s="1353" t="n"/>
      <c r="IQ215" s="1353" t="n"/>
      <c r="IR215" s="1353" t="n"/>
      <c r="IS215" s="1353" t="n"/>
      <c r="LB215" s="1354" t="n">
        <v>0.461</v>
      </c>
      <c r="LC215" s="1354" t="n">
        <v>0.32</v>
      </c>
      <c r="LD215" s="1354" t="n">
        <v>0.254</v>
      </c>
      <c r="LE215" s="1354" t="n">
        <v>0.474</v>
      </c>
      <c r="LF215" s="1354" t="n">
        <v>0.357</v>
      </c>
      <c r="LG215" s="1354" t="n">
        <v>0.165</v>
      </c>
      <c r="LH215" s="1354" t="n">
        <v>0.216</v>
      </c>
      <c r="LI215" s="1354" t="n">
        <v>0.358</v>
      </c>
      <c r="LJ215" s="1354" t="n">
        <v>0.163</v>
      </c>
      <c r="LK215" s="1354" t="n">
        <v>0.319</v>
      </c>
      <c r="LL215" s="1354" t="n">
        <v>0.271</v>
      </c>
      <c r="LM215" s="1354" t="n">
        <v>0.241</v>
      </c>
      <c r="LN215" s="1354" t="n">
        <v>0.076</v>
      </c>
      <c r="LO215" s="1354" t="n">
        <v>0.247</v>
      </c>
      <c r="LP215" s="1345">
        <f>LP214/LD214-1</f>
        <v/>
      </c>
      <c r="LQ215" s="1345">
        <f>LQ214/LE214-1</f>
        <v/>
      </c>
      <c r="LR215" s="1345">
        <f>LR214/LF214-1</f>
        <v/>
      </c>
      <c r="LS215" s="1345">
        <f>LS214/LG214-1</f>
        <v/>
      </c>
    </row>
    <row r="216">
      <c r="A216" s="648" t="inlineStr">
        <is>
          <t>YTD YoY %</t>
        </is>
      </c>
      <c r="B216" s="1353" t="n"/>
      <c r="C216" s="1353" t="n"/>
      <c r="D216" s="1353" t="n"/>
      <c r="E216" s="1353" t="n"/>
      <c r="F216" s="1353" t="n"/>
      <c r="G216" s="1353" t="n"/>
      <c r="H216" s="1353" t="n"/>
      <c r="I216" s="1353" t="n"/>
      <c r="J216" s="1353" t="n"/>
      <c r="K216" s="1353" t="n"/>
      <c r="L216" s="1353" t="n"/>
      <c r="M216" s="1353" t="n"/>
      <c r="N216" s="1353" t="n"/>
      <c r="O216" s="1353" t="n"/>
      <c r="P216" s="1353" t="n"/>
      <c r="Q216" s="1353" t="n"/>
      <c r="R216" s="1353" t="n"/>
      <c r="S216" s="1353" t="n"/>
      <c r="T216" s="1353" t="n"/>
      <c r="U216" s="1353" t="n"/>
      <c r="V216" s="1353" t="n"/>
      <c r="W216" s="1353" t="n"/>
      <c r="X216" s="1353" t="n"/>
      <c r="Y216" s="1353" t="n"/>
      <c r="Z216" s="1353" t="n"/>
      <c r="AA216" s="1353" t="n"/>
      <c r="AB216" s="1353" t="n"/>
      <c r="AC216" s="1353" t="n"/>
      <c r="AD216" s="1353" t="n"/>
      <c r="AE216" s="1353" t="n"/>
      <c r="AF216" s="1353" t="n"/>
      <c r="AG216" s="1353" t="n"/>
      <c r="AH216" s="1353" t="n"/>
      <c r="AI216" s="1353" t="n"/>
      <c r="AJ216" s="1353" t="n"/>
      <c r="AK216" s="1353" t="n"/>
      <c r="AL216" s="1353" t="n"/>
      <c r="AM216" s="1353" t="n"/>
      <c r="AN216" s="1353" t="n"/>
      <c r="AO216" s="1353" t="n"/>
      <c r="AP216" s="1353" t="n"/>
      <c r="AQ216" s="1353" t="n"/>
      <c r="AR216" s="1353" t="n"/>
      <c r="AS216" s="1353" t="n"/>
      <c r="AT216" s="1353" t="n"/>
      <c r="AU216" s="1353" t="n"/>
      <c r="AV216" s="1353" t="n"/>
      <c r="AW216" s="1353" t="n"/>
      <c r="AX216" s="1353" t="n"/>
      <c r="AY216" s="1353" t="n"/>
      <c r="AZ216" s="1353" t="n"/>
      <c r="BA216" s="1353" t="n"/>
      <c r="BB216" s="1353" t="n"/>
      <c r="BC216" s="1353" t="n"/>
      <c r="BD216" s="1353" t="n"/>
      <c r="BE216" s="1353" t="n"/>
      <c r="BF216" s="1353" t="n"/>
      <c r="BG216" s="1353" t="n"/>
      <c r="BH216" s="1353" t="n"/>
      <c r="BI216" s="1353" t="n"/>
      <c r="BJ216" s="1353" t="n"/>
      <c r="BK216" s="1353" t="n"/>
      <c r="BL216" s="1353" t="n"/>
      <c r="BM216" s="1353" t="n"/>
      <c r="BN216" s="1353" t="n"/>
      <c r="BO216" s="1353" t="n"/>
      <c r="BP216" s="1353" t="n"/>
      <c r="BQ216" s="1353" t="n"/>
      <c r="BR216" s="1353" t="n"/>
      <c r="BS216" s="1353" t="n"/>
      <c r="BT216" s="1353" t="n"/>
      <c r="BU216" s="1353" t="n"/>
      <c r="BV216" s="1353" t="n"/>
      <c r="BW216" s="1353" t="n"/>
      <c r="BX216" s="1353" t="n"/>
      <c r="BY216" s="1353" t="n"/>
      <c r="BZ216" s="1353" t="n"/>
      <c r="CA216" s="1353" t="n"/>
      <c r="CB216" s="1353" t="n"/>
      <c r="CC216" s="1353" t="n"/>
      <c r="CD216" s="1353" t="n"/>
      <c r="CE216" s="1353" t="n"/>
      <c r="CF216" s="1353" t="n"/>
      <c r="CG216" s="1353" t="n"/>
      <c r="CH216" s="1353" t="n"/>
      <c r="CI216" s="1353" t="n"/>
      <c r="CJ216" s="1353" t="n"/>
      <c r="CK216" s="1353" t="n"/>
      <c r="CL216" s="1353" t="n"/>
      <c r="CM216" s="1353" t="n"/>
      <c r="CN216" s="1353" t="n"/>
      <c r="CO216" s="1353" t="n"/>
      <c r="CP216" s="1353" t="n"/>
      <c r="CQ216" s="1353" t="n"/>
      <c r="CR216" s="1353" t="n"/>
      <c r="CS216" s="1353" t="n"/>
      <c r="CT216" s="1353" t="n"/>
      <c r="CU216" s="1353" t="n"/>
      <c r="CV216" s="1353" t="n"/>
      <c r="CW216" s="1353" t="n"/>
      <c r="CX216" s="1353" t="n"/>
      <c r="CY216" s="1353" t="n"/>
      <c r="CZ216" s="1353" t="n"/>
      <c r="DA216" s="1353" t="n"/>
      <c r="DB216" s="1353" t="n"/>
      <c r="DC216" s="1353" t="n"/>
      <c r="DD216" s="1353" t="n"/>
      <c r="DE216" s="1353" t="n"/>
      <c r="DF216" s="1353" t="n"/>
      <c r="DG216" s="1353" t="n"/>
      <c r="DH216" s="1353" t="n"/>
      <c r="DI216" s="1353" t="n"/>
      <c r="DJ216" s="1353" t="n"/>
      <c r="DK216" s="1353" t="n"/>
      <c r="DL216" s="1353" t="n"/>
      <c r="DM216" s="1353" t="n"/>
      <c r="DN216" s="1353" t="n"/>
      <c r="DO216" s="1353" t="n"/>
      <c r="DP216" s="1353" t="n"/>
      <c r="DQ216" s="1353" t="n"/>
      <c r="DR216" s="1353" t="n"/>
      <c r="DS216" s="1353" t="n"/>
      <c r="DT216" s="1353" t="n"/>
      <c r="DU216" s="1353" t="n"/>
      <c r="DV216" s="1353" t="n"/>
      <c r="DW216" s="1353" t="n"/>
      <c r="DX216" s="1353" t="n"/>
      <c r="DY216" s="1353" t="n"/>
      <c r="DZ216" s="1353" t="n"/>
      <c r="EA216" s="1353" t="n"/>
      <c r="EB216" s="1353" t="n"/>
      <c r="EC216" s="1353" t="n"/>
      <c r="ED216" s="1353" t="n"/>
      <c r="EE216" s="1353" t="n"/>
      <c r="EF216" s="1353" t="n"/>
      <c r="EG216" s="1353" t="n"/>
      <c r="EH216" s="1353" t="n"/>
      <c r="EI216" s="1353" t="n"/>
      <c r="EJ216" s="1353" t="n"/>
      <c r="EK216" s="1353" t="n"/>
      <c r="EL216" s="1353" t="n"/>
      <c r="EM216" s="1353" t="n"/>
      <c r="EN216" s="1353" t="n"/>
      <c r="EO216" s="1353" t="n"/>
      <c r="EP216" s="1353" t="n"/>
      <c r="EQ216" s="1353" t="n"/>
      <c r="ER216" s="1353" t="n"/>
      <c r="ES216" s="1353" t="n"/>
      <c r="ET216" s="1353" t="n"/>
      <c r="EU216" s="1353" t="n"/>
      <c r="EV216" s="1353" t="n"/>
      <c r="EW216" s="1353" t="n"/>
      <c r="EX216" s="1353" t="n"/>
      <c r="EY216" s="1353" t="n"/>
      <c r="EZ216" s="1353" t="n"/>
      <c r="FA216" s="1353" t="n"/>
      <c r="FB216" s="1353" t="n"/>
      <c r="FC216" s="1353" t="n"/>
      <c r="FD216" s="1353" t="n"/>
      <c r="FE216" s="1353" t="n"/>
      <c r="FF216" s="1353" t="n"/>
      <c r="FG216" s="1353" t="n"/>
      <c r="FH216" s="1353" t="n"/>
      <c r="FI216" s="1353" t="n"/>
      <c r="FJ216" s="1353" t="n"/>
      <c r="FK216" s="1353" t="n"/>
      <c r="FL216" s="1353" t="n"/>
      <c r="FM216" s="1353" t="n"/>
      <c r="FN216" s="1353" t="n"/>
      <c r="FO216" s="1353" t="n"/>
      <c r="FP216" s="1353" t="n"/>
      <c r="FQ216" s="1353" t="n"/>
      <c r="FR216" s="1353" t="n"/>
      <c r="FS216" s="1353" t="n"/>
      <c r="FT216" s="1353" t="n"/>
      <c r="FU216" s="1353" t="n"/>
      <c r="FV216" s="1353" t="n"/>
      <c r="FW216" s="1353" t="n"/>
      <c r="FX216" s="1353" t="n"/>
      <c r="FY216" s="1353" t="n"/>
      <c r="FZ216" s="1353" t="n"/>
      <c r="GA216" s="1353" t="n"/>
      <c r="GB216" s="1353" t="n"/>
      <c r="GC216" s="1353" t="n"/>
      <c r="GD216" s="1353" t="n"/>
      <c r="GE216" s="1353" t="n"/>
      <c r="GF216" s="1353" t="n"/>
      <c r="GG216" s="1353" t="n"/>
      <c r="GH216" s="1353" t="n"/>
      <c r="GI216" s="1353" t="n"/>
      <c r="GJ216" s="1353" t="n"/>
      <c r="GK216" s="1353" t="n"/>
      <c r="GL216" s="1353" t="n"/>
      <c r="GM216" s="1353" t="n"/>
      <c r="GN216" s="1353" t="n"/>
      <c r="GO216" s="1353" t="n"/>
      <c r="GP216" s="1353" t="n"/>
      <c r="GQ216" s="1353" t="n"/>
      <c r="GR216" s="1353" t="n"/>
      <c r="GS216" s="1353" t="n"/>
      <c r="GT216" s="1353" t="n"/>
      <c r="GU216" s="1353" t="n"/>
      <c r="GV216" s="1353" t="n"/>
      <c r="GW216" s="1353" t="n"/>
      <c r="GX216" s="1353" t="n"/>
      <c r="GY216" s="1353" t="n"/>
      <c r="GZ216" s="1353" t="n"/>
      <c r="HA216" s="1353" t="n"/>
      <c r="HB216" s="1353" t="n"/>
      <c r="HC216" s="1353" t="n"/>
      <c r="HD216" s="1353" t="n"/>
      <c r="HE216" s="1353" t="n"/>
      <c r="HF216" s="1353" t="n"/>
      <c r="HG216" s="1353" t="n"/>
      <c r="HH216" s="1353" t="n"/>
      <c r="HI216" s="1353" t="n"/>
      <c r="HJ216" s="1353" t="n"/>
      <c r="HK216" s="1353" t="n"/>
      <c r="HL216" s="1353" t="n"/>
      <c r="HM216" s="1353" t="n"/>
      <c r="HN216" s="1353" t="n"/>
      <c r="HO216" s="1353" t="n"/>
      <c r="HP216" s="1353" t="n"/>
      <c r="HQ216" s="1353" t="n"/>
      <c r="HR216" s="1353" t="n"/>
      <c r="HS216" s="1353" t="n"/>
      <c r="HT216" s="1353" t="n"/>
      <c r="HU216" s="1353" t="n"/>
      <c r="HV216" s="1353" t="n"/>
      <c r="HW216" s="1353" t="n"/>
      <c r="HX216" s="1353" t="n"/>
      <c r="HY216" s="1353" t="n"/>
      <c r="HZ216" s="1353" t="n"/>
      <c r="IA216" s="1353" t="n"/>
      <c r="IB216" s="1353" t="n"/>
      <c r="IC216" s="1353" t="n"/>
      <c r="ID216" s="1353" t="n"/>
      <c r="IE216" s="1353" t="n"/>
      <c r="IF216" s="1353" t="n"/>
      <c r="IG216" s="1353" t="n"/>
      <c r="IH216" s="1353" t="n"/>
      <c r="II216" s="1353" t="n"/>
      <c r="IJ216" s="1353" t="n"/>
      <c r="IK216" s="1353" t="n"/>
      <c r="IL216" s="1353" t="n"/>
      <c r="IM216" s="1353" t="n"/>
      <c r="IN216" s="1353" t="n"/>
      <c r="IO216" s="1353" t="n"/>
      <c r="IP216" s="1353" t="n"/>
      <c r="IQ216" s="1353" t="n"/>
      <c r="IR216" s="1353" t="n"/>
      <c r="IS216" s="1353" t="n"/>
      <c r="LB216" s="1354" t="n">
        <v>0.461</v>
      </c>
      <c r="LC216" s="1354" t="n">
        <v>0.391</v>
      </c>
      <c r="LD216" s="1354" t="n">
        <v>0.343</v>
      </c>
      <c r="LE216" s="1354" t="n">
        <v>0.376</v>
      </c>
      <c r="LF216" s="1354" t="n">
        <v>0.372</v>
      </c>
      <c r="LG216" s="1354" t="n">
        <v>0.335</v>
      </c>
      <c r="LH216" s="1354" t="n">
        <v>0.316</v>
      </c>
      <c r="LI216" s="1354" t="n">
        <v>0.322</v>
      </c>
      <c r="LJ216" s="1354" t="n">
        <v>0.306</v>
      </c>
      <c r="LK216" s="1354" t="n">
        <v>0.307</v>
      </c>
      <c r="LL216" s="1354" t="n">
        <v>0.304</v>
      </c>
      <c r="LM216" s="1354" t="n">
        <v>0.297</v>
      </c>
      <c r="LN216" s="1354" t="n">
        <v>0.076</v>
      </c>
      <c r="LO216" s="1354" t="n">
        <v>0.156</v>
      </c>
      <c r="LP216" s="1355">
        <f>SUMIFS(214:214,$8:$8,"&gt;="&amp;DATE(YEAR(LP$8),1,1),$8:$8,"&lt;="&amp;EOMONTH(LP$8,0))/SUMIFS(214:214,$8:$8,"&gt;="&amp;DATE(YEAR(LP$8)-1,1,1),$8:$8,"&lt;="&amp;EOMONTH(LP$8,-12))-1</f>
        <v/>
      </c>
      <c r="LQ216" s="1355">
        <f>SUMIFS(214:214,$8:$8,"&gt;="&amp;DATE(YEAR(LQ$8),1,1),$8:$8,"&lt;="&amp;EOMONTH(LQ$8,0))/SUMIFS(214:214,$8:$8,"&gt;="&amp;DATE(YEAR(LQ$8)-1,1,1),$8:$8,"&lt;="&amp;EOMONTH(LQ$8,-12))-1</f>
        <v/>
      </c>
      <c r="LR216" s="1355">
        <f>SUMIFS(214:214,$8:$8,"&gt;="&amp;DATE(YEAR(LR$8),1,1),$8:$8,"&lt;="&amp;EOMONTH(LR$8,0))/SUMIFS(214:214,$8:$8,"&gt;="&amp;DATE(YEAR(LR$8)-1,1,1),$8:$8,"&lt;="&amp;EOMONTH(LR$8,-12))-1</f>
        <v/>
      </c>
      <c r="LS216" s="1355">
        <f>SUMIFS(214:214,$8:$8,"&gt;="&amp;DATE(YEAR(LS$8),1,1),$8:$8,"&lt;="&amp;EOMONTH(LS$8,0))/SUMIFS(214:214,$8:$8,"&gt;="&amp;DATE(YEAR(LS$8)-1,1,1),$8:$8,"&lt;="&amp;EOMONTH(LS$8,-12))-1</f>
        <v/>
      </c>
    </row>
    <row r="217">
      <c r="A217" s="562" t="inlineStr">
        <is>
          <t>PLF %</t>
        </is>
      </c>
      <c r="B217" s="1353" t="n"/>
      <c r="C217" s="1353" t="n"/>
      <c r="D217" s="1353" t="n"/>
      <c r="E217" s="1353" t="n"/>
      <c r="F217" s="1353" t="n"/>
      <c r="G217" s="1353" t="n"/>
      <c r="H217" s="1353" t="n"/>
      <c r="I217" s="1353" t="n"/>
      <c r="J217" s="1353" t="n"/>
      <c r="K217" s="1353" t="n"/>
      <c r="L217" s="1353" t="n"/>
      <c r="M217" s="1353" t="n"/>
      <c r="N217" s="1353" t="n"/>
      <c r="O217" s="1353" t="n"/>
      <c r="P217" s="1353" t="n"/>
      <c r="Q217" s="1353" t="n"/>
      <c r="R217" s="1353" t="n"/>
      <c r="S217" s="1353" t="n"/>
      <c r="T217" s="1353" t="n"/>
      <c r="U217" s="1353" t="n"/>
      <c r="V217" s="1353" t="n"/>
      <c r="W217" s="1353" t="n"/>
      <c r="X217" s="1353" t="n"/>
      <c r="Y217" s="1353" t="n"/>
      <c r="Z217" s="1353" t="n"/>
      <c r="AA217" s="1353" t="n"/>
      <c r="AB217" s="1353" t="n"/>
      <c r="AC217" s="1353" t="n"/>
      <c r="AD217" s="1353" t="n"/>
      <c r="AE217" s="1353" t="n"/>
      <c r="AF217" s="1353" t="n"/>
      <c r="AG217" s="1353" t="n"/>
      <c r="AH217" s="1353" t="n"/>
      <c r="AI217" s="1353" t="n"/>
      <c r="AJ217" s="1353" t="n"/>
      <c r="AK217" s="1353" t="n"/>
      <c r="AL217" s="1353" t="n"/>
      <c r="AM217" s="1353" t="n"/>
      <c r="AN217" s="1353" t="n"/>
      <c r="AO217" s="1353" t="n"/>
      <c r="AP217" s="1353" t="n"/>
      <c r="AQ217" s="1353" t="n"/>
      <c r="AR217" s="1353" t="n"/>
      <c r="AS217" s="1353" t="n"/>
      <c r="AT217" s="1353" t="n"/>
      <c r="AU217" s="1353" t="n"/>
      <c r="AV217" s="1353" t="n"/>
      <c r="AW217" s="1353" t="n"/>
      <c r="AX217" s="1353" t="n"/>
      <c r="AY217" s="1353" t="n"/>
      <c r="AZ217" s="1353" t="n"/>
      <c r="BA217" s="1353" t="n"/>
      <c r="BB217" s="1353" t="n"/>
      <c r="BC217" s="1353" t="n"/>
      <c r="BD217" s="1353" t="n"/>
      <c r="BE217" s="1353" t="n"/>
      <c r="BF217" s="1353" t="n"/>
      <c r="BG217" s="1353" t="n"/>
      <c r="BH217" s="1353" t="n"/>
      <c r="BI217" s="1353" t="n"/>
      <c r="BJ217" s="1353" t="n"/>
      <c r="BK217" s="1353" t="n"/>
      <c r="BL217" s="1353" t="n"/>
      <c r="BM217" s="1353" t="n"/>
      <c r="BN217" s="1353" t="n"/>
      <c r="BO217" s="1353" t="n"/>
      <c r="BP217" s="1353" t="n"/>
      <c r="BQ217" s="1353" t="n"/>
      <c r="BR217" s="1353" t="n"/>
      <c r="BS217" s="1353" t="n"/>
      <c r="BT217" s="1353" t="n"/>
      <c r="BU217" s="1353" t="n"/>
      <c r="BV217" s="1353" t="n"/>
      <c r="BW217" s="1353" t="n"/>
      <c r="BX217" s="1353" t="n"/>
      <c r="BY217" s="1353" t="n"/>
      <c r="BZ217" s="1353" t="n"/>
      <c r="CA217" s="1353" t="n"/>
      <c r="CB217" s="1353" t="n"/>
      <c r="CC217" s="1353" t="n"/>
      <c r="CD217" s="1353" t="n"/>
      <c r="CE217" s="1353" t="n"/>
      <c r="CF217" s="1353" t="n"/>
      <c r="CG217" s="1353" t="n"/>
      <c r="CH217" s="1353" t="n"/>
      <c r="CI217" s="1353" t="n"/>
      <c r="CJ217" s="1353" t="n"/>
      <c r="CK217" s="1353" t="n"/>
      <c r="CL217" s="1353" t="n"/>
      <c r="CM217" s="1353" t="n"/>
      <c r="CN217" s="1353" t="n"/>
      <c r="CO217" s="1353" t="n"/>
      <c r="CP217" s="1353" t="n"/>
      <c r="CQ217" s="1353" t="n"/>
      <c r="CR217" s="1353" t="n"/>
      <c r="CS217" s="1353" t="n"/>
      <c r="CT217" s="1353" t="n"/>
      <c r="CU217" s="1353" t="n"/>
      <c r="CV217" s="1353" t="n"/>
      <c r="CW217" s="1353" t="n"/>
      <c r="CX217" s="1353" t="n"/>
      <c r="CY217" s="1353" t="n"/>
      <c r="CZ217" s="1353" t="n"/>
      <c r="DA217" s="1353" t="n"/>
      <c r="DB217" s="1353" t="n"/>
      <c r="DC217" s="1353" t="n"/>
      <c r="DD217" s="1353" t="n"/>
      <c r="DE217" s="1353" t="n"/>
      <c r="DF217" s="1353" t="n"/>
      <c r="DG217" s="1353" t="n"/>
      <c r="DH217" s="1353" t="n"/>
      <c r="DI217" s="1353" t="n"/>
      <c r="DJ217" s="1353" t="n"/>
      <c r="DK217" s="1353" t="n"/>
      <c r="DL217" s="1353" t="n"/>
      <c r="DM217" s="1353" t="n"/>
      <c r="DN217" s="1353" t="n"/>
      <c r="DO217" s="1353" t="n"/>
      <c r="DP217" s="1353" t="n"/>
      <c r="DQ217" s="1353" t="n"/>
      <c r="DR217" s="1353" t="n"/>
      <c r="DS217" s="1353" t="n"/>
      <c r="DT217" s="1353" t="n"/>
      <c r="DU217" s="1353" t="n"/>
      <c r="DV217" s="1353" t="n"/>
      <c r="DW217" s="1353" t="n"/>
      <c r="DX217" s="1353" t="n"/>
      <c r="DY217" s="1353" t="n"/>
      <c r="DZ217" s="1353" t="n"/>
      <c r="EA217" s="1353" t="n"/>
      <c r="EB217" s="1353" t="n"/>
      <c r="EC217" s="1353" t="n"/>
      <c r="ED217" s="1353" t="n"/>
      <c r="EE217" s="1353" t="n"/>
      <c r="EF217" s="1353" t="n"/>
      <c r="EG217" s="1353" t="n"/>
      <c r="EH217" s="1353" t="n"/>
      <c r="EI217" s="1353" t="n"/>
      <c r="EJ217" s="1353" t="n"/>
      <c r="EK217" s="1353" t="n"/>
      <c r="EL217" s="1353" t="n"/>
      <c r="EM217" s="1353" t="n"/>
      <c r="EN217" s="1353" t="n"/>
      <c r="EO217" s="1353" t="n"/>
      <c r="EP217" s="1353" t="n"/>
      <c r="EQ217" s="1353" t="n"/>
      <c r="ER217" s="1353" t="n"/>
      <c r="ES217" s="1353" t="n"/>
      <c r="ET217" s="1353" t="n"/>
      <c r="EU217" s="1353" t="n"/>
      <c r="EV217" s="1353" t="n"/>
      <c r="EW217" s="1353" t="n"/>
      <c r="EX217" s="1353" t="n"/>
      <c r="EY217" s="1353" t="n"/>
      <c r="EZ217" s="1353" t="n"/>
      <c r="FA217" s="1353" t="n"/>
      <c r="FB217" s="1353" t="n"/>
      <c r="FC217" s="1353" t="n"/>
      <c r="FD217" s="1353" t="n"/>
      <c r="FE217" s="1353" t="n"/>
      <c r="FF217" s="1353" t="n"/>
      <c r="FG217" s="1353" t="n"/>
      <c r="FH217" s="1353" t="n"/>
      <c r="FI217" s="1353" t="n"/>
      <c r="FJ217" s="1353" t="n"/>
      <c r="FK217" s="1353" t="n"/>
      <c r="FL217" s="1353" t="n"/>
      <c r="FM217" s="1353" t="n"/>
      <c r="FN217" s="1353" t="n"/>
      <c r="FO217" s="1353" t="n"/>
      <c r="FP217" s="1353" t="n"/>
      <c r="FQ217" s="1353" t="n"/>
      <c r="FR217" s="1353" t="n"/>
      <c r="FS217" s="1353" t="n"/>
      <c r="FT217" s="1353" t="n"/>
      <c r="FU217" s="1353" t="n"/>
      <c r="FV217" s="1353" t="n"/>
      <c r="FW217" s="1353" t="n"/>
      <c r="FX217" s="1353" t="n"/>
      <c r="FY217" s="1353" t="n"/>
      <c r="FZ217" s="1353" t="n"/>
      <c r="GA217" s="1353" t="n"/>
      <c r="GB217" s="1353" t="n"/>
      <c r="GC217" s="1353" t="n"/>
      <c r="GD217" s="1353" t="n"/>
      <c r="GE217" s="1353" t="n"/>
      <c r="GF217" s="1353" t="n"/>
      <c r="GG217" s="1353" t="n"/>
      <c r="GH217" s="1353" t="n"/>
      <c r="GI217" s="1353" t="n"/>
      <c r="GJ217" s="1353" t="n"/>
      <c r="GK217" s="1353" t="n"/>
      <c r="GL217" s="1353" t="n"/>
      <c r="GM217" s="1353" t="n"/>
      <c r="GN217" s="1353" t="n"/>
      <c r="GO217" s="1353" t="n"/>
      <c r="GP217" s="1353" t="n"/>
      <c r="GQ217" s="1353" t="n"/>
      <c r="GR217" s="1353" t="n"/>
      <c r="GS217" s="1353" t="n"/>
      <c r="GT217" s="1353" t="n"/>
      <c r="GU217" s="1353" t="n"/>
      <c r="GV217" s="1353" t="n"/>
      <c r="GW217" s="1353" t="n"/>
      <c r="GX217" s="1353" t="n"/>
      <c r="GY217" s="1353" t="n"/>
      <c r="GZ217" s="1353" t="n"/>
      <c r="HA217" s="1353" t="n"/>
      <c r="HB217" s="1353" t="n"/>
      <c r="HC217" s="1353" t="n"/>
      <c r="HD217" s="1353" t="n"/>
      <c r="HE217" s="1353" t="n"/>
      <c r="HF217" s="1353" t="n"/>
      <c r="HG217" s="1353" t="n"/>
      <c r="HH217" s="1353" t="n"/>
      <c r="HI217" s="1353" t="n"/>
      <c r="HJ217" s="1353" t="n"/>
      <c r="HK217" s="1353" t="n"/>
      <c r="HL217" s="1353" t="n"/>
      <c r="HM217" s="1353" t="n"/>
      <c r="HN217" s="1353" t="n"/>
      <c r="HO217" s="1353" t="n"/>
      <c r="HP217" s="1353" t="n"/>
      <c r="HQ217" s="1353" t="n"/>
      <c r="HR217" s="1353" t="n"/>
      <c r="HS217" s="1353" t="n"/>
      <c r="HT217" s="1353" t="n"/>
      <c r="HU217" s="1353" t="n"/>
      <c r="HV217" s="1353" t="n"/>
      <c r="HW217" s="1353" t="n"/>
      <c r="HX217" s="1353" t="n"/>
      <c r="HY217" s="1353" t="n"/>
      <c r="HZ217" s="1353" t="n"/>
      <c r="IA217" s="1353" t="n"/>
      <c r="IB217" s="1353" t="n"/>
      <c r="IC217" s="1353" t="n"/>
      <c r="ID217" s="1353" t="n"/>
      <c r="IE217" s="1353" t="n"/>
      <c r="IF217" s="1353" t="n"/>
      <c r="IG217" s="1353" t="n"/>
      <c r="IH217" s="1353" t="n"/>
      <c r="II217" s="1353" t="n"/>
      <c r="IJ217" s="1353" t="n"/>
      <c r="IK217" s="1353" t="n"/>
      <c r="IL217" s="1353" t="n"/>
      <c r="IM217" s="1353" t="n"/>
      <c r="IN217" s="1353" t="n"/>
      <c r="IO217" s="1353" t="n"/>
      <c r="IP217" s="1353" t="n"/>
      <c r="IQ217" s="1353" t="n"/>
      <c r="IR217" s="1353" t="n"/>
      <c r="IS217" s="1353" t="n"/>
      <c r="LB217" s="1345">
        <f>LB208/LB205</f>
        <v/>
      </c>
      <c r="LC217" s="1345">
        <f>LC208/LC205</f>
        <v/>
      </c>
      <c r="LD217" s="1345">
        <f>LD208/LD205</f>
        <v/>
      </c>
      <c r="LE217" s="1345">
        <f>LE208/LE205</f>
        <v/>
      </c>
      <c r="LF217" s="1345">
        <f>LF208/LF205</f>
        <v/>
      </c>
      <c r="LG217" s="1345">
        <f>LG208/LG205</f>
        <v/>
      </c>
      <c r="LH217" s="1345">
        <f>LH208/LH205</f>
        <v/>
      </c>
      <c r="LI217" s="1345">
        <f>LI208/LI205</f>
        <v/>
      </c>
      <c r="LJ217" s="1345">
        <f>LJ208/LJ205</f>
        <v/>
      </c>
      <c r="LK217" s="1345">
        <f>LK208/LK205</f>
        <v/>
      </c>
      <c r="LL217" s="1345">
        <f>LL208/LL205</f>
        <v/>
      </c>
      <c r="LM217" s="1345">
        <f>LM208/LM205</f>
        <v/>
      </c>
      <c r="LN217" s="1345">
        <f>LN208/LN205</f>
        <v/>
      </c>
      <c r="LO217" s="1345">
        <f>LO208/LO205</f>
        <v/>
      </c>
      <c r="LP217" s="1345">
        <f>LP208/LP205</f>
        <v/>
      </c>
      <c r="LQ217" s="1345">
        <f>LQ208/LQ205</f>
        <v/>
      </c>
      <c r="LR217" s="1345">
        <f>LR208/LR205</f>
        <v/>
      </c>
      <c r="LS217" s="1345">
        <f>LS208/LS205</f>
        <v/>
      </c>
    </row>
    <row r="218">
      <c r="A218" s="648" t="inlineStr">
        <is>
          <t>YoY %</t>
        </is>
      </c>
      <c r="B218" s="1353" t="n"/>
      <c r="C218" s="1353" t="n"/>
      <c r="D218" s="1353" t="n"/>
      <c r="E218" s="1353" t="n"/>
      <c r="F218" s="1353" t="n"/>
      <c r="G218" s="1353" t="n"/>
      <c r="H218" s="1353" t="n"/>
      <c r="I218" s="1353" t="n"/>
      <c r="J218" s="1353" t="n"/>
      <c r="K218" s="1353" t="n"/>
      <c r="L218" s="1353" t="n"/>
      <c r="M218" s="1353" t="n"/>
      <c r="N218" s="1353" t="n"/>
      <c r="O218" s="1353" t="n"/>
      <c r="P218" s="1353" t="n"/>
      <c r="Q218" s="1353" t="n"/>
      <c r="R218" s="1353" t="n"/>
      <c r="S218" s="1353" t="n"/>
      <c r="T218" s="1353" t="n"/>
      <c r="U218" s="1353" t="n"/>
      <c r="V218" s="1353" t="n"/>
      <c r="W218" s="1353" t="n"/>
      <c r="X218" s="1353" t="n"/>
      <c r="Y218" s="1353" t="n"/>
      <c r="Z218" s="1353" t="n"/>
      <c r="AA218" s="1353" t="n"/>
      <c r="AB218" s="1353" t="n"/>
      <c r="AC218" s="1353" t="n"/>
      <c r="AD218" s="1353" t="n"/>
      <c r="AE218" s="1353" t="n"/>
      <c r="AF218" s="1353" t="n"/>
      <c r="AG218" s="1353" t="n"/>
      <c r="AH218" s="1353" t="n"/>
      <c r="AI218" s="1353" t="n"/>
      <c r="AJ218" s="1353" t="n"/>
      <c r="AK218" s="1353" t="n"/>
      <c r="AL218" s="1353" t="n"/>
      <c r="AM218" s="1353" t="n"/>
      <c r="AN218" s="1353" t="n"/>
      <c r="AO218" s="1353" t="n"/>
      <c r="AP218" s="1353" t="n"/>
      <c r="AQ218" s="1353" t="n"/>
      <c r="AR218" s="1353" t="n"/>
      <c r="AS218" s="1353" t="n"/>
      <c r="AT218" s="1353" t="n"/>
      <c r="AU218" s="1353" t="n"/>
      <c r="AV218" s="1353" t="n"/>
      <c r="AW218" s="1353" t="n"/>
      <c r="AX218" s="1353" t="n"/>
      <c r="AY218" s="1353" t="n"/>
      <c r="AZ218" s="1353" t="n"/>
      <c r="BA218" s="1353" t="n"/>
      <c r="BB218" s="1353" t="n"/>
      <c r="BC218" s="1353" t="n"/>
      <c r="BD218" s="1353" t="n"/>
      <c r="BE218" s="1353" t="n"/>
      <c r="BF218" s="1353" t="n"/>
      <c r="BG218" s="1353" t="n"/>
      <c r="BH218" s="1353" t="n"/>
      <c r="BI218" s="1353" t="n"/>
      <c r="BJ218" s="1353" t="n"/>
      <c r="BK218" s="1353" t="n"/>
      <c r="BL218" s="1353" t="n"/>
      <c r="BM218" s="1353" t="n"/>
      <c r="BN218" s="1353" t="n"/>
      <c r="BO218" s="1353" t="n"/>
      <c r="BP218" s="1353" t="n"/>
      <c r="BQ218" s="1353" t="n"/>
      <c r="BR218" s="1353" t="n"/>
      <c r="BS218" s="1353" t="n"/>
      <c r="BT218" s="1353" t="n"/>
      <c r="BU218" s="1353" t="n"/>
      <c r="BV218" s="1353" t="n"/>
      <c r="BW218" s="1353" t="n"/>
      <c r="BX218" s="1353" t="n"/>
      <c r="BY218" s="1353" t="n"/>
      <c r="BZ218" s="1353" t="n"/>
      <c r="CA218" s="1353" t="n"/>
      <c r="CB218" s="1353" t="n"/>
      <c r="CC218" s="1353" t="n"/>
      <c r="CD218" s="1353" t="n"/>
      <c r="CE218" s="1353" t="n"/>
      <c r="CF218" s="1353" t="n"/>
      <c r="CG218" s="1353" t="n"/>
      <c r="CH218" s="1353" t="n"/>
      <c r="CI218" s="1353" t="n"/>
      <c r="CJ218" s="1353" t="n"/>
      <c r="CK218" s="1353" t="n"/>
      <c r="CL218" s="1353" t="n"/>
      <c r="CM218" s="1353" t="n"/>
      <c r="CN218" s="1353" t="n"/>
      <c r="CO218" s="1353" t="n"/>
      <c r="CP218" s="1353" t="n"/>
      <c r="CQ218" s="1353" t="n"/>
      <c r="CR218" s="1353" t="n"/>
      <c r="CS218" s="1353" t="n"/>
      <c r="CT218" s="1353" t="n"/>
      <c r="CU218" s="1353" t="n"/>
      <c r="CV218" s="1353" t="n"/>
      <c r="CW218" s="1353" t="n"/>
      <c r="CX218" s="1353" t="n"/>
      <c r="CY218" s="1353" t="n"/>
      <c r="CZ218" s="1353" t="n"/>
      <c r="DA218" s="1353" t="n"/>
      <c r="DB218" s="1353" t="n"/>
      <c r="DC218" s="1353" t="n"/>
      <c r="DD218" s="1353" t="n"/>
      <c r="DE218" s="1353" t="n"/>
      <c r="DF218" s="1353" t="n"/>
      <c r="DG218" s="1353" t="n"/>
      <c r="DH218" s="1353" t="n"/>
      <c r="DI218" s="1353" t="n"/>
      <c r="DJ218" s="1353" t="n"/>
      <c r="DK218" s="1353" t="n"/>
      <c r="DL218" s="1353" t="n"/>
      <c r="DM218" s="1353" t="n"/>
      <c r="DN218" s="1353" t="n"/>
      <c r="DO218" s="1353" t="n"/>
      <c r="DP218" s="1353" t="n"/>
      <c r="DQ218" s="1353" t="n"/>
      <c r="DR218" s="1353" t="n"/>
      <c r="DS218" s="1353" t="n"/>
      <c r="DT218" s="1353" t="n"/>
      <c r="DU218" s="1353" t="n"/>
      <c r="DV218" s="1353" t="n"/>
      <c r="DW218" s="1353" t="n"/>
      <c r="DX218" s="1353" t="n"/>
      <c r="DY218" s="1353" t="n"/>
      <c r="DZ218" s="1353" t="n"/>
      <c r="EA218" s="1353" t="n"/>
      <c r="EB218" s="1353" t="n"/>
      <c r="EC218" s="1353" t="n"/>
      <c r="ED218" s="1353" t="n"/>
      <c r="EE218" s="1353" t="n"/>
      <c r="EF218" s="1353" t="n"/>
      <c r="EG218" s="1353" t="n"/>
      <c r="EH218" s="1353" t="n"/>
      <c r="EI218" s="1353" t="n"/>
      <c r="EJ218" s="1353" t="n"/>
      <c r="EK218" s="1353" t="n"/>
      <c r="EL218" s="1353" t="n"/>
      <c r="EM218" s="1353" t="n"/>
      <c r="EN218" s="1353" t="n"/>
      <c r="EO218" s="1353" t="n"/>
      <c r="EP218" s="1353" t="n"/>
      <c r="EQ218" s="1353" t="n"/>
      <c r="ER218" s="1353" t="n"/>
      <c r="ES218" s="1353" t="n"/>
      <c r="ET218" s="1353" t="n"/>
      <c r="EU218" s="1353" t="n"/>
      <c r="EV218" s="1353" t="n"/>
      <c r="EW218" s="1353" t="n"/>
      <c r="EX218" s="1353" t="n"/>
      <c r="EY218" s="1353" t="n"/>
      <c r="EZ218" s="1353" t="n"/>
      <c r="FA218" s="1353" t="n"/>
      <c r="FB218" s="1353" t="n"/>
      <c r="FC218" s="1353" t="n"/>
      <c r="FD218" s="1353" t="n"/>
      <c r="FE218" s="1353" t="n"/>
      <c r="FF218" s="1353" t="n"/>
      <c r="FG218" s="1353" t="n"/>
      <c r="FH218" s="1353" t="n"/>
      <c r="FI218" s="1353" t="n"/>
      <c r="FJ218" s="1353" t="n"/>
      <c r="FK218" s="1353" t="n"/>
      <c r="FL218" s="1353" t="n"/>
      <c r="FM218" s="1353" t="n"/>
      <c r="FN218" s="1353" t="n"/>
      <c r="FO218" s="1353" t="n"/>
      <c r="FP218" s="1353" t="n"/>
      <c r="FQ218" s="1353" t="n"/>
      <c r="FR218" s="1353" t="n"/>
      <c r="FS218" s="1353" t="n"/>
      <c r="FT218" s="1353" t="n"/>
      <c r="FU218" s="1353" t="n"/>
      <c r="FV218" s="1353" t="n"/>
      <c r="FW218" s="1353" t="n"/>
      <c r="FX218" s="1353" t="n"/>
      <c r="FY218" s="1353" t="n"/>
      <c r="FZ218" s="1353" t="n"/>
      <c r="GA218" s="1353" t="n"/>
      <c r="GB218" s="1353" t="n"/>
      <c r="GC218" s="1353" t="n"/>
      <c r="GD218" s="1353" t="n"/>
      <c r="GE218" s="1353" t="n"/>
      <c r="GF218" s="1353" t="n"/>
      <c r="GG218" s="1353" t="n"/>
      <c r="GH218" s="1353" t="n"/>
      <c r="GI218" s="1353" t="n"/>
      <c r="GJ218" s="1353" t="n"/>
      <c r="GK218" s="1353" t="n"/>
      <c r="GL218" s="1353" t="n"/>
      <c r="GM218" s="1353" t="n"/>
      <c r="GN218" s="1353" t="n"/>
      <c r="GO218" s="1353" t="n"/>
      <c r="GP218" s="1353" t="n"/>
      <c r="GQ218" s="1353" t="n"/>
      <c r="GR218" s="1353" t="n"/>
      <c r="GS218" s="1353" t="n"/>
      <c r="GT218" s="1353" t="n"/>
      <c r="GU218" s="1353" t="n"/>
      <c r="GV218" s="1353" t="n"/>
      <c r="GW218" s="1353" t="n"/>
      <c r="GX218" s="1353" t="n"/>
      <c r="GY218" s="1353" t="n"/>
      <c r="GZ218" s="1353" t="n"/>
      <c r="HA218" s="1353" t="n"/>
      <c r="HB218" s="1353" t="n"/>
      <c r="HC218" s="1353" t="n"/>
      <c r="HD218" s="1353" t="n"/>
      <c r="HE218" s="1353" t="n"/>
      <c r="HF218" s="1353" t="n"/>
      <c r="HG218" s="1353" t="n"/>
      <c r="HH218" s="1353" t="n"/>
      <c r="HI218" s="1353" t="n"/>
      <c r="HJ218" s="1353" t="n"/>
      <c r="HK218" s="1353" t="n"/>
      <c r="HL218" s="1353" t="n"/>
      <c r="HM218" s="1353" t="n"/>
      <c r="HN218" s="1353" t="n"/>
      <c r="HO218" s="1353" t="n"/>
      <c r="HP218" s="1353" t="n"/>
      <c r="HQ218" s="1353" t="n"/>
      <c r="HR218" s="1353" t="n"/>
      <c r="HS218" s="1353" t="n"/>
      <c r="HT218" s="1353" t="n"/>
      <c r="HU218" s="1353" t="n"/>
      <c r="HV218" s="1353" t="n"/>
      <c r="HW218" s="1353" t="n"/>
      <c r="HX218" s="1353" t="n"/>
      <c r="HY218" s="1353" t="n"/>
      <c r="HZ218" s="1353" t="n"/>
      <c r="IA218" s="1353" t="n"/>
      <c r="IB218" s="1353" t="n"/>
      <c r="IC218" s="1353" t="n"/>
      <c r="ID218" s="1353" t="n"/>
      <c r="IE218" s="1353" t="n"/>
      <c r="IF218" s="1353" t="n"/>
      <c r="IG218" s="1353" t="n"/>
      <c r="IH218" s="1353" t="n"/>
      <c r="II218" s="1353" t="n"/>
      <c r="IJ218" s="1353" t="n"/>
      <c r="IK218" s="1353" t="n"/>
      <c r="IL218" s="1353" t="n"/>
      <c r="IM218" s="1353" t="n"/>
      <c r="IN218" s="1353" t="n"/>
      <c r="IO218" s="1353" t="n"/>
      <c r="IP218" s="1353" t="n"/>
      <c r="IQ218" s="1353" t="n"/>
      <c r="IR218" s="1353" t="n"/>
      <c r="IS218" s="1353" t="n"/>
      <c r="LB218" s="1354" t="n">
        <v>0.001</v>
      </c>
      <c r="LC218" s="1354" t="n">
        <v>-0.059</v>
      </c>
      <c r="LD218" s="1354" t="n">
        <v>-0.078</v>
      </c>
      <c r="LE218" s="1354" t="n">
        <v>0.005</v>
      </c>
      <c r="LF218" s="1354" t="n">
        <v>-0.08</v>
      </c>
      <c r="LG218" s="1354" t="n">
        <v>-0.157</v>
      </c>
      <c r="LH218" s="1354" t="n">
        <v>-0.157</v>
      </c>
      <c r="LI218" s="1354" t="n">
        <v>-0.052</v>
      </c>
      <c r="LJ218" s="1354" t="n">
        <v>0.01</v>
      </c>
      <c r="LK218" s="1354" t="n">
        <v>-0.024</v>
      </c>
      <c r="LL218" s="1354" t="n">
        <v>0.058</v>
      </c>
      <c r="LM218" s="1354" t="n">
        <v>0.041</v>
      </c>
      <c r="LN218" s="1354" t="n">
        <v>-0.035</v>
      </c>
      <c r="LO218" s="1354" t="n">
        <v>0.063</v>
      </c>
      <c r="LP218" s="1354" t="n">
        <v>0.054</v>
      </c>
      <c r="LQ218" s="1345">
        <f>LQ217-LE217</f>
        <v/>
      </c>
      <c r="LR218" s="1345">
        <f>LR217-LF217</f>
        <v/>
      </c>
      <c r="LS218" s="1345">
        <f>LS217-LG217</f>
        <v/>
      </c>
    </row>
    <row r="219">
      <c r="A219" s="648" t="inlineStr">
        <is>
          <t>YTD YoY %</t>
        </is>
      </c>
      <c r="B219" s="1353" t="n"/>
      <c r="C219" s="1353" t="n"/>
      <c r="D219" s="1353" t="n"/>
      <c r="E219" s="1353" t="n"/>
      <c r="F219" s="1353" t="n"/>
      <c r="G219" s="1353" t="n"/>
      <c r="H219" s="1353" t="n"/>
      <c r="I219" s="1353" t="n"/>
      <c r="J219" s="1353" t="n"/>
      <c r="K219" s="1353" t="n"/>
      <c r="L219" s="1353" t="n"/>
      <c r="M219" s="1353" t="n"/>
      <c r="N219" s="1353" t="n"/>
      <c r="O219" s="1353" t="n"/>
      <c r="P219" s="1353" t="n"/>
      <c r="Q219" s="1353" t="n"/>
      <c r="R219" s="1353" t="n"/>
      <c r="S219" s="1353" t="n"/>
      <c r="T219" s="1353" t="n"/>
      <c r="U219" s="1353" t="n"/>
      <c r="V219" s="1353" t="n"/>
      <c r="W219" s="1353" t="n"/>
      <c r="X219" s="1353" t="n"/>
      <c r="Y219" s="1353" t="n"/>
      <c r="Z219" s="1353" t="n"/>
      <c r="AA219" s="1353" t="n"/>
      <c r="AB219" s="1353" t="n"/>
      <c r="AC219" s="1353" t="n"/>
      <c r="AD219" s="1353" t="n"/>
      <c r="AE219" s="1353" t="n"/>
      <c r="AF219" s="1353" t="n"/>
      <c r="AG219" s="1353" t="n"/>
      <c r="AH219" s="1353" t="n"/>
      <c r="AI219" s="1353" t="n"/>
      <c r="AJ219" s="1353" t="n"/>
      <c r="AK219" s="1353" t="n"/>
      <c r="AL219" s="1353" t="n"/>
      <c r="AM219" s="1353" t="n"/>
      <c r="AN219" s="1353" t="n"/>
      <c r="AO219" s="1353" t="n"/>
      <c r="AP219" s="1353" t="n"/>
      <c r="AQ219" s="1353" t="n"/>
      <c r="AR219" s="1353" t="n"/>
      <c r="AS219" s="1353" t="n"/>
      <c r="AT219" s="1353" t="n"/>
      <c r="AU219" s="1353" t="n"/>
      <c r="AV219" s="1353" t="n"/>
      <c r="AW219" s="1353" t="n"/>
      <c r="AX219" s="1353" t="n"/>
      <c r="AY219" s="1353" t="n"/>
      <c r="AZ219" s="1353" t="n"/>
      <c r="BA219" s="1353" t="n"/>
      <c r="BB219" s="1353" t="n"/>
      <c r="BC219" s="1353" t="n"/>
      <c r="BD219" s="1353" t="n"/>
      <c r="BE219" s="1353" t="n"/>
      <c r="BF219" s="1353" t="n"/>
      <c r="BG219" s="1353" t="n"/>
      <c r="BH219" s="1353" t="n"/>
      <c r="BI219" s="1353" t="n"/>
      <c r="BJ219" s="1353" t="n"/>
      <c r="BK219" s="1353" t="n"/>
      <c r="BL219" s="1353" t="n"/>
      <c r="BM219" s="1353" t="n"/>
      <c r="BN219" s="1353" t="n"/>
      <c r="BO219" s="1353" t="n"/>
      <c r="BP219" s="1353" t="n"/>
      <c r="BQ219" s="1353" t="n"/>
      <c r="BR219" s="1353" t="n"/>
      <c r="BS219" s="1353" t="n"/>
      <c r="BT219" s="1353" t="n"/>
      <c r="BU219" s="1353" t="n"/>
      <c r="BV219" s="1353" t="n"/>
      <c r="BW219" s="1353" t="n"/>
      <c r="BX219" s="1353" t="n"/>
      <c r="BY219" s="1353" t="n"/>
      <c r="BZ219" s="1353" t="n"/>
      <c r="CA219" s="1353" t="n"/>
      <c r="CB219" s="1353" t="n"/>
      <c r="CC219" s="1353" t="n"/>
      <c r="CD219" s="1353" t="n"/>
      <c r="CE219" s="1353" t="n"/>
      <c r="CF219" s="1353" t="n"/>
      <c r="CG219" s="1353" t="n"/>
      <c r="CH219" s="1353" t="n"/>
      <c r="CI219" s="1353" t="n"/>
      <c r="CJ219" s="1353" t="n"/>
      <c r="CK219" s="1353" t="n"/>
      <c r="CL219" s="1353" t="n"/>
      <c r="CM219" s="1353" t="n"/>
      <c r="CN219" s="1353" t="n"/>
      <c r="CO219" s="1353" t="n"/>
      <c r="CP219" s="1353" t="n"/>
      <c r="CQ219" s="1353" t="n"/>
      <c r="CR219" s="1353" t="n"/>
      <c r="CS219" s="1353" t="n"/>
      <c r="CT219" s="1353" t="n"/>
      <c r="CU219" s="1353" t="n"/>
      <c r="CV219" s="1353" t="n"/>
      <c r="CW219" s="1353" t="n"/>
      <c r="CX219" s="1353" t="n"/>
      <c r="CY219" s="1353" t="n"/>
      <c r="CZ219" s="1353" t="n"/>
      <c r="DA219" s="1353" t="n"/>
      <c r="DB219" s="1353" t="n"/>
      <c r="DC219" s="1353" t="n"/>
      <c r="DD219" s="1353" t="n"/>
      <c r="DE219" s="1353" t="n"/>
      <c r="DF219" s="1353" t="n"/>
      <c r="DG219" s="1353" t="n"/>
      <c r="DH219" s="1353" t="n"/>
      <c r="DI219" s="1353" t="n"/>
      <c r="DJ219" s="1353" t="n"/>
      <c r="DK219" s="1353" t="n"/>
      <c r="DL219" s="1353" t="n"/>
      <c r="DM219" s="1353" t="n"/>
      <c r="DN219" s="1353" t="n"/>
      <c r="DO219" s="1353" t="n"/>
      <c r="DP219" s="1353" t="n"/>
      <c r="DQ219" s="1353" t="n"/>
      <c r="DR219" s="1353" t="n"/>
      <c r="DS219" s="1353" t="n"/>
      <c r="DT219" s="1353" t="n"/>
      <c r="DU219" s="1353" t="n"/>
      <c r="DV219" s="1353" t="n"/>
      <c r="DW219" s="1353" t="n"/>
      <c r="DX219" s="1353" t="n"/>
      <c r="DY219" s="1353" t="n"/>
      <c r="DZ219" s="1353" t="n"/>
      <c r="EA219" s="1353" t="n"/>
      <c r="EB219" s="1353" t="n"/>
      <c r="EC219" s="1353" t="n"/>
      <c r="ED219" s="1353" t="n"/>
      <c r="EE219" s="1353" t="n"/>
      <c r="EF219" s="1353" t="n"/>
      <c r="EG219" s="1353" t="n"/>
      <c r="EH219" s="1353" t="n"/>
      <c r="EI219" s="1353" t="n"/>
      <c r="EJ219" s="1353" t="n"/>
      <c r="EK219" s="1353" t="n"/>
      <c r="EL219" s="1353" t="n"/>
      <c r="EM219" s="1353" t="n"/>
      <c r="EN219" s="1353" t="n"/>
      <c r="EO219" s="1353" t="n"/>
      <c r="EP219" s="1353" t="n"/>
      <c r="EQ219" s="1353" t="n"/>
      <c r="ER219" s="1353" t="n"/>
      <c r="ES219" s="1353" t="n"/>
      <c r="ET219" s="1353" t="n"/>
      <c r="EU219" s="1353" t="n"/>
      <c r="EV219" s="1353" t="n"/>
      <c r="EW219" s="1353" t="n"/>
      <c r="EX219" s="1353" t="n"/>
      <c r="EY219" s="1353" t="n"/>
      <c r="EZ219" s="1353" t="n"/>
      <c r="FA219" s="1353" t="n"/>
      <c r="FB219" s="1353" t="n"/>
      <c r="FC219" s="1353" t="n"/>
      <c r="FD219" s="1353" t="n"/>
      <c r="FE219" s="1353" t="n"/>
      <c r="FF219" s="1353" t="n"/>
      <c r="FG219" s="1353" t="n"/>
      <c r="FH219" s="1353" t="n"/>
      <c r="FI219" s="1353" t="n"/>
      <c r="FJ219" s="1353" t="n"/>
      <c r="FK219" s="1353" t="n"/>
      <c r="FL219" s="1353" t="n"/>
      <c r="FM219" s="1353" t="n"/>
      <c r="FN219" s="1353" t="n"/>
      <c r="FO219" s="1353" t="n"/>
      <c r="FP219" s="1353" t="n"/>
      <c r="FQ219" s="1353" t="n"/>
      <c r="FR219" s="1353" t="n"/>
      <c r="FS219" s="1353" t="n"/>
      <c r="FT219" s="1353" t="n"/>
      <c r="FU219" s="1353" t="n"/>
      <c r="FV219" s="1353" t="n"/>
      <c r="FW219" s="1353" t="n"/>
      <c r="FX219" s="1353" t="n"/>
      <c r="FY219" s="1353" t="n"/>
      <c r="FZ219" s="1353" t="n"/>
      <c r="GA219" s="1353" t="n"/>
      <c r="GB219" s="1353" t="n"/>
      <c r="GC219" s="1353" t="n"/>
      <c r="GD219" s="1353" t="n"/>
      <c r="GE219" s="1353" t="n"/>
      <c r="GF219" s="1353" t="n"/>
      <c r="GG219" s="1353" t="n"/>
      <c r="GH219" s="1353" t="n"/>
      <c r="GI219" s="1353" t="n"/>
      <c r="GJ219" s="1353" t="n"/>
      <c r="GK219" s="1353" t="n"/>
      <c r="GL219" s="1353" t="n"/>
      <c r="GM219" s="1353" t="n"/>
      <c r="GN219" s="1353" t="n"/>
      <c r="GO219" s="1353" t="n"/>
      <c r="GP219" s="1353" t="n"/>
      <c r="GQ219" s="1353" t="n"/>
      <c r="GR219" s="1353" t="n"/>
      <c r="GS219" s="1353" t="n"/>
      <c r="GT219" s="1353" t="n"/>
      <c r="GU219" s="1353" t="n"/>
      <c r="GV219" s="1353" t="n"/>
      <c r="GW219" s="1353" t="n"/>
      <c r="GX219" s="1353" t="n"/>
      <c r="GY219" s="1353" t="n"/>
      <c r="GZ219" s="1353" t="n"/>
      <c r="HA219" s="1353" t="n"/>
      <c r="HB219" s="1353" t="n"/>
      <c r="HC219" s="1353" t="n"/>
      <c r="HD219" s="1353" t="n"/>
      <c r="HE219" s="1353" t="n"/>
      <c r="HF219" s="1353" t="n"/>
      <c r="HG219" s="1353" t="n"/>
      <c r="HH219" s="1353" t="n"/>
      <c r="HI219" s="1353" t="n"/>
      <c r="HJ219" s="1353" t="n"/>
      <c r="HK219" s="1353" t="n"/>
      <c r="HL219" s="1353" t="n"/>
      <c r="HM219" s="1353" t="n"/>
      <c r="HN219" s="1353" t="n"/>
      <c r="HO219" s="1353" t="n"/>
      <c r="HP219" s="1353" t="n"/>
      <c r="HQ219" s="1353" t="n"/>
      <c r="HR219" s="1353" t="n"/>
      <c r="HS219" s="1353" t="n"/>
      <c r="HT219" s="1353" t="n"/>
      <c r="HU219" s="1353" t="n"/>
      <c r="HV219" s="1353" t="n"/>
      <c r="HW219" s="1353" t="n"/>
      <c r="HX219" s="1353" t="n"/>
      <c r="HY219" s="1353" t="n"/>
      <c r="HZ219" s="1353" t="n"/>
      <c r="IA219" s="1353" t="n"/>
      <c r="IB219" s="1353" t="n"/>
      <c r="IC219" s="1353" t="n"/>
      <c r="ID219" s="1353" t="n"/>
      <c r="IE219" s="1353" t="n"/>
      <c r="IF219" s="1353" t="n"/>
      <c r="IG219" s="1353" t="n"/>
      <c r="IH219" s="1353" t="n"/>
      <c r="II219" s="1353" t="n"/>
      <c r="IJ219" s="1353" t="n"/>
      <c r="IK219" s="1353" t="n"/>
      <c r="IL219" s="1353" t="n"/>
      <c r="IM219" s="1353" t="n"/>
      <c r="IN219" s="1353" t="n"/>
      <c r="IO219" s="1353" t="n"/>
      <c r="IP219" s="1353" t="n"/>
      <c r="IQ219" s="1353" t="n"/>
      <c r="IR219" s="1353" t="n"/>
      <c r="IS219" s="1353" t="n"/>
      <c r="LB219" s="1354" t="n">
        <v>0.001</v>
      </c>
      <c r="LC219" s="1354" t="n">
        <v>-0.028</v>
      </c>
      <c r="LD219" s="1354" t="n">
        <v>-0.045</v>
      </c>
      <c r="LE219" s="1354" t="n">
        <v>-0.032</v>
      </c>
      <c r="LF219" s="1354" t="n">
        <v>-0.043</v>
      </c>
      <c r="LG219" s="1354" t="n">
        <v>-0.062</v>
      </c>
      <c r="LH219" s="1354" t="n">
        <v>-0.076</v>
      </c>
      <c r="LI219" s="1354" t="n">
        <v>-0.073</v>
      </c>
      <c r="LJ219" s="1354" t="n">
        <v>-0.062</v>
      </c>
      <c r="LK219" s="1354" t="n">
        <v>-0.057</v>
      </c>
      <c r="LL219" s="1354" t="n">
        <v>-0.047</v>
      </c>
      <c r="LM219" s="1354" t="n">
        <v>-0.039</v>
      </c>
      <c r="LN219" s="1354" t="n">
        <v>-0.035</v>
      </c>
      <c r="LO219" s="1354" t="n">
        <v>0.012</v>
      </c>
      <c r="LP219" s="1354" t="n">
        <v>0.027</v>
      </c>
      <c r="LQ219" s="1354" t="n">
        <v>0.011</v>
      </c>
      <c r="LR219" s="1354" t="n">
        <v>0.013</v>
      </c>
      <c r="LS219" s="1354" t="n">
        <v>0.02</v>
      </c>
    </row>
    <row r="220">
      <c r="B220" s="1353" t="n"/>
      <c r="C220" s="1353" t="n"/>
      <c r="D220" s="1353" t="n"/>
      <c r="E220" s="1353" t="n"/>
      <c r="F220" s="1353" t="n"/>
      <c r="G220" s="1353" t="n"/>
      <c r="H220" s="1353" t="n"/>
      <c r="I220" s="1353" t="n"/>
      <c r="J220" s="1353" t="n"/>
      <c r="K220" s="1353" t="n"/>
      <c r="L220" s="1353" t="n"/>
      <c r="M220" s="1353" t="n"/>
      <c r="N220" s="1353" t="n"/>
      <c r="O220" s="1353" t="n"/>
      <c r="P220" s="1353" t="n"/>
      <c r="Q220" s="1353" t="n"/>
      <c r="R220" s="1353" t="n"/>
      <c r="S220" s="1353" t="n"/>
      <c r="T220" s="1353" t="n"/>
      <c r="U220" s="1353" t="n"/>
      <c r="V220" s="1353" t="n"/>
      <c r="W220" s="1353" t="n"/>
      <c r="X220" s="1353" t="n"/>
      <c r="Y220" s="1353" t="n"/>
      <c r="Z220" s="1353" t="n"/>
      <c r="AA220" s="1353" t="n"/>
      <c r="AB220" s="1353" t="n"/>
      <c r="AC220" s="1353" t="n"/>
      <c r="AD220" s="1353" t="n"/>
      <c r="AE220" s="1353" t="n"/>
      <c r="AF220" s="1353" t="n"/>
      <c r="AG220" s="1353" t="n"/>
      <c r="AH220" s="1353" t="n"/>
      <c r="AI220" s="1353" t="n"/>
      <c r="AJ220" s="1353" t="n"/>
      <c r="AK220" s="1353" t="n"/>
      <c r="AL220" s="1353" t="n"/>
      <c r="AM220" s="1353" t="n"/>
      <c r="AN220" s="1353" t="n"/>
      <c r="AO220" s="1353" t="n"/>
      <c r="AP220" s="1353" t="n"/>
      <c r="AQ220" s="1353" t="n"/>
      <c r="AR220" s="1353" t="n"/>
      <c r="AS220" s="1353" t="n"/>
      <c r="AT220" s="1353" t="n"/>
      <c r="AU220" s="1353" t="n"/>
      <c r="AV220" s="1353" t="n"/>
      <c r="AW220" s="1353" t="n"/>
      <c r="AX220" s="1353" t="n"/>
      <c r="AY220" s="1353" t="n"/>
      <c r="AZ220" s="1353" t="n"/>
      <c r="BA220" s="1353" t="n"/>
      <c r="BB220" s="1353" t="n"/>
      <c r="BC220" s="1353" t="n"/>
      <c r="BD220" s="1353" t="n"/>
      <c r="BE220" s="1353" t="n"/>
      <c r="BF220" s="1353" t="n"/>
      <c r="BG220" s="1353" t="n"/>
      <c r="BH220" s="1353" t="n"/>
      <c r="BI220" s="1353" t="n"/>
      <c r="BJ220" s="1353" t="n"/>
      <c r="BK220" s="1353" t="n"/>
      <c r="BL220" s="1353" t="n"/>
      <c r="BM220" s="1353" t="n"/>
      <c r="BN220" s="1353" t="n"/>
      <c r="BO220" s="1353" t="n"/>
      <c r="BP220" s="1353" t="n"/>
      <c r="BQ220" s="1353" t="n"/>
      <c r="BR220" s="1353" t="n"/>
      <c r="BS220" s="1353" t="n"/>
      <c r="BT220" s="1353" t="n"/>
      <c r="BU220" s="1353" t="n"/>
      <c r="BV220" s="1353" t="n"/>
      <c r="BW220" s="1353" t="n"/>
      <c r="BX220" s="1353" t="n"/>
      <c r="BY220" s="1353" t="n"/>
      <c r="BZ220" s="1353" t="n"/>
      <c r="CA220" s="1353" t="n"/>
      <c r="CB220" s="1353" t="n"/>
      <c r="CC220" s="1353" t="n"/>
      <c r="CD220" s="1353" t="n"/>
      <c r="CE220" s="1353" t="n"/>
      <c r="CF220" s="1353" t="n"/>
      <c r="CG220" s="1353" t="n"/>
      <c r="CH220" s="1353" t="n"/>
      <c r="CI220" s="1353" t="n"/>
      <c r="CJ220" s="1353" t="n"/>
      <c r="CK220" s="1353" t="n"/>
      <c r="CL220" s="1353" t="n"/>
      <c r="CM220" s="1353" t="n"/>
      <c r="CN220" s="1353" t="n"/>
      <c r="CO220" s="1353" t="n"/>
      <c r="CP220" s="1353" t="n"/>
      <c r="CQ220" s="1353" t="n"/>
      <c r="CR220" s="1353" t="n"/>
      <c r="CS220" s="1353" t="n"/>
      <c r="CT220" s="1353" t="n"/>
      <c r="CU220" s="1353" t="n"/>
      <c r="CV220" s="1353" t="n"/>
      <c r="CW220" s="1353" t="n"/>
      <c r="CX220" s="1353" t="n"/>
      <c r="CY220" s="1353" t="n"/>
      <c r="CZ220" s="1353" t="n"/>
      <c r="DA220" s="1353" t="n"/>
      <c r="DB220" s="1353" t="n"/>
      <c r="DC220" s="1353" t="n"/>
      <c r="DD220" s="1353" t="n"/>
      <c r="DE220" s="1353" t="n"/>
      <c r="DF220" s="1353" t="n"/>
      <c r="DG220" s="1353" t="n"/>
      <c r="DH220" s="1353" t="n"/>
      <c r="DI220" s="1353" t="n"/>
      <c r="DJ220" s="1353" t="n"/>
      <c r="DK220" s="1353" t="n"/>
      <c r="DL220" s="1353" t="n"/>
      <c r="DM220" s="1353" t="n"/>
      <c r="DN220" s="1353" t="n"/>
      <c r="DO220" s="1353" t="n"/>
      <c r="DP220" s="1353" t="n"/>
      <c r="DQ220" s="1353" t="n"/>
      <c r="DR220" s="1353" t="n"/>
      <c r="DS220" s="1353" t="n"/>
      <c r="DT220" s="1353" t="n"/>
      <c r="DU220" s="1353" t="n"/>
      <c r="DV220" s="1353" t="n"/>
      <c r="DW220" s="1353" t="n"/>
      <c r="DX220" s="1353" t="n"/>
      <c r="DY220" s="1353" t="n"/>
      <c r="DZ220" s="1353" t="n"/>
      <c r="EA220" s="1353" t="n"/>
      <c r="EB220" s="1353" t="n"/>
      <c r="EC220" s="1353" t="n"/>
      <c r="ED220" s="1353" t="n"/>
      <c r="EE220" s="1353" t="n"/>
      <c r="EF220" s="1353" t="n"/>
      <c r="EG220" s="1353" t="n"/>
      <c r="EH220" s="1353" t="n"/>
      <c r="EI220" s="1353" t="n"/>
      <c r="EJ220" s="1353" t="n"/>
      <c r="EK220" s="1353" t="n"/>
      <c r="EL220" s="1353" t="n"/>
      <c r="EM220" s="1353" t="n"/>
      <c r="EN220" s="1353" t="n"/>
      <c r="EO220" s="1353" t="n"/>
      <c r="EP220" s="1353" t="n"/>
      <c r="EQ220" s="1353" t="n"/>
      <c r="ER220" s="1353" t="n"/>
      <c r="ES220" s="1353" t="n"/>
      <c r="ET220" s="1353" t="n"/>
      <c r="EU220" s="1353" t="n"/>
      <c r="EV220" s="1353" t="n"/>
      <c r="EW220" s="1353" t="n"/>
      <c r="EX220" s="1353" t="n"/>
      <c r="EY220" s="1353" t="n"/>
      <c r="EZ220" s="1353" t="n"/>
      <c r="FA220" s="1353" t="n"/>
      <c r="FB220" s="1353" t="n"/>
      <c r="FC220" s="1353" t="n"/>
      <c r="FD220" s="1353" t="n"/>
      <c r="FE220" s="1353" t="n"/>
      <c r="FF220" s="1353" t="n"/>
      <c r="FG220" s="1353" t="n"/>
      <c r="FH220" s="1353" t="n"/>
      <c r="FI220" s="1353" t="n"/>
      <c r="FJ220" s="1353" t="n"/>
      <c r="FK220" s="1353" t="n"/>
      <c r="FL220" s="1353" t="n"/>
      <c r="FM220" s="1353" t="n"/>
      <c r="FN220" s="1353" t="n"/>
      <c r="FO220" s="1353" t="n"/>
      <c r="FP220" s="1353" t="n"/>
      <c r="FQ220" s="1353" t="n"/>
      <c r="FR220" s="1353" t="n"/>
      <c r="FS220" s="1353" t="n"/>
      <c r="FT220" s="1353" t="n"/>
      <c r="FU220" s="1353" t="n"/>
      <c r="FV220" s="1353" t="n"/>
      <c r="FW220" s="1353" t="n"/>
      <c r="FX220" s="1353" t="n"/>
      <c r="FY220" s="1353" t="n"/>
      <c r="FZ220" s="1353" t="n"/>
      <c r="GA220" s="1353" t="n"/>
      <c r="GB220" s="1353" t="n"/>
      <c r="GC220" s="1353" t="n"/>
      <c r="GD220" s="1353" t="n"/>
      <c r="GE220" s="1353" t="n"/>
      <c r="GF220" s="1353" t="n"/>
      <c r="GG220" s="1353" t="n"/>
      <c r="GH220" s="1353" t="n"/>
      <c r="GI220" s="1353" t="n"/>
      <c r="GJ220" s="1353" t="n"/>
      <c r="GK220" s="1353" t="n"/>
      <c r="GL220" s="1353" t="n"/>
      <c r="GM220" s="1353" t="n"/>
      <c r="GN220" s="1353" t="n"/>
      <c r="GO220" s="1353" t="n"/>
      <c r="GP220" s="1353" t="n"/>
      <c r="GQ220" s="1353" t="n"/>
      <c r="GR220" s="1353" t="n"/>
      <c r="GS220" s="1353" t="n"/>
      <c r="GT220" s="1353" t="n"/>
      <c r="GU220" s="1353" t="n"/>
      <c r="GV220" s="1353" t="n"/>
      <c r="GW220" s="1353" t="n"/>
      <c r="GX220" s="1353" t="n"/>
      <c r="GY220" s="1353" t="n"/>
      <c r="GZ220" s="1353" t="n"/>
      <c r="HA220" s="1353" t="n"/>
      <c r="HB220" s="1353" t="n"/>
      <c r="HC220" s="1353" t="n"/>
      <c r="HD220" s="1353" t="n"/>
      <c r="HE220" s="1353" t="n"/>
      <c r="HF220" s="1353" t="n"/>
      <c r="HG220" s="1353" t="n"/>
      <c r="HH220" s="1353" t="n"/>
      <c r="HI220" s="1353" t="n"/>
      <c r="HJ220" s="1353" t="n"/>
      <c r="HK220" s="1353" t="n"/>
      <c r="HL220" s="1353" t="n"/>
      <c r="HM220" s="1353" t="n"/>
      <c r="HN220" s="1353" t="n"/>
      <c r="HO220" s="1353" t="n"/>
      <c r="HP220" s="1353" t="n"/>
      <c r="HQ220" s="1353" t="n"/>
      <c r="HR220" s="1353" t="n"/>
      <c r="HS220" s="1353" t="n"/>
      <c r="HT220" s="1353" t="n"/>
      <c r="HU220" s="1353" t="n"/>
      <c r="HV220" s="1353" t="n"/>
      <c r="HW220" s="1353" t="n"/>
      <c r="HX220" s="1353" t="n"/>
      <c r="HY220" s="1353" t="n"/>
      <c r="HZ220" s="1353" t="n"/>
      <c r="IA220" s="1353" t="n"/>
      <c r="IB220" s="1353" t="n"/>
      <c r="IC220" s="1353" t="n"/>
      <c r="ID220" s="1353" t="n"/>
      <c r="IE220" s="1353" t="n"/>
      <c r="IF220" s="1353" t="n"/>
      <c r="IG220" s="1353" t="n"/>
      <c r="IH220" s="1353" t="n"/>
      <c r="II220" s="1353" t="n"/>
      <c r="IJ220" s="1353" t="n"/>
      <c r="IK220" s="1353" t="n"/>
      <c r="IL220" s="1353" t="n"/>
      <c r="IM220" s="1353" t="n"/>
      <c r="IN220" s="1353" t="n"/>
      <c r="IO220" s="1353" t="n"/>
      <c r="IP220" s="1353" t="n"/>
      <c r="IQ220" s="1353" t="n"/>
      <c r="IR220" s="1353" t="n"/>
      <c r="IS220" s="1353" t="n"/>
    </row>
    <row r="221">
      <c r="IT221" s="1353" t="n"/>
      <c r="IU221" s="1353" t="n"/>
      <c r="IV221" s="1353" t="n"/>
      <c r="IW221" s="1353" t="n"/>
      <c r="IX221" s="1353" t="n"/>
      <c r="IY221" s="1353" t="n"/>
      <c r="IZ221" s="1353" t="n"/>
      <c r="JA221" s="1353" t="n"/>
      <c r="JB221" s="1353" t="n"/>
      <c r="JC221" s="1353" t="n"/>
      <c r="JD221" s="1353" t="n"/>
      <c r="JE221" s="1353" t="n"/>
      <c r="JF221" s="1353" t="n"/>
      <c r="JG221" s="1353" t="n"/>
      <c r="JH221" s="1353" t="n"/>
      <c r="JI221" s="1353" t="n"/>
      <c r="JJ221" s="1353" t="n"/>
      <c r="JK221" s="1353" t="n"/>
      <c r="JL221" s="1353" t="n"/>
      <c r="JM221" s="1353" t="n"/>
      <c r="JN221" s="1353" t="n"/>
      <c r="JO221" s="1353" t="n"/>
      <c r="JP221" s="1353" t="n"/>
      <c r="JQ221" s="1353" t="n"/>
      <c r="JR221" s="1353" t="n"/>
      <c r="JS221" s="1353" t="n"/>
      <c r="JT221" s="1353" t="n"/>
      <c r="JU221" s="1353" t="n"/>
      <c r="JV221" s="1353" t="n"/>
      <c r="JW221" s="1353" t="n"/>
      <c r="JX221" s="1353" t="n"/>
      <c r="JY221" s="1353" t="n"/>
      <c r="JZ221" s="1353" t="n"/>
      <c r="KA221" s="1353" t="n"/>
      <c r="KB221" s="1353" t="n"/>
      <c r="KC221" s="1353" t="n"/>
      <c r="KD221" s="1353" t="n"/>
      <c r="KE221" s="1353" t="n"/>
      <c r="KF221" s="1353" t="n"/>
      <c r="KG221" s="1353" t="n"/>
      <c r="KH221" s="1353" t="n"/>
      <c r="KI221" s="1353" t="n"/>
      <c r="KJ221" s="1353" t="n"/>
      <c r="KK221" s="1353" t="n"/>
      <c r="KL221" s="1353" t="n"/>
      <c r="KM221" s="1353" t="n"/>
      <c r="KN221" s="1353" t="n"/>
      <c r="KO221" s="1353" t="n"/>
      <c r="KP221" s="1353" t="n"/>
      <c r="KQ221" s="1353" t="n"/>
      <c r="KR221" s="1353" t="n"/>
      <c r="KS221" s="1353" t="n"/>
      <c r="KT221" s="1353" t="n"/>
      <c r="KU221" s="1353" t="n"/>
      <c r="KV221" s="1353" t="n"/>
      <c r="KW221" s="1353" t="n"/>
      <c r="KX221" s="1353" t="n"/>
      <c r="KY221" s="1353" t="n"/>
      <c r="KZ221" s="1353" t="n"/>
      <c r="LA221" s="1353" t="n"/>
      <c r="LB221" s="1353" t="n"/>
      <c r="LC221" s="1353" t="n"/>
      <c r="LD221" s="1353" t="n"/>
      <c r="LE221" s="1353" t="n"/>
      <c r="LF221" s="1353" t="n"/>
      <c r="LG221" s="1353" t="n"/>
      <c r="LH221" s="1353" t="n"/>
      <c r="LI221" s="1353" t="n"/>
      <c r="LJ221" s="1353" t="n"/>
      <c r="LK221" s="1353" t="n"/>
      <c r="LL221" s="1353" t="n"/>
      <c r="LM221" s="1353" t="n"/>
      <c r="LN221" s="1353" t="n"/>
      <c r="LO221" s="1353" t="n"/>
      <c r="LP221" s="1353" t="n"/>
      <c r="LQ221" s="1353" t="n"/>
      <c r="LR221" s="1353" t="n"/>
      <c r="LS221" s="1353" t="n"/>
    </row>
    <row r="222">
      <c r="IT222" s="572" t="n"/>
      <c r="IU222" s="572" t="n"/>
      <c r="IV222" s="572" t="n"/>
      <c r="IW222" s="572" t="n"/>
      <c r="IX222" s="572" t="n"/>
      <c r="IY222" s="572" t="n"/>
      <c r="IZ222" s="572" t="n"/>
      <c r="JA222" s="572" t="n"/>
      <c r="JB222" s="572" t="n"/>
      <c r="JC222" s="572" t="n"/>
      <c r="JD222" s="572" t="n"/>
      <c r="JE222" s="572" t="n"/>
      <c r="JF222" s="572" t="n"/>
      <c r="JG222" s="572" t="n"/>
      <c r="JH222" s="572" t="n"/>
      <c r="JI222" s="572" t="n"/>
      <c r="JJ222" s="572" t="n"/>
      <c r="JK222" s="572" t="n"/>
      <c r="JL222" s="572" t="n"/>
      <c r="JM222" s="572" t="n"/>
      <c r="JN222" s="572" t="n"/>
      <c r="JO222" s="572" t="n"/>
      <c r="JP222" s="572" t="n"/>
      <c r="JQ222" s="572" t="n"/>
      <c r="JR222" s="572" t="n"/>
      <c r="JS222" s="572" t="n"/>
      <c r="JT222" s="572" t="n"/>
      <c r="JU222" s="572" t="n"/>
      <c r="JV222" s="572" t="n"/>
      <c r="JW222" s="572" t="n"/>
      <c r="JX222" s="572" t="n"/>
      <c r="JY222" s="572" t="n"/>
      <c r="JZ222" s="572" t="n"/>
      <c r="KA222" s="572" t="n"/>
      <c r="KB222" s="572" t="n"/>
      <c r="KC222" s="572" t="n"/>
      <c r="KD222" s="572" t="n"/>
      <c r="KE222" s="572" t="n"/>
      <c r="KF222" s="572" t="n"/>
      <c r="KG222" s="572" t="n"/>
      <c r="KH222" s="572" t="n"/>
      <c r="KI222" s="572" t="n"/>
      <c r="KJ222" s="572" t="n"/>
      <c r="KK222" s="572" t="n"/>
      <c r="KL222" s="572" t="n"/>
      <c r="KM222" s="572" t="n"/>
      <c r="KN222" s="572" t="n"/>
      <c r="KO222" s="572" t="n"/>
      <c r="KP222" s="572" t="n"/>
      <c r="KQ222" s="572" t="n"/>
      <c r="KR222" s="572" t="n"/>
      <c r="KS222" s="572" t="n"/>
      <c r="KT222" s="572" t="n"/>
      <c r="KU222" s="572" t="n"/>
      <c r="KV222" s="572" t="n"/>
      <c r="KW222" s="572" t="n"/>
      <c r="KX222" s="572" t="n"/>
      <c r="KY222" s="572" t="n"/>
      <c r="KZ222" s="572" t="n"/>
      <c r="LA222" s="572" t="n"/>
      <c r="LB222" s="572" t="n"/>
      <c r="LC222" s="572" t="n"/>
      <c r="LD222" s="572" t="n"/>
      <c r="LE222" s="572" t="n"/>
      <c r="LF222" s="572" t="n"/>
      <c r="LG222" s="572" t="n"/>
      <c r="LH222" s="572" t="n"/>
      <c r="LI222" s="572" t="n"/>
      <c r="LJ222" s="572" t="n"/>
      <c r="LK222" s="572" t="n"/>
      <c r="LL222" s="572" t="n"/>
      <c r="LM222" s="572" t="n"/>
      <c r="LN222" s="572" t="n"/>
      <c r="LO222" s="572" t="n"/>
      <c r="LP222" s="572" t="n"/>
      <c r="LQ222" s="572" t="n"/>
      <c r="LR222" s="572" t="n"/>
      <c r="LS222" s="572" t="n"/>
    </row>
    <row r="223">
      <c r="IT223" s="572" t="n"/>
      <c r="IU223" s="572" t="n"/>
      <c r="IV223" s="572" t="n"/>
      <c r="IW223" s="572" t="n"/>
      <c r="IX223" s="572" t="n"/>
      <c r="IY223" s="572" t="n"/>
      <c r="IZ223" s="572" t="n"/>
      <c r="JA223" s="572" t="n"/>
      <c r="JB223" s="572" t="n"/>
      <c r="JC223" s="572" t="n"/>
      <c r="JD223" s="572" t="n"/>
      <c r="JE223" s="572" t="n"/>
      <c r="JF223" s="572" t="n"/>
      <c r="JG223" s="572" t="n"/>
      <c r="JH223" s="572" t="n"/>
      <c r="JI223" s="572" t="n"/>
      <c r="JJ223" s="572" t="n"/>
      <c r="JK223" s="572" t="n"/>
      <c r="JL223" s="572" t="n"/>
      <c r="JM223" s="572" t="n"/>
      <c r="JN223" s="572" t="n"/>
      <c r="JO223" s="572" t="n"/>
      <c r="JP223" s="572" t="n"/>
      <c r="JQ223" s="572" t="n"/>
      <c r="JR223" s="572" t="n"/>
      <c r="JS223" s="572" t="n"/>
      <c r="JT223" s="572" t="n"/>
      <c r="JU223" s="572" t="n"/>
      <c r="JV223" s="572" t="n"/>
      <c r="JW223" s="572" t="n"/>
      <c r="JX223" s="572" t="n"/>
      <c r="JY223" s="572" t="n"/>
      <c r="JZ223" s="572" t="n"/>
      <c r="KA223" s="572" t="n"/>
      <c r="KB223" s="572" t="n"/>
      <c r="KC223" s="572" t="n"/>
      <c r="KD223" s="572" t="n"/>
      <c r="KE223" s="572" t="n"/>
      <c r="KF223" s="572" t="n"/>
      <c r="KG223" s="572" t="n"/>
      <c r="KH223" s="572" t="n"/>
      <c r="KI223" s="572" t="n"/>
      <c r="KJ223" s="572" t="n"/>
      <c r="KK223" s="572" t="n"/>
      <c r="KL223" s="572" t="n"/>
      <c r="KM223" s="572" t="n"/>
      <c r="KN223" s="572" t="n"/>
      <c r="KO223" s="572" t="n"/>
      <c r="KP223" s="572" t="n"/>
      <c r="KQ223" s="572" t="n"/>
      <c r="KR223" s="572" t="n"/>
      <c r="KS223" s="572" t="n"/>
      <c r="KT223" s="572" t="n"/>
      <c r="KU223" s="572" t="n"/>
      <c r="KV223" s="572" t="n"/>
      <c r="KW223" s="572" t="n"/>
      <c r="KX223" s="572" t="n"/>
      <c r="KY223" s="572" t="n"/>
      <c r="KZ223" s="572" t="n"/>
      <c r="LA223" s="572" t="n"/>
      <c r="LB223" s="572" t="n"/>
      <c r="LC223" s="572" t="n"/>
      <c r="LD223" s="572" t="n"/>
      <c r="LE223" s="572" t="n"/>
      <c r="LF223" s="572" t="n"/>
      <c r="LG223" s="572" t="n"/>
      <c r="LH223" s="572" t="n"/>
      <c r="LI223" s="572" t="n"/>
      <c r="LJ223" s="572" t="n"/>
      <c r="LK223" s="572" t="n"/>
      <c r="LL223" s="572" t="n"/>
      <c r="LM223" s="572" t="n"/>
      <c r="LN223" s="572" t="n"/>
      <c r="LO223" s="572" t="n"/>
      <c r="LP223" s="572" t="n"/>
      <c r="LQ223" s="572" t="n"/>
      <c r="LR223" s="572" t="n"/>
      <c r="LS223" s="572" t="n"/>
    </row>
    <row r="224">
      <c r="IT224" s="1353" t="n"/>
      <c r="IU224" s="1353" t="n"/>
      <c r="IV224" s="1353" t="n"/>
      <c r="IW224" s="1353" t="n"/>
      <c r="IX224" s="1353" t="n"/>
      <c r="IY224" s="1353" t="n"/>
      <c r="IZ224" s="1353" t="n"/>
      <c r="JA224" s="1353" t="n"/>
      <c r="JB224" s="1353" t="n"/>
      <c r="JC224" s="1353" t="n"/>
      <c r="JD224" s="1353" t="n"/>
      <c r="JE224" s="1353" t="n"/>
      <c r="JF224" s="1353" t="n"/>
      <c r="JG224" s="1353" t="n"/>
      <c r="JH224" s="1353" t="n"/>
      <c r="JI224" s="1353" t="n"/>
      <c r="JJ224" s="1353" t="n"/>
      <c r="JK224" s="1353" t="n"/>
      <c r="JL224" s="1353" t="n"/>
      <c r="JM224" s="1353" t="n"/>
      <c r="JN224" s="1353" t="n"/>
      <c r="JO224" s="1353" t="n"/>
      <c r="JP224" s="1353" t="n"/>
      <c r="JQ224" s="1353" t="n"/>
      <c r="JR224" s="1353" t="n"/>
      <c r="JS224" s="1353" t="n"/>
      <c r="JT224" s="1353" t="n"/>
      <c r="JU224" s="1353" t="n"/>
      <c r="JV224" s="1353" t="n"/>
      <c r="JW224" s="1353" t="n"/>
      <c r="JX224" s="1353" t="n"/>
      <c r="JY224" s="1353" t="n"/>
      <c r="JZ224" s="1353" t="n"/>
      <c r="KA224" s="1353" t="n"/>
      <c r="KB224" s="1353" t="n"/>
      <c r="KC224" s="1353" t="n"/>
      <c r="KD224" s="1353" t="n"/>
      <c r="KE224" s="1353" t="n"/>
      <c r="KF224" s="1353" t="n"/>
      <c r="KG224" s="1353" t="n"/>
      <c r="KH224" s="1353" t="n"/>
      <c r="KI224" s="1353" t="n"/>
      <c r="KJ224" s="1353" t="n"/>
      <c r="KK224" s="1353" t="n"/>
      <c r="KL224" s="1353" t="n"/>
      <c r="KM224" s="1353" t="n"/>
      <c r="KN224" s="1353" t="n"/>
      <c r="KO224" s="1353" t="n"/>
      <c r="KP224" s="1353" t="n"/>
      <c r="KQ224" s="1353" t="n"/>
      <c r="KR224" s="1353" t="n"/>
      <c r="KS224" s="1353" t="n"/>
      <c r="KT224" s="1353" t="n"/>
      <c r="KU224" s="1353" t="n"/>
      <c r="KV224" s="1353" t="n"/>
      <c r="KW224" s="1353" t="n"/>
      <c r="KX224" s="1353" t="n"/>
      <c r="KY224" s="1353" t="n"/>
      <c r="KZ224" s="1353" t="n"/>
      <c r="LA224" s="1353" t="n"/>
      <c r="LB224" s="1353" t="n"/>
      <c r="LC224" s="1353" t="n"/>
      <c r="LD224" s="1353" t="n"/>
      <c r="LE224" s="1353" t="n"/>
      <c r="LF224" s="1353" t="n"/>
      <c r="LG224" s="1353" t="n"/>
      <c r="LH224" s="1353" t="n"/>
      <c r="LI224" s="1353" t="n"/>
      <c r="LJ224" s="1353" t="n"/>
      <c r="LK224" s="1353" t="n"/>
      <c r="LL224" s="1353" t="n"/>
      <c r="LM224" s="1353" t="n"/>
      <c r="LN224" s="1353" t="n"/>
      <c r="LO224" s="1353" t="n"/>
      <c r="LP224" s="1353" t="n"/>
      <c r="LQ224" s="1353" t="n"/>
      <c r="LR224" s="1353" t="n"/>
      <c r="LS224" s="1353" t="n"/>
    </row>
    <row r="225">
      <c r="IT225" s="1353" t="n"/>
      <c r="IU225" s="1353" t="n"/>
      <c r="IV225" s="1353" t="n"/>
      <c r="IW225" s="1353" t="n"/>
      <c r="IX225" s="1353" t="n"/>
      <c r="IY225" s="1353" t="n"/>
      <c r="IZ225" s="1353" t="n"/>
      <c r="JA225" s="1353" t="n"/>
      <c r="JB225" s="1353" t="n"/>
      <c r="JC225" s="1353" t="n"/>
      <c r="JD225" s="1353" t="n"/>
      <c r="JE225" s="1353" t="n"/>
      <c r="JF225" s="1353" t="n"/>
      <c r="JG225" s="1353" t="n"/>
      <c r="JH225" s="1353" t="n"/>
      <c r="JI225" s="1353" t="n"/>
      <c r="JJ225" s="1353" t="n"/>
      <c r="JK225" s="1353" t="n"/>
      <c r="JL225" s="1353" t="n"/>
      <c r="JM225" s="1353" t="n"/>
      <c r="JN225" s="1353" t="n"/>
      <c r="JO225" s="1353" t="n"/>
      <c r="JP225" s="1353" t="n"/>
      <c r="JQ225" s="1353" t="n"/>
      <c r="JR225" s="1353" t="n"/>
      <c r="JS225" s="1353" t="n"/>
      <c r="JT225" s="1353" t="n"/>
      <c r="JU225" s="1353" t="n"/>
      <c r="JV225" s="1353" t="n"/>
      <c r="JW225" s="1353" t="n"/>
      <c r="JX225" s="1353" t="n"/>
      <c r="JY225" s="1353" t="n"/>
      <c r="JZ225" s="1353" t="n"/>
      <c r="KA225" s="1353" t="n"/>
      <c r="KB225" s="1353" t="n"/>
      <c r="KC225" s="1353" t="n"/>
      <c r="KD225" s="1353" t="n"/>
      <c r="KE225" s="1353" t="n"/>
      <c r="KF225" s="1353" t="n"/>
      <c r="KG225" s="1353" t="n"/>
      <c r="KH225" s="1353" t="n"/>
      <c r="KI225" s="1353" t="n"/>
      <c r="KJ225" s="1353" t="n"/>
      <c r="KK225" s="1353" t="n"/>
      <c r="KL225" s="1353" t="n"/>
      <c r="KM225" s="1353" t="n"/>
      <c r="KN225" s="1353" t="n"/>
      <c r="KO225" s="1353" t="n"/>
      <c r="KP225" s="1353" t="n"/>
      <c r="KQ225" s="1353" t="n"/>
      <c r="KR225" s="1353" t="n"/>
      <c r="KS225" s="1353" t="n"/>
      <c r="KT225" s="1353" t="n"/>
      <c r="KU225" s="1353" t="n"/>
      <c r="KV225" s="1353" t="n"/>
      <c r="KW225" s="1353" t="n"/>
      <c r="KX225" s="1353" t="n"/>
      <c r="KY225" s="1353" t="n"/>
      <c r="KZ225" s="1353" t="n"/>
      <c r="LA225" s="1353" t="n"/>
      <c r="LB225" s="1353" t="n"/>
      <c r="LC225" s="1353" t="n"/>
      <c r="LD225" s="1353" t="n"/>
      <c r="LE225" s="1353" t="n"/>
      <c r="LF225" s="1353" t="n"/>
      <c r="LG225" s="1353" t="n"/>
      <c r="LH225" s="1353" t="n"/>
      <c r="LI225" s="1353" t="n"/>
      <c r="LJ225" s="1353" t="n"/>
      <c r="LK225" s="1353" t="n"/>
      <c r="LL225" s="1353" t="n"/>
      <c r="LM225" s="1353" t="n"/>
      <c r="LN225" s="1353" t="n"/>
      <c r="LO225" s="1353" t="n"/>
      <c r="LP225" s="1353" t="n"/>
      <c r="LQ225" s="1353" t="n"/>
      <c r="LR225" s="1353" t="n"/>
      <c r="LS225" s="1353" t="n"/>
    </row>
    <row r="226">
      <c r="IT226" s="572" t="n"/>
      <c r="IU226" s="572" t="n"/>
      <c r="IV226" s="572" t="n"/>
      <c r="IW226" s="572" t="n"/>
      <c r="IX226" s="572" t="n"/>
      <c r="IY226" s="572" t="n"/>
      <c r="IZ226" s="572" t="n"/>
      <c r="JA226" s="572" t="n"/>
      <c r="JB226" s="572" t="n"/>
      <c r="JC226" s="572" t="n"/>
      <c r="JD226" s="572" t="n"/>
      <c r="JE226" s="572" t="n"/>
      <c r="JF226" s="572" t="n"/>
      <c r="JG226" s="572" t="n"/>
      <c r="JH226" s="572" t="n"/>
      <c r="JI226" s="572" t="n"/>
      <c r="JJ226" s="572" t="n"/>
      <c r="JK226" s="572" t="n"/>
      <c r="JL226" s="572" t="n"/>
      <c r="JM226" s="572" t="n"/>
      <c r="JN226" s="572" t="n"/>
      <c r="JO226" s="572" t="n"/>
      <c r="JP226" s="572" t="n"/>
      <c r="JQ226" s="572" t="n"/>
      <c r="JR226" s="572" t="n"/>
      <c r="JS226" s="572" t="n"/>
      <c r="JT226" s="572" t="n"/>
      <c r="JU226" s="572" t="n"/>
      <c r="JV226" s="572" t="n"/>
      <c r="JW226" s="572" t="n"/>
      <c r="JX226" s="572" t="n"/>
      <c r="JY226" s="572" t="n"/>
      <c r="JZ226" s="572" t="n"/>
      <c r="KA226" s="572" t="n"/>
      <c r="KB226" s="572" t="n"/>
      <c r="KC226" s="572" t="n"/>
      <c r="KD226" s="572" t="n"/>
      <c r="KE226" s="572" t="n"/>
      <c r="KF226" s="572" t="n"/>
      <c r="KG226" s="572" t="n"/>
      <c r="KH226" s="572" t="n"/>
      <c r="KI226" s="572" t="n"/>
      <c r="KJ226" s="572" t="n"/>
      <c r="KK226" s="572" t="n"/>
      <c r="KL226" s="572" t="n"/>
      <c r="KM226" s="572" t="n"/>
      <c r="KN226" s="572" t="n"/>
      <c r="KO226" s="572" t="n"/>
      <c r="KP226" s="572" t="n"/>
      <c r="KQ226" s="572" t="n"/>
      <c r="KR226" s="572" t="n"/>
      <c r="KS226" s="572" t="n"/>
      <c r="KT226" s="572" t="n"/>
      <c r="KU226" s="572" t="n"/>
      <c r="KV226" s="572" t="n"/>
      <c r="KW226" s="572" t="n"/>
      <c r="KX226" s="572" t="n"/>
      <c r="KY226" s="572" t="n"/>
      <c r="KZ226" s="572" t="n"/>
      <c r="LA226" s="572" t="n"/>
      <c r="LB226" s="572" t="n"/>
      <c r="LC226" s="572" t="n"/>
      <c r="LD226" s="572" t="n"/>
      <c r="LE226" s="572" t="n"/>
      <c r="LF226" s="572" t="n"/>
      <c r="LG226" s="572" t="n"/>
      <c r="LH226" s="572" t="n"/>
      <c r="LI226" s="572" t="n"/>
      <c r="LJ226" s="572" t="n"/>
      <c r="LK226" s="572" t="n"/>
      <c r="LL226" s="572" t="n"/>
      <c r="LM226" s="572" t="n"/>
      <c r="LN226" s="572" t="n"/>
      <c r="LO226" s="572" t="n"/>
      <c r="LP226" s="572" t="n"/>
      <c r="LQ226" s="572" t="n"/>
      <c r="LR226" s="572" t="n"/>
      <c r="LS226" s="572" t="n"/>
    </row>
    <row r="227">
      <c r="IT227" s="572" t="n"/>
      <c r="IU227" s="572" t="n"/>
      <c r="IV227" s="572" t="n"/>
      <c r="IW227" s="572" t="n"/>
      <c r="IX227" s="572" t="n"/>
      <c r="IY227" s="572" t="n"/>
      <c r="IZ227" s="572" t="n"/>
      <c r="JA227" s="572" t="n"/>
      <c r="JB227" s="572" t="n"/>
      <c r="JC227" s="572" t="n"/>
      <c r="JD227" s="572" t="n"/>
      <c r="JE227" s="572" t="n"/>
      <c r="JF227" s="572" t="n"/>
      <c r="JG227" s="572" t="n"/>
      <c r="JH227" s="572" t="n"/>
      <c r="JI227" s="572" t="n"/>
      <c r="JJ227" s="572" t="n"/>
      <c r="JK227" s="572" t="n"/>
      <c r="JL227" s="572" t="n"/>
      <c r="JM227" s="572" t="n"/>
      <c r="JN227" s="572" t="n"/>
      <c r="JO227" s="572" t="n"/>
      <c r="JP227" s="572" t="n"/>
      <c r="JQ227" s="572" t="n"/>
      <c r="JR227" s="572" t="n"/>
      <c r="JS227" s="572" t="n"/>
      <c r="JT227" s="572" t="n"/>
      <c r="JU227" s="572" t="n"/>
      <c r="JV227" s="572" t="n"/>
      <c r="JW227" s="572" t="n"/>
      <c r="JX227" s="572" t="n"/>
      <c r="JY227" s="572" t="n"/>
      <c r="JZ227" s="572" t="n"/>
      <c r="KA227" s="572" t="n"/>
      <c r="KB227" s="572" t="n"/>
      <c r="KC227" s="572" t="n"/>
      <c r="KD227" s="572" t="n"/>
      <c r="KE227" s="572" t="n"/>
      <c r="KF227" s="572" t="n"/>
      <c r="KG227" s="572" t="n"/>
      <c r="KH227" s="572" t="n"/>
      <c r="KI227" s="572" t="n"/>
      <c r="KJ227" s="572" t="n"/>
      <c r="KK227" s="572" t="n"/>
      <c r="KL227" s="572" t="n"/>
      <c r="KM227" s="572" t="n"/>
      <c r="KN227" s="572" t="n"/>
      <c r="KO227" s="572" t="n"/>
      <c r="KP227" s="572" t="n"/>
      <c r="KQ227" s="572" t="n"/>
      <c r="KR227" s="572" t="n"/>
      <c r="KS227" s="572" t="n"/>
      <c r="KT227" s="572" t="n"/>
      <c r="KU227" s="572" t="n"/>
      <c r="KV227" s="572" t="n"/>
      <c r="KW227" s="572" t="n"/>
      <c r="KX227" s="572" t="n"/>
      <c r="KY227" s="572" t="n"/>
      <c r="KZ227" s="572" t="n"/>
      <c r="LA227" s="572" t="n"/>
      <c r="LB227" s="572" t="n"/>
      <c r="LC227" s="572" t="n"/>
      <c r="LD227" s="572" t="n"/>
      <c r="LE227" s="572" t="n"/>
      <c r="LF227" s="572" t="n"/>
      <c r="LG227" s="572" t="n"/>
      <c r="LH227" s="572" t="n"/>
      <c r="LI227" s="572" t="n"/>
      <c r="LJ227" s="572" t="n"/>
      <c r="LK227" s="572" t="n"/>
      <c r="LL227" s="572" t="n"/>
      <c r="LM227" s="572" t="n"/>
      <c r="LN227" s="572" t="n"/>
      <c r="LO227" s="572" t="n"/>
      <c r="LP227" s="572" t="n"/>
      <c r="LQ227" s="572" t="n"/>
      <c r="LR227" s="572" t="n"/>
      <c r="LS227" s="572" t="n"/>
    </row>
    <row r="228">
      <c r="IT228" s="572" t="n"/>
      <c r="IU228" s="572" t="n"/>
      <c r="IV228" s="572" t="n"/>
      <c r="IW228" s="572" t="n"/>
      <c r="IX228" s="572" t="n"/>
      <c r="IY228" s="572" t="n"/>
      <c r="IZ228" s="572" t="n"/>
      <c r="JA228" s="572" t="n"/>
      <c r="JB228" s="572" t="n"/>
      <c r="JC228" s="572" t="n"/>
      <c r="JD228" s="572" t="n"/>
      <c r="JE228" s="572" t="n"/>
      <c r="JF228" s="572" t="n"/>
      <c r="JG228" s="572" t="n"/>
      <c r="JH228" s="572" t="n"/>
      <c r="JI228" s="572" t="n"/>
      <c r="JJ228" s="572" t="n"/>
      <c r="JK228" s="572" t="n"/>
      <c r="JL228" s="572" t="n"/>
      <c r="JM228" s="572" t="n"/>
      <c r="JN228" s="572" t="n"/>
      <c r="JO228" s="572" t="n"/>
      <c r="JP228" s="572" t="n"/>
      <c r="JQ228" s="572" t="n"/>
      <c r="JR228" s="572" t="n"/>
      <c r="JS228" s="572" t="n"/>
      <c r="JT228" s="572" t="n"/>
      <c r="JU228" s="572" t="n"/>
      <c r="JV228" s="572" t="n"/>
      <c r="JW228" s="572" t="n"/>
      <c r="JX228" s="572" t="n"/>
      <c r="JY228" s="572" t="n"/>
      <c r="JZ228" s="572" t="n"/>
      <c r="KA228" s="572" t="n"/>
      <c r="KB228" s="572" t="n"/>
      <c r="KC228" s="572" t="n"/>
      <c r="KD228" s="572" t="n"/>
      <c r="KE228" s="572" t="n"/>
      <c r="KF228" s="572" t="n"/>
      <c r="KG228" s="572" t="n"/>
      <c r="KH228" s="572" t="n"/>
      <c r="KI228" s="572" t="n"/>
      <c r="KJ228" s="572" t="n"/>
      <c r="KK228" s="572" t="n"/>
      <c r="KL228" s="572" t="n"/>
      <c r="KM228" s="572" t="n"/>
      <c r="KN228" s="572" t="n"/>
      <c r="KO228" s="572" t="n"/>
      <c r="KP228" s="1345" t="n"/>
      <c r="KQ228" s="1345" t="n"/>
      <c r="KR228" s="1345" t="n"/>
      <c r="KS228" s="1345" t="n"/>
      <c r="KT228" s="1345" t="n"/>
      <c r="KU228" s="1345" t="n"/>
      <c r="KV228" s="1345" t="n"/>
      <c r="KW228" s="572" t="n"/>
      <c r="KX228" s="572" t="n"/>
      <c r="KY228" s="572" t="n"/>
      <c r="KZ228" s="572" t="n"/>
      <c r="LA228" s="572" t="n"/>
      <c r="LB228" s="572" t="n"/>
      <c r="LC228" s="572" t="n"/>
      <c r="LD228" s="572" t="n"/>
      <c r="LE228" s="572" t="n"/>
      <c r="LF228" s="572" t="n"/>
      <c r="LG228" s="572" t="n"/>
      <c r="LH228" s="572" t="n"/>
      <c r="LI228" s="572" t="n"/>
      <c r="LJ228" s="572" t="n"/>
      <c r="LK228" s="572" t="n"/>
      <c r="LL228" s="572" t="n"/>
      <c r="LM228" s="572" t="n"/>
      <c r="LN228" s="572" t="n"/>
      <c r="LO228" s="572" t="n"/>
      <c r="LP228" s="572" t="n"/>
      <c r="LQ228" s="572" t="n"/>
      <c r="LR228" s="572" t="n"/>
      <c r="LS228" s="572" t="n"/>
    </row>
    <row r="229">
      <c r="IT229" s="1346" t="n"/>
      <c r="IU229" s="1346" t="n"/>
      <c r="IV229" s="1346" t="n"/>
      <c r="IW229" s="1346" t="n"/>
      <c r="IX229" s="1346" t="n"/>
      <c r="IY229" s="1346" t="n"/>
      <c r="IZ229" s="1346" t="n"/>
      <c r="JA229" s="1346" t="n"/>
      <c r="JB229" s="1346" t="n"/>
      <c r="JC229" s="1346" t="n"/>
      <c r="JD229" s="1346" t="n"/>
      <c r="JE229" s="1346" t="n"/>
      <c r="JF229" s="1346" t="n"/>
      <c r="JG229" s="1346" t="n"/>
      <c r="JH229" s="1346" t="n"/>
      <c r="JI229" s="1346" t="n"/>
      <c r="JJ229" s="1346" t="n"/>
      <c r="JK229" s="1346" t="n"/>
      <c r="JL229" s="1346" t="n"/>
      <c r="JM229" s="1346" t="n"/>
      <c r="JN229" s="1346" t="n"/>
      <c r="JO229" s="1346" t="n"/>
      <c r="JP229" s="1346" t="n"/>
      <c r="JQ229" s="1346" t="n"/>
      <c r="JR229" s="1346" t="n"/>
      <c r="JS229" s="1346" t="n"/>
      <c r="JT229" s="1346" t="n"/>
      <c r="JU229" s="1346" t="n"/>
      <c r="JV229" s="1346" t="n"/>
      <c r="JW229" s="1346" t="n"/>
      <c r="JX229" s="1346" t="n"/>
      <c r="JY229" s="1346" t="n"/>
      <c r="JZ229" s="1346" t="n"/>
      <c r="KA229" s="1346" t="n"/>
      <c r="KB229" s="1346" t="n"/>
      <c r="KC229" s="1346" t="n"/>
      <c r="KD229" s="1346" t="n"/>
      <c r="KE229" s="1346" t="n"/>
      <c r="KF229" s="1346" t="n"/>
      <c r="KG229" s="1346" t="n"/>
      <c r="KH229" s="1346" t="n"/>
      <c r="KI229" s="1346" t="n"/>
      <c r="KJ229" s="1346" t="n"/>
      <c r="KK229" s="1346" t="n"/>
      <c r="KL229" s="1346" t="n"/>
      <c r="KM229" s="1346" t="n"/>
      <c r="KN229" s="1346" t="n"/>
      <c r="KO229" s="1346" t="n"/>
      <c r="KP229" s="1346" t="n"/>
      <c r="KQ229" s="1346" t="n"/>
      <c r="KR229" s="1346" t="n"/>
      <c r="KS229" s="1346" t="n"/>
      <c r="KT229" s="1346" t="n"/>
      <c r="KU229" s="1346" t="n"/>
      <c r="KV229" s="1346" t="n"/>
      <c r="KW229" s="1346" t="n"/>
      <c r="KX229" s="1346" t="n"/>
      <c r="KY229" s="1346" t="n"/>
      <c r="KZ229" s="1346" t="n"/>
      <c r="LA229" s="1346" t="n"/>
      <c r="LB229" s="1346" t="n"/>
      <c r="LC229" s="1346" t="n"/>
      <c r="LD229" s="1346" t="n"/>
      <c r="LE229" s="1346" t="n"/>
      <c r="LF229" s="1346" t="n"/>
      <c r="LG229" s="1346" t="n"/>
      <c r="LH229" s="1346" t="n"/>
      <c r="LI229" s="1346" t="n"/>
      <c r="LJ229" s="1346" t="n"/>
      <c r="LK229" s="1346" t="n"/>
      <c r="LL229" s="1346" t="n"/>
      <c r="LM229" s="1346" t="n"/>
      <c r="LN229" s="1346" t="n"/>
      <c r="LO229" s="1346" t="n"/>
      <c r="LP229" s="1346" t="n"/>
      <c r="LQ229" s="1346" t="n"/>
      <c r="LR229" s="1346" t="n"/>
      <c r="LS229" s="1346" t="n"/>
    </row>
    <row r="230">
      <c r="IT230" s="1346" t="n"/>
      <c r="IU230" s="1346" t="n"/>
      <c r="IV230" s="1346" t="n"/>
      <c r="IW230" s="1346" t="n"/>
      <c r="IX230" s="1346" t="n"/>
      <c r="IY230" s="1346" t="n"/>
      <c r="IZ230" s="1346" t="n"/>
      <c r="JA230" s="1346" t="n"/>
      <c r="JB230" s="1346" t="n"/>
      <c r="JC230" s="1346" t="n"/>
      <c r="JD230" s="1346" t="n"/>
      <c r="JE230" s="1346" t="n"/>
      <c r="JF230" s="1346" t="n"/>
      <c r="JG230" s="1346" t="n"/>
      <c r="JH230" s="1346" t="n"/>
      <c r="JI230" s="1346" t="n"/>
      <c r="JJ230" s="1346" t="n"/>
      <c r="JK230" s="1346" t="n"/>
      <c r="JL230" s="1346" t="n"/>
      <c r="JM230" s="1346" t="n"/>
      <c r="JN230" s="1346" t="n"/>
      <c r="JO230" s="1346" t="n"/>
      <c r="JP230" s="1346" t="n"/>
      <c r="JQ230" s="1346" t="n"/>
      <c r="JR230" s="1346" t="n"/>
      <c r="JS230" s="1346" t="n"/>
      <c r="JT230" s="1346" t="n"/>
      <c r="JU230" s="1346" t="n"/>
      <c r="JV230" s="1346" t="n"/>
      <c r="JW230" s="1346" t="n"/>
      <c r="JX230" s="1346" t="n"/>
      <c r="JY230" s="1346" t="n"/>
      <c r="JZ230" s="1346" t="n"/>
      <c r="KA230" s="1346" t="n"/>
      <c r="KB230" s="1346" t="n"/>
      <c r="KC230" s="1346" t="n"/>
      <c r="KD230" s="1346" t="n"/>
      <c r="KE230" s="1346" t="n"/>
      <c r="KF230" s="1346" t="n"/>
      <c r="KG230" s="1346" t="n"/>
      <c r="KH230" s="1346" t="n"/>
      <c r="KI230" s="1346" t="n"/>
      <c r="KJ230" s="1346" t="n"/>
      <c r="KK230" s="1346" t="n"/>
      <c r="KL230" s="1346" t="n"/>
      <c r="KM230" s="1346" t="n"/>
      <c r="KN230" s="1346" t="n"/>
      <c r="KO230" s="1346" t="n"/>
      <c r="KP230" s="1346" t="n"/>
      <c r="KQ230" s="1346" t="n"/>
      <c r="KR230" s="1346" t="n"/>
      <c r="KS230" s="1346" t="n"/>
      <c r="KT230" s="1346" t="n"/>
      <c r="KU230" s="1346" t="n"/>
      <c r="KV230" s="1346" t="n"/>
      <c r="KW230" s="1346" t="n"/>
      <c r="KX230" s="1346" t="n"/>
      <c r="KY230" s="1346" t="n"/>
      <c r="KZ230" s="1346" t="n"/>
      <c r="LA230" s="1346" t="n"/>
      <c r="LB230" s="1346" t="n"/>
      <c r="LC230" s="1346" t="n"/>
      <c r="LD230" s="1346" t="n"/>
      <c r="LE230" s="1346" t="n"/>
      <c r="LF230" s="1346" t="n"/>
      <c r="LG230" s="1346" t="n"/>
      <c r="LH230" s="1346" t="n"/>
      <c r="LI230" s="1346" t="n"/>
      <c r="LJ230" s="1346" t="n"/>
      <c r="LK230" s="1346" t="n"/>
      <c r="LL230" s="1346" t="n"/>
      <c r="LM230" s="1346" t="n"/>
      <c r="LN230" s="1346" t="n"/>
      <c r="LO230" s="1346" t="n"/>
      <c r="LP230" s="1346" t="n"/>
      <c r="LQ230" s="1346" t="n"/>
      <c r="LR230" s="1346" t="n"/>
      <c r="LS230" s="1346" t="n"/>
    </row>
    <row r="231">
      <c r="KP231" s="1346" t="n"/>
      <c r="KQ231" s="1346" t="n"/>
      <c r="KR231" s="1346" t="n"/>
      <c r="KS231" s="1346" t="n"/>
      <c r="KT231" s="1346" t="n"/>
      <c r="KU231" s="1346" t="n"/>
      <c r="KV231" s="1346" t="n"/>
      <c r="KW231" s="1346" t="n"/>
      <c r="KX231" s="1346" t="n"/>
      <c r="KY231" s="1346" t="n"/>
      <c r="KZ231" s="1346" t="n"/>
      <c r="LA231" s="1346" t="n"/>
      <c r="LB231" s="1346" t="n"/>
      <c r="LC231" s="1346" t="n"/>
      <c r="LD231" s="1346" t="n"/>
      <c r="LE231" s="1346" t="n"/>
      <c r="LF231" s="1346" t="n"/>
      <c r="LG231" s="1346" t="n"/>
      <c r="LH231" s="1346" t="n"/>
      <c r="LI231" s="1346" t="n"/>
      <c r="LJ231" s="1346" t="n"/>
      <c r="LK231" s="1346" t="n"/>
      <c r="LL231" s="1346" t="n"/>
      <c r="LM231" s="1346" t="n"/>
      <c r="LN231" s="1346" t="n"/>
      <c r="LO231" s="1346" t="n"/>
      <c r="LP231" s="1346" t="n"/>
      <c r="LQ231" s="1346" t="n"/>
      <c r="LR231" s="1346" t="n"/>
      <c r="LS231" s="1346" t="n"/>
    </row>
    <row r="233">
      <c r="IT233" s="572" t="n"/>
      <c r="IU233" s="572" t="n"/>
      <c r="IV233" s="572" t="n"/>
      <c r="IW233" s="572" t="n"/>
      <c r="IX233" s="572" t="n"/>
      <c r="IY233" s="572" t="n"/>
      <c r="IZ233" s="572" t="n"/>
      <c r="JA233" s="572" t="n"/>
      <c r="JB233" s="572" t="n"/>
      <c r="JC233" s="572" t="n"/>
      <c r="JD233" s="572" t="n"/>
      <c r="JE233" s="572" t="n"/>
      <c r="JF233" s="572" t="n"/>
      <c r="JG233" s="572" t="n"/>
      <c r="JH233" s="572" t="n"/>
      <c r="JI233" s="572" t="n"/>
      <c r="JJ233" s="572" t="n"/>
      <c r="JK233" s="572" t="n"/>
      <c r="JL233" s="572" t="n"/>
      <c r="JM233" s="572" t="n"/>
      <c r="JN233" s="572" t="n"/>
      <c r="JO233" s="572" t="n"/>
      <c r="JP233" s="572" t="n"/>
      <c r="JQ233" s="572" t="n"/>
      <c r="JR233" s="572" t="n"/>
      <c r="JS233" s="572" t="n"/>
      <c r="JT233" s="572" t="n"/>
      <c r="JU233" s="572" t="n"/>
      <c r="JV233" s="572" t="n"/>
      <c r="JW233" s="572" t="n"/>
      <c r="JX233" s="572" t="n"/>
      <c r="JY233" s="572" t="n"/>
      <c r="JZ233" s="572" t="n"/>
      <c r="KA233" s="572" t="n"/>
      <c r="KB233" s="572" t="n"/>
      <c r="KC233" s="572" t="n"/>
      <c r="KD233" s="572" t="n"/>
      <c r="KE233" s="572" t="n"/>
      <c r="KF233" s="572" t="n"/>
      <c r="KG233" s="572" t="n"/>
      <c r="KH233" s="572" t="n"/>
      <c r="KI233" s="572" t="n"/>
      <c r="KJ233" s="572" t="n"/>
      <c r="KK233" s="572" t="n"/>
      <c r="KL233" s="572" t="n"/>
      <c r="KM233" s="572" t="n"/>
      <c r="KN233" s="572" t="n"/>
      <c r="KO233" s="572" t="n"/>
      <c r="KP233" s="572" t="n"/>
      <c r="KQ233" s="572" t="n"/>
      <c r="KR233" s="572" t="n"/>
      <c r="KS233" s="572" t="n"/>
      <c r="KT233" s="572" t="n"/>
      <c r="KU233" s="572" t="n"/>
      <c r="KV233" s="572" t="n"/>
      <c r="KW233" s="572" t="n"/>
      <c r="KX233" s="572" t="n"/>
      <c r="KY233" s="572" t="n"/>
      <c r="KZ233" s="572" t="n"/>
      <c r="LA233" s="572" t="n"/>
    </row>
    <row r="234">
      <c r="IT234" s="572" t="n"/>
      <c r="IU234" s="572" t="n"/>
      <c r="IV234" s="572" t="n"/>
      <c r="IW234" s="572" t="n"/>
      <c r="IX234" s="572" t="n"/>
      <c r="IY234" s="572" t="n"/>
      <c r="IZ234" s="572" t="n"/>
      <c r="JA234" s="572" t="n"/>
      <c r="JB234" s="572" t="n"/>
      <c r="JC234" s="572" t="n"/>
      <c r="JD234" s="572" t="n"/>
      <c r="JE234" s="572" t="n"/>
      <c r="JF234" s="572" t="n"/>
      <c r="JG234" s="572" t="n"/>
      <c r="JH234" s="572" t="n"/>
      <c r="JI234" s="572" t="n"/>
      <c r="JJ234" s="572" t="n"/>
      <c r="JK234" s="572" t="n"/>
      <c r="JL234" s="572" t="n"/>
      <c r="JM234" s="572" t="n"/>
      <c r="JN234" s="572" t="n"/>
      <c r="JO234" s="572" t="n"/>
      <c r="JP234" s="572" t="n"/>
      <c r="JQ234" s="572" t="n"/>
      <c r="JR234" s="572" t="n"/>
      <c r="JS234" s="572" t="n"/>
      <c r="JT234" s="572" t="n"/>
      <c r="JU234" s="572" t="n"/>
      <c r="JV234" s="572" t="n"/>
      <c r="JW234" s="572" t="n"/>
      <c r="JX234" s="572" t="n"/>
      <c r="JY234" s="572" t="n"/>
      <c r="JZ234" s="572" t="n"/>
      <c r="KA234" s="572" t="n"/>
      <c r="KB234" s="572" t="n"/>
      <c r="KC234" s="572" t="n"/>
      <c r="KD234" s="572" t="n"/>
      <c r="KE234" s="572" t="n"/>
      <c r="KF234" s="572" t="n"/>
      <c r="KG234" s="572" t="n"/>
      <c r="KH234" s="572" t="n"/>
      <c r="KI234" s="572" t="n"/>
      <c r="KJ234" s="572" t="n"/>
      <c r="KK234" s="572" t="n"/>
      <c r="KL234" s="572" t="n"/>
      <c r="KM234" s="572" t="n"/>
      <c r="KN234" s="572" t="n"/>
      <c r="KO234" s="572" t="n"/>
      <c r="KP234" s="1345" t="n"/>
      <c r="KQ234" s="1345" t="n"/>
      <c r="KR234" s="1345" t="n"/>
      <c r="KS234" s="1345" t="n"/>
      <c r="KT234" s="1345" t="n"/>
      <c r="KU234" s="1345" t="n"/>
      <c r="KV234" s="1345" t="n"/>
      <c r="KW234" s="1345" t="n"/>
      <c r="KX234" s="1345" t="n"/>
      <c r="KY234" s="1345" t="n"/>
      <c r="KZ234" s="1345" t="n"/>
      <c r="LA234" s="1345" t="n"/>
    </row>
    <row r="235">
      <c r="IT235" s="1346" t="n"/>
      <c r="IU235" s="1346" t="n"/>
      <c r="IV235" s="1346" t="n"/>
      <c r="IW235" s="1346" t="n"/>
      <c r="IX235" s="1346" t="n"/>
      <c r="IY235" s="1346" t="n"/>
      <c r="IZ235" s="1346" t="n"/>
      <c r="JA235" s="1346" t="n"/>
      <c r="JB235" s="1346" t="n"/>
      <c r="JC235" s="1346" t="n"/>
      <c r="JD235" s="1346" t="n"/>
      <c r="JE235" s="1346" t="n"/>
      <c r="JF235" s="1346" t="n"/>
      <c r="JG235" s="1346" t="n"/>
      <c r="JH235" s="1346" t="n"/>
      <c r="JI235" s="1346" t="n"/>
      <c r="JJ235" s="1346" t="n"/>
      <c r="JK235" s="1346" t="n"/>
      <c r="JL235" s="1346" t="n"/>
      <c r="JM235" s="1346" t="n"/>
      <c r="JN235" s="1346" t="n"/>
      <c r="JO235" s="1346" t="n"/>
      <c r="JP235" s="1346" t="n"/>
      <c r="JQ235" s="1346" t="n"/>
      <c r="JR235" s="1346" t="n"/>
      <c r="JS235" s="1346" t="n"/>
      <c r="JT235" s="1346" t="n"/>
      <c r="JU235" s="1346" t="n"/>
      <c r="JV235" s="1346" t="n"/>
      <c r="JW235" s="1346" t="n"/>
      <c r="JX235" s="1346" t="n"/>
      <c r="JY235" s="1346" t="n"/>
      <c r="JZ235" s="1346" t="n"/>
      <c r="KA235" s="1346" t="n"/>
      <c r="KB235" s="1346" t="n"/>
      <c r="KC235" s="1346" t="n"/>
      <c r="KD235" s="1346" t="n"/>
      <c r="KE235" s="1346" t="n"/>
      <c r="KF235" s="1346" t="n"/>
      <c r="KG235" s="1346" t="n"/>
      <c r="KH235" s="1346" t="n"/>
      <c r="KI235" s="1346" t="n"/>
      <c r="KJ235" s="1346" t="n"/>
      <c r="KK235" s="1346" t="n"/>
      <c r="KL235" s="1346" t="n"/>
      <c r="KM235" s="1346" t="n"/>
      <c r="KN235" s="1346" t="n"/>
      <c r="KO235" s="1346" t="n"/>
      <c r="KP235" s="1346" t="n"/>
      <c r="KQ235" s="1346" t="n"/>
      <c r="KR235" s="1346" t="n"/>
      <c r="KS235" s="1346" t="n"/>
      <c r="KT235" s="1346" t="n"/>
      <c r="KU235" s="1346" t="n"/>
      <c r="KV235" s="1346" t="n"/>
      <c r="KW235" s="1346" t="n"/>
      <c r="KX235" s="1346" t="n"/>
      <c r="KY235" s="1346" t="n"/>
      <c r="KZ235" s="1346" t="n"/>
      <c r="LA235" s="1346" t="n"/>
    </row>
    <row r="236">
      <c r="IT236" s="1346" t="n"/>
      <c r="IU236" s="1346" t="n"/>
      <c r="IV236" s="1346" t="n"/>
      <c r="IW236" s="1346" t="n"/>
      <c r="IX236" s="1346" t="n"/>
      <c r="IY236" s="1346" t="n"/>
      <c r="IZ236" s="1346" t="n"/>
      <c r="JA236" s="1346" t="n"/>
      <c r="JB236" s="1346" t="n"/>
      <c r="JC236" s="1346" t="n"/>
      <c r="JD236" s="1346" t="n"/>
      <c r="JE236" s="1346" t="n"/>
      <c r="JF236" s="1346" t="n"/>
      <c r="JG236" s="1346" t="n"/>
      <c r="JH236" s="1346" t="n"/>
      <c r="JI236" s="1346" t="n"/>
      <c r="JJ236" s="1346" t="n"/>
      <c r="JK236" s="1346" t="n"/>
      <c r="JL236" s="1346" t="n"/>
      <c r="JM236" s="1346" t="n"/>
      <c r="JN236" s="1346" t="n"/>
      <c r="JO236" s="1346" t="n"/>
      <c r="JP236" s="1346" t="n"/>
      <c r="JQ236" s="1346" t="n"/>
      <c r="JR236" s="1346" t="n"/>
      <c r="JS236" s="1346" t="n"/>
      <c r="JT236" s="1346" t="n"/>
      <c r="JU236" s="1346" t="n"/>
      <c r="JV236" s="1346" t="n"/>
      <c r="JW236" s="1346" t="n"/>
      <c r="JX236" s="1346" t="n"/>
      <c r="JY236" s="1346" t="n"/>
      <c r="JZ236" s="1346" t="n"/>
      <c r="KA236" s="1346" t="n"/>
      <c r="KB236" s="1346" t="n"/>
      <c r="KC236" s="1346" t="n"/>
      <c r="KD236" s="1346" t="n"/>
      <c r="KE236" s="1346" t="n"/>
      <c r="KF236" s="1346" t="n"/>
      <c r="KG236" s="1346" t="n"/>
      <c r="KH236" s="1346" t="n"/>
      <c r="KI236" s="1346" t="n"/>
      <c r="KJ236" s="1346" t="n"/>
      <c r="KK236" s="1346" t="n"/>
      <c r="KL236" s="1346" t="n"/>
      <c r="KM236" s="1346" t="n"/>
      <c r="KN236" s="1346" t="n"/>
      <c r="KO236" s="1346" t="n"/>
      <c r="KP236" s="1346" t="n"/>
      <c r="KQ236" s="1346" t="n"/>
      <c r="KR236" s="1346" t="n"/>
      <c r="KS236" s="1346" t="n"/>
      <c r="KT236" s="1346" t="n"/>
      <c r="KU236" s="1346" t="n"/>
      <c r="KV236" s="1346" t="n"/>
      <c r="KW236" s="1346" t="n"/>
      <c r="KX236" s="1346" t="n"/>
      <c r="KY236" s="1346" t="n"/>
      <c r="KZ236" s="1346" t="n"/>
      <c r="LA236" s="1346" t="n"/>
    </row>
    <row r="237">
      <c r="KP237" s="1346" t="n"/>
      <c r="KQ237" s="1346" t="n"/>
      <c r="KR237" s="1346" t="n"/>
      <c r="KS237" s="1346" t="n"/>
      <c r="KT237" s="1346" t="n"/>
      <c r="KU237" s="1346" t="n"/>
      <c r="KV237" s="1346" t="n"/>
      <c r="KW237" s="1346" t="n"/>
      <c r="KX237" s="1346" t="n"/>
      <c r="KY237" s="1346" t="n"/>
      <c r="KZ237" s="1346" t="n"/>
      <c r="LA237" s="1346" t="n"/>
    </row>
  </sheetData>
  <conditionalFormatting sqref="B77:B80 B83:B86 B89:B92 Z77:Z80 AL77:AL80 AX77:AX80 FZ77:IX80 IZ77:JM80">
    <cfRule type="cellIs" priority="178" operator="lessThan" dxfId="5" stopIfTrue="1">
      <formula>0</formula>
    </cfRule>
  </conditionalFormatting>
  <conditionalFormatting sqref="B130:B134">
    <cfRule type="cellIs" priority="161" operator="lessThan" dxfId="5" stopIfTrue="1">
      <formula>0</formula>
    </cfRule>
  </conditionalFormatting>
  <conditionalFormatting sqref="B27:M29">
    <cfRule type="cellIs" priority="175" operator="lessThan" dxfId="5" stopIfTrue="1">
      <formula>0</formula>
    </cfRule>
  </conditionalFormatting>
  <conditionalFormatting sqref="B47:M49">
    <cfRule type="cellIs" priority="168" operator="lessThan" dxfId="5" stopIfTrue="1">
      <formula>0</formula>
    </cfRule>
  </conditionalFormatting>
  <conditionalFormatting sqref="B51:M53">
    <cfRule type="cellIs" priority="170" operator="lessThan" dxfId="5" stopIfTrue="1">
      <formula>0</formula>
    </cfRule>
  </conditionalFormatting>
  <conditionalFormatting sqref="B140:M142">
    <cfRule type="cellIs" priority="166" operator="lessThan" dxfId="5" stopIfTrue="1">
      <formula>0</formula>
    </cfRule>
  </conditionalFormatting>
  <conditionalFormatting sqref="B19:Y21">
    <cfRule type="cellIs" priority="65" operator="lessThan" dxfId="5" stopIfTrue="1">
      <formula>0</formula>
    </cfRule>
  </conditionalFormatting>
  <conditionalFormatting sqref="B23:Y25">
    <cfRule type="cellIs" priority="153" operator="lessThan" dxfId="5" stopIfTrue="1">
      <formula>0</formula>
    </cfRule>
  </conditionalFormatting>
  <conditionalFormatting sqref="B33:Y35">
    <cfRule type="cellIs" priority="152" operator="lessThan" dxfId="5" stopIfTrue="1">
      <formula>0</formula>
    </cfRule>
  </conditionalFormatting>
  <conditionalFormatting sqref="B37:Y39">
    <cfRule type="cellIs" priority="151" operator="lessThan" dxfId="5" stopIfTrue="1">
      <formula>0</formula>
    </cfRule>
  </conditionalFormatting>
  <conditionalFormatting sqref="B41:Y43">
    <cfRule type="cellIs" priority="149" operator="lessThan" dxfId="5" stopIfTrue="1">
      <formula>0</formula>
    </cfRule>
  </conditionalFormatting>
  <conditionalFormatting sqref="B59:Y61">
    <cfRule type="cellIs" priority="142" operator="lessThan" dxfId="5" stopIfTrue="1">
      <formula>0</formula>
    </cfRule>
  </conditionalFormatting>
  <conditionalFormatting sqref="B73:Y75">
    <cfRule type="cellIs" priority="140" operator="lessThan" dxfId="5" stopIfTrue="1">
      <formula>0</formula>
    </cfRule>
  </conditionalFormatting>
  <conditionalFormatting sqref="B136:Y138">
    <cfRule type="cellIs" priority="154" operator="lessThan" dxfId="5" stopIfTrue="1">
      <formula>0</formula>
    </cfRule>
  </conditionalFormatting>
  <conditionalFormatting sqref="B11:LS13">
    <cfRule type="cellIs" priority="14" operator="lessThan" dxfId="5" stopIfTrue="1">
      <formula>0</formula>
    </cfRule>
  </conditionalFormatting>
  <conditionalFormatting sqref="B15:LS17">
    <cfRule type="cellIs" priority="15" operator="lessThan" dxfId="5" stopIfTrue="1">
      <formula>0</formula>
    </cfRule>
  </conditionalFormatting>
  <conditionalFormatting sqref="B55:LS57">
    <cfRule type="cellIs" priority="10" operator="lessThan" dxfId="5" stopIfTrue="1">
      <formula>0</formula>
    </cfRule>
  </conditionalFormatting>
  <conditionalFormatting sqref="B63:LS65">
    <cfRule type="cellIs" priority="11" operator="lessThan" dxfId="5" stopIfTrue="1">
      <formula>0</formula>
    </cfRule>
  </conditionalFormatting>
  <conditionalFormatting sqref="B69:LS71">
    <cfRule type="cellIs" priority="13" operator="lessThan" dxfId="5" stopIfTrue="1">
      <formula>0</formula>
    </cfRule>
  </conditionalFormatting>
  <conditionalFormatting sqref="B95:LS128">
    <cfRule type="cellIs" priority="17" operator="lessThan" dxfId="5" stopIfTrue="1">
      <formula>0</formula>
    </cfRule>
  </conditionalFormatting>
  <conditionalFormatting sqref="B130:LS133">
    <cfRule type="cellIs" priority="16" operator="lessThan" dxfId="5" stopIfTrue="1">
      <formula>0</formula>
    </cfRule>
  </conditionalFormatting>
  <conditionalFormatting sqref="C77:LS77">
    <cfRule type="cellIs" priority="51" operator="lessThan" dxfId="5" stopIfTrue="1">
      <formula>0</formula>
    </cfRule>
  </conditionalFormatting>
  <conditionalFormatting sqref="C89:LS89">
    <cfRule type="cellIs" priority="50" operator="lessThan" dxfId="5" stopIfTrue="1">
      <formula>0</formula>
    </cfRule>
  </conditionalFormatting>
  <conditionalFormatting sqref="N77:N78 N80 N83:N84">
    <cfRule type="cellIs" priority="179" operator="lessThan" dxfId="5" stopIfTrue="1">
      <formula>0</formula>
    </cfRule>
  </conditionalFormatting>
  <conditionalFormatting sqref="N89:N90">
    <cfRule type="cellIs" priority="163" operator="lessThan" dxfId="5" stopIfTrue="1">
      <formula>0</formula>
    </cfRule>
  </conditionalFormatting>
  <conditionalFormatting sqref="N130:N134">
    <cfRule type="cellIs" priority="162" operator="lessThan" dxfId="5" stopIfTrue="1">
      <formula>0</formula>
    </cfRule>
  </conditionalFormatting>
  <conditionalFormatting sqref="N79:Y79">
    <cfRule type="cellIs" priority="137" operator="lessThan" dxfId="5" stopIfTrue="1">
      <formula>0</formula>
    </cfRule>
  </conditionalFormatting>
  <conditionalFormatting sqref="N85:Y86">
    <cfRule type="cellIs" priority="133" operator="lessThan" dxfId="5" stopIfTrue="1">
      <formula>0</formula>
    </cfRule>
  </conditionalFormatting>
  <conditionalFormatting sqref="N91:Y92">
    <cfRule type="cellIs" priority="126" operator="lessThan" dxfId="5" stopIfTrue="1">
      <formula>0</formula>
    </cfRule>
  </conditionalFormatting>
  <conditionalFormatting sqref="N140:FU141">
    <cfRule type="cellIs" priority="165" operator="lessThan" dxfId="5" stopIfTrue="1">
      <formula>0</formula>
    </cfRule>
  </conditionalFormatting>
  <conditionalFormatting sqref="N47:GB48">
    <cfRule type="cellIs" priority="169" operator="lessThan" dxfId="5" stopIfTrue="1">
      <formula>0</formula>
    </cfRule>
  </conditionalFormatting>
  <conditionalFormatting sqref="N51:GB52">
    <cfRule type="cellIs" priority="174" operator="lessThan" dxfId="5" stopIfTrue="1">
      <formula>0</formula>
    </cfRule>
  </conditionalFormatting>
  <conditionalFormatting sqref="N55:GB56">
    <cfRule type="cellIs" priority="173" operator="lessThan" dxfId="5" stopIfTrue="1">
      <formula>0</formula>
    </cfRule>
  </conditionalFormatting>
  <conditionalFormatting sqref="N63:GB64">
    <cfRule type="cellIs" priority="172" operator="lessThan" dxfId="5" stopIfTrue="1">
      <formula>0</formula>
    </cfRule>
  </conditionalFormatting>
  <conditionalFormatting sqref="N27:GH28">
    <cfRule type="cellIs" priority="117" operator="lessThan" dxfId="5" stopIfTrue="1">
      <formula>0</formula>
    </cfRule>
  </conditionalFormatting>
  <conditionalFormatting sqref="N53:KW53">
    <cfRule type="cellIs" priority="43" operator="lessThan" dxfId="5" stopIfTrue="1">
      <formula>0</formula>
    </cfRule>
  </conditionalFormatting>
  <conditionalFormatting sqref="N21:LS21">
    <cfRule type="cellIs" priority="58" operator="lessThan" dxfId="5" stopIfTrue="1">
      <formula>0</formula>
    </cfRule>
  </conditionalFormatting>
  <conditionalFormatting sqref="N29:LS29">
    <cfRule type="cellIs" priority="45" operator="lessThan" dxfId="5" stopIfTrue="1">
      <formula>0</formula>
    </cfRule>
  </conditionalFormatting>
  <conditionalFormatting sqref="N35:LS35">
    <cfRule type="cellIs" priority="56" operator="lessThan" dxfId="5" stopIfTrue="1">
      <formula>0</formula>
    </cfRule>
  </conditionalFormatting>
  <conditionalFormatting sqref="N43:LS43">
    <cfRule type="cellIs" priority="55" operator="lessThan" dxfId="5" stopIfTrue="1">
      <formula>0</formula>
    </cfRule>
  </conditionalFormatting>
  <conditionalFormatting sqref="N49:LS49">
    <cfRule type="cellIs" priority="143" operator="lessThan" dxfId="5" stopIfTrue="1">
      <formula>0</formula>
    </cfRule>
  </conditionalFormatting>
  <conditionalFormatting sqref="N78:LS79">
    <cfRule type="cellIs" priority="20" operator="lessThan" dxfId="5" stopIfTrue="1">
      <formula>0</formula>
    </cfRule>
  </conditionalFormatting>
  <conditionalFormatting sqref="N83:LS85">
    <cfRule type="cellIs" priority="19" operator="lessThan" dxfId="5" stopIfTrue="1">
      <formula>0</formula>
    </cfRule>
  </conditionalFormatting>
  <conditionalFormatting sqref="N90:LS91">
    <cfRule type="cellIs" priority="18" operator="lessThan" dxfId="5" stopIfTrue="1">
      <formula>0</formula>
    </cfRule>
  </conditionalFormatting>
  <conditionalFormatting sqref="N138:LS138">
    <cfRule type="cellIs" priority="49" operator="lessThan" dxfId="5" stopIfTrue="1">
      <formula>0</formula>
    </cfRule>
  </conditionalFormatting>
  <conditionalFormatting sqref="N142:LS142">
    <cfRule type="cellIs" priority="46" operator="lessThan" dxfId="5" stopIfTrue="1">
      <formula>0</formula>
    </cfRule>
  </conditionalFormatting>
  <conditionalFormatting sqref="O57:GB57">
    <cfRule type="cellIs" priority="42" operator="lessThan" dxfId="5" stopIfTrue="1">
      <formula>0</formula>
    </cfRule>
  </conditionalFormatting>
  <conditionalFormatting sqref="O65:KW65">
    <cfRule type="cellIs" priority="53" operator="lessThan" dxfId="5" stopIfTrue="1">
      <formula>0</formula>
    </cfRule>
  </conditionalFormatting>
  <conditionalFormatting sqref="Z43:Z44">
    <cfRule type="cellIs" priority="147" operator="lessThan" dxfId="5" stopIfTrue="1">
      <formula>0</formula>
    </cfRule>
  </conditionalFormatting>
  <conditionalFormatting sqref="Z83:Z86">
    <cfRule type="cellIs" priority="129" operator="lessThan" dxfId="5" stopIfTrue="1">
      <formula>0</formula>
    </cfRule>
  </conditionalFormatting>
  <conditionalFormatting sqref="Z89:Z92">
    <cfRule type="cellIs" priority="123" operator="lessThan" dxfId="5" stopIfTrue="1">
      <formula>0</formula>
    </cfRule>
  </conditionalFormatting>
  <conditionalFormatting sqref="Z130:Z134">
    <cfRule type="cellIs" priority="160" operator="lessThan" dxfId="5" stopIfTrue="1">
      <formula>0</formula>
    </cfRule>
  </conditionalFormatting>
  <conditionalFormatting sqref="Z61:BI61">
    <cfRule type="cellIs" priority="141" operator="lessThan" dxfId="5" stopIfTrue="1">
      <formula>0</formula>
    </cfRule>
  </conditionalFormatting>
  <conditionalFormatting sqref="Z75:DE75">
    <cfRule type="cellIs" priority="139" operator="lessThan" dxfId="5" stopIfTrue="1">
      <formula>0</formula>
    </cfRule>
  </conditionalFormatting>
  <conditionalFormatting sqref="Z136:FU137">
    <cfRule type="cellIs" priority="155" operator="lessThan" dxfId="5" stopIfTrue="1">
      <formula>0</formula>
    </cfRule>
  </conditionalFormatting>
  <conditionalFormatting sqref="Z19:GB20">
    <cfRule type="cellIs" priority="66" operator="lessThan" dxfId="5" stopIfTrue="1">
      <formula>0</formula>
    </cfRule>
  </conditionalFormatting>
  <conditionalFormatting sqref="Z33:GB34">
    <cfRule type="cellIs" priority="177" operator="lessThan" dxfId="5" stopIfTrue="1">
      <formula>0</formula>
    </cfRule>
  </conditionalFormatting>
  <conditionalFormatting sqref="Z37:GB38">
    <cfRule type="cellIs" priority="176" operator="lessThan" dxfId="5" stopIfTrue="1">
      <formula>0</formula>
    </cfRule>
  </conditionalFormatting>
  <conditionalFormatting sqref="Z59:GB60">
    <cfRule type="cellIs" priority="171" operator="lessThan" dxfId="5" stopIfTrue="1">
      <formula>0</formula>
    </cfRule>
  </conditionalFormatting>
  <conditionalFormatting sqref="Z41:GD42">
    <cfRule type="cellIs" priority="164" operator="lessThan" dxfId="5" stopIfTrue="1">
      <formula>0</formula>
    </cfRule>
  </conditionalFormatting>
  <conditionalFormatting sqref="Z23:GH24">
    <cfRule type="cellIs" priority="116" operator="lessThan" dxfId="5" stopIfTrue="1">
      <formula>0</formula>
    </cfRule>
  </conditionalFormatting>
  <conditionalFormatting sqref="Z73:KR74">
    <cfRule type="cellIs" priority="52" operator="lessThan" dxfId="5" stopIfTrue="1">
      <formula>0</formula>
    </cfRule>
  </conditionalFormatting>
  <conditionalFormatting sqref="Z25:LS25">
    <cfRule type="cellIs" priority="44" operator="lessThan" dxfId="5" stopIfTrue="1">
      <formula>0</formula>
    </cfRule>
  </conditionalFormatting>
  <conditionalFormatting sqref="Z39:LS39">
    <cfRule type="cellIs" priority="150" operator="lessThan" dxfId="5" stopIfTrue="1">
      <formula>0</formula>
    </cfRule>
  </conditionalFormatting>
  <conditionalFormatting sqref="AA79:AK79">
    <cfRule type="cellIs" priority="136" operator="lessThan" dxfId="5" stopIfTrue="1">
      <formula>0</formula>
    </cfRule>
  </conditionalFormatting>
  <conditionalFormatting sqref="AA85:AK86">
    <cfRule type="cellIs" priority="132" operator="lessThan" dxfId="5" stopIfTrue="1">
      <formula>0</formula>
    </cfRule>
  </conditionalFormatting>
  <conditionalFormatting sqref="AA91:AK92">
    <cfRule type="cellIs" priority="125" operator="lessThan" dxfId="5" stopIfTrue="1">
      <formula>0</formula>
    </cfRule>
  </conditionalFormatting>
  <conditionalFormatting sqref="AL43:AL44">
    <cfRule type="cellIs" priority="146" operator="lessThan" dxfId="5" stopIfTrue="1">
      <formula>0</formula>
    </cfRule>
  </conditionalFormatting>
  <conditionalFormatting sqref="AL83:AL86">
    <cfRule type="cellIs" priority="128" operator="lessThan" dxfId="5" stopIfTrue="1">
      <formula>0</formula>
    </cfRule>
  </conditionalFormatting>
  <conditionalFormatting sqref="AL89:AL92">
    <cfRule type="cellIs" priority="122" operator="lessThan" dxfId="5" stopIfTrue="1">
      <formula>0</formula>
    </cfRule>
  </conditionalFormatting>
  <conditionalFormatting sqref="AL130:AL134">
    <cfRule type="cellIs" priority="159" operator="lessThan" dxfId="5" stopIfTrue="1">
      <formula>0</formula>
    </cfRule>
  </conditionalFormatting>
  <conditionalFormatting sqref="AM79:AW79">
    <cfRule type="cellIs" priority="135" operator="lessThan" dxfId="5" stopIfTrue="1">
      <formula>0</formula>
    </cfRule>
  </conditionalFormatting>
  <conditionalFormatting sqref="AM85:AW86">
    <cfRule type="cellIs" priority="131" operator="lessThan" dxfId="5" stopIfTrue="1">
      <formula>0</formula>
    </cfRule>
  </conditionalFormatting>
  <conditionalFormatting sqref="AM91:AW92">
    <cfRule type="cellIs" priority="124" operator="lessThan" dxfId="5" stopIfTrue="1">
      <formula>0</formula>
    </cfRule>
  </conditionalFormatting>
  <conditionalFormatting sqref="AX43:AX44">
    <cfRule type="cellIs" priority="145" operator="lessThan" dxfId="5" stopIfTrue="1">
      <formula>0</formula>
    </cfRule>
  </conditionalFormatting>
  <conditionalFormatting sqref="AX83:GC86">
    <cfRule type="cellIs" priority="127" operator="lessThan" dxfId="5" stopIfTrue="1">
      <formula>0</formula>
    </cfRule>
  </conditionalFormatting>
  <conditionalFormatting sqref="AX130:GC134">
    <cfRule type="cellIs" priority="158" operator="lessThan" dxfId="5" stopIfTrue="1">
      <formula>0</formula>
    </cfRule>
  </conditionalFormatting>
  <conditionalFormatting sqref="AX89:GK92">
    <cfRule type="cellIs" priority="100" operator="lessThan" dxfId="5" stopIfTrue="1">
      <formula>0</formula>
    </cfRule>
  </conditionalFormatting>
  <conditionalFormatting sqref="AY77:FY79">
    <cfRule type="cellIs" priority="134" operator="lessThan" dxfId="5" stopIfTrue="1">
      <formula>0</formula>
    </cfRule>
  </conditionalFormatting>
  <conditionalFormatting sqref="BJ80:FY80">
    <cfRule type="cellIs" priority="186" operator="lessThan" dxfId="5" stopIfTrue="1">
      <formula>0</formula>
    </cfRule>
  </conditionalFormatting>
  <conditionalFormatting sqref="BJ59:LS61">
    <cfRule type="cellIs" priority="12" operator="lessThan" dxfId="5" stopIfTrue="1">
      <formula>0</formula>
    </cfRule>
  </conditionalFormatting>
  <conditionalFormatting sqref="BK61:KW61">
    <cfRule type="cellIs" priority="54" operator="lessThan" dxfId="5" stopIfTrue="1">
      <formula>0</formula>
    </cfRule>
  </conditionalFormatting>
  <conditionalFormatting sqref="DF73:LS75">
    <cfRule type="cellIs" priority="9" operator="lessThan" dxfId="5" stopIfTrue="1">
      <formula>0</formula>
    </cfRule>
  </conditionalFormatting>
  <conditionalFormatting sqref="DG75:GB75">
    <cfRule type="cellIs" priority="138" operator="lessThan" dxfId="5" stopIfTrue="1">
      <formula>0</formula>
    </cfRule>
  </conditionalFormatting>
  <conditionalFormatting sqref="FV140:GA142">
    <cfRule type="cellIs" priority="48" operator="lessThan" dxfId="5" stopIfTrue="1">
      <formula>0</formula>
    </cfRule>
  </conditionalFormatting>
  <conditionalFormatting sqref="FV136:IW138">
    <cfRule type="cellIs" priority="67" operator="lessThan" dxfId="5" stopIfTrue="1">
      <formula>0</formula>
    </cfRule>
  </conditionalFormatting>
  <conditionalFormatting sqref="FZ43:FZ44">
    <cfRule type="cellIs" priority="144" operator="lessThan" dxfId="5" stopIfTrue="1">
      <formula>0</formula>
    </cfRule>
  </conditionalFormatting>
  <conditionalFormatting sqref="GA44:GB44">
    <cfRule type="cellIs" priority="184" operator="lessThan" dxfId="5" stopIfTrue="1">
      <formula>0</formula>
    </cfRule>
  </conditionalFormatting>
  <conditionalFormatting sqref="GB140:GD141">
    <cfRule type="cellIs" priority="183" operator="lessThan" dxfId="5" stopIfTrue="1">
      <formula>0</formula>
    </cfRule>
  </conditionalFormatting>
  <conditionalFormatting sqref="GC43:GC44">
    <cfRule type="cellIs" priority="148" operator="lessThan" dxfId="5" stopIfTrue="1">
      <formula>0</formula>
    </cfRule>
  </conditionalFormatting>
  <conditionalFormatting sqref="GC136:GD137">
    <cfRule type="cellIs" priority="156" operator="lessThan" dxfId="5" stopIfTrue="1">
      <formula>0</formula>
    </cfRule>
  </conditionalFormatting>
  <conditionalFormatting sqref="GC19:GH21">
    <cfRule type="cellIs" priority="64" operator="lessThan" dxfId="5" stopIfTrue="1">
      <formula>0</formula>
    </cfRule>
  </conditionalFormatting>
  <conditionalFormatting sqref="GC33:GH35">
    <cfRule type="cellIs" priority="115" operator="lessThan" dxfId="5" stopIfTrue="1">
      <formula>0</formula>
    </cfRule>
  </conditionalFormatting>
  <conditionalFormatting sqref="GC37:GH39">
    <cfRule type="cellIs" priority="114" operator="lessThan" dxfId="5" stopIfTrue="1">
      <formula>0</formula>
    </cfRule>
  </conditionalFormatting>
  <conditionalFormatting sqref="GC47:GH49">
    <cfRule type="cellIs" priority="118" operator="lessThan" dxfId="5" stopIfTrue="1">
      <formula>0</formula>
    </cfRule>
  </conditionalFormatting>
  <conditionalFormatting sqref="GC51:GH53">
    <cfRule type="cellIs" priority="119" operator="lessThan" dxfId="5" stopIfTrue="1">
      <formula>0</formula>
    </cfRule>
  </conditionalFormatting>
  <conditionalFormatting sqref="GC140:IW142">
    <cfRule type="cellIs" priority="47" operator="lessThan" dxfId="5" stopIfTrue="1">
      <formula>0</formula>
    </cfRule>
  </conditionalFormatting>
  <conditionalFormatting sqref="GD44:GE44">
    <cfRule type="cellIs" priority="167" operator="lessThan" dxfId="5" stopIfTrue="1">
      <formula>0</formula>
    </cfRule>
  </conditionalFormatting>
  <conditionalFormatting sqref="GD86:GE86">
    <cfRule type="cellIs" priority="130" operator="lessThan" dxfId="5" stopIfTrue="1">
      <formula>0</formula>
    </cfRule>
  </conditionalFormatting>
  <conditionalFormatting sqref="GD134:GE134">
    <cfRule type="cellIs" priority="157" operator="lessThan" dxfId="5" stopIfTrue="1">
      <formula>0</formula>
    </cfRule>
  </conditionalFormatting>
  <conditionalFormatting sqref="GE41:GE43">
    <cfRule type="cellIs" priority="121" operator="lessThan" dxfId="5" stopIfTrue="1">
      <formula>0</formula>
    </cfRule>
  </conditionalFormatting>
  <conditionalFormatting sqref="GF130:GH134">
    <cfRule type="cellIs" priority="113" operator="lessThan" dxfId="5" stopIfTrue="1">
      <formula>0</formula>
    </cfRule>
  </conditionalFormatting>
  <conditionalFormatting sqref="GF41:GJ44">
    <cfRule type="cellIs" priority="108" operator="lessThan" dxfId="5" stopIfTrue="1">
      <formula>0</formula>
    </cfRule>
  </conditionalFormatting>
  <conditionalFormatting sqref="GF83:IX86">
    <cfRule type="cellIs" priority="70" operator="lessThan" dxfId="5" stopIfTrue="1">
      <formula>0</formula>
    </cfRule>
  </conditionalFormatting>
  <conditionalFormatting sqref="GI19:GJ24">
    <cfRule type="cellIs" priority="63" operator="lessThan" dxfId="5" stopIfTrue="1">
      <formula>0</formula>
    </cfRule>
  </conditionalFormatting>
  <conditionalFormatting sqref="GI26:GJ28">
    <cfRule type="cellIs" priority="109" operator="lessThan" dxfId="5" stopIfTrue="1">
      <formula>0</formula>
    </cfRule>
  </conditionalFormatting>
  <conditionalFormatting sqref="GI31:GJ31">
    <cfRule type="cellIs" priority="111" operator="lessThan" dxfId="5" stopIfTrue="1">
      <formula>0</formula>
    </cfRule>
  </conditionalFormatting>
  <conditionalFormatting sqref="GI33:GJ39">
    <cfRule type="cellIs" priority="110" operator="lessThan" dxfId="5" stopIfTrue="1">
      <formula>0</formula>
    </cfRule>
  </conditionalFormatting>
  <conditionalFormatting sqref="GI47:GJ65">
    <cfRule type="cellIs" priority="41" operator="lessThan" dxfId="5" stopIfTrue="1">
      <formula>0</formula>
    </cfRule>
  </conditionalFormatting>
  <conditionalFormatting sqref="GI134:GJ134">
    <cfRule type="cellIs" priority="112" operator="lessThan" dxfId="5" stopIfTrue="1">
      <formula>0</formula>
    </cfRule>
  </conditionalFormatting>
  <conditionalFormatting sqref="GK19:GK21">
    <cfRule type="cellIs" priority="62" operator="lessThan" dxfId="5" stopIfTrue="1">
      <formula>0</formula>
    </cfRule>
  </conditionalFormatting>
  <conditionalFormatting sqref="GK23:GK24">
    <cfRule type="cellIs" priority="106" operator="lessThan" dxfId="5" stopIfTrue="1">
      <formula>0</formula>
    </cfRule>
  </conditionalFormatting>
  <conditionalFormatting sqref="GK27:GK28">
    <cfRule type="cellIs" priority="107" operator="lessThan" dxfId="5" stopIfTrue="1">
      <formula>0</formula>
    </cfRule>
  </conditionalFormatting>
  <conditionalFormatting sqref="GK33:GK35">
    <cfRule type="cellIs" priority="105" operator="lessThan" dxfId="5" stopIfTrue="1">
      <formula>0</formula>
    </cfRule>
  </conditionalFormatting>
  <conditionalFormatting sqref="GK37:GK39">
    <cfRule type="cellIs" priority="104" operator="lessThan" dxfId="5" stopIfTrue="1">
      <formula>0</formula>
    </cfRule>
  </conditionalFormatting>
  <conditionalFormatting sqref="GK41:GK43">
    <cfRule type="cellIs" priority="103" operator="lessThan" dxfId="5" stopIfTrue="1">
      <formula>0</formula>
    </cfRule>
  </conditionalFormatting>
  <conditionalFormatting sqref="GK47:GK49">
    <cfRule type="cellIs" priority="102" operator="lessThan" dxfId="5" stopIfTrue="1">
      <formula>0</formula>
    </cfRule>
  </conditionalFormatting>
  <conditionalFormatting sqref="GK51:GK53">
    <cfRule type="cellIs" priority="101" operator="lessThan" dxfId="5" stopIfTrue="1">
      <formula>0</formula>
    </cfRule>
  </conditionalFormatting>
  <conditionalFormatting sqref="GK130:IW134">
    <cfRule type="cellIs" priority="68" operator="lessThan" dxfId="5" stopIfTrue="1">
      <formula>0</formula>
    </cfRule>
  </conditionalFormatting>
  <conditionalFormatting sqref="GL19:GV24">
    <cfRule type="cellIs" priority="61" operator="lessThan" dxfId="5" stopIfTrue="1">
      <formula>0</formula>
    </cfRule>
  </conditionalFormatting>
  <conditionalFormatting sqref="GL26:GV28">
    <cfRule type="cellIs" priority="97" operator="lessThan" dxfId="5" stopIfTrue="1">
      <formula>0</formula>
    </cfRule>
  </conditionalFormatting>
  <conditionalFormatting sqref="GL31:GV31">
    <cfRule type="cellIs" priority="99" operator="lessThan" dxfId="5" stopIfTrue="1">
      <formula>0</formula>
    </cfRule>
  </conditionalFormatting>
  <conditionalFormatting sqref="GL33:GV39">
    <cfRule type="cellIs" priority="98" operator="lessThan" dxfId="5" stopIfTrue="1">
      <formula>0</formula>
    </cfRule>
  </conditionalFormatting>
  <conditionalFormatting sqref="GL41:GV44">
    <cfRule type="cellIs" priority="95" operator="lessThan" dxfId="5" stopIfTrue="1">
      <formula>0</formula>
    </cfRule>
  </conditionalFormatting>
  <conditionalFormatting sqref="GL47:GV65">
    <cfRule type="cellIs" priority="40" operator="lessThan" dxfId="5" stopIfTrue="1">
      <formula>0</formula>
    </cfRule>
  </conditionalFormatting>
  <conditionalFormatting sqref="GL89:GV91 GL92:GS92 GU92:GV92">
    <cfRule type="cellIs" priority="96" operator="lessThan" dxfId="5" stopIfTrue="1">
      <formula>0</formula>
    </cfRule>
  </conditionalFormatting>
  <conditionalFormatting sqref="GW19:GW21">
    <cfRule type="cellIs" priority="60" operator="lessThan" dxfId="5" stopIfTrue="1">
      <formula>0</formula>
    </cfRule>
  </conditionalFormatting>
  <conditionalFormatting sqref="GW23:GW24">
    <cfRule type="cellIs" priority="93" operator="lessThan" dxfId="5" stopIfTrue="1">
      <formula>0</formula>
    </cfRule>
  </conditionalFormatting>
  <conditionalFormatting sqref="GW27:GW28">
    <cfRule type="cellIs" priority="94" operator="lessThan" dxfId="5" stopIfTrue="1">
      <formula>0</formula>
    </cfRule>
  </conditionalFormatting>
  <conditionalFormatting sqref="GW33:GW35">
    <cfRule type="cellIs" priority="92" operator="lessThan" dxfId="5" stopIfTrue="1">
      <formula>0</formula>
    </cfRule>
  </conditionalFormatting>
  <conditionalFormatting sqref="GW37:GW39">
    <cfRule type="cellIs" priority="91" operator="lessThan" dxfId="5" stopIfTrue="1">
      <formula>0</formula>
    </cfRule>
  </conditionalFormatting>
  <conditionalFormatting sqref="GW41:GW43">
    <cfRule type="cellIs" priority="90" operator="lessThan" dxfId="5" stopIfTrue="1">
      <formula>0</formula>
    </cfRule>
  </conditionalFormatting>
  <conditionalFormatting sqref="GW47:GW49">
    <cfRule type="cellIs" priority="87" operator="lessThan" dxfId="5" stopIfTrue="1">
      <formula>0</formula>
    </cfRule>
  </conditionalFormatting>
  <conditionalFormatting sqref="GW51:GW53">
    <cfRule type="cellIs" priority="89" operator="lessThan" dxfId="5" stopIfTrue="1">
      <formula>0</formula>
    </cfRule>
  </conditionalFormatting>
  <conditionalFormatting sqref="GW89:GW92">
    <cfRule type="cellIs" priority="88" operator="lessThan" dxfId="5" stopIfTrue="1">
      <formula>0</formula>
    </cfRule>
  </conditionalFormatting>
  <conditionalFormatting sqref="GX19:HI24">
    <cfRule type="cellIs" priority="59" operator="lessThan" dxfId="5" stopIfTrue="1">
      <formula>0</formula>
    </cfRule>
  </conditionalFormatting>
  <conditionalFormatting sqref="GX26:HI28">
    <cfRule type="cellIs" priority="84" operator="lessThan" dxfId="5" stopIfTrue="1">
      <formula>0</formula>
    </cfRule>
  </conditionalFormatting>
  <conditionalFormatting sqref="GX31:HI31">
    <cfRule type="cellIs" priority="86" operator="lessThan" dxfId="5" stopIfTrue="1">
      <formula>0</formula>
    </cfRule>
  </conditionalFormatting>
  <conditionalFormatting sqref="GX33:HI39">
    <cfRule type="cellIs" priority="85" operator="lessThan" dxfId="5" stopIfTrue="1">
      <formula>0</formula>
    </cfRule>
  </conditionalFormatting>
  <conditionalFormatting sqref="GX47:HI65">
    <cfRule type="cellIs" priority="39" operator="lessThan" dxfId="5" stopIfTrue="1">
      <formula>0</formula>
    </cfRule>
  </conditionalFormatting>
  <conditionalFormatting sqref="GX41:IX44">
    <cfRule type="cellIs" priority="71" operator="lessThan" dxfId="5" stopIfTrue="1">
      <formula>0</formula>
    </cfRule>
  </conditionalFormatting>
  <conditionalFormatting sqref="GX89:IX91 GX92:HE92 HG92:HQ92 HS92:IC92 IE92:IO92 IQ92:IX92">
    <cfRule type="cellIs" priority="69" operator="lessThan" dxfId="5" stopIfTrue="1">
      <formula>0</formula>
    </cfRule>
  </conditionalFormatting>
  <conditionalFormatting sqref="HJ19:IW21">
    <cfRule type="cellIs" priority="57" operator="lessThan" dxfId="5" stopIfTrue="1">
      <formula>0</formula>
    </cfRule>
  </conditionalFormatting>
  <conditionalFormatting sqref="HJ33:IW35">
    <cfRule type="cellIs" priority="72" operator="lessThan" dxfId="5" stopIfTrue="1">
      <formula>0</formula>
    </cfRule>
  </conditionalFormatting>
  <conditionalFormatting sqref="HJ23:LS24">
    <cfRule type="cellIs" priority="26" operator="lessThan" dxfId="5" stopIfTrue="1">
      <formula>0</formula>
    </cfRule>
  </conditionalFormatting>
  <conditionalFormatting sqref="HJ27:LS28">
    <cfRule type="cellIs" priority="25" operator="lessThan" dxfId="5" stopIfTrue="1">
      <formula>0</formula>
    </cfRule>
  </conditionalFormatting>
  <conditionalFormatting sqref="HJ37:LS39">
    <cfRule type="cellIs" priority="23" operator="lessThan" dxfId="5" stopIfTrue="1">
      <formula>0</formula>
    </cfRule>
  </conditionalFormatting>
  <conditionalFormatting sqref="HJ47:LS49">
    <cfRule type="cellIs" priority="21" operator="lessThan" dxfId="5" stopIfTrue="1">
      <formula>0</formula>
    </cfRule>
  </conditionalFormatting>
  <conditionalFormatting sqref="HJ51:LS53">
    <cfRule type="cellIs" priority="8" operator="lessThan" dxfId="5" stopIfTrue="1">
      <formula>0</formula>
    </cfRule>
  </conditionalFormatting>
  <conditionalFormatting sqref="IX55:IX56">
    <cfRule type="cellIs" priority="73" operator="lessThan" dxfId="5" stopIfTrue="1">
      <formula>0</formula>
    </cfRule>
  </conditionalFormatting>
  <conditionalFormatting sqref="IX134">
    <cfRule type="cellIs" priority="74" operator="lessThan" dxfId="5" stopIfTrue="1">
      <formula>0</formula>
    </cfRule>
  </conditionalFormatting>
  <conditionalFormatting sqref="IX57:KW57">
    <cfRule type="cellIs" priority="38" operator="lessThan" dxfId="5" stopIfTrue="1">
      <formula>0</formula>
    </cfRule>
  </conditionalFormatting>
  <conditionalFormatting sqref="IX19:LS20">
    <cfRule type="cellIs" priority="24" operator="lessThan" dxfId="5" stopIfTrue="1">
      <formula>0</formula>
    </cfRule>
  </conditionalFormatting>
  <conditionalFormatting sqref="IX33:LS34">
    <cfRule type="cellIs" priority="29" operator="lessThan" dxfId="5" stopIfTrue="1">
      <formula>0</formula>
    </cfRule>
  </conditionalFormatting>
  <conditionalFormatting sqref="IX136:LS137">
    <cfRule type="cellIs" priority="27" operator="lessThan" dxfId="5" stopIfTrue="1">
      <formula>0</formula>
    </cfRule>
  </conditionalFormatting>
  <conditionalFormatting sqref="IX140:LS141">
    <cfRule type="cellIs" priority="28" operator="lessThan" dxfId="5" stopIfTrue="1">
      <formula>0</formula>
    </cfRule>
  </conditionalFormatting>
  <conditionalFormatting sqref="IY41:LS42">
    <cfRule type="cellIs" priority="22" operator="lessThan" dxfId="5" stopIfTrue="1">
      <formula>0</formula>
    </cfRule>
  </conditionalFormatting>
  <conditionalFormatting sqref="IZ48:JL49 IZ55:JM56 IZ69:JL69 IZ71:JL71">
    <cfRule type="cellIs" priority="78" operator="lessThan" dxfId="5" stopIfTrue="1">
      <formula>0</formula>
    </cfRule>
  </conditionalFormatting>
  <conditionalFormatting sqref="IZ96:JL117">
    <cfRule type="cellIs" priority="75" operator="lessThan" dxfId="5" stopIfTrue="1">
      <formula>0</formula>
    </cfRule>
  </conditionalFormatting>
  <conditionalFormatting sqref="IZ119:JL128">
    <cfRule type="cellIs" priority="79" operator="lessThan" dxfId="5" stopIfTrue="1">
      <formula>0</formula>
    </cfRule>
  </conditionalFormatting>
  <conditionalFormatting sqref="IZ132:JL134">
    <cfRule type="cellIs" priority="83" operator="lessThan" dxfId="5" stopIfTrue="1">
      <formula>0</formula>
    </cfRule>
  </conditionalFormatting>
  <conditionalFormatting sqref="IZ44:JM44">
    <cfRule type="cellIs" priority="82" operator="lessThan" dxfId="5" stopIfTrue="1">
      <formula>0</formula>
    </cfRule>
  </conditionalFormatting>
  <conditionalFormatting sqref="IZ63:JM66">
    <cfRule type="cellIs" priority="77" operator="lessThan" dxfId="5" stopIfTrue="1">
      <formula>0</formula>
    </cfRule>
  </conditionalFormatting>
  <conditionalFormatting sqref="IZ83:JM86">
    <cfRule type="cellIs" priority="76" operator="lessThan" dxfId="5" stopIfTrue="1">
      <formula>0</formula>
    </cfRule>
  </conditionalFormatting>
  <conditionalFormatting sqref="IZ89:JM92">
    <cfRule type="cellIs" priority="80" operator="lessThan" dxfId="5" stopIfTrue="1">
      <formula>0</formula>
    </cfRule>
  </conditionalFormatting>
  <conditionalFormatting sqref="IZ136:JM138 IZ140:JM142">
    <cfRule type="cellIs" priority="81" operator="lessThan" dxfId="5" stopIfTrue="1">
      <formula>0</formula>
    </cfRule>
  </conditionalFormatting>
  <conditionalFormatting sqref="B44 N44 BJ44:FM44 JM19:JM21">
    <cfRule type="cellIs" priority="182" operator="lessThan" dxfId="5" stopIfTrue="1">
      <formula>0</formula>
    </cfRule>
  </conditionalFormatting>
  <conditionalFormatting sqref="JM30 JM33:JM35">
    <cfRule type="cellIs" priority="181" operator="lessThan" dxfId="5" stopIfTrue="1">
      <formula>0</formula>
    </cfRule>
  </conditionalFormatting>
  <conditionalFormatting sqref="JM95:JM118">
    <cfRule type="cellIs" priority="120" operator="lessThan" dxfId="5" stopIfTrue="1">
      <formula>0</formula>
    </cfRule>
  </conditionalFormatting>
  <conditionalFormatting sqref="JM120:JM123">
    <cfRule type="cellIs" priority="180" operator="lessThan" dxfId="5" stopIfTrue="1">
      <formula>0</formula>
    </cfRule>
  </conditionalFormatting>
  <conditionalFormatting sqref="JM125:JM128 JM130:JM134">
    <cfRule type="cellIs" priority="185" operator="lessThan" dxfId="5" stopIfTrue="1">
      <formula>0</formula>
    </cfRule>
  </conditionalFormatting>
  <conditionalFormatting sqref="KP163:KS165">
    <cfRule type="cellIs" priority="37" operator="lessThan" dxfId="5" stopIfTrue="1">
      <formula>0</formula>
    </cfRule>
  </conditionalFormatting>
  <conditionalFormatting sqref="KP179:LD179">
    <cfRule type="cellIs" priority="33" operator="lessThan" dxfId="5" stopIfTrue="1">
      <formula>0</formula>
    </cfRule>
  </conditionalFormatting>
  <conditionalFormatting sqref="KP146:LS148">
    <cfRule type="cellIs" priority="6" operator="lessThan" dxfId="5" stopIfTrue="1">
      <formula>0</formula>
    </cfRule>
  </conditionalFormatting>
  <conditionalFormatting sqref="KP151:LS157">
    <cfRule type="cellIs" priority="7" operator="lessThan" dxfId="5" stopIfTrue="1">
      <formula>0</formula>
    </cfRule>
  </conditionalFormatting>
  <conditionalFormatting sqref="KP159:LS161">
    <cfRule type="cellIs" priority="4" operator="lessThan" dxfId="5" stopIfTrue="1">
      <formula>0</formula>
    </cfRule>
  </conditionalFormatting>
  <conditionalFormatting sqref="KQ169:LB169">
    <cfRule type="cellIs" priority="36" operator="lessThan" dxfId="5" stopIfTrue="1">
      <formula>0</formula>
    </cfRule>
  </conditionalFormatting>
  <conditionalFormatting sqref="KQ173:LB173">
    <cfRule type="cellIs" priority="35" operator="lessThan" dxfId="5" stopIfTrue="1">
      <formula>0</formula>
    </cfRule>
  </conditionalFormatting>
  <conditionalFormatting sqref="KQ182:LB182">
    <cfRule type="cellIs" priority="32" operator="lessThan" dxfId="5" stopIfTrue="1">
      <formula>0</formula>
    </cfRule>
  </conditionalFormatting>
  <conditionalFormatting sqref="KS163:LP163 LB164:LP165">
    <cfRule type="cellIs" priority="31" operator="lessThan" dxfId="5" stopIfTrue="1">
      <formula>0</formula>
    </cfRule>
  </conditionalFormatting>
  <conditionalFormatting sqref="LC180:LF180">
    <cfRule type="cellIs" priority="34" operator="lessThan" dxfId="5" stopIfTrue="1">
      <formula>0</formula>
    </cfRule>
  </conditionalFormatting>
  <conditionalFormatting sqref="LC169:LS171">
    <cfRule type="cellIs" priority="3" operator="lessThan" dxfId="5" stopIfTrue="1">
      <formula>0</formula>
    </cfRule>
  </conditionalFormatting>
  <conditionalFormatting sqref="LC173:LS175">
    <cfRule type="cellIs" priority="2" operator="lessThan" dxfId="5" stopIfTrue="1">
      <formula>0</formula>
    </cfRule>
  </conditionalFormatting>
  <conditionalFormatting sqref="LC182:LS184">
    <cfRule type="cellIs" priority="1" operator="lessThan" dxfId="5" stopIfTrue="1">
      <formula>0</formula>
    </cfRule>
  </conditionalFormatting>
  <conditionalFormatting sqref="LE179:LS180">
    <cfRule type="cellIs" priority="30" operator="lessThan" dxfId="5" stopIfTrue="1">
      <formula>0</formula>
    </cfRule>
  </conditionalFormatting>
  <conditionalFormatting sqref="LO163:LS165">
    <cfRule type="cellIs" priority="5" operator="lessThan" dxfId="5" stopIfTrue="1">
      <formula>0</formula>
    </cfRule>
  </conditionalFormatting>
  <conditionalFormatting sqref="LP207:LS207">
    <cfRule type="cellIs" priority="220" operator="lessThan" dxfId="5" stopIfTrue="1">
      <formula>0</formula>
    </cfRule>
  </conditionalFormatting>
  <conditionalFormatting sqref="LP210:LS210">
    <cfRule type="cellIs" priority="219" operator="lessThan" dxfId="5" stopIfTrue="1">
      <formula>0</formula>
    </cfRule>
  </conditionalFormatting>
  <conditionalFormatting sqref="LP213:LS213">
    <cfRule type="cellIs" priority="218" operator="lessThan" dxfId="5" stopIfTrue="1">
      <formula>0</formula>
    </cfRule>
  </conditionalFormatting>
  <conditionalFormatting sqref="LP216:LS216">
    <cfRule type="cellIs" priority="217" operator="lessThan" dxfId="5" stopIfTrue="1">
      <formula>0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Sheet21">
    <tabColor rgb="FFFFFF00"/>
    <outlinePr summaryBelow="1" summaryRight="1"/>
    <pageSetUpPr/>
  </sheetPr>
  <dimension ref="A1:K11076"/>
  <sheetViews>
    <sheetView workbookViewId="0">
      <pane xSplit="1" ySplit="9" topLeftCell="B11067" activePane="bottomRight" state="frozen"/>
      <selection activeCell="LO179" sqref="LO179"/>
      <selection pane="topRight" activeCell="LO179" sqref="LO179"/>
      <selection pane="bottomLeft" activeCell="LO179" sqref="LO179"/>
      <selection pane="bottomRight" activeCell="A11076" sqref="A11076"/>
    </sheetView>
  </sheetViews>
  <sheetFormatPr baseColWidth="8" defaultRowHeight="12"/>
  <cols>
    <col width="9.85546875" bestFit="1" customWidth="1" style="239" min="1" max="1"/>
    <col width="10.7109375" bestFit="1" customWidth="1" style="239" min="2" max="3"/>
  </cols>
  <sheetData>
    <row r="1" ht="15" customHeight="1" s="239">
      <c r="A1" s="922">
        <f>_xll.CEIC.Link("1441ff2c-4db9-492c-bf6b-bc2339a3b27b", "Series", "Select this link and click Refresh/Edit Download to update data and add or remove series")</f>
        <v/>
      </c>
      <c r="B1" s="923" t="inlineStr">
        <is>
          <t>Foreign Exchange Rate: HKMA: US Dollar</t>
        </is>
      </c>
      <c r="C1" s="924" t="inlineStr">
        <is>
          <t>Foreign Exchange Rate: HKMA: Chinese Reminbi</t>
        </is>
      </c>
    </row>
    <row r="2" ht="15" customHeight="1" s="239">
      <c r="A2" s="925" t="inlineStr">
        <is>
          <t>Region</t>
        </is>
      </c>
      <c r="B2" s="925" t="inlineStr">
        <is>
          <t>Hong Kong SAR (China)</t>
        </is>
      </c>
      <c r="C2" s="925" t="inlineStr">
        <is>
          <t>Hong Kong SAR (China)</t>
        </is>
      </c>
    </row>
    <row r="3" ht="15" customHeight="1" s="239">
      <c r="A3" s="925" t="inlineStr">
        <is>
          <t>Frequency</t>
        </is>
      </c>
      <c r="B3" s="925" t="inlineStr">
        <is>
          <t>Daily, "Everyday"</t>
        </is>
      </c>
      <c r="C3" s="925" t="inlineStr">
        <is>
          <t>Daily, "Everyday"</t>
        </is>
      </c>
    </row>
    <row r="4" ht="15" customHeight="1" s="239">
      <c r="A4" s="925" t="inlineStr">
        <is>
          <t>Unit</t>
        </is>
      </c>
      <c r="B4" s="924" t="inlineStr">
        <is>
          <t>USD/HKD</t>
        </is>
      </c>
      <c r="C4" s="924" t="inlineStr">
        <is>
          <t>RMB/HKD</t>
        </is>
      </c>
    </row>
    <row r="5" ht="15" customHeight="1" s="239">
      <c r="A5" s="925" t="inlineStr">
        <is>
          <t>Source</t>
        </is>
      </c>
      <c r="B5" s="925" t="inlineStr">
        <is>
          <t>Hong Kong Monetary Authority</t>
        </is>
      </c>
      <c r="C5" s="925" t="inlineStr">
        <is>
          <t>Hong Kong Monetary Authority</t>
        </is>
      </c>
    </row>
    <row r="6" ht="15" customHeight="1" s="239">
      <c r="A6" s="925" t="inlineStr">
        <is>
          <t>SR Code</t>
        </is>
      </c>
      <c r="B6" s="924" t="inlineStr">
        <is>
          <t>SR464252</t>
        </is>
      </c>
      <c r="C6" s="924" t="inlineStr">
        <is>
          <t>SR464255</t>
        </is>
      </c>
    </row>
    <row r="7" ht="15" customHeight="1" s="239">
      <c r="A7" s="925" t="inlineStr">
        <is>
          <t>First Obs. Date</t>
        </is>
      </c>
      <c r="B7" s="925" t="n">
        <v>32511</v>
      </c>
      <c r="C7" s="925" t="n">
        <v>32511</v>
      </c>
    </row>
    <row r="8" ht="15" customHeight="1" s="239">
      <c r="A8" s="925" t="inlineStr">
        <is>
          <t>Last Obs. Date</t>
        </is>
      </c>
      <c r="B8" s="925" t="n">
        <v>46203</v>
      </c>
      <c r="C8" s="925" t="n">
        <v>46203</v>
      </c>
    </row>
    <row r="9" ht="15" customHeight="1" s="239">
      <c r="A9" s="925" t="inlineStr">
        <is>
          <t>Last Update Time</t>
        </is>
      </c>
      <c r="B9" s="925" t="n">
        <v>46224</v>
      </c>
      <c r="C9" s="925" t="n">
        <v>46224</v>
      </c>
    </row>
    <row r="10">
      <c r="A10" s="926" t="n">
        <v>32511</v>
      </c>
      <c r="B10" t="n">
        <v>7.807</v>
      </c>
      <c r="C10" t="n">
        <v>2.1006</v>
      </c>
    </row>
    <row r="11">
      <c r="A11" s="926" t="n">
        <v>32512</v>
      </c>
      <c r="B11" t="n">
        <v>7.807</v>
      </c>
      <c r="C11" t="n">
        <v>2.1006</v>
      </c>
    </row>
    <row r="12">
      <c r="A12" s="926" t="n">
        <v>32513</v>
      </c>
      <c r="B12" t="n">
        <v>7.809</v>
      </c>
      <c r="C12" t="n">
        <v>2.1006</v>
      </c>
    </row>
    <row r="13">
      <c r="A13" s="926" t="n">
        <v>32514</v>
      </c>
      <c r="B13" t="n">
        <v>7.809</v>
      </c>
      <c r="C13" t="n">
        <v>2.1006</v>
      </c>
    </row>
    <row r="14">
      <c r="A14" s="926" t="n">
        <v>32515</v>
      </c>
      <c r="B14" t="n">
        <v>7.807</v>
      </c>
      <c r="C14" t="n">
        <v>2.1006</v>
      </c>
    </row>
    <row r="15">
      <c r="A15" s="926" t="n">
        <v>32517</v>
      </c>
      <c r="B15" t="n">
        <v>7.809</v>
      </c>
      <c r="C15" t="n">
        <v>2.1006</v>
      </c>
    </row>
    <row r="16">
      <c r="A16" s="926" t="n">
        <v>32518</v>
      </c>
      <c r="B16" t="n">
        <v>7.807</v>
      </c>
      <c r="C16" t="n">
        <v>2.1006</v>
      </c>
    </row>
    <row r="17">
      <c r="A17" s="926" t="n">
        <v>32519</v>
      </c>
      <c r="B17" t="n">
        <v>7.805</v>
      </c>
      <c r="C17" t="n">
        <v>2.1006</v>
      </c>
    </row>
    <row r="18">
      <c r="A18" s="926" t="n">
        <v>32520</v>
      </c>
      <c r="B18" t="n">
        <v>7.805</v>
      </c>
      <c r="C18" t="n">
        <v>2.1006</v>
      </c>
    </row>
    <row r="19">
      <c r="A19" s="926" t="n">
        <v>32521</v>
      </c>
      <c r="B19" t="n">
        <v>7.805</v>
      </c>
      <c r="C19" t="n">
        <v>2.1006</v>
      </c>
    </row>
    <row r="20">
      <c r="A20" s="926" t="n">
        <v>32522</v>
      </c>
      <c r="B20" t="n">
        <v>7.805</v>
      </c>
      <c r="C20" t="n">
        <v>2.1006</v>
      </c>
    </row>
    <row r="21">
      <c r="A21" s="926" t="n">
        <v>32524</v>
      </c>
      <c r="B21" t="n">
        <v>7.805</v>
      </c>
      <c r="C21" t="n">
        <v>2.1006</v>
      </c>
    </row>
    <row r="22">
      <c r="A22" s="926" t="n">
        <v>32525</v>
      </c>
      <c r="B22" t="n">
        <v>7.806</v>
      </c>
      <c r="C22" t="n">
        <v>2.1006</v>
      </c>
    </row>
    <row r="23">
      <c r="A23" s="926" t="n">
        <v>32526</v>
      </c>
      <c r="B23" t="n">
        <v>7.803</v>
      </c>
      <c r="C23" t="n">
        <v>2.1006</v>
      </c>
    </row>
    <row r="24">
      <c r="A24" s="926" t="n">
        <v>32527</v>
      </c>
      <c r="B24" t="n">
        <v>7.803</v>
      </c>
      <c r="C24" t="n">
        <v>2.1006</v>
      </c>
    </row>
    <row r="25">
      <c r="A25" s="926" t="n">
        <v>32528</v>
      </c>
      <c r="B25" t="n">
        <v>7.801</v>
      </c>
      <c r="C25" t="n">
        <v>2.1006</v>
      </c>
    </row>
    <row r="26">
      <c r="A26" s="926" t="n">
        <v>32529</v>
      </c>
      <c r="B26" t="n">
        <v>7.8</v>
      </c>
      <c r="C26" t="n">
        <v>2.1006</v>
      </c>
    </row>
    <row r="27">
      <c r="A27" s="926" t="n">
        <v>32531</v>
      </c>
      <c r="B27" t="n">
        <v>7.8</v>
      </c>
      <c r="C27" t="n">
        <v>2.1006</v>
      </c>
    </row>
    <row r="28">
      <c r="A28" s="926" t="n">
        <v>32532</v>
      </c>
      <c r="B28" t="n">
        <v>7.792</v>
      </c>
      <c r="C28" t="n">
        <v>2.1006</v>
      </c>
    </row>
    <row r="29">
      <c r="A29" s="926" t="n">
        <v>32533</v>
      </c>
      <c r="B29" t="n">
        <v>7.802</v>
      </c>
      <c r="C29" t="n">
        <v>2.1006</v>
      </c>
    </row>
    <row r="30">
      <c r="A30" s="926" t="n">
        <v>32534</v>
      </c>
      <c r="B30" t="n">
        <v>7.8</v>
      </c>
      <c r="C30" t="n">
        <v>2.1006</v>
      </c>
    </row>
    <row r="31">
      <c r="A31" s="926" t="n">
        <v>32535</v>
      </c>
      <c r="B31" t="n">
        <v>7.801</v>
      </c>
      <c r="C31" t="n">
        <v>2.1006</v>
      </c>
    </row>
    <row r="32">
      <c r="A32" s="926" t="n">
        <v>32536</v>
      </c>
      <c r="B32" t="n">
        <v>7.801</v>
      </c>
      <c r="C32" t="n">
        <v>2.1006</v>
      </c>
    </row>
    <row r="33">
      <c r="A33" s="926" t="n">
        <v>32538</v>
      </c>
      <c r="B33" t="n">
        <v>7.801</v>
      </c>
      <c r="C33" t="n">
        <v>2.1006</v>
      </c>
    </row>
    <row r="34">
      <c r="A34" s="926" t="n">
        <v>32539</v>
      </c>
      <c r="B34" t="n">
        <v>7.8</v>
      </c>
      <c r="C34" t="n">
        <v>2.1006</v>
      </c>
    </row>
    <row r="35">
      <c r="A35" s="926" t="n">
        <v>32540</v>
      </c>
      <c r="B35" t="n">
        <v>7.799</v>
      </c>
      <c r="C35" t="n">
        <v>2.1006</v>
      </c>
    </row>
    <row r="36">
      <c r="A36" s="926" t="n">
        <v>32541</v>
      </c>
      <c r="B36" t="n">
        <v>7.8</v>
      </c>
      <c r="C36" t="n">
        <v>2.1006</v>
      </c>
    </row>
    <row r="37">
      <c r="A37" s="926" t="n">
        <v>32542</v>
      </c>
      <c r="B37" t="n">
        <v>7.8</v>
      </c>
      <c r="C37" t="n">
        <v>2.1006</v>
      </c>
    </row>
    <row r="38">
      <c r="A38" s="926" t="n">
        <v>32543</v>
      </c>
      <c r="B38" t="n">
        <v>7.8</v>
      </c>
      <c r="C38" t="n">
        <v>2.1006</v>
      </c>
    </row>
    <row r="39">
      <c r="A39" s="926" t="n">
        <v>32548</v>
      </c>
      <c r="B39" t="n">
        <v>7.798</v>
      </c>
      <c r="C39" t="n">
        <v>2.1006</v>
      </c>
    </row>
    <row r="40">
      <c r="A40" s="926" t="n">
        <v>32549</v>
      </c>
      <c r="B40" t="n">
        <v>7.798</v>
      </c>
      <c r="C40" t="n">
        <v>2.1006</v>
      </c>
    </row>
    <row r="41">
      <c r="A41" s="926" t="n">
        <v>32550</v>
      </c>
      <c r="B41" t="n">
        <v>7.798</v>
      </c>
      <c r="C41" t="n">
        <v>2.1006</v>
      </c>
    </row>
    <row r="42">
      <c r="A42" s="926" t="n">
        <v>32552</v>
      </c>
      <c r="B42" t="n">
        <v>7.798</v>
      </c>
      <c r="C42" t="n">
        <v>2.1006</v>
      </c>
    </row>
    <row r="43">
      <c r="A43" s="926" t="n">
        <v>32553</v>
      </c>
      <c r="B43" t="n">
        <v>7.798</v>
      </c>
      <c r="C43" t="n">
        <v>2.1006</v>
      </c>
    </row>
    <row r="44">
      <c r="A44" s="926" t="n">
        <v>32554</v>
      </c>
      <c r="B44" t="n">
        <v>7.801</v>
      </c>
      <c r="C44" t="n">
        <v>2.1006</v>
      </c>
    </row>
    <row r="45">
      <c r="A45" s="926" t="n">
        <v>32555</v>
      </c>
      <c r="B45" t="n">
        <v>7.801</v>
      </c>
      <c r="C45" t="n">
        <v>2.1006</v>
      </c>
    </row>
    <row r="46">
      <c r="A46" s="926" t="n">
        <v>32556</v>
      </c>
      <c r="B46" t="n">
        <v>7.801</v>
      </c>
      <c r="C46" t="n">
        <v>2.1006</v>
      </c>
    </row>
    <row r="47">
      <c r="A47" s="926" t="n">
        <v>32557</v>
      </c>
      <c r="B47" t="n">
        <v>7.801</v>
      </c>
      <c r="C47" t="n">
        <v>2.1006</v>
      </c>
    </row>
    <row r="48">
      <c r="A48" s="926" t="n">
        <v>32559</v>
      </c>
      <c r="B48" t="n">
        <v>7.801</v>
      </c>
      <c r="C48" t="n">
        <v>2.1006</v>
      </c>
    </row>
    <row r="49">
      <c r="A49" s="926" t="n">
        <v>32560</v>
      </c>
      <c r="B49" t="n">
        <v>7.805</v>
      </c>
      <c r="C49" t="n">
        <v>2.1006</v>
      </c>
    </row>
    <row r="50">
      <c r="A50" s="926" t="n">
        <v>32561</v>
      </c>
      <c r="B50" t="n">
        <v>7.801</v>
      </c>
      <c r="C50" t="n">
        <v>2.1006</v>
      </c>
    </row>
    <row r="51">
      <c r="A51" s="926" t="n">
        <v>32562</v>
      </c>
      <c r="B51" t="n">
        <v>7.801</v>
      </c>
      <c r="C51" t="n">
        <v>2.1006</v>
      </c>
    </row>
    <row r="52">
      <c r="A52" s="926" t="n">
        <v>32563</v>
      </c>
      <c r="B52" t="n">
        <v>7.799</v>
      </c>
      <c r="C52" t="n">
        <v>2.1006</v>
      </c>
    </row>
    <row r="53">
      <c r="A53" s="926" t="n">
        <v>32564</v>
      </c>
      <c r="B53" t="n">
        <v>7.8</v>
      </c>
      <c r="C53" t="n">
        <v>2.1006</v>
      </c>
    </row>
    <row r="54">
      <c r="A54" s="926" t="n">
        <v>32566</v>
      </c>
      <c r="B54" t="n">
        <v>7.799</v>
      </c>
      <c r="C54" t="n">
        <v>2.1006</v>
      </c>
    </row>
    <row r="55">
      <c r="A55" s="926" t="n">
        <v>32567</v>
      </c>
      <c r="B55" t="n">
        <v>7.801</v>
      </c>
      <c r="C55" t="n">
        <v>2.1006</v>
      </c>
    </row>
    <row r="56">
      <c r="A56" s="926" t="n">
        <v>32568</v>
      </c>
      <c r="B56" t="n">
        <v>7.8</v>
      </c>
      <c r="C56" t="n">
        <v>2.1006</v>
      </c>
    </row>
    <row r="57">
      <c r="A57" s="926" t="n">
        <v>32569</v>
      </c>
      <c r="B57" t="n">
        <v>7.8</v>
      </c>
      <c r="C57" t="n">
        <v>2.1006</v>
      </c>
    </row>
    <row r="58">
      <c r="A58" s="926" t="n">
        <v>32570</v>
      </c>
      <c r="B58" t="n">
        <v>7.801</v>
      </c>
      <c r="C58" t="n">
        <v>2.1006</v>
      </c>
    </row>
    <row r="59">
      <c r="A59" s="926" t="n">
        <v>32571</v>
      </c>
      <c r="B59" t="n">
        <v>7.801</v>
      </c>
      <c r="C59" t="n">
        <v>2.1006</v>
      </c>
    </row>
    <row r="60">
      <c r="A60" s="926" t="n">
        <v>32573</v>
      </c>
      <c r="B60" t="n">
        <v>7.801</v>
      </c>
      <c r="C60" t="n">
        <v>2.1006</v>
      </c>
    </row>
    <row r="61">
      <c r="A61" s="926" t="n">
        <v>32574</v>
      </c>
      <c r="B61" t="n">
        <v>7.802</v>
      </c>
      <c r="C61" t="n">
        <v>2.1006</v>
      </c>
    </row>
    <row r="62">
      <c r="A62" s="926" t="n">
        <v>32575</v>
      </c>
      <c r="B62" t="n">
        <v>7.801</v>
      </c>
      <c r="C62" t="n">
        <v>2.1006</v>
      </c>
    </row>
    <row r="63">
      <c r="A63" s="926" t="n">
        <v>32576</v>
      </c>
      <c r="B63" t="n">
        <v>7.8</v>
      </c>
      <c r="C63" t="n">
        <v>2.1006</v>
      </c>
    </row>
    <row r="64">
      <c r="A64" s="926" t="n">
        <v>32577</v>
      </c>
      <c r="B64" t="n">
        <v>7.8</v>
      </c>
      <c r="C64" t="n">
        <v>2.1006</v>
      </c>
    </row>
    <row r="65">
      <c r="A65" s="926" t="n">
        <v>32578</v>
      </c>
      <c r="B65" t="n">
        <v>7.8</v>
      </c>
      <c r="C65" t="n">
        <v>2.1006</v>
      </c>
    </row>
    <row r="66">
      <c r="A66" s="926" t="n">
        <v>32580</v>
      </c>
      <c r="B66" t="n">
        <v>7.8</v>
      </c>
      <c r="C66" t="n">
        <v>2.1006</v>
      </c>
    </row>
    <row r="67">
      <c r="A67" s="926" t="n">
        <v>32581</v>
      </c>
      <c r="B67" t="n">
        <v>7.8</v>
      </c>
      <c r="C67" t="n">
        <v>2.1006</v>
      </c>
    </row>
    <row r="68">
      <c r="A68" s="926" t="n">
        <v>32582</v>
      </c>
      <c r="B68" t="n">
        <v>7.799</v>
      </c>
      <c r="C68" t="n">
        <v>2.1006</v>
      </c>
    </row>
    <row r="69">
      <c r="A69" s="926" t="n">
        <v>32583</v>
      </c>
      <c r="B69" t="n">
        <v>7.798</v>
      </c>
      <c r="C69" t="n">
        <v>2.1006</v>
      </c>
    </row>
    <row r="70">
      <c r="A70" s="926" t="n">
        <v>32584</v>
      </c>
      <c r="B70" t="n">
        <v>7.798</v>
      </c>
      <c r="C70" t="n">
        <v>2.1006</v>
      </c>
    </row>
    <row r="71">
      <c r="A71" s="926" t="n">
        <v>32585</v>
      </c>
      <c r="B71" t="n">
        <v>7.797</v>
      </c>
      <c r="C71" t="n">
        <v>2.1006</v>
      </c>
    </row>
    <row r="72">
      <c r="A72" s="926" t="n">
        <v>32587</v>
      </c>
      <c r="B72" t="n">
        <v>7.794</v>
      </c>
      <c r="C72" t="n">
        <v>2.1006</v>
      </c>
    </row>
    <row r="73">
      <c r="A73" s="926" t="n">
        <v>32588</v>
      </c>
      <c r="B73" t="n">
        <v>7.795</v>
      </c>
      <c r="C73" t="n">
        <v>2.1006</v>
      </c>
    </row>
    <row r="74">
      <c r="A74" s="926" t="n">
        <v>32589</v>
      </c>
      <c r="B74" t="n">
        <v>7.793</v>
      </c>
      <c r="C74" t="n">
        <v>2.1006</v>
      </c>
    </row>
    <row r="75">
      <c r="A75" s="926" t="n">
        <v>32590</v>
      </c>
      <c r="B75" t="n">
        <v>7.789</v>
      </c>
      <c r="C75" t="n">
        <v>2.1006</v>
      </c>
    </row>
    <row r="76">
      <c r="A76" s="926" t="n">
        <v>32595</v>
      </c>
      <c r="B76" t="n">
        <v>7.788</v>
      </c>
      <c r="C76" t="n">
        <v>2.1006</v>
      </c>
    </row>
    <row r="77">
      <c r="A77" s="926" t="n">
        <v>32596</v>
      </c>
      <c r="B77" t="n">
        <v>7.789</v>
      </c>
      <c r="C77" t="n">
        <v>2.1006</v>
      </c>
    </row>
    <row r="78">
      <c r="A78" s="926" t="n">
        <v>32597</v>
      </c>
      <c r="B78" t="n">
        <v>7.788</v>
      </c>
      <c r="C78" t="n">
        <v>2.1006</v>
      </c>
    </row>
    <row r="79">
      <c r="A79" s="926" t="n">
        <v>32598</v>
      </c>
      <c r="B79" t="n">
        <v>7.788</v>
      </c>
      <c r="C79" t="n">
        <v>2.1006</v>
      </c>
    </row>
    <row r="80">
      <c r="A80" s="926" t="n">
        <v>32599</v>
      </c>
      <c r="B80" t="n">
        <v>7.788</v>
      </c>
      <c r="C80" t="n">
        <v>2.1006</v>
      </c>
    </row>
    <row r="81">
      <c r="A81" s="926" t="n">
        <v>32601</v>
      </c>
      <c r="B81" t="n">
        <v>7.788</v>
      </c>
      <c r="C81" t="n">
        <v>2.1006</v>
      </c>
    </row>
    <row r="82">
      <c r="A82" s="926" t="n">
        <v>32602</v>
      </c>
      <c r="B82" t="n">
        <v>7.786</v>
      </c>
      <c r="C82" t="n">
        <v>2.1006</v>
      </c>
    </row>
    <row r="83">
      <c r="A83" s="926" t="n">
        <v>32604</v>
      </c>
      <c r="B83" t="n">
        <v>7.785</v>
      </c>
      <c r="C83" t="n">
        <v>2.1006</v>
      </c>
    </row>
    <row r="84">
      <c r="A84" s="926" t="n">
        <v>32605</v>
      </c>
      <c r="B84" t="n">
        <v>7.783</v>
      </c>
      <c r="C84" t="n">
        <v>2.1006</v>
      </c>
    </row>
    <row r="85">
      <c r="A85" s="926" t="n">
        <v>32606</v>
      </c>
      <c r="B85" t="n">
        <v>7.781</v>
      </c>
      <c r="C85" t="n">
        <v>2.1006</v>
      </c>
    </row>
    <row r="86">
      <c r="A86" s="926" t="n">
        <v>32608</v>
      </c>
      <c r="B86" t="n">
        <v>7.782</v>
      </c>
      <c r="C86" t="n">
        <v>2.1006</v>
      </c>
    </row>
    <row r="87">
      <c r="A87" s="926" t="n">
        <v>32609</v>
      </c>
      <c r="B87" t="n">
        <v>7.786</v>
      </c>
      <c r="C87" t="n">
        <v>2.1006</v>
      </c>
    </row>
    <row r="88">
      <c r="A88" s="926" t="n">
        <v>32610</v>
      </c>
      <c r="B88" t="n">
        <v>7.782</v>
      </c>
      <c r="C88" t="n">
        <v>2.1006</v>
      </c>
    </row>
    <row r="89">
      <c r="A89" s="926" t="n">
        <v>32611</v>
      </c>
      <c r="B89" t="n">
        <v>7.781</v>
      </c>
      <c r="C89" t="n">
        <v>2.1006</v>
      </c>
    </row>
    <row r="90">
      <c r="A90" s="926" t="n">
        <v>32612</v>
      </c>
      <c r="B90" t="n">
        <v>7.78</v>
      </c>
      <c r="C90" t="n">
        <v>2.1006</v>
      </c>
    </row>
    <row r="91">
      <c r="A91" s="926" t="n">
        <v>32613</v>
      </c>
      <c r="B91" t="n">
        <v>7.78</v>
      </c>
      <c r="C91" t="n">
        <v>2.1006</v>
      </c>
    </row>
    <row r="92">
      <c r="A92" s="926" t="n">
        <v>32615</v>
      </c>
      <c r="B92" t="n">
        <v>7.781</v>
      </c>
      <c r="C92" t="n">
        <v>2.1006</v>
      </c>
    </row>
    <row r="93">
      <c r="A93" s="926" t="n">
        <v>32616</v>
      </c>
      <c r="B93" t="n">
        <v>7.78</v>
      </c>
      <c r="C93" t="n">
        <v>2.1006</v>
      </c>
    </row>
    <row r="94">
      <c r="A94" s="926" t="n">
        <v>32617</v>
      </c>
      <c r="B94" t="n">
        <v>7.783</v>
      </c>
      <c r="C94" t="n">
        <v>2.1006</v>
      </c>
    </row>
    <row r="95">
      <c r="A95" s="926" t="n">
        <v>32618</v>
      </c>
      <c r="B95" t="n">
        <v>7.782</v>
      </c>
      <c r="C95" t="n">
        <v>2.1006</v>
      </c>
    </row>
    <row r="96">
      <c r="A96" s="926" t="n">
        <v>32619</v>
      </c>
      <c r="B96" t="n">
        <v>7.781</v>
      </c>
      <c r="C96" t="n">
        <v>2.1006</v>
      </c>
    </row>
    <row r="97">
      <c r="A97" s="926" t="n">
        <v>32620</v>
      </c>
      <c r="B97" t="n">
        <v>7.781</v>
      </c>
      <c r="C97" t="n">
        <v>2.1006</v>
      </c>
    </row>
    <row r="98">
      <c r="A98" s="926" t="n">
        <v>32622</v>
      </c>
      <c r="B98" t="n">
        <v>7.782</v>
      </c>
      <c r="C98" t="n">
        <v>2.1006</v>
      </c>
    </row>
    <row r="99">
      <c r="A99" s="926" t="n">
        <v>32623</v>
      </c>
      <c r="B99" t="n">
        <v>7.78</v>
      </c>
      <c r="C99" t="n">
        <v>2.1006</v>
      </c>
    </row>
    <row r="100">
      <c r="A100" s="926" t="n">
        <v>32624</v>
      </c>
      <c r="B100" t="n">
        <v>7.779</v>
      </c>
      <c r="C100" t="n">
        <v>2.1006</v>
      </c>
    </row>
    <row r="101">
      <c r="A101" s="926" t="n">
        <v>32625</v>
      </c>
      <c r="B101" t="n">
        <v>7.784</v>
      </c>
      <c r="C101" t="n">
        <v>2.0905</v>
      </c>
    </row>
    <row r="102">
      <c r="A102" s="926" t="n">
        <v>32626</v>
      </c>
      <c r="B102" t="n">
        <v>7.779</v>
      </c>
      <c r="C102" t="n">
        <v>2.0905</v>
      </c>
    </row>
    <row r="103">
      <c r="A103" s="926" t="n">
        <v>32627</v>
      </c>
      <c r="B103" t="n">
        <v>7.779</v>
      </c>
      <c r="C103" t="n">
        <v>2.0905</v>
      </c>
    </row>
    <row r="104">
      <c r="A104" s="926" t="n">
        <v>32629</v>
      </c>
      <c r="B104" t="n">
        <v>7.78</v>
      </c>
      <c r="C104" t="n">
        <v>2.0905</v>
      </c>
    </row>
    <row r="105">
      <c r="A105" s="926" t="n">
        <v>32630</v>
      </c>
      <c r="B105" t="n">
        <v>7.782</v>
      </c>
      <c r="C105" t="n">
        <v>2.0905</v>
      </c>
    </row>
    <row r="106">
      <c r="A106" s="926" t="n">
        <v>32631</v>
      </c>
      <c r="B106" t="n">
        <v>7.783</v>
      </c>
      <c r="C106" t="n">
        <v>2.0905</v>
      </c>
    </row>
    <row r="107">
      <c r="A107" s="926" t="n">
        <v>32632</v>
      </c>
      <c r="B107" t="n">
        <v>7.782</v>
      </c>
      <c r="C107" t="n">
        <v>2.0905</v>
      </c>
    </row>
    <row r="108">
      <c r="A108" s="926" t="n">
        <v>32633</v>
      </c>
      <c r="B108" t="n">
        <v>7.78</v>
      </c>
      <c r="C108" t="n">
        <v>2.0905</v>
      </c>
    </row>
    <row r="109">
      <c r="A109" s="926" t="n">
        <v>32634</v>
      </c>
      <c r="B109" t="n">
        <v>7.78</v>
      </c>
      <c r="C109" t="n">
        <v>2.0905</v>
      </c>
    </row>
    <row r="110">
      <c r="A110" s="926" t="n">
        <v>32636</v>
      </c>
      <c r="B110" t="n">
        <v>7.781</v>
      </c>
      <c r="C110" t="n">
        <v>2.0905</v>
      </c>
    </row>
    <row r="111">
      <c r="A111" s="926" t="n">
        <v>32637</v>
      </c>
      <c r="B111" t="n">
        <v>7.781</v>
      </c>
      <c r="C111" t="n">
        <v>2.0905</v>
      </c>
    </row>
    <row r="112">
      <c r="A112" s="926" t="n">
        <v>32638</v>
      </c>
      <c r="B112" t="n">
        <v>7.78</v>
      </c>
      <c r="C112" t="n">
        <v>2.0905</v>
      </c>
    </row>
    <row r="113">
      <c r="A113" s="926" t="n">
        <v>32639</v>
      </c>
      <c r="B113" t="n">
        <v>7.779</v>
      </c>
      <c r="C113" t="n">
        <v>2.0905</v>
      </c>
    </row>
    <row r="114">
      <c r="A114" s="926" t="n">
        <v>32640</v>
      </c>
      <c r="B114" t="n">
        <v>7.776</v>
      </c>
      <c r="C114" t="n">
        <v>2.0905</v>
      </c>
    </row>
    <row r="115">
      <c r="A115" s="926" t="n">
        <v>32641</v>
      </c>
      <c r="B115" t="n">
        <v>7.775</v>
      </c>
      <c r="C115" t="n">
        <v>2.0905</v>
      </c>
    </row>
    <row r="116">
      <c r="A116" s="926" t="n">
        <v>32643</v>
      </c>
      <c r="B116" t="n">
        <v>7.776</v>
      </c>
      <c r="C116" t="n">
        <v>2.0905</v>
      </c>
    </row>
    <row r="117">
      <c r="A117" s="926" t="n">
        <v>32644</v>
      </c>
      <c r="B117" t="n">
        <v>7.776</v>
      </c>
      <c r="C117" t="n">
        <v>2.0905</v>
      </c>
    </row>
    <row r="118">
      <c r="A118" s="926" t="n">
        <v>32645</v>
      </c>
      <c r="B118" t="n">
        <v>7.775</v>
      </c>
      <c r="C118" t="n">
        <v>2.0905</v>
      </c>
    </row>
    <row r="119">
      <c r="A119" s="926" t="n">
        <v>32646</v>
      </c>
      <c r="B119" t="n">
        <v>7.782</v>
      </c>
      <c r="C119" t="n">
        <v>2.0905</v>
      </c>
    </row>
    <row r="120">
      <c r="A120" s="926" t="n">
        <v>32647</v>
      </c>
      <c r="B120" t="n">
        <v>7.786</v>
      </c>
      <c r="C120" t="n">
        <v>2.0905</v>
      </c>
    </row>
    <row r="121">
      <c r="A121" s="926" t="n">
        <v>32650</v>
      </c>
      <c r="B121" t="n">
        <v>7.787</v>
      </c>
      <c r="C121" t="n">
        <v>2.0905</v>
      </c>
    </row>
    <row r="122">
      <c r="A122" s="926" t="n">
        <v>32651</v>
      </c>
      <c r="B122" t="n">
        <v>7.776</v>
      </c>
      <c r="C122" t="n">
        <v>2.0905</v>
      </c>
    </row>
    <row r="123">
      <c r="A123" s="926" t="n">
        <v>32652</v>
      </c>
      <c r="B123" t="n">
        <v>7.774</v>
      </c>
      <c r="C123" t="n">
        <v>2.0905</v>
      </c>
    </row>
    <row r="124">
      <c r="A124" s="926" t="n">
        <v>32653</v>
      </c>
      <c r="B124" t="n">
        <v>7.78</v>
      </c>
      <c r="C124" t="n">
        <v>2.0905</v>
      </c>
    </row>
    <row r="125">
      <c r="A125" s="926" t="n">
        <v>32654</v>
      </c>
      <c r="B125" t="n">
        <v>7.78</v>
      </c>
      <c r="C125" t="n">
        <v>2.0905</v>
      </c>
    </row>
    <row r="126">
      <c r="A126" s="926" t="n">
        <v>32655</v>
      </c>
      <c r="B126" t="n">
        <v>7.78</v>
      </c>
      <c r="C126" t="n">
        <v>2.0905</v>
      </c>
    </row>
    <row r="127">
      <c r="A127" s="926" t="n">
        <v>32657</v>
      </c>
      <c r="B127" t="n">
        <v>7.779</v>
      </c>
      <c r="C127" t="n">
        <v>2.0905</v>
      </c>
    </row>
    <row r="128">
      <c r="A128" s="926" t="n">
        <v>32658</v>
      </c>
      <c r="B128" t="n">
        <v>7.779</v>
      </c>
      <c r="C128" t="n">
        <v>2.0905</v>
      </c>
    </row>
    <row r="129">
      <c r="A129" s="926" t="n">
        <v>32659</v>
      </c>
      <c r="B129" t="n">
        <v>7.775</v>
      </c>
      <c r="C129" t="n">
        <v>2.0905</v>
      </c>
    </row>
    <row r="130">
      <c r="A130" s="926" t="n">
        <v>32660</v>
      </c>
      <c r="B130" t="n">
        <v>7.775</v>
      </c>
      <c r="C130" t="n">
        <v>2.089</v>
      </c>
    </row>
    <row r="131">
      <c r="A131" s="926" t="n">
        <v>32661</v>
      </c>
      <c r="B131" t="n">
        <v>7.774</v>
      </c>
      <c r="C131" t="n">
        <v>2.089</v>
      </c>
    </row>
    <row r="132">
      <c r="A132" s="926" t="n">
        <v>32662</v>
      </c>
      <c r="B132" t="n">
        <v>7.776</v>
      </c>
      <c r="C132" t="n">
        <v>2.0877</v>
      </c>
    </row>
    <row r="133">
      <c r="A133" s="926" t="n">
        <v>32664</v>
      </c>
      <c r="B133" t="n">
        <v>7.79</v>
      </c>
      <c r="C133" t="n">
        <v>2.0877</v>
      </c>
    </row>
    <row r="134">
      <c r="A134" s="926" t="n">
        <v>32665</v>
      </c>
      <c r="B134" t="n">
        <v>7.796</v>
      </c>
      <c r="C134" t="n">
        <v>2.0877</v>
      </c>
    </row>
    <row r="135">
      <c r="A135" s="926" t="n">
        <v>32666</v>
      </c>
      <c r="B135" t="n">
        <v>7.803</v>
      </c>
      <c r="C135" t="n">
        <v>2.0877</v>
      </c>
    </row>
    <row r="136">
      <c r="A136" s="926" t="n">
        <v>32668</v>
      </c>
      <c r="B136" t="n">
        <v>7.795</v>
      </c>
      <c r="C136" t="n">
        <v>2.0877</v>
      </c>
    </row>
    <row r="137">
      <c r="A137" s="926" t="n">
        <v>32669</v>
      </c>
      <c r="B137" t="n">
        <v>7.793</v>
      </c>
      <c r="C137" t="n">
        <v>2.0877</v>
      </c>
    </row>
    <row r="138">
      <c r="A138" s="926" t="n">
        <v>32671</v>
      </c>
      <c r="B138" t="n">
        <v>7.788</v>
      </c>
      <c r="C138" t="n">
        <v>2.0877</v>
      </c>
    </row>
    <row r="139">
      <c r="A139" s="926" t="n">
        <v>32672</v>
      </c>
      <c r="B139" t="n">
        <v>7.788</v>
      </c>
      <c r="C139" t="n">
        <v>2.0877</v>
      </c>
    </row>
    <row r="140">
      <c r="A140" s="926" t="n">
        <v>32673</v>
      </c>
      <c r="B140" t="n">
        <v>7.783</v>
      </c>
      <c r="C140" t="n">
        <v>2.0877</v>
      </c>
    </row>
    <row r="141">
      <c r="A141" s="926" t="n">
        <v>32674</v>
      </c>
      <c r="B141" t="n">
        <v>7.782</v>
      </c>
      <c r="C141" t="n">
        <v>2.0877</v>
      </c>
    </row>
    <row r="142">
      <c r="A142" s="926" t="n">
        <v>32675</v>
      </c>
      <c r="B142" t="n">
        <v>7.787</v>
      </c>
      <c r="C142" t="n">
        <v>2.0877</v>
      </c>
    </row>
    <row r="143">
      <c r="A143" s="926" t="n">
        <v>32679</v>
      </c>
      <c r="B143" t="n">
        <v>7.8</v>
      </c>
      <c r="C143" t="n">
        <v>2.0877</v>
      </c>
    </row>
    <row r="144">
      <c r="A144" s="926" t="n">
        <v>32680</v>
      </c>
      <c r="B144" t="n">
        <v>7.797</v>
      </c>
      <c r="C144" t="n">
        <v>2.0877</v>
      </c>
    </row>
    <row r="145">
      <c r="A145" s="926" t="n">
        <v>32681</v>
      </c>
      <c r="B145" t="n">
        <v>7.795</v>
      </c>
      <c r="C145" t="n">
        <v>2.0877</v>
      </c>
    </row>
    <row r="146">
      <c r="A146" s="926" t="n">
        <v>32682</v>
      </c>
      <c r="B146" t="n">
        <v>7.795</v>
      </c>
      <c r="C146" t="n">
        <v>2.0877</v>
      </c>
    </row>
    <row r="147">
      <c r="A147" s="926" t="n">
        <v>32683</v>
      </c>
      <c r="B147" t="n">
        <v>7.795</v>
      </c>
      <c r="C147" t="n">
        <v>2.0877</v>
      </c>
    </row>
    <row r="148">
      <c r="A148" s="926" t="n">
        <v>32685</v>
      </c>
      <c r="B148" t="n">
        <v>7.794</v>
      </c>
      <c r="C148" t="n">
        <v>2.0877</v>
      </c>
    </row>
    <row r="149">
      <c r="A149" s="926" t="n">
        <v>32686</v>
      </c>
      <c r="B149" t="n">
        <v>7.794</v>
      </c>
      <c r="C149" t="n">
        <v>2.0877</v>
      </c>
    </row>
    <row r="150">
      <c r="A150" s="926" t="n">
        <v>32687</v>
      </c>
      <c r="B150" t="n">
        <v>7.795</v>
      </c>
      <c r="C150" t="n">
        <v>2.0877</v>
      </c>
    </row>
    <row r="151">
      <c r="A151" s="926" t="n">
        <v>32688</v>
      </c>
      <c r="B151" t="n">
        <v>7.795</v>
      </c>
      <c r="C151" t="n">
        <v>2.0877</v>
      </c>
    </row>
    <row r="152">
      <c r="A152" s="926" t="n">
        <v>32689</v>
      </c>
      <c r="B152" t="n">
        <v>7.795</v>
      </c>
      <c r="C152" t="n">
        <v>2.0877</v>
      </c>
    </row>
    <row r="153">
      <c r="A153" s="926" t="n">
        <v>32690</v>
      </c>
      <c r="B153" t="n">
        <v>7.796</v>
      </c>
      <c r="C153" t="n">
        <v>2.0877</v>
      </c>
    </row>
    <row r="154">
      <c r="A154" s="926" t="n">
        <v>32692</v>
      </c>
      <c r="B154" t="n">
        <v>7.797</v>
      </c>
      <c r="C154" t="n">
        <v>2.0877</v>
      </c>
    </row>
    <row r="155">
      <c r="A155" s="926" t="n">
        <v>32693</v>
      </c>
      <c r="B155" t="n">
        <v>7.798</v>
      </c>
      <c r="C155" t="n">
        <v>2.0877</v>
      </c>
    </row>
    <row r="156">
      <c r="A156" s="926" t="n">
        <v>32694</v>
      </c>
      <c r="B156" t="n">
        <v>7.797</v>
      </c>
      <c r="C156" t="n">
        <v>2.0877</v>
      </c>
    </row>
    <row r="157">
      <c r="A157" s="926" t="n">
        <v>32695</v>
      </c>
      <c r="B157" t="n">
        <v>7.797</v>
      </c>
      <c r="C157" t="n">
        <v>2.0877</v>
      </c>
    </row>
    <row r="158">
      <c r="A158" s="926" t="n">
        <v>32696</v>
      </c>
      <c r="B158" t="n">
        <v>7.798</v>
      </c>
      <c r="C158" t="n">
        <v>2.0877</v>
      </c>
    </row>
    <row r="159">
      <c r="A159" s="926" t="n">
        <v>32697</v>
      </c>
      <c r="B159" t="n">
        <v>7.798</v>
      </c>
      <c r="C159" t="n">
        <v>2.0877</v>
      </c>
    </row>
    <row r="160">
      <c r="A160" s="926" t="n">
        <v>32699</v>
      </c>
      <c r="B160" t="n">
        <v>7.797</v>
      </c>
      <c r="C160" t="n">
        <v>2.0877</v>
      </c>
    </row>
    <row r="161">
      <c r="A161" s="926" t="n">
        <v>32700</v>
      </c>
      <c r="B161" t="n">
        <v>7.801</v>
      </c>
      <c r="C161" t="n">
        <v>2.0877</v>
      </c>
    </row>
    <row r="162">
      <c r="A162" s="926" t="n">
        <v>32701</v>
      </c>
      <c r="B162" t="n">
        <v>7.805</v>
      </c>
      <c r="C162" t="n">
        <v>2.0877</v>
      </c>
    </row>
    <row r="163">
      <c r="A163" s="926" t="n">
        <v>32702</v>
      </c>
      <c r="B163" t="n">
        <v>7.805</v>
      </c>
      <c r="C163" t="n">
        <v>2.0877</v>
      </c>
    </row>
    <row r="164">
      <c r="A164" s="926" t="n">
        <v>32703</v>
      </c>
      <c r="B164" t="n">
        <v>7.805</v>
      </c>
      <c r="C164" t="n">
        <v>2.0877</v>
      </c>
    </row>
    <row r="165">
      <c r="A165" s="926" t="n">
        <v>32704</v>
      </c>
      <c r="B165" t="n">
        <v>7.805</v>
      </c>
      <c r="C165" t="n">
        <v>2.0877</v>
      </c>
    </row>
    <row r="166">
      <c r="A166" s="926" t="n">
        <v>32706</v>
      </c>
      <c r="B166" t="n">
        <v>7.804</v>
      </c>
      <c r="C166" t="n">
        <v>2.0877</v>
      </c>
    </row>
    <row r="167">
      <c r="A167" s="926" t="n">
        <v>32707</v>
      </c>
      <c r="B167" t="n">
        <v>7.804</v>
      </c>
      <c r="C167" t="n">
        <v>2.0877</v>
      </c>
    </row>
    <row r="168">
      <c r="A168" s="926" t="n">
        <v>32708</v>
      </c>
      <c r="B168" t="n">
        <v>7.803</v>
      </c>
      <c r="C168" t="n">
        <v>2.0877</v>
      </c>
    </row>
    <row r="169">
      <c r="A169" s="926" t="n">
        <v>32709</v>
      </c>
      <c r="B169" t="n">
        <v>7.807</v>
      </c>
      <c r="C169" t="n">
        <v>2.0877</v>
      </c>
    </row>
    <row r="170">
      <c r="A170" s="926" t="n">
        <v>32710</v>
      </c>
      <c r="B170" t="n">
        <v>7.807</v>
      </c>
      <c r="C170" t="n">
        <v>2.0877</v>
      </c>
    </row>
    <row r="171">
      <c r="A171" s="926" t="n">
        <v>32711</v>
      </c>
      <c r="B171" t="n">
        <v>7.806</v>
      </c>
      <c r="C171" t="n">
        <v>2.0877</v>
      </c>
    </row>
    <row r="172">
      <c r="A172" s="926" t="n">
        <v>32713</v>
      </c>
      <c r="B172" t="n">
        <v>7.806</v>
      </c>
      <c r="C172" t="n">
        <v>2.0877</v>
      </c>
    </row>
    <row r="173">
      <c r="A173" s="926" t="n">
        <v>32714</v>
      </c>
      <c r="B173" t="n">
        <v>7.805</v>
      </c>
      <c r="C173" t="n">
        <v>2.0877</v>
      </c>
    </row>
    <row r="174">
      <c r="A174" s="926" t="n">
        <v>32715</v>
      </c>
      <c r="B174" t="n">
        <v>7.805</v>
      </c>
      <c r="C174" t="n">
        <v>2.0877</v>
      </c>
    </row>
    <row r="175">
      <c r="A175" s="926" t="n">
        <v>32716</v>
      </c>
      <c r="B175" t="n">
        <v>7.805</v>
      </c>
      <c r="C175" t="n">
        <v>2.0877</v>
      </c>
    </row>
    <row r="176">
      <c r="A176" s="926" t="n">
        <v>32717</v>
      </c>
      <c r="B176" t="n">
        <v>7.805</v>
      </c>
      <c r="C176" t="n">
        <v>2.0877</v>
      </c>
    </row>
    <row r="177">
      <c r="A177" s="926" t="n">
        <v>32718</v>
      </c>
      <c r="B177" t="n">
        <v>7.805</v>
      </c>
      <c r="C177" t="n">
        <v>2.0877</v>
      </c>
    </row>
    <row r="178">
      <c r="A178" s="926" t="n">
        <v>32720</v>
      </c>
      <c r="B178" t="n">
        <v>7.805</v>
      </c>
      <c r="C178" t="n">
        <v>2.0877</v>
      </c>
    </row>
    <row r="179">
      <c r="A179" s="926" t="n">
        <v>32721</v>
      </c>
      <c r="B179" t="n">
        <v>7.805</v>
      </c>
      <c r="C179" t="n">
        <v>2.0877</v>
      </c>
    </row>
    <row r="180">
      <c r="A180" s="926" t="n">
        <v>32722</v>
      </c>
      <c r="B180" t="n">
        <v>7.805</v>
      </c>
      <c r="C180" t="n">
        <v>2.0877</v>
      </c>
    </row>
    <row r="181">
      <c r="A181" s="926" t="n">
        <v>32723</v>
      </c>
      <c r="B181" t="n">
        <v>7.805</v>
      </c>
      <c r="C181" t="n">
        <v>2.0877</v>
      </c>
    </row>
    <row r="182">
      <c r="A182" s="926" t="n">
        <v>32724</v>
      </c>
      <c r="B182" t="n">
        <v>7.805</v>
      </c>
      <c r="C182" t="n">
        <v>2.0877</v>
      </c>
    </row>
    <row r="183">
      <c r="A183" s="926" t="n">
        <v>32725</v>
      </c>
      <c r="B183" t="n">
        <v>7.805</v>
      </c>
      <c r="C183" t="n">
        <v>2.0877</v>
      </c>
    </row>
    <row r="184">
      <c r="A184" s="926" t="n">
        <v>32727</v>
      </c>
      <c r="B184" t="n">
        <v>7.805</v>
      </c>
      <c r="C184" t="n">
        <v>2.0877</v>
      </c>
    </row>
    <row r="185">
      <c r="A185" s="926" t="n">
        <v>32728</v>
      </c>
      <c r="B185" t="n">
        <v>7.805</v>
      </c>
      <c r="C185" t="n">
        <v>2.0877</v>
      </c>
    </row>
    <row r="186">
      <c r="A186" s="926" t="n">
        <v>32729</v>
      </c>
      <c r="B186" t="n">
        <v>7.805</v>
      </c>
      <c r="C186" t="n">
        <v>2.0877</v>
      </c>
    </row>
    <row r="187">
      <c r="A187" s="926" t="n">
        <v>32730</v>
      </c>
      <c r="B187" t="n">
        <v>7.805</v>
      </c>
      <c r="C187" t="n">
        <v>2.0877</v>
      </c>
    </row>
    <row r="188">
      <c r="A188" s="926" t="n">
        <v>32731</v>
      </c>
      <c r="B188" t="n">
        <v>7.805</v>
      </c>
      <c r="C188" t="n">
        <v>2.0877</v>
      </c>
    </row>
    <row r="189">
      <c r="A189" s="926" t="n">
        <v>32732</v>
      </c>
      <c r="B189" t="n">
        <v>7.804</v>
      </c>
      <c r="C189" t="n">
        <v>2.0877</v>
      </c>
    </row>
    <row r="190">
      <c r="A190" s="926" t="n">
        <v>32734</v>
      </c>
      <c r="B190" t="n">
        <v>7.805</v>
      </c>
      <c r="C190" t="n">
        <v>2.0877</v>
      </c>
    </row>
    <row r="191">
      <c r="A191" s="926" t="n">
        <v>32735</v>
      </c>
      <c r="B191" t="n">
        <v>7.807</v>
      </c>
      <c r="C191" t="n">
        <v>2.0877</v>
      </c>
    </row>
    <row r="192">
      <c r="A192" s="926" t="n">
        <v>32736</v>
      </c>
      <c r="B192" t="n">
        <v>7.807</v>
      </c>
      <c r="C192" t="n">
        <v>2.0877</v>
      </c>
    </row>
    <row r="193">
      <c r="A193" s="926" t="n">
        <v>32737</v>
      </c>
      <c r="B193" t="n">
        <v>7.806</v>
      </c>
      <c r="C193" t="n">
        <v>2.0877</v>
      </c>
    </row>
    <row r="194">
      <c r="A194" s="926" t="n">
        <v>32738</v>
      </c>
      <c r="B194" t="n">
        <v>7.807</v>
      </c>
      <c r="C194" t="n">
        <v>2.0877</v>
      </c>
    </row>
    <row r="195">
      <c r="A195" s="926" t="n">
        <v>32739</v>
      </c>
      <c r="B195" t="n">
        <v>7.808</v>
      </c>
      <c r="C195" t="n">
        <v>2.0877</v>
      </c>
    </row>
    <row r="196">
      <c r="A196" s="926" t="n">
        <v>32741</v>
      </c>
      <c r="B196" t="n">
        <v>7.806</v>
      </c>
      <c r="C196" t="n">
        <v>2.0877</v>
      </c>
    </row>
    <row r="197">
      <c r="A197" s="926" t="n">
        <v>32742</v>
      </c>
      <c r="B197" t="n">
        <v>7.806</v>
      </c>
      <c r="C197" t="n">
        <v>2.0877</v>
      </c>
    </row>
    <row r="198">
      <c r="A198" s="926" t="n">
        <v>32743</v>
      </c>
      <c r="B198" t="n">
        <v>7.806</v>
      </c>
      <c r="C198" t="n">
        <v>2.0877</v>
      </c>
    </row>
    <row r="199">
      <c r="A199" s="926" t="n">
        <v>32744</v>
      </c>
      <c r="B199" t="n">
        <v>7.806</v>
      </c>
      <c r="C199" t="n">
        <v>2.0877</v>
      </c>
    </row>
    <row r="200">
      <c r="A200" s="926" t="n">
        <v>32745</v>
      </c>
      <c r="B200" t="n">
        <v>7.808</v>
      </c>
      <c r="C200" t="n">
        <v>2.0877</v>
      </c>
    </row>
    <row r="201">
      <c r="A201" s="926" t="n">
        <v>32749</v>
      </c>
      <c r="B201" t="n">
        <v>7.808</v>
      </c>
      <c r="C201" t="n">
        <v>2.0877</v>
      </c>
    </row>
    <row r="202">
      <c r="A202" s="926" t="n">
        <v>32750</v>
      </c>
      <c r="B202" t="n">
        <v>7.809</v>
      </c>
      <c r="C202" t="n">
        <v>2.0877</v>
      </c>
    </row>
    <row r="203">
      <c r="A203" s="926" t="n">
        <v>32751</v>
      </c>
      <c r="B203" t="n">
        <v>7.808</v>
      </c>
      <c r="C203" t="n">
        <v>2.0984</v>
      </c>
    </row>
    <row r="204">
      <c r="A204" s="926" t="n">
        <v>32752</v>
      </c>
      <c r="B204" t="n">
        <v>7.809</v>
      </c>
      <c r="C204" t="n">
        <v>2.0984</v>
      </c>
    </row>
    <row r="205">
      <c r="A205" s="926" t="n">
        <v>32753</v>
      </c>
      <c r="B205" t="n">
        <v>7.809</v>
      </c>
      <c r="C205" t="n">
        <v>2.0984</v>
      </c>
    </row>
    <row r="206">
      <c r="A206" s="926" t="n">
        <v>32755</v>
      </c>
      <c r="B206" t="n">
        <v>7.809</v>
      </c>
      <c r="C206" t="n">
        <v>2.0984</v>
      </c>
    </row>
    <row r="207">
      <c r="A207" s="926" t="n">
        <v>32756</v>
      </c>
      <c r="B207" t="n">
        <v>7.809</v>
      </c>
      <c r="C207" t="n">
        <v>2.0984</v>
      </c>
    </row>
    <row r="208">
      <c r="A208" s="926" t="n">
        <v>32757</v>
      </c>
      <c r="B208" t="n">
        <v>7.81</v>
      </c>
      <c r="C208" t="n">
        <v>2.0984</v>
      </c>
    </row>
    <row r="209">
      <c r="A209" s="926" t="n">
        <v>32758</v>
      </c>
      <c r="B209" t="n">
        <v>7.81</v>
      </c>
      <c r="C209" t="n">
        <v>2.0984</v>
      </c>
    </row>
    <row r="210">
      <c r="A210" s="926" t="n">
        <v>32759</v>
      </c>
      <c r="B210" t="n">
        <v>7.808</v>
      </c>
      <c r="C210" t="n">
        <v>2.0984</v>
      </c>
    </row>
    <row r="211">
      <c r="A211" s="926" t="n">
        <v>32760</v>
      </c>
      <c r="B211" t="n">
        <v>7.808</v>
      </c>
      <c r="C211" t="n">
        <v>2.0984</v>
      </c>
    </row>
    <row r="212">
      <c r="A212" s="926" t="n">
        <v>32762</v>
      </c>
      <c r="B212" t="n">
        <v>7.808</v>
      </c>
      <c r="C212" t="n">
        <v>2.0984</v>
      </c>
    </row>
    <row r="213">
      <c r="A213" s="926" t="n">
        <v>32763</v>
      </c>
      <c r="B213" t="n">
        <v>7.809</v>
      </c>
      <c r="C213" t="n">
        <v>2.0984</v>
      </c>
    </row>
    <row r="214">
      <c r="A214" s="926" t="n">
        <v>32764</v>
      </c>
      <c r="B214" t="n">
        <v>7.808</v>
      </c>
      <c r="C214" t="n">
        <v>2.0984</v>
      </c>
    </row>
    <row r="215">
      <c r="A215" s="926" t="n">
        <v>32765</v>
      </c>
      <c r="B215" t="n">
        <v>7.809</v>
      </c>
      <c r="C215" t="n">
        <v>2.0984</v>
      </c>
    </row>
    <row r="216">
      <c r="A216" s="926" t="n">
        <v>32767</v>
      </c>
      <c r="B216" t="n">
        <v>7.808</v>
      </c>
      <c r="C216" t="n">
        <v>2.0984</v>
      </c>
    </row>
    <row r="217">
      <c r="A217" s="926" t="n">
        <v>32769</v>
      </c>
      <c r="B217" t="n">
        <v>7.808</v>
      </c>
      <c r="C217" t="n">
        <v>2.0984</v>
      </c>
    </row>
    <row r="218">
      <c r="A218" s="926" t="n">
        <v>32770</v>
      </c>
      <c r="B218" t="n">
        <v>7.808</v>
      </c>
      <c r="C218" t="n">
        <v>2.0984</v>
      </c>
    </row>
    <row r="219">
      <c r="A219" s="926" t="n">
        <v>32771</v>
      </c>
      <c r="B219" t="n">
        <v>7.806</v>
      </c>
      <c r="C219" t="n">
        <v>2.0984</v>
      </c>
    </row>
    <row r="220">
      <c r="A220" s="926" t="n">
        <v>32772</v>
      </c>
      <c r="B220" t="n">
        <v>7.806</v>
      </c>
      <c r="C220" t="n">
        <v>2.0984</v>
      </c>
    </row>
    <row r="221">
      <c r="A221" s="926" t="n">
        <v>32773</v>
      </c>
      <c r="B221" t="n">
        <v>7.805</v>
      </c>
      <c r="C221" t="n">
        <v>2.0984</v>
      </c>
    </row>
    <row r="222">
      <c r="A222" s="926" t="n">
        <v>32774</v>
      </c>
      <c r="B222" t="n">
        <v>7.803</v>
      </c>
      <c r="C222" t="n">
        <v>2.0984</v>
      </c>
    </row>
    <row r="223">
      <c r="A223" s="926" t="n">
        <v>32776</v>
      </c>
      <c r="B223" t="n">
        <v>7.803</v>
      </c>
      <c r="C223" t="n">
        <v>2.0984</v>
      </c>
    </row>
    <row r="224">
      <c r="A224" s="926" t="n">
        <v>32777</v>
      </c>
      <c r="B224" t="n">
        <v>7.802</v>
      </c>
      <c r="C224" t="n">
        <v>2.0984</v>
      </c>
    </row>
    <row r="225">
      <c r="A225" s="926" t="n">
        <v>32778</v>
      </c>
      <c r="B225" t="n">
        <v>7.802</v>
      </c>
      <c r="C225" t="n">
        <v>2.0984</v>
      </c>
    </row>
    <row r="226">
      <c r="A226" s="926" t="n">
        <v>32779</v>
      </c>
      <c r="B226" t="n">
        <v>7.802</v>
      </c>
      <c r="C226" t="n">
        <v>2.0984</v>
      </c>
    </row>
    <row r="227">
      <c r="A227" s="926" t="n">
        <v>32780</v>
      </c>
      <c r="B227" t="n">
        <v>7.802</v>
      </c>
      <c r="C227" t="n">
        <v>2.0984</v>
      </c>
    </row>
    <row r="228">
      <c r="A228" s="926" t="n">
        <v>32781</v>
      </c>
      <c r="B228" t="n">
        <v>7.8</v>
      </c>
      <c r="C228" t="n">
        <v>2.0984</v>
      </c>
    </row>
    <row r="229">
      <c r="A229" s="926" t="n">
        <v>32783</v>
      </c>
      <c r="B229" t="n">
        <v>7.801</v>
      </c>
      <c r="C229" t="n">
        <v>2.0984</v>
      </c>
    </row>
    <row r="230">
      <c r="A230" s="926" t="n">
        <v>32784</v>
      </c>
      <c r="B230" t="n">
        <v>7.801</v>
      </c>
      <c r="C230" t="n">
        <v>2.0984</v>
      </c>
    </row>
    <row r="231">
      <c r="A231" s="926" t="n">
        <v>32785</v>
      </c>
      <c r="B231" t="n">
        <v>7.8</v>
      </c>
      <c r="C231" t="n">
        <v>2.0984</v>
      </c>
    </row>
    <row r="232">
      <c r="A232" s="926" t="n">
        <v>32786</v>
      </c>
      <c r="B232" t="n">
        <v>7.805</v>
      </c>
      <c r="C232" t="n">
        <v>2.0984</v>
      </c>
    </row>
    <row r="233">
      <c r="A233" s="926" t="n">
        <v>32787</v>
      </c>
      <c r="B233" t="n">
        <v>7.805</v>
      </c>
      <c r="C233" t="n">
        <v>2.0984</v>
      </c>
    </row>
    <row r="234">
      <c r="A234" s="926" t="n">
        <v>32788</v>
      </c>
      <c r="B234" t="n">
        <v>7.803</v>
      </c>
      <c r="C234" t="n">
        <v>2.0984</v>
      </c>
    </row>
    <row r="235">
      <c r="A235" s="926" t="n">
        <v>32791</v>
      </c>
      <c r="B235" t="n">
        <v>7.808</v>
      </c>
      <c r="C235" t="n">
        <v>2.0984</v>
      </c>
    </row>
    <row r="236">
      <c r="A236" s="926" t="n">
        <v>32792</v>
      </c>
      <c r="B236" t="n">
        <v>7.807</v>
      </c>
      <c r="C236" t="n">
        <v>2.0984</v>
      </c>
    </row>
    <row r="237">
      <c r="A237" s="926" t="n">
        <v>32793</v>
      </c>
      <c r="B237" t="n">
        <v>7.808</v>
      </c>
      <c r="C237" t="n">
        <v>2.0984</v>
      </c>
    </row>
    <row r="238">
      <c r="A238" s="926" t="n">
        <v>32794</v>
      </c>
      <c r="B238" t="n">
        <v>7.81</v>
      </c>
      <c r="C238" t="n">
        <v>2.0984</v>
      </c>
    </row>
    <row r="239">
      <c r="A239" s="926" t="n">
        <v>32795</v>
      </c>
      <c r="B239" t="n">
        <v>7.81</v>
      </c>
      <c r="C239" t="n">
        <v>2.0984</v>
      </c>
    </row>
    <row r="240">
      <c r="A240" s="926" t="n">
        <v>32797</v>
      </c>
      <c r="B240" t="n">
        <v>7.812</v>
      </c>
      <c r="C240" t="n">
        <v>2.0984</v>
      </c>
    </row>
    <row r="241">
      <c r="A241" s="926" t="n">
        <v>32798</v>
      </c>
      <c r="B241" t="n">
        <v>7.81</v>
      </c>
      <c r="C241" t="n">
        <v>2.0984</v>
      </c>
    </row>
    <row r="242">
      <c r="A242" s="926" t="n">
        <v>32799</v>
      </c>
      <c r="B242" t="n">
        <v>7.81</v>
      </c>
      <c r="C242" t="n">
        <v>2.0984</v>
      </c>
    </row>
    <row r="243">
      <c r="A243" s="926" t="n">
        <v>32800</v>
      </c>
      <c r="B243" t="n">
        <v>7.81</v>
      </c>
      <c r="C243" t="n">
        <v>2.0984</v>
      </c>
    </row>
    <row r="244">
      <c r="A244" s="926" t="n">
        <v>32801</v>
      </c>
      <c r="B244" t="n">
        <v>7.811</v>
      </c>
      <c r="C244" t="n">
        <v>2.0984</v>
      </c>
    </row>
    <row r="245">
      <c r="A245" s="926" t="n">
        <v>32802</v>
      </c>
      <c r="B245" t="n">
        <v>7.81</v>
      </c>
      <c r="C245" t="n">
        <v>2.0984</v>
      </c>
    </row>
    <row r="246">
      <c r="A246" s="926" t="n">
        <v>32804</v>
      </c>
      <c r="B246" t="n">
        <v>7.81</v>
      </c>
      <c r="C246" t="n">
        <v>2.0984</v>
      </c>
    </row>
    <row r="247">
      <c r="A247" s="926" t="n">
        <v>32805</v>
      </c>
      <c r="B247" t="n">
        <v>7.807</v>
      </c>
      <c r="C247" t="n">
        <v>2.0984</v>
      </c>
    </row>
    <row r="248">
      <c r="A248" s="926" t="n">
        <v>32806</v>
      </c>
      <c r="B248" t="n">
        <v>7.807</v>
      </c>
      <c r="C248" t="n">
        <v>2.0984</v>
      </c>
    </row>
    <row r="249">
      <c r="A249" s="926" t="n">
        <v>32807</v>
      </c>
      <c r="B249" t="n">
        <v>7.808</v>
      </c>
      <c r="C249" t="n">
        <v>2.0984</v>
      </c>
    </row>
    <row r="250">
      <c r="A250" s="926" t="n">
        <v>32808</v>
      </c>
      <c r="B250" t="n">
        <v>7.811</v>
      </c>
      <c r="C250" t="n">
        <v>2.0984</v>
      </c>
    </row>
    <row r="251">
      <c r="A251" s="926" t="n">
        <v>32809</v>
      </c>
      <c r="B251" t="n">
        <v>7.811</v>
      </c>
      <c r="C251" t="n">
        <v>2.0984</v>
      </c>
    </row>
    <row r="252">
      <c r="A252" s="926" t="n">
        <v>32811</v>
      </c>
      <c r="B252" t="n">
        <v>7.809</v>
      </c>
      <c r="C252" t="n">
        <v>2.0984</v>
      </c>
    </row>
    <row r="253">
      <c r="A253" s="926" t="n">
        <v>32812</v>
      </c>
      <c r="B253" t="n">
        <v>7.808</v>
      </c>
      <c r="C253" t="n">
        <v>2.0984</v>
      </c>
    </row>
    <row r="254">
      <c r="A254" s="926" t="n">
        <v>32813</v>
      </c>
      <c r="B254" t="n">
        <v>7.812</v>
      </c>
      <c r="C254" t="n">
        <v>2.0984</v>
      </c>
    </row>
    <row r="255">
      <c r="A255" s="926" t="n">
        <v>32814</v>
      </c>
      <c r="B255" t="n">
        <v>7.814</v>
      </c>
      <c r="C255" t="n">
        <v>2.0984</v>
      </c>
    </row>
    <row r="256">
      <c r="A256" s="926" t="n">
        <v>32815</v>
      </c>
      <c r="B256" t="n">
        <v>7.814</v>
      </c>
      <c r="C256" t="n">
        <v>2.0984</v>
      </c>
    </row>
    <row r="257">
      <c r="A257" s="926" t="n">
        <v>32816</v>
      </c>
      <c r="B257" t="n">
        <v>7.811</v>
      </c>
      <c r="C257" t="n">
        <v>2.0984</v>
      </c>
    </row>
    <row r="258">
      <c r="A258" s="926" t="n">
        <v>32818</v>
      </c>
      <c r="B258" t="n">
        <v>7.814</v>
      </c>
      <c r="C258" t="n">
        <v>2.0984</v>
      </c>
    </row>
    <row r="259">
      <c r="A259" s="926" t="n">
        <v>32819</v>
      </c>
      <c r="B259" t="n">
        <v>7.814</v>
      </c>
      <c r="C259" t="n">
        <v>2.0984</v>
      </c>
    </row>
    <row r="260">
      <c r="A260" s="926" t="n">
        <v>32820</v>
      </c>
      <c r="B260" t="n">
        <v>7.814</v>
      </c>
      <c r="C260" t="n">
        <v>2.0984</v>
      </c>
    </row>
    <row r="261">
      <c r="A261" s="926" t="n">
        <v>32821</v>
      </c>
      <c r="B261" t="n">
        <v>7.813</v>
      </c>
      <c r="C261" t="n">
        <v>2.0984</v>
      </c>
    </row>
    <row r="262">
      <c r="A262" s="926" t="n">
        <v>32822</v>
      </c>
      <c r="B262" t="n">
        <v>7.812</v>
      </c>
      <c r="C262" t="n">
        <v>2.0984</v>
      </c>
    </row>
    <row r="263">
      <c r="A263" s="926" t="n">
        <v>32823</v>
      </c>
      <c r="B263" t="n">
        <v>7.813</v>
      </c>
      <c r="C263" t="n">
        <v>2.0984</v>
      </c>
    </row>
    <row r="264">
      <c r="A264" s="926" t="n">
        <v>32825</v>
      </c>
      <c r="B264" t="n">
        <v>7.814</v>
      </c>
      <c r="C264" t="n">
        <v>2.0984</v>
      </c>
    </row>
    <row r="265">
      <c r="A265" s="926" t="n">
        <v>32826</v>
      </c>
      <c r="B265" t="n">
        <v>7.814</v>
      </c>
      <c r="C265" t="n">
        <v>2.0984</v>
      </c>
    </row>
    <row r="266">
      <c r="A266" s="926" t="n">
        <v>32827</v>
      </c>
      <c r="B266" t="n">
        <v>7.814</v>
      </c>
      <c r="C266" t="n">
        <v>2.0984</v>
      </c>
    </row>
    <row r="267">
      <c r="A267" s="926" t="n">
        <v>32828</v>
      </c>
      <c r="B267" t="n">
        <v>7.814</v>
      </c>
      <c r="C267" t="n">
        <v>2.0984</v>
      </c>
    </row>
    <row r="268">
      <c r="A268" s="926" t="n">
        <v>32829</v>
      </c>
      <c r="B268" t="n">
        <v>7.814</v>
      </c>
      <c r="C268" t="n">
        <v>2.0984</v>
      </c>
    </row>
    <row r="269">
      <c r="A269" s="926" t="n">
        <v>32830</v>
      </c>
      <c r="B269" t="n">
        <v>7.813</v>
      </c>
      <c r="C269" t="n">
        <v>2.0984</v>
      </c>
    </row>
    <row r="270">
      <c r="A270" s="926" t="n">
        <v>32832</v>
      </c>
      <c r="B270" t="n">
        <v>7.814</v>
      </c>
      <c r="C270" t="n">
        <v>2.0984</v>
      </c>
    </row>
    <row r="271">
      <c r="A271" s="926" t="n">
        <v>32833</v>
      </c>
      <c r="B271" t="n">
        <v>7.814</v>
      </c>
      <c r="C271" t="n">
        <v>2.0984</v>
      </c>
    </row>
    <row r="272">
      <c r="A272" s="926" t="n">
        <v>32834</v>
      </c>
      <c r="B272" t="n">
        <v>7.814</v>
      </c>
      <c r="C272" t="n">
        <v>2.0984</v>
      </c>
    </row>
    <row r="273">
      <c r="A273" s="926" t="n">
        <v>32835</v>
      </c>
      <c r="B273" t="n">
        <v>7.813</v>
      </c>
      <c r="C273" t="n">
        <v>2.0984</v>
      </c>
    </row>
    <row r="274">
      <c r="A274" s="926" t="n">
        <v>32836</v>
      </c>
      <c r="B274" t="n">
        <v>7.812</v>
      </c>
      <c r="C274" t="n">
        <v>2.0984</v>
      </c>
    </row>
    <row r="275">
      <c r="A275" s="926" t="n">
        <v>32837</v>
      </c>
      <c r="B275" t="n">
        <v>7.811</v>
      </c>
      <c r="C275" t="n">
        <v>2.0984</v>
      </c>
    </row>
    <row r="276">
      <c r="A276" s="926" t="n">
        <v>32839</v>
      </c>
      <c r="B276" t="n">
        <v>7.811</v>
      </c>
      <c r="C276" t="n">
        <v>2.0984</v>
      </c>
    </row>
    <row r="277">
      <c r="A277" s="926" t="n">
        <v>32840</v>
      </c>
      <c r="B277" t="n">
        <v>7.812</v>
      </c>
      <c r="C277" t="n">
        <v>2.0984</v>
      </c>
    </row>
    <row r="278">
      <c r="A278" s="926" t="n">
        <v>32841</v>
      </c>
      <c r="B278" t="n">
        <v>7.814</v>
      </c>
      <c r="C278" t="n">
        <v>2.0984</v>
      </c>
    </row>
    <row r="279">
      <c r="A279" s="926" t="n">
        <v>32842</v>
      </c>
      <c r="B279" t="n">
        <v>7.814</v>
      </c>
      <c r="C279" t="n">
        <v>2.0984</v>
      </c>
    </row>
    <row r="280">
      <c r="A280" s="926" t="n">
        <v>32843</v>
      </c>
      <c r="B280" t="n">
        <v>7.815</v>
      </c>
      <c r="C280" t="n">
        <v>2.0984</v>
      </c>
    </row>
    <row r="281">
      <c r="A281" s="926" t="n">
        <v>32844</v>
      </c>
      <c r="B281" t="n">
        <v>7.815</v>
      </c>
      <c r="C281" t="n">
        <v>2.0984</v>
      </c>
    </row>
    <row r="282">
      <c r="A282" s="926" t="n">
        <v>32846</v>
      </c>
      <c r="B282" t="n">
        <v>7.814</v>
      </c>
      <c r="C282" t="n">
        <v>2.0984</v>
      </c>
    </row>
    <row r="283">
      <c r="A283" s="926" t="n">
        <v>32847</v>
      </c>
      <c r="B283" t="n">
        <v>7.812</v>
      </c>
      <c r="C283" t="n">
        <v>2.0984</v>
      </c>
    </row>
    <row r="284">
      <c r="A284" s="926" t="n">
        <v>32848</v>
      </c>
      <c r="B284" t="n">
        <v>7.813</v>
      </c>
      <c r="C284" t="n">
        <v>2.0984</v>
      </c>
    </row>
    <row r="285">
      <c r="A285" s="926" t="n">
        <v>32849</v>
      </c>
      <c r="B285" t="n">
        <v>7.813</v>
      </c>
      <c r="C285" t="n">
        <v>2.0984</v>
      </c>
    </row>
    <row r="286">
      <c r="A286" s="926" t="n">
        <v>32850</v>
      </c>
      <c r="B286" t="n">
        <v>7.813</v>
      </c>
      <c r="C286" t="n">
        <v>2.0984</v>
      </c>
    </row>
    <row r="287">
      <c r="A287" s="926" t="n">
        <v>32851</v>
      </c>
      <c r="B287" t="n">
        <v>7.813</v>
      </c>
      <c r="C287" t="n">
        <v>2.0984</v>
      </c>
    </row>
    <row r="288">
      <c r="A288" s="926" t="n">
        <v>32853</v>
      </c>
      <c r="B288" t="n">
        <v>7.811</v>
      </c>
      <c r="C288" t="n">
        <v>2.0984</v>
      </c>
    </row>
    <row r="289">
      <c r="A289" s="926" t="n">
        <v>32854</v>
      </c>
      <c r="B289" t="n">
        <v>7.81</v>
      </c>
      <c r="C289" t="n">
        <v>2.0984</v>
      </c>
    </row>
    <row r="290">
      <c r="A290" s="926" t="n">
        <v>32855</v>
      </c>
      <c r="B290" t="n">
        <v>7.805</v>
      </c>
      <c r="C290" t="n">
        <v>2.0984</v>
      </c>
    </row>
    <row r="291">
      <c r="A291" s="926" t="n">
        <v>32856</v>
      </c>
      <c r="B291" t="n">
        <v>7.805</v>
      </c>
      <c r="C291" t="n">
        <v>2.0984</v>
      </c>
    </row>
    <row r="292">
      <c r="A292" s="926" t="n">
        <v>32857</v>
      </c>
      <c r="B292" t="n">
        <v>7.808</v>
      </c>
      <c r="C292" t="n">
        <v>2.0984</v>
      </c>
    </row>
    <row r="293">
      <c r="A293" s="926" t="n">
        <v>32858</v>
      </c>
      <c r="B293" t="n">
        <v>7.807</v>
      </c>
      <c r="C293" t="n">
        <v>1.6534</v>
      </c>
    </row>
    <row r="294">
      <c r="A294" s="926" t="n">
        <v>32860</v>
      </c>
      <c r="B294" t="n">
        <v>7.808</v>
      </c>
      <c r="C294" t="n">
        <v>1.6534</v>
      </c>
    </row>
    <row r="295">
      <c r="A295" s="926" t="n">
        <v>32861</v>
      </c>
      <c r="B295" t="n">
        <v>7.806</v>
      </c>
      <c r="C295" t="n">
        <v>1.6534</v>
      </c>
    </row>
    <row r="296">
      <c r="A296" s="926" t="n">
        <v>32862</v>
      </c>
      <c r="B296" t="n">
        <v>7.806</v>
      </c>
      <c r="C296" t="n">
        <v>1.6534</v>
      </c>
    </row>
    <row r="297">
      <c r="A297" s="926" t="n">
        <v>32863</v>
      </c>
      <c r="B297" t="n">
        <v>7.809</v>
      </c>
      <c r="C297" t="n">
        <v>1.6534</v>
      </c>
    </row>
    <row r="298">
      <c r="A298" s="926" t="n">
        <v>32864</v>
      </c>
      <c r="B298" t="n">
        <v>7.809</v>
      </c>
      <c r="C298" t="n">
        <v>1.6534</v>
      </c>
    </row>
    <row r="299">
      <c r="A299" s="926" t="n">
        <v>32865</v>
      </c>
      <c r="B299" t="n">
        <v>7.808</v>
      </c>
      <c r="C299" t="n">
        <v>1.6534</v>
      </c>
    </row>
    <row r="300">
      <c r="A300" s="926" t="n">
        <v>32869</v>
      </c>
      <c r="B300" t="n">
        <v>7.809</v>
      </c>
      <c r="C300" t="n">
        <v>1.6534</v>
      </c>
    </row>
    <row r="301">
      <c r="A301" s="926" t="n">
        <v>32870</v>
      </c>
      <c r="B301" t="n">
        <v>7.81</v>
      </c>
      <c r="C301" t="n">
        <v>1.6534</v>
      </c>
    </row>
    <row r="302">
      <c r="A302" s="926" t="n">
        <v>32871</v>
      </c>
      <c r="B302" t="n">
        <v>7.808</v>
      </c>
      <c r="C302" t="n">
        <v>1.6534</v>
      </c>
    </row>
    <row r="303">
      <c r="A303" s="926" t="n">
        <v>32872</v>
      </c>
      <c r="B303" t="n">
        <v>7.807</v>
      </c>
      <c r="C303" t="n">
        <v>1.6534</v>
      </c>
    </row>
    <row r="304">
      <c r="A304" s="926" t="n">
        <v>32875</v>
      </c>
      <c r="B304" t="n">
        <v>7.81</v>
      </c>
      <c r="C304" t="n">
        <v>1.6534</v>
      </c>
    </row>
    <row r="305">
      <c r="A305" s="926" t="n">
        <v>32876</v>
      </c>
      <c r="B305" t="n">
        <v>7.813</v>
      </c>
      <c r="C305" t="n">
        <v>1.6534</v>
      </c>
    </row>
    <row r="306">
      <c r="A306" s="926" t="n">
        <v>32877</v>
      </c>
      <c r="B306" t="n">
        <v>7.815</v>
      </c>
      <c r="C306" t="n">
        <v>1.6534</v>
      </c>
    </row>
    <row r="307">
      <c r="A307" s="926" t="n">
        <v>32878</v>
      </c>
      <c r="B307" t="n">
        <v>7.812</v>
      </c>
      <c r="C307" t="n">
        <v>1.6534</v>
      </c>
    </row>
    <row r="308">
      <c r="A308" s="926" t="n">
        <v>32879</v>
      </c>
      <c r="B308" t="n">
        <v>7.812</v>
      </c>
      <c r="C308" t="n">
        <v>1.6534</v>
      </c>
    </row>
    <row r="309">
      <c r="A309" s="926" t="n">
        <v>32881</v>
      </c>
      <c r="B309" t="n">
        <v>7.813</v>
      </c>
      <c r="C309" t="n">
        <v>1.6534</v>
      </c>
    </row>
    <row r="310">
      <c r="A310" s="926" t="n">
        <v>32882</v>
      </c>
      <c r="B310" t="n">
        <v>7.812</v>
      </c>
      <c r="C310" t="n">
        <v>1.6534</v>
      </c>
    </row>
    <row r="311">
      <c r="A311" s="926" t="n">
        <v>32883</v>
      </c>
      <c r="B311" t="n">
        <v>7.807</v>
      </c>
      <c r="C311" t="n">
        <v>1.6534</v>
      </c>
    </row>
    <row r="312">
      <c r="A312" s="926" t="n">
        <v>32884</v>
      </c>
      <c r="B312" t="n">
        <v>7.807</v>
      </c>
      <c r="C312" t="n">
        <v>1.6534</v>
      </c>
    </row>
    <row r="313">
      <c r="A313" s="926" t="n">
        <v>32885</v>
      </c>
      <c r="B313" t="n">
        <v>7.808</v>
      </c>
      <c r="C313" t="n">
        <v>1.6534</v>
      </c>
    </row>
    <row r="314">
      <c r="A314" s="926" t="n">
        <v>32886</v>
      </c>
      <c r="B314" t="n">
        <v>7.808</v>
      </c>
      <c r="C314" t="n">
        <v>1.6534</v>
      </c>
    </row>
    <row r="315">
      <c r="A315" s="926" t="n">
        <v>32888</v>
      </c>
      <c r="B315" t="n">
        <v>7.809</v>
      </c>
      <c r="C315" t="n">
        <v>1.6534</v>
      </c>
    </row>
    <row r="316">
      <c r="A316" s="926" t="n">
        <v>32889</v>
      </c>
      <c r="B316" t="n">
        <v>7.809</v>
      </c>
      <c r="C316" t="n">
        <v>1.6534</v>
      </c>
    </row>
    <row r="317">
      <c r="A317" s="926" t="n">
        <v>32890</v>
      </c>
      <c r="B317" t="n">
        <v>7.808</v>
      </c>
      <c r="C317" t="n">
        <v>1.6534</v>
      </c>
    </row>
    <row r="318">
      <c r="A318" s="926" t="n">
        <v>32891</v>
      </c>
      <c r="B318" t="n">
        <v>7.81</v>
      </c>
      <c r="C318" t="n">
        <v>1.6534</v>
      </c>
    </row>
    <row r="319">
      <c r="A319" s="926" t="n">
        <v>32892</v>
      </c>
      <c r="B319" t="n">
        <v>7.81</v>
      </c>
      <c r="C319" t="n">
        <v>1.6534</v>
      </c>
    </row>
    <row r="320">
      <c r="A320" s="926" t="n">
        <v>32893</v>
      </c>
      <c r="B320" t="n">
        <v>7.81</v>
      </c>
      <c r="C320" t="n">
        <v>1.6534</v>
      </c>
    </row>
    <row r="321">
      <c r="A321" s="926" t="n">
        <v>32895</v>
      </c>
      <c r="B321" t="n">
        <v>7.811</v>
      </c>
      <c r="C321" t="n">
        <v>1.6534</v>
      </c>
    </row>
    <row r="322">
      <c r="A322" s="926" t="n">
        <v>32896</v>
      </c>
      <c r="B322" t="n">
        <v>7.81</v>
      </c>
      <c r="C322" t="n">
        <v>1.6534</v>
      </c>
    </row>
    <row r="323">
      <c r="A323" s="926" t="n">
        <v>32897</v>
      </c>
      <c r="B323" t="n">
        <v>7.812</v>
      </c>
      <c r="C323" t="n">
        <v>1.6534</v>
      </c>
    </row>
    <row r="324">
      <c r="A324" s="926" t="n">
        <v>32898</v>
      </c>
      <c r="B324" t="n">
        <v>7.813</v>
      </c>
      <c r="C324" t="n">
        <v>1.6534</v>
      </c>
    </row>
    <row r="325">
      <c r="A325" s="926" t="n">
        <v>32903</v>
      </c>
      <c r="B325" t="n">
        <v>7.812</v>
      </c>
      <c r="C325" t="n">
        <v>1.6534</v>
      </c>
    </row>
    <row r="326">
      <c r="A326" s="926" t="n">
        <v>32904</v>
      </c>
      <c r="B326" t="n">
        <v>7.811</v>
      </c>
      <c r="C326" t="n">
        <v>1.6534</v>
      </c>
    </row>
    <row r="327">
      <c r="A327" s="926" t="n">
        <v>32905</v>
      </c>
      <c r="B327" t="n">
        <v>7.812</v>
      </c>
      <c r="C327" t="n">
        <v>1.6534</v>
      </c>
    </row>
    <row r="328">
      <c r="A328" s="926" t="n">
        <v>32906</v>
      </c>
      <c r="B328" t="n">
        <v>7.812</v>
      </c>
      <c r="C328" t="n">
        <v>1.6534</v>
      </c>
    </row>
    <row r="329">
      <c r="A329" s="926" t="n">
        <v>32907</v>
      </c>
      <c r="B329" t="n">
        <v>7.811</v>
      </c>
      <c r="C329" t="n">
        <v>1.6534</v>
      </c>
    </row>
    <row r="330">
      <c r="A330" s="926" t="n">
        <v>32909</v>
      </c>
      <c r="B330" t="n">
        <v>7.81</v>
      </c>
      <c r="C330" t="n">
        <v>1.6534</v>
      </c>
    </row>
    <row r="331">
      <c r="A331" s="926" t="n">
        <v>32910</v>
      </c>
      <c r="B331" t="n">
        <v>7.81</v>
      </c>
      <c r="C331" t="n">
        <v>1.6534</v>
      </c>
    </row>
    <row r="332">
      <c r="A332" s="926" t="n">
        <v>32911</v>
      </c>
      <c r="B332" t="n">
        <v>7.811</v>
      </c>
      <c r="C332" t="n">
        <v>1.6534</v>
      </c>
    </row>
    <row r="333">
      <c r="A333" s="926" t="n">
        <v>32912</v>
      </c>
      <c r="B333" t="n">
        <v>7.811</v>
      </c>
      <c r="C333" t="n">
        <v>1.6534</v>
      </c>
    </row>
    <row r="334">
      <c r="A334" s="926" t="n">
        <v>32913</v>
      </c>
      <c r="B334" t="n">
        <v>7.812</v>
      </c>
      <c r="C334" t="n">
        <v>1.6534</v>
      </c>
    </row>
    <row r="335">
      <c r="A335" s="926" t="n">
        <v>32914</v>
      </c>
      <c r="B335" t="n">
        <v>7.811</v>
      </c>
      <c r="C335" t="n">
        <v>1.6534</v>
      </c>
    </row>
    <row r="336">
      <c r="A336" s="926" t="n">
        <v>32916</v>
      </c>
      <c r="B336" t="n">
        <v>7.811</v>
      </c>
      <c r="C336" t="n">
        <v>1.6534</v>
      </c>
    </row>
    <row r="337">
      <c r="A337" s="926" t="n">
        <v>32917</v>
      </c>
      <c r="B337" t="n">
        <v>7.811</v>
      </c>
      <c r="C337" t="n">
        <v>1.6534</v>
      </c>
    </row>
    <row r="338">
      <c r="A338" s="926" t="n">
        <v>32918</v>
      </c>
      <c r="B338" t="n">
        <v>7.81</v>
      </c>
      <c r="C338" t="n">
        <v>1.6534</v>
      </c>
    </row>
    <row r="339">
      <c r="A339" s="926" t="n">
        <v>32919</v>
      </c>
      <c r="B339" t="n">
        <v>7.809</v>
      </c>
      <c r="C339" t="n">
        <v>1.6534</v>
      </c>
    </row>
    <row r="340">
      <c r="A340" s="926" t="n">
        <v>32920</v>
      </c>
      <c r="B340" t="n">
        <v>7.809</v>
      </c>
      <c r="C340" t="n">
        <v>1.6534</v>
      </c>
    </row>
    <row r="341">
      <c r="A341" s="926" t="n">
        <v>32921</v>
      </c>
      <c r="B341" t="n">
        <v>7.809</v>
      </c>
      <c r="C341" t="n">
        <v>1.6534</v>
      </c>
    </row>
    <row r="342">
      <c r="A342" s="926" t="n">
        <v>32923</v>
      </c>
      <c r="B342" t="n">
        <v>7.809</v>
      </c>
      <c r="C342" t="n">
        <v>1.6534</v>
      </c>
    </row>
    <row r="343">
      <c r="A343" s="926" t="n">
        <v>32924</v>
      </c>
      <c r="B343" t="n">
        <v>7.809</v>
      </c>
      <c r="C343" t="n">
        <v>1.6534</v>
      </c>
    </row>
    <row r="344">
      <c r="A344" s="926" t="n">
        <v>32925</v>
      </c>
      <c r="B344" t="n">
        <v>7.809</v>
      </c>
      <c r="C344" t="n">
        <v>1.6534</v>
      </c>
    </row>
    <row r="345">
      <c r="A345" s="926" t="n">
        <v>32926</v>
      </c>
      <c r="B345" t="n">
        <v>7.808</v>
      </c>
      <c r="C345" t="n">
        <v>1.6534</v>
      </c>
    </row>
    <row r="346">
      <c r="A346" s="926" t="n">
        <v>32927</v>
      </c>
      <c r="B346" t="n">
        <v>7.809</v>
      </c>
      <c r="C346" t="n">
        <v>1.6534</v>
      </c>
    </row>
    <row r="347">
      <c r="A347" s="926" t="n">
        <v>32928</v>
      </c>
      <c r="B347" t="n">
        <v>7.809</v>
      </c>
      <c r="C347" t="n">
        <v>1.6534</v>
      </c>
    </row>
    <row r="348">
      <c r="A348" s="926" t="n">
        <v>32930</v>
      </c>
      <c r="B348" t="n">
        <v>7.81</v>
      </c>
      <c r="C348" t="n">
        <v>1.6534</v>
      </c>
    </row>
    <row r="349">
      <c r="A349" s="926" t="n">
        <v>32931</v>
      </c>
      <c r="B349" t="n">
        <v>7.809</v>
      </c>
      <c r="C349" t="n">
        <v>1.6534</v>
      </c>
    </row>
    <row r="350">
      <c r="A350" s="926" t="n">
        <v>32932</v>
      </c>
      <c r="B350" t="n">
        <v>7.809</v>
      </c>
      <c r="C350" t="n">
        <v>1.6534</v>
      </c>
    </row>
    <row r="351">
      <c r="A351" s="926" t="n">
        <v>32933</v>
      </c>
      <c r="B351" t="n">
        <v>7.809</v>
      </c>
      <c r="C351" t="n">
        <v>1.6534</v>
      </c>
    </row>
    <row r="352">
      <c r="A352" s="926" t="n">
        <v>32934</v>
      </c>
      <c r="B352" t="n">
        <v>7.809</v>
      </c>
      <c r="C352" t="n">
        <v>1.6534</v>
      </c>
    </row>
    <row r="353">
      <c r="A353" s="926" t="n">
        <v>32935</v>
      </c>
      <c r="B353" t="n">
        <v>7.81</v>
      </c>
      <c r="C353" t="n">
        <v>1.6534</v>
      </c>
    </row>
    <row r="354">
      <c r="A354" s="926" t="n">
        <v>32937</v>
      </c>
      <c r="B354" t="n">
        <v>7.81</v>
      </c>
      <c r="C354" t="n">
        <v>1.6534</v>
      </c>
    </row>
    <row r="355">
      <c r="A355" s="926" t="n">
        <v>32938</v>
      </c>
      <c r="B355" t="n">
        <v>7.811</v>
      </c>
      <c r="C355" t="n">
        <v>1.6534</v>
      </c>
    </row>
    <row r="356">
      <c r="A356" s="926" t="n">
        <v>32939</v>
      </c>
      <c r="B356" t="n">
        <v>7.811</v>
      </c>
      <c r="C356" t="n">
        <v>1.6534</v>
      </c>
    </row>
    <row r="357">
      <c r="A357" s="926" t="n">
        <v>32940</v>
      </c>
      <c r="B357" t="n">
        <v>7.811</v>
      </c>
      <c r="C357" t="n">
        <v>1.6534</v>
      </c>
    </row>
    <row r="358">
      <c r="A358" s="926" t="n">
        <v>32941</v>
      </c>
      <c r="B358" t="n">
        <v>7.813</v>
      </c>
      <c r="C358" t="n">
        <v>1.6534</v>
      </c>
    </row>
    <row r="359">
      <c r="A359" s="926" t="n">
        <v>32942</v>
      </c>
      <c r="B359" t="n">
        <v>7.813</v>
      </c>
      <c r="C359" t="n">
        <v>1.6534</v>
      </c>
    </row>
    <row r="360">
      <c r="A360" s="926" t="n">
        <v>32944</v>
      </c>
      <c r="B360" t="n">
        <v>7.814</v>
      </c>
      <c r="C360" t="n">
        <v>1.6534</v>
      </c>
    </row>
    <row r="361">
      <c r="A361" s="926" t="n">
        <v>32945</v>
      </c>
      <c r="B361" t="n">
        <v>7.812</v>
      </c>
      <c r="C361" t="n">
        <v>1.6534</v>
      </c>
    </row>
    <row r="362">
      <c r="A362" s="926" t="n">
        <v>32946</v>
      </c>
      <c r="B362" t="n">
        <v>7.811</v>
      </c>
      <c r="C362" t="n">
        <v>1.6534</v>
      </c>
    </row>
    <row r="363">
      <c r="A363" s="926" t="n">
        <v>32947</v>
      </c>
      <c r="B363" t="n">
        <v>7.812</v>
      </c>
      <c r="C363" t="n">
        <v>1.6534</v>
      </c>
    </row>
    <row r="364">
      <c r="A364" s="926" t="n">
        <v>32948</v>
      </c>
      <c r="B364" t="n">
        <v>7.812</v>
      </c>
      <c r="C364" t="n">
        <v>1.6534</v>
      </c>
    </row>
    <row r="365">
      <c r="A365" s="926" t="n">
        <v>32949</v>
      </c>
      <c r="B365" t="n">
        <v>7.812</v>
      </c>
      <c r="C365" t="n">
        <v>1.6534</v>
      </c>
    </row>
    <row r="366">
      <c r="A366" s="926" t="n">
        <v>32951</v>
      </c>
      <c r="B366" t="n">
        <v>7.812</v>
      </c>
      <c r="C366" t="n">
        <v>1.6534</v>
      </c>
    </row>
    <row r="367">
      <c r="A367" s="926" t="n">
        <v>32952</v>
      </c>
      <c r="B367" t="n">
        <v>7.814</v>
      </c>
      <c r="C367" t="n">
        <v>1.6534</v>
      </c>
    </row>
    <row r="368">
      <c r="A368" s="926" t="n">
        <v>32953</v>
      </c>
      <c r="B368" t="n">
        <v>7.813</v>
      </c>
      <c r="C368" t="n">
        <v>1.6534</v>
      </c>
    </row>
    <row r="369">
      <c r="A369" s="926" t="n">
        <v>32954</v>
      </c>
      <c r="B369" t="n">
        <v>7.813</v>
      </c>
      <c r="C369" t="n">
        <v>1.6534</v>
      </c>
    </row>
    <row r="370">
      <c r="A370" s="926" t="n">
        <v>32955</v>
      </c>
      <c r="B370" t="n">
        <v>7.814</v>
      </c>
      <c r="C370" t="n">
        <v>1.6534</v>
      </c>
    </row>
    <row r="371">
      <c r="A371" s="926" t="n">
        <v>32956</v>
      </c>
      <c r="B371" t="n">
        <v>7.814</v>
      </c>
      <c r="C371" t="n">
        <v>1.6534</v>
      </c>
    </row>
    <row r="372">
      <c r="A372" s="926" t="n">
        <v>32958</v>
      </c>
      <c r="B372" t="n">
        <v>7.814</v>
      </c>
      <c r="C372" t="n">
        <v>1.6534</v>
      </c>
    </row>
    <row r="373">
      <c r="A373" s="926" t="n">
        <v>32959</v>
      </c>
      <c r="B373" t="n">
        <v>7.814</v>
      </c>
      <c r="C373" t="n">
        <v>1.6534</v>
      </c>
    </row>
    <row r="374">
      <c r="A374" s="926" t="n">
        <v>32960</v>
      </c>
      <c r="B374" t="n">
        <v>7.816</v>
      </c>
      <c r="C374" t="n">
        <v>1.6534</v>
      </c>
    </row>
    <row r="375">
      <c r="A375" s="926" t="n">
        <v>32961</v>
      </c>
      <c r="B375" t="n">
        <v>7.813</v>
      </c>
      <c r="C375" t="n">
        <v>1.6534</v>
      </c>
    </row>
    <row r="376">
      <c r="A376" s="926" t="n">
        <v>32962</v>
      </c>
      <c r="B376" t="n">
        <v>7.81</v>
      </c>
      <c r="C376" t="n">
        <v>1.6534</v>
      </c>
    </row>
    <row r="377">
      <c r="A377" s="926" t="n">
        <v>32963</v>
      </c>
      <c r="B377" t="n">
        <v>7.808</v>
      </c>
      <c r="C377" t="n">
        <v>1.6534</v>
      </c>
    </row>
    <row r="378">
      <c r="A378" s="926" t="n">
        <v>32965</v>
      </c>
      <c r="B378" t="n">
        <v>7.807</v>
      </c>
      <c r="C378" t="n">
        <v>1.6534</v>
      </c>
    </row>
    <row r="379">
      <c r="A379" s="926" t="n">
        <v>32966</v>
      </c>
      <c r="B379" t="n">
        <v>7.803</v>
      </c>
      <c r="C379" t="n">
        <v>1.6534</v>
      </c>
    </row>
    <row r="380">
      <c r="A380" s="926" t="n">
        <v>32967</v>
      </c>
      <c r="B380" t="n">
        <v>7.802</v>
      </c>
      <c r="C380" t="n">
        <v>1.6534</v>
      </c>
    </row>
    <row r="381">
      <c r="A381" s="926" t="n">
        <v>32969</v>
      </c>
      <c r="B381" t="n">
        <v>7.801</v>
      </c>
      <c r="C381" t="n">
        <v>1.6534</v>
      </c>
    </row>
    <row r="382">
      <c r="A382" s="926" t="n">
        <v>32970</v>
      </c>
      <c r="B382" t="n">
        <v>7.801</v>
      </c>
      <c r="C382" t="n">
        <v>1.6534</v>
      </c>
    </row>
    <row r="383">
      <c r="A383" s="926" t="n">
        <v>32972</v>
      </c>
      <c r="B383" t="n">
        <v>7.8</v>
      </c>
      <c r="C383" t="n">
        <v>1.6534</v>
      </c>
    </row>
    <row r="384">
      <c r="A384" s="926" t="n">
        <v>32973</v>
      </c>
      <c r="B384" t="n">
        <v>7.799</v>
      </c>
      <c r="C384" t="n">
        <v>1.6534</v>
      </c>
    </row>
    <row r="385">
      <c r="A385" s="926" t="n">
        <v>32974</v>
      </c>
      <c r="B385" t="n">
        <v>7.798</v>
      </c>
      <c r="C385" t="n">
        <v>1.6534</v>
      </c>
    </row>
    <row r="386">
      <c r="A386" s="926" t="n">
        <v>32975</v>
      </c>
      <c r="B386" t="n">
        <v>7.798</v>
      </c>
      <c r="C386" t="n">
        <v>1.6534</v>
      </c>
    </row>
    <row r="387">
      <c r="A387" s="926" t="n">
        <v>32980</v>
      </c>
      <c r="B387" t="n">
        <v>7.795</v>
      </c>
      <c r="C387" t="n">
        <v>1.6534</v>
      </c>
    </row>
    <row r="388">
      <c r="A388" s="926" t="n">
        <v>32981</v>
      </c>
      <c r="B388" t="n">
        <v>7.794</v>
      </c>
      <c r="C388" t="n">
        <v>1.6534</v>
      </c>
    </row>
    <row r="389">
      <c r="A389" s="926" t="n">
        <v>32982</v>
      </c>
      <c r="B389" t="n">
        <v>7.792</v>
      </c>
      <c r="C389" t="n">
        <v>1.6534</v>
      </c>
    </row>
    <row r="390">
      <c r="A390" s="926" t="n">
        <v>32983</v>
      </c>
      <c r="B390" t="n">
        <v>7.792</v>
      </c>
      <c r="C390" t="n">
        <v>1.6534</v>
      </c>
    </row>
    <row r="391">
      <c r="A391" s="926" t="n">
        <v>32984</v>
      </c>
      <c r="B391" t="n">
        <v>7.792</v>
      </c>
      <c r="C391" t="n">
        <v>1.6534</v>
      </c>
    </row>
    <row r="392">
      <c r="A392" s="926" t="n">
        <v>32986</v>
      </c>
      <c r="B392" t="n">
        <v>7.792</v>
      </c>
      <c r="C392" t="n">
        <v>1.6534</v>
      </c>
    </row>
    <row r="393">
      <c r="A393" s="926" t="n">
        <v>32987</v>
      </c>
      <c r="B393" t="n">
        <v>7.79</v>
      </c>
      <c r="C393" t="n">
        <v>1.6534</v>
      </c>
    </row>
    <row r="394">
      <c r="A394" s="926" t="n">
        <v>32988</v>
      </c>
      <c r="B394" t="n">
        <v>7.79</v>
      </c>
      <c r="C394" t="n">
        <v>1.6534</v>
      </c>
    </row>
    <row r="395">
      <c r="A395" s="926" t="n">
        <v>32989</v>
      </c>
      <c r="B395" t="n">
        <v>7.789</v>
      </c>
      <c r="C395" t="n">
        <v>1.6534</v>
      </c>
    </row>
    <row r="396">
      <c r="A396" s="926" t="n">
        <v>32990</v>
      </c>
      <c r="B396" t="n">
        <v>7.792</v>
      </c>
      <c r="C396" t="n">
        <v>1.6534</v>
      </c>
    </row>
    <row r="397">
      <c r="A397" s="926" t="n">
        <v>32991</v>
      </c>
      <c r="B397" t="n">
        <v>7.793</v>
      </c>
      <c r="C397" t="n">
        <v>1.6534</v>
      </c>
    </row>
    <row r="398">
      <c r="A398" s="926" t="n">
        <v>32993</v>
      </c>
      <c r="B398" t="n">
        <v>7.789</v>
      </c>
      <c r="C398" t="n">
        <v>1.6534</v>
      </c>
    </row>
    <row r="399">
      <c r="A399" s="926" t="n">
        <v>32994</v>
      </c>
      <c r="B399" t="n">
        <v>7.792</v>
      </c>
      <c r="C399" t="n">
        <v>1.6534</v>
      </c>
    </row>
    <row r="400">
      <c r="A400" s="926" t="n">
        <v>32995</v>
      </c>
      <c r="B400" t="n">
        <v>7.79</v>
      </c>
      <c r="C400" t="n">
        <v>1.6534</v>
      </c>
    </row>
    <row r="401">
      <c r="A401" s="926" t="n">
        <v>32996</v>
      </c>
      <c r="B401" t="n">
        <v>7.791</v>
      </c>
      <c r="C401" t="n">
        <v>1.6534</v>
      </c>
    </row>
    <row r="402">
      <c r="A402" s="926" t="n">
        <v>32997</v>
      </c>
      <c r="B402" t="n">
        <v>7.792</v>
      </c>
      <c r="C402" t="n">
        <v>1.6534</v>
      </c>
    </row>
    <row r="403">
      <c r="A403" s="926" t="n">
        <v>32998</v>
      </c>
      <c r="B403" t="n">
        <v>7.792</v>
      </c>
      <c r="C403" t="n">
        <v>1.6534</v>
      </c>
    </row>
    <row r="404">
      <c r="A404" s="926" t="n">
        <v>33000</v>
      </c>
      <c r="B404" t="n">
        <v>7.794</v>
      </c>
      <c r="C404" t="n">
        <v>1.6534</v>
      </c>
    </row>
    <row r="405">
      <c r="A405" s="926" t="n">
        <v>33001</v>
      </c>
      <c r="B405" t="n">
        <v>7.794</v>
      </c>
      <c r="C405" t="n">
        <v>1.6534</v>
      </c>
    </row>
    <row r="406">
      <c r="A406" s="926" t="n">
        <v>33002</v>
      </c>
      <c r="B406" t="n">
        <v>7.792</v>
      </c>
      <c r="C406" t="n">
        <v>1.6534</v>
      </c>
    </row>
    <row r="407">
      <c r="A407" s="926" t="n">
        <v>33003</v>
      </c>
      <c r="B407" t="n">
        <v>7.791</v>
      </c>
      <c r="C407" t="n">
        <v>1.6534</v>
      </c>
    </row>
    <row r="408">
      <c r="A408" s="926" t="n">
        <v>33004</v>
      </c>
      <c r="B408" t="n">
        <v>7.791</v>
      </c>
      <c r="C408" t="n">
        <v>1.6534</v>
      </c>
    </row>
    <row r="409">
      <c r="A409" s="926" t="n">
        <v>33005</v>
      </c>
      <c r="B409" t="n">
        <v>7.791</v>
      </c>
      <c r="C409" t="n">
        <v>1.6534</v>
      </c>
    </row>
    <row r="410">
      <c r="A410" s="926" t="n">
        <v>33007</v>
      </c>
      <c r="B410" t="n">
        <v>7.79</v>
      </c>
      <c r="C410" t="n">
        <v>1.6534</v>
      </c>
    </row>
    <row r="411">
      <c r="A411" s="926" t="n">
        <v>33008</v>
      </c>
      <c r="B411" t="n">
        <v>7.789</v>
      </c>
      <c r="C411" t="n">
        <v>1.6534</v>
      </c>
    </row>
    <row r="412">
      <c r="A412" s="926" t="n">
        <v>33009</v>
      </c>
      <c r="B412" t="n">
        <v>7.789</v>
      </c>
      <c r="C412" t="n">
        <v>1.6534</v>
      </c>
    </row>
    <row r="413">
      <c r="A413" s="926" t="n">
        <v>33010</v>
      </c>
      <c r="B413" t="n">
        <v>7.786</v>
      </c>
      <c r="C413" t="n">
        <v>1.6534</v>
      </c>
    </row>
    <row r="414">
      <c r="A414" s="926" t="n">
        <v>33011</v>
      </c>
      <c r="B414" t="n">
        <v>7.787</v>
      </c>
      <c r="C414" t="n">
        <v>1.6534</v>
      </c>
    </row>
    <row r="415">
      <c r="A415" s="926" t="n">
        <v>33012</v>
      </c>
      <c r="B415" t="n">
        <v>7.787</v>
      </c>
      <c r="C415" t="n">
        <v>1.6534</v>
      </c>
    </row>
    <row r="416">
      <c r="A416" s="926" t="n">
        <v>33014</v>
      </c>
      <c r="B416" t="n">
        <v>7.785</v>
      </c>
      <c r="C416" t="n">
        <v>1.6534</v>
      </c>
    </row>
    <row r="417">
      <c r="A417" s="926" t="n">
        <v>33015</v>
      </c>
      <c r="B417" t="n">
        <v>7.782</v>
      </c>
      <c r="C417" t="n">
        <v>1.6534</v>
      </c>
    </row>
    <row r="418">
      <c r="A418" s="926" t="n">
        <v>33016</v>
      </c>
      <c r="B418" t="n">
        <v>7.78</v>
      </c>
      <c r="C418" t="n">
        <v>1.6534</v>
      </c>
    </row>
    <row r="419">
      <c r="A419" s="926" t="n">
        <v>33017</v>
      </c>
      <c r="B419" t="n">
        <v>7.782</v>
      </c>
      <c r="C419" t="n">
        <v>1.6534</v>
      </c>
    </row>
    <row r="420">
      <c r="A420" s="926" t="n">
        <v>33018</v>
      </c>
      <c r="B420" t="n">
        <v>7.783</v>
      </c>
      <c r="C420" t="n">
        <v>1.6534</v>
      </c>
    </row>
    <row r="421">
      <c r="A421" s="926" t="n">
        <v>33019</v>
      </c>
      <c r="B421" t="n">
        <v>7.784</v>
      </c>
      <c r="C421" t="n">
        <v>1.6534</v>
      </c>
    </row>
    <row r="422">
      <c r="A422" s="926" t="n">
        <v>33022</v>
      </c>
      <c r="B422" t="n">
        <v>7.782</v>
      </c>
      <c r="C422" t="n">
        <v>1.6534</v>
      </c>
    </row>
    <row r="423">
      <c r="A423" s="926" t="n">
        <v>33023</v>
      </c>
      <c r="B423" t="n">
        <v>7.781</v>
      </c>
      <c r="C423" t="n">
        <v>1.6534</v>
      </c>
    </row>
    <row r="424">
      <c r="A424" s="926" t="n">
        <v>33024</v>
      </c>
      <c r="B424" t="n">
        <v>7.78</v>
      </c>
      <c r="C424" t="n">
        <v>1.6534</v>
      </c>
    </row>
    <row r="425">
      <c r="A425" s="926" t="n">
        <v>33025</v>
      </c>
      <c r="B425" t="n">
        <v>7.782</v>
      </c>
      <c r="C425" t="n">
        <v>1.6534</v>
      </c>
    </row>
    <row r="426">
      <c r="A426" s="926" t="n">
        <v>33026</v>
      </c>
      <c r="B426" t="n">
        <v>7.784</v>
      </c>
      <c r="C426" t="n">
        <v>1.6534</v>
      </c>
    </row>
    <row r="427">
      <c r="A427" s="926" t="n">
        <v>33028</v>
      </c>
      <c r="B427" t="n">
        <v>7.783</v>
      </c>
      <c r="C427" t="n">
        <v>1.6534</v>
      </c>
    </row>
    <row r="428">
      <c r="A428" s="926" t="n">
        <v>33029</v>
      </c>
      <c r="B428" t="n">
        <v>7.782</v>
      </c>
      <c r="C428" t="n">
        <v>1.6534</v>
      </c>
    </row>
    <row r="429">
      <c r="A429" s="926" t="n">
        <v>33030</v>
      </c>
      <c r="B429" t="n">
        <v>7.781</v>
      </c>
      <c r="C429" t="n">
        <v>1.6534</v>
      </c>
    </row>
    <row r="430">
      <c r="A430" s="926" t="n">
        <v>33031</v>
      </c>
      <c r="B430" t="n">
        <v>7.779</v>
      </c>
      <c r="C430" t="n">
        <v>1.6534</v>
      </c>
    </row>
    <row r="431">
      <c r="A431" s="926" t="n">
        <v>33032</v>
      </c>
      <c r="B431" t="n">
        <v>7.78</v>
      </c>
      <c r="C431" t="n">
        <v>1.6534</v>
      </c>
    </row>
    <row r="432">
      <c r="A432" s="926" t="n">
        <v>33033</v>
      </c>
      <c r="B432" t="n">
        <v>7.78</v>
      </c>
      <c r="C432" t="n">
        <v>1.6534</v>
      </c>
    </row>
    <row r="433">
      <c r="A433" s="926" t="n">
        <v>33035</v>
      </c>
      <c r="B433" t="n">
        <v>7.782</v>
      </c>
      <c r="C433" t="n">
        <v>1.6534</v>
      </c>
    </row>
    <row r="434">
      <c r="A434" s="926" t="n">
        <v>33036</v>
      </c>
      <c r="B434" t="n">
        <v>7.784</v>
      </c>
      <c r="C434" t="n">
        <v>1.6534</v>
      </c>
    </row>
    <row r="435">
      <c r="A435" s="926" t="n">
        <v>33037</v>
      </c>
      <c r="B435" t="n">
        <v>7.783</v>
      </c>
      <c r="C435" t="n">
        <v>1.6534</v>
      </c>
    </row>
    <row r="436">
      <c r="A436" s="926" t="n">
        <v>33038</v>
      </c>
      <c r="B436" t="n">
        <v>7.784</v>
      </c>
      <c r="C436" t="n">
        <v>1.6534</v>
      </c>
    </row>
    <row r="437">
      <c r="A437" s="926" t="n">
        <v>33039</v>
      </c>
      <c r="B437" t="n">
        <v>7.788</v>
      </c>
      <c r="C437" t="n">
        <v>1.6534</v>
      </c>
    </row>
    <row r="438">
      <c r="A438" s="926" t="n">
        <v>33043</v>
      </c>
      <c r="B438" t="n">
        <v>7.789</v>
      </c>
      <c r="C438" t="n">
        <v>1.6534</v>
      </c>
    </row>
    <row r="439">
      <c r="A439" s="926" t="n">
        <v>33044</v>
      </c>
      <c r="B439" t="n">
        <v>7.789</v>
      </c>
      <c r="C439" t="n">
        <v>1.6534</v>
      </c>
    </row>
    <row r="440">
      <c r="A440" s="926" t="n">
        <v>33045</v>
      </c>
      <c r="B440" t="n">
        <v>7.788</v>
      </c>
      <c r="C440" t="n">
        <v>1.6534</v>
      </c>
    </row>
    <row r="441">
      <c r="A441" s="926" t="n">
        <v>33046</v>
      </c>
      <c r="B441" t="n">
        <v>7.789</v>
      </c>
      <c r="C441" t="n">
        <v>1.6534</v>
      </c>
    </row>
    <row r="442">
      <c r="A442" s="926" t="n">
        <v>33047</v>
      </c>
      <c r="B442" t="n">
        <v>7.786</v>
      </c>
      <c r="C442" t="n">
        <v>1.6534</v>
      </c>
    </row>
    <row r="443">
      <c r="A443" s="926" t="n">
        <v>33049</v>
      </c>
      <c r="B443" t="n">
        <v>7.786</v>
      </c>
      <c r="C443" t="n">
        <v>1.6534</v>
      </c>
    </row>
    <row r="444">
      <c r="A444" s="926" t="n">
        <v>33050</v>
      </c>
      <c r="B444" t="n">
        <v>7.785</v>
      </c>
      <c r="C444" t="n">
        <v>1.6534</v>
      </c>
    </row>
    <row r="445">
      <c r="A445" s="926" t="n">
        <v>33051</v>
      </c>
      <c r="B445" t="n">
        <v>7.787</v>
      </c>
      <c r="C445" t="n">
        <v>1.6534</v>
      </c>
    </row>
    <row r="446">
      <c r="A446" s="926" t="n">
        <v>33052</v>
      </c>
      <c r="B446" t="n">
        <v>7.789</v>
      </c>
      <c r="C446" t="n">
        <v>1.6534</v>
      </c>
    </row>
    <row r="447">
      <c r="A447" s="926" t="n">
        <v>33053</v>
      </c>
      <c r="B447" t="n">
        <v>7.789</v>
      </c>
      <c r="C447" t="n">
        <v>1.6534</v>
      </c>
    </row>
    <row r="448">
      <c r="A448" s="926" t="n">
        <v>33054</v>
      </c>
      <c r="B448" t="n">
        <v>7.787</v>
      </c>
      <c r="C448" t="n">
        <v>1.6534</v>
      </c>
    </row>
    <row r="449">
      <c r="A449" s="926" t="n">
        <v>33056</v>
      </c>
      <c r="B449" t="n">
        <v>7.787</v>
      </c>
      <c r="C449" t="n">
        <v>1.6534</v>
      </c>
    </row>
    <row r="450">
      <c r="A450" s="926" t="n">
        <v>33057</v>
      </c>
      <c r="B450" t="n">
        <v>7.787</v>
      </c>
      <c r="C450" t="n">
        <v>1.6534</v>
      </c>
    </row>
    <row r="451">
      <c r="A451" s="926" t="n">
        <v>33058</v>
      </c>
      <c r="B451" t="n">
        <v>7.786</v>
      </c>
      <c r="C451" t="n">
        <v>1.6534</v>
      </c>
    </row>
    <row r="452">
      <c r="A452" s="926" t="n">
        <v>33059</v>
      </c>
      <c r="B452" t="n">
        <v>7.782</v>
      </c>
      <c r="C452" t="n">
        <v>1.6534</v>
      </c>
    </row>
    <row r="453">
      <c r="A453" s="926" t="n">
        <v>33060</v>
      </c>
      <c r="B453" t="n">
        <v>7.781</v>
      </c>
      <c r="C453" t="n">
        <v>1.6534</v>
      </c>
    </row>
    <row r="454">
      <c r="A454" s="926" t="n">
        <v>33061</v>
      </c>
      <c r="B454" t="n">
        <v>7.78</v>
      </c>
      <c r="C454" t="n">
        <v>1.6534</v>
      </c>
    </row>
    <row r="455">
      <c r="A455" s="926" t="n">
        <v>33063</v>
      </c>
      <c r="B455" t="n">
        <v>7.775</v>
      </c>
      <c r="C455" t="n">
        <v>1.6534</v>
      </c>
    </row>
    <row r="456">
      <c r="A456" s="926" t="n">
        <v>33064</v>
      </c>
      <c r="B456" t="n">
        <v>7.771</v>
      </c>
      <c r="C456" t="n">
        <v>1.6534</v>
      </c>
    </row>
    <row r="457">
      <c r="A457" s="926" t="n">
        <v>33065</v>
      </c>
      <c r="B457" t="n">
        <v>7.771</v>
      </c>
      <c r="C457" t="n">
        <v>1.6453</v>
      </c>
    </row>
    <row r="458">
      <c r="A458" s="926" t="n">
        <v>33066</v>
      </c>
      <c r="B458" t="n">
        <v>7.772</v>
      </c>
      <c r="C458" t="n">
        <v>1.6453</v>
      </c>
    </row>
    <row r="459">
      <c r="A459" s="926" t="n">
        <v>33067</v>
      </c>
      <c r="B459" t="n">
        <v>7.771</v>
      </c>
      <c r="C459" t="n">
        <v>1.6453</v>
      </c>
    </row>
    <row r="460">
      <c r="A460" s="926" t="n">
        <v>33068</v>
      </c>
      <c r="B460" t="n">
        <v>7.768</v>
      </c>
      <c r="C460" t="n">
        <v>1.6453</v>
      </c>
    </row>
    <row r="461">
      <c r="A461" s="926" t="n">
        <v>33070</v>
      </c>
      <c r="B461" t="n">
        <v>7.768</v>
      </c>
      <c r="C461" t="n">
        <v>1.6453</v>
      </c>
    </row>
    <row r="462">
      <c r="A462" s="926" t="n">
        <v>33071</v>
      </c>
      <c r="B462" t="n">
        <v>7.771</v>
      </c>
      <c r="C462" t="n">
        <v>1.6453</v>
      </c>
    </row>
    <row r="463">
      <c r="A463" s="926" t="n">
        <v>33072</v>
      </c>
      <c r="B463" t="n">
        <v>7.768</v>
      </c>
      <c r="C463" t="n">
        <v>1.6453</v>
      </c>
    </row>
    <row r="464">
      <c r="A464" s="926" t="n">
        <v>33073</v>
      </c>
      <c r="B464" t="n">
        <v>7.768</v>
      </c>
      <c r="C464" t="n">
        <v>1.6453</v>
      </c>
    </row>
    <row r="465">
      <c r="A465" s="926" t="n">
        <v>33074</v>
      </c>
      <c r="B465" t="n">
        <v>7.766</v>
      </c>
      <c r="C465" t="n">
        <v>1.6453</v>
      </c>
    </row>
    <row r="466">
      <c r="A466" s="926" t="n">
        <v>33075</v>
      </c>
      <c r="B466" t="n">
        <v>7.766</v>
      </c>
      <c r="C466" t="n">
        <v>1.6453</v>
      </c>
    </row>
    <row r="467">
      <c r="A467" s="926" t="n">
        <v>33077</v>
      </c>
      <c r="B467" t="n">
        <v>7.765</v>
      </c>
      <c r="C467" t="n">
        <v>1.6453</v>
      </c>
    </row>
    <row r="468">
      <c r="A468" s="926" t="n">
        <v>33078</v>
      </c>
      <c r="B468" t="n">
        <v>7.764</v>
      </c>
      <c r="C468" t="n">
        <v>1.6453</v>
      </c>
    </row>
    <row r="469">
      <c r="A469" s="926" t="n">
        <v>33079</v>
      </c>
      <c r="B469" t="n">
        <v>7.762</v>
      </c>
      <c r="C469" t="n">
        <v>1.6453</v>
      </c>
    </row>
    <row r="470">
      <c r="A470" s="926" t="n">
        <v>33080</v>
      </c>
      <c r="B470" t="n">
        <v>7.76</v>
      </c>
      <c r="C470" t="n">
        <v>1.6453</v>
      </c>
    </row>
    <row r="471">
      <c r="A471" s="926" t="n">
        <v>33081</v>
      </c>
      <c r="B471" t="n">
        <v>7.765</v>
      </c>
      <c r="C471" t="n">
        <v>1.6453</v>
      </c>
    </row>
    <row r="472">
      <c r="A472" s="926" t="n">
        <v>33082</v>
      </c>
      <c r="B472" t="n">
        <v>7.765</v>
      </c>
      <c r="C472" t="n">
        <v>1.6453</v>
      </c>
    </row>
    <row r="473">
      <c r="A473" s="926" t="n">
        <v>33084</v>
      </c>
      <c r="B473" t="n">
        <v>7.764</v>
      </c>
      <c r="C473" t="n">
        <v>1.6453</v>
      </c>
    </row>
    <row r="474">
      <c r="A474" s="926" t="n">
        <v>33085</v>
      </c>
      <c r="B474" t="n">
        <v>7.765</v>
      </c>
      <c r="C474" t="n">
        <v>1.6453</v>
      </c>
    </row>
    <row r="475">
      <c r="A475" s="926" t="n">
        <v>33086</v>
      </c>
      <c r="B475" t="n">
        <v>7.764</v>
      </c>
      <c r="C475" t="n">
        <v>1.6453</v>
      </c>
    </row>
    <row r="476">
      <c r="A476" s="926" t="n">
        <v>33087</v>
      </c>
      <c r="B476" t="n">
        <v>7.766</v>
      </c>
      <c r="C476" t="n">
        <v>1.6453</v>
      </c>
    </row>
    <row r="477">
      <c r="A477" s="926" t="n">
        <v>33088</v>
      </c>
      <c r="B477" t="n">
        <v>7.765</v>
      </c>
      <c r="C477" t="n">
        <v>1.6453</v>
      </c>
    </row>
    <row r="478">
      <c r="A478" s="926" t="n">
        <v>33089</v>
      </c>
      <c r="B478" t="n">
        <v>7.767</v>
      </c>
      <c r="C478" t="n">
        <v>1.6453</v>
      </c>
    </row>
    <row r="479">
      <c r="A479" s="926" t="n">
        <v>33091</v>
      </c>
      <c r="B479" t="n">
        <v>7.771</v>
      </c>
      <c r="C479" t="n">
        <v>1.6453</v>
      </c>
    </row>
    <row r="480">
      <c r="A480" s="926" t="n">
        <v>33092</v>
      </c>
      <c r="B480" t="n">
        <v>7.775</v>
      </c>
      <c r="C480" t="n">
        <v>1.6453</v>
      </c>
    </row>
    <row r="481">
      <c r="A481" s="926" t="n">
        <v>33093</v>
      </c>
      <c r="B481" t="n">
        <v>7.774</v>
      </c>
      <c r="C481" t="n">
        <v>1.6453</v>
      </c>
    </row>
    <row r="482">
      <c r="A482" s="926" t="n">
        <v>33094</v>
      </c>
      <c r="B482" t="n">
        <v>7.773</v>
      </c>
      <c r="C482" t="n">
        <v>1.6453</v>
      </c>
    </row>
    <row r="483">
      <c r="A483" s="926" t="n">
        <v>33095</v>
      </c>
      <c r="B483" t="n">
        <v>7.773</v>
      </c>
      <c r="C483" t="n">
        <v>1.6453</v>
      </c>
    </row>
    <row r="484">
      <c r="A484" s="926" t="n">
        <v>33096</v>
      </c>
      <c r="B484" t="n">
        <v>7.774</v>
      </c>
      <c r="C484" t="n">
        <v>1.6453</v>
      </c>
    </row>
    <row r="485">
      <c r="A485" s="926" t="n">
        <v>33098</v>
      </c>
      <c r="B485" t="n">
        <v>7.787</v>
      </c>
      <c r="C485" t="n">
        <v>1.6453</v>
      </c>
    </row>
    <row r="486">
      <c r="A486" s="926" t="n">
        <v>33099</v>
      </c>
      <c r="B486" t="n">
        <v>7.77</v>
      </c>
      <c r="C486" t="n">
        <v>1.6453</v>
      </c>
    </row>
    <row r="487">
      <c r="A487" s="926" t="n">
        <v>33100</v>
      </c>
      <c r="B487" t="n">
        <v>7.773</v>
      </c>
      <c r="C487" t="n">
        <v>1.6453</v>
      </c>
    </row>
    <row r="488">
      <c r="A488" s="926" t="n">
        <v>33101</v>
      </c>
      <c r="B488" t="n">
        <v>7.772</v>
      </c>
      <c r="C488" t="n">
        <v>1.6453</v>
      </c>
    </row>
    <row r="489">
      <c r="A489" s="926" t="n">
        <v>33102</v>
      </c>
      <c r="B489" t="n">
        <v>7.772</v>
      </c>
      <c r="C489" t="n">
        <v>1.6453</v>
      </c>
    </row>
    <row r="490">
      <c r="A490" s="926" t="n">
        <v>33103</v>
      </c>
      <c r="B490" t="n">
        <v>7.77</v>
      </c>
      <c r="C490" t="n">
        <v>1.6453</v>
      </c>
    </row>
    <row r="491">
      <c r="A491" s="926" t="n">
        <v>33105</v>
      </c>
      <c r="B491" t="n">
        <v>7.773</v>
      </c>
      <c r="C491" t="n">
        <v>1.6453</v>
      </c>
    </row>
    <row r="492">
      <c r="A492" s="926" t="n">
        <v>33106</v>
      </c>
      <c r="B492" t="n">
        <v>7.777</v>
      </c>
      <c r="C492" t="n">
        <v>1.6453</v>
      </c>
    </row>
    <row r="493">
      <c r="A493" s="926" t="n">
        <v>33107</v>
      </c>
      <c r="B493" t="n">
        <v>7.781</v>
      </c>
      <c r="C493" t="n">
        <v>1.6453</v>
      </c>
    </row>
    <row r="494">
      <c r="A494" s="926" t="n">
        <v>33108</v>
      </c>
      <c r="B494" t="n">
        <v>7.782</v>
      </c>
      <c r="C494" t="n">
        <v>1.6453</v>
      </c>
    </row>
    <row r="495">
      <c r="A495" s="926" t="n">
        <v>33109</v>
      </c>
      <c r="B495" t="n">
        <v>7.776</v>
      </c>
      <c r="C495" t="n">
        <v>1.6453</v>
      </c>
    </row>
    <row r="496">
      <c r="A496" s="926" t="n">
        <v>33113</v>
      </c>
      <c r="B496" t="n">
        <v>7.772</v>
      </c>
      <c r="C496" t="n">
        <v>1.6453</v>
      </c>
    </row>
    <row r="497">
      <c r="A497" s="926" t="n">
        <v>33114</v>
      </c>
      <c r="B497" t="n">
        <v>7.772</v>
      </c>
      <c r="C497" t="n">
        <v>1.6453</v>
      </c>
    </row>
    <row r="498">
      <c r="A498" s="926" t="n">
        <v>33115</v>
      </c>
      <c r="B498" t="n">
        <v>7.766</v>
      </c>
      <c r="C498" t="n">
        <v>1.6453</v>
      </c>
    </row>
    <row r="499">
      <c r="A499" s="926" t="n">
        <v>33116</v>
      </c>
      <c r="B499" t="n">
        <v>7.76</v>
      </c>
      <c r="C499" t="n">
        <v>1.6453</v>
      </c>
    </row>
    <row r="500">
      <c r="A500" s="926" t="n">
        <v>33117</v>
      </c>
      <c r="B500" t="n">
        <v>7.761</v>
      </c>
      <c r="C500" t="n">
        <v>1.6453</v>
      </c>
    </row>
    <row r="501">
      <c r="A501" s="926" t="n">
        <v>33119</v>
      </c>
      <c r="B501" t="n">
        <v>7.765</v>
      </c>
      <c r="C501" t="n">
        <v>1.6453</v>
      </c>
    </row>
    <row r="502">
      <c r="A502" s="926" t="n">
        <v>33120</v>
      </c>
      <c r="B502" t="n">
        <v>7.767</v>
      </c>
      <c r="C502" t="n">
        <v>1.6453</v>
      </c>
    </row>
    <row r="503">
      <c r="A503" s="926" t="n">
        <v>33121</v>
      </c>
      <c r="B503" t="n">
        <v>7.769</v>
      </c>
      <c r="C503" t="n">
        <v>1.6453</v>
      </c>
    </row>
    <row r="504">
      <c r="A504" s="926" t="n">
        <v>33122</v>
      </c>
      <c r="B504" t="n">
        <v>7.769</v>
      </c>
      <c r="C504" t="n">
        <v>1.6453</v>
      </c>
    </row>
    <row r="505">
      <c r="A505" s="926" t="n">
        <v>33123</v>
      </c>
      <c r="B505" t="n">
        <v>7.766</v>
      </c>
      <c r="C505" t="n">
        <v>1.6453</v>
      </c>
    </row>
    <row r="506">
      <c r="A506" s="926" t="n">
        <v>33124</v>
      </c>
      <c r="B506" t="n">
        <v>7.766</v>
      </c>
      <c r="C506" t="n">
        <v>1.6453</v>
      </c>
    </row>
    <row r="507">
      <c r="A507" s="926" t="n">
        <v>33126</v>
      </c>
      <c r="B507" t="n">
        <v>7.767</v>
      </c>
      <c r="C507" t="n">
        <v>1.6453</v>
      </c>
    </row>
    <row r="508">
      <c r="A508" s="926" t="n">
        <v>33127</v>
      </c>
      <c r="B508" t="n">
        <v>7.771</v>
      </c>
      <c r="C508" t="n">
        <v>1.6453</v>
      </c>
    </row>
    <row r="509">
      <c r="A509" s="926" t="n">
        <v>33128</v>
      </c>
      <c r="B509" t="n">
        <v>7.77</v>
      </c>
      <c r="C509" t="n">
        <v>1.6453</v>
      </c>
    </row>
    <row r="510">
      <c r="A510" s="926" t="n">
        <v>33129</v>
      </c>
      <c r="B510" t="n">
        <v>7.769</v>
      </c>
      <c r="C510" t="n">
        <v>1.6453</v>
      </c>
    </row>
    <row r="511">
      <c r="A511" s="926" t="n">
        <v>33130</v>
      </c>
      <c r="B511" t="n">
        <v>7.766</v>
      </c>
      <c r="C511" t="n">
        <v>1.6453</v>
      </c>
    </row>
    <row r="512">
      <c r="A512" s="926" t="n">
        <v>33131</v>
      </c>
      <c r="B512" t="n">
        <v>7.766</v>
      </c>
      <c r="C512" t="n">
        <v>1.6453</v>
      </c>
    </row>
    <row r="513">
      <c r="A513" s="926" t="n">
        <v>33133</v>
      </c>
      <c r="B513" t="n">
        <v>7.763</v>
      </c>
      <c r="C513" t="n">
        <v>1.6453</v>
      </c>
    </row>
    <row r="514">
      <c r="A514" s="926" t="n">
        <v>33134</v>
      </c>
      <c r="B514" t="n">
        <v>7.759</v>
      </c>
      <c r="C514" t="n">
        <v>1.6453</v>
      </c>
    </row>
    <row r="515">
      <c r="A515" s="926" t="n">
        <v>33135</v>
      </c>
      <c r="B515" t="n">
        <v>7.759</v>
      </c>
      <c r="C515" t="n">
        <v>1.6453</v>
      </c>
    </row>
    <row r="516">
      <c r="A516" s="926" t="n">
        <v>33136</v>
      </c>
      <c r="B516" t="n">
        <v>7.759</v>
      </c>
      <c r="C516" t="n">
        <v>1.6453</v>
      </c>
    </row>
    <row r="517">
      <c r="A517" s="926" t="n">
        <v>33137</v>
      </c>
      <c r="B517" t="n">
        <v>7.762</v>
      </c>
      <c r="C517" t="n">
        <v>1.6453</v>
      </c>
    </row>
    <row r="518">
      <c r="A518" s="926" t="n">
        <v>33138</v>
      </c>
      <c r="B518" t="n">
        <v>7.763</v>
      </c>
      <c r="C518" t="n">
        <v>1.6453</v>
      </c>
    </row>
    <row r="519">
      <c r="A519" s="926" t="n">
        <v>33140</v>
      </c>
      <c r="B519" t="n">
        <v>7.763</v>
      </c>
      <c r="C519" t="n">
        <v>1.6453</v>
      </c>
    </row>
    <row r="520">
      <c r="A520" s="926" t="n">
        <v>33141</v>
      </c>
      <c r="B520" t="n">
        <v>7.761</v>
      </c>
      <c r="C520" t="n">
        <v>1.6453</v>
      </c>
    </row>
    <row r="521">
      <c r="A521" s="926" t="n">
        <v>33142</v>
      </c>
      <c r="B521" t="n">
        <v>7.76</v>
      </c>
      <c r="C521" t="n">
        <v>1.6453</v>
      </c>
    </row>
    <row r="522">
      <c r="A522" s="926" t="n">
        <v>33143</v>
      </c>
      <c r="B522" t="n">
        <v>7.76</v>
      </c>
      <c r="C522" t="n">
        <v>1.6453</v>
      </c>
    </row>
    <row r="523">
      <c r="A523" s="926" t="n">
        <v>33144</v>
      </c>
      <c r="B523" t="n">
        <v>7.764</v>
      </c>
      <c r="C523" t="n">
        <v>1.6453</v>
      </c>
    </row>
    <row r="524">
      <c r="A524" s="926" t="n">
        <v>33145</v>
      </c>
      <c r="B524" t="n">
        <v>7.762</v>
      </c>
      <c r="C524" t="n">
        <v>1.6453</v>
      </c>
    </row>
    <row r="525">
      <c r="A525" s="926" t="n">
        <v>33147</v>
      </c>
      <c r="B525" t="n">
        <v>7.76</v>
      </c>
      <c r="C525" t="n">
        <v>1.6453</v>
      </c>
    </row>
    <row r="526">
      <c r="A526" s="926" t="n">
        <v>33148</v>
      </c>
      <c r="B526" t="n">
        <v>7.761</v>
      </c>
      <c r="C526" t="n">
        <v>1.6453</v>
      </c>
    </row>
    <row r="527">
      <c r="A527" s="926" t="n">
        <v>33149</v>
      </c>
      <c r="B527" t="n">
        <v>7.76</v>
      </c>
      <c r="C527" t="n">
        <v>1.6453</v>
      </c>
    </row>
    <row r="528">
      <c r="A528" s="926" t="n">
        <v>33151</v>
      </c>
      <c r="B528" t="n">
        <v>7.757</v>
      </c>
      <c r="C528" t="n">
        <v>1.6453</v>
      </c>
    </row>
    <row r="529">
      <c r="A529" s="926" t="n">
        <v>33152</v>
      </c>
      <c r="B529" t="n">
        <v>7.755</v>
      </c>
      <c r="C529" t="n">
        <v>1.6453</v>
      </c>
    </row>
    <row r="530">
      <c r="A530" s="926" t="n">
        <v>33154</v>
      </c>
      <c r="B530" t="n">
        <v>7.753</v>
      </c>
      <c r="C530" t="n">
        <v>1.6453</v>
      </c>
    </row>
    <row r="531">
      <c r="A531" s="926" t="n">
        <v>33155</v>
      </c>
      <c r="B531" t="n">
        <v>7.754</v>
      </c>
      <c r="C531" t="n">
        <v>1.6453</v>
      </c>
    </row>
    <row r="532">
      <c r="A532" s="926" t="n">
        <v>33156</v>
      </c>
      <c r="B532" t="n">
        <v>7.754</v>
      </c>
      <c r="C532" t="n">
        <v>1.6453</v>
      </c>
    </row>
    <row r="533">
      <c r="A533" s="926" t="n">
        <v>33157</v>
      </c>
      <c r="B533" t="n">
        <v>7.754</v>
      </c>
      <c r="C533" t="n">
        <v>1.6453</v>
      </c>
    </row>
    <row r="534">
      <c r="A534" s="926" t="n">
        <v>33158</v>
      </c>
      <c r="B534" t="n">
        <v>7.755</v>
      </c>
      <c r="C534" t="n">
        <v>1.6453</v>
      </c>
    </row>
    <row r="535">
      <c r="A535" s="926" t="n">
        <v>33159</v>
      </c>
      <c r="B535" t="n">
        <v>7.756</v>
      </c>
      <c r="C535" t="n">
        <v>1.6453</v>
      </c>
    </row>
    <row r="536">
      <c r="A536" s="926" t="n">
        <v>33161</v>
      </c>
      <c r="B536" t="n">
        <v>7.761</v>
      </c>
      <c r="C536" t="n">
        <v>1.6453</v>
      </c>
    </row>
    <row r="537">
      <c r="A537" s="926" t="n">
        <v>33162</v>
      </c>
      <c r="B537" t="n">
        <v>7.767</v>
      </c>
      <c r="C537" t="n">
        <v>1.6453</v>
      </c>
    </row>
    <row r="538">
      <c r="A538" s="926" t="n">
        <v>33163</v>
      </c>
      <c r="B538" t="n">
        <v>7.77</v>
      </c>
      <c r="C538" t="n">
        <v>1.6453</v>
      </c>
    </row>
    <row r="539">
      <c r="A539" s="926" t="n">
        <v>33164</v>
      </c>
      <c r="B539" t="n">
        <v>7.775</v>
      </c>
      <c r="C539" t="n">
        <v>1.6453</v>
      </c>
    </row>
    <row r="540">
      <c r="A540" s="926" t="n">
        <v>33165</v>
      </c>
      <c r="B540" t="n">
        <v>7.779</v>
      </c>
      <c r="C540" t="n">
        <v>1.6453</v>
      </c>
    </row>
    <row r="541">
      <c r="A541" s="926" t="n">
        <v>33166</v>
      </c>
      <c r="B541" t="n">
        <v>7.78</v>
      </c>
      <c r="C541" t="n">
        <v>1.6453</v>
      </c>
    </row>
    <row r="542">
      <c r="A542" s="926" t="n">
        <v>33168</v>
      </c>
      <c r="B542" t="n">
        <v>7.784</v>
      </c>
      <c r="C542" t="n">
        <v>1.6453</v>
      </c>
    </row>
    <row r="543">
      <c r="A543" s="926" t="n">
        <v>33169</v>
      </c>
      <c r="B543" t="n">
        <v>7.787</v>
      </c>
      <c r="C543" t="n">
        <v>1.6453</v>
      </c>
    </row>
    <row r="544">
      <c r="A544" s="926" t="n">
        <v>33170</v>
      </c>
      <c r="B544" t="n">
        <v>7.785</v>
      </c>
      <c r="C544" t="n">
        <v>1.6453</v>
      </c>
    </row>
    <row r="545">
      <c r="A545" s="926" t="n">
        <v>33171</v>
      </c>
      <c r="B545" t="n">
        <v>7.784</v>
      </c>
      <c r="C545" t="n">
        <v>1.6453</v>
      </c>
    </row>
    <row r="546">
      <c r="A546" s="926" t="n">
        <v>33173</v>
      </c>
      <c r="B546" t="n">
        <v>7.785</v>
      </c>
      <c r="C546" t="n">
        <v>1.6453</v>
      </c>
    </row>
    <row r="547">
      <c r="A547" s="926" t="n">
        <v>33175</v>
      </c>
      <c r="B547" t="n">
        <v>7.786</v>
      </c>
      <c r="C547" t="n">
        <v>1.6453</v>
      </c>
    </row>
    <row r="548">
      <c r="A548" s="926" t="n">
        <v>33176</v>
      </c>
      <c r="B548" t="n">
        <v>7.789</v>
      </c>
      <c r="C548" t="n">
        <v>1.6453</v>
      </c>
    </row>
    <row r="549">
      <c r="A549" s="926" t="n">
        <v>33177</v>
      </c>
      <c r="B549" t="n">
        <v>7.791</v>
      </c>
      <c r="C549" t="n">
        <v>1.6453</v>
      </c>
    </row>
    <row r="550">
      <c r="A550" s="926" t="n">
        <v>33178</v>
      </c>
      <c r="B550" t="n">
        <v>7.799</v>
      </c>
      <c r="C550" t="n">
        <v>1.6453</v>
      </c>
    </row>
    <row r="551">
      <c r="A551" s="926" t="n">
        <v>33179</v>
      </c>
      <c r="B551" t="n">
        <v>7.799</v>
      </c>
      <c r="C551" t="n">
        <v>1.6453</v>
      </c>
    </row>
    <row r="552">
      <c r="A552" s="926" t="n">
        <v>33180</v>
      </c>
      <c r="B552" t="n">
        <v>7.798</v>
      </c>
      <c r="C552" t="n">
        <v>1.6453</v>
      </c>
    </row>
    <row r="553">
      <c r="A553" s="926" t="n">
        <v>33182</v>
      </c>
      <c r="B553" t="n">
        <v>7.797</v>
      </c>
      <c r="C553" t="n">
        <v>1.6453</v>
      </c>
    </row>
    <row r="554">
      <c r="A554" s="926" t="n">
        <v>33183</v>
      </c>
      <c r="B554" t="n">
        <v>7.796</v>
      </c>
      <c r="C554" t="n">
        <v>1.6453</v>
      </c>
    </row>
    <row r="555">
      <c r="A555" s="926" t="n">
        <v>33184</v>
      </c>
      <c r="B555" t="n">
        <v>7.796</v>
      </c>
      <c r="C555" t="n">
        <v>1.6453</v>
      </c>
    </row>
    <row r="556">
      <c r="A556" s="926" t="n">
        <v>33185</v>
      </c>
      <c r="B556" t="n">
        <v>7.798</v>
      </c>
      <c r="C556" t="n">
        <v>1.6453</v>
      </c>
    </row>
    <row r="557">
      <c r="A557" s="926" t="n">
        <v>33186</v>
      </c>
      <c r="B557" t="n">
        <v>7.799</v>
      </c>
      <c r="C557" t="n">
        <v>1.6453</v>
      </c>
    </row>
    <row r="558">
      <c r="A558" s="926" t="n">
        <v>33187</v>
      </c>
      <c r="B558" t="n">
        <v>7.798</v>
      </c>
      <c r="C558" t="n">
        <v>1.6453</v>
      </c>
    </row>
    <row r="559">
      <c r="A559" s="926" t="n">
        <v>33189</v>
      </c>
      <c r="B559" t="n">
        <v>7.801</v>
      </c>
      <c r="C559" t="n">
        <v>1.6453</v>
      </c>
    </row>
    <row r="560">
      <c r="A560" s="926" t="n">
        <v>33190</v>
      </c>
      <c r="B560" t="n">
        <v>7.805</v>
      </c>
      <c r="C560" t="n">
        <v>1.6453</v>
      </c>
    </row>
    <row r="561">
      <c r="A561" s="926" t="n">
        <v>33191</v>
      </c>
      <c r="B561" t="n">
        <v>7.795</v>
      </c>
      <c r="C561" t="n">
        <v>1.6453</v>
      </c>
    </row>
    <row r="562">
      <c r="A562" s="926" t="n">
        <v>33192</v>
      </c>
      <c r="B562" t="n">
        <v>7.794</v>
      </c>
      <c r="C562" t="n">
        <v>1.6453</v>
      </c>
    </row>
    <row r="563">
      <c r="A563" s="926" t="n">
        <v>33193</v>
      </c>
      <c r="B563" t="n">
        <v>7.795</v>
      </c>
      <c r="C563" t="n">
        <v>1.6453</v>
      </c>
    </row>
    <row r="564">
      <c r="A564" s="926" t="n">
        <v>33194</v>
      </c>
      <c r="B564" t="n">
        <v>7.793</v>
      </c>
      <c r="C564" t="n">
        <v>1.4927</v>
      </c>
    </row>
    <row r="565">
      <c r="A565" s="926" t="n">
        <v>33196</v>
      </c>
      <c r="B565" t="n">
        <v>7.793</v>
      </c>
      <c r="C565" t="n">
        <v>1.4927</v>
      </c>
    </row>
    <row r="566">
      <c r="A566" s="926" t="n">
        <v>33197</v>
      </c>
      <c r="B566" t="n">
        <v>7.793</v>
      </c>
      <c r="C566" t="n">
        <v>1.4927</v>
      </c>
    </row>
    <row r="567">
      <c r="A567" s="926" t="n">
        <v>33198</v>
      </c>
      <c r="B567" t="n">
        <v>7.786</v>
      </c>
      <c r="C567" t="n">
        <v>1.4927</v>
      </c>
    </row>
    <row r="568">
      <c r="A568" s="926" t="n">
        <v>33199</v>
      </c>
      <c r="B568" t="n">
        <v>7.784</v>
      </c>
      <c r="C568" t="n">
        <v>1.4927</v>
      </c>
    </row>
    <row r="569">
      <c r="A569" s="926" t="n">
        <v>33200</v>
      </c>
      <c r="B569" t="n">
        <v>7.791</v>
      </c>
      <c r="C569" t="n">
        <v>1.4927</v>
      </c>
    </row>
    <row r="570">
      <c r="A570" s="926" t="n">
        <v>33201</v>
      </c>
      <c r="B570" t="n">
        <v>7.797</v>
      </c>
      <c r="C570" t="n">
        <v>1.4927</v>
      </c>
    </row>
    <row r="571">
      <c r="A571" s="926" t="n">
        <v>33203</v>
      </c>
      <c r="B571" t="n">
        <v>7.792</v>
      </c>
      <c r="C571" t="n">
        <v>1.4927</v>
      </c>
    </row>
    <row r="572">
      <c r="A572" s="926" t="n">
        <v>33204</v>
      </c>
      <c r="B572" t="n">
        <v>7.79</v>
      </c>
      <c r="C572" t="n">
        <v>1.4927</v>
      </c>
    </row>
    <row r="573">
      <c r="A573" s="926" t="n">
        <v>33205</v>
      </c>
      <c r="B573" t="n">
        <v>7.795</v>
      </c>
      <c r="C573" t="n">
        <v>1.4927</v>
      </c>
    </row>
    <row r="574">
      <c r="A574" s="926" t="n">
        <v>33206</v>
      </c>
      <c r="B574" t="n">
        <v>7.796</v>
      </c>
      <c r="C574" t="n">
        <v>1.4927</v>
      </c>
    </row>
    <row r="575">
      <c r="A575" s="926" t="n">
        <v>33207</v>
      </c>
      <c r="B575" t="n">
        <v>7.8</v>
      </c>
      <c r="C575" t="n">
        <v>1.4927</v>
      </c>
    </row>
    <row r="576">
      <c r="A576" s="926" t="n">
        <v>33208</v>
      </c>
      <c r="B576" t="n">
        <v>7.801</v>
      </c>
      <c r="C576" t="n">
        <v>1.4927</v>
      </c>
    </row>
    <row r="577">
      <c r="A577" s="926" t="n">
        <v>33210</v>
      </c>
      <c r="B577" t="n">
        <v>7.804</v>
      </c>
      <c r="C577" t="n">
        <v>1.4927</v>
      </c>
    </row>
    <row r="578">
      <c r="A578" s="926" t="n">
        <v>33211</v>
      </c>
      <c r="B578" t="n">
        <v>7.804</v>
      </c>
      <c r="C578" t="n">
        <v>1.4927</v>
      </c>
    </row>
    <row r="579">
      <c r="A579" s="926" t="n">
        <v>33212</v>
      </c>
      <c r="B579" t="n">
        <v>7.803</v>
      </c>
      <c r="C579" t="n">
        <v>1.4927</v>
      </c>
    </row>
    <row r="580">
      <c r="A580" s="926" t="n">
        <v>33213</v>
      </c>
      <c r="B580" t="n">
        <v>7.805</v>
      </c>
      <c r="C580" t="n">
        <v>1.4927</v>
      </c>
    </row>
    <row r="581">
      <c r="A581" s="926" t="n">
        <v>33214</v>
      </c>
      <c r="B581" t="n">
        <v>7.805</v>
      </c>
      <c r="C581" t="n">
        <v>1.4927</v>
      </c>
    </row>
    <row r="582">
      <c r="A582" s="926" t="n">
        <v>33215</v>
      </c>
      <c r="B582" t="n">
        <v>7.801</v>
      </c>
      <c r="C582" t="n">
        <v>1.4927</v>
      </c>
    </row>
    <row r="583">
      <c r="A583" s="926" t="n">
        <v>33217</v>
      </c>
      <c r="B583" t="n">
        <v>7.802</v>
      </c>
      <c r="C583" t="n">
        <v>1.4927</v>
      </c>
    </row>
    <row r="584">
      <c r="A584" s="926" t="n">
        <v>33218</v>
      </c>
      <c r="B584" t="n">
        <v>7.801</v>
      </c>
      <c r="C584" t="n">
        <v>1.4927</v>
      </c>
    </row>
    <row r="585">
      <c r="A585" s="926" t="n">
        <v>33219</v>
      </c>
      <c r="B585" t="n">
        <v>7.803</v>
      </c>
      <c r="C585" t="n">
        <v>1.4927</v>
      </c>
    </row>
    <row r="586">
      <c r="A586" s="926" t="n">
        <v>33220</v>
      </c>
      <c r="B586" t="n">
        <v>7.803</v>
      </c>
      <c r="C586" t="n">
        <v>1.4927</v>
      </c>
    </row>
    <row r="587">
      <c r="A587" s="926" t="n">
        <v>33221</v>
      </c>
      <c r="B587" t="n">
        <v>7.804</v>
      </c>
      <c r="C587" t="n">
        <v>1.4927</v>
      </c>
    </row>
    <row r="588">
      <c r="A588" s="926" t="n">
        <v>33222</v>
      </c>
      <c r="B588" t="n">
        <v>7.802</v>
      </c>
      <c r="C588" t="n">
        <v>1.4927</v>
      </c>
    </row>
    <row r="589">
      <c r="A589" s="926" t="n">
        <v>33224</v>
      </c>
      <c r="B589" t="n">
        <v>7.806</v>
      </c>
      <c r="C589" t="n">
        <v>1.4927</v>
      </c>
    </row>
    <row r="590">
      <c r="A590" s="926" t="n">
        <v>33225</v>
      </c>
      <c r="B590" t="n">
        <v>7.803</v>
      </c>
      <c r="C590" t="n">
        <v>1.4927</v>
      </c>
    </row>
    <row r="591">
      <c r="A591" s="926" t="n">
        <v>33226</v>
      </c>
      <c r="B591" t="n">
        <v>7.801</v>
      </c>
      <c r="C591" t="n">
        <v>1.4927</v>
      </c>
    </row>
    <row r="592">
      <c r="A592" s="926" t="n">
        <v>33227</v>
      </c>
      <c r="B592" t="n">
        <v>7.801</v>
      </c>
      <c r="C592" t="n">
        <v>1.4927</v>
      </c>
    </row>
    <row r="593">
      <c r="A593" s="926" t="n">
        <v>33228</v>
      </c>
      <c r="B593" t="n">
        <v>7.803</v>
      </c>
      <c r="C593" t="n">
        <v>1.4927</v>
      </c>
    </row>
    <row r="594">
      <c r="A594" s="926" t="n">
        <v>33229</v>
      </c>
      <c r="B594" t="n">
        <v>7.803</v>
      </c>
      <c r="C594" t="n">
        <v>1.4927</v>
      </c>
    </row>
    <row r="595">
      <c r="A595" s="926" t="n">
        <v>33231</v>
      </c>
      <c r="B595" t="n">
        <v>7.804</v>
      </c>
      <c r="C595" t="n">
        <v>1.4927</v>
      </c>
    </row>
    <row r="596">
      <c r="A596" s="926" t="n">
        <v>33234</v>
      </c>
      <c r="B596" t="n">
        <v>7.806</v>
      </c>
      <c r="C596" t="n">
        <v>1.4927</v>
      </c>
    </row>
    <row r="597">
      <c r="A597" s="926" t="n">
        <v>33235</v>
      </c>
      <c r="B597" t="n">
        <v>7.801</v>
      </c>
      <c r="C597" t="n">
        <v>1.4927</v>
      </c>
    </row>
    <row r="598">
      <c r="A598" s="926" t="n">
        <v>33236</v>
      </c>
      <c r="B598" t="n">
        <v>7.8</v>
      </c>
      <c r="C598" t="n">
        <v>1.4927</v>
      </c>
    </row>
    <row r="599">
      <c r="A599" s="926" t="n">
        <v>33238</v>
      </c>
      <c r="B599" t="n">
        <v>7.801</v>
      </c>
      <c r="C599" t="n">
        <v>1.4927</v>
      </c>
    </row>
    <row r="600">
      <c r="A600" s="926" t="n">
        <v>33240</v>
      </c>
      <c r="B600" t="n">
        <v>7.797</v>
      </c>
      <c r="C600" t="n">
        <v>1.4927</v>
      </c>
    </row>
    <row r="601">
      <c r="A601" s="926" t="n">
        <v>33241</v>
      </c>
      <c r="B601" t="n">
        <v>7.796</v>
      </c>
      <c r="C601" t="n">
        <v>1.4927</v>
      </c>
    </row>
    <row r="602">
      <c r="A602" s="926" t="n">
        <v>33242</v>
      </c>
      <c r="B602" t="n">
        <v>7.796</v>
      </c>
      <c r="C602" t="n">
        <v>1.4927</v>
      </c>
    </row>
    <row r="603">
      <c r="A603" s="926" t="n">
        <v>33243</v>
      </c>
      <c r="B603" t="n">
        <v>7.796</v>
      </c>
      <c r="C603" t="n">
        <v>1.4927</v>
      </c>
    </row>
    <row r="604">
      <c r="A604" s="926" t="n">
        <v>33245</v>
      </c>
      <c r="B604" t="n">
        <v>7.799</v>
      </c>
      <c r="C604" t="n">
        <v>1.4927</v>
      </c>
    </row>
    <row r="605">
      <c r="A605" s="926" t="n">
        <v>33246</v>
      </c>
      <c r="B605" t="n">
        <v>7.8</v>
      </c>
      <c r="C605" t="n">
        <v>1.4927</v>
      </c>
    </row>
    <row r="606">
      <c r="A606" s="926" t="n">
        <v>33247</v>
      </c>
      <c r="B606" t="n">
        <v>7.801</v>
      </c>
      <c r="C606" t="n">
        <v>1.4927</v>
      </c>
    </row>
    <row r="607">
      <c r="A607" s="926" t="n">
        <v>33248</v>
      </c>
      <c r="B607" t="n">
        <v>7.8</v>
      </c>
      <c r="C607" t="n">
        <v>1.4927</v>
      </c>
    </row>
    <row r="608">
      <c r="A608" s="926" t="n">
        <v>33249</v>
      </c>
      <c r="B608" t="n">
        <v>7.799</v>
      </c>
      <c r="C608" t="n">
        <v>1.4927</v>
      </c>
    </row>
    <row r="609">
      <c r="A609" s="926" t="n">
        <v>33250</v>
      </c>
      <c r="B609" t="n">
        <v>7.799</v>
      </c>
      <c r="C609" t="n">
        <v>1.4927</v>
      </c>
    </row>
    <row r="610">
      <c r="A610" s="926" t="n">
        <v>33252</v>
      </c>
      <c r="B610" t="n">
        <v>7.8</v>
      </c>
      <c r="C610" t="n">
        <v>1.4927</v>
      </c>
    </row>
    <row r="611">
      <c r="A611" s="926" t="n">
        <v>33253</v>
      </c>
      <c r="B611" t="n">
        <v>7.802</v>
      </c>
      <c r="C611" t="n">
        <v>1.4927</v>
      </c>
    </row>
    <row r="612">
      <c r="A612" s="926" t="n">
        <v>33254</v>
      </c>
      <c r="B612" t="n">
        <v>7.8</v>
      </c>
      <c r="C612" t="n">
        <v>1.4927</v>
      </c>
    </row>
    <row r="613">
      <c r="A613" s="926" t="n">
        <v>33255</v>
      </c>
      <c r="B613" t="n">
        <v>7.799</v>
      </c>
      <c r="C613" t="n">
        <v>1.4927</v>
      </c>
    </row>
    <row r="614">
      <c r="A614" s="926" t="n">
        <v>33256</v>
      </c>
      <c r="B614" t="n">
        <v>7.797</v>
      </c>
      <c r="C614" t="n">
        <v>1.4927</v>
      </c>
    </row>
    <row r="615">
      <c r="A615" s="926" t="n">
        <v>33257</v>
      </c>
      <c r="B615" t="n">
        <v>7.798</v>
      </c>
      <c r="C615" t="n">
        <v>1.4927</v>
      </c>
    </row>
    <row r="616">
      <c r="A616" s="926" t="n">
        <v>33259</v>
      </c>
      <c r="B616" t="n">
        <v>7.796</v>
      </c>
      <c r="C616" t="n">
        <v>1.4927</v>
      </c>
    </row>
    <row r="617">
      <c r="A617" s="926" t="n">
        <v>33260</v>
      </c>
      <c r="B617" t="n">
        <v>7.792</v>
      </c>
      <c r="C617" t="n">
        <v>1.4927</v>
      </c>
    </row>
    <row r="618">
      <c r="A618" s="926" t="n">
        <v>33261</v>
      </c>
      <c r="B618" t="n">
        <v>7.794</v>
      </c>
      <c r="C618" t="n">
        <v>1.4927</v>
      </c>
    </row>
    <row r="619">
      <c r="A619" s="926" t="n">
        <v>33262</v>
      </c>
      <c r="B619" t="n">
        <v>7.793</v>
      </c>
      <c r="C619" t="n">
        <v>1.4927</v>
      </c>
    </row>
    <row r="620">
      <c r="A620" s="926" t="n">
        <v>33263</v>
      </c>
      <c r="B620" t="n">
        <v>7.795</v>
      </c>
      <c r="C620" t="n">
        <v>1.4927</v>
      </c>
    </row>
    <row r="621">
      <c r="A621" s="926" t="n">
        <v>33264</v>
      </c>
      <c r="B621" t="n">
        <v>7.795</v>
      </c>
      <c r="C621" t="n">
        <v>1.4927</v>
      </c>
    </row>
    <row r="622">
      <c r="A622" s="926" t="n">
        <v>33266</v>
      </c>
      <c r="B622" t="n">
        <v>7.795</v>
      </c>
      <c r="C622" t="n">
        <v>1.4927</v>
      </c>
    </row>
    <row r="623">
      <c r="A623" s="926" t="n">
        <v>33267</v>
      </c>
      <c r="B623" t="n">
        <v>7.794</v>
      </c>
      <c r="C623" t="n">
        <v>1.4927</v>
      </c>
    </row>
    <row r="624">
      <c r="A624" s="926" t="n">
        <v>33268</v>
      </c>
      <c r="B624" t="n">
        <v>7.793</v>
      </c>
      <c r="C624" t="n">
        <v>1.4927</v>
      </c>
    </row>
    <row r="625">
      <c r="A625" s="926" t="n">
        <v>33269</v>
      </c>
      <c r="B625" t="n">
        <v>7.795</v>
      </c>
      <c r="C625" t="n">
        <v>1.4927</v>
      </c>
    </row>
    <row r="626">
      <c r="A626" s="926" t="n">
        <v>33270</v>
      </c>
      <c r="B626" t="n">
        <v>7.795</v>
      </c>
      <c r="C626" t="n">
        <v>1.4927</v>
      </c>
    </row>
    <row r="627">
      <c r="A627" s="926" t="n">
        <v>33271</v>
      </c>
      <c r="B627" t="n">
        <v>7.794</v>
      </c>
      <c r="C627" t="n">
        <v>1.4927</v>
      </c>
    </row>
    <row r="628">
      <c r="A628" s="926" t="n">
        <v>33273</v>
      </c>
      <c r="B628" t="n">
        <v>7.797</v>
      </c>
      <c r="C628" t="n">
        <v>1.4927</v>
      </c>
    </row>
    <row r="629">
      <c r="A629" s="926" t="n">
        <v>33274</v>
      </c>
      <c r="B629" t="n">
        <v>7.797</v>
      </c>
      <c r="C629" t="n">
        <v>1.4927</v>
      </c>
    </row>
    <row r="630">
      <c r="A630" s="926" t="n">
        <v>33275</v>
      </c>
      <c r="B630" t="n">
        <v>7.801</v>
      </c>
      <c r="C630" t="n">
        <v>1.4927</v>
      </c>
    </row>
    <row r="631">
      <c r="A631" s="926" t="n">
        <v>33276</v>
      </c>
      <c r="B631" t="n">
        <v>7.799</v>
      </c>
      <c r="C631" t="n">
        <v>1.4927</v>
      </c>
    </row>
    <row r="632">
      <c r="A632" s="926" t="n">
        <v>33277</v>
      </c>
      <c r="B632" t="n">
        <v>7.797</v>
      </c>
      <c r="C632" t="n">
        <v>1.4927</v>
      </c>
    </row>
    <row r="633">
      <c r="A633" s="926" t="n">
        <v>33278</v>
      </c>
      <c r="B633" t="n">
        <v>7.796</v>
      </c>
      <c r="C633" t="n">
        <v>1.4927</v>
      </c>
    </row>
    <row r="634">
      <c r="A634" s="926" t="n">
        <v>33280</v>
      </c>
      <c r="B634" t="n">
        <v>7.796</v>
      </c>
      <c r="C634" t="n">
        <v>1.4927</v>
      </c>
    </row>
    <row r="635">
      <c r="A635" s="926" t="n">
        <v>33281</v>
      </c>
      <c r="B635" t="n">
        <v>7.793</v>
      </c>
      <c r="C635" t="n">
        <v>1.4927</v>
      </c>
    </row>
    <row r="636">
      <c r="A636" s="926" t="n">
        <v>33282</v>
      </c>
      <c r="B636" t="n">
        <v>7.793</v>
      </c>
      <c r="C636" t="n">
        <v>1.4927</v>
      </c>
    </row>
    <row r="637">
      <c r="A637" s="926" t="n">
        <v>33287</v>
      </c>
      <c r="B637" t="n">
        <v>7.794</v>
      </c>
      <c r="C637" t="n">
        <v>1.4927</v>
      </c>
    </row>
    <row r="638">
      <c r="A638" s="926" t="n">
        <v>33288</v>
      </c>
      <c r="B638" t="n">
        <v>7.794</v>
      </c>
      <c r="C638" t="n">
        <v>1.4927</v>
      </c>
    </row>
    <row r="639">
      <c r="A639" s="926" t="n">
        <v>33289</v>
      </c>
      <c r="B639" t="n">
        <v>7.792</v>
      </c>
      <c r="C639" t="n">
        <v>1.4927</v>
      </c>
    </row>
    <row r="640">
      <c r="A640" s="926" t="n">
        <v>33290</v>
      </c>
      <c r="B640" t="n">
        <v>7.791</v>
      </c>
      <c r="C640" t="n">
        <v>1.4927</v>
      </c>
    </row>
    <row r="641">
      <c r="A641" s="926" t="n">
        <v>33291</v>
      </c>
      <c r="B641" t="n">
        <v>7.792</v>
      </c>
      <c r="C641" t="n">
        <v>1.4927</v>
      </c>
    </row>
    <row r="642">
      <c r="A642" s="926" t="n">
        <v>33292</v>
      </c>
      <c r="B642" t="n">
        <v>7.791</v>
      </c>
      <c r="C642" t="n">
        <v>1.4927</v>
      </c>
    </row>
    <row r="643">
      <c r="A643" s="926" t="n">
        <v>33294</v>
      </c>
      <c r="B643" t="n">
        <v>7.794</v>
      </c>
      <c r="C643" t="n">
        <v>1.4927</v>
      </c>
    </row>
    <row r="644">
      <c r="A644" s="926" t="n">
        <v>33295</v>
      </c>
      <c r="B644" t="n">
        <v>7.794</v>
      </c>
      <c r="C644" t="n">
        <v>1.4927</v>
      </c>
    </row>
    <row r="645">
      <c r="A645" s="926" t="n">
        <v>33296</v>
      </c>
      <c r="B645" t="n">
        <v>7.794</v>
      </c>
      <c r="C645" t="n">
        <v>1.4927</v>
      </c>
    </row>
    <row r="646">
      <c r="A646" s="926" t="n">
        <v>33297</v>
      </c>
      <c r="B646" t="n">
        <v>7.793</v>
      </c>
      <c r="C646" t="n">
        <v>1.4927</v>
      </c>
    </row>
    <row r="647">
      <c r="A647" s="926" t="n">
        <v>33298</v>
      </c>
      <c r="B647" t="n">
        <v>7.794</v>
      </c>
      <c r="C647" t="n">
        <v>1.4927</v>
      </c>
    </row>
    <row r="648">
      <c r="A648" s="926" t="n">
        <v>33299</v>
      </c>
      <c r="B648" t="n">
        <v>7.794</v>
      </c>
      <c r="C648" t="n">
        <v>1.4927</v>
      </c>
    </row>
    <row r="649">
      <c r="A649" s="926" t="n">
        <v>33301</v>
      </c>
      <c r="B649" t="n">
        <v>7.793</v>
      </c>
      <c r="C649" t="n">
        <v>1.4927</v>
      </c>
    </row>
    <row r="650">
      <c r="A650" s="926" t="n">
        <v>33302</v>
      </c>
      <c r="B650" t="n">
        <v>7.792</v>
      </c>
      <c r="C650" t="n">
        <v>1.4927</v>
      </c>
    </row>
    <row r="651">
      <c r="A651" s="926" t="n">
        <v>33303</v>
      </c>
      <c r="B651" t="n">
        <v>7.793</v>
      </c>
      <c r="C651" t="n">
        <v>1.4927</v>
      </c>
    </row>
    <row r="652">
      <c r="A652" s="926" t="n">
        <v>33304</v>
      </c>
      <c r="B652" t="n">
        <v>7.793</v>
      </c>
      <c r="C652" t="n">
        <v>1.4927</v>
      </c>
    </row>
    <row r="653">
      <c r="A653" s="926" t="n">
        <v>33305</v>
      </c>
      <c r="B653" t="n">
        <v>7.795</v>
      </c>
      <c r="C653" t="n">
        <v>1.4927</v>
      </c>
    </row>
    <row r="654">
      <c r="A654" s="926" t="n">
        <v>33306</v>
      </c>
      <c r="B654" t="n">
        <v>7.794</v>
      </c>
      <c r="C654" t="n">
        <v>1.4927</v>
      </c>
    </row>
    <row r="655">
      <c r="A655" s="926" t="n">
        <v>33308</v>
      </c>
      <c r="B655" t="n">
        <v>7.795</v>
      </c>
      <c r="C655" t="n">
        <v>1.4927</v>
      </c>
    </row>
    <row r="656">
      <c r="A656" s="926" t="n">
        <v>33309</v>
      </c>
      <c r="B656" t="n">
        <v>7.795</v>
      </c>
      <c r="C656" t="n">
        <v>1.4927</v>
      </c>
    </row>
    <row r="657">
      <c r="A657" s="926" t="n">
        <v>33310</v>
      </c>
      <c r="B657" t="n">
        <v>7.793</v>
      </c>
      <c r="C657" t="n">
        <v>1.4927</v>
      </c>
    </row>
    <row r="658">
      <c r="A658" s="926" t="n">
        <v>33311</v>
      </c>
      <c r="B658" t="n">
        <v>7.792</v>
      </c>
      <c r="C658" t="n">
        <v>1.4927</v>
      </c>
    </row>
    <row r="659">
      <c r="A659" s="926" t="n">
        <v>33312</v>
      </c>
      <c r="B659" t="n">
        <v>7.791</v>
      </c>
      <c r="C659" t="n">
        <v>1.4927</v>
      </c>
    </row>
    <row r="660">
      <c r="A660" s="926" t="n">
        <v>33313</v>
      </c>
      <c r="B660" t="n">
        <v>7.792</v>
      </c>
      <c r="C660" t="n">
        <v>1.4927</v>
      </c>
    </row>
    <row r="661">
      <c r="A661" s="926" t="n">
        <v>33315</v>
      </c>
      <c r="B661" t="n">
        <v>7.794</v>
      </c>
      <c r="C661" t="n">
        <v>1.4927</v>
      </c>
    </row>
    <row r="662">
      <c r="A662" s="926" t="n">
        <v>33316</v>
      </c>
      <c r="B662" t="n">
        <v>7.791</v>
      </c>
      <c r="C662" t="n">
        <v>1.4927</v>
      </c>
    </row>
    <row r="663">
      <c r="A663" s="926" t="n">
        <v>33317</v>
      </c>
      <c r="B663" t="n">
        <v>7.786</v>
      </c>
      <c r="C663" t="n">
        <v>1.4927</v>
      </c>
    </row>
    <row r="664">
      <c r="A664" s="926" t="n">
        <v>33318</v>
      </c>
      <c r="B664" t="n">
        <v>7.783</v>
      </c>
      <c r="C664" t="n">
        <v>1.4927</v>
      </c>
    </row>
    <row r="665">
      <c r="A665" s="926" t="n">
        <v>33319</v>
      </c>
      <c r="B665" t="n">
        <v>7.783</v>
      </c>
      <c r="C665" t="n">
        <v>1.4927</v>
      </c>
    </row>
    <row r="666">
      <c r="A666" s="926" t="n">
        <v>33320</v>
      </c>
      <c r="B666" t="n">
        <v>7.783</v>
      </c>
      <c r="C666" t="n">
        <v>1.4927</v>
      </c>
    </row>
    <row r="667">
      <c r="A667" s="926" t="n">
        <v>33322</v>
      </c>
      <c r="B667" t="n">
        <v>7.786</v>
      </c>
      <c r="C667" t="n">
        <v>1.4927</v>
      </c>
    </row>
    <row r="668">
      <c r="A668" s="926" t="n">
        <v>33323</v>
      </c>
      <c r="B668" t="n">
        <v>7.786</v>
      </c>
      <c r="C668" t="n">
        <v>1.4927</v>
      </c>
    </row>
    <row r="669">
      <c r="A669" s="926" t="n">
        <v>33324</v>
      </c>
      <c r="B669" t="n">
        <v>7.792</v>
      </c>
      <c r="C669" t="n">
        <v>1.4927</v>
      </c>
    </row>
    <row r="670">
      <c r="A670" s="926" t="n">
        <v>33325</v>
      </c>
      <c r="B670" t="n">
        <v>7.794</v>
      </c>
      <c r="C670" t="n">
        <v>1.4927</v>
      </c>
    </row>
    <row r="671">
      <c r="A671" s="926" t="n">
        <v>33330</v>
      </c>
      <c r="B671" t="n">
        <v>7.792</v>
      </c>
      <c r="C671" t="n">
        <v>1.4927</v>
      </c>
    </row>
    <row r="672">
      <c r="A672" s="926" t="n">
        <v>33331</v>
      </c>
      <c r="B672" t="n">
        <v>7.797</v>
      </c>
      <c r="C672" t="n">
        <v>1.4927</v>
      </c>
    </row>
    <row r="673">
      <c r="A673" s="926" t="n">
        <v>33332</v>
      </c>
      <c r="B673" t="n">
        <v>7.797</v>
      </c>
      <c r="C673" t="n">
        <v>1.4927</v>
      </c>
    </row>
    <row r="674">
      <c r="A674" s="926" t="n">
        <v>33334</v>
      </c>
      <c r="B674" t="n">
        <v>7.796</v>
      </c>
      <c r="C674" t="n">
        <v>1.4927</v>
      </c>
    </row>
    <row r="675">
      <c r="A675" s="926" t="n">
        <v>33336</v>
      </c>
      <c r="B675" t="n">
        <v>7.798</v>
      </c>
      <c r="C675" t="n">
        <v>1.4927</v>
      </c>
    </row>
    <row r="676">
      <c r="A676" s="926" t="n">
        <v>33337</v>
      </c>
      <c r="B676" t="n">
        <v>7.793</v>
      </c>
      <c r="C676" t="n">
        <v>1.4791</v>
      </c>
    </row>
    <row r="677">
      <c r="A677" s="926" t="n">
        <v>33338</v>
      </c>
      <c r="B677" t="n">
        <v>7.793</v>
      </c>
      <c r="C677" t="n">
        <v>1.4791</v>
      </c>
    </row>
    <row r="678">
      <c r="A678" s="926" t="n">
        <v>33339</v>
      </c>
      <c r="B678" t="n">
        <v>7.791</v>
      </c>
      <c r="C678" t="n">
        <v>1.4791</v>
      </c>
    </row>
    <row r="679">
      <c r="A679" s="926" t="n">
        <v>33340</v>
      </c>
      <c r="B679" t="n">
        <v>7.792</v>
      </c>
      <c r="C679" t="n">
        <v>1.4791</v>
      </c>
    </row>
    <row r="680">
      <c r="A680" s="926" t="n">
        <v>33341</v>
      </c>
      <c r="B680" t="n">
        <v>7.79</v>
      </c>
      <c r="C680" t="n">
        <v>1.4791</v>
      </c>
    </row>
    <row r="681">
      <c r="A681" s="926" t="n">
        <v>33343</v>
      </c>
      <c r="B681" t="n">
        <v>7.791</v>
      </c>
      <c r="C681" t="n">
        <v>1.4791</v>
      </c>
    </row>
    <row r="682">
      <c r="A682" s="926" t="n">
        <v>33344</v>
      </c>
      <c r="B682" t="n">
        <v>7.789</v>
      </c>
      <c r="C682" t="n">
        <v>1.4791</v>
      </c>
    </row>
    <row r="683">
      <c r="A683" s="926" t="n">
        <v>33345</v>
      </c>
      <c r="B683" t="n">
        <v>7.79</v>
      </c>
      <c r="C683" t="n">
        <v>1.4791</v>
      </c>
    </row>
    <row r="684">
      <c r="A684" s="926" t="n">
        <v>33346</v>
      </c>
      <c r="B684" t="n">
        <v>7.79</v>
      </c>
      <c r="C684" t="n">
        <v>1.4791</v>
      </c>
    </row>
    <row r="685">
      <c r="A685" s="926" t="n">
        <v>33347</v>
      </c>
      <c r="B685" t="n">
        <v>7.791</v>
      </c>
      <c r="C685" t="n">
        <v>1.4791</v>
      </c>
    </row>
    <row r="686">
      <c r="A686" s="926" t="n">
        <v>33348</v>
      </c>
      <c r="B686" t="n">
        <v>7.792</v>
      </c>
      <c r="C686" t="n">
        <v>1.4712</v>
      </c>
    </row>
    <row r="687">
      <c r="A687" s="926" t="n">
        <v>33350</v>
      </c>
      <c r="B687" t="n">
        <v>7.793</v>
      </c>
      <c r="C687" t="n">
        <v>1.4712</v>
      </c>
    </row>
    <row r="688">
      <c r="A688" s="926" t="n">
        <v>33351</v>
      </c>
      <c r="B688" t="n">
        <v>7.794</v>
      </c>
      <c r="C688" t="n">
        <v>1.4712</v>
      </c>
    </row>
    <row r="689">
      <c r="A689" s="926" t="n">
        <v>33352</v>
      </c>
      <c r="B689" t="n">
        <v>7.795</v>
      </c>
      <c r="C689" t="n">
        <v>1.4712</v>
      </c>
    </row>
    <row r="690">
      <c r="A690" s="926" t="n">
        <v>33353</v>
      </c>
      <c r="B690" t="n">
        <v>7.796</v>
      </c>
      <c r="C690" t="n">
        <v>1.4712</v>
      </c>
    </row>
    <row r="691">
      <c r="A691" s="926" t="n">
        <v>33354</v>
      </c>
      <c r="B691" t="n">
        <v>7.796</v>
      </c>
      <c r="C691" t="n">
        <v>1.4712</v>
      </c>
    </row>
    <row r="692">
      <c r="A692" s="926" t="n">
        <v>33355</v>
      </c>
      <c r="B692" t="n">
        <v>7.796</v>
      </c>
      <c r="C692" t="n">
        <v>1.4712</v>
      </c>
    </row>
    <row r="693">
      <c r="A693" s="926" t="n">
        <v>33357</v>
      </c>
      <c r="B693" t="n">
        <v>7.796</v>
      </c>
      <c r="C693" t="n">
        <v>1.4712</v>
      </c>
    </row>
    <row r="694">
      <c r="A694" s="926" t="n">
        <v>33358</v>
      </c>
      <c r="B694" t="n">
        <v>7.796</v>
      </c>
      <c r="C694" t="n">
        <v>1.4712</v>
      </c>
    </row>
    <row r="695">
      <c r="A695" s="926" t="n">
        <v>33359</v>
      </c>
      <c r="B695" t="n">
        <v>7.794</v>
      </c>
      <c r="C695" t="n">
        <v>1.4712</v>
      </c>
    </row>
    <row r="696">
      <c r="A696" s="926" t="n">
        <v>33360</v>
      </c>
      <c r="B696" t="n">
        <v>7.795</v>
      </c>
      <c r="C696" t="n">
        <v>1.4712</v>
      </c>
    </row>
    <row r="697">
      <c r="A697" s="926" t="n">
        <v>33361</v>
      </c>
      <c r="B697" t="n">
        <v>7.795</v>
      </c>
      <c r="C697" t="n">
        <v>1.4712</v>
      </c>
    </row>
    <row r="698">
      <c r="A698" s="926" t="n">
        <v>33362</v>
      </c>
      <c r="B698" t="n">
        <v>7.794</v>
      </c>
      <c r="C698" t="n">
        <v>1.4712</v>
      </c>
    </row>
    <row r="699">
      <c r="A699" s="926" t="n">
        <v>33364</v>
      </c>
      <c r="B699" t="n">
        <v>7.794</v>
      </c>
      <c r="C699" t="n">
        <v>1.4712</v>
      </c>
    </row>
    <row r="700">
      <c r="A700" s="926" t="n">
        <v>33365</v>
      </c>
      <c r="B700" t="n">
        <v>7.794</v>
      </c>
      <c r="C700" t="n">
        <v>1.4712</v>
      </c>
    </row>
    <row r="701">
      <c r="A701" s="926" t="n">
        <v>33366</v>
      </c>
      <c r="B701" t="n">
        <v>7.792</v>
      </c>
      <c r="C701" t="n">
        <v>1.4712</v>
      </c>
    </row>
    <row r="702">
      <c r="A702" s="926" t="n">
        <v>33367</v>
      </c>
      <c r="B702" t="n">
        <v>7.792</v>
      </c>
      <c r="C702" t="n">
        <v>1.4712</v>
      </c>
    </row>
    <row r="703">
      <c r="A703" s="926" t="n">
        <v>33368</v>
      </c>
      <c r="B703" t="n">
        <v>7.793</v>
      </c>
      <c r="C703" t="n">
        <v>1.4712</v>
      </c>
    </row>
    <row r="704">
      <c r="A704" s="926" t="n">
        <v>33369</v>
      </c>
      <c r="B704" t="n">
        <v>7.791</v>
      </c>
      <c r="C704" t="n">
        <v>1.4712</v>
      </c>
    </row>
    <row r="705">
      <c r="A705" s="926" t="n">
        <v>33371</v>
      </c>
      <c r="B705" t="n">
        <v>7.793</v>
      </c>
      <c r="C705" t="n">
        <v>1.4712</v>
      </c>
    </row>
    <row r="706">
      <c r="A706" s="926" t="n">
        <v>33372</v>
      </c>
      <c r="B706" t="n">
        <v>7.792</v>
      </c>
      <c r="C706" t="n">
        <v>1.4712</v>
      </c>
    </row>
    <row r="707">
      <c r="A707" s="926" t="n">
        <v>33373</v>
      </c>
      <c r="B707" t="n">
        <v>7.791</v>
      </c>
      <c r="C707" t="n">
        <v>1.4712</v>
      </c>
    </row>
    <row r="708">
      <c r="A708" s="926" t="n">
        <v>33374</v>
      </c>
      <c r="B708" t="n">
        <v>7.788</v>
      </c>
      <c r="C708" t="n">
        <v>1.4712</v>
      </c>
    </row>
    <row r="709">
      <c r="A709" s="926" t="n">
        <v>33375</v>
      </c>
      <c r="B709" t="n">
        <v>7.79</v>
      </c>
      <c r="C709" t="n">
        <v>1.4712</v>
      </c>
    </row>
    <row r="710">
      <c r="A710" s="926" t="n">
        <v>33376</v>
      </c>
      <c r="B710" t="n">
        <v>7.79</v>
      </c>
      <c r="C710" t="n">
        <v>1.4712</v>
      </c>
    </row>
    <row r="711">
      <c r="A711" s="926" t="n">
        <v>33378</v>
      </c>
      <c r="B711" t="n">
        <v>7.79</v>
      </c>
      <c r="C711" t="n">
        <v>1.4712</v>
      </c>
    </row>
    <row r="712">
      <c r="A712" s="926" t="n">
        <v>33379</v>
      </c>
      <c r="B712" t="n">
        <v>7.79</v>
      </c>
      <c r="C712" t="n">
        <v>1.4712</v>
      </c>
    </row>
    <row r="713">
      <c r="A713" s="926" t="n">
        <v>33380</v>
      </c>
      <c r="B713" t="n">
        <v>7.787</v>
      </c>
      <c r="C713" t="n">
        <v>1.4712</v>
      </c>
    </row>
    <row r="714">
      <c r="A714" s="926" t="n">
        <v>33381</v>
      </c>
      <c r="B714" t="n">
        <v>7.788</v>
      </c>
      <c r="C714" t="n">
        <v>1.4631</v>
      </c>
    </row>
    <row r="715">
      <c r="A715" s="926" t="n">
        <v>33382</v>
      </c>
      <c r="B715" t="n">
        <v>7.775</v>
      </c>
      <c r="C715" t="n">
        <v>1.4631</v>
      </c>
    </row>
    <row r="716">
      <c r="A716" s="926" t="n">
        <v>33383</v>
      </c>
      <c r="B716" t="n">
        <v>7.76</v>
      </c>
      <c r="C716" t="n">
        <v>1.4631</v>
      </c>
    </row>
    <row r="717">
      <c r="A717" s="926" t="n">
        <v>33385</v>
      </c>
      <c r="B717" t="n">
        <v>7.753</v>
      </c>
      <c r="C717" t="n">
        <v>1.4631</v>
      </c>
    </row>
    <row r="718">
      <c r="A718" s="926" t="n">
        <v>33386</v>
      </c>
      <c r="B718" t="n">
        <v>7.748</v>
      </c>
      <c r="C718" t="n">
        <v>1.4631</v>
      </c>
    </row>
    <row r="719">
      <c r="A719" s="926" t="n">
        <v>33387</v>
      </c>
      <c r="B719" t="n">
        <v>7.731</v>
      </c>
      <c r="C719" t="n">
        <v>1.4631</v>
      </c>
    </row>
    <row r="720">
      <c r="A720" s="926" t="n">
        <v>33388</v>
      </c>
      <c r="B720" t="n">
        <v>7.73</v>
      </c>
      <c r="C720" t="n">
        <v>1.4631</v>
      </c>
    </row>
    <row r="721">
      <c r="A721" s="926" t="n">
        <v>33389</v>
      </c>
      <c r="B721" t="n">
        <v>7.735</v>
      </c>
      <c r="C721" t="n">
        <v>1.4477</v>
      </c>
    </row>
    <row r="722">
      <c r="A722" s="926" t="n">
        <v>33390</v>
      </c>
      <c r="B722" t="n">
        <v>7.735</v>
      </c>
      <c r="C722" t="n">
        <v>1.4477</v>
      </c>
    </row>
    <row r="723">
      <c r="A723" s="926" t="n">
        <v>33392</v>
      </c>
      <c r="B723" t="n">
        <v>7.739</v>
      </c>
      <c r="C723" t="n">
        <v>1.4477</v>
      </c>
    </row>
    <row r="724">
      <c r="A724" s="926" t="n">
        <v>33393</v>
      </c>
      <c r="B724" t="n">
        <v>7.749</v>
      </c>
      <c r="C724" t="n">
        <v>1.4477</v>
      </c>
    </row>
    <row r="725">
      <c r="A725" s="926" t="n">
        <v>33394</v>
      </c>
      <c r="B725" t="n">
        <v>7.741</v>
      </c>
      <c r="C725" t="n">
        <v>1.4477</v>
      </c>
    </row>
    <row r="726">
      <c r="A726" s="926" t="n">
        <v>33395</v>
      </c>
      <c r="B726" t="n">
        <v>7.743</v>
      </c>
      <c r="C726" t="n">
        <v>1.4477</v>
      </c>
    </row>
    <row r="727">
      <c r="A727" s="926" t="n">
        <v>33396</v>
      </c>
      <c r="B727" t="n">
        <v>7.733</v>
      </c>
      <c r="C727" t="n">
        <v>1.4477</v>
      </c>
    </row>
    <row r="728">
      <c r="A728" s="926" t="n">
        <v>33397</v>
      </c>
      <c r="B728" t="n">
        <v>7.735</v>
      </c>
      <c r="C728" t="n">
        <v>1.4477</v>
      </c>
    </row>
    <row r="729">
      <c r="A729" s="926" t="n">
        <v>33399</v>
      </c>
      <c r="B729" t="n">
        <v>7.728</v>
      </c>
      <c r="C729" t="n">
        <v>1.4477</v>
      </c>
    </row>
    <row r="730">
      <c r="A730" s="926" t="n">
        <v>33400</v>
      </c>
      <c r="B730" t="n">
        <v>7.727</v>
      </c>
      <c r="C730" t="n">
        <v>1.4477</v>
      </c>
    </row>
    <row r="731">
      <c r="A731" s="926" t="n">
        <v>33401</v>
      </c>
      <c r="B731" t="n">
        <v>7.732</v>
      </c>
      <c r="C731" t="n">
        <v>1.4477</v>
      </c>
    </row>
    <row r="732">
      <c r="A732" s="926" t="n">
        <v>33402</v>
      </c>
      <c r="B732" t="n">
        <v>7.732</v>
      </c>
      <c r="C732" t="n">
        <v>1.4477</v>
      </c>
    </row>
    <row r="733">
      <c r="A733" s="926" t="n">
        <v>33403</v>
      </c>
      <c r="B733" t="n">
        <v>7.728</v>
      </c>
      <c r="C733" t="n">
        <v>1.4477</v>
      </c>
    </row>
    <row r="734">
      <c r="A734" s="926" t="n">
        <v>33408</v>
      </c>
      <c r="B734" t="n">
        <v>7.722</v>
      </c>
      <c r="C734" t="n">
        <v>1.4477</v>
      </c>
    </row>
    <row r="735">
      <c r="A735" s="926" t="n">
        <v>33409</v>
      </c>
      <c r="B735" t="n">
        <v>7.72</v>
      </c>
      <c r="C735" t="n">
        <v>1.4477</v>
      </c>
    </row>
    <row r="736">
      <c r="A736" s="926" t="n">
        <v>33410</v>
      </c>
      <c r="B736" t="n">
        <v>7.723</v>
      </c>
      <c r="C736" t="n">
        <v>1.4477</v>
      </c>
    </row>
    <row r="737">
      <c r="A737" s="926" t="n">
        <v>33411</v>
      </c>
      <c r="B737" t="n">
        <v>7.714</v>
      </c>
      <c r="C737" t="n">
        <v>1.4477</v>
      </c>
    </row>
    <row r="738">
      <c r="A738" s="926" t="n">
        <v>33413</v>
      </c>
      <c r="B738" t="n">
        <v>7.723</v>
      </c>
      <c r="C738" t="n">
        <v>1.4477</v>
      </c>
    </row>
    <row r="739">
      <c r="A739" s="926" t="n">
        <v>33414</v>
      </c>
      <c r="B739" t="n">
        <v>7.749</v>
      </c>
      <c r="C739" t="n">
        <v>1.4477</v>
      </c>
    </row>
    <row r="740">
      <c r="A740" s="926" t="n">
        <v>33415</v>
      </c>
      <c r="B740" t="n">
        <v>7.74</v>
      </c>
      <c r="C740" t="n">
        <v>1.4477</v>
      </c>
    </row>
    <row r="741">
      <c r="A741" s="926" t="n">
        <v>33416</v>
      </c>
      <c r="B741" t="n">
        <v>7.746</v>
      </c>
      <c r="C741" t="n">
        <v>1.4477</v>
      </c>
    </row>
    <row r="742">
      <c r="A742" s="926" t="n">
        <v>33417</v>
      </c>
      <c r="B742" t="n">
        <v>7.742</v>
      </c>
      <c r="C742" t="n">
        <v>1.4477</v>
      </c>
    </row>
    <row r="743">
      <c r="A743" s="926" t="n">
        <v>33418</v>
      </c>
      <c r="B743" t="n">
        <v>7.76</v>
      </c>
      <c r="C743" t="n">
        <v>1.4477</v>
      </c>
    </row>
    <row r="744">
      <c r="A744" s="926" t="n">
        <v>33420</v>
      </c>
      <c r="B744" t="n">
        <v>7.766</v>
      </c>
      <c r="C744" t="n">
        <v>1.4477</v>
      </c>
    </row>
    <row r="745">
      <c r="A745" s="926" t="n">
        <v>33421</v>
      </c>
      <c r="B745" t="n">
        <v>7.773</v>
      </c>
      <c r="C745" t="n">
        <v>1.4477</v>
      </c>
    </row>
    <row r="746">
      <c r="A746" s="926" t="n">
        <v>33422</v>
      </c>
      <c r="B746" t="n">
        <v>7.769</v>
      </c>
      <c r="C746" t="n">
        <v>1.4477</v>
      </c>
    </row>
    <row r="747">
      <c r="A747" s="926" t="n">
        <v>33423</v>
      </c>
      <c r="B747" t="n">
        <v>7.77</v>
      </c>
      <c r="C747" t="n">
        <v>1.4477</v>
      </c>
    </row>
    <row r="748">
      <c r="A748" s="926" t="n">
        <v>33424</v>
      </c>
      <c r="B748" t="n">
        <v>7.767</v>
      </c>
      <c r="C748" t="n">
        <v>1.4477</v>
      </c>
    </row>
    <row r="749">
      <c r="A749" s="926" t="n">
        <v>33425</v>
      </c>
      <c r="B749" t="n">
        <v>7.765</v>
      </c>
      <c r="C749" t="n">
        <v>1.4477</v>
      </c>
    </row>
    <row r="750">
      <c r="A750" s="926" t="n">
        <v>33427</v>
      </c>
      <c r="B750" t="n">
        <v>7.762</v>
      </c>
      <c r="C750" t="n">
        <v>1.4477</v>
      </c>
    </row>
    <row r="751">
      <c r="A751" s="926" t="n">
        <v>33428</v>
      </c>
      <c r="B751" t="n">
        <v>7.757</v>
      </c>
      <c r="C751" t="n">
        <v>1.4477</v>
      </c>
    </row>
    <row r="752">
      <c r="A752" s="926" t="n">
        <v>33429</v>
      </c>
      <c r="B752" t="n">
        <v>7.763</v>
      </c>
      <c r="C752" t="n">
        <v>1.4477</v>
      </c>
    </row>
    <row r="753">
      <c r="A753" s="926" t="n">
        <v>33430</v>
      </c>
      <c r="B753" t="n">
        <v>7.767</v>
      </c>
      <c r="C753" t="n">
        <v>1.4477</v>
      </c>
    </row>
    <row r="754">
      <c r="A754" s="926" t="n">
        <v>33431</v>
      </c>
      <c r="B754" t="n">
        <v>7.766</v>
      </c>
      <c r="C754" t="n">
        <v>1.4477</v>
      </c>
    </row>
    <row r="755">
      <c r="A755" s="926" t="n">
        <v>33432</v>
      </c>
      <c r="B755" t="n">
        <v>7.762</v>
      </c>
      <c r="C755" t="n">
        <v>1.4477</v>
      </c>
    </row>
    <row r="756">
      <c r="A756" s="926" t="n">
        <v>33434</v>
      </c>
      <c r="B756" t="n">
        <v>7.764</v>
      </c>
      <c r="C756" t="n">
        <v>1.4477</v>
      </c>
    </row>
    <row r="757">
      <c r="A757" s="926" t="n">
        <v>33435</v>
      </c>
      <c r="B757" t="n">
        <v>7.759</v>
      </c>
      <c r="C757" t="n">
        <v>1.4477</v>
      </c>
    </row>
    <row r="758">
      <c r="A758" s="926" t="n">
        <v>33436</v>
      </c>
      <c r="B758" t="n">
        <v>7.763</v>
      </c>
      <c r="C758" t="n">
        <v>1.4477</v>
      </c>
    </row>
    <row r="759">
      <c r="A759" s="926" t="n">
        <v>33437</v>
      </c>
      <c r="B759" t="n">
        <v>7.765</v>
      </c>
      <c r="C759" t="n">
        <v>1.4477</v>
      </c>
    </row>
    <row r="760">
      <c r="A760" s="926" t="n">
        <v>33438</v>
      </c>
      <c r="B760" t="n">
        <v>7.763</v>
      </c>
      <c r="C760" t="n">
        <v>1.4477</v>
      </c>
    </row>
    <row r="761">
      <c r="A761" s="926" t="n">
        <v>33439</v>
      </c>
      <c r="B761" t="n">
        <v>7.759</v>
      </c>
      <c r="C761" t="n">
        <v>1.4477</v>
      </c>
    </row>
    <row r="762">
      <c r="A762" s="926" t="n">
        <v>33441</v>
      </c>
      <c r="B762" t="n">
        <v>7.758</v>
      </c>
      <c r="C762" t="n">
        <v>1.4477</v>
      </c>
    </row>
    <row r="763">
      <c r="A763" s="926" t="n">
        <v>33442</v>
      </c>
      <c r="B763" t="n">
        <v>7.754</v>
      </c>
      <c r="C763" t="n">
        <v>1.4477</v>
      </c>
    </row>
    <row r="764">
      <c r="A764" s="926" t="n">
        <v>33443</v>
      </c>
      <c r="B764" t="n">
        <v>7.752</v>
      </c>
      <c r="C764" t="n">
        <v>1.4477</v>
      </c>
    </row>
    <row r="765">
      <c r="A765" s="926" t="n">
        <v>33444</v>
      </c>
      <c r="B765" t="n">
        <v>7.752</v>
      </c>
      <c r="C765" t="n">
        <v>1.4477</v>
      </c>
    </row>
    <row r="766">
      <c r="A766" s="926" t="n">
        <v>33445</v>
      </c>
      <c r="B766" t="n">
        <v>7.75</v>
      </c>
      <c r="C766" t="n">
        <v>1.4477</v>
      </c>
    </row>
    <row r="767">
      <c r="A767" s="926" t="n">
        <v>33446</v>
      </c>
      <c r="B767" t="n">
        <v>7.751</v>
      </c>
      <c r="C767" t="n">
        <v>1.4477</v>
      </c>
    </row>
    <row r="768">
      <c r="A768" s="926" t="n">
        <v>33448</v>
      </c>
      <c r="B768" t="n">
        <v>7.751</v>
      </c>
      <c r="C768" t="n">
        <v>1.4477</v>
      </c>
    </row>
    <row r="769">
      <c r="A769" s="926" t="n">
        <v>33449</v>
      </c>
      <c r="B769" t="n">
        <v>7.757</v>
      </c>
      <c r="C769" t="n">
        <v>1.4477</v>
      </c>
    </row>
    <row r="770">
      <c r="A770" s="926" t="n">
        <v>33450</v>
      </c>
      <c r="B770" t="n">
        <v>7.76</v>
      </c>
      <c r="C770" t="n">
        <v>1.4477</v>
      </c>
    </row>
    <row r="771">
      <c r="A771" s="926" t="n">
        <v>33451</v>
      </c>
      <c r="B771" t="n">
        <v>7.766</v>
      </c>
      <c r="C771" t="n">
        <v>1.4477</v>
      </c>
    </row>
    <row r="772">
      <c r="A772" s="926" t="n">
        <v>33452</v>
      </c>
      <c r="B772" t="n">
        <v>7.766</v>
      </c>
      <c r="C772" t="n">
        <v>1.4477</v>
      </c>
    </row>
    <row r="773">
      <c r="A773" s="926" t="n">
        <v>33453</v>
      </c>
      <c r="B773" t="n">
        <v>7.761</v>
      </c>
      <c r="C773" t="n">
        <v>1.4477</v>
      </c>
    </row>
    <row r="774">
      <c r="A774" s="926" t="n">
        <v>33455</v>
      </c>
      <c r="B774" t="n">
        <v>7.763</v>
      </c>
      <c r="C774" t="n">
        <v>1.4477</v>
      </c>
    </row>
    <row r="775">
      <c r="A775" s="926" t="n">
        <v>33456</v>
      </c>
      <c r="B775" t="n">
        <v>7.763</v>
      </c>
      <c r="C775" t="n">
        <v>1.4477</v>
      </c>
    </row>
    <row r="776">
      <c r="A776" s="926" t="n">
        <v>33457</v>
      </c>
      <c r="B776" t="n">
        <v>7.762</v>
      </c>
      <c r="C776" t="n">
        <v>1.4477</v>
      </c>
    </row>
    <row r="777">
      <c r="A777" s="926" t="n">
        <v>33458</v>
      </c>
      <c r="B777" t="n">
        <v>7.763</v>
      </c>
      <c r="C777" t="n">
        <v>1.4477</v>
      </c>
    </row>
    <row r="778">
      <c r="A778" s="926" t="n">
        <v>33459</v>
      </c>
      <c r="B778" t="n">
        <v>7.765</v>
      </c>
      <c r="C778" t="n">
        <v>1.4477</v>
      </c>
    </row>
    <row r="779">
      <c r="A779" s="926" t="n">
        <v>33460</v>
      </c>
      <c r="B779" t="n">
        <v>7.762</v>
      </c>
      <c r="C779" t="n">
        <v>1.4477</v>
      </c>
    </row>
    <row r="780">
      <c r="A780" s="926" t="n">
        <v>33462</v>
      </c>
      <c r="B780" t="n">
        <v>7.767</v>
      </c>
      <c r="C780" t="n">
        <v>1.4477</v>
      </c>
    </row>
    <row r="781">
      <c r="A781" s="926" t="n">
        <v>33463</v>
      </c>
      <c r="B781" t="n">
        <v>7.765</v>
      </c>
      <c r="C781" t="n">
        <v>1.4477</v>
      </c>
    </row>
    <row r="782">
      <c r="A782" s="926" t="n">
        <v>33464</v>
      </c>
      <c r="B782" t="n">
        <v>7.764</v>
      </c>
      <c r="C782" t="n">
        <v>1.4477</v>
      </c>
    </row>
    <row r="783">
      <c r="A783" s="926" t="n">
        <v>33465</v>
      </c>
      <c r="B783" t="n">
        <v>7.761</v>
      </c>
      <c r="C783" t="n">
        <v>1.4477</v>
      </c>
    </row>
    <row r="784">
      <c r="A784" s="926" t="n">
        <v>33466</v>
      </c>
      <c r="B784" t="n">
        <v>7.767</v>
      </c>
      <c r="C784" t="n">
        <v>1.4477</v>
      </c>
    </row>
    <row r="785">
      <c r="A785" s="926" t="n">
        <v>33467</v>
      </c>
      <c r="B785" t="n">
        <v>7.765</v>
      </c>
      <c r="C785" t="n">
        <v>1.4477</v>
      </c>
    </row>
    <row r="786">
      <c r="A786" s="926" t="n">
        <v>33469</v>
      </c>
      <c r="B786" t="n">
        <v>7.77</v>
      </c>
      <c r="C786" t="n">
        <v>1.4477</v>
      </c>
    </row>
    <row r="787">
      <c r="A787" s="926" t="n">
        <v>33470</v>
      </c>
      <c r="B787" t="n">
        <v>7.77</v>
      </c>
      <c r="C787" t="n">
        <v>1.4477</v>
      </c>
    </row>
    <row r="788">
      <c r="A788" s="926" t="n">
        <v>33471</v>
      </c>
      <c r="B788" t="n">
        <v>7.767</v>
      </c>
      <c r="C788" t="n">
        <v>1.4477</v>
      </c>
    </row>
    <row r="789">
      <c r="A789" s="926" t="n">
        <v>33472</v>
      </c>
      <c r="B789" t="n">
        <v>7.765</v>
      </c>
      <c r="C789" t="n">
        <v>1.4477</v>
      </c>
    </row>
    <row r="790">
      <c r="A790" s="926" t="n">
        <v>33473</v>
      </c>
      <c r="B790" t="n">
        <v>7.767</v>
      </c>
      <c r="C790" t="n">
        <v>1.4477</v>
      </c>
    </row>
    <row r="791">
      <c r="A791" s="926" t="n">
        <v>33477</v>
      </c>
      <c r="B791" t="n">
        <v>7.762</v>
      </c>
      <c r="C791" t="n">
        <v>1.4477</v>
      </c>
    </row>
    <row r="792">
      <c r="A792" s="926" t="n">
        <v>33478</v>
      </c>
      <c r="B792" t="n">
        <v>7.762</v>
      </c>
      <c r="C792" t="n">
        <v>1.4477</v>
      </c>
    </row>
    <row r="793">
      <c r="A793" s="926" t="n">
        <v>33480</v>
      </c>
      <c r="B793" t="n">
        <v>7.761</v>
      </c>
      <c r="C793" t="n">
        <v>1.4477</v>
      </c>
    </row>
    <row r="794">
      <c r="A794" s="926" t="n">
        <v>33481</v>
      </c>
      <c r="B794" t="n">
        <v>7.759</v>
      </c>
      <c r="C794" t="n">
        <v>1.4477</v>
      </c>
    </row>
    <row r="795">
      <c r="A795" s="926" t="n">
        <v>33483</v>
      </c>
      <c r="B795" t="n">
        <v>7.762</v>
      </c>
      <c r="C795" t="n">
        <v>1.4477</v>
      </c>
    </row>
    <row r="796">
      <c r="A796" s="926" t="n">
        <v>33484</v>
      </c>
      <c r="B796" t="n">
        <v>7.763</v>
      </c>
      <c r="C796" t="n">
        <v>1.4477</v>
      </c>
    </row>
    <row r="797">
      <c r="A797" s="926" t="n">
        <v>33485</v>
      </c>
      <c r="B797" t="n">
        <v>7.762</v>
      </c>
      <c r="C797" t="n">
        <v>1.4477</v>
      </c>
    </row>
    <row r="798">
      <c r="A798" s="926" t="n">
        <v>33486</v>
      </c>
      <c r="B798" t="n">
        <v>7.757</v>
      </c>
      <c r="C798" t="n">
        <v>1.4477</v>
      </c>
    </row>
    <row r="799">
      <c r="A799" s="926" t="n">
        <v>33487</v>
      </c>
      <c r="B799" t="n">
        <v>7.758</v>
      </c>
      <c r="C799" t="n">
        <v>1.4477</v>
      </c>
    </row>
    <row r="800">
      <c r="A800" s="926" t="n">
        <v>33488</v>
      </c>
      <c r="B800" t="n">
        <v>7.756</v>
      </c>
      <c r="C800" t="n">
        <v>1.4477</v>
      </c>
    </row>
    <row r="801">
      <c r="A801" s="926" t="n">
        <v>33490</v>
      </c>
      <c r="B801" t="n">
        <v>7.754</v>
      </c>
      <c r="C801" t="n">
        <v>1.4477</v>
      </c>
    </row>
    <row r="802">
      <c r="A802" s="926" t="n">
        <v>33491</v>
      </c>
      <c r="B802" t="n">
        <v>7.748</v>
      </c>
      <c r="C802" t="n">
        <v>1.4477</v>
      </c>
    </row>
    <row r="803">
      <c r="A803" s="926" t="n">
        <v>33492</v>
      </c>
      <c r="B803" t="n">
        <v>7.748</v>
      </c>
      <c r="C803" t="n">
        <v>1.4477</v>
      </c>
    </row>
    <row r="804">
      <c r="A804" s="926" t="n">
        <v>33493</v>
      </c>
      <c r="B804" t="n">
        <v>7.746</v>
      </c>
      <c r="C804" t="n">
        <v>1.4477</v>
      </c>
    </row>
    <row r="805">
      <c r="A805" s="926" t="n">
        <v>33494</v>
      </c>
      <c r="B805" t="n">
        <v>7.748</v>
      </c>
      <c r="C805" t="n">
        <v>1.4477</v>
      </c>
    </row>
    <row r="806">
      <c r="A806" s="926" t="n">
        <v>33495</v>
      </c>
      <c r="B806" t="n">
        <v>7.747</v>
      </c>
      <c r="C806" t="n">
        <v>1.4477</v>
      </c>
    </row>
    <row r="807">
      <c r="A807" s="926" t="n">
        <v>33497</v>
      </c>
      <c r="B807" t="n">
        <v>7.747</v>
      </c>
      <c r="C807" t="n">
        <v>1.4477</v>
      </c>
    </row>
    <row r="808">
      <c r="A808" s="926" t="n">
        <v>33498</v>
      </c>
      <c r="B808" t="n">
        <v>7.748</v>
      </c>
      <c r="C808" t="n">
        <v>1.4477</v>
      </c>
    </row>
    <row r="809">
      <c r="A809" s="926" t="n">
        <v>33499</v>
      </c>
      <c r="B809" t="n">
        <v>7.757</v>
      </c>
      <c r="C809" t="n">
        <v>1.4477</v>
      </c>
    </row>
    <row r="810">
      <c r="A810" s="926" t="n">
        <v>33500</v>
      </c>
      <c r="B810" t="n">
        <v>7.757</v>
      </c>
      <c r="C810" t="n">
        <v>1.4477</v>
      </c>
    </row>
    <row r="811">
      <c r="A811" s="926" t="n">
        <v>33501</v>
      </c>
      <c r="B811" t="n">
        <v>7.755</v>
      </c>
      <c r="C811" t="n">
        <v>1.4477</v>
      </c>
    </row>
    <row r="812">
      <c r="A812" s="926" t="n">
        <v>33502</v>
      </c>
      <c r="B812" t="n">
        <v>7.755</v>
      </c>
      <c r="C812" t="n">
        <v>1.4477</v>
      </c>
    </row>
    <row r="813">
      <c r="A813" s="926" t="n">
        <v>33505</v>
      </c>
      <c r="B813" t="n">
        <v>7.751</v>
      </c>
      <c r="C813" t="n">
        <v>1.4477</v>
      </c>
    </row>
    <row r="814">
      <c r="A814" s="926" t="n">
        <v>33506</v>
      </c>
      <c r="B814" t="n">
        <v>7.751</v>
      </c>
      <c r="C814" t="n">
        <v>1.4477</v>
      </c>
    </row>
    <row r="815">
      <c r="A815" s="926" t="n">
        <v>33507</v>
      </c>
      <c r="B815" t="n">
        <v>7.744</v>
      </c>
      <c r="C815" t="n">
        <v>1.4477</v>
      </c>
    </row>
    <row r="816">
      <c r="A816" s="926" t="n">
        <v>33508</v>
      </c>
      <c r="B816" t="n">
        <v>7.75</v>
      </c>
      <c r="C816" t="n">
        <v>1.4477</v>
      </c>
    </row>
    <row r="817">
      <c r="A817" s="926" t="n">
        <v>33509</v>
      </c>
      <c r="B817" t="n">
        <v>7.746</v>
      </c>
      <c r="C817" t="n">
        <v>1.4477</v>
      </c>
    </row>
    <row r="818">
      <c r="A818" s="926" t="n">
        <v>33511</v>
      </c>
      <c r="B818" t="n">
        <v>7.745</v>
      </c>
      <c r="C818" t="n">
        <v>1.4477</v>
      </c>
    </row>
    <row r="819">
      <c r="A819" s="926" t="n">
        <v>33512</v>
      </c>
      <c r="B819" t="n">
        <v>7.738</v>
      </c>
      <c r="C819" t="n">
        <v>1.4477</v>
      </c>
    </row>
    <row r="820">
      <c r="A820" s="926" t="n">
        <v>33513</v>
      </c>
      <c r="B820" t="n">
        <v>7.745</v>
      </c>
      <c r="C820" t="n">
        <v>1.4477</v>
      </c>
    </row>
    <row r="821">
      <c r="A821" s="926" t="n">
        <v>33514</v>
      </c>
      <c r="B821" t="n">
        <v>7.746</v>
      </c>
      <c r="C821" t="n">
        <v>1.4404</v>
      </c>
    </row>
    <row r="822">
      <c r="A822" s="926" t="n">
        <v>33515</v>
      </c>
      <c r="B822" t="n">
        <v>7.744</v>
      </c>
      <c r="C822" t="n">
        <v>1.4404</v>
      </c>
    </row>
    <row r="823">
      <c r="A823" s="926" t="n">
        <v>33516</v>
      </c>
      <c r="B823" t="n">
        <v>7.741</v>
      </c>
      <c r="C823" t="n">
        <v>1.4404</v>
      </c>
    </row>
    <row r="824">
      <c r="A824" s="926" t="n">
        <v>33518</v>
      </c>
      <c r="B824" t="n">
        <v>7.748</v>
      </c>
      <c r="C824" t="n">
        <v>1.4404</v>
      </c>
    </row>
    <row r="825">
      <c r="A825" s="926" t="n">
        <v>33519</v>
      </c>
      <c r="B825" t="n">
        <v>7.752</v>
      </c>
      <c r="C825" t="n">
        <v>1.4404</v>
      </c>
    </row>
    <row r="826">
      <c r="A826" s="926" t="n">
        <v>33520</v>
      </c>
      <c r="B826" t="n">
        <v>7.755</v>
      </c>
      <c r="C826" t="n">
        <v>1.4404</v>
      </c>
    </row>
    <row r="827">
      <c r="A827" s="926" t="n">
        <v>33521</v>
      </c>
      <c r="B827" t="n">
        <v>7.754</v>
      </c>
      <c r="C827" t="n">
        <v>1.4404</v>
      </c>
    </row>
    <row r="828">
      <c r="A828" s="926" t="n">
        <v>33522</v>
      </c>
      <c r="B828" t="n">
        <v>7.747</v>
      </c>
      <c r="C828" t="n">
        <v>1.4404</v>
      </c>
    </row>
    <row r="829">
      <c r="A829" s="926" t="n">
        <v>33523</v>
      </c>
      <c r="B829" t="n">
        <v>7.741</v>
      </c>
      <c r="C829" t="n">
        <v>1.4404</v>
      </c>
    </row>
    <row r="830">
      <c r="A830" s="926" t="n">
        <v>33525</v>
      </c>
      <c r="B830" t="n">
        <v>7.744</v>
      </c>
      <c r="C830" t="n">
        <v>1.4404</v>
      </c>
    </row>
    <row r="831">
      <c r="A831" s="926" t="n">
        <v>33526</v>
      </c>
      <c r="B831" t="n">
        <v>7.751</v>
      </c>
      <c r="C831" t="n">
        <v>1.4404</v>
      </c>
    </row>
    <row r="832">
      <c r="A832" s="926" t="n">
        <v>33528</v>
      </c>
      <c r="B832" t="n">
        <v>7.759</v>
      </c>
      <c r="C832" t="n">
        <v>1.4404</v>
      </c>
    </row>
    <row r="833">
      <c r="A833" s="926" t="n">
        <v>33529</v>
      </c>
      <c r="B833" t="n">
        <v>7.756</v>
      </c>
      <c r="C833" t="n">
        <v>1.4404</v>
      </c>
    </row>
    <row r="834">
      <c r="A834" s="926" t="n">
        <v>33530</v>
      </c>
      <c r="B834" t="n">
        <v>7.752</v>
      </c>
      <c r="C834" t="n">
        <v>1.4404</v>
      </c>
    </row>
    <row r="835">
      <c r="A835" s="926" t="n">
        <v>33532</v>
      </c>
      <c r="B835" t="n">
        <v>7.752</v>
      </c>
      <c r="C835" t="n">
        <v>1.4404</v>
      </c>
    </row>
    <row r="836">
      <c r="A836" s="926" t="n">
        <v>33533</v>
      </c>
      <c r="B836" t="n">
        <v>7.753</v>
      </c>
      <c r="C836" t="n">
        <v>1.4404</v>
      </c>
    </row>
    <row r="837">
      <c r="A837" s="926" t="n">
        <v>33534</v>
      </c>
      <c r="B837" t="n">
        <v>7.754</v>
      </c>
      <c r="C837" t="n">
        <v>1.4404</v>
      </c>
    </row>
    <row r="838">
      <c r="A838" s="926" t="n">
        <v>33535</v>
      </c>
      <c r="B838" t="n">
        <v>7.757</v>
      </c>
      <c r="C838" t="n">
        <v>1.4404</v>
      </c>
    </row>
    <row r="839">
      <c r="A839" s="926" t="n">
        <v>33536</v>
      </c>
      <c r="B839" t="n">
        <v>7.757</v>
      </c>
      <c r="C839" t="n">
        <v>1.4404</v>
      </c>
    </row>
    <row r="840">
      <c r="A840" s="926" t="n">
        <v>33537</v>
      </c>
      <c r="B840" t="n">
        <v>7.757</v>
      </c>
      <c r="C840" t="n">
        <v>1.4404</v>
      </c>
    </row>
    <row r="841">
      <c r="A841" s="926" t="n">
        <v>33539</v>
      </c>
      <c r="B841" t="n">
        <v>7.762</v>
      </c>
      <c r="C841" t="n">
        <v>1.4404</v>
      </c>
    </row>
    <row r="842">
      <c r="A842" s="926" t="n">
        <v>33540</v>
      </c>
      <c r="B842" t="n">
        <v>7.769</v>
      </c>
      <c r="C842" t="n">
        <v>1.4404</v>
      </c>
    </row>
    <row r="843">
      <c r="A843" s="926" t="n">
        <v>33541</v>
      </c>
      <c r="B843" t="n">
        <v>7.767</v>
      </c>
      <c r="C843" t="n">
        <v>1.4404</v>
      </c>
    </row>
    <row r="844">
      <c r="A844" s="926" t="n">
        <v>33542</v>
      </c>
      <c r="B844" t="n">
        <v>7.767</v>
      </c>
      <c r="C844" t="n">
        <v>1.4404</v>
      </c>
    </row>
    <row r="845">
      <c r="A845" s="926" t="n">
        <v>33543</v>
      </c>
      <c r="B845" t="n">
        <v>7.771</v>
      </c>
      <c r="C845" t="n">
        <v>1.4404</v>
      </c>
    </row>
    <row r="846">
      <c r="A846" s="926" t="n">
        <v>33544</v>
      </c>
      <c r="B846" t="n">
        <v>7.765</v>
      </c>
      <c r="C846" t="n">
        <v>1.4404</v>
      </c>
    </row>
    <row r="847">
      <c r="A847" s="926" t="n">
        <v>33546</v>
      </c>
      <c r="B847" t="n">
        <v>7.766</v>
      </c>
      <c r="C847" t="n">
        <v>1.4404</v>
      </c>
    </row>
    <row r="848">
      <c r="A848" s="926" t="n">
        <v>33547</v>
      </c>
      <c r="B848" t="n">
        <v>7.765</v>
      </c>
      <c r="C848" t="n">
        <v>1.4404</v>
      </c>
    </row>
    <row r="849">
      <c r="A849" s="926" t="n">
        <v>33548</v>
      </c>
      <c r="B849" t="n">
        <v>7.766</v>
      </c>
      <c r="C849" t="n">
        <v>1.4404</v>
      </c>
    </row>
    <row r="850">
      <c r="A850" s="926" t="n">
        <v>33549</v>
      </c>
      <c r="B850" t="n">
        <v>7.765</v>
      </c>
      <c r="C850" t="n">
        <v>1.4404</v>
      </c>
    </row>
    <row r="851">
      <c r="A851" s="926" t="n">
        <v>33550</v>
      </c>
      <c r="B851" t="n">
        <v>7.764</v>
      </c>
      <c r="C851" t="n">
        <v>1.4404</v>
      </c>
    </row>
    <row r="852">
      <c r="A852" s="926" t="n">
        <v>33551</v>
      </c>
      <c r="B852" t="n">
        <v>7.763</v>
      </c>
      <c r="C852" t="n">
        <v>1.4404</v>
      </c>
    </row>
    <row r="853">
      <c r="A853" s="926" t="n">
        <v>33553</v>
      </c>
      <c r="B853" t="n">
        <v>7.762</v>
      </c>
      <c r="C853" t="n">
        <v>1.4404</v>
      </c>
    </row>
    <row r="854">
      <c r="A854" s="926" t="n">
        <v>33554</v>
      </c>
      <c r="B854" t="n">
        <v>7.764</v>
      </c>
      <c r="C854" t="n">
        <v>1.4404</v>
      </c>
    </row>
    <row r="855">
      <c r="A855" s="926" t="n">
        <v>33555</v>
      </c>
      <c r="B855" t="n">
        <v>7.763</v>
      </c>
      <c r="C855" t="n">
        <v>1.4404</v>
      </c>
    </row>
    <row r="856">
      <c r="A856" s="926" t="n">
        <v>33556</v>
      </c>
      <c r="B856" t="n">
        <v>7.762</v>
      </c>
      <c r="C856" t="n">
        <v>1.4404</v>
      </c>
    </row>
    <row r="857">
      <c r="A857" s="926" t="n">
        <v>33557</v>
      </c>
      <c r="B857" t="n">
        <v>7.759</v>
      </c>
      <c r="C857" t="n">
        <v>1.4404</v>
      </c>
    </row>
    <row r="858">
      <c r="A858" s="926" t="n">
        <v>33558</v>
      </c>
      <c r="B858" t="n">
        <v>7.757</v>
      </c>
      <c r="C858" t="n">
        <v>1.4404</v>
      </c>
    </row>
    <row r="859">
      <c r="A859" s="926" t="n">
        <v>33560</v>
      </c>
      <c r="B859" t="n">
        <v>7.756</v>
      </c>
      <c r="C859" t="n">
        <v>1.4404</v>
      </c>
    </row>
    <row r="860">
      <c r="A860" s="926" t="n">
        <v>33561</v>
      </c>
      <c r="B860" t="n">
        <v>7.758</v>
      </c>
      <c r="C860" t="n">
        <v>1.4404</v>
      </c>
    </row>
    <row r="861">
      <c r="A861" s="926" t="n">
        <v>33562</v>
      </c>
      <c r="B861" t="n">
        <v>7.755</v>
      </c>
      <c r="C861" t="n">
        <v>1.4404</v>
      </c>
    </row>
    <row r="862">
      <c r="A862" s="926" t="n">
        <v>33563</v>
      </c>
      <c r="B862" t="n">
        <v>7.755</v>
      </c>
      <c r="C862" t="n">
        <v>1.4404</v>
      </c>
    </row>
    <row r="863">
      <c r="A863" s="926" t="n">
        <v>33564</v>
      </c>
      <c r="B863" t="n">
        <v>7.753</v>
      </c>
      <c r="C863" t="n">
        <v>1.4404</v>
      </c>
    </row>
    <row r="864">
      <c r="A864" s="926" t="n">
        <v>33565</v>
      </c>
      <c r="B864" t="n">
        <v>7.75</v>
      </c>
      <c r="C864" t="n">
        <v>1.4404</v>
      </c>
    </row>
    <row r="865">
      <c r="A865" s="926" t="n">
        <v>33567</v>
      </c>
      <c r="B865" t="n">
        <v>7.75</v>
      </c>
      <c r="C865" t="n">
        <v>1.4404</v>
      </c>
    </row>
    <row r="866">
      <c r="A866" s="926" t="n">
        <v>33568</v>
      </c>
      <c r="B866" t="n">
        <v>7.75</v>
      </c>
      <c r="C866" t="n">
        <v>1.4404</v>
      </c>
    </row>
    <row r="867">
      <c r="A867" s="926" t="n">
        <v>33569</v>
      </c>
      <c r="B867" t="n">
        <v>7.755</v>
      </c>
      <c r="C867" t="n">
        <v>1.4404</v>
      </c>
    </row>
    <row r="868">
      <c r="A868" s="926" t="n">
        <v>33570</v>
      </c>
      <c r="B868" t="n">
        <v>7.757</v>
      </c>
      <c r="C868" t="n">
        <v>1.4404</v>
      </c>
    </row>
    <row r="869">
      <c r="A869" s="926" t="n">
        <v>33571</v>
      </c>
      <c r="B869" t="n">
        <v>7.76</v>
      </c>
      <c r="C869" t="n">
        <v>1.4404</v>
      </c>
    </row>
    <row r="870">
      <c r="A870" s="926" t="n">
        <v>33572</v>
      </c>
      <c r="B870" t="n">
        <v>7.762</v>
      </c>
      <c r="C870" t="n">
        <v>1.4404</v>
      </c>
    </row>
    <row r="871">
      <c r="A871" s="926" t="n">
        <v>33574</v>
      </c>
      <c r="B871" t="n">
        <v>7.762</v>
      </c>
      <c r="C871" t="n">
        <v>1.4404</v>
      </c>
    </row>
    <row r="872">
      <c r="A872" s="926" t="n">
        <v>33575</v>
      </c>
      <c r="B872" t="n">
        <v>7.763</v>
      </c>
      <c r="C872" t="n">
        <v>1.4404</v>
      </c>
    </row>
    <row r="873">
      <c r="A873" s="926" t="n">
        <v>33576</v>
      </c>
      <c r="B873" t="n">
        <v>7.766</v>
      </c>
      <c r="C873" t="n">
        <v>1.4404</v>
      </c>
    </row>
    <row r="874">
      <c r="A874" s="926" t="n">
        <v>33577</v>
      </c>
      <c r="B874" t="n">
        <v>7.768</v>
      </c>
      <c r="C874" t="n">
        <v>1.4404</v>
      </c>
    </row>
    <row r="875">
      <c r="A875" s="926" t="n">
        <v>33578</v>
      </c>
      <c r="B875" t="n">
        <v>7.779</v>
      </c>
      <c r="C875" t="n">
        <v>1.4404</v>
      </c>
    </row>
    <row r="876">
      <c r="A876" s="926" t="n">
        <v>33579</v>
      </c>
      <c r="B876" t="n">
        <v>7.775</v>
      </c>
      <c r="C876" t="n">
        <v>1.4404</v>
      </c>
    </row>
    <row r="877">
      <c r="A877" s="926" t="n">
        <v>33581</v>
      </c>
      <c r="B877" t="n">
        <v>7.773</v>
      </c>
      <c r="C877" t="n">
        <v>1.4404</v>
      </c>
    </row>
    <row r="878">
      <c r="A878" s="926" t="n">
        <v>33582</v>
      </c>
      <c r="B878" t="n">
        <v>7.774</v>
      </c>
      <c r="C878" t="n">
        <v>1.4404</v>
      </c>
    </row>
    <row r="879">
      <c r="A879" s="926" t="n">
        <v>33583</v>
      </c>
      <c r="B879" t="n">
        <v>7.774</v>
      </c>
      <c r="C879" t="n">
        <v>1.4404</v>
      </c>
    </row>
    <row r="880">
      <c r="A880" s="926" t="n">
        <v>33584</v>
      </c>
      <c r="B880" t="n">
        <v>7.773</v>
      </c>
      <c r="C880" t="n">
        <v>1.4404</v>
      </c>
    </row>
    <row r="881">
      <c r="A881" s="926" t="n">
        <v>33585</v>
      </c>
      <c r="B881" t="n">
        <v>7.775</v>
      </c>
      <c r="C881" t="n">
        <v>1.4404</v>
      </c>
    </row>
    <row r="882">
      <c r="A882" s="926" t="n">
        <v>33586</v>
      </c>
      <c r="B882" t="n">
        <v>7.774</v>
      </c>
      <c r="C882" t="n">
        <v>1.4404</v>
      </c>
    </row>
    <row r="883">
      <c r="A883" s="926" t="n">
        <v>33588</v>
      </c>
      <c r="B883" t="n">
        <v>7.776</v>
      </c>
      <c r="C883" t="n">
        <v>1.4404</v>
      </c>
    </row>
    <row r="884">
      <c r="A884" s="926" t="n">
        <v>33589</v>
      </c>
      <c r="B884" t="n">
        <v>7.775</v>
      </c>
      <c r="C884" t="n">
        <v>1.4404</v>
      </c>
    </row>
    <row r="885">
      <c r="A885" s="926" t="n">
        <v>33590</v>
      </c>
      <c r="B885" t="n">
        <v>7.775</v>
      </c>
      <c r="C885" t="n">
        <v>1.4404</v>
      </c>
    </row>
    <row r="886">
      <c r="A886" s="926" t="n">
        <v>33591</v>
      </c>
      <c r="B886" t="n">
        <v>7.775</v>
      </c>
      <c r="C886" t="n">
        <v>1.4404</v>
      </c>
    </row>
    <row r="887">
      <c r="A887" s="926" t="n">
        <v>33592</v>
      </c>
      <c r="B887" t="n">
        <v>7.773</v>
      </c>
      <c r="C887" t="n">
        <v>1.4404</v>
      </c>
    </row>
    <row r="888">
      <c r="A888" s="926" t="n">
        <v>33593</v>
      </c>
      <c r="B888" t="n">
        <v>7.768</v>
      </c>
      <c r="C888" t="n">
        <v>1.4404</v>
      </c>
    </row>
    <row r="889">
      <c r="A889" s="926" t="n">
        <v>33595</v>
      </c>
      <c r="B889" t="n">
        <v>7.772</v>
      </c>
      <c r="C889" t="n">
        <v>1.4404</v>
      </c>
    </row>
    <row r="890">
      <c r="A890" s="926" t="n">
        <v>33596</v>
      </c>
      <c r="B890" t="n">
        <v>7.772</v>
      </c>
      <c r="C890" t="n">
        <v>1.4404</v>
      </c>
    </row>
    <row r="891">
      <c r="A891" s="926" t="n">
        <v>33599</v>
      </c>
      <c r="B891" t="n">
        <v>7.778</v>
      </c>
      <c r="C891" t="n">
        <v>1.4404</v>
      </c>
    </row>
    <row r="892">
      <c r="A892" s="926" t="n">
        <v>33600</v>
      </c>
      <c r="B892" t="n">
        <v>7.778</v>
      </c>
      <c r="C892" t="n">
        <v>1.4404</v>
      </c>
    </row>
    <row r="893">
      <c r="A893" s="926" t="n">
        <v>33602</v>
      </c>
      <c r="B893" t="n">
        <v>7.779</v>
      </c>
      <c r="C893" t="n">
        <v>1.4404</v>
      </c>
    </row>
    <row r="894">
      <c r="A894" s="926" t="n">
        <v>33603</v>
      </c>
      <c r="B894" t="n">
        <v>7.781</v>
      </c>
      <c r="C894" t="n">
        <v>1.4404</v>
      </c>
    </row>
    <row r="895">
      <c r="A895" s="926" t="n">
        <v>33605</v>
      </c>
      <c r="B895" t="n">
        <v>7.779</v>
      </c>
      <c r="C895" t="n">
        <v>1.4404</v>
      </c>
    </row>
    <row r="896">
      <c r="A896" s="926" t="n">
        <v>33606</v>
      </c>
      <c r="B896" t="n">
        <v>7.775</v>
      </c>
      <c r="C896" t="n">
        <v>1.4404</v>
      </c>
    </row>
    <row r="897">
      <c r="A897" s="926" t="n">
        <v>33607</v>
      </c>
      <c r="B897" t="n">
        <v>7.753</v>
      </c>
      <c r="C897" t="n">
        <v>1.4291</v>
      </c>
    </row>
    <row r="898">
      <c r="A898" s="926" t="n">
        <v>33609</v>
      </c>
      <c r="B898" t="n">
        <v>7.758</v>
      </c>
      <c r="C898" t="n">
        <v>1.4291</v>
      </c>
    </row>
    <row r="899">
      <c r="A899" s="926" t="n">
        <v>33610</v>
      </c>
      <c r="B899" t="n">
        <v>7.754</v>
      </c>
      <c r="C899" t="n">
        <v>1.4266</v>
      </c>
    </row>
    <row r="900">
      <c r="A900" s="926" t="n">
        <v>33611</v>
      </c>
      <c r="B900" t="n">
        <v>7.761</v>
      </c>
      <c r="C900" t="n">
        <v>1.4266</v>
      </c>
    </row>
    <row r="901">
      <c r="A901" s="926" t="n">
        <v>33612</v>
      </c>
      <c r="B901" t="n">
        <v>7.763</v>
      </c>
      <c r="C901" t="n">
        <v>1.4266</v>
      </c>
    </row>
    <row r="902">
      <c r="A902" s="926" t="n">
        <v>33613</v>
      </c>
      <c r="B902" t="n">
        <v>7.765</v>
      </c>
      <c r="C902" t="n">
        <v>1.4266</v>
      </c>
    </row>
    <row r="903">
      <c r="A903" s="926" t="n">
        <v>33614</v>
      </c>
      <c r="B903" t="n">
        <v>7.761</v>
      </c>
      <c r="C903" t="n">
        <v>1.4266</v>
      </c>
    </row>
    <row r="904">
      <c r="A904" s="926" t="n">
        <v>33616</v>
      </c>
      <c r="B904" t="n">
        <v>7.759</v>
      </c>
      <c r="C904" t="n">
        <v>1.4266</v>
      </c>
    </row>
    <row r="905">
      <c r="A905" s="926" t="n">
        <v>33617</v>
      </c>
      <c r="B905" t="n">
        <v>7.758</v>
      </c>
      <c r="C905" t="n">
        <v>1.4266</v>
      </c>
    </row>
    <row r="906">
      <c r="A906" s="926" t="n">
        <v>33618</v>
      </c>
      <c r="B906" t="n">
        <v>7.764</v>
      </c>
      <c r="C906" t="n">
        <v>1.4266</v>
      </c>
    </row>
    <row r="907">
      <c r="A907" s="926" t="n">
        <v>33619</v>
      </c>
      <c r="B907" t="n">
        <v>7.767</v>
      </c>
      <c r="C907" t="n">
        <v>1.4266</v>
      </c>
    </row>
    <row r="908">
      <c r="A908" s="926" t="n">
        <v>33620</v>
      </c>
      <c r="B908" t="n">
        <v>7.765</v>
      </c>
      <c r="C908" t="n">
        <v>1.4266</v>
      </c>
    </row>
    <row r="909">
      <c r="A909" s="926" t="n">
        <v>33621</v>
      </c>
      <c r="B909" t="n">
        <v>7.76</v>
      </c>
      <c r="C909" t="n">
        <v>1.4266</v>
      </c>
    </row>
    <row r="910">
      <c r="A910" s="926" t="n">
        <v>33623</v>
      </c>
      <c r="B910" t="n">
        <v>7.764</v>
      </c>
      <c r="C910" t="n">
        <v>1.4266</v>
      </c>
    </row>
    <row r="911">
      <c r="A911" s="926" t="n">
        <v>33624</v>
      </c>
      <c r="B911" t="n">
        <v>7.765</v>
      </c>
      <c r="C911" t="n">
        <v>1.4266</v>
      </c>
    </row>
    <row r="912">
      <c r="A912" s="926" t="n">
        <v>33625</v>
      </c>
      <c r="B912" t="n">
        <v>7.758</v>
      </c>
      <c r="C912" t="n">
        <v>1.4266</v>
      </c>
    </row>
    <row r="913">
      <c r="A913" s="926" t="n">
        <v>33626</v>
      </c>
      <c r="B913" t="n">
        <v>7.761</v>
      </c>
      <c r="C913" t="n">
        <v>1.4266</v>
      </c>
    </row>
    <row r="914">
      <c r="A914" s="926" t="n">
        <v>33627</v>
      </c>
      <c r="B914" t="n">
        <v>7.76</v>
      </c>
      <c r="C914" t="n">
        <v>1.4266</v>
      </c>
    </row>
    <row r="915">
      <c r="A915" s="926" t="n">
        <v>33628</v>
      </c>
      <c r="B915" t="n">
        <v>7.759</v>
      </c>
      <c r="C915" t="n">
        <v>1.4266</v>
      </c>
    </row>
    <row r="916">
      <c r="A916" s="926" t="n">
        <v>33630</v>
      </c>
      <c r="B916" t="n">
        <v>7.759</v>
      </c>
      <c r="C916" t="n">
        <v>1.4266</v>
      </c>
    </row>
    <row r="917">
      <c r="A917" s="926" t="n">
        <v>33631</v>
      </c>
      <c r="B917" t="n">
        <v>7.759</v>
      </c>
      <c r="C917" t="n">
        <v>1.4266</v>
      </c>
    </row>
    <row r="918">
      <c r="A918" s="926" t="n">
        <v>33632</v>
      </c>
      <c r="B918" t="n">
        <v>7.76</v>
      </c>
      <c r="C918" t="n">
        <v>1.4266</v>
      </c>
    </row>
    <row r="919">
      <c r="A919" s="926" t="n">
        <v>33633</v>
      </c>
      <c r="B919" t="n">
        <v>7.763</v>
      </c>
      <c r="C919" t="n">
        <v>1.4266</v>
      </c>
    </row>
    <row r="920">
      <c r="A920" s="926" t="n">
        <v>33634</v>
      </c>
      <c r="B920" t="n">
        <v>7.762</v>
      </c>
      <c r="C920" t="n">
        <v>1.4266</v>
      </c>
    </row>
    <row r="921">
      <c r="A921" s="926" t="n">
        <v>33635</v>
      </c>
      <c r="B921" t="n">
        <v>7.761</v>
      </c>
      <c r="C921" t="n">
        <v>1.4266</v>
      </c>
    </row>
    <row r="922">
      <c r="A922" s="926" t="n">
        <v>33637</v>
      </c>
      <c r="B922" t="n">
        <v>7.761</v>
      </c>
      <c r="C922" t="n">
        <v>1.4266</v>
      </c>
    </row>
    <row r="923">
      <c r="A923" s="926" t="n">
        <v>33641</v>
      </c>
      <c r="B923" t="n">
        <v>7.757</v>
      </c>
      <c r="C923" t="n">
        <v>1.4266</v>
      </c>
    </row>
    <row r="924">
      <c r="A924" s="926" t="n">
        <v>33642</v>
      </c>
      <c r="B924" t="n">
        <v>7.756</v>
      </c>
      <c r="C924" t="n">
        <v>1.4266</v>
      </c>
    </row>
    <row r="925">
      <c r="A925" s="926" t="n">
        <v>33644</v>
      </c>
      <c r="B925" t="n">
        <v>7.752</v>
      </c>
      <c r="C925" t="n">
        <v>1.4266</v>
      </c>
    </row>
    <row r="926">
      <c r="A926" s="926" t="n">
        <v>33645</v>
      </c>
      <c r="B926" t="n">
        <v>7.751</v>
      </c>
      <c r="C926" t="n">
        <v>1.4266</v>
      </c>
    </row>
    <row r="927">
      <c r="A927" s="926" t="n">
        <v>33646</v>
      </c>
      <c r="B927" t="n">
        <v>7.752</v>
      </c>
      <c r="C927" t="n">
        <v>1.4179</v>
      </c>
    </row>
    <row r="928">
      <c r="A928" s="926" t="n">
        <v>33647</v>
      </c>
      <c r="B928" t="n">
        <v>7.756</v>
      </c>
      <c r="C928" t="n">
        <v>1.4179</v>
      </c>
    </row>
    <row r="929">
      <c r="A929" s="926" t="n">
        <v>33648</v>
      </c>
      <c r="B929" t="n">
        <v>7.753</v>
      </c>
      <c r="C929" t="n">
        <v>1.4179</v>
      </c>
    </row>
    <row r="930">
      <c r="A930" s="926" t="n">
        <v>33649</v>
      </c>
      <c r="B930" t="n">
        <v>7.753</v>
      </c>
      <c r="C930" t="n">
        <v>1.4179</v>
      </c>
    </row>
    <row r="931">
      <c r="A931" s="926" t="n">
        <v>33651</v>
      </c>
      <c r="B931" t="n">
        <v>7.755</v>
      </c>
      <c r="C931" t="n">
        <v>1.4179</v>
      </c>
    </row>
    <row r="932">
      <c r="A932" s="926" t="n">
        <v>33652</v>
      </c>
      <c r="B932" t="n">
        <v>7.763</v>
      </c>
      <c r="C932" t="n">
        <v>1.4179</v>
      </c>
    </row>
    <row r="933">
      <c r="A933" s="926" t="n">
        <v>33653</v>
      </c>
      <c r="B933" t="n">
        <v>7.762</v>
      </c>
      <c r="C933" t="n">
        <v>1.4179</v>
      </c>
    </row>
    <row r="934">
      <c r="A934" s="926" t="n">
        <v>33654</v>
      </c>
      <c r="B934" t="n">
        <v>7.762</v>
      </c>
      <c r="C934" t="n">
        <v>1.4179</v>
      </c>
    </row>
    <row r="935">
      <c r="A935" s="926" t="n">
        <v>33655</v>
      </c>
      <c r="B935" t="n">
        <v>7.762</v>
      </c>
      <c r="C935" t="n">
        <v>1.4179</v>
      </c>
    </row>
    <row r="936">
      <c r="A936" s="926" t="n">
        <v>33656</v>
      </c>
      <c r="B936" t="n">
        <v>7.762</v>
      </c>
      <c r="C936" t="n">
        <v>1.4179</v>
      </c>
    </row>
    <row r="937">
      <c r="A937" s="926" t="n">
        <v>33658</v>
      </c>
      <c r="B937" t="n">
        <v>7.761</v>
      </c>
      <c r="C937" t="n">
        <v>1.4179</v>
      </c>
    </row>
    <row r="938">
      <c r="A938" s="926" t="n">
        <v>33659</v>
      </c>
      <c r="B938" t="n">
        <v>7.76</v>
      </c>
      <c r="C938" t="n">
        <v>1.4179</v>
      </c>
    </row>
    <row r="939">
      <c r="A939" s="926" t="n">
        <v>33660</v>
      </c>
      <c r="B939" t="n">
        <v>7.763</v>
      </c>
      <c r="C939" t="n">
        <v>1.4179</v>
      </c>
    </row>
    <row r="940">
      <c r="A940" s="926" t="n">
        <v>33661</v>
      </c>
      <c r="B940" t="n">
        <v>7.765</v>
      </c>
      <c r="C940" t="n">
        <v>1.4179</v>
      </c>
    </row>
    <row r="941">
      <c r="A941" s="926" t="n">
        <v>33662</v>
      </c>
      <c r="B941" t="n">
        <v>7.759</v>
      </c>
      <c r="C941" t="n">
        <v>1.4179</v>
      </c>
    </row>
    <row r="942">
      <c r="A942" s="926" t="n">
        <v>33663</v>
      </c>
      <c r="B942" t="n">
        <v>7.757</v>
      </c>
      <c r="C942" t="n">
        <v>1.4179</v>
      </c>
    </row>
    <row r="943">
      <c r="A943" s="926" t="n">
        <v>33665</v>
      </c>
      <c r="B943" t="n">
        <v>7.757</v>
      </c>
      <c r="C943" t="n">
        <v>1.4179</v>
      </c>
    </row>
    <row r="944">
      <c r="A944" s="926" t="n">
        <v>33666</v>
      </c>
      <c r="B944" t="n">
        <v>7.753</v>
      </c>
      <c r="C944" t="n">
        <v>1.4179</v>
      </c>
    </row>
    <row r="945">
      <c r="A945" s="926" t="n">
        <v>33667</v>
      </c>
      <c r="B945" t="n">
        <v>7.753</v>
      </c>
      <c r="C945" t="n">
        <v>1.4179</v>
      </c>
    </row>
    <row r="946">
      <c r="A946" s="926" t="n">
        <v>33668</v>
      </c>
      <c r="B946" t="n">
        <v>7.754</v>
      </c>
      <c r="C946" t="n">
        <v>1.4179</v>
      </c>
    </row>
    <row r="947">
      <c r="A947" s="926" t="n">
        <v>33669</v>
      </c>
      <c r="B947" t="n">
        <v>7.754</v>
      </c>
      <c r="C947" t="n">
        <v>1.4179</v>
      </c>
    </row>
    <row r="948">
      <c r="A948" s="926" t="n">
        <v>33670</v>
      </c>
      <c r="B948" t="n">
        <v>7.752</v>
      </c>
      <c r="C948" t="n">
        <v>1.4179</v>
      </c>
    </row>
    <row r="949">
      <c r="A949" s="926" t="n">
        <v>33672</v>
      </c>
      <c r="B949" t="n">
        <v>7.753</v>
      </c>
      <c r="C949" t="n">
        <v>1.4179</v>
      </c>
    </row>
    <row r="950">
      <c r="A950" s="926" t="n">
        <v>33673</v>
      </c>
      <c r="B950" t="n">
        <v>7.753</v>
      </c>
      <c r="C950" t="n">
        <v>1.4179</v>
      </c>
    </row>
    <row r="951">
      <c r="A951" s="926" t="n">
        <v>33674</v>
      </c>
      <c r="B951" t="n">
        <v>7.75</v>
      </c>
      <c r="C951" t="n">
        <v>1.4179</v>
      </c>
    </row>
    <row r="952">
      <c r="A952" s="926" t="n">
        <v>33675</v>
      </c>
      <c r="B952" t="n">
        <v>7.75</v>
      </c>
      <c r="C952" t="n">
        <v>1.4179</v>
      </c>
    </row>
    <row r="953">
      <c r="A953" s="926" t="n">
        <v>33676</v>
      </c>
      <c r="B953" t="n">
        <v>7.747</v>
      </c>
      <c r="C953" t="n">
        <v>1.4179</v>
      </c>
    </row>
    <row r="954">
      <c r="A954" s="926" t="n">
        <v>33677</v>
      </c>
      <c r="B954" t="n">
        <v>7.746</v>
      </c>
      <c r="C954" t="n">
        <v>1.4179</v>
      </c>
    </row>
    <row r="955">
      <c r="A955" s="926" t="n">
        <v>33679</v>
      </c>
      <c r="B955" t="n">
        <v>7.742</v>
      </c>
      <c r="C955" t="n">
        <v>1.4179</v>
      </c>
    </row>
    <row r="956">
      <c r="A956" s="926" t="n">
        <v>33680</v>
      </c>
      <c r="B956" t="n">
        <v>7.741</v>
      </c>
      <c r="C956" t="n">
        <v>1.4179</v>
      </c>
    </row>
    <row r="957">
      <c r="A957" s="926" t="n">
        <v>33681</v>
      </c>
      <c r="B957" t="n">
        <v>7.743</v>
      </c>
      <c r="C957" t="n">
        <v>1.4179</v>
      </c>
    </row>
    <row r="958">
      <c r="A958" s="926" t="n">
        <v>33682</v>
      </c>
      <c r="B958" t="n">
        <v>7.741</v>
      </c>
      <c r="C958" t="n">
        <v>1.4179</v>
      </c>
    </row>
    <row r="959">
      <c r="A959" s="926" t="n">
        <v>33683</v>
      </c>
      <c r="B959" t="n">
        <v>7.744</v>
      </c>
      <c r="C959" t="n">
        <v>1.4179</v>
      </c>
    </row>
    <row r="960">
      <c r="A960" s="926" t="n">
        <v>33684</v>
      </c>
      <c r="B960" t="n">
        <v>7.744</v>
      </c>
      <c r="C960" t="n">
        <v>1.4179</v>
      </c>
    </row>
    <row r="961">
      <c r="A961" s="926" t="n">
        <v>33686</v>
      </c>
      <c r="B961" t="n">
        <v>7.747</v>
      </c>
      <c r="C961" t="n">
        <v>1.4179</v>
      </c>
    </row>
    <row r="962">
      <c r="A962" s="926" t="n">
        <v>33687</v>
      </c>
      <c r="B962" t="n">
        <v>7.743</v>
      </c>
      <c r="C962" t="n">
        <v>1.4179</v>
      </c>
    </row>
    <row r="963">
      <c r="A963" s="926" t="n">
        <v>33688</v>
      </c>
      <c r="B963" t="n">
        <v>7.739</v>
      </c>
      <c r="C963" t="n">
        <v>1.4179</v>
      </c>
    </row>
    <row r="964">
      <c r="A964" s="926" t="n">
        <v>33689</v>
      </c>
      <c r="B964" t="n">
        <v>7.74</v>
      </c>
      <c r="C964" t="n">
        <v>1.4179</v>
      </c>
    </row>
    <row r="965">
      <c r="A965" s="926" t="n">
        <v>33690</v>
      </c>
      <c r="B965" t="n">
        <v>7.741</v>
      </c>
      <c r="C965" t="n">
        <v>1.4179</v>
      </c>
    </row>
    <row r="966">
      <c r="A966" s="926" t="n">
        <v>33691</v>
      </c>
      <c r="B966" t="n">
        <v>7.739</v>
      </c>
      <c r="C966" t="n">
        <v>1.4179</v>
      </c>
    </row>
    <row r="967">
      <c r="A967" s="926" t="n">
        <v>33693</v>
      </c>
      <c r="B967" t="n">
        <v>7.739</v>
      </c>
      <c r="C967" t="n">
        <v>1.4179</v>
      </c>
    </row>
    <row r="968">
      <c r="A968" s="926" t="n">
        <v>33694</v>
      </c>
      <c r="B968" t="n">
        <v>7.739</v>
      </c>
      <c r="C968" t="n">
        <v>1.4179</v>
      </c>
    </row>
    <row r="969">
      <c r="A969" s="926" t="n">
        <v>33695</v>
      </c>
      <c r="B969" t="n">
        <v>7.742</v>
      </c>
      <c r="C969" t="n">
        <v>1.4179</v>
      </c>
    </row>
    <row r="970">
      <c r="A970" s="926" t="n">
        <v>33696</v>
      </c>
      <c r="B970" t="n">
        <v>7.74</v>
      </c>
      <c r="C970" t="n">
        <v>1.4179</v>
      </c>
    </row>
    <row r="971">
      <c r="A971" s="926" t="n">
        <v>33697</v>
      </c>
      <c r="B971" t="n">
        <v>7.741</v>
      </c>
      <c r="C971" t="n">
        <v>1.4179</v>
      </c>
    </row>
    <row r="972">
      <c r="A972" s="926" t="n">
        <v>33700</v>
      </c>
      <c r="B972" t="n">
        <v>7.739</v>
      </c>
      <c r="C972" t="n">
        <v>1.4179</v>
      </c>
    </row>
    <row r="973">
      <c r="A973" s="926" t="n">
        <v>33701</v>
      </c>
      <c r="B973" t="n">
        <v>7.738</v>
      </c>
      <c r="C973" t="n">
        <v>1.4179</v>
      </c>
    </row>
    <row r="974">
      <c r="A974" s="926" t="n">
        <v>33702</v>
      </c>
      <c r="B974" t="n">
        <v>7.733</v>
      </c>
      <c r="C974" t="n">
        <v>1.4179</v>
      </c>
    </row>
    <row r="975">
      <c r="A975" s="926" t="n">
        <v>33703</v>
      </c>
      <c r="B975" t="n">
        <v>7.734</v>
      </c>
      <c r="C975" t="n">
        <v>1.4179</v>
      </c>
    </row>
    <row r="976">
      <c r="A976" s="926" t="n">
        <v>33704</v>
      </c>
      <c r="B976" t="n">
        <v>7.734</v>
      </c>
      <c r="C976" t="n">
        <v>1.4179</v>
      </c>
    </row>
    <row r="977">
      <c r="A977" s="926" t="n">
        <v>33705</v>
      </c>
      <c r="B977" t="n">
        <v>7.735</v>
      </c>
      <c r="C977" t="n">
        <v>1.4079</v>
      </c>
    </row>
    <row r="978">
      <c r="A978" s="926" t="n">
        <v>33707</v>
      </c>
      <c r="B978" t="n">
        <v>7.734</v>
      </c>
      <c r="C978" t="n">
        <v>1.4079</v>
      </c>
    </row>
    <row r="979">
      <c r="A979" s="926" t="n">
        <v>33708</v>
      </c>
      <c r="B979" t="n">
        <v>7.73</v>
      </c>
      <c r="C979" t="n">
        <v>1.4079</v>
      </c>
    </row>
    <row r="980">
      <c r="A980" s="926" t="n">
        <v>33709</v>
      </c>
      <c r="B980" t="n">
        <v>7.732</v>
      </c>
      <c r="C980" t="n">
        <v>1.401</v>
      </c>
    </row>
    <row r="981">
      <c r="A981" s="926" t="n">
        <v>33710</v>
      </c>
      <c r="B981" t="n">
        <v>7.736</v>
      </c>
      <c r="C981" t="n">
        <v>1.401</v>
      </c>
    </row>
    <row r="982">
      <c r="A982" s="926" t="n">
        <v>33715</v>
      </c>
      <c r="B982" t="n">
        <v>7.741</v>
      </c>
      <c r="C982" t="n">
        <v>1.401</v>
      </c>
    </row>
    <row r="983">
      <c r="A983" s="926" t="n">
        <v>33716</v>
      </c>
      <c r="B983" t="n">
        <v>7.74</v>
      </c>
      <c r="C983" t="n">
        <v>1.401</v>
      </c>
    </row>
    <row r="984">
      <c r="A984" s="926" t="n">
        <v>33717</v>
      </c>
      <c r="B984" t="n">
        <v>7.738</v>
      </c>
      <c r="C984" t="n">
        <v>1.401</v>
      </c>
    </row>
    <row r="985">
      <c r="A985" s="926" t="n">
        <v>33718</v>
      </c>
      <c r="B985" t="n">
        <v>7.739</v>
      </c>
      <c r="C985" t="n">
        <v>1.401</v>
      </c>
    </row>
    <row r="986">
      <c r="A986" s="926" t="n">
        <v>33719</v>
      </c>
      <c r="B986" t="n">
        <v>7.736</v>
      </c>
      <c r="C986" t="n">
        <v>1.401</v>
      </c>
    </row>
    <row r="987">
      <c r="A987" s="926" t="n">
        <v>33721</v>
      </c>
      <c r="B987" t="n">
        <v>7.74</v>
      </c>
      <c r="C987" t="n">
        <v>1.401</v>
      </c>
    </row>
    <row r="988">
      <c r="A988" s="926" t="n">
        <v>33722</v>
      </c>
      <c r="B988" t="n">
        <v>7.737</v>
      </c>
      <c r="C988" t="n">
        <v>1.401</v>
      </c>
    </row>
    <row r="989">
      <c r="A989" s="926" t="n">
        <v>33723</v>
      </c>
      <c r="B989" t="n">
        <v>7.759</v>
      </c>
      <c r="C989" t="n">
        <v>1.401</v>
      </c>
    </row>
    <row r="990">
      <c r="A990" s="926" t="n">
        <v>33724</v>
      </c>
      <c r="B990" t="n">
        <v>7.757</v>
      </c>
      <c r="C990" t="n">
        <v>1.401</v>
      </c>
    </row>
    <row r="991">
      <c r="A991" s="926" t="n">
        <v>33725</v>
      </c>
      <c r="B991" t="n">
        <v>7.758</v>
      </c>
      <c r="C991" t="n">
        <v>1.401</v>
      </c>
    </row>
    <row r="992">
      <c r="A992" s="926" t="n">
        <v>33726</v>
      </c>
      <c r="B992" t="n">
        <v>7.757</v>
      </c>
      <c r="C992" t="n">
        <v>1.401</v>
      </c>
    </row>
    <row r="993">
      <c r="A993" s="926" t="n">
        <v>33728</v>
      </c>
      <c r="B993" t="n">
        <v>7.751</v>
      </c>
      <c r="C993" t="n">
        <v>1.401</v>
      </c>
    </row>
    <row r="994">
      <c r="A994" s="926" t="n">
        <v>33729</v>
      </c>
      <c r="B994" t="n">
        <v>7.744</v>
      </c>
      <c r="C994" t="n">
        <v>1.401</v>
      </c>
    </row>
    <row r="995">
      <c r="A995" s="926" t="n">
        <v>33730</v>
      </c>
      <c r="B995" t="n">
        <v>7.742</v>
      </c>
      <c r="C995" t="n">
        <v>1.401</v>
      </c>
    </row>
    <row r="996">
      <c r="A996" s="926" t="n">
        <v>33731</v>
      </c>
      <c r="B996" t="n">
        <v>7.742</v>
      </c>
      <c r="C996" t="n">
        <v>1.401</v>
      </c>
    </row>
    <row r="997">
      <c r="A997" s="926" t="n">
        <v>33732</v>
      </c>
      <c r="B997" t="n">
        <v>7.741</v>
      </c>
      <c r="C997" t="n">
        <v>1.401</v>
      </c>
    </row>
    <row r="998">
      <c r="A998" s="926" t="n">
        <v>33733</v>
      </c>
      <c r="B998" t="n">
        <v>7.741</v>
      </c>
      <c r="C998" t="n">
        <v>1.401</v>
      </c>
    </row>
    <row r="999">
      <c r="A999" s="926" t="n">
        <v>33735</v>
      </c>
      <c r="B999" t="n">
        <v>7.742</v>
      </c>
      <c r="C999" t="n">
        <v>1.401</v>
      </c>
    </row>
    <row r="1000">
      <c r="A1000" s="926" t="n">
        <v>33736</v>
      </c>
      <c r="B1000" t="n">
        <v>7.746</v>
      </c>
      <c r="C1000" t="n">
        <v>1.401</v>
      </c>
    </row>
    <row r="1001">
      <c r="A1001" s="926" t="n">
        <v>33737</v>
      </c>
      <c r="B1001" t="n">
        <v>7.743</v>
      </c>
      <c r="C1001" t="n">
        <v>1.401</v>
      </c>
    </row>
    <row r="1002">
      <c r="A1002" s="926" t="n">
        <v>33738</v>
      </c>
      <c r="B1002" t="n">
        <v>7.738</v>
      </c>
      <c r="C1002" t="n">
        <v>1.4085</v>
      </c>
    </row>
    <row r="1003">
      <c r="A1003" s="926" t="n">
        <v>33739</v>
      </c>
      <c r="B1003" t="n">
        <v>7.735</v>
      </c>
      <c r="C1003" t="n">
        <v>1.4085</v>
      </c>
    </row>
    <row r="1004">
      <c r="A1004" s="926" t="n">
        <v>33740</v>
      </c>
      <c r="B1004" t="n">
        <v>7.734</v>
      </c>
      <c r="C1004" t="n">
        <v>1.4085</v>
      </c>
    </row>
    <row r="1005">
      <c r="A1005" s="926" t="n">
        <v>33742</v>
      </c>
      <c r="B1005" t="n">
        <v>7.738</v>
      </c>
      <c r="C1005" t="n">
        <v>1.4085</v>
      </c>
    </row>
    <row r="1006">
      <c r="A1006" s="926" t="n">
        <v>33743</v>
      </c>
      <c r="B1006" t="n">
        <v>7.735</v>
      </c>
      <c r="C1006" t="n">
        <v>1.4085</v>
      </c>
    </row>
    <row r="1007">
      <c r="A1007" s="926" t="n">
        <v>33744</v>
      </c>
      <c r="B1007" t="n">
        <v>7.735</v>
      </c>
      <c r="C1007" t="n">
        <v>1.4085</v>
      </c>
    </row>
    <row r="1008">
      <c r="A1008" s="926" t="n">
        <v>33745</v>
      </c>
      <c r="B1008" t="n">
        <v>7.736</v>
      </c>
      <c r="C1008" t="n">
        <v>1.4085</v>
      </c>
    </row>
    <row r="1009">
      <c r="A1009" s="926" t="n">
        <v>33746</v>
      </c>
      <c r="B1009" t="n">
        <v>7.738</v>
      </c>
      <c r="C1009" t="n">
        <v>1.4085</v>
      </c>
    </row>
    <row r="1010">
      <c r="A1010" s="926" t="n">
        <v>33747</v>
      </c>
      <c r="B1010" t="n">
        <v>7.741</v>
      </c>
      <c r="C1010" t="n">
        <v>1.4085</v>
      </c>
    </row>
    <row r="1011">
      <c r="A1011" s="926" t="n">
        <v>33749</v>
      </c>
      <c r="B1011" t="n">
        <v>7.746</v>
      </c>
      <c r="C1011" t="n">
        <v>1.4085</v>
      </c>
    </row>
    <row r="1012">
      <c r="A1012" s="926" t="n">
        <v>33750</v>
      </c>
      <c r="B1012" t="n">
        <v>7.746</v>
      </c>
      <c r="C1012" t="n">
        <v>1.4085</v>
      </c>
    </row>
    <row r="1013">
      <c r="A1013" s="926" t="n">
        <v>33751</v>
      </c>
      <c r="B1013" t="n">
        <v>7.747</v>
      </c>
      <c r="C1013" t="n">
        <v>1.4085</v>
      </c>
    </row>
    <row r="1014">
      <c r="A1014" s="926" t="n">
        <v>33752</v>
      </c>
      <c r="B1014" t="n">
        <v>7.75</v>
      </c>
      <c r="C1014" t="n">
        <v>1.4085</v>
      </c>
    </row>
    <row r="1015">
      <c r="A1015" s="926" t="n">
        <v>33753</v>
      </c>
      <c r="B1015" t="n">
        <v>7.743</v>
      </c>
      <c r="C1015" t="n">
        <v>1.4085</v>
      </c>
    </row>
    <row r="1016">
      <c r="A1016" s="926" t="n">
        <v>33754</v>
      </c>
      <c r="B1016" t="n">
        <v>7.744</v>
      </c>
      <c r="C1016" t="n">
        <v>1.4085</v>
      </c>
    </row>
    <row r="1017">
      <c r="A1017" s="926" t="n">
        <v>33756</v>
      </c>
      <c r="B1017" t="n">
        <v>7.742</v>
      </c>
      <c r="C1017" t="n">
        <v>1.4085</v>
      </c>
    </row>
    <row r="1018">
      <c r="A1018" s="926" t="n">
        <v>33757</v>
      </c>
      <c r="B1018" t="n">
        <v>7.74</v>
      </c>
      <c r="C1018" t="n">
        <v>1.4085</v>
      </c>
    </row>
    <row r="1019">
      <c r="A1019" s="926" t="n">
        <v>33758</v>
      </c>
      <c r="B1019" t="n">
        <v>7.738</v>
      </c>
      <c r="C1019" t="n">
        <v>1.4085</v>
      </c>
    </row>
    <row r="1020">
      <c r="A1020" s="926" t="n">
        <v>33759</v>
      </c>
      <c r="B1020" t="n">
        <v>7.738</v>
      </c>
      <c r="C1020" t="n">
        <v>1.4085</v>
      </c>
    </row>
    <row r="1021">
      <c r="A1021" s="926" t="n">
        <v>33761</v>
      </c>
      <c r="B1021" t="n">
        <v>7.737</v>
      </c>
      <c r="C1021" t="n">
        <v>1.4085</v>
      </c>
    </row>
    <row r="1022">
      <c r="A1022" s="926" t="n">
        <v>33763</v>
      </c>
      <c r="B1022" t="n">
        <v>7.737</v>
      </c>
      <c r="C1022" t="n">
        <v>1.4085</v>
      </c>
    </row>
    <row r="1023">
      <c r="A1023" s="926" t="n">
        <v>33764</v>
      </c>
      <c r="B1023" t="n">
        <v>7.737</v>
      </c>
      <c r="C1023" t="n">
        <v>1.4085</v>
      </c>
    </row>
    <row r="1024">
      <c r="A1024" s="926" t="n">
        <v>33765</v>
      </c>
      <c r="B1024" t="n">
        <v>7.735</v>
      </c>
      <c r="C1024" t="n">
        <v>1.4085</v>
      </c>
    </row>
    <row r="1025">
      <c r="A1025" s="926" t="n">
        <v>33766</v>
      </c>
      <c r="B1025" t="n">
        <v>7.737</v>
      </c>
      <c r="C1025" t="n">
        <v>1.4085</v>
      </c>
    </row>
    <row r="1026">
      <c r="A1026" s="926" t="n">
        <v>33767</v>
      </c>
      <c r="B1026" t="n">
        <v>7.735</v>
      </c>
      <c r="C1026" t="n">
        <v>1.4085</v>
      </c>
    </row>
    <row r="1027">
      <c r="A1027" s="926" t="n">
        <v>33771</v>
      </c>
      <c r="B1027" t="n">
        <v>7.734</v>
      </c>
      <c r="C1027" t="n">
        <v>1.4085</v>
      </c>
    </row>
    <row r="1028">
      <c r="A1028" s="926" t="n">
        <v>33772</v>
      </c>
      <c r="B1028" t="n">
        <v>7.733</v>
      </c>
      <c r="C1028" t="n">
        <v>1.4085</v>
      </c>
    </row>
    <row r="1029">
      <c r="A1029" s="926" t="n">
        <v>33773</v>
      </c>
      <c r="B1029" t="n">
        <v>7.736</v>
      </c>
      <c r="C1029" t="n">
        <v>1.4085</v>
      </c>
    </row>
    <row r="1030">
      <c r="A1030" s="926" t="n">
        <v>33774</v>
      </c>
      <c r="B1030" t="n">
        <v>7.737</v>
      </c>
      <c r="C1030" t="n">
        <v>1.4085</v>
      </c>
    </row>
    <row r="1031">
      <c r="A1031" s="926" t="n">
        <v>33775</v>
      </c>
      <c r="B1031" t="n">
        <v>7.735</v>
      </c>
      <c r="C1031" t="n">
        <v>1.4085</v>
      </c>
    </row>
    <row r="1032">
      <c r="A1032" s="926" t="n">
        <v>33777</v>
      </c>
      <c r="B1032" t="n">
        <v>7.736</v>
      </c>
      <c r="C1032" t="n">
        <v>1.4085</v>
      </c>
    </row>
    <row r="1033">
      <c r="A1033" s="926" t="n">
        <v>33778</v>
      </c>
      <c r="B1033" t="n">
        <v>7.733</v>
      </c>
      <c r="C1033" t="n">
        <v>1.4141</v>
      </c>
    </row>
    <row r="1034">
      <c r="A1034" s="926" t="n">
        <v>33779</v>
      </c>
      <c r="B1034" t="n">
        <v>7.732</v>
      </c>
      <c r="C1034" t="n">
        <v>1.4141</v>
      </c>
    </row>
    <row r="1035">
      <c r="A1035" s="926" t="n">
        <v>33780</v>
      </c>
      <c r="B1035" t="n">
        <v>7.733</v>
      </c>
      <c r="C1035" t="n">
        <v>1.4141</v>
      </c>
    </row>
    <row r="1036">
      <c r="A1036" s="926" t="n">
        <v>33781</v>
      </c>
      <c r="B1036" t="n">
        <v>7.731</v>
      </c>
      <c r="C1036" t="n">
        <v>1.4141</v>
      </c>
    </row>
    <row r="1037">
      <c r="A1037" s="926" t="n">
        <v>33782</v>
      </c>
      <c r="B1037" t="n">
        <v>7.731</v>
      </c>
      <c r="C1037" t="n">
        <v>1.4141</v>
      </c>
    </row>
    <row r="1038">
      <c r="A1038" s="926" t="n">
        <v>33784</v>
      </c>
      <c r="B1038" t="n">
        <v>7.733</v>
      </c>
      <c r="C1038" t="n">
        <v>1.4141</v>
      </c>
    </row>
    <row r="1039">
      <c r="A1039" s="926" t="n">
        <v>33785</v>
      </c>
      <c r="B1039" t="n">
        <v>7.732</v>
      </c>
      <c r="C1039" t="n">
        <v>1.4141</v>
      </c>
    </row>
    <row r="1040">
      <c r="A1040" s="926" t="n">
        <v>33786</v>
      </c>
      <c r="B1040" t="n">
        <v>7.73</v>
      </c>
      <c r="C1040" t="n">
        <v>1.4141</v>
      </c>
    </row>
    <row r="1041">
      <c r="A1041" s="926" t="n">
        <v>33787</v>
      </c>
      <c r="B1041" t="n">
        <v>7.732</v>
      </c>
      <c r="C1041" t="n">
        <v>1.4141</v>
      </c>
    </row>
    <row r="1042">
      <c r="A1042" s="926" t="n">
        <v>33788</v>
      </c>
      <c r="B1042" t="n">
        <v>7.729</v>
      </c>
      <c r="C1042" t="n">
        <v>1.4141</v>
      </c>
    </row>
    <row r="1043">
      <c r="A1043" s="926" t="n">
        <v>33789</v>
      </c>
      <c r="B1043" t="n">
        <v>7.731</v>
      </c>
      <c r="C1043" t="n">
        <v>1.4141</v>
      </c>
    </row>
    <row r="1044">
      <c r="A1044" s="926" t="n">
        <v>33791</v>
      </c>
      <c r="B1044" t="n">
        <v>7.733</v>
      </c>
      <c r="C1044" t="n">
        <v>1.4141</v>
      </c>
    </row>
    <row r="1045">
      <c r="A1045" s="926" t="n">
        <v>33792</v>
      </c>
      <c r="B1045" t="n">
        <v>7.736</v>
      </c>
      <c r="C1045" t="n">
        <v>1.4141</v>
      </c>
    </row>
    <row r="1046">
      <c r="A1046" s="926" t="n">
        <v>33793</v>
      </c>
      <c r="B1046" t="n">
        <v>7.734</v>
      </c>
      <c r="C1046" t="n">
        <v>1.4141</v>
      </c>
    </row>
    <row r="1047">
      <c r="A1047" s="926" t="n">
        <v>33794</v>
      </c>
      <c r="B1047" t="n">
        <v>7.736</v>
      </c>
      <c r="C1047" t="n">
        <v>1.4141</v>
      </c>
    </row>
    <row r="1048">
      <c r="A1048" s="926" t="n">
        <v>33795</v>
      </c>
      <c r="B1048" t="n">
        <v>7.737</v>
      </c>
      <c r="C1048" t="n">
        <v>1.4141</v>
      </c>
    </row>
    <row r="1049">
      <c r="A1049" s="926" t="n">
        <v>33796</v>
      </c>
      <c r="B1049" t="n">
        <v>7.736</v>
      </c>
      <c r="C1049" t="n">
        <v>1.4141</v>
      </c>
    </row>
    <row r="1050">
      <c r="A1050" s="926" t="n">
        <v>33798</v>
      </c>
      <c r="B1050" t="n">
        <v>7.733</v>
      </c>
      <c r="C1050" t="n">
        <v>1.4141</v>
      </c>
    </row>
    <row r="1051">
      <c r="A1051" s="926" t="n">
        <v>33799</v>
      </c>
      <c r="B1051" t="n">
        <v>7.732</v>
      </c>
      <c r="C1051" t="n">
        <v>1.4141</v>
      </c>
    </row>
    <row r="1052">
      <c r="A1052" s="926" t="n">
        <v>33800</v>
      </c>
      <c r="B1052" t="n">
        <v>7.734</v>
      </c>
      <c r="C1052" t="n">
        <v>1.4141</v>
      </c>
    </row>
    <row r="1053">
      <c r="A1053" s="926" t="n">
        <v>33801</v>
      </c>
      <c r="B1053" t="n">
        <v>7.735</v>
      </c>
      <c r="C1053" t="n">
        <v>1.4141</v>
      </c>
    </row>
    <row r="1054">
      <c r="A1054" s="926" t="n">
        <v>33802</v>
      </c>
      <c r="B1054" t="n">
        <v>7.731</v>
      </c>
      <c r="C1054" t="n">
        <v>1.4141</v>
      </c>
    </row>
    <row r="1055">
      <c r="A1055" s="926" t="n">
        <v>33803</v>
      </c>
      <c r="B1055" t="n">
        <v>7.731</v>
      </c>
      <c r="C1055" t="n">
        <v>1.4141</v>
      </c>
    </row>
    <row r="1056">
      <c r="A1056" s="926" t="n">
        <v>33805</v>
      </c>
      <c r="B1056" t="n">
        <v>7.728</v>
      </c>
      <c r="C1056" t="n">
        <v>1.4141</v>
      </c>
    </row>
    <row r="1057">
      <c r="A1057" s="926" t="n">
        <v>33806</v>
      </c>
      <c r="B1057" t="n">
        <v>7.735</v>
      </c>
      <c r="C1057" t="n">
        <v>1.4224</v>
      </c>
    </row>
    <row r="1058">
      <c r="A1058" s="926" t="n">
        <v>33808</v>
      </c>
      <c r="B1058" t="n">
        <v>7.736</v>
      </c>
      <c r="C1058" t="n">
        <v>1.4224</v>
      </c>
    </row>
    <row r="1059">
      <c r="A1059" s="926" t="n">
        <v>33809</v>
      </c>
      <c r="B1059" t="n">
        <v>7.737</v>
      </c>
      <c r="C1059" t="n">
        <v>1.4224</v>
      </c>
    </row>
    <row r="1060">
      <c r="A1060" s="926" t="n">
        <v>33810</v>
      </c>
      <c r="B1060" t="n">
        <v>7.74</v>
      </c>
      <c r="C1060" t="n">
        <v>1.4224</v>
      </c>
    </row>
    <row r="1061">
      <c r="A1061" s="926" t="n">
        <v>33812</v>
      </c>
      <c r="B1061" t="n">
        <v>7.742</v>
      </c>
      <c r="C1061" t="n">
        <v>1.4224</v>
      </c>
    </row>
    <row r="1062">
      <c r="A1062" s="926" t="n">
        <v>33813</v>
      </c>
      <c r="B1062" t="n">
        <v>7.737</v>
      </c>
      <c r="C1062" t="n">
        <v>1.4224</v>
      </c>
    </row>
    <row r="1063">
      <c r="A1063" s="926" t="n">
        <v>33814</v>
      </c>
      <c r="B1063" t="n">
        <v>7.735</v>
      </c>
      <c r="C1063" t="n">
        <v>1.4224</v>
      </c>
    </row>
    <row r="1064">
      <c r="A1064" s="926" t="n">
        <v>33815</v>
      </c>
      <c r="B1064" t="n">
        <v>7.736</v>
      </c>
      <c r="C1064" t="n">
        <v>1.4224</v>
      </c>
    </row>
    <row r="1065">
      <c r="A1065" s="926" t="n">
        <v>33816</v>
      </c>
      <c r="B1065" t="n">
        <v>7.735</v>
      </c>
      <c r="C1065" t="n">
        <v>1.4224</v>
      </c>
    </row>
    <row r="1066">
      <c r="A1066" s="926" t="n">
        <v>33817</v>
      </c>
      <c r="B1066" t="n">
        <v>7.735</v>
      </c>
      <c r="C1066" t="n">
        <v>1.4224</v>
      </c>
    </row>
    <row r="1067">
      <c r="A1067" s="926" t="n">
        <v>33819</v>
      </c>
      <c r="B1067" t="n">
        <v>7.733</v>
      </c>
      <c r="C1067" t="n">
        <v>1.4224</v>
      </c>
    </row>
    <row r="1068">
      <c r="A1068" s="926" t="n">
        <v>33820</v>
      </c>
      <c r="B1068" t="n">
        <v>7.732</v>
      </c>
      <c r="C1068" t="n">
        <v>1.4224</v>
      </c>
    </row>
    <row r="1069">
      <c r="A1069" s="926" t="n">
        <v>33821</v>
      </c>
      <c r="B1069" t="n">
        <v>7.733</v>
      </c>
      <c r="C1069" t="n">
        <v>1.4224</v>
      </c>
    </row>
    <row r="1070">
      <c r="A1070" s="926" t="n">
        <v>33822</v>
      </c>
      <c r="B1070" t="n">
        <v>7.733</v>
      </c>
      <c r="C1070" t="n">
        <v>1.4224</v>
      </c>
    </row>
    <row r="1071">
      <c r="A1071" s="926" t="n">
        <v>33823</v>
      </c>
      <c r="B1071" t="n">
        <v>7.733</v>
      </c>
      <c r="C1071" t="n">
        <v>1.4224</v>
      </c>
    </row>
    <row r="1072">
      <c r="A1072" s="926" t="n">
        <v>33824</v>
      </c>
      <c r="B1072" t="n">
        <v>7.731</v>
      </c>
      <c r="C1072" t="n">
        <v>1.4224</v>
      </c>
    </row>
    <row r="1073">
      <c r="A1073" s="926" t="n">
        <v>33826</v>
      </c>
      <c r="B1073" t="n">
        <v>7.733</v>
      </c>
      <c r="C1073" t="n">
        <v>1.4224</v>
      </c>
    </row>
    <row r="1074">
      <c r="A1074" s="926" t="n">
        <v>33827</v>
      </c>
      <c r="B1074" t="n">
        <v>7.732</v>
      </c>
      <c r="C1074" t="n">
        <v>1.4224</v>
      </c>
    </row>
    <row r="1075">
      <c r="A1075" s="926" t="n">
        <v>33828</v>
      </c>
      <c r="B1075" t="n">
        <v>7.731</v>
      </c>
      <c r="C1075" t="n">
        <v>1.4224</v>
      </c>
    </row>
    <row r="1076">
      <c r="A1076" s="926" t="n">
        <v>33829</v>
      </c>
      <c r="B1076" t="n">
        <v>7.731</v>
      </c>
      <c r="C1076" t="n">
        <v>1.4224</v>
      </c>
    </row>
    <row r="1077">
      <c r="A1077" s="926" t="n">
        <v>33830</v>
      </c>
      <c r="B1077" t="n">
        <v>7.732</v>
      </c>
      <c r="C1077" t="n">
        <v>1.4224</v>
      </c>
    </row>
    <row r="1078">
      <c r="A1078" s="926" t="n">
        <v>33831</v>
      </c>
      <c r="B1078" t="n">
        <v>7.731</v>
      </c>
      <c r="C1078" t="n">
        <v>1.4224</v>
      </c>
    </row>
    <row r="1079">
      <c r="A1079" s="926" t="n">
        <v>33833</v>
      </c>
      <c r="B1079" t="n">
        <v>7.733</v>
      </c>
      <c r="C1079" t="n">
        <v>1.4224</v>
      </c>
    </row>
    <row r="1080">
      <c r="A1080" s="926" t="n">
        <v>33834</v>
      </c>
      <c r="B1080" t="n">
        <v>7.734</v>
      </c>
      <c r="C1080" t="n">
        <v>1.4224</v>
      </c>
    </row>
    <row r="1081">
      <c r="A1081" s="926" t="n">
        <v>33835</v>
      </c>
      <c r="B1081" t="n">
        <v>7.733</v>
      </c>
      <c r="C1081" t="n">
        <v>1.4224</v>
      </c>
    </row>
    <row r="1082">
      <c r="A1082" s="926" t="n">
        <v>33836</v>
      </c>
      <c r="B1082" t="n">
        <v>7.734</v>
      </c>
      <c r="C1082" t="n">
        <v>1.4224</v>
      </c>
    </row>
    <row r="1083">
      <c r="A1083" s="926" t="n">
        <v>33837</v>
      </c>
      <c r="B1083" t="n">
        <v>7.732</v>
      </c>
      <c r="C1083" t="n">
        <v>1.4224</v>
      </c>
    </row>
    <row r="1084">
      <c r="A1084" s="926" t="n">
        <v>33838</v>
      </c>
      <c r="B1084" t="n">
        <v>7.733</v>
      </c>
      <c r="C1084" t="n">
        <v>1.4224</v>
      </c>
    </row>
    <row r="1085">
      <c r="A1085" s="926" t="n">
        <v>33840</v>
      </c>
      <c r="B1085" t="n">
        <v>7.73</v>
      </c>
      <c r="C1085" t="n">
        <v>1.4224</v>
      </c>
    </row>
    <row r="1086">
      <c r="A1086" s="926" t="n">
        <v>33841</v>
      </c>
      <c r="B1086" t="n">
        <v>7.73</v>
      </c>
      <c r="C1086" t="n">
        <v>1.4297</v>
      </c>
    </row>
    <row r="1087">
      <c r="A1087" s="926" t="n">
        <v>33842</v>
      </c>
      <c r="B1087" t="n">
        <v>7.73</v>
      </c>
      <c r="C1087" t="n">
        <v>1.4297</v>
      </c>
    </row>
    <row r="1088">
      <c r="A1088" s="926" t="n">
        <v>33843</v>
      </c>
      <c r="B1088" t="n">
        <v>7.732</v>
      </c>
      <c r="C1088" t="n">
        <v>1.4297</v>
      </c>
    </row>
    <row r="1089">
      <c r="A1089" s="926" t="n">
        <v>33844</v>
      </c>
      <c r="B1089" t="n">
        <v>7.73</v>
      </c>
      <c r="C1089" t="n">
        <v>1.4297</v>
      </c>
    </row>
    <row r="1090">
      <c r="A1090" s="926" t="n">
        <v>33848</v>
      </c>
      <c r="B1090" t="n">
        <v>7.729</v>
      </c>
      <c r="C1090" t="n">
        <v>1.4297</v>
      </c>
    </row>
    <row r="1091">
      <c r="A1091" s="926" t="n">
        <v>33849</v>
      </c>
      <c r="B1091" t="n">
        <v>7.729</v>
      </c>
      <c r="C1091" t="n">
        <v>1.4297</v>
      </c>
    </row>
    <row r="1092">
      <c r="A1092" s="926" t="n">
        <v>33850</v>
      </c>
      <c r="B1092" t="n">
        <v>7.73</v>
      </c>
      <c r="C1092" t="n">
        <v>1.4297</v>
      </c>
    </row>
    <row r="1093">
      <c r="A1093" s="926" t="n">
        <v>33851</v>
      </c>
      <c r="B1093" t="n">
        <v>7.73</v>
      </c>
      <c r="C1093" t="n">
        <v>1.4142</v>
      </c>
    </row>
    <row r="1094">
      <c r="A1094" s="926" t="n">
        <v>33852</v>
      </c>
      <c r="B1094" t="n">
        <v>7.731</v>
      </c>
      <c r="C1094" t="n">
        <v>1.4142</v>
      </c>
    </row>
    <row r="1095">
      <c r="A1095" s="926" t="n">
        <v>33854</v>
      </c>
      <c r="B1095" t="n">
        <v>7.729</v>
      </c>
      <c r="C1095" t="n">
        <v>1.4142</v>
      </c>
    </row>
    <row r="1096">
      <c r="A1096" s="926" t="n">
        <v>33855</v>
      </c>
      <c r="B1096" t="n">
        <v>7.729</v>
      </c>
      <c r="C1096" t="n">
        <v>1.4142</v>
      </c>
    </row>
    <row r="1097">
      <c r="A1097" s="926" t="n">
        <v>33856</v>
      </c>
      <c r="B1097" t="n">
        <v>7.729</v>
      </c>
      <c r="C1097" t="n">
        <v>1.4142</v>
      </c>
    </row>
    <row r="1098">
      <c r="A1098" s="926" t="n">
        <v>33857</v>
      </c>
      <c r="B1098" t="n">
        <v>7.73</v>
      </c>
      <c r="C1098" t="n">
        <v>1.4142</v>
      </c>
    </row>
    <row r="1099">
      <c r="A1099" s="926" t="n">
        <v>33858</v>
      </c>
      <c r="B1099" t="n">
        <v>7.732</v>
      </c>
      <c r="C1099" t="n">
        <v>1.4045</v>
      </c>
    </row>
    <row r="1100">
      <c r="A1100" s="926" t="n">
        <v>33861</v>
      </c>
      <c r="B1100" t="n">
        <v>7.732</v>
      </c>
      <c r="C1100" t="n">
        <v>1.4029</v>
      </c>
    </row>
    <row r="1101">
      <c r="A1101" s="926" t="n">
        <v>33862</v>
      </c>
      <c r="B1101" t="n">
        <v>7.731</v>
      </c>
      <c r="C1101" t="n">
        <v>1.4029</v>
      </c>
    </row>
    <row r="1102">
      <c r="A1102" s="926" t="n">
        <v>33863</v>
      </c>
      <c r="B1102" t="n">
        <v>7.73</v>
      </c>
      <c r="C1102" t="n">
        <v>1.4029</v>
      </c>
    </row>
    <row r="1103">
      <c r="A1103" s="926" t="n">
        <v>33864</v>
      </c>
      <c r="B1103" t="n">
        <v>7.731</v>
      </c>
      <c r="C1103" t="n">
        <v>1.4029</v>
      </c>
    </row>
    <row r="1104">
      <c r="A1104" s="926" t="n">
        <v>33865</v>
      </c>
      <c r="B1104" t="n">
        <v>7.73</v>
      </c>
      <c r="C1104" t="n">
        <v>1.4029</v>
      </c>
    </row>
    <row r="1105">
      <c r="A1105" s="926" t="n">
        <v>33866</v>
      </c>
      <c r="B1105" t="n">
        <v>7.73</v>
      </c>
      <c r="C1105" t="n">
        <v>1.4029</v>
      </c>
    </row>
    <row r="1106">
      <c r="A1106" s="926" t="n">
        <v>33868</v>
      </c>
      <c r="B1106" t="n">
        <v>7.73</v>
      </c>
      <c r="C1106" t="n">
        <v>1.4029</v>
      </c>
    </row>
    <row r="1107">
      <c r="A1107" s="926" t="n">
        <v>33869</v>
      </c>
      <c r="B1107" t="n">
        <v>7.73</v>
      </c>
      <c r="C1107" t="n">
        <v>1.4029</v>
      </c>
    </row>
    <row r="1108">
      <c r="A1108" s="926" t="n">
        <v>33870</v>
      </c>
      <c r="B1108" t="n">
        <v>7.73</v>
      </c>
      <c r="C1108" t="n">
        <v>1.4029</v>
      </c>
    </row>
    <row r="1109">
      <c r="A1109" s="926" t="n">
        <v>33871</v>
      </c>
      <c r="B1109" t="n">
        <v>7.729</v>
      </c>
      <c r="C1109" t="n">
        <v>1.4029</v>
      </c>
    </row>
    <row r="1110">
      <c r="A1110" s="926" t="n">
        <v>33872</v>
      </c>
      <c r="B1110" t="n">
        <v>7.73</v>
      </c>
      <c r="C1110" t="n">
        <v>1.4029</v>
      </c>
    </row>
    <row r="1111">
      <c r="A1111" s="926" t="n">
        <v>33873</v>
      </c>
      <c r="B1111" t="n">
        <v>7.73</v>
      </c>
      <c r="C1111" t="n">
        <v>1.4029</v>
      </c>
    </row>
    <row r="1112">
      <c r="A1112" s="926" t="n">
        <v>33875</v>
      </c>
      <c r="B1112" t="n">
        <v>7.731</v>
      </c>
      <c r="C1112" t="n">
        <v>1.4029</v>
      </c>
    </row>
    <row r="1113">
      <c r="A1113" s="926" t="n">
        <v>33876</v>
      </c>
      <c r="B1113" t="n">
        <v>7.73</v>
      </c>
      <c r="C1113" t="n">
        <v>1.4029</v>
      </c>
    </row>
    <row r="1114">
      <c r="A1114" s="926" t="n">
        <v>33877</v>
      </c>
      <c r="B1114" t="n">
        <v>7.723</v>
      </c>
      <c r="C1114" t="n">
        <v>1.4029</v>
      </c>
    </row>
    <row r="1115">
      <c r="A1115" s="926" t="n">
        <v>33878</v>
      </c>
      <c r="B1115" t="n">
        <v>7.725</v>
      </c>
      <c r="C1115" t="n">
        <v>1.4029</v>
      </c>
    </row>
    <row r="1116">
      <c r="A1116" s="926" t="n">
        <v>33879</v>
      </c>
      <c r="B1116" t="n">
        <v>7.726</v>
      </c>
      <c r="C1116" t="n">
        <v>1.4029</v>
      </c>
    </row>
    <row r="1117">
      <c r="A1117" s="926" t="n">
        <v>33880</v>
      </c>
      <c r="B1117" t="n">
        <v>7.725</v>
      </c>
      <c r="C1117" t="n">
        <v>1.4029</v>
      </c>
    </row>
    <row r="1118">
      <c r="A1118" s="926" t="n">
        <v>33883</v>
      </c>
      <c r="B1118" t="n">
        <v>7.726</v>
      </c>
      <c r="C1118" t="n">
        <v>1.4029</v>
      </c>
    </row>
    <row r="1119">
      <c r="A1119" s="926" t="n">
        <v>33884</v>
      </c>
      <c r="B1119" t="n">
        <v>7.729</v>
      </c>
      <c r="C1119" t="n">
        <v>1.4029</v>
      </c>
    </row>
    <row r="1120">
      <c r="A1120" s="926" t="n">
        <v>33885</v>
      </c>
      <c r="B1120" t="n">
        <v>7.731</v>
      </c>
      <c r="C1120" t="n">
        <v>1.4029</v>
      </c>
    </row>
    <row r="1121">
      <c r="A1121" s="926" t="n">
        <v>33886</v>
      </c>
      <c r="B1121" t="n">
        <v>7.732</v>
      </c>
      <c r="C1121" t="n">
        <v>1.4029</v>
      </c>
    </row>
    <row r="1122">
      <c r="A1122" s="926" t="n">
        <v>33887</v>
      </c>
      <c r="B1122" t="n">
        <v>7.731</v>
      </c>
      <c r="C1122" t="n">
        <v>1.3953</v>
      </c>
    </row>
    <row r="1123">
      <c r="A1123" s="926" t="n">
        <v>33889</v>
      </c>
      <c r="B1123" t="n">
        <v>7.731</v>
      </c>
      <c r="C1123" t="n">
        <v>1.3953</v>
      </c>
    </row>
    <row r="1124">
      <c r="A1124" s="926" t="n">
        <v>33890</v>
      </c>
      <c r="B1124" t="n">
        <v>7.732</v>
      </c>
      <c r="C1124" t="n">
        <v>1.3953</v>
      </c>
    </row>
    <row r="1125">
      <c r="A1125" s="926" t="n">
        <v>33891</v>
      </c>
      <c r="B1125" t="n">
        <v>7.732</v>
      </c>
      <c r="C1125" t="n">
        <v>1.3953</v>
      </c>
    </row>
    <row r="1126">
      <c r="A1126" s="926" t="n">
        <v>33892</v>
      </c>
      <c r="B1126" t="n">
        <v>7.728</v>
      </c>
      <c r="C1126" t="n">
        <v>1.3953</v>
      </c>
    </row>
    <row r="1127">
      <c r="A1127" s="926" t="n">
        <v>33893</v>
      </c>
      <c r="B1127" t="n">
        <v>7.731</v>
      </c>
      <c r="C1127" t="n">
        <v>1.3953</v>
      </c>
    </row>
    <row r="1128">
      <c r="A1128" s="926" t="n">
        <v>33894</v>
      </c>
      <c r="B1128" t="n">
        <v>7.732</v>
      </c>
      <c r="C1128" t="n">
        <v>1.3953</v>
      </c>
    </row>
    <row r="1129">
      <c r="A1129" s="926" t="n">
        <v>33896</v>
      </c>
      <c r="B1129" t="n">
        <v>7.733</v>
      </c>
      <c r="C1129" t="n">
        <v>1.3953</v>
      </c>
    </row>
    <row r="1130">
      <c r="A1130" s="926" t="n">
        <v>33897</v>
      </c>
      <c r="B1130" t="n">
        <v>7.732</v>
      </c>
      <c r="C1130" t="n">
        <v>1.3953</v>
      </c>
    </row>
    <row r="1131">
      <c r="A1131" s="926" t="n">
        <v>33898</v>
      </c>
      <c r="B1131" t="n">
        <v>7.732</v>
      </c>
      <c r="C1131" t="n">
        <v>1.3953</v>
      </c>
    </row>
    <row r="1132">
      <c r="A1132" s="926" t="n">
        <v>33899</v>
      </c>
      <c r="B1132" t="n">
        <v>7.731</v>
      </c>
      <c r="C1132" t="n">
        <v>1.3953</v>
      </c>
    </row>
    <row r="1133">
      <c r="A1133" s="926" t="n">
        <v>33900</v>
      </c>
      <c r="B1133" t="n">
        <v>7.73</v>
      </c>
      <c r="C1133" t="n">
        <v>1.3953</v>
      </c>
    </row>
    <row r="1134">
      <c r="A1134" s="926" t="n">
        <v>33901</v>
      </c>
      <c r="B1134" t="n">
        <v>7.731</v>
      </c>
      <c r="C1134" t="n">
        <v>1.3953</v>
      </c>
    </row>
    <row r="1135">
      <c r="A1135" s="926" t="n">
        <v>33903</v>
      </c>
      <c r="B1135" t="n">
        <v>7.732</v>
      </c>
      <c r="C1135" t="n">
        <v>1.3953</v>
      </c>
    </row>
    <row r="1136">
      <c r="A1136" s="926" t="n">
        <v>33904</v>
      </c>
      <c r="B1136" t="n">
        <v>7.73</v>
      </c>
      <c r="C1136" t="n">
        <v>1.3953</v>
      </c>
    </row>
    <row r="1137">
      <c r="A1137" s="926" t="n">
        <v>33905</v>
      </c>
      <c r="B1137" t="n">
        <v>7.729</v>
      </c>
      <c r="C1137" t="n">
        <v>1.3953</v>
      </c>
    </row>
    <row r="1138">
      <c r="A1138" s="926" t="n">
        <v>33906</v>
      </c>
      <c r="B1138" t="n">
        <v>7.73</v>
      </c>
      <c r="C1138" t="n">
        <v>1.3953</v>
      </c>
    </row>
    <row r="1139">
      <c r="A1139" s="926" t="n">
        <v>33907</v>
      </c>
      <c r="B1139" t="n">
        <v>7.731</v>
      </c>
      <c r="C1139" t="n">
        <v>1.3953</v>
      </c>
    </row>
    <row r="1140">
      <c r="A1140" s="926" t="n">
        <v>33908</v>
      </c>
      <c r="B1140" t="n">
        <v>7.73</v>
      </c>
      <c r="C1140" t="n">
        <v>1.3953</v>
      </c>
    </row>
    <row r="1141">
      <c r="A1141" s="926" t="n">
        <v>33910</v>
      </c>
      <c r="B1141" t="n">
        <v>7.73</v>
      </c>
      <c r="C1141" t="n">
        <v>1.3953</v>
      </c>
    </row>
    <row r="1142">
      <c r="A1142" s="926" t="n">
        <v>33911</v>
      </c>
      <c r="B1142" t="n">
        <v>7.731</v>
      </c>
      <c r="C1142" t="n">
        <v>1.3891</v>
      </c>
    </row>
    <row r="1143">
      <c r="A1143" s="926" t="n">
        <v>33912</v>
      </c>
      <c r="B1143" t="n">
        <v>7.731</v>
      </c>
      <c r="C1143" t="n">
        <v>1.3891</v>
      </c>
    </row>
    <row r="1144">
      <c r="A1144" s="926" t="n">
        <v>33913</v>
      </c>
      <c r="B1144" t="n">
        <v>7.732</v>
      </c>
      <c r="C1144" t="n">
        <v>1.3891</v>
      </c>
    </row>
    <row r="1145">
      <c r="A1145" s="926" t="n">
        <v>33914</v>
      </c>
      <c r="B1145" t="n">
        <v>7.733</v>
      </c>
      <c r="C1145" t="n">
        <v>1.3891</v>
      </c>
    </row>
    <row r="1146">
      <c r="A1146" s="926" t="n">
        <v>33915</v>
      </c>
      <c r="B1146" t="n">
        <v>7.733</v>
      </c>
      <c r="C1146" t="n">
        <v>1.3891</v>
      </c>
    </row>
    <row r="1147">
      <c r="A1147" s="926" t="n">
        <v>33917</v>
      </c>
      <c r="B1147" t="n">
        <v>7.733</v>
      </c>
      <c r="C1147" t="n">
        <v>1.3891</v>
      </c>
    </row>
    <row r="1148">
      <c r="A1148" s="926" t="n">
        <v>33918</v>
      </c>
      <c r="B1148" t="n">
        <v>7.733</v>
      </c>
      <c r="C1148" t="n">
        <v>1.3891</v>
      </c>
    </row>
    <row r="1149">
      <c r="A1149" s="926" t="n">
        <v>33919</v>
      </c>
      <c r="B1149" t="n">
        <v>7.733</v>
      </c>
      <c r="C1149" t="n">
        <v>1.3891</v>
      </c>
    </row>
    <row r="1150">
      <c r="A1150" s="926" t="n">
        <v>33920</v>
      </c>
      <c r="B1150" t="n">
        <v>7.732</v>
      </c>
      <c r="C1150" t="n">
        <v>1.3891</v>
      </c>
    </row>
    <row r="1151">
      <c r="A1151" s="926" t="n">
        <v>33921</v>
      </c>
      <c r="B1151" t="n">
        <v>7.733</v>
      </c>
      <c r="C1151" t="n">
        <v>1.3891</v>
      </c>
    </row>
    <row r="1152">
      <c r="A1152" s="926" t="n">
        <v>33922</v>
      </c>
      <c r="B1152" t="n">
        <v>7.732</v>
      </c>
      <c r="C1152" t="n">
        <v>1.3891</v>
      </c>
    </row>
    <row r="1153">
      <c r="A1153" s="926" t="n">
        <v>33924</v>
      </c>
      <c r="B1153" t="n">
        <v>7.731</v>
      </c>
      <c r="C1153" t="n">
        <v>1.3891</v>
      </c>
    </row>
    <row r="1154">
      <c r="A1154" s="926" t="n">
        <v>33925</v>
      </c>
      <c r="B1154" t="n">
        <v>7.734</v>
      </c>
      <c r="C1154" t="n">
        <v>1.3891</v>
      </c>
    </row>
    <row r="1155">
      <c r="A1155" s="926" t="n">
        <v>33926</v>
      </c>
      <c r="B1155" t="n">
        <v>7.74</v>
      </c>
      <c r="C1155" t="n">
        <v>1.3891</v>
      </c>
    </row>
    <row r="1156">
      <c r="A1156" s="926" t="n">
        <v>33927</v>
      </c>
      <c r="B1156" t="n">
        <v>7.737</v>
      </c>
      <c r="C1156" t="n">
        <v>1.3891</v>
      </c>
    </row>
    <row r="1157">
      <c r="A1157" s="926" t="n">
        <v>33928</v>
      </c>
      <c r="B1157" t="n">
        <v>7.737</v>
      </c>
      <c r="C1157" t="n">
        <v>1.3672</v>
      </c>
    </row>
    <row r="1158">
      <c r="A1158" s="926" t="n">
        <v>33929</v>
      </c>
      <c r="B1158" t="n">
        <v>7.737</v>
      </c>
      <c r="C1158" t="n">
        <v>1.3672</v>
      </c>
    </row>
    <row r="1159">
      <c r="A1159" s="926" t="n">
        <v>33931</v>
      </c>
      <c r="B1159" t="n">
        <v>7.739</v>
      </c>
      <c r="C1159" t="n">
        <v>1.3672</v>
      </c>
    </row>
    <row r="1160">
      <c r="A1160" s="926" t="n">
        <v>33932</v>
      </c>
      <c r="B1160" t="n">
        <v>7.738</v>
      </c>
      <c r="C1160" t="n">
        <v>1.3672</v>
      </c>
    </row>
    <row r="1161">
      <c r="A1161" s="926" t="n">
        <v>33933</v>
      </c>
      <c r="B1161" t="n">
        <v>7.738</v>
      </c>
      <c r="C1161" t="n">
        <v>1.3672</v>
      </c>
    </row>
    <row r="1162">
      <c r="A1162" s="926" t="n">
        <v>33934</v>
      </c>
      <c r="B1162" t="n">
        <v>7.735</v>
      </c>
      <c r="C1162" t="n">
        <v>1.3672</v>
      </c>
    </row>
    <row r="1163">
      <c r="A1163" s="926" t="n">
        <v>33935</v>
      </c>
      <c r="B1163" t="n">
        <v>7.735</v>
      </c>
      <c r="C1163" t="n">
        <v>1.3672</v>
      </c>
    </row>
    <row r="1164">
      <c r="A1164" s="926" t="n">
        <v>33936</v>
      </c>
      <c r="B1164" t="n">
        <v>7.737</v>
      </c>
      <c r="C1164" t="n">
        <v>1.3516</v>
      </c>
    </row>
    <row r="1165">
      <c r="A1165" s="926" t="n">
        <v>33938</v>
      </c>
      <c r="B1165" t="n">
        <v>7.739</v>
      </c>
      <c r="C1165" t="n">
        <v>1.3516</v>
      </c>
    </row>
    <row r="1166">
      <c r="A1166" s="926" t="n">
        <v>33939</v>
      </c>
      <c r="B1166" t="n">
        <v>7.757</v>
      </c>
      <c r="C1166" t="n">
        <v>1.3516</v>
      </c>
    </row>
    <row r="1167">
      <c r="A1167" s="926" t="n">
        <v>33940</v>
      </c>
      <c r="B1167" t="n">
        <v>7.748</v>
      </c>
      <c r="C1167" t="n">
        <v>1.3516</v>
      </c>
    </row>
    <row r="1168">
      <c r="A1168" s="926" t="n">
        <v>33941</v>
      </c>
      <c r="B1168" t="n">
        <v>7.745</v>
      </c>
      <c r="C1168" t="n">
        <v>1.3516</v>
      </c>
    </row>
    <row r="1169">
      <c r="A1169" s="926" t="n">
        <v>33942</v>
      </c>
      <c r="B1169" t="n">
        <v>7.747</v>
      </c>
      <c r="C1169" t="n">
        <v>1.3381</v>
      </c>
    </row>
    <row r="1170">
      <c r="A1170" s="926" t="n">
        <v>33943</v>
      </c>
      <c r="B1170" t="n">
        <v>7.744</v>
      </c>
      <c r="C1170" t="n">
        <v>1.3381</v>
      </c>
    </row>
    <row r="1171">
      <c r="A1171" s="926" t="n">
        <v>33945</v>
      </c>
      <c r="B1171" t="n">
        <v>7.747</v>
      </c>
      <c r="C1171" t="n">
        <v>1.3381</v>
      </c>
    </row>
    <row r="1172">
      <c r="A1172" s="926" t="n">
        <v>33946</v>
      </c>
      <c r="B1172" t="n">
        <v>7.746</v>
      </c>
      <c r="C1172" t="n">
        <v>1.3295</v>
      </c>
    </row>
    <row r="1173">
      <c r="A1173" s="926" t="n">
        <v>33947</v>
      </c>
      <c r="B1173" t="n">
        <v>7.743</v>
      </c>
      <c r="C1173" t="n">
        <v>1.3295</v>
      </c>
    </row>
    <row r="1174">
      <c r="A1174" s="926" t="n">
        <v>33948</v>
      </c>
      <c r="B1174" t="n">
        <v>7.74</v>
      </c>
      <c r="C1174" t="n">
        <v>1.3295</v>
      </c>
    </row>
    <row r="1175">
      <c r="A1175" s="926" t="n">
        <v>33949</v>
      </c>
      <c r="B1175" t="n">
        <v>7.743</v>
      </c>
      <c r="C1175" t="n">
        <v>1.3295</v>
      </c>
    </row>
    <row r="1176">
      <c r="A1176" s="926" t="n">
        <v>33950</v>
      </c>
      <c r="B1176" t="n">
        <v>7.743</v>
      </c>
      <c r="C1176" t="n">
        <v>1.3295</v>
      </c>
    </row>
    <row r="1177">
      <c r="A1177" s="926" t="n">
        <v>33952</v>
      </c>
      <c r="B1177" t="n">
        <v>7.742</v>
      </c>
      <c r="C1177" t="n">
        <v>1.3295</v>
      </c>
    </row>
    <row r="1178">
      <c r="A1178" s="926" t="n">
        <v>33953</v>
      </c>
      <c r="B1178" t="n">
        <v>7.742</v>
      </c>
      <c r="C1178" t="n">
        <v>1.3155</v>
      </c>
    </row>
    <row r="1179">
      <c r="A1179" s="926" t="n">
        <v>33954</v>
      </c>
      <c r="B1179" t="n">
        <v>7.74</v>
      </c>
      <c r="C1179" t="n">
        <v>1.3155</v>
      </c>
    </row>
    <row r="1180">
      <c r="A1180" s="926" t="n">
        <v>33955</v>
      </c>
      <c r="B1180" t="n">
        <v>7.739</v>
      </c>
      <c r="C1180" t="n">
        <v>1.3155</v>
      </c>
    </row>
    <row r="1181">
      <c r="A1181" s="926" t="n">
        <v>33956</v>
      </c>
      <c r="B1181" t="n">
        <v>7.738</v>
      </c>
      <c r="C1181" t="n">
        <v>1.3229</v>
      </c>
    </row>
    <row r="1182">
      <c r="A1182" s="926" t="n">
        <v>33957</v>
      </c>
      <c r="B1182" t="n">
        <v>7.738</v>
      </c>
      <c r="C1182" t="n">
        <v>1.3301</v>
      </c>
    </row>
    <row r="1183">
      <c r="A1183" s="926" t="n">
        <v>33959</v>
      </c>
      <c r="B1183" t="n">
        <v>7.737</v>
      </c>
      <c r="C1183" t="n">
        <v>1.3301</v>
      </c>
    </row>
    <row r="1184">
      <c r="A1184" s="926" t="n">
        <v>33960</v>
      </c>
      <c r="B1184" t="n">
        <v>7.738</v>
      </c>
      <c r="C1184" t="n">
        <v>1.3374</v>
      </c>
    </row>
    <row r="1185">
      <c r="A1185" s="926" t="n">
        <v>33961</v>
      </c>
      <c r="B1185" t="n">
        <v>7.74</v>
      </c>
      <c r="C1185" t="n">
        <v>1.3374</v>
      </c>
    </row>
    <row r="1186">
      <c r="A1186" s="926" t="n">
        <v>33962</v>
      </c>
      <c r="B1186" t="n">
        <v>7.74</v>
      </c>
      <c r="C1186" t="n">
        <v>1.3374</v>
      </c>
    </row>
    <row r="1187">
      <c r="A1187" s="926" t="n">
        <v>33966</v>
      </c>
      <c r="B1187" t="n">
        <v>7.742</v>
      </c>
      <c r="C1187" t="n">
        <v>1.3374</v>
      </c>
    </row>
    <row r="1188">
      <c r="A1188" s="926" t="n">
        <v>33967</v>
      </c>
      <c r="B1188" t="n">
        <v>7.742</v>
      </c>
      <c r="C1188" t="n">
        <v>1.3374</v>
      </c>
    </row>
    <row r="1189">
      <c r="A1189" s="926" t="n">
        <v>33968</v>
      </c>
      <c r="B1189" t="n">
        <v>7.741</v>
      </c>
      <c r="C1189" t="n">
        <v>1.3458</v>
      </c>
    </row>
    <row r="1190">
      <c r="A1190" s="926" t="n">
        <v>33969</v>
      </c>
      <c r="B1190" t="n">
        <v>7.741</v>
      </c>
      <c r="C1190" t="n">
        <v>1.3458</v>
      </c>
    </row>
    <row r="1191">
      <c r="A1191" s="926" t="n">
        <v>33971</v>
      </c>
      <c r="B1191" t="n">
        <v>7.742</v>
      </c>
      <c r="C1191" t="n">
        <v>1.3458</v>
      </c>
    </row>
    <row r="1192">
      <c r="A1192" s="926" t="n">
        <v>33973</v>
      </c>
      <c r="B1192" t="n">
        <v>7.743</v>
      </c>
      <c r="C1192" t="n">
        <v>1.3458</v>
      </c>
    </row>
    <row r="1193">
      <c r="A1193" s="926" t="n">
        <v>33974</v>
      </c>
      <c r="B1193" t="n">
        <v>7.743</v>
      </c>
      <c r="C1193" t="n">
        <v>1.3458</v>
      </c>
    </row>
    <row r="1194">
      <c r="A1194" s="926" t="n">
        <v>33975</v>
      </c>
      <c r="B1194" t="n">
        <v>7.742</v>
      </c>
      <c r="C1194" t="n">
        <v>1.3458</v>
      </c>
    </row>
    <row r="1195">
      <c r="A1195" s="926" t="n">
        <v>33976</v>
      </c>
      <c r="B1195" t="n">
        <v>7.743</v>
      </c>
      <c r="C1195" t="n">
        <v>1.3458</v>
      </c>
    </row>
    <row r="1196">
      <c r="A1196" s="926" t="n">
        <v>33977</v>
      </c>
      <c r="B1196" t="n">
        <v>7.743</v>
      </c>
      <c r="C1196" t="n">
        <v>1.3458</v>
      </c>
    </row>
    <row r="1197">
      <c r="A1197" s="926" t="n">
        <v>33978</v>
      </c>
      <c r="B1197" t="n">
        <v>7.743</v>
      </c>
      <c r="C1197" t="n">
        <v>1.3458</v>
      </c>
    </row>
    <row r="1198">
      <c r="A1198" s="926" t="n">
        <v>33980</v>
      </c>
      <c r="B1198" t="n">
        <v>7.742</v>
      </c>
      <c r="C1198" t="n">
        <v>1.3458</v>
      </c>
    </row>
    <row r="1199">
      <c r="A1199" s="926" t="n">
        <v>33981</v>
      </c>
      <c r="B1199" t="n">
        <v>7.742</v>
      </c>
      <c r="C1199" t="n">
        <v>1.3458</v>
      </c>
    </row>
    <row r="1200">
      <c r="A1200" s="926" t="n">
        <v>33982</v>
      </c>
      <c r="B1200" t="n">
        <v>7.741</v>
      </c>
      <c r="C1200" t="n">
        <v>1.3458</v>
      </c>
    </row>
    <row r="1201">
      <c r="A1201" s="926" t="n">
        <v>33983</v>
      </c>
      <c r="B1201" t="n">
        <v>7.739</v>
      </c>
      <c r="C1201" t="n">
        <v>1.3458</v>
      </c>
    </row>
    <row r="1202">
      <c r="A1202" s="926" t="n">
        <v>33984</v>
      </c>
      <c r="B1202" t="n">
        <v>7.739</v>
      </c>
      <c r="C1202" t="n">
        <v>1.3458</v>
      </c>
    </row>
    <row r="1203">
      <c r="A1203" s="926" t="n">
        <v>33985</v>
      </c>
      <c r="B1203" t="n">
        <v>7.738</v>
      </c>
      <c r="C1203" t="n">
        <v>1.3458</v>
      </c>
    </row>
    <row r="1204">
      <c r="A1204" s="926" t="n">
        <v>33987</v>
      </c>
      <c r="B1204" t="n">
        <v>7.737</v>
      </c>
      <c r="C1204" t="n">
        <v>1.3458</v>
      </c>
    </row>
    <row r="1205">
      <c r="A1205" s="926" t="n">
        <v>33988</v>
      </c>
      <c r="B1205" t="n">
        <v>7.735</v>
      </c>
      <c r="C1205" t="n">
        <v>1.3458</v>
      </c>
    </row>
    <row r="1206">
      <c r="A1206" s="926" t="n">
        <v>33989</v>
      </c>
      <c r="B1206" t="n">
        <v>7.736</v>
      </c>
      <c r="C1206" t="n">
        <v>1.3458</v>
      </c>
    </row>
    <row r="1207">
      <c r="A1207" s="926" t="n">
        <v>33990</v>
      </c>
      <c r="B1207" t="n">
        <v>7.735</v>
      </c>
      <c r="C1207" t="n">
        <v>1.3458</v>
      </c>
    </row>
    <row r="1208">
      <c r="A1208" s="926" t="n">
        <v>33995</v>
      </c>
      <c r="B1208" t="n">
        <v>7.733</v>
      </c>
      <c r="C1208" t="n">
        <v>1.3458</v>
      </c>
    </row>
    <row r="1209">
      <c r="A1209" s="926" t="n">
        <v>33996</v>
      </c>
      <c r="B1209" t="n">
        <v>7.732</v>
      </c>
      <c r="C1209" t="n">
        <v>1.339</v>
      </c>
    </row>
    <row r="1210">
      <c r="A1210" s="926" t="n">
        <v>33997</v>
      </c>
      <c r="B1210" t="n">
        <v>7.734</v>
      </c>
      <c r="C1210" t="n">
        <v>1.339</v>
      </c>
    </row>
    <row r="1211">
      <c r="A1211" s="926" t="n">
        <v>33998</v>
      </c>
      <c r="B1211" t="n">
        <v>7.733</v>
      </c>
      <c r="C1211" t="n">
        <v>1.339</v>
      </c>
    </row>
    <row r="1212">
      <c r="A1212" s="926" t="n">
        <v>33999</v>
      </c>
      <c r="B1212" t="n">
        <v>7.733</v>
      </c>
      <c r="C1212" t="n">
        <v>1.339</v>
      </c>
    </row>
    <row r="1213">
      <c r="A1213" s="926" t="n">
        <v>34001</v>
      </c>
      <c r="B1213" t="n">
        <v>7.735</v>
      </c>
      <c r="C1213" t="n">
        <v>1.339</v>
      </c>
    </row>
    <row r="1214">
      <c r="A1214" s="926" t="n">
        <v>34002</v>
      </c>
      <c r="B1214" t="n">
        <v>7.737</v>
      </c>
      <c r="C1214" t="n">
        <v>1.339</v>
      </c>
    </row>
    <row r="1215">
      <c r="A1215" s="926" t="n">
        <v>34003</v>
      </c>
      <c r="B1215" t="n">
        <v>7.735</v>
      </c>
      <c r="C1215" t="n">
        <v>1.339</v>
      </c>
    </row>
    <row r="1216">
      <c r="A1216" s="926" t="n">
        <v>34004</v>
      </c>
      <c r="B1216" t="n">
        <v>7.734</v>
      </c>
      <c r="C1216" t="n">
        <v>1.339</v>
      </c>
    </row>
    <row r="1217">
      <c r="A1217" s="926" t="n">
        <v>34005</v>
      </c>
      <c r="B1217" t="n">
        <v>7.734</v>
      </c>
      <c r="C1217" t="n">
        <v>1.339</v>
      </c>
    </row>
    <row r="1218">
      <c r="A1218" s="926" t="n">
        <v>34006</v>
      </c>
      <c r="B1218" t="n">
        <v>7.733</v>
      </c>
      <c r="C1218" t="n">
        <v>1.339</v>
      </c>
    </row>
    <row r="1219">
      <c r="A1219" s="926" t="n">
        <v>34008</v>
      </c>
      <c r="B1219" t="n">
        <v>7.734</v>
      </c>
      <c r="C1219" t="n">
        <v>1.339</v>
      </c>
    </row>
    <row r="1220">
      <c r="A1220" s="926" t="n">
        <v>34009</v>
      </c>
      <c r="B1220" t="n">
        <v>7.734</v>
      </c>
      <c r="C1220" t="n">
        <v>1.339</v>
      </c>
    </row>
    <row r="1221">
      <c r="A1221" s="926" t="n">
        <v>34010</v>
      </c>
      <c r="B1221" t="n">
        <v>7.735</v>
      </c>
      <c r="C1221" t="n">
        <v>1.339</v>
      </c>
    </row>
    <row r="1222">
      <c r="A1222" s="926" t="n">
        <v>34011</v>
      </c>
      <c r="B1222" t="n">
        <v>7.735</v>
      </c>
      <c r="C1222" t="n">
        <v>1.339</v>
      </c>
    </row>
    <row r="1223">
      <c r="A1223" s="926" t="n">
        <v>34012</v>
      </c>
      <c r="B1223" t="n">
        <v>7.733</v>
      </c>
      <c r="C1223" t="n">
        <v>1.339</v>
      </c>
    </row>
    <row r="1224">
      <c r="A1224" s="926" t="n">
        <v>34013</v>
      </c>
      <c r="B1224" t="n">
        <v>7.733</v>
      </c>
      <c r="C1224" t="n">
        <v>1.339</v>
      </c>
    </row>
    <row r="1225">
      <c r="A1225" s="926" t="n">
        <v>34015</v>
      </c>
      <c r="B1225" t="n">
        <v>7.733</v>
      </c>
      <c r="C1225" t="n">
        <v>1.339</v>
      </c>
    </row>
    <row r="1226">
      <c r="A1226" s="926" t="n">
        <v>34016</v>
      </c>
      <c r="B1226" t="n">
        <v>7.734</v>
      </c>
      <c r="C1226" t="n">
        <v>1.339</v>
      </c>
    </row>
    <row r="1227">
      <c r="A1227" s="926" t="n">
        <v>34017</v>
      </c>
      <c r="B1227" t="n">
        <v>7.732</v>
      </c>
      <c r="C1227" t="n">
        <v>1.339</v>
      </c>
    </row>
    <row r="1228">
      <c r="A1228" s="926" t="n">
        <v>34018</v>
      </c>
      <c r="B1228" t="n">
        <v>7.733</v>
      </c>
      <c r="C1228" t="n">
        <v>1.339</v>
      </c>
    </row>
    <row r="1229">
      <c r="A1229" s="926" t="n">
        <v>34019</v>
      </c>
      <c r="B1229" t="n">
        <v>7.733</v>
      </c>
      <c r="C1229" t="n">
        <v>1.339</v>
      </c>
    </row>
    <row r="1230">
      <c r="A1230" s="926" t="n">
        <v>34020</v>
      </c>
      <c r="B1230" t="n">
        <v>7.731</v>
      </c>
      <c r="C1230" t="n">
        <v>1.339</v>
      </c>
    </row>
    <row r="1231">
      <c r="A1231" s="926" t="n">
        <v>34022</v>
      </c>
      <c r="B1231" t="n">
        <v>7.732</v>
      </c>
      <c r="C1231" t="n">
        <v>1.339</v>
      </c>
    </row>
    <row r="1232">
      <c r="A1232" s="926" t="n">
        <v>34023</v>
      </c>
      <c r="B1232" t="n">
        <v>7.732</v>
      </c>
      <c r="C1232" t="n">
        <v>1.3471</v>
      </c>
    </row>
    <row r="1233">
      <c r="A1233" s="926" t="n">
        <v>34024</v>
      </c>
      <c r="B1233" t="n">
        <v>7.732</v>
      </c>
      <c r="C1233" t="n">
        <v>1.3471</v>
      </c>
    </row>
    <row r="1234">
      <c r="A1234" s="926" t="n">
        <v>34025</v>
      </c>
      <c r="B1234" t="n">
        <v>7.733</v>
      </c>
      <c r="C1234" t="n">
        <v>1.3471</v>
      </c>
    </row>
    <row r="1235">
      <c r="A1235" s="926" t="n">
        <v>34026</v>
      </c>
      <c r="B1235" t="n">
        <v>7.734</v>
      </c>
      <c r="C1235" t="n">
        <v>1.3471</v>
      </c>
    </row>
    <row r="1236">
      <c r="A1236" s="926" t="n">
        <v>34027</v>
      </c>
      <c r="B1236" t="n">
        <v>7.733</v>
      </c>
      <c r="C1236" t="n">
        <v>1.3471</v>
      </c>
    </row>
    <row r="1237">
      <c r="A1237" s="926" t="n">
        <v>34029</v>
      </c>
      <c r="B1237" t="n">
        <v>7.734</v>
      </c>
      <c r="C1237" t="n">
        <v>1.3471</v>
      </c>
    </row>
    <row r="1238">
      <c r="A1238" s="926" t="n">
        <v>34030</v>
      </c>
      <c r="B1238" t="n">
        <v>7.734</v>
      </c>
      <c r="C1238" t="n">
        <v>1.3471</v>
      </c>
    </row>
    <row r="1239">
      <c r="A1239" s="926" t="n">
        <v>34031</v>
      </c>
      <c r="B1239" t="n">
        <v>7.733</v>
      </c>
      <c r="C1239" t="n">
        <v>1.3471</v>
      </c>
    </row>
    <row r="1240">
      <c r="A1240" s="926" t="n">
        <v>34032</v>
      </c>
      <c r="B1240" t="n">
        <v>7.733</v>
      </c>
      <c r="C1240" t="n">
        <v>1.3471</v>
      </c>
    </row>
    <row r="1241">
      <c r="A1241" s="926" t="n">
        <v>34033</v>
      </c>
      <c r="B1241" t="n">
        <v>7.733</v>
      </c>
      <c r="C1241" t="n">
        <v>1.3471</v>
      </c>
    </row>
    <row r="1242">
      <c r="A1242" s="926" t="n">
        <v>34034</v>
      </c>
      <c r="B1242" t="n">
        <v>7.733</v>
      </c>
      <c r="C1242" t="n">
        <v>1.3471</v>
      </c>
    </row>
    <row r="1243">
      <c r="A1243" s="926" t="n">
        <v>34036</v>
      </c>
      <c r="B1243" t="n">
        <v>7.733</v>
      </c>
      <c r="C1243" t="n">
        <v>1.3471</v>
      </c>
    </row>
    <row r="1244">
      <c r="A1244" s="926" t="n">
        <v>34037</v>
      </c>
      <c r="B1244" t="n">
        <v>7.733</v>
      </c>
      <c r="C1244" t="n">
        <v>1.3471</v>
      </c>
    </row>
    <row r="1245">
      <c r="A1245" s="926" t="n">
        <v>34038</v>
      </c>
      <c r="B1245" t="n">
        <v>7.734</v>
      </c>
      <c r="C1245" t="n">
        <v>1.3471</v>
      </c>
    </row>
    <row r="1246">
      <c r="A1246" s="926" t="n">
        <v>34039</v>
      </c>
      <c r="B1246" t="n">
        <v>7.735</v>
      </c>
      <c r="C1246" t="n">
        <v>1.3471</v>
      </c>
    </row>
    <row r="1247">
      <c r="A1247" s="926" t="n">
        <v>34040</v>
      </c>
      <c r="B1247" t="n">
        <v>7.737</v>
      </c>
      <c r="C1247" t="n">
        <v>1.3471</v>
      </c>
    </row>
    <row r="1248">
      <c r="A1248" s="926" t="n">
        <v>34041</v>
      </c>
      <c r="B1248" t="n">
        <v>7.736</v>
      </c>
      <c r="C1248" t="n">
        <v>1.3471</v>
      </c>
    </row>
    <row r="1249">
      <c r="A1249" s="926" t="n">
        <v>34043</v>
      </c>
      <c r="B1249" t="n">
        <v>7.738</v>
      </c>
      <c r="C1249" t="n">
        <v>1.3471</v>
      </c>
    </row>
    <row r="1250">
      <c r="A1250" s="926" t="n">
        <v>34044</v>
      </c>
      <c r="B1250" t="n">
        <v>7.735</v>
      </c>
      <c r="C1250" t="n">
        <v>1.3471</v>
      </c>
    </row>
    <row r="1251">
      <c r="A1251" s="926" t="n">
        <v>34045</v>
      </c>
      <c r="B1251" t="n">
        <v>7.737</v>
      </c>
      <c r="C1251" t="n">
        <v>1.3471</v>
      </c>
    </row>
    <row r="1252">
      <c r="A1252" s="926" t="n">
        <v>34046</v>
      </c>
      <c r="B1252" t="n">
        <v>7.733</v>
      </c>
      <c r="C1252" t="n">
        <v>1.3471</v>
      </c>
    </row>
    <row r="1253">
      <c r="A1253" s="926" t="n">
        <v>34047</v>
      </c>
      <c r="B1253" t="n">
        <v>7.732</v>
      </c>
      <c r="C1253" t="n">
        <v>1.3471</v>
      </c>
    </row>
    <row r="1254">
      <c r="A1254" s="926" t="n">
        <v>34048</v>
      </c>
      <c r="B1254" t="n">
        <v>7.731</v>
      </c>
      <c r="C1254" t="n">
        <v>1.3471</v>
      </c>
    </row>
    <row r="1255">
      <c r="A1255" s="926" t="n">
        <v>34050</v>
      </c>
      <c r="B1255" t="n">
        <v>7.732</v>
      </c>
      <c r="C1255" t="n">
        <v>1.3471</v>
      </c>
    </row>
    <row r="1256">
      <c r="A1256" s="926" t="n">
        <v>34051</v>
      </c>
      <c r="B1256" t="n">
        <v>7.732</v>
      </c>
      <c r="C1256" t="n">
        <v>1.3471</v>
      </c>
    </row>
    <row r="1257">
      <c r="A1257" s="926" t="n">
        <v>34052</v>
      </c>
      <c r="B1257" t="n">
        <v>7.73</v>
      </c>
      <c r="C1257" t="n">
        <v>1.3471</v>
      </c>
    </row>
    <row r="1258">
      <c r="A1258" s="926" t="n">
        <v>34053</v>
      </c>
      <c r="B1258" t="n">
        <v>7.732</v>
      </c>
      <c r="C1258" t="n">
        <v>1.3471</v>
      </c>
    </row>
    <row r="1259">
      <c r="A1259" s="926" t="n">
        <v>34054</v>
      </c>
      <c r="B1259" t="n">
        <v>7.732</v>
      </c>
      <c r="C1259" t="n">
        <v>1.3471</v>
      </c>
    </row>
    <row r="1260">
      <c r="A1260" s="926" t="n">
        <v>34055</v>
      </c>
      <c r="B1260" t="n">
        <v>7.731</v>
      </c>
      <c r="C1260" t="n">
        <v>1.3471</v>
      </c>
    </row>
    <row r="1261">
      <c r="A1261" s="926" t="n">
        <v>34057</v>
      </c>
      <c r="B1261" t="n">
        <v>7.731</v>
      </c>
      <c r="C1261" t="n">
        <v>1.3471</v>
      </c>
    </row>
    <row r="1262">
      <c r="A1262" s="926" t="n">
        <v>34058</v>
      </c>
      <c r="B1262" t="n">
        <v>7.732</v>
      </c>
      <c r="C1262" t="n">
        <v>1.3471</v>
      </c>
    </row>
    <row r="1263">
      <c r="A1263" s="926" t="n">
        <v>34059</v>
      </c>
      <c r="B1263" t="n">
        <v>7.732</v>
      </c>
      <c r="C1263" t="n">
        <v>1.3471</v>
      </c>
    </row>
    <row r="1264">
      <c r="A1264" s="926" t="n">
        <v>34060</v>
      </c>
      <c r="B1264" t="n">
        <v>7.731</v>
      </c>
      <c r="C1264" t="n">
        <v>1.3471</v>
      </c>
    </row>
    <row r="1265">
      <c r="A1265" s="926" t="n">
        <v>34061</v>
      </c>
      <c r="B1265" t="n">
        <v>7.733</v>
      </c>
      <c r="C1265" t="n">
        <v>1.3471</v>
      </c>
    </row>
    <row r="1266">
      <c r="A1266" s="926" t="n">
        <v>34062</v>
      </c>
      <c r="B1266" t="n">
        <v>7.731</v>
      </c>
      <c r="C1266" t="n">
        <v>1.3471</v>
      </c>
    </row>
    <row r="1267">
      <c r="A1267" s="926" t="n">
        <v>34065</v>
      </c>
      <c r="B1267" t="n">
        <v>7.731</v>
      </c>
      <c r="C1267" t="n">
        <v>1.3471</v>
      </c>
    </row>
    <row r="1268">
      <c r="A1268" s="926" t="n">
        <v>34066</v>
      </c>
      <c r="B1268" t="n">
        <v>7.731</v>
      </c>
      <c r="C1268" t="n">
        <v>1.3471</v>
      </c>
    </row>
    <row r="1269">
      <c r="A1269" s="926" t="n">
        <v>34067</v>
      </c>
      <c r="B1269" t="n">
        <v>7.733</v>
      </c>
      <c r="C1269" t="n">
        <v>1.3471</v>
      </c>
    </row>
    <row r="1270">
      <c r="A1270" s="926" t="n">
        <v>34072</v>
      </c>
      <c r="B1270" t="n">
        <v>7.732</v>
      </c>
      <c r="C1270" t="n">
        <v>1.356</v>
      </c>
    </row>
    <row r="1271">
      <c r="A1271" s="926" t="n">
        <v>34073</v>
      </c>
      <c r="B1271" t="n">
        <v>7.731</v>
      </c>
      <c r="C1271" t="n">
        <v>1.356</v>
      </c>
    </row>
    <row r="1272">
      <c r="A1272" s="926" t="n">
        <v>34074</v>
      </c>
      <c r="B1272" t="n">
        <v>7.731</v>
      </c>
      <c r="C1272" t="n">
        <v>1.356</v>
      </c>
    </row>
    <row r="1273">
      <c r="A1273" s="926" t="n">
        <v>34075</v>
      </c>
      <c r="B1273" t="n">
        <v>7.731</v>
      </c>
      <c r="C1273" t="n">
        <v>1.356</v>
      </c>
    </row>
    <row r="1274">
      <c r="A1274" s="926" t="n">
        <v>34076</v>
      </c>
      <c r="B1274" t="n">
        <v>7.731</v>
      </c>
      <c r="C1274" t="n">
        <v>1.356</v>
      </c>
    </row>
    <row r="1275">
      <c r="A1275" s="926" t="n">
        <v>34078</v>
      </c>
      <c r="B1275" t="n">
        <v>7.732</v>
      </c>
      <c r="C1275" t="n">
        <v>1.356</v>
      </c>
    </row>
    <row r="1276">
      <c r="A1276" s="926" t="n">
        <v>34079</v>
      </c>
      <c r="B1276" t="n">
        <v>7.731</v>
      </c>
      <c r="C1276" t="n">
        <v>1.356</v>
      </c>
    </row>
    <row r="1277">
      <c r="A1277" s="926" t="n">
        <v>34080</v>
      </c>
      <c r="B1277" t="n">
        <v>7.73</v>
      </c>
      <c r="C1277" t="n">
        <v>1.356</v>
      </c>
    </row>
    <row r="1278">
      <c r="A1278" s="926" t="n">
        <v>34081</v>
      </c>
      <c r="B1278" t="n">
        <v>7.73</v>
      </c>
      <c r="C1278" t="n">
        <v>1.356</v>
      </c>
    </row>
    <row r="1279">
      <c r="A1279" s="926" t="n">
        <v>34082</v>
      </c>
      <c r="B1279" t="n">
        <v>7.73</v>
      </c>
      <c r="C1279" t="n">
        <v>1.356</v>
      </c>
    </row>
    <row r="1280">
      <c r="A1280" s="926" t="n">
        <v>34083</v>
      </c>
      <c r="B1280" t="n">
        <v>7.727</v>
      </c>
      <c r="C1280" t="n">
        <v>1.356</v>
      </c>
    </row>
    <row r="1281">
      <c r="A1281" s="926" t="n">
        <v>34085</v>
      </c>
      <c r="B1281" t="n">
        <v>7.727</v>
      </c>
      <c r="C1281" t="n">
        <v>1.356</v>
      </c>
    </row>
    <row r="1282">
      <c r="A1282" s="926" t="n">
        <v>34086</v>
      </c>
      <c r="B1282" t="n">
        <v>7.727</v>
      </c>
      <c r="C1282" t="n">
        <v>1.356</v>
      </c>
    </row>
    <row r="1283">
      <c r="A1283" s="926" t="n">
        <v>34087</v>
      </c>
      <c r="B1283" t="n">
        <v>7.728</v>
      </c>
      <c r="C1283" t="n">
        <v>1.356</v>
      </c>
    </row>
    <row r="1284">
      <c r="A1284" s="926" t="n">
        <v>34088</v>
      </c>
      <c r="B1284" t="n">
        <v>7.728</v>
      </c>
      <c r="C1284" t="n">
        <v>1.356</v>
      </c>
    </row>
    <row r="1285">
      <c r="A1285" s="926" t="n">
        <v>34089</v>
      </c>
      <c r="B1285" t="n">
        <v>7.73</v>
      </c>
      <c r="C1285" t="n">
        <v>1.356</v>
      </c>
    </row>
    <row r="1286">
      <c r="A1286" s="926" t="n">
        <v>34090</v>
      </c>
      <c r="B1286" t="n">
        <v>7.729</v>
      </c>
      <c r="C1286" t="n">
        <v>1.356</v>
      </c>
    </row>
    <row r="1287">
      <c r="A1287" s="926" t="n">
        <v>34092</v>
      </c>
      <c r="B1287" t="n">
        <v>7.728</v>
      </c>
      <c r="C1287" t="n">
        <v>1.356</v>
      </c>
    </row>
    <row r="1288">
      <c r="A1288" s="926" t="n">
        <v>34093</v>
      </c>
      <c r="B1288" t="n">
        <v>7.729</v>
      </c>
      <c r="C1288" t="n">
        <v>1.356</v>
      </c>
    </row>
    <row r="1289">
      <c r="A1289" s="926" t="n">
        <v>34094</v>
      </c>
      <c r="B1289" t="n">
        <v>7.729</v>
      </c>
      <c r="C1289" t="n">
        <v>1.356</v>
      </c>
    </row>
    <row r="1290">
      <c r="A1290" s="926" t="n">
        <v>34095</v>
      </c>
      <c r="B1290" t="n">
        <v>7.729</v>
      </c>
      <c r="C1290" t="n">
        <v>1.356</v>
      </c>
    </row>
    <row r="1291">
      <c r="A1291" s="926" t="n">
        <v>34096</v>
      </c>
      <c r="B1291" t="n">
        <v>7.729</v>
      </c>
      <c r="C1291" t="n">
        <v>1.356</v>
      </c>
    </row>
    <row r="1292">
      <c r="A1292" s="926" t="n">
        <v>34097</v>
      </c>
      <c r="B1292" t="n">
        <v>7.729</v>
      </c>
      <c r="C1292" t="n">
        <v>1.356</v>
      </c>
    </row>
    <row r="1293">
      <c r="A1293" s="926" t="n">
        <v>34099</v>
      </c>
      <c r="B1293" t="n">
        <v>7.73</v>
      </c>
      <c r="C1293" t="n">
        <v>1.356</v>
      </c>
    </row>
    <row r="1294">
      <c r="A1294" s="926" t="n">
        <v>34100</v>
      </c>
      <c r="B1294" t="n">
        <v>7.729</v>
      </c>
      <c r="C1294" t="n">
        <v>1.356</v>
      </c>
    </row>
    <row r="1295">
      <c r="A1295" s="926" t="n">
        <v>34101</v>
      </c>
      <c r="B1295" t="n">
        <v>7.73</v>
      </c>
      <c r="C1295" t="n">
        <v>1.356</v>
      </c>
    </row>
    <row r="1296">
      <c r="A1296" s="926" t="n">
        <v>34102</v>
      </c>
      <c r="B1296" t="n">
        <v>7.729</v>
      </c>
      <c r="C1296" t="n">
        <v>1.3494</v>
      </c>
    </row>
    <row r="1297">
      <c r="A1297" s="926" t="n">
        <v>34103</v>
      </c>
      <c r="B1297" t="n">
        <v>7.729</v>
      </c>
      <c r="C1297" t="n">
        <v>1.3494</v>
      </c>
    </row>
    <row r="1298">
      <c r="A1298" s="926" t="n">
        <v>34104</v>
      </c>
      <c r="B1298" t="n">
        <v>7.729</v>
      </c>
      <c r="C1298" t="n">
        <v>1.3494</v>
      </c>
    </row>
    <row r="1299">
      <c r="A1299" s="926" t="n">
        <v>34106</v>
      </c>
      <c r="B1299" t="n">
        <v>7.73</v>
      </c>
      <c r="C1299" t="n">
        <v>1.3494</v>
      </c>
    </row>
    <row r="1300">
      <c r="A1300" s="926" t="n">
        <v>34107</v>
      </c>
      <c r="B1300" t="n">
        <v>7.729</v>
      </c>
      <c r="C1300" t="n">
        <v>1.3494</v>
      </c>
    </row>
    <row r="1301">
      <c r="A1301" s="926" t="n">
        <v>34108</v>
      </c>
      <c r="B1301" t="n">
        <v>7.728</v>
      </c>
      <c r="C1301" t="n">
        <v>1.3494</v>
      </c>
    </row>
    <row r="1302">
      <c r="A1302" s="926" t="n">
        <v>34109</v>
      </c>
      <c r="B1302" t="n">
        <v>7.729</v>
      </c>
      <c r="C1302" t="n">
        <v>1.3494</v>
      </c>
    </row>
    <row r="1303">
      <c r="A1303" s="926" t="n">
        <v>34110</v>
      </c>
      <c r="B1303" t="n">
        <v>7.729</v>
      </c>
      <c r="C1303" t="n">
        <v>1.3494</v>
      </c>
    </row>
    <row r="1304">
      <c r="A1304" s="926" t="n">
        <v>34111</v>
      </c>
      <c r="B1304" t="n">
        <v>7.728</v>
      </c>
      <c r="C1304" t="n">
        <v>1.3494</v>
      </c>
    </row>
    <row r="1305">
      <c r="A1305" s="926" t="n">
        <v>34113</v>
      </c>
      <c r="B1305" t="n">
        <v>7.727</v>
      </c>
      <c r="C1305" t="n">
        <v>1.3494</v>
      </c>
    </row>
    <row r="1306">
      <c r="A1306" s="926" t="n">
        <v>34114</v>
      </c>
      <c r="B1306" t="n">
        <v>7.727</v>
      </c>
      <c r="C1306" t="n">
        <v>1.3494</v>
      </c>
    </row>
    <row r="1307">
      <c r="A1307" s="926" t="n">
        <v>34115</v>
      </c>
      <c r="B1307" t="n">
        <v>7.728</v>
      </c>
      <c r="C1307" t="n">
        <v>1.3494</v>
      </c>
    </row>
    <row r="1308">
      <c r="A1308" s="926" t="n">
        <v>34116</v>
      </c>
      <c r="B1308" t="n">
        <v>7.727</v>
      </c>
      <c r="C1308" t="n">
        <v>1.3494</v>
      </c>
    </row>
    <row r="1309">
      <c r="A1309" s="926" t="n">
        <v>34117</v>
      </c>
      <c r="B1309" t="n">
        <v>7.724</v>
      </c>
      <c r="C1309" t="n">
        <v>1.3494</v>
      </c>
    </row>
    <row r="1310">
      <c r="A1310" s="926" t="n">
        <v>34118</v>
      </c>
      <c r="B1310" t="n">
        <v>7.722</v>
      </c>
      <c r="C1310" t="n">
        <v>1.3494</v>
      </c>
    </row>
    <row r="1311">
      <c r="A1311" s="926" t="n">
        <v>34120</v>
      </c>
      <c r="B1311" t="n">
        <v>7.724</v>
      </c>
      <c r="C1311" t="n">
        <v>1.3494</v>
      </c>
    </row>
    <row r="1312">
      <c r="A1312" s="926" t="n">
        <v>34121</v>
      </c>
      <c r="B1312" t="n">
        <v>7.723</v>
      </c>
      <c r="C1312" t="n">
        <v>1.3494</v>
      </c>
    </row>
    <row r="1313">
      <c r="A1313" s="926" t="n">
        <v>34122</v>
      </c>
      <c r="B1313" t="n">
        <v>7.725</v>
      </c>
      <c r="C1313" t="n">
        <v>1.3494</v>
      </c>
    </row>
    <row r="1314">
      <c r="A1314" s="926" t="n">
        <v>34123</v>
      </c>
      <c r="B1314" t="n">
        <v>7.724</v>
      </c>
      <c r="C1314" t="n">
        <v>1.3494</v>
      </c>
    </row>
    <row r="1315">
      <c r="A1315" s="926" t="n">
        <v>34124</v>
      </c>
      <c r="B1315" t="n">
        <v>7.725</v>
      </c>
      <c r="C1315" t="n">
        <v>1.3494</v>
      </c>
    </row>
    <row r="1316">
      <c r="A1316" s="926" t="n">
        <v>34125</v>
      </c>
      <c r="B1316" t="n">
        <v>7.728</v>
      </c>
      <c r="C1316" t="n">
        <v>1.3494</v>
      </c>
    </row>
    <row r="1317">
      <c r="A1317" s="926" t="n">
        <v>34127</v>
      </c>
      <c r="B1317" t="n">
        <v>7.727</v>
      </c>
      <c r="C1317" t="n">
        <v>1.3494</v>
      </c>
    </row>
    <row r="1318">
      <c r="A1318" s="926" t="n">
        <v>34128</v>
      </c>
      <c r="B1318" t="n">
        <v>7.727</v>
      </c>
      <c r="C1318" t="n">
        <v>1.3494</v>
      </c>
    </row>
    <row r="1319">
      <c r="A1319" s="926" t="n">
        <v>34129</v>
      </c>
      <c r="B1319" t="n">
        <v>7.728</v>
      </c>
      <c r="C1319" t="n">
        <v>1.3494</v>
      </c>
    </row>
    <row r="1320">
      <c r="A1320" s="926" t="n">
        <v>34130</v>
      </c>
      <c r="B1320" t="n">
        <v>7.729</v>
      </c>
      <c r="C1320" t="n">
        <v>1.3494</v>
      </c>
    </row>
    <row r="1321">
      <c r="A1321" s="926" t="n">
        <v>34131</v>
      </c>
      <c r="B1321" t="n">
        <v>7.728</v>
      </c>
      <c r="C1321" t="n">
        <v>1.3494</v>
      </c>
    </row>
    <row r="1322">
      <c r="A1322" s="926" t="n">
        <v>34135</v>
      </c>
      <c r="B1322" t="n">
        <v>7.729</v>
      </c>
      <c r="C1322" t="n">
        <v>1.3494</v>
      </c>
    </row>
    <row r="1323">
      <c r="A1323" s="926" t="n">
        <v>34136</v>
      </c>
      <c r="B1323" t="n">
        <v>7.729</v>
      </c>
      <c r="C1323" t="n">
        <v>1.3494</v>
      </c>
    </row>
    <row r="1324">
      <c r="A1324" s="926" t="n">
        <v>34137</v>
      </c>
      <c r="B1324" t="n">
        <v>7.731</v>
      </c>
      <c r="C1324" t="n">
        <v>1.3494</v>
      </c>
    </row>
    <row r="1325">
      <c r="A1325" s="926" t="n">
        <v>34138</v>
      </c>
      <c r="B1325" t="n">
        <v>7.733</v>
      </c>
      <c r="C1325" t="n">
        <v>1.3494</v>
      </c>
    </row>
    <row r="1326">
      <c r="A1326" s="926" t="n">
        <v>34139</v>
      </c>
      <c r="B1326" t="n">
        <v>7.737</v>
      </c>
      <c r="C1326" t="n">
        <v>1.3494</v>
      </c>
    </row>
    <row r="1327">
      <c r="A1327" s="926" t="n">
        <v>34141</v>
      </c>
      <c r="B1327" t="n">
        <v>7.74</v>
      </c>
      <c r="C1327" t="n">
        <v>1.3494</v>
      </c>
    </row>
    <row r="1328">
      <c r="A1328" s="926" t="n">
        <v>34142</v>
      </c>
      <c r="B1328" t="n">
        <v>7.741</v>
      </c>
      <c r="C1328" t="n">
        <v>1.3494</v>
      </c>
    </row>
    <row r="1329">
      <c r="A1329" s="926" t="n">
        <v>34143</v>
      </c>
      <c r="B1329" t="n">
        <v>7.753</v>
      </c>
      <c r="C1329" t="n">
        <v>1.3494</v>
      </c>
    </row>
    <row r="1330">
      <c r="A1330" s="926" t="n">
        <v>34145</v>
      </c>
      <c r="B1330" t="n">
        <v>7.757</v>
      </c>
      <c r="C1330" t="n">
        <v>1.3494</v>
      </c>
    </row>
    <row r="1331">
      <c r="A1331" s="926" t="n">
        <v>34146</v>
      </c>
      <c r="B1331" t="n">
        <v>7.754</v>
      </c>
      <c r="C1331" t="n">
        <v>1.3494</v>
      </c>
    </row>
    <row r="1332">
      <c r="A1332" s="926" t="n">
        <v>34148</v>
      </c>
      <c r="B1332" t="n">
        <v>7.749</v>
      </c>
      <c r="C1332" t="n">
        <v>1.3494</v>
      </c>
    </row>
    <row r="1333">
      <c r="A1333" s="926" t="n">
        <v>34149</v>
      </c>
      <c r="B1333" t="n">
        <v>7.748</v>
      </c>
      <c r="C1333" t="n">
        <v>1.3494</v>
      </c>
    </row>
    <row r="1334">
      <c r="A1334" s="926" t="n">
        <v>34150</v>
      </c>
      <c r="B1334" t="n">
        <v>7.749</v>
      </c>
      <c r="C1334" t="n">
        <v>1.3494</v>
      </c>
    </row>
    <row r="1335">
      <c r="A1335" s="926" t="n">
        <v>34151</v>
      </c>
      <c r="B1335" t="n">
        <v>7.752</v>
      </c>
      <c r="C1335" t="n">
        <v>1.3494</v>
      </c>
    </row>
    <row r="1336">
      <c r="A1336" s="926" t="n">
        <v>34152</v>
      </c>
      <c r="B1336" t="n">
        <v>7.752</v>
      </c>
      <c r="C1336" t="n">
        <v>1.3494</v>
      </c>
    </row>
    <row r="1337">
      <c r="A1337" s="926" t="n">
        <v>34153</v>
      </c>
      <c r="B1337" t="n">
        <v>7.745</v>
      </c>
      <c r="C1337" t="n">
        <v>1.3494</v>
      </c>
    </row>
    <row r="1338">
      <c r="A1338" s="926" t="n">
        <v>34155</v>
      </c>
      <c r="B1338" t="n">
        <v>7.752</v>
      </c>
      <c r="C1338" t="n">
        <v>1.3494</v>
      </c>
    </row>
    <row r="1339">
      <c r="A1339" s="926" t="n">
        <v>34156</v>
      </c>
      <c r="B1339" t="n">
        <v>7.754</v>
      </c>
      <c r="C1339" t="n">
        <v>1.3494</v>
      </c>
    </row>
    <row r="1340">
      <c r="A1340" s="926" t="n">
        <v>34157</v>
      </c>
      <c r="B1340" t="n">
        <v>7.756</v>
      </c>
      <c r="C1340" t="n">
        <v>1.3494</v>
      </c>
    </row>
    <row r="1341">
      <c r="A1341" s="926" t="n">
        <v>34158</v>
      </c>
      <c r="B1341" t="n">
        <v>7.754</v>
      </c>
      <c r="C1341" t="n">
        <v>1.3494</v>
      </c>
    </row>
    <row r="1342">
      <c r="A1342" s="926" t="n">
        <v>34159</v>
      </c>
      <c r="B1342" t="n">
        <v>7.754</v>
      </c>
      <c r="C1342" t="n">
        <v>1.3494</v>
      </c>
    </row>
    <row r="1343">
      <c r="A1343" s="926" t="n">
        <v>34160</v>
      </c>
      <c r="B1343" t="n">
        <v>7.755</v>
      </c>
      <c r="C1343" t="n">
        <v>1.3494</v>
      </c>
    </row>
    <row r="1344">
      <c r="A1344" s="926" t="n">
        <v>34162</v>
      </c>
      <c r="B1344" t="n">
        <v>7.761</v>
      </c>
      <c r="C1344" t="n">
        <v>1.3494</v>
      </c>
    </row>
    <row r="1345">
      <c r="A1345" s="926" t="n">
        <v>34163</v>
      </c>
      <c r="B1345" t="n">
        <v>7.757</v>
      </c>
      <c r="C1345" t="n">
        <v>1.3494</v>
      </c>
    </row>
    <row r="1346">
      <c r="A1346" s="926" t="n">
        <v>34164</v>
      </c>
      <c r="B1346" t="n">
        <v>7.757</v>
      </c>
      <c r="C1346" t="n">
        <v>1.3494</v>
      </c>
    </row>
    <row r="1347">
      <c r="A1347" s="926" t="n">
        <v>34165</v>
      </c>
      <c r="B1347" t="n">
        <v>7.755</v>
      </c>
      <c r="C1347" t="n">
        <v>1.3494</v>
      </c>
    </row>
    <row r="1348">
      <c r="A1348" s="926" t="n">
        <v>34166</v>
      </c>
      <c r="B1348" t="n">
        <v>7.757</v>
      </c>
      <c r="C1348" t="n">
        <v>1.3494</v>
      </c>
    </row>
    <row r="1349">
      <c r="A1349" s="926" t="n">
        <v>34167</v>
      </c>
      <c r="B1349" t="n">
        <v>7.756</v>
      </c>
      <c r="C1349" t="n">
        <v>1.3494</v>
      </c>
    </row>
    <row r="1350">
      <c r="A1350" s="926" t="n">
        <v>34169</v>
      </c>
      <c r="B1350" t="n">
        <v>7.754</v>
      </c>
      <c r="C1350" t="n">
        <v>1.3494</v>
      </c>
    </row>
    <row r="1351">
      <c r="A1351" s="926" t="n">
        <v>34170</v>
      </c>
      <c r="B1351" t="n">
        <v>7.755</v>
      </c>
      <c r="C1351" t="n">
        <v>1.3494</v>
      </c>
    </row>
    <row r="1352">
      <c r="A1352" s="926" t="n">
        <v>34171</v>
      </c>
      <c r="B1352" t="n">
        <v>7.752</v>
      </c>
      <c r="C1352" t="n">
        <v>1.3494</v>
      </c>
    </row>
    <row r="1353">
      <c r="A1353" s="926" t="n">
        <v>34172</v>
      </c>
      <c r="B1353" t="n">
        <v>7.755</v>
      </c>
      <c r="C1353" t="n">
        <v>1.3494</v>
      </c>
    </row>
    <row r="1354">
      <c r="A1354" s="926" t="n">
        <v>34173</v>
      </c>
      <c r="B1354" t="n">
        <v>7.754</v>
      </c>
      <c r="C1354" t="n">
        <v>1.3494</v>
      </c>
    </row>
    <row r="1355">
      <c r="A1355" s="926" t="n">
        <v>34174</v>
      </c>
      <c r="B1355" t="n">
        <v>7.754</v>
      </c>
      <c r="C1355" t="n">
        <v>1.3494</v>
      </c>
    </row>
    <row r="1356">
      <c r="A1356" s="926" t="n">
        <v>34176</v>
      </c>
      <c r="B1356" t="n">
        <v>7.755</v>
      </c>
      <c r="C1356" t="n">
        <v>1.3494</v>
      </c>
    </row>
    <row r="1357">
      <c r="A1357" s="926" t="n">
        <v>34177</v>
      </c>
      <c r="B1357" t="n">
        <v>7.755</v>
      </c>
      <c r="C1357" t="n">
        <v>1.3494</v>
      </c>
    </row>
    <row r="1358">
      <c r="A1358" s="926" t="n">
        <v>34178</v>
      </c>
      <c r="B1358" t="n">
        <v>7.756</v>
      </c>
      <c r="C1358" t="n">
        <v>1.3494</v>
      </c>
    </row>
    <row r="1359">
      <c r="A1359" s="926" t="n">
        <v>34179</v>
      </c>
      <c r="B1359" t="n">
        <v>7.756</v>
      </c>
      <c r="C1359" t="n">
        <v>1.3494</v>
      </c>
    </row>
    <row r="1360">
      <c r="A1360" s="926" t="n">
        <v>34180</v>
      </c>
      <c r="B1360" t="n">
        <v>7.756</v>
      </c>
      <c r="C1360" t="n">
        <v>1.3494</v>
      </c>
    </row>
    <row r="1361">
      <c r="A1361" s="926" t="n">
        <v>34181</v>
      </c>
      <c r="B1361" t="n">
        <v>7.756</v>
      </c>
      <c r="C1361" t="n">
        <v>1.3494</v>
      </c>
    </row>
    <row r="1362">
      <c r="A1362" s="926" t="n">
        <v>34183</v>
      </c>
      <c r="B1362" t="n">
        <v>7.753</v>
      </c>
      <c r="C1362" t="n">
        <v>1.3494</v>
      </c>
    </row>
    <row r="1363">
      <c r="A1363" s="926" t="n">
        <v>34184</v>
      </c>
      <c r="B1363" t="n">
        <v>7.754</v>
      </c>
      <c r="C1363" t="n">
        <v>1.3494</v>
      </c>
    </row>
    <row r="1364">
      <c r="A1364" s="926" t="n">
        <v>34185</v>
      </c>
      <c r="B1364" t="n">
        <v>7.755</v>
      </c>
      <c r="C1364" t="n">
        <v>1.3494</v>
      </c>
    </row>
    <row r="1365">
      <c r="A1365" s="926" t="n">
        <v>34186</v>
      </c>
      <c r="B1365" t="n">
        <v>7.754</v>
      </c>
      <c r="C1365" t="n">
        <v>1.3494</v>
      </c>
    </row>
    <row r="1366">
      <c r="A1366" s="926" t="n">
        <v>34187</v>
      </c>
      <c r="B1366" t="n">
        <v>7.755</v>
      </c>
      <c r="C1366" t="n">
        <v>1.3494</v>
      </c>
    </row>
    <row r="1367">
      <c r="A1367" s="926" t="n">
        <v>34188</v>
      </c>
      <c r="B1367" t="n">
        <v>7.753</v>
      </c>
      <c r="C1367" t="n">
        <v>1.3494</v>
      </c>
    </row>
    <row r="1368">
      <c r="A1368" s="926" t="n">
        <v>34190</v>
      </c>
      <c r="B1368" t="n">
        <v>7.753</v>
      </c>
      <c r="C1368" t="n">
        <v>1.3494</v>
      </c>
    </row>
    <row r="1369">
      <c r="A1369" s="926" t="n">
        <v>34191</v>
      </c>
      <c r="B1369" t="n">
        <v>7.751</v>
      </c>
      <c r="C1369" t="n">
        <v>1.3494</v>
      </c>
    </row>
    <row r="1370">
      <c r="A1370" s="926" t="n">
        <v>34192</v>
      </c>
      <c r="B1370" t="n">
        <v>7.751</v>
      </c>
      <c r="C1370" t="n">
        <v>1.3401</v>
      </c>
    </row>
    <row r="1371">
      <c r="A1371" s="926" t="n">
        <v>34193</v>
      </c>
      <c r="B1371" t="n">
        <v>7.752</v>
      </c>
      <c r="C1371" t="n">
        <v>1.3401</v>
      </c>
    </row>
    <row r="1372">
      <c r="A1372" s="926" t="n">
        <v>34194</v>
      </c>
      <c r="B1372" t="n">
        <v>7.754</v>
      </c>
      <c r="C1372" t="n">
        <v>1.3401</v>
      </c>
    </row>
    <row r="1373">
      <c r="A1373" s="926" t="n">
        <v>34195</v>
      </c>
      <c r="B1373" t="n">
        <v>7.755</v>
      </c>
      <c r="C1373" t="n">
        <v>1.3401</v>
      </c>
    </row>
    <row r="1374">
      <c r="A1374" s="926" t="n">
        <v>34197</v>
      </c>
      <c r="B1374" t="n">
        <v>7.754</v>
      </c>
      <c r="C1374" t="n">
        <v>1.3401</v>
      </c>
    </row>
    <row r="1375">
      <c r="A1375" s="926" t="n">
        <v>34198</v>
      </c>
      <c r="B1375" t="n">
        <v>7.753</v>
      </c>
      <c r="C1375" t="n">
        <v>1.3401</v>
      </c>
    </row>
    <row r="1376">
      <c r="A1376" s="926" t="n">
        <v>34199</v>
      </c>
      <c r="B1376" t="n">
        <v>7.754</v>
      </c>
      <c r="C1376" t="n">
        <v>1.3401</v>
      </c>
    </row>
    <row r="1377">
      <c r="A1377" s="926" t="n">
        <v>34200</v>
      </c>
      <c r="B1377" t="n">
        <v>7.747</v>
      </c>
      <c r="C1377" t="n">
        <v>1.3401</v>
      </c>
    </row>
    <row r="1378">
      <c r="A1378" s="926" t="n">
        <v>34201</v>
      </c>
      <c r="B1378" t="n">
        <v>7.748</v>
      </c>
      <c r="C1378" t="n">
        <v>1.3401</v>
      </c>
    </row>
    <row r="1379">
      <c r="A1379" s="926" t="n">
        <v>34202</v>
      </c>
      <c r="B1379" t="n">
        <v>7.75</v>
      </c>
      <c r="C1379" t="n">
        <v>1.3401</v>
      </c>
    </row>
    <row r="1380">
      <c r="A1380" s="926" t="n">
        <v>34204</v>
      </c>
      <c r="B1380" t="n">
        <v>7.75</v>
      </c>
      <c r="C1380" t="n">
        <v>1.3401</v>
      </c>
    </row>
    <row r="1381">
      <c r="A1381" s="926" t="n">
        <v>34205</v>
      </c>
      <c r="B1381" t="n">
        <v>7.749</v>
      </c>
      <c r="C1381" t="n">
        <v>1.3401</v>
      </c>
    </row>
    <row r="1382">
      <c r="A1382" s="926" t="n">
        <v>34206</v>
      </c>
      <c r="B1382" t="n">
        <v>7.75</v>
      </c>
      <c r="C1382" t="n">
        <v>1.3401</v>
      </c>
    </row>
    <row r="1383">
      <c r="A1383" s="926" t="n">
        <v>34207</v>
      </c>
      <c r="B1383" t="n">
        <v>7.75</v>
      </c>
      <c r="C1383" t="n">
        <v>1.3401</v>
      </c>
    </row>
    <row r="1384">
      <c r="A1384" s="926" t="n">
        <v>34208</v>
      </c>
      <c r="B1384" t="n">
        <v>7.75</v>
      </c>
      <c r="C1384" t="n">
        <v>1.3401</v>
      </c>
    </row>
    <row r="1385">
      <c r="A1385" s="926" t="n">
        <v>34212</v>
      </c>
      <c r="B1385" t="n">
        <v>7.748</v>
      </c>
      <c r="C1385" t="n">
        <v>1.3401</v>
      </c>
    </row>
    <row r="1386">
      <c r="A1386" s="926" t="n">
        <v>34213</v>
      </c>
      <c r="B1386" t="n">
        <v>7.75</v>
      </c>
      <c r="C1386" t="n">
        <v>1.3401</v>
      </c>
    </row>
    <row r="1387">
      <c r="A1387" s="926" t="n">
        <v>34214</v>
      </c>
      <c r="B1387" t="n">
        <v>7.75</v>
      </c>
      <c r="C1387" t="n">
        <v>1.3401</v>
      </c>
    </row>
    <row r="1388">
      <c r="A1388" s="926" t="n">
        <v>34215</v>
      </c>
      <c r="B1388" t="n">
        <v>7.75</v>
      </c>
      <c r="C1388" t="n">
        <v>1.3401</v>
      </c>
    </row>
    <row r="1389">
      <c r="A1389" s="926" t="n">
        <v>34216</v>
      </c>
      <c r="B1389" t="n">
        <v>7.747</v>
      </c>
      <c r="C1389" t="n">
        <v>1.3401</v>
      </c>
    </row>
    <row r="1390">
      <c r="A1390" s="926" t="n">
        <v>34218</v>
      </c>
      <c r="B1390" t="n">
        <v>7.745</v>
      </c>
      <c r="C1390" t="n">
        <v>1.3401</v>
      </c>
    </row>
    <row r="1391">
      <c r="A1391" s="926" t="n">
        <v>34219</v>
      </c>
      <c r="B1391" t="n">
        <v>7.741</v>
      </c>
      <c r="C1391" t="n">
        <v>1.3401</v>
      </c>
    </row>
    <row r="1392">
      <c r="A1392" s="926" t="n">
        <v>34220</v>
      </c>
      <c r="B1392" t="n">
        <v>7.741</v>
      </c>
      <c r="C1392" t="n">
        <v>1.3401</v>
      </c>
    </row>
    <row r="1393">
      <c r="A1393" s="926" t="n">
        <v>34221</v>
      </c>
      <c r="B1393" t="n">
        <v>7.738</v>
      </c>
      <c r="C1393" t="n">
        <v>1.3401</v>
      </c>
    </row>
    <row r="1394">
      <c r="A1394" s="926" t="n">
        <v>34222</v>
      </c>
      <c r="B1394" t="n">
        <v>7.738</v>
      </c>
      <c r="C1394" t="n">
        <v>1.3401</v>
      </c>
    </row>
    <row r="1395">
      <c r="A1395" s="926" t="n">
        <v>34223</v>
      </c>
      <c r="B1395" t="n">
        <v>7.737</v>
      </c>
      <c r="C1395" t="n">
        <v>1.3401</v>
      </c>
    </row>
    <row r="1396">
      <c r="A1396" s="926" t="n">
        <v>34225</v>
      </c>
      <c r="B1396" t="n">
        <v>7.735</v>
      </c>
      <c r="C1396" t="n">
        <v>1.3401</v>
      </c>
    </row>
    <row r="1397">
      <c r="A1397" s="926" t="n">
        <v>34226</v>
      </c>
      <c r="B1397" t="n">
        <v>7.736</v>
      </c>
      <c r="C1397" t="n">
        <v>1.3401</v>
      </c>
    </row>
    <row r="1398">
      <c r="A1398" s="926" t="n">
        <v>34227</v>
      </c>
      <c r="B1398" t="n">
        <v>7.736</v>
      </c>
      <c r="C1398" t="n">
        <v>1.3401</v>
      </c>
    </row>
    <row r="1399">
      <c r="A1399" s="926" t="n">
        <v>34228</v>
      </c>
      <c r="B1399" t="n">
        <v>7.733</v>
      </c>
      <c r="C1399" t="n">
        <v>1.3401</v>
      </c>
    </row>
    <row r="1400">
      <c r="A1400" s="926" t="n">
        <v>34230</v>
      </c>
      <c r="B1400" t="n">
        <v>7.731</v>
      </c>
      <c r="C1400" t="n">
        <v>1.3401</v>
      </c>
    </row>
    <row r="1401">
      <c r="A1401" s="926" t="n">
        <v>34232</v>
      </c>
      <c r="B1401" t="n">
        <v>7.732</v>
      </c>
      <c r="C1401" t="n">
        <v>1.3401</v>
      </c>
    </row>
    <row r="1402">
      <c r="A1402" s="926" t="n">
        <v>34233</v>
      </c>
      <c r="B1402" t="n">
        <v>7.734</v>
      </c>
      <c r="C1402" t="n">
        <v>1.3401</v>
      </c>
    </row>
    <row r="1403">
      <c r="A1403" s="926" t="n">
        <v>34234</v>
      </c>
      <c r="B1403" t="n">
        <v>7.738</v>
      </c>
      <c r="C1403" t="n">
        <v>1.3401</v>
      </c>
    </row>
    <row r="1404">
      <c r="A1404" s="926" t="n">
        <v>34235</v>
      </c>
      <c r="B1404" t="n">
        <v>7.735</v>
      </c>
      <c r="C1404" t="n">
        <v>1.3401</v>
      </c>
    </row>
    <row r="1405">
      <c r="A1405" s="926" t="n">
        <v>34236</v>
      </c>
      <c r="B1405" t="n">
        <v>7.745</v>
      </c>
      <c r="C1405" t="n">
        <v>1.3401</v>
      </c>
    </row>
    <row r="1406">
      <c r="A1406" s="926" t="n">
        <v>34237</v>
      </c>
      <c r="B1406" t="n">
        <v>7.743</v>
      </c>
      <c r="C1406" t="n">
        <v>1.3401</v>
      </c>
    </row>
    <row r="1407">
      <c r="A1407" s="926" t="n">
        <v>34239</v>
      </c>
      <c r="B1407" t="n">
        <v>7.742</v>
      </c>
      <c r="C1407" t="n">
        <v>1.3401</v>
      </c>
    </row>
    <row r="1408">
      <c r="A1408" s="926" t="n">
        <v>34240</v>
      </c>
      <c r="B1408" t="n">
        <v>7.741</v>
      </c>
      <c r="C1408" t="n">
        <v>1.3401</v>
      </c>
    </row>
    <row r="1409">
      <c r="A1409" s="926" t="n">
        <v>34241</v>
      </c>
      <c r="B1409" t="n">
        <v>7.738</v>
      </c>
      <c r="C1409" t="n">
        <v>1.3401</v>
      </c>
    </row>
    <row r="1410">
      <c r="A1410" s="926" t="n">
        <v>34242</v>
      </c>
      <c r="B1410" t="n">
        <v>7.737</v>
      </c>
      <c r="C1410" t="n">
        <v>1.3401</v>
      </c>
    </row>
    <row r="1411">
      <c r="A1411" s="926" t="n">
        <v>34244</v>
      </c>
      <c r="B1411" t="n">
        <v>7.737</v>
      </c>
      <c r="C1411" t="n">
        <v>1.3401</v>
      </c>
    </row>
    <row r="1412">
      <c r="A1412" s="926" t="n">
        <v>34246</v>
      </c>
      <c r="B1412" t="n">
        <v>7.737</v>
      </c>
      <c r="C1412" t="n">
        <v>1.3401</v>
      </c>
    </row>
    <row r="1413">
      <c r="A1413" s="926" t="n">
        <v>34247</v>
      </c>
      <c r="B1413" t="n">
        <v>7.735</v>
      </c>
      <c r="C1413" t="n">
        <v>1.3401</v>
      </c>
    </row>
    <row r="1414">
      <c r="A1414" s="926" t="n">
        <v>34248</v>
      </c>
      <c r="B1414" t="n">
        <v>7.733</v>
      </c>
      <c r="C1414" t="n">
        <v>1.3401</v>
      </c>
    </row>
    <row r="1415">
      <c r="A1415" s="926" t="n">
        <v>34249</v>
      </c>
      <c r="B1415" t="n">
        <v>7.726</v>
      </c>
      <c r="C1415" t="n">
        <v>1.3401</v>
      </c>
    </row>
    <row r="1416">
      <c r="A1416" s="926" t="n">
        <v>34250</v>
      </c>
      <c r="B1416" t="n">
        <v>7.728</v>
      </c>
      <c r="C1416" t="n">
        <v>1.3401</v>
      </c>
    </row>
    <row r="1417">
      <c r="A1417" s="926" t="n">
        <v>34251</v>
      </c>
      <c r="B1417" t="n">
        <v>7.726</v>
      </c>
      <c r="C1417" t="n">
        <v>1.3401</v>
      </c>
    </row>
    <row r="1418">
      <c r="A1418" s="926" t="n">
        <v>34253</v>
      </c>
      <c r="B1418" t="n">
        <v>7.726</v>
      </c>
      <c r="C1418" t="n">
        <v>1.3401</v>
      </c>
    </row>
    <row r="1419">
      <c r="A1419" s="926" t="n">
        <v>34254</v>
      </c>
      <c r="B1419" t="n">
        <v>7.727</v>
      </c>
      <c r="C1419" t="n">
        <v>1.3401</v>
      </c>
    </row>
    <row r="1420">
      <c r="A1420" s="926" t="n">
        <v>34255</v>
      </c>
      <c r="B1420" t="n">
        <v>7.725</v>
      </c>
      <c r="C1420" t="n">
        <v>1.3401</v>
      </c>
    </row>
    <row r="1421">
      <c r="A1421" s="926" t="n">
        <v>34256</v>
      </c>
      <c r="B1421" t="n">
        <v>7.726</v>
      </c>
      <c r="C1421" t="n">
        <v>1.3401</v>
      </c>
    </row>
    <row r="1422">
      <c r="A1422" s="926" t="n">
        <v>34257</v>
      </c>
      <c r="B1422" t="n">
        <v>7.726</v>
      </c>
      <c r="C1422" t="n">
        <v>1.3401</v>
      </c>
    </row>
    <row r="1423">
      <c r="A1423" s="926" t="n">
        <v>34258</v>
      </c>
      <c r="B1423" t="n">
        <v>7.725</v>
      </c>
      <c r="C1423" t="n">
        <v>1.3401</v>
      </c>
    </row>
    <row r="1424">
      <c r="A1424" s="926" t="n">
        <v>34260</v>
      </c>
      <c r="B1424" t="n">
        <v>7.725</v>
      </c>
      <c r="C1424" t="n">
        <v>1.3401</v>
      </c>
    </row>
    <row r="1425">
      <c r="A1425" s="926" t="n">
        <v>34261</v>
      </c>
      <c r="B1425" t="n">
        <v>7.729</v>
      </c>
      <c r="C1425" t="n">
        <v>1.3401</v>
      </c>
    </row>
    <row r="1426">
      <c r="A1426" s="926" t="n">
        <v>34262</v>
      </c>
      <c r="B1426" t="n">
        <v>7.732</v>
      </c>
      <c r="C1426" t="n">
        <v>1.3401</v>
      </c>
    </row>
    <row r="1427">
      <c r="A1427" s="926" t="n">
        <v>34263</v>
      </c>
      <c r="B1427" t="n">
        <v>7.735</v>
      </c>
      <c r="C1427" t="n">
        <v>1.3401</v>
      </c>
    </row>
    <row r="1428">
      <c r="A1428" s="926" t="n">
        <v>34264</v>
      </c>
      <c r="B1428" t="n">
        <v>7.737</v>
      </c>
      <c r="C1428" t="n">
        <v>1.3401</v>
      </c>
    </row>
    <row r="1429">
      <c r="A1429" s="926" t="n">
        <v>34267</v>
      </c>
      <c r="B1429" t="n">
        <v>7.732</v>
      </c>
      <c r="C1429" t="n">
        <v>1.3401</v>
      </c>
    </row>
    <row r="1430">
      <c r="A1430" s="926" t="n">
        <v>34268</v>
      </c>
      <c r="B1430" t="n">
        <v>7.729</v>
      </c>
      <c r="C1430" t="n">
        <v>1.3401</v>
      </c>
    </row>
    <row r="1431">
      <c r="A1431" s="926" t="n">
        <v>34269</v>
      </c>
      <c r="B1431" t="n">
        <v>7.73</v>
      </c>
      <c r="C1431" t="n">
        <v>1.3401</v>
      </c>
    </row>
    <row r="1432">
      <c r="A1432" s="926" t="n">
        <v>34270</v>
      </c>
      <c r="B1432" t="n">
        <v>7.73</v>
      </c>
      <c r="C1432" t="n">
        <v>1.3401</v>
      </c>
    </row>
    <row r="1433">
      <c r="A1433" s="926" t="n">
        <v>34271</v>
      </c>
      <c r="B1433" t="n">
        <v>7.728</v>
      </c>
      <c r="C1433" t="n">
        <v>1.3401</v>
      </c>
    </row>
    <row r="1434">
      <c r="A1434" s="926" t="n">
        <v>34272</v>
      </c>
      <c r="B1434" t="n">
        <v>7.728</v>
      </c>
      <c r="C1434" t="n">
        <v>1.3401</v>
      </c>
    </row>
    <row r="1435">
      <c r="A1435" s="926" t="n">
        <v>34274</v>
      </c>
      <c r="B1435" t="n">
        <v>7.728</v>
      </c>
      <c r="C1435" t="n">
        <v>1.3401</v>
      </c>
    </row>
    <row r="1436">
      <c r="A1436" s="926" t="n">
        <v>34275</v>
      </c>
      <c r="B1436" t="n">
        <v>7.726</v>
      </c>
      <c r="C1436" t="n">
        <v>1.3401</v>
      </c>
    </row>
    <row r="1437">
      <c r="A1437" s="926" t="n">
        <v>34276</v>
      </c>
      <c r="B1437" t="n">
        <v>7.728</v>
      </c>
      <c r="C1437" t="n">
        <v>1.3401</v>
      </c>
    </row>
    <row r="1438">
      <c r="A1438" s="926" t="n">
        <v>34277</v>
      </c>
      <c r="B1438" t="n">
        <v>7.727</v>
      </c>
      <c r="C1438" t="n">
        <v>1.3401</v>
      </c>
    </row>
    <row r="1439">
      <c r="A1439" s="926" t="n">
        <v>34278</v>
      </c>
      <c r="B1439" t="n">
        <v>7.727</v>
      </c>
      <c r="C1439" t="n">
        <v>1.3401</v>
      </c>
    </row>
    <row r="1440">
      <c r="A1440" s="926" t="n">
        <v>34279</v>
      </c>
      <c r="B1440" t="n">
        <v>7.727</v>
      </c>
      <c r="C1440" t="n">
        <v>1.3401</v>
      </c>
    </row>
    <row r="1441">
      <c r="A1441" s="926" t="n">
        <v>34281</v>
      </c>
      <c r="B1441" t="n">
        <v>7.727</v>
      </c>
      <c r="C1441" t="n">
        <v>1.3401</v>
      </c>
    </row>
    <row r="1442">
      <c r="A1442" s="926" t="n">
        <v>34282</v>
      </c>
      <c r="B1442" t="n">
        <v>7.727</v>
      </c>
      <c r="C1442" t="n">
        <v>1.3401</v>
      </c>
    </row>
    <row r="1443">
      <c r="A1443" s="926" t="n">
        <v>34283</v>
      </c>
      <c r="B1443" t="n">
        <v>7.728</v>
      </c>
      <c r="C1443" t="n">
        <v>1.3401</v>
      </c>
    </row>
    <row r="1444">
      <c r="A1444" s="926" t="n">
        <v>34284</v>
      </c>
      <c r="B1444" t="n">
        <v>7.728</v>
      </c>
      <c r="C1444" t="n">
        <v>1.3401</v>
      </c>
    </row>
    <row r="1445">
      <c r="A1445" s="926" t="n">
        <v>34285</v>
      </c>
      <c r="B1445" t="n">
        <v>7.727</v>
      </c>
      <c r="C1445" t="n">
        <v>1.3401</v>
      </c>
    </row>
    <row r="1446">
      <c r="A1446" s="926" t="n">
        <v>34286</v>
      </c>
      <c r="B1446" t="n">
        <v>7.726</v>
      </c>
      <c r="C1446" t="n">
        <v>1.3401</v>
      </c>
    </row>
    <row r="1447">
      <c r="A1447" s="926" t="n">
        <v>34288</v>
      </c>
      <c r="B1447" t="n">
        <v>7.726</v>
      </c>
      <c r="C1447" t="n">
        <v>1.3401</v>
      </c>
    </row>
    <row r="1448">
      <c r="A1448" s="926" t="n">
        <v>34289</v>
      </c>
      <c r="B1448" t="n">
        <v>7.726</v>
      </c>
      <c r="C1448" t="n">
        <v>1.3401</v>
      </c>
    </row>
    <row r="1449">
      <c r="A1449" s="926" t="n">
        <v>34290</v>
      </c>
      <c r="B1449" t="n">
        <v>7.726</v>
      </c>
      <c r="C1449" t="n">
        <v>1.3401</v>
      </c>
    </row>
    <row r="1450">
      <c r="A1450" s="926" t="n">
        <v>34291</v>
      </c>
      <c r="B1450" t="n">
        <v>7.73</v>
      </c>
      <c r="C1450" t="n">
        <v>1.3401</v>
      </c>
    </row>
    <row r="1451">
      <c r="A1451" s="926" t="n">
        <v>34292</v>
      </c>
      <c r="B1451" t="n">
        <v>7.726</v>
      </c>
      <c r="C1451" t="n">
        <v>1.3317</v>
      </c>
    </row>
    <row r="1452">
      <c r="A1452" s="926" t="n">
        <v>34293</v>
      </c>
      <c r="B1452" t="n">
        <v>7.727</v>
      </c>
      <c r="C1452" t="n">
        <v>1.3317</v>
      </c>
    </row>
    <row r="1453">
      <c r="A1453" s="926" t="n">
        <v>34295</v>
      </c>
      <c r="B1453" t="n">
        <v>7.726</v>
      </c>
      <c r="C1453" t="n">
        <v>1.3317</v>
      </c>
    </row>
    <row r="1454">
      <c r="A1454" s="926" t="n">
        <v>34296</v>
      </c>
      <c r="B1454" t="n">
        <v>7.727</v>
      </c>
      <c r="C1454" t="n">
        <v>1.3317</v>
      </c>
    </row>
    <row r="1455">
      <c r="A1455" s="926" t="n">
        <v>34297</v>
      </c>
      <c r="B1455" t="n">
        <v>7.725</v>
      </c>
      <c r="C1455" t="n">
        <v>1.3317</v>
      </c>
    </row>
    <row r="1456">
      <c r="A1456" s="926" t="n">
        <v>34298</v>
      </c>
      <c r="B1456" t="n">
        <v>7.726</v>
      </c>
      <c r="C1456" t="n">
        <v>1.3317</v>
      </c>
    </row>
    <row r="1457">
      <c r="A1457" s="926" t="n">
        <v>34299</v>
      </c>
      <c r="B1457" t="n">
        <v>7.726</v>
      </c>
      <c r="C1457" t="n">
        <v>1.3317</v>
      </c>
    </row>
    <row r="1458">
      <c r="A1458" s="926" t="n">
        <v>34300</v>
      </c>
      <c r="B1458" t="n">
        <v>7.727</v>
      </c>
      <c r="C1458" t="n">
        <v>1.3317</v>
      </c>
    </row>
    <row r="1459">
      <c r="A1459" s="926" t="n">
        <v>34302</v>
      </c>
      <c r="B1459" t="n">
        <v>7.727</v>
      </c>
      <c r="C1459" t="n">
        <v>1.3317</v>
      </c>
    </row>
    <row r="1460">
      <c r="A1460" s="926" t="n">
        <v>34303</v>
      </c>
      <c r="B1460" t="n">
        <v>7.726</v>
      </c>
      <c r="C1460" t="n">
        <v>1.3317</v>
      </c>
    </row>
    <row r="1461">
      <c r="A1461" s="926" t="n">
        <v>34304</v>
      </c>
      <c r="B1461" t="n">
        <v>7.724</v>
      </c>
      <c r="C1461" t="n">
        <v>1.3317</v>
      </c>
    </row>
    <row r="1462">
      <c r="A1462" s="926" t="n">
        <v>34305</v>
      </c>
      <c r="B1462" t="n">
        <v>7.726</v>
      </c>
      <c r="C1462" t="n">
        <v>1.3317</v>
      </c>
    </row>
    <row r="1463">
      <c r="A1463" s="926" t="n">
        <v>34306</v>
      </c>
      <c r="B1463" t="n">
        <v>7.724</v>
      </c>
      <c r="C1463" t="n">
        <v>1.3317</v>
      </c>
    </row>
    <row r="1464">
      <c r="A1464" s="926" t="n">
        <v>34307</v>
      </c>
      <c r="B1464" t="n">
        <v>7.725</v>
      </c>
      <c r="C1464" t="n">
        <v>1.3317</v>
      </c>
    </row>
    <row r="1465">
      <c r="A1465" s="926" t="n">
        <v>34309</v>
      </c>
      <c r="B1465" t="n">
        <v>7.724</v>
      </c>
      <c r="C1465" t="n">
        <v>1.3317</v>
      </c>
    </row>
    <row r="1466">
      <c r="A1466" s="926" t="n">
        <v>34310</v>
      </c>
      <c r="B1466" t="n">
        <v>7.723</v>
      </c>
      <c r="C1466" t="n">
        <v>1.3317</v>
      </c>
    </row>
    <row r="1467">
      <c r="A1467" s="926" t="n">
        <v>34311</v>
      </c>
      <c r="B1467" t="n">
        <v>7.723</v>
      </c>
      <c r="C1467" t="n">
        <v>1.3317</v>
      </c>
    </row>
    <row r="1468">
      <c r="A1468" s="926" t="n">
        <v>34312</v>
      </c>
      <c r="B1468" t="n">
        <v>7.723</v>
      </c>
      <c r="C1468" t="n">
        <v>1.3317</v>
      </c>
    </row>
    <row r="1469">
      <c r="A1469" s="926" t="n">
        <v>34313</v>
      </c>
      <c r="B1469" t="n">
        <v>7.723</v>
      </c>
      <c r="C1469" t="n">
        <v>1.3317</v>
      </c>
    </row>
    <row r="1470">
      <c r="A1470" s="926" t="n">
        <v>34314</v>
      </c>
      <c r="B1470" t="n">
        <v>7.723</v>
      </c>
      <c r="C1470" t="n">
        <v>1.3317</v>
      </c>
    </row>
    <row r="1471">
      <c r="A1471" s="926" t="n">
        <v>34316</v>
      </c>
      <c r="B1471" t="n">
        <v>7.724</v>
      </c>
      <c r="C1471" t="n">
        <v>1.3317</v>
      </c>
    </row>
    <row r="1472">
      <c r="A1472" s="926" t="n">
        <v>34317</v>
      </c>
      <c r="B1472" t="n">
        <v>7.725</v>
      </c>
      <c r="C1472" t="n">
        <v>1.3317</v>
      </c>
    </row>
    <row r="1473">
      <c r="A1473" s="926" t="n">
        <v>34318</v>
      </c>
      <c r="B1473" t="n">
        <v>7.724</v>
      </c>
      <c r="C1473" t="n">
        <v>1.3317</v>
      </c>
    </row>
    <row r="1474">
      <c r="A1474" s="926" t="n">
        <v>34319</v>
      </c>
      <c r="B1474" t="n">
        <v>7.727</v>
      </c>
      <c r="C1474" t="n">
        <v>1.3317</v>
      </c>
    </row>
    <row r="1475">
      <c r="A1475" s="926" t="n">
        <v>34320</v>
      </c>
      <c r="B1475" t="n">
        <v>7.725</v>
      </c>
      <c r="C1475" t="n">
        <v>1.3317</v>
      </c>
    </row>
    <row r="1476">
      <c r="A1476" s="926" t="n">
        <v>34321</v>
      </c>
      <c r="B1476" t="n">
        <v>7.726</v>
      </c>
      <c r="C1476" t="n">
        <v>1.3317</v>
      </c>
    </row>
    <row r="1477">
      <c r="A1477" s="926" t="n">
        <v>34323</v>
      </c>
      <c r="B1477" t="n">
        <v>7.726</v>
      </c>
      <c r="C1477" t="n">
        <v>1.3317</v>
      </c>
    </row>
    <row r="1478">
      <c r="A1478" s="926" t="n">
        <v>34324</v>
      </c>
      <c r="B1478" t="n">
        <v>7.725</v>
      </c>
      <c r="C1478" t="n">
        <v>1.3317</v>
      </c>
    </row>
    <row r="1479">
      <c r="A1479" s="926" t="n">
        <v>34325</v>
      </c>
      <c r="B1479" t="n">
        <v>7.725</v>
      </c>
      <c r="C1479" t="n">
        <v>1.3317</v>
      </c>
    </row>
    <row r="1480">
      <c r="A1480" s="926" t="n">
        <v>34326</v>
      </c>
      <c r="B1480" t="n">
        <v>7.725</v>
      </c>
      <c r="C1480" t="n">
        <v>1.3317</v>
      </c>
    </row>
    <row r="1481">
      <c r="A1481" s="926" t="n">
        <v>34327</v>
      </c>
      <c r="B1481" t="n">
        <v>7.723</v>
      </c>
      <c r="C1481" t="n">
        <v>1.3317</v>
      </c>
    </row>
    <row r="1482">
      <c r="A1482" s="926" t="n">
        <v>34331</v>
      </c>
      <c r="B1482" t="n">
        <v>7.723</v>
      </c>
      <c r="C1482" t="n">
        <v>1.3317</v>
      </c>
    </row>
    <row r="1483">
      <c r="A1483" s="926" t="n">
        <v>34332</v>
      </c>
      <c r="B1483" t="n">
        <v>7.722</v>
      </c>
      <c r="C1483" t="n">
        <v>1.3317</v>
      </c>
    </row>
    <row r="1484">
      <c r="A1484" s="926" t="n">
        <v>34333</v>
      </c>
      <c r="B1484" t="n">
        <v>7.722</v>
      </c>
      <c r="C1484" t="n">
        <v>1.3317</v>
      </c>
    </row>
    <row r="1485">
      <c r="A1485" s="926" t="n">
        <v>34334</v>
      </c>
      <c r="B1485" t="n">
        <v>7.726</v>
      </c>
      <c r="C1485" t="n">
        <v>1.3317</v>
      </c>
    </row>
    <row r="1486">
      <c r="A1486" s="926" t="n">
        <v>34337</v>
      </c>
      <c r="B1486" t="n">
        <v>7.725</v>
      </c>
      <c r="C1486" t="n">
        <v>0.8875999999999999</v>
      </c>
    </row>
    <row r="1487">
      <c r="A1487" s="926" t="n">
        <v>34338</v>
      </c>
      <c r="B1487" t="n">
        <v>7.724</v>
      </c>
      <c r="C1487" t="n">
        <v>0.8875999999999999</v>
      </c>
    </row>
    <row r="1488">
      <c r="A1488" s="926" t="n">
        <v>34339</v>
      </c>
      <c r="B1488" t="n">
        <v>7.724</v>
      </c>
      <c r="C1488" t="n">
        <v>0.8875999999999999</v>
      </c>
    </row>
    <row r="1489">
      <c r="A1489" s="926" t="n">
        <v>34340</v>
      </c>
      <c r="B1489" t="n">
        <v>7.723</v>
      </c>
      <c r="C1489" t="n">
        <v>0.8875999999999999</v>
      </c>
    </row>
    <row r="1490">
      <c r="A1490" s="926" t="n">
        <v>34341</v>
      </c>
      <c r="B1490" t="n">
        <v>7.725</v>
      </c>
      <c r="C1490" t="n">
        <v>0.8875999999999999</v>
      </c>
    </row>
    <row r="1491">
      <c r="A1491" s="926" t="n">
        <v>34342</v>
      </c>
      <c r="B1491" t="n">
        <v>7.726</v>
      </c>
      <c r="C1491" t="n">
        <v>0.8875999999999999</v>
      </c>
    </row>
    <row r="1492">
      <c r="A1492" s="926" t="n">
        <v>34344</v>
      </c>
      <c r="B1492" t="n">
        <v>7.724</v>
      </c>
      <c r="C1492" t="n">
        <v>0.8875999999999999</v>
      </c>
    </row>
    <row r="1493">
      <c r="A1493" s="926" t="n">
        <v>34345</v>
      </c>
      <c r="B1493" t="n">
        <v>7.725</v>
      </c>
      <c r="C1493" t="n">
        <v>0.8875999999999999</v>
      </c>
    </row>
    <row r="1494">
      <c r="A1494" s="926" t="n">
        <v>34346</v>
      </c>
      <c r="B1494" t="n">
        <v>7.727</v>
      </c>
      <c r="C1494" t="n">
        <v>0.8875999999999999</v>
      </c>
    </row>
    <row r="1495">
      <c r="A1495" s="926" t="n">
        <v>34347</v>
      </c>
      <c r="B1495" t="n">
        <v>7.724</v>
      </c>
      <c r="C1495" t="n">
        <v>0.8875999999999999</v>
      </c>
    </row>
    <row r="1496">
      <c r="A1496" s="926" t="n">
        <v>34348</v>
      </c>
      <c r="B1496" t="n">
        <v>7.725</v>
      </c>
      <c r="C1496" t="n">
        <v>0.8875999999999999</v>
      </c>
    </row>
    <row r="1497">
      <c r="A1497" s="926" t="n">
        <v>34349</v>
      </c>
      <c r="B1497" t="n">
        <v>7.726</v>
      </c>
      <c r="C1497" t="n">
        <v>0.8875999999999999</v>
      </c>
    </row>
    <row r="1498">
      <c r="A1498" s="926" t="n">
        <v>34351</v>
      </c>
      <c r="B1498" t="n">
        <v>7.726</v>
      </c>
      <c r="C1498" t="n">
        <v>0.8875999999999999</v>
      </c>
    </row>
    <row r="1499">
      <c r="A1499" s="926" t="n">
        <v>34352</v>
      </c>
      <c r="B1499" t="n">
        <v>7.725</v>
      </c>
      <c r="C1499" t="n">
        <v>0.8875999999999999</v>
      </c>
    </row>
    <row r="1500">
      <c r="A1500" s="926" t="n">
        <v>34353</v>
      </c>
      <c r="B1500" t="n">
        <v>7.725</v>
      </c>
      <c r="C1500" t="n">
        <v>0.8875999999999999</v>
      </c>
    </row>
    <row r="1501">
      <c r="A1501" s="926" t="n">
        <v>34354</v>
      </c>
      <c r="B1501" t="n">
        <v>7.724</v>
      </c>
      <c r="C1501" t="n">
        <v>0.8875999999999999</v>
      </c>
    </row>
    <row r="1502">
      <c r="A1502" s="926" t="n">
        <v>34355</v>
      </c>
      <c r="B1502" t="n">
        <v>7.725</v>
      </c>
      <c r="C1502" t="n">
        <v>0.8875999999999999</v>
      </c>
    </row>
    <row r="1503">
      <c r="A1503" s="926" t="n">
        <v>34356</v>
      </c>
      <c r="B1503" t="n">
        <v>7.724</v>
      </c>
      <c r="C1503" t="n">
        <v>0.8875999999999999</v>
      </c>
    </row>
    <row r="1504">
      <c r="A1504" s="926" t="n">
        <v>34358</v>
      </c>
      <c r="B1504" t="n">
        <v>7.723</v>
      </c>
      <c r="C1504" t="n">
        <v>0.8875999999999999</v>
      </c>
    </row>
    <row r="1505">
      <c r="A1505" s="926" t="n">
        <v>34359</v>
      </c>
      <c r="B1505" t="n">
        <v>7.723</v>
      </c>
      <c r="C1505" t="n">
        <v>0.8875999999999999</v>
      </c>
    </row>
    <row r="1506">
      <c r="A1506" s="926" t="n">
        <v>34360</v>
      </c>
      <c r="B1506" t="n">
        <v>7.724</v>
      </c>
      <c r="C1506" t="n">
        <v>0.8875999999999999</v>
      </c>
    </row>
    <row r="1507">
      <c r="A1507" s="926" t="n">
        <v>34361</v>
      </c>
      <c r="B1507" t="n">
        <v>7.723</v>
      </c>
      <c r="C1507" t="n">
        <v>0.8875999999999999</v>
      </c>
    </row>
    <row r="1508">
      <c r="A1508" s="926" t="n">
        <v>34362</v>
      </c>
      <c r="B1508" t="n">
        <v>7.724</v>
      </c>
      <c r="C1508" t="n">
        <v>0.8875999999999999</v>
      </c>
    </row>
    <row r="1509">
      <c r="A1509" s="926" t="n">
        <v>34363</v>
      </c>
      <c r="B1509" t="n">
        <v>7.724</v>
      </c>
      <c r="C1509" t="n">
        <v>0.8875999999999999</v>
      </c>
    </row>
    <row r="1510">
      <c r="A1510" s="926" t="n">
        <v>34365</v>
      </c>
      <c r="B1510" t="n">
        <v>7.723</v>
      </c>
      <c r="C1510" t="n">
        <v>0.8875999999999999</v>
      </c>
    </row>
    <row r="1511">
      <c r="A1511" s="926" t="n">
        <v>34366</v>
      </c>
      <c r="B1511" t="n">
        <v>7.723</v>
      </c>
      <c r="C1511" t="n">
        <v>0.8875999999999999</v>
      </c>
    </row>
    <row r="1512">
      <c r="A1512" s="926" t="n">
        <v>34367</v>
      </c>
      <c r="B1512" t="n">
        <v>7.723</v>
      </c>
      <c r="C1512" t="n">
        <v>0.8875999999999999</v>
      </c>
    </row>
    <row r="1513">
      <c r="A1513" s="926" t="n">
        <v>34368</v>
      </c>
      <c r="B1513" t="n">
        <v>7.725</v>
      </c>
      <c r="C1513" t="n">
        <v>0.8875999999999999</v>
      </c>
    </row>
    <row r="1514">
      <c r="A1514" s="926" t="n">
        <v>34369</v>
      </c>
      <c r="B1514" t="n">
        <v>7.724</v>
      </c>
      <c r="C1514" t="n">
        <v>0.8879</v>
      </c>
    </row>
    <row r="1515">
      <c r="A1515" s="926" t="n">
        <v>34370</v>
      </c>
      <c r="B1515" t="n">
        <v>7.726</v>
      </c>
      <c r="C1515" t="n">
        <v>0.8878</v>
      </c>
    </row>
    <row r="1516">
      <c r="A1516" s="926" t="n">
        <v>34372</v>
      </c>
      <c r="B1516" t="n">
        <v>7.728</v>
      </c>
      <c r="C1516" t="n">
        <v>0.8878</v>
      </c>
    </row>
    <row r="1517">
      <c r="A1517" s="926" t="n">
        <v>34373</v>
      </c>
      <c r="B1517" t="n">
        <v>7.743</v>
      </c>
      <c r="C1517" t="n">
        <v>0.8878</v>
      </c>
    </row>
    <row r="1518">
      <c r="A1518" s="926" t="n">
        <v>34374</v>
      </c>
      <c r="B1518" t="n">
        <v>7.749</v>
      </c>
      <c r="C1518" t="n">
        <v>0.8878</v>
      </c>
    </row>
    <row r="1519">
      <c r="A1519" s="926" t="n">
        <v>34379</v>
      </c>
      <c r="B1519" t="n">
        <v>7.743</v>
      </c>
      <c r="C1519" t="n">
        <v>0.8878</v>
      </c>
    </row>
    <row r="1520">
      <c r="A1520" s="926" t="n">
        <v>34380</v>
      </c>
      <c r="B1520" t="n">
        <v>7.735</v>
      </c>
      <c r="C1520" t="n">
        <v>0.8878</v>
      </c>
    </row>
    <row r="1521">
      <c r="A1521" s="926" t="n">
        <v>34381</v>
      </c>
      <c r="B1521" t="n">
        <v>7.735</v>
      </c>
      <c r="C1521" t="n">
        <v>0.8887</v>
      </c>
    </row>
    <row r="1522">
      <c r="A1522" s="926" t="n">
        <v>34382</v>
      </c>
      <c r="B1522" t="n">
        <v>7.734</v>
      </c>
      <c r="C1522" t="n">
        <v>0.8883</v>
      </c>
    </row>
    <row r="1523">
      <c r="A1523" s="926" t="n">
        <v>34383</v>
      </c>
      <c r="B1523" t="n">
        <v>7.729</v>
      </c>
      <c r="C1523" t="n">
        <v>0.8887</v>
      </c>
    </row>
    <row r="1524">
      <c r="A1524" s="926" t="n">
        <v>34384</v>
      </c>
      <c r="B1524" t="n">
        <v>7.731</v>
      </c>
      <c r="C1524" t="n">
        <v>0.8891</v>
      </c>
    </row>
    <row r="1525">
      <c r="A1525" s="926" t="n">
        <v>34386</v>
      </c>
      <c r="B1525" t="n">
        <v>7.729</v>
      </c>
      <c r="C1525" t="n">
        <v>0.8891</v>
      </c>
    </row>
    <row r="1526">
      <c r="A1526" s="926" t="n">
        <v>34387</v>
      </c>
      <c r="B1526" t="n">
        <v>7.728</v>
      </c>
      <c r="C1526" t="n">
        <v>0.889</v>
      </c>
    </row>
    <row r="1527">
      <c r="A1527" s="926" t="n">
        <v>34388</v>
      </c>
      <c r="B1527" t="n">
        <v>7.727</v>
      </c>
      <c r="C1527" t="n">
        <v>0.8887</v>
      </c>
    </row>
    <row r="1528">
      <c r="A1528" s="926" t="n">
        <v>34389</v>
      </c>
      <c r="B1528" t="n">
        <v>7.727</v>
      </c>
      <c r="C1528" t="n">
        <v>0.8883</v>
      </c>
    </row>
    <row r="1529">
      <c r="A1529" s="926" t="n">
        <v>34390</v>
      </c>
      <c r="B1529" t="n">
        <v>7.733</v>
      </c>
      <c r="C1529" t="n">
        <v>0.8889</v>
      </c>
    </row>
    <row r="1530">
      <c r="A1530" s="926" t="n">
        <v>34391</v>
      </c>
      <c r="B1530" t="n">
        <v>7.733</v>
      </c>
      <c r="C1530" t="n">
        <v>0.8883</v>
      </c>
    </row>
    <row r="1531">
      <c r="A1531" s="926" t="n">
        <v>34393</v>
      </c>
      <c r="B1531" t="n">
        <v>7.729</v>
      </c>
      <c r="C1531" t="n">
        <v>0.8883</v>
      </c>
    </row>
    <row r="1532">
      <c r="A1532" s="926" t="n">
        <v>34394</v>
      </c>
      <c r="B1532" t="n">
        <v>7.728</v>
      </c>
      <c r="C1532" t="n">
        <v>0.8883</v>
      </c>
    </row>
    <row r="1533">
      <c r="A1533" s="926" t="n">
        <v>34395</v>
      </c>
      <c r="B1533" t="n">
        <v>7.727</v>
      </c>
      <c r="C1533" t="n">
        <v>0.8877</v>
      </c>
    </row>
    <row r="1534">
      <c r="A1534" s="926" t="n">
        <v>34396</v>
      </c>
      <c r="B1534" t="n">
        <v>7.728</v>
      </c>
      <c r="C1534" t="n">
        <v>0.8875999999999999</v>
      </c>
    </row>
    <row r="1535">
      <c r="A1535" s="926" t="n">
        <v>34397</v>
      </c>
      <c r="B1535" t="n">
        <v>7.726</v>
      </c>
      <c r="C1535" t="n">
        <v>0.8875999999999999</v>
      </c>
    </row>
    <row r="1536">
      <c r="A1536" s="926" t="n">
        <v>34398</v>
      </c>
      <c r="B1536" t="n">
        <v>7.726</v>
      </c>
      <c r="C1536" t="n">
        <v>0.8875999999999999</v>
      </c>
    </row>
    <row r="1537">
      <c r="A1537" s="926" t="n">
        <v>34400</v>
      </c>
      <c r="B1537" t="n">
        <v>7.728</v>
      </c>
      <c r="C1537" t="n">
        <v>0.8875999999999999</v>
      </c>
    </row>
    <row r="1538">
      <c r="A1538" s="926" t="n">
        <v>34401</v>
      </c>
      <c r="B1538" t="n">
        <v>7.728</v>
      </c>
      <c r="C1538" t="n">
        <v>0.8877</v>
      </c>
    </row>
    <row r="1539">
      <c r="A1539" s="926" t="n">
        <v>34402</v>
      </c>
      <c r="B1539" t="n">
        <v>7.728</v>
      </c>
      <c r="C1539" t="n">
        <v>0.8879</v>
      </c>
    </row>
    <row r="1540">
      <c r="A1540" s="926" t="n">
        <v>34403</v>
      </c>
      <c r="B1540" t="n">
        <v>7.727</v>
      </c>
      <c r="C1540" t="n">
        <v>0.8882</v>
      </c>
    </row>
    <row r="1541">
      <c r="A1541" s="926" t="n">
        <v>34404</v>
      </c>
      <c r="B1541" t="n">
        <v>7.726</v>
      </c>
      <c r="C1541" t="n">
        <v>0.8877</v>
      </c>
    </row>
    <row r="1542">
      <c r="A1542" s="926" t="n">
        <v>34405</v>
      </c>
      <c r="B1542" t="n">
        <v>7.726</v>
      </c>
      <c r="C1542" t="n">
        <v>0.8881</v>
      </c>
    </row>
    <row r="1543">
      <c r="A1543" s="926" t="n">
        <v>34407</v>
      </c>
      <c r="B1543" t="n">
        <v>7.726</v>
      </c>
      <c r="C1543" t="n">
        <v>0.8881</v>
      </c>
    </row>
    <row r="1544">
      <c r="A1544" s="926" t="n">
        <v>34408</v>
      </c>
      <c r="B1544" t="n">
        <v>7.725</v>
      </c>
      <c r="C1544" t="n">
        <v>0.8881</v>
      </c>
    </row>
    <row r="1545">
      <c r="A1545" s="926" t="n">
        <v>34409</v>
      </c>
      <c r="B1545" t="n">
        <v>7.725</v>
      </c>
      <c r="C1545" t="n">
        <v>0.8879</v>
      </c>
    </row>
    <row r="1546">
      <c r="A1546" s="926" t="n">
        <v>34410</v>
      </c>
      <c r="B1546" t="n">
        <v>7.726</v>
      </c>
      <c r="C1546" t="n">
        <v>0.8879</v>
      </c>
    </row>
    <row r="1547">
      <c r="A1547" s="926" t="n">
        <v>34411</v>
      </c>
      <c r="B1547" t="n">
        <v>7.729</v>
      </c>
      <c r="C1547" t="n">
        <v>0.8881</v>
      </c>
    </row>
    <row r="1548">
      <c r="A1548" s="926" t="n">
        <v>34412</v>
      </c>
      <c r="B1548" t="n">
        <v>7.729</v>
      </c>
      <c r="C1548" t="n">
        <v>0.8881</v>
      </c>
    </row>
    <row r="1549">
      <c r="A1549" s="926" t="n">
        <v>34414</v>
      </c>
      <c r="B1549" t="n">
        <v>7.728</v>
      </c>
      <c r="C1549" t="n">
        <v>0.8881</v>
      </c>
    </row>
    <row r="1550">
      <c r="A1550" s="926" t="n">
        <v>34415</v>
      </c>
      <c r="B1550" t="n">
        <v>7.727</v>
      </c>
      <c r="C1550" t="n">
        <v>0.8885999999999999</v>
      </c>
    </row>
    <row r="1551">
      <c r="A1551" s="926" t="n">
        <v>34416</v>
      </c>
      <c r="B1551" t="n">
        <v>7.726</v>
      </c>
      <c r="C1551" t="n">
        <v>0.8883</v>
      </c>
    </row>
    <row r="1552">
      <c r="A1552" s="926" t="n">
        <v>34417</v>
      </c>
      <c r="B1552" t="n">
        <v>7.725</v>
      </c>
      <c r="C1552" t="n">
        <v>0.8874</v>
      </c>
    </row>
    <row r="1553">
      <c r="A1553" s="926" t="n">
        <v>34418</v>
      </c>
      <c r="B1553" t="n">
        <v>7.725</v>
      </c>
      <c r="C1553" t="n">
        <v>0.8878</v>
      </c>
    </row>
    <row r="1554">
      <c r="A1554" s="926" t="n">
        <v>34419</v>
      </c>
      <c r="B1554" t="n">
        <v>7.726</v>
      </c>
      <c r="C1554" t="n">
        <v>0.8877</v>
      </c>
    </row>
    <row r="1555">
      <c r="A1555" s="926" t="n">
        <v>34421</v>
      </c>
      <c r="B1555" t="n">
        <v>7.725</v>
      </c>
      <c r="C1555" t="n">
        <v>0.8877</v>
      </c>
    </row>
    <row r="1556">
      <c r="A1556" s="926" t="n">
        <v>34422</v>
      </c>
      <c r="B1556" t="n">
        <v>7.725</v>
      </c>
      <c r="C1556" t="n">
        <v>0.8877</v>
      </c>
    </row>
    <row r="1557">
      <c r="A1557" s="926" t="n">
        <v>34423</v>
      </c>
      <c r="B1557" t="n">
        <v>7.727</v>
      </c>
      <c r="C1557" t="n">
        <v>0.8879</v>
      </c>
    </row>
    <row r="1558">
      <c r="A1558" s="926" t="n">
        <v>34424</v>
      </c>
      <c r="B1558" t="n">
        <v>7.728</v>
      </c>
      <c r="C1558" t="n">
        <v>0.8872</v>
      </c>
    </row>
    <row r="1559">
      <c r="A1559" s="926" t="n">
        <v>34430</v>
      </c>
      <c r="B1559" t="n">
        <v>7.728</v>
      </c>
      <c r="C1559" t="n">
        <v>0.8881</v>
      </c>
    </row>
    <row r="1560">
      <c r="A1560" s="926" t="n">
        <v>34431</v>
      </c>
      <c r="B1560" t="n">
        <v>7.727</v>
      </c>
      <c r="C1560" t="n">
        <v>0.8884</v>
      </c>
    </row>
    <row r="1561">
      <c r="A1561" s="926" t="n">
        <v>34432</v>
      </c>
      <c r="B1561" t="n">
        <v>7.727</v>
      </c>
      <c r="C1561" t="n">
        <v>0.8887</v>
      </c>
    </row>
    <row r="1562">
      <c r="A1562" s="926" t="n">
        <v>34433</v>
      </c>
      <c r="B1562" t="n">
        <v>7.727</v>
      </c>
      <c r="C1562" t="n">
        <v>0.8887</v>
      </c>
    </row>
    <row r="1563">
      <c r="A1563" s="926" t="n">
        <v>34435</v>
      </c>
      <c r="B1563" t="n">
        <v>7.726</v>
      </c>
      <c r="C1563" t="n">
        <v>0.8887</v>
      </c>
    </row>
    <row r="1564">
      <c r="A1564" s="926" t="n">
        <v>34436</v>
      </c>
      <c r="B1564" t="n">
        <v>7.726</v>
      </c>
      <c r="C1564" t="n">
        <v>0.8887</v>
      </c>
    </row>
    <row r="1565">
      <c r="A1565" s="926" t="n">
        <v>34437</v>
      </c>
      <c r="B1565" t="n">
        <v>7.727</v>
      </c>
      <c r="C1565" t="n">
        <v>0.8881</v>
      </c>
    </row>
    <row r="1566">
      <c r="A1566" s="926" t="n">
        <v>34438</v>
      </c>
      <c r="B1566" t="n">
        <v>7.727</v>
      </c>
      <c r="C1566" t="n">
        <v>0.8882</v>
      </c>
    </row>
    <row r="1567">
      <c r="A1567" s="926" t="n">
        <v>34439</v>
      </c>
      <c r="B1567" t="n">
        <v>7.726</v>
      </c>
      <c r="C1567" t="n">
        <v>0.8884</v>
      </c>
    </row>
    <row r="1568">
      <c r="A1568" s="926" t="n">
        <v>34440</v>
      </c>
      <c r="B1568" t="n">
        <v>7.726</v>
      </c>
      <c r="C1568" t="n">
        <v>0.8884</v>
      </c>
    </row>
    <row r="1569">
      <c r="A1569" s="926" t="n">
        <v>34442</v>
      </c>
      <c r="B1569" t="n">
        <v>7.726</v>
      </c>
      <c r="C1569" t="n">
        <v>0.8884</v>
      </c>
    </row>
    <row r="1570">
      <c r="A1570" s="926" t="n">
        <v>34443</v>
      </c>
      <c r="B1570" t="n">
        <v>7.727</v>
      </c>
      <c r="C1570" t="n">
        <v>0.889</v>
      </c>
    </row>
    <row r="1571">
      <c r="A1571" s="926" t="n">
        <v>34444</v>
      </c>
      <c r="B1571" t="n">
        <v>7.727</v>
      </c>
      <c r="C1571" t="n">
        <v>0.8891</v>
      </c>
    </row>
    <row r="1572">
      <c r="A1572" s="926" t="n">
        <v>34445</v>
      </c>
      <c r="B1572" t="n">
        <v>7.727</v>
      </c>
      <c r="C1572" t="n">
        <v>0.8892</v>
      </c>
    </row>
    <row r="1573">
      <c r="A1573" s="926" t="n">
        <v>34446</v>
      </c>
      <c r="B1573" t="n">
        <v>7.726</v>
      </c>
      <c r="C1573" t="n">
        <v>0.8893</v>
      </c>
    </row>
    <row r="1574">
      <c r="A1574" s="926" t="n">
        <v>34447</v>
      </c>
      <c r="B1574" t="n">
        <v>7.727</v>
      </c>
      <c r="C1574" t="n">
        <v>0.8893</v>
      </c>
    </row>
    <row r="1575">
      <c r="A1575" s="926" t="n">
        <v>34449</v>
      </c>
      <c r="B1575" t="n">
        <v>7.727</v>
      </c>
      <c r="C1575" t="n">
        <v>0.8893</v>
      </c>
    </row>
    <row r="1576">
      <c r="A1576" s="926" t="n">
        <v>34450</v>
      </c>
      <c r="B1576" t="n">
        <v>7.727</v>
      </c>
      <c r="C1576" t="n">
        <v>0.8895999999999999</v>
      </c>
    </row>
    <row r="1577">
      <c r="A1577" s="926" t="n">
        <v>34451</v>
      </c>
      <c r="B1577" t="n">
        <v>7.726</v>
      </c>
      <c r="C1577" t="n">
        <v>0.8897</v>
      </c>
    </row>
    <row r="1578">
      <c r="A1578" s="926" t="n">
        <v>34452</v>
      </c>
      <c r="B1578" t="n">
        <v>7.726</v>
      </c>
      <c r="C1578" t="n">
        <v>0.8898</v>
      </c>
    </row>
    <row r="1579">
      <c r="A1579" s="926" t="n">
        <v>34453</v>
      </c>
      <c r="B1579" t="n">
        <v>7.725</v>
      </c>
      <c r="C1579" t="n">
        <v>0.8899</v>
      </c>
    </row>
    <row r="1580">
      <c r="A1580" s="926" t="n">
        <v>34454</v>
      </c>
      <c r="B1580" t="n">
        <v>7.725</v>
      </c>
      <c r="C1580" t="n">
        <v>0.8897</v>
      </c>
    </row>
    <row r="1581">
      <c r="A1581" s="926" t="n">
        <v>34456</v>
      </c>
      <c r="B1581" t="n">
        <v>7.725</v>
      </c>
      <c r="C1581" t="n">
        <v>0.8897</v>
      </c>
    </row>
    <row r="1582">
      <c r="A1582" s="926" t="n">
        <v>34457</v>
      </c>
      <c r="B1582" t="n">
        <v>7.725</v>
      </c>
      <c r="C1582" t="n">
        <v>0.8897</v>
      </c>
    </row>
    <row r="1583">
      <c r="A1583" s="926" t="n">
        <v>34458</v>
      </c>
      <c r="B1583" t="n">
        <v>7.725</v>
      </c>
      <c r="C1583" t="n">
        <v>0.8908</v>
      </c>
    </row>
    <row r="1584">
      <c r="A1584" s="926" t="n">
        <v>34459</v>
      </c>
      <c r="B1584" t="n">
        <v>7.726</v>
      </c>
      <c r="C1584" t="n">
        <v>0.8913</v>
      </c>
    </row>
    <row r="1585">
      <c r="A1585" s="926" t="n">
        <v>34460</v>
      </c>
      <c r="B1585" t="n">
        <v>7.726</v>
      </c>
      <c r="C1585" t="n">
        <v>0.8918</v>
      </c>
    </row>
    <row r="1586">
      <c r="A1586" s="926" t="n">
        <v>34461</v>
      </c>
      <c r="B1586" t="n">
        <v>7.726</v>
      </c>
      <c r="C1586" t="n">
        <v>0.8921</v>
      </c>
    </row>
    <row r="1587">
      <c r="A1587" s="926" t="n">
        <v>34463</v>
      </c>
      <c r="B1587" t="n">
        <v>7.727</v>
      </c>
      <c r="C1587" t="n">
        <v>0.8921</v>
      </c>
    </row>
    <row r="1588">
      <c r="A1588" s="926" t="n">
        <v>34464</v>
      </c>
      <c r="B1588" t="n">
        <v>7.727</v>
      </c>
      <c r="C1588" t="n">
        <v>0.8921</v>
      </c>
    </row>
    <row r="1589">
      <c r="A1589" s="926" t="n">
        <v>34465</v>
      </c>
      <c r="B1589" t="n">
        <v>7.726</v>
      </c>
      <c r="C1589" t="n">
        <v>0.8924</v>
      </c>
    </row>
    <row r="1590">
      <c r="A1590" s="926" t="n">
        <v>34466</v>
      </c>
      <c r="B1590" t="n">
        <v>7.726</v>
      </c>
      <c r="C1590" t="n">
        <v>0.8923</v>
      </c>
    </row>
    <row r="1591">
      <c r="A1591" s="926" t="n">
        <v>34467</v>
      </c>
      <c r="B1591" t="n">
        <v>7.727</v>
      </c>
      <c r="C1591" t="n">
        <v>0.8925</v>
      </c>
    </row>
    <row r="1592">
      <c r="A1592" s="926" t="n">
        <v>34468</v>
      </c>
      <c r="B1592" t="n">
        <v>7.726</v>
      </c>
      <c r="C1592" t="n">
        <v>0.8925</v>
      </c>
    </row>
    <row r="1593">
      <c r="A1593" s="926" t="n">
        <v>34470</v>
      </c>
      <c r="B1593" t="n">
        <v>7.726</v>
      </c>
      <c r="C1593" t="n">
        <v>0.8925</v>
      </c>
    </row>
    <row r="1594">
      <c r="A1594" s="926" t="n">
        <v>34471</v>
      </c>
      <c r="B1594" t="n">
        <v>7.727</v>
      </c>
      <c r="C1594" t="n">
        <v>0.8925999999999999</v>
      </c>
    </row>
    <row r="1595">
      <c r="A1595" s="926" t="n">
        <v>34472</v>
      </c>
      <c r="B1595" t="n">
        <v>7.727</v>
      </c>
      <c r="C1595" t="n">
        <v>0.8925999999999999</v>
      </c>
    </row>
    <row r="1596">
      <c r="A1596" s="926" t="n">
        <v>34473</v>
      </c>
      <c r="B1596" t="n">
        <v>7.725</v>
      </c>
      <c r="C1596" t="n">
        <v>0.8925999999999999</v>
      </c>
    </row>
    <row r="1597">
      <c r="A1597" s="926" t="n">
        <v>34474</v>
      </c>
      <c r="B1597" t="n">
        <v>7.725</v>
      </c>
      <c r="C1597" t="n">
        <v>0.8921</v>
      </c>
    </row>
    <row r="1598">
      <c r="A1598" s="926" t="n">
        <v>34475</v>
      </c>
      <c r="B1598" t="n">
        <v>7.725</v>
      </c>
      <c r="C1598" t="n">
        <v>0.8922</v>
      </c>
    </row>
    <row r="1599">
      <c r="A1599" s="926" t="n">
        <v>34477</v>
      </c>
      <c r="B1599" t="n">
        <v>7.725</v>
      </c>
      <c r="C1599" t="n">
        <v>0.8922</v>
      </c>
    </row>
    <row r="1600">
      <c r="A1600" s="926" t="n">
        <v>34478</v>
      </c>
      <c r="B1600" t="n">
        <v>7.725</v>
      </c>
      <c r="C1600" t="n">
        <v>0.892</v>
      </c>
    </row>
    <row r="1601">
      <c r="A1601" s="926" t="n">
        <v>34479</v>
      </c>
      <c r="B1601" t="n">
        <v>7.726</v>
      </c>
      <c r="C1601" t="n">
        <v>0.892</v>
      </c>
    </row>
    <row r="1602">
      <c r="A1602" s="926" t="n">
        <v>34480</v>
      </c>
      <c r="B1602" t="n">
        <v>7.725</v>
      </c>
      <c r="C1602" t="n">
        <v>0.8921</v>
      </c>
    </row>
    <row r="1603">
      <c r="A1603" s="926" t="n">
        <v>34481</v>
      </c>
      <c r="B1603" t="n">
        <v>7.726</v>
      </c>
      <c r="C1603" t="n">
        <v>0.8921</v>
      </c>
    </row>
    <row r="1604">
      <c r="A1604" s="926" t="n">
        <v>34482</v>
      </c>
      <c r="B1604" t="n">
        <v>7.726</v>
      </c>
      <c r="C1604" t="n">
        <v>0.8921</v>
      </c>
    </row>
    <row r="1605">
      <c r="A1605" s="926" t="n">
        <v>34484</v>
      </c>
      <c r="B1605" t="n">
        <v>7.726</v>
      </c>
      <c r="C1605" t="n">
        <v>0.8921</v>
      </c>
    </row>
    <row r="1606">
      <c r="A1606" s="926" t="n">
        <v>34485</v>
      </c>
      <c r="B1606" t="n">
        <v>7.726</v>
      </c>
      <c r="C1606" t="n">
        <v>0.8921</v>
      </c>
    </row>
    <row r="1607">
      <c r="A1607" s="926" t="n">
        <v>34486</v>
      </c>
      <c r="B1607" t="n">
        <v>7.726</v>
      </c>
      <c r="C1607" t="n">
        <v>0.8921</v>
      </c>
    </row>
    <row r="1608">
      <c r="A1608" s="926" t="n">
        <v>34487</v>
      </c>
      <c r="B1608" t="n">
        <v>7.726</v>
      </c>
      <c r="C1608" t="n">
        <v>0.8921</v>
      </c>
    </row>
    <row r="1609">
      <c r="A1609" s="926" t="n">
        <v>34488</v>
      </c>
      <c r="B1609" t="n">
        <v>7.728</v>
      </c>
      <c r="C1609" t="n">
        <v>0.8922</v>
      </c>
    </row>
    <row r="1610">
      <c r="A1610" s="926" t="n">
        <v>34489</v>
      </c>
      <c r="B1610" t="n">
        <v>7.728</v>
      </c>
      <c r="C1610" t="n">
        <v>0.8922</v>
      </c>
    </row>
    <row r="1611">
      <c r="A1611" s="926" t="n">
        <v>34491</v>
      </c>
      <c r="B1611" t="n">
        <v>7.727</v>
      </c>
      <c r="C1611" t="n">
        <v>0.8922</v>
      </c>
    </row>
    <row r="1612">
      <c r="A1612" s="926" t="n">
        <v>34492</v>
      </c>
      <c r="B1612" t="n">
        <v>7.729</v>
      </c>
      <c r="C1612" t="n">
        <v>0.8922</v>
      </c>
    </row>
    <row r="1613">
      <c r="A1613" s="926" t="n">
        <v>34493</v>
      </c>
      <c r="B1613" t="n">
        <v>7.73</v>
      </c>
      <c r="C1613" t="n">
        <v>0.8922</v>
      </c>
    </row>
    <row r="1614">
      <c r="A1614" s="926" t="n">
        <v>34494</v>
      </c>
      <c r="B1614" t="n">
        <v>7.735</v>
      </c>
      <c r="C1614" t="n">
        <v>0.8923</v>
      </c>
    </row>
    <row r="1615">
      <c r="A1615" s="926" t="n">
        <v>34495</v>
      </c>
      <c r="B1615" t="n">
        <v>7.742</v>
      </c>
      <c r="C1615" t="n">
        <v>0.8923</v>
      </c>
    </row>
    <row r="1616">
      <c r="A1616" s="926" t="n">
        <v>34500</v>
      </c>
      <c r="B1616" t="n">
        <v>7.729</v>
      </c>
      <c r="C1616" t="n">
        <v>0.8924</v>
      </c>
    </row>
    <row r="1617">
      <c r="A1617" s="926" t="n">
        <v>34501</v>
      </c>
      <c r="B1617" t="n">
        <v>7.73</v>
      </c>
      <c r="C1617" t="n">
        <v>0.8924</v>
      </c>
    </row>
    <row r="1618">
      <c r="A1618" s="926" t="n">
        <v>34502</v>
      </c>
      <c r="B1618" t="n">
        <v>7.731</v>
      </c>
      <c r="C1618" t="n">
        <v>0.8925</v>
      </c>
    </row>
    <row r="1619">
      <c r="A1619" s="926" t="n">
        <v>34503</v>
      </c>
      <c r="B1619" t="n">
        <v>7.73</v>
      </c>
      <c r="C1619" t="n">
        <v>0.8925</v>
      </c>
    </row>
    <row r="1620">
      <c r="A1620" s="926" t="n">
        <v>34505</v>
      </c>
      <c r="B1620" t="n">
        <v>7.728</v>
      </c>
      <c r="C1620" t="n">
        <v>0.8925</v>
      </c>
    </row>
    <row r="1621">
      <c r="A1621" s="926" t="n">
        <v>34506</v>
      </c>
      <c r="B1621" t="n">
        <v>7.729</v>
      </c>
      <c r="C1621" t="n">
        <v>0.8925</v>
      </c>
    </row>
    <row r="1622">
      <c r="A1622" s="926" t="n">
        <v>34507</v>
      </c>
      <c r="B1622" t="n">
        <v>7.728</v>
      </c>
      <c r="C1622" t="n">
        <v>0.8925</v>
      </c>
    </row>
    <row r="1623">
      <c r="A1623" s="926" t="n">
        <v>34508</v>
      </c>
      <c r="B1623" t="n">
        <v>7.729</v>
      </c>
      <c r="C1623" t="n">
        <v>0.8925999999999999</v>
      </c>
    </row>
    <row r="1624">
      <c r="A1624" s="926" t="n">
        <v>34509</v>
      </c>
      <c r="B1624" t="n">
        <v>7.729</v>
      </c>
      <c r="C1624" t="n">
        <v>0.8927</v>
      </c>
    </row>
    <row r="1625">
      <c r="A1625" s="926" t="n">
        <v>34510</v>
      </c>
      <c r="B1625" t="n">
        <v>7.728</v>
      </c>
      <c r="C1625" t="n">
        <v>0.8927</v>
      </c>
    </row>
    <row r="1626">
      <c r="A1626" s="926" t="n">
        <v>34512</v>
      </c>
      <c r="B1626" t="n">
        <v>7.728</v>
      </c>
      <c r="C1626" t="n">
        <v>0.8927</v>
      </c>
    </row>
    <row r="1627">
      <c r="A1627" s="926" t="n">
        <v>34513</v>
      </c>
      <c r="B1627" t="n">
        <v>7.729</v>
      </c>
      <c r="C1627" t="n">
        <v>0.8928</v>
      </c>
    </row>
    <row r="1628">
      <c r="A1628" s="926" t="n">
        <v>34514</v>
      </c>
      <c r="B1628" t="n">
        <v>7.728</v>
      </c>
      <c r="C1628" t="n">
        <v>0.8932</v>
      </c>
    </row>
    <row r="1629">
      <c r="A1629" s="926" t="n">
        <v>34515</v>
      </c>
      <c r="B1629" t="n">
        <v>7.729</v>
      </c>
      <c r="C1629" t="n">
        <v>0.8933</v>
      </c>
    </row>
    <row r="1630">
      <c r="A1630" s="926" t="n">
        <v>34516</v>
      </c>
      <c r="B1630" t="n">
        <v>7.73</v>
      </c>
      <c r="C1630" t="n">
        <v>0.8934</v>
      </c>
    </row>
    <row r="1631">
      <c r="A1631" s="926" t="n">
        <v>34517</v>
      </c>
      <c r="B1631" t="n">
        <v>7.729</v>
      </c>
      <c r="C1631" t="n">
        <v>0.8935999999999999</v>
      </c>
    </row>
    <row r="1632">
      <c r="A1632" s="926" t="n">
        <v>34519</v>
      </c>
      <c r="B1632" t="n">
        <v>7.729</v>
      </c>
      <c r="C1632" t="n">
        <v>0.8935999999999999</v>
      </c>
    </row>
    <row r="1633">
      <c r="A1633" s="926" t="n">
        <v>34520</v>
      </c>
      <c r="B1633" t="n">
        <v>7.728</v>
      </c>
      <c r="C1633" t="n">
        <v>0.8935999999999999</v>
      </c>
    </row>
    <row r="1634">
      <c r="A1634" s="926" t="n">
        <v>34521</v>
      </c>
      <c r="B1634" t="n">
        <v>7.728</v>
      </c>
      <c r="C1634" t="n">
        <v>0.8937</v>
      </c>
    </row>
    <row r="1635">
      <c r="A1635" s="926" t="n">
        <v>34522</v>
      </c>
      <c r="B1635" t="n">
        <v>7.729</v>
      </c>
      <c r="C1635" t="n">
        <v>0.8937</v>
      </c>
    </row>
    <row r="1636">
      <c r="A1636" s="926" t="n">
        <v>34523</v>
      </c>
      <c r="B1636" t="n">
        <v>7.729</v>
      </c>
      <c r="C1636" t="n">
        <v>0.8938</v>
      </c>
    </row>
    <row r="1637">
      <c r="A1637" s="926" t="n">
        <v>34524</v>
      </c>
      <c r="B1637" t="n">
        <v>7.728</v>
      </c>
      <c r="C1637" t="n">
        <v>0.8938</v>
      </c>
    </row>
    <row r="1638">
      <c r="A1638" s="926" t="n">
        <v>34526</v>
      </c>
      <c r="B1638" t="n">
        <v>7.728</v>
      </c>
      <c r="C1638" t="n">
        <v>0.8938</v>
      </c>
    </row>
    <row r="1639">
      <c r="A1639" s="926" t="n">
        <v>34527</v>
      </c>
      <c r="B1639" t="n">
        <v>7.727</v>
      </c>
      <c r="C1639" t="n">
        <v>0.894</v>
      </c>
    </row>
    <row r="1640">
      <c r="A1640" s="926" t="n">
        <v>34528</v>
      </c>
      <c r="B1640" t="n">
        <v>7.726</v>
      </c>
      <c r="C1640" t="n">
        <v>0.8941</v>
      </c>
    </row>
    <row r="1641">
      <c r="A1641" s="926" t="n">
        <v>34529</v>
      </c>
      <c r="B1641" t="n">
        <v>7.726</v>
      </c>
      <c r="C1641" t="n">
        <v>0.8941</v>
      </c>
    </row>
    <row r="1642">
      <c r="A1642" s="926" t="n">
        <v>34530</v>
      </c>
      <c r="B1642" t="n">
        <v>7.726</v>
      </c>
      <c r="C1642" t="n">
        <v>0.8942</v>
      </c>
    </row>
    <row r="1643">
      <c r="A1643" s="926" t="n">
        <v>34531</v>
      </c>
      <c r="B1643" t="n">
        <v>7.725</v>
      </c>
      <c r="C1643" t="n">
        <v>0.8943</v>
      </c>
    </row>
    <row r="1644">
      <c r="A1644" s="926" t="n">
        <v>34533</v>
      </c>
      <c r="B1644" t="n">
        <v>7.725</v>
      </c>
      <c r="C1644" t="n">
        <v>0.8943</v>
      </c>
    </row>
    <row r="1645">
      <c r="A1645" s="926" t="n">
        <v>34534</v>
      </c>
      <c r="B1645" t="n">
        <v>7.725</v>
      </c>
      <c r="C1645" t="n">
        <v>0.894</v>
      </c>
    </row>
    <row r="1646">
      <c r="A1646" s="926" t="n">
        <v>34535</v>
      </c>
      <c r="B1646" t="n">
        <v>7.725</v>
      </c>
      <c r="C1646" t="n">
        <v>0.8941</v>
      </c>
    </row>
    <row r="1647">
      <c r="A1647" s="926" t="n">
        <v>34536</v>
      </c>
      <c r="B1647" t="n">
        <v>7.725</v>
      </c>
      <c r="C1647" t="n">
        <v>0.8942</v>
      </c>
    </row>
    <row r="1648">
      <c r="A1648" s="926" t="n">
        <v>34537</v>
      </c>
      <c r="B1648" t="n">
        <v>7.725</v>
      </c>
      <c r="C1648" t="n">
        <v>0.8945</v>
      </c>
    </row>
    <row r="1649">
      <c r="A1649" s="926" t="n">
        <v>34540</v>
      </c>
      <c r="B1649" t="n">
        <v>7.726</v>
      </c>
      <c r="C1649" t="n">
        <v>0.8949</v>
      </c>
    </row>
    <row r="1650">
      <c r="A1650" s="926" t="n">
        <v>34541</v>
      </c>
      <c r="B1650" t="n">
        <v>7.726</v>
      </c>
      <c r="C1650" t="n">
        <v>0.8953</v>
      </c>
    </row>
    <row r="1651">
      <c r="A1651" s="926" t="n">
        <v>34542</v>
      </c>
      <c r="B1651" t="n">
        <v>7.725</v>
      </c>
      <c r="C1651" t="n">
        <v>0.8956</v>
      </c>
    </row>
    <row r="1652">
      <c r="A1652" s="926" t="n">
        <v>34543</v>
      </c>
      <c r="B1652" t="n">
        <v>7.725</v>
      </c>
      <c r="C1652" t="n">
        <v>0.8958</v>
      </c>
    </row>
    <row r="1653">
      <c r="A1653" s="926" t="n">
        <v>34544</v>
      </c>
      <c r="B1653" t="n">
        <v>7.726</v>
      </c>
      <c r="C1653" t="n">
        <v>0.8961</v>
      </c>
    </row>
    <row r="1654">
      <c r="A1654" s="926" t="n">
        <v>34545</v>
      </c>
      <c r="B1654" t="n">
        <v>7.725</v>
      </c>
      <c r="C1654" t="n">
        <v>0.8963</v>
      </c>
    </row>
    <row r="1655">
      <c r="A1655" s="926" t="n">
        <v>34547</v>
      </c>
      <c r="B1655" t="n">
        <v>7.725</v>
      </c>
      <c r="C1655" t="n">
        <v>0.8963</v>
      </c>
    </row>
    <row r="1656">
      <c r="A1656" s="926" t="n">
        <v>34548</v>
      </c>
      <c r="B1656" t="n">
        <v>7.725</v>
      </c>
      <c r="C1656" t="n">
        <v>0.8965</v>
      </c>
    </row>
    <row r="1657">
      <c r="A1657" s="926" t="n">
        <v>34549</v>
      </c>
      <c r="B1657" t="n">
        <v>7.725</v>
      </c>
      <c r="C1657" t="n">
        <v>0.8969</v>
      </c>
    </row>
    <row r="1658">
      <c r="A1658" s="926" t="n">
        <v>34550</v>
      </c>
      <c r="B1658" t="n">
        <v>7.725</v>
      </c>
      <c r="C1658" t="n">
        <v>0.8971</v>
      </c>
    </row>
    <row r="1659">
      <c r="A1659" s="926" t="n">
        <v>34551</v>
      </c>
      <c r="B1659" t="n">
        <v>7.726</v>
      </c>
      <c r="C1659" t="n">
        <v>0.8974</v>
      </c>
    </row>
    <row r="1660">
      <c r="A1660" s="926" t="n">
        <v>34552</v>
      </c>
      <c r="B1660" t="n">
        <v>7.726</v>
      </c>
      <c r="C1660" t="n">
        <v>0.8978</v>
      </c>
    </row>
    <row r="1661">
      <c r="A1661" s="926" t="n">
        <v>34554</v>
      </c>
      <c r="B1661" t="n">
        <v>7.726</v>
      </c>
      <c r="C1661" t="n">
        <v>0.8978</v>
      </c>
    </row>
    <row r="1662">
      <c r="A1662" s="926" t="n">
        <v>34555</v>
      </c>
      <c r="B1662" t="n">
        <v>7.726</v>
      </c>
      <c r="C1662" t="n">
        <v>0.8982</v>
      </c>
    </row>
    <row r="1663">
      <c r="A1663" s="926" t="n">
        <v>34556</v>
      </c>
      <c r="B1663" t="n">
        <v>7.726</v>
      </c>
      <c r="C1663" t="n">
        <v>0.8983</v>
      </c>
    </row>
    <row r="1664">
      <c r="A1664" s="926" t="n">
        <v>34557</v>
      </c>
      <c r="B1664" t="n">
        <v>7.726</v>
      </c>
      <c r="C1664" t="n">
        <v>0.8986</v>
      </c>
    </row>
    <row r="1665">
      <c r="A1665" s="926" t="n">
        <v>34558</v>
      </c>
      <c r="B1665" t="n">
        <v>7.728</v>
      </c>
      <c r="C1665" t="n">
        <v>0.8988</v>
      </c>
    </row>
    <row r="1666">
      <c r="A1666" s="926" t="n">
        <v>34559</v>
      </c>
      <c r="B1666" t="n">
        <v>7.728</v>
      </c>
      <c r="C1666" t="n">
        <v>0.8991</v>
      </c>
    </row>
    <row r="1667">
      <c r="A1667" s="926" t="n">
        <v>34561</v>
      </c>
      <c r="B1667" t="n">
        <v>7.727</v>
      </c>
      <c r="C1667" t="n">
        <v>0.8991</v>
      </c>
    </row>
    <row r="1668">
      <c r="A1668" s="926" t="n">
        <v>34562</v>
      </c>
      <c r="B1668" t="n">
        <v>7.728</v>
      </c>
      <c r="C1668" t="n">
        <v>0.8996</v>
      </c>
    </row>
    <row r="1669">
      <c r="A1669" s="926" t="n">
        <v>34563</v>
      </c>
      <c r="B1669" t="n">
        <v>7.727</v>
      </c>
      <c r="C1669" t="n">
        <v>0.8999</v>
      </c>
    </row>
    <row r="1670">
      <c r="A1670" s="926" t="n">
        <v>34564</v>
      </c>
      <c r="B1670" t="n">
        <v>7.727</v>
      </c>
      <c r="C1670" t="n">
        <v>0.9001</v>
      </c>
    </row>
    <row r="1671">
      <c r="A1671" s="926" t="n">
        <v>34565</v>
      </c>
      <c r="B1671" t="n">
        <v>7.727</v>
      </c>
      <c r="C1671" t="n">
        <v>0.9003</v>
      </c>
    </row>
    <row r="1672">
      <c r="A1672" s="926" t="n">
        <v>34566</v>
      </c>
      <c r="B1672" t="n">
        <v>7.727</v>
      </c>
      <c r="C1672" t="n">
        <v>0.9006999999999999</v>
      </c>
    </row>
    <row r="1673">
      <c r="A1673" s="926" t="n">
        <v>34568</v>
      </c>
      <c r="B1673" t="n">
        <v>7.727</v>
      </c>
      <c r="C1673" t="n">
        <v>0.9006999999999999</v>
      </c>
    </row>
    <row r="1674">
      <c r="A1674" s="926" t="n">
        <v>34569</v>
      </c>
      <c r="B1674" t="n">
        <v>7.727</v>
      </c>
      <c r="C1674" t="n">
        <v>0.9008</v>
      </c>
    </row>
    <row r="1675">
      <c r="A1675" s="926" t="n">
        <v>34570</v>
      </c>
      <c r="B1675" t="n">
        <v>7.728</v>
      </c>
      <c r="C1675" t="n">
        <v>0.901</v>
      </c>
    </row>
    <row r="1676">
      <c r="A1676" s="926" t="n">
        <v>34571</v>
      </c>
      <c r="B1676" t="n">
        <v>7.728</v>
      </c>
      <c r="C1676" t="n">
        <v>0.9013</v>
      </c>
    </row>
    <row r="1677">
      <c r="A1677" s="926" t="n">
        <v>34572</v>
      </c>
      <c r="B1677" t="n">
        <v>7.729</v>
      </c>
      <c r="C1677" t="n">
        <v>0.9016</v>
      </c>
    </row>
    <row r="1678">
      <c r="A1678" s="926" t="n">
        <v>34576</v>
      </c>
      <c r="B1678" t="n">
        <v>7.728</v>
      </c>
      <c r="C1678" t="n">
        <v>0.9024</v>
      </c>
    </row>
    <row r="1679">
      <c r="A1679" s="926" t="n">
        <v>34577</v>
      </c>
      <c r="B1679" t="n">
        <v>7.728</v>
      </c>
      <c r="C1679" t="n">
        <v>0.9026</v>
      </c>
    </row>
    <row r="1680">
      <c r="A1680" s="926" t="n">
        <v>34578</v>
      </c>
      <c r="B1680" t="n">
        <v>7.728</v>
      </c>
      <c r="C1680" t="n">
        <v>0.9029</v>
      </c>
    </row>
    <row r="1681">
      <c r="A1681" s="926" t="n">
        <v>34579</v>
      </c>
      <c r="B1681" t="n">
        <v>7.727</v>
      </c>
      <c r="C1681" t="n">
        <v>0.9032</v>
      </c>
    </row>
    <row r="1682">
      <c r="A1682" s="926" t="n">
        <v>34580</v>
      </c>
      <c r="B1682" t="n">
        <v>7.726</v>
      </c>
      <c r="C1682" t="n">
        <v>0.9034</v>
      </c>
    </row>
    <row r="1683">
      <c r="A1683" s="926" t="n">
        <v>34582</v>
      </c>
      <c r="B1683" t="n">
        <v>7.728</v>
      </c>
      <c r="C1683" t="n">
        <v>0.9034</v>
      </c>
    </row>
    <row r="1684">
      <c r="A1684" s="926" t="n">
        <v>34583</v>
      </c>
      <c r="B1684" t="n">
        <v>7.727</v>
      </c>
      <c r="C1684" t="n">
        <v>0.9036</v>
      </c>
    </row>
    <row r="1685">
      <c r="A1685" s="926" t="n">
        <v>34584</v>
      </c>
      <c r="B1685" t="n">
        <v>7.727</v>
      </c>
      <c r="C1685" t="n">
        <v>0.9038</v>
      </c>
    </row>
    <row r="1686">
      <c r="A1686" s="926" t="n">
        <v>34585</v>
      </c>
      <c r="B1686" t="n">
        <v>7.727</v>
      </c>
      <c r="C1686" t="n">
        <v>0.9042</v>
      </c>
    </row>
    <row r="1687">
      <c r="A1687" s="926" t="n">
        <v>34586</v>
      </c>
      <c r="B1687" t="n">
        <v>7.728</v>
      </c>
      <c r="C1687" t="n">
        <v>0.9044</v>
      </c>
    </row>
    <row r="1688">
      <c r="A1688" s="926" t="n">
        <v>34587</v>
      </c>
      <c r="B1688" t="n">
        <v>7.727</v>
      </c>
      <c r="C1688" t="n">
        <v>0.9046999999999999</v>
      </c>
    </row>
    <row r="1689">
      <c r="A1689" s="926" t="n">
        <v>34589</v>
      </c>
      <c r="B1689" t="n">
        <v>7.727</v>
      </c>
      <c r="C1689" t="n">
        <v>0.9046999999999999</v>
      </c>
    </row>
    <row r="1690">
      <c r="A1690" s="926" t="n">
        <v>34590</v>
      </c>
      <c r="B1690" t="n">
        <v>7.727</v>
      </c>
      <c r="C1690" t="n">
        <v>0.9046999999999999</v>
      </c>
    </row>
    <row r="1691">
      <c r="A1691" s="926" t="n">
        <v>34591</v>
      </c>
      <c r="B1691" t="n">
        <v>7.727</v>
      </c>
      <c r="C1691" t="n">
        <v>0.9049</v>
      </c>
    </row>
    <row r="1692">
      <c r="A1692" s="926" t="n">
        <v>34592</v>
      </c>
      <c r="B1692" t="n">
        <v>7.727</v>
      </c>
      <c r="C1692" t="n">
        <v>0.905</v>
      </c>
    </row>
    <row r="1693">
      <c r="A1693" s="926" t="n">
        <v>34593</v>
      </c>
      <c r="B1693" t="n">
        <v>7.727</v>
      </c>
      <c r="C1693" t="n">
        <v>0.9051</v>
      </c>
    </row>
    <row r="1694">
      <c r="A1694" s="926" t="n">
        <v>34594</v>
      </c>
      <c r="B1694" t="n">
        <v>7.727</v>
      </c>
      <c r="C1694" t="n">
        <v>0.9053</v>
      </c>
    </row>
    <row r="1695">
      <c r="A1695" s="926" t="n">
        <v>34596</v>
      </c>
      <c r="B1695" t="n">
        <v>7.727</v>
      </c>
      <c r="C1695" t="n">
        <v>0.9053</v>
      </c>
    </row>
    <row r="1696">
      <c r="A1696" s="926" t="n">
        <v>34597</v>
      </c>
      <c r="B1696" t="n">
        <v>7.728</v>
      </c>
      <c r="C1696" t="n">
        <v>0.9055</v>
      </c>
    </row>
    <row r="1697">
      <c r="A1697" s="926" t="n">
        <v>34599</v>
      </c>
      <c r="B1697" t="n">
        <v>7.728</v>
      </c>
      <c r="C1697" t="n">
        <v>0.9056</v>
      </c>
    </row>
    <row r="1698">
      <c r="A1698" s="926" t="n">
        <v>34600</v>
      </c>
      <c r="B1698" t="n">
        <v>7.728</v>
      </c>
      <c r="C1698" t="n">
        <v>0.9056</v>
      </c>
    </row>
    <row r="1699">
      <c r="A1699" s="926" t="n">
        <v>34601</v>
      </c>
      <c r="B1699" t="n">
        <v>7.727</v>
      </c>
      <c r="C1699" t="n">
        <v>0.9056999999999999</v>
      </c>
    </row>
    <row r="1700">
      <c r="A1700" s="926" t="n">
        <v>34603</v>
      </c>
      <c r="B1700" t="n">
        <v>7.727</v>
      </c>
      <c r="C1700" t="n">
        <v>0.9056999999999999</v>
      </c>
    </row>
    <row r="1701">
      <c r="A1701" s="926" t="n">
        <v>34604</v>
      </c>
      <c r="B1701" t="n">
        <v>7.728</v>
      </c>
      <c r="C1701" t="n">
        <v>0.9058</v>
      </c>
    </row>
    <row r="1702">
      <c r="A1702" s="926" t="n">
        <v>34605</v>
      </c>
      <c r="B1702" t="n">
        <v>7.727</v>
      </c>
      <c r="C1702" t="n">
        <v>0.9059</v>
      </c>
    </row>
    <row r="1703">
      <c r="A1703" s="926" t="n">
        <v>34606</v>
      </c>
      <c r="B1703" t="n">
        <v>7.728</v>
      </c>
      <c r="C1703" t="n">
        <v>0.9059</v>
      </c>
    </row>
    <row r="1704">
      <c r="A1704" s="926" t="n">
        <v>34607</v>
      </c>
      <c r="B1704" t="n">
        <v>7.727</v>
      </c>
      <c r="C1704" t="n">
        <v>0.9059</v>
      </c>
    </row>
    <row r="1705">
      <c r="A1705" s="926" t="n">
        <v>34608</v>
      </c>
      <c r="B1705" t="n">
        <v>7.727</v>
      </c>
      <c r="C1705" t="n">
        <v>0.906</v>
      </c>
    </row>
    <row r="1706">
      <c r="A1706" s="926" t="n">
        <v>34610</v>
      </c>
      <c r="B1706" t="n">
        <v>7.727</v>
      </c>
      <c r="C1706" t="n">
        <v>0.906</v>
      </c>
    </row>
    <row r="1707">
      <c r="A1707" s="926" t="n">
        <v>34611</v>
      </c>
      <c r="B1707" t="n">
        <v>7.727</v>
      </c>
      <c r="C1707" t="n">
        <v>0.906</v>
      </c>
    </row>
    <row r="1708">
      <c r="A1708" s="926" t="n">
        <v>34612</v>
      </c>
      <c r="B1708" t="n">
        <v>7.727</v>
      </c>
      <c r="C1708" t="n">
        <v>0.906</v>
      </c>
    </row>
    <row r="1709">
      <c r="A1709" s="926" t="n">
        <v>34614</v>
      </c>
      <c r="B1709" t="n">
        <v>7.728</v>
      </c>
      <c r="C1709" t="n">
        <v>0.906</v>
      </c>
    </row>
    <row r="1710">
      <c r="A1710" s="926" t="n">
        <v>34615</v>
      </c>
      <c r="B1710" t="n">
        <v>7.727</v>
      </c>
      <c r="C1710" t="n">
        <v>0.906</v>
      </c>
    </row>
    <row r="1711">
      <c r="A1711" s="926" t="n">
        <v>34617</v>
      </c>
      <c r="B1711" t="n">
        <v>7.728</v>
      </c>
      <c r="C1711" t="n">
        <v>0.906</v>
      </c>
    </row>
    <row r="1712">
      <c r="A1712" s="926" t="n">
        <v>34618</v>
      </c>
      <c r="B1712" t="n">
        <v>7.728</v>
      </c>
      <c r="C1712" t="n">
        <v>0.906</v>
      </c>
    </row>
    <row r="1713">
      <c r="A1713" s="926" t="n">
        <v>34619</v>
      </c>
      <c r="B1713" t="n">
        <v>7.729</v>
      </c>
      <c r="C1713" t="n">
        <v>0.906</v>
      </c>
    </row>
    <row r="1714">
      <c r="A1714" s="926" t="n">
        <v>34621</v>
      </c>
      <c r="B1714" t="n">
        <v>7.727</v>
      </c>
      <c r="C1714" t="n">
        <v>0.906</v>
      </c>
    </row>
    <row r="1715">
      <c r="A1715" s="926" t="n">
        <v>34622</v>
      </c>
      <c r="B1715" t="n">
        <v>7.727</v>
      </c>
      <c r="C1715" t="n">
        <v>0.906</v>
      </c>
    </row>
    <row r="1716">
      <c r="A1716" s="926" t="n">
        <v>34624</v>
      </c>
      <c r="B1716" t="n">
        <v>7.727</v>
      </c>
      <c r="C1716" t="n">
        <v>0.906</v>
      </c>
    </row>
    <row r="1717">
      <c r="A1717" s="926" t="n">
        <v>34625</v>
      </c>
      <c r="B1717" t="n">
        <v>7.727</v>
      </c>
      <c r="C1717" t="n">
        <v>0.906</v>
      </c>
    </row>
    <row r="1718">
      <c r="A1718" s="926" t="n">
        <v>34626</v>
      </c>
      <c r="B1718" t="n">
        <v>7.727</v>
      </c>
      <c r="C1718" t="n">
        <v>0.9059</v>
      </c>
    </row>
    <row r="1719">
      <c r="A1719" s="926" t="n">
        <v>34627</v>
      </c>
      <c r="B1719" t="n">
        <v>7.727</v>
      </c>
      <c r="C1719" t="n">
        <v>0.906</v>
      </c>
    </row>
    <row r="1720">
      <c r="A1720" s="926" t="n">
        <v>34628</v>
      </c>
      <c r="B1720" t="n">
        <v>7.727</v>
      </c>
      <c r="C1720" t="n">
        <v>0.9059</v>
      </c>
    </row>
    <row r="1721">
      <c r="A1721" s="926" t="n">
        <v>34629</v>
      </c>
      <c r="B1721" t="n">
        <v>7.728</v>
      </c>
      <c r="C1721" t="n">
        <v>0.9059</v>
      </c>
    </row>
    <row r="1722">
      <c r="A1722" s="926" t="n">
        <v>34631</v>
      </c>
      <c r="B1722" t="n">
        <v>7.727</v>
      </c>
      <c r="C1722" t="n">
        <v>0.9059</v>
      </c>
    </row>
    <row r="1723">
      <c r="A1723" s="926" t="n">
        <v>34632</v>
      </c>
      <c r="B1723" t="n">
        <v>7.727</v>
      </c>
      <c r="C1723" t="n">
        <v>0.906</v>
      </c>
    </row>
    <row r="1724">
      <c r="A1724" s="926" t="n">
        <v>34633</v>
      </c>
      <c r="B1724" t="n">
        <v>7.727</v>
      </c>
      <c r="C1724" t="n">
        <v>0.906</v>
      </c>
    </row>
    <row r="1725">
      <c r="A1725" s="926" t="n">
        <v>34634</v>
      </c>
      <c r="B1725" t="n">
        <v>7.728</v>
      </c>
      <c r="C1725" t="n">
        <v>0.9061</v>
      </c>
    </row>
    <row r="1726">
      <c r="A1726" s="926" t="n">
        <v>34635</v>
      </c>
      <c r="B1726" t="n">
        <v>7.728</v>
      </c>
      <c r="C1726" t="n">
        <v>0.9062</v>
      </c>
    </row>
    <row r="1727">
      <c r="A1727" s="926" t="n">
        <v>34636</v>
      </c>
      <c r="B1727" t="n">
        <v>7.728</v>
      </c>
      <c r="C1727" t="n">
        <v>0.9062</v>
      </c>
    </row>
    <row r="1728">
      <c r="A1728" s="926" t="n">
        <v>34638</v>
      </c>
      <c r="B1728" t="n">
        <v>7.728</v>
      </c>
      <c r="C1728" t="n">
        <v>0.9063</v>
      </c>
    </row>
    <row r="1729">
      <c r="A1729" s="926" t="n">
        <v>34639</v>
      </c>
      <c r="B1729" t="n">
        <v>7.727</v>
      </c>
      <c r="C1729" t="n">
        <v>0.9064</v>
      </c>
    </row>
    <row r="1730">
      <c r="A1730" s="926" t="n">
        <v>34640</v>
      </c>
      <c r="B1730" t="n">
        <v>7.728</v>
      </c>
      <c r="C1730" t="n">
        <v>0.9064</v>
      </c>
    </row>
    <row r="1731">
      <c r="A1731" s="926" t="n">
        <v>34641</v>
      </c>
      <c r="B1731" t="n">
        <v>7.73</v>
      </c>
      <c r="C1731" t="n">
        <v>0.9065</v>
      </c>
    </row>
    <row r="1732">
      <c r="A1732" s="926" t="n">
        <v>34642</v>
      </c>
      <c r="B1732" t="n">
        <v>7.731</v>
      </c>
      <c r="C1732" t="n">
        <v>0.9066</v>
      </c>
    </row>
    <row r="1733">
      <c r="A1733" s="926" t="n">
        <v>34643</v>
      </c>
      <c r="B1733" t="n">
        <v>7.73</v>
      </c>
      <c r="C1733" t="n">
        <v>0.907</v>
      </c>
    </row>
    <row r="1734">
      <c r="A1734" s="926" t="n">
        <v>34645</v>
      </c>
      <c r="B1734" t="n">
        <v>7.73</v>
      </c>
      <c r="C1734" t="n">
        <v>0.907</v>
      </c>
    </row>
    <row r="1735">
      <c r="A1735" s="926" t="n">
        <v>34646</v>
      </c>
      <c r="B1735" t="n">
        <v>7.729</v>
      </c>
      <c r="C1735" t="n">
        <v>0.907</v>
      </c>
    </row>
    <row r="1736">
      <c r="A1736" s="926" t="n">
        <v>34647</v>
      </c>
      <c r="B1736" t="n">
        <v>7.729</v>
      </c>
      <c r="C1736" t="n">
        <v>0.907</v>
      </c>
    </row>
    <row r="1737">
      <c r="A1737" s="926" t="n">
        <v>34648</v>
      </c>
      <c r="B1737" t="n">
        <v>7.729</v>
      </c>
      <c r="C1737" t="n">
        <v>0.9071</v>
      </c>
    </row>
    <row r="1738">
      <c r="A1738" s="926" t="n">
        <v>34649</v>
      </c>
      <c r="B1738" t="n">
        <v>7.729</v>
      </c>
      <c r="C1738" t="n">
        <v>0.9072</v>
      </c>
    </row>
    <row r="1739">
      <c r="A1739" s="926" t="n">
        <v>34650</v>
      </c>
      <c r="B1739" t="n">
        <v>7.729</v>
      </c>
      <c r="C1739" t="n">
        <v>0.9073</v>
      </c>
    </row>
    <row r="1740">
      <c r="A1740" s="926" t="n">
        <v>34652</v>
      </c>
      <c r="B1740" t="n">
        <v>7.729</v>
      </c>
      <c r="C1740" t="n">
        <v>0.9073</v>
      </c>
    </row>
    <row r="1741">
      <c r="A1741" s="926" t="n">
        <v>34653</v>
      </c>
      <c r="B1741" t="n">
        <v>7.729</v>
      </c>
      <c r="C1741" t="n">
        <v>0.9074</v>
      </c>
    </row>
    <row r="1742">
      <c r="A1742" s="926" t="n">
        <v>34654</v>
      </c>
      <c r="B1742" t="n">
        <v>7.73</v>
      </c>
      <c r="C1742" t="n">
        <v>0.9075</v>
      </c>
    </row>
    <row r="1743">
      <c r="A1743" s="926" t="n">
        <v>34655</v>
      </c>
      <c r="B1743" t="n">
        <v>7.731</v>
      </c>
      <c r="C1743" t="n">
        <v>0.9077</v>
      </c>
    </row>
    <row r="1744">
      <c r="A1744" s="926" t="n">
        <v>34656</v>
      </c>
      <c r="B1744" t="n">
        <v>7.732</v>
      </c>
      <c r="C1744" t="n">
        <v>0.908</v>
      </c>
    </row>
    <row r="1745">
      <c r="A1745" s="926" t="n">
        <v>34657</v>
      </c>
      <c r="B1745" t="n">
        <v>7.732</v>
      </c>
      <c r="C1745" t="n">
        <v>0.9083</v>
      </c>
    </row>
    <row r="1746">
      <c r="A1746" s="926" t="n">
        <v>34659</v>
      </c>
      <c r="B1746" t="n">
        <v>7.732</v>
      </c>
      <c r="C1746" t="n">
        <v>0.9083</v>
      </c>
    </row>
    <row r="1747">
      <c r="A1747" s="926" t="n">
        <v>34660</v>
      </c>
      <c r="B1747" t="n">
        <v>7.731</v>
      </c>
      <c r="C1747" t="n">
        <v>0.9081</v>
      </c>
    </row>
    <row r="1748">
      <c r="A1748" s="926" t="n">
        <v>34661</v>
      </c>
      <c r="B1748" t="n">
        <v>7.732</v>
      </c>
      <c r="C1748" t="n">
        <v>0.9083</v>
      </c>
    </row>
    <row r="1749">
      <c r="A1749" s="926" t="n">
        <v>34662</v>
      </c>
      <c r="B1749" t="n">
        <v>7.732</v>
      </c>
      <c r="C1749" t="n">
        <v>0.9084</v>
      </c>
    </row>
    <row r="1750">
      <c r="A1750" s="926" t="n">
        <v>34663</v>
      </c>
      <c r="B1750" t="n">
        <v>7.732</v>
      </c>
      <c r="C1750" t="n">
        <v>0.9084</v>
      </c>
    </row>
    <row r="1751">
      <c r="A1751" s="926" t="n">
        <v>34664</v>
      </c>
      <c r="B1751" t="n">
        <v>7.732</v>
      </c>
      <c r="C1751" t="n">
        <v>0.9085</v>
      </c>
    </row>
    <row r="1752">
      <c r="A1752" s="926" t="n">
        <v>34666</v>
      </c>
      <c r="B1752" t="n">
        <v>7.732</v>
      </c>
      <c r="C1752" t="n">
        <v>0.9085</v>
      </c>
    </row>
    <row r="1753">
      <c r="A1753" s="926" t="n">
        <v>34667</v>
      </c>
      <c r="B1753" t="n">
        <v>7.733</v>
      </c>
      <c r="C1753" t="n">
        <v>0.9085</v>
      </c>
    </row>
    <row r="1754">
      <c r="A1754" s="926" t="n">
        <v>34668</v>
      </c>
      <c r="B1754" t="n">
        <v>7.734</v>
      </c>
      <c r="C1754" t="n">
        <v>0.9087</v>
      </c>
    </row>
    <row r="1755">
      <c r="A1755" s="926" t="n">
        <v>34669</v>
      </c>
      <c r="B1755" t="n">
        <v>7.734</v>
      </c>
      <c r="C1755" t="n">
        <v>0.9088000000000001</v>
      </c>
    </row>
    <row r="1756">
      <c r="A1756" s="926" t="n">
        <v>34670</v>
      </c>
      <c r="B1756" t="n">
        <v>7.736</v>
      </c>
      <c r="C1756" t="n">
        <v>0.9089</v>
      </c>
    </row>
    <row r="1757">
      <c r="A1757" s="926" t="n">
        <v>34671</v>
      </c>
      <c r="B1757" t="n">
        <v>7.736</v>
      </c>
      <c r="C1757" t="n">
        <v>0.9092</v>
      </c>
    </row>
    <row r="1758">
      <c r="A1758" s="926" t="n">
        <v>34673</v>
      </c>
      <c r="B1758" t="n">
        <v>7.736</v>
      </c>
      <c r="C1758" t="n">
        <v>0.9092</v>
      </c>
    </row>
    <row r="1759">
      <c r="A1759" s="926" t="n">
        <v>34674</v>
      </c>
      <c r="B1759" t="n">
        <v>7.735</v>
      </c>
      <c r="C1759" t="n">
        <v>0.9093</v>
      </c>
    </row>
    <row r="1760">
      <c r="A1760" s="926" t="n">
        <v>34675</v>
      </c>
      <c r="B1760" t="n">
        <v>7.735</v>
      </c>
      <c r="C1760" t="n">
        <v>0.9091</v>
      </c>
    </row>
    <row r="1761">
      <c r="A1761" s="926" t="n">
        <v>34676</v>
      </c>
      <c r="B1761" t="n">
        <v>7.737</v>
      </c>
      <c r="C1761" t="n">
        <v>0.9097</v>
      </c>
    </row>
    <row r="1762">
      <c r="A1762" s="926" t="n">
        <v>34677</v>
      </c>
      <c r="B1762" t="n">
        <v>7.739</v>
      </c>
      <c r="C1762" t="n">
        <v>0.91</v>
      </c>
    </row>
    <row r="1763">
      <c r="A1763" s="926" t="n">
        <v>34678</v>
      </c>
      <c r="B1763" t="n">
        <v>7.739</v>
      </c>
      <c r="C1763" t="n">
        <v>0.9104</v>
      </c>
    </row>
    <row r="1764">
      <c r="A1764" s="926" t="n">
        <v>34680</v>
      </c>
      <c r="B1764" t="n">
        <v>7.739</v>
      </c>
      <c r="C1764" t="n">
        <v>0.9104</v>
      </c>
    </row>
    <row r="1765">
      <c r="A1765" s="926" t="n">
        <v>34681</v>
      </c>
      <c r="B1765" t="n">
        <v>7.738</v>
      </c>
      <c r="C1765" t="n">
        <v>0.9108000000000001</v>
      </c>
    </row>
    <row r="1766">
      <c r="A1766" s="926" t="n">
        <v>34682</v>
      </c>
      <c r="B1766" t="n">
        <v>7.74</v>
      </c>
      <c r="C1766" t="n">
        <v>0.9112</v>
      </c>
    </row>
    <row r="1767">
      <c r="A1767" s="926" t="n">
        <v>34683</v>
      </c>
      <c r="B1767" t="n">
        <v>7.738</v>
      </c>
      <c r="C1767" t="n">
        <v>0.9117</v>
      </c>
    </row>
    <row r="1768">
      <c r="A1768" s="926" t="n">
        <v>34684</v>
      </c>
      <c r="B1768" t="n">
        <v>7.739</v>
      </c>
      <c r="C1768" t="n">
        <v>0.9118000000000001</v>
      </c>
    </row>
    <row r="1769">
      <c r="A1769" s="926" t="n">
        <v>34685</v>
      </c>
      <c r="B1769" t="n">
        <v>7.739</v>
      </c>
      <c r="C1769" t="n">
        <v>0.9122</v>
      </c>
    </row>
    <row r="1770">
      <c r="A1770" s="926" t="n">
        <v>34687</v>
      </c>
      <c r="B1770" t="n">
        <v>7.738</v>
      </c>
      <c r="C1770" t="n">
        <v>0.9122</v>
      </c>
    </row>
    <row r="1771">
      <c r="A1771" s="926" t="n">
        <v>34688</v>
      </c>
      <c r="B1771" t="n">
        <v>7.739</v>
      </c>
      <c r="C1771" t="n">
        <v>0.9124</v>
      </c>
    </row>
    <row r="1772">
      <c r="A1772" s="926" t="n">
        <v>34689</v>
      </c>
      <c r="B1772" t="n">
        <v>7.738</v>
      </c>
      <c r="C1772" t="n">
        <v>0.9131</v>
      </c>
    </row>
    <row r="1773">
      <c r="A1773" s="926" t="n">
        <v>34690</v>
      </c>
      <c r="B1773" t="n">
        <v>7.737</v>
      </c>
      <c r="C1773" t="n">
        <v>0.9133</v>
      </c>
    </row>
    <row r="1774">
      <c r="A1774" s="926" t="n">
        <v>34691</v>
      </c>
      <c r="B1774" t="n">
        <v>7.739</v>
      </c>
      <c r="C1774" t="n">
        <v>0.9137999999999999</v>
      </c>
    </row>
    <row r="1775">
      <c r="A1775" s="926" t="n">
        <v>34692</v>
      </c>
      <c r="B1775" t="n">
        <v>7.739</v>
      </c>
      <c r="C1775" t="n">
        <v>0.9144</v>
      </c>
    </row>
    <row r="1776">
      <c r="A1776" s="926" t="n">
        <v>34696</v>
      </c>
      <c r="B1776" t="n">
        <v>7.739</v>
      </c>
      <c r="C1776" t="n">
        <v>0.9153</v>
      </c>
    </row>
    <row r="1777">
      <c r="A1777" s="926" t="n">
        <v>34697</v>
      </c>
      <c r="B1777" t="n">
        <v>7.739</v>
      </c>
      <c r="C1777" t="n">
        <v>0.9157</v>
      </c>
    </row>
    <row r="1778">
      <c r="A1778" s="926" t="n">
        <v>34698</v>
      </c>
      <c r="B1778" t="n">
        <v>7.739</v>
      </c>
      <c r="C1778" t="n">
        <v>0.9159</v>
      </c>
    </row>
    <row r="1779">
      <c r="A1779" s="926" t="n">
        <v>34699</v>
      </c>
      <c r="B1779" t="n">
        <v>7.738</v>
      </c>
      <c r="C1779" t="n">
        <v>0.9163</v>
      </c>
    </row>
    <row r="1780">
      <c r="A1780" s="926" t="n">
        <v>34702</v>
      </c>
      <c r="B1780" t="n">
        <v>7.738</v>
      </c>
      <c r="C1780" t="n">
        <v>0.9163</v>
      </c>
    </row>
    <row r="1781">
      <c r="A1781" s="926" t="n">
        <v>34703</v>
      </c>
      <c r="B1781" t="n">
        <v>7.739</v>
      </c>
      <c r="C1781" t="n">
        <v>0.9162</v>
      </c>
    </row>
    <row r="1782">
      <c r="A1782" s="926" t="n">
        <v>34704</v>
      </c>
      <c r="B1782" t="n">
        <v>7.743</v>
      </c>
      <c r="C1782" t="n">
        <v>0.9164</v>
      </c>
    </row>
    <row r="1783">
      <c r="A1783" s="926" t="n">
        <v>34705</v>
      </c>
      <c r="B1783" t="n">
        <v>7.749</v>
      </c>
      <c r="C1783" t="n">
        <v>0.9167999999999999</v>
      </c>
    </row>
    <row r="1784">
      <c r="A1784" s="926" t="n">
        <v>34706</v>
      </c>
      <c r="B1784" t="n">
        <v>7.757</v>
      </c>
      <c r="C1784" t="n">
        <v>0.9173</v>
      </c>
    </row>
    <row r="1785">
      <c r="A1785" s="926" t="n">
        <v>34708</v>
      </c>
      <c r="B1785" t="n">
        <v>7.756</v>
      </c>
      <c r="C1785" t="n">
        <v>0.9173</v>
      </c>
    </row>
    <row r="1786">
      <c r="A1786" s="926" t="n">
        <v>34709</v>
      </c>
      <c r="B1786" t="n">
        <v>7.767</v>
      </c>
      <c r="C1786" t="n">
        <v>0.9186</v>
      </c>
    </row>
    <row r="1787">
      <c r="A1787" s="926" t="n">
        <v>34710</v>
      </c>
      <c r="B1787" t="n">
        <v>7.762</v>
      </c>
      <c r="C1787" t="n">
        <v>0.9186</v>
      </c>
    </row>
    <row r="1788">
      <c r="A1788" s="926" t="n">
        <v>34711</v>
      </c>
      <c r="B1788" t="n">
        <v>7.769</v>
      </c>
      <c r="C1788" t="n">
        <v>0.9195</v>
      </c>
    </row>
    <row r="1789">
      <c r="A1789" s="926" t="n">
        <v>34712</v>
      </c>
      <c r="B1789" t="n">
        <v>7.751</v>
      </c>
      <c r="C1789" t="n">
        <v>0.9201</v>
      </c>
    </row>
    <row r="1790">
      <c r="A1790" s="926" t="n">
        <v>34713</v>
      </c>
      <c r="B1790" t="n">
        <v>7.754</v>
      </c>
      <c r="C1790" t="n">
        <v>0.9184</v>
      </c>
    </row>
    <row r="1791">
      <c r="A1791" s="926" t="n">
        <v>34715</v>
      </c>
      <c r="B1791" t="n">
        <v>7.745</v>
      </c>
      <c r="C1791" t="n">
        <v>0.9184</v>
      </c>
    </row>
    <row r="1792">
      <c r="A1792" s="926" t="n">
        <v>34716</v>
      </c>
      <c r="B1792" t="n">
        <v>7.744</v>
      </c>
      <c r="C1792" t="n">
        <v>0.9179</v>
      </c>
    </row>
    <row r="1793">
      <c r="A1793" s="926" t="n">
        <v>34717</v>
      </c>
      <c r="B1793" t="n">
        <v>7.741</v>
      </c>
      <c r="C1793" t="n">
        <v>0.9174</v>
      </c>
    </row>
    <row r="1794">
      <c r="A1794" s="926" t="n">
        <v>34718</v>
      </c>
      <c r="B1794" t="n">
        <v>7.74</v>
      </c>
      <c r="C1794" t="n">
        <v>0.9173</v>
      </c>
    </row>
    <row r="1795">
      <c r="A1795" s="926" t="n">
        <v>34719</v>
      </c>
      <c r="B1795" t="n">
        <v>7.743</v>
      </c>
      <c r="C1795" t="n">
        <v>0.917</v>
      </c>
    </row>
    <row r="1796">
      <c r="A1796" s="926" t="n">
        <v>34720</v>
      </c>
      <c r="B1796" t="n">
        <v>7.734</v>
      </c>
      <c r="C1796" t="n">
        <v>0.9177</v>
      </c>
    </row>
    <row r="1797">
      <c r="A1797" s="926" t="n">
        <v>34722</v>
      </c>
      <c r="B1797" t="n">
        <v>7.74</v>
      </c>
      <c r="C1797" t="n">
        <v>0.9177</v>
      </c>
    </row>
    <row r="1798">
      <c r="A1798" s="926" t="n">
        <v>34723</v>
      </c>
      <c r="B1798" t="n">
        <v>7.736</v>
      </c>
      <c r="C1798" t="n">
        <v>0.9164</v>
      </c>
    </row>
    <row r="1799">
      <c r="A1799" s="926" t="n">
        <v>34724</v>
      </c>
      <c r="B1799" t="n">
        <v>7.733</v>
      </c>
      <c r="C1799" t="n">
        <v>0.9167</v>
      </c>
    </row>
    <row r="1800">
      <c r="A1800" s="926" t="n">
        <v>34725</v>
      </c>
      <c r="B1800" t="n">
        <v>7.731</v>
      </c>
      <c r="C1800" t="n">
        <v>0.9164</v>
      </c>
    </row>
    <row r="1801">
      <c r="A1801" s="926" t="n">
        <v>34726</v>
      </c>
      <c r="B1801" t="n">
        <v>7.734</v>
      </c>
      <c r="C1801" t="n">
        <v>0.9163</v>
      </c>
    </row>
    <row r="1802">
      <c r="A1802" s="926" t="n">
        <v>34727</v>
      </c>
      <c r="B1802" t="n">
        <v>7.733</v>
      </c>
      <c r="C1802" t="n">
        <v>0.9162</v>
      </c>
    </row>
    <row r="1803">
      <c r="A1803" s="926" t="n">
        <v>34729</v>
      </c>
      <c r="B1803" t="n">
        <v>7.735</v>
      </c>
      <c r="C1803" t="n">
        <v>0.9162</v>
      </c>
    </row>
    <row r="1804">
      <c r="A1804" s="926" t="n">
        <v>34733</v>
      </c>
      <c r="B1804" t="n">
        <v>7.732</v>
      </c>
      <c r="C1804" t="n">
        <v>0.9162</v>
      </c>
    </row>
    <row r="1805">
      <c r="A1805" s="926" t="n">
        <v>34734</v>
      </c>
      <c r="B1805" t="n">
        <v>7.732</v>
      </c>
      <c r="C1805" t="n">
        <v>0.9162</v>
      </c>
    </row>
    <row r="1806">
      <c r="A1806" s="926" t="n">
        <v>34736</v>
      </c>
      <c r="B1806" t="n">
        <v>7.731</v>
      </c>
      <c r="C1806" t="n">
        <v>0.9162</v>
      </c>
    </row>
    <row r="1807">
      <c r="A1807" s="926" t="n">
        <v>34737</v>
      </c>
      <c r="B1807" t="n">
        <v>7.73</v>
      </c>
      <c r="C1807" t="n">
        <v>0.9164</v>
      </c>
    </row>
    <row r="1808">
      <c r="A1808" s="926" t="n">
        <v>34738</v>
      </c>
      <c r="B1808" t="n">
        <v>7.731</v>
      </c>
      <c r="C1808" t="n">
        <v>0.9163</v>
      </c>
    </row>
    <row r="1809">
      <c r="A1809" s="926" t="n">
        <v>34739</v>
      </c>
      <c r="B1809" t="n">
        <v>7.732</v>
      </c>
      <c r="C1809" t="n">
        <v>0.9165</v>
      </c>
    </row>
    <row r="1810">
      <c r="A1810" s="926" t="n">
        <v>34740</v>
      </c>
      <c r="B1810" t="n">
        <v>7.732</v>
      </c>
      <c r="C1810" t="n">
        <v>0.9165</v>
      </c>
    </row>
    <row r="1811">
      <c r="A1811" s="926" t="n">
        <v>34741</v>
      </c>
      <c r="B1811" t="n">
        <v>7.733</v>
      </c>
      <c r="C1811" t="n">
        <v>0.9165</v>
      </c>
    </row>
    <row r="1812">
      <c r="A1812" s="926" t="n">
        <v>34743</v>
      </c>
      <c r="B1812" t="n">
        <v>7.732</v>
      </c>
      <c r="C1812" t="n">
        <v>0.9165</v>
      </c>
    </row>
    <row r="1813">
      <c r="A1813" s="926" t="n">
        <v>34744</v>
      </c>
      <c r="B1813" t="n">
        <v>7.731</v>
      </c>
      <c r="C1813" t="n">
        <v>0.9167999999999999</v>
      </c>
    </row>
    <row r="1814">
      <c r="A1814" s="926" t="n">
        <v>34745</v>
      </c>
      <c r="B1814" t="n">
        <v>7.73</v>
      </c>
      <c r="C1814" t="n">
        <v>0.9165</v>
      </c>
    </row>
    <row r="1815">
      <c r="A1815" s="926" t="n">
        <v>34746</v>
      </c>
      <c r="B1815" t="n">
        <v>7.731</v>
      </c>
      <c r="C1815" t="n">
        <v>0.9165</v>
      </c>
    </row>
    <row r="1816">
      <c r="A1816" s="926" t="n">
        <v>34747</v>
      </c>
      <c r="B1816" t="n">
        <v>7.732</v>
      </c>
      <c r="C1816" t="n">
        <v>0.9165</v>
      </c>
    </row>
    <row r="1817">
      <c r="A1817" s="926" t="n">
        <v>34748</v>
      </c>
      <c r="B1817" t="n">
        <v>7.73</v>
      </c>
      <c r="C1817" t="n">
        <v>0.9165</v>
      </c>
    </row>
    <row r="1818">
      <c r="A1818" s="926" t="n">
        <v>34750</v>
      </c>
      <c r="B1818" t="n">
        <v>7.731</v>
      </c>
      <c r="C1818" t="n">
        <v>0.9165</v>
      </c>
    </row>
    <row r="1819">
      <c r="A1819" s="926" t="n">
        <v>34751</v>
      </c>
      <c r="B1819" t="n">
        <v>7.731</v>
      </c>
      <c r="C1819" t="n">
        <v>0.9166</v>
      </c>
    </row>
    <row r="1820">
      <c r="A1820" s="926" t="n">
        <v>34752</v>
      </c>
      <c r="B1820" t="n">
        <v>7.73</v>
      </c>
      <c r="C1820" t="n">
        <v>0.9167</v>
      </c>
    </row>
    <row r="1821">
      <c r="A1821" s="926" t="n">
        <v>34753</v>
      </c>
      <c r="B1821" t="n">
        <v>7.731</v>
      </c>
      <c r="C1821" t="n">
        <v>0.9167999999999999</v>
      </c>
    </row>
    <row r="1822">
      <c r="A1822" s="926" t="n">
        <v>34754</v>
      </c>
      <c r="B1822" t="n">
        <v>7.731</v>
      </c>
      <c r="C1822" t="n">
        <v>0.9167999999999999</v>
      </c>
    </row>
    <row r="1823">
      <c r="A1823" s="926" t="n">
        <v>34755</v>
      </c>
      <c r="B1823" t="n">
        <v>7.731</v>
      </c>
      <c r="C1823" t="n">
        <v>0.9167999999999999</v>
      </c>
    </row>
    <row r="1824">
      <c r="A1824" s="926" t="n">
        <v>34757</v>
      </c>
      <c r="B1824" t="n">
        <v>7.732</v>
      </c>
      <c r="C1824" t="n">
        <v>0.9167999999999999</v>
      </c>
    </row>
    <row r="1825">
      <c r="A1825" s="926" t="n">
        <v>34758</v>
      </c>
      <c r="B1825" t="n">
        <v>7.732</v>
      </c>
      <c r="C1825" t="n">
        <v>0.9169</v>
      </c>
    </row>
    <row r="1826">
      <c r="A1826" s="926" t="n">
        <v>34759</v>
      </c>
      <c r="B1826" t="n">
        <v>7.732</v>
      </c>
      <c r="C1826" t="n">
        <v>0.917</v>
      </c>
    </row>
    <row r="1827">
      <c r="A1827" s="926" t="n">
        <v>34760</v>
      </c>
      <c r="B1827" t="n">
        <v>7.733</v>
      </c>
      <c r="C1827" t="n">
        <v>0.9172</v>
      </c>
    </row>
    <row r="1828">
      <c r="A1828" s="926" t="n">
        <v>34761</v>
      </c>
      <c r="B1828" t="n">
        <v>7.733</v>
      </c>
      <c r="C1828" t="n">
        <v>0.9172</v>
      </c>
    </row>
    <row r="1829">
      <c r="A1829" s="926" t="n">
        <v>34762</v>
      </c>
      <c r="B1829" t="n">
        <v>7.731</v>
      </c>
      <c r="C1829" t="n">
        <v>0.9173</v>
      </c>
    </row>
    <row r="1830">
      <c r="A1830" s="926" t="n">
        <v>34764</v>
      </c>
      <c r="B1830" t="n">
        <v>7.731</v>
      </c>
      <c r="C1830" t="n">
        <v>0.9173</v>
      </c>
    </row>
    <row r="1831">
      <c r="A1831" s="926" t="n">
        <v>34765</v>
      </c>
      <c r="B1831" t="n">
        <v>7.732</v>
      </c>
      <c r="C1831" t="n">
        <v>0.9174</v>
      </c>
    </row>
    <row r="1832">
      <c r="A1832" s="926" t="n">
        <v>34766</v>
      </c>
      <c r="B1832" t="n">
        <v>7.731</v>
      </c>
      <c r="C1832" t="n">
        <v>0.9174</v>
      </c>
    </row>
    <row r="1833">
      <c r="A1833" s="926" t="n">
        <v>34767</v>
      </c>
      <c r="B1833" t="n">
        <v>7.731</v>
      </c>
      <c r="C1833" t="n">
        <v>0.9175</v>
      </c>
    </row>
    <row r="1834">
      <c r="A1834" s="926" t="n">
        <v>34768</v>
      </c>
      <c r="B1834" t="n">
        <v>7.732</v>
      </c>
      <c r="C1834" t="n">
        <v>0.9175</v>
      </c>
    </row>
    <row r="1835">
      <c r="A1835" s="926" t="n">
        <v>34769</v>
      </c>
      <c r="B1835" t="n">
        <v>7.731</v>
      </c>
      <c r="C1835" t="n">
        <v>0.9175</v>
      </c>
    </row>
    <row r="1836">
      <c r="A1836" s="926" t="n">
        <v>34771</v>
      </c>
      <c r="B1836" t="n">
        <v>7.731</v>
      </c>
      <c r="C1836" t="n">
        <v>0.9175</v>
      </c>
    </row>
    <row r="1837">
      <c r="A1837" s="926" t="n">
        <v>34772</v>
      </c>
      <c r="B1837" t="n">
        <v>7.732</v>
      </c>
      <c r="C1837" t="n">
        <v>0.9175</v>
      </c>
    </row>
    <row r="1838">
      <c r="A1838" s="926" t="n">
        <v>34773</v>
      </c>
      <c r="B1838" t="n">
        <v>7.732</v>
      </c>
      <c r="C1838" t="n">
        <v>0.9175</v>
      </c>
    </row>
    <row r="1839">
      <c r="A1839" s="926" t="n">
        <v>34774</v>
      </c>
      <c r="B1839" t="n">
        <v>7.731</v>
      </c>
      <c r="C1839" t="n">
        <v>0.9175</v>
      </c>
    </row>
    <row r="1840">
      <c r="A1840" s="926" t="n">
        <v>34775</v>
      </c>
      <c r="B1840" t="n">
        <v>7.731</v>
      </c>
      <c r="C1840" t="n">
        <v>0.9174</v>
      </c>
    </row>
    <row r="1841">
      <c r="A1841" s="926" t="n">
        <v>34776</v>
      </c>
      <c r="B1841" t="n">
        <v>7.731</v>
      </c>
      <c r="C1841" t="n">
        <v>0.9174</v>
      </c>
    </row>
    <row r="1842">
      <c r="A1842" s="926" t="n">
        <v>34778</v>
      </c>
      <c r="B1842" t="n">
        <v>7.732</v>
      </c>
      <c r="C1842" t="n">
        <v>0.9174</v>
      </c>
    </row>
    <row r="1843">
      <c r="A1843" s="926" t="n">
        <v>34779</v>
      </c>
      <c r="B1843" t="n">
        <v>7.731</v>
      </c>
      <c r="C1843" t="n">
        <v>0.9176</v>
      </c>
    </row>
    <row r="1844">
      <c r="A1844" s="926" t="n">
        <v>34780</v>
      </c>
      <c r="B1844" t="n">
        <v>7.732</v>
      </c>
      <c r="C1844" t="n">
        <v>0.9175</v>
      </c>
    </row>
    <row r="1845">
      <c r="A1845" s="926" t="n">
        <v>34781</v>
      </c>
      <c r="B1845" t="n">
        <v>7.732</v>
      </c>
      <c r="C1845" t="n">
        <v>0.9175</v>
      </c>
    </row>
    <row r="1846">
      <c r="A1846" s="926" t="n">
        <v>34782</v>
      </c>
      <c r="B1846" t="n">
        <v>7.733</v>
      </c>
      <c r="C1846" t="n">
        <v>0.9175</v>
      </c>
    </row>
    <row r="1847">
      <c r="A1847" s="926" t="n">
        <v>34783</v>
      </c>
      <c r="B1847" t="n">
        <v>7.732</v>
      </c>
      <c r="C1847" t="n">
        <v>0.9174</v>
      </c>
    </row>
    <row r="1848">
      <c r="A1848" s="926" t="n">
        <v>34785</v>
      </c>
      <c r="B1848" t="n">
        <v>7.733</v>
      </c>
      <c r="C1848" t="n">
        <v>0.9174</v>
      </c>
    </row>
    <row r="1849">
      <c r="A1849" s="926" t="n">
        <v>34786</v>
      </c>
      <c r="B1849" t="n">
        <v>7.733</v>
      </c>
      <c r="C1849" t="n">
        <v>0.9175</v>
      </c>
    </row>
    <row r="1850">
      <c r="A1850" s="926" t="n">
        <v>34787</v>
      </c>
      <c r="B1850" t="n">
        <v>7.734</v>
      </c>
      <c r="C1850" t="n">
        <v>0.9176</v>
      </c>
    </row>
    <row r="1851">
      <c r="A1851" s="926" t="n">
        <v>34788</v>
      </c>
      <c r="B1851" t="n">
        <v>7.733</v>
      </c>
      <c r="C1851" t="n">
        <v>0.9176</v>
      </c>
    </row>
    <row r="1852">
      <c r="A1852" s="926" t="n">
        <v>34789</v>
      </c>
      <c r="B1852" t="n">
        <v>7.733</v>
      </c>
      <c r="C1852" t="n">
        <v>0.9177</v>
      </c>
    </row>
    <row r="1853">
      <c r="A1853" s="926" t="n">
        <v>34790</v>
      </c>
      <c r="B1853" t="n">
        <v>7.732</v>
      </c>
      <c r="C1853" t="n">
        <v>0.9176</v>
      </c>
    </row>
    <row r="1854">
      <c r="A1854" s="926" t="n">
        <v>34792</v>
      </c>
      <c r="B1854" t="n">
        <v>7.732</v>
      </c>
      <c r="C1854" t="n">
        <v>0.9176</v>
      </c>
    </row>
    <row r="1855">
      <c r="A1855" s="926" t="n">
        <v>34793</v>
      </c>
      <c r="B1855" t="n">
        <v>7.732</v>
      </c>
      <c r="C1855" t="n">
        <v>0.9177</v>
      </c>
    </row>
    <row r="1856">
      <c r="A1856" s="926" t="n">
        <v>34795</v>
      </c>
      <c r="B1856" t="n">
        <v>7.733</v>
      </c>
      <c r="C1856" t="n">
        <v>0.9177</v>
      </c>
    </row>
    <row r="1857">
      <c r="A1857" s="926" t="n">
        <v>34796</v>
      </c>
      <c r="B1857" t="n">
        <v>7.733</v>
      </c>
      <c r="C1857" t="n">
        <v>0.9177</v>
      </c>
    </row>
    <row r="1858">
      <c r="A1858" s="926" t="n">
        <v>34797</v>
      </c>
      <c r="B1858" t="n">
        <v>7.732</v>
      </c>
      <c r="C1858" t="n">
        <v>0.9177999999999999</v>
      </c>
    </row>
    <row r="1859">
      <c r="A1859" s="926" t="n">
        <v>34799</v>
      </c>
      <c r="B1859" t="n">
        <v>7.732</v>
      </c>
      <c r="C1859" t="n">
        <v>0.9177999999999999</v>
      </c>
    </row>
    <row r="1860">
      <c r="A1860" s="926" t="n">
        <v>34800</v>
      </c>
      <c r="B1860" t="n">
        <v>7.733</v>
      </c>
      <c r="C1860" t="n">
        <v>0.9177</v>
      </c>
    </row>
    <row r="1861">
      <c r="A1861" s="926" t="n">
        <v>34801</v>
      </c>
      <c r="B1861" t="n">
        <v>7.733</v>
      </c>
      <c r="C1861" t="n">
        <v>0.9177999999999999</v>
      </c>
    </row>
    <row r="1862">
      <c r="A1862" s="926" t="n">
        <v>34802</v>
      </c>
      <c r="B1862" t="n">
        <v>7.733</v>
      </c>
      <c r="C1862" t="n">
        <v>0.918</v>
      </c>
    </row>
    <row r="1863">
      <c r="A1863" s="926" t="n">
        <v>34807</v>
      </c>
      <c r="B1863" t="n">
        <v>7.732</v>
      </c>
      <c r="C1863" t="n">
        <v>0.918</v>
      </c>
    </row>
    <row r="1864">
      <c r="A1864" s="926" t="n">
        <v>34808</v>
      </c>
      <c r="B1864" t="n">
        <v>7.732</v>
      </c>
      <c r="C1864" t="n">
        <v>0.9179</v>
      </c>
    </row>
    <row r="1865">
      <c r="A1865" s="926" t="n">
        <v>34809</v>
      </c>
      <c r="B1865" t="n">
        <v>7.731</v>
      </c>
      <c r="C1865" t="n">
        <v>0.9177999999999999</v>
      </c>
    </row>
    <row r="1866">
      <c r="A1866" s="926" t="n">
        <v>34810</v>
      </c>
      <c r="B1866" t="n">
        <v>7.732</v>
      </c>
      <c r="C1866" t="n">
        <v>0.9179</v>
      </c>
    </row>
    <row r="1867">
      <c r="A1867" s="926" t="n">
        <v>34811</v>
      </c>
      <c r="B1867" t="n">
        <v>7.733</v>
      </c>
      <c r="C1867" t="n">
        <v>0.9179</v>
      </c>
    </row>
    <row r="1868">
      <c r="A1868" s="926" t="n">
        <v>34813</v>
      </c>
      <c r="B1868" t="n">
        <v>7.735</v>
      </c>
      <c r="C1868" t="n">
        <v>0.9179</v>
      </c>
    </row>
    <row r="1869">
      <c r="A1869" s="926" t="n">
        <v>34814</v>
      </c>
      <c r="B1869" t="n">
        <v>7.736</v>
      </c>
      <c r="C1869" t="n">
        <v>0.9177999999999999</v>
      </c>
    </row>
    <row r="1870">
      <c r="A1870" s="926" t="n">
        <v>34815</v>
      </c>
      <c r="B1870" t="n">
        <v>7.738</v>
      </c>
      <c r="C1870" t="n">
        <v>0.9179</v>
      </c>
    </row>
    <row r="1871">
      <c r="A1871" s="926" t="n">
        <v>34816</v>
      </c>
      <c r="B1871" t="n">
        <v>7.734</v>
      </c>
      <c r="C1871" t="n">
        <v>0.919</v>
      </c>
    </row>
    <row r="1872">
      <c r="A1872" s="926" t="n">
        <v>34817</v>
      </c>
      <c r="B1872" t="n">
        <v>7.737</v>
      </c>
      <c r="C1872" t="n">
        <v>0.9197</v>
      </c>
    </row>
    <row r="1873">
      <c r="A1873" s="926" t="n">
        <v>34818</v>
      </c>
      <c r="B1873" t="n">
        <v>7.742</v>
      </c>
      <c r="C1873" t="n">
        <v>0.9197</v>
      </c>
    </row>
    <row r="1874">
      <c r="A1874" s="926" t="n">
        <v>34820</v>
      </c>
      <c r="B1874" t="n">
        <v>7.738</v>
      </c>
      <c r="C1874" t="n">
        <v>0.9197</v>
      </c>
    </row>
    <row r="1875">
      <c r="A1875" s="926" t="n">
        <v>34821</v>
      </c>
      <c r="B1875" t="n">
        <v>7.737</v>
      </c>
      <c r="C1875" t="n">
        <v>0.9202</v>
      </c>
    </row>
    <row r="1876">
      <c r="A1876" s="926" t="n">
        <v>34822</v>
      </c>
      <c r="B1876" t="n">
        <v>7.735</v>
      </c>
      <c r="C1876" t="n">
        <v>0.9219000000000001</v>
      </c>
    </row>
    <row r="1877">
      <c r="A1877" s="926" t="n">
        <v>34823</v>
      </c>
      <c r="B1877" t="n">
        <v>7.734</v>
      </c>
      <c r="C1877" t="n">
        <v>0.9248</v>
      </c>
    </row>
    <row r="1878">
      <c r="A1878" s="926" t="n">
        <v>34824</v>
      </c>
      <c r="B1878" t="n">
        <v>7.734</v>
      </c>
      <c r="C1878" t="n">
        <v>0.9242</v>
      </c>
    </row>
    <row r="1879">
      <c r="A1879" s="926" t="n">
        <v>34825</v>
      </c>
      <c r="B1879" t="n">
        <v>7.735</v>
      </c>
      <c r="C1879" t="n">
        <v>0.9242</v>
      </c>
    </row>
    <row r="1880">
      <c r="A1880" s="926" t="n">
        <v>34827</v>
      </c>
      <c r="B1880" t="n">
        <v>7.734</v>
      </c>
      <c r="C1880" t="n">
        <v>0.9263</v>
      </c>
    </row>
    <row r="1881">
      <c r="A1881" s="926" t="n">
        <v>34828</v>
      </c>
      <c r="B1881" t="n">
        <v>7.734</v>
      </c>
      <c r="C1881" t="n">
        <v>0.9276</v>
      </c>
    </row>
    <row r="1882">
      <c r="A1882" s="926" t="n">
        <v>34829</v>
      </c>
      <c r="B1882" t="n">
        <v>7.735</v>
      </c>
      <c r="C1882" t="n">
        <v>0.9297</v>
      </c>
    </row>
    <row r="1883">
      <c r="A1883" s="926" t="n">
        <v>34830</v>
      </c>
      <c r="B1883" t="n">
        <v>7.735</v>
      </c>
      <c r="C1883" t="n">
        <v>0.9298999999999999</v>
      </c>
    </row>
    <row r="1884">
      <c r="A1884" s="926" t="n">
        <v>34831</v>
      </c>
      <c r="B1884" t="n">
        <v>7.738</v>
      </c>
      <c r="C1884" t="n">
        <v>0.9322</v>
      </c>
    </row>
    <row r="1885">
      <c r="A1885" s="926" t="n">
        <v>34832</v>
      </c>
      <c r="B1885" t="n">
        <v>7.734</v>
      </c>
      <c r="C1885" t="n">
        <v>0.9322</v>
      </c>
    </row>
    <row r="1886">
      <c r="A1886" s="926" t="n">
        <v>34834</v>
      </c>
      <c r="B1886" t="n">
        <v>7.735</v>
      </c>
      <c r="C1886" t="n">
        <v>0.9331</v>
      </c>
    </row>
    <row r="1887">
      <c r="A1887" s="926" t="n">
        <v>34835</v>
      </c>
      <c r="B1887" t="n">
        <v>7.733</v>
      </c>
      <c r="C1887" t="n">
        <v>0.9355</v>
      </c>
    </row>
    <row r="1888">
      <c r="A1888" s="926" t="n">
        <v>34836</v>
      </c>
      <c r="B1888" t="n">
        <v>7.735</v>
      </c>
      <c r="C1888" t="n">
        <v>0.9341</v>
      </c>
    </row>
    <row r="1889">
      <c r="A1889" s="926" t="n">
        <v>34837</v>
      </c>
      <c r="B1889" t="n">
        <v>7.735</v>
      </c>
      <c r="C1889" t="n">
        <v>0.9330000000000001</v>
      </c>
    </row>
    <row r="1890">
      <c r="A1890" s="926" t="n">
        <v>34838</v>
      </c>
      <c r="B1890" t="n">
        <v>7.736</v>
      </c>
      <c r="C1890" t="n">
        <v>0.9328</v>
      </c>
    </row>
    <row r="1891">
      <c r="A1891" s="926" t="n">
        <v>34839</v>
      </c>
      <c r="B1891" t="n">
        <v>7.738</v>
      </c>
      <c r="C1891" t="n">
        <v>0.9328</v>
      </c>
    </row>
    <row r="1892">
      <c r="A1892" s="926" t="n">
        <v>34841</v>
      </c>
      <c r="B1892" t="n">
        <v>7.737</v>
      </c>
      <c r="C1892" t="n">
        <v>0.9315</v>
      </c>
    </row>
    <row r="1893">
      <c r="A1893" s="926" t="n">
        <v>34842</v>
      </c>
      <c r="B1893" t="n">
        <v>7.734</v>
      </c>
      <c r="C1893" t="n">
        <v>0.9316</v>
      </c>
    </row>
    <row r="1894">
      <c r="A1894" s="926" t="n">
        <v>34843</v>
      </c>
      <c r="B1894" t="n">
        <v>7.735</v>
      </c>
      <c r="C1894" t="n">
        <v>0.9311</v>
      </c>
    </row>
    <row r="1895">
      <c r="A1895" s="926" t="n">
        <v>34844</v>
      </c>
      <c r="B1895" t="n">
        <v>7.735</v>
      </c>
      <c r="C1895" t="n">
        <v>0.9311</v>
      </c>
    </row>
    <row r="1896">
      <c r="A1896" s="926" t="n">
        <v>34845</v>
      </c>
      <c r="B1896" t="n">
        <v>7.736</v>
      </c>
      <c r="C1896" t="n">
        <v>0.9313</v>
      </c>
    </row>
    <row r="1897">
      <c r="A1897" s="926" t="n">
        <v>34846</v>
      </c>
      <c r="B1897" t="n">
        <v>7.735</v>
      </c>
      <c r="C1897" t="n">
        <v>0.9313</v>
      </c>
    </row>
    <row r="1898">
      <c r="A1898" s="926" t="n">
        <v>34848</v>
      </c>
      <c r="B1898" t="n">
        <v>7.735</v>
      </c>
      <c r="C1898" t="n">
        <v>0.9308</v>
      </c>
    </row>
    <row r="1899">
      <c r="A1899" s="926" t="n">
        <v>34849</v>
      </c>
      <c r="B1899" t="n">
        <v>7.735</v>
      </c>
      <c r="C1899" t="n">
        <v>0.9304</v>
      </c>
    </row>
    <row r="1900">
      <c r="A1900" s="926" t="n">
        <v>34850</v>
      </c>
      <c r="B1900" t="n">
        <v>7.736</v>
      </c>
      <c r="C1900" t="n">
        <v>0.9298999999999999</v>
      </c>
    </row>
    <row r="1901">
      <c r="A1901" s="926" t="n">
        <v>34851</v>
      </c>
      <c r="B1901" t="n">
        <v>7.736</v>
      </c>
      <c r="C1901" t="n">
        <v>0.9305</v>
      </c>
    </row>
    <row r="1902">
      <c r="A1902" s="926" t="n">
        <v>34853</v>
      </c>
      <c r="B1902" t="n">
        <v>7.735</v>
      </c>
      <c r="C1902" t="n">
        <v>0.9308</v>
      </c>
    </row>
    <row r="1903">
      <c r="A1903" s="926" t="n">
        <v>34855</v>
      </c>
      <c r="B1903" t="n">
        <v>7.735</v>
      </c>
      <c r="C1903" t="n">
        <v>0.9314</v>
      </c>
    </row>
    <row r="1904">
      <c r="A1904" s="926" t="n">
        <v>34856</v>
      </c>
      <c r="B1904" t="n">
        <v>7.736</v>
      </c>
      <c r="C1904" t="n">
        <v>0.9325</v>
      </c>
    </row>
    <row r="1905">
      <c r="A1905" s="926" t="n">
        <v>34857</v>
      </c>
      <c r="B1905" t="n">
        <v>7.734</v>
      </c>
      <c r="C1905" t="n">
        <v>0.9308</v>
      </c>
    </row>
    <row r="1906">
      <c r="A1906" s="926" t="n">
        <v>34858</v>
      </c>
      <c r="B1906" t="n">
        <v>7.735</v>
      </c>
      <c r="C1906" t="n">
        <v>0.9312</v>
      </c>
    </row>
    <row r="1907">
      <c r="A1907" s="926" t="n">
        <v>34859</v>
      </c>
      <c r="B1907" t="n">
        <v>7.734</v>
      </c>
      <c r="C1907" t="n">
        <v>0.9321</v>
      </c>
    </row>
    <row r="1908">
      <c r="A1908" s="926" t="n">
        <v>34860</v>
      </c>
      <c r="B1908" t="n">
        <v>7.734</v>
      </c>
      <c r="C1908" t="n">
        <v>0.9321</v>
      </c>
    </row>
    <row r="1909">
      <c r="A1909" s="926" t="n">
        <v>34862</v>
      </c>
      <c r="B1909" t="n">
        <v>7.734</v>
      </c>
      <c r="C1909" t="n">
        <v>0.9317</v>
      </c>
    </row>
    <row r="1910">
      <c r="A1910" s="926" t="n">
        <v>34863</v>
      </c>
      <c r="B1910" t="n">
        <v>7.734</v>
      </c>
      <c r="C1910" t="n">
        <v>0.9315</v>
      </c>
    </row>
    <row r="1911">
      <c r="A1911" s="926" t="n">
        <v>34864</v>
      </c>
      <c r="B1911" t="n">
        <v>7.735</v>
      </c>
      <c r="C1911" t="n">
        <v>0.9315</v>
      </c>
    </row>
    <row r="1912">
      <c r="A1912" s="926" t="n">
        <v>34865</v>
      </c>
      <c r="B1912" t="n">
        <v>7.735</v>
      </c>
      <c r="C1912" t="n">
        <v>0.9313</v>
      </c>
    </row>
    <row r="1913">
      <c r="A1913" s="926" t="n">
        <v>34866</v>
      </c>
      <c r="B1913" t="n">
        <v>7.735</v>
      </c>
      <c r="C1913" t="n">
        <v>0.931</v>
      </c>
    </row>
    <row r="1914">
      <c r="A1914" s="926" t="n">
        <v>34870</v>
      </c>
      <c r="B1914" t="n">
        <v>7.735</v>
      </c>
      <c r="C1914" t="n">
        <v>0.9313</v>
      </c>
    </row>
    <row r="1915">
      <c r="A1915" s="926" t="n">
        <v>34871</v>
      </c>
      <c r="B1915" t="n">
        <v>7.735</v>
      </c>
      <c r="C1915" t="n">
        <v>0.9313</v>
      </c>
    </row>
    <row r="1916">
      <c r="A1916" s="926" t="n">
        <v>34872</v>
      </c>
      <c r="B1916" t="n">
        <v>7.735</v>
      </c>
      <c r="C1916" t="n">
        <v>0.9314</v>
      </c>
    </row>
    <row r="1917">
      <c r="A1917" s="926" t="n">
        <v>34873</v>
      </c>
      <c r="B1917" t="n">
        <v>7.736</v>
      </c>
      <c r="C1917" t="n">
        <v>0.9312</v>
      </c>
    </row>
    <row r="1918">
      <c r="A1918" s="926" t="n">
        <v>34874</v>
      </c>
      <c r="B1918" t="n">
        <v>7.736</v>
      </c>
      <c r="C1918" t="n">
        <v>0.9312</v>
      </c>
    </row>
    <row r="1919">
      <c r="A1919" s="926" t="n">
        <v>34876</v>
      </c>
      <c r="B1919" t="n">
        <v>7.736</v>
      </c>
      <c r="C1919" t="n">
        <v>0.9318</v>
      </c>
    </row>
    <row r="1920">
      <c r="A1920" s="926" t="n">
        <v>34877</v>
      </c>
      <c r="B1920" t="n">
        <v>7.736</v>
      </c>
      <c r="C1920" t="n">
        <v>0.9316</v>
      </c>
    </row>
    <row r="1921">
      <c r="A1921" s="926" t="n">
        <v>34878</v>
      </c>
      <c r="B1921" t="n">
        <v>7.737</v>
      </c>
      <c r="C1921" t="n">
        <v>0.9320000000000001</v>
      </c>
    </row>
    <row r="1922">
      <c r="A1922" s="926" t="n">
        <v>34879</v>
      </c>
      <c r="B1922" t="n">
        <v>7.739</v>
      </c>
      <c r="C1922" t="n">
        <v>0.9328</v>
      </c>
    </row>
    <row r="1923">
      <c r="A1923" s="926" t="n">
        <v>34880</v>
      </c>
      <c r="B1923" t="n">
        <v>7.738</v>
      </c>
      <c r="C1923" t="n">
        <v>0.9320000000000001</v>
      </c>
    </row>
    <row r="1924">
      <c r="A1924" s="926" t="n">
        <v>34881</v>
      </c>
      <c r="B1924" t="n">
        <v>7.738</v>
      </c>
      <c r="C1924" t="n">
        <v>0.9320000000000001</v>
      </c>
    </row>
    <row r="1925">
      <c r="A1925" s="926" t="n">
        <v>34883</v>
      </c>
      <c r="B1925" t="n">
        <v>7.738</v>
      </c>
      <c r="C1925" t="n">
        <v>0.9324</v>
      </c>
    </row>
    <row r="1926">
      <c r="A1926" s="926" t="n">
        <v>34884</v>
      </c>
      <c r="B1926" t="n">
        <v>7.739</v>
      </c>
      <c r="C1926" t="n">
        <v>0.9328</v>
      </c>
    </row>
    <row r="1927">
      <c r="A1927" s="926" t="n">
        <v>34885</v>
      </c>
      <c r="B1927" t="n">
        <v>7.741</v>
      </c>
      <c r="C1927" t="n">
        <v>0.9316</v>
      </c>
    </row>
    <row r="1928">
      <c r="A1928" s="926" t="n">
        <v>34886</v>
      </c>
      <c r="B1928" t="n">
        <v>7.74</v>
      </c>
      <c r="C1928" t="n">
        <v>0.9314</v>
      </c>
    </row>
    <row r="1929">
      <c r="A1929" s="926" t="n">
        <v>34887</v>
      </c>
      <c r="B1929" t="n">
        <v>7.74</v>
      </c>
      <c r="C1929" t="n">
        <v>0.9316</v>
      </c>
    </row>
    <row r="1930">
      <c r="A1930" s="926" t="n">
        <v>34888</v>
      </c>
      <c r="B1930" t="n">
        <v>7.74</v>
      </c>
      <c r="C1930" t="n">
        <v>0.9316</v>
      </c>
    </row>
    <row r="1931">
      <c r="A1931" s="926" t="n">
        <v>34890</v>
      </c>
      <c r="B1931" t="n">
        <v>7.74</v>
      </c>
      <c r="C1931" t="n">
        <v>0.9315</v>
      </c>
    </row>
    <row r="1932">
      <c r="A1932" s="926" t="n">
        <v>34891</v>
      </c>
      <c r="B1932" t="n">
        <v>7.741</v>
      </c>
      <c r="C1932" t="n">
        <v>0.9314</v>
      </c>
    </row>
    <row r="1933">
      <c r="A1933" s="926" t="n">
        <v>34892</v>
      </c>
      <c r="B1933" t="n">
        <v>7.743</v>
      </c>
      <c r="C1933" t="n">
        <v>0.9325</v>
      </c>
    </row>
    <row r="1934">
      <c r="A1934" s="926" t="n">
        <v>34893</v>
      </c>
      <c r="B1934" t="n">
        <v>7.741</v>
      </c>
      <c r="C1934" t="n">
        <v>0.9328</v>
      </c>
    </row>
    <row r="1935">
      <c r="A1935" s="926" t="n">
        <v>34894</v>
      </c>
      <c r="B1935" t="n">
        <v>7.737</v>
      </c>
      <c r="C1935" t="n">
        <v>0.9335</v>
      </c>
    </row>
    <row r="1936">
      <c r="A1936" s="926" t="n">
        <v>34895</v>
      </c>
      <c r="B1936" t="n">
        <v>7.737</v>
      </c>
      <c r="C1936" t="n">
        <v>0.9335</v>
      </c>
    </row>
    <row r="1937">
      <c r="A1937" s="926" t="n">
        <v>34897</v>
      </c>
      <c r="B1937" t="n">
        <v>7.738</v>
      </c>
      <c r="C1937" t="n">
        <v>0.9328</v>
      </c>
    </row>
    <row r="1938">
      <c r="A1938" s="926" t="n">
        <v>34898</v>
      </c>
      <c r="B1938" t="n">
        <v>7.737</v>
      </c>
      <c r="C1938" t="n">
        <v>0.9334</v>
      </c>
    </row>
    <row r="1939">
      <c r="A1939" s="926" t="n">
        <v>34899</v>
      </c>
      <c r="B1939" t="n">
        <v>7.737</v>
      </c>
      <c r="C1939" t="n">
        <v>0.9331</v>
      </c>
    </row>
    <row r="1940">
      <c r="A1940" s="926" t="n">
        <v>34900</v>
      </c>
      <c r="B1940" t="n">
        <v>7.736</v>
      </c>
      <c r="C1940" t="n">
        <v>0.9332</v>
      </c>
    </row>
    <row r="1941">
      <c r="A1941" s="926" t="n">
        <v>34901</v>
      </c>
      <c r="B1941" t="n">
        <v>7.737</v>
      </c>
      <c r="C1941" t="n">
        <v>0.9334</v>
      </c>
    </row>
    <row r="1942">
      <c r="A1942" s="926" t="n">
        <v>34902</v>
      </c>
      <c r="B1942" t="n">
        <v>7.737</v>
      </c>
      <c r="C1942" t="n">
        <v>0.9334</v>
      </c>
    </row>
    <row r="1943">
      <c r="A1943" s="926" t="n">
        <v>34904</v>
      </c>
      <c r="B1943" t="n">
        <v>7.736</v>
      </c>
      <c r="C1943" t="n">
        <v>0.9334</v>
      </c>
    </row>
    <row r="1944">
      <c r="A1944" s="926" t="n">
        <v>34905</v>
      </c>
      <c r="B1944" t="n">
        <v>7.736</v>
      </c>
      <c r="C1944" t="n">
        <v>0.9332</v>
      </c>
    </row>
    <row r="1945">
      <c r="A1945" s="926" t="n">
        <v>34906</v>
      </c>
      <c r="B1945" t="n">
        <v>7.738</v>
      </c>
      <c r="C1945" t="n">
        <v>0.9334</v>
      </c>
    </row>
    <row r="1946">
      <c r="A1946" s="926" t="n">
        <v>34907</v>
      </c>
      <c r="B1946" t="n">
        <v>7.737</v>
      </c>
      <c r="C1946" t="n">
        <v>0.9334</v>
      </c>
    </row>
    <row r="1947">
      <c r="A1947" s="926" t="n">
        <v>34908</v>
      </c>
      <c r="B1947" t="n">
        <v>7.738</v>
      </c>
      <c r="C1947" t="n">
        <v>0.9331</v>
      </c>
    </row>
    <row r="1948">
      <c r="A1948" s="926" t="n">
        <v>34909</v>
      </c>
      <c r="B1948" t="n">
        <v>7.738</v>
      </c>
      <c r="C1948" t="n">
        <v>0.9331</v>
      </c>
    </row>
    <row r="1949">
      <c r="A1949" s="926" t="n">
        <v>34911</v>
      </c>
      <c r="B1949" t="n">
        <v>7.738</v>
      </c>
      <c r="C1949" t="n">
        <v>0.9333</v>
      </c>
    </row>
    <row r="1950">
      <c r="A1950" s="926" t="n">
        <v>34913</v>
      </c>
      <c r="B1950" t="n">
        <v>7.738</v>
      </c>
      <c r="C1950" t="n">
        <v>0.9330000000000001</v>
      </c>
    </row>
    <row r="1951">
      <c r="A1951" s="926" t="n">
        <v>34914</v>
      </c>
      <c r="B1951" t="n">
        <v>7.739</v>
      </c>
      <c r="C1951" t="n">
        <v>0.9333</v>
      </c>
    </row>
    <row r="1952">
      <c r="A1952" s="926" t="n">
        <v>34915</v>
      </c>
      <c r="B1952" t="n">
        <v>7.74</v>
      </c>
      <c r="C1952" t="n">
        <v>0.9329</v>
      </c>
    </row>
    <row r="1953">
      <c r="A1953" s="926" t="n">
        <v>34916</v>
      </c>
      <c r="B1953" t="n">
        <v>7.739</v>
      </c>
      <c r="C1953" t="n">
        <v>0.9329</v>
      </c>
    </row>
    <row r="1954">
      <c r="A1954" s="926" t="n">
        <v>34918</v>
      </c>
      <c r="B1954" t="n">
        <v>7.739</v>
      </c>
      <c r="C1954" t="n">
        <v>0.9330000000000001</v>
      </c>
    </row>
    <row r="1955">
      <c r="A1955" s="926" t="n">
        <v>34919</v>
      </c>
      <c r="B1955" t="n">
        <v>7.738</v>
      </c>
      <c r="C1955" t="n">
        <v>0.9331</v>
      </c>
    </row>
    <row r="1956">
      <c r="A1956" s="926" t="n">
        <v>34920</v>
      </c>
      <c r="B1956" t="n">
        <v>7.74</v>
      </c>
      <c r="C1956" t="n">
        <v>0.9331</v>
      </c>
    </row>
    <row r="1957">
      <c r="A1957" s="926" t="n">
        <v>34921</v>
      </c>
      <c r="B1957" t="n">
        <v>7.741</v>
      </c>
      <c r="C1957" t="n">
        <v>0.9329</v>
      </c>
    </row>
    <row r="1958">
      <c r="A1958" s="926" t="n">
        <v>34922</v>
      </c>
      <c r="B1958" t="n">
        <v>7.742</v>
      </c>
      <c r="C1958" t="n">
        <v>0.9329</v>
      </c>
    </row>
    <row r="1959">
      <c r="A1959" s="926" t="n">
        <v>34925</v>
      </c>
      <c r="B1959" t="n">
        <v>7.741</v>
      </c>
      <c r="C1959" t="n">
        <v>0.9331</v>
      </c>
    </row>
    <row r="1960">
      <c r="A1960" s="926" t="n">
        <v>34926</v>
      </c>
      <c r="B1960" t="n">
        <v>7.742</v>
      </c>
      <c r="C1960" t="n">
        <v>0.9326</v>
      </c>
    </row>
    <row r="1961">
      <c r="A1961" s="926" t="n">
        <v>34927</v>
      </c>
      <c r="B1961" t="n">
        <v>7.744</v>
      </c>
      <c r="C1961" t="n">
        <v>0.9325</v>
      </c>
    </row>
    <row r="1962">
      <c r="A1962" s="926" t="n">
        <v>34928</v>
      </c>
      <c r="B1962" t="n">
        <v>7.743</v>
      </c>
      <c r="C1962" t="n">
        <v>0.9325</v>
      </c>
    </row>
    <row r="1963">
      <c r="A1963" s="926" t="n">
        <v>34929</v>
      </c>
      <c r="B1963" t="n">
        <v>7.745</v>
      </c>
      <c r="C1963" t="n">
        <v>0.9321</v>
      </c>
    </row>
    <row r="1964">
      <c r="A1964" s="926" t="n">
        <v>34930</v>
      </c>
      <c r="B1964" t="n">
        <v>7.744</v>
      </c>
      <c r="C1964" t="n">
        <v>0.9321</v>
      </c>
    </row>
    <row r="1965">
      <c r="A1965" s="926" t="n">
        <v>34932</v>
      </c>
      <c r="B1965" t="n">
        <v>7.744</v>
      </c>
      <c r="C1965" t="n">
        <v>0.9319</v>
      </c>
    </row>
    <row r="1966">
      <c r="A1966" s="926" t="n">
        <v>34933</v>
      </c>
      <c r="B1966" t="n">
        <v>7.743</v>
      </c>
      <c r="C1966" t="n">
        <v>0.9320000000000001</v>
      </c>
    </row>
    <row r="1967">
      <c r="A1967" s="926" t="n">
        <v>34934</v>
      </c>
      <c r="B1967" t="n">
        <v>7.745</v>
      </c>
      <c r="C1967" t="n">
        <v>0.9321</v>
      </c>
    </row>
    <row r="1968">
      <c r="A1968" s="926" t="n">
        <v>34935</v>
      </c>
      <c r="B1968" t="n">
        <v>7.745</v>
      </c>
      <c r="C1968" t="n">
        <v>0.9321</v>
      </c>
    </row>
    <row r="1969">
      <c r="A1969" s="926" t="n">
        <v>34936</v>
      </c>
      <c r="B1969" t="n">
        <v>7.743</v>
      </c>
      <c r="C1969" t="n">
        <v>0.9319</v>
      </c>
    </row>
    <row r="1970">
      <c r="A1970" s="926" t="n">
        <v>34940</v>
      </c>
      <c r="B1970" t="n">
        <v>7.743</v>
      </c>
      <c r="C1970" t="n">
        <v>0.9315</v>
      </c>
    </row>
    <row r="1971">
      <c r="A1971" s="926" t="n">
        <v>34941</v>
      </c>
      <c r="B1971" t="n">
        <v>7.742</v>
      </c>
      <c r="C1971" t="n">
        <v>0.9314</v>
      </c>
    </row>
    <row r="1972">
      <c r="A1972" s="926" t="n">
        <v>34943</v>
      </c>
      <c r="B1972" t="n">
        <v>7.741</v>
      </c>
      <c r="C1972" t="n">
        <v>0.9308999999999999</v>
      </c>
    </row>
    <row r="1973">
      <c r="A1973" s="926" t="n">
        <v>34944</v>
      </c>
      <c r="B1973" t="n">
        <v>7.74</v>
      </c>
      <c r="C1973" t="n">
        <v>0.9308999999999999</v>
      </c>
    </row>
    <row r="1974">
      <c r="A1974" s="926" t="n">
        <v>34946</v>
      </c>
      <c r="B1974" t="n">
        <v>7.74</v>
      </c>
      <c r="C1974" t="n">
        <v>0.9308</v>
      </c>
    </row>
    <row r="1975">
      <c r="A1975" s="926" t="n">
        <v>34947</v>
      </c>
      <c r="B1975" t="n">
        <v>7.741</v>
      </c>
      <c r="C1975" t="n">
        <v>0.9308</v>
      </c>
    </row>
    <row r="1976">
      <c r="A1976" s="926" t="n">
        <v>34948</v>
      </c>
      <c r="B1976" t="n">
        <v>7.743</v>
      </c>
      <c r="C1976" t="n">
        <v>0.9312</v>
      </c>
    </row>
    <row r="1977">
      <c r="A1977" s="926" t="n">
        <v>34949</v>
      </c>
      <c r="B1977" t="n">
        <v>7.742</v>
      </c>
      <c r="C1977" t="n">
        <v>0.9314</v>
      </c>
    </row>
    <row r="1978">
      <c r="A1978" s="926" t="n">
        <v>34950</v>
      </c>
      <c r="B1978" t="n">
        <v>7.742</v>
      </c>
      <c r="C1978" t="n">
        <v>0.9316</v>
      </c>
    </row>
    <row r="1979">
      <c r="A1979" s="926" t="n">
        <v>34953</v>
      </c>
      <c r="B1979" t="n">
        <v>7.741</v>
      </c>
      <c r="C1979" t="n">
        <v>0.9313</v>
      </c>
    </row>
    <row r="1980">
      <c r="A1980" s="926" t="n">
        <v>34954</v>
      </c>
      <c r="B1980" t="n">
        <v>7.739</v>
      </c>
      <c r="C1980" t="n">
        <v>0.9306</v>
      </c>
    </row>
    <row r="1981">
      <c r="A1981" s="926" t="n">
        <v>34955</v>
      </c>
      <c r="B1981" t="n">
        <v>7.738</v>
      </c>
      <c r="C1981" t="n">
        <v>0.931</v>
      </c>
    </row>
    <row r="1982">
      <c r="A1982" s="926" t="n">
        <v>34956</v>
      </c>
      <c r="B1982" t="n">
        <v>7.738</v>
      </c>
      <c r="C1982" t="n">
        <v>0.9307</v>
      </c>
    </row>
    <row r="1983">
      <c r="A1983" s="926" t="n">
        <v>34957</v>
      </c>
      <c r="B1983" t="n">
        <v>7.739</v>
      </c>
      <c r="C1983" t="n">
        <v>0.9303</v>
      </c>
    </row>
    <row r="1984">
      <c r="A1984" s="926" t="n">
        <v>34958</v>
      </c>
      <c r="B1984" t="n">
        <v>7.736</v>
      </c>
      <c r="C1984" t="n">
        <v>0.9303</v>
      </c>
    </row>
    <row r="1985">
      <c r="A1985" s="926" t="n">
        <v>34960</v>
      </c>
      <c r="B1985" t="n">
        <v>7.737</v>
      </c>
      <c r="C1985" t="n">
        <v>0.9303</v>
      </c>
    </row>
    <row r="1986">
      <c r="A1986" s="926" t="n">
        <v>34961</v>
      </c>
      <c r="B1986" t="n">
        <v>7.737</v>
      </c>
      <c r="C1986" t="n">
        <v>0.9302</v>
      </c>
    </row>
    <row r="1987">
      <c r="A1987" s="926" t="n">
        <v>34962</v>
      </c>
      <c r="B1987" t="n">
        <v>7.738</v>
      </c>
      <c r="C1987" t="n">
        <v>0.9302</v>
      </c>
    </row>
    <row r="1988">
      <c r="A1988" s="926" t="n">
        <v>34963</v>
      </c>
      <c r="B1988" t="n">
        <v>7.736</v>
      </c>
      <c r="C1988" t="n">
        <v>0.9302</v>
      </c>
    </row>
    <row r="1989">
      <c r="A1989" s="926" t="n">
        <v>34964</v>
      </c>
      <c r="B1989" t="n">
        <v>7.732</v>
      </c>
      <c r="C1989" t="n">
        <v>0.9303</v>
      </c>
    </row>
    <row r="1990">
      <c r="A1990" s="926" t="n">
        <v>34965</v>
      </c>
      <c r="B1990" t="n">
        <v>7.73</v>
      </c>
      <c r="C1990" t="n">
        <v>0.9303</v>
      </c>
    </row>
    <row r="1991">
      <c r="A1991" s="926" t="n">
        <v>34967</v>
      </c>
      <c r="B1991" t="n">
        <v>7.731</v>
      </c>
      <c r="C1991" t="n">
        <v>0.9295</v>
      </c>
    </row>
    <row r="1992">
      <c r="A1992" s="926" t="n">
        <v>34968</v>
      </c>
      <c r="B1992" t="n">
        <v>7.732</v>
      </c>
      <c r="C1992" t="n">
        <v>0.929</v>
      </c>
    </row>
    <row r="1993">
      <c r="A1993" s="926" t="n">
        <v>34969</v>
      </c>
      <c r="B1993" t="n">
        <v>7.731</v>
      </c>
      <c r="C1993" t="n">
        <v>0.9291</v>
      </c>
    </row>
    <row r="1994">
      <c r="A1994" s="926" t="n">
        <v>34970</v>
      </c>
      <c r="B1994" t="n">
        <v>7.733</v>
      </c>
      <c r="C1994" t="n">
        <v>0.9286</v>
      </c>
    </row>
    <row r="1995">
      <c r="A1995" s="926" t="n">
        <v>34971</v>
      </c>
      <c r="B1995" t="n">
        <v>7.73</v>
      </c>
      <c r="C1995" t="n">
        <v>0.9293</v>
      </c>
    </row>
    <row r="1996">
      <c r="A1996" s="926" t="n">
        <v>34972</v>
      </c>
      <c r="B1996" t="n">
        <v>7.732</v>
      </c>
      <c r="C1996" t="n">
        <v>0.9293</v>
      </c>
    </row>
    <row r="1997">
      <c r="A1997" s="926" t="n">
        <v>34974</v>
      </c>
      <c r="B1997" t="n">
        <v>7.732</v>
      </c>
      <c r="C1997" t="n">
        <v>0.9293</v>
      </c>
    </row>
    <row r="1998">
      <c r="A1998" s="926" t="n">
        <v>34975</v>
      </c>
      <c r="B1998" t="n">
        <v>7.731</v>
      </c>
      <c r="C1998" t="n">
        <v>0.9293</v>
      </c>
    </row>
    <row r="1999">
      <c r="A1999" s="926" t="n">
        <v>34976</v>
      </c>
      <c r="B1999" t="n">
        <v>7.731</v>
      </c>
      <c r="C1999" t="n">
        <v>0.929</v>
      </c>
    </row>
    <row r="2000">
      <c r="A2000" s="926" t="n">
        <v>34977</v>
      </c>
      <c r="B2000" t="n">
        <v>7.732</v>
      </c>
      <c r="C2000" t="n">
        <v>0.9294</v>
      </c>
    </row>
    <row r="2001">
      <c r="A2001" s="926" t="n">
        <v>34978</v>
      </c>
      <c r="B2001" t="n">
        <v>7.732</v>
      </c>
      <c r="C2001" t="n">
        <v>0.9293</v>
      </c>
    </row>
    <row r="2002">
      <c r="A2002" s="926" t="n">
        <v>34979</v>
      </c>
      <c r="B2002" t="n">
        <v>7.732</v>
      </c>
      <c r="C2002" t="n">
        <v>0.9293</v>
      </c>
    </row>
    <row r="2003">
      <c r="A2003" s="926" t="n">
        <v>34981</v>
      </c>
      <c r="B2003" t="n">
        <v>7.732</v>
      </c>
      <c r="C2003" t="n">
        <v>0.929</v>
      </c>
    </row>
    <row r="2004">
      <c r="A2004" s="926" t="n">
        <v>34982</v>
      </c>
      <c r="B2004" t="n">
        <v>7.732</v>
      </c>
      <c r="C2004" t="n">
        <v>0.9298</v>
      </c>
    </row>
    <row r="2005">
      <c r="A2005" s="926" t="n">
        <v>34983</v>
      </c>
      <c r="B2005" t="n">
        <v>7.731</v>
      </c>
      <c r="C2005" t="n">
        <v>0.9295</v>
      </c>
    </row>
    <row r="2006">
      <c r="A2006" s="926" t="n">
        <v>34984</v>
      </c>
      <c r="B2006" t="n">
        <v>7.731</v>
      </c>
      <c r="C2006" t="n">
        <v>0.9296</v>
      </c>
    </row>
    <row r="2007">
      <c r="A2007" s="926" t="n">
        <v>34985</v>
      </c>
      <c r="B2007" t="n">
        <v>7.731</v>
      </c>
      <c r="C2007" t="n">
        <v>0.9296</v>
      </c>
    </row>
    <row r="2008">
      <c r="A2008" s="926" t="n">
        <v>34986</v>
      </c>
      <c r="B2008" t="n">
        <v>7.731</v>
      </c>
      <c r="C2008" t="n">
        <v>0.9296</v>
      </c>
    </row>
    <row r="2009">
      <c r="A2009" s="926" t="n">
        <v>34988</v>
      </c>
      <c r="B2009" t="n">
        <v>7.732</v>
      </c>
      <c r="C2009" t="n">
        <v>0.9296</v>
      </c>
    </row>
    <row r="2010">
      <c r="A2010" s="926" t="n">
        <v>34989</v>
      </c>
      <c r="B2010" t="n">
        <v>7.732</v>
      </c>
      <c r="C2010" t="n">
        <v>0.9295</v>
      </c>
    </row>
    <row r="2011">
      <c r="A2011" s="926" t="n">
        <v>34990</v>
      </c>
      <c r="B2011" t="n">
        <v>7.732</v>
      </c>
      <c r="C2011" t="n">
        <v>0.9296</v>
      </c>
    </row>
    <row r="2012">
      <c r="A2012" s="926" t="n">
        <v>34991</v>
      </c>
      <c r="B2012" t="n">
        <v>7.732</v>
      </c>
      <c r="C2012" t="n">
        <v>0.9298</v>
      </c>
    </row>
    <row r="2013">
      <c r="A2013" s="926" t="n">
        <v>34992</v>
      </c>
      <c r="B2013" t="n">
        <v>7.733</v>
      </c>
      <c r="C2013" t="n">
        <v>0.9298999999999999</v>
      </c>
    </row>
    <row r="2014">
      <c r="A2014" s="926" t="n">
        <v>34993</v>
      </c>
      <c r="B2014" t="n">
        <v>7.733</v>
      </c>
      <c r="C2014" t="n">
        <v>0.9298999999999999</v>
      </c>
    </row>
    <row r="2015">
      <c r="A2015" s="926" t="n">
        <v>34995</v>
      </c>
      <c r="B2015" t="n">
        <v>7.732</v>
      </c>
      <c r="C2015" t="n">
        <v>0.9298</v>
      </c>
    </row>
    <row r="2016">
      <c r="A2016" s="926" t="n">
        <v>34996</v>
      </c>
      <c r="B2016" t="n">
        <v>7.732</v>
      </c>
      <c r="C2016" t="n">
        <v>0.9298999999999999</v>
      </c>
    </row>
    <row r="2017">
      <c r="A2017" s="926" t="n">
        <v>34997</v>
      </c>
      <c r="B2017" t="n">
        <v>7.733</v>
      </c>
      <c r="C2017" t="n">
        <v>0.9298999999999999</v>
      </c>
    </row>
    <row r="2018">
      <c r="A2018" s="926" t="n">
        <v>34998</v>
      </c>
      <c r="B2018" t="n">
        <v>7.733</v>
      </c>
      <c r="C2018" t="n">
        <v>0.93</v>
      </c>
    </row>
    <row r="2019">
      <c r="A2019" s="926" t="n">
        <v>34999</v>
      </c>
      <c r="B2019" t="n">
        <v>7.734</v>
      </c>
      <c r="C2019" t="n">
        <v>0.9298999999999999</v>
      </c>
    </row>
    <row r="2020">
      <c r="A2020" s="926" t="n">
        <v>35000</v>
      </c>
      <c r="B2020" t="n">
        <v>7.733</v>
      </c>
      <c r="C2020" t="n">
        <v>0.9298999999999999</v>
      </c>
    </row>
    <row r="2021">
      <c r="A2021" s="926" t="n">
        <v>35002</v>
      </c>
      <c r="B2021" t="n">
        <v>7.732</v>
      </c>
      <c r="C2021" t="n">
        <v>0.9298</v>
      </c>
    </row>
    <row r="2022">
      <c r="A2022" s="926" t="n">
        <v>35003</v>
      </c>
      <c r="B2022" t="n">
        <v>7.733</v>
      </c>
      <c r="C2022" t="n">
        <v>0.9298</v>
      </c>
    </row>
    <row r="2023">
      <c r="A2023" s="926" t="n">
        <v>35005</v>
      </c>
      <c r="B2023" t="n">
        <v>7.733</v>
      </c>
      <c r="C2023" t="n">
        <v>0.9302</v>
      </c>
    </row>
    <row r="2024">
      <c r="A2024" s="926" t="n">
        <v>35006</v>
      </c>
      <c r="B2024" t="n">
        <v>7.733</v>
      </c>
      <c r="C2024" t="n">
        <v>0.9298999999999999</v>
      </c>
    </row>
    <row r="2025">
      <c r="A2025" s="926" t="n">
        <v>35007</v>
      </c>
      <c r="B2025" t="n">
        <v>7.733</v>
      </c>
      <c r="C2025" t="n">
        <v>0.9298999999999999</v>
      </c>
    </row>
    <row r="2026">
      <c r="A2026" s="926" t="n">
        <v>35009</v>
      </c>
      <c r="B2026" t="n">
        <v>7.733</v>
      </c>
      <c r="C2026" t="n">
        <v>0.9298</v>
      </c>
    </row>
    <row r="2027">
      <c r="A2027" s="926" t="n">
        <v>35010</v>
      </c>
      <c r="B2027" t="n">
        <v>7.733</v>
      </c>
      <c r="C2027" t="n">
        <v>0.9301</v>
      </c>
    </row>
    <row r="2028">
      <c r="A2028" s="926" t="n">
        <v>35011</v>
      </c>
      <c r="B2028" t="n">
        <v>7.734</v>
      </c>
      <c r="C2028" t="n">
        <v>0.9298999999999999</v>
      </c>
    </row>
    <row r="2029">
      <c r="A2029" s="926" t="n">
        <v>35012</v>
      </c>
      <c r="B2029" t="n">
        <v>7.735</v>
      </c>
      <c r="C2029" t="n">
        <v>0.9301</v>
      </c>
    </row>
    <row r="2030">
      <c r="A2030" s="926" t="n">
        <v>35013</v>
      </c>
      <c r="B2030" t="n">
        <v>7.734</v>
      </c>
      <c r="C2030" t="n">
        <v>0.9298999999999999</v>
      </c>
    </row>
    <row r="2031">
      <c r="A2031" s="926" t="n">
        <v>35014</v>
      </c>
      <c r="B2031" t="n">
        <v>7.733</v>
      </c>
      <c r="C2031" t="n">
        <v>0.9298999999999999</v>
      </c>
    </row>
    <row r="2032">
      <c r="A2032" s="926" t="n">
        <v>35016</v>
      </c>
      <c r="B2032" t="n">
        <v>7.734</v>
      </c>
      <c r="C2032" t="n">
        <v>0.9301</v>
      </c>
    </row>
    <row r="2033">
      <c r="A2033" s="926" t="n">
        <v>35017</v>
      </c>
      <c r="B2033" t="n">
        <v>7.735</v>
      </c>
      <c r="C2033" t="n">
        <v>0.9302</v>
      </c>
    </row>
    <row r="2034">
      <c r="A2034" s="926" t="n">
        <v>35018</v>
      </c>
      <c r="B2034" t="n">
        <v>7.734</v>
      </c>
      <c r="C2034" t="n">
        <v>0.9301</v>
      </c>
    </row>
    <row r="2035">
      <c r="A2035" s="926" t="n">
        <v>35019</v>
      </c>
      <c r="B2035" t="n">
        <v>7.734</v>
      </c>
      <c r="C2035" t="n">
        <v>0.9303</v>
      </c>
    </row>
    <row r="2036">
      <c r="A2036" s="926" t="n">
        <v>35020</v>
      </c>
      <c r="B2036" t="n">
        <v>7.734</v>
      </c>
      <c r="C2036" t="n">
        <v>0.93</v>
      </c>
    </row>
    <row r="2037">
      <c r="A2037" s="926" t="n">
        <v>35021</v>
      </c>
      <c r="B2037" t="n">
        <v>7.733</v>
      </c>
      <c r="C2037" t="n">
        <v>0.93</v>
      </c>
    </row>
    <row r="2038">
      <c r="A2038" s="926" t="n">
        <v>35023</v>
      </c>
      <c r="B2038" t="n">
        <v>7.734</v>
      </c>
      <c r="C2038" t="n">
        <v>0.93</v>
      </c>
    </row>
    <row r="2039">
      <c r="A2039" s="926" t="n">
        <v>35024</v>
      </c>
      <c r="B2039" t="n">
        <v>7.734</v>
      </c>
      <c r="C2039" t="n">
        <v>0.9298999999999999</v>
      </c>
    </row>
    <row r="2040">
      <c r="A2040" s="926" t="n">
        <v>35025</v>
      </c>
      <c r="B2040" t="n">
        <v>7.734</v>
      </c>
      <c r="C2040" t="n">
        <v>0.93</v>
      </c>
    </row>
    <row r="2041">
      <c r="A2041" s="926" t="n">
        <v>35026</v>
      </c>
      <c r="B2041" t="n">
        <v>7.735</v>
      </c>
      <c r="C2041" t="n">
        <v>0.9302</v>
      </c>
    </row>
    <row r="2042">
      <c r="A2042" s="926" t="n">
        <v>35027</v>
      </c>
      <c r="B2042" t="n">
        <v>7.735</v>
      </c>
      <c r="C2042" t="n">
        <v>0.9302</v>
      </c>
    </row>
    <row r="2043">
      <c r="A2043" s="926" t="n">
        <v>35028</v>
      </c>
      <c r="B2043" t="n">
        <v>7.734</v>
      </c>
      <c r="C2043" t="n">
        <v>0.9302</v>
      </c>
    </row>
    <row r="2044">
      <c r="A2044" s="926" t="n">
        <v>35030</v>
      </c>
      <c r="B2044" t="n">
        <v>7.735</v>
      </c>
      <c r="C2044" t="n">
        <v>0.9304</v>
      </c>
    </row>
    <row r="2045">
      <c r="A2045" s="926" t="n">
        <v>35031</v>
      </c>
      <c r="B2045" t="n">
        <v>7.736</v>
      </c>
      <c r="C2045" t="n">
        <v>0.9303</v>
      </c>
    </row>
    <row r="2046">
      <c r="A2046" s="926" t="n">
        <v>35032</v>
      </c>
      <c r="B2046" t="n">
        <v>7.736</v>
      </c>
      <c r="C2046" t="n">
        <v>0.9305</v>
      </c>
    </row>
    <row r="2047">
      <c r="A2047" s="926" t="n">
        <v>35033</v>
      </c>
      <c r="B2047" t="n">
        <v>7.736</v>
      </c>
      <c r="C2047" t="n">
        <v>0.9305</v>
      </c>
    </row>
    <row r="2048">
      <c r="A2048" s="926" t="n">
        <v>35034</v>
      </c>
      <c r="B2048" t="n">
        <v>7.736</v>
      </c>
      <c r="C2048" t="n">
        <v>0.9301</v>
      </c>
    </row>
    <row r="2049">
      <c r="A2049" s="926" t="n">
        <v>35035</v>
      </c>
      <c r="B2049" t="n">
        <v>7.736</v>
      </c>
      <c r="C2049" t="n">
        <v>0.9301</v>
      </c>
    </row>
    <row r="2050">
      <c r="A2050" s="926" t="n">
        <v>35037</v>
      </c>
      <c r="B2050" t="n">
        <v>7.736</v>
      </c>
      <c r="C2050" t="n">
        <v>0.9301</v>
      </c>
    </row>
    <row r="2051">
      <c r="A2051" s="926" t="n">
        <v>35038</v>
      </c>
      <c r="B2051" t="n">
        <v>7.737</v>
      </c>
      <c r="C2051" t="n">
        <v>0.93</v>
      </c>
    </row>
    <row r="2052">
      <c r="A2052" s="926" t="n">
        <v>35039</v>
      </c>
      <c r="B2052" t="n">
        <v>7.735</v>
      </c>
      <c r="C2052" t="n">
        <v>0.9301</v>
      </c>
    </row>
    <row r="2053">
      <c r="A2053" s="926" t="n">
        <v>35040</v>
      </c>
      <c r="B2053" t="n">
        <v>7.735</v>
      </c>
      <c r="C2053" t="n">
        <v>0.9301</v>
      </c>
    </row>
    <row r="2054">
      <c r="A2054" s="926" t="n">
        <v>35041</v>
      </c>
      <c r="B2054" t="n">
        <v>7.734</v>
      </c>
      <c r="C2054" t="n">
        <v>0.9301</v>
      </c>
    </row>
    <row r="2055">
      <c r="A2055" s="926" t="n">
        <v>35042</v>
      </c>
      <c r="B2055" t="n">
        <v>7.735</v>
      </c>
      <c r="C2055" t="n">
        <v>0.9301</v>
      </c>
    </row>
    <row r="2056">
      <c r="A2056" s="926" t="n">
        <v>35044</v>
      </c>
      <c r="B2056" t="n">
        <v>7.734</v>
      </c>
      <c r="C2056" t="n">
        <v>0.93</v>
      </c>
    </row>
    <row r="2057">
      <c r="A2057" s="926" t="n">
        <v>35045</v>
      </c>
      <c r="B2057" t="n">
        <v>7.735</v>
      </c>
      <c r="C2057" t="n">
        <v>0.9298</v>
      </c>
    </row>
    <row r="2058">
      <c r="A2058" s="926" t="n">
        <v>35046</v>
      </c>
      <c r="B2058" t="n">
        <v>7.735</v>
      </c>
      <c r="C2058" t="n">
        <v>0.9298</v>
      </c>
    </row>
    <row r="2059">
      <c r="A2059" s="926" t="n">
        <v>35047</v>
      </c>
      <c r="B2059" t="n">
        <v>7.735</v>
      </c>
      <c r="C2059" t="n">
        <v>0.9301</v>
      </c>
    </row>
    <row r="2060">
      <c r="A2060" s="926" t="n">
        <v>35048</v>
      </c>
      <c r="B2060" t="n">
        <v>7.735</v>
      </c>
      <c r="C2060" t="n">
        <v>0.9298999999999999</v>
      </c>
    </row>
    <row r="2061">
      <c r="A2061" s="926" t="n">
        <v>35049</v>
      </c>
      <c r="B2061" t="n">
        <v>7.735</v>
      </c>
      <c r="C2061" t="n">
        <v>0.9298999999999999</v>
      </c>
    </row>
    <row r="2062">
      <c r="A2062" s="926" t="n">
        <v>35051</v>
      </c>
      <c r="B2062" t="n">
        <v>7.735</v>
      </c>
      <c r="C2062" t="n">
        <v>0.9298999999999999</v>
      </c>
    </row>
    <row r="2063">
      <c r="A2063" s="926" t="n">
        <v>35052</v>
      </c>
      <c r="B2063" t="n">
        <v>7.735</v>
      </c>
      <c r="C2063" t="n">
        <v>0.9295</v>
      </c>
    </row>
    <row r="2064">
      <c r="A2064" s="926" t="n">
        <v>35053</v>
      </c>
      <c r="B2064" t="n">
        <v>7.735</v>
      </c>
      <c r="C2064" t="n">
        <v>0.9301</v>
      </c>
    </row>
    <row r="2065">
      <c r="A2065" s="926" t="n">
        <v>35054</v>
      </c>
      <c r="B2065" t="n">
        <v>7.734</v>
      </c>
      <c r="C2065" t="n">
        <v>0.93</v>
      </c>
    </row>
    <row r="2066">
      <c r="A2066" s="926" t="n">
        <v>35055</v>
      </c>
      <c r="B2066" t="n">
        <v>7.734</v>
      </c>
      <c r="C2066" t="n">
        <v>0.9298999999999999</v>
      </c>
    </row>
    <row r="2067">
      <c r="A2067" s="926" t="n">
        <v>35056</v>
      </c>
      <c r="B2067" t="n">
        <v>7.734</v>
      </c>
      <c r="C2067" t="n">
        <v>0.9298999999999999</v>
      </c>
    </row>
    <row r="2068">
      <c r="A2068" s="926" t="n">
        <v>35060</v>
      </c>
      <c r="B2068" t="n">
        <v>7.734</v>
      </c>
      <c r="C2068" t="n">
        <v>0.9297</v>
      </c>
    </row>
    <row r="2069">
      <c r="A2069" s="926" t="n">
        <v>35061</v>
      </c>
      <c r="B2069" t="n">
        <v>7.733</v>
      </c>
      <c r="C2069" t="n">
        <v>0.9295</v>
      </c>
    </row>
    <row r="2070">
      <c r="A2070" s="926" t="n">
        <v>35062</v>
      </c>
      <c r="B2070" t="n">
        <v>7.733</v>
      </c>
      <c r="C2070" t="n">
        <v>0.9294</v>
      </c>
    </row>
    <row r="2071">
      <c r="A2071" s="926" t="n">
        <v>35063</v>
      </c>
      <c r="B2071" t="n">
        <v>7.732</v>
      </c>
      <c r="C2071" t="n">
        <v>0.9297</v>
      </c>
    </row>
    <row r="2072">
      <c r="A2072" s="926" t="n">
        <v>35066</v>
      </c>
      <c r="B2072" t="n">
        <v>7.733</v>
      </c>
      <c r="C2072" t="n">
        <v>0.9297</v>
      </c>
    </row>
    <row r="2073">
      <c r="A2073" s="926" t="n">
        <v>35067</v>
      </c>
      <c r="B2073" t="n">
        <v>7.734</v>
      </c>
      <c r="C2073" t="n">
        <v>0.9294</v>
      </c>
    </row>
    <row r="2074">
      <c r="A2074" s="926" t="n">
        <v>35068</v>
      </c>
      <c r="B2074" t="n">
        <v>7.735</v>
      </c>
      <c r="C2074" t="n">
        <v>0.9292</v>
      </c>
    </row>
    <row r="2075">
      <c r="A2075" s="926" t="n">
        <v>35069</v>
      </c>
      <c r="B2075" t="n">
        <v>7.735</v>
      </c>
      <c r="C2075" t="n">
        <v>0.929</v>
      </c>
    </row>
    <row r="2076">
      <c r="A2076" s="926" t="n">
        <v>35070</v>
      </c>
      <c r="B2076" t="n">
        <v>7.734</v>
      </c>
      <c r="C2076" t="n">
        <v>0.929</v>
      </c>
    </row>
    <row r="2077">
      <c r="A2077" s="926" t="n">
        <v>35072</v>
      </c>
      <c r="B2077" t="n">
        <v>7.734</v>
      </c>
      <c r="C2077" t="n">
        <v>0.929</v>
      </c>
    </row>
    <row r="2078">
      <c r="A2078" s="926" t="n">
        <v>35073</v>
      </c>
      <c r="B2078" t="n">
        <v>7.733</v>
      </c>
      <c r="C2078" t="n">
        <v>0.9288999999999999</v>
      </c>
    </row>
    <row r="2079">
      <c r="A2079" s="926" t="n">
        <v>35074</v>
      </c>
      <c r="B2079" t="n">
        <v>7.734</v>
      </c>
      <c r="C2079" t="n">
        <v>0.929</v>
      </c>
    </row>
    <row r="2080">
      <c r="A2080" s="926" t="n">
        <v>35075</v>
      </c>
      <c r="B2080" t="n">
        <v>7.733</v>
      </c>
      <c r="C2080" t="n">
        <v>0.9292</v>
      </c>
    </row>
    <row r="2081">
      <c r="A2081" s="926" t="n">
        <v>35076</v>
      </c>
      <c r="B2081" t="n">
        <v>7.732</v>
      </c>
      <c r="C2081" t="n">
        <v>0.9291</v>
      </c>
    </row>
    <row r="2082">
      <c r="A2082" s="926" t="n">
        <v>35077</v>
      </c>
      <c r="B2082" t="n">
        <v>7.731</v>
      </c>
      <c r="C2082" t="n">
        <v>0.9291</v>
      </c>
    </row>
    <row r="2083">
      <c r="A2083" s="926" t="n">
        <v>35079</v>
      </c>
      <c r="B2083" t="n">
        <v>7.732</v>
      </c>
      <c r="C2083" t="n">
        <v>0.9292</v>
      </c>
    </row>
    <row r="2084">
      <c r="A2084" s="926" t="n">
        <v>35080</v>
      </c>
      <c r="B2084" t="n">
        <v>7.732</v>
      </c>
      <c r="C2084" t="n">
        <v>0.929</v>
      </c>
    </row>
    <row r="2085">
      <c r="A2085" s="926" t="n">
        <v>35081</v>
      </c>
      <c r="B2085" t="n">
        <v>7.733</v>
      </c>
      <c r="C2085" t="n">
        <v>0.9287</v>
      </c>
    </row>
    <row r="2086">
      <c r="A2086" s="926" t="n">
        <v>35082</v>
      </c>
      <c r="B2086" t="n">
        <v>7.733</v>
      </c>
      <c r="C2086" t="n">
        <v>0.9288999999999999</v>
      </c>
    </row>
    <row r="2087">
      <c r="A2087" s="926" t="n">
        <v>35083</v>
      </c>
      <c r="B2087" t="n">
        <v>7.732</v>
      </c>
      <c r="C2087" t="n">
        <v>0.929</v>
      </c>
    </row>
    <row r="2088">
      <c r="A2088" s="926" t="n">
        <v>35084</v>
      </c>
      <c r="B2088" t="n">
        <v>7.732</v>
      </c>
      <c r="C2088" t="n">
        <v>0.929</v>
      </c>
    </row>
    <row r="2089">
      <c r="A2089" s="926" t="n">
        <v>35086</v>
      </c>
      <c r="B2089" t="n">
        <v>7.732</v>
      </c>
      <c r="C2089" t="n">
        <v>0.9292</v>
      </c>
    </row>
    <row r="2090">
      <c r="A2090" s="926" t="n">
        <v>35087</v>
      </c>
      <c r="B2090" t="n">
        <v>7.732</v>
      </c>
      <c r="C2090" t="n">
        <v>0.9288</v>
      </c>
    </row>
    <row r="2091">
      <c r="A2091" s="926" t="n">
        <v>35088</v>
      </c>
      <c r="B2091" t="n">
        <v>7.732</v>
      </c>
      <c r="C2091" t="n">
        <v>0.9288999999999999</v>
      </c>
    </row>
    <row r="2092">
      <c r="A2092" s="926" t="n">
        <v>35089</v>
      </c>
      <c r="B2092" t="n">
        <v>7.733</v>
      </c>
      <c r="C2092" t="n">
        <v>0.9288</v>
      </c>
    </row>
    <row r="2093">
      <c r="A2093" s="926" t="n">
        <v>35090</v>
      </c>
      <c r="B2093" t="n">
        <v>7.733</v>
      </c>
      <c r="C2093" t="n">
        <v>0.9293</v>
      </c>
    </row>
    <row r="2094">
      <c r="A2094" s="926" t="n">
        <v>35091</v>
      </c>
      <c r="B2094" t="n">
        <v>7.732</v>
      </c>
      <c r="C2094" t="n">
        <v>0.9293</v>
      </c>
    </row>
    <row r="2095">
      <c r="A2095" s="926" t="n">
        <v>35093</v>
      </c>
      <c r="B2095" t="n">
        <v>7.734</v>
      </c>
      <c r="C2095" t="n">
        <v>0.9298</v>
      </c>
    </row>
    <row r="2096">
      <c r="A2096" s="926" t="n">
        <v>35094</v>
      </c>
      <c r="B2096" t="n">
        <v>7.733</v>
      </c>
      <c r="C2096" t="n">
        <v>0.9302</v>
      </c>
    </row>
    <row r="2097">
      <c r="A2097" s="926" t="n">
        <v>35095</v>
      </c>
      <c r="B2097" t="n">
        <v>7.732</v>
      </c>
      <c r="C2097" t="n">
        <v>0.9297</v>
      </c>
    </row>
    <row r="2098">
      <c r="A2098" s="926" t="n">
        <v>35096</v>
      </c>
      <c r="B2098" t="n">
        <v>7.732</v>
      </c>
      <c r="C2098" t="n">
        <v>0.929804</v>
      </c>
    </row>
    <row r="2099">
      <c r="A2099" s="926" t="n">
        <v>35097</v>
      </c>
      <c r="B2099" t="n">
        <v>7.732</v>
      </c>
      <c r="C2099" t="n">
        <v>0.929631</v>
      </c>
    </row>
    <row r="2100">
      <c r="A2100" s="926" t="n">
        <v>35098</v>
      </c>
      <c r="B2100" t="n">
        <v>7.732</v>
      </c>
      <c r="C2100" t="n">
        <v>0.929631</v>
      </c>
    </row>
    <row r="2101">
      <c r="A2101" s="926" t="n">
        <v>35100</v>
      </c>
      <c r="B2101" t="n">
        <v>7.731</v>
      </c>
      <c r="C2101" t="n">
        <v>0.929372</v>
      </c>
    </row>
    <row r="2102">
      <c r="A2102" s="926" t="n">
        <v>35101</v>
      </c>
      <c r="B2102" t="n">
        <v>7.731</v>
      </c>
      <c r="C2102" t="n">
        <v>0.9292855</v>
      </c>
    </row>
    <row r="2103">
      <c r="A2103" s="926" t="n">
        <v>35102</v>
      </c>
      <c r="B2103" t="n">
        <v>7.731</v>
      </c>
      <c r="C2103" t="n">
        <v>0.9297175</v>
      </c>
    </row>
    <row r="2104">
      <c r="A2104" s="926" t="n">
        <v>35103</v>
      </c>
      <c r="B2104" t="n">
        <v>7.731</v>
      </c>
      <c r="C2104" t="n">
        <v>0.93015</v>
      </c>
    </row>
    <row r="2105">
      <c r="A2105" s="926" t="n">
        <v>35104</v>
      </c>
      <c r="B2105" t="n">
        <v>7.731</v>
      </c>
      <c r="C2105" t="n">
        <v>0.930409</v>
      </c>
    </row>
    <row r="2106">
      <c r="A2106" s="926" t="n">
        <v>35105</v>
      </c>
      <c r="B2106" t="n">
        <v>7.732</v>
      </c>
      <c r="C2106" t="n">
        <v>0.930409</v>
      </c>
    </row>
    <row r="2107">
      <c r="A2107" s="926" t="n">
        <v>35107</v>
      </c>
      <c r="B2107" t="n">
        <v>7.732</v>
      </c>
      <c r="C2107" t="n">
        <v>0.9305825</v>
      </c>
    </row>
    <row r="2108">
      <c r="A2108" s="926" t="n">
        <v>35108</v>
      </c>
      <c r="B2108" t="n">
        <v>7.733</v>
      </c>
      <c r="C2108" t="n">
        <v>0.930063</v>
      </c>
    </row>
    <row r="2109">
      <c r="A2109" s="926" t="n">
        <v>35109</v>
      </c>
      <c r="B2109" t="n">
        <v>7.733</v>
      </c>
      <c r="C2109" t="n">
        <v>0.9305825</v>
      </c>
    </row>
    <row r="2110">
      <c r="A2110" s="926" t="n">
        <v>35110</v>
      </c>
      <c r="B2110" t="n">
        <v>7.733</v>
      </c>
      <c r="C2110" t="n">
        <v>0.9310155</v>
      </c>
    </row>
    <row r="2111">
      <c r="A2111" s="926" t="n">
        <v>35111</v>
      </c>
      <c r="B2111" t="n">
        <v>7.734</v>
      </c>
      <c r="C2111" t="n">
        <v>0.931189</v>
      </c>
    </row>
    <row r="2112">
      <c r="A2112" s="926" t="n">
        <v>35112</v>
      </c>
      <c r="B2112" t="n">
        <v>7.733</v>
      </c>
      <c r="C2112" t="n">
        <v>0.93015</v>
      </c>
    </row>
    <row r="2113">
      <c r="A2113" s="926" t="n">
        <v>35117</v>
      </c>
      <c r="B2113" t="n">
        <v>7.733</v>
      </c>
      <c r="C2113" t="n">
        <v>0.9305825</v>
      </c>
    </row>
    <row r="2114">
      <c r="A2114" s="926" t="n">
        <v>35118</v>
      </c>
      <c r="B2114" t="n">
        <v>7.732</v>
      </c>
      <c r="C2114" t="n">
        <v>0.9305825</v>
      </c>
    </row>
    <row r="2115">
      <c r="A2115" s="926" t="n">
        <v>35119</v>
      </c>
      <c r="B2115" t="n">
        <v>7.732</v>
      </c>
      <c r="C2115" t="n">
        <v>0.9305825</v>
      </c>
    </row>
    <row r="2116">
      <c r="A2116" s="926" t="n">
        <v>35121</v>
      </c>
      <c r="B2116" t="n">
        <v>7.732</v>
      </c>
      <c r="C2116" t="n">
        <v>0.9317095</v>
      </c>
    </row>
    <row r="2117">
      <c r="A2117" s="926" t="n">
        <v>35122</v>
      </c>
      <c r="B2117" t="n">
        <v>7.731</v>
      </c>
      <c r="C2117" t="n">
        <v>0.9311025000000001</v>
      </c>
    </row>
    <row r="2118">
      <c r="A2118" s="926" t="n">
        <v>35123</v>
      </c>
      <c r="B2118" t="n">
        <v>7.731</v>
      </c>
      <c r="C2118" t="n">
        <v>0.930409</v>
      </c>
    </row>
    <row r="2119">
      <c r="A2119" s="926" t="n">
        <v>35124</v>
      </c>
      <c r="B2119" t="n">
        <v>7.731</v>
      </c>
      <c r="C2119" t="n">
        <v>0.928337</v>
      </c>
    </row>
    <row r="2120">
      <c r="A2120" s="926" t="n">
        <v>35125</v>
      </c>
      <c r="B2120" t="n">
        <v>7.731</v>
      </c>
      <c r="C2120" t="n">
        <v>0.9294585</v>
      </c>
    </row>
    <row r="2121">
      <c r="A2121" s="926" t="n">
        <v>35126</v>
      </c>
      <c r="B2121" t="n">
        <v>7.732</v>
      </c>
      <c r="C2121" t="n">
        <v>0.9294585</v>
      </c>
    </row>
    <row r="2122">
      <c r="A2122" s="926" t="n">
        <v>35128</v>
      </c>
      <c r="B2122" t="n">
        <v>7.732</v>
      </c>
      <c r="C2122" t="n">
        <v>0.9282505</v>
      </c>
    </row>
    <row r="2123">
      <c r="A2123" s="926" t="n">
        <v>35129</v>
      </c>
      <c r="B2123" t="n">
        <v>7.732</v>
      </c>
      <c r="C2123" t="n">
        <v>0.928337</v>
      </c>
    </row>
    <row r="2124">
      <c r="A2124" s="926" t="n">
        <v>35130</v>
      </c>
      <c r="B2124" t="n">
        <v>7.733</v>
      </c>
      <c r="C2124" t="n">
        <v>0.928337</v>
      </c>
    </row>
    <row r="2125">
      <c r="A2125" s="926" t="n">
        <v>35131</v>
      </c>
      <c r="B2125" t="n">
        <v>7.733</v>
      </c>
      <c r="C2125" t="n">
        <v>0.928337</v>
      </c>
    </row>
    <row r="2126">
      <c r="A2126" s="926" t="n">
        <v>35132</v>
      </c>
      <c r="B2126" t="n">
        <v>7.733</v>
      </c>
      <c r="C2126" t="n">
        <v>0.928337</v>
      </c>
    </row>
    <row r="2127">
      <c r="A2127" s="926" t="n">
        <v>35133</v>
      </c>
      <c r="B2127" t="n">
        <v>7.733</v>
      </c>
      <c r="C2127" t="n">
        <v>0.928337</v>
      </c>
    </row>
    <row r="2128">
      <c r="A2128" s="926" t="n">
        <v>35135</v>
      </c>
      <c r="B2128" t="n">
        <v>7.734</v>
      </c>
      <c r="C2128" t="n">
        <v>0.928337</v>
      </c>
    </row>
    <row r="2129">
      <c r="A2129" s="926" t="n">
        <v>35136</v>
      </c>
      <c r="B2129" t="n">
        <v>7.731</v>
      </c>
      <c r="C2129" t="n">
        <v>0.9287675</v>
      </c>
    </row>
    <row r="2130">
      <c r="A2130" s="926" t="n">
        <v>35137</v>
      </c>
      <c r="B2130" t="n">
        <v>7.731</v>
      </c>
      <c r="C2130" t="n">
        <v>0.9281644999999999</v>
      </c>
    </row>
    <row r="2131">
      <c r="A2131" s="926" t="n">
        <v>35138</v>
      </c>
      <c r="B2131" t="n">
        <v>7.731</v>
      </c>
      <c r="C2131" t="n">
        <v>0.9276475</v>
      </c>
    </row>
    <row r="2132">
      <c r="A2132" s="926" t="n">
        <v>35139</v>
      </c>
      <c r="B2132" t="n">
        <v>7.731</v>
      </c>
      <c r="C2132" t="n">
        <v>0.92782</v>
      </c>
    </row>
    <row r="2133">
      <c r="A2133" s="926" t="n">
        <v>35140</v>
      </c>
      <c r="B2133" t="n">
        <v>7.731</v>
      </c>
      <c r="C2133" t="n">
        <v>0.92782</v>
      </c>
    </row>
    <row r="2134">
      <c r="A2134" s="926" t="n">
        <v>35142</v>
      </c>
      <c r="B2134" t="n">
        <v>7.731</v>
      </c>
      <c r="C2134" t="n">
        <v>0.92782</v>
      </c>
    </row>
    <row r="2135">
      <c r="A2135" s="926" t="n">
        <v>35143</v>
      </c>
      <c r="B2135" t="n">
        <v>7.731</v>
      </c>
      <c r="C2135" t="n">
        <v>0.92782</v>
      </c>
    </row>
    <row r="2136">
      <c r="A2136" s="926" t="n">
        <v>35144</v>
      </c>
      <c r="B2136" t="n">
        <v>7.732</v>
      </c>
      <c r="C2136" t="n">
        <v>0.92782</v>
      </c>
    </row>
    <row r="2137">
      <c r="A2137" s="926" t="n">
        <v>35145</v>
      </c>
      <c r="B2137" t="n">
        <v>7.731</v>
      </c>
      <c r="C2137" t="n">
        <v>0.928078</v>
      </c>
    </row>
    <row r="2138">
      <c r="A2138" s="926" t="n">
        <v>35146</v>
      </c>
      <c r="B2138" t="n">
        <v>7.731</v>
      </c>
      <c r="C2138" t="n">
        <v>0.9282505</v>
      </c>
    </row>
    <row r="2139">
      <c r="A2139" s="926" t="n">
        <v>35147</v>
      </c>
      <c r="B2139" t="n">
        <v>7.731</v>
      </c>
      <c r="C2139" t="n">
        <v>0.9282505</v>
      </c>
    </row>
    <row r="2140">
      <c r="A2140" s="926" t="n">
        <v>35149</v>
      </c>
      <c r="B2140" t="n">
        <v>7.731</v>
      </c>
      <c r="C2140" t="n">
        <v>0.9281644999999999</v>
      </c>
    </row>
    <row r="2141">
      <c r="A2141" s="926" t="n">
        <v>35150</v>
      </c>
      <c r="B2141" t="n">
        <v>7.733</v>
      </c>
      <c r="C2141" t="n">
        <v>0.9281644999999999</v>
      </c>
    </row>
    <row r="2142">
      <c r="A2142" s="926" t="n">
        <v>35151</v>
      </c>
      <c r="B2142" t="n">
        <v>7.733</v>
      </c>
      <c r="C2142" t="n">
        <v>0.928078</v>
      </c>
    </row>
    <row r="2143">
      <c r="A2143" s="926" t="n">
        <v>35152</v>
      </c>
      <c r="B2143" t="n">
        <v>7.732</v>
      </c>
      <c r="C2143" t="n">
        <v>0.9282505</v>
      </c>
    </row>
    <row r="2144">
      <c r="A2144" s="926" t="n">
        <v>35153</v>
      </c>
      <c r="B2144" t="n">
        <v>7.733</v>
      </c>
      <c r="C2144" t="n">
        <v>0.927992</v>
      </c>
    </row>
    <row r="2145">
      <c r="A2145" s="926" t="n">
        <v>35154</v>
      </c>
      <c r="B2145" t="n">
        <v>7.734</v>
      </c>
      <c r="C2145" t="n">
        <v>0.927992</v>
      </c>
    </row>
    <row r="2146">
      <c r="A2146" s="926" t="n">
        <v>35156</v>
      </c>
      <c r="B2146" t="n">
        <v>7.734</v>
      </c>
      <c r="C2146" t="n">
        <v>0.928337</v>
      </c>
    </row>
    <row r="2147">
      <c r="A2147" s="926" t="n">
        <v>35157</v>
      </c>
      <c r="B2147" t="n">
        <v>7.733</v>
      </c>
      <c r="C2147" t="n">
        <v>0.9285949999999999</v>
      </c>
    </row>
    <row r="2148">
      <c r="A2148" s="926" t="n">
        <v>35158</v>
      </c>
      <c r="B2148" t="n">
        <v>7.734</v>
      </c>
      <c r="C2148" t="n">
        <v>0.927992</v>
      </c>
    </row>
    <row r="2149">
      <c r="A2149" s="926" t="n">
        <v>35164</v>
      </c>
      <c r="B2149" t="n">
        <v>7.732</v>
      </c>
      <c r="C2149" t="n">
        <v>0.928509</v>
      </c>
    </row>
    <row r="2150">
      <c r="A2150" s="926" t="n">
        <v>35165</v>
      </c>
      <c r="B2150" t="n">
        <v>7.733</v>
      </c>
      <c r="C2150" t="n">
        <v>0.928509</v>
      </c>
    </row>
    <row r="2151">
      <c r="A2151" s="926" t="n">
        <v>35166</v>
      </c>
      <c r="B2151" t="n">
        <v>7.733</v>
      </c>
      <c r="C2151" t="n">
        <v>0.928509</v>
      </c>
    </row>
    <row r="2152">
      <c r="A2152" s="926" t="n">
        <v>35167</v>
      </c>
      <c r="B2152" t="n">
        <v>7.733</v>
      </c>
      <c r="C2152" t="n">
        <v>0.9284225</v>
      </c>
    </row>
    <row r="2153">
      <c r="A2153" s="926" t="n">
        <v>35168</v>
      </c>
      <c r="B2153" t="n">
        <v>7.733</v>
      </c>
      <c r="C2153" t="n">
        <v>0.9284225</v>
      </c>
    </row>
    <row r="2154">
      <c r="A2154" s="926" t="n">
        <v>35170</v>
      </c>
      <c r="B2154" t="n">
        <v>7.734</v>
      </c>
      <c r="C2154" t="n">
        <v>0.9284225</v>
      </c>
    </row>
    <row r="2155">
      <c r="A2155" s="926" t="n">
        <v>35171</v>
      </c>
      <c r="B2155" t="n">
        <v>7.735</v>
      </c>
      <c r="C2155" t="n">
        <v>0.9285949999999999</v>
      </c>
    </row>
    <row r="2156">
      <c r="A2156" s="926" t="n">
        <v>35172</v>
      </c>
      <c r="B2156" t="n">
        <v>7.735</v>
      </c>
      <c r="C2156" t="n">
        <v>0.9286815</v>
      </c>
    </row>
    <row r="2157">
      <c r="A2157" s="926" t="n">
        <v>35173</v>
      </c>
      <c r="B2157" t="n">
        <v>7.735</v>
      </c>
      <c r="C2157" t="n">
        <v>0.9289404999999999</v>
      </c>
    </row>
    <row r="2158">
      <c r="A2158" s="926" t="n">
        <v>35174</v>
      </c>
      <c r="B2158" t="n">
        <v>7.734</v>
      </c>
      <c r="C2158" t="n">
        <v>0.928854</v>
      </c>
    </row>
    <row r="2159">
      <c r="A2159" s="926" t="n">
        <v>35175</v>
      </c>
      <c r="B2159" t="n">
        <v>7.734</v>
      </c>
      <c r="C2159" t="n">
        <v>0.928854</v>
      </c>
    </row>
    <row r="2160">
      <c r="A2160" s="926" t="n">
        <v>35177</v>
      </c>
      <c r="B2160" t="n">
        <v>7.735</v>
      </c>
      <c r="C2160" t="n">
        <v>0.9287675</v>
      </c>
    </row>
    <row r="2161">
      <c r="A2161" s="926" t="n">
        <v>35178</v>
      </c>
      <c r="B2161" t="n">
        <v>7.736</v>
      </c>
      <c r="C2161" t="n">
        <v>0.929113</v>
      </c>
    </row>
    <row r="2162">
      <c r="A2162" s="926" t="n">
        <v>35179</v>
      </c>
      <c r="B2162" t="n">
        <v>7.735</v>
      </c>
      <c r="C2162" t="n">
        <v>0.9290265</v>
      </c>
    </row>
    <row r="2163">
      <c r="A2163" s="926" t="n">
        <v>35180</v>
      </c>
      <c r="B2163" t="n">
        <v>7.735</v>
      </c>
      <c r="C2163" t="n">
        <v>0.9289404999999999</v>
      </c>
    </row>
    <row r="2164">
      <c r="A2164" s="926" t="n">
        <v>35181</v>
      </c>
      <c r="B2164" t="n">
        <v>7.734</v>
      </c>
      <c r="C2164" t="n">
        <v>0.9289404999999999</v>
      </c>
    </row>
    <row r="2165">
      <c r="A2165" s="926" t="n">
        <v>35182</v>
      </c>
      <c r="B2165" t="n">
        <v>7.735</v>
      </c>
      <c r="C2165" t="n">
        <v>0.9289404999999999</v>
      </c>
    </row>
    <row r="2166">
      <c r="A2166" s="926" t="n">
        <v>35184</v>
      </c>
      <c r="B2166" t="n">
        <v>7.734</v>
      </c>
      <c r="C2166" t="n">
        <v>0.9285949999999999</v>
      </c>
    </row>
    <row r="2167">
      <c r="A2167" s="926" t="n">
        <v>35185</v>
      </c>
      <c r="B2167" t="n">
        <v>7.735</v>
      </c>
      <c r="C2167" t="n">
        <v>0.9285949999999999</v>
      </c>
    </row>
    <row r="2168">
      <c r="A2168" s="926" t="n">
        <v>35186</v>
      </c>
      <c r="B2168" t="n">
        <v>7.735</v>
      </c>
      <c r="C2168" t="n">
        <v>0.9285949999999999</v>
      </c>
    </row>
    <row r="2169">
      <c r="A2169" s="926" t="n">
        <v>35187</v>
      </c>
      <c r="B2169" t="n">
        <v>7.736</v>
      </c>
      <c r="C2169" t="n">
        <v>0.9287675</v>
      </c>
    </row>
    <row r="2170">
      <c r="A2170" s="926" t="n">
        <v>35188</v>
      </c>
      <c r="B2170" t="n">
        <v>7.736</v>
      </c>
      <c r="C2170" t="n">
        <v>0.9285949999999999</v>
      </c>
    </row>
    <row r="2171">
      <c r="A2171" s="926" t="n">
        <v>35189</v>
      </c>
      <c r="B2171" t="n">
        <v>7.735</v>
      </c>
      <c r="C2171" t="n">
        <v>0.9285949999999999</v>
      </c>
    </row>
    <row r="2172">
      <c r="A2172" s="926" t="n">
        <v>35191</v>
      </c>
      <c r="B2172" t="n">
        <v>7.736</v>
      </c>
      <c r="C2172" t="n">
        <v>0.9286815</v>
      </c>
    </row>
    <row r="2173">
      <c r="A2173" s="926" t="n">
        <v>35192</v>
      </c>
      <c r="B2173" t="n">
        <v>7.737</v>
      </c>
      <c r="C2173" t="n">
        <v>0.9287675</v>
      </c>
    </row>
    <row r="2174">
      <c r="A2174" s="926" t="n">
        <v>35193</v>
      </c>
      <c r="B2174" t="n">
        <v>7.736</v>
      </c>
      <c r="C2174" t="n">
        <v>0.9286815</v>
      </c>
    </row>
    <row r="2175">
      <c r="A2175" s="926" t="n">
        <v>35194</v>
      </c>
      <c r="B2175" t="n">
        <v>7.735</v>
      </c>
      <c r="C2175" t="n">
        <v>0.9285949999999999</v>
      </c>
    </row>
    <row r="2176">
      <c r="A2176" s="926" t="n">
        <v>35195</v>
      </c>
      <c r="B2176" t="n">
        <v>7.735</v>
      </c>
      <c r="C2176" t="n">
        <v>0.9286815</v>
      </c>
    </row>
    <row r="2177">
      <c r="A2177" s="926" t="n">
        <v>35196</v>
      </c>
      <c r="B2177" t="n">
        <v>7.735</v>
      </c>
      <c r="C2177" t="n">
        <v>0.9286815</v>
      </c>
    </row>
    <row r="2178">
      <c r="A2178" s="926" t="n">
        <v>35198</v>
      </c>
      <c r="B2178" t="n">
        <v>7.736</v>
      </c>
      <c r="C2178" t="n">
        <v>0.9290265</v>
      </c>
    </row>
    <row r="2179">
      <c r="A2179" s="926" t="n">
        <v>35199</v>
      </c>
      <c r="B2179" t="n">
        <v>7.736</v>
      </c>
      <c r="C2179" t="n">
        <v>0.9290265</v>
      </c>
    </row>
    <row r="2180">
      <c r="A2180" s="926" t="n">
        <v>35200</v>
      </c>
      <c r="B2180" t="n">
        <v>7.736</v>
      </c>
      <c r="C2180" t="n">
        <v>0.929113</v>
      </c>
    </row>
    <row r="2181">
      <c r="A2181" s="926" t="n">
        <v>35201</v>
      </c>
      <c r="B2181" t="n">
        <v>7.737</v>
      </c>
      <c r="C2181" t="n">
        <v>0.9291995</v>
      </c>
    </row>
    <row r="2182">
      <c r="A2182" s="926" t="n">
        <v>35202</v>
      </c>
      <c r="B2182" t="n">
        <v>7.736</v>
      </c>
      <c r="C2182" t="n">
        <v>0.929113</v>
      </c>
    </row>
    <row r="2183">
      <c r="A2183" s="926" t="n">
        <v>35203</v>
      </c>
      <c r="B2183" t="n">
        <v>7.736</v>
      </c>
      <c r="C2183" t="n">
        <v>0.929113</v>
      </c>
    </row>
    <row r="2184">
      <c r="A2184" s="926" t="n">
        <v>35205</v>
      </c>
      <c r="B2184" t="n">
        <v>7.736</v>
      </c>
      <c r="C2184" t="n">
        <v>0.9286815</v>
      </c>
    </row>
    <row r="2185">
      <c r="A2185" s="926" t="n">
        <v>35206</v>
      </c>
      <c r="B2185" t="n">
        <v>7.736</v>
      </c>
      <c r="C2185" t="n">
        <v>0.928854</v>
      </c>
    </row>
    <row r="2186">
      <c r="A2186" s="926" t="n">
        <v>35207</v>
      </c>
      <c r="B2186" t="n">
        <v>7.735</v>
      </c>
      <c r="C2186" t="n">
        <v>0.9289404999999999</v>
      </c>
    </row>
    <row r="2187">
      <c r="A2187" s="926" t="n">
        <v>35208</v>
      </c>
      <c r="B2187" t="n">
        <v>7.736</v>
      </c>
      <c r="C2187" t="n">
        <v>0.928854</v>
      </c>
    </row>
    <row r="2188">
      <c r="A2188" s="926" t="n">
        <v>35209</v>
      </c>
      <c r="B2188" t="n">
        <v>7.736</v>
      </c>
      <c r="C2188" t="n">
        <v>0.9290265</v>
      </c>
    </row>
    <row r="2189">
      <c r="A2189" s="926" t="n">
        <v>35210</v>
      </c>
      <c r="B2189" t="n">
        <v>7.736</v>
      </c>
      <c r="C2189" t="n">
        <v>0.9290265</v>
      </c>
    </row>
    <row r="2190">
      <c r="A2190" s="926" t="n">
        <v>35212</v>
      </c>
      <c r="B2190" t="n">
        <v>7.737</v>
      </c>
      <c r="C2190" t="n">
        <v>0.9290265</v>
      </c>
    </row>
    <row r="2191">
      <c r="A2191" s="926" t="n">
        <v>35213</v>
      </c>
      <c r="B2191" t="n">
        <v>7.737</v>
      </c>
      <c r="C2191" t="n">
        <v>0.9294585</v>
      </c>
    </row>
    <row r="2192">
      <c r="A2192" s="926" t="n">
        <v>35214</v>
      </c>
      <c r="B2192" t="n">
        <v>7.738</v>
      </c>
      <c r="C2192" t="n">
        <v>0.9294585</v>
      </c>
    </row>
    <row r="2193">
      <c r="A2193" s="926" t="n">
        <v>35215</v>
      </c>
      <c r="B2193" t="n">
        <v>7.737</v>
      </c>
      <c r="C2193" t="n">
        <v>0.9294585</v>
      </c>
    </row>
    <row r="2194">
      <c r="A2194" s="926" t="n">
        <v>35216</v>
      </c>
      <c r="B2194" t="n">
        <v>7.738</v>
      </c>
      <c r="C2194" t="n">
        <v>0.9291995</v>
      </c>
    </row>
    <row r="2195">
      <c r="A2195" s="926" t="n">
        <v>35217</v>
      </c>
      <c r="B2195" t="n">
        <v>7.737</v>
      </c>
      <c r="C2195" t="n">
        <v>0.9291995</v>
      </c>
    </row>
    <row r="2196">
      <c r="A2196" s="926" t="n">
        <v>35219</v>
      </c>
      <c r="B2196" t="n">
        <v>7.736</v>
      </c>
      <c r="C2196" t="n">
        <v>0.9292855</v>
      </c>
    </row>
    <row r="2197">
      <c r="A2197" s="926" t="n">
        <v>35220</v>
      </c>
      <c r="B2197" t="n">
        <v>7.736</v>
      </c>
      <c r="C2197" t="n">
        <v>0.9294585</v>
      </c>
    </row>
    <row r="2198">
      <c r="A2198" s="926" t="n">
        <v>35221</v>
      </c>
      <c r="B2198" t="n">
        <v>7.737</v>
      </c>
      <c r="C2198" t="n">
        <v>0.9294585</v>
      </c>
    </row>
    <row r="2199">
      <c r="A2199" s="926" t="n">
        <v>35222</v>
      </c>
      <c r="B2199" t="n">
        <v>7.738</v>
      </c>
      <c r="C2199" t="n">
        <v>0.929545</v>
      </c>
    </row>
    <row r="2200">
      <c r="A2200" s="926" t="n">
        <v>35223</v>
      </c>
      <c r="B2200" t="n">
        <v>7.739</v>
      </c>
      <c r="C2200" t="n">
        <v>0.929631</v>
      </c>
    </row>
    <row r="2201">
      <c r="A2201" s="926" t="n">
        <v>35224</v>
      </c>
      <c r="B2201" t="n">
        <v>7.738</v>
      </c>
      <c r="C2201" t="n">
        <v>0.929631</v>
      </c>
    </row>
    <row r="2202">
      <c r="A2202" s="926" t="n">
        <v>35226</v>
      </c>
      <c r="B2202" t="n">
        <v>7.741</v>
      </c>
      <c r="C2202" t="n">
        <v>0.9298905</v>
      </c>
    </row>
    <row r="2203">
      <c r="A2203" s="926" t="n">
        <v>35227</v>
      </c>
      <c r="B2203" t="n">
        <v>7.74</v>
      </c>
      <c r="C2203" t="n">
        <v>0.9298905</v>
      </c>
    </row>
    <row r="2204">
      <c r="A2204" s="926" t="n">
        <v>35228</v>
      </c>
      <c r="B2204" t="n">
        <v>7.741</v>
      </c>
      <c r="C2204" t="n">
        <v>0.929804</v>
      </c>
    </row>
    <row r="2205">
      <c r="A2205" s="926" t="n">
        <v>35229</v>
      </c>
      <c r="B2205" t="n">
        <v>7.742</v>
      </c>
      <c r="C2205" t="n">
        <v>0.930193</v>
      </c>
    </row>
    <row r="2206">
      <c r="A2206" s="926" t="n">
        <v>35230</v>
      </c>
      <c r="B2206" t="n">
        <v>7.745</v>
      </c>
      <c r="C2206" t="n">
        <v>0.9303225000000001</v>
      </c>
    </row>
    <row r="2207">
      <c r="A2207" s="926" t="n">
        <v>35234</v>
      </c>
      <c r="B2207" t="n">
        <v>7.74</v>
      </c>
      <c r="C2207" t="n">
        <v>0.9308425</v>
      </c>
    </row>
    <row r="2208">
      <c r="A2208" s="926" t="n">
        <v>35235</v>
      </c>
      <c r="B2208" t="n">
        <v>7.74</v>
      </c>
      <c r="C2208" t="n">
        <v>0.930496</v>
      </c>
    </row>
    <row r="2209">
      <c r="A2209" s="926" t="n">
        <v>35237</v>
      </c>
      <c r="B2209" t="n">
        <v>7.741</v>
      </c>
      <c r="C2209" t="n">
        <v>0.930193</v>
      </c>
    </row>
    <row r="2210">
      <c r="A2210" s="926" t="n">
        <v>35238</v>
      </c>
      <c r="B2210" t="n">
        <v>7.741</v>
      </c>
      <c r="C2210" t="n">
        <v>0.930193</v>
      </c>
    </row>
    <row r="2211">
      <c r="A2211" s="926" t="n">
        <v>35240</v>
      </c>
      <c r="B2211" t="n">
        <v>7.74</v>
      </c>
      <c r="C2211" t="n">
        <v>0.9303225000000001</v>
      </c>
    </row>
    <row r="2212">
      <c r="A2212" s="926" t="n">
        <v>35241</v>
      </c>
      <c r="B2212" t="n">
        <v>7.738</v>
      </c>
      <c r="C2212" t="n">
        <v>0.930193</v>
      </c>
    </row>
    <row r="2213">
      <c r="A2213" s="926" t="n">
        <v>35242</v>
      </c>
      <c r="B2213" t="n">
        <v>7.738</v>
      </c>
      <c r="C2213" t="n">
        <v>0.9299770000000001</v>
      </c>
    </row>
    <row r="2214">
      <c r="A2214" s="926" t="n">
        <v>35243</v>
      </c>
      <c r="B2214" t="n">
        <v>7.74</v>
      </c>
      <c r="C2214" t="n">
        <v>0.930063</v>
      </c>
    </row>
    <row r="2215">
      <c r="A2215" s="926" t="n">
        <v>35244</v>
      </c>
      <c r="B2215" t="n">
        <v>7.74</v>
      </c>
      <c r="C2215" t="n">
        <v>0.930063</v>
      </c>
    </row>
    <row r="2216">
      <c r="A2216" s="926" t="n">
        <v>35245</v>
      </c>
      <c r="B2216" t="n">
        <v>7.74</v>
      </c>
      <c r="C2216" t="n">
        <v>0.930063</v>
      </c>
    </row>
    <row r="2217">
      <c r="A2217" s="926" t="n">
        <v>35247</v>
      </c>
      <c r="B2217" t="n">
        <v>7.741</v>
      </c>
      <c r="C2217" t="n">
        <v>0.930063</v>
      </c>
    </row>
    <row r="2218">
      <c r="A2218" s="926" t="n">
        <v>35248</v>
      </c>
      <c r="B2218" t="n">
        <v>7.74</v>
      </c>
      <c r="C2218" t="n">
        <v>0.93015</v>
      </c>
    </row>
    <row r="2219">
      <c r="A2219" s="926" t="n">
        <v>35249</v>
      </c>
      <c r="B2219" t="n">
        <v>7.741</v>
      </c>
      <c r="C2219" t="n">
        <v>0.930193</v>
      </c>
    </row>
    <row r="2220">
      <c r="A2220" s="926" t="n">
        <v>35250</v>
      </c>
      <c r="B2220" t="n">
        <v>7.741</v>
      </c>
      <c r="C2220" t="n">
        <v>0.9303225000000001</v>
      </c>
    </row>
    <row r="2221">
      <c r="A2221" s="926" t="n">
        <v>35251</v>
      </c>
      <c r="B2221" t="n">
        <v>7.741</v>
      </c>
      <c r="C2221" t="n">
        <v>0.9303225000000001</v>
      </c>
    </row>
    <row r="2222">
      <c r="A2222" s="926" t="n">
        <v>35252</v>
      </c>
      <c r="B2222" t="n">
        <v>7.741</v>
      </c>
      <c r="C2222" t="n">
        <v>0.9303225000000001</v>
      </c>
    </row>
    <row r="2223">
      <c r="A2223" s="926" t="n">
        <v>35254</v>
      </c>
      <c r="B2223" t="n">
        <v>7.741</v>
      </c>
      <c r="C2223" t="n">
        <v>0.930409</v>
      </c>
    </row>
    <row r="2224">
      <c r="A2224" s="926" t="n">
        <v>35255</v>
      </c>
      <c r="B2224" t="n">
        <v>7.74</v>
      </c>
      <c r="C2224" t="n">
        <v>0.930496</v>
      </c>
    </row>
    <row r="2225">
      <c r="A2225" s="926" t="n">
        <v>35256</v>
      </c>
      <c r="B2225" t="n">
        <v>7.739</v>
      </c>
      <c r="C2225" t="n">
        <v>0.9305825</v>
      </c>
    </row>
    <row r="2226">
      <c r="A2226" s="926" t="n">
        <v>35257</v>
      </c>
      <c r="B2226" t="n">
        <v>7.739</v>
      </c>
      <c r="C2226" t="n">
        <v>0.930669</v>
      </c>
    </row>
    <row r="2227">
      <c r="A2227" s="926" t="n">
        <v>35258</v>
      </c>
      <c r="B2227" t="n">
        <v>7.74</v>
      </c>
      <c r="C2227" t="n">
        <v>0.930669</v>
      </c>
    </row>
    <row r="2228">
      <c r="A2228" s="926" t="n">
        <v>35259</v>
      </c>
      <c r="B2228" t="n">
        <v>7.74</v>
      </c>
      <c r="C2228" t="n">
        <v>0.930669</v>
      </c>
    </row>
    <row r="2229">
      <c r="A2229" s="926" t="n">
        <v>35261</v>
      </c>
      <c r="B2229" t="n">
        <v>7.74</v>
      </c>
      <c r="C2229" t="n">
        <v>0.930669</v>
      </c>
    </row>
    <row r="2230">
      <c r="A2230" s="926" t="n">
        <v>35262</v>
      </c>
      <c r="B2230" t="n">
        <v>7.738</v>
      </c>
      <c r="C2230" t="n">
        <v>0.9305825</v>
      </c>
    </row>
    <row r="2231">
      <c r="A2231" s="926" t="n">
        <v>35263</v>
      </c>
      <c r="B2231" t="n">
        <v>7.738</v>
      </c>
      <c r="C2231" t="n">
        <v>0.930409</v>
      </c>
    </row>
    <row r="2232">
      <c r="A2232" s="926" t="n">
        <v>35264</v>
      </c>
      <c r="B2232" t="n">
        <v>7.738</v>
      </c>
      <c r="C2232" t="n">
        <v>0.930496</v>
      </c>
    </row>
    <row r="2233">
      <c r="A2233" s="926" t="n">
        <v>35265</v>
      </c>
      <c r="B2233" t="n">
        <v>7.737</v>
      </c>
      <c r="C2233" t="n">
        <v>0.930496</v>
      </c>
    </row>
    <row r="2234">
      <c r="A2234" s="926" t="n">
        <v>35266</v>
      </c>
      <c r="B2234" t="n">
        <v>7.737</v>
      </c>
      <c r="C2234" t="n">
        <v>0.930496</v>
      </c>
    </row>
    <row r="2235">
      <c r="A2235" s="926" t="n">
        <v>35268</v>
      </c>
      <c r="B2235" t="n">
        <v>7.736</v>
      </c>
      <c r="C2235" t="n">
        <v>0.930496</v>
      </c>
    </row>
    <row r="2236">
      <c r="A2236" s="926" t="n">
        <v>35269</v>
      </c>
      <c r="B2236" t="n">
        <v>7.735</v>
      </c>
      <c r="C2236" t="n">
        <v>0.9305825</v>
      </c>
    </row>
    <row r="2237">
      <c r="A2237" s="926" t="n">
        <v>35270</v>
      </c>
      <c r="B2237" t="n">
        <v>7.735</v>
      </c>
      <c r="C2237" t="n">
        <v>0.9307555</v>
      </c>
    </row>
    <row r="2238">
      <c r="A2238" s="926" t="n">
        <v>35271</v>
      </c>
      <c r="B2238" t="n">
        <v>7.734</v>
      </c>
      <c r="C2238" t="n">
        <v>0.930669</v>
      </c>
    </row>
    <row r="2239">
      <c r="A2239" s="926" t="n">
        <v>35272</v>
      </c>
      <c r="B2239" t="n">
        <v>7.734</v>
      </c>
      <c r="C2239" t="n">
        <v>0.930669</v>
      </c>
    </row>
    <row r="2240">
      <c r="A2240" s="926" t="n">
        <v>35273</v>
      </c>
      <c r="B2240" t="n">
        <v>7.733</v>
      </c>
      <c r="C2240" t="n">
        <v>0.930669</v>
      </c>
    </row>
    <row r="2241">
      <c r="A2241" s="926" t="n">
        <v>35275</v>
      </c>
      <c r="B2241" t="n">
        <v>7.733</v>
      </c>
      <c r="C2241" t="n">
        <v>0.9303225000000001</v>
      </c>
    </row>
    <row r="2242">
      <c r="A2242" s="926" t="n">
        <v>35276</v>
      </c>
      <c r="B2242" t="n">
        <v>7.732</v>
      </c>
      <c r="C2242" t="n">
        <v>0.930193</v>
      </c>
    </row>
    <row r="2243">
      <c r="A2243" s="926" t="n">
        <v>35277</v>
      </c>
      <c r="B2243" t="n">
        <v>7.734</v>
      </c>
      <c r="C2243" t="n">
        <v>0.930193</v>
      </c>
    </row>
    <row r="2244">
      <c r="A2244" s="926" t="n">
        <v>35278</v>
      </c>
      <c r="B2244" t="n">
        <v>7.734</v>
      </c>
      <c r="C2244" t="n">
        <v>0.930496</v>
      </c>
    </row>
    <row r="2245">
      <c r="A2245" s="926" t="n">
        <v>35279</v>
      </c>
      <c r="B2245" t="n">
        <v>7.735</v>
      </c>
      <c r="C2245" t="n">
        <v>0.930669</v>
      </c>
    </row>
    <row r="2246">
      <c r="A2246" s="926" t="n">
        <v>35280</v>
      </c>
      <c r="B2246" t="n">
        <v>7.735</v>
      </c>
      <c r="C2246" t="n">
        <v>0.930669</v>
      </c>
    </row>
    <row r="2247">
      <c r="A2247" s="926" t="n">
        <v>35282</v>
      </c>
      <c r="B2247" t="n">
        <v>7.737</v>
      </c>
      <c r="C2247" t="n">
        <v>0.9308425</v>
      </c>
    </row>
    <row r="2248">
      <c r="A2248" s="926" t="n">
        <v>35283</v>
      </c>
      <c r="B2248" t="n">
        <v>7.738</v>
      </c>
      <c r="C2248" t="n">
        <v>0.9308425</v>
      </c>
    </row>
    <row r="2249">
      <c r="A2249" s="926" t="n">
        <v>35284</v>
      </c>
      <c r="B2249" t="n">
        <v>7.736</v>
      </c>
      <c r="C2249" t="n">
        <v>0.9312755</v>
      </c>
    </row>
    <row r="2250">
      <c r="A2250" s="926" t="n">
        <v>35285</v>
      </c>
      <c r="B2250" t="n">
        <v>7.735</v>
      </c>
      <c r="C2250" t="n">
        <v>0.930669</v>
      </c>
    </row>
    <row r="2251">
      <c r="A2251" s="926" t="n">
        <v>35286</v>
      </c>
      <c r="B2251" t="n">
        <v>7.737</v>
      </c>
      <c r="C2251" t="n">
        <v>0.930929</v>
      </c>
    </row>
    <row r="2252">
      <c r="A2252" s="926" t="n">
        <v>35287</v>
      </c>
      <c r="B2252" t="n">
        <v>7.736</v>
      </c>
      <c r="C2252" t="n">
        <v>0.930929</v>
      </c>
    </row>
    <row r="2253">
      <c r="A2253" s="926" t="n">
        <v>35289</v>
      </c>
      <c r="B2253" t="n">
        <v>7.736</v>
      </c>
      <c r="C2253" t="n">
        <v>0.9311025000000001</v>
      </c>
    </row>
    <row r="2254">
      <c r="A2254" s="926" t="n">
        <v>35290</v>
      </c>
      <c r="B2254" t="n">
        <v>7.735</v>
      </c>
      <c r="C2254" t="n">
        <v>0.9311025000000001</v>
      </c>
    </row>
    <row r="2255">
      <c r="A2255" s="926" t="n">
        <v>35291</v>
      </c>
      <c r="B2255" t="n">
        <v>7.734</v>
      </c>
      <c r="C2255" t="n">
        <v>0.930929</v>
      </c>
    </row>
    <row r="2256">
      <c r="A2256" s="926" t="n">
        <v>35292</v>
      </c>
      <c r="B2256" t="n">
        <v>7.734</v>
      </c>
      <c r="C2256" t="n">
        <v>0.9310155</v>
      </c>
    </row>
    <row r="2257">
      <c r="A2257" s="926" t="n">
        <v>35293</v>
      </c>
      <c r="B2257" t="n">
        <v>7.734</v>
      </c>
      <c r="C2257" t="n">
        <v>0.9310155</v>
      </c>
    </row>
    <row r="2258">
      <c r="A2258" s="926" t="n">
        <v>35294</v>
      </c>
      <c r="B2258" t="n">
        <v>7.7335</v>
      </c>
      <c r="C2258" t="n">
        <v>0.9310155</v>
      </c>
    </row>
    <row r="2259">
      <c r="A2259" s="926" t="n">
        <v>35296</v>
      </c>
      <c r="B2259" t="n">
        <v>7.7335</v>
      </c>
      <c r="C2259" t="n">
        <v>0.9310155</v>
      </c>
    </row>
    <row r="2260">
      <c r="A2260" s="926" t="n">
        <v>35297</v>
      </c>
      <c r="B2260" t="n">
        <v>7.7345</v>
      </c>
      <c r="C2260" t="n">
        <v>0.9310155</v>
      </c>
    </row>
    <row r="2261">
      <c r="A2261" s="926" t="n">
        <v>35298</v>
      </c>
      <c r="B2261" t="n">
        <v>7.7345</v>
      </c>
      <c r="C2261" t="n">
        <v>0.931189</v>
      </c>
    </row>
    <row r="2262">
      <c r="A2262" s="926" t="n">
        <v>35299</v>
      </c>
      <c r="B2262" t="n">
        <v>7.7335</v>
      </c>
      <c r="C2262" t="n">
        <v>0.9310155</v>
      </c>
    </row>
    <row r="2263">
      <c r="A2263" s="926" t="n">
        <v>35300</v>
      </c>
      <c r="B2263" t="n">
        <v>7.7335</v>
      </c>
      <c r="C2263" t="n">
        <v>0.9311025000000001</v>
      </c>
    </row>
    <row r="2264">
      <c r="A2264" s="926" t="n">
        <v>35304</v>
      </c>
      <c r="B2264" t="n">
        <v>7.7325</v>
      </c>
      <c r="C2264" t="n">
        <v>0.9308425</v>
      </c>
    </row>
    <row r="2265">
      <c r="A2265" s="926" t="n">
        <v>35305</v>
      </c>
      <c r="B2265" t="n">
        <v>7.7325</v>
      </c>
      <c r="C2265" t="n">
        <v>0.9307555</v>
      </c>
    </row>
    <row r="2266">
      <c r="A2266" s="926" t="n">
        <v>35306</v>
      </c>
      <c r="B2266" t="n">
        <v>7.7315</v>
      </c>
      <c r="C2266" t="n">
        <v>0.9308425</v>
      </c>
    </row>
    <row r="2267">
      <c r="A2267" s="926" t="n">
        <v>35307</v>
      </c>
      <c r="B2267" t="n">
        <v>7.7315</v>
      </c>
      <c r="C2267" t="n">
        <v>0.9308425</v>
      </c>
    </row>
    <row r="2268">
      <c r="A2268" s="926" t="n">
        <v>35308</v>
      </c>
      <c r="B2268" t="n">
        <v>7.7325</v>
      </c>
      <c r="C2268" t="n">
        <v>0.9308425</v>
      </c>
    </row>
    <row r="2269">
      <c r="A2269" s="926" t="n">
        <v>35310</v>
      </c>
      <c r="B2269" t="n">
        <v>7.7325</v>
      </c>
      <c r="C2269" t="n">
        <v>0.930929</v>
      </c>
    </row>
    <row r="2270">
      <c r="A2270" s="926" t="n">
        <v>35311</v>
      </c>
      <c r="B2270" t="n">
        <v>7.7335</v>
      </c>
      <c r="C2270" t="n">
        <v>0.930929</v>
      </c>
    </row>
    <row r="2271">
      <c r="A2271" s="926" t="n">
        <v>35312</v>
      </c>
      <c r="B2271" t="n">
        <v>7.7325</v>
      </c>
      <c r="C2271" t="n">
        <v>0.9310155</v>
      </c>
    </row>
    <row r="2272">
      <c r="A2272" s="926" t="n">
        <v>35313</v>
      </c>
      <c r="B2272" t="n">
        <v>7.7335</v>
      </c>
      <c r="C2272" t="n">
        <v>0.930929</v>
      </c>
    </row>
    <row r="2273">
      <c r="A2273" s="926" t="n">
        <v>35314</v>
      </c>
      <c r="B2273" t="n">
        <v>7.7325</v>
      </c>
      <c r="C2273" t="n">
        <v>0.9311025000000001</v>
      </c>
    </row>
    <row r="2274">
      <c r="A2274" s="926" t="n">
        <v>35315</v>
      </c>
      <c r="B2274" t="n">
        <v>7.7315</v>
      </c>
      <c r="C2274" t="n">
        <v>0.9311025000000001</v>
      </c>
    </row>
    <row r="2275">
      <c r="A2275" s="926" t="n">
        <v>35317</v>
      </c>
      <c r="B2275" t="n">
        <v>7.7325</v>
      </c>
      <c r="C2275" t="n">
        <v>0.9310155</v>
      </c>
    </row>
    <row r="2276">
      <c r="A2276" s="926" t="n">
        <v>35318</v>
      </c>
      <c r="B2276" t="n">
        <v>7.7325</v>
      </c>
      <c r="C2276" t="n">
        <v>0.931189</v>
      </c>
    </row>
    <row r="2277">
      <c r="A2277" s="926" t="n">
        <v>35319</v>
      </c>
      <c r="B2277" t="n">
        <v>7.7325</v>
      </c>
      <c r="C2277" t="n">
        <v>0.9308425</v>
      </c>
    </row>
    <row r="2278">
      <c r="A2278" s="926" t="n">
        <v>35320</v>
      </c>
      <c r="B2278" t="n">
        <v>7.7325</v>
      </c>
      <c r="C2278" t="n">
        <v>0.9308425</v>
      </c>
    </row>
    <row r="2279">
      <c r="A2279" s="926" t="n">
        <v>35321</v>
      </c>
      <c r="B2279" t="n">
        <v>7.7325</v>
      </c>
      <c r="C2279" t="n">
        <v>0.930929</v>
      </c>
    </row>
    <row r="2280">
      <c r="A2280" s="926" t="n">
        <v>35322</v>
      </c>
      <c r="B2280" t="n">
        <v>7.7335</v>
      </c>
      <c r="C2280" t="n">
        <v>0.930929</v>
      </c>
    </row>
    <row r="2281">
      <c r="A2281" s="926" t="n">
        <v>35324</v>
      </c>
      <c r="B2281" t="n">
        <v>7.7325</v>
      </c>
      <c r="C2281" t="n">
        <v>0.9311025000000001</v>
      </c>
    </row>
    <row r="2282">
      <c r="A2282" s="926" t="n">
        <v>35325</v>
      </c>
      <c r="B2282" t="n">
        <v>7.7325</v>
      </c>
      <c r="C2282" t="n">
        <v>0.9310155</v>
      </c>
    </row>
    <row r="2283">
      <c r="A2283" s="926" t="n">
        <v>35326</v>
      </c>
      <c r="B2283" t="n">
        <v>7.7325</v>
      </c>
      <c r="C2283" t="n">
        <v>0.931189</v>
      </c>
    </row>
    <row r="2284">
      <c r="A2284" s="926" t="n">
        <v>35327</v>
      </c>
      <c r="B2284" t="n">
        <v>7.7325</v>
      </c>
      <c r="C2284" t="n">
        <v>0.9311025000000001</v>
      </c>
    </row>
    <row r="2285">
      <c r="A2285" s="926" t="n">
        <v>35328</v>
      </c>
      <c r="B2285" t="n">
        <v>7.7325</v>
      </c>
      <c r="C2285" t="n">
        <v>0.931189</v>
      </c>
    </row>
    <row r="2286">
      <c r="A2286" s="926" t="n">
        <v>35329</v>
      </c>
      <c r="B2286" t="n">
        <v>7.7325</v>
      </c>
      <c r="C2286" t="n">
        <v>0.931189</v>
      </c>
    </row>
    <row r="2287">
      <c r="A2287" s="926" t="n">
        <v>35331</v>
      </c>
      <c r="B2287" t="n">
        <v>7.7325</v>
      </c>
      <c r="C2287" t="n">
        <v>0.9312755</v>
      </c>
    </row>
    <row r="2288">
      <c r="A2288" s="926" t="n">
        <v>35332</v>
      </c>
      <c r="B2288" t="n">
        <v>7.7315</v>
      </c>
      <c r="C2288" t="n">
        <v>0.9313625</v>
      </c>
    </row>
    <row r="2289">
      <c r="A2289" s="926" t="n">
        <v>35333</v>
      </c>
      <c r="B2289" t="n">
        <v>7.7315</v>
      </c>
      <c r="C2289" t="n">
        <v>0.9313625</v>
      </c>
    </row>
    <row r="2290">
      <c r="A2290" s="926" t="n">
        <v>35334</v>
      </c>
      <c r="B2290" t="n">
        <v>7.7325</v>
      </c>
      <c r="C2290" t="n">
        <v>0.9313625</v>
      </c>
    </row>
    <row r="2291">
      <c r="A2291" s="926" t="n">
        <v>35335</v>
      </c>
      <c r="B2291" t="n">
        <v>7.7325</v>
      </c>
      <c r="C2291" t="n">
        <v>0.9313625</v>
      </c>
    </row>
    <row r="2292">
      <c r="A2292" s="926" t="n">
        <v>35338</v>
      </c>
      <c r="B2292" t="n">
        <v>7.7325</v>
      </c>
      <c r="C2292" t="n">
        <v>0.931536</v>
      </c>
    </row>
    <row r="2293">
      <c r="A2293" s="926" t="n">
        <v>35339</v>
      </c>
      <c r="B2293" t="n">
        <v>7.7325</v>
      </c>
      <c r="C2293" t="n">
        <v>0.931536</v>
      </c>
    </row>
    <row r="2294">
      <c r="A2294" s="926" t="n">
        <v>35340</v>
      </c>
      <c r="B2294" t="n">
        <v>7.7325</v>
      </c>
      <c r="C2294" t="n">
        <v>0.931536</v>
      </c>
    </row>
    <row r="2295">
      <c r="A2295" s="926" t="n">
        <v>35341</v>
      </c>
      <c r="B2295" t="n">
        <v>7.7325</v>
      </c>
      <c r="C2295" t="n">
        <v>0.931449</v>
      </c>
    </row>
    <row r="2296">
      <c r="A2296" s="926" t="n">
        <v>35342</v>
      </c>
      <c r="B2296" t="n">
        <v>7.7325</v>
      </c>
      <c r="C2296" t="n">
        <v>0.931449</v>
      </c>
    </row>
    <row r="2297">
      <c r="A2297" s="926" t="n">
        <v>35343</v>
      </c>
      <c r="B2297" t="n">
        <v>7.7325</v>
      </c>
      <c r="C2297" t="n">
        <v>0.931449</v>
      </c>
    </row>
    <row r="2298">
      <c r="A2298" s="926" t="n">
        <v>35345</v>
      </c>
      <c r="B2298" t="n">
        <v>7.7325</v>
      </c>
      <c r="C2298" t="n">
        <v>0.931536</v>
      </c>
    </row>
    <row r="2299">
      <c r="A2299" s="926" t="n">
        <v>35346</v>
      </c>
      <c r="B2299" t="n">
        <v>7.7325</v>
      </c>
      <c r="C2299" t="n">
        <v>0.931449</v>
      </c>
    </row>
    <row r="2300">
      <c r="A2300" s="926" t="n">
        <v>35347</v>
      </c>
      <c r="B2300" t="n">
        <v>7.7325</v>
      </c>
      <c r="C2300" t="n">
        <v>0.931536</v>
      </c>
    </row>
    <row r="2301">
      <c r="A2301" s="926" t="n">
        <v>35348</v>
      </c>
      <c r="B2301" t="n">
        <v>7.7325</v>
      </c>
      <c r="C2301" t="n">
        <v>0.931536</v>
      </c>
    </row>
    <row r="2302">
      <c r="A2302" s="926" t="n">
        <v>35349</v>
      </c>
      <c r="B2302" t="n">
        <v>7.7325</v>
      </c>
      <c r="C2302" t="n">
        <v>0.9316225</v>
      </c>
    </row>
    <row r="2303">
      <c r="A2303" s="926" t="n">
        <v>35350</v>
      </c>
      <c r="B2303" t="n">
        <v>7.7315</v>
      </c>
      <c r="C2303" t="n">
        <v>0.9316225</v>
      </c>
    </row>
    <row r="2304">
      <c r="A2304" s="926" t="n">
        <v>35352</v>
      </c>
      <c r="B2304" t="n">
        <v>7.7325</v>
      </c>
      <c r="C2304" t="n">
        <v>0.9317095</v>
      </c>
    </row>
    <row r="2305">
      <c r="A2305" s="926" t="n">
        <v>35353</v>
      </c>
      <c r="B2305" t="n">
        <v>7.7325</v>
      </c>
      <c r="C2305" t="n">
        <v>0.9317965</v>
      </c>
    </row>
    <row r="2306">
      <c r="A2306" s="926" t="n">
        <v>35354</v>
      </c>
      <c r="B2306" t="n">
        <v>7.7325</v>
      </c>
      <c r="C2306" t="n">
        <v>0.9317965</v>
      </c>
    </row>
    <row r="2307">
      <c r="A2307" s="926" t="n">
        <v>35355</v>
      </c>
      <c r="B2307" t="n">
        <v>7.7325</v>
      </c>
      <c r="C2307" t="n">
        <v>0.9318835</v>
      </c>
    </row>
    <row r="2308">
      <c r="A2308" s="926" t="n">
        <v>35356</v>
      </c>
      <c r="B2308" t="n">
        <v>7.7315</v>
      </c>
      <c r="C2308" t="n">
        <v>0.93197</v>
      </c>
    </row>
    <row r="2309">
      <c r="A2309" s="926" t="n">
        <v>35357</v>
      </c>
      <c r="B2309" t="n">
        <v>7.7325</v>
      </c>
      <c r="C2309" t="n">
        <v>0.93197</v>
      </c>
    </row>
    <row r="2310">
      <c r="A2310" s="926" t="n">
        <v>35360</v>
      </c>
      <c r="B2310" t="n">
        <v>7.7315</v>
      </c>
      <c r="C2310" t="n">
        <v>0.9317535</v>
      </c>
    </row>
    <row r="2311">
      <c r="A2311" s="926" t="n">
        <v>35361</v>
      </c>
      <c r="B2311" t="n">
        <v>7.7315</v>
      </c>
      <c r="C2311" t="n">
        <v>0.9315795</v>
      </c>
    </row>
    <row r="2312">
      <c r="A2312" s="926" t="n">
        <v>35362</v>
      </c>
      <c r="B2312" t="n">
        <v>7.7325</v>
      </c>
      <c r="C2312" t="n">
        <v>0.9315795</v>
      </c>
    </row>
    <row r="2313">
      <c r="A2313" s="926" t="n">
        <v>35363</v>
      </c>
      <c r="B2313" t="n">
        <v>7.7315</v>
      </c>
      <c r="C2313" t="n">
        <v>0.9315795</v>
      </c>
    </row>
    <row r="2314">
      <c r="A2314" s="926" t="n">
        <v>35364</v>
      </c>
      <c r="B2314" t="n">
        <v>7.7315</v>
      </c>
      <c r="C2314" t="n">
        <v>0.9315795</v>
      </c>
    </row>
    <row r="2315">
      <c r="A2315" s="926" t="n">
        <v>35366</v>
      </c>
      <c r="B2315" t="n">
        <v>7.7315</v>
      </c>
      <c r="C2315" t="n">
        <v>0.9314924999999999</v>
      </c>
    </row>
    <row r="2316">
      <c r="A2316" s="926" t="n">
        <v>35367</v>
      </c>
      <c r="B2316" t="n">
        <v>7.7315</v>
      </c>
      <c r="C2316" t="n">
        <v>0.931406</v>
      </c>
    </row>
    <row r="2317">
      <c r="A2317" s="926" t="n">
        <v>35368</v>
      </c>
      <c r="B2317" t="n">
        <v>7.7315</v>
      </c>
      <c r="C2317" t="n">
        <v>0.9314924999999999</v>
      </c>
    </row>
    <row r="2318">
      <c r="A2318" s="926" t="n">
        <v>35369</v>
      </c>
      <c r="B2318" t="n">
        <v>7.7315</v>
      </c>
      <c r="C2318" t="n">
        <v>0.9315795</v>
      </c>
    </row>
    <row r="2319">
      <c r="A2319" s="926" t="n">
        <v>35370</v>
      </c>
      <c r="B2319" t="n">
        <v>7.7325</v>
      </c>
      <c r="C2319" t="n">
        <v>0.931666</v>
      </c>
    </row>
    <row r="2320">
      <c r="A2320" s="926" t="n">
        <v>35371</v>
      </c>
      <c r="B2320" t="n">
        <v>7.7315</v>
      </c>
      <c r="C2320" t="n">
        <v>0.931666</v>
      </c>
    </row>
    <row r="2321">
      <c r="A2321" s="926" t="n">
        <v>35373</v>
      </c>
      <c r="B2321" t="n">
        <v>7.7325</v>
      </c>
      <c r="C2321" t="n">
        <v>0.9317535</v>
      </c>
    </row>
    <row r="2322">
      <c r="A2322" s="926" t="n">
        <v>35374</v>
      </c>
      <c r="B2322" t="n">
        <v>7.7325</v>
      </c>
      <c r="C2322" t="n">
        <v>0.93184</v>
      </c>
    </row>
    <row r="2323">
      <c r="A2323" s="926" t="n">
        <v>35375</v>
      </c>
      <c r="B2323" t="n">
        <v>7.7325</v>
      </c>
      <c r="C2323" t="n">
        <v>0.93184</v>
      </c>
    </row>
    <row r="2324">
      <c r="A2324" s="926" t="n">
        <v>35376</v>
      </c>
      <c r="B2324" t="n">
        <v>7.7325</v>
      </c>
      <c r="C2324" t="n">
        <v>0.9319269999999999</v>
      </c>
    </row>
    <row r="2325">
      <c r="A2325" s="926" t="n">
        <v>35377</v>
      </c>
      <c r="B2325" t="n">
        <v>7.7325</v>
      </c>
      <c r="C2325" t="n">
        <v>0.9319269999999999</v>
      </c>
    </row>
    <row r="2326">
      <c r="A2326" s="926" t="n">
        <v>35378</v>
      </c>
      <c r="B2326" t="n">
        <v>7.7325</v>
      </c>
      <c r="C2326" t="n">
        <v>0.9319269999999999</v>
      </c>
    </row>
    <row r="2327">
      <c r="A2327" s="926" t="n">
        <v>35380</v>
      </c>
      <c r="B2327" t="n">
        <v>7.7325</v>
      </c>
      <c r="C2327" t="n">
        <v>0.9319269999999999</v>
      </c>
    </row>
    <row r="2328">
      <c r="A2328" s="926" t="n">
        <v>35381</v>
      </c>
      <c r="B2328" t="n">
        <v>7.7325</v>
      </c>
      <c r="C2328" t="n">
        <v>0.9320135000000001</v>
      </c>
    </row>
    <row r="2329">
      <c r="A2329" s="926" t="n">
        <v>35382</v>
      </c>
      <c r="B2329" t="n">
        <v>7.7315</v>
      </c>
      <c r="C2329" t="n">
        <v>0.93197</v>
      </c>
    </row>
    <row r="2330">
      <c r="A2330" s="926" t="n">
        <v>35383</v>
      </c>
      <c r="B2330" t="n">
        <v>7.7315</v>
      </c>
      <c r="C2330" t="n">
        <v>0.93184</v>
      </c>
    </row>
    <row r="2331">
      <c r="A2331" s="926" t="n">
        <v>35384</v>
      </c>
      <c r="B2331" t="n">
        <v>7.7315</v>
      </c>
      <c r="C2331" t="n">
        <v>0.931666</v>
      </c>
    </row>
    <row r="2332">
      <c r="A2332" s="926" t="n">
        <v>35385</v>
      </c>
      <c r="B2332" t="n">
        <v>7.7315</v>
      </c>
      <c r="C2332" t="n">
        <v>0.931666</v>
      </c>
    </row>
    <row r="2333">
      <c r="A2333" s="926" t="n">
        <v>35387</v>
      </c>
      <c r="B2333" t="n">
        <v>7.7315</v>
      </c>
      <c r="C2333" t="n">
        <v>0.9315795</v>
      </c>
    </row>
    <row r="2334">
      <c r="A2334" s="926" t="n">
        <v>35388</v>
      </c>
      <c r="B2334" t="n">
        <v>7.7315</v>
      </c>
      <c r="C2334" t="n">
        <v>0.9315795</v>
      </c>
    </row>
    <row r="2335">
      <c r="A2335" s="926" t="n">
        <v>35389</v>
      </c>
      <c r="B2335" t="n">
        <v>7.7315</v>
      </c>
      <c r="C2335" t="n">
        <v>0.9315795</v>
      </c>
    </row>
    <row r="2336">
      <c r="A2336" s="926" t="n">
        <v>35390</v>
      </c>
      <c r="B2336" t="n">
        <v>7.7315</v>
      </c>
      <c r="C2336" t="n">
        <v>0.9315795</v>
      </c>
    </row>
    <row r="2337">
      <c r="A2337" s="926" t="n">
        <v>35391</v>
      </c>
      <c r="B2337" t="n">
        <v>7.7315</v>
      </c>
      <c r="C2337" t="n">
        <v>0.931449</v>
      </c>
    </row>
    <row r="2338">
      <c r="A2338" s="926" t="n">
        <v>35392</v>
      </c>
      <c r="B2338" t="n">
        <v>7.7315</v>
      </c>
      <c r="C2338" t="n">
        <v>0.931449</v>
      </c>
    </row>
    <row r="2339">
      <c r="A2339" s="926" t="n">
        <v>35394</v>
      </c>
      <c r="B2339" t="n">
        <v>7.7325</v>
      </c>
      <c r="C2339" t="n">
        <v>0.931406</v>
      </c>
    </row>
    <row r="2340">
      <c r="A2340" s="926" t="n">
        <v>35395</v>
      </c>
      <c r="B2340" t="n">
        <v>7.7325</v>
      </c>
      <c r="C2340" t="n">
        <v>0.931406</v>
      </c>
    </row>
    <row r="2341">
      <c r="A2341" s="926" t="n">
        <v>35396</v>
      </c>
      <c r="B2341" t="n">
        <v>7.7325</v>
      </c>
      <c r="C2341" t="n">
        <v>0.931449</v>
      </c>
    </row>
    <row r="2342">
      <c r="A2342" s="926" t="n">
        <v>35397</v>
      </c>
      <c r="B2342" t="n">
        <v>7.7325</v>
      </c>
      <c r="C2342" t="n">
        <v>0.9314924999999999</v>
      </c>
    </row>
    <row r="2343">
      <c r="A2343" s="926" t="n">
        <v>35398</v>
      </c>
      <c r="B2343" t="n">
        <v>7.7325</v>
      </c>
      <c r="C2343" t="n">
        <v>0.9314924999999999</v>
      </c>
    </row>
    <row r="2344">
      <c r="A2344" s="926" t="n">
        <v>35399</v>
      </c>
      <c r="B2344" t="n">
        <v>7.7325</v>
      </c>
      <c r="C2344" t="n">
        <v>0.9314924999999999</v>
      </c>
    </row>
    <row r="2345">
      <c r="A2345" s="926" t="n">
        <v>35401</v>
      </c>
      <c r="B2345" t="n">
        <v>7.7315</v>
      </c>
      <c r="C2345" t="n">
        <v>0.931449</v>
      </c>
    </row>
    <row r="2346">
      <c r="A2346" s="926" t="n">
        <v>35402</v>
      </c>
      <c r="B2346" t="n">
        <v>7.7325</v>
      </c>
      <c r="C2346" t="n">
        <v>0.9314924999999999</v>
      </c>
    </row>
    <row r="2347">
      <c r="A2347" s="926" t="n">
        <v>35403</v>
      </c>
      <c r="B2347" t="n">
        <v>7.7325</v>
      </c>
      <c r="C2347" t="n">
        <v>0.9314924999999999</v>
      </c>
    </row>
    <row r="2348">
      <c r="A2348" s="926" t="n">
        <v>35404</v>
      </c>
      <c r="B2348" t="n">
        <v>7.7325</v>
      </c>
      <c r="C2348" t="n">
        <v>0.9315795</v>
      </c>
    </row>
    <row r="2349">
      <c r="A2349" s="926" t="n">
        <v>35405</v>
      </c>
      <c r="B2349" t="n">
        <v>7.7335</v>
      </c>
      <c r="C2349" t="n">
        <v>0.9314924999999999</v>
      </c>
    </row>
    <row r="2350">
      <c r="A2350" s="926" t="n">
        <v>35406</v>
      </c>
      <c r="B2350" t="n">
        <v>7.7325</v>
      </c>
      <c r="C2350" t="n">
        <v>0.9314924999999999</v>
      </c>
    </row>
    <row r="2351">
      <c r="A2351" s="926" t="n">
        <v>35408</v>
      </c>
      <c r="B2351" t="n">
        <v>7.7325</v>
      </c>
      <c r="C2351" t="n">
        <v>0.9315795</v>
      </c>
    </row>
    <row r="2352">
      <c r="A2352" s="926" t="n">
        <v>35409</v>
      </c>
      <c r="B2352" t="n">
        <v>7.7335</v>
      </c>
      <c r="C2352" t="n">
        <v>0.9317535</v>
      </c>
    </row>
    <row r="2353">
      <c r="A2353" s="926" t="n">
        <v>35410</v>
      </c>
      <c r="B2353" t="n">
        <v>7.7345</v>
      </c>
      <c r="C2353" t="n">
        <v>0.9317535</v>
      </c>
    </row>
    <row r="2354">
      <c r="A2354" s="926" t="n">
        <v>35411</v>
      </c>
      <c r="B2354" t="n">
        <v>7.7355</v>
      </c>
      <c r="C2354" t="n">
        <v>0.9319269999999999</v>
      </c>
    </row>
    <row r="2355">
      <c r="A2355" s="926" t="n">
        <v>35412</v>
      </c>
      <c r="B2355" t="n">
        <v>7.7375</v>
      </c>
      <c r="C2355" t="n">
        <v>0.932057</v>
      </c>
    </row>
    <row r="2356">
      <c r="A2356" s="926" t="n">
        <v>35413</v>
      </c>
      <c r="B2356" t="n">
        <v>7.7395</v>
      </c>
      <c r="C2356" t="n">
        <v>0.932057</v>
      </c>
    </row>
    <row r="2357">
      <c r="A2357" s="926" t="n">
        <v>35415</v>
      </c>
      <c r="B2357" t="n">
        <v>7.7375</v>
      </c>
      <c r="C2357" t="n">
        <v>0.932535</v>
      </c>
    </row>
    <row r="2358">
      <c r="A2358" s="926" t="n">
        <v>35416</v>
      </c>
      <c r="B2358" t="n">
        <v>7.7355</v>
      </c>
      <c r="C2358" t="n">
        <v>0.9324480000000001</v>
      </c>
    </row>
    <row r="2359">
      <c r="A2359" s="926" t="n">
        <v>35417</v>
      </c>
      <c r="B2359" t="n">
        <v>7.7365</v>
      </c>
      <c r="C2359" t="n">
        <v>0.932361</v>
      </c>
    </row>
    <row r="2360">
      <c r="A2360" s="926" t="n">
        <v>35418</v>
      </c>
      <c r="B2360" t="n">
        <v>7.7385</v>
      </c>
      <c r="C2360" t="n">
        <v>0.932535</v>
      </c>
    </row>
    <row r="2361">
      <c r="A2361" s="926" t="n">
        <v>35419</v>
      </c>
      <c r="B2361" t="n">
        <v>7.7385</v>
      </c>
      <c r="C2361" t="n">
        <v>0.932622</v>
      </c>
    </row>
    <row r="2362">
      <c r="A2362" s="926" t="n">
        <v>35420</v>
      </c>
      <c r="B2362" t="n">
        <v>7.7365</v>
      </c>
      <c r="C2362" t="n">
        <v>0.932622</v>
      </c>
    </row>
    <row r="2363">
      <c r="A2363" s="926" t="n">
        <v>35422</v>
      </c>
      <c r="B2363" t="n">
        <v>7.7365</v>
      </c>
      <c r="C2363" t="n">
        <v>0.932535</v>
      </c>
    </row>
    <row r="2364">
      <c r="A2364" s="926" t="n">
        <v>35423</v>
      </c>
      <c r="B2364" t="n">
        <v>7.7375</v>
      </c>
      <c r="C2364" t="n">
        <v>0.932535</v>
      </c>
    </row>
    <row r="2365">
      <c r="A2365" s="926" t="n">
        <v>35426</v>
      </c>
      <c r="B2365" t="n">
        <v>7.7385</v>
      </c>
      <c r="C2365" t="n">
        <v>0.932491</v>
      </c>
    </row>
    <row r="2366">
      <c r="A2366" s="926" t="n">
        <v>35427</v>
      </c>
      <c r="B2366" t="n">
        <v>7.7375</v>
      </c>
      <c r="C2366" t="n">
        <v>0.932491</v>
      </c>
    </row>
    <row r="2367">
      <c r="A2367" s="926" t="n">
        <v>35429</v>
      </c>
      <c r="B2367" t="n">
        <v>7.7365</v>
      </c>
      <c r="C2367" t="n">
        <v>0.9324480000000001</v>
      </c>
    </row>
    <row r="2368">
      <c r="A2368" s="926" t="n">
        <v>35430</v>
      </c>
      <c r="B2368" t="n">
        <v>7.7355</v>
      </c>
      <c r="C2368" t="n">
        <v>0.9329265</v>
      </c>
    </row>
    <row r="2369">
      <c r="A2369" s="926" t="n">
        <v>35432</v>
      </c>
      <c r="B2369" t="n">
        <v>7.7345</v>
      </c>
      <c r="C2369" t="n">
        <v>0.9321005</v>
      </c>
    </row>
    <row r="2370">
      <c r="A2370" s="926" t="n">
        <v>35433</v>
      </c>
      <c r="B2370" t="n">
        <v>7.7345</v>
      </c>
      <c r="C2370" t="n">
        <v>0.9321005</v>
      </c>
    </row>
    <row r="2371">
      <c r="A2371" s="926" t="n">
        <v>35434</v>
      </c>
      <c r="B2371" t="n">
        <v>7.7355</v>
      </c>
      <c r="C2371" t="n">
        <v>0.9321005</v>
      </c>
    </row>
    <row r="2372">
      <c r="A2372" s="926" t="n">
        <v>35436</v>
      </c>
      <c r="B2372" t="n">
        <v>7.7365</v>
      </c>
      <c r="C2372" t="n">
        <v>0.9321005</v>
      </c>
    </row>
    <row r="2373">
      <c r="A2373" s="926" t="n">
        <v>35437</v>
      </c>
      <c r="B2373" t="n">
        <v>7.7365</v>
      </c>
      <c r="C2373" t="n">
        <v>0.9324480000000001</v>
      </c>
    </row>
    <row r="2374">
      <c r="A2374" s="926" t="n">
        <v>35438</v>
      </c>
      <c r="B2374" t="n">
        <v>7.7385</v>
      </c>
      <c r="C2374" t="n">
        <v>0.932622</v>
      </c>
    </row>
    <row r="2375">
      <c r="A2375" s="926" t="n">
        <v>35439</v>
      </c>
      <c r="B2375" t="n">
        <v>7.7375</v>
      </c>
      <c r="C2375" t="n">
        <v>0.932709</v>
      </c>
    </row>
    <row r="2376">
      <c r="A2376" s="926" t="n">
        <v>35440</v>
      </c>
      <c r="B2376" t="n">
        <v>7.7375</v>
      </c>
      <c r="C2376" t="n">
        <v>0.932709</v>
      </c>
    </row>
    <row r="2377">
      <c r="A2377" s="926" t="n">
        <v>35441</v>
      </c>
      <c r="B2377" t="n">
        <v>7.7375</v>
      </c>
      <c r="C2377" t="n">
        <v>0.932709</v>
      </c>
    </row>
    <row r="2378">
      <c r="A2378" s="926" t="n">
        <v>35443</v>
      </c>
      <c r="B2378" t="n">
        <v>7.7385</v>
      </c>
      <c r="C2378" t="n">
        <v>0.932622</v>
      </c>
    </row>
    <row r="2379">
      <c r="A2379" s="926" t="n">
        <v>35444</v>
      </c>
      <c r="B2379" t="n">
        <v>7.7395</v>
      </c>
      <c r="C2379" t="n">
        <v>0.932622</v>
      </c>
    </row>
    <row r="2380">
      <c r="A2380" s="926" t="n">
        <v>35445</v>
      </c>
      <c r="B2380" t="n">
        <v>7.7385</v>
      </c>
      <c r="C2380" t="n">
        <v>0.932709</v>
      </c>
    </row>
    <row r="2381">
      <c r="A2381" s="926" t="n">
        <v>35446</v>
      </c>
      <c r="B2381" t="n">
        <v>7.7385</v>
      </c>
      <c r="C2381" t="n">
        <v>0.932796</v>
      </c>
    </row>
    <row r="2382">
      <c r="A2382" s="926" t="n">
        <v>35447</v>
      </c>
      <c r="B2382" t="n">
        <v>7.7385</v>
      </c>
      <c r="C2382" t="n">
        <v>0.9328395</v>
      </c>
    </row>
    <row r="2383">
      <c r="A2383" s="926" t="n">
        <v>35448</v>
      </c>
      <c r="B2383" t="n">
        <v>7.7375</v>
      </c>
      <c r="C2383" t="n">
        <v>0.9328395</v>
      </c>
    </row>
    <row r="2384">
      <c r="A2384" s="926" t="n">
        <v>35450</v>
      </c>
      <c r="B2384" t="n">
        <v>7.7385</v>
      </c>
      <c r="C2384" t="n">
        <v>0.932796</v>
      </c>
    </row>
    <row r="2385">
      <c r="A2385" s="926" t="n">
        <v>35451</v>
      </c>
      <c r="B2385" t="n">
        <v>7.7375</v>
      </c>
      <c r="C2385" t="n">
        <v>0.932752</v>
      </c>
    </row>
    <row r="2386">
      <c r="A2386" s="926" t="n">
        <v>35452</v>
      </c>
      <c r="B2386" t="n">
        <v>7.7385</v>
      </c>
      <c r="C2386" t="n">
        <v>0.932796</v>
      </c>
    </row>
    <row r="2387">
      <c r="A2387" s="926" t="n">
        <v>35453</v>
      </c>
      <c r="B2387" t="n">
        <v>7.7405</v>
      </c>
      <c r="C2387" t="n">
        <v>0.932883</v>
      </c>
    </row>
    <row r="2388">
      <c r="A2388" s="926" t="n">
        <v>35454</v>
      </c>
      <c r="B2388" t="n">
        <v>7.7405</v>
      </c>
      <c r="C2388" t="n">
        <v>0.9331005</v>
      </c>
    </row>
    <row r="2389">
      <c r="A2389" s="926" t="n">
        <v>35455</v>
      </c>
      <c r="B2389" t="n">
        <v>7.7415</v>
      </c>
      <c r="C2389" t="n">
        <v>0.9331005</v>
      </c>
    </row>
    <row r="2390">
      <c r="A2390" s="926" t="n">
        <v>35457</v>
      </c>
      <c r="B2390" t="n">
        <v>7.7415</v>
      </c>
      <c r="C2390" t="n">
        <v>0.9332315</v>
      </c>
    </row>
    <row r="2391">
      <c r="A2391" s="926" t="n">
        <v>35458</v>
      </c>
      <c r="B2391" t="n">
        <v>7.7415</v>
      </c>
      <c r="C2391" t="n">
        <v>0.9333185000000001</v>
      </c>
    </row>
    <row r="2392">
      <c r="A2392" s="926" t="n">
        <v>35459</v>
      </c>
      <c r="B2392" t="n">
        <v>7.7415</v>
      </c>
      <c r="C2392" t="n">
        <v>0.9334055</v>
      </c>
    </row>
    <row r="2393">
      <c r="A2393" s="926" t="n">
        <v>35460</v>
      </c>
      <c r="B2393" t="n">
        <v>7.7455</v>
      </c>
      <c r="C2393" t="n">
        <v>0.933536</v>
      </c>
    </row>
    <row r="2394">
      <c r="A2394" s="926" t="n">
        <v>35461</v>
      </c>
      <c r="B2394" t="n">
        <v>7.7505</v>
      </c>
      <c r="C2394" t="n">
        <v>0.9342775</v>
      </c>
    </row>
    <row r="2395">
      <c r="A2395" s="926" t="n">
        <v>35462</v>
      </c>
      <c r="B2395" t="n">
        <v>7.7485</v>
      </c>
      <c r="C2395" t="n">
        <v>0.9342775</v>
      </c>
    </row>
    <row r="2396">
      <c r="A2396" s="926" t="n">
        <v>35464</v>
      </c>
      <c r="B2396" t="n">
        <v>7.7475</v>
      </c>
      <c r="C2396" t="n">
        <v>0.934365</v>
      </c>
    </row>
    <row r="2397">
      <c r="A2397" s="926" t="n">
        <v>35465</v>
      </c>
      <c r="B2397" t="n">
        <v>7.7495</v>
      </c>
      <c r="C2397" t="n">
        <v>0.9344525</v>
      </c>
    </row>
    <row r="2398">
      <c r="A2398" s="926" t="n">
        <v>35466</v>
      </c>
      <c r="B2398" t="n">
        <v>7.7505</v>
      </c>
      <c r="C2398" t="n">
        <v>0.9345395</v>
      </c>
    </row>
    <row r="2399">
      <c r="A2399" s="926" t="n">
        <v>35471</v>
      </c>
      <c r="B2399" t="n">
        <v>7.7475</v>
      </c>
      <c r="C2399" t="n">
        <v>0.9345395</v>
      </c>
    </row>
    <row r="2400">
      <c r="A2400" s="926" t="n">
        <v>35472</v>
      </c>
      <c r="B2400" t="n">
        <v>7.7455</v>
      </c>
      <c r="C2400" t="n">
        <v>0.9345395</v>
      </c>
    </row>
    <row r="2401">
      <c r="A2401" s="926" t="n">
        <v>35473</v>
      </c>
      <c r="B2401" t="n">
        <v>7.7445</v>
      </c>
      <c r="C2401" t="n">
        <v>0.934103</v>
      </c>
    </row>
    <row r="2402">
      <c r="A2402" s="926" t="n">
        <v>35474</v>
      </c>
      <c r="B2402" t="n">
        <v>7.7475</v>
      </c>
      <c r="C2402" t="n">
        <v>0.934234</v>
      </c>
    </row>
    <row r="2403">
      <c r="A2403" s="926" t="n">
        <v>35475</v>
      </c>
      <c r="B2403" t="n">
        <v>7.7505</v>
      </c>
      <c r="C2403" t="n">
        <v>0.9345830000000001</v>
      </c>
    </row>
    <row r="2404">
      <c r="A2404" s="926" t="n">
        <v>35476</v>
      </c>
      <c r="B2404" t="n">
        <v>7.7505</v>
      </c>
      <c r="C2404" t="n">
        <v>0.9345830000000001</v>
      </c>
    </row>
    <row r="2405">
      <c r="A2405" s="926" t="n">
        <v>35478</v>
      </c>
      <c r="B2405" t="n">
        <v>7.7495</v>
      </c>
      <c r="C2405" t="n">
        <v>0.9345830000000001</v>
      </c>
    </row>
    <row r="2406">
      <c r="A2406" s="926" t="n">
        <v>35479</v>
      </c>
      <c r="B2406" t="n">
        <v>7.7505</v>
      </c>
      <c r="C2406" t="n">
        <v>0.9345395</v>
      </c>
    </row>
    <row r="2407">
      <c r="A2407" s="926" t="n">
        <v>35480</v>
      </c>
      <c r="B2407" t="n">
        <v>7.7505</v>
      </c>
      <c r="C2407" t="n">
        <v>0.9347145</v>
      </c>
    </row>
    <row r="2408">
      <c r="A2408" s="926" t="n">
        <v>35481</v>
      </c>
      <c r="B2408" t="n">
        <v>7.7405</v>
      </c>
      <c r="C2408" t="n">
        <v>0.934365</v>
      </c>
    </row>
    <row r="2409">
      <c r="A2409" s="926" t="n">
        <v>35482</v>
      </c>
      <c r="B2409" t="n">
        <v>7.7435</v>
      </c>
      <c r="C2409" t="n">
        <v>0.9334924999999999</v>
      </c>
    </row>
    <row r="2410">
      <c r="A2410" s="926" t="n">
        <v>35483</v>
      </c>
      <c r="B2410" t="n">
        <v>7.7445</v>
      </c>
      <c r="C2410" t="n">
        <v>0.9334924999999999</v>
      </c>
    </row>
    <row r="2411">
      <c r="A2411" s="926" t="n">
        <v>35485</v>
      </c>
      <c r="B2411" t="n">
        <v>7.7445</v>
      </c>
      <c r="C2411" t="n">
        <v>0.9337545</v>
      </c>
    </row>
    <row r="2412">
      <c r="A2412" s="926" t="n">
        <v>35486</v>
      </c>
      <c r="B2412" t="n">
        <v>7.7455</v>
      </c>
      <c r="C2412" t="n">
        <v>0.9339285000000001</v>
      </c>
    </row>
    <row r="2413">
      <c r="A2413" s="926" t="n">
        <v>35487</v>
      </c>
      <c r="B2413" t="n">
        <v>7.7445</v>
      </c>
      <c r="C2413" t="n">
        <v>0.9337545</v>
      </c>
    </row>
    <row r="2414">
      <c r="A2414" s="926" t="n">
        <v>35488</v>
      </c>
      <c r="B2414" t="n">
        <v>7.7455</v>
      </c>
      <c r="C2414" t="n">
        <v>0.9336235000000001</v>
      </c>
    </row>
    <row r="2415">
      <c r="A2415" s="926" t="n">
        <v>35489</v>
      </c>
      <c r="B2415" t="n">
        <v>7.7435</v>
      </c>
      <c r="C2415" t="n">
        <v>0.93358</v>
      </c>
    </row>
    <row r="2416">
      <c r="A2416" s="926" t="n">
        <v>35490</v>
      </c>
      <c r="B2416" t="n">
        <v>7.7435</v>
      </c>
      <c r="C2416" t="n">
        <v>0.93358</v>
      </c>
    </row>
    <row r="2417">
      <c r="A2417" s="926" t="n">
        <v>35492</v>
      </c>
      <c r="B2417" t="n">
        <v>7.7445</v>
      </c>
      <c r="C2417" t="n">
        <v>0.9334924999999999</v>
      </c>
    </row>
    <row r="2418">
      <c r="A2418" s="926" t="n">
        <v>35493</v>
      </c>
      <c r="B2418" t="n">
        <v>7.7445</v>
      </c>
      <c r="C2418" t="n">
        <v>0.93358</v>
      </c>
    </row>
    <row r="2419">
      <c r="A2419" s="926" t="n">
        <v>35494</v>
      </c>
      <c r="B2419" t="n">
        <v>7.7435</v>
      </c>
      <c r="C2419" t="n">
        <v>0.93358</v>
      </c>
    </row>
    <row r="2420">
      <c r="A2420" s="926" t="n">
        <v>35495</v>
      </c>
      <c r="B2420" t="n">
        <v>7.7435</v>
      </c>
      <c r="C2420" t="n">
        <v>0.933275</v>
      </c>
    </row>
    <row r="2421">
      <c r="A2421" s="926" t="n">
        <v>35496</v>
      </c>
      <c r="B2421" t="n">
        <v>7.7435</v>
      </c>
      <c r="C2421" t="n">
        <v>0.9334924999999999</v>
      </c>
    </row>
    <row r="2422">
      <c r="A2422" s="926" t="n">
        <v>35497</v>
      </c>
      <c r="B2422" t="n">
        <v>7.7425</v>
      </c>
      <c r="C2422" t="n">
        <v>0.9334924999999999</v>
      </c>
    </row>
    <row r="2423">
      <c r="A2423" s="926" t="n">
        <v>35499</v>
      </c>
      <c r="B2423" t="n">
        <v>7.7445</v>
      </c>
      <c r="C2423" t="n">
        <v>0.9334924999999999</v>
      </c>
    </row>
    <row r="2424">
      <c r="A2424" s="926" t="n">
        <v>35500</v>
      </c>
      <c r="B2424" t="n">
        <v>7.7435</v>
      </c>
      <c r="C2424" t="n">
        <v>0.9334055</v>
      </c>
    </row>
    <row r="2425">
      <c r="A2425" s="926" t="n">
        <v>35501</v>
      </c>
      <c r="B2425" t="n">
        <v>7.7435</v>
      </c>
      <c r="C2425" t="n">
        <v>0.9334924999999999</v>
      </c>
    </row>
    <row r="2426">
      <c r="A2426" s="926" t="n">
        <v>35502</v>
      </c>
      <c r="B2426" t="n">
        <v>7.7435</v>
      </c>
      <c r="C2426" t="n">
        <v>0.9334924999999999</v>
      </c>
    </row>
    <row r="2427">
      <c r="A2427" s="926" t="n">
        <v>35503</v>
      </c>
      <c r="B2427" t="n">
        <v>7.7445</v>
      </c>
      <c r="C2427" t="n">
        <v>0.93358</v>
      </c>
    </row>
    <row r="2428">
      <c r="A2428" s="926" t="n">
        <v>35504</v>
      </c>
      <c r="B2428" t="n">
        <v>7.7455</v>
      </c>
      <c r="C2428" t="n">
        <v>0.93358</v>
      </c>
    </row>
    <row r="2429">
      <c r="A2429" s="926" t="n">
        <v>35506</v>
      </c>
      <c r="B2429" t="n">
        <v>7.7445</v>
      </c>
      <c r="C2429" t="n">
        <v>0.933667</v>
      </c>
    </row>
    <row r="2430">
      <c r="A2430" s="926" t="n">
        <v>35507</v>
      </c>
      <c r="B2430" t="n">
        <v>7.7455</v>
      </c>
      <c r="C2430" t="n">
        <v>0.933667</v>
      </c>
    </row>
    <row r="2431">
      <c r="A2431" s="926" t="n">
        <v>35508</v>
      </c>
      <c r="B2431" t="n">
        <v>7.7495</v>
      </c>
      <c r="C2431" t="n">
        <v>0.9338845</v>
      </c>
    </row>
    <row r="2432">
      <c r="A2432" s="926" t="n">
        <v>35509</v>
      </c>
      <c r="B2432" t="n">
        <v>7.7475</v>
      </c>
      <c r="C2432" t="n">
        <v>0.9339285000000001</v>
      </c>
    </row>
    <row r="2433">
      <c r="A2433" s="926" t="n">
        <v>35510</v>
      </c>
      <c r="B2433" t="n">
        <v>7.7495</v>
      </c>
      <c r="C2433" t="n">
        <v>0.933841</v>
      </c>
    </row>
    <row r="2434">
      <c r="A2434" s="926" t="n">
        <v>35511</v>
      </c>
      <c r="B2434" t="n">
        <v>7.7475</v>
      </c>
      <c r="C2434" t="n">
        <v>0.933841</v>
      </c>
    </row>
    <row r="2435">
      <c r="A2435" s="926" t="n">
        <v>35513</v>
      </c>
      <c r="B2435" t="n">
        <v>7.7475</v>
      </c>
      <c r="C2435" t="n">
        <v>0.9340155</v>
      </c>
    </row>
    <row r="2436">
      <c r="A2436" s="926" t="n">
        <v>35514</v>
      </c>
      <c r="B2436" t="n">
        <v>7.7485</v>
      </c>
      <c r="C2436" t="n">
        <v>0.934103</v>
      </c>
    </row>
    <row r="2437">
      <c r="A2437" s="926" t="n">
        <v>35515</v>
      </c>
      <c r="B2437" t="n">
        <v>7.7495</v>
      </c>
      <c r="C2437" t="n">
        <v>0.933972</v>
      </c>
    </row>
    <row r="2438">
      <c r="A2438" s="926" t="n">
        <v>35516</v>
      </c>
      <c r="B2438" t="n">
        <v>7.7495</v>
      </c>
      <c r="C2438" t="n">
        <v>0.934103</v>
      </c>
    </row>
    <row r="2439">
      <c r="A2439" s="926" t="n">
        <v>35521</v>
      </c>
      <c r="B2439" t="n">
        <v>7.7485</v>
      </c>
      <c r="C2439" t="n">
        <v>0.934103</v>
      </c>
    </row>
    <row r="2440">
      <c r="A2440" s="926" t="n">
        <v>35522</v>
      </c>
      <c r="B2440" t="n">
        <v>7.7455</v>
      </c>
      <c r="C2440" t="n">
        <v>0.933841</v>
      </c>
    </row>
    <row r="2441">
      <c r="A2441" s="926" t="n">
        <v>35523</v>
      </c>
      <c r="B2441" t="n">
        <v>7.7455</v>
      </c>
      <c r="C2441" t="n">
        <v>0.93358</v>
      </c>
    </row>
    <row r="2442">
      <c r="A2442" s="926" t="n">
        <v>35524</v>
      </c>
      <c r="B2442" t="n">
        <v>7.7485</v>
      </c>
      <c r="C2442" t="n">
        <v>0.9337545</v>
      </c>
    </row>
    <row r="2443">
      <c r="A2443" s="926" t="n">
        <v>35527</v>
      </c>
      <c r="B2443" t="n">
        <v>7.7485</v>
      </c>
      <c r="C2443" t="n">
        <v>0.9339285000000001</v>
      </c>
    </row>
    <row r="2444">
      <c r="A2444" s="926" t="n">
        <v>35528</v>
      </c>
      <c r="B2444" t="n">
        <v>7.7495</v>
      </c>
      <c r="C2444" t="n">
        <v>0.933841</v>
      </c>
    </row>
    <row r="2445">
      <c r="A2445" s="926" t="n">
        <v>35529</v>
      </c>
      <c r="B2445" t="n">
        <v>7.7495</v>
      </c>
      <c r="C2445" t="n">
        <v>0.933972</v>
      </c>
    </row>
    <row r="2446">
      <c r="A2446" s="926" t="n">
        <v>35530</v>
      </c>
      <c r="B2446" t="n">
        <v>7.7495</v>
      </c>
      <c r="C2446" t="n">
        <v>0.9339285000000001</v>
      </c>
    </row>
    <row r="2447">
      <c r="A2447" s="926" t="n">
        <v>35531</v>
      </c>
      <c r="B2447" t="n">
        <v>7.7495</v>
      </c>
      <c r="C2447" t="n">
        <v>0.934016</v>
      </c>
    </row>
    <row r="2448">
      <c r="A2448" s="926" t="n">
        <v>35532</v>
      </c>
      <c r="B2448" t="n">
        <v>7.7495</v>
      </c>
      <c r="C2448" t="n">
        <v>0.934016</v>
      </c>
    </row>
    <row r="2449">
      <c r="A2449" s="926" t="n">
        <v>35534</v>
      </c>
      <c r="B2449" t="n">
        <v>7.7495</v>
      </c>
      <c r="C2449" t="n">
        <v>0.9339285000000001</v>
      </c>
    </row>
    <row r="2450">
      <c r="A2450" s="926" t="n">
        <v>35535</v>
      </c>
      <c r="B2450" t="n">
        <v>7.7495</v>
      </c>
      <c r="C2450" t="n">
        <v>0.9340155</v>
      </c>
    </row>
    <row r="2451">
      <c r="A2451" s="926" t="n">
        <v>35536</v>
      </c>
      <c r="B2451" t="n">
        <v>7.7495</v>
      </c>
      <c r="C2451" t="n">
        <v>0.934103</v>
      </c>
    </row>
    <row r="2452">
      <c r="A2452" s="926" t="n">
        <v>35537</v>
      </c>
      <c r="B2452" t="n">
        <v>7.7495</v>
      </c>
      <c r="C2452" t="n">
        <v>0.9341465</v>
      </c>
    </row>
    <row r="2453">
      <c r="A2453" s="926" t="n">
        <v>35538</v>
      </c>
      <c r="B2453" t="n">
        <v>7.7495</v>
      </c>
      <c r="C2453" t="n">
        <v>0.9342775</v>
      </c>
    </row>
    <row r="2454">
      <c r="A2454" s="926" t="n">
        <v>35539</v>
      </c>
      <c r="B2454" t="n">
        <v>7.7485</v>
      </c>
      <c r="C2454" t="n">
        <v>0.9342775</v>
      </c>
    </row>
    <row r="2455">
      <c r="A2455" s="926" t="n">
        <v>35541</v>
      </c>
      <c r="B2455" t="n">
        <v>7.7485</v>
      </c>
      <c r="C2455" t="n">
        <v>0.9341465</v>
      </c>
    </row>
    <row r="2456">
      <c r="A2456" s="926" t="n">
        <v>35542</v>
      </c>
      <c r="B2456" t="n">
        <v>7.7475</v>
      </c>
      <c r="C2456" t="n">
        <v>0.934103</v>
      </c>
    </row>
    <row r="2457">
      <c r="A2457" s="926" t="n">
        <v>35543</v>
      </c>
      <c r="B2457" t="n">
        <v>7.7465</v>
      </c>
      <c r="C2457" t="n">
        <v>0.9340155</v>
      </c>
    </row>
    <row r="2458">
      <c r="A2458" s="926" t="n">
        <v>35544</v>
      </c>
      <c r="B2458" t="n">
        <v>7.7465</v>
      </c>
      <c r="C2458" t="n">
        <v>0.9340155</v>
      </c>
    </row>
    <row r="2459">
      <c r="A2459" s="926" t="n">
        <v>35545</v>
      </c>
      <c r="B2459" t="n">
        <v>7.7475</v>
      </c>
      <c r="C2459" t="n">
        <v>0.9340155</v>
      </c>
    </row>
    <row r="2460">
      <c r="A2460" s="926" t="n">
        <v>35546</v>
      </c>
      <c r="B2460" t="n">
        <v>7.7475</v>
      </c>
      <c r="C2460" t="n">
        <v>0.9340155</v>
      </c>
    </row>
    <row r="2461">
      <c r="A2461" s="926" t="n">
        <v>35548</v>
      </c>
      <c r="B2461" t="n">
        <v>7.7485</v>
      </c>
      <c r="C2461" t="n">
        <v>0.9340155</v>
      </c>
    </row>
    <row r="2462">
      <c r="A2462" s="926" t="n">
        <v>35549</v>
      </c>
      <c r="B2462" t="n">
        <v>7.7475</v>
      </c>
      <c r="C2462" t="n">
        <v>0.9339285000000001</v>
      </c>
    </row>
    <row r="2463">
      <c r="A2463" s="926" t="n">
        <v>35550</v>
      </c>
      <c r="B2463" t="n">
        <v>7.7455</v>
      </c>
      <c r="C2463" t="n">
        <v>0.933841</v>
      </c>
    </row>
    <row r="2464">
      <c r="A2464" s="926" t="n">
        <v>35551</v>
      </c>
      <c r="B2464" t="n">
        <v>7.7465</v>
      </c>
      <c r="C2464" t="n">
        <v>0.933846</v>
      </c>
    </row>
    <row r="2465">
      <c r="A2465" s="926" t="n">
        <v>35552</v>
      </c>
      <c r="B2465" t="n">
        <v>7.7465</v>
      </c>
      <c r="C2465" t="n">
        <v>0.933846</v>
      </c>
    </row>
    <row r="2466">
      <c r="A2466" s="926" t="n">
        <v>35553</v>
      </c>
      <c r="B2466" t="n">
        <v>7.7465</v>
      </c>
      <c r="C2466" t="n">
        <v>0.933846</v>
      </c>
    </row>
    <row r="2467">
      <c r="A2467" s="926" t="n">
        <v>35555</v>
      </c>
      <c r="B2467" t="n">
        <v>7.7475</v>
      </c>
      <c r="C2467" t="n">
        <v>0.934059</v>
      </c>
    </row>
    <row r="2468">
      <c r="A2468" s="926" t="n">
        <v>35556</v>
      </c>
      <c r="B2468" t="n">
        <v>7.7475</v>
      </c>
      <c r="C2468" t="n">
        <v>0.933972</v>
      </c>
    </row>
    <row r="2469">
      <c r="A2469" s="926" t="n">
        <v>35557</v>
      </c>
      <c r="B2469" t="n">
        <v>7.7465</v>
      </c>
      <c r="C2469" t="n">
        <v>0.9340155</v>
      </c>
    </row>
    <row r="2470">
      <c r="A2470" s="926" t="n">
        <v>35558</v>
      </c>
      <c r="B2470" t="n">
        <v>7.7455</v>
      </c>
      <c r="C2470" t="n">
        <v>0.9339285000000001</v>
      </c>
    </row>
    <row r="2471">
      <c r="A2471" s="926" t="n">
        <v>35559</v>
      </c>
      <c r="B2471" t="n">
        <v>7.7455</v>
      </c>
      <c r="C2471" t="n">
        <v>0.933972</v>
      </c>
    </row>
    <row r="2472">
      <c r="A2472" s="926" t="n">
        <v>35560</v>
      </c>
      <c r="B2472" t="n">
        <v>7.7455</v>
      </c>
      <c r="C2472" t="n">
        <v>0.933976</v>
      </c>
    </row>
    <row r="2473">
      <c r="A2473" s="926" t="n">
        <v>35562</v>
      </c>
      <c r="B2473" t="n">
        <v>7.7445</v>
      </c>
      <c r="C2473" t="n">
        <v>0.933972</v>
      </c>
    </row>
    <row r="2474">
      <c r="A2474" s="926" t="n">
        <v>35563</v>
      </c>
      <c r="B2474" t="n">
        <v>7.7405</v>
      </c>
      <c r="C2474" t="n">
        <v>0.9337545</v>
      </c>
    </row>
    <row r="2475">
      <c r="A2475" s="926" t="n">
        <v>35564</v>
      </c>
      <c r="B2475" t="n">
        <v>7.7395</v>
      </c>
      <c r="C2475" t="n">
        <v>0.9334055</v>
      </c>
    </row>
    <row r="2476">
      <c r="A2476" s="926" t="n">
        <v>35565</v>
      </c>
      <c r="B2476" t="n">
        <v>7.7395</v>
      </c>
      <c r="C2476" t="n">
        <v>0.932883</v>
      </c>
    </row>
    <row r="2477">
      <c r="A2477" s="926" t="n">
        <v>35566</v>
      </c>
      <c r="B2477" t="n">
        <v>7.7385</v>
      </c>
      <c r="C2477" t="n">
        <v>0.933144</v>
      </c>
    </row>
    <row r="2478">
      <c r="A2478" s="926" t="n">
        <v>35567</v>
      </c>
      <c r="B2478" t="n">
        <v>7.7385</v>
      </c>
      <c r="C2478" t="n">
        <v>0.9331485</v>
      </c>
    </row>
    <row r="2479">
      <c r="A2479" s="926" t="n">
        <v>35569</v>
      </c>
      <c r="B2479" t="n">
        <v>7.7385</v>
      </c>
      <c r="C2479" t="n">
        <v>0.933275</v>
      </c>
    </row>
    <row r="2480">
      <c r="A2480" s="926" t="n">
        <v>35570</v>
      </c>
      <c r="B2480" t="n">
        <v>7.7395</v>
      </c>
      <c r="C2480" t="n">
        <v>0.9333185000000001</v>
      </c>
    </row>
    <row r="2481">
      <c r="A2481" s="926" t="n">
        <v>35571</v>
      </c>
      <c r="B2481" t="n">
        <v>7.7355</v>
      </c>
      <c r="C2481" t="n">
        <v>0.9333185000000001</v>
      </c>
    </row>
    <row r="2482">
      <c r="A2482" s="926" t="n">
        <v>35572</v>
      </c>
      <c r="B2482" t="n">
        <v>7.7355</v>
      </c>
      <c r="C2482" t="n">
        <v>0.933144</v>
      </c>
    </row>
    <row r="2483">
      <c r="A2483" s="926" t="n">
        <v>35573</v>
      </c>
      <c r="B2483" t="n">
        <v>7.7395</v>
      </c>
      <c r="C2483" t="n">
        <v>0.9329705</v>
      </c>
    </row>
    <row r="2484">
      <c r="A2484" s="926" t="n">
        <v>35574</v>
      </c>
      <c r="B2484" t="n">
        <v>7.7405</v>
      </c>
      <c r="C2484" t="n">
        <v>0.9329745</v>
      </c>
    </row>
    <row r="2485">
      <c r="A2485" s="926" t="n">
        <v>35576</v>
      </c>
      <c r="B2485" t="n">
        <v>7.7405</v>
      </c>
      <c r="C2485" t="n">
        <v>0.9333185000000001</v>
      </c>
    </row>
    <row r="2486">
      <c r="A2486" s="926" t="n">
        <v>35577</v>
      </c>
      <c r="B2486" t="n">
        <v>7.7415</v>
      </c>
      <c r="C2486" t="n">
        <v>0.9334924999999999</v>
      </c>
    </row>
    <row r="2487">
      <c r="A2487" s="926" t="n">
        <v>35578</v>
      </c>
      <c r="B2487" t="n">
        <v>7.7435</v>
      </c>
      <c r="C2487" t="n">
        <v>0.9336235000000001</v>
      </c>
    </row>
    <row r="2488">
      <c r="A2488" s="926" t="n">
        <v>35579</v>
      </c>
      <c r="B2488" t="n">
        <v>7.7445</v>
      </c>
      <c r="C2488" t="n">
        <v>0.933841</v>
      </c>
    </row>
    <row r="2489">
      <c r="A2489" s="926" t="n">
        <v>35580</v>
      </c>
      <c r="B2489" t="n">
        <v>7.7475</v>
      </c>
      <c r="C2489" t="n">
        <v>0.934234</v>
      </c>
    </row>
    <row r="2490">
      <c r="A2490" s="926" t="n">
        <v>35581</v>
      </c>
      <c r="B2490" t="n">
        <v>7.7475</v>
      </c>
      <c r="C2490" t="n">
        <v>0.934238</v>
      </c>
    </row>
    <row r="2491">
      <c r="A2491" s="926" t="n">
        <v>35583</v>
      </c>
      <c r="B2491" t="n">
        <v>7.7425</v>
      </c>
      <c r="C2491" t="n">
        <v>0.9344525</v>
      </c>
    </row>
    <row r="2492">
      <c r="A2492" s="926" t="n">
        <v>35584</v>
      </c>
      <c r="B2492" t="n">
        <v>7.7445</v>
      </c>
      <c r="C2492" t="n">
        <v>0.9340155</v>
      </c>
    </row>
    <row r="2493">
      <c r="A2493" s="926" t="n">
        <v>35585</v>
      </c>
      <c r="B2493" t="n">
        <v>7.7425</v>
      </c>
      <c r="C2493" t="n">
        <v>0.9339285000000001</v>
      </c>
    </row>
    <row r="2494">
      <c r="A2494" s="926" t="n">
        <v>35586</v>
      </c>
      <c r="B2494" t="n">
        <v>7.7435</v>
      </c>
      <c r="C2494" t="n">
        <v>0.9340155</v>
      </c>
    </row>
    <row r="2495">
      <c r="A2495" s="926" t="n">
        <v>35587</v>
      </c>
      <c r="B2495" t="n">
        <v>7.7445</v>
      </c>
      <c r="C2495" t="n">
        <v>0.9339285000000001</v>
      </c>
    </row>
    <row r="2496">
      <c r="A2496" s="926" t="n">
        <v>35588</v>
      </c>
      <c r="B2496" t="n">
        <v>7.7435</v>
      </c>
      <c r="C2496" t="n">
        <v>0.9339325000000001</v>
      </c>
    </row>
    <row r="2497">
      <c r="A2497" s="926" t="n">
        <v>35591</v>
      </c>
      <c r="B2497" t="n">
        <v>7.7405</v>
      </c>
      <c r="C2497" t="n">
        <v>0.933841</v>
      </c>
    </row>
    <row r="2498">
      <c r="A2498" s="926" t="n">
        <v>35592</v>
      </c>
      <c r="B2498" t="n">
        <v>7.7415</v>
      </c>
      <c r="C2498" t="n">
        <v>0.9337105</v>
      </c>
    </row>
    <row r="2499">
      <c r="A2499" s="926" t="n">
        <v>35593</v>
      </c>
      <c r="B2499" t="n">
        <v>7.7425</v>
      </c>
      <c r="C2499" t="n">
        <v>0.93358</v>
      </c>
    </row>
    <row r="2500">
      <c r="A2500" s="926" t="n">
        <v>35594</v>
      </c>
      <c r="B2500" t="n">
        <v>7.7425</v>
      </c>
      <c r="C2500" t="n">
        <v>0.933667</v>
      </c>
    </row>
    <row r="2501">
      <c r="A2501" s="926" t="n">
        <v>35595</v>
      </c>
      <c r="B2501" t="n">
        <v>7.7425</v>
      </c>
      <c r="C2501" t="n">
        <v>0.933671</v>
      </c>
    </row>
    <row r="2502">
      <c r="A2502" s="926" t="n">
        <v>35597</v>
      </c>
      <c r="B2502" t="n">
        <v>7.7425</v>
      </c>
      <c r="C2502" t="n">
        <v>0.93358</v>
      </c>
    </row>
    <row r="2503">
      <c r="A2503" s="926" t="n">
        <v>35598</v>
      </c>
      <c r="B2503" t="n">
        <v>7.7385</v>
      </c>
      <c r="C2503" t="n">
        <v>0.93358</v>
      </c>
    </row>
    <row r="2504">
      <c r="A2504" s="926" t="n">
        <v>35599</v>
      </c>
      <c r="B2504" t="n">
        <v>7.7395</v>
      </c>
      <c r="C2504" t="n">
        <v>0.9334055</v>
      </c>
    </row>
    <row r="2505">
      <c r="A2505" s="926" t="n">
        <v>35600</v>
      </c>
      <c r="B2505" t="n">
        <v>7.7405</v>
      </c>
      <c r="C2505" t="n">
        <v>0.93358</v>
      </c>
    </row>
    <row r="2506">
      <c r="A2506" s="926" t="n">
        <v>35601</v>
      </c>
      <c r="B2506" t="n">
        <v>7.7405</v>
      </c>
      <c r="C2506" t="n">
        <v>0.933667</v>
      </c>
    </row>
    <row r="2507">
      <c r="A2507" s="926" t="n">
        <v>35602</v>
      </c>
      <c r="B2507" t="n">
        <v>7.7435</v>
      </c>
      <c r="C2507" t="n">
        <v>0.933671</v>
      </c>
    </row>
    <row r="2508">
      <c r="A2508" s="926" t="n">
        <v>35604</v>
      </c>
      <c r="B2508" t="n">
        <v>7.7435</v>
      </c>
      <c r="C2508" t="n">
        <v>0.9337974999999999</v>
      </c>
    </row>
    <row r="2509">
      <c r="A2509" s="926" t="n">
        <v>35605</v>
      </c>
      <c r="B2509" t="n">
        <v>7.7465</v>
      </c>
      <c r="C2509" t="n">
        <v>0.9345395</v>
      </c>
    </row>
    <row r="2510">
      <c r="A2510" s="926" t="n">
        <v>35606</v>
      </c>
      <c r="B2510" t="n">
        <v>7.7445</v>
      </c>
      <c r="C2510" t="n">
        <v>0.9340155</v>
      </c>
    </row>
    <row r="2511">
      <c r="A2511" s="926" t="n">
        <v>35607</v>
      </c>
      <c r="B2511" t="n">
        <v>7.7465</v>
      </c>
      <c r="C2511" t="n">
        <v>0.9341905</v>
      </c>
    </row>
    <row r="2512">
      <c r="A2512" s="926" t="n">
        <v>35608</v>
      </c>
      <c r="B2512" t="n">
        <v>7.7465</v>
      </c>
      <c r="C2512" t="n">
        <v>0.9344525</v>
      </c>
    </row>
    <row r="2513">
      <c r="A2513" s="926" t="n">
        <v>35614</v>
      </c>
      <c r="B2513" t="n">
        <v>7.7435</v>
      </c>
      <c r="C2513" t="n">
        <v>0.9342775</v>
      </c>
    </row>
    <row r="2514">
      <c r="A2514" s="926" t="n">
        <v>35615</v>
      </c>
      <c r="B2514" t="n">
        <v>7.7395</v>
      </c>
      <c r="C2514" t="n">
        <v>0.934103</v>
      </c>
    </row>
    <row r="2515">
      <c r="A2515" s="926" t="n">
        <v>35616</v>
      </c>
      <c r="B2515" t="n">
        <v>7.7425</v>
      </c>
      <c r="C2515" t="n">
        <v>0.9341075</v>
      </c>
    </row>
    <row r="2516">
      <c r="A2516" s="926" t="n">
        <v>35618</v>
      </c>
      <c r="B2516" t="n">
        <v>7.7405</v>
      </c>
      <c r="C2516" t="n">
        <v>0.9337105</v>
      </c>
    </row>
    <row r="2517">
      <c r="A2517" s="926" t="n">
        <v>35619</v>
      </c>
      <c r="B2517" t="n">
        <v>7.7425</v>
      </c>
      <c r="C2517" t="n">
        <v>0.9337105</v>
      </c>
    </row>
    <row r="2518">
      <c r="A2518" s="926" t="n">
        <v>35620</v>
      </c>
      <c r="B2518" t="n">
        <v>7.7415</v>
      </c>
      <c r="C2518" t="n">
        <v>0.933841</v>
      </c>
    </row>
    <row r="2519">
      <c r="A2519" s="926" t="n">
        <v>35621</v>
      </c>
      <c r="B2519" t="n">
        <v>7.7415</v>
      </c>
      <c r="C2519" t="n">
        <v>0.9337105</v>
      </c>
    </row>
    <row r="2520">
      <c r="A2520" s="926" t="n">
        <v>35622</v>
      </c>
      <c r="B2520" t="n">
        <v>7.7455</v>
      </c>
      <c r="C2520" t="n">
        <v>0.933841</v>
      </c>
    </row>
    <row r="2521">
      <c r="A2521" s="926" t="n">
        <v>35623</v>
      </c>
      <c r="B2521" t="n">
        <v>7.7465</v>
      </c>
      <c r="C2521" t="n">
        <v>0.933846</v>
      </c>
    </row>
    <row r="2522">
      <c r="A2522" s="926" t="n">
        <v>35625</v>
      </c>
      <c r="B2522" t="n">
        <v>7.7475</v>
      </c>
      <c r="C2522" t="n">
        <v>0.9344525</v>
      </c>
    </row>
    <row r="2523">
      <c r="A2523" s="926" t="n">
        <v>35626</v>
      </c>
      <c r="B2523" t="n">
        <v>7.7475</v>
      </c>
      <c r="C2523" t="n">
        <v>0.934627</v>
      </c>
    </row>
    <row r="2524">
      <c r="A2524" s="926" t="n">
        <v>35627</v>
      </c>
      <c r="B2524" t="n">
        <v>7.7465</v>
      </c>
      <c r="C2524" t="n">
        <v>0.9345395</v>
      </c>
    </row>
    <row r="2525">
      <c r="A2525" s="926" t="n">
        <v>35628</v>
      </c>
      <c r="B2525" t="n">
        <v>7.7475</v>
      </c>
      <c r="C2525" t="n">
        <v>0.9345385</v>
      </c>
    </row>
    <row r="2526">
      <c r="A2526" s="926" t="n">
        <v>35629</v>
      </c>
      <c r="B2526" t="n">
        <v>7.7495</v>
      </c>
      <c r="C2526" t="n">
        <v>0.9347145</v>
      </c>
    </row>
    <row r="2527">
      <c r="A2527" s="926" t="n">
        <v>35630</v>
      </c>
      <c r="B2527" t="n">
        <v>7.7485</v>
      </c>
      <c r="C2527" t="n">
        <v>0.9347185</v>
      </c>
    </row>
    <row r="2528">
      <c r="A2528" s="926" t="n">
        <v>35632</v>
      </c>
      <c r="B2528" t="n">
        <v>7.7465</v>
      </c>
      <c r="C2528" t="n">
        <v>0.934627</v>
      </c>
    </row>
    <row r="2529">
      <c r="A2529" s="926" t="n">
        <v>35633</v>
      </c>
      <c r="B2529" t="n">
        <v>7.7465</v>
      </c>
      <c r="C2529" t="n">
        <v>0.9345395</v>
      </c>
    </row>
    <row r="2530">
      <c r="A2530" s="926" t="n">
        <v>35634</v>
      </c>
      <c r="B2530" t="n">
        <v>7.7485</v>
      </c>
      <c r="C2530" t="n">
        <v>0.934321</v>
      </c>
    </row>
    <row r="2531">
      <c r="A2531" s="926" t="n">
        <v>35635</v>
      </c>
      <c r="B2531" t="n">
        <v>7.7445</v>
      </c>
      <c r="C2531" t="n">
        <v>0.9344085</v>
      </c>
    </row>
    <row r="2532">
      <c r="A2532" s="926" t="n">
        <v>35636</v>
      </c>
      <c r="B2532" t="n">
        <v>7.7405</v>
      </c>
      <c r="C2532" t="n">
        <v>0.9334924999999999</v>
      </c>
    </row>
    <row r="2533">
      <c r="A2533" s="926" t="n">
        <v>35637</v>
      </c>
      <c r="B2533" t="n">
        <v>7.7395</v>
      </c>
      <c r="C2533" t="n">
        <v>0.933497</v>
      </c>
    </row>
    <row r="2534">
      <c r="A2534" s="926" t="n">
        <v>35639</v>
      </c>
      <c r="B2534" t="n">
        <v>7.7415</v>
      </c>
      <c r="C2534" t="n">
        <v>0.93358</v>
      </c>
    </row>
    <row r="2535">
      <c r="A2535" s="926" t="n">
        <v>35640</v>
      </c>
      <c r="B2535" t="n">
        <v>7.7445</v>
      </c>
      <c r="C2535" t="n">
        <v>0.9337105</v>
      </c>
    </row>
    <row r="2536">
      <c r="A2536" s="926" t="n">
        <v>35641</v>
      </c>
      <c r="B2536" t="n">
        <v>7.7435</v>
      </c>
      <c r="C2536" t="n">
        <v>0.9339285000000001</v>
      </c>
    </row>
    <row r="2537">
      <c r="A2537" s="926" t="n">
        <v>35642</v>
      </c>
      <c r="B2537" t="n">
        <v>7.7445</v>
      </c>
      <c r="C2537" t="n">
        <v>0.934103</v>
      </c>
    </row>
    <row r="2538">
      <c r="A2538" s="926" t="n">
        <v>35643</v>
      </c>
      <c r="B2538" t="n">
        <v>7.7435</v>
      </c>
      <c r="C2538" t="n">
        <v>0.933667</v>
      </c>
    </row>
    <row r="2539">
      <c r="A2539" s="926" t="n">
        <v>35644</v>
      </c>
      <c r="B2539" t="n">
        <v>7.7425</v>
      </c>
      <c r="C2539" t="n">
        <v>0.933671</v>
      </c>
    </row>
    <row r="2540">
      <c r="A2540" s="926" t="n">
        <v>35646</v>
      </c>
      <c r="B2540" t="n">
        <v>7.7435</v>
      </c>
      <c r="C2540" t="n">
        <v>0.933841</v>
      </c>
    </row>
    <row r="2541">
      <c r="A2541" s="926" t="n">
        <v>35647</v>
      </c>
      <c r="B2541" t="n">
        <v>7.7415</v>
      </c>
      <c r="C2541" t="n">
        <v>0.9339285000000001</v>
      </c>
    </row>
    <row r="2542">
      <c r="A2542" s="926" t="n">
        <v>35648</v>
      </c>
      <c r="B2542" t="n">
        <v>7.7415</v>
      </c>
      <c r="C2542" t="n">
        <v>0.933667</v>
      </c>
    </row>
    <row r="2543">
      <c r="A2543" s="926" t="n">
        <v>35649</v>
      </c>
      <c r="B2543" t="n">
        <v>7.7425</v>
      </c>
      <c r="C2543" t="n">
        <v>0.9337974999999999</v>
      </c>
    </row>
    <row r="2544">
      <c r="A2544" s="926" t="n">
        <v>35650</v>
      </c>
      <c r="B2544" t="n">
        <v>7.7415</v>
      </c>
      <c r="C2544" t="n">
        <v>0.9337545</v>
      </c>
    </row>
    <row r="2545">
      <c r="A2545" s="926" t="n">
        <v>35651</v>
      </c>
      <c r="B2545" t="n">
        <v>7.7415</v>
      </c>
      <c r="C2545" t="n">
        <v>0.9337585</v>
      </c>
    </row>
    <row r="2546">
      <c r="A2546" s="926" t="n">
        <v>35653</v>
      </c>
      <c r="B2546" t="n">
        <v>7.7425</v>
      </c>
      <c r="C2546" t="n">
        <v>0.933841</v>
      </c>
    </row>
    <row r="2547">
      <c r="A2547" s="926" t="n">
        <v>35654</v>
      </c>
      <c r="B2547" t="n">
        <v>7.7445</v>
      </c>
      <c r="C2547" t="n">
        <v>0.933972</v>
      </c>
    </row>
    <row r="2548">
      <c r="A2548" s="926" t="n">
        <v>35655</v>
      </c>
      <c r="B2548" t="n">
        <v>7.7445</v>
      </c>
      <c r="C2548" t="n">
        <v>0.9342775</v>
      </c>
    </row>
    <row r="2549">
      <c r="A2549" s="926" t="n">
        <v>35656</v>
      </c>
      <c r="B2549" t="n">
        <v>7.7485</v>
      </c>
      <c r="C2549" t="n">
        <v>0.9341905</v>
      </c>
    </row>
    <row r="2550">
      <c r="A2550" s="926" t="n">
        <v>35657</v>
      </c>
      <c r="B2550" t="n">
        <v>7.7505</v>
      </c>
      <c r="C2550" t="n">
        <v>0.9347145</v>
      </c>
    </row>
    <row r="2551">
      <c r="A2551" s="926" t="n">
        <v>35658</v>
      </c>
      <c r="B2551" t="n">
        <v>7.7415</v>
      </c>
      <c r="C2551" t="n">
        <v>0.9347185</v>
      </c>
    </row>
    <row r="2552">
      <c r="A2552" s="926" t="n">
        <v>35661</v>
      </c>
      <c r="B2552" t="n">
        <v>7.7415</v>
      </c>
      <c r="C2552" t="n">
        <v>0.9340155</v>
      </c>
    </row>
    <row r="2553">
      <c r="A2553" s="926" t="n">
        <v>35662</v>
      </c>
      <c r="B2553" t="n">
        <v>7.7395</v>
      </c>
      <c r="C2553" t="n">
        <v>0.933841</v>
      </c>
    </row>
    <row r="2554">
      <c r="A2554" s="926" t="n">
        <v>35663</v>
      </c>
      <c r="B2554" t="n">
        <v>7.7415</v>
      </c>
      <c r="C2554" t="n">
        <v>0.9341905</v>
      </c>
    </row>
    <row r="2555">
      <c r="A2555" s="926" t="n">
        <v>35664</v>
      </c>
      <c r="B2555" t="n">
        <v>7.7425</v>
      </c>
      <c r="C2555" t="n">
        <v>0.934365</v>
      </c>
    </row>
    <row r="2556">
      <c r="A2556" s="926" t="n">
        <v>35665</v>
      </c>
      <c r="B2556" t="n">
        <v>7.7445</v>
      </c>
      <c r="C2556" t="n">
        <v>0.934369</v>
      </c>
    </row>
    <row r="2557">
      <c r="A2557" s="926" t="n">
        <v>35667</v>
      </c>
      <c r="B2557" t="n">
        <v>7.7415</v>
      </c>
      <c r="C2557" t="n">
        <v>0.9344525</v>
      </c>
    </row>
    <row r="2558">
      <c r="A2558" s="926" t="n">
        <v>35668</v>
      </c>
      <c r="B2558" t="n">
        <v>7.7415</v>
      </c>
      <c r="C2558" t="n">
        <v>0.9341905</v>
      </c>
    </row>
    <row r="2559">
      <c r="A2559" s="926" t="n">
        <v>35669</v>
      </c>
      <c r="B2559" t="n">
        <v>7.7425</v>
      </c>
      <c r="C2559" t="n">
        <v>0.9341905</v>
      </c>
    </row>
    <row r="2560">
      <c r="A2560" s="926" t="n">
        <v>35670</v>
      </c>
      <c r="B2560" t="n">
        <v>7.7435</v>
      </c>
      <c r="C2560" t="n">
        <v>0.9342775</v>
      </c>
    </row>
    <row r="2561">
      <c r="A2561" s="926" t="n">
        <v>35671</v>
      </c>
      <c r="B2561" t="n">
        <v>7.7435</v>
      </c>
      <c r="C2561" t="n">
        <v>0.934845</v>
      </c>
    </row>
    <row r="2562">
      <c r="A2562" s="926" t="n">
        <v>35672</v>
      </c>
      <c r="B2562" t="n">
        <v>7.7425</v>
      </c>
      <c r="C2562" t="n">
        <v>0.9348495</v>
      </c>
    </row>
    <row r="2563">
      <c r="A2563" s="926" t="n">
        <v>35674</v>
      </c>
      <c r="B2563" t="n">
        <v>7.7485</v>
      </c>
      <c r="C2563" t="n">
        <v>0.9349325000000001</v>
      </c>
    </row>
    <row r="2564">
      <c r="A2564" s="926" t="n">
        <v>35675</v>
      </c>
      <c r="B2564" t="n">
        <v>7.7475</v>
      </c>
      <c r="C2564" t="n">
        <v>0.934889</v>
      </c>
    </row>
    <row r="2565">
      <c r="A2565" s="926" t="n">
        <v>35676</v>
      </c>
      <c r="B2565" t="n">
        <v>7.7435</v>
      </c>
      <c r="C2565" t="n">
        <v>0.9349325000000001</v>
      </c>
    </row>
    <row r="2566">
      <c r="A2566" s="926" t="n">
        <v>35677</v>
      </c>
      <c r="B2566" t="n">
        <v>7.7465</v>
      </c>
      <c r="C2566" t="n">
        <v>0.934627</v>
      </c>
    </row>
    <row r="2567">
      <c r="A2567" s="926" t="n">
        <v>35678</v>
      </c>
      <c r="B2567" t="n">
        <v>7.7455</v>
      </c>
      <c r="C2567" t="n">
        <v>0.934627</v>
      </c>
    </row>
    <row r="2568">
      <c r="A2568" s="926" t="n">
        <v>35679</v>
      </c>
      <c r="B2568" t="n">
        <v>7.7475</v>
      </c>
      <c r="C2568" t="n">
        <v>0.9346314999999999</v>
      </c>
    </row>
    <row r="2569">
      <c r="A2569" s="926" t="n">
        <v>35681</v>
      </c>
      <c r="B2569" t="n">
        <v>7.7455</v>
      </c>
      <c r="C2569" t="n">
        <v>0.9347145</v>
      </c>
    </row>
    <row r="2570">
      <c r="A2570" s="926" t="n">
        <v>35682</v>
      </c>
      <c r="B2570" t="n">
        <v>7.7445</v>
      </c>
      <c r="C2570" t="n">
        <v>0.934627</v>
      </c>
    </row>
    <row r="2571">
      <c r="A2571" s="926" t="n">
        <v>35683</v>
      </c>
      <c r="B2571" t="n">
        <v>7.7445</v>
      </c>
      <c r="C2571" t="n">
        <v>0.9345395</v>
      </c>
    </row>
    <row r="2572">
      <c r="A2572" s="926" t="n">
        <v>35684</v>
      </c>
      <c r="B2572" t="n">
        <v>7.7445</v>
      </c>
      <c r="C2572" t="n">
        <v>0.9344525</v>
      </c>
    </row>
    <row r="2573">
      <c r="A2573" s="926" t="n">
        <v>35685</v>
      </c>
      <c r="B2573" t="n">
        <v>7.7455</v>
      </c>
      <c r="C2573" t="n">
        <v>0.9345395</v>
      </c>
    </row>
    <row r="2574">
      <c r="A2574" s="926" t="n">
        <v>35686</v>
      </c>
      <c r="B2574" t="n">
        <v>7.7465</v>
      </c>
      <c r="C2574" t="n">
        <v>0.934544</v>
      </c>
    </row>
    <row r="2575">
      <c r="A2575" s="926" t="n">
        <v>35688</v>
      </c>
      <c r="B2575" t="n">
        <v>7.7445</v>
      </c>
      <c r="C2575" t="n">
        <v>0.934627</v>
      </c>
    </row>
    <row r="2576">
      <c r="A2576" s="926" t="n">
        <v>35689</v>
      </c>
      <c r="B2576" t="n">
        <v>7.7435</v>
      </c>
      <c r="C2576" t="n">
        <v>0.934627</v>
      </c>
    </row>
    <row r="2577">
      <c r="A2577" s="926" t="n">
        <v>35691</v>
      </c>
      <c r="B2577" t="n">
        <v>7.7425</v>
      </c>
      <c r="C2577" t="n">
        <v>0.9345395</v>
      </c>
    </row>
    <row r="2578">
      <c r="A2578" s="926" t="n">
        <v>35692</v>
      </c>
      <c r="B2578" t="n">
        <v>7.7415</v>
      </c>
      <c r="C2578" t="n">
        <v>0.9342775</v>
      </c>
    </row>
    <row r="2579">
      <c r="A2579" s="926" t="n">
        <v>35693</v>
      </c>
      <c r="B2579" t="n">
        <v>7.7415</v>
      </c>
      <c r="C2579" t="n">
        <v>0.9342815</v>
      </c>
    </row>
    <row r="2580">
      <c r="A2580" s="926" t="n">
        <v>35695</v>
      </c>
      <c r="B2580" t="n">
        <v>7.7415</v>
      </c>
      <c r="C2580" t="n">
        <v>0.934365</v>
      </c>
    </row>
    <row r="2581">
      <c r="A2581" s="926" t="n">
        <v>35696</v>
      </c>
      <c r="B2581" t="n">
        <v>7.7415</v>
      </c>
      <c r="C2581" t="n">
        <v>0.934365</v>
      </c>
    </row>
    <row r="2582">
      <c r="A2582" s="926" t="n">
        <v>35697</v>
      </c>
      <c r="B2582" t="n">
        <v>7.7385</v>
      </c>
      <c r="C2582" t="n">
        <v>0.9344525</v>
      </c>
    </row>
    <row r="2583">
      <c r="A2583" s="926" t="n">
        <v>35698</v>
      </c>
      <c r="B2583" t="n">
        <v>7.7365</v>
      </c>
      <c r="C2583" t="n">
        <v>0.9341465</v>
      </c>
    </row>
    <row r="2584">
      <c r="A2584" s="926" t="n">
        <v>35699</v>
      </c>
      <c r="B2584" t="n">
        <v>7.7375</v>
      </c>
      <c r="C2584" t="n">
        <v>0.9339285000000001</v>
      </c>
    </row>
    <row r="2585">
      <c r="A2585" s="926" t="n">
        <v>35700</v>
      </c>
      <c r="B2585" t="n">
        <v>7.7355</v>
      </c>
      <c r="C2585" t="n">
        <v>0.9339325000000001</v>
      </c>
    </row>
    <row r="2586">
      <c r="A2586" s="926" t="n">
        <v>35702</v>
      </c>
      <c r="B2586" t="n">
        <v>7.7365</v>
      </c>
      <c r="C2586" t="n">
        <v>0.9340155</v>
      </c>
    </row>
    <row r="2587">
      <c r="A2587" s="926" t="n">
        <v>35703</v>
      </c>
      <c r="B2587" t="n">
        <v>7.7375</v>
      </c>
      <c r="C2587" t="n">
        <v>0.9340155</v>
      </c>
    </row>
    <row r="2588">
      <c r="A2588" s="926" t="n">
        <v>35706</v>
      </c>
      <c r="B2588" t="n">
        <v>7.7355</v>
      </c>
      <c r="C2588" t="n">
        <v>0.93402</v>
      </c>
    </row>
    <row r="2589">
      <c r="A2589" s="926" t="n">
        <v>35707</v>
      </c>
      <c r="B2589" t="n">
        <v>7.7365</v>
      </c>
      <c r="C2589" t="n">
        <v>0.93402</v>
      </c>
    </row>
    <row r="2590">
      <c r="A2590" s="926" t="n">
        <v>35709</v>
      </c>
      <c r="B2590" t="n">
        <v>7.7355</v>
      </c>
      <c r="C2590" t="n">
        <v>0.9339285000000001</v>
      </c>
    </row>
    <row r="2591">
      <c r="A2591" s="926" t="n">
        <v>35710</v>
      </c>
      <c r="B2591" t="n">
        <v>7.7355</v>
      </c>
      <c r="C2591" t="n">
        <v>0.9337974999999999</v>
      </c>
    </row>
    <row r="2592">
      <c r="A2592" s="926" t="n">
        <v>35711</v>
      </c>
      <c r="B2592" t="n">
        <v>7.7355</v>
      </c>
      <c r="C2592" t="n">
        <v>0.933841</v>
      </c>
    </row>
    <row r="2593">
      <c r="A2593" s="926" t="n">
        <v>35712</v>
      </c>
      <c r="B2593" t="n">
        <v>7.7355</v>
      </c>
      <c r="C2593" t="n">
        <v>0.9339285000000001</v>
      </c>
    </row>
    <row r="2594">
      <c r="A2594" s="926" t="n">
        <v>35714</v>
      </c>
      <c r="B2594" t="n">
        <v>7.7325</v>
      </c>
      <c r="C2594" t="n">
        <v>0.933846</v>
      </c>
    </row>
    <row r="2595">
      <c r="A2595" s="926" t="n">
        <v>35716</v>
      </c>
      <c r="B2595" t="n">
        <v>7.7345</v>
      </c>
      <c r="C2595" t="n">
        <v>0.9339285000000001</v>
      </c>
    </row>
    <row r="2596">
      <c r="A2596" s="926" t="n">
        <v>35717</v>
      </c>
      <c r="B2596" t="n">
        <v>7.7355</v>
      </c>
      <c r="C2596" t="n">
        <v>0.9339285000000001</v>
      </c>
    </row>
    <row r="2597">
      <c r="A2597" s="926" t="n">
        <v>35718</v>
      </c>
      <c r="B2597" t="n">
        <v>7.7365</v>
      </c>
      <c r="C2597" t="n">
        <v>0.9341905</v>
      </c>
    </row>
    <row r="2598">
      <c r="A2598" s="926" t="n">
        <v>35719</v>
      </c>
      <c r="B2598" t="n">
        <v>7.7365</v>
      </c>
      <c r="C2598" t="n">
        <v>0.9341905</v>
      </c>
    </row>
    <row r="2599">
      <c r="A2599" s="926" t="n">
        <v>35720</v>
      </c>
      <c r="B2599" t="n">
        <v>7.7395</v>
      </c>
      <c r="C2599" t="n">
        <v>0.9342775</v>
      </c>
    </row>
    <row r="2600">
      <c r="A2600" s="926" t="n">
        <v>35721</v>
      </c>
      <c r="B2600" t="n">
        <v>7.7375</v>
      </c>
      <c r="C2600" t="n">
        <v>0.9342815</v>
      </c>
    </row>
    <row r="2601">
      <c r="A2601" s="926" t="n">
        <v>35723</v>
      </c>
      <c r="B2601" t="n">
        <v>7.7375</v>
      </c>
      <c r="C2601" t="n">
        <v>0.934365</v>
      </c>
    </row>
    <row r="2602">
      <c r="A2602" s="926" t="n">
        <v>35724</v>
      </c>
      <c r="B2602" t="n">
        <v>7.7475</v>
      </c>
      <c r="C2602" t="n">
        <v>0.9354135</v>
      </c>
    </row>
    <row r="2603">
      <c r="A2603" s="926" t="n">
        <v>35725</v>
      </c>
      <c r="B2603" t="n">
        <v>7.7495</v>
      </c>
      <c r="C2603" t="n">
        <v>0.9347145</v>
      </c>
    </row>
    <row r="2604">
      <c r="A2604" s="926" t="n">
        <v>35726</v>
      </c>
      <c r="B2604" t="n">
        <v>7.735</v>
      </c>
      <c r="C2604" t="n">
        <v>0.935589</v>
      </c>
    </row>
    <row r="2605">
      <c r="A2605" s="926" t="n">
        <v>35727</v>
      </c>
      <c r="B2605" t="n">
        <v>7.725</v>
      </c>
      <c r="C2605" t="n">
        <v>0.934103</v>
      </c>
    </row>
    <row r="2606">
      <c r="A2606" s="926" t="n">
        <v>35728</v>
      </c>
      <c r="B2606" t="n">
        <v>7.725</v>
      </c>
      <c r="C2606" t="n">
        <v>0.9341075</v>
      </c>
    </row>
    <row r="2607">
      <c r="A2607" s="926" t="n">
        <v>35730</v>
      </c>
      <c r="B2607" t="n">
        <v>7.73</v>
      </c>
      <c r="C2607" t="n">
        <v>0.933841</v>
      </c>
    </row>
    <row r="2608">
      <c r="A2608" s="926" t="n">
        <v>35731</v>
      </c>
      <c r="B2608" t="n">
        <v>7.73</v>
      </c>
      <c r="C2608" t="n">
        <v>0.93358</v>
      </c>
    </row>
    <row r="2609">
      <c r="A2609" s="926" t="n">
        <v>35732</v>
      </c>
      <c r="B2609" t="n">
        <v>7.725</v>
      </c>
      <c r="C2609" t="n">
        <v>0.9333185000000001</v>
      </c>
    </row>
    <row r="2610">
      <c r="A2610" s="926" t="n">
        <v>35733</v>
      </c>
      <c r="B2610" t="n">
        <v>7.73</v>
      </c>
      <c r="C2610" t="n">
        <v>0.9332315</v>
      </c>
    </row>
    <row r="2611">
      <c r="A2611" s="926" t="n">
        <v>35734</v>
      </c>
      <c r="B2611" t="n">
        <v>7.732</v>
      </c>
      <c r="C2611" t="n">
        <v>0.9332315</v>
      </c>
    </row>
    <row r="2612">
      <c r="A2612" s="926" t="n">
        <v>35735</v>
      </c>
      <c r="B2612" t="n">
        <v>7.73</v>
      </c>
      <c r="C2612" t="n">
        <v>0.9332355</v>
      </c>
    </row>
    <row r="2613">
      <c r="A2613" s="926" t="n">
        <v>35737</v>
      </c>
      <c r="B2613" t="n">
        <v>7.732</v>
      </c>
      <c r="C2613" t="n">
        <v>0.9332315</v>
      </c>
    </row>
    <row r="2614">
      <c r="A2614" s="926" t="n">
        <v>35738</v>
      </c>
      <c r="B2614" t="n">
        <v>7.7325</v>
      </c>
      <c r="C2614" t="n">
        <v>0.933841</v>
      </c>
    </row>
    <row r="2615">
      <c r="A2615" s="926" t="n">
        <v>35739</v>
      </c>
      <c r="B2615" t="n">
        <v>7.7315</v>
      </c>
      <c r="C2615" t="n">
        <v>0.9337105</v>
      </c>
    </row>
    <row r="2616">
      <c r="A2616" s="926" t="n">
        <v>35740</v>
      </c>
      <c r="B2616" t="n">
        <v>7.7295</v>
      </c>
      <c r="C2616" t="n">
        <v>0.9334924999999999</v>
      </c>
    </row>
    <row r="2617">
      <c r="A2617" s="926" t="n">
        <v>35741</v>
      </c>
      <c r="B2617" t="n">
        <v>7.7285</v>
      </c>
      <c r="C2617" t="n">
        <v>0.933536</v>
      </c>
    </row>
    <row r="2618">
      <c r="A2618" s="926" t="n">
        <v>35742</v>
      </c>
      <c r="B2618" t="n">
        <v>7.7285</v>
      </c>
      <c r="C2618" t="n">
        <v>0.9335405</v>
      </c>
    </row>
    <row r="2619">
      <c r="A2619" s="926" t="n">
        <v>35744</v>
      </c>
      <c r="B2619" t="n">
        <v>7.7285</v>
      </c>
      <c r="C2619" t="n">
        <v>0.93358</v>
      </c>
    </row>
    <row r="2620">
      <c r="A2620" s="926" t="n">
        <v>35745</v>
      </c>
      <c r="B2620" t="n">
        <v>7.7285</v>
      </c>
      <c r="C2620" t="n">
        <v>0.9334924999999999</v>
      </c>
    </row>
    <row r="2621">
      <c r="A2621" s="926" t="n">
        <v>35746</v>
      </c>
      <c r="B2621" t="n">
        <v>7.7295</v>
      </c>
      <c r="C2621" t="n">
        <v>0.9334924999999999</v>
      </c>
    </row>
    <row r="2622">
      <c r="A2622" s="926" t="n">
        <v>35747</v>
      </c>
      <c r="B2622" t="n">
        <v>7.7315</v>
      </c>
      <c r="C2622" t="n">
        <v>0.9334924999999999</v>
      </c>
    </row>
    <row r="2623">
      <c r="A2623" s="926" t="n">
        <v>35748</v>
      </c>
      <c r="B2623" t="n">
        <v>7.7305</v>
      </c>
      <c r="C2623" t="n">
        <v>0.933667</v>
      </c>
    </row>
    <row r="2624">
      <c r="A2624" s="926" t="n">
        <v>35749</v>
      </c>
      <c r="B2624" t="n">
        <v>7.7285</v>
      </c>
      <c r="C2624" t="n">
        <v>0.933671</v>
      </c>
    </row>
    <row r="2625">
      <c r="A2625" s="926" t="n">
        <v>35751</v>
      </c>
      <c r="B2625" t="n">
        <v>7.7295</v>
      </c>
      <c r="C2625" t="n">
        <v>0.933536</v>
      </c>
    </row>
    <row r="2626">
      <c r="A2626" s="926" t="n">
        <v>35752</v>
      </c>
      <c r="B2626" t="n">
        <v>7.7285</v>
      </c>
      <c r="C2626" t="n">
        <v>0.93358</v>
      </c>
    </row>
    <row r="2627">
      <c r="A2627" s="926" t="n">
        <v>35753</v>
      </c>
      <c r="B2627" t="n">
        <v>7.7295</v>
      </c>
      <c r="C2627" t="n">
        <v>0.933536</v>
      </c>
    </row>
    <row r="2628">
      <c r="A2628" s="926" t="n">
        <v>35754</v>
      </c>
      <c r="B2628" t="n">
        <v>7.7295</v>
      </c>
      <c r="C2628" t="n">
        <v>0.933667</v>
      </c>
    </row>
    <row r="2629">
      <c r="A2629" s="926" t="n">
        <v>35755</v>
      </c>
      <c r="B2629" t="n">
        <v>7.7295</v>
      </c>
      <c r="C2629" t="n">
        <v>0.93358</v>
      </c>
    </row>
    <row r="2630">
      <c r="A2630" s="926" t="n">
        <v>35756</v>
      </c>
      <c r="B2630" t="n">
        <v>7.7295</v>
      </c>
      <c r="C2630" t="n">
        <v>0.9335845</v>
      </c>
    </row>
    <row r="2631">
      <c r="A2631" s="926" t="n">
        <v>35758</v>
      </c>
      <c r="B2631" t="n">
        <v>7.7295</v>
      </c>
      <c r="C2631" t="n">
        <v>0.933667</v>
      </c>
    </row>
    <row r="2632">
      <c r="A2632" s="926" t="n">
        <v>35759</v>
      </c>
      <c r="B2632" t="n">
        <v>7.7295</v>
      </c>
      <c r="C2632" t="n">
        <v>0.933667</v>
      </c>
    </row>
    <row r="2633">
      <c r="A2633" s="926" t="n">
        <v>35760</v>
      </c>
      <c r="B2633" t="n">
        <v>7.7285</v>
      </c>
      <c r="C2633" t="n">
        <v>0.93358</v>
      </c>
    </row>
    <row r="2634">
      <c r="A2634" s="926" t="n">
        <v>35761</v>
      </c>
      <c r="B2634" t="n">
        <v>7.7285</v>
      </c>
      <c r="C2634" t="n">
        <v>0.93358</v>
      </c>
    </row>
    <row r="2635">
      <c r="A2635" s="926" t="n">
        <v>35762</v>
      </c>
      <c r="B2635" t="n">
        <v>7.7295</v>
      </c>
      <c r="C2635" t="n">
        <v>0.93358</v>
      </c>
    </row>
    <row r="2636">
      <c r="A2636" s="926" t="n">
        <v>35763</v>
      </c>
      <c r="B2636" t="n">
        <v>7.7295</v>
      </c>
      <c r="C2636" t="n">
        <v>0.9335845</v>
      </c>
    </row>
    <row r="2637">
      <c r="A2637" s="926" t="n">
        <v>35765</v>
      </c>
      <c r="B2637" t="n">
        <v>7.7295</v>
      </c>
      <c r="C2637" t="n">
        <v>0.933667</v>
      </c>
    </row>
    <row r="2638">
      <c r="A2638" s="926" t="n">
        <v>35766</v>
      </c>
      <c r="B2638" t="n">
        <v>7.7335</v>
      </c>
      <c r="C2638" t="n">
        <v>0.9337974999999999</v>
      </c>
    </row>
    <row r="2639">
      <c r="A2639" s="926" t="n">
        <v>35767</v>
      </c>
      <c r="B2639" t="n">
        <v>7.7365</v>
      </c>
      <c r="C2639" t="n">
        <v>0.9345395</v>
      </c>
    </row>
    <row r="2640">
      <c r="A2640" s="926" t="n">
        <v>35768</v>
      </c>
      <c r="B2640" t="n">
        <v>7.7355</v>
      </c>
      <c r="C2640" t="n">
        <v>0.934234</v>
      </c>
    </row>
    <row r="2641">
      <c r="A2641" s="926" t="n">
        <v>35769</v>
      </c>
      <c r="B2641" t="n">
        <v>7.7345</v>
      </c>
      <c r="C2641" t="n">
        <v>0.9342775</v>
      </c>
    </row>
    <row r="2642">
      <c r="A2642" s="926" t="n">
        <v>35770</v>
      </c>
      <c r="B2642" t="n">
        <v>7.7345</v>
      </c>
      <c r="C2642" t="n">
        <v>0.9342815</v>
      </c>
    </row>
    <row r="2643">
      <c r="A2643" s="926" t="n">
        <v>35772</v>
      </c>
      <c r="B2643" t="n">
        <v>7.7385</v>
      </c>
      <c r="C2643" t="n">
        <v>0.9342775</v>
      </c>
    </row>
    <row r="2644">
      <c r="A2644" s="926" t="n">
        <v>35773</v>
      </c>
      <c r="B2644" t="n">
        <v>7.7365</v>
      </c>
      <c r="C2644" t="n">
        <v>0.934365</v>
      </c>
    </row>
    <row r="2645">
      <c r="A2645" s="926" t="n">
        <v>35774</v>
      </c>
      <c r="B2645" t="n">
        <v>7.7405</v>
      </c>
      <c r="C2645" t="n">
        <v>0.934627</v>
      </c>
    </row>
    <row r="2646">
      <c r="A2646" s="926" t="n">
        <v>35775</v>
      </c>
      <c r="B2646" t="n">
        <v>7.7465</v>
      </c>
      <c r="C2646" t="n">
        <v>0.935064</v>
      </c>
    </row>
    <row r="2647">
      <c r="A2647" s="926" t="n">
        <v>35776</v>
      </c>
      <c r="B2647" t="n">
        <v>7.7475</v>
      </c>
      <c r="C2647" t="n">
        <v>0.9359825000000001</v>
      </c>
    </row>
    <row r="2648">
      <c r="A2648" s="926" t="n">
        <v>35777</v>
      </c>
      <c r="B2648" t="n">
        <v>7.7475</v>
      </c>
      <c r="C2648" t="n">
        <v>0.935987</v>
      </c>
    </row>
    <row r="2649">
      <c r="A2649" s="926" t="n">
        <v>35779</v>
      </c>
      <c r="B2649" t="n">
        <v>7.7485</v>
      </c>
      <c r="C2649" t="n">
        <v>0.9360265</v>
      </c>
    </row>
    <row r="2650">
      <c r="A2650" s="926" t="n">
        <v>35780</v>
      </c>
      <c r="B2650" t="n">
        <v>7.7475</v>
      </c>
      <c r="C2650" t="n">
        <v>0.93607</v>
      </c>
    </row>
    <row r="2651">
      <c r="A2651" s="926" t="n">
        <v>35781</v>
      </c>
      <c r="B2651" t="n">
        <v>7.7475</v>
      </c>
      <c r="C2651" t="n">
        <v>0.93607</v>
      </c>
    </row>
    <row r="2652">
      <c r="A2652" s="926" t="n">
        <v>35782</v>
      </c>
      <c r="B2652" t="n">
        <v>7.7475</v>
      </c>
      <c r="C2652" t="n">
        <v>0.9360265</v>
      </c>
    </row>
    <row r="2653">
      <c r="A2653" s="926" t="n">
        <v>35783</v>
      </c>
      <c r="B2653" t="n">
        <v>7.7485</v>
      </c>
      <c r="C2653" t="n">
        <v>0.9360265</v>
      </c>
    </row>
    <row r="2654">
      <c r="A2654" s="926" t="n">
        <v>35784</v>
      </c>
      <c r="B2654" t="n">
        <v>7.7485</v>
      </c>
      <c r="C2654" t="n">
        <v>0.9360309999999999</v>
      </c>
    </row>
    <row r="2655">
      <c r="A2655" s="926" t="n">
        <v>35786</v>
      </c>
      <c r="B2655" t="n">
        <v>7.7495</v>
      </c>
      <c r="C2655" t="n">
        <v>0.9360265</v>
      </c>
    </row>
    <row r="2656">
      <c r="A2656" s="926" t="n">
        <v>35787</v>
      </c>
      <c r="B2656" t="n">
        <v>7.7495</v>
      </c>
      <c r="C2656" t="n">
        <v>0.9360265</v>
      </c>
    </row>
    <row r="2657">
      <c r="A2657" s="926" t="n">
        <v>35788</v>
      </c>
      <c r="B2657" t="n">
        <v>7.7495</v>
      </c>
      <c r="C2657" t="n">
        <v>0.9356325</v>
      </c>
    </row>
    <row r="2658">
      <c r="A2658" s="926" t="n">
        <v>35791</v>
      </c>
      <c r="B2658" t="n">
        <v>7.7485</v>
      </c>
      <c r="C2658" t="n">
        <v>0.9360309999999999</v>
      </c>
    </row>
    <row r="2659">
      <c r="A2659" s="926" t="n">
        <v>35793</v>
      </c>
      <c r="B2659" t="n">
        <v>7.7485</v>
      </c>
      <c r="C2659" t="n">
        <v>0.935939</v>
      </c>
    </row>
    <row r="2660">
      <c r="A2660" s="926" t="n">
        <v>35794</v>
      </c>
      <c r="B2660" t="n">
        <v>7.7475</v>
      </c>
      <c r="C2660" t="n">
        <v>0.93607</v>
      </c>
    </row>
    <row r="2661">
      <c r="A2661" s="926" t="n">
        <v>35795</v>
      </c>
      <c r="B2661" t="n">
        <v>7.7455</v>
      </c>
      <c r="C2661" t="n">
        <v>0.935939</v>
      </c>
    </row>
    <row r="2662">
      <c r="A2662" s="926" t="n">
        <v>35797</v>
      </c>
      <c r="B2662" t="n">
        <v>7.7495</v>
      </c>
      <c r="C2662" t="n">
        <v>0.9359435</v>
      </c>
    </row>
    <row r="2663">
      <c r="A2663" s="926" t="n">
        <v>35798</v>
      </c>
      <c r="B2663" t="n">
        <v>7.7485</v>
      </c>
      <c r="C2663" t="n">
        <v>0.9359435</v>
      </c>
    </row>
    <row r="2664">
      <c r="A2664" s="926" t="n">
        <v>35800</v>
      </c>
      <c r="B2664" t="n">
        <v>7.7495</v>
      </c>
      <c r="C2664" t="n">
        <v>0.935939</v>
      </c>
    </row>
    <row r="2665">
      <c r="A2665" s="926" t="n">
        <v>35801</v>
      </c>
      <c r="B2665" t="n">
        <v>7.7495</v>
      </c>
      <c r="C2665" t="n">
        <v>0.9359825000000001</v>
      </c>
    </row>
    <row r="2666">
      <c r="A2666" s="926" t="n">
        <v>35802</v>
      </c>
      <c r="B2666" t="n">
        <v>7.7495</v>
      </c>
      <c r="C2666" t="n">
        <v>0.9359825000000001</v>
      </c>
    </row>
    <row r="2667">
      <c r="A2667" s="926" t="n">
        <v>35803</v>
      </c>
      <c r="B2667" t="n">
        <v>7.7475</v>
      </c>
      <c r="C2667" t="n">
        <v>0.9353695</v>
      </c>
    </row>
    <row r="2668">
      <c r="A2668" s="926" t="n">
        <v>35804</v>
      </c>
      <c r="B2668" t="n">
        <v>7.7445</v>
      </c>
      <c r="C2668" t="n">
        <v>0.9355015</v>
      </c>
    </row>
    <row r="2669">
      <c r="A2669" s="926" t="n">
        <v>35805</v>
      </c>
      <c r="B2669" t="n">
        <v>7.7495</v>
      </c>
      <c r="C2669" t="n">
        <v>0.9355055</v>
      </c>
    </row>
    <row r="2670">
      <c r="A2670" s="926" t="n">
        <v>35807</v>
      </c>
      <c r="B2670" t="n">
        <v>7.7445</v>
      </c>
      <c r="C2670" t="n">
        <v>0.935764</v>
      </c>
    </row>
    <row r="2671">
      <c r="A2671" s="926" t="n">
        <v>35808</v>
      </c>
      <c r="B2671" t="n">
        <v>7.741</v>
      </c>
      <c r="C2671" t="n">
        <v>0.9354575000000001</v>
      </c>
    </row>
    <row r="2672">
      <c r="A2672" s="926" t="n">
        <v>35809</v>
      </c>
      <c r="B2672" t="n">
        <v>7.7425</v>
      </c>
      <c r="C2672" t="n">
        <v>0.935939</v>
      </c>
    </row>
    <row r="2673">
      <c r="A2673" s="926" t="n">
        <v>35810</v>
      </c>
      <c r="B2673" t="n">
        <v>7.7395</v>
      </c>
      <c r="C2673" t="n">
        <v>0.935764</v>
      </c>
    </row>
    <row r="2674">
      <c r="A2674" s="926" t="n">
        <v>35811</v>
      </c>
      <c r="B2674" t="n">
        <v>7.7375</v>
      </c>
      <c r="C2674" t="n">
        <v>0.935545</v>
      </c>
    </row>
    <row r="2675">
      <c r="A2675" s="926" t="n">
        <v>35812</v>
      </c>
      <c r="B2675" t="n">
        <v>7.741</v>
      </c>
      <c r="C2675" t="n">
        <v>0.935549</v>
      </c>
    </row>
    <row r="2676">
      <c r="A2676" s="926" t="n">
        <v>35814</v>
      </c>
      <c r="B2676" t="n">
        <v>7.7395</v>
      </c>
      <c r="C2676" t="n">
        <v>0.9355015</v>
      </c>
    </row>
    <row r="2677">
      <c r="A2677" s="926" t="n">
        <v>35815</v>
      </c>
      <c r="B2677" t="n">
        <v>7.7375</v>
      </c>
      <c r="C2677" t="n">
        <v>0.9355015</v>
      </c>
    </row>
    <row r="2678">
      <c r="A2678" s="926" t="n">
        <v>35816</v>
      </c>
      <c r="B2678" t="n">
        <v>7.7355</v>
      </c>
      <c r="C2678" t="n">
        <v>0.935545</v>
      </c>
    </row>
    <row r="2679">
      <c r="A2679" s="926" t="n">
        <v>35817</v>
      </c>
      <c r="B2679" t="n">
        <v>7.7365</v>
      </c>
      <c r="C2679" t="n">
        <v>0.935545</v>
      </c>
    </row>
    <row r="2680">
      <c r="A2680" s="926" t="n">
        <v>35818</v>
      </c>
      <c r="B2680" t="n">
        <v>7.7425</v>
      </c>
      <c r="C2680" t="n">
        <v>0.935589</v>
      </c>
    </row>
    <row r="2681">
      <c r="A2681" s="926" t="n">
        <v>35819</v>
      </c>
      <c r="B2681" t="n">
        <v>7.7375</v>
      </c>
      <c r="C2681" t="n">
        <v>0.935593</v>
      </c>
    </row>
    <row r="2682">
      <c r="A2682" s="926" t="n">
        <v>35821</v>
      </c>
      <c r="B2682" t="n">
        <v>7.7425</v>
      </c>
      <c r="C2682" t="n">
        <v>0.935589</v>
      </c>
    </row>
    <row r="2683">
      <c r="A2683" s="926" t="n">
        <v>35822</v>
      </c>
      <c r="B2683" t="n">
        <v>7.7375</v>
      </c>
      <c r="C2683" t="n">
        <v>0.9355015</v>
      </c>
    </row>
    <row r="2684">
      <c r="A2684" s="926" t="n">
        <v>35826</v>
      </c>
      <c r="B2684" t="n">
        <v>7.7315</v>
      </c>
      <c r="C2684" t="n">
        <v>0.9355055</v>
      </c>
    </row>
    <row r="2685">
      <c r="A2685" s="926" t="n">
        <v>35828</v>
      </c>
      <c r="B2685" t="n">
        <v>7.7385</v>
      </c>
      <c r="C2685" t="n">
        <v>0.935503</v>
      </c>
    </row>
    <row r="2686">
      <c r="A2686" s="926" t="n">
        <v>35829</v>
      </c>
      <c r="B2686" t="n">
        <v>7.7355</v>
      </c>
      <c r="C2686" t="n">
        <v>0.935503</v>
      </c>
    </row>
    <row r="2687">
      <c r="A2687" s="926" t="n">
        <v>35830</v>
      </c>
      <c r="B2687" t="n">
        <v>7.7355</v>
      </c>
      <c r="C2687" t="n">
        <v>0.935589</v>
      </c>
    </row>
    <row r="2688">
      <c r="A2688" s="926" t="n">
        <v>35831</v>
      </c>
      <c r="B2688" t="n">
        <v>7.7365</v>
      </c>
      <c r="C2688" t="n">
        <v>0.9355015</v>
      </c>
    </row>
    <row r="2689">
      <c r="A2689" s="926" t="n">
        <v>35832</v>
      </c>
      <c r="B2689" t="n">
        <v>7.7355</v>
      </c>
      <c r="C2689" t="n">
        <v>0.935545</v>
      </c>
    </row>
    <row r="2690">
      <c r="A2690" s="926" t="n">
        <v>35833</v>
      </c>
      <c r="B2690" t="n">
        <v>7.7335</v>
      </c>
      <c r="C2690" t="n">
        <v>0.935549</v>
      </c>
    </row>
    <row r="2691">
      <c r="A2691" s="926" t="n">
        <v>35835</v>
      </c>
      <c r="B2691" t="n">
        <v>7.7425</v>
      </c>
      <c r="C2691" t="n">
        <v>0.9349765</v>
      </c>
    </row>
    <row r="2692">
      <c r="A2692" s="926" t="n">
        <v>35836</v>
      </c>
      <c r="B2692" t="n">
        <v>7.7365</v>
      </c>
      <c r="C2692" t="n">
        <v>0.9349765</v>
      </c>
    </row>
    <row r="2693">
      <c r="A2693" s="926" t="n">
        <v>35837</v>
      </c>
      <c r="B2693" t="n">
        <v>7.7375</v>
      </c>
      <c r="C2693" t="n">
        <v>0.934889</v>
      </c>
    </row>
    <row r="2694">
      <c r="A2694" s="926" t="n">
        <v>35838</v>
      </c>
      <c r="B2694" t="n">
        <v>7.7415</v>
      </c>
      <c r="C2694" t="n">
        <v>0.934889</v>
      </c>
    </row>
    <row r="2695">
      <c r="A2695" s="926" t="n">
        <v>35839</v>
      </c>
      <c r="B2695" t="n">
        <v>7.7385</v>
      </c>
      <c r="C2695" t="n">
        <v>0.9349765</v>
      </c>
    </row>
    <row r="2696">
      <c r="A2696" s="926" t="n">
        <v>35840</v>
      </c>
      <c r="B2696" t="n">
        <v>7.7375</v>
      </c>
      <c r="C2696" t="n">
        <v>0.9349805</v>
      </c>
    </row>
    <row r="2697">
      <c r="A2697" s="926" t="n">
        <v>35842</v>
      </c>
      <c r="B2697" t="n">
        <v>7.7415</v>
      </c>
      <c r="C2697" t="n">
        <v>0.9348015</v>
      </c>
    </row>
    <row r="2698">
      <c r="A2698" s="926" t="n">
        <v>35843</v>
      </c>
      <c r="B2698" t="n">
        <v>7.7405</v>
      </c>
      <c r="C2698" t="n">
        <v>0.9348015</v>
      </c>
    </row>
    <row r="2699">
      <c r="A2699" s="926" t="n">
        <v>35844</v>
      </c>
      <c r="B2699" t="n">
        <v>7.7445</v>
      </c>
      <c r="C2699" t="n">
        <v>0.9349325000000001</v>
      </c>
    </row>
    <row r="2700">
      <c r="A2700" s="926" t="n">
        <v>35845</v>
      </c>
      <c r="B2700" t="n">
        <v>7.7445</v>
      </c>
      <c r="C2700" t="n">
        <v>0.935589</v>
      </c>
    </row>
    <row r="2701">
      <c r="A2701" s="926" t="n">
        <v>35846</v>
      </c>
      <c r="B2701" t="n">
        <v>7.7425</v>
      </c>
      <c r="C2701" t="n">
        <v>0.9352385</v>
      </c>
    </row>
    <row r="2702">
      <c r="A2702" s="926" t="n">
        <v>35847</v>
      </c>
      <c r="B2702" t="n">
        <v>7.7425</v>
      </c>
      <c r="C2702" t="n">
        <v>0.935243</v>
      </c>
    </row>
    <row r="2703">
      <c r="A2703" s="926" t="n">
        <v>35849</v>
      </c>
      <c r="B2703" t="n">
        <v>7.7485</v>
      </c>
      <c r="C2703" t="n">
        <v>0.935545</v>
      </c>
    </row>
    <row r="2704">
      <c r="A2704" s="926" t="n">
        <v>35850</v>
      </c>
      <c r="B2704" t="n">
        <v>7.7435</v>
      </c>
      <c r="C2704" t="n">
        <v>0.9356325</v>
      </c>
    </row>
    <row r="2705">
      <c r="A2705" s="926" t="n">
        <v>35851</v>
      </c>
      <c r="B2705" t="n">
        <v>7.7455</v>
      </c>
      <c r="C2705" t="n">
        <v>0.935589</v>
      </c>
    </row>
    <row r="2706">
      <c r="A2706" s="926" t="n">
        <v>35852</v>
      </c>
      <c r="B2706" t="n">
        <v>7.7455</v>
      </c>
      <c r="C2706" t="n">
        <v>0.9356765</v>
      </c>
    </row>
    <row r="2707">
      <c r="A2707" s="926" t="n">
        <v>35853</v>
      </c>
      <c r="B2707" t="n">
        <v>7.7425</v>
      </c>
      <c r="C2707" t="n">
        <v>0.93502</v>
      </c>
    </row>
    <row r="2708">
      <c r="A2708" s="926" t="n">
        <v>35854</v>
      </c>
      <c r="B2708" t="n">
        <v>7.7405</v>
      </c>
      <c r="C2708" t="n">
        <v>0.935024</v>
      </c>
    </row>
    <row r="2709">
      <c r="A2709" s="926" t="n">
        <v>35856</v>
      </c>
      <c r="B2709" t="n">
        <v>7.7425</v>
      </c>
      <c r="C2709" t="n">
        <v>0.9354135</v>
      </c>
    </row>
    <row r="2710">
      <c r="A2710" s="926" t="n">
        <v>35857</v>
      </c>
      <c r="B2710" t="n">
        <v>7.7415</v>
      </c>
      <c r="C2710" t="n">
        <v>0.9352385</v>
      </c>
    </row>
    <row r="2711">
      <c r="A2711" s="926" t="n">
        <v>35858</v>
      </c>
      <c r="B2711" t="n">
        <v>7.7405</v>
      </c>
      <c r="C2711" t="n">
        <v>0.9352385</v>
      </c>
    </row>
    <row r="2712">
      <c r="A2712" s="926" t="n">
        <v>35859</v>
      </c>
      <c r="B2712" t="n">
        <v>7.7425</v>
      </c>
      <c r="C2712" t="n">
        <v>0.9352385</v>
      </c>
    </row>
    <row r="2713">
      <c r="A2713" s="926" t="n">
        <v>35860</v>
      </c>
      <c r="B2713" t="n">
        <v>7.7455</v>
      </c>
      <c r="C2713" t="n">
        <v>0.9351945</v>
      </c>
    </row>
    <row r="2714">
      <c r="A2714" s="926" t="n">
        <v>35861</v>
      </c>
      <c r="B2714" t="n">
        <v>7.7425</v>
      </c>
      <c r="C2714" t="n">
        <v>0.935199</v>
      </c>
    </row>
    <row r="2715">
      <c r="A2715" s="926" t="n">
        <v>35863</v>
      </c>
      <c r="B2715" t="n">
        <v>7.7455</v>
      </c>
      <c r="C2715" t="n">
        <v>0.9352819999999999</v>
      </c>
    </row>
    <row r="2716">
      <c r="A2716" s="926" t="n">
        <v>35864</v>
      </c>
      <c r="B2716" t="n">
        <v>7.7445</v>
      </c>
      <c r="C2716" t="n">
        <v>0.935151</v>
      </c>
    </row>
    <row r="2717">
      <c r="A2717" s="926" t="n">
        <v>35865</v>
      </c>
      <c r="B2717" t="n">
        <v>7.7435</v>
      </c>
      <c r="C2717" t="n">
        <v>0.9353695</v>
      </c>
    </row>
    <row r="2718">
      <c r="A2718" s="926" t="n">
        <v>35866</v>
      </c>
      <c r="B2718" t="n">
        <v>7.7445</v>
      </c>
      <c r="C2718" t="n">
        <v>0.9354135</v>
      </c>
    </row>
    <row r="2719">
      <c r="A2719" s="926" t="n">
        <v>35867</v>
      </c>
      <c r="B2719" t="n">
        <v>7.7445</v>
      </c>
      <c r="C2719" t="n">
        <v>0.9354135</v>
      </c>
    </row>
    <row r="2720">
      <c r="A2720" s="926" t="n">
        <v>35868</v>
      </c>
      <c r="B2720" t="n">
        <v>7.7425</v>
      </c>
      <c r="C2720" t="n">
        <v>0.935418</v>
      </c>
    </row>
    <row r="2721">
      <c r="A2721" s="926" t="n">
        <v>35870</v>
      </c>
      <c r="B2721" t="n">
        <v>7.7425</v>
      </c>
      <c r="C2721" t="n">
        <v>0.935326</v>
      </c>
    </row>
    <row r="2722">
      <c r="A2722" s="926" t="n">
        <v>35871</v>
      </c>
      <c r="B2722" t="n">
        <v>7.7455</v>
      </c>
      <c r="C2722" t="n">
        <v>0.9354135</v>
      </c>
    </row>
    <row r="2723">
      <c r="A2723" s="926" t="n">
        <v>35872</v>
      </c>
      <c r="B2723" t="n">
        <v>7.7495</v>
      </c>
      <c r="C2723" t="n">
        <v>0.9356765</v>
      </c>
    </row>
    <row r="2724">
      <c r="A2724" s="926" t="n">
        <v>35873</v>
      </c>
      <c r="B2724" t="n">
        <v>7.7485</v>
      </c>
      <c r="C2724" t="n">
        <v>0.9358075</v>
      </c>
    </row>
    <row r="2725">
      <c r="A2725" s="926" t="n">
        <v>35874</v>
      </c>
      <c r="B2725" t="n">
        <v>7.7485</v>
      </c>
      <c r="C2725" t="n">
        <v>0.935764</v>
      </c>
    </row>
    <row r="2726">
      <c r="A2726" s="926" t="n">
        <v>35875</v>
      </c>
      <c r="B2726" t="n">
        <v>7.7485</v>
      </c>
      <c r="C2726" t="n">
        <v>0.9357685</v>
      </c>
    </row>
    <row r="2727">
      <c r="A2727" s="926" t="n">
        <v>35877</v>
      </c>
      <c r="B2727" t="n">
        <v>7.7485</v>
      </c>
      <c r="C2727" t="n">
        <v>0.935764</v>
      </c>
    </row>
    <row r="2728">
      <c r="A2728" s="926" t="n">
        <v>35878</v>
      </c>
      <c r="B2728" t="n">
        <v>7.7475</v>
      </c>
      <c r="C2728" t="n">
        <v>0.935764</v>
      </c>
    </row>
    <row r="2729">
      <c r="A2729" s="926" t="n">
        <v>35879</v>
      </c>
      <c r="B2729" t="n">
        <v>7.7485</v>
      </c>
      <c r="C2729" t="n">
        <v>0.93572</v>
      </c>
    </row>
    <row r="2730">
      <c r="A2730" s="926" t="n">
        <v>35880</v>
      </c>
      <c r="B2730" t="n">
        <v>7.7495</v>
      </c>
      <c r="C2730" t="n">
        <v>0.9356325</v>
      </c>
    </row>
    <row r="2731">
      <c r="A2731" s="926" t="n">
        <v>35881</v>
      </c>
      <c r="B2731" t="n">
        <v>7.7465</v>
      </c>
      <c r="C2731" t="n">
        <v>0.9358075</v>
      </c>
    </row>
    <row r="2732">
      <c r="A2732" s="926" t="n">
        <v>35882</v>
      </c>
      <c r="B2732" t="n">
        <v>7.7445</v>
      </c>
      <c r="C2732" t="n">
        <v>0.935812</v>
      </c>
    </row>
    <row r="2733">
      <c r="A2733" s="926" t="n">
        <v>35884</v>
      </c>
      <c r="B2733" t="n">
        <v>7.7475</v>
      </c>
      <c r="C2733" t="n">
        <v>0.9356765</v>
      </c>
    </row>
    <row r="2734">
      <c r="A2734" s="926" t="n">
        <v>35885</v>
      </c>
      <c r="B2734" t="n">
        <v>7.7485</v>
      </c>
      <c r="C2734" t="n">
        <v>0.935764</v>
      </c>
    </row>
    <row r="2735">
      <c r="A2735" s="926" t="n">
        <v>35886</v>
      </c>
      <c r="B2735" t="n">
        <v>7.7505</v>
      </c>
      <c r="C2735" t="n">
        <v>0.935851</v>
      </c>
    </row>
    <row r="2736">
      <c r="A2736" s="926" t="n">
        <v>35887</v>
      </c>
      <c r="B2736" t="n">
        <v>7.7505</v>
      </c>
      <c r="C2736" t="n">
        <v>0.935939</v>
      </c>
    </row>
    <row r="2737">
      <c r="A2737" s="926" t="n">
        <v>35888</v>
      </c>
      <c r="B2737" t="n">
        <v>7.7485</v>
      </c>
      <c r="C2737" t="n">
        <v>0.9360265</v>
      </c>
    </row>
    <row r="2738">
      <c r="A2738" s="926" t="n">
        <v>35889</v>
      </c>
      <c r="B2738" t="n">
        <v>7.7485</v>
      </c>
      <c r="C2738" t="n">
        <v>0.9360309999999999</v>
      </c>
    </row>
    <row r="2739">
      <c r="A2739" s="926" t="n">
        <v>35892</v>
      </c>
      <c r="B2739" t="n">
        <v>7.7485</v>
      </c>
      <c r="C2739" t="n">
        <v>0.935851</v>
      </c>
    </row>
    <row r="2740">
      <c r="A2740" s="926" t="n">
        <v>35893</v>
      </c>
      <c r="B2740" t="n">
        <v>7.7495</v>
      </c>
      <c r="C2740" t="n">
        <v>0.935895</v>
      </c>
    </row>
    <row r="2741">
      <c r="A2741" s="926" t="n">
        <v>35894</v>
      </c>
      <c r="B2741" t="n">
        <v>7.7495</v>
      </c>
      <c r="C2741" t="n">
        <v>0.9360265</v>
      </c>
    </row>
    <row r="2742">
      <c r="A2742" s="926" t="n">
        <v>35899</v>
      </c>
      <c r="B2742" t="n">
        <v>7.7485</v>
      </c>
      <c r="C2742" t="n">
        <v>0.935895</v>
      </c>
    </row>
    <row r="2743">
      <c r="A2743" s="926" t="n">
        <v>35900</v>
      </c>
      <c r="B2743" t="n">
        <v>7.7495</v>
      </c>
      <c r="C2743" t="n">
        <v>0.9360265</v>
      </c>
    </row>
    <row r="2744">
      <c r="A2744" s="926" t="n">
        <v>35901</v>
      </c>
      <c r="B2744" t="n">
        <v>7.7495</v>
      </c>
      <c r="C2744" t="n">
        <v>0.935939</v>
      </c>
    </row>
    <row r="2745">
      <c r="A2745" s="926" t="n">
        <v>35902</v>
      </c>
      <c r="B2745" t="n">
        <v>7.7475</v>
      </c>
      <c r="C2745" t="n">
        <v>0.93572</v>
      </c>
    </row>
    <row r="2746">
      <c r="A2746" s="926" t="n">
        <v>35903</v>
      </c>
      <c r="B2746" t="n">
        <v>7.7475</v>
      </c>
      <c r="C2746" t="n">
        <v>0.935724</v>
      </c>
    </row>
    <row r="2747">
      <c r="A2747" s="926" t="n">
        <v>35905</v>
      </c>
      <c r="B2747" t="n">
        <v>7.7495</v>
      </c>
      <c r="C2747" t="n">
        <v>0.935851</v>
      </c>
    </row>
    <row r="2748">
      <c r="A2748" s="926" t="n">
        <v>35906</v>
      </c>
      <c r="B2748" t="n">
        <v>7.7495</v>
      </c>
      <c r="C2748" t="n">
        <v>0.935851</v>
      </c>
    </row>
    <row r="2749">
      <c r="A2749" s="926" t="n">
        <v>35907</v>
      </c>
      <c r="B2749" t="n">
        <v>7.7495</v>
      </c>
      <c r="C2749" t="n">
        <v>0.9360265</v>
      </c>
    </row>
    <row r="2750">
      <c r="A2750" s="926" t="n">
        <v>35908</v>
      </c>
      <c r="B2750" t="n">
        <v>7.7495</v>
      </c>
      <c r="C2750" t="n">
        <v>0.93607</v>
      </c>
    </row>
    <row r="2751">
      <c r="A2751" s="926" t="n">
        <v>35909</v>
      </c>
      <c r="B2751" t="n">
        <v>7.7495</v>
      </c>
      <c r="C2751" t="n">
        <v>0.9360265</v>
      </c>
    </row>
    <row r="2752">
      <c r="A2752" s="926" t="n">
        <v>35910</v>
      </c>
      <c r="B2752" t="n">
        <v>7.7475</v>
      </c>
      <c r="C2752" t="n">
        <v>0.9360309999999999</v>
      </c>
    </row>
    <row r="2753">
      <c r="A2753" s="926" t="n">
        <v>35912</v>
      </c>
      <c r="B2753" t="n">
        <v>7.7505</v>
      </c>
      <c r="C2753" t="n">
        <v>0.936114</v>
      </c>
    </row>
    <row r="2754">
      <c r="A2754" s="926" t="n">
        <v>35913</v>
      </c>
      <c r="B2754" t="n">
        <v>7.7485</v>
      </c>
      <c r="C2754" t="n">
        <v>0.93607</v>
      </c>
    </row>
    <row r="2755">
      <c r="A2755" s="926" t="n">
        <v>35914</v>
      </c>
      <c r="B2755" t="n">
        <v>7.7485</v>
      </c>
      <c r="C2755" t="n">
        <v>0.93607</v>
      </c>
    </row>
    <row r="2756">
      <c r="A2756" s="926" t="n">
        <v>35915</v>
      </c>
      <c r="B2756" t="n">
        <v>7.7465</v>
      </c>
      <c r="C2756" t="n">
        <v>0.9354135</v>
      </c>
    </row>
    <row r="2757">
      <c r="A2757" s="926" t="n">
        <v>35916</v>
      </c>
      <c r="B2757" t="n">
        <v>7.7485</v>
      </c>
      <c r="C2757" t="n">
        <v>0.935418</v>
      </c>
    </row>
    <row r="2758">
      <c r="A2758" s="926" t="n">
        <v>35917</v>
      </c>
      <c r="B2758" t="n">
        <v>7.7475</v>
      </c>
      <c r="C2758" t="n">
        <v>0.935418</v>
      </c>
    </row>
    <row r="2759">
      <c r="A2759" s="926" t="n">
        <v>35919</v>
      </c>
      <c r="B2759" t="n">
        <v>7.7485</v>
      </c>
      <c r="C2759" t="n">
        <v>0.9360265</v>
      </c>
    </row>
    <row r="2760">
      <c r="A2760" s="926" t="n">
        <v>35920</v>
      </c>
      <c r="B2760" t="n">
        <v>7.7505</v>
      </c>
      <c r="C2760" t="n">
        <v>0.935895</v>
      </c>
    </row>
    <row r="2761">
      <c r="A2761" s="926" t="n">
        <v>35921</v>
      </c>
      <c r="B2761" t="n">
        <v>7.7505</v>
      </c>
      <c r="C2761" t="n">
        <v>0.9360265</v>
      </c>
    </row>
    <row r="2762">
      <c r="A2762" s="926" t="n">
        <v>35922</v>
      </c>
      <c r="B2762" t="n">
        <v>7.7495</v>
      </c>
      <c r="C2762" t="n">
        <v>0.9361575</v>
      </c>
    </row>
    <row r="2763">
      <c r="A2763" s="926" t="n">
        <v>35923</v>
      </c>
      <c r="B2763" t="n">
        <v>7.7515</v>
      </c>
      <c r="C2763" t="n">
        <v>0.936114</v>
      </c>
    </row>
    <row r="2764">
      <c r="A2764" s="926" t="n">
        <v>35924</v>
      </c>
      <c r="B2764" t="n">
        <v>7.7465</v>
      </c>
      <c r="C2764" t="n">
        <v>0.9361185</v>
      </c>
    </row>
    <row r="2765">
      <c r="A2765" s="926" t="n">
        <v>35926</v>
      </c>
      <c r="B2765" t="n">
        <v>7.7505</v>
      </c>
      <c r="C2765" t="n">
        <v>0.93607</v>
      </c>
    </row>
    <row r="2766">
      <c r="A2766" s="926" t="n">
        <v>35927</v>
      </c>
      <c r="B2766" t="n">
        <v>7.7495</v>
      </c>
      <c r="C2766" t="n">
        <v>0.9361575</v>
      </c>
    </row>
    <row r="2767">
      <c r="A2767" s="926" t="n">
        <v>35928</v>
      </c>
      <c r="B2767" t="n">
        <v>7.7465</v>
      </c>
      <c r="C2767" t="n">
        <v>0.93572</v>
      </c>
    </row>
    <row r="2768">
      <c r="A2768" s="926" t="n">
        <v>35929</v>
      </c>
      <c r="B2768" t="n">
        <v>7.7475</v>
      </c>
      <c r="C2768" t="n">
        <v>0.935939</v>
      </c>
    </row>
    <row r="2769">
      <c r="A2769" s="926" t="n">
        <v>35930</v>
      </c>
      <c r="B2769" t="n">
        <v>7.7465</v>
      </c>
      <c r="C2769" t="n">
        <v>0.9356765</v>
      </c>
    </row>
    <row r="2770">
      <c r="A2770" s="926" t="n">
        <v>35931</v>
      </c>
      <c r="B2770" t="n">
        <v>7.7485</v>
      </c>
      <c r="C2770" t="n">
        <v>0.9356805</v>
      </c>
    </row>
    <row r="2771">
      <c r="A2771" s="926" t="n">
        <v>35933</v>
      </c>
      <c r="B2771" t="n">
        <v>7.7505</v>
      </c>
      <c r="C2771" t="n">
        <v>0.9359825000000001</v>
      </c>
    </row>
    <row r="2772">
      <c r="A2772" s="926" t="n">
        <v>35934</v>
      </c>
      <c r="B2772" t="n">
        <v>7.7495</v>
      </c>
      <c r="C2772" t="n">
        <v>0.9360265</v>
      </c>
    </row>
    <row r="2773">
      <c r="A2773" s="926" t="n">
        <v>35935</v>
      </c>
      <c r="B2773" t="n">
        <v>7.7515</v>
      </c>
      <c r="C2773" t="n">
        <v>0.9360265</v>
      </c>
    </row>
    <row r="2774">
      <c r="A2774" s="926" t="n">
        <v>35936</v>
      </c>
      <c r="B2774" t="n">
        <v>7.7515</v>
      </c>
      <c r="C2774" t="n">
        <v>0.9359825000000001</v>
      </c>
    </row>
    <row r="2775">
      <c r="A2775" s="926" t="n">
        <v>35937</v>
      </c>
      <c r="B2775" t="n">
        <v>7.7485</v>
      </c>
      <c r="C2775" t="n">
        <v>0.9360265</v>
      </c>
    </row>
    <row r="2776">
      <c r="A2776" s="926" t="n">
        <v>35938</v>
      </c>
      <c r="B2776" t="n">
        <v>7.7475</v>
      </c>
      <c r="C2776" t="n">
        <v>0.9360309999999999</v>
      </c>
    </row>
    <row r="2777">
      <c r="A2777" s="926" t="n">
        <v>35940</v>
      </c>
      <c r="B2777" t="n">
        <v>7.7495</v>
      </c>
      <c r="C2777" t="n">
        <v>0.9358075</v>
      </c>
    </row>
    <row r="2778">
      <c r="A2778" s="926" t="n">
        <v>35941</v>
      </c>
      <c r="B2778" t="n">
        <v>7.7485</v>
      </c>
      <c r="C2778" t="n">
        <v>0.935851</v>
      </c>
    </row>
    <row r="2779">
      <c r="A2779" s="926" t="n">
        <v>35942</v>
      </c>
      <c r="B2779" t="n">
        <v>7.7465</v>
      </c>
      <c r="C2779" t="n">
        <v>0.9358075</v>
      </c>
    </row>
    <row r="2780">
      <c r="A2780" s="926" t="n">
        <v>35943</v>
      </c>
      <c r="B2780" t="n">
        <v>7.7475</v>
      </c>
      <c r="C2780" t="n">
        <v>0.935851</v>
      </c>
    </row>
    <row r="2781">
      <c r="A2781" s="926" t="n">
        <v>35944</v>
      </c>
      <c r="B2781" t="n">
        <v>7.7485</v>
      </c>
      <c r="C2781" t="n">
        <v>0.935851</v>
      </c>
    </row>
    <row r="2782">
      <c r="A2782" s="926" t="n">
        <v>35947</v>
      </c>
      <c r="B2782" t="n">
        <v>7.7485</v>
      </c>
      <c r="C2782" t="n">
        <v>0.935939</v>
      </c>
    </row>
    <row r="2783">
      <c r="A2783" s="926" t="n">
        <v>35948</v>
      </c>
      <c r="B2783" t="n">
        <v>7.7515</v>
      </c>
      <c r="C2783" t="n">
        <v>0.9359825000000001</v>
      </c>
    </row>
    <row r="2784">
      <c r="A2784" s="926" t="n">
        <v>35949</v>
      </c>
      <c r="B2784" t="n">
        <v>7.7495</v>
      </c>
      <c r="C2784" t="n">
        <v>0.935939</v>
      </c>
    </row>
    <row r="2785">
      <c r="A2785" s="926" t="n">
        <v>35950</v>
      </c>
      <c r="B2785" t="n">
        <v>7.7505</v>
      </c>
      <c r="C2785" t="n">
        <v>0.935895</v>
      </c>
    </row>
    <row r="2786">
      <c r="A2786" s="926" t="n">
        <v>35951</v>
      </c>
      <c r="B2786" t="n">
        <v>7.7475</v>
      </c>
      <c r="C2786" t="n">
        <v>0.9359825000000001</v>
      </c>
    </row>
    <row r="2787">
      <c r="A2787" s="926" t="n">
        <v>35952</v>
      </c>
      <c r="B2787" t="n">
        <v>7.7505</v>
      </c>
      <c r="C2787" t="n">
        <v>0.935987</v>
      </c>
    </row>
    <row r="2788">
      <c r="A2788" s="926" t="n">
        <v>35954</v>
      </c>
      <c r="B2788" t="n">
        <v>7.7495</v>
      </c>
      <c r="C2788" t="n">
        <v>0.9360265</v>
      </c>
    </row>
    <row r="2789">
      <c r="A2789" s="926" t="n">
        <v>35955</v>
      </c>
      <c r="B2789" t="n">
        <v>7.7495</v>
      </c>
      <c r="C2789" t="n">
        <v>0.935895</v>
      </c>
    </row>
    <row r="2790">
      <c r="A2790" s="926" t="n">
        <v>35956</v>
      </c>
      <c r="B2790" t="n">
        <v>7.7505</v>
      </c>
      <c r="C2790" t="n">
        <v>0.935939</v>
      </c>
    </row>
    <row r="2791">
      <c r="A2791" s="926" t="n">
        <v>35957</v>
      </c>
      <c r="B2791" t="n">
        <v>7.7515</v>
      </c>
      <c r="C2791" t="n">
        <v>0.9360265</v>
      </c>
    </row>
    <row r="2792">
      <c r="A2792" s="926" t="n">
        <v>35958</v>
      </c>
      <c r="B2792" t="n">
        <v>7.752</v>
      </c>
      <c r="C2792" t="n">
        <v>0.9359825000000001</v>
      </c>
    </row>
    <row r="2793">
      <c r="A2793" s="926" t="n">
        <v>35959</v>
      </c>
      <c r="B2793" t="n">
        <v>7.7485</v>
      </c>
      <c r="C2793" t="n">
        <v>0.935987</v>
      </c>
    </row>
    <row r="2794">
      <c r="A2794" s="926" t="n">
        <v>35961</v>
      </c>
      <c r="B2794" t="n">
        <v>7.75</v>
      </c>
      <c r="C2794" t="n">
        <v>0.935939</v>
      </c>
    </row>
    <row r="2795">
      <c r="A2795" s="926" t="n">
        <v>35962</v>
      </c>
      <c r="B2795" t="n">
        <v>7.742</v>
      </c>
      <c r="C2795" t="n">
        <v>0.9345395</v>
      </c>
    </row>
    <row r="2796">
      <c r="A2796" s="926" t="n">
        <v>35963</v>
      </c>
      <c r="B2796" t="n">
        <v>7.745</v>
      </c>
      <c r="C2796" t="n">
        <v>0.935326</v>
      </c>
    </row>
    <row r="2797">
      <c r="A2797" s="926" t="n">
        <v>35964</v>
      </c>
      <c r="B2797" t="n">
        <v>7.741</v>
      </c>
      <c r="C2797" t="n">
        <v>0.9348015</v>
      </c>
    </row>
    <row r="2798">
      <c r="A2798" s="926" t="n">
        <v>35965</v>
      </c>
      <c r="B2798" t="n">
        <v>7.738</v>
      </c>
      <c r="C2798" t="n">
        <v>0.935064</v>
      </c>
    </row>
    <row r="2799">
      <c r="A2799" s="926" t="n">
        <v>35966</v>
      </c>
      <c r="B2799" t="n">
        <v>7.741</v>
      </c>
      <c r="C2799" t="n">
        <v>0.935068</v>
      </c>
    </row>
    <row r="2800">
      <c r="A2800" s="926" t="n">
        <v>35968</v>
      </c>
      <c r="B2800" t="n">
        <v>7.745</v>
      </c>
      <c r="C2800" t="n">
        <v>0.934889</v>
      </c>
    </row>
    <row r="2801">
      <c r="A2801" s="926" t="n">
        <v>35969</v>
      </c>
      <c r="B2801" t="n">
        <v>7.741</v>
      </c>
      <c r="C2801" t="n">
        <v>0.9353695</v>
      </c>
    </row>
    <row r="2802">
      <c r="A2802" s="926" t="n">
        <v>35970</v>
      </c>
      <c r="B2802" t="n">
        <v>7.742</v>
      </c>
      <c r="C2802" t="n">
        <v>0.9352385</v>
      </c>
    </row>
    <row r="2803">
      <c r="A2803" s="926" t="n">
        <v>35971</v>
      </c>
      <c r="B2803" t="n">
        <v>7.744</v>
      </c>
      <c r="C2803" t="n">
        <v>0.9354135</v>
      </c>
    </row>
    <row r="2804">
      <c r="A2804" s="926" t="n">
        <v>35972</v>
      </c>
      <c r="B2804" t="n">
        <v>7.747</v>
      </c>
      <c r="C2804" t="n">
        <v>0.935589</v>
      </c>
    </row>
    <row r="2805">
      <c r="A2805" s="926" t="n">
        <v>35973</v>
      </c>
      <c r="B2805" t="n">
        <v>7.747</v>
      </c>
      <c r="C2805" t="n">
        <v>0.935593</v>
      </c>
    </row>
    <row r="2806">
      <c r="A2806" s="926" t="n">
        <v>35975</v>
      </c>
      <c r="B2806" t="n">
        <v>7.748</v>
      </c>
      <c r="C2806" t="n">
        <v>0.935851</v>
      </c>
    </row>
    <row r="2807">
      <c r="A2807" s="926" t="n">
        <v>35976</v>
      </c>
      <c r="B2807" t="n">
        <v>7.744</v>
      </c>
      <c r="C2807" t="n">
        <v>0.93572</v>
      </c>
    </row>
    <row r="2808">
      <c r="A2808" s="926" t="n">
        <v>35978</v>
      </c>
      <c r="B2808" t="n">
        <v>7.743</v>
      </c>
      <c r="C2808" t="n">
        <v>0.935589</v>
      </c>
    </row>
    <row r="2809">
      <c r="A2809" s="926" t="n">
        <v>35979</v>
      </c>
      <c r="B2809" t="n">
        <v>7.743</v>
      </c>
      <c r="C2809" t="n">
        <v>0.9356325</v>
      </c>
    </row>
    <row r="2810">
      <c r="A2810" s="926" t="n">
        <v>35980</v>
      </c>
      <c r="B2810" t="n">
        <v>7.744</v>
      </c>
      <c r="C2810" t="n">
        <v>0.9356365</v>
      </c>
    </row>
    <row r="2811">
      <c r="A2811" s="926" t="n">
        <v>35982</v>
      </c>
      <c r="B2811" t="n">
        <v>7.747</v>
      </c>
      <c r="C2811" t="n">
        <v>0.935764</v>
      </c>
    </row>
    <row r="2812">
      <c r="A2812" s="926" t="n">
        <v>35983</v>
      </c>
      <c r="B2812" t="n">
        <v>7.746</v>
      </c>
      <c r="C2812" t="n">
        <v>0.9356765</v>
      </c>
    </row>
    <row r="2813">
      <c r="A2813" s="926" t="n">
        <v>35984</v>
      </c>
      <c r="B2813" t="n">
        <v>7.745</v>
      </c>
      <c r="C2813" t="n">
        <v>0.935764</v>
      </c>
    </row>
    <row r="2814">
      <c r="A2814" s="926" t="n">
        <v>35985</v>
      </c>
      <c r="B2814" t="n">
        <v>7.748</v>
      </c>
      <c r="C2814" t="n">
        <v>0.9356765</v>
      </c>
    </row>
    <row r="2815">
      <c r="A2815" s="926" t="n">
        <v>35986</v>
      </c>
      <c r="B2815" t="n">
        <v>7.748</v>
      </c>
      <c r="C2815" t="n">
        <v>0.935939</v>
      </c>
    </row>
    <row r="2816">
      <c r="A2816" s="926" t="n">
        <v>35987</v>
      </c>
      <c r="B2816" t="n">
        <v>7.746</v>
      </c>
      <c r="C2816" t="n">
        <v>0.9359435</v>
      </c>
    </row>
    <row r="2817">
      <c r="A2817" s="926" t="n">
        <v>35989</v>
      </c>
      <c r="B2817" t="n">
        <v>7.75</v>
      </c>
      <c r="C2817" t="n">
        <v>0.935939</v>
      </c>
    </row>
    <row r="2818">
      <c r="A2818" s="926" t="n">
        <v>35990</v>
      </c>
      <c r="B2818" t="n">
        <v>7.747</v>
      </c>
      <c r="C2818" t="n">
        <v>0.935939</v>
      </c>
    </row>
    <row r="2819">
      <c r="A2819" s="926" t="n">
        <v>35991</v>
      </c>
      <c r="B2819" t="n">
        <v>7.747</v>
      </c>
      <c r="C2819" t="n">
        <v>0.9358075</v>
      </c>
    </row>
    <row r="2820">
      <c r="A2820" s="926" t="n">
        <v>35992</v>
      </c>
      <c r="B2820" t="n">
        <v>7.746</v>
      </c>
      <c r="C2820" t="n">
        <v>0.935939</v>
      </c>
    </row>
    <row r="2821">
      <c r="A2821" s="926" t="n">
        <v>35993</v>
      </c>
      <c r="B2821" t="n">
        <v>7.745</v>
      </c>
      <c r="C2821" t="n">
        <v>0.935851</v>
      </c>
    </row>
    <row r="2822">
      <c r="A2822" s="926" t="n">
        <v>35994</v>
      </c>
      <c r="B2822" t="n">
        <v>7.747</v>
      </c>
      <c r="C2822" t="n">
        <v>0.935856</v>
      </c>
    </row>
    <row r="2823">
      <c r="A2823" s="926" t="n">
        <v>35996</v>
      </c>
      <c r="B2823" t="n">
        <v>7.746</v>
      </c>
      <c r="C2823" t="n">
        <v>0.935939</v>
      </c>
    </row>
    <row r="2824">
      <c r="A2824" s="926" t="n">
        <v>35997</v>
      </c>
      <c r="B2824" t="n">
        <v>7.748</v>
      </c>
      <c r="C2824" t="n">
        <v>0.93572</v>
      </c>
    </row>
    <row r="2825">
      <c r="A2825" s="926" t="n">
        <v>35998</v>
      </c>
      <c r="B2825" t="n">
        <v>7.745</v>
      </c>
      <c r="C2825" t="n">
        <v>0.9358945</v>
      </c>
    </row>
    <row r="2826">
      <c r="A2826" s="926" t="n">
        <v>35999</v>
      </c>
      <c r="B2826" t="n">
        <v>7.747</v>
      </c>
      <c r="C2826" t="n">
        <v>0.935851</v>
      </c>
    </row>
    <row r="2827">
      <c r="A2827" s="926" t="n">
        <v>36000</v>
      </c>
      <c r="B2827" t="n">
        <v>7.747</v>
      </c>
      <c r="C2827" t="n">
        <v>0.935939</v>
      </c>
    </row>
    <row r="2828">
      <c r="A2828" s="926" t="n">
        <v>36001</v>
      </c>
      <c r="B2828" t="n">
        <v>7.744</v>
      </c>
      <c r="C2828" t="n">
        <v>0.9359435</v>
      </c>
    </row>
    <row r="2829">
      <c r="A2829" s="926" t="n">
        <v>36003</v>
      </c>
      <c r="B2829" t="n">
        <v>7.748</v>
      </c>
      <c r="C2829" t="n">
        <v>0.935939</v>
      </c>
    </row>
    <row r="2830">
      <c r="A2830" s="926" t="n">
        <v>36004</v>
      </c>
      <c r="B2830" t="n">
        <v>7.748</v>
      </c>
      <c r="C2830" t="n">
        <v>0.935895</v>
      </c>
    </row>
    <row r="2831">
      <c r="A2831" s="926" t="n">
        <v>36005</v>
      </c>
      <c r="B2831" t="n">
        <v>7.746</v>
      </c>
      <c r="C2831" t="n">
        <v>0.935895</v>
      </c>
    </row>
    <row r="2832">
      <c r="A2832" s="926" t="n">
        <v>36006</v>
      </c>
      <c r="B2832" t="n">
        <v>7.746</v>
      </c>
      <c r="C2832" t="n">
        <v>0.935895</v>
      </c>
    </row>
    <row r="2833">
      <c r="A2833" s="926" t="n">
        <v>36007</v>
      </c>
      <c r="B2833" t="n">
        <v>7.747</v>
      </c>
      <c r="C2833" t="n">
        <v>0.935895</v>
      </c>
    </row>
    <row r="2834">
      <c r="A2834" s="926" t="n">
        <v>36008</v>
      </c>
      <c r="B2834" t="n">
        <v>7.748</v>
      </c>
      <c r="C2834" t="n">
        <v>0.9358995</v>
      </c>
    </row>
    <row r="2835">
      <c r="A2835" s="926" t="n">
        <v>36010</v>
      </c>
      <c r="B2835" t="n">
        <v>7.748</v>
      </c>
      <c r="C2835" t="n">
        <v>0.935939</v>
      </c>
    </row>
    <row r="2836">
      <c r="A2836" s="926" t="n">
        <v>36011</v>
      </c>
      <c r="B2836" t="n">
        <v>7.749</v>
      </c>
      <c r="C2836" t="n">
        <v>0.9359825000000001</v>
      </c>
    </row>
    <row r="2837">
      <c r="A2837" s="926" t="n">
        <v>36012</v>
      </c>
      <c r="B2837" t="n">
        <v>7.749</v>
      </c>
      <c r="C2837" t="n">
        <v>0.935939</v>
      </c>
    </row>
    <row r="2838">
      <c r="A2838" s="926" t="n">
        <v>36013</v>
      </c>
      <c r="B2838" t="n">
        <v>7.749</v>
      </c>
      <c r="C2838" t="n">
        <v>0.935895</v>
      </c>
    </row>
    <row r="2839">
      <c r="A2839" s="926" t="n">
        <v>36014</v>
      </c>
      <c r="B2839" t="n">
        <v>7.748</v>
      </c>
      <c r="C2839" t="n">
        <v>0.936114</v>
      </c>
    </row>
    <row r="2840">
      <c r="A2840" s="926" t="n">
        <v>36015</v>
      </c>
      <c r="B2840" t="n">
        <v>7.748</v>
      </c>
      <c r="C2840" t="n">
        <v>0.9361185</v>
      </c>
    </row>
    <row r="2841">
      <c r="A2841" s="926" t="n">
        <v>36017</v>
      </c>
      <c r="B2841" t="n">
        <v>7.747</v>
      </c>
      <c r="C2841" t="n">
        <v>0.935939</v>
      </c>
    </row>
    <row r="2842">
      <c r="A2842" s="926" t="n">
        <v>36018</v>
      </c>
      <c r="B2842" t="n">
        <v>7.749</v>
      </c>
      <c r="C2842" t="n">
        <v>0.935851</v>
      </c>
    </row>
    <row r="2843">
      <c r="A2843" s="926" t="n">
        <v>36019</v>
      </c>
      <c r="B2843" t="n">
        <v>7.748</v>
      </c>
      <c r="C2843" t="n">
        <v>0.935939</v>
      </c>
    </row>
    <row r="2844">
      <c r="A2844" s="926" t="n">
        <v>36020</v>
      </c>
      <c r="B2844" t="n">
        <v>7.748</v>
      </c>
      <c r="C2844" t="n">
        <v>0.935939</v>
      </c>
    </row>
    <row r="2845">
      <c r="A2845" s="926" t="n">
        <v>36021</v>
      </c>
      <c r="B2845" t="n">
        <v>7.75</v>
      </c>
      <c r="C2845" t="n">
        <v>0.9359825000000001</v>
      </c>
    </row>
    <row r="2846">
      <c r="A2846" s="926" t="n">
        <v>36022</v>
      </c>
      <c r="B2846" t="n">
        <v>7.75</v>
      </c>
      <c r="C2846" t="n">
        <v>0.935987</v>
      </c>
    </row>
    <row r="2847">
      <c r="A2847" s="926" t="n">
        <v>36025</v>
      </c>
      <c r="B2847" t="n">
        <v>7.75</v>
      </c>
      <c r="C2847" t="n">
        <v>0.935939</v>
      </c>
    </row>
    <row r="2848">
      <c r="A2848" s="926" t="n">
        <v>36026</v>
      </c>
      <c r="B2848" t="n">
        <v>7.747</v>
      </c>
      <c r="C2848" t="n">
        <v>0.9356325</v>
      </c>
    </row>
    <row r="2849">
      <c r="A2849" s="926" t="n">
        <v>36027</v>
      </c>
      <c r="B2849" t="n">
        <v>7.748</v>
      </c>
      <c r="C2849" t="n">
        <v>0.935764</v>
      </c>
    </row>
    <row r="2850">
      <c r="A2850" s="926" t="n">
        <v>36028</v>
      </c>
      <c r="B2850" t="n">
        <v>7.747</v>
      </c>
      <c r="C2850" t="n">
        <v>0.935939</v>
      </c>
    </row>
    <row r="2851">
      <c r="A2851" s="926" t="n">
        <v>36029</v>
      </c>
      <c r="B2851" t="n">
        <v>7.751</v>
      </c>
      <c r="C2851" t="n">
        <v>0.9359435</v>
      </c>
    </row>
    <row r="2852">
      <c r="A2852" s="926" t="n">
        <v>36031</v>
      </c>
      <c r="B2852" t="n">
        <v>7.749</v>
      </c>
      <c r="C2852" t="n">
        <v>0.935939</v>
      </c>
    </row>
    <row r="2853">
      <c r="A2853" s="926" t="n">
        <v>36032</v>
      </c>
      <c r="B2853" t="n">
        <v>7.741</v>
      </c>
      <c r="C2853" t="n">
        <v>0.935764</v>
      </c>
    </row>
    <row r="2854">
      <c r="A2854" s="926" t="n">
        <v>36033</v>
      </c>
      <c r="B2854" t="n">
        <v>7.743</v>
      </c>
      <c r="C2854" t="n">
        <v>0.935895</v>
      </c>
    </row>
    <row r="2855">
      <c r="A2855" s="926" t="n">
        <v>36034</v>
      </c>
      <c r="B2855" t="n">
        <v>7.743</v>
      </c>
      <c r="C2855" t="n">
        <v>0.935718</v>
      </c>
    </row>
    <row r="2856">
      <c r="A2856" s="926" t="n">
        <v>36035</v>
      </c>
      <c r="B2856" t="n">
        <v>7.745</v>
      </c>
      <c r="C2856" t="n">
        <v>0.935981</v>
      </c>
    </row>
    <row r="2857">
      <c r="A2857" s="926" t="n">
        <v>36036</v>
      </c>
      <c r="B2857" t="n">
        <v>7.746</v>
      </c>
      <c r="C2857" t="n">
        <v>0.9359845</v>
      </c>
    </row>
    <row r="2858">
      <c r="A2858" s="926" t="n">
        <v>36038</v>
      </c>
      <c r="B2858" t="n">
        <v>7.7425</v>
      </c>
      <c r="C2858" t="n">
        <v>0.9358935</v>
      </c>
    </row>
    <row r="2859">
      <c r="A2859" s="926" t="n">
        <v>36039</v>
      </c>
      <c r="B2859" t="n">
        <v>7.7405</v>
      </c>
      <c r="C2859" t="n">
        <v>0.935981</v>
      </c>
    </row>
    <row r="2860">
      <c r="A2860" s="926" t="n">
        <v>36040</v>
      </c>
      <c r="B2860" t="n">
        <v>7.747</v>
      </c>
      <c r="C2860" t="n">
        <v>0.9358935</v>
      </c>
    </row>
    <row r="2861">
      <c r="A2861" s="926" t="n">
        <v>36041</v>
      </c>
      <c r="B2861" t="n">
        <v>7.748</v>
      </c>
      <c r="C2861" t="n">
        <v>0.9358935</v>
      </c>
    </row>
    <row r="2862">
      <c r="A2862" s="926" t="n">
        <v>36042</v>
      </c>
      <c r="B2862" t="n">
        <v>7.749</v>
      </c>
      <c r="C2862" t="n">
        <v>0.9358935</v>
      </c>
    </row>
    <row r="2863">
      <c r="A2863" s="926" t="n">
        <v>36043</v>
      </c>
      <c r="B2863" t="n">
        <v>7.741</v>
      </c>
      <c r="C2863" t="n">
        <v>0.935897</v>
      </c>
    </row>
    <row r="2864">
      <c r="A2864" s="926" t="n">
        <v>36045</v>
      </c>
      <c r="B2864" t="n">
        <v>7.748</v>
      </c>
      <c r="C2864" t="n">
        <v>0.933927</v>
      </c>
    </row>
    <row r="2865">
      <c r="A2865" s="926" t="n">
        <v>36046</v>
      </c>
      <c r="B2865" t="n">
        <v>7.748</v>
      </c>
      <c r="C2865" t="n">
        <v>0.935981</v>
      </c>
    </row>
    <row r="2866">
      <c r="A2866" s="926" t="n">
        <v>36047</v>
      </c>
      <c r="B2866" t="n">
        <v>7.747</v>
      </c>
      <c r="C2866" t="n">
        <v>0.9358935</v>
      </c>
    </row>
    <row r="2867">
      <c r="A2867" s="926" t="n">
        <v>36048</v>
      </c>
      <c r="B2867" t="n">
        <v>7.748</v>
      </c>
      <c r="C2867" t="n">
        <v>0.935981</v>
      </c>
    </row>
    <row r="2868">
      <c r="A2868" s="926" t="n">
        <v>36049</v>
      </c>
      <c r="B2868" t="n">
        <v>7.747</v>
      </c>
      <c r="C2868" t="n">
        <v>0.935981</v>
      </c>
    </row>
    <row r="2869">
      <c r="A2869" s="926" t="n">
        <v>36050</v>
      </c>
      <c r="B2869" t="n">
        <v>7.748</v>
      </c>
      <c r="C2869" t="n">
        <v>0.9359845</v>
      </c>
    </row>
    <row r="2870">
      <c r="A2870" s="926" t="n">
        <v>36052</v>
      </c>
      <c r="B2870" t="n">
        <v>7.746</v>
      </c>
      <c r="C2870" t="n">
        <v>0.936069</v>
      </c>
    </row>
    <row r="2871">
      <c r="A2871" s="926" t="n">
        <v>36053</v>
      </c>
      <c r="B2871" t="n">
        <v>7.744</v>
      </c>
      <c r="C2871" t="n">
        <v>0.9355</v>
      </c>
    </row>
    <row r="2872">
      <c r="A2872" s="926" t="n">
        <v>36054</v>
      </c>
      <c r="B2872" t="n">
        <v>7.744</v>
      </c>
      <c r="C2872" t="n">
        <v>0.9358935</v>
      </c>
    </row>
    <row r="2873">
      <c r="A2873" s="926" t="n">
        <v>36055</v>
      </c>
      <c r="B2873" t="n">
        <v>7.745</v>
      </c>
      <c r="C2873" t="n">
        <v>0.9358935</v>
      </c>
    </row>
    <row r="2874">
      <c r="A2874" s="926" t="n">
        <v>36056</v>
      </c>
      <c r="B2874" t="n">
        <v>7.745</v>
      </c>
      <c r="C2874" t="n">
        <v>0.935981</v>
      </c>
    </row>
    <row r="2875">
      <c r="A2875" s="926" t="n">
        <v>36057</v>
      </c>
      <c r="B2875" t="n">
        <v>7.745</v>
      </c>
      <c r="C2875" t="n">
        <v>0.9359845</v>
      </c>
    </row>
    <row r="2876">
      <c r="A2876" s="926" t="n">
        <v>36059</v>
      </c>
      <c r="B2876" t="n">
        <v>7.747</v>
      </c>
      <c r="C2876" t="n">
        <v>0.9361564999999999</v>
      </c>
    </row>
    <row r="2877">
      <c r="A2877" s="926" t="n">
        <v>36060</v>
      </c>
      <c r="B2877" t="n">
        <v>7.746</v>
      </c>
      <c r="C2877" t="n">
        <v>0.935806</v>
      </c>
    </row>
    <row r="2878">
      <c r="A2878" s="926" t="n">
        <v>36061</v>
      </c>
      <c r="B2878" t="n">
        <v>7.746</v>
      </c>
      <c r="C2878" t="n">
        <v>0.935981</v>
      </c>
    </row>
    <row r="2879">
      <c r="A2879" s="926" t="n">
        <v>36062</v>
      </c>
      <c r="B2879" t="n">
        <v>7.746</v>
      </c>
      <c r="C2879" t="n">
        <v>0.935981</v>
      </c>
    </row>
    <row r="2880">
      <c r="A2880" s="926" t="n">
        <v>36063</v>
      </c>
      <c r="B2880" t="n">
        <v>7.745</v>
      </c>
      <c r="C2880" t="n">
        <v>0.935981</v>
      </c>
    </row>
    <row r="2881">
      <c r="A2881" s="926" t="n">
        <v>36064</v>
      </c>
      <c r="B2881" t="n">
        <v>7.746</v>
      </c>
      <c r="C2881" t="n">
        <v>0.9359845</v>
      </c>
    </row>
    <row r="2882">
      <c r="A2882" s="926" t="n">
        <v>36066</v>
      </c>
      <c r="B2882" t="n">
        <v>7.746</v>
      </c>
      <c r="C2882" t="n">
        <v>0.9358935</v>
      </c>
    </row>
    <row r="2883">
      <c r="A2883" s="926" t="n">
        <v>36067</v>
      </c>
      <c r="B2883" t="n">
        <v>7.746</v>
      </c>
      <c r="C2883" t="n">
        <v>0.935981</v>
      </c>
    </row>
    <row r="2884">
      <c r="A2884" s="926" t="n">
        <v>36068</v>
      </c>
      <c r="B2884" t="n">
        <v>7.745</v>
      </c>
      <c r="C2884" t="n">
        <v>0.935981</v>
      </c>
    </row>
    <row r="2885">
      <c r="A2885" s="926" t="n">
        <v>36071</v>
      </c>
      <c r="B2885" t="n">
        <v>7.744</v>
      </c>
      <c r="C2885" t="n">
        <v>0.9359845</v>
      </c>
    </row>
    <row r="2886">
      <c r="A2886" s="926" t="n">
        <v>36073</v>
      </c>
      <c r="B2886" t="n">
        <v>7.746</v>
      </c>
      <c r="C2886" t="n">
        <v>0.936069</v>
      </c>
    </row>
    <row r="2887">
      <c r="A2887" s="926" t="n">
        <v>36075</v>
      </c>
      <c r="B2887" t="n">
        <v>7.746</v>
      </c>
      <c r="C2887" t="n">
        <v>0.936025</v>
      </c>
    </row>
    <row r="2888">
      <c r="A2888" s="926" t="n">
        <v>36076</v>
      </c>
      <c r="B2888" t="n">
        <v>7.745</v>
      </c>
      <c r="C2888" t="n">
        <v>0.9359375</v>
      </c>
    </row>
    <row r="2889">
      <c r="A2889" s="926" t="n">
        <v>36077</v>
      </c>
      <c r="B2889" t="n">
        <v>7.743</v>
      </c>
      <c r="C2889" t="n">
        <v>0.935806</v>
      </c>
    </row>
    <row r="2890">
      <c r="A2890" s="926" t="n">
        <v>36078</v>
      </c>
      <c r="B2890" t="n">
        <v>7.744</v>
      </c>
      <c r="C2890" t="n">
        <v>0.935809</v>
      </c>
    </row>
    <row r="2891">
      <c r="A2891" s="926" t="n">
        <v>36080</v>
      </c>
      <c r="B2891" t="n">
        <v>7.745</v>
      </c>
      <c r="C2891" t="n">
        <v>0.9358935</v>
      </c>
    </row>
    <row r="2892">
      <c r="A2892" s="926" t="n">
        <v>36081</v>
      </c>
      <c r="B2892" t="n">
        <v>7.745</v>
      </c>
      <c r="C2892" t="n">
        <v>0.9358935</v>
      </c>
    </row>
    <row r="2893">
      <c r="A2893" s="926" t="n">
        <v>36082</v>
      </c>
      <c r="B2893" t="n">
        <v>7.745</v>
      </c>
      <c r="C2893" t="n">
        <v>0.935806</v>
      </c>
    </row>
    <row r="2894">
      <c r="A2894" s="926" t="n">
        <v>36083</v>
      </c>
      <c r="B2894" t="n">
        <v>7.745</v>
      </c>
      <c r="C2894" t="n">
        <v>0.935806</v>
      </c>
    </row>
    <row r="2895">
      <c r="A2895" s="926" t="n">
        <v>36084</v>
      </c>
      <c r="B2895" t="n">
        <v>7.744</v>
      </c>
      <c r="C2895" t="n">
        <v>0.936069</v>
      </c>
    </row>
    <row r="2896">
      <c r="A2896" s="926" t="n">
        <v>36085</v>
      </c>
      <c r="B2896" t="n">
        <v>7.744</v>
      </c>
      <c r="C2896" t="n">
        <v>0.936072</v>
      </c>
    </row>
    <row r="2897">
      <c r="A2897" s="926" t="n">
        <v>36087</v>
      </c>
      <c r="B2897" t="n">
        <v>7.744</v>
      </c>
      <c r="C2897" t="n">
        <v>0.935806</v>
      </c>
    </row>
    <row r="2898">
      <c r="A2898" s="926" t="n">
        <v>36088</v>
      </c>
      <c r="B2898" t="n">
        <v>7.746</v>
      </c>
      <c r="C2898" t="n">
        <v>0.9359375</v>
      </c>
    </row>
    <row r="2899">
      <c r="A2899" s="926" t="n">
        <v>36089</v>
      </c>
      <c r="B2899" t="n">
        <v>7.746</v>
      </c>
      <c r="C2899" t="n">
        <v>0.935981</v>
      </c>
    </row>
    <row r="2900">
      <c r="A2900" s="926" t="n">
        <v>36090</v>
      </c>
      <c r="B2900" t="n">
        <v>7.747</v>
      </c>
      <c r="C2900" t="n">
        <v>0.9361564999999999</v>
      </c>
    </row>
    <row r="2901">
      <c r="A2901" s="926" t="n">
        <v>36091</v>
      </c>
      <c r="B2901" t="n">
        <v>7.747</v>
      </c>
      <c r="C2901" t="n">
        <v>0.935981</v>
      </c>
    </row>
    <row r="2902">
      <c r="A2902" s="926" t="n">
        <v>36092</v>
      </c>
      <c r="B2902" t="n">
        <v>7.747</v>
      </c>
      <c r="C2902" t="n">
        <v>0.9359845</v>
      </c>
    </row>
    <row r="2903">
      <c r="A2903" s="926" t="n">
        <v>36094</v>
      </c>
      <c r="B2903" t="n">
        <v>7.748</v>
      </c>
      <c r="C2903" t="n">
        <v>0.9361564999999999</v>
      </c>
    </row>
    <row r="2904">
      <c r="A2904" s="926" t="n">
        <v>36095</v>
      </c>
      <c r="B2904" t="n">
        <v>7.747</v>
      </c>
      <c r="C2904" t="n">
        <v>0.9361564999999999</v>
      </c>
    </row>
    <row r="2905">
      <c r="A2905" s="926" t="n">
        <v>36097</v>
      </c>
      <c r="B2905" t="n">
        <v>7.744</v>
      </c>
      <c r="C2905" t="n">
        <v>0.9361564999999999</v>
      </c>
    </row>
    <row r="2906">
      <c r="A2906" s="926" t="n">
        <v>36098</v>
      </c>
      <c r="B2906" t="n">
        <v>7.744</v>
      </c>
      <c r="C2906" t="n">
        <v>0.935981</v>
      </c>
    </row>
    <row r="2907">
      <c r="A2907" s="926" t="n">
        <v>36099</v>
      </c>
      <c r="B2907" t="n">
        <v>7.744</v>
      </c>
      <c r="C2907" t="n">
        <v>0.9359845</v>
      </c>
    </row>
    <row r="2908">
      <c r="A2908" s="926" t="n">
        <v>36101</v>
      </c>
      <c r="B2908" t="n">
        <v>7.744</v>
      </c>
      <c r="C2908" t="n">
        <v>0.9356305</v>
      </c>
    </row>
    <row r="2909">
      <c r="A2909" s="926" t="n">
        <v>36102</v>
      </c>
      <c r="B2909" t="n">
        <v>7.744</v>
      </c>
      <c r="C2909" t="n">
        <v>0.9355869999999999</v>
      </c>
    </row>
    <row r="2910">
      <c r="A2910" s="926" t="n">
        <v>36103</v>
      </c>
      <c r="B2910" t="n">
        <v>7.743</v>
      </c>
      <c r="C2910" t="n">
        <v>0.935456</v>
      </c>
    </row>
    <row r="2911">
      <c r="A2911" s="926" t="n">
        <v>36104</v>
      </c>
      <c r="B2911" t="n">
        <v>7.742</v>
      </c>
      <c r="C2911" t="n">
        <v>0.935456</v>
      </c>
    </row>
    <row r="2912">
      <c r="A2912" s="926" t="n">
        <v>36105</v>
      </c>
      <c r="B2912" t="n">
        <v>7.743</v>
      </c>
      <c r="C2912" t="n">
        <v>0.935368</v>
      </c>
    </row>
    <row r="2913">
      <c r="A2913" s="926" t="n">
        <v>36106</v>
      </c>
      <c r="B2913" t="n">
        <v>7.741</v>
      </c>
      <c r="C2913" t="n">
        <v>0.935372</v>
      </c>
    </row>
    <row r="2914">
      <c r="A2914" s="926" t="n">
        <v>36108</v>
      </c>
      <c r="B2914" t="n">
        <v>7.742</v>
      </c>
      <c r="C2914" t="n">
        <v>0.9352805</v>
      </c>
    </row>
    <row r="2915">
      <c r="A2915" s="926" t="n">
        <v>36109</v>
      </c>
      <c r="B2915" t="n">
        <v>7.742</v>
      </c>
      <c r="C2915" t="n">
        <v>0.9346255</v>
      </c>
    </row>
    <row r="2916">
      <c r="A2916" s="926" t="n">
        <v>36110</v>
      </c>
      <c r="B2916" t="n">
        <v>7.742</v>
      </c>
      <c r="C2916" t="n">
        <v>0.9350185</v>
      </c>
    </row>
    <row r="2917">
      <c r="A2917" s="926" t="n">
        <v>36111</v>
      </c>
      <c r="B2917" t="n">
        <v>7.742</v>
      </c>
      <c r="C2917" t="n">
        <v>0.935368</v>
      </c>
    </row>
    <row r="2918">
      <c r="A2918" s="926" t="n">
        <v>36112</v>
      </c>
      <c r="B2918" t="n">
        <v>7.742</v>
      </c>
      <c r="C2918" t="n">
        <v>0.9355869999999999</v>
      </c>
    </row>
    <row r="2919">
      <c r="A2919" s="926" t="n">
        <v>36113</v>
      </c>
      <c r="B2919" t="n">
        <v>7.741</v>
      </c>
      <c r="C2919" t="n">
        <v>0.9355905</v>
      </c>
    </row>
    <row r="2920">
      <c r="A2920" s="926" t="n">
        <v>36115</v>
      </c>
      <c r="B2920" t="n">
        <v>7.742</v>
      </c>
      <c r="C2920" t="n">
        <v>0.9355435</v>
      </c>
    </row>
    <row r="2921">
      <c r="A2921" s="926" t="n">
        <v>36116</v>
      </c>
      <c r="B2921" t="n">
        <v>7.742</v>
      </c>
      <c r="C2921" t="n">
        <v>0.935456</v>
      </c>
    </row>
    <row r="2922">
      <c r="A2922" s="926" t="n">
        <v>36117</v>
      </c>
      <c r="B2922" t="n">
        <v>7.743</v>
      </c>
      <c r="C2922" t="n">
        <v>0.935456</v>
      </c>
    </row>
    <row r="2923">
      <c r="A2923" s="926" t="n">
        <v>36118</v>
      </c>
      <c r="B2923" t="n">
        <v>7.742</v>
      </c>
      <c r="C2923" t="n">
        <v>0.9355435</v>
      </c>
    </row>
    <row r="2924">
      <c r="A2924" s="926" t="n">
        <v>36119</v>
      </c>
      <c r="B2924" t="n">
        <v>7.741</v>
      </c>
      <c r="C2924" t="n">
        <v>0.9355435</v>
      </c>
    </row>
    <row r="2925">
      <c r="A2925" s="926" t="n">
        <v>36120</v>
      </c>
      <c r="B2925" t="n">
        <v>7.742</v>
      </c>
      <c r="C2925" t="n">
        <v>0.9355464999999999</v>
      </c>
    </row>
    <row r="2926">
      <c r="A2926" s="926" t="n">
        <v>36122</v>
      </c>
      <c r="B2926" t="n">
        <v>7.741</v>
      </c>
      <c r="C2926" t="n">
        <v>0.935368</v>
      </c>
    </row>
    <row r="2927">
      <c r="A2927" s="926" t="n">
        <v>36123</v>
      </c>
      <c r="B2927" t="n">
        <v>7.741</v>
      </c>
      <c r="C2927" t="n">
        <v>0.935412</v>
      </c>
    </row>
    <row r="2928">
      <c r="A2928" s="926" t="n">
        <v>36124</v>
      </c>
      <c r="B2928" t="n">
        <v>7.741</v>
      </c>
      <c r="C2928" t="n">
        <v>0.935456</v>
      </c>
    </row>
    <row r="2929">
      <c r="A2929" s="926" t="n">
        <v>36125</v>
      </c>
      <c r="B2929" t="n">
        <v>7.741</v>
      </c>
      <c r="C2929" t="n">
        <v>0.9352805</v>
      </c>
    </row>
    <row r="2930">
      <c r="A2930" s="926" t="n">
        <v>36126</v>
      </c>
      <c r="B2930" t="n">
        <v>7.741</v>
      </c>
      <c r="C2930" t="n">
        <v>0.935368</v>
      </c>
    </row>
    <row r="2931">
      <c r="A2931" s="926" t="n">
        <v>36127</v>
      </c>
      <c r="B2931" t="n">
        <v>7.741</v>
      </c>
      <c r="C2931" t="n">
        <v>0.935372</v>
      </c>
    </row>
    <row r="2932">
      <c r="A2932" s="926" t="n">
        <v>36129</v>
      </c>
      <c r="B2932" t="n">
        <v>7.741</v>
      </c>
      <c r="C2932" t="n">
        <v>0.935368</v>
      </c>
    </row>
    <row r="2933">
      <c r="A2933" s="926" t="n">
        <v>36130</v>
      </c>
      <c r="B2933" t="n">
        <v>7.741</v>
      </c>
      <c r="C2933" t="n">
        <v>0.9352805</v>
      </c>
    </row>
    <row r="2934">
      <c r="A2934" s="926" t="n">
        <v>36131</v>
      </c>
      <c r="B2934" t="n">
        <v>7.743</v>
      </c>
      <c r="C2934" t="n">
        <v>0.9356305</v>
      </c>
    </row>
    <row r="2935">
      <c r="A2935" s="926" t="n">
        <v>36132</v>
      </c>
      <c r="B2935" t="n">
        <v>7.743</v>
      </c>
      <c r="C2935" t="n">
        <v>0.935718</v>
      </c>
    </row>
    <row r="2936">
      <c r="A2936" s="926" t="n">
        <v>36133</v>
      </c>
      <c r="B2936" t="n">
        <v>7.744</v>
      </c>
      <c r="C2936" t="n">
        <v>0.935718</v>
      </c>
    </row>
    <row r="2937">
      <c r="A2937" s="926" t="n">
        <v>36134</v>
      </c>
      <c r="B2937" t="n">
        <v>7.744</v>
      </c>
      <c r="C2937" t="n">
        <v>0.9357215</v>
      </c>
    </row>
    <row r="2938">
      <c r="A2938" s="926" t="n">
        <v>36136</v>
      </c>
      <c r="B2938" t="n">
        <v>7.746</v>
      </c>
      <c r="C2938" t="n">
        <v>0.9358935</v>
      </c>
    </row>
    <row r="2939">
      <c r="A2939" s="926" t="n">
        <v>36137</v>
      </c>
      <c r="B2939" t="n">
        <v>7.746</v>
      </c>
      <c r="C2939" t="n">
        <v>0.936069</v>
      </c>
    </row>
    <row r="2940">
      <c r="A2940" s="926" t="n">
        <v>36138</v>
      </c>
      <c r="B2940" t="n">
        <v>7.745</v>
      </c>
      <c r="C2940" t="n">
        <v>0.9358935</v>
      </c>
    </row>
    <row r="2941">
      <c r="A2941" s="926" t="n">
        <v>36139</v>
      </c>
      <c r="B2941" t="n">
        <v>7.745</v>
      </c>
      <c r="C2941" t="n">
        <v>0.935981</v>
      </c>
    </row>
    <row r="2942">
      <c r="A2942" s="926" t="n">
        <v>36140</v>
      </c>
      <c r="B2942" t="n">
        <v>7.746</v>
      </c>
      <c r="C2942" t="n">
        <v>0.936069</v>
      </c>
    </row>
    <row r="2943">
      <c r="A2943" s="926" t="n">
        <v>36141</v>
      </c>
      <c r="B2943" t="n">
        <v>7.745</v>
      </c>
      <c r="C2943" t="n">
        <v>0.936072</v>
      </c>
    </row>
    <row r="2944">
      <c r="A2944" s="926" t="n">
        <v>36143</v>
      </c>
      <c r="B2944" t="n">
        <v>7.746</v>
      </c>
      <c r="C2944" t="n">
        <v>0.9358935</v>
      </c>
    </row>
    <row r="2945">
      <c r="A2945" s="926" t="n">
        <v>36144</v>
      </c>
      <c r="B2945" t="n">
        <v>7.746</v>
      </c>
      <c r="C2945" t="n">
        <v>0.935981</v>
      </c>
    </row>
    <row r="2946">
      <c r="A2946" s="926" t="n">
        <v>36145</v>
      </c>
      <c r="B2946" t="n">
        <v>7.746</v>
      </c>
      <c r="C2946" t="n">
        <v>0.9361564999999999</v>
      </c>
    </row>
    <row r="2947">
      <c r="A2947" s="926" t="n">
        <v>36146</v>
      </c>
      <c r="B2947" t="n">
        <v>7.746</v>
      </c>
      <c r="C2947" t="n">
        <v>0.936069</v>
      </c>
    </row>
    <row r="2948">
      <c r="A2948" s="926" t="n">
        <v>36147</v>
      </c>
      <c r="B2948" t="n">
        <v>7.746</v>
      </c>
      <c r="C2948" t="n">
        <v>0.935806</v>
      </c>
    </row>
    <row r="2949">
      <c r="A2949" s="926" t="n">
        <v>36148</v>
      </c>
      <c r="B2949" t="n">
        <v>7.745</v>
      </c>
      <c r="C2949" t="n">
        <v>0.935809</v>
      </c>
    </row>
    <row r="2950">
      <c r="A2950" s="926" t="n">
        <v>36150</v>
      </c>
      <c r="B2950" t="n">
        <v>7.745</v>
      </c>
      <c r="C2950" t="n">
        <v>0.935718</v>
      </c>
    </row>
    <row r="2951">
      <c r="A2951" s="926" t="n">
        <v>36151</v>
      </c>
      <c r="B2951" t="n">
        <v>7.745</v>
      </c>
      <c r="C2951" t="n">
        <v>0.9356305</v>
      </c>
    </row>
    <row r="2952">
      <c r="A2952" s="926" t="n">
        <v>36152</v>
      </c>
      <c r="B2952" t="n">
        <v>7.742</v>
      </c>
      <c r="C2952" t="n">
        <v>0.935368</v>
      </c>
    </row>
    <row r="2953">
      <c r="A2953" s="926" t="n">
        <v>36153</v>
      </c>
      <c r="B2953" t="n">
        <v>7.744</v>
      </c>
      <c r="C2953" t="n">
        <v>0.935368</v>
      </c>
    </row>
    <row r="2954">
      <c r="A2954" s="926" t="n">
        <v>36157</v>
      </c>
      <c r="B2954" t="n">
        <v>7.744</v>
      </c>
      <c r="C2954" t="n">
        <v>0.9355435</v>
      </c>
    </row>
    <row r="2955">
      <c r="A2955" s="926" t="n">
        <v>36158</v>
      </c>
      <c r="B2955" t="n">
        <v>7.746</v>
      </c>
      <c r="C2955" t="n">
        <v>0.935806</v>
      </c>
    </row>
    <row r="2956">
      <c r="A2956" s="926" t="n">
        <v>36159</v>
      </c>
      <c r="B2956" t="n">
        <v>7.746</v>
      </c>
      <c r="C2956" t="n">
        <v>0.9358935</v>
      </c>
    </row>
    <row r="2957">
      <c r="A2957" s="926" t="n">
        <v>36160</v>
      </c>
      <c r="B2957" t="n">
        <v>7.746</v>
      </c>
      <c r="C2957" t="n">
        <v>0.935806</v>
      </c>
    </row>
    <row r="2958">
      <c r="A2958" s="926" t="n">
        <v>36162</v>
      </c>
      <c r="B2958" t="n">
        <v>7.745</v>
      </c>
      <c r="C2958" t="n">
        <v>0.935809</v>
      </c>
    </row>
    <row r="2959">
      <c r="A2959" s="926" t="n">
        <v>36164</v>
      </c>
      <c r="B2959" t="n">
        <v>7.745</v>
      </c>
      <c r="C2959" t="n">
        <v>0.935718</v>
      </c>
    </row>
    <row r="2960">
      <c r="A2960" s="926" t="n">
        <v>36165</v>
      </c>
      <c r="B2960" t="n">
        <v>7.744</v>
      </c>
      <c r="C2960" t="n">
        <v>0.9355435</v>
      </c>
    </row>
    <row r="2961">
      <c r="A2961" s="926" t="n">
        <v>36166</v>
      </c>
      <c r="B2961" t="n">
        <v>7.746</v>
      </c>
      <c r="C2961" t="n">
        <v>0.935718</v>
      </c>
    </row>
    <row r="2962">
      <c r="A2962" s="926" t="n">
        <v>36167</v>
      </c>
      <c r="B2962" t="n">
        <v>7.747</v>
      </c>
      <c r="C2962" t="n">
        <v>0.935806</v>
      </c>
    </row>
    <row r="2963">
      <c r="A2963" s="926" t="n">
        <v>36168</v>
      </c>
      <c r="B2963" t="n">
        <v>7.746</v>
      </c>
      <c r="C2963" t="n">
        <v>0.935718</v>
      </c>
    </row>
    <row r="2964">
      <c r="A2964" s="926" t="n">
        <v>36169</v>
      </c>
      <c r="B2964" t="n">
        <v>7.747</v>
      </c>
      <c r="C2964" t="n">
        <v>0.9357215</v>
      </c>
    </row>
    <row r="2965">
      <c r="A2965" s="926" t="n">
        <v>36171</v>
      </c>
      <c r="B2965" t="n">
        <v>7.747</v>
      </c>
      <c r="C2965" t="n">
        <v>0.9358935</v>
      </c>
    </row>
    <row r="2966">
      <c r="A2966" s="926" t="n">
        <v>36172</v>
      </c>
      <c r="B2966" t="n">
        <v>7.746</v>
      </c>
      <c r="C2966" t="n">
        <v>0.935806</v>
      </c>
    </row>
    <row r="2967">
      <c r="A2967" s="926" t="n">
        <v>36173</v>
      </c>
      <c r="B2967" t="n">
        <v>7.747</v>
      </c>
      <c r="C2967" t="n">
        <v>0.9358935</v>
      </c>
    </row>
    <row r="2968">
      <c r="A2968" s="926" t="n">
        <v>36174</v>
      </c>
      <c r="B2968" t="n">
        <v>7.745</v>
      </c>
      <c r="C2968" t="n">
        <v>0.9356305</v>
      </c>
    </row>
    <row r="2969">
      <c r="A2969" s="926" t="n">
        <v>36175</v>
      </c>
      <c r="B2969" t="n">
        <v>7.746</v>
      </c>
      <c r="C2969" t="n">
        <v>0.9358935</v>
      </c>
    </row>
    <row r="2970">
      <c r="A2970" s="926" t="n">
        <v>36176</v>
      </c>
      <c r="B2970" t="n">
        <v>7.746</v>
      </c>
      <c r="C2970" t="n">
        <v>0.935897</v>
      </c>
    </row>
    <row r="2971">
      <c r="A2971" s="926" t="n">
        <v>36178</v>
      </c>
      <c r="B2971" t="n">
        <v>7.747</v>
      </c>
      <c r="C2971" t="n">
        <v>0.935981</v>
      </c>
    </row>
    <row r="2972">
      <c r="A2972" s="926" t="n">
        <v>36179</v>
      </c>
      <c r="B2972" t="n">
        <v>7.747</v>
      </c>
      <c r="C2972" t="n">
        <v>0.9358935</v>
      </c>
    </row>
    <row r="2973">
      <c r="A2973" s="926" t="n">
        <v>36180</v>
      </c>
      <c r="B2973" t="n">
        <v>7.747</v>
      </c>
      <c r="C2973" t="n">
        <v>0.935981</v>
      </c>
    </row>
    <row r="2974">
      <c r="A2974" s="926" t="n">
        <v>36181</v>
      </c>
      <c r="B2974" t="n">
        <v>7.746</v>
      </c>
      <c r="C2974" t="n">
        <v>0.9358935</v>
      </c>
    </row>
    <row r="2975">
      <c r="A2975" s="926" t="n">
        <v>36182</v>
      </c>
      <c r="B2975" t="n">
        <v>7.747</v>
      </c>
      <c r="C2975" t="n">
        <v>0.936069</v>
      </c>
    </row>
    <row r="2976">
      <c r="A2976" s="926" t="n">
        <v>36183</v>
      </c>
      <c r="B2976" t="n">
        <v>7.747</v>
      </c>
      <c r="C2976" t="n">
        <v>0.936072</v>
      </c>
    </row>
    <row r="2977">
      <c r="A2977" s="926" t="n">
        <v>36185</v>
      </c>
      <c r="B2977" t="n">
        <v>7.749</v>
      </c>
      <c r="C2977" t="n">
        <v>0.935981</v>
      </c>
    </row>
    <row r="2978">
      <c r="A2978" s="926" t="n">
        <v>36186</v>
      </c>
      <c r="B2978" t="n">
        <v>7.748</v>
      </c>
      <c r="C2978" t="n">
        <v>0.936113</v>
      </c>
    </row>
    <row r="2979">
      <c r="A2979" s="926" t="n">
        <v>36187</v>
      </c>
      <c r="B2979" t="n">
        <v>7.748</v>
      </c>
      <c r="C2979" t="n">
        <v>0.936069</v>
      </c>
    </row>
    <row r="2980">
      <c r="A2980" s="926" t="n">
        <v>36188</v>
      </c>
      <c r="B2980" t="n">
        <v>7.748</v>
      </c>
      <c r="C2980" t="n">
        <v>0.936069</v>
      </c>
    </row>
    <row r="2981">
      <c r="A2981" s="926" t="n">
        <v>36189</v>
      </c>
      <c r="B2981" t="n">
        <v>7.748</v>
      </c>
      <c r="C2981" t="n">
        <v>0.9361564999999999</v>
      </c>
    </row>
    <row r="2982">
      <c r="A2982" s="926" t="n">
        <v>36190</v>
      </c>
      <c r="B2982" t="n">
        <v>7.746</v>
      </c>
      <c r="C2982" t="n">
        <v>0.9361595</v>
      </c>
    </row>
    <row r="2983">
      <c r="A2983" s="926" t="n">
        <v>36192</v>
      </c>
      <c r="B2983" t="n">
        <v>7.748</v>
      </c>
      <c r="C2983" t="n">
        <v>0.936069</v>
      </c>
    </row>
    <row r="2984">
      <c r="A2984" s="926" t="n">
        <v>36193</v>
      </c>
      <c r="B2984" t="n">
        <v>7.748</v>
      </c>
      <c r="C2984" t="n">
        <v>0.9361564999999999</v>
      </c>
    </row>
    <row r="2985">
      <c r="A2985" s="926" t="n">
        <v>36194</v>
      </c>
      <c r="B2985" t="n">
        <v>7.748</v>
      </c>
      <c r="C2985" t="n">
        <v>0.936069</v>
      </c>
    </row>
    <row r="2986">
      <c r="A2986" s="926" t="n">
        <v>36195</v>
      </c>
      <c r="B2986" t="n">
        <v>7.748</v>
      </c>
      <c r="C2986" t="n">
        <v>0.936113</v>
      </c>
    </row>
    <row r="2987">
      <c r="A2987" s="926" t="n">
        <v>36196</v>
      </c>
      <c r="B2987" t="n">
        <v>7.747</v>
      </c>
      <c r="C2987" t="n">
        <v>0.936069</v>
      </c>
    </row>
    <row r="2988">
      <c r="A2988" s="926" t="n">
        <v>36197</v>
      </c>
      <c r="B2988" t="n">
        <v>7.747</v>
      </c>
      <c r="C2988" t="n">
        <v>0.936072</v>
      </c>
    </row>
    <row r="2989">
      <c r="A2989" s="926" t="n">
        <v>36199</v>
      </c>
      <c r="B2989" t="n">
        <v>7.748</v>
      </c>
      <c r="C2989" t="n">
        <v>0.936069</v>
      </c>
    </row>
    <row r="2990">
      <c r="A2990" s="926" t="n">
        <v>36200</v>
      </c>
      <c r="B2990" t="n">
        <v>7.748</v>
      </c>
      <c r="C2990" t="n">
        <v>0.9361564999999999</v>
      </c>
    </row>
    <row r="2991">
      <c r="A2991" s="926" t="n">
        <v>36201</v>
      </c>
      <c r="B2991" t="n">
        <v>7.748</v>
      </c>
      <c r="C2991" t="n">
        <v>0.935981</v>
      </c>
    </row>
    <row r="2992">
      <c r="A2992" s="926" t="n">
        <v>36202</v>
      </c>
      <c r="B2992" t="n">
        <v>7.748</v>
      </c>
      <c r="C2992" t="n">
        <v>0.936113</v>
      </c>
    </row>
    <row r="2993">
      <c r="A2993" s="926" t="n">
        <v>36203</v>
      </c>
      <c r="B2993" t="n">
        <v>7.749</v>
      </c>
      <c r="C2993" t="n">
        <v>0.9361564999999999</v>
      </c>
    </row>
    <row r="2994">
      <c r="A2994" s="926" t="n">
        <v>36204</v>
      </c>
      <c r="B2994" t="n">
        <v>7.748</v>
      </c>
      <c r="C2994" t="n">
        <v>0.9361595</v>
      </c>
    </row>
    <row r="2995">
      <c r="A2995" s="926" t="n">
        <v>36206</v>
      </c>
      <c r="B2995" t="n">
        <v>7.747</v>
      </c>
      <c r="C2995" t="n">
        <v>0.9361564999999999</v>
      </c>
    </row>
    <row r="2996">
      <c r="A2996" s="926" t="n">
        <v>36210</v>
      </c>
      <c r="B2996" t="n">
        <v>7.747</v>
      </c>
      <c r="C2996" t="n">
        <v>0.9361595</v>
      </c>
    </row>
    <row r="2997">
      <c r="A2997" s="926" t="n">
        <v>36211</v>
      </c>
      <c r="B2997" t="n">
        <v>7.747</v>
      </c>
      <c r="C2997" t="n">
        <v>0.9361595</v>
      </c>
    </row>
    <row r="2998">
      <c r="A2998" s="926" t="n">
        <v>36213</v>
      </c>
      <c r="B2998" t="n">
        <v>7.748</v>
      </c>
      <c r="C2998" t="n">
        <v>0.9361595</v>
      </c>
    </row>
    <row r="2999">
      <c r="A2999" s="926" t="n">
        <v>36214</v>
      </c>
      <c r="B2999" t="n">
        <v>7.748</v>
      </c>
      <c r="C2999" t="n">
        <v>0.9358935</v>
      </c>
    </row>
    <row r="3000">
      <c r="A3000" s="926" t="n">
        <v>36215</v>
      </c>
      <c r="B3000" t="n">
        <v>7.748</v>
      </c>
      <c r="C3000" t="n">
        <v>0.9358935</v>
      </c>
    </row>
    <row r="3001">
      <c r="A3001" s="926" t="n">
        <v>36216</v>
      </c>
      <c r="B3001" t="n">
        <v>7.748</v>
      </c>
      <c r="C3001" t="n">
        <v>0.935981</v>
      </c>
    </row>
    <row r="3002">
      <c r="A3002" s="926" t="n">
        <v>36217</v>
      </c>
      <c r="B3002" t="n">
        <v>7.748</v>
      </c>
      <c r="C3002" t="n">
        <v>0.935806</v>
      </c>
    </row>
    <row r="3003">
      <c r="A3003" s="926" t="n">
        <v>36218</v>
      </c>
      <c r="B3003" t="n">
        <v>7.748</v>
      </c>
      <c r="C3003" t="n">
        <v>0.935809</v>
      </c>
    </row>
    <row r="3004">
      <c r="A3004" s="926" t="n">
        <v>36220</v>
      </c>
      <c r="B3004" t="n">
        <v>7.748</v>
      </c>
      <c r="C3004" t="n">
        <v>0.935806</v>
      </c>
    </row>
    <row r="3005">
      <c r="A3005" s="926" t="n">
        <v>36221</v>
      </c>
      <c r="B3005" t="n">
        <v>7.747</v>
      </c>
      <c r="C3005" t="n">
        <v>0.935718</v>
      </c>
    </row>
    <row r="3006">
      <c r="A3006" s="926" t="n">
        <v>36222</v>
      </c>
      <c r="B3006" t="n">
        <v>7.747</v>
      </c>
      <c r="C3006" t="n">
        <v>0.935806</v>
      </c>
    </row>
    <row r="3007">
      <c r="A3007" s="926" t="n">
        <v>36223</v>
      </c>
      <c r="B3007" t="n">
        <v>7.748</v>
      </c>
      <c r="C3007" t="n">
        <v>0.9359815</v>
      </c>
    </row>
    <row r="3008">
      <c r="A3008" s="926" t="n">
        <v>36224</v>
      </c>
      <c r="B3008" t="n">
        <v>7.748</v>
      </c>
      <c r="C3008" t="n">
        <v>0.936069</v>
      </c>
    </row>
    <row r="3009">
      <c r="A3009" s="926" t="n">
        <v>36225</v>
      </c>
      <c r="B3009" t="n">
        <v>7.748</v>
      </c>
      <c r="C3009" t="n">
        <v>0.936072</v>
      </c>
    </row>
    <row r="3010">
      <c r="A3010" s="926" t="n">
        <v>36227</v>
      </c>
      <c r="B3010" t="n">
        <v>7.748</v>
      </c>
      <c r="C3010" t="n">
        <v>0.935981</v>
      </c>
    </row>
    <row r="3011">
      <c r="A3011" s="926" t="n">
        <v>36228</v>
      </c>
      <c r="B3011" t="n">
        <v>7.748</v>
      </c>
      <c r="C3011" t="n">
        <v>0.9359375</v>
      </c>
    </row>
    <row r="3012">
      <c r="A3012" s="926" t="n">
        <v>36229</v>
      </c>
      <c r="B3012" t="n">
        <v>7.748</v>
      </c>
      <c r="C3012" t="n">
        <v>0.9358935</v>
      </c>
    </row>
    <row r="3013">
      <c r="A3013" s="926" t="n">
        <v>36230</v>
      </c>
      <c r="B3013" t="n">
        <v>7.748</v>
      </c>
      <c r="C3013" t="n">
        <v>0.935981</v>
      </c>
    </row>
    <row r="3014">
      <c r="A3014" s="926" t="n">
        <v>36231</v>
      </c>
      <c r="B3014" t="n">
        <v>7.748</v>
      </c>
      <c r="C3014" t="n">
        <v>0.9359375</v>
      </c>
    </row>
    <row r="3015">
      <c r="A3015" s="926" t="n">
        <v>36232</v>
      </c>
      <c r="B3015" t="n">
        <v>7.746</v>
      </c>
      <c r="C3015" t="n">
        <v>0.935941</v>
      </c>
    </row>
    <row r="3016">
      <c r="A3016" s="926" t="n">
        <v>36234</v>
      </c>
      <c r="B3016" t="n">
        <v>7.747</v>
      </c>
      <c r="C3016" t="n">
        <v>0.935981</v>
      </c>
    </row>
    <row r="3017">
      <c r="A3017" s="926" t="n">
        <v>36235</v>
      </c>
      <c r="B3017" t="n">
        <v>7.747</v>
      </c>
      <c r="C3017" t="n">
        <v>0.936069</v>
      </c>
    </row>
    <row r="3018">
      <c r="A3018" s="926" t="n">
        <v>36236</v>
      </c>
      <c r="B3018" t="n">
        <v>7.748</v>
      </c>
      <c r="C3018" t="n">
        <v>0.936069</v>
      </c>
    </row>
    <row r="3019">
      <c r="A3019" s="926" t="n">
        <v>36237</v>
      </c>
      <c r="B3019" t="n">
        <v>7.748</v>
      </c>
      <c r="C3019" t="n">
        <v>0.935981</v>
      </c>
    </row>
    <row r="3020">
      <c r="A3020" s="926" t="n">
        <v>36238</v>
      </c>
      <c r="B3020" t="n">
        <v>7.748</v>
      </c>
      <c r="C3020" t="n">
        <v>0.936069</v>
      </c>
    </row>
    <row r="3021">
      <c r="A3021" s="926" t="n">
        <v>36239</v>
      </c>
      <c r="B3021" t="n">
        <v>7.748</v>
      </c>
      <c r="C3021" t="n">
        <v>0.936072</v>
      </c>
    </row>
    <row r="3022">
      <c r="A3022" s="926" t="n">
        <v>36241</v>
      </c>
      <c r="B3022" t="n">
        <v>7.749</v>
      </c>
      <c r="C3022" t="n">
        <v>0.935981</v>
      </c>
    </row>
    <row r="3023">
      <c r="A3023" s="926" t="n">
        <v>36242</v>
      </c>
      <c r="B3023" t="n">
        <v>7.748</v>
      </c>
      <c r="C3023" t="n">
        <v>0.935981</v>
      </c>
    </row>
    <row r="3024">
      <c r="A3024" s="926" t="n">
        <v>36243</v>
      </c>
      <c r="B3024" t="n">
        <v>7.748</v>
      </c>
      <c r="C3024" t="n">
        <v>0.9358935</v>
      </c>
    </row>
    <row r="3025">
      <c r="A3025" s="926" t="n">
        <v>36244</v>
      </c>
      <c r="B3025" t="n">
        <v>7.747</v>
      </c>
      <c r="C3025" t="n">
        <v>0.9358935</v>
      </c>
    </row>
    <row r="3026">
      <c r="A3026" s="926" t="n">
        <v>36245</v>
      </c>
      <c r="B3026" t="n">
        <v>7.748</v>
      </c>
      <c r="C3026" t="n">
        <v>0.935981</v>
      </c>
    </row>
    <row r="3027">
      <c r="A3027" s="926" t="n">
        <v>36246</v>
      </c>
      <c r="B3027" t="n">
        <v>7.748</v>
      </c>
      <c r="C3027" t="n">
        <v>0.9359845</v>
      </c>
    </row>
    <row r="3028">
      <c r="A3028" s="926" t="n">
        <v>36248</v>
      </c>
      <c r="B3028" t="n">
        <v>7.748</v>
      </c>
      <c r="C3028" t="n">
        <v>0.9358935</v>
      </c>
    </row>
    <row r="3029">
      <c r="A3029" s="926" t="n">
        <v>36249</v>
      </c>
      <c r="B3029" t="n">
        <v>7.748</v>
      </c>
      <c r="C3029" t="n">
        <v>0.9359375</v>
      </c>
    </row>
    <row r="3030">
      <c r="A3030" s="926" t="n">
        <v>36250</v>
      </c>
      <c r="B3030" t="n">
        <v>7.749</v>
      </c>
      <c r="C3030" t="n">
        <v>0.9358935</v>
      </c>
    </row>
    <row r="3031">
      <c r="A3031" s="926" t="n">
        <v>36251</v>
      </c>
      <c r="B3031" t="n">
        <v>7.749</v>
      </c>
      <c r="C3031" t="n">
        <v>0.9358935</v>
      </c>
    </row>
    <row r="3032">
      <c r="A3032" s="926" t="n">
        <v>36257</v>
      </c>
      <c r="B3032" t="n">
        <v>7.749</v>
      </c>
      <c r="C3032" t="n">
        <v>0.9359375</v>
      </c>
    </row>
    <row r="3033">
      <c r="A3033" s="926" t="n">
        <v>36258</v>
      </c>
      <c r="B3033" t="n">
        <v>7.749</v>
      </c>
      <c r="C3033" t="n">
        <v>0.935806</v>
      </c>
    </row>
    <row r="3034">
      <c r="A3034" s="926" t="n">
        <v>36259</v>
      </c>
      <c r="B3034" t="n">
        <v>7.748</v>
      </c>
      <c r="C3034" t="n">
        <v>0.9356305</v>
      </c>
    </row>
    <row r="3035">
      <c r="A3035" s="926" t="n">
        <v>36260</v>
      </c>
      <c r="B3035" t="n">
        <v>7.7485</v>
      </c>
      <c r="C3035" t="n">
        <v>0.935634</v>
      </c>
    </row>
    <row r="3036">
      <c r="A3036" s="926" t="n">
        <v>36262</v>
      </c>
      <c r="B3036" t="n">
        <v>7.747</v>
      </c>
      <c r="C3036" t="n">
        <v>0.935806</v>
      </c>
    </row>
    <row r="3037">
      <c r="A3037" s="926" t="n">
        <v>36263</v>
      </c>
      <c r="B3037" t="n">
        <v>7.748</v>
      </c>
      <c r="C3037" t="n">
        <v>0.9358935</v>
      </c>
    </row>
    <row r="3038">
      <c r="A3038" s="926" t="n">
        <v>36264</v>
      </c>
      <c r="B3038" t="n">
        <v>7.748</v>
      </c>
      <c r="C3038" t="n">
        <v>0.935981</v>
      </c>
    </row>
    <row r="3039">
      <c r="A3039" s="926" t="n">
        <v>36265</v>
      </c>
      <c r="B3039" t="n">
        <v>7.748</v>
      </c>
      <c r="C3039" t="n">
        <v>0.9358935</v>
      </c>
    </row>
    <row r="3040">
      <c r="A3040" s="926" t="n">
        <v>36266</v>
      </c>
      <c r="B3040" t="n">
        <v>7.747</v>
      </c>
      <c r="C3040" t="n">
        <v>0.936069</v>
      </c>
    </row>
    <row r="3041">
      <c r="A3041" s="926" t="n">
        <v>36267</v>
      </c>
      <c r="B3041" t="n">
        <v>7.747</v>
      </c>
      <c r="C3041" t="n">
        <v>0.936072</v>
      </c>
    </row>
    <row r="3042">
      <c r="A3042" s="926" t="n">
        <v>36269</v>
      </c>
      <c r="B3042" t="n">
        <v>7.746</v>
      </c>
      <c r="C3042" t="n">
        <v>0.9358935</v>
      </c>
    </row>
    <row r="3043">
      <c r="A3043" s="926" t="n">
        <v>36270</v>
      </c>
      <c r="B3043" t="n">
        <v>7.746</v>
      </c>
      <c r="C3043" t="n">
        <v>0.935806</v>
      </c>
    </row>
    <row r="3044">
      <c r="A3044" s="926" t="n">
        <v>36271</v>
      </c>
      <c r="B3044" t="n">
        <v>7.747</v>
      </c>
      <c r="C3044" t="n">
        <v>0.935806</v>
      </c>
    </row>
    <row r="3045">
      <c r="A3045" s="926" t="n">
        <v>36272</v>
      </c>
      <c r="B3045" t="n">
        <v>7.747</v>
      </c>
      <c r="C3045" t="n">
        <v>0.935981</v>
      </c>
    </row>
    <row r="3046">
      <c r="A3046" s="926" t="n">
        <v>36273</v>
      </c>
      <c r="B3046" t="n">
        <v>7.747</v>
      </c>
      <c r="C3046" t="n">
        <v>0.936069</v>
      </c>
    </row>
    <row r="3047">
      <c r="A3047" s="926" t="n">
        <v>36274</v>
      </c>
      <c r="B3047" t="n">
        <v>7.747</v>
      </c>
      <c r="C3047" t="n">
        <v>0.936072</v>
      </c>
    </row>
    <row r="3048">
      <c r="A3048" s="926" t="n">
        <v>36276</v>
      </c>
      <c r="B3048" t="n">
        <v>7.748</v>
      </c>
      <c r="C3048" t="n">
        <v>0.936113</v>
      </c>
    </row>
    <row r="3049">
      <c r="A3049" s="926" t="n">
        <v>36277</v>
      </c>
      <c r="B3049" t="n">
        <v>7.748</v>
      </c>
      <c r="C3049" t="n">
        <v>0.935981</v>
      </c>
    </row>
    <row r="3050">
      <c r="A3050" s="926" t="n">
        <v>36278</v>
      </c>
      <c r="B3050" t="n">
        <v>7.748</v>
      </c>
      <c r="C3050" t="n">
        <v>0.936069</v>
      </c>
    </row>
    <row r="3051">
      <c r="A3051" s="926" t="n">
        <v>36279</v>
      </c>
      <c r="B3051" t="n">
        <v>7.748</v>
      </c>
      <c r="C3051" t="n">
        <v>0.9361564999999999</v>
      </c>
    </row>
    <row r="3052">
      <c r="A3052" s="926" t="n">
        <v>36280</v>
      </c>
      <c r="B3052" t="n">
        <v>7.748</v>
      </c>
      <c r="C3052" t="n">
        <v>0.9361564999999999</v>
      </c>
    </row>
    <row r="3053">
      <c r="A3053" s="926" t="n">
        <v>36283</v>
      </c>
      <c r="B3053" t="n">
        <v>7.748</v>
      </c>
      <c r="C3053" t="n">
        <v>0.9361595</v>
      </c>
    </row>
    <row r="3054">
      <c r="A3054" s="926" t="n">
        <v>36284</v>
      </c>
      <c r="B3054" t="n">
        <v>7.749</v>
      </c>
      <c r="C3054" t="n">
        <v>0.9361564999999999</v>
      </c>
    </row>
    <row r="3055">
      <c r="A3055" s="926" t="n">
        <v>36285</v>
      </c>
      <c r="B3055" t="n">
        <v>7.749</v>
      </c>
      <c r="C3055" t="n">
        <v>0.9362445</v>
      </c>
    </row>
    <row r="3056">
      <c r="A3056" s="926" t="n">
        <v>36286</v>
      </c>
      <c r="B3056" t="n">
        <v>7.75</v>
      </c>
      <c r="C3056" t="n">
        <v>0.9363315</v>
      </c>
    </row>
    <row r="3057">
      <c r="A3057" s="926" t="n">
        <v>36287</v>
      </c>
      <c r="B3057" t="n">
        <v>7.749</v>
      </c>
      <c r="C3057" t="n">
        <v>0.9363315</v>
      </c>
    </row>
    <row r="3058">
      <c r="A3058" s="926" t="n">
        <v>36288</v>
      </c>
      <c r="B3058" t="n">
        <v>7.749</v>
      </c>
      <c r="C3058" t="n">
        <v>0.9363355</v>
      </c>
    </row>
    <row r="3059">
      <c r="A3059" s="926" t="n">
        <v>36290</v>
      </c>
      <c r="B3059" t="n">
        <v>7.748</v>
      </c>
      <c r="C3059" t="n">
        <v>0.9363315</v>
      </c>
    </row>
    <row r="3060">
      <c r="A3060" s="926" t="n">
        <v>36291</v>
      </c>
      <c r="B3060" t="n">
        <v>7.749</v>
      </c>
      <c r="C3060" t="n">
        <v>0.9362445</v>
      </c>
    </row>
    <row r="3061">
      <c r="A3061" s="926" t="n">
        <v>36292</v>
      </c>
      <c r="B3061" t="n">
        <v>7.749</v>
      </c>
      <c r="C3061" t="n">
        <v>0.9363315</v>
      </c>
    </row>
    <row r="3062">
      <c r="A3062" s="926" t="n">
        <v>36293</v>
      </c>
      <c r="B3062" t="n">
        <v>7.749</v>
      </c>
      <c r="C3062" t="n">
        <v>0.9363315</v>
      </c>
    </row>
    <row r="3063">
      <c r="A3063" s="926" t="n">
        <v>36294</v>
      </c>
      <c r="B3063" t="n">
        <v>7.749</v>
      </c>
      <c r="C3063" t="n">
        <v>0.936419</v>
      </c>
    </row>
    <row r="3064">
      <c r="A3064" s="926" t="n">
        <v>36295</v>
      </c>
      <c r="B3064" t="n">
        <v>7.75</v>
      </c>
      <c r="C3064" t="n">
        <v>0.936423</v>
      </c>
    </row>
    <row r="3065">
      <c r="A3065" s="926" t="n">
        <v>36297</v>
      </c>
      <c r="B3065" t="n">
        <v>7.751</v>
      </c>
      <c r="C3065" t="n">
        <v>0.936507</v>
      </c>
    </row>
    <row r="3066">
      <c r="A3066" s="926" t="n">
        <v>36298</v>
      </c>
      <c r="B3066" t="n">
        <v>7.752</v>
      </c>
      <c r="C3066" t="n">
        <v>0.936507</v>
      </c>
    </row>
    <row r="3067">
      <c r="A3067" s="926" t="n">
        <v>36299</v>
      </c>
      <c r="B3067" t="n">
        <v>7.752</v>
      </c>
      <c r="C3067" t="n">
        <v>0.9366825</v>
      </c>
    </row>
    <row r="3068">
      <c r="A3068" s="926" t="n">
        <v>36300</v>
      </c>
      <c r="B3068" t="n">
        <v>7.753</v>
      </c>
      <c r="C3068" t="n">
        <v>0.93677</v>
      </c>
    </row>
    <row r="3069">
      <c r="A3069" s="926" t="n">
        <v>36301</v>
      </c>
      <c r="B3069" t="n">
        <v>7.753</v>
      </c>
      <c r="C3069" t="n">
        <v>0.93677</v>
      </c>
    </row>
    <row r="3070">
      <c r="A3070" s="926" t="n">
        <v>36304</v>
      </c>
      <c r="B3070" t="n">
        <v>7.753</v>
      </c>
      <c r="C3070" t="n">
        <v>0.93677</v>
      </c>
    </row>
    <row r="3071">
      <c r="A3071" s="926" t="n">
        <v>36305</v>
      </c>
      <c r="B3071" t="n">
        <v>7.753</v>
      </c>
      <c r="C3071" t="n">
        <v>0.9366825</v>
      </c>
    </row>
    <row r="3072">
      <c r="A3072" s="926" t="n">
        <v>36306</v>
      </c>
      <c r="B3072" t="n">
        <v>7.753</v>
      </c>
      <c r="C3072" t="n">
        <v>0.9366825</v>
      </c>
    </row>
    <row r="3073">
      <c r="A3073" s="926" t="n">
        <v>36307</v>
      </c>
      <c r="B3073" t="n">
        <v>7.753</v>
      </c>
      <c r="C3073" t="n">
        <v>0.93677</v>
      </c>
    </row>
    <row r="3074">
      <c r="A3074" s="926" t="n">
        <v>36308</v>
      </c>
      <c r="B3074" t="n">
        <v>7.753</v>
      </c>
      <c r="C3074" t="n">
        <v>0.9366825</v>
      </c>
    </row>
    <row r="3075">
      <c r="A3075" s="926" t="n">
        <v>36309</v>
      </c>
      <c r="B3075" t="n">
        <v>7.753</v>
      </c>
      <c r="C3075" t="n">
        <v>0.936686</v>
      </c>
    </row>
    <row r="3076">
      <c r="A3076" s="926" t="n">
        <v>36311</v>
      </c>
      <c r="B3076" t="n">
        <v>7.753</v>
      </c>
      <c r="C3076" t="n">
        <v>0.93677</v>
      </c>
    </row>
    <row r="3077">
      <c r="A3077" s="926" t="n">
        <v>36312</v>
      </c>
      <c r="B3077" t="n">
        <v>7.754</v>
      </c>
      <c r="C3077" t="n">
        <v>0.93677</v>
      </c>
    </row>
    <row r="3078">
      <c r="A3078" s="926" t="n">
        <v>36313</v>
      </c>
      <c r="B3078" t="n">
        <v>7.754</v>
      </c>
      <c r="C3078" t="n">
        <v>0.936902</v>
      </c>
    </row>
    <row r="3079">
      <c r="A3079" s="926" t="n">
        <v>36314</v>
      </c>
      <c r="B3079" t="n">
        <v>7.755</v>
      </c>
      <c r="C3079" t="n">
        <v>0.936858</v>
      </c>
    </row>
    <row r="3080">
      <c r="A3080" s="926" t="n">
        <v>36315</v>
      </c>
      <c r="B3080" t="n">
        <v>7.755</v>
      </c>
      <c r="C3080" t="n">
        <v>0.9369455</v>
      </c>
    </row>
    <row r="3081">
      <c r="A3081" s="926" t="n">
        <v>36316</v>
      </c>
      <c r="B3081" t="n">
        <v>7.755</v>
      </c>
      <c r="C3081" t="n">
        <v>0.9369495</v>
      </c>
    </row>
    <row r="3082">
      <c r="A3082" s="926" t="n">
        <v>36318</v>
      </c>
      <c r="B3082" t="n">
        <v>7.755</v>
      </c>
      <c r="C3082" t="n">
        <v>0.9370335</v>
      </c>
    </row>
    <row r="3083">
      <c r="A3083" s="926" t="n">
        <v>36319</v>
      </c>
      <c r="B3083" t="n">
        <v>7.755</v>
      </c>
      <c r="C3083" t="n">
        <v>0.9370335</v>
      </c>
    </row>
    <row r="3084">
      <c r="A3084" s="926" t="n">
        <v>36320</v>
      </c>
      <c r="B3084" t="n">
        <v>7.755</v>
      </c>
      <c r="C3084" t="n">
        <v>0.9370335</v>
      </c>
    </row>
    <row r="3085">
      <c r="A3085" s="926" t="n">
        <v>36321</v>
      </c>
      <c r="B3085" t="n">
        <v>7.755</v>
      </c>
      <c r="C3085" t="n">
        <v>0.9379999999999999</v>
      </c>
    </row>
    <row r="3086">
      <c r="A3086" s="926" t="n">
        <v>36322</v>
      </c>
      <c r="B3086" t="n">
        <v>7.755</v>
      </c>
      <c r="C3086" t="n">
        <v>0.9379999999999999</v>
      </c>
    </row>
    <row r="3087">
      <c r="A3087" s="926" t="n">
        <v>36323</v>
      </c>
      <c r="B3087" t="n">
        <v>7.755</v>
      </c>
      <c r="C3087" t="n">
        <v>0.9375</v>
      </c>
    </row>
    <row r="3088">
      <c r="A3088" s="926" t="n">
        <v>36325</v>
      </c>
      <c r="B3088" t="n">
        <v>7.755</v>
      </c>
      <c r="C3088" t="n">
        <v>0.9375</v>
      </c>
    </row>
    <row r="3089">
      <c r="A3089" s="926" t="n">
        <v>36326</v>
      </c>
      <c r="B3089" t="n">
        <v>7.755</v>
      </c>
      <c r="C3089" t="n">
        <v>0.9365</v>
      </c>
    </row>
    <row r="3090">
      <c r="A3090" s="926" t="n">
        <v>36327</v>
      </c>
      <c r="B3090" t="n">
        <v>7.756</v>
      </c>
      <c r="C3090" t="n">
        <v>0.9370000000000001</v>
      </c>
    </row>
    <row r="3091">
      <c r="A3091" s="926" t="n">
        <v>36328</v>
      </c>
      <c r="B3091" t="n">
        <v>7.756</v>
      </c>
      <c r="C3091" t="n">
        <v>0.9375</v>
      </c>
    </row>
    <row r="3092">
      <c r="A3092" s="926" t="n">
        <v>36330</v>
      </c>
      <c r="B3092" t="n">
        <v>7.756</v>
      </c>
      <c r="C3092" t="n">
        <v>0.9375</v>
      </c>
    </row>
    <row r="3093">
      <c r="A3093" s="926" t="n">
        <v>36332</v>
      </c>
      <c r="B3093" t="n">
        <v>7.756</v>
      </c>
      <c r="C3093" t="n">
        <v>0.9375</v>
      </c>
    </row>
    <row r="3094">
      <c r="A3094" s="926" t="n">
        <v>36333</v>
      </c>
      <c r="B3094" t="n">
        <v>7.756</v>
      </c>
      <c r="C3094" t="n">
        <v>0.9375</v>
      </c>
    </row>
    <row r="3095">
      <c r="A3095" s="926" t="n">
        <v>36334</v>
      </c>
      <c r="B3095" t="n">
        <v>7.756</v>
      </c>
      <c r="C3095" t="n">
        <v>0.9379999999999999</v>
      </c>
    </row>
    <row r="3096">
      <c r="A3096" s="926" t="n">
        <v>36335</v>
      </c>
      <c r="B3096" t="n">
        <v>7.756</v>
      </c>
      <c r="C3096" t="n">
        <v>0.9379999999999999</v>
      </c>
    </row>
    <row r="3097">
      <c r="A3097" s="926" t="n">
        <v>36336</v>
      </c>
      <c r="B3097" t="n">
        <v>7.756</v>
      </c>
      <c r="C3097" t="n">
        <v>0.9379999999999999</v>
      </c>
    </row>
    <row r="3098">
      <c r="A3098" s="926" t="n">
        <v>36337</v>
      </c>
      <c r="B3098" t="n">
        <v>7.756</v>
      </c>
      <c r="C3098" t="n">
        <v>0.9379999999999999</v>
      </c>
    </row>
    <row r="3099">
      <c r="A3099" s="926" t="n">
        <v>36339</v>
      </c>
      <c r="B3099" t="n">
        <v>7.756</v>
      </c>
      <c r="C3099" t="n">
        <v>0.9379999999999999</v>
      </c>
    </row>
    <row r="3100">
      <c r="A3100" s="926" t="n">
        <v>36340</v>
      </c>
      <c r="B3100" t="n">
        <v>7.756</v>
      </c>
      <c r="C3100" t="n">
        <v>0.9375</v>
      </c>
    </row>
    <row r="3101">
      <c r="A3101" s="926" t="n">
        <v>36341</v>
      </c>
      <c r="B3101" t="n">
        <v>7.756</v>
      </c>
      <c r="C3101" t="n">
        <v>0.9375</v>
      </c>
    </row>
    <row r="3102">
      <c r="A3102" s="926" t="n">
        <v>36343</v>
      </c>
      <c r="B3102" t="n">
        <v>7.756</v>
      </c>
      <c r="C3102" t="n">
        <v>0.9375</v>
      </c>
    </row>
    <row r="3103">
      <c r="A3103" s="926" t="n">
        <v>36344</v>
      </c>
      <c r="B3103" t="n">
        <v>7.756</v>
      </c>
      <c r="C3103" t="n">
        <v>0.9379999999999999</v>
      </c>
    </row>
    <row r="3104">
      <c r="A3104" s="926" t="n">
        <v>36346</v>
      </c>
      <c r="B3104" t="n">
        <v>7.756</v>
      </c>
      <c r="C3104" t="n">
        <v>0.9379999999999999</v>
      </c>
    </row>
    <row r="3105">
      <c r="A3105" s="926" t="n">
        <v>36347</v>
      </c>
      <c r="B3105" t="n">
        <v>7.756</v>
      </c>
      <c r="C3105" t="n">
        <v>0.9379999999999999</v>
      </c>
    </row>
    <row r="3106">
      <c r="A3106" s="926" t="n">
        <v>36348</v>
      </c>
      <c r="B3106" t="n">
        <v>7.757</v>
      </c>
      <c r="C3106" t="n">
        <v>0.9379999999999999</v>
      </c>
    </row>
    <row r="3107">
      <c r="A3107" s="926" t="n">
        <v>36349</v>
      </c>
      <c r="B3107" t="n">
        <v>7.757</v>
      </c>
      <c r="C3107" t="n">
        <v>0.9379999999999999</v>
      </c>
    </row>
    <row r="3108">
      <c r="A3108" s="926" t="n">
        <v>36350</v>
      </c>
      <c r="B3108" t="n">
        <v>7.757</v>
      </c>
      <c r="C3108" t="n">
        <v>0.9375</v>
      </c>
    </row>
    <row r="3109">
      <c r="A3109" s="926" t="n">
        <v>36351</v>
      </c>
      <c r="B3109" t="n">
        <v>7.757</v>
      </c>
      <c r="C3109" t="n">
        <v>0.9375</v>
      </c>
    </row>
    <row r="3110">
      <c r="A3110" s="926" t="n">
        <v>36353</v>
      </c>
      <c r="B3110" t="n">
        <v>7.757</v>
      </c>
      <c r="C3110" t="n">
        <v>0.9379999999999999</v>
      </c>
    </row>
    <row r="3111">
      <c r="A3111" s="926" t="n">
        <v>36354</v>
      </c>
      <c r="B3111" t="n">
        <v>7.758</v>
      </c>
      <c r="C3111" t="n">
        <v>0.9379999999999999</v>
      </c>
    </row>
    <row r="3112">
      <c r="A3112" s="926" t="n">
        <v>36355</v>
      </c>
      <c r="B3112" t="n">
        <v>7.759</v>
      </c>
      <c r="C3112" t="n">
        <v>0.9379999999999999</v>
      </c>
    </row>
    <row r="3113">
      <c r="A3113" s="926" t="n">
        <v>36356</v>
      </c>
      <c r="B3113" t="n">
        <v>7.759</v>
      </c>
      <c r="C3113" t="n">
        <v>0.9379999999999999</v>
      </c>
    </row>
    <row r="3114">
      <c r="A3114" s="926" t="n">
        <v>36357</v>
      </c>
      <c r="B3114" t="n">
        <v>7.758</v>
      </c>
      <c r="C3114" t="n">
        <v>0.9379999999999999</v>
      </c>
    </row>
    <row r="3115">
      <c r="A3115" s="926" t="n">
        <v>36358</v>
      </c>
      <c r="B3115" t="n">
        <v>7.758</v>
      </c>
      <c r="C3115" t="n">
        <v>0.9379999999999999</v>
      </c>
    </row>
    <row r="3116">
      <c r="A3116" s="926" t="n">
        <v>36360</v>
      </c>
      <c r="B3116" t="n">
        <v>7.759</v>
      </c>
      <c r="C3116" t="n">
        <v>0.9379999999999999</v>
      </c>
    </row>
    <row r="3117">
      <c r="A3117" s="926" t="n">
        <v>36361</v>
      </c>
      <c r="B3117" t="n">
        <v>7.758</v>
      </c>
      <c r="C3117" t="n">
        <v>0.9379999999999999</v>
      </c>
    </row>
    <row r="3118">
      <c r="A3118" s="926" t="n">
        <v>36362</v>
      </c>
      <c r="B3118" t="n">
        <v>7.759</v>
      </c>
      <c r="C3118" t="n">
        <v>0.9379999999999999</v>
      </c>
    </row>
    <row r="3119">
      <c r="A3119" s="926" t="n">
        <v>36363</v>
      </c>
      <c r="B3119" t="n">
        <v>7.759</v>
      </c>
      <c r="C3119" t="n">
        <v>0.9379999999999999</v>
      </c>
    </row>
    <row r="3120">
      <c r="A3120" s="926" t="n">
        <v>36364</v>
      </c>
      <c r="B3120" t="n">
        <v>7.759</v>
      </c>
      <c r="C3120" t="n">
        <v>0.9379999999999999</v>
      </c>
    </row>
    <row r="3121">
      <c r="A3121" s="926" t="n">
        <v>36365</v>
      </c>
      <c r="B3121" t="n">
        <v>7.759</v>
      </c>
      <c r="C3121" t="n">
        <v>0.9379999999999999</v>
      </c>
    </row>
    <row r="3122">
      <c r="A3122" s="926" t="n">
        <v>36367</v>
      </c>
      <c r="B3122" t="n">
        <v>7.76</v>
      </c>
      <c r="C3122" t="n">
        <v>0.9379999999999999</v>
      </c>
    </row>
    <row r="3123">
      <c r="A3123" s="926" t="n">
        <v>36368</v>
      </c>
      <c r="B3123" t="n">
        <v>7.76</v>
      </c>
      <c r="C3123" t="n">
        <v>0.9375</v>
      </c>
    </row>
    <row r="3124">
      <c r="A3124" s="926" t="n">
        <v>36369</v>
      </c>
      <c r="B3124" t="n">
        <v>7.76</v>
      </c>
      <c r="C3124" t="n">
        <v>0.9385</v>
      </c>
    </row>
    <row r="3125">
      <c r="A3125" s="926" t="n">
        <v>36370</v>
      </c>
      <c r="B3125" t="n">
        <v>7.76</v>
      </c>
      <c r="C3125" t="n">
        <v>0.9385</v>
      </c>
    </row>
    <row r="3126">
      <c r="A3126" s="926" t="n">
        <v>36371</v>
      </c>
      <c r="B3126" t="n">
        <v>7.76</v>
      </c>
      <c r="C3126" t="n">
        <v>0.9385</v>
      </c>
    </row>
    <row r="3127">
      <c r="A3127" s="926" t="n">
        <v>36372</v>
      </c>
      <c r="B3127" t="n">
        <v>7.76</v>
      </c>
      <c r="C3127" t="n">
        <v>0.9385</v>
      </c>
    </row>
    <row r="3128">
      <c r="A3128" s="926" t="n">
        <v>36374</v>
      </c>
      <c r="B3128" t="n">
        <v>7.76</v>
      </c>
      <c r="C3128" t="n">
        <v>0.9385</v>
      </c>
    </row>
    <row r="3129">
      <c r="A3129" s="926" t="n">
        <v>36375</v>
      </c>
      <c r="B3129" t="n">
        <v>7.76</v>
      </c>
      <c r="C3129" t="n">
        <v>0.9385</v>
      </c>
    </row>
    <row r="3130">
      <c r="A3130" s="926" t="n">
        <v>36376</v>
      </c>
      <c r="B3130" t="n">
        <v>7.76</v>
      </c>
      <c r="C3130" t="n">
        <v>0.9385</v>
      </c>
    </row>
    <row r="3131">
      <c r="A3131" s="926" t="n">
        <v>36377</v>
      </c>
      <c r="B3131" t="n">
        <v>7.76</v>
      </c>
      <c r="C3131" t="n">
        <v>0.9385</v>
      </c>
    </row>
    <row r="3132">
      <c r="A3132" s="926" t="n">
        <v>36378</v>
      </c>
      <c r="B3132" t="n">
        <v>7.761</v>
      </c>
      <c r="C3132" t="n">
        <v>0.9385</v>
      </c>
    </row>
    <row r="3133">
      <c r="A3133" s="926" t="n">
        <v>36379</v>
      </c>
      <c r="B3133" t="n">
        <v>7.76</v>
      </c>
      <c r="C3133" t="n">
        <v>0.9385</v>
      </c>
    </row>
    <row r="3134">
      <c r="A3134" s="926" t="n">
        <v>36381</v>
      </c>
      <c r="B3134" t="n">
        <v>7.761</v>
      </c>
      <c r="C3134" t="n">
        <v>0.9385</v>
      </c>
    </row>
    <row r="3135">
      <c r="A3135" s="926" t="n">
        <v>36382</v>
      </c>
      <c r="B3135" t="n">
        <v>7.761</v>
      </c>
      <c r="C3135" t="n">
        <v>0.9385</v>
      </c>
    </row>
    <row r="3136">
      <c r="A3136" s="926" t="n">
        <v>36383</v>
      </c>
      <c r="B3136" t="n">
        <v>7.761</v>
      </c>
      <c r="C3136" t="n">
        <v>0.9385</v>
      </c>
    </row>
    <row r="3137">
      <c r="A3137" s="926" t="n">
        <v>36384</v>
      </c>
      <c r="B3137" t="n">
        <v>7.761</v>
      </c>
      <c r="C3137" t="n">
        <v>0.9385</v>
      </c>
    </row>
    <row r="3138">
      <c r="A3138" s="926" t="n">
        <v>36385</v>
      </c>
      <c r="B3138" t="n">
        <v>7.761</v>
      </c>
      <c r="C3138" t="n">
        <v>0.9385</v>
      </c>
    </row>
    <row r="3139">
      <c r="A3139" s="926" t="n">
        <v>36386</v>
      </c>
      <c r="B3139" t="n">
        <v>7.761</v>
      </c>
      <c r="C3139" t="n">
        <v>0.9385</v>
      </c>
    </row>
    <row r="3140">
      <c r="A3140" s="926" t="n">
        <v>36388</v>
      </c>
      <c r="B3140" t="n">
        <v>7.761</v>
      </c>
      <c r="C3140" t="n">
        <v>0.9385</v>
      </c>
    </row>
    <row r="3141">
      <c r="A3141" s="926" t="n">
        <v>36389</v>
      </c>
      <c r="B3141" t="n">
        <v>7.762</v>
      </c>
      <c r="C3141" t="n">
        <v>0.9385</v>
      </c>
    </row>
    <row r="3142">
      <c r="A3142" s="926" t="n">
        <v>36390</v>
      </c>
      <c r="B3142" t="n">
        <v>7.762</v>
      </c>
      <c r="C3142" t="n">
        <v>0.9379999999999999</v>
      </c>
    </row>
    <row r="3143">
      <c r="A3143" s="926" t="n">
        <v>36391</v>
      </c>
      <c r="B3143" t="n">
        <v>7.762</v>
      </c>
      <c r="C3143" t="n">
        <v>0.9379999999999999</v>
      </c>
    </row>
    <row r="3144">
      <c r="A3144" s="926" t="n">
        <v>36392</v>
      </c>
      <c r="B3144" t="n">
        <v>7.762</v>
      </c>
      <c r="C3144" t="n">
        <v>0.9385</v>
      </c>
    </row>
    <row r="3145">
      <c r="A3145" s="926" t="n">
        <v>36393</v>
      </c>
      <c r="B3145" t="n">
        <v>7.762</v>
      </c>
      <c r="C3145" t="n">
        <v>0.9385</v>
      </c>
    </row>
    <row r="3146">
      <c r="A3146" s="926" t="n">
        <v>36395</v>
      </c>
      <c r="B3146" t="n">
        <v>7.762</v>
      </c>
      <c r="C3146" t="n">
        <v>0.9389999999999999</v>
      </c>
    </row>
    <row r="3147">
      <c r="A3147" s="926" t="n">
        <v>36396</v>
      </c>
      <c r="B3147" t="n">
        <v>7.763</v>
      </c>
      <c r="C3147" t="n">
        <v>0.9379999999999999</v>
      </c>
    </row>
    <row r="3148">
      <c r="A3148" s="926" t="n">
        <v>36397</v>
      </c>
      <c r="B3148" t="n">
        <v>7.763</v>
      </c>
      <c r="C3148" t="n">
        <v>0.9379999999999999</v>
      </c>
    </row>
    <row r="3149">
      <c r="A3149" s="926" t="n">
        <v>36398</v>
      </c>
      <c r="B3149" t="n">
        <v>7.763</v>
      </c>
      <c r="C3149" t="n">
        <v>0.9379999999999999</v>
      </c>
    </row>
    <row r="3150">
      <c r="A3150" s="926" t="n">
        <v>36399</v>
      </c>
      <c r="B3150" t="n">
        <v>7.763</v>
      </c>
      <c r="C3150" t="n">
        <v>0.9385</v>
      </c>
    </row>
    <row r="3151">
      <c r="A3151" s="926" t="n">
        <v>36400</v>
      </c>
      <c r="B3151" t="n">
        <v>7.763</v>
      </c>
      <c r="C3151" t="n">
        <v>0.9385</v>
      </c>
    </row>
    <row r="3152">
      <c r="A3152" s="926" t="n">
        <v>36402</v>
      </c>
      <c r="B3152" t="n">
        <v>7.763</v>
      </c>
      <c r="C3152" t="n">
        <v>0.9385</v>
      </c>
    </row>
    <row r="3153">
      <c r="A3153" s="926" t="n">
        <v>36403</v>
      </c>
      <c r="B3153" t="n">
        <v>7.763</v>
      </c>
      <c r="C3153" t="n">
        <v>0.9389999999999999</v>
      </c>
    </row>
    <row r="3154">
      <c r="A3154" s="926" t="n">
        <v>36404</v>
      </c>
      <c r="B3154" t="n">
        <v>7.763</v>
      </c>
      <c r="C3154" t="n">
        <v>0.9385</v>
      </c>
    </row>
    <row r="3155">
      <c r="A3155" s="926" t="n">
        <v>36405</v>
      </c>
      <c r="B3155" t="n">
        <v>7.763</v>
      </c>
      <c r="C3155" t="n">
        <v>0.9385</v>
      </c>
    </row>
    <row r="3156">
      <c r="A3156" s="926" t="n">
        <v>36406</v>
      </c>
      <c r="B3156" t="n">
        <v>7.763</v>
      </c>
      <c r="C3156" t="n">
        <v>0.9385</v>
      </c>
    </row>
    <row r="3157">
      <c r="A3157" s="926" t="n">
        <v>36407</v>
      </c>
      <c r="B3157" t="n">
        <v>7.763</v>
      </c>
      <c r="C3157" t="n">
        <v>0.9385</v>
      </c>
    </row>
    <row r="3158">
      <c r="A3158" s="926" t="n">
        <v>36409</v>
      </c>
      <c r="B3158" t="n">
        <v>7.764</v>
      </c>
      <c r="C3158" t="n">
        <v>0.9385</v>
      </c>
    </row>
    <row r="3159">
      <c r="A3159" s="926" t="n">
        <v>36410</v>
      </c>
      <c r="B3159" t="n">
        <v>7.764</v>
      </c>
      <c r="C3159" t="n">
        <v>0.9389999999999999</v>
      </c>
    </row>
    <row r="3160">
      <c r="A3160" s="926" t="n">
        <v>36411</v>
      </c>
      <c r="B3160" t="n">
        <v>7.764</v>
      </c>
      <c r="C3160" t="n">
        <v>0.9389999999999999</v>
      </c>
    </row>
    <row r="3161">
      <c r="A3161" s="926" t="n">
        <v>36412</v>
      </c>
      <c r="B3161" t="n">
        <v>7.763</v>
      </c>
      <c r="C3161" t="n">
        <v>0.9389999999999999</v>
      </c>
    </row>
    <row r="3162">
      <c r="A3162" s="926" t="n">
        <v>36413</v>
      </c>
      <c r="B3162" t="n">
        <v>7.763</v>
      </c>
      <c r="C3162" t="n">
        <v>0.9389999999999999</v>
      </c>
    </row>
    <row r="3163">
      <c r="A3163" s="926" t="n">
        <v>36414</v>
      </c>
      <c r="B3163" t="n">
        <v>7.763</v>
      </c>
      <c r="C3163" t="n">
        <v>0.9389999999999999</v>
      </c>
    </row>
    <row r="3164">
      <c r="A3164" s="926" t="n">
        <v>36416</v>
      </c>
      <c r="B3164" t="n">
        <v>7.764</v>
      </c>
      <c r="C3164" t="n">
        <v>0.9379999999999999</v>
      </c>
    </row>
    <row r="3165">
      <c r="A3165" s="926" t="n">
        <v>36417</v>
      </c>
      <c r="B3165" t="n">
        <v>7.764</v>
      </c>
      <c r="C3165" t="n">
        <v>0.9389999999999999</v>
      </c>
    </row>
    <row r="3166">
      <c r="A3166" s="926" t="n">
        <v>36418</v>
      </c>
      <c r="B3166" t="n">
        <v>7.763</v>
      </c>
      <c r="C3166" t="n">
        <v>0.9389999999999999</v>
      </c>
    </row>
    <row r="3167">
      <c r="A3167" s="926" t="n">
        <v>36420</v>
      </c>
      <c r="B3167" t="n">
        <v>7.763</v>
      </c>
      <c r="C3167" t="n">
        <v>0.9389999999999999</v>
      </c>
    </row>
    <row r="3168">
      <c r="A3168" s="926" t="n">
        <v>36421</v>
      </c>
      <c r="B3168" t="n">
        <v>7.763</v>
      </c>
      <c r="C3168" t="n">
        <v>0.9389999999999999</v>
      </c>
    </row>
    <row r="3169">
      <c r="A3169" s="926" t="n">
        <v>36423</v>
      </c>
      <c r="B3169" t="n">
        <v>7.764</v>
      </c>
      <c r="C3169" t="n">
        <v>0.9389999999999999</v>
      </c>
    </row>
    <row r="3170">
      <c r="A3170" s="926" t="n">
        <v>36424</v>
      </c>
      <c r="B3170" t="n">
        <v>7.765</v>
      </c>
      <c r="C3170" t="n">
        <v>0.9389999999999999</v>
      </c>
    </row>
    <row r="3171">
      <c r="A3171" s="926" t="n">
        <v>36425</v>
      </c>
      <c r="B3171" t="n">
        <v>7.765</v>
      </c>
      <c r="C3171" t="n">
        <v>0.9385</v>
      </c>
    </row>
    <row r="3172">
      <c r="A3172" s="926" t="n">
        <v>36426</v>
      </c>
      <c r="B3172" t="n">
        <v>7.765</v>
      </c>
      <c r="C3172" t="n">
        <v>0.9389999999999999</v>
      </c>
    </row>
    <row r="3173">
      <c r="A3173" s="926" t="n">
        <v>36427</v>
      </c>
      <c r="B3173" t="n">
        <v>7.765</v>
      </c>
      <c r="C3173" t="n">
        <v>0.9389999999999999</v>
      </c>
    </row>
    <row r="3174">
      <c r="A3174" s="926" t="n">
        <v>36430</v>
      </c>
      <c r="B3174" t="n">
        <v>7.766</v>
      </c>
      <c r="C3174" t="n">
        <v>0.9389999999999999</v>
      </c>
    </row>
    <row r="3175">
      <c r="A3175" s="926" t="n">
        <v>36431</v>
      </c>
      <c r="B3175" t="n">
        <v>7.766</v>
      </c>
      <c r="C3175" t="n">
        <v>0.9385</v>
      </c>
    </row>
    <row r="3176">
      <c r="A3176" s="926" t="n">
        <v>36432</v>
      </c>
      <c r="B3176" t="n">
        <v>7.766</v>
      </c>
      <c r="C3176" t="n">
        <v>0.9385</v>
      </c>
    </row>
    <row r="3177">
      <c r="A3177" s="926" t="n">
        <v>36433</v>
      </c>
      <c r="B3177" t="n">
        <v>7.766</v>
      </c>
      <c r="C3177" t="n">
        <v>0.9385</v>
      </c>
    </row>
    <row r="3178">
      <c r="A3178" s="926" t="n">
        <v>36435</v>
      </c>
      <c r="B3178" t="n">
        <v>7.766</v>
      </c>
      <c r="C3178" t="n">
        <v>0.9385</v>
      </c>
    </row>
    <row r="3179">
      <c r="A3179" s="926" t="n">
        <v>36437</v>
      </c>
      <c r="B3179" t="n">
        <v>7.767</v>
      </c>
      <c r="C3179" t="n">
        <v>0.9385</v>
      </c>
    </row>
    <row r="3180">
      <c r="A3180" s="926" t="n">
        <v>36438</v>
      </c>
      <c r="B3180" t="n">
        <v>7.766</v>
      </c>
      <c r="C3180" t="n">
        <v>0.9385</v>
      </c>
    </row>
    <row r="3181">
      <c r="A3181" s="926" t="n">
        <v>36439</v>
      </c>
      <c r="B3181" t="n">
        <v>7.766</v>
      </c>
      <c r="C3181" t="n">
        <v>0.9385</v>
      </c>
    </row>
    <row r="3182">
      <c r="A3182" s="926" t="n">
        <v>36440</v>
      </c>
      <c r="B3182" t="n">
        <v>7.766</v>
      </c>
      <c r="C3182" t="n">
        <v>0.9389999999999999</v>
      </c>
    </row>
    <row r="3183">
      <c r="A3183" s="926" t="n">
        <v>36441</v>
      </c>
      <c r="B3183" t="n">
        <v>7.766</v>
      </c>
      <c r="C3183" t="n">
        <v>0.9389999999999999</v>
      </c>
    </row>
    <row r="3184">
      <c r="A3184" s="926" t="n">
        <v>36442</v>
      </c>
      <c r="B3184" t="n">
        <v>7.766</v>
      </c>
      <c r="C3184" t="n">
        <v>0.9389999999999999</v>
      </c>
    </row>
    <row r="3185">
      <c r="A3185" s="926" t="n">
        <v>36444</v>
      </c>
      <c r="B3185" t="n">
        <v>7.767</v>
      </c>
      <c r="C3185" t="n">
        <v>0.9389999999999999</v>
      </c>
    </row>
    <row r="3186">
      <c r="A3186" s="926" t="n">
        <v>36445</v>
      </c>
      <c r="B3186" t="n">
        <v>7.767</v>
      </c>
      <c r="C3186" t="n">
        <v>0.9389999999999999</v>
      </c>
    </row>
    <row r="3187">
      <c r="A3187" s="926" t="n">
        <v>36446</v>
      </c>
      <c r="B3187" t="n">
        <v>7.767</v>
      </c>
      <c r="C3187" t="n">
        <v>0.9389999999999999</v>
      </c>
    </row>
    <row r="3188">
      <c r="A3188" s="926" t="n">
        <v>36447</v>
      </c>
      <c r="B3188" t="n">
        <v>7.767</v>
      </c>
      <c r="C3188" t="n">
        <v>0.9389999999999999</v>
      </c>
    </row>
    <row r="3189">
      <c r="A3189" s="926" t="n">
        <v>36448</v>
      </c>
      <c r="B3189" t="n">
        <v>7.767</v>
      </c>
      <c r="C3189" t="n">
        <v>0.9389999999999999</v>
      </c>
    </row>
    <row r="3190">
      <c r="A3190" s="926" t="n">
        <v>36449</v>
      </c>
      <c r="B3190" t="n">
        <v>7.767</v>
      </c>
      <c r="C3190" t="n">
        <v>0.9389999999999999</v>
      </c>
    </row>
    <row r="3191">
      <c r="A3191" s="926" t="n">
        <v>36452</v>
      </c>
      <c r="B3191" t="n">
        <v>7.767</v>
      </c>
      <c r="C3191" t="n">
        <v>0.9389999999999999</v>
      </c>
    </row>
    <row r="3192">
      <c r="A3192" s="926" t="n">
        <v>36453</v>
      </c>
      <c r="B3192" t="n">
        <v>7.767</v>
      </c>
      <c r="C3192" t="n">
        <v>0.9395</v>
      </c>
    </row>
    <row r="3193">
      <c r="A3193" s="926" t="n">
        <v>36454</v>
      </c>
      <c r="B3193" t="n">
        <v>7.767</v>
      </c>
      <c r="C3193" t="n">
        <v>0.9395</v>
      </c>
    </row>
    <row r="3194">
      <c r="A3194" s="926" t="n">
        <v>36455</v>
      </c>
      <c r="B3194" t="n">
        <v>7.767</v>
      </c>
      <c r="C3194" t="n">
        <v>0.9395</v>
      </c>
    </row>
    <row r="3195">
      <c r="A3195" s="926" t="n">
        <v>36456</v>
      </c>
      <c r="B3195" t="n">
        <v>7.767</v>
      </c>
      <c r="C3195" t="n">
        <v>0.9395</v>
      </c>
    </row>
    <row r="3196">
      <c r="A3196" s="926" t="n">
        <v>36458</v>
      </c>
      <c r="B3196" t="n">
        <v>7.768</v>
      </c>
      <c r="C3196" t="n">
        <v>0.9389999999999999</v>
      </c>
    </row>
    <row r="3197">
      <c r="A3197" s="926" t="n">
        <v>36459</v>
      </c>
      <c r="B3197" t="n">
        <v>7.768</v>
      </c>
      <c r="C3197" t="n">
        <v>0.9395</v>
      </c>
    </row>
    <row r="3198">
      <c r="A3198" s="926" t="n">
        <v>36460</v>
      </c>
      <c r="B3198" t="n">
        <v>7.768</v>
      </c>
      <c r="C3198" t="n">
        <v>0.9395</v>
      </c>
    </row>
    <row r="3199">
      <c r="A3199" s="926" t="n">
        <v>36461</v>
      </c>
      <c r="B3199" t="n">
        <v>7.769</v>
      </c>
      <c r="C3199" t="n">
        <v>0.9395</v>
      </c>
    </row>
    <row r="3200">
      <c r="A3200" s="926" t="n">
        <v>36462</v>
      </c>
      <c r="B3200" t="n">
        <v>7.769</v>
      </c>
      <c r="C3200" t="n">
        <v>0.9385</v>
      </c>
    </row>
    <row r="3201">
      <c r="A3201" s="926" t="n">
        <v>36463</v>
      </c>
      <c r="B3201" t="n">
        <v>7.768</v>
      </c>
      <c r="C3201" t="n">
        <v>0.9385</v>
      </c>
    </row>
    <row r="3202">
      <c r="A3202" s="926" t="n">
        <v>36465</v>
      </c>
      <c r="B3202" t="n">
        <v>7.769</v>
      </c>
      <c r="C3202" t="n">
        <v>0.9389999999999999</v>
      </c>
    </row>
    <row r="3203">
      <c r="A3203" s="926" t="n">
        <v>36466</v>
      </c>
      <c r="B3203" t="n">
        <v>7.769</v>
      </c>
      <c r="C3203" t="n">
        <v>0.9389999999999999</v>
      </c>
    </row>
    <row r="3204">
      <c r="A3204" s="926" t="n">
        <v>36467</v>
      </c>
      <c r="B3204" t="n">
        <v>7.769</v>
      </c>
      <c r="C3204" t="n">
        <v>0.9389999999999999</v>
      </c>
    </row>
    <row r="3205">
      <c r="A3205" s="926" t="n">
        <v>36468</v>
      </c>
      <c r="B3205" t="n">
        <v>7.769</v>
      </c>
      <c r="C3205" t="n">
        <v>0.9389999999999999</v>
      </c>
    </row>
    <row r="3206">
      <c r="A3206" s="926" t="n">
        <v>36469</v>
      </c>
      <c r="B3206" t="n">
        <v>7.77</v>
      </c>
      <c r="C3206" t="n">
        <v>0.9385</v>
      </c>
    </row>
    <row r="3207">
      <c r="A3207" s="926" t="n">
        <v>36470</v>
      </c>
      <c r="B3207" t="n">
        <v>7.77</v>
      </c>
      <c r="C3207" t="n">
        <v>0.9385</v>
      </c>
    </row>
    <row r="3208">
      <c r="A3208" s="926" t="n">
        <v>36472</v>
      </c>
      <c r="B3208" t="n">
        <v>7.77</v>
      </c>
      <c r="C3208" t="n">
        <v>0.9395</v>
      </c>
    </row>
    <row r="3209">
      <c r="A3209" s="926" t="n">
        <v>36473</v>
      </c>
      <c r="B3209" t="n">
        <v>7.77</v>
      </c>
      <c r="C3209" t="n">
        <v>0.9395</v>
      </c>
    </row>
    <row r="3210">
      <c r="A3210" s="926" t="n">
        <v>36474</v>
      </c>
      <c r="B3210" t="n">
        <v>7.77</v>
      </c>
      <c r="C3210" t="n">
        <v>0.9395</v>
      </c>
    </row>
    <row r="3211">
      <c r="A3211" s="926" t="n">
        <v>36475</v>
      </c>
      <c r="B3211" t="n">
        <v>7.77</v>
      </c>
      <c r="C3211" t="n">
        <v>0.9389999999999999</v>
      </c>
    </row>
    <row r="3212">
      <c r="A3212" s="926" t="n">
        <v>36476</v>
      </c>
      <c r="B3212" t="n">
        <v>7.77</v>
      </c>
      <c r="C3212" t="n">
        <v>0.9389999999999999</v>
      </c>
    </row>
    <row r="3213">
      <c r="A3213" s="926" t="n">
        <v>36477</v>
      </c>
      <c r="B3213" t="n">
        <v>7.77</v>
      </c>
      <c r="C3213" t="n">
        <v>0.9389999999999999</v>
      </c>
    </row>
    <row r="3214">
      <c r="A3214" s="926" t="n">
        <v>36479</v>
      </c>
      <c r="B3214" t="n">
        <v>7.77</v>
      </c>
      <c r="C3214" t="n">
        <v>0.9389999999999999</v>
      </c>
    </row>
    <row r="3215">
      <c r="A3215" s="926" t="n">
        <v>36480</v>
      </c>
      <c r="B3215" t="n">
        <v>7.77</v>
      </c>
      <c r="C3215" t="n">
        <v>0.9395</v>
      </c>
    </row>
    <row r="3216">
      <c r="A3216" s="926" t="n">
        <v>36481</v>
      </c>
      <c r="B3216" t="n">
        <v>7.77</v>
      </c>
      <c r="C3216" t="n">
        <v>0.9395</v>
      </c>
    </row>
    <row r="3217">
      <c r="A3217" s="926" t="n">
        <v>36482</v>
      </c>
      <c r="B3217" t="n">
        <v>7.771</v>
      </c>
      <c r="C3217" t="n">
        <v>0.9389999999999999</v>
      </c>
    </row>
    <row r="3218">
      <c r="A3218" s="926" t="n">
        <v>36483</v>
      </c>
      <c r="B3218" t="n">
        <v>7.771</v>
      </c>
      <c r="C3218" t="n">
        <v>0.9395</v>
      </c>
    </row>
    <row r="3219">
      <c r="A3219" s="926" t="n">
        <v>36484</v>
      </c>
      <c r="B3219" t="n">
        <v>7.771</v>
      </c>
      <c r="C3219" t="n">
        <v>0.9395</v>
      </c>
    </row>
    <row r="3220">
      <c r="A3220" s="926" t="n">
        <v>36486</v>
      </c>
      <c r="B3220" t="n">
        <v>7.771</v>
      </c>
      <c r="C3220" t="n">
        <v>0.9395</v>
      </c>
    </row>
    <row r="3221">
      <c r="A3221" s="926" t="n">
        <v>36487</v>
      </c>
      <c r="B3221" t="n">
        <v>7.771</v>
      </c>
      <c r="C3221" t="n">
        <v>0.9395</v>
      </c>
    </row>
    <row r="3222">
      <c r="A3222" s="926" t="n">
        <v>36488</v>
      </c>
      <c r="B3222" t="n">
        <v>7.771</v>
      </c>
      <c r="C3222" t="n">
        <v>0.9395</v>
      </c>
    </row>
    <row r="3223">
      <c r="A3223" s="926" t="n">
        <v>36489</v>
      </c>
      <c r="B3223" t="n">
        <v>7.771</v>
      </c>
      <c r="C3223" t="n">
        <v>0.9395</v>
      </c>
    </row>
    <row r="3224">
      <c r="A3224" s="926" t="n">
        <v>36490</v>
      </c>
      <c r="B3224" t="n">
        <v>7.771</v>
      </c>
      <c r="C3224" t="n">
        <v>0.9389999999999999</v>
      </c>
    </row>
    <row r="3225">
      <c r="A3225" s="926" t="n">
        <v>36491</v>
      </c>
      <c r="B3225" t="n">
        <v>7.771</v>
      </c>
      <c r="C3225" t="n">
        <v>0.9389999999999999</v>
      </c>
    </row>
    <row r="3226">
      <c r="A3226" s="926" t="n">
        <v>36493</v>
      </c>
      <c r="B3226" t="n">
        <v>7.771</v>
      </c>
      <c r="C3226" t="n">
        <v>0.9389999999999999</v>
      </c>
    </row>
    <row r="3227">
      <c r="A3227" s="926" t="n">
        <v>36494</v>
      </c>
      <c r="B3227" t="n">
        <v>7.771</v>
      </c>
      <c r="C3227" t="n">
        <v>0.9389999999999999</v>
      </c>
    </row>
    <row r="3228">
      <c r="A3228" s="926" t="n">
        <v>36495</v>
      </c>
      <c r="B3228" t="n">
        <v>7.769</v>
      </c>
      <c r="C3228" t="n">
        <v>0.9385</v>
      </c>
    </row>
    <row r="3229">
      <c r="A3229" s="926" t="n">
        <v>36496</v>
      </c>
      <c r="B3229" t="n">
        <v>7.77</v>
      </c>
      <c r="C3229" t="n">
        <v>0.9385</v>
      </c>
    </row>
    <row r="3230">
      <c r="A3230" s="926" t="n">
        <v>36497</v>
      </c>
      <c r="B3230" t="n">
        <v>7.771</v>
      </c>
      <c r="C3230" t="n">
        <v>0.9385</v>
      </c>
    </row>
    <row r="3231">
      <c r="A3231" s="926" t="n">
        <v>36498</v>
      </c>
      <c r="B3231" t="n">
        <v>7.77</v>
      </c>
      <c r="C3231" t="n">
        <v>0.9385</v>
      </c>
    </row>
    <row r="3232">
      <c r="A3232" s="926" t="n">
        <v>36500</v>
      </c>
      <c r="B3232" t="n">
        <v>7.772</v>
      </c>
      <c r="C3232" t="n">
        <v>0.9389999999999999</v>
      </c>
    </row>
    <row r="3233">
      <c r="A3233" s="926" t="n">
        <v>36501</v>
      </c>
      <c r="B3233" t="n">
        <v>7.772</v>
      </c>
      <c r="C3233" t="n">
        <v>0.9399999999999999</v>
      </c>
    </row>
    <row r="3234">
      <c r="A3234" s="926" t="n">
        <v>36502</v>
      </c>
      <c r="B3234" t="n">
        <v>7.772</v>
      </c>
      <c r="C3234" t="n">
        <v>0.9395</v>
      </c>
    </row>
    <row r="3235">
      <c r="A3235" s="926" t="n">
        <v>36503</v>
      </c>
      <c r="B3235" t="n">
        <v>7.773</v>
      </c>
      <c r="C3235" t="n">
        <v>0.9395</v>
      </c>
    </row>
    <row r="3236">
      <c r="A3236" s="926" t="n">
        <v>36504</v>
      </c>
      <c r="B3236" t="n">
        <v>7.773</v>
      </c>
      <c r="C3236" t="n">
        <v>0.9395</v>
      </c>
    </row>
    <row r="3237">
      <c r="A3237" s="926" t="n">
        <v>36505</v>
      </c>
      <c r="B3237" t="n">
        <v>7.773</v>
      </c>
      <c r="C3237" t="n">
        <v>0.9395</v>
      </c>
    </row>
    <row r="3238">
      <c r="A3238" s="926" t="n">
        <v>36507</v>
      </c>
      <c r="B3238" t="n">
        <v>7.774</v>
      </c>
      <c r="C3238" t="n">
        <v>0.9395</v>
      </c>
    </row>
    <row r="3239">
      <c r="A3239" s="926" t="n">
        <v>36508</v>
      </c>
      <c r="B3239" t="n">
        <v>7.774</v>
      </c>
      <c r="C3239" t="n">
        <v>0.9395</v>
      </c>
    </row>
    <row r="3240">
      <c r="A3240" s="926" t="n">
        <v>36509</v>
      </c>
      <c r="B3240" t="n">
        <v>7.774</v>
      </c>
      <c r="C3240" t="n">
        <v>0.9395</v>
      </c>
    </row>
    <row r="3241">
      <c r="A3241" s="926" t="n">
        <v>36510</v>
      </c>
      <c r="B3241" t="n">
        <v>7.774</v>
      </c>
      <c r="C3241" t="n">
        <v>0.9395</v>
      </c>
    </row>
    <row r="3242">
      <c r="A3242" s="926" t="n">
        <v>36511</v>
      </c>
      <c r="B3242" t="n">
        <v>7.772</v>
      </c>
      <c r="C3242" t="n">
        <v>0.9395</v>
      </c>
    </row>
    <row r="3243">
      <c r="A3243" s="926" t="n">
        <v>36512</v>
      </c>
      <c r="B3243" t="n">
        <v>7.772</v>
      </c>
      <c r="C3243" t="n">
        <v>0.9395</v>
      </c>
    </row>
    <row r="3244">
      <c r="A3244" s="926" t="n">
        <v>36514</v>
      </c>
      <c r="B3244" t="n">
        <v>7.77</v>
      </c>
      <c r="C3244" t="n">
        <v>0.9395</v>
      </c>
    </row>
    <row r="3245">
      <c r="A3245" s="926" t="n">
        <v>36515</v>
      </c>
      <c r="B3245" t="n">
        <v>7.771</v>
      </c>
      <c r="C3245" t="n">
        <v>0.9395</v>
      </c>
    </row>
    <row r="3246">
      <c r="A3246" s="926" t="n">
        <v>36516</v>
      </c>
      <c r="B3246" t="n">
        <v>7.771</v>
      </c>
      <c r="C3246" t="n">
        <v>0.9389999999999999</v>
      </c>
    </row>
    <row r="3247">
      <c r="A3247" s="926" t="n">
        <v>36517</v>
      </c>
      <c r="B3247" t="n">
        <v>7.769</v>
      </c>
      <c r="C3247" t="n">
        <v>0.9389999999999999</v>
      </c>
    </row>
    <row r="3248">
      <c r="A3248" s="926" t="n">
        <v>36518</v>
      </c>
      <c r="B3248" t="n">
        <v>7.769</v>
      </c>
      <c r="C3248" t="n">
        <v>0.9389999999999999</v>
      </c>
    </row>
    <row r="3249">
      <c r="A3249" s="926" t="n">
        <v>36522</v>
      </c>
      <c r="B3249" t="n">
        <v>7.772</v>
      </c>
      <c r="C3249" t="n">
        <v>0.9379999999999999</v>
      </c>
    </row>
    <row r="3250">
      <c r="A3250" s="926" t="n">
        <v>36523</v>
      </c>
      <c r="B3250" t="n">
        <v>7.771</v>
      </c>
      <c r="C3250" t="n">
        <v>0.9379999999999999</v>
      </c>
    </row>
    <row r="3251">
      <c r="A3251" s="926" t="n">
        <v>36524</v>
      </c>
      <c r="B3251" t="n">
        <v>7.771</v>
      </c>
      <c r="C3251" t="n">
        <v>0.9379999999999999</v>
      </c>
    </row>
    <row r="3252">
      <c r="A3252" s="926" t="n">
        <v>36528</v>
      </c>
      <c r="B3252" t="n">
        <v>7.774</v>
      </c>
      <c r="C3252" t="n">
        <v>0.9379999999999999</v>
      </c>
    </row>
    <row r="3253">
      <c r="A3253" s="926" t="n">
        <v>36529</v>
      </c>
      <c r="B3253" t="n">
        <v>7.775</v>
      </c>
      <c r="C3253" t="n">
        <v>0.9395</v>
      </c>
    </row>
    <row r="3254">
      <c r="A3254" s="926" t="n">
        <v>36530</v>
      </c>
      <c r="B3254" t="n">
        <v>7.777</v>
      </c>
      <c r="C3254" t="n">
        <v>0.9395</v>
      </c>
    </row>
    <row r="3255">
      <c r="A3255" s="926" t="n">
        <v>36531</v>
      </c>
      <c r="B3255" t="n">
        <v>7.778</v>
      </c>
      <c r="C3255" t="n">
        <v>0.9395</v>
      </c>
    </row>
    <row r="3256">
      <c r="A3256" s="926" t="n">
        <v>36532</v>
      </c>
      <c r="B3256" t="n">
        <v>7.778</v>
      </c>
      <c r="C3256" t="n">
        <v>0.9395</v>
      </c>
    </row>
    <row r="3257">
      <c r="A3257" s="926" t="n">
        <v>36533</v>
      </c>
      <c r="B3257" t="n">
        <v>7.777</v>
      </c>
      <c r="C3257" t="n">
        <v>0.9395</v>
      </c>
    </row>
    <row r="3258">
      <c r="A3258" s="926" t="n">
        <v>36535</v>
      </c>
      <c r="B3258" t="n">
        <v>7.777</v>
      </c>
      <c r="C3258" t="n">
        <v>0.9399999999999999</v>
      </c>
    </row>
    <row r="3259">
      <c r="A3259" s="926" t="n">
        <v>36536</v>
      </c>
      <c r="B3259" t="n">
        <v>7.777</v>
      </c>
      <c r="C3259" t="n">
        <v>0.9399999999999999</v>
      </c>
    </row>
    <row r="3260">
      <c r="A3260" s="926" t="n">
        <v>36537</v>
      </c>
      <c r="B3260" t="n">
        <v>7.777</v>
      </c>
      <c r="C3260" t="n">
        <v>0.9399999999999999</v>
      </c>
    </row>
    <row r="3261">
      <c r="A3261" s="926" t="n">
        <v>36538</v>
      </c>
      <c r="B3261" t="n">
        <v>7.777</v>
      </c>
      <c r="C3261" t="n">
        <v>0.9399999999999999</v>
      </c>
    </row>
    <row r="3262">
      <c r="A3262" s="926" t="n">
        <v>36539</v>
      </c>
      <c r="B3262" t="n">
        <v>7.778</v>
      </c>
      <c r="C3262" t="n">
        <v>0.9399999999999999</v>
      </c>
    </row>
    <row r="3263">
      <c r="A3263" s="926" t="n">
        <v>36540</v>
      </c>
      <c r="B3263" t="n">
        <v>7.778</v>
      </c>
      <c r="C3263" t="n">
        <v>0.9399999999999999</v>
      </c>
    </row>
    <row r="3264">
      <c r="A3264" s="926" t="n">
        <v>36542</v>
      </c>
      <c r="B3264" t="n">
        <v>7.778</v>
      </c>
      <c r="C3264" t="n">
        <v>0.9399999999999999</v>
      </c>
    </row>
    <row r="3265">
      <c r="A3265" s="926" t="n">
        <v>36543</v>
      </c>
      <c r="B3265" t="n">
        <v>7.779</v>
      </c>
      <c r="C3265" t="n">
        <v>0.9399999999999999</v>
      </c>
    </row>
    <row r="3266">
      <c r="A3266" s="926" t="n">
        <v>36544</v>
      </c>
      <c r="B3266" t="n">
        <v>7.779</v>
      </c>
      <c r="C3266" t="n">
        <v>0.9399999999999999</v>
      </c>
    </row>
    <row r="3267">
      <c r="A3267" s="926" t="n">
        <v>36545</v>
      </c>
      <c r="B3267" t="n">
        <v>7.779</v>
      </c>
      <c r="C3267" t="n">
        <v>0.9395</v>
      </c>
    </row>
    <row r="3268">
      <c r="A3268" s="926" t="n">
        <v>36546</v>
      </c>
      <c r="B3268" t="n">
        <v>7.777</v>
      </c>
      <c r="C3268" t="n">
        <v>0.9395</v>
      </c>
    </row>
    <row r="3269">
      <c r="A3269" s="926" t="n">
        <v>36547</v>
      </c>
      <c r="B3269" t="n">
        <v>7.777</v>
      </c>
      <c r="C3269" t="n">
        <v>0.9395</v>
      </c>
    </row>
    <row r="3270">
      <c r="A3270" s="926" t="n">
        <v>36549</v>
      </c>
      <c r="B3270" t="n">
        <v>7.778</v>
      </c>
      <c r="C3270" t="n">
        <v>0.9395</v>
      </c>
    </row>
    <row r="3271">
      <c r="A3271" s="926" t="n">
        <v>36550</v>
      </c>
      <c r="B3271" t="n">
        <v>7.779</v>
      </c>
      <c r="C3271" t="n">
        <v>0.9399999999999999</v>
      </c>
    </row>
    <row r="3272">
      <c r="A3272" s="926" t="n">
        <v>36551</v>
      </c>
      <c r="B3272" t="n">
        <v>7.779</v>
      </c>
      <c r="C3272" t="n">
        <v>0.9399999999999999</v>
      </c>
    </row>
    <row r="3273">
      <c r="A3273" s="926" t="n">
        <v>36552</v>
      </c>
      <c r="B3273" t="n">
        <v>7.779</v>
      </c>
      <c r="C3273" t="n">
        <v>0.9399999999999999</v>
      </c>
    </row>
    <row r="3274">
      <c r="A3274" s="926" t="n">
        <v>36553</v>
      </c>
      <c r="B3274" t="n">
        <v>7.78</v>
      </c>
      <c r="C3274" t="n">
        <v>0.9405</v>
      </c>
    </row>
    <row r="3275">
      <c r="A3275" s="926" t="n">
        <v>36554</v>
      </c>
      <c r="B3275" t="n">
        <v>7.78</v>
      </c>
      <c r="C3275" t="n">
        <v>0.9405</v>
      </c>
    </row>
    <row r="3276">
      <c r="A3276" s="926" t="n">
        <v>36556</v>
      </c>
      <c r="B3276" t="n">
        <v>7.781</v>
      </c>
      <c r="C3276" t="n">
        <v>0.9405</v>
      </c>
    </row>
    <row r="3277">
      <c r="A3277" s="926" t="n">
        <v>36557</v>
      </c>
      <c r="B3277" t="n">
        <v>7.78</v>
      </c>
      <c r="C3277" t="n">
        <v>0.9399999999999999</v>
      </c>
    </row>
    <row r="3278">
      <c r="A3278" s="926" t="n">
        <v>36558</v>
      </c>
      <c r="B3278" t="n">
        <v>7.78</v>
      </c>
      <c r="C3278" t="n">
        <v>0.9405</v>
      </c>
    </row>
    <row r="3279">
      <c r="A3279" s="926" t="n">
        <v>36559</v>
      </c>
      <c r="B3279" t="n">
        <v>7.78</v>
      </c>
      <c r="C3279" t="n">
        <v>0.9405</v>
      </c>
    </row>
    <row r="3280">
      <c r="A3280" s="926" t="n">
        <v>36564</v>
      </c>
      <c r="B3280" t="n">
        <v>7.781</v>
      </c>
      <c r="C3280" t="n">
        <v>0.9405</v>
      </c>
    </row>
    <row r="3281">
      <c r="A3281" s="926" t="n">
        <v>36565</v>
      </c>
      <c r="B3281" t="n">
        <v>7.78</v>
      </c>
      <c r="C3281" t="n">
        <v>0.9405</v>
      </c>
    </row>
    <row r="3282">
      <c r="A3282" s="926" t="n">
        <v>36566</v>
      </c>
      <c r="B3282" t="n">
        <v>7.781</v>
      </c>
      <c r="C3282" t="n">
        <v>0.9405</v>
      </c>
    </row>
    <row r="3283">
      <c r="A3283" s="926" t="n">
        <v>36567</v>
      </c>
      <c r="B3283" t="n">
        <v>7.781</v>
      </c>
      <c r="C3283" t="n">
        <v>0.9405</v>
      </c>
    </row>
    <row r="3284">
      <c r="A3284" s="926" t="n">
        <v>36568</v>
      </c>
      <c r="B3284" t="n">
        <v>7.781</v>
      </c>
      <c r="C3284" t="n">
        <v>0.9405</v>
      </c>
    </row>
    <row r="3285">
      <c r="A3285" s="926" t="n">
        <v>36570</v>
      </c>
      <c r="B3285" t="n">
        <v>7.781</v>
      </c>
      <c r="C3285" t="n">
        <v>0.9419999999999999</v>
      </c>
    </row>
    <row r="3286">
      <c r="A3286" s="926" t="n">
        <v>36571</v>
      </c>
      <c r="B3286" t="n">
        <v>7.78</v>
      </c>
      <c r="C3286" t="n">
        <v>0.9409999999999999</v>
      </c>
    </row>
    <row r="3287">
      <c r="A3287" s="926" t="n">
        <v>36572</v>
      </c>
      <c r="B3287" t="n">
        <v>7.78</v>
      </c>
      <c r="C3287" t="n">
        <v>0.9409999999999999</v>
      </c>
    </row>
    <row r="3288">
      <c r="A3288" s="926" t="n">
        <v>36573</v>
      </c>
      <c r="B3288" t="n">
        <v>7.781</v>
      </c>
      <c r="C3288" t="n">
        <v>0.9409999999999999</v>
      </c>
    </row>
    <row r="3289">
      <c r="A3289" s="926" t="n">
        <v>36574</v>
      </c>
      <c r="B3289" t="n">
        <v>7.781</v>
      </c>
      <c r="C3289" t="n">
        <v>0.9409999999999999</v>
      </c>
    </row>
    <row r="3290">
      <c r="A3290" s="926" t="n">
        <v>36575</v>
      </c>
      <c r="B3290" t="n">
        <v>7.781</v>
      </c>
      <c r="C3290" t="n">
        <v>0.9409999999999999</v>
      </c>
    </row>
    <row r="3291">
      <c r="A3291" s="926" t="n">
        <v>36577</v>
      </c>
      <c r="B3291" t="n">
        <v>7.781</v>
      </c>
      <c r="C3291" t="n">
        <v>0.9405</v>
      </c>
    </row>
    <row r="3292">
      <c r="A3292" s="926" t="n">
        <v>36578</v>
      </c>
      <c r="B3292" t="n">
        <v>7.781</v>
      </c>
      <c r="C3292" t="n">
        <v>0.9405</v>
      </c>
    </row>
    <row r="3293">
      <c r="A3293" s="926" t="n">
        <v>36579</v>
      </c>
      <c r="B3293" t="n">
        <v>7.781</v>
      </c>
      <c r="C3293" t="n">
        <v>0.9405</v>
      </c>
    </row>
    <row r="3294">
      <c r="A3294" s="926" t="n">
        <v>36580</v>
      </c>
      <c r="B3294" t="n">
        <v>7.781</v>
      </c>
      <c r="C3294" t="n">
        <v>0.9405</v>
      </c>
    </row>
    <row r="3295">
      <c r="A3295" s="926" t="n">
        <v>36581</v>
      </c>
      <c r="B3295" t="n">
        <v>7.782</v>
      </c>
      <c r="C3295" t="n">
        <v>0.9399999999999999</v>
      </c>
    </row>
    <row r="3296">
      <c r="A3296" s="926" t="n">
        <v>36582</v>
      </c>
      <c r="B3296" t="n">
        <v>7.782</v>
      </c>
      <c r="C3296" t="n">
        <v>0.9399999999999999</v>
      </c>
    </row>
    <row r="3297">
      <c r="A3297" s="926" t="n">
        <v>36584</v>
      </c>
      <c r="B3297" t="n">
        <v>7.782</v>
      </c>
      <c r="C3297" t="n">
        <v>0.9399999999999999</v>
      </c>
    </row>
    <row r="3298">
      <c r="A3298" s="926" t="n">
        <v>36585</v>
      </c>
      <c r="B3298" t="n">
        <v>7.782</v>
      </c>
      <c r="C3298" t="n">
        <v>0.9399999999999999</v>
      </c>
    </row>
    <row r="3299">
      <c r="A3299" s="926" t="n">
        <v>36586</v>
      </c>
      <c r="B3299" t="n">
        <v>7.782</v>
      </c>
      <c r="C3299" t="n">
        <v>0.9399999999999999</v>
      </c>
    </row>
    <row r="3300">
      <c r="A3300" s="926" t="n">
        <v>36587</v>
      </c>
      <c r="B3300" t="n">
        <v>7.782</v>
      </c>
      <c r="C3300" t="n">
        <v>0.9405</v>
      </c>
    </row>
    <row r="3301">
      <c r="A3301" s="926" t="n">
        <v>36588</v>
      </c>
      <c r="B3301" t="n">
        <v>7.782</v>
      </c>
      <c r="C3301" t="n">
        <v>0.9405</v>
      </c>
    </row>
    <row r="3302">
      <c r="A3302" s="926" t="n">
        <v>36589</v>
      </c>
      <c r="B3302" t="n">
        <v>7.782</v>
      </c>
      <c r="C3302" t="n">
        <v>0.9405</v>
      </c>
    </row>
    <row r="3303">
      <c r="A3303" s="926" t="n">
        <v>36591</v>
      </c>
      <c r="B3303" t="n">
        <v>7.783</v>
      </c>
      <c r="C3303" t="n">
        <v>0.9405</v>
      </c>
    </row>
    <row r="3304">
      <c r="A3304" s="926" t="n">
        <v>36592</v>
      </c>
      <c r="B3304" t="n">
        <v>7.783</v>
      </c>
      <c r="C3304" t="n">
        <v>0.9405</v>
      </c>
    </row>
    <row r="3305">
      <c r="A3305" s="926" t="n">
        <v>36593</v>
      </c>
      <c r="B3305" t="n">
        <v>7.783</v>
      </c>
      <c r="C3305" t="n">
        <v>0.9405</v>
      </c>
    </row>
    <row r="3306">
      <c r="A3306" s="926" t="n">
        <v>36594</v>
      </c>
      <c r="B3306" t="n">
        <v>7.783</v>
      </c>
      <c r="C3306" t="n">
        <v>0.9405</v>
      </c>
    </row>
    <row r="3307">
      <c r="A3307" s="926" t="n">
        <v>36595</v>
      </c>
      <c r="B3307" t="n">
        <v>7.783</v>
      </c>
      <c r="C3307" t="n">
        <v>0.9405</v>
      </c>
    </row>
    <row r="3308">
      <c r="A3308" s="926" t="n">
        <v>36596</v>
      </c>
      <c r="B3308" t="n">
        <v>7.783</v>
      </c>
      <c r="C3308" t="n">
        <v>0.9405</v>
      </c>
    </row>
    <row r="3309">
      <c r="A3309" s="926" t="n">
        <v>36598</v>
      </c>
      <c r="B3309" t="n">
        <v>7.784</v>
      </c>
      <c r="C3309" t="n">
        <v>0.9409999999999999</v>
      </c>
    </row>
    <row r="3310">
      <c r="A3310" s="926" t="n">
        <v>36599</v>
      </c>
      <c r="B3310" t="n">
        <v>7.784</v>
      </c>
      <c r="C3310" t="n">
        <v>0.9409999999999999</v>
      </c>
    </row>
    <row r="3311">
      <c r="A3311" s="926" t="n">
        <v>36600</v>
      </c>
      <c r="B3311" t="n">
        <v>7.784</v>
      </c>
      <c r="C3311" t="n">
        <v>0.9409999999999999</v>
      </c>
    </row>
    <row r="3312">
      <c r="A3312" s="926" t="n">
        <v>36601</v>
      </c>
      <c r="B3312" t="n">
        <v>7.784</v>
      </c>
      <c r="C3312" t="n">
        <v>0.9409999999999999</v>
      </c>
    </row>
    <row r="3313">
      <c r="A3313" s="926" t="n">
        <v>36602</v>
      </c>
      <c r="B3313" t="n">
        <v>7.784</v>
      </c>
      <c r="C3313" t="n">
        <v>0.9409999999999999</v>
      </c>
    </row>
    <row r="3314">
      <c r="A3314" s="926" t="n">
        <v>36603</v>
      </c>
      <c r="B3314" t="n">
        <v>7.784</v>
      </c>
      <c r="C3314" t="n">
        <v>0.9409999999999999</v>
      </c>
    </row>
    <row r="3315">
      <c r="A3315" s="926" t="n">
        <v>36605</v>
      </c>
      <c r="B3315" t="n">
        <v>7.784</v>
      </c>
      <c r="C3315" t="n">
        <v>0.9409999999999999</v>
      </c>
    </row>
    <row r="3316">
      <c r="A3316" s="926" t="n">
        <v>36606</v>
      </c>
      <c r="B3316" t="n">
        <v>7.785</v>
      </c>
      <c r="C3316" t="n">
        <v>0.9409999999999999</v>
      </c>
    </row>
    <row r="3317">
      <c r="A3317" s="926" t="n">
        <v>36607</v>
      </c>
      <c r="B3317" t="n">
        <v>7.785</v>
      </c>
      <c r="C3317" t="n">
        <v>0.9409999999999999</v>
      </c>
    </row>
    <row r="3318">
      <c r="A3318" s="926" t="n">
        <v>36608</v>
      </c>
      <c r="B3318" t="n">
        <v>7.785</v>
      </c>
      <c r="C3318" t="n">
        <v>0.9409999999999999</v>
      </c>
    </row>
    <row r="3319">
      <c r="A3319" s="926" t="n">
        <v>36609</v>
      </c>
      <c r="B3319" t="n">
        <v>7.785</v>
      </c>
      <c r="C3319" t="n">
        <v>0.9409999999999999</v>
      </c>
    </row>
    <row r="3320">
      <c r="A3320" s="926" t="n">
        <v>36610</v>
      </c>
      <c r="B3320" t="n">
        <v>7.785</v>
      </c>
      <c r="C3320" t="n">
        <v>0.9409999999999999</v>
      </c>
    </row>
    <row r="3321">
      <c r="A3321" s="926" t="n">
        <v>36612</v>
      </c>
      <c r="B3321" t="n">
        <v>7.785</v>
      </c>
      <c r="C3321" t="n">
        <v>0.9409999999999999</v>
      </c>
    </row>
    <row r="3322">
      <c r="A3322" s="926" t="n">
        <v>36613</v>
      </c>
      <c r="B3322" t="n">
        <v>7.785</v>
      </c>
      <c r="C3322" t="n">
        <v>0.9409999999999999</v>
      </c>
    </row>
    <row r="3323">
      <c r="A3323" s="926" t="n">
        <v>36614</v>
      </c>
      <c r="B3323" t="n">
        <v>7.785</v>
      </c>
      <c r="C3323" t="n">
        <v>0.9405</v>
      </c>
    </row>
    <row r="3324">
      <c r="A3324" s="926" t="n">
        <v>36615</v>
      </c>
      <c r="B3324" t="n">
        <v>7.785</v>
      </c>
      <c r="C3324" t="n">
        <v>0.9409999999999999</v>
      </c>
    </row>
    <row r="3325">
      <c r="A3325" s="926" t="n">
        <v>36616</v>
      </c>
      <c r="B3325" t="n">
        <v>7.786</v>
      </c>
      <c r="C3325" t="n">
        <v>0.9409999999999999</v>
      </c>
    </row>
    <row r="3326">
      <c r="A3326" s="926" t="n">
        <v>36617</v>
      </c>
      <c r="B3326" t="n">
        <v>7.786</v>
      </c>
      <c r="C3326" t="n">
        <v>0.9405</v>
      </c>
    </row>
    <row r="3327">
      <c r="A3327" s="926" t="n">
        <v>36619</v>
      </c>
      <c r="B3327" t="n">
        <v>7.786</v>
      </c>
      <c r="C3327" t="n">
        <v>0.9405</v>
      </c>
    </row>
    <row r="3328">
      <c r="A3328" s="926" t="n">
        <v>36621</v>
      </c>
      <c r="B3328" t="n">
        <v>7.786</v>
      </c>
      <c r="C3328" t="n">
        <v>0.9405</v>
      </c>
    </row>
    <row r="3329">
      <c r="A3329" s="926" t="n">
        <v>36622</v>
      </c>
      <c r="B3329" t="n">
        <v>7.786</v>
      </c>
      <c r="C3329" t="n">
        <v>0.9405</v>
      </c>
    </row>
    <row r="3330">
      <c r="A3330" s="926" t="n">
        <v>36623</v>
      </c>
      <c r="B3330" t="n">
        <v>7.786</v>
      </c>
      <c r="C3330" t="n">
        <v>0.9409999999999999</v>
      </c>
    </row>
    <row r="3331">
      <c r="A3331" s="926" t="n">
        <v>36624</v>
      </c>
      <c r="B3331" t="n">
        <v>7.786</v>
      </c>
      <c r="C3331" t="n">
        <v>0.9409999999999999</v>
      </c>
    </row>
    <row r="3332">
      <c r="A3332" s="926" t="n">
        <v>36626</v>
      </c>
      <c r="B3332" t="n">
        <v>7.786</v>
      </c>
      <c r="C3332" t="n">
        <v>0.9409999999999999</v>
      </c>
    </row>
    <row r="3333">
      <c r="A3333" s="926" t="n">
        <v>36627</v>
      </c>
      <c r="B3333" t="n">
        <v>7.786</v>
      </c>
      <c r="C3333" t="n">
        <v>0.9409999999999999</v>
      </c>
    </row>
    <row r="3334">
      <c r="A3334" s="926" t="n">
        <v>36628</v>
      </c>
      <c r="B3334" t="n">
        <v>7.786</v>
      </c>
      <c r="C3334" t="n">
        <v>0.9409999999999999</v>
      </c>
    </row>
    <row r="3335">
      <c r="A3335" s="926" t="n">
        <v>36629</v>
      </c>
      <c r="B3335" t="n">
        <v>7.787</v>
      </c>
      <c r="C3335" t="n">
        <v>0.9409999999999999</v>
      </c>
    </row>
    <row r="3336">
      <c r="A3336" s="926" t="n">
        <v>36630</v>
      </c>
      <c r="B3336" t="n">
        <v>7.787</v>
      </c>
      <c r="C3336" t="n">
        <v>0.9409999999999999</v>
      </c>
    </row>
    <row r="3337">
      <c r="A3337" s="926" t="n">
        <v>36631</v>
      </c>
      <c r="B3337" t="n">
        <v>7.787</v>
      </c>
      <c r="C3337" t="n">
        <v>0.9409999999999999</v>
      </c>
    </row>
    <row r="3338">
      <c r="A3338" s="926" t="n">
        <v>36633</v>
      </c>
      <c r="B3338" t="n">
        <v>7.787</v>
      </c>
      <c r="C3338" t="n">
        <v>0.9409999999999999</v>
      </c>
    </row>
    <row r="3339">
      <c r="A3339" s="926" t="n">
        <v>36634</v>
      </c>
      <c r="B3339" t="n">
        <v>7.787</v>
      </c>
      <c r="C3339" t="n">
        <v>0.9415</v>
      </c>
    </row>
    <row r="3340">
      <c r="A3340" s="926" t="n">
        <v>36635</v>
      </c>
      <c r="B3340" t="n">
        <v>7.787</v>
      </c>
      <c r="C3340" t="n">
        <v>0.9415</v>
      </c>
    </row>
    <row r="3341">
      <c r="A3341" s="926" t="n">
        <v>36636</v>
      </c>
      <c r="B3341" t="n">
        <v>7.788</v>
      </c>
      <c r="C3341" t="n">
        <v>0.9415</v>
      </c>
    </row>
    <row r="3342">
      <c r="A3342" s="926" t="n">
        <v>36641</v>
      </c>
      <c r="B3342" t="n">
        <v>7.788</v>
      </c>
      <c r="C3342" t="n">
        <v>0.9419999999999999</v>
      </c>
    </row>
    <row r="3343">
      <c r="A3343" s="926" t="n">
        <v>36642</v>
      </c>
      <c r="B3343" t="n">
        <v>7.788</v>
      </c>
      <c r="C3343" t="n">
        <v>0.9409999999999999</v>
      </c>
    </row>
    <row r="3344">
      <c r="A3344" s="926" t="n">
        <v>36643</v>
      </c>
      <c r="B3344" t="n">
        <v>7.789</v>
      </c>
      <c r="C3344" t="n">
        <v>0.9409999999999999</v>
      </c>
    </row>
    <row r="3345">
      <c r="A3345" s="926" t="n">
        <v>36644</v>
      </c>
      <c r="B3345" t="n">
        <v>7.788</v>
      </c>
      <c r="C3345" t="n">
        <v>0.9409999999999999</v>
      </c>
    </row>
    <row r="3346">
      <c r="A3346" s="926" t="n">
        <v>36645</v>
      </c>
      <c r="B3346" t="n">
        <v>7.787</v>
      </c>
      <c r="C3346" t="n">
        <v>0.9409999999999999</v>
      </c>
    </row>
    <row r="3347">
      <c r="A3347" s="926" t="n">
        <v>36648</v>
      </c>
      <c r="B3347" t="n">
        <v>7.788</v>
      </c>
      <c r="C3347" t="n">
        <v>0.9409999999999999</v>
      </c>
    </row>
    <row r="3348">
      <c r="A3348" s="926" t="n">
        <v>36649</v>
      </c>
      <c r="B3348" t="n">
        <v>7.789</v>
      </c>
      <c r="C3348" t="n">
        <v>0.9409999999999999</v>
      </c>
    </row>
    <row r="3349">
      <c r="A3349" s="926" t="n">
        <v>36650</v>
      </c>
      <c r="B3349" t="n">
        <v>7.789</v>
      </c>
      <c r="C3349" t="n">
        <v>0.9409999999999999</v>
      </c>
    </row>
    <row r="3350">
      <c r="A3350" s="926" t="n">
        <v>36651</v>
      </c>
      <c r="B3350" t="n">
        <v>7.789</v>
      </c>
      <c r="C3350" t="n">
        <v>0.9409999999999999</v>
      </c>
    </row>
    <row r="3351">
      <c r="A3351" s="926" t="n">
        <v>36652</v>
      </c>
      <c r="B3351" t="n">
        <v>7.789</v>
      </c>
      <c r="C3351" t="n">
        <v>0.9409999999999999</v>
      </c>
    </row>
    <row r="3352">
      <c r="A3352" s="926" t="n">
        <v>36654</v>
      </c>
      <c r="B3352" t="n">
        <v>7.789</v>
      </c>
      <c r="C3352" t="n">
        <v>0.9409999999999999</v>
      </c>
    </row>
    <row r="3353">
      <c r="A3353" s="926" t="n">
        <v>36655</v>
      </c>
      <c r="B3353" t="n">
        <v>7.789</v>
      </c>
      <c r="C3353" t="n">
        <v>0.9415</v>
      </c>
    </row>
    <row r="3354">
      <c r="A3354" s="926" t="n">
        <v>36656</v>
      </c>
      <c r="B3354" t="n">
        <v>7.789</v>
      </c>
      <c r="C3354" t="n">
        <v>0.9415</v>
      </c>
    </row>
    <row r="3355">
      <c r="A3355" s="926" t="n">
        <v>36658</v>
      </c>
      <c r="B3355" t="n">
        <v>7.789</v>
      </c>
      <c r="C3355" t="n">
        <v>0.9419999999999999</v>
      </c>
    </row>
    <row r="3356">
      <c r="A3356" s="926" t="n">
        <v>36659</v>
      </c>
      <c r="B3356" t="n">
        <v>7.789</v>
      </c>
      <c r="C3356" t="n">
        <v>0.9419999999999999</v>
      </c>
    </row>
    <row r="3357">
      <c r="A3357" s="926" t="n">
        <v>36661</v>
      </c>
      <c r="B3357" t="n">
        <v>7.789</v>
      </c>
      <c r="C3357" t="n">
        <v>0.9419999999999999</v>
      </c>
    </row>
    <row r="3358">
      <c r="A3358" s="926" t="n">
        <v>36662</v>
      </c>
      <c r="B3358" t="n">
        <v>7.789</v>
      </c>
      <c r="C3358" t="n">
        <v>0.9419999999999999</v>
      </c>
    </row>
    <row r="3359">
      <c r="A3359" s="926" t="n">
        <v>36663</v>
      </c>
      <c r="B3359" t="n">
        <v>7.79</v>
      </c>
      <c r="C3359" t="n">
        <v>0.9419999999999999</v>
      </c>
    </row>
    <row r="3360">
      <c r="A3360" s="926" t="n">
        <v>36664</v>
      </c>
      <c r="B3360" t="n">
        <v>7.79</v>
      </c>
      <c r="C3360" t="n">
        <v>0.9419999999999999</v>
      </c>
    </row>
    <row r="3361">
      <c r="A3361" s="926" t="n">
        <v>36665</v>
      </c>
      <c r="B3361" t="n">
        <v>7.79</v>
      </c>
      <c r="C3361" t="n">
        <v>0.9419999999999999</v>
      </c>
    </row>
    <row r="3362">
      <c r="A3362" s="926" t="n">
        <v>36666</v>
      </c>
      <c r="B3362" t="n">
        <v>7.79</v>
      </c>
      <c r="C3362" t="n">
        <v>0.9419999999999999</v>
      </c>
    </row>
    <row r="3363">
      <c r="A3363" s="926" t="n">
        <v>36668</v>
      </c>
      <c r="B3363" t="n">
        <v>7.79</v>
      </c>
      <c r="C3363" t="n">
        <v>0.9419999999999999</v>
      </c>
    </row>
    <row r="3364">
      <c r="A3364" s="926" t="n">
        <v>36669</v>
      </c>
      <c r="B3364" t="n">
        <v>7.79</v>
      </c>
      <c r="C3364" t="n">
        <v>0.9419999999999999</v>
      </c>
    </row>
    <row r="3365">
      <c r="A3365" s="926" t="n">
        <v>36670</v>
      </c>
      <c r="B3365" t="n">
        <v>7.791</v>
      </c>
      <c r="C3365" t="n">
        <v>0.9419999999999999</v>
      </c>
    </row>
    <row r="3366">
      <c r="A3366" s="926" t="n">
        <v>36671</v>
      </c>
      <c r="B3366" t="n">
        <v>7.791</v>
      </c>
      <c r="C3366" t="n">
        <v>0.9419999999999999</v>
      </c>
    </row>
    <row r="3367">
      <c r="A3367" s="926" t="n">
        <v>36672</v>
      </c>
      <c r="B3367" t="n">
        <v>7.791</v>
      </c>
      <c r="C3367" t="n">
        <v>0.9419999999999999</v>
      </c>
    </row>
    <row r="3368">
      <c r="A3368" s="926" t="n">
        <v>36673</v>
      </c>
      <c r="B3368" t="n">
        <v>7.791</v>
      </c>
      <c r="C3368" t="n">
        <v>0.9419999999999999</v>
      </c>
    </row>
    <row r="3369">
      <c r="A3369" s="926" t="n">
        <v>36675</v>
      </c>
      <c r="B3369" t="n">
        <v>7.792</v>
      </c>
      <c r="C3369" t="n">
        <v>0.9425</v>
      </c>
    </row>
    <row r="3370">
      <c r="A3370" s="926" t="n">
        <v>36676</v>
      </c>
      <c r="B3370" t="n">
        <v>7.792</v>
      </c>
      <c r="C3370" t="n">
        <v>0.9425</v>
      </c>
    </row>
    <row r="3371">
      <c r="A3371" s="926" t="n">
        <v>36677</v>
      </c>
      <c r="B3371" t="n">
        <v>7.792</v>
      </c>
      <c r="C3371" t="n">
        <v>0.9425</v>
      </c>
    </row>
    <row r="3372">
      <c r="A3372" s="926" t="n">
        <v>36678</v>
      </c>
      <c r="B3372" t="n">
        <v>7.792</v>
      </c>
      <c r="C3372" t="n">
        <v>0.9425</v>
      </c>
    </row>
    <row r="3373">
      <c r="A3373" s="926" t="n">
        <v>36679</v>
      </c>
      <c r="B3373" t="n">
        <v>7.792</v>
      </c>
      <c r="C3373" t="n">
        <v>0.9425</v>
      </c>
    </row>
    <row r="3374">
      <c r="A3374" s="926" t="n">
        <v>36680</v>
      </c>
      <c r="B3374" t="n">
        <v>7.792</v>
      </c>
      <c r="C3374" t="n">
        <v>0.9425</v>
      </c>
    </row>
    <row r="3375">
      <c r="A3375" s="926" t="n">
        <v>36682</v>
      </c>
      <c r="B3375" t="n">
        <v>7.792</v>
      </c>
      <c r="C3375" t="n">
        <v>0.9419999999999999</v>
      </c>
    </row>
    <row r="3376">
      <c r="A3376" s="926" t="n">
        <v>36684</v>
      </c>
      <c r="B3376" t="n">
        <v>7.792</v>
      </c>
      <c r="C3376" t="n">
        <v>0.9425</v>
      </c>
    </row>
    <row r="3377">
      <c r="A3377" s="926" t="n">
        <v>36685</v>
      </c>
      <c r="B3377" t="n">
        <v>7.792</v>
      </c>
      <c r="C3377" t="n">
        <v>0.9425</v>
      </c>
    </row>
    <row r="3378">
      <c r="A3378" s="926" t="n">
        <v>36686</v>
      </c>
      <c r="B3378" t="n">
        <v>7.792</v>
      </c>
      <c r="C3378" t="n">
        <v>0.9415</v>
      </c>
    </row>
    <row r="3379">
      <c r="A3379" s="926" t="n">
        <v>36687</v>
      </c>
      <c r="B3379" t="n">
        <v>7.792</v>
      </c>
      <c r="C3379" t="n">
        <v>0.9415</v>
      </c>
    </row>
    <row r="3380">
      <c r="A3380" s="926" t="n">
        <v>36689</v>
      </c>
      <c r="B3380" t="n">
        <v>7.792</v>
      </c>
      <c r="C3380" t="n">
        <v>0.9415</v>
      </c>
    </row>
    <row r="3381">
      <c r="A3381" s="926" t="n">
        <v>36690</v>
      </c>
      <c r="B3381" t="n">
        <v>7.792</v>
      </c>
      <c r="C3381" t="n">
        <v>0.9425</v>
      </c>
    </row>
    <row r="3382">
      <c r="A3382" s="926" t="n">
        <v>36691</v>
      </c>
      <c r="B3382" t="n">
        <v>7.792</v>
      </c>
      <c r="C3382" t="n">
        <v>0.9419999999999999</v>
      </c>
    </row>
    <row r="3383">
      <c r="A3383" s="926" t="n">
        <v>36692</v>
      </c>
      <c r="B3383" t="n">
        <v>7.792</v>
      </c>
      <c r="C3383" t="n">
        <v>0.9415</v>
      </c>
    </row>
    <row r="3384">
      <c r="A3384" s="926" t="n">
        <v>36693</v>
      </c>
      <c r="B3384" t="n">
        <v>7.793</v>
      </c>
      <c r="C3384" t="n">
        <v>0.9425</v>
      </c>
    </row>
    <row r="3385">
      <c r="A3385" s="926" t="n">
        <v>36694</v>
      </c>
      <c r="B3385" t="n">
        <v>7.793</v>
      </c>
      <c r="C3385" t="n">
        <v>0.9425</v>
      </c>
    </row>
    <row r="3386">
      <c r="A3386" s="926" t="n">
        <v>36696</v>
      </c>
      <c r="B3386" t="n">
        <v>7.793</v>
      </c>
      <c r="C3386" t="n">
        <v>0.9425</v>
      </c>
    </row>
    <row r="3387">
      <c r="A3387" s="926" t="n">
        <v>36697</v>
      </c>
      <c r="B3387" t="n">
        <v>7.793</v>
      </c>
      <c r="C3387" t="n">
        <v>0.9425</v>
      </c>
    </row>
    <row r="3388">
      <c r="A3388" s="926" t="n">
        <v>36698</v>
      </c>
      <c r="B3388" t="n">
        <v>7.792</v>
      </c>
      <c r="C3388" t="n">
        <v>0.9425</v>
      </c>
    </row>
    <row r="3389">
      <c r="A3389" s="926" t="n">
        <v>36699</v>
      </c>
      <c r="B3389" t="n">
        <v>7.792</v>
      </c>
      <c r="C3389" t="n">
        <v>0.9425</v>
      </c>
    </row>
    <row r="3390">
      <c r="A3390" s="926" t="n">
        <v>36700</v>
      </c>
      <c r="B3390" t="n">
        <v>7.792</v>
      </c>
      <c r="C3390" t="n">
        <v>0.9425</v>
      </c>
    </row>
    <row r="3391">
      <c r="A3391" s="926" t="n">
        <v>36701</v>
      </c>
      <c r="B3391" t="n">
        <v>7.789</v>
      </c>
      <c r="C3391" t="n">
        <v>0.9425</v>
      </c>
    </row>
    <row r="3392">
      <c r="A3392" s="926" t="n">
        <v>36703</v>
      </c>
      <c r="B3392" t="n">
        <v>7.791</v>
      </c>
      <c r="C3392" t="n">
        <v>0.9425</v>
      </c>
    </row>
    <row r="3393">
      <c r="A3393" s="926" t="n">
        <v>36704</v>
      </c>
      <c r="B3393" t="n">
        <v>7.792</v>
      </c>
      <c r="C3393" t="n">
        <v>0.9425</v>
      </c>
    </row>
    <row r="3394">
      <c r="A3394" s="926" t="n">
        <v>36705</v>
      </c>
      <c r="B3394" t="n">
        <v>7.793</v>
      </c>
      <c r="C3394" t="n">
        <v>0.9425</v>
      </c>
    </row>
    <row r="3395">
      <c r="A3395" s="926" t="n">
        <v>36706</v>
      </c>
      <c r="B3395" t="n">
        <v>7.793</v>
      </c>
      <c r="C3395" t="n">
        <v>0.9425</v>
      </c>
    </row>
    <row r="3396">
      <c r="A3396" s="926" t="n">
        <v>36707</v>
      </c>
      <c r="B3396" t="n">
        <v>7.794</v>
      </c>
      <c r="C3396" t="n">
        <v>0.9425</v>
      </c>
    </row>
    <row r="3397">
      <c r="A3397" s="926" t="n">
        <v>36710</v>
      </c>
      <c r="B3397" t="n">
        <v>7.794</v>
      </c>
      <c r="C3397" t="n">
        <v>0.9425</v>
      </c>
    </row>
    <row r="3398">
      <c r="A3398" s="926" t="n">
        <v>36711</v>
      </c>
      <c r="B3398" t="n">
        <v>7.794</v>
      </c>
      <c r="C3398" t="n">
        <v>0.9425</v>
      </c>
    </row>
    <row r="3399">
      <c r="A3399" s="926" t="n">
        <v>36712</v>
      </c>
      <c r="B3399" t="n">
        <v>7.794</v>
      </c>
      <c r="C3399" t="n">
        <v>0.9425</v>
      </c>
    </row>
    <row r="3400">
      <c r="A3400" s="926" t="n">
        <v>36713</v>
      </c>
      <c r="B3400" t="n">
        <v>7.795</v>
      </c>
      <c r="C3400" t="n">
        <v>0.9425</v>
      </c>
    </row>
    <row r="3401">
      <c r="A3401" s="926" t="n">
        <v>36714</v>
      </c>
      <c r="B3401" t="n">
        <v>7.795</v>
      </c>
      <c r="C3401" t="n">
        <v>0.9425</v>
      </c>
    </row>
    <row r="3402">
      <c r="A3402" s="926" t="n">
        <v>36715</v>
      </c>
      <c r="B3402" t="n">
        <v>7.795</v>
      </c>
      <c r="C3402" t="n">
        <v>0.9425</v>
      </c>
    </row>
    <row r="3403">
      <c r="A3403" s="926" t="n">
        <v>36717</v>
      </c>
      <c r="B3403" t="n">
        <v>7.795</v>
      </c>
      <c r="C3403" t="n">
        <v>0.9425</v>
      </c>
    </row>
    <row r="3404">
      <c r="A3404" s="926" t="n">
        <v>36718</v>
      </c>
      <c r="B3404" t="n">
        <v>7.795</v>
      </c>
      <c r="C3404" t="n">
        <v>0.9425</v>
      </c>
    </row>
    <row r="3405">
      <c r="A3405" s="926" t="n">
        <v>36719</v>
      </c>
      <c r="B3405" t="n">
        <v>7.795</v>
      </c>
      <c r="C3405" t="n">
        <v>0.9425</v>
      </c>
    </row>
    <row r="3406">
      <c r="A3406" s="926" t="n">
        <v>36720</v>
      </c>
      <c r="B3406" t="n">
        <v>7.795</v>
      </c>
      <c r="C3406" t="n">
        <v>0.9425</v>
      </c>
    </row>
    <row r="3407">
      <c r="A3407" s="926" t="n">
        <v>36721</v>
      </c>
      <c r="B3407" t="n">
        <v>7.795</v>
      </c>
      <c r="C3407" t="n">
        <v>0.9425</v>
      </c>
    </row>
    <row r="3408">
      <c r="A3408" s="926" t="n">
        <v>36722</v>
      </c>
      <c r="B3408" t="n">
        <v>7.795</v>
      </c>
      <c r="C3408" t="n">
        <v>0.9425</v>
      </c>
    </row>
    <row r="3409">
      <c r="A3409" s="926" t="n">
        <v>36724</v>
      </c>
      <c r="B3409" t="n">
        <v>7.795</v>
      </c>
      <c r="C3409" t="n">
        <v>0.9425</v>
      </c>
    </row>
    <row r="3410">
      <c r="A3410" s="926" t="n">
        <v>36725</v>
      </c>
      <c r="B3410" t="n">
        <v>7.796</v>
      </c>
      <c r="C3410" t="n">
        <v>0.9425</v>
      </c>
    </row>
    <row r="3411">
      <c r="A3411" s="926" t="n">
        <v>36726</v>
      </c>
      <c r="B3411" t="n">
        <v>7.796</v>
      </c>
      <c r="C3411" t="n">
        <v>0.9425</v>
      </c>
    </row>
    <row r="3412">
      <c r="A3412" s="926" t="n">
        <v>36727</v>
      </c>
      <c r="B3412" t="n">
        <v>7.796</v>
      </c>
      <c r="C3412" t="n">
        <v>0.9425</v>
      </c>
    </row>
    <row r="3413">
      <c r="A3413" s="926" t="n">
        <v>36728</v>
      </c>
      <c r="B3413" t="n">
        <v>7.796</v>
      </c>
      <c r="C3413" t="n">
        <v>0.9425</v>
      </c>
    </row>
    <row r="3414">
      <c r="A3414" s="926" t="n">
        <v>36729</v>
      </c>
      <c r="B3414" t="n">
        <v>7.796</v>
      </c>
      <c r="C3414" t="n">
        <v>0.9425</v>
      </c>
    </row>
    <row r="3415">
      <c r="A3415" s="926" t="n">
        <v>36731</v>
      </c>
      <c r="B3415" t="n">
        <v>7.796</v>
      </c>
      <c r="C3415" t="n">
        <v>0.9425</v>
      </c>
    </row>
    <row r="3416">
      <c r="A3416" s="926" t="n">
        <v>36732</v>
      </c>
      <c r="B3416" t="n">
        <v>7.796</v>
      </c>
      <c r="C3416" t="n">
        <v>0.9425</v>
      </c>
    </row>
    <row r="3417">
      <c r="A3417" s="926" t="n">
        <v>36733</v>
      </c>
      <c r="B3417" t="n">
        <v>7.796</v>
      </c>
      <c r="C3417" t="n">
        <v>0.9425</v>
      </c>
    </row>
    <row r="3418">
      <c r="A3418" s="926" t="n">
        <v>36734</v>
      </c>
      <c r="B3418" t="n">
        <v>7.796</v>
      </c>
      <c r="C3418" t="n">
        <v>0.9425</v>
      </c>
    </row>
    <row r="3419">
      <c r="A3419" s="926" t="n">
        <v>36735</v>
      </c>
      <c r="B3419" t="n">
        <v>7.796</v>
      </c>
      <c r="C3419" t="n">
        <v>0.9425</v>
      </c>
    </row>
    <row r="3420">
      <c r="A3420" s="926" t="n">
        <v>36736</v>
      </c>
      <c r="B3420" t="n">
        <v>7.795</v>
      </c>
      <c r="C3420" t="n">
        <v>0.9425</v>
      </c>
    </row>
    <row r="3421">
      <c r="A3421" s="926" t="n">
        <v>36738</v>
      </c>
      <c r="B3421" t="n">
        <v>7.797</v>
      </c>
      <c r="C3421" t="n">
        <v>0.9425</v>
      </c>
    </row>
    <row r="3422">
      <c r="A3422" s="926" t="n">
        <v>36739</v>
      </c>
      <c r="B3422" t="n">
        <v>7.797</v>
      </c>
      <c r="C3422" t="n">
        <v>0.9425</v>
      </c>
    </row>
    <row r="3423">
      <c r="A3423" s="926" t="n">
        <v>36740</v>
      </c>
      <c r="B3423" t="n">
        <v>7.797</v>
      </c>
      <c r="C3423" t="n">
        <v>0.9425</v>
      </c>
    </row>
    <row r="3424">
      <c r="A3424" s="926" t="n">
        <v>36741</v>
      </c>
      <c r="B3424" t="n">
        <v>7.797</v>
      </c>
      <c r="C3424" t="n">
        <v>0.9425</v>
      </c>
    </row>
    <row r="3425">
      <c r="A3425" s="926" t="n">
        <v>36742</v>
      </c>
      <c r="B3425" t="n">
        <v>7.797</v>
      </c>
      <c r="C3425" t="n">
        <v>0.9425</v>
      </c>
    </row>
    <row r="3426">
      <c r="A3426" s="926" t="n">
        <v>36743</v>
      </c>
      <c r="B3426" t="n">
        <v>7.796</v>
      </c>
      <c r="C3426" t="n">
        <v>0.9425</v>
      </c>
    </row>
    <row r="3427">
      <c r="A3427" s="926" t="n">
        <v>36745</v>
      </c>
      <c r="B3427" t="n">
        <v>7.797</v>
      </c>
      <c r="C3427" t="n">
        <v>0.9425</v>
      </c>
    </row>
    <row r="3428">
      <c r="A3428" s="926" t="n">
        <v>36746</v>
      </c>
      <c r="B3428" t="n">
        <v>7.797</v>
      </c>
      <c r="C3428" t="n">
        <v>0.9425</v>
      </c>
    </row>
    <row r="3429">
      <c r="A3429" s="926" t="n">
        <v>36747</v>
      </c>
      <c r="B3429" t="n">
        <v>7.798</v>
      </c>
      <c r="C3429" t="n">
        <v>0.9425</v>
      </c>
    </row>
    <row r="3430">
      <c r="A3430" s="926" t="n">
        <v>36748</v>
      </c>
      <c r="B3430" t="n">
        <v>7.798</v>
      </c>
      <c r="C3430" t="n">
        <v>0.9425</v>
      </c>
    </row>
    <row r="3431">
      <c r="A3431" s="926" t="n">
        <v>36749</v>
      </c>
      <c r="B3431" t="n">
        <v>7.798</v>
      </c>
      <c r="C3431" t="n">
        <v>0.9425</v>
      </c>
    </row>
    <row r="3432">
      <c r="A3432" s="926" t="n">
        <v>36750</v>
      </c>
      <c r="B3432" t="n">
        <v>7.796</v>
      </c>
      <c r="C3432" t="n">
        <v>0.9425</v>
      </c>
    </row>
    <row r="3433">
      <c r="A3433" s="926" t="n">
        <v>36752</v>
      </c>
      <c r="B3433" t="n">
        <v>7.799</v>
      </c>
      <c r="C3433" t="n">
        <v>0.9425</v>
      </c>
    </row>
    <row r="3434">
      <c r="A3434" s="926" t="n">
        <v>36753</v>
      </c>
      <c r="B3434" t="n">
        <v>7.799</v>
      </c>
      <c r="C3434" t="n">
        <v>0.9425</v>
      </c>
    </row>
    <row r="3435">
      <c r="A3435" s="926" t="n">
        <v>36754</v>
      </c>
      <c r="B3435" t="n">
        <v>7.799</v>
      </c>
      <c r="C3435" t="n">
        <v>0.9425</v>
      </c>
    </row>
    <row r="3436">
      <c r="A3436" s="926" t="n">
        <v>36755</v>
      </c>
      <c r="B3436" t="n">
        <v>7.799</v>
      </c>
      <c r="C3436" t="n">
        <v>0.9425</v>
      </c>
    </row>
    <row r="3437">
      <c r="A3437" s="926" t="n">
        <v>36756</v>
      </c>
      <c r="B3437" t="n">
        <v>7.798</v>
      </c>
      <c r="C3437" t="n">
        <v>0.9425</v>
      </c>
    </row>
    <row r="3438">
      <c r="A3438" s="926" t="n">
        <v>36757</v>
      </c>
      <c r="B3438" t="n">
        <v>7.798</v>
      </c>
      <c r="C3438" t="n">
        <v>0.9425</v>
      </c>
    </row>
    <row r="3439">
      <c r="A3439" s="926" t="n">
        <v>36759</v>
      </c>
      <c r="B3439" t="n">
        <v>7.798</v>
      </c>
      <c r="C3439" t="n">
        <v>0.9425</v>
      </c>
    </row>
    <row r="3440">
      <c r="A3440" s="926" t="n">
        <v>36760</v>
      </c>
      <c r="B3440" t="n">
        <v>7.798</v>
      </c>
      <c r="C3440" t="n">
        <v>0.9425</v>
      </c>
    </row>
    <row r="3441">
      <c r="A3441" s="926" t="n">
        <v>36761</v>
      </c>
      <c r="B3441" t="n">
        <v>7.799</v>
      </c>
      <c r="C3441" t="n">
        <v>0.9425</v>
      </c>
    </row>
    <row r="3442">
      <c r="A3442" s="926" t="n">
        <v>36762</v>
      </c>
      <c r="B3442" t="n">
        <v>7.799</v>
      </c>
      <c r="C3442" t="n">
        <v>0.9425</v>
      </c>
    </row>
    <row r="3443">
      <c r="A3443" s="926" t="n">
        <v>36763</v>
      </c>
      <c r="B3443" t="n">
        <v>7.799</v>
      </c>
      <c r="C3443" t="n">
        <v>0.9425</v>
      </c>
    </row>
    <row r="3444">
      <c r="A3444" s="926" t="n">
        <v>36764</v>
      </c>
      <c r="B3444" t="n">
        <v>7.798</v>
      </c>
      <c r="C3444" t="n">
        <v>0.9425</v>
      </c>
    </row>
    <row r="3445">
      <c r="A3445" s="926" t="n">
        <v>36766</v>
      </c>
      <c r="B3445" t="n">
        <v>7.799</v>
      </c>
      <c r="C3445" t="n">
        <v>0.9425</v>
      </c>
    </row>
    <row r="3446">
      <c r="A3446" s="926" t="n">
        <v>36767</v>
      </c>
      <c r="B3446" t="n">
        <v>7.799</v>
      </c>
      <c r="C3446" t="n">
        <v>0.9425</v>
      </c>
    </row>
    <row r="3447">
      <c r="A3447" s="926" t="n">
        <v>36768</v>
      </c>
      <c r="B3447" t="n">
        <v>7.799</v>
      </c>
      <c r="C3447" t="n">
        <v>0.9425</v>
      </c>
    </row>
    <row r="3448">
      <c r="A3448" s="926" t="n">
        <v>36769</v>
      </c>
      <c r="B3448" t="n">
        <v>7.798</v>
      </c>
      <c r="C3448" t="n">
        <v>0.9425</v>
      </c>
    </row>
    <row r="3449">
      <c r="A3449" s="926" t="n">
        <v>36770</v>
      </c>
      <c r="B3449" t="n">
        <v>7.798</v>
      </c>
      <c r="C3449" t="n">
        <v>0.9425</v>
      </c>
    </row>
    <row r="3450">
      <c r="A3450" s="926" t="n">
        <v>36771</v>
      </c>
      <c r="B3450" t="n">
        <v>7.798</v>
      </c>
      <c r="C3450" t="n">
        <v>0.9425</v>
      </c>
    </row>
    <row r="3451">
      <c r="A3451" s="926" t="n">
        <v>36773</v>
      </c>
      <c r="B3451" t="n">
        <v>7.798</v>
      </c>
      <c r="C3451" t="n">
        <v>0.9425</v>
      </c>
    </row>
    <row r="3452">
      <c r="A3452" s="926" t="n">
        <v>36774</v>
      </c>
      <c r="B3452" t="n">
        <v>7.798</v>
      </c>
      <c r="C3452" t="n">
        <v>0.9425</v>
      </c>
    </row>
    <row r="3453">
      <c r="A3453" s="926" t="n">
        <v>36775</v>
      </c>
      <c r="B3453" t="n">
        <v>7.798</v>
      </c>
      <c r="C3453" t="n">
        <v>0.9425</v>
      </c>
    </row>
    <row r="3454">
      <c r="A3454" s="926" t="n">
        <v>36776</v>
      </c>
      <c r="B3454" t="n">
        <v>7.798</v>
      </c>
      <c r="C3454" t="n">
        <v>0.9425</v>
      </c>
    </row>
    <row r="3455">
      <c r="A3455" s="926" t="n">
        <v>36777</v>
      </c>
      <c r="B3455" t="n">
        <v>7.798</v>
      </c>
      <c r="C3455" t="n">
        <v>0.9425</v>
      </c>
    </row>
    <row r="3456">
      <c r="A3456" s="926" t="n">
        <v>36778</v>
      </c>
      <c r="B3456" t="n">
        <v>7.798</v>
      </c>
      <c r="C3456" t="n">
        <v>0.9425</v>
      </c>
    </row>
    <row r="3457">
      <c r="A3457" s="926" t="n">
        <v>36780</v>
      </c>
      <c r="B3457" t="n">
        <v>7.798</v>
      </c>
      <c r="C3457" t="n">
        <v>0.9425</v>
      </c>
    </row>
    <row r="3458">
      <c r="A3458" s="926" t="n">
        <v>36781</v>
      </c>
      <c r="B3458" t="n">
        <v>7.798</v>
      </c>
      <c r="C3458" t="n">
        <v>0.9425</v>
      </c>
    </row>
    <row r="3459">
      <c r="A3459" s="926" t="n">
        <v>36783</v>
      </c>
      <c r="B3459" t="n">
        <v>7.798</v>
      </c>
      <c r="C3459" t="n">
        <v>0.9425</v>
      </c>
    </row>
    <row r="3460">
      <c r="A3460" s="926" t="n">
        <v>36784</v>
      </c>
      <c r="B3460" t="n">
        <v>7.797</v>
      </c>
      <c r="C3460" t="n">
        <v>0.9425</v>
      </c>
    </row>
    <row r="3461">
      <c r="A3461" s="926" t="n">
        <v>36785</v>
      </c>
      <c r="B3461" t="n">
        <v>7.797</v>
      </c>
      <c r="C3461" t="n">
        <v>0.9425</v>
      </c>
    </row>
    <row r="3462">
      <c r="A3462" s="926" t="n">
        <v>36787</v>
      </c>
      <c r="B3462" t="n">
        <v>7.796</v>
      </c>
      <c r="C3462" t="n">
        <v>0.9425</v>
      </c>
    </row>
    <row r="3463">
      <c r="A3463" s="926" t="n">
        <v>36788</v>
      </c>
      <c r="B3463" t="n">
        <v>7.796</v>
      </c>
      <c r="C3463" t="n">
        <v>0.9425</v>
      </c>
    </row>
    <row r="3464">
      <c r="A3464" s="926" t="n">
        <v>36789</v>
      </c>
      <c r="B3464" t="n">
        <v>7.797</v>
      </c>
      <c r="C3464" t="n">
        <v>0.9425</v>
      </c>
    </row>
    <row r="3465">
      <c r="A3465" s="926" t="n">
        <v>36790</v>
      </c>
      <c r="B3465" t="n">
        <v>7.797</v>
      </c>
      <c r="C3465" t="n">
        <v>0.9429999999999999</v>
      </c>
    </row>
    <row r="3466">
      <c r="A3466" s="926" t="n">
        <v>36791</v>
      </c>
      <c r="B3466" t="n">
        <v>7.796</v>
      </c>
      <c r="C3466" t="n">
        <v>0.9429999999999999</v>
      </c>
    </row>
    <row r="3467">
      <c r="A3467" s="926" t="n">
        <v>36792</v>
      </c>
      <c r="B3467" t="n">
        <v>7.796</v>
      </c>
      <c r="C3467" t="n">
        <v>0.9429999999999999</v>
      </c>
    </row>
    <row r="3468">
      <c r="A3468" s="926" t="n">
        <v>36794</v>
      </c>
      <c r="B3468" t="n">
        <v>7.796</v>
      </c>
      <c r="C3468" t="n">
        <v>0.9429999999999999</v>
      </c>
    </row>
    <row r="3469">
      <c r="A3469" s="926" t="n">
        <v>36795</v>
      </c>
      <c r="B3469" t="n">
        <v>7.797</v>
      </c>
      <c r="C3469" t="n">
        <v>0.9429999999999999</v>
      </c>
    </row>
    <row r="3470">
      <c r="A3470" s="926" t="n">
        <v>36796</v>
      </c>
      <c r="B3470" t="n">
        <v>7.797</v>
      </c>
      <c r="C3470" t="n">
        <v>0.9429999999999999</v>
      </c>
    </row>
    <row r="3471">
      <c r="A3471" s="926" t="n">
        <v>36797</v>
      </c>
      <c r="B3471" t="n">
        <v>7.797</v>
      </c>
      <c r="C3471" t="n">
        <v>0.9429999999999999</v>
      </c>
    </row>
    <row r="3472">
      <c r="A3472" s="926" t="n">
        <v>36798</v>
      </c>
      <c r="B3472" t="n">
        <v>7.796</v>
      </c>
      <c r="C3472" t="n">
        <v>0.9429999999999999</v>
      </c>
    </row>
    <row r="3473">
      <c r="A3473" s="926" t="n">
        <v>36799</v>
      </c>
      <c r="B3473" t="n">
        <v>7.796</v>
      </c>
      <c r="C3473" t="n">
        <v>0.9429999999999999</v>
      </c>
    </row>
    <row r="3474">
      <c r="A3474" s="926" t="n">
        <v>36802</v>
      </c>
      <c r="B3474" t="n">
        <v>7.795</v>
      </c>
      <c r="C3474" t="n">
        <v>0.9429999999999999</v>
      </c>
    </row>
    <row r="3475">
      <c r="A3475" s="926" t="n">
        <v>36803</v>
      </c>
      <c r="B3475" t="n">
        <v>7.794</v>
      </c>
      <c r="C3475" t="n">
        <v>0.9429999999999999</v>
      </c>
    </row>
    <row r="3476">
      <c r="A3476" s="926" t="n">
        <v>36804</v>
      </c>
      <c r="B3476" t="n">
        <v>7.795</v>
      </c>
      <c r="C3476" t="n">
        <v>0.9429999999999999</v>
      </c>
    </row>
    <row r="3477">
      <c r="A3477" s="926" t="n">
        <v>36806</v>
      </c>
      <c r="B3477" t="n">
        <v>7.793</v>
      </c>
      <c r="C3477" t="n">
        <v>0.9429999999999999</v>
      </c>
    </row>
    <row r="3478">
      <c r="A3478" s="926" t="n">
        <v>36808</v>
      </c>
      <c r="B3478" t="n">
        <v>7.795</v>
      </c>
      <c r="C3478" t="n">
        <v>0.9429999999999999</v>
      </c>
    </row>
    <row r="3479">
      <c r="A3479" s="926" t="n">
        <v>36809</v>
      </c>
      <c r="B3479" t="n">
        <v>7.797</v>
      </c>
      <c r="C3479" t="n">
        <v>0.9429999999999999</v>
      </c>
    </row>
    <row r="3480">
      <c r="A3480" s="926" t="n">
        <v>36810</v>
      </c>
      <c r="B3480" t="n">
        <v>7.797</v>
      </c>
      <c r="C3480" t="n">
        <v>0.9429999999999999</v>
      </c>
    </row>
    <row r="3481">
      <c r="A3481" s="926" t="n">
        <v>36811</v>
      </c>
      <c r="B3481" t="n">
        <v>7.797</v>
      </c>
      <c r="C3481" t="n">
        <v>0.9429999999999999</v>
      </c>
    </row>
    <row r="3482">
      <c r="A3482" s="926" t="n">
        <v>36812</v>
      </c>
      <c r="B3482" t="n">
        <v>7.796</v>
      </c>
      <c r="C3482" t="n">
        <v>0.9429999999999999</v>
      </c>
    </row>
    <row r="3483">
      <c r="A3483" s="926" t="n">
        <v>36813</v>
      </c>
      <c r="B3483" t="n">
        <v>7.796</v>
      </c>
      <c r="C3483" t="n">
        <v>0.9429999999999999</v>
      </c>
    </row>
    <row r="3484">
      <c r="A3484" s="926" t="n">
        <v>36815</v>
      </c>
      <c r="B3484" t="n">
        <v>7.796</v>
      </c>
      <c r="C3484" t="n">
        <v>0.9429999999999999</v>
      </c>
    </row>
    <row r="3485">
      <c r="A3485" s="926" t="n">
        <v>36816</v>
      </c>
      <c r="B3485" t="n">
        <v>7.797</v>
      </c>
      <c r="C3485" t="n">
        <v>0.9429999999999999</v>
      </c>
    </row>
    <row r="3486">
      <c r="A3486" s="926" t="n">
        <v>36817</v>
      </c>
      <c r="B3486" t="n">
        <v>7.797</v>
      </c>
      <c r="C3486" t="n">
        <v>0.9429999999999999</v>
      </c>
    </row>
    <row r="3487">
      <c r="A3487" s="926" t="n">
        <v>36818</v>
      </c>
      <c r="B3487" t="n">
        <v>7.797</v>
      </c>
      <c r="C3487" t="n">
        <v>0.9429999999999999</v>
      </c>
    </row>
    <row r="3488">
      <c r="A3488" s="926" t="n">
        <v>36819</v>
      </c>
      <c r="B3488" t="n">
        <v>7.797</v>
      </c>
      <c r="C3488" t="n">
        <v>0.9429999999999999</v>
      </c>
    </row>
    <row r="3489">
      <c r="A3489" s="926" t="n">
        <v>36820</v>
      </c>
      <c r="B3489" t="n">
        <v>7.796</v>
      </c>
      <c r="C3489" t="n">
        <v>0.9429999999999999</v>
      </c>
    </row>
    <row r="3490">
      <c r="A3490" s="926" t="n">
        <v>36822</v>
      </c>
      <c r="B3490" t="n">
        <v>7.797</v>
      </c>
      <c r="C3490" t="n">
        <v>0.9429999999999999</v>
      </c>
    </row>
    <row r="3491">
      <c r="A3491" s="926" t="n">
        <v>36823</v>
      </c>
      <c r="B3491" t="n">
        <v>7.797</v>
      </c>
      <c r="C3491" t="n">
        <v>0.9429999999999999</v>
      </c>
    </row>
    <row r="3492">
      <c r="A3492" s="926" t="n">
        <v>36824</v>
      </c>
      <c r="B3492" t="n">
        <v>7.798</v>
      </c>
      <c r="C3492" t="n">
        <v>0.9429999999999999</v>
      </c>
    </row>
    <row r="3493">
      <c r="A3493" s="926" t="n">
        <v>36825</v>
      </c>
      <c r="B3493" t="n">
        <v>7.798</v>
      </c>
      <c r="C3493" t="n">
        <v>0.9429999999999999</v>
      </c>
    </row>
    <row r="3494">
      <c r="A3494" s="926" t="n">
        <v>36826</v>
      </c>
      <c r="B3494" t="n">
        <v>7.798</v>
      </c>
      <c r="C3494" t="n">
        <v>0.9429999999999999</v>
      </c>
    </row>
    <row r="3495">
      <c r="A3495" s="926" t="n">
        <v>36827</v>
      </c>
      <c r="B3495" t="n">
        <v>7.796</v>
      </c>
      <c r="C3495" t="n">
        <v>0.9429999999999999</v>
      </c>
    </row>
    <row r="3496">
      <c r="A3496" s="926" t="n">
        <v>36829</v>
      </c>
      <c r="B3496" t="n">
        <v>7.798</v>
      </c>
      <c r="C3496" t="n">
        <v>0.9429999999999999</v>
      </c>
    </row>
    <row r="3497">
      <c r="A3497" s="926" t="n">
        <v>36830</v>
      </c>
      <c r="B3497" t="n">
        <v>7.798</v>
      </c>
      <c r="C3497" t="n">
        <v>0.9429999999999999</v>
      </c>
    </row>
    <row r="3498">
      <c r="A3498" s="926" t="n">
        <v>36831</v>
      </c>
      <c r="B3498" t="n">
        <v>7.797</v>
      </c>
      <c r="C3498" t="n">
        <v>0.9429999999999999</v>
      </c>
    </row>
    <row r="3499">
      <c r="A3499" s="926" t="n">
        <v>36832</v>
      </c>
      <c r="B3499" t="n">
        <v>7.796</v>
      </c>
      <c r="C3499" t="n">
        <v>0.9429999999999999</v>
      </c>
    </row>
    <row r="3500">
      <c r="A3500" s="926" t="n">
        <v>36833</v>
      </c>
      <c r="B3500" t="n">
        <v>7.796</v>
      </c>
      <c r="C3500" t="n">
        <v>0.9429999999999999</v>
      </c>
    </row>
    <row r="3501">
      <c r="A3501" s="926" t="n">
        <v>36834</v>
      </c>
      <c r="B3501" t="n">
        <v>7.796</v>
      </c>
      <c r="C3501" t="n">
        <v>0.9429999999999999</v>
      </c>
    </row>
    <row r="3502">
      <c r="A3502" s="926" t="n">
        <v>36836</v>
      </c>
      <c r="B3502" t="n">
        <v>7.796</v>
      </c>
      <c r="C3502" t="n">
        <v>0.9429999999999999</v>
      </c>
    </row>
    <row r="3503">
      <c r="A3503" s="926" t="n">
        <v>36837</v>
      </c>
      <c r="B3503" t="n">
        <v>7.797</v>
      </c>
      <c r="C3503" t="n">
        <v>0.9429999999999999</v>
      </c>
    </row>
    <row r="3504">
      <c r="A3504" s="926" t="n">
        <v>36838</v>
      </c>
      <c r="B3504" t="n">
        <v>7.797</v>
      </c>
      <c r="C3504" t="n">
        <v>0.9429999999999999</v>
      </c>
    </row>
    <row r="3505">
      <c r="A3505" s="926" t="n">
        <v>36839</v>
      </c>
      <c r="B3505" t="n">
        <v>7.797</v>
      </c>
      <c r="C3505" t="n">
        <v>0.9429999999999999</v>
      </c>
    </row>
    <row r="3506">
      <c r="A3506" s="926" t="n">
        <v>36840</v>
      </c>
      <c r="B3506" t="n">
        <v>7.797</v>
      </c>
      <c r="C3506" t="n">
        <v>0.9429999999999999</v>
      </c>
    </row>
    <row r="3507">
      <c r="A3507" s="926" t="n">
        <v>36841</v>
      </c>
      <c r="B3507" t="n">
        <v>7.797</v>
      </c>
      <c r="C3507" t="n">
        <v>0.9429999999999999</v>
      </c>
    </row>
    <row r="3508">
      <c r="A3508" s="926" t="n">
        <v>36843</v>
      </c>
      <c r="B3508" t="n">
        <v>7.798</v>
      </c>
      <c r="C3508" t="n">
        <v>0.9429999999999999</v>
      </c>
    </row>
    <row r="3509">
      <c r="A3509" s="926" t="n">
        <v>36844</v>
      </c>
      <c r="B3509" t="n">
        <v>7.797</v>
      </c>
      <c r="C3509" t="n">
        <v>0.9429999999999999</v>
      </c>
    </row>
    <row r="3510">
      <c r="A3510" s="926" t="n">
        <v>36845</v>
      </c>
      <c r="B3510" t="n">
        <v>7.798</v>
      </c>
      <c r="C3510" t="n">
        <v>0.9429999999999999</v>
      </c>
    </row>
    <row r="3511">
      <c r="A3511" s="926" t="n">
        <v>36846</v>
      </c>
      <c r="B3511" t="n">
        <v>7.798</v>
      </c>
      <c r="C3511" t="n">
        <v>0.9429999999999999</v>
      </c>
    </row>
    <row r="3512">
      <c r="A3512" s="926" t="n">
        <v>36847</v>
      </c>
      <c r="B3512" t="n">
        <v>7.798</v>
      </c>
      <c r="C3512" t="n">
        <v>0.9429999999999999</v>
      </c>
    </row>
    <row r="3513">
      <c r="A3513" s="926" t="n">
        <v>36848</v>
      </c>
      <c r="B3513" t="n">
        <v>7.797</v>
      </c>
      <c r="C3513" t="n">
        <v>0.9429999999999999</v>
      </c>
    </row>
    <row r="3514">
      <c r="A3514" s="926" t="n">
        <v>36850</v>
      </c>
      <c r="B3514" t="n">
        <v>7.798</v>
      </c>
      <c r="C3514" t="n">
        <v>0.9429999999999999</v>
      </c>
    </row>
    <row r="3515">
      <c r="A3515" s="926" t="n">
        <v>36851</v>
      </c>
      <c r="B3515" t="n">
        <v>7.799</v>
      </c>
      <c r="C3515" t="n">
        <v>0.9429999999999999</v>
      </c>
    </row>
    <row r="3516">
      <c r="A3516" s="926" t="n">
        <v>36852</v>
      </c>
      <c r="B3516" t="n">
        <v>7.799</v>
      </c>
      <c r="C3516" t="n">
        <v>0.9429999999999999</v>
      </c>
    </row>
    <row r="3517">
      <c r="A3517" s="926" t="n">
        <v>36853</v>
      </c>
      <c r="B3517" t="n">
        <v>7.799</v>
      </c>
      <c r="C3517" t="n">
        <v>0.9429999999999999</v>
      </c>
    </row>
    <row r="3518">
      <c r="A3518" s="926" t="n">
        <v>36854</v>
      </c>
      <c r="B3518" t="n">
        <v>7.799</v>
      </c>
      <c r="C3518" t="n">
        <v>0.9429999999999999</v>
      </c>
    </row>
    <row r="3519">
      <c r="A3519" s="926" t="n">
        <v>36855</v>
      </c>
      <c r="B3519" t="n">
        <v>7.798</v>
      </c>
      <c r="C3519" t="n">
        <v>0.9429999999999999</v>
      </c>
    </row>
    <row r="3520">
      <c r="A3520" s="926" t="n">
        <v>36857</v>
      </c>
      <c r="B3520" t="n">
        <v>7.799</v>
      </c>
      <c r="C3520" t="n">
        <v>0.9429999999999999</v>
      </c>
    </row>
    <row r="3521">
      <c r="A3521" s="926" t="n">
        <v>36858</v>
      </c>
      <c r="B3521" t="n">
        <v>7.799</v>
      </c>
      <c r="C3521" t="n">
        <v>0.9429999999999999</v>
      </c>
    </row>
    <row r="3522">
      <c r="A3522" s="926" t="n">
        <v>36859</v>
      </c>
      <c r="B3522" t="n">
        <v>7.799</v>
      </c>
      <c r="C3522" t="n">
        <v>0.9429999999999999</v>
      </c>
    </row>
    <row r="3523">
      <c r="A3523" s="926" t="n">
        <v>36860</v>
      </c>
      <c r="B3523" t="n">
        <v>7.799</v>
      </c>
      <c r="C3523" t="n">
        <v>0.9425</v>
      </c>
    </row>
    <row r="3524">
      <c r="A3524" s="926" t="n">
        <v>36861</v>
      </c>
      <c r="B3524" t="n">
        <v>7.799</v>
      </c>
      <c r="C3524" t="n">
        <v>0.9425</v>
      </c>
    </row>
    <row r="3525">
      <c r="A3525" s="926" t="n">
        <v>36862</v>
      </c>
      <c r="B3525" t="n">
        <v>7.798</v>
      </c>
      <c r="C3525" t="n">
        <v>0.9425</v>
      </c>
    </row>
    <row r="3526">
      <c r="A3526" s="926" t="n">
        <v>36864</v>
      </c>
      <c r="B3526" t="n">
        <v>7.799</v>
      </c>
      <c r="C3526" t="n">
        <v>0.9425</v>
      </c>
    </row>
    <row r="3527">
      <c r="A3527" s="926" t="n">
        <v>36865</v>
      </c>
      <c r="B3527" t="n">
        <v>7.799</v>
      </c>
      <c r="C3527" t="n">
        <v>0.9425</v>
      </c>
    </row>
    <row r="3528">
      <c r="A3528" s="926" t="n">
        <v>36866</v>
      </c>
      <c r="B3528" t="n">
        <v>7.797</v>
      </c>
      <c r="C3528" t="n">
        <v>0.9425</v>
      </c>
    </row>
    <row r="3529">
      <c r="A3529" s="926" t="n">
        <v>36867</v>
      </c>
      <c r="B3529" t="n">
        <v>7.797</v>
      </c>
      <c r="C3529" t="n">
        <v>0.9425</v>
      </c>
    </row>
    <row r="3530">
      <c r="A3530" s="926" t="n">
        <v>36868</v>
      </c>
      <c r="B3530" t="n">
        <v>7.797</v>
      </c>
      <c r="C3530" t="n">
        <v>0.9425</v>
      </c>
    </row>
    <row r="3531">
      <c r="A3531" s="926" t="n">
        <v>36869</v>
      </c>
      <c r="B3531" t="n">
        <v>7.795</v>
      </c>
      <c r="C3531" t="n">
        <v>0.9425</v>
      </c>
    </row>
    <row r="3532">
      <c r="A3532" s="926" t="n">
        <v>36871</v>
      </c>
      <c r="B3532" t="n">
        <v>7.796</v>
      </c>
      <c r="C3532" t="n">
        <v>0.9425</v>
      </c>
    </row>
    <row r="3533">
      <c r="A3533" s="926" t="n">
        <v>36872</v>
      </c>
      <c r="B3533" t="n">
        <v>7.796</v>
      </c>
      <c r="C3533" t="n">
        <v>0.9425</v>
      </c>
    </row>
    <row r="3534">
      <c r="A3534" s="926" t="n">
        <v>36873</v>
      </c>
      <c r="B3534" t="n">
        <v>7.797</v>
      </c>
      <c r="C3534" t="n">
        <v>0.9425</v>
      </c>
    </row>
    <row r="3535">
      <c r="A3535" s="926" t="n">
        <v>36874</v>
      </c>
      <c r="B3535" t="n">
        <v>7.798</v>
      </c>
      <c r="C3535" t="n">
        <v>0.9425</v>
      </c>
    </row>
    <row r="3536">
      <c r="A3536" s="926" t="n">
        <v>36875</v>
      </c>
      <c r="B3536" t="n">
        <v>7.798</v>
      </c>
      <c r="C3536" t="n">
        <v>0.9429999999999999</v>
      </c>
    </row>
    <row r="3537">
      <c r="A3537" s="926" t="n">
        <v>36876</v>
      </c>
      <c r="B3537" t="n">
        <v>7.797</v>
      </c>
      <c r="C3537" t="n">
        <v>0.9429999999999999</v>
      </c>
    </row>
    <row r="3538">
      <c r="A3538" s="926" t="n">
        <v>36878</v>
      </c>
      <c r="B3538" t="n">
        <v>7.798</v>
      </c>
      <c r="C3538" t="n">
        <v>0.9429999999999999</v>
      </c>
    </row>
    <row r="3539">
      <c r="A3539" s="926" t="n">
        <v>36879</v>
      </c>
      <c r="B3539" t="n">
        <v>7.799</v>
      </c>
      <c r="C3539" t="n">
        <v>0.9429999999999999</v>
      </c>
    </row>
    <row r="3540">
      <c r="A3540" s="926" t="n">
        <v>36880</v>
      </c>
      <c r="B3540" t="n">
        <v>7.799</v>
      </c>
      <c r="C3540" t="n">
        <v>0.9429999999999999</v>
      </c>
    </row>
    <row r="3541">
      <c r="A3541" s="926" t="n">
        <v>36881</v>
      </c>
      <c r="B3541" t="n">
        <v>7.798</v>
      </c>
      <c r="C3541" t="n">
        <v>0.9429999999999999</v>
      </c>
    </row>
    <row r="3542">
      <c r="A3542" s="926" t="n">
        <v>36882</v>
      </c>
      <c r="B3542" t="n">
        <v>7.798</v>
      </c>
      <c r="C3542" t="n">
        <v>0.9429999999999999</v>
      </c>
    </row>
    <row r="3543">
      <c r="A3543" s="926" t="n">
        <v>36883</v>
      </c>
      <c r="B3543" t="n">
        <v>7.797</v>
      </c>
      <c r="C3543" t="n">
        <v>0.9429999999999999</v>
      </c>
    </row>
    <row r="3544">
      <c r="A3544" s="926" t="n">
        <v>36887</v>
      </c>
      <c r="B3544" t="n">
        <v>7.798</v>
      </c>
      <c r="C3544" t="n">
        <v>0.9429999999999999</v>
      </c>
    </row>
    <row r="3545">
      <c r="A3545" s="926" t="n">
        <v>36888</v>
      </c>
      <c r="B3545" t="n">
        <v>7.798</v>
      </c>
      <c r="C3545" t="n">
        <v>0.9429999999999999</v>
      </c>
    </row>
    <row r="3546">
      <c r="A3546" s="926" t="n">
        <v>36889</v>
      </c>
      <c r="B3546" t="n">
        <v>7.799</v>
      </c>
      <c r="C3546" t="n">
        <v>0.9429999999999999</v>
      </c>
    </row>
    <row r="3547">
      <c r="A3547" s="926" t="n">
        <v>36890</v>
      </c>
      <c r="B3547" t="n">
        <v>7.796</v>
      </c>
      <c r="C3547" t="n">
        <v>0.9429999999999999</v>
      </c>
    </row>
    <row r="3548">
      <c r="A3548" s="926" t="n">
        <v>36893</v>
      </c>
      <c r="B3548" t="n">
        <v>7.799</v>
      </c>
      <c r="C3548" t="n">
        <v>0.9429999999999999</v>
      </c>
    </row>
    <row r="3549">
      <c r="A3549" s="926" t="n">
        <v>36894</v>
      </c>
      <c r="B3549" t="n">
        <v>7.799</v>
      </c>
      <c r="C3549" t="n">
        <v>0.9429999999999999</v>
      </c>
    </row>
    <row r="3550">
      <c r="A3550" s="926" t="n">
        <v>36895</v>
      </c>
      <c r="B3550" t="n">
        <v>7.799</v>
      </c>
      <c r="C3550" t="n">
        <v>0.9429999999999999</v>
      </c>
    </row>
    <row r="3551">
      <c r="A3551" s="926" t="n">
        <v>36896</v>
      </c>
      <c r="B3551" t="n">
        <v>7.799</v>
      </c>
      <c r="C3551" t="n">
        <v>0.9429999999999999</v>
      </c>
    </row>
    <row r="3552">
      <c r="A3552" s="926" t="n">
        <v>36897</v>
      </c>
      <c r="B3552" t="n">
        <v>7.797</v>
      </c>
      <c r="C3552" t="n">
        <v>0.9429999999999999</v>
      </c>
    </row>
    <row r="3553">
      <c r="A3553" s="926" t="n">
        <v>36899</v>
      </c>
      <c r="B3553" t="n">
        <v>7.799</v>
      </c>
      <c r="C3553" t="n">
        <v>0.9429999999999999</v>
      </c>
    </row>
    <row r="3554">
      <c r="A3554" s="926" t="n">
        <v>36900</v>
      </c>
      <c r="B3554" t="n">
        <v>7.799</v>
      </c>
      <c r="C3554" t="n">
        <v>0.9429999999999999</v>
      </c>
    </row>
    <row r="3555">
      <c r="A3555" s="926" t="n">
        <v>36901</v>
      </c>
      <c r="B3555" t="n">
        <v>7.799</v>
      </c>
      <c r="C3555" t="n">
        <v>0.9429999999999999</v>
      </c>
    </row>
    <row r="3556">
      <c r="A3556" s="926" t="n">
        <v>36902</v>
      </c>
      <c r="B3556" t="n">
        <v>7.799</v>
      </c>
      <c r="C3556" t="n">
        <v>0.9429999999999999</v>
      </c>
    </row>
    <row r="3557">
      <c r="A3557" s="926" t="n">
        <v>36903</v>
      </c>
      <c r="B3557" t="n">
        <v>7.799</v>
      </c>
      <c r="C3557" t="n">
        <v>0.9429999999999999</v>
      </c>
    </row>
    <row r="3558">
      <c r="A3558" s="926" t="n">
        <v>36904</v>
      </c>
      <c r="B3558" t="n">
        <v>7.797</v>
      </c>
      <c r="C3558" t="n">
        <v>0.9429999999999999</v>
      </c>
    </row>
    <row r="3559">
      <c r="A3559" s="926" t="n">
        <v>36906</v>
      </c>
      <c r="B3559" t="n">
        <v>7.799</v>
      </c>
      <c r="C3559" t="n">
        <v>0.9429999999999999</v>
      </c>
    </row>
    <row r="3560">
      <c r="A3560" s="926" t="n">
        <v>36907</v>
      </c>
      <c r="B3560" t="n">
        <v>7.799</v>
      </c>
      <c r="C3560" t="n">
        <v>0.9429999999999999</v>
      </c>
    </row>
    <row r="3561">
      <c r="A3561" s="926" t="n">
        <v>36908</v>
      </c>
      <c r="B3561" t="n">
        <v>7.799</v>
      </c>
      <c r="C3561" t="n">
        <v>0.9429999999999999</v>
      </c>
    </row>
    <row r="3562">
      <c r="A3562" s="926" t="n">
        <v>36909</v>
      </c>
      <c r="B3562" t="n">
        <v>7.799</v>
      </c>
      <c r="C3562" t="n">
        <v>0.9429999999999999</v>
      </c>
    </row>
    <row r="3563">
      <c r="A3563" s="926" t="n">
        <v>36910</v>
      </c>
      <c r="B3563" t="n">
        <v>7.798</v>
      </c>
      <c r="C3563" t="n">
        <v>0.9429999999999999</v>
      </c>
    </row>
    <row r="3564">
      <c r="A3564" s="926" t="n">
        <v>36911</v>
      </c>
      <c r="B3564" t="n">
        <v>7.797</v>
      </c>
      <c r="C3564" t="n">
        <v>0.9429999999999999</v>
      </c>
    </row>
    <row r="3565">
      <c r="A3565" s="926" t="n">
        <v>36913</v>
      </c>
      <c r="B3565" t="n">
        <v>7.799</v>
      </c>
      <c r="C3565" t="n">
        <v>0.9429999999999999</v>
      </c>
    </row>
    <row r="3566">
      <c r="A3566" s="926" t="n">
        <v>36914</v>
      </c>
      <c r="B3566" t="n">
        <v>7.798</v>
      </c>
      <c r="C3566" t="n">
        <v>0.9429999999999999</v>
      </c>
    </row>
    <row r="3567">
      <c r="A3567" s="926" t="n">
        <v>36918</v>
      </c>
      <c r="B3567" t="n">
        <v>7.797</v>
      </c>
      <c r="C3567" t="n">
        <v>0.9429999999999999</v>
      </c>
    </row>
    <row r="3568">
      <c r="A3568" s="926" t="n">
        <v>36920</v>
      </c>
      <c r="B3568" t="n">
        <v>7.799</v>
      </c>
      <c r="C3568" t="n">
        <v>0.9429999999999999</v>
      </c>
    </row>
    <row r="3569">
      <c r="A3569" s="926" t="n">
        <v>36921</v>
      </c>
      <c r="B3569" t="n">
        <v>7.799</v>
      </c>
      <c r="C3569" t="n">
        <v>0.9429999999999999</v>
      </c>
    </row>
    <row r="3570">
      <c r="A3570" s="926" t="n">
        <v>36922</v>
      </c>
      <c r="B3570" t="n">
        <v>7.798</v>
      </c>
      <c r="C3570" t="n">
        <v>0.9429999999999999</v>
      </c>
    </row>
    <row r="3571">
      <c r="A3571" s="926" t="n">
        <v>36923</v>
      </c>
      <c r="B3571" t="n">
        <v>7.798</v>
      </c>
      <c r="C3571" t="n">
        <v>0.9429999999999999</v>
      </c>
    </row>
    <row r="3572">
      <c r="A3572" s="926" t="n">
        <v>36924</v>
      </c>
      <c r="B3572" t="n">
        <v>7.798</v>
      </c>
      <c r="C3572" t="n">
        <v>0.9425</v>
      </c>
    </row>
    <row r="3573">
      <c r="A3573" s="926" t="n">
        <v>36925</v>
      </c>
      <c r="B3573" t="n">
        <v>7.797</v>
      </c>
      <c r="C3573" t="n">
        <v>0.9425</v>
      </c>
    </row>
    <row r="3574">
      <c r="A3574" s="926" t="n">
        <v>36927</v>
      </c>
      <c r="B3574" t="n">
        <v>7.798</v>
      </c>
      <c r="C3574" t="n">
        <v>0.9425</v>
      </c>
    </row>
    <row r="3575">
      <c r="A3575" s="926" t="n">
        <v>36928</v>
      </c>
      <c r="B3575" t="n">
        <v>7.799</v>
      </c>
      <c r="C3575" t="n">
        <v>0.9425</v>
      </c>
    </row>
    <row r="3576">
      <c r="A3576" s="926" t="n">
        <v>36929</v>
      </c>
      <c r="B3576" t="n">
        <v>7.799</v>
      </c>
      <c r="C3576" t="n">
        <v>0.9425</v>
      </c>
    </row>
    <row r="3577">
      <c r="A3577" s="926" t="n">
        <v>36930</v>
      </c>
      <c r="B3577" t="n">
        <v>7.799</v>
      </c>
      <c r="C3577" t="n">
        <v>0.9425</v>
      </c>
    </row>
    <row r="3578">
      <c r="A3578" s="926" t="n">
        <v>36931</v>
      </c>
      <c r="B3578" t="n">
        <v>7.799</v>
      </c>
      <c r="C3578" t="n">
        <v>0.9425</v>
      </c>
    </row>
    <row r="3579">
      <c r="A3579" s="926" t="n">
        <v>36932</v>
      </c>
      <c r="B3579" t="n">
        <v>7.798</v>
      </c>
      <c r="C3579" t="n">
        <v>0.9425</v>
      </c>
    </row>
    <row r="3580">
      <c r="A3580" s="926" t="n">
        <v>36934</v>
      </c>
      <c r="B3580" t="n">
        <v>7.799</v>
      </c>
      <c r="C3580" t="n">
        <v>0.9425</v>
      </c>
    </row>
    <row r="3581">
      <c r="A3581" s="926" t="n">
        <v>36935</v>
      </c>
      <c r="B3581" t="n">
        <v>7.799</v>
      </c>
      <c r="C3581" t="n">
        <v>0.9429999999999999</v>
      </c>
    </row>
    <row r="3582">
      <c r="A3582" s="926" t="n">
        <v>36936</v>
      </c>
      <c r="B3582" t="n">
        <v>7.799</v>
      </c>
      <c r="C3582" t="n">
        <v>0.9429999999999999</v>
      </c>
    </row>
    <row r="3583">
      <c r="A3583" s="926" t="n">
        <v>36937</v>
      </c>
      <c r="B3583" t="n">
        <v>7.799</v>
      </c>
      <c r="C3583" t="n">
        <v>0.9429999999999999</v>
      </c>
    </row>
    <row r="3584">
      <c r="A3584" s="926" t="n">
        <v>36938</v>
      </c>
      <c r="B3584" t="n">
        <v>7.799</v>
      </c>
      <c r="C3584" t="n">
        <v>0.9429999999999999</v>
      </c>
    </row>
    <row r="3585">
      <c r="A3585" s="926" t="n">
        <v>36939</v>
      </c>
      <c r="B3585" t="n">
        <v>7.798</v>
      </c>
      <c r="C3585" t="n">
        <v>0.9429999999999999</v>
      </c>
    </row>
    <row r="3586">
      <c r="A3586" s="926" t="n">
        <v>36941</v>
      </c>
      <c r="B3586" t="n">
        <v>7.799</v>
      </c>
      <c r="C3586" t="n">
        <v>0.9429999999999999</v>
      </c>
    </row>
    <row r="3587">
      <c r="A3587" s="926" t="n">
        <v>36942</v>
      </c>
      <c r="B3587" t="n">
        <v>7.799</v>
      </c>
      <c r="C3587" t="n">
        <v>0.9429999999999999</v>
      </c>
    </row>
    <row r="3588">
      <c r="A3588" s="926" t="n">
        <v>36943</v>
      </c>
      <c r="B3588" t="n">
        <v>7.799</v>
      </c>
      <c r="C3588" t="n">
        <v>0.9429999999999999</v>
      </c>
    </row>
    <row r="3589">
      <c r="A3589" s="926" t="n">
        <v>36944</v>
      </c>
      <c r="B3589" t="n">
        <v>7.799</v>
      </c>
      <c r="C3589" t="n">
        <v>0.9429999999999999</v>
      </c>
    </row>
    <row r="3590">
      <c r="A3590" s="926" t="n">
        <v>36945</v>
      </c>
      <c r="B3590" t="n">
        <v>7.799</v>
      </c>
      <c r="C3590" t="n">
        <v>0.9429999999999999</v>
      </c>
    </row>
    <row r="3591">
      <c r="A3591" s="926" t="n">
        <v>36946</v>
      </c>
      <c r="B3591" t="n">
        <v>7.798</v>
      </c>
      <c r="C3591" t="n">
        <v>0.9429999999999999</v>
      </c>
    </row>
    <row r="3592">
      <c r="A3592" s="926" t="n">
        <v>36948</v>
      </c>
      <c r="B3592" t="n">
        <v>7.799</v>
      </c>
      <c r="C3592" t="n">
        <v>0.9429999999999999</v>
      </c>
    </row>
    <row r="3593">
      <c r="A3593" s="926" t="n">
        <v>36949</v>
      </c>
      <c r="B3593" t="n">
        <v>7.799</v>
      </c>
      <c r="C3593" t="n">
        <v>0.9429999999999999</v>
      </c>
    </row>
    <row r="3594">
      <c r="A3594" s="926" t="n">
        <v>36950</v>
      </c>
      <c r="B3594" t="n">
        <v>7.799</v>
      </c>
      <c r="C3594" t="n">
        <v>0.9429999999999999</v>
      </c>
    </row>
    <row r="3595">
      <c r="A3595" s="926" t="n">
        <v>36951</v>
      </c>
      <c r="B3595" t="n">
        <v>7.799</v>
      </c>
      <c r="C3595" t="n">
        <v>0.9429999999999999</v>
      </c>
    </row>
    <row r="3596">
      <c r="A3596" s="926" t="n">
        <v>36952</v>
      </c>
      <c r="B3596" t="n">
        <v>7.799</v>
      </c>
      <c r="C3596" t="n">
        <v>0.9429999999999999</v>
      </c>
    </row>
    <row r="3597">
      <c r="A3597" s="926" t="n">
        <v>36953</v>
      </c>
      <c r="B3597" t="n">
        <v>7.798</v>
      </c>
      <c r="C3597" t="n">
        <v>0.9429999999999999</v>
      </c>
    </row>
    <row r="3598">
      <c r="A3598" s="926" t="n">
        <v>36955</v>
      </c>
      <c r="B3598" t="n">
        <v>7.799</v>
      </c>
      <c r="C3598" t="n">
        <v>0.9429999999999999</v>
      </c>
    </row>
    <row r="3599">
      <c r="A3599" s="926" t="n">
        <v>36956</v>
      </c>
      <c r="B3599" t="n">
        <v>7.799</v>
      </c>
      <c r="C3599" t="n">
        <v>0.9429999999999999</v>
      </c>
    </row>
    <row r="3600">
      <c r="A3600" s="926" t="n">
        <v>36957</v>
      </c>
      <c r="B3600" t="n">
        <v>7.799</v>
      </c>
      <c r="C3600" t="n">
        <v>0.9429999999999999</v>
      </c>
    </row>
    <row r="3601">
      <c r="A3601" s="926" t="n">
        <v>36958</v>
      </c>
      <c r="B3601" t="n">
        <v>7.799</v>
      </c>
      <c r="C3601" t="n">
        <v>0.9429999999999999</v>
      </c>
    </row>
    <row r="3602">
      <c r="A3602" s="926" t="n">
        <v>36959</v>
      </c>
      <c r="B3602" t="n">
        <v>7.799</v>
      </c>
      <c r="C3602" t="n">
        <v>0.9429999999999999</v>
      </c>
    </row>
    <row r="3603">
      <c r="A3603" s="926" t="n">
        <v>36960</v>
      </c>
      <c r="B3603" t="n">
        <v>7.799</v>
      </c>
      <c r="C3603" t="n">
        <v>0.9429999999999999</v>
      </c>
    </row>
    <row r="3604">
      <c r="A3604" s="926" t="n">
        <v>36962</v>
      </c>
      <c r="B3604" t="n">
        <v>7.799</v>
      </c>
      <c r="C3604" t="n">
        <v>0.9429999999999999</v>
      </c>
    </row>
    <row r="3605">
      <c r="A3605" s="926" t="n">
        <v>36963</v>
      </c>
      <c r="B3605" t="n">
        <v>7.799</v>
      </c>
      <c r="C3605" t="n">
        <v>0.9429999999999999</v>
      </c>
    </row>
    <row r="3606">
      <c r="A3606" s="926" t="n">
        <v>36964</v>
      </c>
      <c r="B3606" t="n">
        <v>7.799</v>
      </c>
      <c r="C3606" t="n">
        <v>0.9429999999999999</v>
      </c>
    </row>
    <row r="3607">
      <c r="A3607" s="926" t="n">
        <v>36965</v>
      </c>
      <c r="B3607" t="n">
        <v>7.799</v>
      </c>
      <c r="C3607" t="n">
        <v>0.9429999999999999</v>
      </c>
    </row>
    <row r="3608">
      <c r="A3608" s="926" t="n">
        <v>36966</v>
      </c>
      <c r="B3608" t="n">
        <v>7.799</v>
      </c>
      <c r="C3608" t="n">
        <v>0.9429999999999999</v>
      </c>
    </row>
    <row r="3609">
      <c r="A3609" s="926" t="n">
        <v>36967</v>
      </c>
      <c r="B3609" t="n">
        <v>7.798</v>
      </c>
      <c r="C3609" t="n">
        <v>0.9429999999999999</v>
      </c>
    </row>
    <row r="3610">
      <c r="A3610" s="926" t="n">
        <v>36969</v>
      </c>
      <c r="B3610" t="n">
        <v>7.799</v>
      </c>
      <c r="C3610" t="n">
        <v>0.9429999999999999</v>
      </c>
    </row>
    <row r="3611">
      <c r="A3611" s="926" t="n">
        <v>36970</v>
      </c>
      <c r="B3611" t="n">
        <v>7.799</v>
      </c>
      <c r="C3611" t="n">
        <v>0.9429999999999999</v>
      </c>
    </row>
    <row r="3612">
      <c r="A3612" s="926" t="n">
        <v>36971</v>
      </c>
      <c r="B3612" t="n">
        <v>7.799</v>
      </c>
      <c r="C3612" t="n">
        <v>0.9429999999999999</v>
      </c>
    </row>
    <row r="3613">
      <c r="A3613" s="926" t="n">
        <v>36972</v>
      </c>
      <c r="B3613" t="n">
        <v>7.799</v>
      </c>
      <c r="C3613" t="n">
        <v>0.9429999999999999</v>
      </c>
    </row>
    <row r="3614">
      <c r="A3614" s="926" t="n">
        <v>36973</v>
      </c>
      <c r="B3614" t="n">
        <v>7.798</v>
      </c>
      <c r="C3614" t="n">
        <v>0.9429999999999999</v>
      </c>
    </row>
    <row r="3615">
      <c r="A3615" s="926" t="n">
        <v>36974</v>
      </c>
      <c r="B3615" t="n">
        <v>7.798</v>
      </c>
      <c r="C3615" t="n">
        <v>0.9429999999999999</v>
      </c>
    </row>
    <row r="3616">
      <c r="A3616" s="926" t="n">
        <v>36976</v>
      </c>
      <c r="B3616" t="n">
        <v>7.798</v>
      </c>
      <c r="C3616" t="n">
        <v>0.9429999999999999</v>
      </c>
    </row>
    <row r="3617">
      <c r="A3617" s="926" t="n">
        <v>36977</v>
      </c>
      <c r="B3617" t="n">
        <v>7.798</v>
      </c>
      <c r="C3617" t="n">
        <v>0.9429999999999999</v>
      </c>
    </row>
    <row r="3618">
      <c r="A3618" s="926" t="n">
        <v>36978</v>
      </c>
      <c r="B3618" t="n">
        <v>7.798</v>
      </c>
      <c r="C3618" t="n">
        <v>0.9429999999999999</v>
      </c>
    </row>
    <row r="3619">
      <c r="A3619" s="926" t="n">
        <v>36979</v>
      </c>
      <c r="B3619" t="n">
        <v>7.798</v>
      </c>
      <c r="C3619" t="n">
        <v>0.9429999999999999</v>
      </c>
    </row>
    <row r="3620">
      <c r="A3620" s="926" t="n">
        <v>36980</v>
      </c>
      <c r="B3620" t="n">
        <v>7.798</v>
      </c>
      <c r="C3620" t="n">
        <v>0.9429999999999999</v>
      </c>
    </row>
    <row r="3621">
      <c r="A3621" s="926" t="n">
        <v>36981</v>
      </c>
      <c r="B3621" t="n">
        <v>7.797</v>
      </c>
      <c r="C3621" t="n">
        <v>0.9429999999999999</v>
      </c>
    </row>
    <row r="3622">
      <c r="A3622" s="926" t="n">
        <v>36983</v>
      </c>
      <c r="B3622" t="n">
        <v>7.798</v>
      </c>
      <c r="C3622" t="n">
        <v>0.9429999999999999</v>
      </c>
    </row>
    <row r="3623">
      <c r="A3623" s="926" t="n">
        <v>36984</v>
      </c>
      <c r="B3623" t="n">
        <v>7.796</v>
      </c>
      <c r="C3623" t="n">
        <v>0.9429999999999999</v>
      </c>
    </row>
    <row r="3624">
      <c r="A3624" s="926" t="n">
        <v>36985</v>
      </c>
      <c r="B3624" t="n">
        <v>7.796</v>
      </c>
      <c r="C3624" t="n">
        <v>0.9429999999999999</v>
      </c>
    </row>
    <row r="3625">
      <c r="A3625" s="926" t="n">
        <v>36987</v>
      </c>
      <c r="B3625" t="n">
        <v>7.797</v>
      </c>
      <c r="C3625" t="n">
        <v>0.9429999999999999</v>
      </c>
    </row>
    <row r="3626">
      <c r="A3626" s="926" t="n">
        <v>36988</v>
      </c>
      <c r="B3626" t="n">
        <v>7.796</v>
      </c>
      <c r="C3626" t="n">
        <v>0.9429999999999999</v>
      </c>
    </row>
    <row r="3627">
      <c r="A3627" s="926" t="n">
        <v>36990</v>
      </c>
      <c r="B3627" t="n">
        <v>7.797</v>
      </c>
      <c r="C3627" t="n">
        <v>0.9429999999999999</v>
      </c>
    </row>
    <row r="3628">
      <c r="A3628" s="926" t="n">
        <v>36991</v>
      </c>
      <c r="B3628" t="n">
        <v>7.798</v>
      </c>
      <c r="C3628" t="n">
        <v>0.9429999999999999</v>
      </c>
    </row>
    <row r="3629">
      <c r="A3629" s="926" t="n">
        <v>36992</v>
      </c>
      <c r="B3629" t="n">
        <v>7.798</v>
      </c>
      <c r="C3629" t="n">
        <v>0.9429999999999999</v>
      </c>
    </row>
    <row r="3630">
      <c r="A3630" s="926" t="n">
        <v>36993</v>
      </c>
      <c r="B3630" t="n">
        <v>7.798</v>
      </c>
      <c r="C3630" t="n">
        <v>0.9429999999999999</v>
      </c>
    </row>
    <row r="3631">
      <c r="A3631" s="926" t="n">
        <v>36998</v>
      </c>
      <c r="B3631" t="n">
        <v>7.798</v>
      </c>
      <c r="C3631" t="n">
        <v>0.9429999999999999</v>
      </c>
    </row>
    <row r="3632">
      <c r="A3632" s="926" t="n">
        <v>36999</v>
      </c>
      <c r="B3632" t="n">
        <v>7.798</v>
      </c>
      <c r="C3632" t="n">
        <v>0.9429999999999999</v>
      </c>
    </row>
    <row r="3633">
      <c r="A3633" s="926" t="n">
        <v>37000</v>
      </c>
      <c r="B3633" t="n">
        <v>7.798</v>
      </c>
      <c r="C3633" t="n">
        <v>0.9429999999999999</v>
      </c>
    </row>
    <row r="3634">
      <c r="A3634" s="926" t="n">
        <v>37001</v>
      </c>
      <c r="B3634" t="n">
        <v>7.798</v>
      </c>
      <c r="C3634" t="n">
        <v>0.9429999999999999</v>
      </c>
    </row>
    <row r="3635">
      <c r="A3635" s="926" t="n">
        <v>37002</v>
      </c>
      <c r="B3635" t="n">
        <v>7.7995</v>
      </c>
      <c r="C3635" t="n">
        <v>0.9429999999999999</v>
      </c>
    </row>
    <row r="3636">
      <c r="A3636" s="926" t="n">
        <v>37004</v>
      </c>
      <c r="B3636" t="n">
        <v>7.798</v>
      </c>
      <c r="C3636" t="n">
        <v>0.9429999999999999</v>
      </c>
    </row>
    <row r="3637">
      <c r="A3637" s="926" t="n">
        <v>37005</v>
      </c>
      <c r="B3637" t="n">
        <v>7.798</v>
      </c>
      <c r="C3637" t="n">
        <v>0.9429999999999999</v>
      </c>
    </row>
    <row r="3638">
      <c r="A3638" s="926" t="n">
        <v>37006</v>
      </c>
      <c r="B3638" t="n">
        <v>7.798</v>
      </c>
      <c r="C3638" t="n">
        <v>0.9429999999999999</v>
      </c>
    </row>
    <row r="3639">
      <c r="A3639" s="926" t="n">
        <v>37007</v>
      </c>
      <c r="B3639" t="n">
        <v>7.798</v>
      </c>
      <c r="C3639" t="n">
        <v>0.9429999999999999</v>
      </c>
    </row>
    <row r="3640">
      <c r="A3640" s="926" t="n">
        <v>37008</v>
      </c>
      <c r="B3640" t="n">
        <v>7.798</v>
      </c>
      <c r="C3640" t="n">
        <v>0.9429999999999999</v>
      </c>
    </row>
    <row r="3641">
      <c r="A3641" s="926" t="n">
        <v>37009</v>
      </c>
      <c r="B3641" t="n">
        <v>7.798</v>
      </c>
      <c r="C3641" t="n">
        <v>0.9429999999999999</v>
      </c>
    </row>
    <row r="3642">
      <c r="A3642" s="926" t="n">
        <v>37013</v>
      </c>
      <c r="B3642" t="n">
        <v>7.798</v>
      </c>
      <c r="C3642" t="n">
        <v>0.9429999999999999</v>
      </c>
    </row>
    <row r="3643">
      <c r="A3643" s="926" t="n">
        <v>37014</v>
      </c>
      <c r="B3643" t="n">
        <v>7.798</v>
      </c>
      <c r="C3643" t="n">
        <v>0.9429999999999999</v>
      </c>
    </row>
    <row r="3644">
      <c r="A3644" s="926" t="n">
        <v>37015</v>
      </c>
      <c r="B3644" t="n">
        <v>7.798</v>
      </c>
      <c r="C3644" t="n">
        <v>0.9429999999999999</v>
      </c>
    </row>
    <row r="3645">
      <c r="A3645" s="926" t="n">
        <v>37016</v>
      </c>
      <c r="B3645" t="n">
        <v>7.797</v>
      </c>
      <c r="C3645" t="n">
        <v>0.9429999999999999</v>
      </c>
    </row>
    <row r="3646">
      <c r="A3646" s="926" t="n">
        <v>37018</v>
      </c>
      <c r="B3646" t="n">
        <v>7.798</v>
      </c>
      <c r="C3646" t="n">
        <v>0.9429999999999999</v>
      </c>
    </row>
    <row r="3647">
      <c r="A3647" s="926" t="n">
        <v>37019</v>
      </c>
      <c r="B3647" t="n">
        <v>7.798</v>
      </c>
      <c r="C3647" t="n">
        <v>0.945</v>
      </c>
    </row>
    <row r="3648">
      <c r="A3648" s="926" t="n">
        <v>37020</v>
      </c>
      <c r="B3648" t="n">
        <v>7.799</v>
      </c>
      <c r="C3648" t="n">
        <v>0.9425</v>
      </c>
    </row>
    <row r="3649">
      <c r="A3649" s="926" t="n">
        <v>37021</v>
      </c>
      <c r="B3649" t="n">
        <v>7.798</v>
      </c>
      <c r="C3649" t="n">
        <v>0.9425</v>
      </c>
    </row>
    <row r="3650">
      <c r="A3650" s="926" t="n">
        <v>37022</v>
      </c>
      <c r="B3650" t="n">
        <v>7.798</v>
      </c>
      <c r="C3650" t="n">
        <v>0.9425</v>
      </c>
    </row>
    <row r="3651">
      <c r="A3651" s="926" t="n">
        <v>37023</v>
      </c>
      <c r="B3651" t="n">
        <v>7.798</v>
      </c>
      <c r="C3651" t="n">
        <v>0.9425</v>
      </c>
    </row>
    <row r="3652">
      <c r="A3652" s="926" t="n">
        <v>37025</v>
      </c>
      <c r="B3652" t="n">
        <v>7.799</v>
      </c>
      <c r="C3652" t="n">
        <v>0.9425</v>
      </c>
    </row>
    <row r="3653">
      <c r="A3653" s="926" t="n">
        <v>37026</v>
      </c>
      <c r="B3653" t="n">
        <v>7.798</v>
      </c>
      <c r="C3653" t="n">
        <v>0.9425</v>
      </c>
    </row>
    <row r="3654">
      <c r="A3654" s="926" t="n">
        <v>37027</v>
      </c>
      <c r="B3654" t="n">
        <v>7.798</v>
      </c>
      <c r="C3654" t="n">
        <v>0.9429999999999999</v>
      </c>
    </row>
    <row r="3655">
      <c r="A3655" s="926" t="n">
        <v>37028</v>
      </c>
      <c r="B3655" t="n">
        <v>7.798</v>
      </c>
      <c r="C3655" t="n">
        <v>0.9429999999999999</v>
      </c>
    </row>
    <row r="3656">
      <c r="A3656" s="926" t="n">
        <v>37029</v>
      </c>
      <c r="B3656" t="n">
        <v>7.798</v>
      </c>
      <c r="C3656" t="n">
        <v>0.9429999999999999</v>
      </c>
    </row>
    <row r="3657">
      <c r="A3657" s="926" t="n">
        <v>37030</v>
      </c>
      <c r="B3657" t="n">
        <v>7.797</v>
      </c>
      <c r="C3657" t="n">
        <v>0.9429999999999999</v>
      </c>
    </row>
    <row r="3658">
      <c r="A3658" s="926" t="n">
        <v>37032</v>
      </c>
      <c r="B3658" t="n">
        <v>7.798</v>
      </c>
      <c r="C3658" t="n">
        <v>0.9429999999999999</v>
      </c>
    </row>
    <row r="3659">
      <c r="A3659" s="926" t="n">
        <v>37033</v>
      </c>
      <c r="B3659" t="n">
        <v>7.798</v>
      </c>
      <c r="C3659" t="n">
        <v>0.9429999999999999</v>
      </c>
    </row>
    <row r="3660">
      <c r="A3660" s="926" t="n">
        <v>37034</v>
      </c>
      <c r="B3660" t="n">
        <v>7.798</v>
      </c>
      <c r="C3660" t="n">
        <v>0.9429999999999999</v>
      </c>
    </row>
    <row r="3661">
      <c r="A3661" s="926" t="n">
        <v>37035</v>
      </c>
      <c r="B3661" t="n">
        <v>7.799</v>
      </c>
      <c r="C3661" t="n">
        <v>0.9429999999999999</v>
      </c>
    </row>
    <row r="3662">
      <c r="A3662" s="926" t="n">
        <v>37036</v>
      </c>
      <c r="B3662" t="n">
        <v>7.799</v>
      </c>
      <c r="C3662" t="n">
        <v>0.9429999999999999</v>
      </c>
    </row>
    <row r="3663">
      <c r="A3663" s="926" t="n">
        <v>37037</v>
      </c>
      <c r="B3663" t="n">
        <v>7.797</v>
      </c>
      <c r="C3663" t="n">
        <v>0.9429999999999999</v>
      </c>
    </row>
    <row r="3664">
      <c r="A3664" s="926" t="n">
        <v>37039</v>
      </c>
      <c r="B3664" t="n">
        <v>7.798</v>
      </c>
      <c r="C3664" t="n">
        <v>0.9429999999999999</v>
      </c>
    </row>
    <row r="3665">
      <c r="A3665" s="926" t="n">
        <v>37040</v>
      </c>
      <c r="B3665" t="n">
        <v>7.798</v>
      </c>
      <c r="C3665" t="n">
        <v>0.9429999999999999</v>
      </c>
    </row>
    <row r="3666">
      <c r="A3666" s="926" t="n">
        <v>37041</v>
      </c>
      <c r="B3666" t="n">
        <v>7.798</v>
      </c>
      <c r="C3666" t="n">
        <v>0.9429999999999999</v>
      </c>
    </row>
    <row r="3667">
      <c r="A3667" s="926" t="n">
        <v>37042</v>
      </c>
      <c r="B3667" t="n">
        <v>7.798</v>
      </c>
      <c r="C3667" t="n">
        <v>0.9429999999999999</v>
      </c>
    </row>
    <row r="3668">
      <c r="A3668" s="926" t="n">
        <v>37043</v>
      </c>
      <c r="B3668" t="n">
        <v>7.798</v>
      </c>
      <c r="C3668" t="n">
        <v>0.9429999999999999</v>
      </c>
    </row>
    <row r="3669">
      <c r="A3669" s="926" t="n">
        <v>37044</v>
      </c>
      <c r="B3669" t="n">
        <v>7.797</v>
      </c>
      <c r="C3669" t="n">
        <v>0.9429999999999999</v>
      </c>
    </row>
    <row r="3670">
      <c r="A3670" s="926" t="n">
        <v>37046</v>
      </c>
      <c r="B3670" t="n">
        <v>7.798</v>
      </c>
      <c r="C3670" t="n">
        <v>0.9429999999999999</v>
      </c>
    </row>
    <row r="3671">
      <c r="A3671" s="926" t="n">
        <v>37047</v>
      </c>
      <c r="B3671" t="n">
        <v>7.798</v>
      </c>
      <c r="C3671" t="n">
        <v>0.9429999999999999</v>
      </c>
    </row>
    <row r="3672">
      <c r="A3672" s="926" t="n">
        <v>37048</v>
      </c>
      <c r="B3672" t="n">
        <v>7.798</v>
      </c>
      <c r="C3672" t="n">
        <v>0.9429999999999999</v>
      </c>
    </row>
    <row r="3673">
      <c r="A3673" s="926" t="n">
        <v>37049</v>
      </c>
      <c r="B3673" t="n">
        <v>7.798</v>
      </c>
      <c r="C3673" t="n">
        <v>0.9429999999999999</v>
      </c>
    </row>
    <row r="3674">
      <c r="A3674" s="926" t="n">
        <v>37050</v>
      </c>
      <c r="B3674" t="n">
        <v>7.798</v>
      </c>
      <c r="C3674" t="n">
        <v>0.9429999999999999</v>
      </c>
    </row>
    <row r="3675">
      <c r="A3675" s="926" t="n">
        <v>37051</v>
      </c>
      <c r="B3675" t="n">
        <v>7.797</v>
      </c>
      <c r="C3675" t="n">
        <v>0.9429999999999999</v>
      </c>
    </row>
    <row r="3676">
      <c r="A3676" s="926" t="n">
        <v>37053</v>
      </c>
      <c r="B3676" t="n">
        <v>7.798</v>
      </c>
      <c r="C3676" t="n">
        <v>0.9429999999999999</v>
      </c>
    </row>
    <row r="3677">
      <c r="A3677" s="926" t="n">
        <v>37054</v>
      </c>
      <c r="B3677" t="n">
        <v>7.797</v>
      </c>
      <c r="C3677" t="n">
        <v>0.9429999999999999</v>
      </c>
    </row>
    <row r="3678">
      <c r="A3678" s="926" t="n">
        <v>37055</v>
      </c>
      <c r="B3678" t="n">
        <v>7.797</v>
      </c>
      <c r="C3678" t="n">
        <v>0.9429999999999999</v>
      </c>
    </row>
    <row r="3679">
      <c r="A3679" s="926" t="n">
        <v>37056</v>
      </c>
      <c r="B3679" t="n">
        <v>7.797</v>
      </c>
      <c r="C3679" t="n">
        <v>0.9429999999999999</v>
      </c>
    </row>
    <row r="3680">
      <c r="A3680" s="926" t="n">
        <v>37057</v>
      </c>
      <c r="B3680" t="n">
        <v>7.797</v>
      </c>
      <c r="C3680" t="n">
        <v>0.9429999999999999</v>
      </c>
    </row>
    <row r="3681">
      <c r="A3681" s="926" t="n">
        <v>37058</v>
      </c>
      <c r="B3681" t="n">
        <v>7.797</v>
      </c>
      <c r="C3681" t="n">
        <v>0.9429999999999999</v>
      </c>
    </row>
    <row r="3682">
      <c r="A3682" s="926" t="n">
        <v>37060</v>
      </c>
      <c r="B3682" t="n">
        <v>7.798</v>
      </c>
      <c r="C3682" t="n">
        <v>0.9429999999999999</v>
      </c>
    </row>
    <row r="3683">
      <c r="A3683" s="926" t="n">
        <v>37061</v>
      </c>
      <c r="B3683" t="n">
        <v>7.798</v>
      </c>
      <c r="C3683" t="n">
        <v>0.9429999999999999</v>
      </c>
    </row>
    <row r="3684">
      <c r="A3684" s="926" t="n">
        <v>37062</v>
      </c>
      <c r="B3684" t="n">
        <v>7.798</v>
      </c>
      <c r="C3684" t="n">
        <v>0.9429999999999999</v>
      </c>
    </row>
    <row r="3685">
      <c r="A3685" s="926" t="n">
        <v>37063</v>
      </c>
      <c r="B3685" t="n">
        <v>7.798</v>
      </c>
      <c r="C3685" t="n">
        <v>0.9429999999999999</v>
      </c>
    </row>
    <row r="3686">
      <c r="A3686" s="926" t="n">
        <v>37064</v>
      </c>
      <c r="B3686" t="n">
        <v>7.798</v>
      </c>
      <c r="C3686" t="n">
        <v>0.9429999999999999</v>
      </c>
    </row>
    <row r="3687">
      <c r="A3687" s="926" t="n">
        <v>37065</v>
      </c>
      <c r="B3687" t="n">
        <v>7.797</v>
      </c>
      <c r="C3687" t="n">
        <v>0.9429999999999999</v>
      </c>
    </row>
    <row r="3688">
      <c r="A3688" s="926" t="n">
        <v>37068</v>
      </c>
      <c r="B3688" t="n">
        <v>7.798</v>
      </c>
      <c r="C3688" t="n">
        <v>0.9429999999999999</v>
      </c>
    </row>
    <row r="3689">
      <c r="A3689" s="926" t="n">
        <v>37069</v>
      </c>
      <c r="B3689" t="n">
        <v>7.798</v>
      </c>
      <c r="C3689" t="n">
        <v>0.9429999999999999</v>
      </c>
    </row>
    <row r="3690">
      <c r="A3690" s="926" t="n">
        <v>37070</v>
      </c>
      <c r="B3690" t="n">
        <v>7.798</v>
      </c>
      <c r="C3690" t="n">
        <v>0.9429999999999999</v>
      </c>
    </row>
    <row r="3691">
      <c r="A3691" s="926" t="n">
        <v>37071</v>
      </c>
      <c r="B3691" t="n">
        <v>7.799</v>
      </c>
      <c r="C3691" t="n">
        <v>0.9429999999999999</v>
      </c>
    </row>
    <row r="3692">
      <c r="A3692" s="926" t="n">
        <v>37072</v>
      </c>
      <c r="B3692" t="n">
        <v>7.797</v>
      </c>
      <c r="C3692" t="n">
        <v>0.9429999999999999</v>
      </c>
    </row>
    <row r="3693">
      <c r="A3693" s="926" t="n">
        <v>37075</v>
      </c>
      <c r="B3693" t="n">
        <v>7.798</v>
      </c>
      <c r="C3693" t="n">
        <v>0.9429999999999999</v>
      </c>
    </row>
    <row r="3694">
      <c r="A3694" s="926" t="n">
        <v>37076</v>
      </c>
      <c r="B3694" t="n">
        <v>7.798</v>
      </c>
      <c r="C3694" t="n">
        <v>0.9429999999999999</v>
      </c>
    </row>
    <row r="3695">
      <c r="A3695" s="926" t="n">
        <v>37077</v>
      </c>
      <c r="B3695" t="n">
        <v>7.798</v>
      </c>
      <c r="C3695" t="n">
        <v>0.9429999999999999</v>
      </c>
    </row>
    <row r="3696">
      <c r="A3696" s="926" t="n">
        <v>37079</v>
      </c>
      <c r="B3696" t="n">
        <v>7.797</v>
      </c>
      <c r="C3696" t="n">
        <v>0.9429999999999999</v>
      </c>
    </row>
    <row r="3697">
      <c r="A3697" s="926" t="n">
        <v>37081</v>
      </c>
      <c r="B3697" t="n">
        <v>7.799</v>
      </c>
      <c r="C3697" t="n">
        <v>0.9429999999999999</v>
      </c>
    </row>
    <row r="3698">
      <c r="A3698" s="926" t="n">
        <v>37082</v>
      </c>
      <c r="B3698" t="n">
        <v>7.799</v>
      </c>
      <c r="C3698" t="n">
        <v>0.9429999999999999</v>
      </c>
    </row>
    <row r="3699">
      <c r="A3699" s="926" t="n">
        <v>37083</v>
      </c>
      <c r="B3699" t="n">
        <v>7.798</v>
      </c>
      <c r="C3699" t="n">
        <v>0.9429999999999999</v>
      </c>
    </row>
    <row r="3700">
      <c r="A3700" s="926" t="n">
        <v>37084</v>
      </c>
      <c r="B3700" t="n">
        <v>7.798</v>
      </c>
      <c r="C3700" t="n">
        <v>0.9429999999999999</v>
      </c>
    </row>
    <row r="3701">
      <c r="A3701" s="926" t="n">
        <v>37085</v>
      </c>
      <c r="B3701" t="n">
        <v>7.798</v>
      </c>
      <c r="C3701" t="n">
        <v>0.9429999999999999</v>
      </c>
    </row>
    <row r="3702">
      <c r="A3702" s="926" t="n">
        <v>37086</v>
      </c>
      <c r="B3702" t="n">
        <v>7.797</v>
      </c>
      <c r="C3702" t="n">
        <v>0.9429999999999999</v>
      </c>
    </row>
    <row r="3703">
      <c r="A3703" s="926" t="n">
        <v>37088</v>
      </c>
      <c r="B3703" t="n">
        <v>7.799</v>
      </c>
      <c r="C3703" t="n">
        <v>0.9429999999999999</v>
      </c>
    </row>
    <row r="3704">
      <c r="A3704" s="926" t="n">
        <v>37089</v>
      </c>
      <c r="B3704" t="n">
        <v>7.799</v>
      </c>
      <c r="C3704" t="n">
        <v>0.9429999999999999</v>
      </c>
    </row>
    <row r="3705">
      <c r="A3705" s="926" t="n">
        <v>37090</v>
      </c>
      <c r="B3705" t="n">
        <v>7.798</v>
      </c>
      <c r="C3705" t="n">
        <v>0.9429999999999999</v>
      </c>
    </row>
    <row r="3706">
      <c r="A3706" s="926" t="n">
        <v>37091</v>
      </c>
      <c r="B3706" t="n">
        <v>7.798</v>
      </c>
      <c r="C3706" t="n">
        <v>0.9429999999999999</v>
      </c>
    </row>
    <row r="3707">
      <c r="A3707" s="926" t="n">
        <v>37092</v>
      </c>
      <c r="B3707" t="n">
        <v>7.798</v>
      </c>
      <c r="C3707" t="n">
        <v>0.9429999999999999</v>
      </c>
    </row>
    <row r="3708">
      <c r="A3708" s="926" t="n">
        <v>37093</v>
      </c>
      <c r="B3708" t="n">
        <v>7.797</v>
      </c>
      <c r="C3708" t="n">
        <v>0.9429999999999999</v>
      </c>
    </row>
    <row r="3709">
      <c r="A3709" s="926" t="n">
        <v>37095</v>
      </c>
      <c r="B3709" t="n">
        <v>7.799</v>
      </c>
      <c r="C3709" t="n">
        <v>0.9429999999999999</v>
      </c>
    </row>
    <row r="3710">
      <c r="A3710" s="926" t="n">
        <v>37096</v>
      </c>
      <c r="B3710" t="n">
        <v>7.798</v>
      </c>
      <c r="C3710" t="n">
        <v>0.9429999999999999</v>
      </c>
    </row>
    <row r="3711">
      <c r="A3711" s="926" t="n">
        <v>37098</v>
      </c>
      <c r="B3711" t="n">
        <v>7.798</v>
      </c>
      <c r="C3711" t="n">
        <v>0.9429999999999999</v>
      </c>
    </row>
    <row r="3712">
      <c r="A3712" s="926" t="n">
        <v>37099</v>
      </c>
      <c r="B3712" t="n">
        <v>7.798</v>
      </c>
      <c r="C3712" t="n">
        <v>0.9429999999999999</v>
      </c>
    </row>
    <row r="3713">
      <c r="A3713" s="926" t="n">
        <v>37100</v>
      </c>
      <c r="B3713" t="n">
        <v>7.797</v>
      </c>
      <c r="C3713" t="n">
        <v>0.9429999999999999</v>
      </c>
    </row>
    <row r="3714">
      <c r="A3714" s="926" t="n">
        <v>37102</v>
      </c>
      <c r="B3714" t="n">
        <v>7.799</v>
      </c>
      <c r="C3714" t="n">
        <v>0.9429999999999999</v>
      </c>
    </row>
    <row r="3715">
      <c r="A3715" s="926" t="n">
        <v>37103</v>
      </c>
      <c r="B3715" t="n">
        <v>7.798</v>
      </c>
      <c r="C3715" t="n">
        <v>0.9429999999999999</v>
      </c>
    </row>
    <row r="3716">
      <c r="A3716" s="926" t="n">
        <v>37104</v>
      </c>
      <c r="B3716" t="n">
        <v>7.798</v>
      </c>
      <c r="C3716" t="n">
        <v>0.9429999999999999</v>
      </c>
    </row>
    <row r="3717">
      <c r="A3717" s="926" t="n">
        <v>37105</v>
      </c>
      <c r="B3717" t="n">
        <v>7.798</v>
      </c>
      <c r="C3717" t="n">
        <v>0.9429999999999999</v>
      </c>
    </row>
    <row r="3718">
      <c r="A3718" s="926" t="n">
        <v>37106</v>
      </c>
      <c r="B3718" t="n">
        <v>7.798</v>
      </c>
      <c r="C3718" t="n">
        <v>0.9429999999999999</v>
      </c>
    </row>
    <row r="3719">
      <c r="A3719" s="926" t="n">
        <v>37107</v>
      </c>
      <c r="B3719" t="n">
        <v>7.797</v>
      </c>
      <c r="C3719" t="n">
        <v>0.9429999999999999</v>
      </c>
    </row>
    <row r="3720">
      <c r="A3720" s="926" t="n">
        <v>37109</v>
      </c>
      <c r="B3720" t="n">
        <v>7.798</v>
      </c>
      <c r="C3720" t="n">
        <v>0.9429999999999999</v>
      </c>
    </row>
    <row r="3721">
      <c r="A3721" s="926" t="n">
        <v>37110</v>
      </c>
      <c r="B3721" t="n">
        <v>7.797</v>
      </c>
      <c r="C3721" t="n">
        <v>0.9429999999999999</v>
      </c>
    </row>
    <row r="3722">
      <c r="A3722" s="926" t="n">
        <v>37111</v>
      </c>
      <c r="B3722" t="n">
        <v>7.797</v>
      </c>
      <c r="C3722" t="n">
        <v>0.9429999999999999</v>
      </c>
    </row>
    <row r="3723">
      <c r="A3723" s="926" t="n">
        <v>37112</v>
      </c>
      <c r="B3723" t="n">
        <v>7.798</v>
      </c>
      <c r="C3723" t="n">
        <v>0.9429999999999999</v>
      </c>
    </row>
    <row r="3724">
      <c r="A3724" s="926" t="n">
        <v>37113</v>
      </c>
      <c r="B3724" t="n">
        <v>7.798</v>
      </c>
      <c r="C3724" t="n">
        <v>0.9429999999999999</v>
      </c>
    </row>
    <row r="3725">
      <c r="A3725" s="926" t="n">
        <v>37114</v>
      </c>
      <c r="B3725" t="n">
        <v>7.797</v>
      </c>
      <c r="C3725" t="n">
        <v>0.9429999999999999</v>
      </c>
    </row>
    <row r="3726">
      <c r="A3726" s="926" t="n">
        <v>37116</v>
      </c>
      <c r="B3726" t="n">
        <v>7.798</v>
      </c>
      <c r="C3726" t="n">
        <v>0.9429999999999999</v>
      </c>
    </row>
    <row r="3727">
      <c r="A3727" s="926" t="n">
        <v>37117</v>
      </c>
      <c r="B3727" t="n">
        <v>7.798</v>
      </c>
      <c r="C3727" t="n">
        <v>0.9429999999999999</v>
      </c>
    </row>
    <row r="3728">
      <c r="A3728" s="926" t="n">
        <v>37118</v>
      </c>
      <c r="B3728" t="n">
        <v>7.798</v>
      </c>
      <c r="C3728" t="n">
        <v>0.9429999999999999</v>
      </c>
    </row>
    <row r="3729">
      <c r="A3729" s="926" t="n">
        <v>37119</v>
      </c>
      <c r="B3729" t="n">
        <v>7.798</v>
      </c>
      <c r="C3729" t="n">
        <v>0.9429999999999999</v>
      </c>
    </row>
    <row r="3730">
      <c r="A3730" s="926" t="n">
        <v>37120</v>
      </c>
      <c r="B3730" t="n">
        <v>7.798</v>
      </c>
      <c r="C3730" t="n">
        <v>0.9429999999999999</v>
      </c>
    </row>
    <row r="3731">
      <c r="A3731" s="926" t="n">
        <v>37121</v>
      </c>
      <c r="B3731" t="n">
        <v>7.798</v>
      </c>
      <c r="C3731" t="n">
        <v>0.9429999999999999</v>
      </c>
    </row>
    <row r="3732">
      <c r="A3732" s="926" t="n">
        <v>37123</v>
      </c>
      <c r="B3732" t="n">
        <v>7.798</v>
      </c>
      <c r="C3732" t="n">
        <v>0.9429999999999999</v>
      </c>
    </row>
    <row r="3733">
      <c r="A3733" s="926" t="n">
        <v>37124</v>
      </c>
      <c r="B3733" t="n">
        <v>7.799</v>
      </c>
      <c r="C3733" t="n">
        <v>0.9429999999999999</v>
      </c>
    </row>
    <row r="3734">
      <c r="A3734" s="926" t="n">
        <v>37125</v>
      </c>
      <c r="B3734" t="n">
        <v>7.799</v>
      </c>
      <c r="C3734" t="n">
        <v>0.9429999999999999</v>
      </c>
    </row>
    <row r="3735">
      <c r="A3735" s="926" t="n">
        <v>37126</v>
      </c>
      <c r="B3735" t="n">
        <v>7.8</v>
      </c>
      <c r="C3735" t="n">
        <v>0.9429999999999999</v>
      </c>
    </row>
    <row r="3736">
      <c r="A3736" s="926" t="n">
        <v>37127</v>
      </c>
      <c r="B3736" t="n">
        <v>7.8</v>
      </c>
      <c r="C3736" t="n">
        <v>0.9429999999999999</v>
      </c>
    </row>
    <row r="3737">
      <c r="A3737" s="926" t="n">
        <v>37128</v>
      </c>
      <c r="B3737" t="n">
        <v>7.799</v>
      </c>
      <c r="C3737" t="n">
        <v>0.9429999999999999</v>
      </c>
    </row>
    <row r="3738">
      <c r="A3738" s="926" t="n">
        <v>37130</v>
      </c>
      <c r="B3738" t="n">
        <v>7.8</v>
      </c>
      <c r="C3738" t="n">
        <v>0.9429999999999999</v>
      </c>
    </row>
    <row r="3739">
      <c r="A3739" s="926" t="n">
        <v>37131</v>
      </c>
      <c r="B3739" t="n">
        <v>7.8</v>
      </c>
      <c r="C3739" t="n">
        <v>0.9429999999999999</v>
      </c>
    </row>
    <row r="3740">
      <c r="A3740" s="926" t="n">
        <v>37132</v>
      </c>
      <c r="B3740" t="n">
        <v>7.8</v>
      </c>
      <c r="C3740" t="n">
        <v>0.9429999999999999</v>
      </c>
    </row>
    <row r="3741">
      <c r="A3741" s="926" t="n">
        <v>37133</v>
      </c>
      <c r="B3741" t="n">
        <v>7.8</v>
      </c>
      <c r="C3741" t="n">
        <v>0.9429999999999999</v>
      </c>
    </row>
    <row r="3742">
      <c r="A3742" s="926" t="n">
        <v>37134</v>
      </c>
      <c r="B3742" t="n">
        <v>7.8</v>
      </c>
      <c r="C3742" t="n">
        <v>0.9429999999999999</v>
      </c>
    </row>
    <row r="3743">
      <c r="A3743" s="926" t="n">
        <v>37135</v>
      </c>
      <c r="B3743" t="n">
        <v>7.799</v>
      </c>
      <c r="C3743" t="n">
        <v>0.9429999999999999</v>
      </c>
    </row>
    <row r="3744">
      <c r="A3744" s="926" t="n">
        <v>37137</v>
      </c>
      <c r="B3744" t="n">
        <v>7.8</v>
      </c>
      <c r="C3744" t="n">
        <v>0.9429999999999999</v>
      </c>
    </row>
    <row r="3745">
      <c r="A3745" s="926" t="n">
        <v>37138</v>
      </c>
      <c r="B3745" t="n">
        <v>7.8</v>
      </c>
      <c r="C3745" t="n">
        <v>0.9429999999999999</v>
      </c>
    </row>
    <row r="3746">
      <c r="A3746" s="926" t="n">
        <v>37139</v>
      </c>
      <c r="B3746" t="n">
        <v>7.8</v>
      </c>
      <c r="C3746" t="n">
        <v>0.9429999999999999</v>
      </c>
    </row>
    <row r="3747">
      <c r="A3747" s="926" t="n">
        <v>37140</v>
      </c>
      <c r="B3747" t="n">
        <v>7.8</v>
      </c>
      <c r="C3747" t="n">
        <v>0.9429999999999999</v>
      </c>
    </row>
    <row r="3748">
      <c r="A3748" s="926" t="n">
        <v>37141</v>
      </c>
      <c r="B3748" t="n">
        <v>7.8</v>
      </c>
      <c r="C3748" t="n">
        <v>0.9429999999999999</v>
      </c>
    </row>
    <row r="3749">
      <c r="A3749" s="926" t="n">
        <v>37142</v>
      </c>
      <c r="B3749" t="n">
        <v>7.8</v>
      </c>
      <c r="C3749" t="n">
        <v>0.9429999999999999</v>
      </c>
    </row>
    <row r="3750">
      <c r="A3750" s="926" t="n">
        <v>37144</v>
      </c>
      <c r="B3750" t="n">
        <v>7.8</v>
      </c>
      <c r="C3750" t="n">
        <v>0.9429999999999999</v>
      </c>
    </row>
    <row r="3751">
      <c r="A3751" s="926" t="n">
        <v>37145</v>
      </c>
      <c r="B3751" t="n">
        <v>7.8</v>
      </c>
      <c r="C3751" t="n">
        <v>0.9429999999999999</v>
      </c>
    </row>
    <row r="3752">
      <c r="A3752" s="926" t="n">
        <v>37146</v>
      </c>
      <c r="B3752" t="n">
        <v>7.799</v>
      </c>
      <c r="C3752" t="n">
        <v>0.9429999999999999</v>
      </c>
    </row>
    <row r="3753">
      <c r="A3753" s="926" t="n">
        <v>37147</v>
      </c>
      <c r="B3753" t="n">
        <v>7.8</v>
      </c>
      <c r="C3753" t="n">
        <v>0.9429999999999999</v>
      </c>
    </row>
    <row r="3754">
      <c r="A3754" s="926" t="n">
        <v>37148</v>
      </c>
      <c r="B3754" t="n">
        <v>7.8</v>
      </c>
      <c r="C3754" t="n">
        <v>0.9429999999999999</v>
      </c>
    </row>
    <row r="3755">
      <c r="A3755" s="926" t="n">
        <v>37149</v>
      </c>
      <c r="B3755" t="n">
        <v>7.8</v>
      </c>
      <c r="C3755" t="n">
        <v>0.9429999999999999</v>
      </c>
    </row>
    <row r="3756">
      <c r="A3756" s="926" t="n">
        <v>37151</v>
      </c>
      <c r="B3756" t="n">
        <v>7.8</v>
      </c>
      <c r="C3756" t="n">
        <v>0.9429999999999999</v>
      </c>
    </row>
    <row r="3757">
      <c r="A3757" s="926" t="n">
        <v>37152</v>
      </c>
      <c r="B3757" t="n">
        <v>7.8</v>
      </c>
      <c r="C3757" t="n">
        <v>0.9429999999999999</v>
      </c>
    </row>
    <row r="3758">
      <c r="A3758" s="926" t="n">
        <v>37153</v>
      </c>
      <c r="B3758" t="n">
        <v>7.8</v>
      </c>
      <c r="C3758" t="n">
        <v>0.9429999999999999</v>
      </c>
    </row>
    <row r="3759">
      <c r="A3759" s="926" t="n">
        <v>37154</v>
      </c>
      <c r="B3759" t="n">
        <v>7.8</v>
      </c>
      <c r="C3759" t="n">
        <v>0.9429999999999999</v>
      </c>
    </row>
    <row r="3760">
      <c r="A3760" s="926" t="n">
        <v>37155</v>
      </c>
      <c r="B3760" t="n">
        <v>7.8</v>
      </c>
      <c r="C3760" t="n">
        <v>0.9429999999999999</v>
      </c>
    </row>
    <row r="3761">
      <c r="A3761" s="926" t="n">
        <v>37156</v>
      </c>
      <c r="B3761" t="n">
        <v>7.8</v>
      </c>
      <c r="C3761" t="n">
        <v>0.9429999999999999</v>
      </c>
    </row>
    <row r="3762">
      <c r="A3762" s="926" t="n">
        <v>37158</v>
      </c>
      <c r="B3762" t="n">
        <v>7.8</v>
      </c>
      <c r="C3762" t="n">
        <v>0.9429999999999999</v>
      </c>
    </row>
    <row r="3763">
      <c r="A3763" s="926" t="n">
        <v>37159</v>
      </c>
      <c r="B3763" t="n">
        <v>7.8</v>
      </c>
      <c r="C3763" t="n">
        <v>0.9429999999999999</v>
      </c>
    </row>
    <row r="3764">
      <c r="A3764" s="926" t="n">
        <v>37160</v>
      </c>
      <c r="B3764" t="n">
        <v>7.8</v>
      </c>
      <c r="C3764" t="n">
        <v>0.9429999999999999</v>
      </c>
    </row>
    <row r="3765">
      <c r="A3765" s="926" t="n">
        <v>37161</v>
      </c>
      <c r="B3765" t="n">
        <v>7.8</v>
      </c>
      <c r="C3765" t="n">
        <v>0.9429999999999999</v>
      </c>
    </row>
    <row r="3766">
      <c r="A3766" s="926" t="n">
        <v>37162</v>
      </c>
      <c r="B3766" t="n">
        <v>7.8</v>
      </c>
      <c r="C3766" t="n">
        <v>0.9429999999999999</v>
      </c>
    </row>
    <row r="3767">
      <c r="A3767" s="926" t="n">
        <v>37163</v>
      </c>
      <c r="B3767" t="n">
        <v>7.799</v>
      </c>
      <c r="C3767" t="n">
        <v>0.9429999999999999</v>
      </c>
    </row>
    <row r="3768">
      <c r="A3768" s="926" t="n">
        <v>37167</v>
      </c>
      <c r="B3768" t="n">
        <v>7.8</v>
      </c>
      <c r="C3768" t="n">
        <v>0.9429999999999999</v>
      </c>
    </row>
    <row r="3769">
      <c r="A3769" s="926" t="n">
        <v>37168</v>
      </c>
      <c r="B3769" t="n">
        <v>7.8</v>
      </c>
      <c r="C3769" t="n">
        <v>0.9429999999999999</v>
      </c>
    </row>
    <row r="3770">
      <c r="A3770" s="926" t="n">
        <v>37169</v>
      </c>
      <c r="B3770" t="n">
        <v>7.8</v>
      </c>
      <c r="C3770" t="n">
        <v>0.9429999999999999</v>
      </c>
    </row>
    <row r="3771">
      <c r="A3771" s="926" t="n">
        <v>37170</v>
      </c>
      <c r="B3771" t="n">
        <v>7.799</v>
      </c>
      <c r="C3771" t="n">
        <v>0.9429999999999999</v>
      </c>
    </row>
    <row r="3772">
      <c r="A3772" s="926" t="n">
        <v>37172</v>
      </c>
      <c r="B3772" t="n">
        <v>7.8</v>
      </c>
      <c r="C3772" t="n">
        <v>0.9429999999999999</v>
      </c>
    </row>
    <row r="3773">
      <c r="A3773" s="926" t="n">
        <v>37173</v>
      </c>
      <c r="B3773" t="n">
        <v>7.8</v>
      </c>
      <c r="C3773" t="n">
        <v>0.9429999999999999</v>
      </c>
    </row>
    <row r="3774">
      <c r="A3774" s="926" t="n">
        <v>37174</v>
      </c>
      <c r="B3774" t="n">
        <v>7.8</v>
      </c>
      <c r="C3774" t="n">
        <v>0.9429999999999999</v>
      </c>
    </row>
    <row r="3775">
      <c r="A3775" s="926" t="n">
        <v>37175</v>
      </c>
      <c r="B3775" t="n">
        <v>7.8</v>
      </c>
      <c r="C3775" t="n">
        <v>0.9429999999999999</v>
      </c>
    </row>
    <row r="3776">
      <c r="A3776" s="926" t="n">
        <v>37176</v>
      </c>
      <c r="B3776" t="n">
        <v>7.8</v>
      </c>
      <c r="C3776" t="n">
        <v>0.9429999999999999</v>
      </c>
    </row>
    <row r="3777">
      <c r="A3777" s="926" t="n">
        <v>37177</v>
      </c>
      <c r="B3777" t="n">
        <v>7.799</v>
      </c>
      <c r="C3777" t="n">
        <v>0.9429999999999999</v>
      </c>
    </row>
    <row r="3778">
      <c r="A3778" s="926" t="n">
        <v>37179</v>
      </c>
      <c r="B3778" t="n">
        <v>7.8</v>
      </c>
      <c r="C3778" t="n">
        <v>0.9429999999999999</v>
      </c>
    </row>
    <row r="3779">
      <c r="A3779" s="926" t="n">
        <v>37180</v>
      </c>
      <c r="B3779" t="n">
        <v>7.8</v>
      </c>
      <c r="C3779" t="n">
        <v>0.9429999999999999</v>
      </c>
    </row>
    <row r="3780">
      <c r="A3780" s="926" t="n">
        <v>37181</v>
      </c>
      <c r="B3780" t="n">
        <v>7.8</v>
      </c>
      <c r="C3780" t="n">
        <v>0.9429999999999999</v>
      </c>
    </row>
    <row r="3781">
      <c r="A3781" s="926" t="n">
        <v>37182</v>
      </c>
      <c r="B3781" t="n">
        <v>7.8</v>
      </c>
      <c r="C3781" t="n">
        <v>0.9429999999999999</v>
      </c>
    </row>
    <row r="3782">
      <c r="A3782" s="926" t="n">
        <v>37183</v>
      </c>
      <c r="B3782" t="n">
        <v>7.8</v>
      </c>
      <c r="C3782" t="n">
        <v>0.9429999999999999</v>
      </c>
    </row>
    <row r="3783">
      <c r="A3783" s="926" t="n">
        <v>37184</v>
      </c>
      <c r="B3783" t="n">
        <v>7.8</v>
      </c>
      <c r="C3783" t="n">
        <v>0.9429999999999999</v>
      </c>
    </row>
    <row r="3784">
      <c r="A3784" s="926" t="n">
        <v>37186</v>
      </c>
      <c r="B3784" t="n">
        <v>7.8</v>
      </c>
      <c r="C3784" t="n">
        <v>0.9429999999999999</v>
      </c>
    </row>
    <row r="3785">
      <c r="A3785" s="926" t="n">
        <v>37187</v>
      </c>
      <c r="B3785" t="n">
        <v>7.8</v>
      </c>
      <c r="C3785" t="n">
        <v>0.9429999999999999</v>
      </c>
    </row>
    <row r="3786">
      <c r="A3786" s="926" t="n">
        <v>37188</v>
      </c>
      <c r="B3786" t="n">
        <v>7.8</v>
      </c>
      <c r="C3786" t="n">
        <v>0.9429999999999999</v>
      </c>
    </row>
    <row r="3787">
      <c r="A3787" s="926" t="n">
        <v>37190</v>
      </c>
      <c r="B3787" t="n">
        <v>7.8</v>
      </c>
      <c r="C3787" t="n">
        <v>0.9429999999999999</v>
      </c>
    </row>
    <row r="3788">
      <c r="A3788" s="926" t="n">
        <v>37191</v>
      </c>
      <c r="B3788" t="n">
        <v>7.799</v>
      </c>
      <c r="C3788" t="n">
        <v>0.9429999999999999</v>
      </c>
    </row>
    <row r="3789">
      <c r="A3789" s="926" t="n">
        <v>37193</v>
      </c>
      <c r="B3789" t="n">
        <v>7.8</v>
      </c>
      <c r="C3789" t="n">
        <v>0.9429999999999999</v>
      </c>
    </row>
    <row r="3790">
      <c r="A3790" s="926" t="n">
        <v>37194</v>
      </c>
      <c r="B3790" t="n">
        <v>7.8</v>
      </c>
      <c r="C3790" t="n">
        <v>0.9429999999999999</v>
      </c>
    </row>
    <row r="3791">
      <c r="A3791" s="926" t="n">
        <v>37195</v>
      </c>
      <c r="B3791" t="n">
        <v>7.8</v>
      </c>
      <c r="C3791" t="n">
        <v>0.9429999999999999</v>
      </c>
    </row>
    <row r="3792">
      <c r="A3792" s="926" t="n">
        <v>37196</v>
      </c>
      <c r="B3792" t="n">
        <v>7.8</v>
      </c>
      <c r="C3792" t="n">
        <v>0.9429999999999999</v>
      </c>
    </row>
    <row r="3793">
      <c r="A3793" s="926" t="n">
        <v>37197</v>
      </c>
      <c r="B3793" t="n">
        <v>7.8</v>
      </c>
      <c r="C3793" t="n">
        <v>0.9429999999999999</v>
      </c>
    </row>
    <row r="3794">
      <c r="A3794" s="926" t="n">
        <v>37198</v>
      </c>
      <c r="B3794" t="n">
        <v>7.799</v>
      </c>
      <c r="C3794" t="n">
        <v>0.9429999999999999</v>
      </c>
    </row>
    <row r="3795">
      <c r="A3795" s="926" t="n">
        <v>37200</v>
      </c>
      <c r="B3795" t="n">
        <v>7.8</v>
      </c>
      <c r="C3795" t="n">
        <v>0.9429999999999999</v>
      </c>
    </row>
    <row r="3796">
      <c r="A3796" s="926" t="n">
        <v>37201</v>
      </c>
      <c r="B3796" t="n">
        <v>7.8</v>
      </c>
      <c r="C3796" t="n">
        <v>0.9429999999999999</v>
      </c>
    </row>
    <row r="3797">
      <c r="A3797" s="926" t="n">
        <v>37202</v>
      </c>
      <c r="B3797" t="n">
        <v>7.8</v>
      </c>
      <c r="C3797" t="n">
        <v>0.9429999999999999</v>
      </c>
    </row>
    <row r="3798">
      <c r="A3798" s="926" t="n">
        <v>37203</v>
      </c>
      <c r="B3798" t="n">
        <v>7.8</v>
      </c>
      <c r="C3798" t="n">
        <v>0.9429999999999999</v>
      </c>
    </row>
    <row r="3799">
      <c r="A3799" s="926" t="n">
        <v>37204</v>
      </c>
      <c r="B3799" t="n">
        <v>7.8</v>
      </c>
      <c r="C3799" t="n">
        <v>0.9429999999999999</v>
      </c>
    </row>
    <row r="3800">
      <c r="A3800" s="926" t="n">
        <v>37205</v>
      </c>
      <c r="B3800" t="n">
        <v>7.8</v>
      </c>
      <c r="C3800" t="n">
        <v>0.9429999999999999</v>
      </c>
    </row>
    <row r="3801">
      <c r="A3801" s="926" t="n">
        <v>37207</v>
      </c>
      <c r="B3801" t="n">
        <v>7.8</v>
      </c>
      <c r="C3801" t="n">
        <v>0.9429999999999999</v>
      </c>
    </row>
    <row r="3802">
      <c r="A3802" s="926" t="n">
        <v>37208</v>
      </c>
      <c r="B3802" t="n">
        <v>7.8</v>
      </c>
      <c r="C3802" t="n">
        <v>0.9429999999999999</v>
      </c>
    </row>
    <row r="3803">
      <c r="A3803" s="926" t="n">
        <v>37209</v>
      </c>
      <c r="B3803" t="n">
        <v>7.8</v>
      </c>
      <c r="C3803" t="n">
        <v>0.9429999999999999</v>
      </c>
    </row>
    <row r="3804">
      <c r="A3804" s="926" t="n">
        <v>37210</v>
      </c>
      <c r="B3804" t="n">
        <v>7.8</v>
      </c>
      <c r="C3804" t="n">
        <v>0.9429999999999999</v>
      </c>
    </row>
    <row r="3805">
      <c r="A3805" s="926" t="n">
        <v>37211</v>
      </c>
      <c r="B3805" t="n">
        <v>7.8</v>
      </c>
      <c r="C3805" t="n">
        <v>0.9429999999999999</v>
      </c>
    </row>
    <row r="3806">
      <c r="A3806" s="926" t="n">
        <v>37212</v>
      </c>
      <c r="B3806" t="n">
        <v>7.799</v>
      </c>
      <c r="C3806" t="n">
        <v>0.9429999999999999</v>
      </c>
    </row>
    <row r="3807">
      <c r="A3807" s="926" t="n">
        <v>37214</v>
      </c>
      <c r="B3807" t="n">
        <v>7.8</v>
      </c>
      <c r="C3807" t="n">
        <v>0.9429999999999999</v>
      </c>
    </row>
    <row r="3808">
      <c r="A3808" s="926" t="n">
        <v>37215</v>
      </c>
      <c r="B3808" t="n">
        <v>7.8</v>
      </c>
      <c r="C3808" t="n">
        <v>0.9429999999999999</v>
      </c>
    </row>
    <row r="3809">
      <c r="A3809" s="926" t="n">
        <v>37216</v>
      </c>
      <c r="B3809" t="n">
        <v>7.8</v>
      </c>
      <c r="C3809" t="n">
        <v>0.9429999999999999</v>
      </c>
    </row>
    <row r="3810">
      <c r="A3810" s="926" t="n">
        <v>37217</v>
      </c>
      <c r="B3810" t="n">
        <v>7.799</v>
      </c>
      <c r="C3810" t="n">
        <v>0.9429999999999999</v>
      </c>
    </row>
    <row r="3811">
      <c r="A3811" s="926" t="n">
        <v>37218</v>
      </c>
      <c r="B3811" t="n">
        <v>7.799</v>
      </c>
      <c r="C3811" t="n">
        <v>0.9429999999999999</v>
      </c>
    </row>
    <row r="3812">
      <c r="A3812" s="926" t="n">
        <v>37219</v>
      </c>
      <c r="B3812" t="n">
        <v>7.798</v>
      </c>
      <c r="C3812" t="n">
        <v>0.9429999999999999</v>
      </c>
    </row>
    <row r="3813">
      <c r="A3813" s="926" t="n">
        <v>37221</v>
      </c>
      <c r="B3813" t="n">
        <v>7.799</v>
      </c>
      <c r="C3813" t="n">
        <v>0.9429999999999999</v>
      </c>
    </row>
    <row r="3814">
      <c r="A3814" s="926" t="n">
        <v>37222</v>
      </c>
      <c r="B3814" t="n">
        <v>7.799</v>
      </c>
      <c r="C3814" t="n">
        <v>0.9429999999999999</v>
      </c>
    </row>
    <row r="3815">
      <c r="A3815" s="926" t="n">
        <v>37223</v>
      </c>
      <c r="B3815" t="n">
        <v>7.799</v>
      </c>
      <c r="C3815" t="n">
        <v>0.9429999999999999</v>
      </c>
    </row>
    <row r="3816">
      <c r="A3816" s="926" t="n">
        <v>37224</v>
      </c>
      <c r="B3816" t="n">
        <v>7.798</v>
      </c>
      <c r="C3816" t="n">
        <v>0.9429999999999999</v>
      </c>
    </row>
    <row r="3817">
      <c r="A3817" s="926" t="n">
        <v>37225</v>
      </c>
      <c r="B3817" t="n">
        <v>7.798</v>
      </c>
      <c r="C3817" t="n">
        <v>0.9429999999999999</v>
      </c>
    </row>
    <row r="3818">
      <c r="A3818" s="926" t="n">
        <v>37226</v>
      </c>
      <c r="B3818" t="n">
        <v>7.798</v>
      </c>
      <c r="C3818" t="n">
        <v>0.9429999999999999</v>
      </c>
    </row>
    <row r="3819">
      <c r="A3819" s="926" t="n">
        <v>37228</v>
      </c>
      <c r="B3819" t="n">
        <v>7.799</v>
      </c>
      <c r="C3819" t="n">
        <v>0.9429999999999999</v>
      </c>
    </row>
    <row r="3820">
      <c r="A3820" s="926" t="n">
        <v>37229</v>
      </c>
      <c r="B3820" t="n">
        <v>7.799</v>
      </c>
      <c r="C3820" t="n">
        <v>0.9429999999999999</v>
      </c>
    </row>
    <row r="3821">
      <c r="A3821" s="926" t="n">
        <v>37230</v>
      </c>
      <c r="B3821" t="n">
        <v>7.799</v>
      </c>
      <c r="C3821" t="n">
        <v>0.9429999999999999</v>
      </c>
    </row>
    <row r="3822">
      <c r="A3822" s="926" t="n">
        <v>37231</v>
      </c>
      <c r="B3822" t="n">
        <v>7.799</v>
      </c>
      <c r="C3822" t="n">
        <v>0.9429999999999999</v>
      </c>
    </row>
    <row r="3823">
      <c r="A3823" s="926" t="n">
        <v>37232</v>
      </c>
      <c r="B3823" t="n">
        <v>7.799</v>
      </c>
      <c r="C3823" t="n">
        <v>0.9429999999999999</v>
      </c>
    </row>
    <row r="3824">
      <c r="A3824" s="926" t="n">
        <v>37233</v>
      </c>
      <c r="B3824" t="n">
        <v>7.799</v>
      </c>
      <c r="C3824" t="n">
        <v>0.9429999999999999</v>
      </c>
    </row>
    <row r="3825">
      <c r="A3825" s="926" t="n">
        <v>37235</v>
      </c>
      <c r="B3825" t="n">
        <v>7.799</v>
      </c>
      <c r="C3825" t="n">
        <v>0.9429999999999999</v>
      </c>
    </row>
    <row r="3826">
      <c r="A3826" s="926" t="n">
        <v>37236</v>
      </c>
      <c r="B3826" t="n">
        <v>7.799</v>
      </c>
      <c r="C3826" t="n">
        <v>0.9429999999999999</v>
      </c>
    </row>
    <row r="3827">
      <c r="A3827" s="926" t="n">
        <v>37237</v>
      </c>
      <c r="B3827" t="n">
        <v>7.799</v>
      </c>
      <c r="C3827" t="n">
        <v>0.9429999999999999</v>
      </c>
    </row>
    <row r="3828">
      <c r="A3828" s="926" t="n">
        <v>37238</v>
      </c>
      <c r="B3828" t="n">
        <v>7.799</v>
      </c>
      <c r="C3828" t="n">
        <v>0.9429999999999999</v>
      </c>
    </row>
    <row r="3829">
      <c r="A3829" s="926" t="n">
        <v>37239</v>
      </c>
      <c r="B3829" t="n">
        <v>7.799</v>
      </c>
      <c r="C3829" t="n">
        <v>0.9429999999999999</v>
      </c>
    </row>
    <row r="3830">
      <c r="A3830" s="926" t="n">
        <v>37240</v>
      </c>
      <c r="B3830" t="n">
        <v>7.799</v>
      </c>
      <c r="C3830" t="n">
        <v>0.9429999999999999</v>
      </c>
    </row>
    <row r="3831">
      <c r="A3831" s="926" t="n">
        <v>37242</v>
      </c>
      <c r="B3831" t="n">
        <v>7.799</v>
      </c>
      <c r="C3831" t="n">
        <v>0.9429999999999999</v>
      </c>
    </row>
    <row r="3832">
      <c r="A3832" s="926" t="n">
        <v>37243</v>
      </c>
      <c r="B3832" t="n">
        <v>7.799</v>
      </c>
      <c r="C3832" t="n">
        <v>0.9429999999999999</v>
      </c>
    </row>
    <row r="3833">
      <c r="A3833" s="926" t="n">
        <v>37244</v>
      </c>
      <c r="B3833" t="n">
        <v>7.799</v>
      </c>
      <c r="C3833" t="n">
        <v>0.9429999999999999</v>
      </c>
    </row>
    <row r="3834">
      <c r="A3834" s="926" t="n">
        <v>37245</v>
      </c>
      <c r="B3834" t="n">
        <v>7.798</v>
      </c>
      <c r="C3834" t="n">
        <v>0.9429999999999999</v>
      </c>
    </row>
    <row r="3835">
      <c r="A3835" s="926" t="n">
        <v>37246</v>
      </c>
      <c r="B3835" t="n">
        <v>7.798</v>
      </c>
      <c r="C3835" t="n">
        <v>0.9429999999999999</v>
      </c>
    </row>
    <row r="3836">
      <c r="A3836" s="926" t="n">
        <v>37247</v>
      </c>
      <c r="B3836" t="n">
        <v>7.797</v>
      </c>
      <c r="C3836" t="n">
        <v>0.9429999999999999</v>
      </c>
    </row>
    <row r="3837">
      <c r="A3837" s="926" t="n">
        <v>37249</v>
      </c>
      <c r="B3837" t="n">
        <v>7.797</v>
      </c>
      <c r="C3837" t="n">
        <v>0.9429999999999999</v>
      </c>
    </row>
    <row r="3838">
      <c r="A3838" s="926" t="n">
        <v>37252</v>
      </c>
      <c r="B3838" t="n">
        <v>7.797</v>
      </c>
      <c r="C3838" t="n">
        <v>0.9429999999999999</v>
      </c>
    </row>
    <row r="3839">
      <c r="A3839" s="926" t="n">
        <v>37253</v>
      </c>
      <c r="B3839" t="n">
        <v>7.797</v>
      </c>
      <c r="C3839" t="n">
        <v>0.9429999999999999</v>
      </c>
    </row>
    <row r="3840">
      <c r="A3840" s="926" t="n">
        <v>37254</v>
      </c>
      <c r="B3840" t="n">
        <v>7.797</v>
      </c>
      <c r="C3840" t="n">
        <v>0.9429999999999999</v>
      </c>
    </row>
    <row r="3841">
      <c r="A3841" s="926" t="n">
        <v>37256</v>
      </c>
      <c r="B3841" t="n">
        <v>7.797</v>
      </c>
      <c r="C3841" t="n">
        <v>0.9429999999999999</v>
      </c>
    </row>
    <row r="3842">
      <c r="A3842" s="926" t="n">
        <v>37258</v>
      </c>
      <c r="B3842" t="n">
        <v>7.797</v>
      </c>
      <c r="C3842" t="n">
        <v>0.9429999999999999</v>
      </c>
    </row>
    <row r="3843">
      <c r="A3843" s="926" t="n">
        <v>37259</v>
      </c>
      <c r="B3843" t="n">
        <v>7.797</v>
      </c>
      <c r="C3843" t="n">
        <v>0.9429999999999999</v>
      </c>
    </row>
    <row r="3844">
      <c r="A3844" s="926" t="n">
        <v>37260</v>
      </c>
      <c r="B3844" t="n">
        <v>7.797</v>
      </c>
      <c r="C3844" t="n">
        <v>0.9429999999999999</v>
      </c>
    </row>
    <row r="3845">
      <c r="A3845" s="926" t="n">
        <v>37261</v>
      </c>
      <c r="B3845" t="n">
        <v>7.796</v>
      </c>
      <c r="C3845" t="n">
        <v>0.9429999999999999</v>
      </c>
    </row>
    <row r="3846">
      <c r="A3846" s="926" t="n">
        <v>37263</v>
      </c>
      <c r="B3846" t="n">
        <v>7.797</v>
      </c>
      <c r="C3846" t="n">
        <v>0.9429999999999999</v>
      </c>
    </row>
    <row r="3847">
      <c r="A3847" s="926" t="n">
        <v>37264</v>
      </c>
      <c r="B3847" t="n">
        <v>7.798</v>
      </c>
      <c r="C3847" t="n">
        <v>0.9429999999999999</v>
      </c>
    </row>
    <row r="3848">
      <c r="A3848" s="926" t="n">
        <v>37265</v>
      </c>
      <c r="B3848" t="n">
        <v>7.798</v>
      </c>
      <c r="C3848" t="n">
        <v>0.9429999999999999</v>
      </c>
    </row>
    <row r="3849">
      <c r="A3849" s="926" t="n">
        <v>37266</v>
      </c>
      <c r="B3849" t="n">
        <v>7.798</v>
      </c>
      <c r="C3849" t="n">
        <v>0.9429999999999999</v>
      </c>
    </row>
    <row r="3850">
      <c r="A3850" s="926" t="n">
        <v>37267</v>
      </c>
      <c r="B3850" t="n">
        <v>7.797</v>
      </c>
      <c r="C3850" t="n">
        <v>0.9429999999999999</v>
      </c>
    </row>
    <row r="3851">
      <c r="A3851" s="926" t="n">
        <v>37268</v>
      </c>
      <c r="B3851" t="n">
        <v>7.797</v>
      </c>
      <c r="C3851" t="n">
        <v>0.9429999999999999</v>
      </c>
    </row>
    <row r="3852">
      <c r="A3852" s="926" t="n">
        <v>37270</v>
      </c>
      <c r="B3852" t="n">
        <v>7.798</v>
      </c>
      <c r="C3852" t="n">
        <v>0.9429999999999999</v>
      </c>
    </row>
    <row r="3853">
      <c r="A3853" s="926" t="n">
        <v>37271</v>
      </c>
      <c r="B3853" t="n">
        <v>7.798</v>
      </c>
      <c r="C3853" t="n">
        <v>0.9429999999999999</v>
      </c>
    </row>
    <row r="3854">
      <c r="A3854" s="926" t="n">
        <v>37272</v>
      </c>
      <c r="B3854" t="n">
        <v>7.798</v>
      </c>
      <c r="C3854" t="n">
        <v>0.9429999999999999</v>
      </c>
    </row>
    <row r="3855">
      <c r="A3855" s="926" t="n">
        <v>37273</v>
      </c>
      <c r="B3855" t="n">
        <v>7.799</v>
      </c>
      <c r="C3855" t="n">
        <v>0.9429999999999999</v>
      </c>
    </row>
    <row r="3856">
      <c r="A3856" s="926" t="n">
        <v>37274</v>
      </c>
      <c r="B3856" t="n">
        <v>7.799</v>
      </c>
      <c r="C3856" t="n">
        <v>0.9429999999999999</v>
      </c>
    </row>
    <row r="3857">
      <c r="A3857" s="926" t="n">
        <v>37275</v>
      </c>
      <c r="B3857" t="n">
        <v>7.798</v>
      </c>
      <c r="C3857" t="n">
        <v>0.9429999999999999</v>
      </c>
    </row>
    <row r="3858">
      <c r="A3858" s="926" t="n">
        <v>37277</v>
      </c>
      <c r="B3858" t="n">
        <v>7.799</v>
      </c>
      <c r="C3858" t="n">
        <v>0.9429999999999999</v>
      </c>
    </row>
    <row r="3859">
      <c r="A3859" s="926" t="n">
        <v>37278</v>
      </c>
      <c r="B3859" t="n">
        <v>7.799</v>
      </c>
      <c r="C3859" t="n">
        <v>0.9429999999999999</v>
      </c>
    </row>
    <row r="3860">
      <c r="A3860" s="926" t="n">
        <v>37279</v>
      </c>
      <c r="B3860" t="n">
        <v>7.798</v>
      </c>
      <c r="C3860" t="n">
        <v>0.9429999999999999</v>
      </c>
    </row>
    <row r="3861">
      <c r="A3861" s="926" t="n">
        <v>37280</v>
      </c>
      <c r="B3861" t="n">
        <v>7.798</v>
      </c>
      <c r="C3861" t="n">
        <v>0.9429999999999999</v>
      </c>
    </row>
    <row r="3862">
      <c r="A3862" s="926" t="n">
        <v>37281</v>
      </c>
      <c r="B3862" t="n">
        <v>7.799</v>
      </c>
      <c r="C3862" t="n">
        <v>0.9429999999999999</v>
      </c>
    </row>
    <row r="3863">
      <c r="A3863" s="926" t="n">
        <v>37282</v>
      </c>
      <c r="B3863" t="n">
        <v>7.798</v>
      </c>
      <c r="C3863" t="n">
        <v>0.9429999999999999</v>
      </c>
    </row>
    <row r="3864">
      <c r="A3864" s="926" t="n">
        <v>37284</v>
      </c>
      <c r="B3864" t="n">
        <v>7.8</v>
      </c>
      <c r="C3864" t="n">
        <v>0.9429999999999999</v>
      </c>
    </row>
    <row r="3865">
      <c r="A3865" s="926" t="n">
        <v>37285</v>
      </c>
      <c r="B3865" t="n">
        <v>7.8</v>
      </c>
      <c r="C3865" t="n">
        <v>0.9429999999999999</v>
      </c>
    </row>
    <row r="3866">
      <c r="A3866" s="926" t="n">
        <v>37286</v>
      </c>
      <c r="B3866" t="n">
        <v>7.8</v>
      </c>
      <c r="C3866" t="n">
        <v>0.9429999999999999</v>
      </c>
    </row>
    <row r="3867">
      <c r="A3867" s="926" t="n">
        <v>37287</v>
      </c>
      <c r="B3867" t="n">
        <v>7.8</v>
      </c>
      <c r="C3867" t="n">
        <v>0.9429999999999999</v>
      </c>
    </row>
    <row r="3868">
      <c r="A3868" s="926" t="n">
        <v>37288</v>
      </c>
      <c r="B3868" t="n">
        <v>7.8</v>
      </c>
      <c r="C3868" t="n">
        <v>0.9429999999999999</v>
      </c>
    </row>
    <row r="3869">
      <c r="A3869" s="926" t="n">
        <v>37289</v>
      </c>
      <c r="B3869" t="n">
        <v>7.8</v>
      </c>
      <c r="C3869" t="n">
        <v>0.9429999999999999</v>
      </c>
    </row>
    <row r="3870">
      <c r="A3870" s="926" t="n">
        <v>37291</v>
      </c>
      <c r="B3870" t="n">
        <v>7.8</v>
      </c>
      <c r="C3870" t="n">
        <v>0.9429999999999999</v>
      </c>
    </row>
    <row r="3871">
      <c r="A3871" s="926" t="n">
        <v>37292</v>
      </c>
      <c r="B3871" t="n">
        <v>7.8</v>
      </c>
      <c r="C3871" t="n">
        <v>0.9429999999999999</v>
      </c>
    </row>
    <row r="3872">
      <c r="A3872" s="926" t="n">
        <v>37293</v>
      </c>
      <c r="B3872" t="n">
        <v>7.799</v>
      </c>
      <c r="C3872" t="n">
        <v>0.9429999999999999</v>
      </c>
    </row>
    <row r="3873">
      <c r="A3873" s="926" t="n">
        <v>37294</v>
      </c>
      <c r="B3873" t="n">
        <v>7.8</v>
      </c>
      <c r="C3873" t="n">
        <v>0.945</v>
      </c>
    </row>
    <row r="3874">
      <c r="A3874" s="926" t="n">
        <v>37295</v>
      </c>
      <c r="B3874" t="n">
        <v>7.799</v>
      </c>
      <c r="C3874" t="n">
        <v>0.945</v>
      </c>
    </row>
    <row r="3875">
      <c r="A3875" s="926" t="n">
        <v>37296</v>
      </c>
      <c r="B3875" t="n">
        <v>7.798</v>
      </c>
      <c r="C3875" t="n">
        <v>0.945</v>
      </c>
    </row>
    <row r="3876">
      <c r="A3876" s="926" t="n">
        <v>37298</v>
      </c>
      <c r="B3876" t="n">
        <v>7.8</v>
      </c>
      <c r="C3876" t="n">
        <v>0.945</v>
      </c>
    </row>
    <row r="3877">
      <c r="A3877" s="926" t="n">
        <v>37302</v>
      </c>
      <c r="B3877" t="n">
        <v>7.799</v>
      </c>
      <c r="C3877" t="n">
        <v>0.945</v>
      </c>
    </row>
    <row r="3878">
      <c r="A3878" s="926" t="n">
        <v>37303</v>
      </c>
      <c r="B3878" t="n">
        <v>7.799</v>
      </c>
      <c r="C3878" t="n">
        <v>0.945</v>
      </c>
    </row>
    <row r="3879">
      <c r="A3879" s="926" t="n">
        <v>37305</v>
      </c>
      <c r="B3879" t="n">
        <v>7.8</v>
      </c>
      <c r="C3879" t="n">
        <v>0.945</v>
      </c>
    </row>
    <row r="3880">
      <c r="A3880" s="926" t="n">
        <v>37306</v>
      </c>
      <c r="B3880" t="n">
        <v>7.8</v>
      </c>
      <c r="C3880" t="n">
        <v>0.945</v>
      </c>
    </row>
    <row r="3881">
      <c r="A3881" s="926" t="n">
        <v>37307</v>
      </c>
      <c r="B3881" t="n">
        <v>7.799</v>
      </c>
      <c r="C3881" t="n">
        <v>0.945</v>
      </c>
    </row>
    <row r="3882">
      <c r="A3882" s="926" t="n">
        <v>37308</v>
      </c>
      <c r="B3882" t="n">
        <v>7.8</v>
      </c>
      <c r="C3882" t="n">
        <v>0.945</v>
      </c>
    </row>
    <row r="3883">
      <c r="A3883" s="926" t="n">
        <v>37309</v>
      </c>
      <c r="B3883" t="n">
        <v>7.799</v>
      </c>
      <c r="C3883" t="n">
        <v>0.945</v>
      </c>
    </row>
    <row r="3884">
      <c r="A3884" s="926" t="n">
        <v>37310</v>
      </c>
      <c r="B3884" t="n">
        <v>7.799</v>
      </c>
      <c r="C3884" t="n">
        <v>0.945</v>
      </c>
    </row>
    <row r="3885">
      <c r="A3885" s="926" t="n">
        <v>37312</v>
      </c>
      <c r="B3885" t="n">
        <v>7.8</v>
      </c>
      <c r="C3885" t="n">
        <v>0.945</v>
      </c>
    </row>
    <row r="3886">
      <c r="A3886" s="926" t="n">
        <v>37313</v>
      </c>
      <c r="B3886" t="n">
        <v>7.799</v>
      </c>
      <c r="C3886" t="n">
        <v>0.945</v>
      </c>
    </row>
    <row r="3887">
      <c r="A3887" s="926" t="n">
        <v>37314</v>
      </c>
      <c r="B3887" t="n">
        <v>7.8</v>
      </c>
      <c r="C3887" t="n">
        <v>0.945</v>
      </c>
    </row>
    <row r="3888">
      <c r="A3888" s="926" t="n">
        <v>37315</v>
      </c>
      <c r="B3888" t="n">
        <v>7.8</v>
      </c>
      <c r="C3888" t="n">
        <v>0.945</v>
      </c>
    </row>
    <row r="3889">
      <c r="A3889" s="926" t="n">
        <v>37316</v>
      </c>
      <c r="B3889" t="n">
        <v>7.799</v>
      </c>
      <c r="C3889" t="n">
        <v>0.945</v>
      </c>
    </row>
    <row r="3890">
      <c r="A3890" s="926" t="n">
        <v>37317</v>
      </c>
      <c r="B3890" t="n">
        <v>7.799</v>
      </c>
      <c r="C3890" t="n">
        <v>0.945</v>
      </c>
    </row>
    <row r="3891">
      <c r="A3891" s="926" t="n">
        <v>37319</v>
      </c>
      <c r="B3891" t="n">
        <v>7.799</v>
      </c>
      <c r="C3891" t="n">
        <v>0.945</v>
      </c>
    </row>
    <row r="3892">
      <c r="A3892" s="926" t="n">
        <v>37320</v>
      </c>
      <c r="B3892" t="n">
        <v>7.799</v>
      </c>
      <c r="C3892" t="n">
        <v>0.945</v>
      </c>
    </row>
    <row r="3893">
      <c r="A3893" s="926" t="n">
        <v>37321</v>
      </c>
      <c r="B3893" t="n">
        <v>7.799</v>
      </c>
      <c r="C3893" t="n">
        <v>0.945</v>
      </c>
    </row>
    <row r="3894">
      <c r="A3894" s="926" t="n">
        <v>37322</v>
      </c>
      <c r="B3894" t="n">
        <v>7.798</v>
      </c>
      <c r="C3894" t="n">
        <v>0.945</v>
      </c>
    </row>
    <row r="3895">
      <c r="A3895" s="926" t="n">
        <v>37323</v>
      </c>
      <c r="B3895" t="n">
        <v>7.798</v>
      </c>
      <c r="C3895" t="n">
        <v>0.945</v>
      </c>
    </row>
    <row r="3896">
      <c r="A3896" s="926" t="n">
        <v>37324</v>
      </c>
      <c r="B3896" t="n">
        <v>7.798</v>
      </c>
      <c r="C3896" t="n">
        <v>0.945</v>
      </c>
    </row>
    <row r="3897">
      <c r="A3897" s="926" t="n">
        <v>37326</v>
      </c>
      <c r="B3897" t="n">
        <v>7.8</v>
      </c>
      <c r="C3897" t="n">
        <v>0.945</v>
      </c>
    </row>
    <row r="3898">
      <c r="A3898" s="926" t="n">
        <v>37327</v>
      </c>
      <c r="B3898" t="n">
        <v>7.8</v>
      </c>
      <c r="C3898" t="n">
        <v>0.945</v>
      </c>
    </row>
    <row r="3899">
      <c r="A3899" s="926" t="n">
        <v>37328</v>
      </c>
      <c r="B3899" t="n">
        <v>7.8</v>
      </c>
      <c r="C3899" t="n">
        <v>0.945</v>
      </c>
    </row>
    <row r="3900">
      <c r="A3900" s="926" t="n">
        <v>37329</v>
      </c>
      <c r="B3900" t="n">
        <v>7.799</v>
      </c>
      <c r="C3900" t="n">
        <v>0.945</v>
      </c>
    </row>
    <row r="3901">
      <c r="A3901" s="926" t="n">
        <v>37330</v>
      </c>
      <c r="B3901" t="n">
        <v>7.799</v>
      </c>
      <c r="C3901" t="n">
        <v>0.945</v>
      </c>
    </row>
    <row r="3902">
      <c r="A3902" s="926" t="n">
        <v>37331</v>
      </c>
      <c r="B3902" t="n">
        <v>7.799</v>
      </c>
      <c r="C3902" t="n">
        <v>0.945</v>
      </c>
    </row>
    <row r="3903">
      <c r="A3903" s="926" t="n">
        <v>37333</v>
      </c>
      <c r="B3903" t="n">
        <v>7.799</v>
      </c>
      <c r="C3903" t="n">
        <v>0.945</v>
      </c>
    </row>
    <row r="3904">
      <c r="A3904" s="926" t="n">
        <v>37334</v>
      </c>
      <c r="B3904" t="n">
        <v>7.799</v>
      </c>
      <c r="C3904" t="n">
        <v>0.945</v>
      </c>
    </row>
    <row r="3905">
      <c r="A3905" s="926" t="n">
        <v>37335</v>
      </c>
      <c r="B3905" t="n">
        <v>7.799</v>
      </c>
      <c r="C3905" t="n">
        <v>0.945</v>
      </c>
    </row>
    <row r="3906">
      <c r="A3906" s="926" t="n">
        <v>37336</v>
      </c>
      <c r="B3906" t="n">
        <v>7.799</v>
      </c>
      <c r="C3906" t="n">
        <v>0.945</v>
      </c>
    </row>
    <row r="3907">
      <c r="A3907" s="926" t="n">
        <v>37337</v>
      </c>
      <c r="B3907" t="n">
        <v>7.799</v>
      </c>
      <c r="C3907" t="n">
        <v>0.945</v>
      </c>
    </row>
    <row r="3908">
      <c r="A3908" s="926" t="n">
        <v>37338</v>
      </c>
      <c r="B3908" t="n">
        <v>7.799</v>
      </c>
      <c r="C3908" t="n">
        <v>0.945</v>
      </c>
    </row>
    <row r="3909">
      <c r="A3909" s="926" t="n">
        <v>37340</v>
      </c>
      <c r="B3909" t="n">
        <v>7.8</v>
      </c>
      <c r="C3909" t="n">
        <v>0.945</v>
      </c>
    </row>
    <row r="3910">
      <c r="A3910" s="926" t="n">
        <v>37341</v>
      </c>
      <c r="B3910" t="n">
        <v>7.8</v>
      </c>
      <c r="C3910" t="n">
        <v>0.945</v>
      </c>
    </row>
    <row r="3911">
      <c r="A3911" s="926" t="n">
        <v>37342</v>
      </c>
      <c r="B3911" t="n">
        <v>7.799</v>
      </c>
      <c r="C3911" t="n">
        <v>0.945</v>
      </c>
    </row>
    <row r="3912">
      <c r="A3912" s="926" t="n">
        <v>37343</v>
      </c>
      <c r="B3912" t="n">
        <v>7.799</v>
      </c>
      <c r="C3912" t="n">
        <v>0.945</v>
      </c>
    </row>
    <row r="3913">
      <c r="A3913" s="926" t="n">
        <v>37348</v>
      </c>
      <c r="B3913" t="n">
        <v>7.799</v>
      </c>
      <c r="C3913" t="n">
        <v>0.945</v>
      </c>
    </row>
    <row r="3914">
      <c r="A3914" s="926" t="n">
        <v>37349</v>
      </c>
      <c r="B3914" t="n">
        <v>7.799</v>
      </c>
      <c r="C3914" t="n">
        <v>0.945</v>
      </c>
    </row>
    <row r="3915">
      <c r="A3915" s="926" t="n">
        <v>37350</v>
      </c>
      <c r="B3915" t="n">
        <v>7.799</v>
      </c>
      <c r="C3915" t="n">
        <v>0.945</v>
      </c>
    </row>
    <row r="3916">
      <c r="A3916" s="926" t="n">
        <v>37352</v>
      </c>
      <c r="B3916" t="n">
        <v>7.798</v>
      </c>
      <c r="C3916" t="n">
        <v>0.945</v>
      </c>
    </row>
    <row r="3917">
      <c r="A3917" s="926" t="n">
        <v>37354</v>
      </c>
      <c r="B3917" t="n">
        <v>7.799</v>
      </c>
      <c r="C3917" t="n">
        <v>0.945</v>
      </c>
    </row>
    <row r="3918">
      <c r="A3918" s="926" t="n">
        <v>37355</v>
      </c>
      <c r="B3918" t="n">
        <v>7.8</v>
      </c>
      <c r="C3918" t="n">
        <v>0.945</v>
      </c>
    </row>
    <row r="3919">
      <c r="A3919" s="926" t="n">
        <v>37356</v>
      </c>
      <c r="B3919" t="n">
        <v>7.799</v>
      </c>
      <c r="C3919" t="n">
        <v>0.945</v>
      </c>
    </row>
    <row r="3920">
      <c r="A3920" s="926" t="n">
        <v>37357</v>
      </c>
      <c r="B3920" t="n">
        <v>7.799</v>
      </c>
      <c r="C3920" t="n">
        <v>0.945</v>
      </c>
    </row>
    <row r="3921">
      <c r="A3921" s="926" t="n">
        <v>37358</v>
      </c>
      <c r="B3921" t="n">
        <v>7.799</v>
      </c>
      <c r="C3921" t="n">
        <v>0.945</v>
      </c>
    </row>
    <row r="3922">
      <c r="A3922" s="926" t="n">
        <v>37359</v>
      </c>
      <c r="B3922" t="n">
        <v>7.799</v>
      </c>
      <c r="C3922" t="n">
        <v>0.945</v>
      </c>
    </row>
    <row r="3923">
      <c r="A3923" s="926" t="n">
        <v>37361</v>
      </c>
      <c r="B3923" t="n">
        <v>7.799</v>
      </c>
      <c r="C3923" t="n">
        <v>0.945</v>
      </c>
    </row>
    <row r="3924">
      <c r="A3924" s="926" t="n">
        <v>37362</v>
      </c>
      <c r="B3924" t="n">
        <v>7.799</v>
      </c>
      <c r="C3924" t="n">
        <v>0.945</v>
      </c>
    </row>
    <row r="3925">
      <c r="A3925" s="926" t="n">
        <v>37363</v>
      </c>
      <c r="B3925" t="n">
        <v>7.799</v>
      </c>
      <c r="C3925" t="n">
        <v>0.945</v>
      </c>
    </row>
    <row r="3926">
      <c r="A3926" s="926" t="n">
        <v>37364</v>
      </c>
      <c r="B3926" t="n">
        <v>7.799</v>
      </c>
      <c r="C3926" t="n">
        <v>0.945</v>
      </c>
    </row>
    <row r="3927">
      <c r="A3927" s="926" t="n">
        <v>37365</v>
      </c>
      <c r="B3927" t="n">
        <v>7.799</v>
      </c>
      <c r="C3927" t="n">
        <v>0.945</v>
      </c>
    </row>
    <row r="3928">
      <c r="A3928" s="926" t="n">
        <v>37366</v>
      </c>
      <c r="B3928" t="n">
        <v>7.799</v>
      </c>
      <c r="C3928" t="n">
        <v>0.945</v>
      </c>
    </row>
    <row r="3929">
      <c r="A3929" s="926" t="n">
        <v>37368</v>
      </c>
      <c r="B3929" t="n">
        <v>7.8</v>
      </c>
      <c r="C3929" t="n">
        <v>0.945</v>
      </c>
    </row>
    <row r="3930">
      <c r="A3930" s="926" t="n">
        <v>37369</v>
      </c>
      <c r="B3930" t="n">
        <v>7.799</v>
      </c>
      <c r="C3930" t="n">
        <v>0.945</v>
      </c>
    </row>
    <row r="3931">
      <c r="A3931" s="926" t="n">
        <v>37370</v>
      </c>
      <c r="B3931" t="n">
        <v>7.799</v>
      </c>
      <c r="C3931" t="n">
        <v>0.945</v>
      </c>
    </row>
    <row r="3932">
      <c r="A3932" s="926" t="n">
        <v>37371</v>
      </c>
      <c r="B3932" t="n">
        <v>7.799</v>
      </c>
      <c r="C3932" t="n">
        <v>0.945</v>
      </c>
    </row>
    <row r="3933">
      <c r="A3933" s="926" t="n">
        <v>37372</v>
      </c>
      <c r="B3933" t="n">
        <v>7.799</v>
      </c>
      <c r="C3933" t="n">
        <v>0.945</v>
      </c>
    </row>
    <row r="3934">
      <c r="A3934" s="926" t="n">
        <v>37373</v>
      </c>
      <c r="B3934" t="n">
        <v>7.799</v>
      </c>
      <c r="C3934" t="n">
        <v>0.945</v>
      </c>
    </row>
    <row r="3935">
      <c r="A3935" s="926" t="n">
        <v>37375</v>
      </c>
      <c r="B3935" t="n">
        <v>7.799</v>
      </c>
      <c r="C3935" t="n">
        <v>0.945</v>
      </c>
    </row>
    <row r="3936">
      <c r="A3936" s="926" t="n">
        <v>37376</v>
      </c>
      <c r="B3936" t="n">
        <v>7.799</v>
      </c>
      <c r="C3936" t="n">
        <v>0.945</v>
      </c>
    </row>
    <row r="3937">
      <c r="A3937" s="926" t="n">
        <v>37378</v>
      </c>
      <c r="B3937" t="n">
        <v>7.799</v>
      </c>
      <c r="C3937" t="n">
        <v>0.945</v>
      </c>
    </row>
    <row r="3938">
      <c r="A3938" s="926" t="n">
        <v>37379</v>
      </c>
      <c r="B3938" t="n">
        <v>7.799</v>
      </c>
      <c r="C3938" t="n">
        <v>0.945</v>
      </c>
    </row>
    <row r="3939">
      <c r="A3939" s="926" t="n">
        <v>37380</v>
      </c>
      <c r="B3939" t="n">
        <v>7.798</v>
      </c>
      <c r="C3939" t="n">
        <v>0.945</v>
      </c>
    </row>
    <row r="3940">
      <c r="A3940" s="926" t="n">
        <v>37382</v>
      </c>
      <c r="B3940" t="n">
        <v>7.798</v>
      </c>
      <c r="C3940" t="n">
        <v>0.945</v>
      </c>
    </row>
    <row r="3941">
      <c r="A3941" s="926" t="n">
        <v>37383</v>
      </c>
      <c r="B3941" t="n">
        <v>7.799</v>
      </c>
      <c r="C3941" t="n">
        <v>0.945</v>
      </c>
    </row>
    <row r="3942">
      <c r="A3942" s="926" t="n">
        <v>37384</v>
      </c>
      <c r="B3942" t="n">
        <v>7.799</v>
      </c>
      <c r="C3942" t="n">
        <v>0.945</v>
      </c>
    </row>
    <row r="3943">
      <c r="A3943" s="926" t="n">
        <v>37385</v>
      </c>
      <c r="B3943" t="n">
        <v>7.799</v>
      </c>
      <c r="C3943" t="n">
        <v>0.945</v>
      </c>
    </row>
    <row r="3944">
      <c r="A3944" s="926" t="n">
        <v>37386</v>
      </c>
      <c r="B3944" t="n">
        <v>7.799</v>
      </c>
      <c r="C3944" t="n">
        <v>0.945</v>
      </c>
    </row>
    <row r="3945">
      <c r="A3945" s="926" t="n">
        <v>37387</v>
      </c>
      <c r="B3945" t="n">
        <v>7.798</v>
      </c>
      <c r="C3945" t="n">
        <v>0.945</v>
      </c>
    </row>
    <row r="3946">
      <c r="A3946" s="926" t="n">
        <v>37389</v>
      </c>
      <c r="B3946" t="n">
        <v>7.799</v>
      </c>
      <c r="C3946" t="n">
        <v>0.945</v>
      </c>
    </row>
    <row r="3947">
      <c r="A3947" s="926" t="n">
        <v>37390</v>
      </c>
      <c r="B3947" t="n">
        <v>7.799</v>
      </c>
      <c r="C3947" t="n">
        <v>0.945</v>
      </c>
    </row>
    <row r="3948">
      <c r="A3948" s="926" t="n">
        <v>37391</v>
      </c>
      <c r="B3948" t="n">
        <v>7.799</v>
      </c>
      <c r="C3948" t="n">
        <v>0.945</v>
      </c>
    </row>
    <row r="3949">
      <c r="A3949" s="926" t="n">
        <v>37392</v>
      </c>
      <c r="B3949" t="n">
        <v>7.799</v>
      </c>
      <c r="C3949" t="n">
        <v>0.945</v>
      </c>
    </row>
    <row r="3950">
      <c r="A3950" s="926" t="n">
        <v>37393</v>
      </c>
      <c r="B3950" t="n">
        <v>7.798</v>
      </c>
      <c r="C3950" t="n">
        <v>0.945</v>
      </c>
    </row>
    <row r="3951">
      <c r="A3951" s="926" t="n">
        <v>37394</v>
      </c>
      <c r="B3951" t="n">
        <v>7.798</v>
      </c>
      <c r="C3951" t="n">
        <v>0.945</v>
      </c>
    </row>
    <row r="3952">
      <c r="A3952" s="926" t="n">
        <v>37397</v>
      </c>
      <c r="B3952" t="n">
        <v>7.798</v>
      </c>
      <c r="C3952" t="n">
        <v>0.945</v>
      </c>
    </row>
    <row r="3953">
      <c r="A3953" s="926" t="n">
        <v>37398</v>
      </c>
      <c r="B3953" t="n">
        <v>7.799</v>
      </c>
      <c r="C3953" t="n">
        <v>0.945</v>
      </c>
    </row>
    <row r="3954">
      <c r="A3954" s="926" t="n">
        <v>37399</v>
      </c>
      <c r="B3954" t="n">
        <v>7.798</v>
      </c>
      <c r="C3954" t="n">
        <v>0.945</v>
      </c>
    </row>
    <row r="3955">
      <c r="A3955" s="926" t="n">
        <v>37400</v>
      </c>
      <c r="B3955" t="n">
        <v>7.798</v>
      </c>
      <c r="C3955" t="n">
        <v>0.945</v>
      </c>
    </row>
    <row r="3956">
      <c r="A3956" s="926" t="n">
        <v>37401</v>
      </c>
      <c r="B3956" t="n">
        <v>7.798</v>
      </c>
      <c r="C3956" t="n">
        <v>0.945</v>
      </c>
    </row>
    <row r="3957">
      <c r="A3957" s="926" t="n">
        <v>37403</v>
      </c>
      <c r="B3957" t="n">
        <v>7.799</v>
      </c>
      <c r="C3957" t="n">
        <v>0.945</v>
      </c>
    </row>
    <row r="3958">
      <c r="A3958" s="926" t="n">
        <v>37404</v>
      </c>
      <c r="B3958" t="n">
        <v>7.799</v>
      </c>
      <c r="C3958" t="n">
        <v>0.945</v>
      </c>
    </row>
    <row r="3959">
      <c r="A3959" s="926" t="n">
        <v>37405</v>
      </c>
      <c r="B3959" t="n">
        <v>7.799</v>
      </c>
      <c r="C3959" t="n">
        <v>0.945</v>
      </c>
    </row>
    <row r="3960">
      <c r="A3960" s="926" t="n">
        <v>37406</v>
      </c>
      <c r="B3960" t="n">
        <v>7.799</v>
      </c>
      <c r="C3960" t="n">
        <v>0.945</v>
      </c>
    </row>
    <row r="3961">
      <c r="A3961" s="926" t="n">
        <v>37407</v>
      </c>
      <c r="B3961" t="n">
        <v>7.799</v>
      </c>
      <c r="C3961" t="n">
        <v>0.945</v>
      </c>
    </row>
    <row r="3962">
      <c r="A3962" s="926" t="n">
        <v>37408</v>
      </c>
      <c r="B3962" t="n">
        <v>7.799</v>
      </c>
      <c r="C3962" t="n">
        <v>0.945</v>
      </c>
    </row>
    <row r="3963">
      <c r="A3963" s="926" t="n">
        <v>37410</v>
      </c>
      <c r="B3963" t="n">
        <v>7.8</v>
      </c>
      <c r="C3963" t="n">
        <v>0.945</v>
      </c>
    </row>
    <row r="3964">
      <c r="A3964" s="926" t="n">
        <v>37411</v>
      </c>
      <c r="B3964" t="n">
        <v>7.799</v>
      </c>
      <c r="C3964" t="n">
        <v>0.945</v>
      </c>
    </row>
    <row r="3965">
      <c r="A3965" s="926" t="n">
        <v>37412</v>
      </c>
      <c r="B3965" t="n">
        <v>7.8</v>
      </c>
      <c r="C3965" t="n">
        <v>0.945</v>
      </c>
    </row>
    <row r="3966">
      <c r="A3966" s="926" t="n">
        <v>37413</v>
      </c>
      <c r="B3966" t="n">
        <v>7.8</v>
      </c>
      <c r="C3966" t="n">
        <v>0.945</v>
      </c>
    </row>
    <row r="3967">
      <c r="A3967" s="926" t="n">
        <v>37414</v>
      </c>
      <c r="B3967" t="n">
        <v>7.799</v>
      </c>
      <c r="C3967" t="n">
        <v>0.945</v>
      </c>
    </row>
    <row r="3968">
      <c r="A3968" s="926" t="n">
        <v>37415</v>
      </c>
      <c r="B3968" t="n">
        <v>7.798</v>
      </c>
      <c r="C3968" t="n">
        <v>0.945</v>
      </c>
    </row>
    <row r="3969">
      <c r="A3969" s="926" t="n">
        <v>37417</v>
      </c>
      <c r="B3969" t="n">
        <v>7.8</v>
      </c>
      <c r="C3969" t="n">
        <v>0.945</v>
      </c>
    </row>
    <row r="3970">
      <c r="A3970" s="926" t="n">
        <v>37418</v>
      </c>
      <c r="B3970" t="n">
        <v>7.799</v>
      </c>
      <c r="C3970" t="n">
        <v>0.945</v>
      </c>
    </row>
    <row r="3971">
      <c r="A3971" s="926" t="n">
        <v>37419</v>
      </c>
      <c r="B3971" t="n">
        <v>7.799</v>
      </c>
      <c r="C3971" t="n">
        <v>0.945</v>
      </c>
    </row>
    <row r="3972">
      <c r="A3972" s="926" t="n">
        <v>37420</v>
      </c>
      <c r="B3972" t="n">
        <v>7.8</v>
      </c>
      <c r="C3972" t="n">
        <v>0.945</v>
      </c>
    </row>
    <row r="3973">
      <c r="A3973" s="926" t="n">
        <v>37421</v>
      </c>
      <c r="B3973" t="n">
        <v>7.799</v>
      </c>
      <c r="C3973" t="n">
        <v>0.945</v>
      </c>
    </row>
    <row r="3974">
      <c r="A3974" s="926" t="n">
        <v>37424</v>
      </c>
      <c r="B3974" t="n">
        <v>7.799</v>
      </c>
      <c r="C3974" t="n">
        <v>0.945</v>
      </c>
    </row>
    <row r="3975">
      <c r="A3975" s="926" t="n">
        <v>37425</v>
      </c>
      <c r="B3975" t="n">
        <v>7.799</v>
      </c>
      <c r="C3975" t="n">
        <v>0.945</v>
      </c>
    </row>
    <row r="3976">
      <c r="A3976" s="926" t="n">
        <v>37426</v>
      </c>
      <c r="B3976" t="n">
        <v>7.799</v>
      </c>
      <c r="C3976" t="n">
        <v>0.945</v>
      </c>
    </row>
    <row r="3977">
      <c r="A3977" s="926" t="n">
        <v>37427</v>
      </c>
      <c r="B3977" t="n">
        <v>7.799</v>
      </c>
      <c r="C3977" t="n">
        <v>0.945</v>
      </c>
    </row>
    <row r="3978">
      <c r="A3978" s="926" t="n">
        <v>37428</v>
      </c>
      <c r="B3978" t="n">
        <v>7.799</v>
      </c>
      <c r="C3978" t="n">
        <v>0.945</v>
      </c>
    </row>
    <row r="3979">
      <c r="A3979" s="926" t="n">
        <v>37429</v>
      </c>
      <c r="B3979" t="n">
        <v>7.799</v>
      </c>
      <c r="C3979" t="n">
        <v>0.945</v>
      </c>
    </row>
    <row r="3980">
      <c r="A3980" s="926" t="n">
        <v>37431</v>
      </c>
      <c r="B3980" t="n">
        <v>7.799</v>
      </c>
      <c r="C3980" t="n">
        <v>0.945</v>
      </c>
    </row>
    <row r="3981">
      <c r="A3981" s="926" t="n">
        <v>37432</v>
      </c>
      <c r="B3981" t="n">
        <v>7.8</v>
      </c>
      <c r="C3981" t="n">
        <v>0.945</v>
      </c>
    </row>
    <row r="3982">
      <c r="A3982" s="926" t="n">
        <v>37433</v>
      </c>
      <c r="B3982" t="n">
        <v>7.799</v>
      </c>
      <c r="C3982" t="n">
        <v>0.945</v>
      </c>
    </row>
    <row r="3983">
      <c r="A3983" s="926" t="n">
        <v>37434</v>
      </c>
      <c r="B3983" t="n">
        <v>7.8</v>
      </c>
      <c r="C3983" t="n">
        <v>0.945</v>
      </c>
    </row>
    <row r="3984">
      <c r="A3984" s="926" t="n">
        <v>37435</v>
      </c>
      <c r="B3984" t="n">
        <v>7.799</v>
      </c>
      <c r="C3984" t="n">
        <v>0.945</v>
      </c>
    </row>
    <row r="3985">
      <c r="A3985" s="926" t="n">
        <v>37436</v>
      </c>
      <c r="B3985" t="n">
        <v>7.798</v>
      </c>
      <c r="C3985" t="n">
        <v>0.945</v>
      </c>
    </row>
    <row r="3986">
      <c r="A3986" s="926" t="n">
        <v>37439</v>
      </c>
      <c r="B3986" t="n">
        <v>7.799</v>
      </c>
      <c r="C3986" t="n">
        <v>0.945</v>
      </c>
    </row>
    <row r="3987">
      <c r="A3987" s="926" t="n">
        <v>37440</v>
      </c>
      <c r="B3987" t="n">
        <v>7.799</v>
      </c>
      <c r="C3987" t="n">
        <v>0.945</v>
      </c>
    </row>
    <row r="3988">
      <c r="A3988" s="926" t="n">
        <v>37441</v>
      </c>
      <c r="B3988" t="n">
        <v>7.799</v>
      </c>
      <c r="C3988" t="n">
        <v>0.945</v>
      </c>
    </row>
    <row r="3989">
      <c r="A3989" s="926" t="n">
        <v>37442</v>
      </c>
      <c r="B3989" t="n">
        <v>7.799</v>
      </c>
      <c r="C3989" t="n">
        <v>0.945</v>
      </c>
    </row>
    <row r="3990">
      <c r="A3990" s="926" t="n">
        <v>37443</v>
      </c>
      <c r="B3990" t="n">
        <v>7.799</v>
      </c>
      <c r="C3990" t="n">
        <v>0.945</v>
      </c>
    </row>
    <row r="3991">
      <c r="A3991" s="926" t="n">
        <v>37445</v>
      </c>
      <c r="B3991" t="n">
        <v>7.799</v>
      </c>
      <c r="C3991" t="n">
        <v>0.945</v>
      </c>
    </row>
    <row r="3992">
      <c r="A3992" s="926" t="n">
        <v>37446</v>
      </c>
      <c r="B3992" t="n">
        <v>7.799</v>
      </c>
      <c r="C3992" t="n">
        <v>0.945</v>
      </c>
    </row>
    <row r="3993">
      <c r="A3993" s="926" t="n">
        <v>37447</v>
      </c>
      <c r="B3993" t="n">
        <v>7.799</v>
      </c>
      <c r="C3993" t="n">
        <v>0.945</v>
      </c>
    </row>
    <row r="3994">
      <c r="A3994" s="926" t="n">
        <v>37448</v>
      </c>
      <c r="B3994" t="n">
        <v>7.799</v>
      </c>
      <c r="C3994" t="n">
        <v>0.945</v>
      </c>
    </row>
    <row r="3995">
      <c r="A3995" s="926" t="n">
        <v>37449</v>
      </c>
      <c r="B3995" t="n">
        <v>7.8</v>
      </c>
      <c r="C3995" t="n">
        <v>0.945</v>
      </c>
    </row>
    <row r="3996">
      <c r="A3996" s="926" t="n">
        <v>37450</v>
      </c>
      <c r="B3996" t="n">
        <v>7.798</v>
      </c>
      <c r="C3996" t="n">
        <v>0.945</v>
      </c>
    </row>
    <row r="3997">
      <c r="A3997" s="926" t="n">
        <v>37452</v>
      </c>
      <c r="B3997" t="n">
        <v>7.799</v>
      </c>
      <c r="C3997" t="n">
        <v>0.945</v>
      </c>
    </row>
    <row r="3998">
      <c r="A3998" s="926" t="n">
        <v>37453</v>
      </c>
      <c r="B3998" t="n">
        <v>7.799</v>
      </c>
      <c r="C3998" t="n">
        <v>0.945</v>
      </c>
    </row>
    <row r="3999">
      <c r="A3999" s="926" t="n">
        <v>37454</v>
      </c>
      <c r="B3999" t="n">
        <v>7.799</v>
      </c>
      <c r="C3999" t="n">
        <v>0.945</v>
      </c>
    </row>
    <row r="4000">
      <c r="A4000" s="926" t="n">
        <v>37455</v>
      </c>
      <c r="B4000" t="n">
        <v>7.8</v>
      </c>
      <c r="C4000" t="n">
        <v>0.945</v>
      </c>
    </row>
    <row r="4001">
      <c r="A4001" s="926" t="n">
        <v>37456</v>
      </c>
      <c r="B4001" t="n">
        <v>7.799</v>
      </c>
      <c r="C4001" t="n">
        <v>0.945</v>
      </c>
    </row>
    <row r="4002">
      <c r="A4002" s="926" t="n">
        <v>37457</v>
      </c>
      <c r="B4002" t="n">
        <v>7.799</v>
      </c>
      <c r="C4002" t="n">
        <v>0.945</v>
      </c>
    </row>
    <row r="4003">
      <c r="A4003" s="926" t="n">
        <v>37459</v>
      </c>
      <c r="B4003" t="n">
        <v>7.799</v>
      </c>
      <c r="C4003" t="n">
        <v>0.945</v>
      </c>
    </row>
    <row r="4004">
      <c r="A4004" s="926" t="n">
        <v>37460</v>
      </c>
      <c r="B4004" t="n">
        <v>7.8</v>
      </c>
      <c r="C4004" t="n">
        <v>0.945</v>
      </c>
    </row>
    <row r="4005">
      <c r="A4005" s="926" t="n">
        <v>37461</v>
      </c>
      <c r="B4005" t="n">
        <v>7.799</v>
      </c>
      <c r="C4005" t="n">
        <v>0.945</v>
      </c>
    </row>
    <row r="4006">
      <c r="A4006" s="926" t="n">
        <v>37462</v>
      </c>
      <c r="B4006" t="n">
        <v>7.799</v>
      </c>
      <c r="C4006" t="n">
        <v>0.945</v>
      </c>
    </row>
    <row r="4007">
      <c r="A4007" s="926" t="n">
        <v>37463</v>
      </c>
      <c r="B4007" t="n">
        <v>7.799</v>
      </c>
      <c r="C4007" t="n">
        <v>0.945</v>
      </c>
    </row>
    <row r="4008">
      <c r="A4008" s="926" t="n">
        <v>37464</v>
      </c>
      <c r="B4008" t="n">
        <v>7.799</v>
      </c>
      <c r="C4008" t="n">
        <v>0.945</v>
      </c>
    </row>
    <row r="4009">
      <c r="A4009" s="926" t="n">
        <v>37466</v>
      </c>
      <c r="B4009" t="n">
        <v>7.799</v>
      </c>
      <c r="C4009" t="n">
        <v>0.945</v>
      </c>
    </row>
    <row r="4010">
      <c r="A4010" s="926" t="n">
        <v>37467</v>
      </c>
      <c r="B4010" t="n">
        <v>7.8</v>
      </c>
      <c r="C4010" t="n">
        <v>0.945</v>
      </c>
    </row>
    <row r="4011">
      <c r="A4011" s="926" t="n">
        <v>37468</v>
      </c>
      <c r="B4011" t="n">
        <v>7.799</v>
      </c>
      <c r="C4011" t="n">
        <v>0.945</v>
      </c>
    </row>
    <row r="4012">
      <c r="A4012" s="926" t="n">
        <v>37469</v>
      </c>
      <c r="B4012" t="n">
        <v>7.799</v>
      </c>
      <c r="C4012" t="n">
        <v>0.945</v>
      </c>
    </row>
    <row r="4013">
      <c r="A4013" s="926" t="n">
        <v>37470</v>
      </c>
      <c r="B4013" t="n">
        <v>7.799</v>
      </c>
      <c r="C4013" t="n">
        <v>0.945</v>
      </c>
    </row>
    <row r="4014">
      <c r="A4014" s="926" t="n">
        <v>37471</v>
      </c>
      <c r="B4014" t="n">
        <v>7.799</v>
      </c>
      <c r="C4014" t="n">
        <v>0.945</v>
      </c>
    </row>
    <row r="4015">
      <c r="A4015" s="926" t="n">
        <v>37473</v>
      </c>
      <c r="B4015" t="n">
        <v>7.799</v>
      </c>
      <c r="C4015" t="n">
        <v>0.945</v>
      </c>
    </row>
    <row r="4016">
      <c r="A4016" s="926" t="n">
        <v>37474</v>
      </c>
      <c r="B4016" t="n">
        <v>7.8</v>
      </c>
      <c r="C4016" t="n">
        <v>0.945</v>
      </c>
    </row>
    <row r="4017">
      <c r="A4017" s="926" t="n">
        <v>37475</v>
      </c>
      <c r="B4017" t="n">
        <v>7.799</v>
      </c>
      <c r="C4017" t="n">
        <v>0.945</v>
      </c>
    </row>
    <row r="4018">
      <c r="A4018" s="926" t="n">
        <v>37476</v>
      </c>
      <c r="B4018" t="n">
        <v>7.799</v>
      </c>
      <c r="C4018" t="n">
        <v>0.945</v>
      </c>
    </row>
    <row r="4019">
      <c r="A4019" s="926" t="n">
        <v>37477</v>
      </c>
      <c r="B4019" t="n">
        <v>7.799</v>
      </c>
      <c r="C4019" t="n">
        <v>0.945</v>
      </c>
    </row>
    <row r="4020">
      <c r="A4020" s="926" t="n">
        <v>37478</v>
      </c>
      <c r="B4020" t="n">
        <v>7.798</v>
      </c>
      <c r="C4020" t="n">
        <v>0.945</v>
      </c>
    </row>
    <row r="4021">
      <c r="A4021" s="926" t="n">
        <v>37480</v>
      </c>
      <c r="B4021" t="n">
        <v>7.799</v>
      </c>
      <c r="C4021" t="n">
        <v>0.945</v>
      </c>
    </row>
    <row r="4022">
      <c r="A4022" s="926" t="n">
        <v>37481</v>
      </c>
      <c r="B4022" t="n">
        <v>7.799</v>
      </c>
      <c r="C4022" t="n">
        <v>0.945</v>
      </c>
    </row>
    <row r="4023">
      <c r="A4023" s="926" t="n">
        <v>37482</v>
      </c>
      <c r="B4023" t="n">
        <v>7.799</v>
      </c>
      <c r="C4023" t="n">
        <v>0.945</v>
      </c>
    </row>
    <row r="4024">
      <c r="A4024" s="926" t="n">
        <v>37483</v>
      </c>
      <c r="B4024" t="n">
        <v>7.799</v>
      </c>
      <c r="C4024" t="n">
        <v>0.945</v>
      </c>
    </row>
    <row r="4025">
      <c r="A4025" s="926" t="n">
        <v>37484</v>
      </c>
      <c r="B4025" t="n">
        <v>7.799</v>
      </c>
      <c r="C4025" t="n">
        <v>0.945</v>
      </c>
    </row>
    <row r="4026">
      <c r="A4026" s="926" t="n">
        <v>37485</v>
      </c>
      <c r="B4026" t="n">
        <v>7.799</v>
      </c>
      <c r="C4026" t="n">
        <v>0.945</v>
      </c>
    </row>
    <row r="4027">
      <c r="A4027" s="926" t="n">
        <v>37487</v>
      </c>
      <c r="B4027" t="n">
        <v>7.799</v>
      </c>
      <c r="C4027" t="n">
        <v>0.945</v>
      </c>
    </row>
    <row r="4028">
      <c r="A4028" s="926" t="n">
        <v>37488</v>
      </c>
      <c r="B4028" t="n">
        <v>7.799</v>
      </c>
      <c r="C4028" t="n">
        <v>0.945</v>
      </c>
    </row>
    <row r="4029">
      <c r="A4029" s="926" t="n">
        <v>37489</v>
      </c>
      <c r="B4029" t="n">
        <v>7.799</v>
      </c>
      <c r="C4029" t="n">
        <v>0.945</v>
      </c>
    </row>
    <row r="4030">
      <c r="A4030" s="926" t="n">
        <v>37490</v>
      </c>
      <c r="B4030" t="n">
        <v>7.799</v>
      </c>
      <c r="C4030" t="n">
        <v>0.945</v>
      </c>
    </row>
    <row r="4031">
      <c r="A4031" s="926" t="n">
        <v>37491</v>
      </c>
      <c r="B4031" t="n">
        <v>7.8</v>
      </c>
      <c r="C4031" t="n">
        <v>0.945</v>
      </c>
    </row>
    <row r="4032">
      <c r="A4032" s="926" t="n">
        <v>37492</v>
      </c>
      <c r="B4032" t="n">
        <v>7.799</v>
      </c>
      <c r="C4032" t="n">
        <v>0.945</v>
      </c>
    </row>
    <row r="4033">
      <c r="A4033" s="926" t="n">
        <v>37494</v>
      </c>
      <c r="B4033" t="n">
        <v>7.8</v>
      </c>
      <c r="C4033" t="n">
        <v>0.945</v>
      </c>
    </row>
    <row r="4034">
      <c r="A4034" s="926" t="n">
        <v>37495</v>
      </c>
      <c r="B4034" t="n">
        <v>7.799</v>
      </c>
      <c r="C4034" t="n">
        <v>0.945</v>
      </c>
    </row>
    <row r="4035">
      <c r="A4035" s="926" t="n">
        <v>37496</v>
      </c>
      <c r="B4035" t="n">
        <v>7.799</v>
      </c>
      <c r="C4035" t="n">
        <v>0.945</v>
      </c>
    </row>
    <row r="4036">
      <c r="A4036" s="926" t="n">
        <v>37497</v>
      </c>
      <c r="B4036" t="n">
        <v>7.799</v>
      </c>
      <c r="C4036" t="n">
        <v>0.945</v>
      </c>
    </row>
    <row r="4037">
      <c r="A4037" s="926" t="n">
        <v>37498</v>
      </c>
      <c r="B4037" t="n">
        <v>7.799</v>
      </c>
      <c r="C4037" t="n">
        <v>0.945</v>
      </c>
    </row>
    <row r="4038">
      <c r="A4038" s="926" t="n">
        <v>37499</v>
      </c>
      <c r="B4038" t="n">
        <v>7.799</v>
      </c>
      <c r="C4038" t="n">
        <v>0.945</v>
      </c>
    </row>
    <row r="4039">
      <c r="A4039" s="926" t="n">
        <v>37501</v>
      </c>
      <c r="B4039" t="n">
        <v>7.799</v>
      </c>
      <c r="C4039" t="n">
        <v>0.945</v>
      </c>
    </row>
    <row r="4040">
      <c r="A4040" s="926" t="n">
        <v>37502</v>
      </c>
      <c r="B4040" t="n">
        <v>7.799</v>
      </c>
      <c r="C4040" t="n">
        <v>0.945</v>
      </c>
    </row>
    <row r="4041">
      <c r="A4041" s="926" t="n">
        <v>37503</v>
      </c>
      <c r="B4041" t="n">
        <v>7.799</v>
      </c>
      <c r="C4041" t="n">
        <v>0.945</v>
      </c>
    </row>
    <row r="4042">
      <c r="A4042" s="926" t="n">
        <v>37504</v>
      </c>
      <c r="B4042" t="n">
        <v>7.799</v>
      </c>
      <c r="C4042" t="n">
        <v>0.945</v>
      </c>
    </row>
    <row r="4043">
      <c r="A4043" s="926" t="n">
        <v>37505</v>
      </c>
      <c r="B4043" t="n">
        <v>7.8</v>
      </c>
      <c r="C4043" t="n">
        <v>0.945</v>
      </c>
    </row>
    <row r="4044">
      <c r="A4044" s="926" t="n">
        <v>37506</v>
      </c>
      <c r="B4044" t="n">
        <v>7.798</v>
      </c>
      <c r="C4044" t="n">
        <v>0.945</v>
      </c>
    </row>
    <row r="4045">
      <c r="A4045" s="926" t="n">
        <v>37508</v>
      </c>
      <c r="B4045" t="n">
        <v>7.799</v>
      </c>
      <c r="C4045" t="n">
        <v>0.945</v>
      </c>
    </row>
    <row r="4046">
      <c r="A4046" s="926" t="n">
        <v>37509</v>
      </c>
      <c r="B4046" t="n">
        <v>7.799</v>
      </c>
      <c r="C4046" t="n">
        <v>0.945</v>
      </c>
    </row>
    <row r="4047">
      <c r="A4047" s="926" t="n">
        <v>37510</v>
      </c>
      <c r="B4047" t="n">
        <v>7.799</v>
      </c>
      <c r="C4047" t="n">
        <v>0.945</v>
      </c>
    </row>
    <row r="4048">
      <c r="A4048" s="926" t="n">
        <v>37511</v>
      </c>
      <c r="B4048" t="n">
        <v>7.8</v>
      </c>
      <c r="C4048" t="n">
        <v>0.945</v>
      </c>
    </row>
    <row r="4049">
      <c r="A4049" s="926" t="n">
        <v>37512</v>
      </c>
      <c r="B4049" t="n">
        <v>7.799</v>
      </c>
      <c r="C4049" t="n">
        <v>0.945</v>
      </c>
    </row>
    <row r="4050">
      <c r="A4050" s="926" t="n">
        <v>37513</v>
      </c>
      <c r="B4050" t="n">
        <v>7.798</v>
      </c>
      <c r="C4050" t="n">
        <v>0.945</v>
      </c>
    </row>
    <row r="4051">
      <c r="A4051" s="926" t="n">
        <v>37515</v>
      </c>
      <c r="B4051" t="n">
        <v>7.799</v>
      </c>
      <c r="C4051" t="n">
        <v>0.945</v>
      </c>
    </row>
    <row r="4052">
      <c r="A4052" s="926" t="n">
        <v>37516</v>
      </c>
      <c r="B4052" t="n">
        <v>7.8</v>
      </c>
      <c r="C4052" t="n">
        <v>0.945</v>
      </c>
    </row>
    <row r="4053">
      <c r="A4053" s="926" t="n">
        <v>37517</v>
      </c>
      <c r="B4053" t="n">
        <v>7.799</v>
      </c>
      <c r="C4053" t="n">
        <v>0.945</v>
      </c>
    </row>
    <row r="4054">
      <c r="A4054" s="926" t="n">
        <v>37518</v>
      </c>
      <c r="B4054" t="n">
        <v>7.799</v>
      </c>
      <c r="C4054" t="n">
        <v>0.945</v>
      </c>
    </row>
    <row r="4055">
      <c r="A4055" s="926" t="n">
        <v>37519</v>
      </c>
      <c r="B4055" t="n">
        <v>7.799</v>
      </c>
      <c r="C4055" t="n">
        <v>0.945</v>
      </c>
    </row>
    <row r="4056">
      <c r="A4056" s="926" t="n">
        <v>37522</v>
      </c>
      <c r="B4056" t="n">
        <v>7.799</v>
      </c>
      <c r="C4056" t="n">
        <v>0.945</v>
      </c>
    </row>
    <row r="4057">
      <c r="A4057" s="926" t="n">
        <v>37523</v>
      </c>
      <c r="B4057" t="n">
        <v>7.8</v>
      </c>
      <c r="C4057" t="n">
        <v>0.945</v>
      </c>
    </row>
    <row r="4058">
      <c r="A4058" s="926" t="n">
        <v>37524</v>
      </c>
      <c r="B4058" t="n">
        <v>7.8</v>
      </c>
      <c r="C4058" t="n">
        <v>0.945</v>
      </c>
    </row>
    <row r="4059">
      <c r="A4059" s="926" t="n">
        <v>37525</v>
      </c>
      <c r="B4059" t="n">
        <v>7.799</v>
      </c>
      <c r="C4059" t="n">
        <v>0.945</v>
      </c>
    </row>
    <row r="4060">
      <c r="A4060" s="926" t="n">
        <v>37526</v>
      </c>
      <c r="B4060" t="n">
        <v>7.8</v>
      </c>
      <c r="C4060" t="n">
        <v>0.945</v>
      </c>
    </row>
    <row r="4061">
      <c r="A4061" s="926" t="n">
        <v>37527</v>
      </c>
      <c r="B4061" t="n">
        <v>7.798</v>
      </c>
      <c r="C4061" t="n">
        <v>0.945</v>
      </c>
    </row>
    <row r="4062">
      <c r="A4062" s="926" t="n">
        <v>37529</v>
      </c>
      <c r="B4062" t="n">
        <v>7.8</v>
      </c>
      <c r="C4062" t="n">
        <v>0.945</v>
      </c>
    </row>
    <row r="4063">
      <c r="A4063" s="926" t="n">
        <v>37531</v>
      </c>
      <c r="B4063" t="n">
        <v>7.799</v>
      </c>
      <c r="C4063" t="n">
        <v>0.945</v>
      </c>
    </row>
    <row r="4064">
      <c r="A4064" s="926" t="n">
        <v>37532</v>
      </c>
      <c r="B4064" t="n">
        <v>7.799</v>
      </c>
      <c r="C4064" t="n">
        <v>0.945</v>
      </c>
    </row>
    <row r="4065">
      <c r="A4065" s="926" t="n">
        <v>37533</v>
      </c>
      <c r="B4065" t="n">
        <v>7.799</v>
      </c>
      <c r="C4065" t="n">
        <v>0.945</v>
      </c>
    </row>
    <row r="4066">
      <c r="A4066" s="926" t="n">
        <v>37534</v>
      </c>
      <c r="B4066" t="n">
        <v>7.798</v>
      </c>
      <c r="C4066" t="n">
        <v>0.945</v>
      </c>
    </row>
    <row r="4067">
      <c r="A4067" s="926" t="n">
        <v>37536</v>
      </c>
      <c r="B4067" t="n">
        <v>7.8</v>
      </c>
      <c r="C4067" t="n">
        <v>0.945</v>
      </c>
    </row>
    <row r="4068">
      <c r="A4068" s="926" t="n">
        <v>37537</v>
      </c>
      <c r="B4068" t="n">
        <v>7.799</v>
      </c>
      <c r="C4068" t="n">
        <v>0.945</v>
      </c>
    </row>
    <row r="4069">
      <c r="A4069" s="926" t="n">
        <v>37538</v>
      </c>
      <c r="B4069" t="n">
        <v>7.799</v>
      </c>
      <c r="C4069" t="n">
        <v>0.945</v>
      </c>
    </row>
    <row r="4070">
      <c r="A4070" s="926" t="n">
        <v>37539</v>
      </c>
      <c r="B4070" t="n">
        <v>7.799</v>
      </c>
      <c r="C4070" t="n">
        <v>0.945</v>
      </c>
    </row>
    <row r="4071">
      <c r="A4071" s="926" t="n">
        <v>37540</v>
      </c>
      <c r="B4071" t="n">
        <v>7.799</v>
      </c>
      <c r="C4071" t="n">
        <v>0.945</v>
      </c>
    </row>
    <row r="4072">
      <c r="A4072" s="926" t="n">
        <v>37541</v>
      </c>
      <c r="B4072" t="n">
        <v>7.798</v>
      </c>
      <c r="C4072" t="n">
        <v>0.945</v>
      </c>
    </row>
    <row r="4073">
      <c r="A4073" s="926" t="n">
        <v>37544</v>
      </c>
      <c r="B4073" t="n">
        <v>7.8</v>
      </c>
      <c r="C4073" t="n">
        <v>0.945</v>
      </c>
    </row>
    <row r="4074">
      <c r="A4074" s="926" t="n">
        <v>37545</v>
      </c>
      <c r="B4074" t="n">
        <v>7.8</v>
      </c>
      <c r="C4074" t="n">
        <v>0.945</v>
      </c>
    </row>
    <row r="4075">
      <c r="A4075" s="926" t="n">
        <v>37546</v>
      </c>
      <c r="B4075" t="n">
        <v>7.799</v>
      </c>
      <c r="C4075" t="n">
        <v>0.945</v>
      </c>
    </row>
    <row r="4076">
      <c r="A4076" s="926" t="n">
        <v>37547</v>
      </c>
      <c r="B4076" t="n">
        <v>7.798</v>
      </c>
      <c r="C4076" t="n">
        <v>0.945</v>
      </c>
    </row>
    <row r="4077">
      <c r="A4077" s="926" t="n">
        <v>37548</v>
      </c>
      <c r="B4077" t="n">
        <v>7.799</v>
      </c>
      <c r="C4077" t="n">
        <v>0.945</v>
      </c>
    </row>
    <row r="4078">
      <c r="A4078" s="926" t="n">
        <v>37550</v>
      </c>
      <c r="B4078" t="n">
        <v>7.798</v>
      </c>
      <c r="C4078" t="n">
        <v>0.945</v>
      </c>
    </row>
    <row r="4079">
      <c r="A4079" s="926" t="n">
        <v>37551</v>
      </c>
      <c r="B4079" t="n">
        <v>7.798</v>
      </c>
      <c r="C4079" t="n">
        <v>0.945</v>
      </c>
    </row>
    <row r="4080">
      <c r="A4080" s="926" t="n">
        <v>37552</v>
      </c>
      <c r="B4080" t="n">
        <v>7.799</v>
      </c>
      <c r="C4080" t="n">
        <v>0.945</v>
      </c>
    </row>
    <row r="4081">
      <c r="A4081" s="926" t="n">
        <v>37553</v>
      </c>
      <c r="B4081" t="n">
        <v>7.798</v>
      </c>
      <c r="C4081" t="n">
        <v>0.945</v>
      </c>
    </row>
    <row r="4082">
      <c r="A4082" s="926" t="n">
        <v>37554</v>
      </c>
      <c r="B4082" t="n">
        <v>7.799</v>
      </c>
      <c r="C4082" t="n">
        <v>0.945</v>
      </c>
    </row>
    <row r="4083">
      <c r="A4083" s="926" t="n">
        <v>37555</v>
      </c>
      <c r="B4083" t="n">
        <v>7.798</v>
      </c>
      <c r="C4083" t="n">
        <v>0.945</v>
      </c>
    </row>
    <row r="4084">
      <c r="A4084" s="926" t="n">
        <v>37557</v>
      </c>
      <c r="B4084" t="n">
        <v>7.799</v>
      </c>
      <c r="C4084" t="n">
        <v>0.945</v>
      </c>
    </row>
    <row r="4085">
      <c r="A4085" s="926" t="n">
        <v>37558</v>
      </c>
      <c r="B4085" t="n">
        <v>7.798</v>
      </c>
      <c r="C4085" t="n">
        <v>0.945</v>
      </c>
    </row>
    <row r="4086">
      <c r="A4086" s="926" t="n">
        <v>37559</v>
      </c>
      <c r="B4086" t="n">
        <v>7.799</v>
      </c>
      <c r="C4086" t="n">
        <v>0.945</v>
      </c>
    </row>
    <row r="4087">
      <c r="A4087" s="926" t="n">
        <v>37560</v>
      </c>
      <c r="B4087" t="n">
        <v>7.799</v>
      </c>
      <c r="C4087" t="n">
        <v>0.945</v>
      </c>
    </row>
    <row r="4088">
      <c r="A4088" s="926" t="n">
        <v>37561</v>
      </c>
      <c r="B4088" t="n">
        <v>7.799</v>
      </c>
      <c r="C4088" t="n">
        <v>0.945</v>
      </c>
    </row>
    <row r="4089">
      <c r="A4089" s="926" t="n">
        <v>37562</v>
      </c>
      <c r="B4089" t="n">
        <v>7.799</v>
      </c>
      <c r="C4089" t="n">
        <v>0.945</v>
      </c>
    </row>
    <row r="4090">
      <c r="A4090" s="926" t="n">
        <v>37564</v>
      </c>
      <c r="B4090" t="n">
        <v>7.798</v>
      </c>
      <c r="C4090" t="n">
        <v>0.945</v>
      </c>
    </row>
    <row r="4091">
      <c r="A4091" s="926" t="n">
        <v>37565</v>
      </c>
      <c r="B4091" t="n">
        <v>7.798</v>
      </c>
      <c r="C4091" t="n">
        <v>0.945</v>
      </c>
    </row>
    <row r="4092">
      <c r="A4092" s="926" t="n">
        <v>37566</v>
      </c>
      <c r="B4092" t="n">
        <v>7.799</v>
      </c>
      <c r="C4092" t="n">
        <v>0.945</v>
      </c>
    </row>
    <row r="4093">
      <c r="A4093" s="926" t="n">
        <v>37567</v>
      </c>
      <c r="B4093" t="n">
        <v>7.798</v>
      </c>
      <c r="C4093" t="n">
        <v>0.945</v>
      </c>
    </row>
    <row r="4094">
      <c r="A4094" s="926" t="n">
        <v>37568</v>
      </c>
      <c r="B4094" t="n">
        <v>7.798</v>
      </c>
      <c r="C4094" t="n">
        <v>0.945</v>
      </c>
    </row>
    <row r="4095">
      <c r="A4095" s="926" t="n">
        <v>37569</v>
      </c>
      <c r="B4095" t="n">
        <v>7.798</v>
      </c>
      <c r="C4095" t="n">
        <v>0.945</v>
      </c>
    </row>
    <row r="4096">
      <c r="A4096" s="926" t="n">
        <v>37571</v>
      </c>
      <c r="B4096" t="n">
        <v>7.8</v>
      </c>
      <c r="C4096" t="n">
        <v>0.945</v>
      </c>
    </row>
    <row r="4097">
      <c r="A4097" s="926" t="n">
        <v>37572</v>
      </c>
      <c r="B4097" t="n">
        <v>7.8</v>
      </c>
      <c r="C4097" t="n">
        <v>0.945</v>
      </c>
    </row>
    <row r="4098">
      <c r="A4098" s="926" t="n">
        <v>37573</v>
      </c>
      <c r="B4098" t="n">
        <v>7.799</v>
      </c>
      <c r="C4098" t="n">
        <v>0.945</v>
      </c>
    </row>
    <row r="4099">
      <c r="A4099" s="926" t="n">
        <v>37574</v>
      </c>
      <c r="B4099" t="n">
        <v>7.799</v>
      </c>
      <c r="C4099" t="n">
        <v>0.945</v>
      </c>
    </row>
    <row r="4100">
      <c r="A4100" s="926" t="n">
        <v>37575</v>
      </c>
      <c r="B4100" t="n">
        <v>7.799</v>
      </c>
      <c r="C4100" t="n">
        <v>0.945</v>
      </c>
    </row>
    <row r="4101">
      <c r="A4101" s="926" t="n">
        <v>37576</v>
      </c>
      <c r="B4101" t="n">
        <v>7.799</v>
      </c>
      <c r="C4101" t="n">
        <v>0.945</v>
      </c>
    </row>
    <row r="4102">
      <c r="A4102" s="926" t="n">
        <v>37578</v>
      </c>
      <c r="B4102" t="n">
        <v>7.799</v>
      </c>
      <c r="C4102" t="n">
        <v>0.945</v>
      </c>
    </row>
    <row r="4103">
      <c r="A4103" s="926" t="n">
        <v>37579</v>
      </c>
      <c r="B4103" t="n">
        <v>7.799</v>
      </c>
      <c r="C4103" t="n">
        <v>0.945</v>
      </c>
    </row>
    <row r="4104">
      <c r="A4104" s="926" t="n">
        <v>37580</v>
      </c>
      <c r="B4104" t="n">
        <v>7.799</v>
      </c>
      <c r="C4104" t="n">
        <v>0.945</v>
      </c>
    </row>
    <row r="4105">
      <c r="A4105" s="926" t="n">
        <v>37581</v>
      </c>
      <c r="B4105" t="n">
        <v>7.799</v>
      </c>
      <c r="C4105" t="n">
        <v>0.945</v>
      </c>
    </row>
    <row r="4106">
      <c r="A4106" s="926" t="n">
        <v>37582</v>
      </c>
      <c r="B4106" t="n">
        <v>7.799</v>
      </c>
      <c r="C4106" t="n">
        <v>0.945</v>
      </c>
    </row>
    <row r="4107">
      <c r="A4107" s="926" t="n">
        <v>37583</v>
      </c>
      <c r="B4107" t="n">
        <v>7.798</v>
      </c>
      <c r="C4107" t="n">
        <v>0.945</v>
      </c>
    </row>
    <row r="4108">
      <c r="A4108" s="926" t="n">
        <v>37585</v>
      </c>
      <c r="B4108" t="n">
        <v>7.799</v>
      </c>
      <c r="C4108" t="n">
        <v>0.945</v>
      </c>
    </row>
    <row r="4109">
      <c r="A4109" s="926" t="n">
        <v>37586</v>
      </c>
      <c r="B4109" t="n">
        <v>7.798</v>
      </c>
      <c r="C4109" t="n">
        <v>0.945</v>
      </c>
    </row>
    <row r="4110">
      <c r="A4110" s="926" t="n">
        <v>37587</v>
      </c>
      <c r="B4110" t="n">
        <v>7.799</v>
      </c>
      <c r="C4110" t="n">
        <v>0.945</v>
      </c>
    </row>
    <row r="4111">
      <c r="A4111" s="926" t="n">
        <v>37588</v>
      </c>
      <c r="B4111" t="n">
        <v>7.799</v>
      </c>
      <c r="C4111" t="n">
        <v>0.945</v>
      </c>
    </row>
    <row r="4112">
      <c r="A4112" s="926" t="n">
        <v>37589</v>
      </c>
      <c r="B4112" t="n">
        <v>7.799</v>
      </c>
      <c r="C4112" t="n">
        <v>0.945</v>
      </c>
    </row>
    <row r="4113">
      <c r="A4113" s="926" t="n">
        <v>37590</v>
      </c>
      <c r="B4113" t="n">
        <v>7.798</v>
      </c>
      <c r="C4113" t="n">
        <v>0.945</v>
      </c>
    </row>
    <row r="4114">
      <c r="A4114" s="926" t="n">
        <v>37592</v>
      </c>
      <c r="B4114" t="n">
        <v>7.799</v>
      </c>
      <c r="C4114" t="n">
        <v>0.945</v>
      </c>
    </row>
    <row r="4115">
      <c r="A4115" s="926" t="n">
        <v>37593</v>
      </c>
      <c r="B4115" t="n">
        <v>7.798</v>
      </c>
      <c r="C4115" t="n">
        <v>0.945</v>
      </c>
    </row>
    <row r="4116">
      <c r="A4116" s="926" t="n">
        <v>37594</v>
      </c>
      <c r="B4116" t="n">
        <v>7.798</v>
      </c>
      <c r="C4116" t="n">
        <v>0.945</v>
      </c>
    </row>
    <row r="4117">
      <c r="A4117" s="926" t="n">
        <v>37595</v>
      </c>
      <c r="B4117" t="n">
        <v>7.798</v>
      </c>
      <c r="C4117" t="n">
        <v>0.945</v>
      </c>
    </row>
    <row r="4118">
      <c r="A4118" s="926" t="n">
        <v>37596</v>
      </c>
      <c r="B4118" t="n">
        <v>7.798</v>
      </c>
      <c r="C4118" t="n">
        <v>0.945</v>
      </c>
    </row>
    <row r="4119">
      <c r="A4119" s="926" t="n">
        <v>37597</v>
      </c>
      <c r="B4119" t="n">
        <v>7.797</v>
      </c>
      <c r="C4119" t="n">
        <v>0.945</v>
      </c>
    </row>
    <row r="4120">
      <c r="A4120" s="926" t="n">
        <v>37599</v>
      </c>
      <c r="B4120" t="n">
        <v>7.799</v>
      </c>
      <c r="C4120" t="n">
        <v>0.945</v>
      </c>
    </row>
    <row r="4121">
      <c r="A4121" s="926" t="n">
        <v>37600</v>
      </c>
      <c r="B4121" t="n">
        <v>7.798</v>
      </c>
      <c r="C4121" t="n">
        <v>0.945</v>
      </c>
    </row>
    <row r="4122">
      <c r="A4122" s="926" t="n">
        <v>37601</v>
      </c>
      <c r="B4122" t="n">
        <v>7.798</v>
      </c>
      <c r="C4122" t="n">
        <v>0.945</v>
      </c>
    </row>
    <row r="4123">
      <c r="A4123" s="926" t="n">
        <v>37602</v>
      </c>
      <c r="B4123" t="n">
        <v>7.798</v>
      </c>
      <c r="C4123" t="n">
        <v>0.945</v>
      </c>
    </row>
    <row r="4124">
      <c r="A4124" s="926" t="n">
        <v>37603</v>
      </c>
      <c r="B4124" t="n">
        <v>7.798</v>
      </c>
      <c r="C4124" t="n">
        <v>0.945</v>
      </c>
    </row>
    <row r="4125">
      <c r="A4125" s="926" t="n">
        <v>37604</v>
      </c>
      <c r="B4125" t="n">
        <v>7.798</v>
      </c>
      <c r="C4125" t="n">
        <v>0.945</v>
      </c>
    </row>
    <row r="4126">
      <c r="A4126" s="926" t="n">
        <v>37606</v>
      </c>
      <c r="B4126" t="n">
        <v>7.798</v>
      </c>
      <c r="C4126" t="n">
        <v>0.945</v>
      </c>
    </row>
    <row r="4127">
      <c r="A4127" s="926" t="n">
        <v>37607</v>
      </c>
      <c r="B4127" t="n">
        <v>7.798</v>
      </c>
      <c r="C4127" t="n">
        <v>0.945</v>
      </c>
    </row>
    <row r="4128">
      <c r="A4128" s="926" t="n">
        <v>37608</v>
      </c>
      <c r="B4128" t="n">
        <v>7.798</v>
      </c>
      <c r="C4128" t="n">
        <v>0.945</v>
      </c>
    </row>
    <row r="4129">
      <c r="A4129" s="926" t="n">
        <v>37609</v>
      </c>
      <c r="B4129" t="n">
        <v>7.797</v>
      </c>
      <c r="C4129" t="n">
        <v>0.945</v>
      </c>
    </row>
    <row r="4130">
      <c r="A4130" s="926" t="n">
        <v>37610</v>
      </c>
      <c r="B4130" t="n">
        <v>7.797</v>
      </c>
      <c r="C4130" t="n">
        <v>0.945</v>
      </c>
    </row>
    <row r="4131">
      <c r="A4131" s="926" t="n">
        <v>37611</v>
      </c>
      <c r="B4131" t="n">
        <v>7.797</v>
      </c>
      <c r="C4131" t="n">
        <v>0.945</v>
      </c>
    </row>
    <row r="4132">
      <c r="A4132" s="926" t="n">
        <v>37613</v>
      </c>
      <c r="B4132" t="n">
        <v>7.798</v>
      </c>
      <c r="C4132" t="n">
        <v>0.945</v>
      </c>
    </row>
    <row r="4133">
      <c r="A4133" s="926" t="n">
        <v>37614</v>
      </c>
      <c r="B4133" t="n">
        <v>7.798</v>
      </c>
      <c r="C4133" t="n">
        <v>0.945</v>
      </c>
    </row>
    <row r="4134">
      <c r="A4134" s="926" t="n">
        <v>37617</v>
      </c>
      <c r="B4134" t="n">
        <v>7.798</v>
      </c>
      <c r="C4134" t="n">
        <v>0.945</v>
      </c>
    </row>
    <row r="4135">
      <c r="A4135" s="926" t="n">
        <v>37618</v>
      </c>
      <c r="B4135" t="n">
        <v>7.798</v>
      </c>
      <c r="C4135" t="n">
        <v>0.945</v>
      </c>
    </row>
    <row r="4136">
      <c r="A4136" s="926" t="n">
        <v>37620</v>
      </c>
      <c r="B4136" t="n">
        <v>7.798</v>
      </c>
      <c r="C4136" t="n">
        <v>0.945</v>
      </c>
    </row>
    <row r="4137">
      <c r="A4137" s="926" t="n">
        <v>37621</v>
      </c>
      <c r="B4137" t="n">
        <v>7.798</v>
      </c>
      <c r="C4137" t="n">
        <v>0.945</v>
      </c>
    </row>
    <row r="4138">
      <c r="A4138" s="926" t="n">
        <v>37623</v>
      </c>
      <c r="B4138" t="n">
        <v>7.799</v>
      </c>
      <c r="C4138" t="n">
        <v>0.945</v>
      </c>
    </row>
    <row r="4139">
      <c r="A4139" s="926" t="n">
        <v>37624</v>
      </c>
      <c r="B4139" t="n">
        <v>7.799</v>
      </c>
      <c r="C4139" t="n">
        <v>0.945</v>
      </c>
    </row>
    <row r="4140">
      <c r="A4140" s="926" t="n">
        <v>37625</v>
      </c>
      <c r="B4140" t="n">
        <v>7.798</v>
      </c>
      <c r="C4140" t="n">
        <v>0.945</v>
      </c>
    </row>
    <row r="4141">
      <c r="A4141" s="926" t="n">
        <v>37627</v>
      </c>
      <c r="B4141" t="n">
        <v>7.799</v>
      </c>
      <c r="C4141" t="n">
        <v>0.945</v>
      </c>
    </row>
    <row r="4142">
      <c r="A4142" s="926" t="n">
        <v>37628</v>
      </c>
      <c r="B4142" t="n">
        <v>7.798</v>
      </c>
      <c r="C4142" t="n">
        <v>0.945</v>
      </c>
    </row>
    <row r="4143">
      <c r="A4143" s="926" t="n">
        <v>37629</v>
      </c>
      <c r="B4143" t="n">
        <v>7.799</v>
      </c>
      <c r="C4143" t="n">
        <v>0.945</v>
      </c>
    </row>
    <row r="4144">
      <c r="A4144" s="926" t="n">
        <v>37630</v>
      </c>
      <c r="B4144" t="n">
        <v>7.798</v>
      </c>
      <c r="C4144" t="n">
        <v>0.945</v>
      </c>
    </row>
    <row r="4145">
      <c r="A4145" s="926" t="n">
        <v>37631</v>
      </c>
      <c r="B4145" t="n">
        <v>7.798</v>
      </c>
      <c r="C4145" t="n">
        <v>0.945</v>
      </c>
    </row>
    <row r="4146">
      <c r="A4146" s="926" t="n">
        <v>37632</v>
      </c>
      <c r="B4146" t="n">
        <v>7.798</v>
      </c>
      <c r="C4146" t="n">
        <v>0.945</v>
      </c>
    </row>
    <row r="4147">
      <c r="A4147" s="926" t="n">
        <v>37634</v>
      </c>
      <c r="B4147" t="n">
        <v>7.799</v>
      </c>
      <c r="C4147" t="n">
        <v>0.945</v>
      </c>
    </row>
    <row r="4148">
      <c r="A4148" s="926" t="n">
        <v>37635</v>
      </c>
      <c r="B4148" t="n">
        <v>7.799</v>
      </c>
      <c r="C4148" t="n">
        <v>0.945</v>
      </c>
    </row>
    <row r="4149">
      <c r="A4149" s="926" t="n">
        <v>37636</v>
      </c>
      <c r="B4149" t="n">
        <v>7.799</v>
      </c>
      <c r="C4149" t="n">
        <v>0.945</v>
      </c>
    </row>
    <row r="4150">
      <c r="A4150" s="926" t="n">
        <v>37637</v>
      </c>
      <c r="B4150" t="n">
        <v>7.798</v>
      </c>
      <c r="C4150" t="n">
        <v>0.945</v>
      </c>
    </row>
    <row r="4151">
      <c r="A4151" s="926" t="n">
        <v>37638</v>
      </c>
      <c r="B4151" t="n">
        <v>7.799</v>
      </c>
      <c r="C4151" t="n">
        <v>0.945</v>
      </c>
    </row>
    <row r="4152">
      <c r="A4152" s="926" t="n">
        <v>37639</v>
      </c>
      <c r="B4152" t="n">
        <v>7.797</v>
      </c>
      <c r="C4152" t="n">
        <v>0.945</v>
      </c>
    </row>
    <row r="4153">
      <c r="A4153" s="926" t="n">
        <v>37641</v>
      </c>
      <c r="B4153" t="n">
        <v>7.798</v>
      </c>
      <c r="C4153" t="n">
        <v>0.945</v>
      </c>
    </row>
    <row r="4154">
      <c r="A4154" s="926" t="n">
        <v>37642</v>
      </c>
      <c r="B4154" t="n">
        <v>7.799</v>
      </c>
      <c r="C4154" t="n">
        <v>0.945</v>
      </c>
    </row>
    <row r="4155">
      <c r="A4155" s="926" t="n">
        <v>37643</v>
      </c>
      <c r="B4155" t="n">
        <v>7.799</v>
      </c>
      <c r="C4155" t="n">
        <v>0.945</v>
      </c>
    </row>
    <row r="4156">
      <c r="A4156" s="926" t="n">
        <v>37644</v>
      </c>
      <c r="B4156" t="n">
        <v>7.799</v>
      </c>
      <c r="C4156" t="n">
        <v>0.945</v>
      </c>
    </row>
    <row r="4157">
      <c r="A4157" s="926" t="n">
        <v>37645</v>
      </c>
      <c r="B4157" t="n">
        <v>7.798</v>
      </c>
      <c r="C4157" t="n">
        <v>0.945</v>
      </c>
    </row>
    <row r="4158">
      <c r="A4158" s="926" t="n">
        <v>37646</v>
      </c>
      <c r="B4158" t="n">
        <v>7.798</v>
      </c>
      <c r="C4158" t="n">
        <v>0.945</v>
      </c>
    </row>
    <row r="4159">
      <c r="A4159" s="926" t="n">
        <v>37648</v>
      </c>
      <c r="B4159" t="n">
        <v>7.799</v>
      </c>
      <c r="C4159" t="n">
        <v>0.945</v>
      </c>
    </row>
    <row r="4160">
      <c r="A4160" s="926" t="n">
        <v>37649</v>
      </c>
      <c r="B4160" t="n">
        <v>7.799</v>
      </c>
      <c r="C4160" t="n">
        <v>0.945</v>
      </c>
    </row>
    <row r="4161">
      <c r="A4161" s="926" t="n">
        <v>37650</v>
      </c>
      <c r="B4161" t="n">
        <v>7.799</v>
      </c>
      <c r="C4161" t="n">
        <v>0.945</v>
      </c>
    </row>
    <row r="4162">
      <c r="A4162" s="926" t="n">
        <v>37651</v>
      </c>
      <c r="B4162" t="n">
        <v>7.798</v>
      </c>
      <c r="C4162" t="n">
        <v>0.945</v>
      </c>
    </row>
    <row r="4163">
      <c r="A4163" s="926" t="n">
        <v>37656</v>
      </c>
      <c r="B4163" t="n">
        <v>7.8</v>
      </c>
      <c r="C4163" t="n">
        <v>0.945</v>
      </c>
    </row>
    <row r="4164">
      <c r="A4164" s="926" t="n">
        <v>37657</v>
      </c>
      <c r="B4164" t="n">
        <v>7.799</v>
      </c>
      <c r="C4164" t="n">
        <v>0.945</v>
      </c>
    </row>
    <row r="4165">
      <c r="A4165" s="926" t="n">
        <v>37658</v>
      </c>
      <c r="B4165" t="n">
        <v>7.8</v>
      </c>
      <c r="C4165" t="n">
        <v>0.945</v>
      </c>
    </row>
    <row r="4166">
      <c r="A4166" s="926" t="n">
        <v>37659</v>
      </c>
      <c r="B4166" t="n">
        <v>7.799</v>
      </c>
      <c r="C4166" t="n">
        <v>0.945</v>
      </c>
    </row>
    <row r="4167">
      <c r="A4167" s="926" t="n">
        <v>37660</v>
      </c>
      <c r="B4167" t="n">
        <v>7.798</v>
      </c>
      <c r="C4167" t="n">
        <v>0.945</v>
      </c>
    </row>
    <row r="4168">
      <c r="A4168" s="926" t="n">
        <v>37662</v>
      </c>
      <c r="B4168" t="n">
        <v>7.799</v>
      </c>
      <c r="C4168" t="n">
        <v>0.945</v>
      </c>
    </row>
    <row r="4169">
      <c r="A4169" s="926" t="n">
        <v>37663</v>
      </c>
      <c r="B4169" t="n">
        <v>7.799</v>
      </c>
      <c r="C4169" t="n">
        <v>0.945</v>
      </c>
    </row>
    <row r="4170">
      <c r="A4170" s="926" t="n">
        <v>37664</v>
      </c>
      <c r="B4170" t="n">
        <v>7.799</v>
      </c>
      <c r="C4170" t="n">
        <v>0.945</v>
      </c>
    </row>
    <row r="4171">
      <c r="A4171" s="926" t="n">
        <v>37665</v>
      </c>
      <c r="B4171" t="n">
        <v>7.799</v>
      </c>
      <c r="C4171" t="n">
        <v>0.945</v>
      </c>
    </row>
    <row r="4172">
      <c r="A4172" s="926" t="n">
        <v>37666</v>
      </c>
      <c r="B4172" t="n">
        <v>7.799</v>
      </c>
      <c r="C4172" t="n">
        <v>0.945</v>
      </c>
    </row>
    <row r="4173">
      <c r="A4173" s="926" t="n">
        <v>37667</v>
      </c>
      <c r="B4173" t="n">
        <v>7.798</v>
      </c>
      <c r="C4173" t="n">
        <v>0.945</v>
      </c>
    </row>
    <row r="4174">
      <c r="A4174" s="926" t="n">
        <v>37669</v>
      </c>
      <c r="B4174" t="n">
        <v>7.799</v>
      </c>
      <c r="C4174" t="n">
        <v>0.945</v>
      </c>
    </row>
    <row r="4175">
      <c r="A4175" s="926" t="n">
        <v>37670</v>
      </c>
      <c r="B4175" t="n">
        <v>7.8</v>
      </c>
      <c r="C4175" t="n">
        <v>0.945</v>
      </c>
    </row>
    <row r="4176">
      <c r="A4176" s="926" t="n">
        <v>37671</v>
      </c>
      <c r="B4176" t="n">
        <v>7.798</v>
      </c>
      <c r="C4176" t="n">
        <v>0.945</v>
      </c>
    </row>
    <row r="4177">
      <c r="A4177" s="926" t="n">
        <v>37672</v>
      </c>
      <c r="B4177" t="n">
        <v>7.798</v>
      </c>
      <c r="C4177" t="n">
        <v>0.945</v>
      </c>
    </row>
    <row r="4178">
      <c r="A4178" s="926" t="n">
        <v>37673</v>
      </c>
      <c r="B4178" t="n">
        <v>7.798</v>
      </c>
      <c r="C4178" t="n">
        <v>0.945</v>
      </c>
    </row>
    <row r="4179">
      <c r="A4179" s="926" t="n">
        <v>37674</v>
      </c>
      <c r="B4179" t="n">
        <v>7.797</v>
      </c>
      <c r="C4179" t="n">
        <v>0.945</v>
      </c>
    </row>
    <row r="4180">
      <c r="A4180" s="926" t="n">
        <v>37676</v>
      </c>
      <c r="B4180" t="n">
        <v>7.799</v>
      </c>
      <c r="C4180" t="n">
        <v>0.945</v>
      </c>
    </row>
    <row r="4181">
      <c r="A4181" s="926" t="n">
        <v>37677</v>
      </c>
      <c r="B4181" t="n">
        <v>7.799</v>
      </c>
      <c r="C4181" t="n">
        <v>0.945</v>
      </c>
    </row>
    <row r="4182">
      <c r="A4182" s="926" t="n">
        <v>37678</v>
      </c>
      <c r="B4182" t="n">
        <v>7.799</v>
      </c>
      <c r="C4182" t="n">
        <v>0.945</v>
      </c>
    </row>
    <row r="4183">
      <c r="A4183" s="926" t="n">
        <v>37679</v>
      </c>
      <c r="B4183" t="n">
        <v>7.799</v>
      </c>
      <c r="C4183" t="n">
        <v>0.945</v>
      </c>
    </row>
    <row r="4184">
      <c r="A4184" s="926" t="n">
        <v>37680</v>
      </c>
      <c r="B4184" t="n">
        <v>7.8</v>
      </c>
      <c r="C4184" t="n">
        <v>0.945</v>
      </c>
    </row>
    <row r="4185">
      <c r="A4185" s="926" t="n">
        <v>37681</v>
      </c>
      <c r="B4185" t="n">
        <v>7.799</v>
      </c>
      <c r="C4185" t="n">
        <v>0.945</v>
      </c>
    </row>
    <row r="4186">
      <c r="A4186" s="926" t="n">
        <v>37683</v>
      </c>
      <c r="B4186" t="n">
        <v>7.799</v>
      </c>
      <c r="C4186" t="n">
        <v>0.945</v>
      </c>
    </row>
    <row r="4187">
      <c r="A4187" s="926" t="n">
        <v>37684</v>
      </c>
      <c r="B4187" t="n">
        <v>7.798</v>
      </c>
      <c r="C4187" t="n">
        <v>0.945</v>
      </c>
    </row>
    <row r="4188">
      <c r="A4188" s="926" t="n">
        <v>37685</v>
      </c>
      <c r="B4188" t="n">
        <v>7.798</v>
      </c>
      <c r="C4188" t="n">
        <v>0.945</v>
      </c>
    </row>
    <row r="4189">
      <c r="A4189" s="926" t="n">
        <v>37686</v>
      </c>
      <c r="B4189" t="n">
        <v>7.799</v>
      </c>
      <c r="C4189" t="n">
        <v>0.945</v>
      </c>
    </row>
    <row r="4190">
      <c r="A4190" s="926" t="n">
        <v>37687</v>
      </c>
      <c r="B4190" t="n">
        <v>7.798</v>
      </c>
      <c r="C4190" t="n">
        <v>0.945</v>
      </c>
    </row>
    <row r="4191">
      <c r="A4191" s="926" t="n">
        <v>37688</v>
      </c>
      <c r="B4191" t="n">
        <v>7.798</v>
      </c>
      <c r="C4191" t="n">
        <v>0.945</v>
      </c>
    </row>
    <row r="4192">
      <c r="A4192" s="926" t="n">
        <v>37690</v>
      </c>
      <c r="B4192" t="n">
        <v>7.798</v>
      </c>
      <c r="C4192" t="n">
        <v>0.945</v>
      </c>
    </row>
    <row r="4193">
      <c r="A4193" s="926" t="n">
        <v>37691</v>
      </c>
      <c r="B4193" t="n">
        <v>7.798</v>
      </c>
      <c r="C4193" t="n">
        <v>0.945</v>
      </c>
    </row>
    <row r="4194">
      <c r="A4194" s="926" t="n">
        <v>37692</v>
      </c>
      <c r="B4194" t="n">
        <v>7.799</v>
      </c>
      <c r="C4194" t="n">
        <v>0.945</v>
      </c>
    </row>
    <row r="4195">
      <c r="A4195" s="926" t="n">
        <v>37693</v>
      </c>
      <c r="B4195" t="n">
        <v>7.799</v>
      </c>
      <c r="C4195" t="n">
        <v>0.945</v>
      </c>
    </row>
    <row r="4196">
      <c r="A4196" s="926" t="n">
        <v>37694</v>
      </c>
      <c r="B4196" t="n">
        <v>7.799</v>
      </c>
      <c r="C4196" t="n">
        <v>0.945</v>
      </c>
    </row>
    <row r="4197">
      <c r="A4197" s="926" t="n">
        <v>37695</v>
      </c>
      <c r="B4197" t="n">
        <v>7.799</v>
      </c>
      <c r="C4197" t="n">
        <v>0.945</v>
      </c>
    </row>
    <row r="4198">
      <c r="A4198" s="926" t="n">
        <v>37697</v>
      </c>
      <c r="B4198" t="n">
        <v>7.799</v>
      </c>
      <c r="C4198" t="n">
        <v>0.945</v>
      </c>
    </row>
    <row r="4199">
      <c r="A4199" s="926" t="n">
        <v>37698</v>
      </c>
      <c r="B4199" t="n">
        <v>7.799</v>
      </c>
      <c r="C4199" t="n">
        <v>0.945</v>
      </c>
    </row>
    <row r="4200">
      <c r="A4200" s="926" t="n">
        <v>37699</v>
      </c>
      <c r="B4200" t="n">
        <v>7.799</v>
      </c>
      <c r="C4200" t="n">
        <v>0.945</v>
      </c>
    </row>
    <row r="4201">
      <c r="A4201" s="926" t="n">
        <v>37700</v>
      </c>
      <c r="B4201" t="n">
        <v>7.799</v>
      </c>
      <c r="C4201" t="n">
        <v>0.945</v>
      </c>
    </row>
    <row r="4202">
      <c r="A4202" s="926" t="n">
        <v>37701</v>
      </c>
      <c r="B4202" t="n">
        <v>7.799</v>
      </c>
      <c r="C4202" t="n">
        <v>0.945</v>
      </c>
    </row>
    <row r="4203">
      <c r="A4203" s="926" t="n">
        <v>37702</v>
      </c>
      <c r="B4203" t="n">
        <v>7.798</v>
      </c>
      <c r="C4203" t="n">
        <v>0.945</v>
      </c>
    </row>
    <row r="4204">
      <c r="A4204" s="926" t="n">
        <v>37704</v>
      </c>
      <c r="B4204" t="n">
        <v>7.798</v>
      </c>
      <c r="C4204" t="n">
        <v>0.945</v>
      </c>
    </row>
    <row r="4205">
      <c r="A4205" s="926" t="n">
        <v>37705</v>
      </c>
      <c r="B4205" t="n">
        <v>7.798</v>
      </c>
      <c r="C4205" t="n">
        <v>0.945</v>
      </c>
    </row>
    <row r="4206">
      <c r="A4206" s="926" t="n">
        <v>37706</v>
      </c>
      <c r="B4206" t="n">
        <v>7.798</v>
      </c>
      <c r="C4206" t="n">
        <v>0.945</v>
      </c>
    </row>
    <row r="4207">
      <c r="A4207" s="926" t="n">
        <v>37707</v>
      </c>
      <c r="B4207" t="n">
        <v>7.798</v>
      </c>
      <c r="C4207" t="n">
        <v>0.945</v>
      </c>
    </row>
    <row r="4208">
      <c r="A4208" s="926" t="n">
        <v>37708</v>
      </c>
      <c r="B4208" t="n">
        <v>7.798</v>
      </c>
      <c r="C4208" t="n">
        <v>0.945</v>
      </c>
    </row>
    <row r="4209">
      <c r="A4209" s="926" t="n">
        <v>37709</v>
      </c>
      <c r="B4209" t="n">
        <v>7.797</v>
      </c>
      <c r="C4209" t="n">
        <v>0.945</v>
      </c>
    </row>
    <row r="4210">
      <c r="A4210" s="926" t="n">
        <v>37711</v>
      </c>
      <c r="B4210" t="n">
        <v>7.798</v>
      </c>
      <c r="C4210" t="n">
        <v>0.945</v>
      </c>
    </row>
    <row r="4211">
      <c r="A4211" s="926" t="n">
        <v>37712</v>
      </c>
      <c r="B4211" t="n">
        <v>7.799</v>
      </c>
      <c r="C4211" t="n">
        <v>0.945</v>
      </c>
    </row>
    <row r="4212">
      <c r="A4212" s="926" t="n">
        <v>37713</v>
      </c>
      <c r="B4212" t="n">
        <v>7.799</v>
      </c>
      <c r="C4212" t="n">
        <v>0.945</v>
      </c>
    </row>
    <row r="4213">
      <c r="A4213" s="926" t="n">
        <v>37714</v>
      </c>
      <c r="B4213" t="n">
        <v>7.799</v>
      </c>
      <c r="C4213" t="n">
        <v>0.945</v>
      </c>
    </row>
    <row r="4214">
      <c r="A4214" s="926" t="n">
        <v>37715</v>
      </c>
      <c r="B4214" t="n">
        <v>7.799</v>
      </c>
      <c r="C4214" t="n">
        <v>0.945</v>
      </c>
    </row>
    <row r="4215">
      <c r="A4215" s="926" t="n">
        <v>37718</v>
      </c>
      <c r="B4215" t="n">
        <v>7.8</v>
      </c>
      <c r="C4215" t="n">
        <v>0.945</v>
      </c>
    </row>
    <row r="4216">
      <c r="A4216" s="926" t="n">
        <v>37719</v>
      </c>
      <c r="B4216" t="n">
        <v>7.8</v>
      </c>
      <c r="C4216" t="n">
        <v>0.945</v>
      </c>
    </row>
    <row r="4217">
      <c r="A4217" s="926" t="n">
        <v>37720</v>
      </c>
      <c r="B4217" t="n">
        <v>7.799</v>
      </c>
      <c r="C4217" t="n">
        <v>0.945</v>
      </c>
    </row>
    <row r="4218">
      <c r="A4218" s="926" t="n">
        <v>37721</v>
      </c>
      <c r="B4218" t="n">
        <v>7.798</v>
      </c>
      <c r="C4218" t="n">
        <v>0.945</v>
      </c>
    </row>
    <row r="4219">
      <c r="A4219" s="926" t="n">
        <v>37722</v>
      </c>
      <c r="B4219" t="n">
        <v>7.799</v>
      </c>
      <c r="C4219" t="n">
        <v>0.945</v>
      </c>
    </row>
    <row r="4220">
      <c r="A4220" s="926" t="n">
        <v>37723</v>
      </c>
      <c r="B4220" t="n">
        <v>7.798</v>
      </c>
      <c r="C4220" t="n">
        <v>0.945</v>
      </c>
    </row>
    <row r="4221">
      <c r="A4221" s="926" t="n">
        <v>37725</v>
      </c>
      <c r="B4221" t="n">
        <v>7.799</v>
      </c>
      <c r="C4221" t="n">
        <v>0.945</v>
      </c>
    </row>
    <row r="4222">
      <c r="A4222" s="926" t="n">
        <v>37726</v>
      </c>
      <c r="B4222" t="n">
        <v>7.799</v>
      </c>
      <c r="C4222" t="n">
        <v>0.945</v>
      </c>
    </row>
    <row r="4223">
      <c r="A4223" s="926" t="n">
        <v>37727</v>
      </c>
      <c r="B4223" t="n">
        <v>7.798</v>
      </c>
      <c r="C4223" t="n">
        <v>0.945</v>
      </c>
    </row>
    <row r="4224">
      <c r="A4224" s="926" t="n">
        <v>37728</v>
      </c>
      <c r="B4224" t="n">
        <v>7.798</v>
      </c>
      <c r="C4224" t="n">
        <v>0.945</v>
      </c>
    </row>
    <row r="4225">
      <c r="A4225" s="926" t="n">
        <v>37733</v>
      </c>
      <c r="B4225" t="n">
        <v>7.799</v>
      </c>
      <c r="C4225" t="n">
        <v>0.945</v>
      </c>
    </row>
    <row r="4226">
      <c r="A4226" s="926" t="n">
        <v>37734</v>
      </c>
      <c r="B4226" t="n">
        <v>7.799</v>
      </c>
      <c r="C4226" t="n">
        <v>0.945</v>
      </c>
    </row>
    <row r="4227">
      <c r="A4227" s="926" t="n">
        <v>37735</v>
      </c>
      <c r="B4227" t="n">
        <v>7.8</v>
      </c>
      <c r="C4227" t="n">
        <v>0.945</v>
      </c>
    </row>
    <row r="4228">
      <c r="A4228" s="926" t="n">
        <v>37736</v>
      </c>
      <c r="B4228" t="n">
        <v>7.799</v>
      </c>
      <c r="C4228" t="n">
        <v>0.945</v>
      </c>
    </row>
    <row r="4229">
      <c r="A4229" s="926" t="n">
        <v>37737</v>
      </c>
      <c r="B4229" t="n">
        <v>7.798</v>
      </c>
      <c r="C4229" t="n">
        <v>0.945</v>
      </c>
    </row>
    <row r="4230">
      <c r="A4230" s="926" t="n">
        <v>37739</v>
      </c>
      <c r="B4230" t="n">
        <v>7.8</v>
      </c>
      <c r="C4230" t="n">
        <v>0.945</v>
      </c>
    </row>
    <row r="4231">
      <c r="A4231" s="926" t="n">
        <v>37740</v>
      </c>
      <c r="B4231" t="n">
        <v>7.799</v>
      </c>
      <c r="C4231" t="n">
        <v>0.945</v>
      </c>
    </row>
    <row r="4232">
      <c r="A4232" s="926" t="n">
        <v>37741</v>
      </c>
      <c r="B4232" t="n">
        <v>7.799</v>
      </c>
      <c r="C4232" t="n">
        <v>0.945</v>
      </c>
    </row>
    <row r="4233">
      <c r="A4233" s="926" t="n">
        <v>37743</v>
      </c>
      <c r="B4233" t="n">
        <v>7.798</v>
      </c>
      <c r="C4233" t="n">
        <v>0.945</v>
      </c>
    </row>
    <row r="4234">
      <c r="A4234" s="926" t="n">
        <v>37744</v>
      </c>
      <c r="B4234" t="n">
        <v>7.798</v>
      </c>
      <c r="C4234" t="n">
        <v>0.945</v>
      </c>
    </row>
    <row r="4235">
      <c r="A4235" s="926" t="n">
        <v>37746</v>
      </c>
      <c r="B4235" t="n">
        <v>7.799</v>
      </c>
      <c r="C4235" t="n">
        <v>0.945</v>
      </c>
    </row>
    <row r="4236">
      <c r="A4236" s="926" t="n">
        <v>37747</v>
      </c>
      <c r="B4236" t="n">
        <v>7.799</v>
      </c>
      <c r="C4236" t="n">
        <v>0.945</v>
      </c>
    </row>
    <row r="4237">
      <c r="A4237" s="926" t="n">
        <v>37748</v>
      </c>
      <c r="B4237" t="n">
        <v>7.798</v>
      </c>
      <c r="C4237" t="n">
        <v>0.945</v>
      </c>
    </row>
    <row r="4238">
      <c r="A4238" s="926" t="n">
        <v>37750</v>
      </c>
      <c r="B4238" t="n">
        <v>7.798</v>
      </c>
      <c r="C4238" t="n">
        <v>0.945</v>
      </c>
    </row>
    <row r="4239">
      <c r="A4239" s="926" t="n">
        <v>37751</v>
      </c>
      <c r="B4239" t="n">
        <v>7.798</v>
      </c>
      <c r="C4239" t="n">
        <v>0.945</v>
      </c>
    </row>
    <row r="4240">
      <c r="A4240" s="926" t="n">
        <v>37753</v>
      </c>
      <c r="B4240" t="n">
        <v>7.798</v>
      </c>
      <c r="C4240" t="n">
        <v>0.945</v>
      </c>
    </row>
    <row r="4241">
      <c r="A4241" s="926" t="n">
        <v>37754</v>
      </c>
      <c r="B4241" t="n">
        <v>7.797</v>
      </c>
      <c r="C4241" t="n">
        <v>0.945</v>
      </c>
    </row>
    <row r="4242">
      <c r="A4242" s="926" t="n">
        <v>37755</v>
      </c>
      <c r="B4242" t="n">
        <v>7.799</v>
      </c>
      <c r="C4242" t="n">
        <v>0.945</v>
      </c>
    </row>
    <row r="4243">
      <c r="A4243" s="926" t="n">
        <v>37756</v>
      </c>
      <c r="B4243" t="n">
        <v>7.798</v>
      </c>
      <c r="C4243" t="n">
        <v>0.945</v>
      </c>
    </row>
    <row r="4244">
      <c r="A4244" s="926" t="n">
        <v>37757</v>
      </c>
      <c r="B4244" t="n">
        <v>7.799</v>
      </c>
      <c r="C4244" t="n">
        <v>0.945</v>
      </c>
    </row>
    <row r="4245">
      <c r="A4245" s="926" t="n">
        <v>37758</v>
      </c>
      <c r="B4245" t="n">
        <v>7.797</v>
      </c>
      <c r="C4245" t="n">
        <v>0.945</v>
      </c>
    </row>
    <row r="4246">
      <c r="A4246" s="926" t="n">
        <v>37760</v>
      </c>
      <c r="B4246" t="n">
        <v>7.798</v>
      </c>
      <c r="C4246" t="n">
        <v>0.945</v>
      </c>
    </row>
    <row r="4247">
      <c r="A4247" s="926" t="n">
        <v>37761</v>
      </c>
      <c r="B4247" t="n">
        <v>7.799</v>
      </c>
      <c r="C4247" t="n">
        <v>0.945</v>
      </c>
    </row>
    <row r="4248">
      <c r="A4248" s="926" t="n">
        <v>37762</v>
      </c>
      <c r="B4248" t="n">
        <v>7.799</v>
      </c>
      <c r="C4248" t="n">
        <v>0.945</v>
      </c>
    </row>
    <row r="4249">
      <c r="A4249" s="926" t="n">
        <v>37763</v>
      </c>
      <c r="B4249" t="n">
        <v>7.798</v>
      </c>
      <c r="C4249" t="n">
        <v>0.945</v>
      </c>
    </row>
    <row r="4250">
      <c r="A4250" s="926" t="n">
        <v>37764</v>
      </c>
      <c r="B4250" t="n">
        <v>7.798</v>
      </c>
      <c r="C4250" t="n">
        <v>0.945</v>
      </c>
    </row>
    <row r="4251">
      <c r="A4251" s="926" t="n">
        <v>37765</v>
      </c>
      <c r="B4251" t="n">
        <v>7.797</v>
      </c>
      <c r="C4251" t="n">
        <v>0.945</v>
      </c>
    </row>
    <row r="4252">
      <c r="A4252" s="926" t="n">
        <v>37767</v>
      </c>
      <c r="B4252" t="n">
        <v>7.798</v>
      </c>
      <c r="C4252" t="n">
        <v>0.945</v>
      </c>
    </row>
    <row r="4253">
      <c r="A4253" s="926" t="n">
        <v>37768</v>
      </c>
      <c r="B4253" t="n">
        <v>7.798</v>
      </c>
      <c r="C4253" t="n">
        <v>0.945</v>
      </c>
    </row>
    <row r="4254">
      <c r="A4254" s="926" t="n">
        <v>37769</v>
      </c>
      <c r="B4254" t="n">
        <v>7.798</v>
      </c>
      <c r="C4254" t="n">
        <v>0.945</v>
      </c>
    </row>
    <row r="4255">
      <c r="A4255" s="926" t="n">
        <v>37770</v>
      </c>
      <c r="B4255" t="n">
        <v>7.798</v>
      </c>
      <c r="C4255" t="n">
        <v>0.945</v>
      </c>
    </row>
    <row r="4256">
      <c r="A4256" s="926" t="n">
        <v>37771</v>
      </c>
      <c r="B4256" t="n">
        <v>7.797</v>
      </c>
      <c r="C4256" t="n">
        <v>0.945</v>
      </c>
    </row>
    <row r="4257">
      <c r="A4257" s="926" t="n">
        <v>37772</v>
      </c>
      <c r="B4257" t="n">
        <v>7.797</v>
      </c>
      <c r="C4257" t="n">
        <v>0.945</v>
      </c>
    </row>
    <row r="4258">
      <c r="A4258" s="926" t="n">
        <v>37774</v>
      </c>
      <c r="B4258" t="n">
        <v>7.798</v>
      </c>
      <c r="C4258" t="n">
        <v>0.945</v>
      </c>
    </row>
    <row r="4259">
      <c r="A4259" s="926" t="n">
        <v>37775</v>
      </c>
      <c r="B4259" t="n">
        <v>7.798</v>
      </c>
      <c r="C4259" t="n">
        <v>0.945</v>
      </c>
    </row>
    <row r="4260">
      <c r="A4260" s="926" t="n">
        <v>37777</v>
      </c>
      <c r="B4260" t="n">
        <v>7.798</v>
      </c>
      <c r="C4260" t="n">
        <v>0.945</v>
      </c>
    </row>
    <row r="4261">
      <c r="A4261" s="926" t="n">
        <v>37778</v>
      </c>
      <c r="B4261" t="n">
        <v>7.798</v>
      </c>
      <c r="C4261" t="n">
        <v>0.945</v>
      </c>
    </row>
    <row r="4262">
      <c r="A4262" s="926" t="n">
        <v>37779</v>
      </c>
      <c r="B4262" t="n">
        <v>7.798</v>
      </c>
      <c r="C4262" t="n">
        <v>0.945</v>
      </c>
    </row>
    <row r="4263">
      <c r="A4263" s="926" t="n">
        <v>37781</v>
      </c>
      <c r="B4263" t="n">
        <v>7.798</v>
      </c>
      <c r="C4263" t="n">
        <v>0.945</v>
      </c>
    </row>
    <row r="4264">
      <c r="A4264" s="926" t="n">
        <v>37782</v>
      </c>
      <c r="B4264" t="n">
        <v>7.798</v>
      </c>
      <c r="C4264" t="n">
        <v>0.945</v>
      </c>
    </row>
    <row r="4265">
      <c r="A4265" s="926" t="n">
        <v>37783</v>
      </c>
      <c r="B4265" t="n">
        <v>7.798</v>
      </c>
      <c r="C4265" t="n">
        <v>0.945</v>
      </c>
    </row>
    <row r="4266">
      <c r="A4266" s="926" t="n">
        <v>37784</v>
      </c>
      <c r="B4266" t="n">
        <v>7.798</v>
      </c>
      <c r="C4266" t="n">
        <v>0.945</v>
      </c>
    </row>
    <row r="4267">
      <c r="A4267" s="926" t="n">
        <v>37785</v>
      </c>
      <c r="B4267" t="n">
        <v>7.798</v>
      </c>
      <c r="C4267" t="n">
        <v>0.945</v>
      </c>
    </row>
    <row r="4268">
      <c r="A4268" s="926" t="n">
        <v>37786</v>
      </c>
      <c r="B4268" t="n">
        <v>7.797</v>
      </c>
      <c r="C4268" t="n">
        <v>0.945</v>
      </c>
    </row>
    <row r="4269">
      <c r="A4269" s="926" t="n">
        <v>37788</v>
      </c>
      <c r="B4269" t="n">
        <v>7.798</v>
      </c>
      <c r="C4269" t="n">
        <v>0.945</v>
      </c>
    </row>
    <row r="4270">
      <c r="A4270" s="926" t="n">
        <v>37789</v>
      </c>
      <c r="B4270" t="n">
        <v>7.798</v>
      </c>
      <c r="C4270" t="n">
        <v>0.945</v>
      </c>
    </row>
    <row r="4271">
      <c r="A4271" s="926" t="n">
        <v>37790</v>
      </c>
      <c r="B4271" t="n">
        <v>7.798</v>
      </c>
      <c r="C4271" t="n">
        <v>0.945</v>
      </c>
    </row>
    <row r="4272">
      <c r="A4272" s="926" t="n">
        <v>37791</v>
      </c>
      <c r="B4272" t="n">
        <v>7.798</v>
      </c>
      <c r="C4272" t="n">
        <v>0.945</v>
      </c>
    </row>
    <row r="4273">
      <c r="A4273" s="926" t="n">
        <v>37792</v>
      </c>
      <c r="B4273" t="n">
        <v>7.798</v>
      </c>
      <c r="C4273" t="n">
        <v>0.945</v>
      </c>
    </row>
    <row r="4274">
      <c r="A4274" s="926" t="n">
        <v>37793</v>
      </c>
      <c r="B4274" t="n">
        <v>7.798</v>
      </c>
      <c r="C4274" t="n">
        <v>0.945</v>
      </c>
    </row>
    <row r="4275">
      <c r="A4275" s="926" t="n">
        <v>37795</v>
      </c>
      <c r="B4275" t="n">
        <v>7.798</v>
      </c>
      <c r="C4275" t="n">
        <v>0.945</v>
      </c>
    </row>
    <row r="4276">
      <c r="A4276" s="926" t="n">
        <v>37796</v>
      </c>
      <c r="B4276" t="n">
        <v>7.798</v>
      </c>
      <c r="C4276" t="n">
        <v>0.945</v>
      </c>
    </row>
    <row r="4277">
      <c r="A4277" s="926" t="n">
        <v>37797</v>
      </c>
      <c r="B4277" t="n">
        <v>7.798</v>
      </c>
      <c r="C4277" t="n">
        <v>0.945</v>
      </c>
    </row>
    <row r="4278">
      <c r="A4278" s="926" t="n">
        <v>37798</v>
      </c>
      <c r="B4278" t="n">
        <v>7.798</v>
      </c>
      <c r="C4278" t="n">
        <v>0.945</v>
      </c>
    </row>
    <row r="4279">
      <c r="A4279" s="926" t="n">
        <v>37799</v>
      </c>
      <c r="B4279" t="n">
        <v>7.798</v>
      </c>
      <c r="C4279" t="n">
        <v>0.945</v>
      </c>
    </row>
    <row r="4280">
      <c r="A4280" s="926" t="n">
        <v>37800</v>
      </c>
      <c r="B4280" t="n">
        <v>7.798</v>
      </c>
      <c r="C4280" t="n">
        <v>0.945</v>
      </c>
    </row>
    <row r="4281">
      <c r="A4281" s="926" t="n">
        <v>37802</v>
      </c>
      <c r="B4281" t="n">
        <v>7.797</v>
      </c>
      <c r="C4281" t="n">
        <v>0.945</v>
      </c>
    </row>
    <row r="4282">
      <c r="A4282" s="926" t="n">
        <v>37804</v>
      </c>
      <c r="B4282" t="n">
        <v>7.798</v>
      </c>
      <c r="C4282" t="n">
        <v>0.945</v>
      </c>
    </row>
    <row r="4283">
      <c r="A4283" s="926" t="n">
        <v>37805</v>
      </c>
      <c r="B4283" t="n">
        <v>7.798</v>
      </c>
      <c r="C4283" t="n">
        <v>0.945</v>
      </c>
    </row>
    <row r="4284">
      <c r="A4284" s="926" t="n">
        <v>37806</v>
      </c>
      <c r="B4284" t="n">
        <v>7.798</v>
      </c>
      <c r="C4284" t="n">
        <v>0.945</v>
      </c>
    </row>
    <row r="4285">
      <c r="A4285" s="926" t="n">
        <v>37807</v>
      </c>
      <c r="B4285" t="n">
        <v>7.798</v>
      </c>
      <c r="C4285" t="n">
        <v>0.945</v>
      </c>
    </row>
    <row r="4286">
      <c r="A4286" s="926" t="n">
        <v>37809</v>
      </c>
      <c r="B4286" t="n">
        <v>7.798</v>
      </c>
      <c r="C4286" t="n">
        <v>0.945</v>
      </c>
    </row>
    <row r="4287">
      <c r="A4287" s="926" t="n">
        <v>37810</v>
      </c>
      <c r="B4287" t="n">
        <v>7.798</v>
      </c>
      <c r="C4287" t="n">
        <v>0.945</v>
      </c>
    </row>
    <row r="4288">
      <c r="A4288" s="926" t="n">
        <v>37811</v>
      </c>
      <c r="B4288" t="n">
        <v>7.799</v>
      </c>
      <c r="C4288" t="n">
        <v>0.945</v>
      </c>
    </row>
    <row r="4289">
      <c r="A4289" s="926" t="n">
        <v>37812</v>
      </c>
      <c r="B4289" t="n">
        <v>7.799</v>
      </c>
      <c r="C4289" t="n">
        <v>0.945</v>
      </c>
    </row>
    <row r="4290">
      <c r="A4290" s="926" t="n">
        <v>37813</v>
      </c>
      <c r="B4290" t="n">
        <v>7.799</v>
      </c>
      <c r="C4290" t="n">
        <v>0.945</v>
      </c>
    </row>
    <row r="4291">
      <c r="A4291" s="926" t="n">
        <v>37814</v>
      </c>
      <c r="B4291" t="n">
        <v>7.797</v>
      </c>
      <c r="C4291" t="n">
        <v>0.945</v>
      </c>
    </row>
    <row r="4292">
      <c r="A4292" s="926" t="n">
        <v>37816</v>
      </c>
      <c r="B4292" t="n">
        <v>7.799</v>
      </c>
      <c r="C4292" t="n">
        <v>0.945</v>
      </c>
    </row>
    <row r="4293">
      <c r="A4293" s="926" t="n">
        <v>37817</v>
      </c>
      <c r="B4293" t="n">
        <v>7.799</v>
      </c>
      <c r="C4293" t="n">
        <v>0.945</v>
      </c>
    </row>
    <row r="4294">
      <c r="A4294" s="926" t="n">
        <v>37818</v>
      </c>
      <c r="B4294" t="n">
        <v>7.8</v>
      </c>
      <c r="C4294" t="n">
        <v>0.945</v>
      </c>
    </row>
    <row r="4295">
      <c r="A4295" s="926" t="n">
        <v>37819</v>
      </c>
      <c r="B4295" t="n">
        <v>7.799</v>
      </c>
      <c r="C4295" t="n">
        <v>0.945</v>
      </c>
    </row>
    <row r="4296">
      <c r="A4296" s="926" t="n">
        <v>37820</v>
      </c>
      <c r="B4296" t="n">
        <v>7.799</v>
      </c>
      <c r="C4296" t="n">
        <v>0.945</v>
      </c>
    </row>
    <row r="4297">
      <c r="A4297" s="926" t="n">
        <v>37821</v>
      </c>
      <c r="B4297" t="n">
        <v>7.799</v>
      </c>
      <c r="C4297" t="n">
        <v>0.945</v>
      </c>
    </row>
    <row r="4298">
      <c r="A4298" s="926" t="n">
        <v>37823</v>
      </c>
      <c r="B4298" t="n">
        <v>7.799</v>
      </c>
      <c r="C4298" t="n">
        <v>0.945</v>
      </c>
    </row>
    <row r="4299">
      <c r="A4299" s="926" t="n">
        <v>37824</v>
      </c>
      <c r="B4299" t="n">
        <v>7.799</v>
      </c>
      <c r="C4299" t="n">
        <v>0.945</v>
      </c>
    </row>
    <row r="4300">
      <c r="A4300" s="926" t="n">
        <v>37825</v>
      </c>
      <c r="B4300" t="n">
        <v>7.798</v>
      </c>
      <c r="C4300" t="n">
        <v>0.945</v>
      </c>
    </row>
    <row r="4301">
      <c r="A4301" s="926" t="n">
        <v>37826</v>
      </c>
      <c r="B4301" t="n">
        <v>7.798</v>
      </c>
      <c r="C4301" t="n">
        <v>0.945</v>
      </c>
    </row>
    <row r="4302">
      <c r="A4302" s="926" t="n">
        <v>37827</v>
      </c>
      <c r="B4302" t="n">
        <v>7.798</v>
      </c>
      <c r="C4302" t="n">
        <v>0.945</v>
      </c>
    </row>
    <row r="4303">
      <c r="A4303" s="926" t="n">
        <v>37828</v>
      </c>
      <c r="B4303" t="n">
        <v>7.798</v>
      </c>
      <c r="C4303" t="n">
        <v>0.945</v>
      </c>
    </row>
    <row r="4304">
      <c r="A4304" s="926" t="n">
        <v>37830</v>
      </c>
      <c r="B4304" t="n">
        <v>7.798</v>
      </c>
      <c r="C4304" t="n">
        <v>0.945</v>
      </c>
    </row>
    <row r="4305">
      <c r="A4305" s="926" t="n">
        <v>37831</v>
      </c>
      <c r="B4305" t="n">
        <v>7.798</v>
      </c>
      <c r="C4305" t="n">
        <v>0.945</v>
      </c>
    </row>
    <row r="4306">
      <c r="A4306" s="926" t="n">
        <v>37832</v>
      </c>
      <c r="B4306" t="n">
        <v>7.798</v>
      </c>
      <c r="C4306" t="n">
        <v>0.945</v>
      </c>
    </row>
    <row r="4307">
      <c r="A4307" s="926" t="n">
        <v>37833</v>
      </c>
      <c r="B4307" t="n">
        <v>7.798</v>
      </c>
      <c r="C4307" t="n">
        <v>0.945</v>
      </c>
    </row>
    <row r="4308">
      <c r="A4308" s="926" t="n">
        <v>37834</v>
      </c>
      <c r="B4308" t="n">
        <v>7.799</v>
      </c>
      <c r="C4308" t="n">
        <v>0.945</v>
      </c>
    </row>
    <row r="4309">
      <c r="A4309" s="926" t="n">
        <v>37835</v>
      </c>
      <c r="B4309" t="n">
        <v>7.798</v>
      </c>
      <c r="C4309" t="n">
        <v>0.945</v>
      </c>
    </row>
    <row r="4310">
      <c r="A4310" s="926" t="n">
        <v>37837</v>
      </c>
      <c r="B4310" t="n">
        <v>7.799</v>
      </c>
      <c r="C4310" t="n">
        <v>0.945</v>
      </c>
    </row>
    <row r="4311">
      <c r="A4311" s="926" t="n">
        <v>37838</v>
      </c>
      <c r="B4311" t="n">
        <v>7.799</v>
      </c>
      <c r="C4311" t="n">
        <v>0.945</v>
      </c>
    </row>
    <row r="4312">
      <c r="A4312" s="926" t="n">
        <v>37839</v>
      </c>
      <c r="B4312" t="n">
        <v>7.798</v>
      </c>
      <c r="C4312" t="n">
        <v>0.945</v>
      </c>
    </row>
    <row r="4313">
      <c r="A4313" s="926" t="n">
        <v>37840</v>
      </c>
      <c r="B4313" t="n">
        <v>7.799</v>
      </c>
      <c r="C4313" t="n">
        <v>0.945</v>
      </c>
    </row>
    <row r="4314">
      <c r="A4314" s="926" t="n">
        <v>37841</v>
      </c>
      <c r="B4314" t="n">
        <v>7.799</v>
      </c>
      <c r="C4314" t="n">
        <v>0.945</v>
      </c>
    </row>
    <row r="4315">
      <c r="A4315" s="926" t="n">
        <v>37842</v>
      </c>
      <c r="B4315" t="n">
        <v>7.798</v>
      </c>
      <c r="C4315" t="n">
        <v>0.945</v>
      </c>
    </row>
    <row r="4316">
      <c r="A4316" s="926" t="n">
        <v>37844</v>
      </c>
      <c r="B4316" t="n">
        <v>7.799</v>
      </c>
      <c r="C4316" t="n">
        <v>0.945</v>
      </c>
    </row>
    <row r="4317">
      <c r="A4317" s="926" t="n">
        <v>37845</v>
      </c>
      <c r="B4317" t="n">
        <v>7.798</v>
      </c>
      <c r="C4317" t="n">
        <v>0.945</v>
      </c>
    </row>
    <row r="4318">
      <c r="A4318" s="926" t="n">
        <v>37846</v>
      </c>
      <c r="B4318" t="n">
        <v>7.798</v>
      </c>
      <c r="C4318" t="n">
        <v>0.945</v>
      </c>
    </row>
    <row r="4319">
      <c r="A4319" s="926" t="n">
        <v>37847</v>
      </c>
      <c r="B4319" t="n">
        <v>7.798</v>
      </c>
      <c r="C4319" t="n">
        <v>0.945</v>
      </c>
    </row>
    <row r="4320">
      <c r="A4320" s="926" t="n">
        <v>37848</v>
      </c>
      <c r="B4320" t="n">
        <v>7.798</v>
      </c>
      <c r="C4320" t="n">
        <v>0.945</v>
      </c>
    </row>
    <row r="4321">
      <c r="A4321" s="926" t="n">
        <v>37849</v>
      </c>
      <c r="B4321" t="n">
        <v>7.798</v>
      </c>
      <c r="C4321" t="n">
        <v>0.945</v>
      </c>
    </row>
    <row r="4322">
      <c r="A4322" s="926" t="n">
        <v>37851</v>
      </c>
      <c r="B4322" t="n">
        <v>7.798</v>
      </c>
      <c r="C4322" t="n">
        <v>0.945</v>
      </c>
    </row>
    <row r="4323">
      <c r="A4323" s="926" t="n">
        <v>37852</v>
      </c>
      <c r="B4323" t="n">
        <v>7.799</v>
      </c>
      <c r="C4323" t="n">
        <v>0.945</v>
      </c>
    </row>
    <row r="4324">
      <c r="A4324" s="926" t="n">
        <v>37853</v>
      </c>
      <c r="B4324" t="n">
        <v>7.798</v>
      </c>
      <c r="C4324" t="n">
        <v>0.945</v>
      </c>
    </row>
    <row r="4325">
      <c r="A4325" s="926" t="n">
        <v>37854</v>
      </c>
      <c r="B4325" t="n">
        <v>7.798</v>
      </c>
      <c r="C4325" t="n">
        <v>0.945</v>
      </c>
    </row>
    <row r="4326">
      <c r="A4326" s="926" t="n">
        <v>37855</v>
      </c>
      <c r="B4326" t="n">
        <v>7.799</v>
      </c>
      <c r="C4326" t="n">
        <v>0.945</v>
      </c>
    </row>
    <row r="4327">
      <c r="A4327" s="926" t="n">
        <v>37856</v>
      </c>
      <c r="B4327" t="n">
        <v>7.797</v>
      </c>
      <c r="C4327" t="n">
        <v>0.945</v>
      </c>
    </row>
    <row r="4328">
      <c r="A4328" s="926" t="n">
        <v>37858</v>
      </c>
      <c r="B4328" t="n">
        <v>7.798</v>
      </c>
      <c r="C4328" t="n">
        <v>0.945</v>
      </c>
    </row>
    <row r="4329">
      <c r="A4329" s="926" t="n">
        <v>37859</v>
      </c>
      <c r="B4329" t="n">
        <v>7.799</v>
      </c>
      <c r="C4329" t="n">
        <v>0.945</v>
      </c>
    </row>
    <row r="4330">
      <c r="A4330" s="926" t="n">
        <v>37860</v>
      </c>
      <c r="B4330" t="n">
        <v>7.799</v>
      </c>
      <c r="C4330" t="n">
        <v>0.945</v>
      </c>
    </row>
    <row r="4331">
      <c r="A4331" s="926" t="n">
        <v>37861</v>
      </c>
      <c r="B4331" t="n">
        <v>7.799</v>
      </c>
      <c r="C4331" t="n">
        <v>0.945</v>
      </c>
    </row>
    <row r="4332">
      <c r="A4332" s="926" t="n">
        <v>37862</v>
      </c>
      <c r="B4332" t="n">
        <v>7.798</v>
      </c>
      <c r="C4332" t="n">
        <v>0.945</v>
      </c>
    </row>
    <row r="4333">
      <c r="A4333" s="926" t="n">
        <v>37863</v>
      </c>
      <c r="B4333" t="n">
        <v>7.798</v>
      </c>
      <c r="C4333" t="n">
        <v>0.945</v>
      </c>
    </row>
    <row r="4334">
      <c r="A4334" s="926" t="n">
        <v>37865</v>
      </c>
      <c r="B4334" t="n">
        <v>7.798</v>
      </c>
      <c r="C4334" t="n">
        <v>0.945</v>
      </c>
    </row>
    <row r="4335">
      <c r="A4335" s="926" t="n">
        <v>37866</v>
      </c>
      <c r="B4335" t="n">
        <v>7.798</v>
      </c>
      <c r="C4335" t="n">
        <v>0.945</v>
      </c>
    </row>
    <row r="4336">
      <c r="A4336" s="926" t="n">
        <v>37867</v>
      </c>
      <c r="B4336" t="n">
        <v>7.798</v>
      </c>
      <c r="C4336" t="n">
        <v>0.945</v>
      </c>
    </row>
    <row r="4337">
      <c r="A4337" s="926" t="n">
        <v>37868</v>
      </c>
      <c r="B4337" t="n">
        <v>7.798</v>
      </c>
      <c r="C4337" t="n">
        <v>0.945</v>
      </c>
    </row>
    <row r="4338">
      <c r="A4338" s="926" t="n">
        <v>37869</v>
      </c>
      <c r="B4338" t="n">
        <v>7.798</v>
      </c>
      <c r="C4338" t="n">
        <v>0.945</v>
      </c>
    </row>
    <row r="4339">
      <c r="A4339" s="926" t="n">
        <v>37870</v>
      </c>
      <c r="B4339" t="n">
        <v>7.797</v>
      </c>
      <c r="C4339" t="n">
        <v>0.945</v>
      </c>
    </row>
    <row r="4340">
      <c r="A4340" s="926" t="n">
        <v>37872</v>
      </c>
      <c r="B4340" t="n">
        <v>7.798</v>
      </c>
      <c r="C4340" t="n">
        <v>0.945</v>
      </c>
    </row>
    <row r="4341">
      <c r="A4341" s="926" t="n">
        <v>37873</v>
      </c>
      <c r="B4341" t="n">
        <v>7.798</v>
      </c>
      <c r="C4341" t="n">
        <v>0.945</v>
      </c>
    </row>
    <row r="4342">
      <c r="A4342" s="926" t="n">
        <v>37874</v>
      </c>
      <c r="B4342" t="n">
        <v>7.798</v>
      </c>
      <c r="C4342" t="n">
        <v>0.945</v>
      </c>
    </row>
    <row r="4343">
      <c r="A4343" s="926" t="n">
        <v>37875</v>
      </c>
      <c r="B4343" t="n">
        <v>7.798</v>
      </c>
      <c r="C4343" t="n">
        <v>0.945</v>
      </c>
    </row>
    <row r="4344">
      <c r="A4344" s="926" t="n">
        <v>37877</v>
      </c>
      <c r="B4344" t="n">
        <v>7.797</v>
      </c>
      <c r="C4344" t="n">
        <v>0.945</v>
      </c>
    </row>
    <row r="4345">
      <c r="A4345" s="926" t="n">
        <v>37879</v>
      </c>
      <c r="B4345" t="n">
        <v>7.798</v>
      </c>
      <c r="C4345" t="n">
        <v>0.945</v>
      </c>
    </row>
    <row r="4346">
      <c r="A4346" s="926" t="n">
        <v>37880</v>
      </c>
      <c r="B4346" t="n">
        <v>7.798</v>
      </c>
      <c r="C4346" t="n">
        <v>0.945</v>
      </c>
    </row>
    <row r="4347">
      <c r="A4347" s="926" t="n">
        <v>37881</v>
      </c>
      <c r="B4347" t="n">
        <v>7.798</v>
      </c>
      <c r="C4347" t="n">
        <v>0.945</v>
      </c>
    </row>
    <row r="4348">
      <c r="A4348" s="926" t="n">
        <v>37882</v>
      </c>
      <c r="B4348" t="n">
        <v>7.798</v>
      </c>
      <c r="C4348" t="n">
        <v>0.945</v>
      </c>
    </row>
    <row r="4349">
      <c r="A4349" s="926" t="n">
        <v>37883</v>
      </c>
      <c r="B4349" t="n">
        <v>7.798</v>
      </c>
      <c r="C4349" t="n">
        <v>0.945</v>
      </c>
    </row>
    <row r="4350">
      <c r="A4350" s="926" t="n">
        <v>37884</v>
      </c>
      <c r="B4350" t="n">
        <v>7.798</v>
      </c>
      <c r="C4350" t="n">
        <v>0.945</v>
      </c>
    </row>
    <row r="4351">
      <c r="A4351" s="926" t="n">
        <v>37886</v>
      </c>
      <c r="B4351" t="n">
        <v>7.798</v>
      </c>
      <c r="C4351" t="n">
        <v>0.945</v>
      </c>
    </row>
    <row r="4352">
      <c r="A4352" s="926" t="n">
        <v>37887</v>
      </c>
      <c r="B4352" t="n">
        <v>7.75</v>
      </c>
      <c r="C4352" t="n">
        <v>0.945</v>
      </c>
    </row>
    <row r="4353">
      <c r="A4353" s="926" t="n">
        <v>37888</v>
      </c>
      <c r="B4353" t="n">
        <v>7.755</v>
      </c>
      <c r="C4353" t="n">
        <v>0.945</v>
      </c>
    </row>
    <row r="4354">
      <c r="A4354" s="926" t="n">
        <v>37889</v>
      </c>
      <c r="B4354" t="n">
        <v>7.7665</v>
      </c>
      <c r="C4354" t="n">
        <v>0.945</v>
      </c>
    </row>
    <row r="4355">
      <c r="A4355" s="926" t="n">
        <v>37890</v>
      </c>
      <c r="B4355" t="n">
        <v>7.762</v>
      </c>
      <c r="C4355" t="n">
        <v>0.945</v>
      </c>
    </row>
    <row r="4356">
      <c r="A4356" s="926" t="n">
        <v>37891</v>
      </c>
      <c r="B4356" t="n">
        <v>7.748</v>
      </c>
      <c r="C4356" t="n">
        <v>0.945</v>
      </c>
    </row>
    <row r="4357">
      <c r="A4357" s="926" t="n">
        <v>37893</v>
      </c>
      <c r="B4357" t="n">
        <v>7.745</v>
      </c>
      <c r="C4357" t="n">
        <v>0.945</v>
      </c>
    </row>
    <row r="4358">
      <c r="A4358" s="926" t="n">
        <v>37894</v>
      </c>
      <c r="B4358" t="n">
        <v>7.743</v>
      </c>
      <c r="C4358" t="n">
        <v>0.945</v>
      </c>
    </row>
    <row r="4359">
      <c r="A4359" s="926" t="n">
        <v>37896</v>
      </c>
      <c r="B4359" t="n">
        <v>7.736</v>
      </c>
      <c r="C4359" t="n">
        <v>0.945</v>
      </c>
    </row>
    <row r="4360">
      <c r="A4360" s="926" t="n">
        <v>37897</v>
      </c>
      <c r="B4360" t="n">
        <v>7.725</v>
      </c>
      <c r="C4360" t="n">
        <v>0.945</v>
      </c>
    </row>
    <row r="4361">
      <c r="A4361" s="926" t="n">
        <v>37900</v>
      </c>
      <c r="B4361" t="n">
        <v>7.719</v>
      </c>
      <c r="C4361" t="n">
        <v>0.945</v>
      </c>
    </row>
    <row r="4362">
      <c r="A4362" s="926" t="n">
        <v>37901</v>
      </c>
      <c r="B4362" t="n">
        <v>7.711</v>
      </c>
      <c r="C4362" t="n">
        <v>0.945</v>
      </c>
    </row>
    <row r="4363">
      <c r="A4363" s="926" t="n">
        <v>37902</v>
      </c>
      <c r="B4363" t="n">
        <v>7.729</v>
      </c>
      <c r="C4363" t="n">
        <v>0.945</v>
      </c>
    </row>
    <row r="4364">
      <c r="A4364" s="926" t="n">
        <v>37903</v>
      </c>
      <c r="B4364" t="n">
        <v>7.736</v>
      </c>
      <c r="C4364" t="n">
        <v>0.945</v>
      </c>
    </row>
    <row r="4365">
      <c r="A4365" s="926" t="n">
        <v>37904</v>
      </c>
      <c r="B4365" t="n">
        <v>7.729</v>
      </c>
      <c r="C4365" t="n">
        <v>0.945</v>
      </c>
    </row>
    <row r="4366">
      <c r="A4366" s="926" t="n">
        <v>37905</v>
      </c>
      <c r="B4366" t="n">
        <v>7.731</v>
      </c>
      <c r="C4366" t="n">
        <v>0.945</v>
      </c>
    </row>
    <row r="4367">
      <c r="A4367" s="926" t="n">
        <v>37907</v>
      </c>
      <c r="B4367" t="n">
        <v>7.734</v>
      </c>
      <c r="C4367" t="n">
        <v>0.945</v>
      </c>
    </row>
    <row r="4368">
      <c r="A4368" s="926" t="n">
        <v>37908</v>
      </c>
      <c r="B4368" t="n">
        <v>7.746</v>
      </c>
      <c r="C4368" t="n">
        <v>0.945</v>
      </c>
    </row>
    <row r="4369">
      <c r="A4369" s="926" t="n">
        <v>37909</v>
      </c>
      <c r="B4369" t="n">
        <v>7.743</v>
      </c>
      <c r="C4369" t="n">
        <v>0.945</v>
      </c>
    </row>
    <row r="4370">
      <c r="A4370" s="926" t="n">
        <v>37910</v>
      </c>
      <c r="B4370" t="n">
        <v>7.745</v>
      </c>
      <c r="C4370" t="n">
        <v>0.945</v>
      </c>
    </row>
    <row r="4371">
      <c r="A4371" s="926" t="n">
        <v>37911</v>
      </c>
      <c r="B4371" t="n">
        <v>7.743</v>
      </c>
      <c r="C4371" t="n">
        <v>0.945</v>
      </c>
    </row>
    <row r="4372">
      <c r="A4372" s="926" t="n">
        <v>37912</v>
      </c>
      <c r="B4372" t="n">
        <v>7.741</v>
      </c>
      <c r="C4372" t="n">
        <v>0.945</v>
      </c>
    </row>
    <row r="4373">
      <c r="A4373" s="926" t="n">
        <v>37914</v>
      </c>
      <c r="B4373" t="n">
        <v>7.751</v>
      </c>
      <c r="C4373" t="n">
        <v>0.945</v>
      </c>
    </row>
    <row r="4374">
      <c r="A4374" s="926" t="n">
        <v>37915</v>
      </c>
      <c r="B4374" t="n">
        <v>7.753</v>
      </c>
      <c r="C4374" t="n">
        <v>0.945</v>
      </c>
    </row>
    <row r="4375">
      <c r="A4375" s="926" t="n">
        <v>37916</v>
      </c>
      <c r="B4375" t="n">
        <v>7.753</v>
      </c>
      <c r="C4375" t="n">
        <v>0.945</v>
      </c>
    </row>
    <row r="4376">
      <c r="A4376" s="926" t="n">
        <v>37917</v>
      </c>
      <c r="B4376" t="n">
        <v>7.752</v>
      </c>
      <c r="C4376" t="n">
        <v>0.945</v>
      </c>
    </row>
    <row r="4377">
      <c r="A4377" s="926" t="n">
        <v>37918</v>
      </c>
      <c r="B4377" t="n">
        <v>7.753</v>
      </c>
      <c r="C4377" t="n">
        <v>0.945</v>
      </c>
    </row>
    <row r="4378">
      <c r="A4378" s="926" t="n">
        <v>37919</v>
      </c>
      <c r="B4378" t="n">
        <v>7.75</v>
      </c>
      <c r="C4378" t="n">
        <v>0.945</v>
      </c>
    </row>
    <row r="4379">
      <c r="A4379" s="926" t="n">
        <v>37921</v>
      </c>
      <c r="B4379" t="n">
        <v>7.754</v>
      </c>
      <c r="C4379" t="n">
        <v>0.945</v>
      </c>
    </row>
    <row r="4380">
      <c r="A4380" s="926" t="n">
        <v>37922</v>
      </c>
      <c r="B4380" t="n">
        <v>7.756</v>
      </c>
      <c r="C4380" t="n">
        <v>0.945</v>
      </c>
    </row>
    <row r="4381">
      <c r="A4381" s="926" t="n">
        <v>37923</v>
      </c>
      <c r="B4381" t="n">
        <v>7.759</v>
      </c>
      <c r="C4381" t="n">
        <v>0.945</v>
      </c>
    </row>
    <row r="4382">
      <c r="A4382" s="926" t="n">
        <v>37924</v>
      </c>
      <c r="B4382" t="n">
        <v>7.7615</v>
      </c>
      <c r="C4382" t="n">
        <v>0.945</v>
      </c>
    </row>
    <row r="4383">
      <c r="A4383" s="926" t="n">
        <v>37925</v>
      </c>
      <c r="B4383" t="n">
        <v>7.763</v>
      </c>
      <c r="C4383" t="n">
        <v>0.945</v>
      </c>
    </row>
    <row r="4384">
      <c r="A4384" s="926" t="n">
        <v>37926</v>
      </c>
      <c r="B4384" t="n">
        <v>7.763</v>
      </c>
      <c r="C4384" t="n">
        <v>0.945</v>
      </c>
    </row>
    <row r="4385">
      <c r="A4385" s="926" t="n">
        <v>37928</v>
      </c>
      <c r="B4385" t="n">
        <v>7.766</v>
      </c>
      <c r="C4385" t="n">
        <v>0.945</v>
      </c>
    </row>
    <row r="4386">
      <c r="A4386" s="926" t="n">
        <v>37929</v>
      </c>
      <c r="B4386" t="n">
        <v>7.766</v>
      </c>
      <c r="C4386" t="n">
        <v>0.945</v>
      </c>
    </row>
    <row r="4387">
      <c r="A4387" s="926" t="n">
        <v>37930</v>
      </c>
      <c r="B4387" t="n">
        <v>7.767</v>
      </c>
      <c r="C4387" t="n">
        <v>0.945</v>
      </c>
    </row>
    <row r="4388">
      <c r="A4388" s="926" t="n">
        <v>37931</v>
      </c>
      <c r="B4388" t="n">
        <v>7.767</v>
      </c>
      <c r="C4388" t="n">
        <v>0.945</v>
      </c>
    </row>
    <row r="4389">
      <c r="A4389" s="926" t="n">
        <v>37932</v>
      </c>
      <c r="B4389" t="n">
        <v>7.769</v>
      </c>
      <c r="C4389" t="n">
        <v>0.945</v>
      </c>
    </row>
    <row r="4390">
      <c r="A4390" s="926" t="n">
        <v>37933</v>
      </c>
      <c r="B4390" t="n">
        <v>7.765</v>
      </c>
      <c r="C4390" t="n">
        <v>0.945</v>
      </c>
    </row>
    <row r="4391">
      <c r="A4391" s="926" t="n">
        <v>37935</v>
      </c>
      <c r="B4391" t="n">
        <v>7.769</v>
      </c>
      <c r="C4391" t="n">
        <v>0.945</v>
      </c>
    </row>
    <row r="4392">
      <c r="A4392" s="926" t="n">
        <v>37936</v>
      </c>
      <c r="B4392" t="n">
        <v>7.754</v>
      </c>
      <c r="C4392" t="n">
        <v>0.945</v>
      </c>
    </row>
    <row r="4393">
      <c r="A4393" s="926" t="n">
        <v>37937</v>
      </c>
      <c r="B4393" t="n">
        <v>7.763</v>
      </c>
      <c r="C4393" t="n">
        <v>0.945</v>
      </c>
    </row>
    <row r="4394">
      <c r="A4394" s="926" t="n">
        <v>37938</v>
      </c>
      <c r="B4394" t="n">
        <v>7.766</v>
      </c>
      <c r="C4394" t="n">
        <v>0.945</v>
      </c>
    </row>
    <row r="4395">
      <c r="A4395" s="926" t="n">
        <v>37939</v>
      </c>
      <c r="B4395" t="n">
        <v>7.762</v>
      </c>
      <c r="C4395" t="n">
        <v>0.945</v>
      </c>
    </row>
    <row r="4396">
      <c r="A4396" s="926" t="n">
        <v>37940</v>
      </c>
      <c r="B4396" t="n">
        <v>7.762</v>
      </c>
      <c r="C4396" t="n">
        <v>0.945</v>
      </c>
    </row>
    <row r="4397">
      <c r="A4397" s="926" t="n">
        <v>37942</v>
      </c>
      <c r="B4397" t="n">
        <v>7.759</v>
      </c>
      <c r="C4397" t="n">
        <v>0.945</v>
      </c>
    </row>
    <row r="4398">
      <c r="A4398" s="926" t="n">
        <v>37943</v>
      </c>
      <c r="B4398" t="n">
        <v>7.76</v>
      </c>
      <c r="C4398" t="n">
        <v>0.945</v>
      </c>
    </row>
    <row r="4399">
      <c r="A4399" s="926" t="n">
        <v>37944</v>
      </c>
      <c r="B4399" t="n">
        <v>7.755</v>
      </c>
      <c r="C4399" t="n">
        <v>0.945</v>
      </c>
    </row>
    <row r="4400">
      <c r="A4400" s="926" t="n">
        <v>37945</v>
      </c>
      <c r="B4400" t="n">
        <v>7.759</v>
      </c>
      <c r="C4400" t="n">
        <v>0.945</v>
      </c>
    </row>
    <row r="4401">
      <c r="A4401" s="926" t="n">
        <v>37946</v>
      </c>
      <c r="B4401" t="n">
        <v>7.761</v>
      </c>
      <c r="C4401" t="n">
        <v>0.945</v>
      </c>
    </row>
    <row r="4402">
      <c r="A4402" s="926" t="n">
        <v>37947</v>
      </c>
      <c r="B4402" t="n">
        <v>7.758</v>
      </c>
      <c r="C4402" t="n">
        <v>0.945</v>
      </c>
    </row>
    <row r="4403">
      <c r="A4403" s="926" t="n">
        <v>37949</v>
      </c>
      <c r="B4403" t="n">
        <v>7.763</v>
      </c>
      <c r="C4403" t="n">
        <v>0.945</v>
      </c>
    </row>
    <row r="4404">
      <c r="A4404" s="926" t="n">
        <v>37950</v>
      </c>
      <c r="B4404" t="n">
        <v>7.768</v>
      </c>
      <c r="C4404" t="n">
        <v>0.945</v>
      </c>
    </row>
    <row r="4405">
      <c r="A4405" s="926" t="n">
        <v>37951</v>
      </c>
      <c r="B4405" t="n">
        <v>7.767</v>
      </c>
      <c r="C4405" t="n">
        <v>0.945</v>
      </c>
    </row>
    <row r="4406">
      <c r="A4406" s="926" t="n">
        <v>37952</v>
      </c>
      <c r="B4406" t="n">
        <v>7.768</v>
      </c>
      <c r="C4406" t="n">
        <v>0.945</v>
      </c>
    </row>
    <row r="4407">
      <c r="A4407" s="926" t="n">
        <v>37953</v>
      </c>
      <c r="B4407" t="n">
        <v>7.766</v>
      </c>
      <c r="C4407" t="n">
        <v>0.945</v>
      </c>
    </row>
    <row r="4408">
      <c r="A4408" s="926" t="n">
        <v>37954</v>
      </c>
      <c r="B4408" t="n">
        <v>7.762</v>
      </c>
      <c r="C4408" t="n">
        <v>0.945</v>
      </c>
    </row>
    <row r="4409">
      <c r="A4409" s="926" t="n">
        <v>37956</v>
      </c>
      <c r="B4409" t="n">
        <v>7.761</v>
      </c>
      <c r="C4409" t="n">
        <v>0.945</v>
      </c>
    </row>
    <row r="4410">
      <c r="A4410" s="926" t="n">
        <v>37957</v>
      </c>
      <c r="B4410" t="n">
        <v>7.763</v>
      </c>
      <c r="C4410" t="n">
        <v>0.945</v>
      </c>
    </row>
    <row r="4411">
      <c r="A4411" s="926" t="n">
        <v>37958</v>
      </c>
      <c r="B4411" t="n">
        <v>7.758</v>
      </c>
      <c r="C4411" t="n">
        <v>0.945</v>
      </c>
    </row>
    <row r="4412">
      <c r="A4412" s="926" t="n">
        <v>37959</v>
      </c>
      <c r="B4412" t="n">
        <v>7.764</v>
      </c>
      <c r="C4412" t="n">
        <v>0.945</v>
      </c>
    </row>
    <row r="4413">
      <c r="A4413" s="926" t="n">
        <v>37960</v>
      </c>
      <c r="B4413" t="n">
        <v>7.766</v>
      </c>
      <c r="C4413" t="n">
        <v>0.945</v>
      </c>
    </row>
    <row r="4414">
      <c r="A4414" s="926" t="n">
        <v>37961</v>
      </c>
      <c r="B4414" t="n">
        <v>7.76</v>
      </c>
      <c r="C4414" t="n">
        <v>0.945</v>
      </c>
    </row>
    <row r="4415">
      <c r="A4415" s="926" t="n">
        <v>37963</v>
      </c>
      <c r="B4415" t="n">
        <v>7.762</v>
      </c>
      <c r="C4415" t="n">
        <v>0.945</v>
      </c>
    </row>
    <row r="4416">
      <c r="A4416" s="926" t="n">
        <v>37964</v>
      </c>
      <c r="B4416" t="n">
        <v>7.766</v>
      </c>
      <c r="C4416" t="n">
        <v>0.945</v>
      </c>
    </row>
    <row r="4417">
      <c r="A4417" s="926" t="n">
        <v>37965</v>
      </c>
      <c r="B4417" t="n">
        <v>7.763</v>
      </c>
      <c r="C4417" t="n">
        <v>0.945</v>
      </c>
    </row>
    <row r="4418">
      <c r="A4418" s="926" t="n">
        <v>37966</v>
      </c>
      <c r="B4418" t="n">
        <v>7.763</v>
      </c>
      <c r="C4418" t="n">
        <v>0.945</v>
      </c>
    </row>
    <row r="4419">
      <c r="A4419" s="926" t="n">
        <v>37967</v>
      </c>
      <c r="B4419" t="n">
        <v>7.763</v>
      </c>
      <c r="C4419" t="n">
        <v>0.9375</v>
      </c>
    </row>
    <row r="4420">
      <c r="A4420" s="926" t="n">
        <v>37968</v>
      </c>
      <c r="B4420" t="n">
        <v>7.762</v>
      </c>
      <c r="C4420" t="n">
        <v>0.9375</v>
      </c>
    </row>
    <row r="4421">
      <c r="A4421" s="926" t="n">
        <v>37970</v>
      </c>
      <c r="B4421" t="n">
        <v>7.763</v>
      </c>
      <c r="C4421" t="n">
        <v>0.9375</v>
      </c>
    </row>
    <row r="4422">
      <c r="A4422" s="926" t="n">
        <v>37971</v>
      </c>
      <c r="B4422" t="n">
        <v>7.763</v>
      </c>
      <c r="C4422" t="n">
        <v>0.9375</v>
      </c>
    </row>
    <row r="4423">
      <c r="A4423" s="926" t="n">
        <v>37972</v>
      </c>
      <c r="B4423" t="n">
        <v>7.763</v>
      </c>
      <c r="C4423" t="n">
        <v>0.9375</v>
      </c>
    </row>
    <row r="4424">
      <c r="A4424" s="926" t="n">
        <v>37973</v>
      </c>
      <c r="B4424" t="n">
        <v>7.763</v>
      </c>
      <c r="C4424" t="n">
        <v>0.9375</v>
      </c>
    </row>
    <row r="4425">
      <c r="A4425" s="926" t="n">
        <v>37974</v>
      </c>
      <c r="B4425" t="n">
        <v>7.765</v>
      </c>
      <c r="C4425" t="n">
        <v>0.9375</v>
      </c>
    </row>
    <row r="4426">
      <c r="A4426" s="926" t="n">
        <v>37975</v>
      </c>
      <c r="B4426" t="n">
        <v>7.764</v>
      </c>
      <c r="C4426" t="n">
        <v>0.9375</v>
      </c>
    </row>
    <row r="4427">
      <c r="A4427" s="926" t="n">
        <v>37977</v>
      </c>
      <c r="B4427" t="n">
        <v>7.764</v>
      </c>
      <c r="C4427" t="n">
        <v>0.9375</v>
      </c>
    </row>
    <row r="4428">
      <c r="A4428" s="926" t="n">
        <v>37978</v>
      </c>
      <c r="B4428" t="n">
        <v>7.763</v>
      </c>
      <c r="C4428" t="n">
        <v>0.9375</v>
      </c>
    </row>
    <row r="4429">
      <c r="A4429" s="926" t="n">
        <v>37979</v>
      </c>
      <c r="B4429" t="n">
        <v>7.764</v>
      </c>
      <c r="C4429" t="n">
        <v>0.9395</v>
      </c>
    </row>
    <row r="4430">
      <c r="A4430" s="926" t="n">
        <v>37982</v>
      </c>
      <c r="B4430" t="n">
        <v>7.762</v>
      </c>
      <c r="C4430" t="n">
        <v>0.9375</v>
      </c>
    </row>
    <row r="4431">
      <c r="A4431" s="926" t="n">
        <v>37984</v>
      </c>
      <c r="B4431" t="n">
        <v>7.764</v>
      </c>
      <c r="C4431" t="n">
        <v>0.9375</v>
      </c>
    </row>
    <row r="4432">
      <c r="A4432" s="926" t="n">
        <v>37985</v>
      </c>
      <c r="B4432" t="n">
        <v>7.763</v>
      </c>
      <c r="C4432" t="n">
        <v>0.9375</v>
      </c>
    </row>
    <row r="4433">
      <c r="A4433" s="926" t="n">
        <v>37986</v>
      </c>
      <c r="B4433" t="n">
        <v>7.763</v>
      </c>
      <c r="C4433" t="n">
        <v>0.9375</v>
      </c>
    </row>
    <row r="4434">
      <c r="A4434" s="926" t="n">
        <v>37988</v>
      </c>
      <c r="B4434" t="n">
        <v>7.763</v>
      </c>
      <c r="C4434" t="n">
        <v>0.9375</v>
      </c>
    </row>
    <row r="4435">
      <c r="A4435" s="926" t="n">
        <v>37989</v>
      </c>
      <c r="B4435" t="n">
        <v>7.761</v>
      </c>
      <c r="C4435" t="n">
        <v>0.9375</v>
      </c>
    </row>
    <row r="4436">
      <c r="A4436" s="926" t="n">
        <v>37991</v>
      </c>
      <c r="B4436" t="n">
        <v>7.763</v>
      </c>
      <c r="C4436" t="n">
        <v>0.9375</v>
      </c>
    </row>
    <row r="4437">
      <c r="A4437" s="926" t="n">
        <v>37992</v>
      </c>
      <c r="B4437" t="n">
        <v>7.763</v>
      </c>
      <c r="C4437" t="n">
        <v>0.9375</v>
      </c>
    </row>
    <row r="4438">
      <c r="A4438" s="926" t="n">
        <v>37993</v>
      </c>
      <c r="B4438" t="n">
        <v>7.763</v>
      </c>
      <c r="C4438" t="n">
        <v>0.9375</v>
      </c>
    </row>
    <row r="4439">
      <c r="A4439" s="926" t="n">
        <v>37994</v>
      </c>
      <c r="B4439" t="n">
        <v>7.763</v>
      </c>
      <c r="C4439" t="n">
        <v>0.9395</v>
      </c>
    </row>
    <row r="4440">
      <c r="A4440" s="926" t="n">
        <v>37995</v>
      </c>
      <c r="B4440" t="n">
        <v>7.763</v>
      </c>
      <c r="C4440" t="n">
        <v>0.9395</v>
      </c>
    </row>
    <row r="4441">
      <c r="A4441" s="926" t="n">
        <v>37996</v>
      </c>
      <c r="B4441" t="n">
        <v>7.761</v>
      </c>
      <c r="C4441" t="n">
        <v>0.9395</v>
      </c>
    </row>
    <row r="4442">
      <c r="A4442" s="926" t="n">
        <v>37998</v>
      </c>
      <c r="B4442" t="n">
        <v>7.763</v>
      </c>
      <c r="C4442" t="n">
        <v>0.9395</v>
      </c>
    </row>
    <row r="4443">
      <c r="A4443" s="926" t="n">
        <v>37999</v>
      </c>
      <c r="B4443" t="n">
        <v>7.763</v>
      </c>
      <c r="C4443" t="n">
        <v>0.9415</v>
      </c>
    </row>
    <row r="4444">
      <c r="A4444" s="926" t="n">
        <v>38000</v>
      </c>
      <c r="B4444" t="n">
        <v>7.764</v>
      </c>
      <c r="C4444" t="n">
        <v>0.9415</v>
      </c>
    </row>
    <row r="4445">
      <c r="A4445" s="926" t="n">
        <v>38001</v>
      </c>
      <c r="B4445" t="n">
        <v>7.764</v>
      </c>
      <c r="C4445" t="n">
        <v>0.9415</v>
      </c>
    </row>
    <row r="4446">
      <c r="A4446" s="926" t="n">
        <v>38002</v>
      </c>
      <c r="B4446" t="n">
        <v>7.764</v>
      </c>
      <c r="C4446" t="n">
        <v>0.9415</v>
      </c>
    </row>
    <row r="4447">
      <c r="A4447" s="926" t="n">
        <v>38003</v>
      </c>
      <c r="B4447" t="n">
        <v>7.763</v>
      </c>
      <c r="C4447" t="n">
        <v>0.9415</v>
      </c>
    </row>
    <row r="4448">
      <c r="A4448" s="926" t="n">
        <v>38005</v>
      </c>
      <c r="B4448" t="n">
        <v>7.765</v>
      </c>
      <c r="C4448" t="n">
        <v>0.9415</v>
      </c>
    </row>
    <row r="4449">
      <c r="A4449" s="926" t="n">
        <v>38006</v>
      </c>
      <c r="B4449" t="n">
        <v>7.768</v>
      </c>
      <c r="C4449" t="n">
        <v>0.9415</v>
      </c>
    </row>
    <row r="4450">
      <c r="A4450" s="926" t="n">
        <v>38007</v>
      </c>
      <c r="B4450" t="n">
        <v>7.771</v>
      </c>
      <c r="C4450" t="n">
        <v>0.9385</v>
      </c>
    </row>
    <row r="4451">
      <c r="A4451" s="926" t="n">
        <v>38012</v>
      </c>
      <c r="B4451" t="n">
        <v>7.766</v>
      </c>
      <c r="C4451" t="n">
        <v>0.9315</v>
      </c>
    </row>
    <row r="4452">
      <c r="A4452" s="926" t="n">
        <v>38013</v>
      </c>
      <c r="B4452" t="n">
        <v>7.767</v>
      </c>
      <c r="C4452" t="n">
        <v>0.9315</v>
      </c>
    </row>
    <row r="4453">
      <c r="A4453" s="926" t="n">
        <v>38014</v>
      </c>
      <c r="B4453" t="n">
        <v>7.766</v>
      </c>
      <c r="C4453" t="n">
        <v>0.9315</v>
      </c>
    </row>
    <row r="4454">
      <c r="A4454" s="926" t="n">
        <v>38015</v>
      </c>
      <c r="B4454" t="n">
        <v>7.77</v>
      </c>
      <c r="C4454" t="n">
        <v>0.9315</v>
      </c>
    </row>
    <row r="4455">
      <c r="A4455" s="926" t="n">
        <v>38016</v>
      </c>
      <c r="B4455" t="n">
        <v>7.774</v>
      </c>
      <c r="C4455" t="n">
        <v>0.9315</v>
      </c>
    </row>
    <row r="4456">
      <c r="A4456" s="926" t="n">
        <v>38017</v>
      </c>
      <c r="B4456" t="n">
        <v>7.774</v>
      </c>
      <c r="C4456" t="n">
        <v>0.9335</v>
      </c>
    </row>
    <row r="4457">
      <c r="A4457" s="926" t="n">
        <v>38019</v>
      </c>
      <c r="B4457" t="n">
        <v>7.776</v>
      </c>
      <c r="C4457" t="n">
        <v>0.9335</v>
      </c>
    </row>
    <row r="4458">
      <c r="A4458" s="926" t="n">
        <v>38020</v>
      </c>
      <c r="B4458" t="n">
        <v>7.777</v>
      </c>
      <c r="C4458" t="n">
        <v>0.9335</v>
      </c>
    </row>
    <row r="4459">
      <c r="A4459" s="926" t="n">
        <v>38021</v>
      </c>
      <c r="B4459" t="n">
        <v>7.775</v>
      </c>
      <c r="C4459" t="n">
        <v>0.9335</v>
      </c>
    </row>
    <row r="4460">
      <c r="A4460" s="926" t="n">
        <v>38022</v>
      </c>
      <c r="B4460" t="n">
        <v>7.774</v>
      </c>
      <c r="C4460" t="n">
        <v>0.9335</v>
      </c>
    </row>
    <row r="4461">
      <c r="A4461" s="926" t="n">
        <v>38023</v>
      </c>
      <c r="B4461" t="n">
        <v>7.773</v>
      </c>
      <c r="C4461" t="n">
        <v>0.9335</v>
      </c>
    </row>
    <row r="4462">
      <c r="A4462" s="926" t="n">
        <v>38024</v>
      </c>
      <c r="B4462" t="n">
        <v>7.771</v>
      </c>
      <c r="C4462" t="n">
        <v>0.9355</v>
      </c>
    </row>
    <row r="4463">
      <c r="A4463" s="926" t="n">
        <v>38026</v>
      </c>
      <c r="B4463" t="n">
        <v>7.77</v>
      </c>
      <c r="C4463" t="n">
        <v>0.9375</v>
      </c>
    </row>
    <row r="4464">
      <c r="A4464" s="926" t="n">
        <v>38027</v>
      </c>
      <c r="B4464" t="n">
        <v>7.768</v>
      </c>
      <c r="C4464" t="n">
        <v>0.9375</v>
      </c>
    </row>
    <row r="4465">
      <c r="A4465" s="926" t="n">
        <v>38028</v>
      </c>
      <c r="B4465" t="n">
        <v>7.769</v>
      </c>
      <c r="C4465" t="n">
        <v>0.9415</v>
      </c>
    </row>
    <row r="4466">
      <c r="A4466" s="926" t="n">
        <v>38029</v>
      </c>
      <c r="B4466" t="n">
        <v>7.769</v>
      </c>
      <c r="C4466" t="n">
        <v>0.9435</v>
      </c>
    </row>
    <row r="4467">
      <c r="A4467" s="926" t="n">
        <v>38030</v>
      </c>
      <c r="B4467" t="n">
        <v>7.771</v>
      </c>
      <c r="C4467" t="n">
        <v>0.9435</v>
      </c>
    </row>
    <row r="4468">
      <c r="A4468" s="926" t="n">
        <v>38031</v>
      </c>
      <c r="B4468" t="n">
        <v>7.77</v>
      </c>
      <c r="C4468" t="n">
        <v>0.9435</v>
      </c>
    </row>
    <row r="4469">
      <c r="A4469" s="926" t="n">
        <v>38033</v>
      </c>
      <c r="B4469" t="n">
        <v>7.77</v>
      </c>
      <c r="C4469" t="n">
        <v>0.9435</v>
      </c>
    </row>
    <row r="4470">
      <c r="A4470" s="926" t="n">
        <v>38034</v>
      </c>
      <c r="B4470" t="n">
        <v>7.77</v>
      </c>
      <c r="C4470" t="n">
        <v>0.9435</v>
      </c>
    </row>
    <row r="4471">
      <c r="A4471" s="926" t="n">
        <v>38035</v>
      </c>
      <c r="B4471" t="n">
        <v>7.771</v>
      </c>
      <c r="C4471" t="n">
        <v>0.9435</v>
      </c>
    </row>
    <row r="4472">
      <c r="A4472" s="926" t="n">
        <v>38036</v>
      </c>
      <c r="B4472" t="n">
        <v>7.772</v>
      </c>
      <c r="C4472" t="n">
        <v>0.9435</v>
      </c>
    </row>
    <row r="4473">
      <c r="A4473" s="926" t="n">
        <v>38037</v>
      </c>
      <c r="B4473" t="n">
        <v>7.774</v>
      </c>
      <c r="C4473" t="n">
        <v>0.9435</v>
      </c>
    </row>
    <row r="4474">
      <c r="A4474" s="926" t="n">
        <v>38038</v>
      </c>
      <c r="B4474" t="n">
        <v>7.773</v>
      </c>
      <c r="C4474" t="n">
        <v>0.9435</v>
      </c>
    </row>
    <row r="4475">
      <c r="A4475" s="926" t="n">
        <v>38040</v>
      </c>
      <c r="B4475" t="n">
        <v>7.777</v>
      </c>
      <c r="C4475" t="n">
        <v>0.9435</v>
      </c>
    </row>
    <row r="4476">
      <c r="A4476" s="926" t="n">
        <v>38041</v>
      </c>
      <c r="B4476" t="n">
        <v>7.776</v>
      </c>
      <c r="C4476" t="n">
        <v>0.9435</v>
      </c>
    </row>
    <row r="4477">
      <c r="A4477" s="926" t="n">
        <v>38042</v>
      </c>
      <c r="B4477" t="n">
        <v>7.779</v>
      </c>
      <c r="C4477" t="n">
        <v>0.9399999999999999</v>
      </c>
    </row>
    <row r="4478">
      <c r="A4478" s="926" t="n">
        <v>38043</v>
      </c>
      <c r="B4478" t="n">
        <v>7.781</v>
      </c>
      <c r="C4478" t="n">
        <v>0.9402</v>
      </c>
    </row>
    <row r="4479">
      <c r="A4479" s="926" t="n">
        <v>38044</v>
      </c>
      <c r="B4479" t="n">
        <v>7.783</v>
      </c>
      <c r="C4479" t="n">
        <v>0.9409</v>
      </c>
    </row>
    <row r="4480">
      <c r="A4480" s="926" t="n">
        <v>38045</v>
      </c>
      <c r="B4480" t="n">
        <v>7.781</v>
      </c>
      <c r="C4480" t="n">
        <v>0.94095</v>
      </c>
    </row>
    <row r="4481">
      <c r="A4481" s="926" t="n">
        <v>38047</v>
      </c>
      <c r="B4481" t="n">
        <v>7.781</v>
      </c>
      <c r="C4481" t="n">
        <v>0.9407</v>
      </c>
    </row>
    <row r="4482">
      <c r="A4482" s="926" t="n">
        <v>38048</v>
      </c>
      <c r="B4482" t="n">
        <v>7.783</v>
      </c>
      <c r="C4482" t="n">
        <v>0.9409</v>
      </c>
    </row>
    <row r="4483">
      <c r="A4483" s="926" t="n">
        <v>38049</v>
      </c>
      <c r="B4483" t="n">
        <v>7.79</v>
      </c>
      <c r="C4483" t="n">
        <v>0.9417</v>
      </c>
    </row>
    <row r="4484">
      <c r="A4484" s="926" t="n">
        <v>38050</v>
      </c>
      <c r="B4484" t="n">
        <v>7.791</v>
      </c>
      <c r="C4484" t="n">
        <v>0.9418</v>
      </c>
    </row>
    <row r="4485">
      <c r="A4485" s="926" t="n">
        <v>38051</v>
      </c>
      <c r="B4485" t="n">
        <v>7.792</v>
      </c>
      <c r="C4485" t="n">
        <v>0.9419</v>
      </c>
    </row>
    <row r="4486">
      <c r="A4486" s="926" t="n">
        <v>38052</v>
      </c>
      <c r="B4486" t="n">
        <v>7.785</v>
      </c>
      <c r="C4486" t="n">
        <v>0.94225</v>
      </c>
    </row>
    <row r="4487">
      <c r="A4487" s="926" t="n">
        <v>38054</v>
      </c>
      <c r="B4487" t="n">
        <v>7.789</v>
      </c>
      <c r="C4487" t="n">
        <v>0.9416</v>
      </c>
    </row>
    <row r="4488">
      <c r="A4488" s="926" t="n">
        <v>38055</v>
      </c>
      <c r="B4488" t="n">
        <v>7.791</v>
      </c>
      <c r="C4488" t="n">
        <v>0.9418</v>
      </c>
    </row>
    <row r="4489">
      <c r="A4489" s="926" t="n">
        <v>38056</v>
      </c>
      <c r="B4489" t="n">
        <v>7.793</v>
      </c>
      <c r="C4489" t="n">
        <v>0.94195</v>
      </c>
    </row>
    <row r="4490">
      <c r="A4490" s="926" t="n">
        <v>38057</v>
      </c>
      <c r="B4490" t="n">
        <v>7.793</v>
      </c>
      <c r="C4490" t="n">
        <v>0.9421</v>
      </c>
    </row>
    <row r="4491">
      <c r="A4491" s="926" t="n">
        <v>38058</v>
      </c>
      <c r="B4491" t="n">
        <v>7.794</v>
      </c>
      <c r="C4491" t="n">
        <v>0.9424</v>
      </c>
    </row>
    <row r="4492">
      <c r="A4492" s="926" t="n">
        <v>38059</v>
      </c>
      <c r="B4492" t="n">
        <v>7.79</v>
      </c>
      <c r="C4492" t="n">
        <v>0.9420500000000001</v>
      </c>
    </row>
    <row r="4493">
      <c r="A4493" s="926" t="n">
        <v>38061</v>
      </c>
      <c r="B4493" t="n">
        <v>7.793</v>
      </c>
      <c r="C4493" t="n">
        <v>0.9422</v>
      </c>
    </row>
    <row r="4494">
      <c r="A4494" s="926" t="n">
        <v>38062</v>
      </c>
      <c r="B4494" t="n">
        <v>7.792</v>
      </c>
      <c r="C4494" t="n">
        <v>0.9421</v>
      </c>
    </row>
    <row r="4495">
      <c r="A4495" s="926" t="n">
        <v>38063</v>
      </c>
      <c r="B4495" t="n">
        <v>7.79</v>
      </c>
      <c r="C4495" t="n">
        <v>0.9418</v>
      </c>
    </row>
    <row r="4496">
      <c r="A4496" s="926" t="n">
        <v>38064</v>
      </c>
      <c r="B4496" t="n">
        <v>7.792</v>
      </c>
      <c r="C4496" t="n">
        <v>0.9421</v>
      </c>
    </row>
    <row r="4497">
      <c r="A4497" s="926" t="n">
        <v>38065</v>
      </c>
      <c r="B4497" t="n">
        <v>7.792</v>
      </c>
      <c r="C4497" t="n">
        <v>0.9421</v>
      </c>
    </row>
    <row r="4498">
      <c r="A4498" s="926" t="n">
        <v>38066</v>
      </c>
      <c r="B4498" t="n">
        <v>7.792</v>
      </c>
      <c r="C4498" t="n">
        <v>0.9423</v>
      </c>
    </row>
    <row r="4499">
      <c r="A4499" s="926" t="n">
        <v>38068</v>
      </c>
      <c r="B4499" t="n">
        <v>7.792</v>
      </c>
      <c r="C4499" t="n">
        <v>0.9421</v>
      </c>
    </row>
    <row r="4500">
      <c r="A4500" s="926" t="n">
        <v>38069</v>
      </c>
      <c r="B4500" t="n">
        <v>7.793</v>
      </c>
      <c r="C4500" t="n">
        <v>0.9422</v>
      </c>
    </row>
    <row r="4501">
      <c r="A4501" s="926" t="n">
        <v>38070</v>
      </c>
      <c r="B4501" t="n">
        <v>7.794</v>
      </c>
      <c r="C4501" t="n">
        <v>0.9423</v>
      </c>
    </row>
    <row r="4502">
      <c r="A4502" s="926" t="n">
        <v>38071</v>
      </c>
      <c r="B4502" t="n">
        <v>7.795</v>
      </c>
      <c r="C4502" t="n">
        <v>0.9424</v>
      </c>
    </row>
    <row r="4503">
      <c r="A4503" s="926" t="n">
        <v>38072</v>
      </c>
      <c r="B4503" t="n">
        <v>7.796</v>
      </c>
      <c r="C4503" t="n">
        <v>0.9425</v>
      </c>
    </row>
    <row r="4504">
      <c r="A4504" s="926" t="n">
        <v>38073</v>
      </c>
      <c r="B4504" t="n">
        <v>7.796</v>
      </c>
      <c r="C4504" t="n">
        <v>0.94255</v>
      </c>
    </row>
    <row r="4505">
      <c r="A4505" s="926" t="n">
        <v>38075</v>
      </c>
      <c r="B4505" t="n">
        <v>7.794</v>
      </c>
      <c r="C4505" t="n">
        <v>0.9423</v>
      </c>
    </row>
    <row r="4506">
      <c r="A4506" s="926" t="n">
        <v>38076</v>
      </c>
      <c r="B4506" t="n">
        <v>7.795</v>
      </c>
      <c r="C4506" t="n">
        <v>0.9424</v>
      </c>
    </row>
    <row r="4507">
      <c r="A4507" s="926" t="n">
        <v>38077</v>
      </c>
      <c r="B4507" t="n">
        <v>7.794</v>
      </c>
      <c r="C4507" t="n">
        <v>0.9423</v>
      </c>
    </row>
    <row r="4508">
      <c r="A4508" s="926" t="n">
        <v>38078</v>
      </c>
      <c r="B4508" t="n">
        <v>7.79</v>
      </c>
      <c r="C4508" t="n">
        <v>0.9418</v>
      </c>
    </row>
    <row r="4509">
      <c r="A4509" s="926" t="n">
        <v>38079</v>
      </c>
      <c r="B4509" t="n">
        <v>7.788</v>
      </c>
      <c r="C4509" t="n">
        <v>0.9416</v>
      </c>
    </row>
    <row r="4510">
      <c r="A4510" s="926" t="n">
        <v>38080</v>
      </c>
      <c r="B4510" t="n">
        <v>7.785</v>
      </c>
      <c r="C4510" t="n">
        <v>0.94135</v>
      </c>
    </row>
    <row r="4511">
      <c r="A4511" s="926" t="n">
        <v>38083</v>
      </c>
      <c r="B4511" t="n">
        <v>7.794</v>
      </c>
      <c r="C4511" t="n">
        <v>0.9423</v>
      </c>
    </row>
    <row r="4512">
      <c r="A4512" s="926" t="n">
        <v>38084</v>
      </c>
      <c r="B4512" t="n">
        <v>7.794</v>
      </c>
      <c r="C4512" t="n">
        <v>0.9423</v>
      </c>
    </row>
    <row r="4513">
      <c r="A4513" s="926" t="n">
        <v>38085</v>
      </c>
      <c r="B4513" t="n">
        <v>7.795</v>
      </c>
      <c r="C4513" t="n">
        <v>0.9424</v>
      </c>
    </row>
    <row r="4514">
      <c r="A4514" s="926" t="n">
        <v>38090</v>
      </c>
      <c r="B4514" t="n">
        <v>7.794</v>
      </c>
      <c r="C4514" t="n">
        <v>0.9423</v>
      </c>
    </row>
    <row r="4515">
      <c r="A4515" s="926" t="n">
        <v>38091</v>
      </c>
      <c r="B4515" t="n">
        <v>7.797</v>
      </c>
      <c r="C4515" t="n">
        <v>0.9427</v>
      </c>
    </row>
    <row r="4516">
      <c r="A4516" s="926" t="n">
        <v>38092</v>
      </c>
      <c r="B4516" t="n">
        <v>7.798</v>
      </c>
      <c r="C4516" t="n">
        <v>0.9428</v>
      </c>
    </row>
    <row r="4517">
      <c r="A4517" s="926" t="n">
        <v>38093</v>
      </c>
      <c r="B4517" t="n">
        <v>7.799</v>
      </c>
      <c r="C4517" t="n">
        <v>0.9429</v>
      </c>
    </row>
    <row r="4518">
      <c r="A4518" s="926" t="n">
        <v>38094</v>
      </c>
      <c r="B4518" t="n">
        <v>7.796</v>
      </c>
      <c r="C4518" t="n">
        <v>0.94255</v>
      </c>
    </row>
    <row r="4519">
      <c r="A4519" s="926" t="n">
        <v>38096</v>
      </c>
      <c r="B4519" t="n">
        <v>7.799</v>
      </c>
      <c r="C4519" t="n">
        <v>0.9429</v>
      </c>
    </row>
    <row r="4520">
      <c r="A4520" s="926" t="n">
        <v>38097</v>
      </c>
      <c r="B4520" t="n">
        <v>7.798</v>
      </c>
      <c r="C4520" t="n">
        <v>0.9428</v>
      </c>
    </row>
    <row r="4521">
      <c r="A4521" s="926" t="n">
        <v>38098</v>
      </c>
      <c r="B4521" t="n">
        <v>7.8</v>
      </c>
      <c r="C4521" t="n">
        <v>0.9429999999999999</v>
      </c>
    </row>
    <row r="4522">
      <c r="A4522" s="926" t="n">
        <v>38099</v>
      </c>
      <c r="B4522" t="n">
        <v>7.799</v>
      </c>
      <c r="C4522" t="n">
        <v>0.9429</v>
      </c>
    </row>
    <row r="4523">
      <c r="A4523" s="926" t="n">
        <v>38100</v>
      </c>
      <c r="B4523" t="n">
        <v>7.798</v>
      </c>
      <c r="C4523" t="n">
        <v>0.9428</v>
      </c>
    </row>
    <row r="4524">
      <c r="A4524" s="926" t="n">
        <v>38101</v>
      </c>
      <c r="B4524" t="n">
        <v>7.798</v>
      </c>
      <c r="C4524" t="n">
        <v>0.94275</v>
      </c>
    </row>
    <row r="4525">
      <c r="A4525" s="926" t="n">
        <v>38103</v>
      </c>
      <c r="B4525" t="n">
        <v>7.798</v>
      </c>
      <c r="C4525" t="n">
        <v>0.9428</v>
      </c>
    </row>
    <row r="4526">
      <c r="A4526" s="926" t="n">
        <v>38104</v>
      </c>
      <c r="B4526" t="n">
        <v>7.798</v>
      </c>
      <c r="C4526" t="n">
        <v>0.9428</v>
      </c>
    </row>
    <row r="4527">
      <c r="A4527" s="926" t="n">
        <v>38105</v>
      </c>
      <c r="B4527" t="n">
        <v>7.799</v>
      </c>
      <c r="C4527" t="n">
        <v>0.9429</v>
      </c>
    </row>
    <row r="4528">
      <c r="A4528" s="926" t="n">
        <v>38106</v>
      </c>
      <c r="B4528" t="n">
        <v>7.799</v>
      </c>
      <c r="C4528" t="n">
        <v>0.9429</v>
      </c>
    </row>
    <row r="4529">
      <c r="A4529" s="926" t="n">
        <v>38107</v>
      </c>
      <c r="B4529" t="n">
        <v>7.799</v>
      </c>
      <c r="C4529" t="n">
        <v>0.9429</v>
      </c>
    </row>
    <row r="4530">
      <c r="A4530" s="926" t="n">
        <v>38110</v>
      </c>
      <c r="B4530" t="n">
        <v>7.799</v>
      </c>
      <c r="C4530" t="n">
        <v>0.9429</v>
      </c>
    </row>
    <row r="4531">
      <c r="A4531" s="926" t="n">
        <v>38111</v>
      </c>
      <c r="B4531" t="n">
        <v>7.799</v>
      </c>
      <c r="C4531" t="n">
        <v>0.9429</v>
      </c>
    </row>
    <row r="4532">
      <c r="A4532" s="926" t="n">
        <v>38112</v>
      </c>
      <c r="B4532" t="n">
        <v>7.799</v>
      </c>
      <c r="C4532" t="n">
        <v>0.9429</v>
      </c>
    </row>
    <row r="4533">
      <c r="A4533" s="926" t="n">
        <v>38113</v>
      </c>
      <c r="B4533" t="n">
        <v>7.799</v>
      </c>
      <c r="C4533" t="n">
        <v>0.9429</v>
      </c>
    </row>
    <row r="4534">
      <c r="A4534" s="926" t="n">
        <v>38114</v>
      </c>
      <c r="B4534" t="n">
        <v>7.799</v>
      </c>
      <c r="C4534" t="n">
        <v>0.9429</v>
      </c>
    </row>
    <row r="4535">
      <c r="A4535" s="926" t="n">
        <v>38115</v>
      </c>
      <c r="B4535" t="n">
        <v>7.7965</v>
      </c>
      <c r="C4535" t="n">
        <v>0.94265</v>
      </c>
    </row>
    <row r="4536">
      <c r="A4536" s="926" t="n">
        <v>38117</v>
      </c>
      <c r="B4536" t="n">
        <v>7.799</v>
      </c>
      <c r="C4536" t="n">
        <v>0.9429</v>
      </c>
    </row>
    <row r="4537">
      <c r="A4537" s="926" t="n">
        <v>38118</v>
      </c>
      <c r="B4537" t="n">
        <v>7.799</v>
      </c>
      <c r="C4537" t="n">
        <v>0.9429</v>
      </c>
    </row>
    <row r="4538">
      <c r="A4538" s="926" t="n">
        <v>38119</v>
      </c>
      <c r="B4538" t="n">
        <v>7.799</v>
      </c>
      <c r="C4538" t="n">
        <v>0.9429</v>
      </c>
    </row>
    <row r="4539">
      <c r="A4539" s="926" t="n">
        <v>38120</v>
      </c>
      <c r="B4539" t="n">
        <v>7.799</v>
      </c>
      <c r="C4539" t="n">
        <v>0.9429</v>
      </c>
    </row>
    <row r="4540">
      <c r="A4540" s="926" t="n">
        <v>38121</v>
      </c>
      <c r="B4540" t="n">
        <v>7.799</v>
      </c>
      <c r="C4540" t="n">
        <v>0.9429</v>
      </c>
    </row>
    <row r="4541">
      <c r="A4541" s="926" t="n">
        <v>38122</v>
      </c>
      <c r="B4541" t="n">
        <v>7.798</v>
      </c>
      <c r="C4541" t="n">
        <v>0.94285</v>
      </c>
    </row>
    <row r="4542">
      <c r="A4542" s="926" t="n">
        <v>38124</v>
      </c>
      <c r="B4542" t="n">
        <v>7.799</v>
      </c>
      <c r="C4542" t="n">
        <v>0.9429</v>
      </c>
    </row>
    <row r="4543">
      <c r="A4543" s="926" t="n">
        <v>38125</v>
      </c>
      <c r="B4543" t="n">
        <v>7.799</v>
      </c>
      <c r="C4543" t="n">
        <v>0.9429</v>
      </c>
    </row>
    <row r="4544">
      <c r="A4544" s="926" t="n">
        <v>38126</v>
      </c>
      <c r="B4544" t="n">
        <v>7.789</v>
      </c>
      <c r="C4544" t="n">
        <v>0.9417</v>
      </c>
    </row>
    <row r="4545">
      <c r="A4545" s="926" t="n">
        <v>38127</v>
      </c>
      <c r="B4545" t="n">
        <v>7.795</v>
      </c>
      <c r="C4545" t="n">
        <v>0.9424</v>
      </c>
    </row>
    <row r="4546">
      <c r="A4546" s="926" t="n">
        <v>38128</v>
      </c>
      <c r="B4546" t="n">
        <v>7.791</v>
      </c>
      <c r="C4546" t="n">
        <v>0.9419</v>
      </c>
    </row>
    <row r="4547">
      <c r="A4547" s="926" t="n">
        <v>38129</v>
      </c>
      <c r="B4547" t="n">
        <v>7.787</v>
      </c>
      <c r="C4547" t="n">
        <v>0.94145</v>
      </c>
    </row>
    <row r="4548">
      <c r="A4548" s="926" t="n">
        <v>38131</v>
      </c>
      <c r="B4548" t="n">
        <v>7.793</v>
      </c>
      <c r="C4548" t="n">
        <v>0.9422</v>
      </c>
    </row>
    <row r="4549">
      <c r="A4549" s="926" t="n">
        <v>38132</v>
      </c>
      <c r="B4549" t="n">
        <v>7.794</v>
      </c>
      <c r="C4549" t="n">
        <v>0.9423</v>
      </c>
    </row>
    <row r="4550">
      <c r="A4550" s="926" t="n">
        <v>38134</v>
      </c>
      <c r="B4550" t="n">
        <v>7.792</v>
      </c>
      <c r="C4550" t="n">
        <v>0.9421</v>
      </c>
    </row>
    <row r="4551">
      <c r="A4551" s="926" t="n">
        <v>38135</v>
      </c>
      <c r="B4551" t="n">
        <v>7.793</v>
      </c>
      <c r="C4551" t="n">
        <v>0.9422</v>
      </c>
    </row>
    <row r="4552">
      <c r="A4552" s="926" t="n">
        <v>38136</v>
      </c>
      <c r="B4552" t="n">
        <v>7.791</v>
      </c>
      <c r="C4552" t="n">
        <v>0.9419999999999999</v>
      </c>
    </row>
    <row r="4553">
      <c r="A4553" s="926" t="n">
        <v>38138</v>
      </c>
      <c r="B4553" t="n">
        <v>7.793</v>
      </c>
      <c r="C4553" t="n">
        <v>0.9422</v>
      </c>
    </row>
    <row r="4554">
      <c r="A4554" s="926" t="n">
        <v>38139</v>
      </c>
      <c r="B4554" t="n">
        <v>7.794</v>
      </c>
      <c r="C4554" t="n">
        <v>0.9423</v>
      </c>
    </row>
    <row r="4555">
      <c r="A4555" s="926" t="n">
        <v>38140</v>
      </c>
      <c r="B4555" t="n">
        <v>7.795</v>
      </c>
      <c r="C4555" t="n">
        <v>0.9424</v>
      </c>
    </row>
    <row r="4556">
      <c r="A4556" s="926" t="n">
        <v>38141</v>
      </c>
      <c r="B4556" t="n">
        <v>7.795</v>
      </c>
      <c r="C4556" t="n">
        <v>0.9424</v>
      </c>
    </row>
    <row r="4557">
      <c r="A4557" s="926" t="n">
        <v>38142</v>
      </c>
      <c r="B4557" t="n">
        <v>7.796</v>
      </c>
      <c r="C4557" t="n">
        <v>0.9425</v>
      </c>
    </row>
    <row r="4558">
      <c r="A4558" s="926" t="n">
        <v>38143</v>
      </c>
      <c r="B4558" t="n">
        <v>7.794</v>
      </c>
      <c r="C4558" t="n">
        <v>0.94235</v>
      </c>
    </row>
    <row r="4559">
      <c r="A4559" s="926" t="n">
        <v>38145</v>
      </c>
      <c r="B4559" t="n">
        <v>7.796</v>
      </c>
      <c r="C4559" t="n">
        <v>0.9425</v>
      </c>
    </row>
    <row r="4560">
      <c r="A4560" s="926" t="n">
        <v>38146</v>
      </c>
      <c r="B4560" t="n">
        <v>7.797</v>
      </c>
      <c r="C4560" t="n">
        <v>0.9427</v>
      </c>
    </row>
    <row r="4561">
      <c r="A4561" s="926" t="n">
        <v>38147</v>
      </c>
      <c r="B4561" t="n">
        <v>7.797</v>
      </c>
      <c r="C4561" t="n">
        <v>0.9427</v>
      </c>
    </row>
    <row r="4562">
      <c r="A4562" s="926" t="n">
        <v>38148</v>
      </c>
      <c r="B4562" t="n">
        <v>7.797</v>
      </c>
      <c r="C4562" t="n">
        <v>0.9427</v>
      </c>
    </row>
    <row r="4563">
      <c r="A4563" s="926" t="n">
        <v>38149</v>
      </c>
      <c r="B4563" t="n">
        <v>7.798</v>
      </c>
      <c r="C4563" t="n">
        <v>0.9428</v>
      </c>
    </row>
    <row r="4564">
      <c r="A4564" s="926" t="n">
        <v>38150</v>
      </c>
      <c r="B4564" t="n">
        <v>7.796</v>
      </c>
      <c r="C4564" t="n">
        <v>0.94255</v>
      </c>
    </row>
    <row r="4565">
      <c r="A4565" s="926" t="n">
        <v>38152</v>
      </c>
      <c r="B4565" t="n">
        <v>7.796</v>
      </c>
      <c r="C4565" t="n">
        <v>0.9425</v>
      </c>
    </row>
    <row r="4566">
      <c r="A4566" s="926" t="n">
        <v>38153</v>
      </c>
      <c r="B4566" t="n">
        <v>7.797</v>
      </c>
      <c r="C4566" t="n">
        <v>0.9427</v>
      </c>
    </row>
    <row r="4567">
      <c r="A4567" s="926" t="n">
        <v>38154</v>
      </c>
      <c r="B4567" t="n">
        <v>7.797</v>
      </c>
      <c r="C4567" t="n">
        <v>0.9427</v>
      </c>
    </row>
    <row r="4568">
      <c r="A4568" s="926" t="n">
        <v>38155</v>
      </c>
      <c r="B4568" t="n">
        <v>7.797</v>
      </c>
      <c r="C4568" t="n">
        <v>0.9427</v>
      </c>
    </row>
    <row r="4569">
      <c r="A4569" s="926" t="n">
        <v>38156</v>
      </c>
      <c r="B4569" t="n">
        <v>7.798</v>
      </c>
      <c r="C4569" t="n">
        <v>0.9428</v>
      </c>
    </row>
    <row r="4570">
      <c r="A4570" s="926" t="n">
        <v>38157</v>
      </c>
      <c r="B4570" t="n">
        <v>7.796</v>
      </c>
      <c r="C4570" t="n">
        <v>0.94255</v>
      </c>
    </row>
    <row r="4571">
      <c r="A4571" s="926" t="n">
        <v>38159</v>
      </c>
      <c r="B4571" t="n">
        <v>7.799</v>
      </c>
      <c r="C4571" t="n">
        <v>0.9429</v>
      </c>
    </row>
    <row r="4572">
      <c r="A4572" s="926" t="n">
        <v>38161</v>
      </c>
      <c r="B4572" t="n">
        <v>7.799</v>
      </c>
      <c r="C4572" t="n">
        <v>0.9429</v>
      </c>
    </row>
    <row r="4573">
      <c r="A4573" s="926" t="n">
        <v>38162</v>
      </c>
      <c r="B4573" t="n">
        <v>7.799</v>
      </c>
      <c r="C4573" t="n">
        <v>0.9429</v>
      </c>
    </row>
    <row r="4574">
      <c r="A4574" s="926" t="n">
        <v>38163</v>
      </c>
      <c r="B4574" t="n">
        <v>7.797</v>
      </c>
      <c r="C4574" t="n">
        <v>0.94265</v>
      </c>
    </row>
    <row r="4575">
      <c r="A4575" s="926" t="n">
        <v>38164</v>
      </c>
      <c r="B4575" t="n">
        <v>7.794</v>
      </c>
      <c r="C4575" t="n">
        <v>0.94235</v>
      </c>
    </row>
    <row r="4576">
      <c r="A4576" s="926" t="n">
        <v>38166</v>
      </c>
      <c r="B4576" t="n">
        <v>7.799</v>
      </c>
      <c r="C4576" t="n">
        <v>0.9429</v>
      </c>
    </row>
    <row r="4577">
      <c r="A4577" s="926" t="n">
        <v>38167</v>
      </c>
      <c r="B4577" t="n">
        <v>7.799</v>
      </c>
      <c r="C4577" t="n">
        <v>0.9429</v>
      </c>
    </row>
    <row r="4578">
      <c r="A4578" s="926" t="n">
        <v>38168</v>
      </c>
      <c r="B4578" t="n">
        <v>7.8</v>
      </c>
      <c r="C4578" t="n">
        <v>0.9430500000000001</v>
      </c>
    </row>
    <row r="4579">
      <c r="A4579" s="926" t="n">
        <v>38170</v>
      </c>
      <c r="B4579" t="n">
        <v>7.8</v>
      </c>
      <c r="C4579" t="n">
        <v>0.9430500000000001</v>
      </c>
    </row>
    <row r="4580">
      <c r="A4580" s="926" t="n">
        <v>38171</v>
      </c>
      <c r="B4580" t="n">
        <v>7.797</v>
      </c>
      <c r="C4580" t="n">
        <v>0.9427</v>
      </c>
    </row>
    <row r="4581">
      <c r="A4581" s="926" t="n">
        <v>38173</v>
      </c>
      <c r="B4581" t="n">
        <v>7.8</v>
      </c>
      <c r="C4581" t="n">
        <v>0.9433</v>
      </c>
    </row>
    <row r="4582">
      <c r="A4582" s="926" t="n">
        <v>38174</v>
      </c>
      <c r="B4582" t="n">
        <v>7.8</v>
      </c>
      <c r="C4582" t="n">
        <v>0.9430500000000001</v>
      </c>
    </row>
    <row r="4583">
      <c r="A4583" s="926" t="n">
        <v>38175</v>
      </c>
      <c r="B4583" t="n">
        <v>7.8</v>
      </c>
      <c r="C4583" t="n">
        <v>0.9430500000000001</v>
      </c>
    </row>
    <row r="4584">
      <c r="A4584" s="926" t="n">
        <v>38176</v>
      </c>
      <c r="B4584" t="n">
        <v>7.8</v>
      </c>
      <c r="C4584" t="n">
        <v>0.9430500000000001</v>
      </c>
    </row>
    <row r="4585">
      <c r="A4585" s="926" t="n">
        <v>38177</v>
      </c>
      <c r="B4585" t="n">
        <v>7.8</v>
      </c>
      <c r="C4585" t="n">
        <v>0.9430500000000001</v>
      </c>
    </row>
    <row r="4586">
      <c r="A4586" s="926" t="n">
        <v>38178</v>
      </c>
      <c r="B4586" t="n">
        <v>7.797</v>
      </c>
      <c r="C4586" t="n">
        <v>0.9427</v>
      </c>
    </row>
    <row r="4587">
      <c r="A4587" s="926" t="n">
        <v>38180</v>
      </c>
      <c r="B4587" t="n">
        <v>7.8</v>
      </c>
      <c r="C4587" t="n">
        <v>0.9430500000000001</v>
      </c>
    </row>
    <row r="4588">
      <c r="A4588" s="926" t="n">
        <v>38181</v>
      </c>
      <c r="B4588" t="n">
        <v>7.8</v>
      </c>
      <c r="C4588" t="n">
        <v>0.9430500000000001</v>
      </c>
    </row>
    <row r="4589">
      <c r="A4589" s="926" t="n">
        <v>38182</v>
      </c>
      <c r="B4589" t="n">
        <v>7.8</v>
      </c>
      <c r="C4589" t="n">
        <v>0.9430500000000001</v>
      </c>
    </row>
    <row r="4590">
      <c r="A4590" s="926" t="n">
        <v>38183</v>
      </c>
      <c r="B4590" t="n">
        <v>7.8</v>
      </c>
      <c r="C4590" t="n">
        <v>0.9430500000000001</v>
      </c>
    </row>
    <row r="4591">
      <c r="A4591" s="926" t="n">
        <v>38184</v>
      </c>
      <c r="B4591" t="n">
        <v>7.8</v>
      </c>
      <c r="C4591" t="n">
        <v>0.9430500000000001</v>
      </c>
    </row>
    <row r="4592">
      <c r="A4592" s="926" t="n">
        <v>38185</v>
      </c>
      <c r="B4592" t="n">
        <v>7.799</v>
      </c>
      <c r="C4592" t="n">
        <v>0.9429</v>
      </c>
    </row>
    <row r="4593">
      <c r="A4593" s="926" t="n">
        <v>38187</v>
      </c>
      <c r="B4593" t="n">
        <v>7.8</v>
      </c>
      <c r="C4593" t="n">
        <v>0.9430500000000001</v>
      </c>
    </row>
    <row r="4594">
      <c r="A4594" s="926" t="n">
        <v>38188</v>
      </c>
      <c r="B4594" t="n">
        <v>7.8</v>
      </c>
      <c r="C4594" t="n">
        <v>0.9430500000000001</v>
      </c>
    </row>
    <row r="4595">
      <c r="A4595" s="926" t="n">
        <v>38189</v>
      </c>
      <c r="B4595" t="n">
        <v>7.8</v>
      </c>
      <c r="C4595" t="n">
        <v>0.9430500000000001</v>
      </c>
    </row>
    <row r="4596">
      <c r="A4596" s="926" t="n">
        <v>38190</v>
      </c>
      <c r="B4596" t="n">
        <v>7.8</v>
      </c>
      <c r="C4596" t="n">
        <v>0.9430500000000001</v>
      </c>
    </row>
    <row r="4597">
      <c r="A4597" s="926" t="n">
        <v>38191</v>
      </c>
      <c r="B4597" t="n">
        <v>7.8</v>
      </c>
      <c r="C4597" t="n">
        <v>0.9430500000000001</v>
      </c>
    </row>
    <row r="4598">
      <c r="A4598" s="926" t="n">
        <v>38192</v>
      </c>
      <c r="B4598" t="n">
        <v>7.799</v>
      </c>
      <c r="C4598" t="n">
        <v>0.94295</v>
      </c>
    </row>
    <row r="4599">
      <c r="A4599" s="926" t="n">
        <v>38194</v>
      </c>
      <c r="B4599" t="n">
        <v>7.8</v>
      </c>
      <c r="C4599" t="n">
        <v>0.9430500000000001</v>
      </c>
    </row>
    <row r="4600">
      <c r="A4600" s="926" t="n">
        <v>38195</v>
      </c>
      <c r="B4600" t="n">
        <v>7.8</v>
      </c>
      <c r="C4600" t="n">
        <v>0.9430500000000001</v>
      </c>
    </row>
    <row r="4601">
      <c r="A4601" s="926" t="n">
        <v>38196</v>
      </c>
      <c r="B4601" t="n">
        <v>7.8</v>
      </c>
      <c r="C4601" t="n">
        <v>0.9429999999999999</v>
      </c>
    </row>
    <row r="4602">
      <c r="A4602" s="926" t="n">
        <v>38197</v>
      </c>
      <c r="B4602" t="n">
        <v>7.8</v>
      </c>
      <c r="C4602" t="n">
        <v>0.9429999999999999</v>
      </c>
    </row>
    <row r="4603">
      <c r="A4603" s="926" t="n">
        <v>38198</v>
      </c>
      <c r="B4603" t="n">
        <v>7.8</v>
      </c>
      <c r="C4603" t="n">
        <v>0.9429999999999999</v>
      </c>
    </row>
    <row r="4604">
      <c r="A4604" s="926" t="n">
        <v>38199</v>
      </c>
      <c r="B4604" t="n">
        <v>7.799</v>
      </c>
      <c r="C4604" t="n">
        <v>0.9429</v>
      </c>
    </row>
    <row r="4605">
      <c r="A4605" s="926" t="n">
        <v>38201</v>
      </c>
      <c r="B4605" t="n">
        <v>7.8</v>
      </c>
      <c r="C4605" t="n">
        <v>0.9429999999999999</v>
      </c>
    </row>
    <row r="4606">
      <c r="A4606" s="926" t="n">
        <v>38202</v>
      </c>
      <c r="B4606" t="n">
        <v>7.8</v>
      </c>
      <c r="C4606" t="n">
        <v>0.9429999999999999</v>
      </c>
    </row>
    <row r="4607">
      <c r="A4607" s="926" t="n">
        <v>38203</v>
      </c>
      <c r="B4607" t="n">
        <v>7.8</v>
      </c>
      <c r="C4607" t="n">
        <v>0.9429999999999999</v>
      </c>
    </row>
    <row r="4608">
      <c r="A4608" s="926" t="n">
        <v>38204</v>
      </c>
      <c r="B4608" t="n">
        <v>7.8</v>
      </c>
      <c r="C4608" t="n">
        <v>0.9429999999999999</v>
      </c>
    </row>
    <row r="4609">
      <c r="A4609" s="926" t="n">
        <v>38205</v>
      </c>
      <c r="B4609" t="n">
        <v>7.8</v>
      </c>
      <c r="C4609" t="n">
        <v>0.9429999999999999</v>
      </c>
    </row>
    <row r="4610">
      <c r="A4610" s="926" t="n">
        <v>38206</v>
      </c>
      <c r="B4610" t="n">
        <v>7.793</v>
      </c>
      <c r="C4610" t="n">
        <v>0.94215</v>
      </c>
    </row>
    <row r="4611">
      <c r="A4611" s="926" t="n">
        <v>38208</v>
      </c>
      <c r="B4611" t="n">
        <v>7.798</v>
      </c>
      <c r="C4611" t="n">
        <v>0.9428</v>
      </c>
    </row>
    <row r="4612">
      <c r="A4612" s="926" t="n">
        <v>38209</v>
      </c>
      <c r="B4612" t="n">
        <v>7.8</v>
      </c>
      <c r="C4612" t="n">
        <v>0.9429999999999999</v>
      </c>
    </row>
    <row r="4613">
      <c r="A4613" s="926" t="n">
        <v>38210</v>
      </c>
      <c r="B4613" t="n">
        <v>7.799</v>
      </c>
      <c r="C4613" t="n">
        <v>0.9429</v>
      </c>
    </row>
    <row r="4614">
      <c r="A4614" s="926" t="n">
        <v>38211</v>
      </c>
      <c r="B4614" t="n">
        <v>7.799</v>
      </c>
      <c r="C4614" t="n">
        <v>0.9429</v>
      </c>
    </row>
    <row r="4615">
      <c r="A4615" s="926" t="n">
        <v>38212</v>
      </c>
      <c r="B4615" t="n">
        <v>7.799</v>
      </c>
      <c r="C4615" t="n">
        <v>0.9429</v>
      </c>
    </row>
    <row r="4616">
      <c r="A4616" s="926" t="n">
        <v>38213</v>
      </c>
      <c r="B4616" t="n">
        <v>7.7985</v>
      </c>
      <c r="C4616" t="n">
        <v>0.9428</v>
      </c>
    </row>
    <row r="4617">
      <c r="A4617" s="926" t="n">
        <v>38215</v>
      </c>
      <c r="B4617" t="n">
        <v>7.8</v>
      </c>
      <c r="C4617" t="n">
        <v>0.9429999999999999</v>
      </c>
    </row>
    <row r="4618">
      <c r="A4618" s="926" t="n">
        <v>38216</v>
      </c>
      <c r="B4618" t="n">
        <v>7.8</v>
      </c>
      <c r="C4618" t="n">
        <v>0.9429999999999999</v>
      </c>
    </row>
    <row r="4619">
      <c r="A4619" s="926" t="n">
        <v>38217</v>
      </c>
      <c r="B4619" t="n">
        <v>7.8</v>
      </c>
      <c r="C4619" t="n">
        <v>0.9429999999999999</v>
      </c>
    </row>
    <row r="4620">
      <c r="A4620" s="926" t="n">
        <v>38218</v>
      </c>
      <c r="B4620" t="n">
        <v>7.8</v>
      </c>
      <c r="C4620" t="n">
        <v>0.9429999999999999</v>
      </c>
    </row>
    <row r="4621">
      <c r="A4621" s="926" t="n">
        <v>38219</v>
      </c>
      <c r="B4621" t="n">
        <v>7.8</v>
      </c>
      <c r="C4621" t="n">
        <v>0.9429999999999999</v>
      </c>
    </row>
    <row r="4622">
      <c r="A4622" s="926" t="n">
        <v>38220</v>
      </c>
      <c r="B4622" t="n">
        <v>7.798</v>
      </c>
      <c r="C4622" t="n">
        <v>0.94275</v>
      </c>
    </row>
    <row r="4623">
      <c r="A4623" s="926" t="n">
        <v>38222</v>
      </c>
      <c r="B4623" t="n">
        <v>7.8</v>
      </c>
      <c r="C4623" t="n">
        <v>0.9429999999999999</v>
      </c>
    </row>
    <row r="4624">
      <c r="A4624" s="926" t="n">
        <v>38223</v>
      </c>
      <c r="B4624" t="n">
        <v>7.8</v>
      </c>
      <c r="C4624" t="n">
        <v>0.9429999999999999</v>
      </c>
    </row>
    <row r="4625">
      <c r="A4625" s="926" t="n">
        <v>38224</v>
      </c>
      <c r="B4625" t="n">
        <v>7.8</v>
      </c>
      <c r="C4625" t="n">
        <v>0.9429999999999999</v>
      </c>
    </row>
    <row r="4626">
      <c r="A4626" s="926" t="n">
        <v>38225</v>
      </c>
      <c r="B4626" t="n">
        <v>7.8</v>
      </c>
      <c r="C4626" t="n">
        <v>0.9429999999999999</v>
      </c>
    </row>
    <row r="4627">
      <c r="A4627" s="926" t="n">
        <v>38226</v>
      </c>
      <c r="B4627" t="n">
        <v>7.8</v>
      </c>
      <c r="C4627" t="n">
        <v>0.9429999999999999</v>
      </c>
    </row>
    <row r="4628">
      <c r="A4628" s="926" t="n">
        <v>38227</v>
      </c>
      <c r="B4628" t="n">
        <v>7.8</v>
      </c>
      <c r="C4628" t="n">
        <v>0.9429999999999999</v>
      </c>
    </row>
    <row r="4629">
      <c r="A4629" s="926" t="n">
        <v>38229</v>
      </c>
      <c r="B4629" t="n">
        <v>7.8</v>
      </c>
      <c r="C4629" t="n">
        <v>0.9429999999999999</v>
      </c>
    </row>
    <row r="4630">
      <c r="A4630" s="926" t="n">
        <v>38230</v>
      </c>
      <c r="B4630" t="n">
        <v>7.8</v>
      </c>
      <c r="C4630" t="n">
        <v>0.9429999999999999</v>
      </c>
    </row>
    <row r="4631">
      <c r="A4631" s="926" t="n">
        <v>38231</v>
      </c>
      <c r="B4631" t="n">
        <v>7.8</v>
      </c>
      <c r="C4631" t="n">
        <v>0.9429999999999999</v>
      </c>
    </row>
    <row r="4632">
      <c r="A4632" s="926" t="n">
        <v>38232</v>
      </c>
      <c r="B4632" t="n">
        <v>7.8</v>
      </c>
      <c r="C4632" t="n">
        <v>0.9429999999999999</v>
      </c>
    </row>
    <row r="4633">
      <c r="A4633" s="926" t="n">
        <v>38233</v>
      </c>
      <c r="B4633" t="n">
        <v>7.799</v>
      </c>
      <c r="C4633" t="n">
        <v>0.9429</v>
      </c>
    </row>
    <row r="4634">
      <c r="A4634" s="926" t="n">
        <v>38234</v>
      </c>
      <c r="B4634" t="n">
        <v>7.798</v>
      </c>
      <c r="C4634" t="n">
        <v>0.94275</v>
      </c>
    </row>
    <row r="4635">
      <c r="A4635" s="926" t="n">
        <v>38236</v>
      </c>
      <c r="B4635" t="n">
        <v>7.8</v>
      </c>
      <c r="C4635" t="n">
        <v>0.9429999999999999</v>
      </c>
    </row>
    <row r="4636">
      <c r="A4636" s="926" t="n">
        <v>38237</v>
      </c>
      <c r="B4636" t="n">
        <v>7.8</v>
      </c>
      <c r="C4636" t="n">
        <v>0.9429999999999999</v>
      </c>
    </row>
    <row r="4637">
      <c r="A4637" s="926" t="n">
        <v>38238</v>
      </c>
      <c r="B4637" t="n">
        <v>7.8</v>
      </c>
      <c r="C4637" t="n">
        <v>0.9429999999999999</v>
      </c>
    </row>
    <row r="4638">
      <c r="A4638" s="926" t="n">
        <v>38239</v>
      </c>
      <c r="B4638" t="n">
        <v>7.799</v>
      </c>
      <c r="C4638" t="n">
        <v>0.9429</v>
      </c>
    </row>
    <row r="4639">
      <c r="A4639" s="926" t="n">
        <v>38240</v>
      </c>
      <c r="B4639" t="n">
        <v>7.8</v>
      </c>
      <c r="C4639" t="n">
        <v>0.9429999999999999</v>
      </c>
    </row>
    <row r="4640">
      <c r="A4640" s="926" t="n">
        <v>38241</v>
      </c>
      <c r="B4640" t="n">
        <v>7.7995</v>
      </c>
      <c r="C4640" t="n">
        <v>0.94295</v>
      </c>
    </row>
    <row r="4641">
      <c r="A4641" s="926" t="n">
        <v>38243</v>
      </c>
      <c r="B4641" t="n">
        <v>7.8</v>
      </c>
      <c r="C4641" t="n">
        <v>0.9429999999999999</v>
      </c>
    </row>
    <row r="4642">
      <c r="A4642" s="926" t="n">
        <v>38244</v>
      </c>
      <c r="B4642" t="n">
        <v>7.8</v>
      </c>
      <c r="C4642" t="n">
        <v>0.9429999999999999</v>
      </c>
    </row>
    <row r="4643">
      <c r="A4643" s="926" t="n">
        <v>38245</v>
      </c>
      <c r="B4643" t="n">
        <v>7.7985</v>
      </c>
      <c r="C4643" t="n">
        <v>0.94285</v>
      </c>
    </row>
    <row r="4644">
      <c r="A4644" s="926" t="n">
        <v>38246</v>
      </c>
      <c r="B4644" t="n">
        <v>7.7995</v>
      </c>
      <c r="C4644" t="n">
        <v>0.9429999999999999</v>
      </c>
    </row>
    <row r="4645">
      <c r="A4645" s="926" t="n">
        <v>38247</v>
      </c>
      <c r="B4645" t="n">
        <v>7.7995</v>
      </c>
      <c r="C4645" t="n">
        <v>0.9429999999999999</v>
      </c>
    </row>
    <row r="4646">
      <c r="A4646" s="926" t="n">
        <v>38248</v>
      </c>
      <c r="B4646" t="n">
        <v>7.7985</v>
      </c>
      <c r="C4646" t="n">
        <v>0.94285</v>
      </c>
    </row>
    <row r="4647">
      <c r="A4647" s="926" t="n">
        <v>38250</v>
      </c>
      <c r="B4647" t="n">
        <v>7.7995</v>
      </c>
      <c r="C4647" t="n">
        <v>0.9429999999999999</v>
      </c>
    </row>
    <row r="4648">
      <c r="A4648" s="926" t="n">
        <v>38251</v>
      </c>
      <c r="B4648" t="n">
        <v>7.7995</v>
      </c>
      <c r="C4648" t="n">
        <v>0.9429999999999999</v>
      </c>
    </row>
    <row r="4649">
      <c r="A4649" s="926" t="n">
        <v>38252</v>
      </c>
      <c r="B4649" t="n">
        <v>7.7985</v>
      </c>
      <c r="C4649" t="n">
        <v>0.94285</v>
      </c>
    </row>
    <row r="4650">
      <c r="A4650" s="926" t="n">
        <v>38253</v>
      </c>
      <c r="B4650" t="n">
        <v>7.7985</v>
      </c>
      <c r="C4650" t="n">
        <v>0.94285</v>
      </c>
    </row>
    <row r="4651">
      <c r="A4651" s="926" t="n">
        <v>38254</v>
      </c>
      <c r="B4651" t="n">
        <v>7.7985</v>
      </c>
      <c r="C4651" t="n">
        <v>0.94285</v>
      </c>
    </row>
    <row r="4652">
      <c r="A4652" s="926" t="n">
        <v>38255</v>
      </c>
      <c r="B4652" t="n">
        <v>7.7975</v>
      </c>
      <c r="C4652" t="n">
        <v>0.94275</v>
      </c>
    </row>
    <row r="4653">
      <c r="A4653" s="926" t="n">
        <v>38257</v>
      </c>
      <c r="B4653" t="n">
        <v>7.7985</v>
      </c>
      <c r="C4653" t="n">
        <v>0.94285</v>
      </c>
    </row>
    <row r="4654">
      <c r="A4654" s="926" t="n">
        <v>38258</v>
      </c>
      <c r="B4654" t="n">
        <v>7.7985</v>
      </c>
      <c r="C4654" t="n">
        <v>0.94285</v>
      </c>
    </row>
    <row r="4655">
      <c r="A4655" s="926" t="n">
        <v>38260</v>
      </c>
      <c r="B4655" t="n">
        <v>7.7985</v>
      </c>
      <c r="C4655" t="n">
        <v>0.94285</v>
      </c>
    </row>
    <row r="4656">
      <c r="A4656" s="926" t="n">
        <v>38262</v>
      </c>
      <c r="B4656" t="n">
        <v>7.7945</v>
      </c>
      <c r="C4656" t="n">
        <v>0.94235</v>
      </c>
    </row>
    <row r="4657">
      <c r="A4657" s="926" t="n">
        <v>38264</v>
      </c>
      <c r="B4657" t="n">
        <v>7.7985</v>
      </c>
      <c r="C4657" t="n">
        <v>0.94285</v>
      </c>
    </row>
    <row r="4658">
      <c r="A4658" s="926" t="n">
        <v>38265</v>
      </c>
      <c r="B4658" t="n">
        <v>7.7985</v>
      </c>
      <c r="C4658" t="n">
        <v>0.94285</v>
      </c>
    </row>
    <row r="4659">
      <c r="A4659" s="926" t="n">
        <v>38266</v>
      </c>
      <c r="B4659" t="n">
        <v>7.7975</v>
      </c>
      <c r="C4659" t="n">
        <v>0.9427</v>
      </c>
    </row>
    <row r="4660">
      <c r="A4660" s="926" t="n">
        <v>38267</v>
      </c>
      <c r="B4660" t="n">
        <v>7.7975</v>
      </c>
      <c r="C4660" t="n">
        <v>0.9427</v>
      </c>
    </row>
    <row r="4661">
      <c r="A4661" s="926" t="n">
        <v>38268</v>
      </c>
      <c r="B4661" t="n">
        <v>7.7915</v>
      </c>
      <c r="C4661" t="n">
        <v>0.9419999999999999</v>
      </c>
    </row>
    <row r="4662">
      <c r="A4662" s="926" t="n">
        <v>38269</v>
      </c>
      <c r="B4662" t="n">
        <v>7.7795</v>
      </c>
      <c r="C4662" t="n">
        <v>0.94055</v>
      </c>
    </row>
    <row r="4663">
      <c r="A4663" s="926" t="n">
        <v>38271</v>
      </c>
      <c r="B4663" t="n">
        <v>7.7905</v>
      </c>
      <c r="C4663" t="n">
        <v>0.9419</v>
      </c>
    </row>
    <row r="4664">
      <c r="A4664" s="926" t="n">
        <v>38272</v>
      </c>
      <c r="B4664" t="n">
        <v>7.7905</v>
      </c>
      <c r="C4664" t="n">
        <v>0.9419</v>
      </c>
    </row>
    <row r="4665">
      <c r="A4665" s="926" t="n">
        <v>38273</v>
      </c>
      <c r="B4665" t="n">
        <v>7.7935</v>
      </c>
      <c r="C4665" t="n">
        <v>0.94225</v>
      </c>
    </row>
    <row r="4666">
      <c r="A4666" s="926" t="n">
        <v>38274</v>
      </c>
      <c r="B4666" t="n">
        <v>7.7915</v>
      </c>
      <c r="C4666" t="n">
        <v>0.9419999999999999</v>
      </c>
    </row>
    <row r="4667">
      <c r="A4667" s="926" t="n">
        <v>38275</v>
      </c>
      <c r="B4667" t="n">
        <v>7.7875</v>
      </c>
      <c r="C4667" t="n">
        <v>0.9415</v>
      </c>
    </row>
    <row r="4668">
      <c r="A4668" s="926" t="n">
        <v>38276</v>
      </c>
      <c r="B4668" t="n">
        <v>7.7875</v>
      </c>
      <c r="C4668" t="n">
        <v>0.9415</v>
      </c>
    </row>
    <row r="4669">
      <c r="A4669" s="926" t="n">
        <v>38278</v>
      </c>
      <c r="B4669" t="n">
        <v>7.7885</v>
      </c>
      <c r="C4669" t="n">
        <v>0.94165</v>
      </c>
    </row>
    <row r="4670">
      <c r="A4670" s="926" t="n">
        <v>38279</v>
      </c>
      <c r="B4670" t="n">
        <v>7.7915</v>
      </c>
      <c r="C4670" t="n">
        <v>0.9419999999999999</v>
      </c>
    </row>
    <row r="4671">
      <c r="A4671" s="926" t="n">
        <v>38280</v>
      </c>
      <c r="B4671" t="n">
        <v>7.7855</v>
      </c>
      <c r="C4671" t="n">
        <v>0.9413</v>
      </c>
    </row>
    <row r="4672">
      <c r="A4672" s="926" t="n">
        <v>38281</v>
      </c>
      <c r="B4672" t="n">
        <v>7.7855</v>
      </c>
      <c r="C4672" t="n">
        <v>0.9413</v>
      </c>
    </row>
    <row r="4673">
      <c r="A4673" s="926" t="n">
        <v>38283</v>
      </c>
      <c r="B4673" t="n">
        <v>7.7845</v>
      </c>
      <c r="C4673" t="n">
        <v>0.94115</v>
      </c>
    </row>
    <row r="4674">
      <c r="A4674" s="926" t="n">
        <v>38285</v>
      </c>
      <c r="B4674" t="n">
        <v>7.7845</v>
      </c>
      <c r="C4674" t="n">
        <v>0.94115</v>
      </c>
    </row>
    <row r="4675">
      <c r="A4675" s="926" t="n">
        <v>38286</v>
      </c>
      <c r="B4675" t="n">
        <v>7.7785</v>
      </c>
      <c r="C4675" t="n">
        <v>0.94045</v>
      </c>
    </row>
    <row r="4676">
      <c r="A4676" s="926" t="n">
        <v>38287</v>
      </c>
      <c r="B4676" t="n">
        <v>7.7785</v>
      </c>
      <c r="C4676" t="n">
        <v>0.94045</v>
      </c>
    </row>
    <row r="4677">
      <c r="A4677" s="926" t="n">
        <v>38288</v>
      </c>
      <c r="B4677" t="n">
        <v>7.7735</v>
      </c>
      <c r="C4677" t="n">
        <v>0.9398</v>
      </c>
    </row>
    <row r="4678">
      <c r="A4678" s="926" t="n">
        <v>38289</v>
      </c>
      <c r="B4678" t="n">
        <v>7.7795</v>
      </c>
      <c r="C4678" t="n">
        <v>0.94055</v>
      </c>
    </row>
    <row r="4679">
      <c r="A4679" s="926" t="n">
        <v>38290</v>
      </c>
      <c r="B4679" t="n">
        <v>7.7795</v>
      </c>
      <c r="C4679" t="n">
        <v>0.94055</v>
      </c>
    </row>
    <row r="4680">
      <c r="A4680" s="926" t="n">
        <v>38292</v>
      </c>
      <c r="B4680" t="n">
        <v>7.7795</v>
      </c>
      <c r="C4680" t="n">
        <v>0.94055</v>
      </c>
    </row>
    <row r="4681">
      <c r="A4681" s="926" t="n">
        <v>38293</v>
      </c>
      <c r="B4681" t="n">
        <v>7.7795</v>
      </c>
      <c r="C4681" t="n">
        <v>0.94055</v>
      </c>
    </row>
    <row r="4682">
      <c r="A4682" s="926" t="n">
        <v>38294</v>
      </c>
      <c r="B4682" t="n">
        <v>7.7815</v>
      </c>
      <c r="C4682" t="n">
        <v>0.9408</v>
      </c>
    </row>
    <row r="4683">
      <c r="A4683" s="926" t="n">
        <v>38295</v>
      </c>
      <c r="B4683" t="n">
        <v>7.7795</v>
      </c>
      <c r="C4683" t="n">
        <v>0.94055</v>
      </c>
    </row>
    <row r="4684">
      <c r="A4684" s="926" t="n">
        <v>38296</v>
      </c>
      <c r="B4684" t="n">
        <v>7.7715</v>
      </c>
      <c r="C4684" t="n">
        <v>0.9396</v>
      </c>
    </row>
    <row r="4685">
      <c r="A4685" s="926" t="n">
        <v>38297</v>
      </c>
      <c r="B4685" t="n">
        <v>7.7705</v>
      </c>
      <c r="C4685" t="n">
        <v>0.93945</v>
      </c>
    </row>
    <row r="4686">
      <c r="A4686" s="926" t="n">
        <v>38299</v>
      </c>
      <c r="B4686" t="n">
        <v>7.7715</v>
      </c>
      <c r="C4686" t="n">
        <v>0.9396</v>
      </c>
    </row>
    <row r="4687">
      <c r="A4687" s="926" t="n">
        <v>38300</v>
      </c>
      <c r="B4687" t="n">
        <v>7.7775</v>
      </c>
      <c r="C4687" t="n">
        <v>0.9403</v>
      </c>
    </row>
    <row r="4688">
      <c r="A4688" s="926" t="n">
        <v>38301</v>
      </c>
      <c r="B4688" t="n">
        <v>7.7795</v>
      </c>
      <c r="C4688" t="n">
        <v>0.94055</v>
      </c>
    </row>
    <row r="4689">
      <c r="A4689" s="926" t="n">
        <v>38302</v>
      </c>
      <c r="B4689" t="n">
        <v>7.7825</v>
      </c>
      <c r="C4689" t="n">
        <v>0.9409</v>
      </c>
    </row>
    <row r="4690">
      <c r="A4690" s="926" t="n">
        <v>38303</v>
      </c>
      <c r="B4690" t="n">
        <v>7.7795</v>
      </c>
      <c r="C4690" t="n">
        <v>0.94055</v>
      </c>
    </row>
    <row r="4691">
      <c r="A4691" s="926" t="n">
        <v>38304</v>
      </c>
      <c r="B4691" t="n">
        <v>7.7695</v>
      </c>
      <c r="C4691" t="n">
        <v>0.93935</v>
      </c>
    </row>
    <row r="4692">
      <c r="A4692" s="926" t="n">
        <v>38306</v>
      </c>
      <c r="B4692" t="n">
        <v>7.7755</v>
      </c>
      <c r="C4692" t="n">
        <v>0.9401</v>
      </c>
    </row>
    <row r="4693">
      <c r="A4693" s="926" t="n">
        <v>38307</v>
      </c>
      <c r="B4693" t="n">
        <v>7.7755</v>
      </c>
      <c r="C4693" t="n">
        <v>0.9401</v>
      </c>
    </row>
    <row r="4694">
      <c r="A4694" s="926" t="n">
        <v>38308</v>
      </c>
      <c r="B4694" t="n">
        <v>7.7755</v>
      </c>
      <c r="C4694" t="n">
        <v>0.9401</v>
      </c>
    </row>
    <row r="4695">
      <c r="A4695" s="926" t="n">
        <v>38309</v>
      </c>
      <c r="B4695" t="n">
        <v>7.7725</v>
      </c>
      <c r="C4695" t="n">
        <v>0.9397</v>
      </c>
    </row>
    <row r="4696">
      <c r="A4696" s="926" t="n">
        <v>38310</v>
      </c>
      <c r="B4696" t="n">
        <v>7.7775</v>
      </c>
      <c r="C4696" t="n">
        <v>0.9403</v>
      </c>
    </row>
    <row r="4697">
      <c r="A4697" s="926" t="n">
        <v>38311</v>
      </c>
      <c r="B4697" t="n">
        <v>7.7695</v>
      </c>
      <c r="C4697" t="n">
        <v>0.93935</v>
      </c>
    </row>
    <row r="4698">
      <c r="A4698" s="926" t="n">
        <v>38313</v>
      </c>
      <c r="B4698" t="n">
        <v>7.7735</v>
      </c>
      <c r="C4698" t="n">
        <v>0.9398</v>
      </c>
    </row>
    <row r="4699">
      <c r="A4699" s="926" t="n">
        <v>38314</v>
      </c>
      <c r="B4699" t="n">
        <v>7.7765</v>
      </c>
      <c r="C4699" t="n">
        <v>0.9402</v>
      </c>
    </row>
    <row r="4700">
      <c r="A4700" s="926" t="n">
        <v>38315</v>
      </c>
      <c r="B4700" t="n">
        <v>7.7755</v>
      </c>
      <c r="C4700" t="n">
        <v>0.9401</v>
      </c>
    </row>
    <row r="4701">
      <c r="A4701" s="926" t="n">
        <v>38316</v>
      </c>
      <c r="B4701" t="n">
        <v>7.7715</v>
      </c>
      <c r="C4701" t="n">
        <v>0.9396</v>
      </c>
    </row>
    <row r="4702">
      <c r="A4702" s="926" t="n">
        <v>38317</v>
      </c>
      <c r="B4702" t="n">
        <v>7.7725</v>
      </c>
      <c r="C4702" t="n">
        <v>0.9397</v>
      </c>
    </row>
    <row r="4703">
      <c r="A4703" s="926" t="n">
        <v>38318</v>
      </c>
      <c r="B4703" t="n">
        <v>7.7715</v>
      </c>
      <c r="C4703" t="n">
        <v>0.9396</v>
      </c>
    </row>
    <row r="4704">
      <c r="A4704" s="926" t="n">
        <v>38320</v>
      </c>
      <c r="B4704" t="n">
        <v>7.7755</v>
      </c>
      <c r="C4704" t="n">
        <v>0.9401</v>
      </c>
    </row>
    <row r="4705">
      <c r="A4705" s="926" t="n">
        <v>38321</v>
      </c>
      <c r="B4705" t="n">
        <v>7.7765</v>
      </c>
      <c r="C4705" t="n">
        <v>0.9402</v>
      </c>
    </row>
    <row r="4706">
      <c r="A4706" s="926" t="n">
        <v>38322</v>
      </c>
      <c r="B4706" t="n">
        <v>7.7745</v>
      </c>
      <c r="C4706" t="n">
        <v>0.93995</v>
      </c>
    </row>
    <row r="4707">
      <c r="A4707" s="926" t="n">
        <v>38323</v>
      </c>
      <c r="B4707" t="n">
        <v>7.7725</v>
      </c>
      <c r="C4707" t="n">
        <v>0.9397</v>
      </c>
    </row>
    <row r="4708">
      <c r="A4708" s="926" t="n">
        <v>38324</v>
      </c>
      <c r="B4708" t="n">
        <v>7.7745</v>
      </c>
      <c r="C4708" t="n">
        <v>0.93995</v>
      </c>
    </row>
    <row r="4709">
      <c r="A4709" s="926" t="n">
        <v>38325</v>
      </c>
      <c r="B4709" t="n">
        <v>7.7705</v>
      </c>
      <c r="C4709" t="n">
        <v>0.93945</v>
      </c>
    </row>
    <row r="4710">
      <c r="A4710" s="926" t="n">
        <v>38327</v>
      </c>
      <c r="B4710" t="n">
        <v>7.7715</v>
      </c>
      <c r="C4710" t="n">
        <v>0.9396</v>
      </c>
    </row>
    <row r="4711">
      <c r="A4711" s="926" t="n">
        <v>38328</v>
      </c>
      <c r="B4711" t="n">
        <v>7.7725</v>
      </c>
      <c r="C4711" t="n">
        <v>0.9397</v>
      </c>
    </row>
    <row r="4712">
      <c r="A4712" s="926" t="n">
        <v>38329</v>
      </c>
      <c r="B4712" t="n">
        <v>7.7705</v>
      </c>
      <c r="C4712" t="n">
        <v>0.93945</v>
      </c>
    </row>
    <row r="4713">
      <c r="A4713" s="926" t="n">
        <v>38330</v>
      </c>
      <c r="B4713" t="n">
        <v>7.7735</v>
      </c>
      <c r="C4713" t="n">
        <v>0.9398</v>
      </c>
    </row>
    <row r="4714">
      <c r="A4714" s="926" t="n">
        <v>38331</v>
      </c>
      <c r="B4714" t="n">
        <v>7.7775</v>
      </c>
      <c r="C4714" t="n">
        <v>0.9403</v>
      </c>
    </row>
    <row r="4715">
      <c r="A4715" s="926" t="n">
        <v>38332</v>
      </c>
      <c r="B4715" t="n">
        <v>7.7725</v>
      </c>
      <c r="C4715" t="n">
        <v>0.9397</v>
      </c>
    </row>
    <row r="4716">
      <c r="A4716" s="926" t="n">
        <v>38334</v>
      </c>
      <c r="B4716" t="n">
        <v>7.7765</v>
      </c>
      <c r="C4716" t="n">
        <v>0.9402</v>
      </c>
    </row>
    <row r="4717">
      <c r="A4717" s="926" t="n">
        <v>38335</v>
      </c>
      <c r="B4717" t="n">
        <v>7.7765</v>
      </c>
      <c r="C4717" t="n">
        <v>0.9402</v>
      </c>
    </row>
    <row r="4718">
      <c r="A4718" s="926" t="n">
        <v>38336</v>
      </c>
      <c r="B4718" t="n">
        <v>7.7755</v>
      </c>
      <c r="C4718" t="n">
        <v>0.9402</v>
      </c>
    </row>
    <row r="4719">
      <c r="A4719" s="926" t="n">
        <v>38337</v>
      </c>
      <c r="B4719" t="n">
        <v>7.7755</v>
      </c>
      <c r="C4719" t="n">
        <v>0.9401</v>
      </c>
    </row>
    <row r="4720">
      <c r="A4720" s="926" t="n">
        <v>38338</v>
      </c>
      <c r="B4720" t="n">
        <v>7.7795</v>
      </c>
      <c r="C4720" t="n">
        <v>0.94065</v>
      </c>
    </row>
    <row r="4721">
      <c r="A4721" s="926" t="n">
        <v>38339</v>
      </c>
      <c r="B4721" t="n">
        <v>7.7805</v>
      </c>
      <c r="C4721" t="n">
        <v>0.94065</v>
      </c>
    </row>
    <row r="4722">
      <c r="A4722" s="926" t="n">
        <v>38341</v>
      </c>
      <c r="B4722" t="n">
        <v>7.7795</v>
      </c>
      <c r="C4722" t="n">
        <v>0.9408</v>
      </c>
    </row>
    <row r="4723">
      <c r="A4723" s="926" t="n">
        <v>38342</v>
      </c>
      <c r="B4723" t="n">
        <v>7.7805</v>
      </c>
      <c r="C4723" t="n">
        <v>0.9408</v>
      </c>
    </row>
    <row r="4724">
      <c r="A4724" s="926" t="n">
        <v>38343</v>
      </c>
      <c r="B4724" t="n">
        <v>7.7815</v>
      </c>
      <c r="C4724" t="n">
        <v>0.9409</v>
      </c>
    </row>
    <row r="4725">
      <c r="A4725" s="926" t="n">
        <v>38344</v>
      </c>
      <c r="B4725" t="n">
        <v>7.7815</v>
      </c>
      <c r="C4725" t="n">
        <v>0.9409</v>
      </c>
    </row>
    <row r="4726">
      <c r="A4726" s="926" t="n">
        <v>38345</v>
      </c>
      <c r="B4726" t="n">
        <v>7.7835</v>
      </c>
      <c r="C4726" t="n">
        <v>0.9411</v>
      </c>
    </row>
    <row r="4727">
      <c r="A4727" s="926" t="n">
        <v>38349</v>
      </c>
      <c r="B4727" t="n">
        <v>7.7825</v>
      </c>
      <c r="C4727" t="n">
        <v>0.9411</v>
      </c>
    </row>
    <row r="4728">
      <c r="A4728" s="926" t="n">
        <v>38350</v>
      </c>
      <c r="B4728" t="n">
        <v>7.7775</v>
      </c>
      <c r="C4728" t="n">
        <v>0.94025</v>
      </c>
    </row>
    <row r="4729">
      <c r="A4729" s="926" t="n">
        <v>38351</v>
      </c>
      <c r="B4729" t="n">
        <v>7.7775</v>
      </c>
      <c r="C4729" t="n">
        <v>0.94025</v>
      </c>
    </row>
    <row r="4730">
      <c r="A4730" s="926" t="n">
        <v>38352</v>
      </c>
      <c r="B4730" t="n">
        <v>7.7735</v>
      </c>
      <c r="C4730" t="n">
        <v>0.93995</v>
      </c>
    </row>
    <row r="4731">
      <c r="A4731" s="926" t="n">
        <v>38355</v>
      </c>
      <c r="B4731" t="n">
        <v>7.7785</v>
      </c>
      <c r="C4731" t="n">
        <v>0.9399999999999999</v>
      </c>
    </row>
    <row r="4732">
      <c r="A4732" s="926" t="n">
        <v>38356</v>
      </c>
      <c r="B4732" t="n">
        <v>7.7825</v>
      </c>
      <c r="C4732" t="n">
        <v>0.94095</v>
      </c>
    </row>
    <row r="4733">
      <c r="A4733" s="926" t="n">
        <v>38357</v>
      </c>
      <c r="B4733" t="n">
        <v>7.7895</v>
      </c>
      <c r="C4733" t="n">
        <v>0.94175</v>
      </c>
    </row>
    <row r="4734">
      <c r="A4734" s="926" t="n">
        <v>38358</v>
      </c>
      <c r="B4734" t="n">
        <v>7.7895</v>
      </c>
      <c r="C4734" t="n">
        <v>0.94185</v>
      </c>
    </row>
    <row r="4735">
      <c r="A4735" s="926" t="n">
        <v>38359</v>
      </c>
      <c r="B4735" t="n">
        <v>7.7925</v>
      </c>
      <c r="C4735" t="n">
        <v>0.9419999999999999</v>
      </c>
    </row>
    <row r="4736">
      <c r="A4736" s="926" t="n">
        <v>38360</v>
      </c>
      <c r="B4736" t="n">
        <v>7.7895</v>
      </c>
      <c r="C4736" t="n">
        <v>0.94175</v>
      </c>
    </row>
    <row r="4737">
      <c r="A4737" s="926" t="n">
        <v>38362</v>
      </c>
      <c r="B4737" t="n">
        <v>7.7955</v>
      </c>
      <c r="C4737" t="n">
        <v>0.94245</v>
      </c>
    </row>
    <row r="4738">
      <c r="A4738" s="926" t="n">
        <v>38363</v>
      </c>
      <c r="B4738" t="n">
        <v>7.7945</v>
      </c>
      <c r="C4738" t="n">
        <v>0.94235</v>
      </c>
    </row>
    <row r="4739">
      <c r="A4739" s="926" t="n">
        <v>38364</v>
      </c>
      <c r="B4739" t="n">
        <v>7.7955</v>
      </c>
      <c r="C4739" t="n">
        <v>0.94245</v>
      </c>
    </row>
    <row r="4740">
      <c r="A4740" s="926" t="n">
        <v>38365</v>
      </c>
      <c r="B4740" t="n">
        <v>7.7925</v>
      </c>
      <c r="C4740" t="n">
        <v>0.9421</v>
      </c>
    </row>
    <row r="4741">
      <c r="A4741" s="926" t="n">
        <v>38366</v>
      </c>
      <c r="B4741" t="n">
        <v>7.7965</v>
      </c>
      <c r="C4741" t="n">
        <v>0.94265</v>
      </c>
    </row>
    <row r="4742">
      <c r="A4742" s="926" t="n">
        <v>38367</v>
      </c>
      <c r="B4742" t="n">
        <v>7.7935</v>
      </c>
      <c r="C4742" t="n">
        <v>0.9422</v>
      </c>
    </row>
    <row r="4743">
      <c r="A4743" s="926" t="n">
        <v>38369</v>
      </c>
      <c r="B4743" t="n">
        <v>7.7965</v>
      </c>
      <c r="C4743" t="n">
        <v>0.94255</v>
      </c>
    </row>
    <row r="4744">
      <c r="A4744" s="926" t="n">
        <v>38370</v>
      </c>
      <c r="B4744" t="n">
        <v>7.7985</v>
      </c>
      <c r="C4744" t="n">
        <v>0.9428</v>
      </c>
    </row>
    <row r="4745">
      <c r="A4745" s="926" t="n">
        <v>38371</v>
      </c>
      <c r="B4745" t="n">
        <v>7.7985</v>
      </c>
      <c r="C4745" t="n">
        <v>0.9431</v>
      </c>
    </row>
    <row r="4746">
      <c r="A4746" s="926" t="n">
        <v>38372</v>
      </c>
      <c r="B4746" t="n">
        <v>7.7975</v>
      </c>
      <c r="C4746" t="n">
        <v>0.94265</v>
      </c>
    </row>
    <row r="4747">
      <c r="A4747" s="926" t="n">
        <v>38373</v>
      </c>
      <c r="B4747" t="n">
        <v>7.7995</v>
      </c>
      <c r="C4747" t="n">
        <v>0.94275</v>
      </c>
    </row>
    <row r="4748">
      <c r="A4748" s="926" t="n">
        <v>38374</v>
      </c>
      <c r="B4748" t="n">
        <v>7.7975</v>
      </c>
      <c r="C4748" t="n">
        <v>0.94275</v>
      </c>
    </row>
    <row r="4749">
      <c r="A4749" s="926" t="n">
        <v>38376</v>
      </c>
      <c r="B4749" t="n">
        <v>7.7985</v>
      </c>
      <c r="C4749" t="n">
        <v>0.94265</v>
      </c>
    </row>
    <row r="4750">
      <c r="A4750" s="926" t="n">
        <v>38377</v>
      </c>
      <c r="B4750" t="n">
        <v>7.7995</v>
      </c>
      <c r="C4750" t="n">
        <v>0.94285</v>
      </c>
    </row>
    <row r="4751">
      <c r="A4751" s="926" t="n">
        <v>38378</v>
      </c>
      <c r="B4751" t="n">
        <v>7.7985</v>
      </c>
      <c r="C4751" t="n">
        <v>0.94275</v>
      </c>
    </row>
    <row r="4752">
      <c r="A4752" s="926" t="n">
        <v>38379</v>
      </c>
      <c r="B4752" t="n">
        <v>7.7985</v>
      </c>
      <c r="C4752" t="n">
        <v>0.94275</v>
      </c>
    </row>
    <row r="4753">
      <c r="A4753" s="926" t="n">
        <v>38380</v>
      </c>
      <c r="B4753" t="n">
        <v>7.7985</v>
      </c>
      <c r="C4753" t="n">
        <v>0.94265</v>
      </c>
    </row>
    <row r="4754">
      <c r="A4754" s="926" t="n">
        <v>38381</v>
      </c>
      <c r="B4754" t="n">
        <v>7.7975</v>
      </c>
      <c r="C4754" t="n">
        <v>0.94275</v>
      </c>
    </row>
    <row r="4755">
      <c r="A4755" s="926" t="n">
        <v>38383</v>
      </c>
      <c r="B4755" t="n">
        <v>7.7995</v>
      </c>
      <c r="C4755" t="n">
        <v>0.94275</v>
      </c>
    </row>
    <row r="4756">
      <c r="A4756" s="926" t="n">
        <v>38384</v>
      </c>
      <c r="B4756" t="n">
        <v>7.7995</v>
      </c>
      <c r="C4756" t="n">
        <v>0.94285</v>
      </c>
    </row>
    <row r="4757">
      <c r="A4757" s="926" t="n">
        <v>38385</v>
      </c>
      <c r="B4757" t="n">
        <v>7.7995</v>
      </c>
      <c r="C4757" t="n">
        <v>0.94285</v>
      </c>
    </row>
    <row r="4758">
      <c r="A4758" s="926" t="n">
        <v>38386</v>
      </c>
      <c r="B4758" t="n">
        <v>7.7995</v>
      </c>
      <c r="C4758" t="n">
        <v>0.94275</v>
      </c>
    </row>
    <row r="4759">
      <c r="A4759" s="926" t="n">
        <v>38387</v>
      </c>
      <c r="B4759" t="n">
        <v>7.7995</v>
      </c>
      <c r="C4759" t="n">
        <v>0.94265</v>
      </c>
    </row>
    <row r="4760">
      <c r="A4760" s="926" t="n">
        <v>38388</v>
      </c>
      <c r="B4760" t="n">
        <v>7.7975</v>
      </c>
      <c r="C4760" t="n">
        <v>0.94275</v>
      </c>
    </row>
    <row r="4761">
      <c r="A4761" s="926" t="n">
        <v>38390</v>
      </c>
      <c r="B4761" t="n">
        <v>7.7995</v>
      </c>
      <c r="C4761" t="n">
        <v>0.94275</v>
      </c>
    </row>
    <row r="4762">
      <c r="A4762" s="926" t="n">
        <v>38391</v>
      </c>
      <c r="B4762" t="n">
        <v>7.8005</v>
      </c>
      <c r="C4762" t="n">
        <v>0.94295</v>
      </c>
    </row>
    <row r="4763">
      <c r="A4763" s="926" t="n">
        <v>38395</v>
      </c>
      <c r="B4763" t="n">
        <v>7.7985</v>
      </c>
      <c r="C4763" t="n">
        <v>0.94285</v>
      </c>
    </row>
    <row r="4764">
      <c r="A4764" s="926" t="n">
        <v>38397</v>
      </c>
      <c r="B4764" t="n">
        <v>7.7995</v>
      </c>
      <c r="C4764" t="n">
        <v>0.94285</v>
      </c>
    </row>
    <row r="4765">
      <c r="A4765" s="926" t="n">
        <v>38398</v>
      </c>
      <c r="B4765" t="n">
        <v>7.7995</v>
      </c>
      <c r="C4765" t="n">
        <v>0.94285</v>
      </c>
    </row>
    <row r="4766">
      <c r="A4766" s="926" t="n">
        <v>38399</v>
      </c>
      <c r="B4766" t="n">
        <v>7.7995</v>
      </c>
      <c r="C4766" t="n">
        <v>0.94275</v>
      </c>
    </row>
    <row r="4767">
      <c r="A4767" s="926" t="n">
        <v>38400</v>
      </c>
      <c r="B4767" t="n">
        <v>7.7995</v>
      </c>
      <c r="C4767" t="n">
        <v>0.94275</v>
      </c>
    </row>
    <row r="4768">
      <c r="A4768" s="926" t="n">
        <v>38401</v>
      </c>
      <c r="B4768" t="n">
        <v>7.7995</v>
      </c>
      <c r="C4768" t="n">
        <v>0.94285</v>
      </c>
    </row>
    <row r="4769">
      <c r="A4769" s="926" t="n">
        <v>38402</v>
      </c>
      <c r="B4769" t="n">
        <v>7.7985</v>
      </c>
      <c r="C4769" t="n">
        <v>0.94285</v>
      </c>
    </row>
    <row r="4770">
      <c r="A4770" s="926" t="n">
        <v>38404</v>
      </c>
      <c r="B4770" t="n">
        <v>7.7995</v>
      </c>
      <c r="C4770" t="n">
        <v>0.94285</v>
      </c>
    </row>
    <row r="4771">
      <c r="A4771" s="926" t="n">
        <v>38405</v>
      </c>
      <c r="B4771" t="n">
        <v>7.7995</v>
      </c>
      <c r="C4771" t="n">
        <v>0.94275</v>
      </c>
    </row>
    <row r="4772">
      <c r="A4772" s="926" t="n">
        <v>38406</v>
      </c>
      <c r="B4772" t="n">
        <v>7.7995</v>
      </c>
      <c r="C4772" t="n">
        <v>0.94285</v>
      </c>
    </row>
    <row r="4773">
      <c r="A4773" s="926" t="n">
        <v>38407</v>
      </c>
      <c r="B4773" t="n">
        <v>7.7995</v>
      </c>
      <c r="C4773" t="n">
        <v>0.94275</v>
      </c>
    </row>
    <row r="4774">
      <c r="A4774" s="926" t="n">
        <v>38408</v>
      </c>
      <c r="B4774" t="n">
        <v>7.7995</v>
      </c>
      <c r="C4774" t="n">
        <v>0.94275</v>
      </c>
    </row>
    <row r="4775">
      <c r="A4775" s="926" t="n">
        <v>38409</v>
      </c>
      <c r="B4775" t="n">
        <v>7.7965</v>
      </c>
      <c r="C4775" t="n">
        <v>0.9426</v>
      </c>
    </row>
    <row r="4776">
      <c r="A4776" s="926" t="n">
        <v>38411</v>
      </c>
      <c r="B4776" t="n">
        <v>7.7985</v>
      </c>
      <c r="C4776" t="n">
        <v>0.94275</v>
      </c>
    </row>
    <row r="4777">
      <c r="A4777" s="926" t="n">
        <v>38412</v>
      </c>
      <c r="B4777" t="n">
        <v>7.7995</v>
      </c>
      <c r="C4777" t="n">
        <v>0.94275</v>
      </c>
    </row>
    <row r="4778">
      <c r="A4778" s="926" t="n">
        <v>38413</v>
      </c>
      <c r="B4778" t="n">
        <v>7.7995</v>
      </c>
      <c r="C4778" t="n">
        <v>0.94285</v>
      </c>
    </row>
    <row r="4779">
      <c r="A4779" s="926" t="n">
        <v>38414</v>
      </c>
      <c r="B4779" t="n">
        <v>7.7995</v>
      </c>
      <c r="C4779" t="n">
        <v>0.94275</v>
      </c>
    </row>
    <row r="4780">
      <c r="A4780" s="926" t="n">
        <v>38415</v>
      </c>
      <c r="B4780" t="n">
        <v>7.7995</v>
      </c>
      <c r="C4780" t="n">
        <v>0.94275</v>
      </c>
    </row>
    <row r="4781">
      <c r="A4781" s="926" t="n">
        <v>38416</v>
      </c>
      <c r="B4781" t="n">
        <v>7.7975</v>
      </c>
      <c r="C4781" t="n">
        <v>0.94275</v>
      </c>
    </row>
    <row r="4782">
      <c r="A4782" s="926" t="n">
        <v>38418</v>
      </c>
      <c r="B4782" t="n">
        <v>7.7995</v>
      </c>
      <c r="C4782" t="n">
        <v>0.94275</v>
      </c>
    </row>
    <row r="4783">
      <c r="A4783" s="926" t="n">
        <v>38419</v>
      </c>
      <c r="B4783" t="n">
        <v>7.7995</v>
      </c>
      <c r="C4783" t="n">
        <v>0.94285</v>
      </c>
    </row>
    <row r="4784">
      <c r="A4784" s="926" t="n">
        <v>38420</v>
      </c>
      <c r="B4784" t="n">
        <v>7.7995</v>
      </c>
      <c r="C4784" t="n">
        <v>0.94285</v>
      </c>
    </row>
    <row r="4785">
      <c r="A4785" s="926" t="n">
        <v>38421</v>
      </c>
      <c r="B4785" t="n">
        <v>7.7985</v>
      </c>
      <c r="C4785" t="n">
        <v>0.94275</v>
      </c>
    </row>
    <row r="4786">
      <c r="A4786" s="926" t="n">
        <v>38422</v>
      </c>
      <c r="B4786" t="n">
        <v>7.7995</v>
      </c>
      <c r="C4786" t="n">
        <v>0.94275</v>
      </c>
    </row>
    <row r="4787">
      <c r="A4787" s="926" t="n">
        <v>38423</v>
      </c>
      <c r="B4787" t="n">
        <v>7.7975</v>
      </c>
      <c r="C4787" t="n">
        <v>0.94275</v>
      </c>
    </row>
    <row r="4788">
      <c r="A4788" s="926" t="n">
        <v>38425</v>
      </c>
      <c r="B4788" t="n">
        <v>7.7995</v>
      </c>
      <c r="C4788" t="n">
        <v>0.94275</v>
      </c>
    </row>
    <row r="4789">
      <c r="A4789" s="926" t="n">
        <v>38426</v>
      </c>
      <c r="B4789" t="n">
        <v>7.7995</v>
      </c>
      <c r="C4789" t="n">
        <v>0.94285</v>
      </c>
    </row>
    <row r="4790">
      <c r="A4790" s="926" t="n">
        <v>38427</v>
      </c>
      <c r="B4790" t="n">
        <v>7.7995</v>
      </c>
      <c r="C4790" t="n">
        <v>0.94275</v>
      </c>
    </row>
    <row r="4791">
      <c r="A4791" s="926" t="n">
        <v>38428</v>
      </c>
      <c r="B4791" t="n">
        <v>7.7995</v>
      </c>
      <c r="C4791" t="n">
        <v>0.94275</v>
      </c>
    </row>
    <row r="4792">
      <c r="A4792" s="926" t="n">
        <v>38429</v>
      </c>
      <c r="B4792" t="n">
        <v>7.7995</v>
      </c>
      <c r="C4792" t="n">
        <v>0.94275</v>
      </c>
    </row>
    <row r="4793">
      <c r="A4793" s="926" t="n">
        <v>38430</v>
      </c>
      <c r="B4793" t="n">
        <v>7.7975</v>
      </c>
      <c r="C4793" t="n">
        <v>0.94275</v>
      </c>
    </row>
    <row r="4794">
      <c r="A4794" s="926" t="n">
        <v>38432</v>
      </c>
      <c r="B4794" t="n">
        <v>7.7985</v>
      </c>
      <c r="C4794" t="n">
        <v>0.94275</v>
      </c>
    </row>
    <row r="4795">
      <c r="A4795" s="926" t="n">
        <v>38433</v>
      </c>
      <c r="B4795" t="n">
        <v>7.7985</v>
      </c>
      <c r="C4795" t="n">
        <v>0.94265</v>
      </c>
    </row>
    <row r="4796">
      <c r="A4796" s="926" t="n">
        <v>38434</v>
      </c>
      <c r="B4796" t="n">
        <v>7.7995</v>
      </c>
      <c r="C4796" t="n">
        <v>0.94275</v>
      </c>
    </row>
    <row r="4797">
      <c r="A4797" s="926" t="n">
        <v>38435</v>
      </c>
      <c r="B4797" t="n">
        <v>7.7995</v>
      </c>
      <c r="C4797" t="n">
        <v>0.94285</v>
      </c>
    </row>
    <row r="4798">
      <c r="A4798" s="926" t="n">
        <v>38440</v>
      </c>
      <c r="B4798" t="n">
        <v>7.7995</v>
      </c>
      <c r="C4798" t="n">
        <v>0.94265</v>
      </c>
    </row>
    <row r="4799">
      <c r="A4799" s="926" t="n">
        <v>38441</v>
      </c>
      <c r="B4799" t="n">
        <v>7.7995</v>
      </c>
      <c r="C4799" t="n">
        <v>0.94275</v>
      </c>
    </row>
    <row r="4800">
      <c r="A4800" s="926" t="n">
        <v>38442</v>
      </c>
      <c r="B4800" t="n">
        <v>7.7995</v>
      </c>
      <c r="C4800" t="n">
        <v>0.94275</v>
      </c>
    </row>
    <row r="4801">
      <c r="A4801" s="926" t="n">
        <v>38443</v>
      </c>
      <c r="B4801" t="n">
        <v>7.7985</v>
      </c>
      <c r="C4801" t="n">
        <v>0.94275</v>
      </c>
    </row>
    <row r="4802">
      <c r="A4802" s="926" t="n">
        <v>38444</v>
      </c>
      <c r="B4802" t="n">
        <v>7.7995</v>
      </c>
      <c r="C4802" t="n">
        <v>0.94295</v>
      </c>
    </row>
    <row r="4803">
      <c r="A4803" s="926" t="n">
        <v>38446</v>
      </c>
      <c r="B4803" t="n">
        <v>7.7995</v>
      </c>
      <c r="C4803" t="n">
        <v>0.9429999999999999</v>
      </c>
    </row>
    <row r="4804">
      <c r="A4804" s="926" t="n">
        <v>38448</v>
      </c>
      <c r="B4804" t="n">
        <v>7.7995</v>
      </c>
      <c r="C4804" t="n">
        <v>0.9429999999999999</v>
      </c>
    </row>
    <row r="4805">
      <c r="A4805" s="926" t="n">
        <v>38449</v>
      </c>
      <c r="B4805" t="n">
        <v>7.7995</v>
      </c>
      <c r="C4805" t="n">
        <v>0.9429999999999999</v>
      </c>
    </row>
    <row r="4806">
      <c r="A4806" s="926" t="n">
        <v>38450</v>
      </c>
      <c r="B4806" t="n">
        <v>7.7985</v>
      </c>
      <c r="C4806" t="n">
        <v>0.94285</v>
      </c>
    </row>
    <row r="4807">
      <c r="A4807" s="926" t="n">
        <v>38451</v>
      </c>
      <c r="B4807" t="n">
        <v>7.7975</v>
      </c>
      <c r="C4807" t="n">
        <v>0.94275</v>
      </c>
    </row>
    <row r="4808">
      <c r="A4808" s="926" t="n">
        <v>38453</v>
      </c>
      <c r="B4808" t="n">
        <v>7.7985</v>
      </c>
      <c r="C4808" t="n">
        <v>0.94285</v>
      </c>
    </row>
    <row r="4809">
      <c r="A4809" s="926" t="n">
        <v>38454</v>
      </c>
      <c r="B4809" t="n">
        <v>7.7985</v>
      </c>
      <c r="C4809" t="n">
        <v>0.94285</v>
      </c>
    </row>
    <row r="4810">
      <c r="A4810" s="926" t="n">
        <v>38455</v>
      </c>
      <c r="B4810" t="n">
        <v>7.7995</v>
      </c>
      <c r="C4810" t="n">
        <v>0.9429999999999999</v>
      </c>
    </row>
    <row r="4811">
      <c r="A4811" s="926" t="n">
        <v>38456</v>
      </c>
      <c r="B4811" t="n">
        <v>7.7985</v>
      </c>
      <c r="C4811" t="n">
        <v>0.94285</v>
      </c>
    </row>
    <row r="4812">
      <c r="A4812" s="926" t="n">
        <v>38457</v>
      </c>
      <c r="B4812" t="n">
        <v>7.7985</v>
      </c>
      <c r="C4812" t="n">
        <v>0.94285</v>
      </c>
    </row>
    <row r="4813">
      <c r="A4813" s="926" t="n">
        <v>38458</v>
      </c>
      <c r="B4813" t="n">
        <v>7.798</v>
      </c>
      <c r="C4813" t="n">
        <v>0.94275</v>
      </c>
    </row>
    <row r="4814">
      <c r="A4814" s="926" t="n">
        <v>38460</v>
      </c>
      <c r="B4814" t="n">
        <v>7.7985</v>
      </c>
      <c r="C4814" t="n">
        <v>0.94285</v>
      </c>
    </row>
    <row r="4815">
      <c r="A4815" s="926" t="n">
        <v>38461</v>
      </c>
      <c r="B4815" t="n">
        <v>7.7985</v>
      </c>
      <c r="C4815" t="n">
        <v>0.94285</v>
      </c>
    </row>
    <row r="4816">
      <c r="A4816" s="926" t="n">
        <v>38462</v>
      </c>
      <c r="B4816" t="n">
        <v>7.7985</v>
      </c>
      <c r="C4816" t="n">
        <v>0.94285</v>
      </c>
    </row>
    <row r="4817">
      <c r="A4817" s="926" t="n">
        <v>38463</v>
      </c>
      <c r="B4817" t="n">
        <v>7.7985</v>
      </c>
      <c r="C4817" t="n">
        <v>0.94285</v>
      </c>
    </row>
    <row r="4818">
      <c r="A4818" s="926" t="n">
        <v>38464</v>
      </c>
      <c r="B4818" t="n">
        <v>7.7985</v>
      </c>
      <c r="C4818" t="n">
        <v>0.94285</v>
      </c>
    </row>
    <row r="4819">
      <c r="A4819" s="926" t="n">
        <v>38465</v>
      </c>
      <c r="B4819" t="n">
        <v>7.794</v>
      </c>
      <c r="C4819" t="n">
        <v>0.9423</v>
      </c>
    </row>
    <row r="4820">
      <c r="A4820" s="926" t="n">
        <v>38467</v>
      </c>
      <c r="B4820" t="n">
        <v>7.7965</v>
      </c>
      <c r="C4820" t="n">
        <v>0.9426</v>
      </c>
    </row>
    <row r="4821">
      <c r="A4821" s="926" t="n">
        <v>38468</v>
      </c>
      <c r="B4821" t="n">
        <v>7.7975</v>
      </c>
      <c r="C4821" t="n">
        <v>0.9427</v>
      </c>
    </row>
    <row r="4822">
      <c r="A4822" s="926" t="n">
        <v>38469</v>
      </c>
      <c r="B4822" t="n">
        <v>7.7985</v>
      </c>
      <c r="C4822" t="n">
        <v>0.94285</v>
      </c>
    </row>
    <row r="4823">
      <c r="A4823" s="926" t="n">
        <v>38470</v>
      </c>
      <c r="B4823" t="n">
        <v>7.7985</v>
      </c>
      <c r="C4823" t="n">
        <v>0.94285</v>
      </c>
    </row>
    <row r="4824">
      <c r="A4824" s="926" t="n">
        <v>38471</v>
      </c>
      <c r="B4824" t="n">
        <v>7.7965</v>
      </c>
      <c r="C4824" t="n">
        <v>0.94295</v>
      </c>
    </row>
    <row r="4825">
      <c r="A4825" s="926" t="n">
        <v>38472</v>
      </c>
      <c r="B4825" t="n">
        <v>7.7915</v>
      </c>
      <c r="C4825" t="n">
        <v>0.9437</v>
      </c>
    </row>
    <row r="4826">
      <c r="A4826" s="926" t="n">
        <v>38475</v>
      </c>
      <c r="B4826" t="n">
        <v>7.7965</v>
      </c>
      <c r="C4826" t="n">
        <v>0.9431</v>
      </c>
    </row>
    <row r="4827">
      <c r="A4827" s="926" t="n">
        <v>38476</v>
      </c>
      <c r="B4827" t="n">
        <v>7.7925</v>
      </c>
      <c r="C4827" t="n">
        <v>0.9426</v>
      </c>
    </row>
    <row r="4828">
      <c r="A4828" s="926" t="n">
        <v>38477</v>
      </c>
      <c r="B4828" t="n">
        <v>7.7915</v>
      </c>
      <c r="C4828" t="n">
        <v>0.9425</v>
      </c>
    </row>
    <row r="4829">
      <c r="A4829" s="926" t="n">
        <v>38478</v>
      </c>
      <c r="B4829" t="n">
        <v>7.7925</v>
      </c>
      <c r="C4829" t="n">
        <v>0.9426</v>
      </c>
    </row>
    <row r="4830">
      <c r="A4830" s="926" t="n">
        <v>38479</v>
      </c>
      <c r="B4830" t="n">
        <v>7.7895</v>
      </c>
      <c r="C4830" t="n">
        <v>0.94285</v>
      </c>
    </row>
    <row r="4831">
      <c r="A4831" s="926" t="n">
        <v>38481</v>
      </c>
      <c r="B4831" t="n">
        <v>7.7955</v>
      </c>
      <c r="C4831" t="n">
        <v>0.9425</v>
      </c>
    </row>
    <row r="4832">
      <c r="A4832" s="926" t="n">
        <v>38482</v>
      </c>
      <c r="B4832" t="n">
        <v>7.7985</v>
      </c>
      <c r="C4832" t="n">
        <v>0.94285</v>
      </c>
    </row>
    <row r="4833">
      <c r="A4833" s="926" t="n">
        <v>38483</v>
      </c>
      <c r="B4833" t="n">
        <v>7.7985</v>
      </c>
      <c r="C4833" t="n">
        <v>0.94285</v>
      </c>
    </row>
    <row r="4834">
      <c r="A4834" s="926" t="n">
        <v>38484</v>
      </c>
      <c r="B4834" t="n">
        <v>7.7965</v>
      </c>
      <c r="C4834" t="n">
        <v>0.9426</v>
      </c>
    </row>
    <row r="4835">
      <c r="A4835" s="926" t="n">
        <v>38485</v>
      </c>
      <c r="B4835" t="n">
        <v>7.7995</v>
      </c>
      <c r="C4835" t="n">
        <v>0.9429999999999999</v>
      </c>
    </row>
    <row r="4836">
      <c r="A4836" s="926" t="n">
        <v>38486</v>
      </c>
      <c r="B4836" t="n">
        <v>7.798</v>
      </c>
      <c r="C4836" t="n">
        <v>0.94275</v>
      </c>
    </row>
    <row r="4837">
      <c r="A4837" s="926" t="n">
        <v>38489</v>
      </c>
      <c r="B4837" t="n">
        <v>7.7995</v>
      </c>
      <c r="C4837" t="n">
        <v>0.9429999999999999</v>
      </c>
    </row>
    <row r="4838">
      <c r="A4838" s="926" t="n">
        <v>38490</v>
      </c>
      <c r="B4838" t="n">
        <v>7.7995</v>
      </c>
      <c r="C4838" t="n">
        <v>0.9429999999999999</v>
      </c>
    </row>
    <row r="4839">
      <c r="A4839" s="926" t="n">
        <v>38491</v>
      </c>
      <c r="B4839" t="n">
        <v>7.7925</v>
      </c>
      <c r="C4839" t="n">
        <v>0.9421</v>
      </c>
    </row>
    <row r="4840">
      <c r="A4840" s="926" t="n">
        <v>38492</v>
      </c>
      <c r="B4840" t="n">
        <v>7.7915</v>
      </c>
      <c r="C4840" t="n">
        <v>0.9419999999999999</v>
      </c>
    </row>
    <row r="4841">
      <c r="A4841" s="926" t="n">
        <v>38493</v>
      </c>
      <c r="B4841" t="n">
        <v>7.7895</v>
      </c>
      <c r="C4841" t="n">
        <v>0.94295</v>
      </c>
    </row>
    <row r="4842">
      <c r="A4842" s="926" t="n">
        <v>38495</v>
      </c>
      <c r="B4842" t="n">
        <v>7.7885</v>
      </c>
      <c r="C4842" t="n">
        <v>0.94165</v>
      </c>
    </row>
    <row r="4843">
      <c r="A4843" s="926" t="n">
        <v>38496</v>
      </c>
      <c r="B4843" t="n">
        <v>7.7825</v>
      </c>
      <c r="C4843" t="n">
        <v>0.9417</v>
      </c>
    </row>
    <row r="4844">
      <c r="A4844" s="926" t="n">
        <v>38497</v>
      </c>
      <c r="B4844" t="n">
        <v>7.7805</v>
      </c>
      <c r="C4844" t="n">
        <v>0.94195</v>
      </c>
    </row>
    <row r="4845">
      <c r="A4845" s="926" t="n">
        <v>38498</v>
      </c>
      <c r="B4845" t="n">
        <v>7.7795</v>
      </c>
      <c r="C4845" t="n">
        <v>0.94135</v>
      </c>
    </row>
    <row r="4846">
      <c r="A4846" s="926" t="n">
        <v>38499</v>
      </c>
      <c r="B4846" t="n">
        <v>7.7785</v>
      </c>
      <c r="C4846" t="n">
        <v>0.94135</v>
      </c>
    </row>
    <row r="4847">
      <c r="A4847" s="926" t="n">
        <v>38500</v>
      </c>
      <c r="B4847" t="n">
        <v>7.7745</v>
      </c>
      <c r="C4847" t="n">
        <v>0.9409999999999999</v>
      </c>
    </row>
    <row r="4848">
      <c r="A4848" s="926" t="n">
        <v>38502</v>
      </c>
      <c r="B4848" t="n">
        <v>7.7785</v>
      </c>
      <c r="C4848" t="n">
        <v>0.9415</v>
      </c>
    </row>
    <row r="4849">
      <c r="A4849" s="926" t="n">
        <v>38503</v>
      </c>
      <c r="B4849" t="n">
        <v>7.7785</v>
      </c>
      <c r="C4849" t="n">
        <v>0.9416</v>
      </c>
    </row>
    <row r="4850">
      <c r="A4850" s="926" t="n">
        <v>38504</v>
      </c>
      <c r="B4850" t="n">
        <v>7.7825</v>
      </c>
      <c r="C4850" t="n">
        <v>0.9420500000000001</v>
      </c>
    </row>
    <row r="4851">
      <c r="A4851" s="926" t="n">
        <v>38505</v>
      </c>
      <c r="B4851" t="n">
        <v>7.7835</v>
      </c>
      <c r="C4851" t="n">
        <v>0.9423</v>
      </c>
    </row>
    <row r="4852">
      <c r="A4852" s="926" t="n">
        <v>38506</v>
      </c>
      <c r="B4852" t="n">
        <v>7.7825</v>
      </c>
      <c r="C4852" t="n">
        <v>0.9419</v>
      </c>
    </row>
    <row r="4853">
      <c r="A4853" s="926" t="n">
        <v>38507</v>
      </c>
      <c r="B4853" t="n">
        <v>7.7815</v>
      </c>
      <c r="C4853" t="n">
        <v>0.9411</v>
      </c>
    </row>
    <row r="4854">
      <c r="A4854" s="926" t="n">
        <v>38509</v>
      </c>
      <c r="B4854" t="n">
        <v>7.7815</v>
      </c>
      <c r="C4854" t="n">
        <v>0.9416</v>
      </c>
    </row>
    <row r="4855">
      <c r="A4855" s="926" t="n">
        <v>38510</v>
      </c>
      <c r="B4855" t="n">
        <v>7.7805</v>
      </c>
      <c r="C4855" t="n">
        <v>0.9415</v>
      </c>
    </row>
    <row r="4856">
      <c r="A4856" s="926" t="n">
        <v>38511</v>
      </c>
      <c r="B4856" t="n">
        <v>7.7815</v>
      </c>
      <c r="C4856" t="n">
        <v>0.9416</v>
      </c>
    </row>
    <row r="4857">
      <c r="A4857" s="926" t="n">
        <v>38512</v>
      </c>
      <c r="B4857" t="n">
        <v>7.7815</v>
      </c>
      <c r="C4857" t="n">
        <v>0.9416</v>
      </c>
    </row>
    <row r="4858">
      <c r="A4858" s="926" t="n">
        <v>38513</v>
      </c>
      <c r="B4858" t="n">
        <v>7.7795</v>
      </c>
      <c r="C4858" t="n">
        <v>0.94135</v>
      </c>
    </row>
    <row r="4859">
      <c r="A4859" s="926" t="n">
        <v>38516</v>
      </c>
      <c r="B4859" t="n">
        <v>7.7785</v>
      </c>
      <c r="C4859" t="n">
        <v>0.94125</v>
      </c>
    </row>
    <row r="4860">
      <c r="A4860" s="926" t="n">
        <v>38517</v>
      </c>
      <c r="B4860" t="n">
        <v>7.7755</v>
      </c>
      <c r="C4860" t="n">
        <v>0.9413</v>
      </c>
    </row>
    <row r="4861">
      <c r="A4861" s="926" t="n">
        <v>38518</v>
      </c>
      <c r="B4861" t="n">
        <v>7.7725</v>
      </c>
      <c r="C4861" t="n">
        <v>0.9409999999999999</v>
      </c>
    </row>
    <row r="4862">
      <c r="A4862" s="926" t="n">
        <v>38519</v>
      </c>
      <c r="B4862" t="n">
        <v>7.7765</v>
      </c>
      <c r="C4862" t="n">
        <v>0.9409999999999999</v>
      </c>
    </row>
    <row r="4863">
      <c r="A4863" s="926" t="n">
        <v>38520</v>
      </c>
      <c r="B4863" t="n">
        <v>7.7745</v>
      </c>
      <c r="C4863" t="n">
        <v>0.94075</v>
      </c>
    </row>
    <row r="4864">
      <c r="A4864" s="926" t="n">
        <v>38521</v>
      </c>
      <c r="B4864" t="n">
        <v>7.7725</v>
      </c>
      <c r="C4864" t="n">
        <v>0.94055</v>
      </c>
    </row>
    <row r="4865">
      <c r="A4865" s="926" t="n">
        <v>38523</v>
      </c>
      <c r="B4865" t="n">
        <v>7.7735</v>
      </c>
      <c r="C4865" t="n">
        <v>0.94065</v>
      </c>
    </row>
    <row r="4866">
      <c r="A4866" s="926" t="n">
        <v>38524</v>
      </c>
      <c r="B4866" t="n">
        <v>7.7735</v>
      </c>
      <c r="C4866" t="n">
        <v>0.94085</v>
      </c>
    </row>
    <row r="4867">
      <c r="A4867" s="926" t="n">
        <v>38525</v>
      </c>
      <c r="B4867" t="n">
        <v>7.7705</v>
      </c>
      <c r="C4867" t="n">
        <v>0.9405</v>
      </c>
    </row>
    <row r="4868">
      <c r="A4868" s="926" t="n">
        <v>38526</v>
      </c>
      <c r="B4868" t="n">
        <v>7.7695</v>
      </c>
      <c r="C4868" t="n">
        <v>0.94015</v>
      </c>
    </row>
    <row r="4869">
      <c r="A4869" s="926" t="n">
        <v>38527</v>
      </c>
      <c r="B4869" t="n">
        <v>7.7715</v>
      </c>
      <c r="C4869" t="n">
        <v>0.9404</v>
      </c>
    </row>
    <row r="4870">
      <c r="A4870" s="926" t="n">
        <v>38528</v>
      </c>
      <c r="B4870" t="n">
        <v>7.7715</v>
      </c>
      <c r="C4870" t="n">
        <v>0.9402</v>
      </c>
    </row>
    <row r="4871">
      <c r="A4871" s="926" t="n">
        <v>38530</v>
      </c>
      <c r="B4871" t="n">
        <v>7.7715</v>
      </c>
      <c r="C4871" t="n">
        <v>0.9404</v>
      </c>
    </row>
    <row r="4872">
      <c r="A4872" s="926" t="n">
        <v>38531</v>
      </c>
      <c r="B4872" t="n">
        <v>7.7705</v>
      </c>
      <c r="C4872" t="n">
        <v>0.9403</v>
      </c>
    </row>
    <row r="4873">
      <c r="A4873" s="926" t="n">
        <v>38532</v>
      </c>
      <c r="B4873" t="n">
        <v>7.7695</v>
      </c>
      <c r="C4873" t="n">
        <v>0.94015</v>
      </c>
    </row>
    <row r="4874">
      <c r="A4874" s="926" t="n">
        <v>38533</v>
      </c>
      <c r="B4874" t="n">
        <v>7.7715</v>
      </c>
      <c r="C4874" t="n">
        <v>0.9404</v>
      </c>
    </row>
    <row r="4875">
      <c r="A4875" s="926" t="n">
        <v>38535</v>
      </c>
      <c r="B4875" t="n">
        <v>7.7695</v>
      </c>
      <c r="C4875" t="n">
        <v>0.93935</v>
      </c>
    </row>
    <row r="4876">
      <c r="A4876" s="926" t="n">
        <v>38537</v>
      </c>
      <c r="B4876" t="n">
        <v>7.7735</v>
      </c>
      <c r="C4876" t="n">
        <v>0.94065</v>
      </c>
    </row>
    <row r="4877">
      <c r="A4877" s="926" t="n">
        <v>38538</v>
      </c>
      <c r="B4877" t="n">
        <v>7.7735</v>
      </c>
      <c r="C4877" t="n">
        <v>0.94065</v>
      </c>
    </row>
    <row r="4878">
      <c r="A4878" s="926" t="n">
        <v>38539</v>
      </c>
      <c r="B4878" t="n">
        <v>7.7745</v>
      </c>
      <c r="C4878" t="n">
        <v>0.94075</v>
      </c>
    </row>
    <row r="4879">
      <c r="A4879" s="926" t="n">
        <v>38540</v>
      </c>
      <c r="B4879" t="n">
        <v>7.7735</v>
      </c>
      <c r="C4879" t="n">
        <v>0.94065</v>
      </c>
    </row>
    <row r="4880">
      <c r="A4880" s="926" t="n">
        <v>38541</v>
      </c>
      <c r="B4880" t="n">
        <v>7.7745</v>
      </c>
      <c r="C4880" t="n">
        <v>0.94075</v>
      </c>
    </row>
    <row r="4881">
      <c r="A4881" s="926" t="n">
        <v>38542</v>
      </c>
      <c r="B4881" t="n">
        <v>7.7725</v>
      </c>
      <c r="C4881" t="n">
        <v>0.9397</v>
      </c>
    </row>
    <row r="4882">
      <c r="A4882" s="926" t="n">
        <v>38544</v>
      </c>
      <c r="B4882" t="n">
        <v>7.7775</v>
      </c>
      <c r="C4882" t="n">
        <v>0.9411</v>
      </c>
    </row>
    <row r="4883">
      <c r="A4883" s="926" t="n">
        <v>38545</v>
      </c>
      <c r="B4883" t="n">
        <v>7.7795</v>
      </c>
      <c r="C4883" t="n">
        <v>0.94135</v>
      </c>
    </row>
    <row r="4884">
      <c r="A4884" s="926" t="n">
        <v>38546</v>
      </c>
      <c r="B4884" t="n">
        <v>7.7775</v>
      </c>
      <c r="C4884" t="n">
        <v>0.9411</v>
      </c>
    </row>
    <row r="4885">
      <c r="A4885" s="926" t="n">
        <v>38547</v>
      </c>
      <c r="B4885" t="n">
        <v>7.7785</v>
      </c>
      <c r="C4885" t="n">
        <v>0.94125</v>
      </c>
    </row>
    <row r="4886">
      <c r="A4886" s="926" t="n">
        <v>38548</v>
      </c>
      <c r="B4886" t="n">
        <v>7.7775</v>
      </c>
      <c r="C4886" t="n">
        <v>0.9411</v>
      </c>
    </row>
    <row r="4887">
      <c r="A4887" s="926" t="n">
        <v>38549</v>
      </c>
      <c r="B4887" t="n">
        <v>7.7745</v>
      </c>
      <c r="C4887" t="n">
        <v>0.93995</v>
      </c>
    </row>
    <row r="4888">
      <c r="A4888" s="926" t="n">
        <v>38551</v>
      </c>
      <c r="B4888" t="n">
        <v>7.7755</v>
      </c>
      <c r="C4888" t="n">
        <v>0.9409</v>
      </c>
    </row>
    <row r="4889">
      <c r="A4889" s="926" t="n">
        <v>38552</v>
      </c>
      <c r="B4889" t="n">
        <v>7.7765</v>
      </c>
      <c r="C4889" t="n">
        <v>0.9409999999999999</v>
      </c>
    </row>
    <row r="4890">
      <c r="A4890" s="926" t="n">
        <v>38553</v>
      </c>
      <c r="B4890" t="n">
        <v>7.7785</v>
      </c>
      <c r="C4890" t="n">
        <v>0.94125</v>
      </c>
    </row>
    <row r="4891">
      <c r="A4891" s="926" t="n">
        <v>38554</v>
      </c>
      <c r="B4891" t="n">
        <v>7.7775</v>
      </c>
      <c r="C4891" t="n">
        <v>0.9411</v>
      </c>
    </row>
    <row r="4892">
      <c r="A4892" s="926" t="n">
        <v>38555</v>
      </c>
      <c r="B4892" t="n">
        <v>7.7705</v>
      </c>
      <c r="C4892" t="n">
        <v>0.95975</v>
      </c>
    </row>
    <row r="4893">
      <c r="A4893" s="926" t="n">
        <v>38556</v>
      </c>
      <c r="B4893" t="n">
        <v>7.7675</v>
      </c>
      <c r="C4893" t="n">
        <v>0.95955</v>
      </c>
    </row>
    <row r="4894">
      <c r="A4894" s="926" t="n">
        <v>38558</v>
      </c>
      <c r="B4894" t="n">
        <v>7.7755</v>
      </c>
      <c r="C4894" t="n">
        <v>0.95995</v>
      </c>
    </row>
    <row r="4895">
      <c r="A4895" s="926" t="n">
        <v>38559</v>
      </c>
      <c r="B4895" t="n">
        <v>7.7775</v>
      </c>
      <c r="C4895" t="n">
        <v>0.95995</v>
      </c>
    </row>
    <row r="4896">
      <c r="A4896" s="926" t="n">
        <v>38560</v>
      </c>
      <c r="B4896" t="n">
        <v>7.7775</v>
      </c>
      <c r="C4896" t="n">
        <v>0.96005</v>
      </c>
    </row>
    <row r="4897">
      <c r="A4897" s="926" t="n">
        <v>38561</v>
      </c>
      <c r="B4897" t="n">
        <v>7.7775</v>
      </c>
      <c r="C4897" t="n">
        <v>0.95975</v>
      </c>
    </row>
    <row r="4898">
      <c r="A4898" s="926" t="n">
        <v>38562</v>
      </c>
      <c r="B4898" t="n">
        <v>7.7735</v>
      </c>
      <c r="C4898" t="n">
        <v>0.9591</v>
      </c>
    </row>
    <row r="4899">
      <c r="A4899" s="926" t="n">
        <v>38563</v>
      </c>
      <c r="B4899" t="n">
        <v>7.773</v>
      </c>
      <c r="C4899" t="n">
        <v>0.95905</v>
      </c>
    </row>
    <row r="4900">
      <c r="A4900" s="926" t="n">
        <v>38565</v>
      </c>
      <c r="B4900" t="n">
        <v>7.7725</v>
      </c>
      <c r="C4900" t="n">
        <v>0.95945</v>
      </c>
    </row>
    <row r="4901">
      <c r="A4901" s="926" t="n">
        <v>38566</v>
      </c>
      <c r="B4901" t="n">
        <v>7.7715</v>
      </c>
      <c r="C4901" t="n">
        <v>0.95955</v>
      </c>
    </row>
    <row r="4902">
      <c r="A4902" s="926" t="n">
        <v>38567</v>
      </c>
      <c r="B4902" t="n">
        <v>7.7725</v>
      </c>
      <c r="C4902" t="n">
        <v>0.9597</v>
      </c>
    </row>
    <row r="4903">
      <c r="A4903" s="926" t="n">
        <v>38568</v>
      </c>
      <c r="B4903" t="n">
        <v>7.7715</v>
      </c>
      <c r="C4903" t="n">
        <v>0.9597</v>
      </c>
    </row>
    <row r="4904">
      <c r="A4904" s="926" t="n">
        <v>38569</v>
      </c>
      <c r="B4904" t="n">
        <v>7.7715</v>
      </c>
      <c r="C4904" t="n">
        <v>0.95955</v>
      </c>
    </row>
    <row r="4905">
      <c r="A4905" s="926" t="n">
        <v>38570</v>
      </c>
      <c r="B4905" t="n">
        <v>7.7705</v>
      </c>
      <c r="C4905" t="n">
        <v>0.95945</v>
      </c>
    </row>
    <row r="4906">
      <c r="A4906" s="926" t="n">
        <v>38572</v>
      </c>
      <c r="B4906" t="n">
        <v>7.7715</v>
      </c>
      <c r="C4906" t="n">
        <v>0.9597</v>
      </c>
    </row>
    <row r="4907">
      <c r="A4907" s="926" t="n">
        <v>38573</v>
      </c>
      <c r="B4907" t="n">
        <v>7.7725</v>
      </c>
      <c r="C4907" t="n">
        <v>0.95935</v>
      </c>
    </row>
    <row r="4908">
      <c r="A4908" s="926" t="n">
        <v>38574</v>
      </c>
      <c r="B4908" t="n">
        <v>7.7705</v>
      </c>
      <c r="C4908" t="n">
        <v>0.95885</v>
      </c>
    </row>
    <row r="4909">
      <c r="A4909" s="926" t="n">
        <v>38575</v>
      </c>
      <c r="B4909" t="n">
        <v>7.7715</v>
      </c>
      <c r="C4909" t="n">
        <v>0.9591</v>
      </c>
    </row>
    <row r="4910">
      <c r="A4910" s="926" t="n">
        <v>38576</v>
      </c>
      <c r="B4910" t="n">
        <v>7.7695</v>
      </c>
      <c r="C4910" t="n">
        <v>0.9598</v>
      </c>
    </row>
    <row r="4911">
      <c r="A4911" s="926" t="n">
        <v>38577</v>
      </c>
      <c r="B4911" t="n">
        <v>7.7675</v>
      </c>
      <c r="C4911" t="n">
        <v>0.95975</v>
      </c>
    </row>
    <row r="4912">
      <c r="A4912" s="926" t="n">
        <v>38579</v>
      </c>
      <c r="B4912" t="n">
        <v>7.7685</v>
      </c>
      <c r="C4912" t="n">
        <v>0.96005</v>
      </c>
    </row>
    <row r="4913">
      <c r="A4913" s="926" t="n">
        <v>38580</v>
      </c>
      <c r="B4913" t="n">
        <v>7.7695</v>
      </c>
      <c r="C4913" t="n">
        <v>0.9604</v>
      </c>
    </row>
    <row r="4914">
      <c r="A4914" s="926" t="n">
        <v>38581</v>
      </c>
      <c r="B4914" t="n">
        <v>7.7725</v>
      </c>
      <c r="C4914" t="n">
        <v>0.96065</v>
      </c>
    </row>
    <row r="4915">
      <c r="A4915" s="926" t="n">
        <v>38582</v>
      </c>
      <c r="B4915" t="n">
        <v>7.7705</v>
      </c>
      <c r="C4915" t="n">
        <v>0.9598</v>
      </c>
    </row>
    <row r="4916">
      <c r="A4916" s="926" t="n">
        <v>38583</v>
      </c>
      <c r="B4916" t="n">
        <v>7.7705</v>
      </c>
      <c r="C4916" t="n">
        <v>0.95995</v>
      </c>
    </row>
    <row r="4917">
      <c r="A4917" s="926" t="n">
        <v>38584</v>
      </c>
      <c r="B4917" t="n">
        <v>7.7695</v>
      </c>
      <c r="C4917" t="n">
        <v>0.95945</v>
      </c>
    </row>
    <row r="4918">
      <c r="A4918" s="926" t="n">
        <v>38586</v>
      </c>
      <c r="B4918" t="n">
        <v>7.7705</v>
      </c>
      <c r="C4918" t="n">
        <v>0.95945</v>
      </c>
    </row>
    <row r="4919">
      <c r="A4919" s="926" t="n">
        <v>38587</v>
      </c>
      <c r="B4919" t="n">
        <v>7.7725</v>
      </c>
      <c r="C4919" t="n">
        <v>0.9597</v>
      </c>
    </row>
    <row r="4920">
      <c r="A4920" s="926" t="n">
        <v>38588</v>
      </c>
      <c r="B4920" t="n">
        <v>7.7725</v>
      </c>
      <c r="C4920" t="n">
        <v>0.95955</v>
      </c>
    </row>
    <row r="4921">
      <c r="A4921" s="926" t="n">
        <v>38589</v>
      </c>
      <c r="B4921" t="n">
        <v>7.7715</v>
      </c>
      <c r="C4921" t="n">
        <v>0.95955</v>
      </c>
    </row>
    <row r="4922">
      <c r="A4922" s="926" t="n">
        <v>38590</v>
      </c>
      <c r="B4922" t="n">
        <v>7.7705</v>
      </c>
      <c r="C4922" t="n">
        <v>0.95995</v>
      </c>
    </row>
    <row r="4923">
      <c r="A4923" s="926" t="n">
        <v>38591</v>
      </c>
      <c r="B4923" t="n">
        <v>7.7665</v>
      </c>
      <c r="C4923" t="n">
        <v>0.96005</v>
      </c>
    </row>
    <row r="4924">
      <c r="A4924" s="926" t="n">
        <v>38593</v>
      </c>
      <c r="B4924" t="n">
        <v>7.7695</v>
      </c>
      <c r="C4924" t="n">
        <v>0.9604</v>
      </c>
    </row>
    <row r="4925">
      <c r="A4925" s="926" t="n">
        <v>38594</v>
      </c>
      <c r="B4925" t="n">
        <v>7.7705</v>
      </c>
      <c r="C4925" t="n">
        <v>0.96065</v>
      </c>
    </row>
    <row r="4926">
      <c r="A4926" s="926" t="n">
        <v>38595</v>
      </c>
      <c r="B4926" t="n">
        <v>7.7715</v>
      </c>
      <c r="C4926" t="n">
        <v>0.96075</v>
      </c>
    </row>
    <row r="4927">
      <c r="A4927" s="926" t="n">
        <v>38596</v>
      </c>
      <c r="B4927" t="n">
        <v>7.7725</v>
      </c>
      <c r="C4927" t="n">
        <v>0.96085</v>
      </c>
    </row>
    <row r="4928">
      <c r="A4928" s="926" t="n">
        <v>38597</v>
      </c>
      <c r="B4928" t="n">
        <v>7.7665</v>
      </c>
      <c r="C4928" t="n">
        <v>0.9601499999999999</v>
      </c>
    </row>
    <row r="4929">
      <c r="A4929" s="926" t="n">
        <v>38598</v>
      </c>
      <c r="B4929" t="n">
        <v>7.7655</v>
      </c>
      <c r="C4929" t="n">
        <v>0.96005</v>
      </c>
    </row>
    <row r="4930">
      <c r="A4930" s="926" t="n">
        <v>38600</v>
      </c>
      <c r="B4930" t="n">
        <v>7.7675</v>
      </c>
      <c r="C4930" t="n">
        <v>0.96025</v>
      </c>
    </row>
    <row r="4931">
      <c r="A4931" s="926" t="n">
        <v>38601</v>
      </c>
      <c r="B4931" t="n">
        <v>7.7675</v>
      </c>
      <c r="C4931" t="n">
        <v>0.96025</v>
      </c>
    </row>
    <row r="4932">
      <c r="A4932" s="926" t="n">
        <v>38602</v>
      </c>
      <c r="B4932" t="n">
        <v>7.7665</v>
      </c>
      <c r="C4932" t="n">
        <v>0.96035</v>
      </c>
    </row>
    <row r="4933">
      <c r="A4933" s="926" t="n">
        <v>38603</v>
      </c>
      <c r="B4933" t="n">
        <v>7.7665</v>
      </c>
      <c r="C4933" t="n">
        <v>0.9605</v>
      </c>
    </row>
    <row r="4934">
      <c r="A4934" s="926" t="n">
        <v>38604</v>
      </c>
      <c r="B4934" t="n">
        <v>7.7645</v>
      </c>
      <c r="C4934" t="n">
        <v>0.9601499999999999</v>
      </c>
    </row>
    <row r="4935">
      <c r="A4935" s="926" t="n">
        <v>38605</v>
      </c>
      <c r="B4935" t="n">
        <v>7.7605</v>
      </c>
      <c r="C4935" t="n">
        <v>0.95975</v>
      </c>
    </row>
    <row r="4936">
      <c r="A4936" s="926" t="n">
        <v>38607</v>
      </c>
      <c r="B4936" t="n">
        <v>7.7615</v>
      </c>
      <c r="C4936" t="n">
        <v>0.95985</v>
      </c>
    </row>
    <row r="4937">
      <c r="A4937" s="926" t="n">
        <v>38608</v>
      </c>
      <c r="B4937" t="n">
        <v>7.7615</v>
      </c>
      <c r="C4937" t="n">
        <v>0.95985</v>
      </c>
    </row>
    <row r="4938">
      <c r="A4938" s="926" t="n">
        <v>38609</v>
      </c>
      <c r="B4938" t="n">
        <v>7.7585</v>
      </c>
      <c r="C4938" t="n">
        <v>0.9595</v>
      </c>
    </row>
    <row r="4939">
      <c r="A4939" s="926" t="n">
        <v>38610</v>
      </c>
      <c r="B4939" t="n">
        <v>7.7595</v>
      </c>
      <c r="C4939" t="n">
        <v>0.95965</v>
      </c>
    </row>
    <row r="4940">
      <c r="A4940" s="926" t="n">
        <v>38611</v>
      </c>
      <c r="B4940" t="n">
        <v>7.7605</v>
      </c>
      <c r="C4940" t="n">
        <v>0.95975</v>
      </c>
    </row>
    <row r="4941">
      <c r="A4941" s="926" t="n">
        <v>38612</v>
      </c>
      <c r="B4941" t="n">
        <v>7.7585</v>
      </c>
      <c r="C4941" t="n">
        <v>0.96045</v>
      </c>
    </row>
    <row r="4942">
      <c r="A4942" s="926" t="n">
        <v>38615</v>
      </c>
      <c r="B4942" t="n">
        <v>7.7615</v>
      </c>
      <c r="C4942" t="n">
        <v>0.96025</v>
      </c>
    </row>
    <row r="4943">
      <c r="A4943" s="926" t="n">
        <v>38616</v>
      </c>
      <c r="B4943" t="n">
        <v>7.7615</v>
      </c>
      <c r="C4943" t="n">
        <v>0.96025</v>
      </c>
    </row>
    <row r="4944">
      <c r="A4944" s="926" t="n">
        <v>38617</v>
      </c>
      <c r="B4944" t="n">
        <v>7.7595</v>
      </c>
      <c r="C4944" t="n">
        <v>0.9595</v>
      </c>
    </row>
    <row r="4945">
      <c r="A4945" s="926" t="n">
        <v>38618</v>
      </c>
      <c r="B4945" t="n">
        <v>7.7585</v>
      </c>
      <c r="C4945" t="n">
        <v>0.95965</v>
      </c>
    </row>
    <row r="4946">
      <c r="A4946" s="926" t="n">
        <v>38619</v>
      </c>
      <c r="B4946" t="n">
        <v>7.7575</v>
      </c>
      <c r="C4946" t="n">
        <v>0.9595</v>
      </c>
    </row>
    <row r="4947">
      <c r="A4947" s="926" t="n">
        <v>38621</v>
      </c>
      <c r="B4947" t="n">
        <v>7.7585</v>
      </c>
      <c r="C4947" t="n">
        <v>0.95965</v>
      </c>
    </row>
    <row r="4948">
      <c r="A4948" s="926" t="n">
        <v>38622</v>
      </c>
      <c r="B4948" t="n">
        <v>7.7565</v>
      </c>
      <c r="C4948" t="n">
        <v>0.95935</v>
      </c>
    </row>
    <row r="4949">
      <c r="A4949" s="926" t="n">
        <v>38623</v>
      </c>
      <c r="B4949" t="n">
        <v>7.7585</v>
      </c>
      <c r="C4949" t="n">
        <v>0.95965</v>
      </c>
    </row>
    <row r="4950">
      <c r="A4950" s="926" t="n">
        <v>38624</v>
      </c>
      <c r="B4950" t="n">
        <v>7.7585</v>
      </c>
      <c r="C4950" t="n">
        <v>0.95965</v>
      </c>
    </row>
    <row r="4951">
      <c r="A4951" s="926" t="n">
        <v>38625</v>
      </c>
      <c r="B4951" t="n">
        <v>7.7575</v>
      </c>
      <c r="C4951" t="n">
        <v>0.9595</v>
      </c>
    </row>
    <row r="4952">
      <c r="A4952" s="926" t="n">
        <v>38628</v>
      </c>
      <c r="B4952" t="n">
        <v>7.7585</v>
      </c>
      <c r="C4952" t="n">
        <v>0.95965</v>
      </c>
    </row>
    <row r="4953">
      <c r="A4953" s="926" t="n">
        <v>38629</v>
      </c>
      <c r="B4953" t="n">
        <v>7.7565</v>
      </c>
      <c r="C4953" t="n">
        <v>0.95865</v>
      </c>
    </row>
    <row r="4954">
      <c r="A4954" s="926" t="n">
        <v>38630</v>
      </c>
      <c r="B4954" t="n">
        <v>7.7565</v>
      </c>
      <c r="C4954" t="n">
        <v>0.9582000000000001</v>
      </c>
    </row>
    <row r="4955">
      <c r="A4955" s="926" t="n">
        <v>38631</v>
      </c>
      <c r="B4955" t="n">
        <v>7.7565</v>
      </c>
      <c r="C4955" t="n">
        <v>0.95775</v>
      </c>
    </row>
    <row r="4956">
      <c r="A4956" s="926" t="n">
        <v>38632</v>
      </c>
      <c r="B4956" t="n">
        <v>7.7545</v>
      </c>
      <c r="C4956" t="n">
        <v>0.9576</v>
      </c>
    </row>
    <row r="4957">
      <c r="A4957" s="926" t="n">
        <v>38633</v>
      </c>
      <c r="B4957" t="n">
        <v>7.7515</v>
      </c>
      <c r="C4957" t="n">
        <v>0.9577</v>
      </c>
    </row>
    <row r="4958">
      <c r="A4958" s="926" t="n">
        <v>38635</v>
      </c>
      <c r="B4958" t="n">
        <v>7.7575</v>
      </c>
      <c r="C4958" t="n">
        <v>0.95805</v>
      </c>
    </row>
    <row r="4959">
      <c r="A4959" s="926" t="n">
        <v>38637</v>
      </c>
      <c r="B4959" t="n">
        <v>7.7585</v>
      </c>
      <c r="C4959" t="n">
        <v>0.9582000000000001</v>
      </c>
    </row>
    <row r="4960">
      <c r="A4960" s="926" t="n">
        <v>38638</v>
      </c>
      <c r="B4960" t="n">
        <v>7.7575</v>
      </c>
      <c r="C4960" t="n">
        <v>0.95805</v>
      </c>
    </row>
    <row r="4961">
      <c r="A4961" s="926" t="n">
        <v>38639</v>
      </c>
      <c r="B4961" t="n">
        <v>7.7565</v>
      </c>
      <c r="C4961" t="n">
        <v>0.95795</v>
      </c>
    </row>
    <row r="4962">
      <c r="A4962" s="926" t="n">
        <v>38640</v>
      </c>
      <c r="B4962" t="n">
        <v>7.7545</v>
      </c>
      <c r="C4962" t="n">
        <v>0.9577</v>
      </c>
    </row>
    <row r="4963">
      <c r="A4963" s="926" t="n">
        <v>38642</v>
      </c>
      <c r="B4963" t="n">
        <v>7.7565</v>
      </c>
      <c r="C4963" t="n">
        <v>0.95795</v>
      </c>
    </row>
    <row r="4964">
      <c r="A4964" s="926" t="n">
        <v>38643</v>
      </c>
      <c r="B4964" t="n">
        <v>7.7575</v>
      </c>
      <c r="C4964" t="n">
        <v>0.95865</v>
      </c>
    </row>
    <row r="4965">
      <c r="A4965" s="926" t="n">
        <v>38644</v>
      </c>
      <c r="B4965" t="n">
        <v>7.7605</v>
      </c>
      <c r="C4965" t="n">
        <v>0.95905</v>
      </c>
    </row>
    <row r="4966">
      <c r="A4966" s="926" t="n">
        <v>38645</v>
      </c>
      <c r="B4966" t="n">
        <v>7.7595</v>
      </c>
      <c r="C4966" t="n">
        <v>0.95895</v>
      </c>
    </row>
    <row r="4967">
      <c r="A4967" s="926" t="n">
        <v>38646</v>
      </c>
      <c r="B4967" t="n">
        <v>7.7565</v>
      </c>
      <c r="C4967" t="n">
        <v>0.95855</v>
      </c>
    </row>
    <row r="4968">
      <c r="A4968" s="926" t="n">
        <v>38647</v>
      </c>
      <c r="B4968" t="n">
        <v>7.7495</v>
      </c>
      <c r="C4968" t="n">
        <v>0.95795</v>
      </c>
    </row>
    <row r="4969">
      <c r="A4969" s="926" t="n">
        <v>38649</v>
      </c>
      <c r="B4969" t="n">
        <v>7.7565</v>
      </c>
      <c r="C4969" t="n">
        <v>0.95875</v>
      </c>
    </row>
    <row r="4970">
      <c r="A4970" s="926" t="n">
        <v>38650</v>
      </c>
      <c r="B4970" t="n">
        <v>7.7555</v>
      </c>
      <c r="C4970" t="n">
        <v>0.95865</v>
      </c>
    </row>
    <row r="4971">
      <c r="A4971" s="926" t="n">
        <v>38651</v>
      </c>
      <c r="B4971" t="n">
        <v>7.7535</v>
      </c>
      <c r="C4971" t="n">
        <v>0.95845</v>
      </c>
    </row>
    <row r="4972">
      <c r="A4972" s="926" t="n">
        <v>38652</v>
      </c>
      <c r="B4972" t="n">
        <v>7.7545</v>
      </c>
      <c r="C4972" t="n">
        <v>0.95855</v>
      </c>
    </row>
    <row r="4973">
      <c r="A4973" s="926" t="n">
        <v>38653</v>
      </c>
      <c r="B4973" t="n">
        <v>7.7525</v>
      </c>
      <c r="C4973" t="n">
        <v>0.95885</v>
      </c>
    </row>
    <row r="4974">
      <c r="A4974" s="926" t="n">
        <v>38654</v>
      </c>
      <c r="B4974" t="n">
        <v>7.752</v>
      </c>
      <c r="C4974" t="n">
        <v>0.9588</v>
      </c>
    </row>
    <row r="4975">
      <c r="A4975" s="926" t="n">
        <v>38656</v>
      </c>
      <c r="B4975" t="n">
        <v>7.7515</v>
      </c>
      <c r="C4975" t="n">
        <v>0.95875</v>
      </c>
    </row>
    <row r="4976">
      <c r="A4976" s="926" t="n">
        <v>38657</v>
      </c>
      <c r="B4976" t="n">
        <v>7.7515</v>
      </c>
      <c r="C4976" t="n">
        <v>0.9584</v>
      </c>
    </row>
    <row r="4977">
      <c r="A4977" s="926" t="n">
        <v>38658</v>
      </c>
      <c r="B4977" t="n">
        <v>7.7525</v>
      </c>
      <c r="C4977" t="n">
        <v>0.95855</v>
      </c>
    </row>
    <row r="4978">
      <c r="A4978" s="926" t="n">
        <v>38659</v>
      </c>
      <c r="B4978" t="n">
        <v>7.7535</v>
      </c>
      <c r="C4978" t="n">
        <v>0.95865</v>
      </c>
    </row>
    <row r="4979">
      <c r="A4979" s="926" t="n">
        <v>38660</v>
      </c>
      <c r="B4979" t="n">
        <v>7.7535</v>
      </c>
      <c r="C4979" t="n">
        <v>0.95855</v>
      </c>
    </row>
    <row r="4980">
      <c r="A4980" s="926" t="n">
        <v>38661</v>
      </c>
      <c r="B4980" t="n">
        <v>7.7515</v>
      </c>
      <c r="C4980" t="n">
        <v>0.95825</v>
      </c>
    </row>
    <row r="4981">
      <c r="A4981" s="926" t="n">
        <v>38663</v>
      </c>
      <c r="B4981" t="n">
        <v>7.7535</v>
      </c>
      <c r="C4981" t="n">
        <v>0.95855</v>
      </c>
    </row>
    <row r="4982">
      <c r="A4982" s="926" t="n">
        <v>38664</v>
      </c>
      <c r="B4982" t="n">
        <v>7.7545</v>
      </c>
      <c r="C4982" t="n">
        <v>0.9591499999999999</v>
      </c>
    </row>
    <row r="4983">
      <c r="A4983" s="926" t="n">
        <v>38665</v>
      </c>
      <c r="B4983" t="n">
        <v>7.7565</v>
      </c>
      <c r="C4983" t="n">
        <v>0.9589</v>
      </c>
    </row>
    <row r="4984">
      <c r="A4984" s="926" t="n">
        <v>38666</v>
      </c>
      <c r="B4984" t="n">
        <v>7.7565</v>
      </c>
      <c r="C4984" t="n">
        <v>0.9589</v>
      </c>
    </row>
    <row r="4985">
      <c r="A4985" s="926" t="n">
        <v>38667</v>
      </c>
      <c r="B4985" t="n">
        <v>7.7545</v>
      </c>
      <c r="C4985" t="n">
        <v>0.95865</v>
      </c>
    </row>
    <row r="4986">
      <c r="A4986" s="926" t="n">
        <v>38668</v>
      </c>
      <c r="B4986" t="n">
        <v>7.7525</v>
      </c>
      <c r="C4986" t="n">
        <v>0.9584</v>
      </c>
    </row>
    <row r="4987">
      <c r="A4987" s="926" t="n">
        <v>38670</v>
      </c>
      <c r="B4987" t="n">
        <v>7.7565</v>
      </c>
      <c r="C4987" t="n">
        <v>0.9589</v>
      </c>
    </row>
    <row r="4988">
      <c r="A4988" s="926" t="n">
        <v>38671</v>
      </c>
      <c r="B4988" t="n">
        <v>7.7575</v>
      </c>
      <c r="C4988" t="n">
        <v>0.95905</v>
      </c>
    </row>
    <row r="4989">
      <c r="A4989" s="926" t="n">
        <v>38672</v>
      </c>
      <c r="B4989" t="n">
        <v>7.7565</v>
      </c>
      <c r="C4989" t="n">
        <v>0.9589</v>
      </c>
    </row>
    <row r="4990">
      <c r="A4990" s="926" t="n">
        <v>38673</v>
      </c>
      <c r="B4990" t="n">
        <v>7.7545</v>
      </c>
      <c r="C4990" t="n">
        <v>0.95865</v>
      </c>
    </row>
    <row r="4991">
      <c r="A4991" s="926" t="n">
        <v>38674</v>
      </c>
      <c r="B4991" t="n">
        <v>7.7545</v>
      </c>
      <c r="C4991" t="n">
        <v>0.95865</v>
      </c>
    </row>
    <row r="4992">
      <c r="A4992" s="926" t="n">
        <v>38675</v>
      </c>
      <c r="B4992" t="n">
        <v>7.7525</v>
      </c>
      <c r="C4992" t="n">
        <v>0.9584</v>
      </c>
    </row>
    <row r="4993">
      <c r="A4993" s="926" t="n">
        <v>38677</v>
      </c>
      <c r="B4993" t="n">
        <v>7.7545</v>
      </c>
      <c r="C4993" t="n">
        <v>0.95865</v>
      </c>
    </row>
    <row r="4994">
      <c r="A4994" s="926" t="n">
        <v>38678</v>
      </c>
      <c r="B4994" t="n">
        <v>7.7535</v>
      </c>
      <c r="C4994" t="n">
        <v>0.95865</v>
      </c>
    </row>
    <row r="4995">
      <c r="A4995" s="926" t="n">
        <v>38679</v>
      </c>
      <c r="B4995" t="n">
        <v>7.7535</v>
      </c>
      <c r="C4995" t="n">
        <v>0.95865</v>
      </c>
    </row>
    <row r="4996">
      <c r="A4996" s="926" t="n">
        <v>38680</v>
      </c>
      <c r="B4996" t="n">
        <v>7.7535</v>
      </c>
      <c r="C4996" t="n">
        <v>0.95875</v>
      </c>
    </row>
    <row r="4997">
      <c r="A4997" s="926" t="n">
        <v>38681</v>
      </c>
      <c r="B4997" t="n">
        <v>7.7545</v>
      </c>
      <c r="C4997" t="n">
        <v>0.9589</v>
      </c>
    </row>
    <row r="4998">
      <c r="A4998" s="926" t="n">
        <v>38682</v>
      </c>
      <c r="B4998" t="n">
        <v>7.7525</v>
      </c>
      <c r="C4998" t="n">
        <v>0.95865</v>
      </c>
    </row>
    <row r="4999">
      <c r="A4999" s="926" t="n">
        <v>38684</v>
      </c>
      <c r="B4999" t="n">
        <v>7.7545</v>
      </c>
      <c r="C4999" t="n">
        <v>0.9589</v>
      </c>
    </row>
    <row r="5000">
      <c r="A5000" s="926" t="n">
        <v>38685</v>
      </c>
      <c r="B5000" t="n">
        <v>7.7535</v>
      </c>
      <c r="C5000" t="n">
        <v>0.95875</v>
      </c>
    </row>
    <row r="5001">
      <c r="A5001" s="926" t="n">
        <v>38686</v>
      </c>
      <c r="B5001" t="n">
        <v>7.7535</v>
      </c>
      <c r="C5001" t="n">
        <v>0.95875</v>
      </c>
    </row>
    <row r="5002">
      <c r="A5002" s="926" t="n">
        <v>38687</v>
      </c>
      <c r="B5002" t="n">
        <v>7.7555</v>
      </c>
      <c r="C5002" t="n">
        <v>0.95905</v>
      </c>
    </row>
    <row r="5003">
      <c r="A5003" s="926" t="n">
        <v>38688</v>
      </c>
      <c r="B5003" t="n">
        <v>7.7545</v>
      </c>
      <c r="C5003" t="n">
        <v>0.9591499999999999</v>
      </c>
    </row>
    <row r="5004">
      <c r="A5004" s="926" t="n">
        <v>38689</v>
      </c>
      <c r="B5004" t="n">
        <v>7.7535</v>
      </c>
      <c r="C5004" t="n">
        <v>0.959</v>
      </c>
    </row>
    <row r="5005">
      <c r="A5005" s="926" t="n">
        <v>38691</v>
      </c>
      <c r="B5005" t="n">
        <v>7.7545</v>
      </c>
      <c r="C5005" t="n">
        <v>0.9591499999999999</v>
      </c>
    </row>
    <row r="5006">
      <c r="A5006" s="926" t="n">
        <v>38692</v>
      </c>
      <c r="B5006" t="n">
        <v>7.7545</v>
      </c>
      <c r="C5006" t="n">
        <v>0.9591499999999999</v>
      </c>
    </row>
    <row r="5007">
      <c r="A5007" s="926" t="n">
        <v>38693</v>
      </c>
      <c r="B5007" t="n">
        <v>7.7545</v>
      </c>
      <c r="C5007" t="n">
        <v>0.95925</v>
      </c>
    </row>
    <row r="5008">
      <c r="A5008" s="926" t="n">
        <v>38694</v>
      </c>
      <c r="B5008" t="n">
        <v>7.7545</v>
      </c>
      <c r="C5008" t="n">
        <v>0.95935</v>
      </c>
    </row>
    <row r="5009">
      <c r="A5009" s="926" t="n">
        <v>38695</v>
      </c>
      <c r="B5009" t="n">
        <v>7.7545</v>
      </c>
      <c r="C5009" t="n">
        <v>0.95935</v>
      </c>
    </row>
    <row r="5010">
      <c r="A5010" s="926" t="n">
        <v>38696</v>
      </c>
      <c r="B5010" t="n">
        <v>7.7525</v>
      </c>
      <c r="C5010" t="n">
        <v>0.9591499999999999</v>
      </c>
    </row>
    <row r="5011">
      <c r="A5011" s="926" t="n">
        <v>38698</v>
      </c>
      <c r="B5011" t="n">
        <v>7.7535</v>
      </c>
      <c r="C5011" t="n">
        <v>0.95925</v>
      </c>
    </row>
    <row r="5012">
      <c r="A5012" s="926" t="n">
        <v>38699</v>
      </c>
      <c r="B5012" t="n">
        <v>7.7535</v>
      </c>
      <c r="C5012" t="n">
        <v>0.95935</v>
      </c>
    </row>
    <row r="5013">
      <c r="A5013" s="926" t="n">
        <v>38700</v>
      </c>
      <c r="B5013" t="n">
        <v>7.7535</v>
      </c>
      <c r="C5013" t="n">
        <v>0.95935</v>
      </c>
    </row>
    <row r="5014">
      <c r="A5014" s="926" t="n">
        <v>38701</v>
      </c>
      <c r="B5014" t="n">
        <v>7.7515</v>
      </c>
      <c r="C5014" t="n">
        <v>0.9591499999999999</v>
      </c>
    </row>
    <row r="5015">
      <c r="A5015" s="926" t="n">
        <v>38702</v>
      </c>
      <c r="B5015" t="n">
        <v>7.7515</v>
      </c>
      <c r="C5015" t="n">
        <v>0.95945</v>
      </c>
    </row>
    <row r="5016">
      <c r="A5016" s="926" t="n">
        <v>38703</v>
      </c>
      <c r="B5016" t="n">
        <v>7.7495</v>
      </c>
      <c r="C5016" t="n">
        <v>0.95925</v>
      </c>
    </row>
    <row r="5017">
      <c r="A5017" s="926" t="n">
        <v>38705</v>
      </c>
      <c r="B5017" t="n">
        <v>7.7525</v>
      </c>
      <c r="C5017" t="n">
        <v>0.9596</v>
      </c>
    </row>
    <row r="5018">
      <c r="A5018" s="926" t="n">
        <v>38706</v>
      </c>
      <c r="B5018" t="n">
        <v>7.7525</v>
      </c>
      <c r="C5018" t="n">
        <v>0.9596</v>
      </c>
    </row>
    <row r="5019">
      <c r="A5019" s="926" t="n">
        <v>38707</v>
      </c>
      <c r="B5019" t="n">
        <v>7.7525</v>
      </c>
      <c r="C5019" t="n">
        <v>0.9596</v>
      </c>
    </row>
    <row r="5020">
      <c r="A5020" s="926" t="n">
        <v>38708</v>
      </c>
      <c r="B5020" t="n">
        <v>7.7525</v>
      </c>
      <c r="C5020" t="n">
        <v>0.9596</v>
      </c>
    </row>
    <row r="5021">
      <c r="A5021" s="926" t="n">
        <v>38709</v>
      </c>
      <c r="B5021" t="n">
        <v>7.7535</v>
      </c>
      <c r="C5021" t="n">
        <v>0.95975</v>
      </c>
    </row>
    <row r="5022">
      <c r="A5022" s="926" t="n">
        <v>38710</v>
      </c>
      <c r="B5022" t="n">
        <v>7.7505</v>
      </c>
      <c r="C5022" t="n">
        <v>0.95935</v>
      </c>
    </row>
    <row r="5023">
      <c r="A5023" s="926" t="n">
        <v>38714</v>
      </c>
      <c r="B5023" t="n">
        <v>7.7535</v>
      </c>
      <c r="C5023" t="n">
        <v>0.95975</v>
      </c>
    </row>
    <row r="5024">
      <c r="A5024" s="926" t="n">
        <v>38715</v>
      </c>
      <c r="B5024" t="n">
        <v>7.7535</v>
      </c>
      <c r="C5024" t="n">
        <v>0.95975</v>
      </c>
    </row>
    <row r="5025">
      <c r="A5025" s="926" t="n">
        <v>38716</v>
      </c>
      <c r="B5025" t="n">
        <v>7.7525</v>
      </c>
      <c r="C5025" t="n">
        <v>0.96005</v>
      </c>
    </row>
    <row r="5026">
      <c r="A5026" s="926" t="n">
        <v>38717</v>
      </c>
      <c r="B5026" t="n">
        <v>7.7525</v>
      </c>
      <c r="C5026" t="n">
        <v>0.96005</v>
      </c>
    </row>
    <row r="5027">
      <c r="A5027" s="926" t="n">
        <v>38720</v>
      </c>
      <c r="B5027" t="n">
        <v>7.7545</v>
      </c>
      <c r="C5027" t="n">
        <v>0.96035</v>
      </c>
    </row>
    <row r="5028">
      <c r="A5028" s="926" t="n">
        <v>38721</v>
      </c>
      <c r="B5028" t="n">
        <v>7.7545</v>
      </c>
      <c r="C5028" t="n">
        <v>0.96035</v>
      </c>
    </row>
    <row r="5029">
      <c r="A5029" s="926" t="n">
        <v>38722</v>
      </c>
      <c r="B5029" t="n">
        <v>7.7535</v>
      </c>
      <c r="C5029" t="n">
        <v>0.9602000000000001</v>
      </c>
    </row>
    <row r="5030">
      <c r="A5030" s="926" t="n">
        <v>38723</v>
      </c>
      <c r="B5030" t="n">
        <v>7.7535</v>
      </c>
      <c r="C5030" t="n">
        <v>0.9602000000000001</v>
      </c>
    </row>
    <row r="5031">
      <c r="A5031" s="926" t="n">
        <v>38724</v>
      </c>
      <c r="B5031" t="n">
        <v>7.7515</v>
      </c>
      <c r="C5031" t="n">
        <v>0.95995</v>
      </c>
    </row>
    <row r="5032">
      <c r="A5032" s="926" t="n">
        <v>38726</v>
      </c>
      <c r="B5032" t="n">
        <v>7.7525</v>
      </c>
      <c r="C5032" t="n">
        <v>0.96005</v>
      </c>
    </row>
    <row r="5033">
      <c r="A5033" s="926" t="n">
        <v>38727</v>
      </c>
      <c r="B5033" t="n">
        <v>7.7515</v>
      </c>
      <c r="C5033" t="n">
        <v>0.95995</v>
      </c>
    </row>
    <row r="5034">
      <c r="A5034" s="926" t="n">
        <v>38728</v>
      </c>
      <c r="B5034" t="n">
        <v>7.7515</v>
      </c>
      <c r="C5034" t="n">
        <v>0.95995</v>
      </c>
    </row>
    <row r="5035">
      <c r="A5035" s="926" t="n">
        <v>38729</v>
      </c>
      <c r="B5035" t="n">
        <v>7.7505</v>
      </c>
      <c r="C5035" t="n">
        <v>0.95985</v>
      </c>
    </row>
    <row r="5036">
      <c r="A5036" s="926" t="n">
        <v>38730</v>
      </c>
      <c r="B5036" t="n">
        <v>7.7515</v>
      </c>
      <c r="C5036" t="n">
        <v>0.95995</v>
      </c>
    </row>
    <row r="5037">
      <c r="A5037" s="926" t="n">
        <v>38731</v>
      </c>
      <c r="B5037" t="n">
        <v>7.7495</v>
      </c>
      <c r="C5037" t="n">
        <v>0.9597</v>
      </c>
    </row>
    <row r="5038">
      <c r="A5038" s="926" t="n">
        <v>38733</v>
      </c>
      <c r="B5038" t="n">
        <v>7.7525</v>
      </c>
      <c r="C5038" t="n">
        <v>0.96005</v>
      </c>
    </row>
    <row r="5039">
      <c r="A5039" s="926" t="n">
        <v>38734</v>
      </c>
      <c r="B5039" t="n">
        <v>7.7535</v>
      </c>
      <c r="C5039" t="n">
        <v>0.9602000000000001</v>
      </c>
    </row>
    <row r="5040">
      <c r="A5040" s="926" t="n">
        <v>38735</v>
      </c>
      <c r="B5040" t="n">
        <v>7.7535</v>
      </c>
      <c r="C5040" t="n">
        <v>0.9602000000000001</v>
      </c>
    </row>
    <row r="5041">
      <c r="A5041" s="926" t="n">
        <v>38736</v>
      </c>
      <c r="B5041" t="n">
        <v>7.7535</v>
      </c>
      <c r="C5041" t="n">
        <v>0.9602000000000001</v>
      </c>
    </row>
    <row r="5042">
      <c r="A5042" s="926" t="n">
        <v>38737</v>
      </c>
      <c r="B5042" t="n">
        <v>7.7565</v>
      </c>
      <c r="C5042" t="n">
        <v>0.96055</v>
      </c>
    </row>
    <row r="5043">
      <c r="A5043" s="926" t="n">
        <v>38738</v>
      </c>
      <c r="B5043" t="n">
        <v>7.7525</v>
      </c>
      <c r="C5043" t="n">
        <v>0.96005</v>
      </c>
    </row>
    <row r="5044">
      <c r="A5044" s="926" t="n">
        <v>38740</v>
      </c>
      <c r="B5044" t="n">
        <v>7.7535</v>
      </c>
      <c r="C5044" t="n">
        <v>0.9602000000000001</v>
      </c>
    </row>
    <row r="5045">
      <c r="A5045" s="926" t="n">
        <v>38741</v>
      </c>
      <c r="B5045" t="n">
        <v>7.7555</v>
      </c>
      <c r="C5045" t="n">
        <v>0.96045</v>
      </c>
    </row>
    <row r="5046">
      <c r="A5046" s="926" t="n">
        <v>38742</v>
      </c>
      <c r="B5046" t="n">
        <v>7.7565</v>
      </c>
      <c r="C5046" t="n">
        <v>0.9605</v>
      </c>
    </row>
    <row r="5047">
      <c r="A5047" s="926" t="n">
        <v>38743</v>
      </c>
      <c r="B5047" t="n">
        <v>7.7565</v>
      </c>
      <c r="C5047" t="n">
        <v>0.96055</v>
      </c>
    </row>
    <row r="5048">
      <c r="A5048" s="926" t="n">
        <v>38744</v>
      </c>
      <c r="B5048" t="n">
        <v>7.7555</v>
      </c>
      <c r="C5048" t="n">
        <v>0.96045</v>
      </c>
    </row>
    <row r="5049">
      <c r="A5049" s="926" t="n">
        <v>38749</v>
      </c>
      <c r="B5049" t="n">
        <v>7.7565</v>
      </c>
      <c r="C5049" t="n">
        <v>0.96055</v>
      </c>
    </row>
    <row r="5050">
      <c r="A5050" s="926" t="n">
        <v>38750</v>
      </c>
      <c r="B5050" t="n">
        <v>7.7575</v>
      </c>
      <c r="C5050" t="n">
        <v>0.96065</v>
      </c>
    </row>
    <row r="5051">
      <c r="A5051" s="926" t="n">
        <v>38751</v>
      </c>
      <c r="B5051" t="n">
        <v>7.7575</v>
      </c>
      <c r="C5051" t="n">
        <v>0.96065</v>
      </c>
    </row>
    <row r="5052">
      <c r="A5052" s="926" t="n">
        <v>38752</v>
      </c>
      <c r="B5052" t="n">
        <v>7.7545</v>
      </c>
      <c r="C5052" t="n">
        <v>0.96035</v>
      </c>
    </row>
    <row r="5053">
      <c r="A5053" s="926" t="n">
        <v>38754</v>
      </c>
      <c r="B5053" t="n">
        <v>7.7575</v>
      </c>
      <c r="C5053" t="n">
        <v>0.96065</v>
      </c>
    </row>
    <row r="5054">
      <c r="A5054" s="926" t="n">
        <v>38755</v>
      </c>
      <c r="B5054" t="n">
        <v>7.7595</v>
      </c>
      <c r="C5054" t="n">
        <v>0.96095</v>
      </c>
    </row>
    <row r="5055">
      <c r="A5055" s="926" t="n">
        <v>38756</v>
      </c>
      <c r="B5055" t="n">
        <v>7.7615</v>
      </c>
      <c r="C5055" t="n">
        <v>0.9611499999999999</v>
      </c>
    </row>
    <row r="5056">
      <c r="A5056" s="926" t="n">
        <v>38757</v>
      </c>
      <c r="B5056" t="n">
        <v>7.7625</v>
      </c>
      <c r="C5056" t="n">
        <v>0.9613</v>
      </c>
    </row>
    <row r="5057">
      <c r="A5057" s="926" t="n">
        <v>38758</v>
      </c>
      <c r="B5057" t="n">
        <v>7.7595</v>
      </c>
      <c r="C5057" t="n">
        <v>0.96095</v>
      </c>
    </row>
    <row r="5058">
      <c r="A5058" s="926" t="n">
        <v>38759</v>
      </c>
      <c r="B5058" t="n">
        <v>7.7575</v>
      </c>
      <c r="C5058" t="n">
        <v>0.96065</v>
      </c>
    </row>
    <row r="5059">
      <c r="A5059" s="926" t="n">
        <v>38761</v>
      </c>
      <c r="B5059" t="n">
        <v>7.7605</v>
      </c>
      <c r="C5059" t="n">
        <v>0.96105</v>
      </c>
    </row>
    <row r="5060">
      <c r="A5060" s="926" t="n">
        <v>38762</v>
      </c>
      <c r="B5060" t="n">
        <v>7.7605</v>
      </c>
      <c r="C5060" t="n">
        <v>0.96105</v>
      </c>
    </row>
    <row r="5061">
      <c r="A5061" s="926" t="n">
        <v>38763</v>
      </c>
      <c r="B5061" t="n">
        <v>7.7625</v>
      </c>
      <c r="C5061" t="n">
        <v>0.9613</v>
      </c>
    </row>
    <row r="5062">
      <c r="A5062" s="926" t="n">
        <v>38764</v>
      </c>
      <c r="B5062" t="n">
        <v>7.7605</v>
      </c>
      <c r="C5062" t="n">
        <v>0.96105</v>
      </c>
    </row>
    <row r="5063">
      <c r="A5063" s="926" t="n">
        <v>38765</v>
      </c>
      <c r="B5063" t="n">
        <v>7.7605</v>
      </c>
      <c r="C5063" t="n">
        <v>0.96105</v>
      </c>
    </row>
    <row r="5064">
      <c r="A5064" s="926" t="n">
        <v>38766</v>
      </c>
      <c r="B5064" t="n">
        <v>7.7575</v>
      </c>
      <c r="C5064" t="n">
        <v>0.96065</v>
      </c>
    </row>
    <row r="5065">
      <c r="A5065" s="926" t="n">
        <v>38768</v>
      </c>
      <c r="B5065" t="n">
        <v>7.7605</v>
      </c>
      <c r="C5065" t="n">
        <v>0.96105</v>
      </c>
    </row>
    <row r="5066">
      <c r="A5066" s="926" t="n">
        <v>38769</v>
      </c>
      <c r="B5066" t="n">
        <v>7.7615</v>
      </c>
      <c r="C5066" t="n">
        <v>0.9611499999999999</v>
      </c>
    </row>
    <row r="5067">
      <c r="A5067" s="926" t="n">
        <v>38770</v>
      </c>
      <c r="B5067" t="n">
        <v>7.7615</v>
      </c>
      <c r="C5067" t="n">
        <v>0.9611499999999999</v>
      </c>
    </row>
    <row r="5068">
      <c r="A5068" s="926" t="n">
        <v>38771</v>
      </c>
      <c r="B5068" t="n">
        <v>7.7605</v>
      </c>
      <c r="C5068" t="n">
        <v>0.96105</v>
      </c>
    </row>
    <row r="5069">
      <c r="A5069" s="926" t="n">
        <v>38772</v>
      </c>
      <c r="B5069" t="n">
        <v>7.7605</v>
      </c>
      <c r="C5069" t="n">
        <v>0.96105</v>
      </c>
    </row>
    <row r="5070">
      <c r="A5070" s="926" t="n">
        <v>38773</v>
      </c>
      <c r="B5070" t="n">
        <v>7.7565</v>
      </c>
      <c r="C5070" t="n">
        <v>0.96055</v>
      </c>
    </row>
    <row r="5071">
      <c r="A5071" s="926" t="n">
        <v>38775</v>
      </c>
      <c r="B5071" t="n">
        <v>7.7585</v>
      </c>
      <c r="C5071" t="n">
        <v>0.96085</v>
      </c>
    </row>
    <row r="5072">
      <c r="A5072" s="926" t="n">
        <v>38776</v>
      </c>
      <c r="B5072" t="n">
        <v>7.7585</v>
      </c>
      <c r="C5072" t="n">
        <v>0.96085</v>
      </c>
    </row>
    <row r="5073">
      <c r="A5073" s="926" t="n">
        <v>38777</v>
      </c>
      <c r="B5073" t="n">
        <v>7.7575</v>
      </c>
      <c r="C5073" t="n">
        <v>0.96065</v>
      </c>
    </row>
    <row r="5074">
      <c r="A5074" s="926" t="n">
        <v>38778</v>
      </c>
      <c r="B5074" t="n">
        <v>7.7575</v>
      </c>
      <c r="C5074" t="n">
        <v>0.96305</v>
      </c>
    </row>
    <row r="5075">
      <c r="A5075" s="926" t="n">
        <v>38779</v>
      </c>
      <c r="B5075" t="n">
        <v>7.7585</v>
      </c>
      <c r="C5075" t="n">
        <v>0.96345</v>
      </c>
    </row>
    <row r="5076">
      <c r="A5076" s="926" t="n">
        <v>38780</v>
      </c>
      <c r="B5076" t="n">
        <v>7.7565</v>
      </c>
      <c r="C5076" t="n">
        <v>0.96315</v>
      </c>
    </row>
    <row r="5077">
      <c r="A5077" s="926" t="n">
        <v>38782</v>
      </c>
      <c r="B5077" t="n">
        <v>7.7595</v>
      </c>
      <c r="C5077" t="n">
        <v>0.96355</v>
      </c>
    </row>
    <row r="5078">
      <c r="A5078" s="926" t="n">
        <v>38783</v>
      </c>
      <c r="B5078" t="n">
        <v>7.7605</v>
      </c>
      <c r="C5078" t="n">
        <v>0.9638</v>
      </c>
    </row>
    <row r="5079">
      <c r="A5079" s="926" t="n">
        <v>38784</v>
      </c>
      <c r="B5079" t="n">
        <v>7.7615</v>
      </c>
      <c r="C5079" t="n">
        <v>0.96405</v>
      </c>
    </row>
    <row r="5080">
      <c r="A5080" s="926" t="n">
        <v>38785</v>
      </c>
      <c r="B5080" t="n">
        <v>7.7615</v>
      </c>
      <c r="C5080" t="n">
        <v>0.96405</v>
      </c>
    </row>
    <row r="5081">
      <c r="A5081" s="926" t="n">
        <v>38786</v>
      </c>
      <c r="B5081" t="n">
        <v>7.7625</v>
      </c>
      <c r="C5081" t="n">
        <v>0.96415</v>
      </c>
    </row>
    <row r="5082">
      <c r="A5082" s="926" t="n">
        <v>38787</v>
      </c>
      <c r="B5082" t="n">
        <v>7.7615</v>
      </c>
      <c r="C5082" t="n">
        <v>0.96365</v>
      </c>
    </row>
    <row r="5083">
      <c r="A5083" s="926" t="n">
        <v>38789</v>
      </c>
      <c r="B5083" t="n">
        <v>7.7615</v>
      </c>
      <c r="C5083" t="n">
        <v>0.96365</v>
      </c>
    </row>
    <row r="5084">
      <c r="A5084" s="926" t="n">
        <v>38790</v>
      </c>
      <c r="B5084" t="n">
        <v>7.7585</v>
      </c>
      <c r="C5084" t="n">
        <v>0.96365</v>
      </c>
    </row>
    <row r="5085">
      <c r="A5085" s="926" t="n">
        <v>38791</v>
      </c>
      <c r="B5085" t="n">
        <v>7.7595</v>
      </c>
      <c r="C5085" t="n">
        <v>0.9638</v>
      </c>
    </row>
    <row r="5086">
      <c r="A5086" s="926" t="n">
        <v>38792</v>
      </c>
      <c r="B5086" t="n">
        <v>7.7595</v>
      </c>
      <c r="C5086" t="n">
        <v>0.9638</v>
      </c>
    </row>
    <row r="5087">
      <c r="A5087" s="926" t="n">
        <v>38793</v>
      </c>
      <c r="B5087" t="n">
        <v>7.7585</v>
      </c>
      <c r="C5087" t="n">
        <v>0.96365</v>
      </c>
    </row>
    <row r="5088">
      <c r="A5088" s="926" t="n">
        <v>38794</v>
      </c>
      <c r="B5088" t="n">
        <v>7.7555</v>
      </c>
      <c r="C5088" t="n">
        <v>0.9633</v>
      </c>
    </row>
    <row r="5089">
      <c r="A5089" s="926" t="n">
        <v>38796</v>
      </c>
      <c r="B5089" t="n">
        <v>7.7585</v>
      </c>
      <c r="C5089" t="n">
        <v>0.96365</v>
      </c>
    </row>
    <row r="5090">
      <c r="A5090" s="926" t="n">
        <v>38797</v>
      </c>
      <c r="B5090" t="n">
        <v>7.7595</v>
      </c>
      <c r="C5090" t="n">
        <v>0.96535</v>
      </c>
    </row>
    <row r="5091">
      <c r="A5091" s="926" t="n">
        <v>38798</v>
      </c>
      <c r="B5091" t="n">
        <v>7.7605</v>
      </c>
      <c r="C5091" t="n">
        <v>0.96545</v>
      </c>
    </row>
    <row r="5092">
      <c r="A5092" s="926" t="n">
        <v>38799</v>
      </c>
      <c r="B5092" t="n">
        <v>7.7595</v>
      </c>
      <c r="C5092" t="n">
        <v>0.96595</v>
      </c>
    </row>
    <row r="5093">
      <c r="A5093" s="926" t="n">
        <v>38800</v>
      </c>
      <c r="B5093" t="n">
        <v>7.7595</v>
      </c>
      <c r="C5093" t="n">
        <v>0.96595</v>
      </c>
    </row>
    <row r="5094">
      <c r="A5094" s="926" t="n">
        <v>38801</v>
      </c>
      <c r="B5094" t="n">
        <v>7.7565</v>
      </c>
      <c r="C5094" t="n">
        <v>0.96585</v>
      </c>
    </row>
    <row r="5095">
      <c r="A5095" s="926" t="n">
        <v>38803</v>
      </c>
      <c r="B5095" t="n">
        <v>7.7595</v>
      </c>
      <c r="C5095" t="n">
        <v>0.96595</v>
      </c>
    </row>
    <row r="5096">
      <c r="A5096" s="926" t="n">
        <v>38804</v>
      </c>
      <c r="B5096" t="n">
        <v>7.7605</v>
      </c>
      <c r="C5096" t="n">
        <v>0.96605</v>
      </c>
    </row>
    <row r="5097">
      <c r="A5097" s="926" t="n">
        <v>38805</v>
      </c>
      <c r="B5097" t="n">
        <v>7.7605</v>
      </c>
      <c r="C5097" t="n">
        <v>0.96605</v>
      </c>
    </row>
    <row r="5098">
      <c r="A5098" s="926" t="n">
        <v>38806</v>
      </c>
      <c r="B5098" t="n">
        <v>7.7605</v>
      </c>
      <c r="C5098" t="n">
        <v>0.96605</v>
      </c>
    </row>
    <row r="5099">
      <c r="A5099" s="926" t="n">
        <v>38807</v>
      </c>
      <c r="B5099" t="n">
        <v>7.7595</v>
      </c>
      <c r="C5099" t="n">
        <v>0.96595</v>
      </c>
    </row>
    <row r="5100">
      <c r="A5100" s="926" t="n">
        <v>38808</v>
      </c>
      <c r="B5100" t="n">
        <v>7.7575</v>
      </c>
      <c r="C5100" t="n">
        <v>0.96575</v>
      </c>
    </row>
    <row r="5101">
      <c r="A5101" s="926" t="n">
        <v>38810</v>
      </c>
      <c r="B5101" t="n">
        <v>7.7595</v>
      </c>
      <c r="C5101" t="n">
        <v>0.96695</v>
      </c>
    </row>
    <row r="5102">
      <c r="A5102" s="926" t="n">
        <v>38811</v>
      </c>
      <c r="B5102" t="n">
        <v>7.7595</v>
      </c>
      <c r="C5102" t="n">
        <v>0.96695</v>
      </c>
    </row>
    <row r="5103">
      <c r="A5103" s="926" t="n">
        <v>38813</v>
      </c>
      <c r="B5103" t="n">
        <v>7.7595</v>
      </c>
      <c r="C5103" t="n">
        <v>0.96695</v>
      </c>
    </row>
    <row r="5104">
      <c r="A5104" s="926" t="n">
        <v>38814</v>
      </c>
      <c r="B5104" t="n">
        <v>7.7575</v>
      </c>
      <c r="C5104" t="n">
        <v>0.9672500000000001</v>
      </c>
    </row>
    <row r="5105">
      <c r="A5105" s="926" t="n">
        <v>38815</v>
      </c>
      <c r="B5105" t="n">
        <v>7.7535</v>
      </c>
      <c r="C5105" t="n">
        <v>0.96715</v>
      </c>
    </row>
    <row r="5106">
      <c r="A5106" s="926" t="n">
        <v>38817</v>
      </c>
      <c r="B5106" t="n">
        <v>7.7565</v>
      </c>
      <c r="C5106" t="n">
        <v>0.96755</v>
      </c>
    </row>
    <row r="5107">
      <c r="A5107" s="926" t="n">
        <v>38818</v>
      </c>
      <c r="B5107" t="n">
        <v>7.7585</v>
      </c>
      <c r="C5107" t="n">
        <v>0.96805</v>
      </c>
    </row>
    <row r="5108">
      <c r="A5108" s="926" t="n">
        <v>38819</v>
      </c>
      <c r="B5108" t="n">
        <v>7.7575</v>
      </c>
      <c r="C5108" t="n">
        <v>0.96905</v>
      </c>
    </row>
    <row r="5109">
      <c r="A5109" s="926" t="n">
        <v>38820</v>
      </c>
      <c r="B5109" t="n">
        <v>7.7585</v>
      </c>
      <c r="C5109" t="n">
        <v>0.9692499999999999</v>
      </c>
    </row>
    <row r="5110">
      <c r="A5110" s="926" t="n">
        <v>38825</v>
      </c>
      <c r="B5110" t="n">
        <v>7.7575</v>
      </c>
      <c r="C5110" t="n">
        <v>0.96905</v>
      </c>
    </row>
    <row r="5111">
      <c r="A5111" s="926" t="n">
        <v>38826</v>
      </c>
      <c r="B5111" t="n">
        <v>7.7555</v>
      </c>
      <c r="C5111" t="n">
        <v>0.96885</v>
      </c>
    </row>
    <row r="5112">
      <c r="A5112" s="926" t="n">
        <v>38827</v>
      </c>
      <c r="B5112" t="n">
        <v>7.7545</v>
      </c>
      <c r="C5112" t="n">
        <v>0.96875</v>
      </c>
    </row>
    <row r="5113">
      <c r="A5113" s="926" t="n">
        <v>38828</v>
      </c>
      <c r="B5113" t="n">
        <v>7.7555</v>
      </c>
      <c r="C5113" t="n">
        <v>0.9682500000000001</v>
      </c>
    </row>
    <row r="5114">
      <c r="A5114" s="926" t="n">
        <v>38829</v>
      </c>
      <c r="B5114" t="n">
        <v>7.7525</v>
      </c>
      <c r="C5114" t="n">
        <v>0.96785</v>
      </c>
    </row>
    <row r="5115">
      <c r="A5115" s="926" t="n">
        <v>38831</v>
      </c>
      <c r="B5115" t="n">
        <v>7.7545</v>
      </c>
      <c r="C5115" t="n">
        <v>0.96815</v>
      </c>
    </row>
    <row r="5116">
      <c r="A5116" s="926" t="n">
        <v>38832</v>
      </c>
      <c r="B5116" t="n">
        <v>7.7525</v>
      </c>
      <c r="C5116" t="n">
        <v>0.96785</v>
      </c>
    </row>
    <row r="5117">
      <c r="A5117" s="926" t="n">
        <v>38833</v>
      </c>
      <c r="B5117" t="n">
        <v>7.7555</v>
      </c>
      <c r="C5117" t="n">
        <v>0.9682500000000001</v>
      </c>
    </row>
    <row r="5118">
      <c r="A5118" s="926" t="n">
        <v>38834</v>
      </c>
      <c r="B5118" t="n">
        <v>7.7545</v>
      </c>
      <c r="C5118" t="n">
        <v>0.96815</v>
      </c>
    </row>
    <row r="5119">
      <c r="A5119" s="926" t="n">
        <v>38835</v>
      </c>
      <c r="B5119" t="n">
        <v>7.7545</v>
      </c>
      <c r="C5119" t="n">
        <v>0.96845</v>
      </c>
    </row>
    <row r="5120">
      <c r="A5120" s="926" t="n">
        <v>38836</v>
      </c>
      <c r="B5120" t="n">
        <v>7.7515</v>
      </c>
      <c r="C5120" t="n">
        <v>0.96775</v>
      </c>
    </row>
    <row r="5121">
      <c r="A5121" s="926" t="n">
        <v>38839</v>
      </c>
      <c r="B5121" t="n">
        <v>7.7545</v>
      </c>
      <c r="C5121" t="n">
        <v>0.96845</v>
      </c>
    </row>
    <row r="5122">
      <c r="A5122" s="926" t="n">
        <v>38840</v>
      </c>
      <c r="B5122" t="n">
        <v>7.7535</v>
      </c>
      <c r="C5122" t="n">
        <v>0.96835</v>
      </c>
    </row>
    <row r="5123">
      <c r="A5123" s="926" t="n">
        <v>38841</v>
      </c>
      <c r="B5123" t="n">
        <v>7.7535</v>
      </c>
      <c r="C5123" t="n">
        <v>0.96835</v>
      </c>
    </row>
    <row r="5124">
      <c r="A5124" s="926" t="n">
        <v>38843</v>
      </c>
      <c r="B5124" t="n">
        <v>7.7505</v>
      </c>
      <c r="C5124" t="n">
        <v>0.96795</v>
      </c>
    </row>
    <row r="5125">
      <c r="A5125" s="926" t="n">
        <v>38845</v>
      </c>
      <c r="B5125" t="n">
        <v>7.7515</v>
      </c>
      <c r="C5125" t="n">
        <v>0.96785</v>
      </c>
    </row>
    <row r="5126">
      <c r="A5126" s="926" t="n">
        <v>38846</v>
      </c>
      <c r="B5126" t="n">
        <v>7.7525</v>
      </c>
      <c r="C5126" t="n">
        <v>0.96795</v>
      </c>
    </row>
    <row r="5127">
      <c r="A5127" s="926" t="n">
        <v>38847</v>
      </c>
      <c r="B5127" t="n">
        <v>7.7525</v>
      </c>
      <c r="C5127" t="n">
        <v>0.9682500000000001</v>
      </c>
    </row>
    <row r="5128">
      <c r="A5128" s="926" t="n">
        <v>38848</v>
      </c>
      <c r="B5128" t="n">
        <v>7.7525</v>
      </c>
      <c r="C5128" t="n">
        <v>0.9682500000000001</v>
      </c>
    </row>
    <row r="5129">
      <c r="A5129" s="926" t="n">
        <v>38849</v>
      </c>
      <c r="B5129" t="n">
        <v>7.7535</v>
      </c>
      <c r="C5129" t="n">
        <v>0.96835</v>
      </c>
    </row>
    <row r="5130">
      <c r="A5130" s="926" t="n">
        <v>38850</v>
      </c>
      <c r="B5130" t="n">
        <v>7.7515</v>
      </c>
      <c r="C5130" t="n">
        <v>0.96805</v>
      </c>
    </row>
    <row r="5131">
      <c r="A5131" s="926" t="n">
        <v>38852</v>
      </c>
      <c r="B5131" t="n">
        <v>7.7535</v>
      </c>
      <c r="C5131" t="n">
        <v>0.96835</v>
      </c>
    </row>
    <row r="5132">
      <c r="A5132" s="926" t="n">
        <v>38853</v>
      </c>
      <c r="B5132" t="n">
        <v>7.7535</v>
      </c>
      <c r="C5132" t="n">
        <v>0.96835</v>
      </c>
    </row>
    <row r="5133">
      <c r="A5133" s="926" t="n">
        <v>38854</v>
      </c>
      <c r="B5133" t="n">
        <v>7.7545</v>
      </c>
      <c r="C5133" t="n">
        <v>0.96845</v>
      </c>
    </row>
    <row r="5134">
      <c r="A5134" s="926" t="n">
        <v>38855</v>
      </c>
      <c r="B5134" t="n">
        <v>7.7535</v>
      </c>
      <c r="C5134" t="n">
        <v>0.96885</v>
      </c>
    </row>
    <row r="5135">
      <c r="A5135" s="926" t="n">
        <v>38856</v>
      </c>
      <c r="B5135" t="n">
        <v>7.7545</v>
      </c>
      <c r="C5135" t="n">
        <v>0.96875</v>
      </c>
    </row>
    <row r="5136">
      <c r="A5136" s="926" t="n">
        <v>38857</v>
      </c>
      <c r="B5136" t="n">
        <v>7.7525</v>
      </c>
      <c r="C5136" t="n">
        <v>0.96845</v>
      </c>
    </row>
    <row r="5137">
      <c r="A5137" s="926" t="n">
        <v>38859</v>
      </c>
      <c r="B5137" t="n">
        <v>7.7545</v>
      </c>
      <c r="C5137" t="n">
        <v>0.96875</v>
      </c>
    </row>
    <row r="5138">
      <c r="A5138" s="926" t="n">
        <v>38860</v>
      </c>
      <c r="B5138" t="n">
        <v>7.7545</v>
      </c>
      <c r="C5138" t="n">
        <v>0.96755</v>
      </c>
    </row>
    <row r="5139">
      <c r="A5139" s="926" t="n">
        <v>38861</v>
      </c>
      <c r="B5139" t="n">
        <v>7.7555</v>
      </c>
      <c r="C5139" t="n">
        <v>0.96765</v>
      </c>
    </row>
    <row r="5140">
      <c r="A5140" s="926" t="n">
        <v>38862</v>
      </c>
      <c r="B5140" t="n">
        <v>7.7565</v>
      </c>
      <c r="C5140" t="n">
        <v>0.96775</v>
      </c>
    </row>
    <row r="5141">
      <c r="A5141" s="926" t="n">
        <v>38863</v>
      </c>
      <c r="B5141" t="n">
        <v>7.7555</v>
      </c>
      <c r="C5141" t="n">
        <v>0.9672500000000001</v>
      </c>
    </row>
    <row r="5142">
      <c r="A5142" s="926" t="n">
        <v>38864</v>
      </c>
      <c r="B5142" t="n">
        <v>7.7535</v>
      </c>
      <c r="C5142" t="n">
        <v>0.96705</v>
      </c>
    </row>
    <row r="5143">
      <c r="A5143" s="926" t="n">
        <v>38866</v>
      </c>
      <c r="B5143" t="n">
        <v>7.7565</v>
      </c>
      <c r="C5143" t="n">
        <v>0.96735</v>
      </c>
    </row>
    <row r="5144">
      <c r="A5144" s="926" t="n">
        <v>38867</v>
      </c>
      <c r="B5144" t="n">
        <v>7.7575</v>
      </c>
      <c r="C5144" t="n">
        <v>0.96755</v>
      </c>
    </row>
    <row r="5145">
      <c r="A5145" s="926" t="n">
        <v>38869</v>
      </c>
      <c r="B5145" t="n">
        <v>7.7585</v>
      </c>
      <c r="C5145" t="n">
        <v>0.96865</v>
      </c>
    </row>
    <row r="5146">
      <c r="A5146" s="926" t="n">
        <v>38870</v>
      </c>
      <c r="B5146" t="n">
        <v>7.7585</v>
      </c>
      <c r="C5146" t="n">
        <v>0.96865</v>
      </c>
    </row>
    <row r="5147">
      <c r="A5147" s="926" t="n">
        <v>38871</v>
      </c>
      <c r="B5147" t="n">
        <v>7.7555</v>
      </c>
      <c r="C5147" t="n">
        <v>0.9682500000000001</v>
      </c>
    </row>
    <row r="5148">
      <c r="A5148" s="926" t="n">
        <v>38873</v>
      </c>
      <c r="B5148" t="n">
        <v>7.7585</v>
      </c>
      <c r="C5148" t="n">
        <v>0.96865</v>
      </c>
    </row>
    <row r="5149">
      <c r="A5149" s="926" t="n">
        <v>38874</v>
      </c>
      <c r="B5149" t="n">
        <v>7.7595</v>
      </c>
      <c r="C5149" t="n">
        <v>0.96875</v>
      </c>
    </row>
    <row r="5150">
      <c r="A5150" s="926" t="n">
        <v>38875</v>
      </c>
      <c r="B5150" t="n">
        <v>7.7615</v>
      </c>
      <c r="C5150" t="n">
        <v>0.96895</v>
      </c>
    </row>
    <row r="5151">
      <c r="A5151" s="926" t="n">
        <v>38876</v>
      </c>
      <c r="B5151" t="n">
        <v>7.7625</v>
      </c>
      <c r="C5151" t="n">
        <v>0.96915</v>
      </c>
    </row>
    <row r="5152">
      <c r="A5152" s="926" t="n">
        <v>38877</v>
      </c>
      <c r="B5152" t="n">
        <v>7.7615</v>
      </c>
      <c r="C5152" t="n">
        <v>0.96895</v>
      </c>
    </row>
    <row r="5153">
      <c r="A5153" s="926" t="n">
        <v>38878</v>
      </c>
      <c r="B5153" t="n">
        <v>7.7575</v>
      </c>
      <c r="C5153" t="n">
        <v>0.96845</v>
      </c>
    </row>
    <row r="5154">
      <c r="A5154" s="926" t="n">
        <v>38880</v>
      </c>
      <c r="B5154" t="n">
        <v>7.7615</v>
      </c>
      <c r="C5154" t="n">
        <v>0.96895</v>
      </c>
    </row>
    <row r="5155">
      <c r="A5155" s="926" t="n">
        <v>38881</v>
      </c>
      <c r="B5155" t="n">
        <v>7.7625</v>
      </c>
      <c r="C5155" t="n">
        <v>0.96915</v>
      </c>
    </row>
    <row r="5156">
      <c r="A5156" s="926" t="n">
        <v>38882</v>
      </c>
      <c r="B5156" t="n">
        <v>7.7615</v>
      </c>
      <c r="C5156" t="n">
        <v>0.96815</v>
      </c>
    </row>
    <row r="5157">
      <c r="A5157" s="926" t="n">
        <v>38883</v>
      </c>
      <c r="B5157" t="n">
        <v>7.7615</v>
      </c>
      <c r="C5157" t="n">
        <v>0.96885</v>
      </c>
    </row>
    <row r="5158">
      <c r="A5158" s="926" t="n">
        <v>38884</v>
      </c>
      <c r="B5158" t="n">
        <v>7.7625</v>
      </c>
      <c r="C5158" t="n">
        <v>0.96895</v>
      </c>
    </row>
    <row r="5159">
      <c r="A5159" s="926" t="n">
        <v>38885</v>
      </c>
      <c r="B5159" t="n">
        <v>7.7625</v>
      </c>
      <c r="C5159" t="n">
        <v>0.96895</v>
      </c>
    </row>
    <row r="5160">
      <c r="A5160" s="926" t="n">
        <v>38887</v>
      </c>
      <c r="B5160" t="n">
        <v>7.7655</v>
      </c>
      <c r="C5160" t="n">
        <v>0.96885</v>
      </c>
    </row>
    <row r="5161">
      <c r="A5161" s="926" t="n">
        <v>38888</v>
      </c>
      <c r="B5161" t="n">
        <v>7.7655</v>
      </c>
      <c r="C5161" t="n">
        <v>0.9692499999999999</v>
      </c>
    </row>
    <row r="5162">
      <c r="A5162" s="926" t="n">
        <v>38889</v>
      </c>
      <c r="B5162" t="n">
        <v>7.7675</v>
      </c>
      <c r="C5162" t="n">
        <v>0.96935</v>
      </c>
    </row>
    <row r="5163">
      <c r="A5163" s="926" t="n">
        <v>38890</v>
      </c>
      <c r="B5163" t="n">
        <v>7.7655</v>
      </c>
      <c r="C5163" t="n">
        <v>0.96935</v>
      </c>
    </row>
    <row r="5164">
      <c r="A5164" s="926" t="n">
        <v>38891</v>
      </c>
      <c r="B5164" t="n">
        <v>7.7675</v>
      </c>
      <c r="C5164" t="n">
        <v>0.96935</v>
      </c>
    </row>
    <row r="5165">
      <c r="A5165" s="926" t="n">
        <v>38892</v>
      </c>
      <c r="B5165" t="n">
        <v>7.7655</v>
      </c>
      <c r="C5165" t="n">
        <v>0.96985</v>
      </c>
    </row>
    <row r="5166">
      <c r="A5166" s="926" t="n">
        <v>38894</v>
      </c>
      <c r="B5166" t="n">
        <v>7.7685</v>
      </c>
      <c r="C5166" t="n">
        <v>0.96985</v>
      </c>
    </row>
    <row r="5167">
      <c r="A5167" s="926" t="n">
        <v>38895</v>
      </c>
      <c r="B5167" t="n">
        <v>7.7665</v>
      </c>
      <c r="C5167" t="n">
        <v>0.96985</v>
      </c>
    </row>
    <row r="5168">
      <c r="A5168" s="926" t="n">
        <v>38896</v>
      </c>
      <c r="B5168" t="n">
        <v>7.7665</v>
      </c>
      <c r="C5168" t="n">
        <v>0.96985</v>
      </c>
    </row>
    <row r="5169">
      <c r="A5169" s="926" t="n">
        <v>38897</v>
      </c>
      <c r="B5169" t="n">
        <v>7.7675</v>
      </c>
      <c r="C5169" t="n">
        <v>0.96995</v>
      </c>
    </row>
    <row r="5170">
      <c r="A5170" s="926" t="n">
        <v>38898</v>
      </c>
      <c r="B5170" t="n">
        <v>7.7665</v>
      </c>
      <c r="C5170" t="n">
        <v>0.96975</v>
      </c>
    </row>
    <row r="5171">
      <c r="A5171" s="926" t="n">
        <v>38901</v>
      </c>
      <c r="B5171" t="n">
        <v>7.7675</v>
      </c>
      <c r="C5171" t="n">
        <v>0.96995</v>
      </c>
    </row>
    <row r="5172">
      <c r="A5172" s="926" t="n">
        <v>38902</v>
      </c>
      <c r="B5172" t="n">
        <v>7.7675</v>
      </c>
      <c r="C5172" t="n">
        <v>0.97035</v>
      </c>
    </row>
    <row r="5173">
      <c r="A5173" s="926" t="n">
        <v>38903</v>
      </c>
      <c r="B5173" t="n">
        <v>7.7695</v>
      </c>
      <c r="C5173" t="n">
        <v>0.97055</v>
      </c>
    </row>
    <row r="5174">
      <c r="A5174" s="926" t="n">
        <v>38904</v>
      </c>
      <c r="B5174" t="n">
        <v>7.7705</v>
      </c>
      <c r="C5174" t="n">
        <v>0.97075</v>
      </c>
    </row>
    <row r="5175">
      <c r="A5175" s="926" t="n">
        <v>38905</v>
      </c>
      <c r="B5175" t="n">
        <v>7.7705</v>
      </c>
      <c r="C5175" t="n">
        <v>0.97095</v>
      </c>
    </row>
    <row r="5176">
      <c r="A5176" s="926" t="n">
        <v>38906</v>
      </c>
      <c r="B5176" t="n">
        <v>7.7665</v>
      </c>
      <c r="C5176" t="n">
        <v>0.97055</v>
      </c>
    </row>
    <row r="5177">
      <c r="A5177" s="926" t="n">
        <v>38908</v>
      </c>
      <c r="B5177" t="n">
        <v>7.7705</v>
      </c>
      <c r="C5177" t="n">
        <v>0.97155</v>
      </c>
    </row>
    <row r="5178">
      <c r="A5178" s="926" t="n">
        <v>38909</v>
      </c>
      <c r="B5178" t="n">
        <v>7.7735</v>
      </c>
      <c r="C5178" t="n">
        <v>0.97195</v>
      </c>
    </row>
    <row r="5179">
      <c r="A5179" s="926" t="n">
        <v>38910</v>
      </c>
      <c r="B5179" t="n">
        <v>7.7755</v>
      </c>
      <c r="C5179" t="n">
        <v>0.97215</v>
      </c>
    </row>
    <row r="5180">
      <c r="A5180" s="926" t="n">
        <v>38911</v>
      </c>
      <c r="B5180" t="n">
        <v>7.7765</v>
      </c>
      <c r="C5180" t="n">
        <v>0.9711</v>
      </c>
    </row>
    <row r="5181">
      <c r="A5181" s="926" t="n">
        <v>38912</v>
      </c>
      <c r="B5181" t="n">
        <v>7.7765</v>
      </c>
      <c r="C5181" t="n">
        <v>0.97085</v>
      </c>
    </row>
    <row r="5182">
      <c r="A5182" s="926" t="n">
        <v>38913</v>
      </c>
      <c r="B5182" t="n">
        <v>7.7735</v>
      </c>
      <c r="C5182" t="n">
        <v>0.97045</v>
      </c>
    </row>
    <row r="5183">
      <c r="A5183" s="926" t="n">
        <v>38915</v>
      </c>
      <c r="B5183" t="n">
        <v>7.7755</v>
      </c>
      <c r="C5183" t="n">
        <v>0.97205</v>
      </c>
    </row>
    <row r="5184">
      <c r="A5184" s="926" t="n">
        <v>38916</v>
      </c>
      <c r="B5184" t="n">
        <v>7.7735</v>
      </c>
      <c r="C5184" t="n">
        <v>0.97185</v>
      </c>
    </row>
    <row r="5185">
      <c r="A5185" s="926" t="n">
        <v>38917</v>
      </c>
      <c r="B5185" t="n">
        <v>7.7755</v>
      </c>
      <c r="C5185" t="n">
        <v>0.97205</v>
      </c>
    </row>
    <row r="5186">
      <c r="A5186" s="926" t="n">
        <v>38918</v>
      </c>
      <c r="B5186" t="n">
        <v>7.7755</v>
      </c>
      <c r="C5186" t="n">
        <v>0.97205</v>
      </c>
    </row>
    <row r="5187">
      <c r="A5187" s="926" t="n">
        <v>38919</v>
      </c>
      <c r="B5187" t="n">
        <v>7.7765</v>
      </c>
      <c r="C5187" t="n">
        <v>0.97215</v>
      </c>
    </row>
    <row r="5188">
      <c r="A5188" s="926" t="n">
        <v>38920</v>
      </c>
      <c r="B5188" t="n">
        <v>7.7725</v>
      </c>
      <c r="C5188" t="n">
        <v>0.97165</v>
      </c>
    </row>
    <row r="5189">
      <c r="A5189" s="926" t="n">
        <v>38922</v>
      </c>
      <c r="B5189" t="n">
        <v>7.7775</v>
      </c>
      <c r="C5189" t="n">
        <v>0.97355</v>
      </c>
    </row>
    <row r="5190">
      <c r="A5190" s="926" t="n">
        <v>38923</v>
      </c>
      <c r="B5190" t="n">
        <v>7.7775</v>
      </c>
      <c r="C5190" t="n">
        <v>0.97345</v>
      </c>
    </row>
    <row r="5191">
      <c r="A5191" s="926" t="n">
        <v>38924</v>
      </c>
      <c r="B5191" t="n">
        <v>7.7785</v>
      </c>
      <c r="C5191" t="n">
        <v>0.97355</v>
      </c>
    </row>
    <row r="5192">
      <c r="A5192" s="926" t="n">
        <v>38925</v>
      </c>
      <c r="B5192" t="n">
        <v>7.7765</v>
      </c>
      <c r="C5192" t="n">
        <v>0.9732499999999999</v>
      </c>
    </row>
    <row r="5193">
      <c r="A5193" s="926" t="n">
        <v>38926</v>
      </c>
      <c r="B5193" t="n">
        <v>7.7735</v>
      </c>
      <c r="C5193" t="n">
        <v>0.97405</v>
      </c>
    </row>
    <row r="5194">
      <c r="A5194" s="926" t="n">
        <v>38927</v>
      </c>
      <c r="B5194" t="n">
        <v>7.7655</v>
      </c>
      <c r="C5194" t="n">
        <v>0.97345</v>
      </c>
    </row>
    <row r="5195">
      <c r="A5195" s="926" t="n">
        <v>38929</v>
      </c>
      <c r="B5195" t="n">
        <v>7.7725</v>
      </c>
      <c r="C5195" t="n">
        <v>0.97435</v>
      </c>
    </row>
    <row r="5196">
      <c r="A5196" s="926" t="n">
        <v>38930</v>
      </c>
      <c r="B5196" t="n">
        <v>7.7735</v>
      </c>
      <c r="C5196" t="n">
        <v>0.97465</v>
      </c>
    </row>
    <row r="5197">
      <c r="A5197" s="926" t="n">
        <v>38931</v>
      </c>
      <c r="B5197" t="n">
        <v>7.7725</v>
      </c>
      <c r="C5197" t="n">
        <v>0.97445</v>
      </c>
    </row>
    <row r="5198">
      <c r="A5198" s="926" t="n">
        <v>38932</v>
      </c>
      <c r="B5198" t="n">
        <v>7.7715</v>
      </c>
      <c r="C5198" t="n">
        <v>0.97435</v>
      </c>
    </row>
    <row r="5199">
      <c r="A5199" s="926" t="n">
        <v>38933</v>
      </c>
      <c r="B5199" t="n">
        <v>7.7745</v>
      </c>
      <c r="C5199" t="n">
        <v>0.97475</v>
      </c>
    </row>
    <row r="5200">
      <c r="A5200" s="926" t="n">
        <v>38934</v>
      </c>
      <c r="B5200" t="n">
        <v>7.7715</v>
      </c>
      <c r="C5200" t="n">
        <v>0.97435</v>
      </c>
    </row>
    <row r="5201">
      <c r="A5201" s="926" t="n">
        <v>38936</v>
      </c>
      <c r="B5201" t="n">
        <v>7.7735</v>
      </c>
      <c r="C5201" t="n">
        <v>0.97465</v>
      </c>
    </row>
    <row r="5202">
      <c r="A5202" s="926" t="n">
        <v>38937</v>
      </c>
      <c r="B5202" t="n">
        <v>7.7775</v>
      </c>
      <c r="C5202" t="n">
        <v>0.97485</v>
      </c>
    </row>
    <row r="5203">
      <c r="A5203" s="926" t="n">
        <v>38938</v>
      </c>
      <c r="B5203" t="n">
        <v>7.7775</v>
      </c>
      <c r="C5203" t="n">
        <v>0.97515</v>
      </c>
    </row>
    <row r="5204">
      <c r="A5204" s="926" t="n">
        <v>38939</v>
      </c>
      <c r="B5204" t="n">
        <v>7.7765</v>
      </c>
      <c r="C5204" t="n">
        <v>0.975</v>
      </c>
    </row>
    <row r="5205">
      <c r="A5205" s="926" t="n">
        <v>38940</v>
      </c>
      <c r="B5205" t="n">
        <v>7.7775</v>
      </c>
      <c r="C5205" t="n">
        <v>0.97585</v>
      </c>
    </row>
    <row r="5206">
      <c r="A5206" s="926" t="n">
        <v>38941</v>
      </c>
      <c r="B5206" t="n">
        <v>7.7745</v>
      </c>
      <c r="C5206" t="n">
        <v>0.97545</v>
      </c>
    </row>
    <row r="5207">
      <c r="A5207" s="926" t="n">
        <v>38943</v>
      </c>
      <c r="B5207" t="n">
        <v>7.7765</v>
      </c>
      <c r="C5207" t="n">
        <v>0.97455</v>
      </c>
    </row>
    <row r="5208">
      <c r="A5208" s="926" t="n">
        <v>38944</v>
      </c>
      <c r="B5208" t="n">
        <v>7.7785</v>
      </c>
      <c r="C5208" t="n">
        <v>0.97435</v>
      </c>
    </row>
    <row r="5209">
      <c r="A5209" s="926" t="n">
        <v>38945</v>
      </c>
      <c r="B5209" t="n">
        <v>7.7765</v>
      </c>
      <c r="C5209" t="n">
        <v>0.9742499999999999</v>
      </c>
    </row>
    <row r="5210">
      <c r="A5210" s="926" t="n">
        <v>38946</v>
      </c>
      <c r="B5210" t="n">
        <v>7.7755</v>
      </c>
      <c r="C5210" t="n">
        <v>0.9745</v>
      </c>
    </row>
    <row r="5211">
      <c r="A5211" s="926" t="n">
        <v>38947</v>
      </c>
      <c r="B5211" t="n">
        <v>7.7725</v>
      </c>
      <c r="C5211" t="n">
        <v>0.97485</v>
      </c>
    </row>
    <row r="5212">
      <c r="A5212" s="926" t="n">
        <v>38948</v>
      </c>
      <c r="B5212" t="n">
        <v>7.7715</v>
      </c>
      <c r="C5212" t="n">
        <v>0.97475</v>
      </c>
    </row>
    <row r="5213">
      <c r="A5213" s="926" t="n">
        <v>38950</v>
      </c>
      <c r="B5213" t="n">
        <v>7.7735</v>
      </c>
      <c r="C5213" t="n">
        <v>0.97475</v>
      </c>
    </row>
    <row r="5214">
      <c r="A5214" s="926" t="n">
        <v>38951</v>
      </c>
      <c r="B5214" t="n">
        <v>7.7745</v>
      </c>
      <c r="C5214" t="n">
        <v>0.97595</v>
      </c>
    </row>
    <row r="5215">
      <c r="A5215" s="926" t="n">
        <v>38952</v>
      </c>
      <c r="B5215" t="n">
        <v>7.7765</v>
      </c>
      <c r="C5215" t="n">
        <v>0.97585</v>
      </c>
    </row>
    <row r="5216">
      <c r="A5216" s="926" t="n">
        <v>38953</v>
      </c>
      <c r="B5216" t="n">
        <v>7.7765</v>
      </c>
      <c r="C5216" t="n">
        <v>0.97585</v>
      </c>
    </row>
    <row r="5217">
      <c r="A5217" s="926" t="n">
        <v>38954</v>
      </c>
      <c r="B5217" t="n">
        <v>7.7765</v>
      </c>
      <c r="C5217" t="n">
        <v>0.97585</v>
      </c>
    </row>
    <row r="5218">
      <c r="A5218" s="926" t="n">
        <v>38955</v>
      </c>
      <c r="B5218" t="n">
        <v>7.7755</v>
      </c>
      <c r="C5218" t="n">
        <v>0.97575</v>
      </c>
    </row>
    <row r="5219">
      <c r="A5219" s="926" t="n">
        <v>38957</v>
      </c>
      <c r="B5219" t="n">
        <v>7.7785</v>
      </c>
      <c r="C5219" t="n">
        <v>0.97545</v>
      </c>
    </row>
    <row r="5220">
      <c r="A5220" s="926" t="n">
        <v>38958</v>
      </c>
      <c r="B5220" t="n">
        <v>7.7775</v>
      </c>
      <c r="C5220" t="n">
        <v>0.97595</v>
      </c>
    </row>
    <row r="5221">
      <c r="A5221" s="926" t="n">
        <v>38959</v>
      </c>
      <c r="B5221" t="n">
        <v>7.7765</v>
      </c>
      <c r="C5221" t="n">
        <v>0.9763500000000001</v>
      </c>
    </row>
    <row r="5222">
      <c r="A5222" s="926" t="n">
        <v>38960</v>
      </c>
      <c r="B5222" t="n">
        <v>7.7765</v>
      </c>
      <c r="C5222" t="n">
        <v>0.9763500000000001</v>
      </c>
    </row>
    <row r="5223">
      <c r="A5223" s="926" t="n">
        <v>38961</v>
      </c>
      <c r="B5223" t="n">
        <v>7.7775</v>
      </c>
      <c r="C5223" t="n">
        <v>0.97755</v>
      </c>
    </row>
    <row r="5224">
      <c r="A5224" s="926" t="n">
        <v>38962</v>
      </c>
      <c r="B5224" t="n">
        <v>7.7745</v>
      </c>
      <c r="C5224" t="n">
        <v>0.97745</v>
      </c>
    </row>
    <row r="5225">
      <c r="A5225" s="926" t="n">
        <v>38964</v>
      </c>
      <c r="B5225" t="n">
        <v>7.7765</v>
      </c>
      <c r="C5225" t="n">
        <v>0.97785</v>
      </c>
    </row>
    <row r="5226">
      <c r="A5226" s="926" t="n">
        <v>38965</v>
      </c>
      <c r="B5226" t="n">
        <v>7.7765</v>
      </c>
      <c r="C5226" t="n">
        <v>0.97905</v>
      </c>
    </row>
    <row r="5227">
      <c r="A5227" s="926" t="n">
        <v>38966</v>
      </c>
      <c r="B5227" t="n">
        <v>7.7755</v>
      </c>
      <c r="C5227" t="n">
        <v>0.97895</v>
      </c>
    </row>
    <row r="5228">
      <c r="A5228" s="926" t="n">
        <v>38967</v>
      </c>
      <c r="B5228" t="n">
        <v>7.7765</v>
      </c>
      <c r="C5228" t="n">
        <v>0.97905</v>
      </c>
    </row>
    <row r="5229">
      <c r="A5229" s="926" t="n">
        <v>38968</v>
      </c>
      <c r="B5229" t="n">
        <v>7.7765</v>
      </c>
      <c r="C5229" t="n">
        <v>0.97905</v>
      </c>
    </row>
    <row r="5230">
      <c r="A5230" s="926" t="n">
        <v>38969</v>
      </c>
      <c r="B5230" t="n">
        <v>7.7745</v>
      </c>
      <c r="C5230" t="n">
        <v>0.9788</v>
      </c>
    </row>
    <row r="5231">
      <c r="A5231" s="926" t="n">
        <v>38971</v>
      </c>
      <c r="B5231" t="n">
        <v>7.7775</v>
      </c>
      <c r="C5231" t="n">
        <v>0.97915</v>
      </c>
    </row>
    <row r="5232">
      <c r="A5232" s="926" t="n">
        <v>38972</v>
      </c>
      <c r="B5232" t="n">
        <v>7.7785</v>
      </c>
      <c r="C5232" t="n">
        <v>0.9792999999999999</v>
      </c>
    </row>
    <row r="5233">
      <c r="A5233" s="926" t="n">
        <v>38973</v>
      </c>
      <c r="B5233" t="n">
        <v>7.7785</v>
      </c>
      <c r="C5233" t="n">
        <v>0.9792999999999999</v>
      </c>
    </row>
    <row r="5234">
      <c r="A5234" s="926" t="n">
        <v>38974</v>
      </c>
      <c r="B5234" t="n">
        <v>7.7815</v>
      </c>
      <c r="C5234" t="n">
        <v>0.97965</v>
      </c>
    </row>
    <row r="5235">
      <c r="A5235" s="926" t="n">
        <v>38975</v>
      </c>
      <c r="B5235" t="n">
        <v>7.7805</v>
      </c>
      <c r="C5235" t="n">
        <v>0.97895</v>
      </c>
    </row>
    <row r="5236">
      <c r="A5236" s="926" t="n">
        <v>38976</v>
      </c>
      <c r="B5236" t="n">
        <v>7.7795</v>
      </c>
      <c r="C5236" t="n">
        <v>0.97895</v>
      </c>
    </row>
    <row r="5237">
      <c r="A5237" s="926" t="n">
        <v>38978</v>
      </c>
      <c r="B5237" t="n">
        <v>7.7825</v>
      </c>
      <c r="C5237" t="n">
        <v>0.97885</v>
      </c>
    </row>
    <row r="5238">
      <c r="A5238" s="926" t="n">
        <v>38979</v>
      </c>
      <c r="B5238" t="n">
        <v>7.7845</v>
      </c>
      <c r="C5238" t="n">
        <v>0.97905</v>
      </c>
    </row>
    <row r="5239">
      <c r="A5239" s="926" t="n">
        <v>38980</v>
      </c>
      <c r="B5239" t="n">
        <v>7.7855</v>
      </c>
      <c r="C5239" t="n">
        <v>0.98055</v>
      </c>
    </row>
    <row r="5240">
      <c r="A5240" s="926" t="n">
        <v>38981</v>
      </c>
      <c r="B5240" t="n">
        <v>7.7825</v>
      </c>
      <c r="C5240" t="n">
        <v>0.98045</v>
      </c>
    </row>
    <row r="5241">
      <c r="A5241" s="926" t="n">
        <v>38982</v>
      </c>
      <c r="B5241" t="n">
        <v>7.7825</v>
      </c>
      <c r="C5241" t="n">
        <v>0.98045</v>
      </c>
    </row>
    <row r="5242">
      <c r="A5242" s="926" t="n">
        <v>38983</v>
      </c>
      <c r="B5242" t="n">
        <v>7.7815</v>
      </c>
      <c r="C5242" t="n">
        <v>0.98045</v>
      </c>
    </row>
    <row r="5243">
      <c r="A5243" s="926" t="n">
        <v>38985</v>
      </c>
      <c r="B5243" t="n">
        <v>7.7835</v>
      </c>
      <c r="C5243" t="n">
        <v>0.98265</v>
      </c>
    </row>
    <row r="5244">
      <c r="A5244" s="926" t="n">
        <v>38986</v>
      </c>
      <c r="B5244" t="n">
        <v>7.7865</v>
      </c>
      <c r="C5244" t="n">
        <v>0.98275</v>
      </c>
    </row>
    <row r="5245">
      <c r="A5245" s="926" t="n">
        <v>38987</v>
      </c>
      <c r="B5245" t="n">
        <v>7.7875</v>
      </c>
      <c r="C5245" t="n">
        <v>0.98305</v>
      </c>
    </row>
    <row r="5246">
      <c r="A5246" s="926" t="n">
        <v>38988</v>
      </c>
      <c r="B5246" t="n">
        <v>7.7895</v>
      </c>
      <c r="C5246" t="n">
        <v>0.9849</v>
      </c>
    </row>
    <row r="5247">
      <c r="A5247" s="926" t="n">
        <v>38989</v>
      </c>
      <c r="B5247" t="n">
        <v>7.7905</v>
      </c>
      <c r="C5247" t="n">
        <v>0.98605</v>
      </c>
    </row>
    <row r="5248">
      <c r="A5248" s="926" t="n">
        <v>38990</v>
      </c>
      <c r="B5248" t="n">
        <v>7.7875</v>
      </c>
      <c r="C5248" t="n">
        <v>0.9859</v>
      </c>
    </row>
    <row r="5249">
      <c r="A5249" s="926" t="n">
        <v>38993</v>
      </c>
      <c r="B5249" t="n">
        <v>7.7925</v>
      </c>
      <c r="C5249" t="n">
        <v>0.98575</v>
      </c>
    </row>
    <row r="5250">
      <c r="A5250" s="926" t="n">
        <v>38994</v>
      </c>
      <c r="B5250" t="n">
        <v>7.7915</v>
      </c>
      <c r="C5250" t="n">
        <v>0.9859</v>
      </c>
    </row>
    <row r="5251">
      <c r="A5251" s="926" t="n">
        <v>38995</v>
      </c>
      <c r="B5251" t="n">
        <v>7.7905</v>
      </c>
      <c r="C5251" t="n">
        <v>0.98575</v>
      </c>
    </row>
    <row r="5252">
      <c r="A5252" s="926" t="n">
        <v>38996</v>
      </c>
      <c r="B5252" t="n">
        <v>7.7855</v>
      </c>
      <c r="C5252" t="n">
        <v>0.98575</v>
      </c>
    </row>
    <row r="5253">
      <c r="A5253" s="926" t="n">
        <v>38999</v>
      </c>
      <c r="B5253" t="n">
        <v>7.7895</v>
      </c>
      <c r="C5253" t="n">
        <v>0.98605</v>
      </c>
    </row>
    <row r="5254">
      <c r="A5254" s="926" t="n">
        <v>39000</v>
      </c>
      <c r="B5254" t="n">
        <v>7.7915</v>
      </c>
      <c r="C5254" t="n">
        <v>0.9859</v>
      </c>
    </row>
    <row r="5255">
      <c r="A5255" s="926" t="n">
        <v>39001</v>
      </c>
      <c r="B5255" t="n">
        <v>7.7945</v>
      </c>
      <c r="C5255" t="n">
        <v>0.9859</v>
      </c>
    </row>
    <row r="5256">
      <c r="A5256" s="926" t="n">
        <v>39002</v>
      </c>
      <c r="B5256" t="n">
        <v>7.7925</v>
      </c>
      <c r="C5256" t="n">
        <v>0.9859</v>
      </c>
    </row>
    <row r="5257">
      <c r="A5257" s="926" t="n">
        <v>39003</v>
      </c>
      <c r="B5257" t="n">
        <v>7.7895</v>
      </c>
      <c r="C5257" t="n">
        <v>0.98615</v>
      </c>
    </row>
    <row r="5258">
      <c r="A5258" s="926" t="n">
        <v>39004</v>
      </c>
      <c r="B5258" t="n">
        <v>7.7845</v>
      </c>
      <c r="C5258" t="n">
        <v>0.9859</v>
      </c>
    </row>
    <row r="5259">
      <c r="A5259" s="926" t="n">
        <v>39006</v>
      </c>
      <c r="B5259" t="n">
        <v>7.7865</v>
      </c>
      <c r="C5259" t="n">
        <v>0.98575</v>
      </c>
    </row>
    <row r="5260">
      <c r="A5260" s="926" t="n">
        <v>39007</v>
      </c>
      <c r="B5260" t="n">
        <v>7.7815</v>
      </c>
      <c r="C5260" t="n">
        <v>0.98615</v>
      </c>
    </row>
    <row r="5261">
      <c r="A5261" s="926" t="n">
        <v>39008</v>
      </c>
      <c r="B5261" t="n">
        <v>7.7835</v>
      </c>
      <c r="C5261" t="n">
        <v>0.98615</v>
      </c>
    </row>
    <row r="5262">
      <c r="A5262" s="926" t="n">
        <v>39009</v>
      </c>
      <c r="B5262" t="n">
        <v>7.7885</v>
      </c>
      <c r="C5262" t="n">
        <v>0.986</v>
      </c>
    </row>
    <row r="5263">
      <c r="A5263" s="926" t="n">
        <v>39010</v>
      </c>
      <c r="B5263" t="n">
        <v>7.7865</v>
      </c>
      <c r="C5263" t="n">
        <v>0.9859</v>
      </c>
    </row>
    <row r="5264">
      <c r="A5264" s="926" t="n">
        <v>39011</v>
      </c>
      <c r="B5264" t="n">
        <v>7.7785</v>
      </c>
      <c r="C5264" t="n">
        <v>0.98585</v>
      </c>
    </row>
    <row r="5265">
      <c r="A5265" s="926" t="n">
        <v>39013</v>
      </c>
      <c r="B5265" t="n">
        <v>7.7835</v>
      </c>
      <c r="C5265" t="n">
        <v>0.98565</v>
      </c>
    </row>
    <row r="5266">
      <c r="A5266" s="926" t="n">
        <v>39014</v>
      </c>
      <c r="B5266" t="n">
        <v>7.7835</v>
      </c>
      <c r="C5266" t="n">
        <v>0.986</v>
      </c>
    </row>
    <row r="5267">
      <c r="A5267" s="926" t="n">
        <v>39015</v>
      </c>
      <c r="B5267" t="n">
        <v>7.7815</v>
      </c>
      <c r="C5267" t="n">
        <v>0.98575</v>
      </c>
    </row>
    <row r="5268">
      <c r="A5268" s="926" t="n">
        <v>39016</v>
      </c>
      <c r="B5268" t="n">
        <v>7.7825</v>
      </c>
      <c r="C5268" t="n">
        <v>0.986</v>
      </c>
    </row>
    <row r="5269">
      <c r="A5269" s="926" t="n">
        <v>39017</v>
      </c>
      <c r="B5269" t="n">
        <v>7.7825</v>
      </c>
      <c r="C5269" t="n">
        <v>0.98615</v>
      </c>
    </row>
    <row r="5270">
      <c r="A5270" s="926" t="n">
        <v>39018</v>
      </c>
      <c r="B5270" t="n">
        <v>7.7745</v>
      </c>
      <c r="C5270" t="n">
        <v>0.98515</v>
      </c>
    </row>
    <row r="5271">
      <c r="A5271" s="926" t="n">
        <v>39021</v>
      </c>
      <c r="B5271" t="n">
        <v>7.7765</v>
      </c>
      <c r="C5271" t="n">
        <v>0.9863499999999999</v>
      </c>
    </row>
    <row r="5272">
      <c r="A5272" s="926" t="n">
        <v>39022</v>
      </c>
      <c r="B5272" t="n">
        <v>7.7785</v>
      </c>
      <c r="C5272" t="n">
        <v>0.9865</v>
      </c>
    </row>
    <row r="5273">
      <c r="A5273" s="926" t="n">
        <v>39023</v>
      </c>
      <c r="B5273" t="n">
        <v>7.7785</v>
      </c>
      <c r="C5273" t="n">
        <v>0.98775</v>
      </c>
    </row>
    <row r="5274">
      <c r="A5274" s="926" t="n">
        <v>39024</v>
      </c>
      <c r="B5274" t="n">
        <v>7.7775</v>
      </c>
      <c r="C5274" t="n">
        <v>0.98765</v>
      </c>
    </row>
    <row r="5275">
      <c r="A5275" s="926" t="n">
        <v>39025</v>
      </c>
      <c r="B5275" t="n">
        <v>7.7735</v>
      </c>
      <c r="C5275" t="n">
        <v>0.9875</v>
      </c>
    </row>
    <row r="5276">
      <c r="A5276" s="926" t="n">
        <v>39027</v>
      </c>
      <c r="B5276" t="n">
        <v>7.7805</v>
      </c>
      <c r="C5276" t="n">
        <v>0.98775</v>
      </c>
    </row>
    <row r="5277">
      <c r="A5277" s="926" t="n">
        <v>39028</v>
      </c>
      <c r="B5277" t="n">
        <v>7.7855</v>
      </c>
      <c r="C5277" t="n">
        <v>0.9883999999999999</v>
      </c>
    </row>
    <row r="5278">
      <c r="A5278" s="926" t="n">
        <v>39029</v>
      </c>
      <c r="B5278" t="n">
        <v>7.7845</v>
      </c>
      <c r="C5278" t="n">
        <v>0.9885</v>
      </c>
    </row>
    <row r="5279">
      <c r="A5279" s="926" t="n">
        <v>39030</v>
      </c>
      <c r="B5279" t="n">
        <v>7.7845</v>
      </c>
      <c r="C5279" t="n">
        <v>0.9893999999999999</v>
      </c>
    </row>
    <row r="5280">
      <c r="A5280" s="926" t="n">
        <v>39031</v>
      </c>
      <c r="B5280" t="n">
        <v>7.7835</v>
      </c>
      <c r="C5280" t="n">
        <v>0.98925</v>
      </c>
    </row>
    <row r="5281">
      <c r="A5281" s="926" t="n">
        <v>39032</v>
      </c>
      <c r="B5281" t="n">
        <v>7.7815</v>
      </c>
      <c r="C5281" t="n">
        <v>0.9893999999999999</v>
      </c>
    </row>
    <row r="5282">
      <c r="A5282" s="926" t="n">
        <v>39034</v>
      </c>
      <c r="B5282" t="n">
        <v>7.7845</v>
      </c>
      <c r="C5282" t="n">
        <v>0.9899</v>
      </c>
    </row>
    <row r="5283">
      <c r="A5283" s="926" t="n">
        <v>39035</v>
      </c>
      <c r="B5283" t="n">
        <v>7.7855</v>
      </c>
      <c r="C5283" t="n">
        <v>0.98995</v>
      </c>
    </row>
    <row r="5284">
      <c r="A5284" s="926" t="n">
        <v>39036</v>
      </c>
      <c r="B5284" t="n">
        <v>7.7865</v>
      </c>
      <c r="C5284" t="n">
        <v>0.99015</v>
      </c>
    </row>
    <row r="5285">
      <c r="A5285" s="926" t="n">
        <v>39037</v>
      </c>
      <c r="B5285" t="n">
        <v>7.7865</v>
      </c>
      <c r="C5285" t="n">
        <v>0.99005</v>
      </c>
    </row>
    <row r="5286">
      <c r="A5286" s="926" t="n">
        <v>39038</v>
      </c>
      <c r="B5286" t="n">
        <v>7.7875</v>
      </c>
      <c r="C5286" t="n">
        <v>0.99015</v>
      </c>
    </row>
    <row r="5287">
      <c r="A5287" s="926" t="n">
        <v>39039</v>
      </c>
      <c r="B5287" t="n">
        <v>7.7845</v>
      </c>
      <c r="C5287" t="n">
        <v>0.9899</v>
      </c>
    </row>
    <row r="5288">
      <c r="A5288" s="926" t="n">
        <v>39041</v>
      </c>
      <c r="B5288" t="n">
        <v>7.7885</v>
      </c>
      <c r="C5288" t="n">
        <v>0.99005</v>
      </c>
    </row>
    <row r="5289">
      <c r="A5289" s="926" t="n">
        <v>39042</v>
      </c>
      <c r="B5289" t="n">
        <v>7.7865</v>
      </c>
      <c r="C5289" t="n">
        <v>0.9899</v>
      </c>
    </row>
    <row r="5290">
      <c r="A5290" s="926" t="n">
        <v>39043</v>
      </c>
      <c r="B5290" t="n">
        <v>7.7865</v>
      </c>
      <c r="C5290" t="n">
        <v>0.9899</v>
      </c>
    </row>
    <row r="5291">
      <c r="A5291" s="926" t="n">
        <v>39044</v>
      </c>
      <c r="B5291" t="n">
        <v>7.7845</v>
      </c>
      <c r="C5291" t="n">
        <v>0.9899</v>
      </c>
    </row>
    <row r="5292">
      <c r="A5292" s="926" t="n">
        <v>39045</v>
      </c>
      <c r="B5292" t="n">
        <v>7.7835</v>
      </c>
      <c r="C5292" t="n">
        <v>0.9919</v>
      </c>
    </row>
    <row r="5293">
      <c r="A5293" s="926" t="n">
        <v>39046</v>
      </c>
      <c r="B5293" t="n">
        <v>7.7775</v>
      </c>
      <c r="C5293" t="n">
        <v>0.9919</v>
      </c>
    </row>
    <row r="5294">
      <c r="A5294" s="926" t="n">
        <v>39048</v>
      </c>
      <c r="B5294" t="n">
        <v>7.7775</v>
      </c>
      <c r="C5294" t="n">
        <v>0.9919</v>
      </c>
    </row>
    <row r="5295">
      <c r="A5295" s="926" t="n">
        <v>39049</v>
      </c>
      <c r="B5295" t="n">
        <v>7.7755</v>
      </c>
      <c r="C5295" t="n">
        <v>0.9918</v>
      </c>
    </row>
    <row r="5296">
      <c r="A5296" s="926" t="n">
        <v>39050</v>
      </c>
      <c r="B5296" t="n">
        <v>7.7755</v>
      </c>
      <c r="C5296" t="n">
        <v>0.9919</v>
      </c>
    </row>
    <row r="5297">
      <c r="A5297" s="926" t="n">
        <v>39051</v>
      </c>
      <c r="B5297" t="n">
        <v>7.7755</v>
      </c>
      <c r="C5297" t="n">
        <v>0.9933</v>
      </c>
    </row>
    <row r="5298">
      <c r="A5298" s="926" t="n">
        <v>39052</v>
      </c>
      <c r="B5298" t="n">
        <v>7.7765</v>
      </c>
      <c r="C5298" t="n">
        <v>0.9947</v>
      </c>
    </row>
    <row r="5299">
      <c r="A5299" s="926" t="n">
        <v>39053</v>
      </c>
      <c r="B5299" t="n">
        <v>7.7715</v>
      </c>
      <c r="C5299" t="n">
        <v>0.9933</v>
      </c>
    </row>
    <row r="5300">
      <c r="A5300" s="926" t="n">
        <v>39055</v>
      </c>
      <c r="B5300" t="n">
        <v>7.7725</v>
      </c>
      <c r="C5300" t="n">
        <v>0.99535</v>
      </c>
    </row>
    <row r="5301">
      <c r="A5301" s="926" t="n">
        <v>39056</v>
      </c>
      <c r="B5301" t="n">
        <v>7.7715</v>
      </c>
      <c r="C5301" t="n">
        <v>0.9952</v>
      </c>
    </row>
    <row r="5302">
      <c r="A5302" s="926" t="n">
        <v>39057</v>
      </c>
      <c r="B5302" t="n">
        <v>7.7665</v>
      </c>
      <c r="C5302" t="n">
        <v>0.9953</v>
      </c>
    </row>
    <row r="5303">
      <c r="A5303" s="926" t="n">
        <v>39058</v>
      </c>
      <c r="B5303" t="n">
        <v>7.7675</v>
      </c>
      <c r="C5303" t="n">
        <v>0.9954499999999999</v>
      </c>
    </row>
    <row r="5304">
      <c r="A5304" s="926" t="n">
        <v>39059</v>
      </c>
      <c r="B5304" t="n">
        <v>7.7705</v>
      </c>
      <c r="C5304" t="n">
        <v>0.996</v>
      </c>
    </row>
    <row r="5305">
      <c r="A5305" s="926" t="n">
        <v>39060</v>
      </c>
      <c r="B5305" t="n">
        <v>7.7695</v>
      </c>
      <c r="C5305" t="n">
        <v>0.9956</v>
      </c>
    </row>
    <row r="5306">
      <c r="A5306" s="926" t="n">
        <v>39062</v>
      </c>
      <c r="B5306" t="n">
        <v>7.7715</v>
      </c>
      <c r="C5306" t="n">
        <v>0.99535</v>
      </c>
    </row>
    <row r="5307">
      <c r="A5307" s="926" t="n">
        <v>39063</v>
      </c>
      <c r="B5307" t="n">
        <v>7.7725</v>
      </c>
      <c r="C5307" t="n">
        <v>0.99535</v>
      </c>
    </row>
    <row r="5308">
      <c r="A5308" s="926" t="n">
        <v>39064</v>
      </c>
      <c r="B5308" t="n">
        <v>7.7715</v>
      </c>
      <c r="C5308" t="n">
        <v>0.99535</v>
      </c>
    </row>
    <row r="5309">
      <c r="A5309" s="926" t="n">
        <v>39065</v>
      </c>
      <c r="B5309" t="n">
        <v>7.7705</v>
      </c>
      <c r="C5309" t="n">
        <v>0.9954499999999999</v>
      </c>
    </row>
    <row r="5310">
      <c r="A5310" s="926" t="n">
        <v>39066</v>
      </c>
      <c r="B5310" t="n">
        <v>7.7725</v>
      </c>
      <c r="C5310" t="n">
        <v>0.9957</v>
      </c>
    </row>
    <row r="5311">
      <c r="A5311" s="926" t="n">
        <v>39067</v>
      </c>
      <c r="B5311" t="n">
        <v>7.7685</v>
      </c>
      <c r="C5311" t="n">
        <v>0.9956</v>
      </c>
    </row>
    <row r="5312">
      <c r="A5312" s="926" t="n">
        <v>39069</v>
      </c>
      <c r="B5312" t="n">
        <v>7.7735</v>
      </c>
      <c r="C5312" t="n">
        <v>0.99585</v>
      </c>
    </row>
    <row r="5313">
      <c r="A5313" s="926" t="n">
        <v>39070</v>
      </c>
      <c r="B5313" t="n">
        <v>7.7745</v>
      </c>
      <c r="C5313" t="n">
        <v>0.9956</v>
      </c>
    </row>
    <row r="5314">
      <c r="A5314" s="926" t="n">
        <v>39071</v>
      </c>
      <c r="B5314" t="n">
        <v>7.7735</v>
      </c>
      <c r="C5314" t="n">
        <v>0.9954499999999999</v>
      </c>
    </row>
    <row r="5315">
      <c r="A5315" s="926" t="n">
        <v>39072</v>
      </c>
      <c r="B5315" t="n">
        <v>7.7745</v>
      </c>
      <c r="C5315" t="n">
        <v>0.9956</v>
      </c>
    </row>
    <row r="5316">
      <c r="A5316" s="926" t="n">
        <v>39073</v>
      </c>
      <c r="B5316" t="n">
        <v>7.7775</v>
      </c>
      <c r="C5316" t="n">
        <v>0.99585</v>
      </c>
    </row>
    <row r="5317">
      <c r="A5317" s="926" t="n">
        <v>39074</v>
      </c>
      <c r="B5317" t="n">
        <v>7.7765</v>
      </c>
      <c r="C5317" t="n">
        <v>0.9957</v>
      </c>
    </row>
    <row r="5318">
      <c r="A5318" s="926" t="n">
        <v>39078</v>
      </c>
      <c r="B5318" t="n">
        <v>7.7765</v>
      </c>
      <c r="C5318" t="n">
        <v>0.9954499999999999</v>
      </c>
    </row>
    <row r="5319">
      <c r="A5319" s="926" t="n">
        <v>39079</v>
      </c>
      <c r="B5319" t="n">
        <v>7.7745</v>
      </c>
      <c r="C5319" t="n">
        <v>0.9952</v>
      </c>
    </row>
    <row r="5320">
      <c r="A5320" s="926" t="n">
        <v>39080</v>
      </c>
      <c r="B5320" t="n">
        <v>7.7735</v>
      </c>
      <c r="C5320" t="n">
        <v>0.9956</v>
      </c>
    </row>
    <row r="5321">
      <c r="A5321" s="926" t="n">
        <v>39081</v>
      </c>
      <c r="B5321" t="n">
        <v>7.7745</v>
      </c>
      <c r="C5321" t="n">
        <v>0.9954499999999999</v>
      </c>
    </row>
    <row r="5322">
      <c r="A5322" s="926" t="n">
        <v>39084</v>
      </c>
      <c r="B5322" t="n">
        <v>7.7795</v>
      </c>
      <c r="C5322" t="n">
        <v>0.99585</v>
      </c>
    </row>
    <row r="5323">
      <c r="A5323" s="926" t="n">
        <v>39085</v>
      </c>
      <c r="B5323" t="n">
        <v>7.7845</v>
      </c>
      <c r="C5323" t="n">
        <v>1.0016</v>
      </c>
    </row>
    <row r="5324">
      <c r="A5324" s="926" t="n">
        <v>39086</v>
      </c>
      <c r="B5324" t="n">
        <v>7.7895</v>
      </c>
      <c r="C5324" t="n">
        <v>1.0007</v>
      </c>
    </row>
    <row r="5325">
      <c r="A5325" s="926" t="n">
        <v>39087</v>
      </c>
      <c r="B5325" t="n">
        <v>7.7885</v>
      </c>
      <c r="C5325" t="n">
        <v>1.00045</v>
      </c>
    </row>
    <row r="5326">
      <c r="A5326" s="926" t="n">
        <v>39088</v>
      </c>
      <c r="B5326" t="n">
        <v>7.7895</v>
      </c>
      <c r="C5326" t="n">
        <v>1.0006</v>
      </c>
    </row>
    <row r="5327">
      <c r="A5327" s="926" t="n">
        <v>39090</v>
      </c>
      <c r="B5327" t="n">
        <v>7.7935</v>
      </c>
      <c r="C5327" t="n">
        <v>1.0006</v>
      </c>
    </row>
    <row r="5328">
      <c r="A5328" s="926" t="n">
        <v>39091</v>
      </c>
      <c r="B5328" t="n">
        <v>7.7955</v>
      </c>
      <c r="C5328" t="n">
        <v>1.00085</v>
      </c>
    </row>
    <row r="5329">
      <c r="A5329" s="926" t="n">
        <v>39092</v>
      </c>
      <c r="B5329" t="n">
        <v>7.7975</v>
      </c>
      <c r="C5329" t="n">
        <v>1.0006</v>
      </c>
    </row>
    <row r="5330">
      <c r="A5330" s="926" t="n">
        <v>39093</v>
      </c>
      <c r="B5330" t="n">
        <v>7.7965</v>
      </c>
      <c r="C5330" t="n">
        <v>1.0037</v>
      </c>
    </row>
    <row r="5331">
      <c r="A5331" s="926" t="n">
        <v>39094</v>
      </c>
      <c r="B5331" t="n">
        <v>7.7985</v>
      </c>
      <c r="C5331" t="n">
        <v>1.0037</v>
      </c>
    </row>
    <row r="5332">
      <c r="A5332" s="926" t="n">
        <v>39095</v>
      </c>
      <c r="B5332" t="n">
        <v>7.7965</v>
      </c>
      <c r="C5332" t="n">
        <v>1.0034</v>
      </c>
    </row>
    <row r="5333">
      <c r="A5333" s="926" t="n">
        <v>39097</v>
      </c>
      <c r="B5333" t="n">
        <v>7.7975</v>
      </c>
      <c r="C5333" t="n">
        <v>1.00355</v>
      </c>
    </row>
    <row r="5334">
      <c r="A5334" s="926" t="n">
        <v>39098</v>
      </c>
      <c r="B5334" t="n">
        <v>7.7995</v>
      </c>
      <c r="C5334" t="n">
        <v>1.0038</v>
      </c>
    </row>
    <row r="5335">
      <c r="A5335" s="926" t="n">
        <v>39099</v>
      </c>
      <c r="B5335" t="n">
        <v>7.8045</v>
      </c>
      <c r="C5335" t="n">
        <v>1.0068</v>
      </c>
    </row>
    <row r="5336">
      <c r="A5336" s="926" t="n">
        <v>39100</v>
      </c>
      <c r="B5336" t="n">
        <v>7.8075</v>
      </c>
      <c r="C5336" t="n">
        <v>1.0072</v>
      </c>
    </row>
    <row r="5337">
      <c r="A5337" s="926" t="n">
        <v>39101</v>
      </c>
      <c r="B5337" t="n">
        <v>7.8085</v>
      </c>
      <c r="C5337" t="n">
        <v>1.0085</v>
      </c>
    </row>
    <row r="5338">
      <c r="A5338" s="926" t="n">
        <v>39102</v>
      </c>
      <c r="B5338" t="n">
        <v>7.8045</v>
      </c>
      <c r="C5338" t="n">
        <v>1.0083</v>
      </c>
    </row>
    <row r="5339">
      <c r="A5339" s="926" t="n">
        <v>39104</v>
      </c>
      <c r="B5339" t="n">
        <v>7.8065</v>
      </c>
      <c r="C5339" t="n">
        <v>1.0086</v>
      </c>
    </row>
    <row r="5340">
      <c r="A5340" s="926" t="n">
        <v>39105</v>
      </c>
      <c r="B5340" t="n">
        <v>7.8015</v>
      </c>
      <c r="C5340" t="n">
        <v>1.0077</v>
      </c>
    </row>
    <row r="5341">
      <c r="A5341" s="926" t="n">
        <v>39106</v>
      </c>
      <c r="B5341" t="n">
        <v>7.8015</v>
      </c>
      <c r="C5341" t="n">
        <v>1.00665</v>
      </c>
    </row>
    <row r="5342">
      <c r="A5342" s="926" t="n">
        <v>39107</v>
      </c>
      <c r="B5342" t="n">
        <v>7.8065</v>
      </c>
      <c r="C5342" t="n">
        <v>1.0069</v>
      </c>
    </row>
    <row r="5343">
      <c r="A5343" s="926" t="n">
        <v>39108</v>
      </c>
      <c r="B5343" t="n">
        <v>7.8075</v>
      </c>
      <c r="C5343" t="n">
        <v>1.0074</v>
      </c>
    </row>
    <row r="5344">
      <c r="A5344" s="926" t="n">
        <v>39109</v>
      </c>
      <c r="B5344" t="n">
        <v>7.8055</v>
      </c>
      <c r="C5344" t="n">
        <v>1.0076</v>
      </c>
    </row>
    <row r="5345">
      <c r="A5345" s="926" t="n">
        <v>39111</v>
      </c>
      <c r="B5345" t="n">
        <v>7.8105</v>
      </c>
      <c r="C5345" t="n">
        <v>1.0077</v>
      </c>
    </row>
    <row r="5346">
      <c r="A5346" s="926" t="n">
        <v>39112</v>
      </c>
      <c r="B5346" t="n">
        <v>7.8095</v>
      </c>
      <c r="C5346" t="n">
        <v>1.0076</v>
      </c>
    </row>
    <row r="5347">
      <c r="A5347" s="926" t="n">
        <v>39113</v>
      </c>
      <c r="B5347" t="n">
        <v>7.8065</v>
      </c>
      <c r="C5347" t="n">
        <v>1.0074</v>
      </c>
    </row>
    <row r="5348">
      <c r="A5348" s="926" t="n">
        <v>39114</v>
      </c>
      <c r="B5348" t="n">
        <v>7.8055</v>
      </c>
      <c r="C5348" t="n">
        <v>1.0087</v>
      </c>
    </row>
    <row r="5349">
      <c r="A5349" s="926" t="n">
        <v>39115</v>
      </c>
      <c r="B5349" t="n">
        <v>7.8055</v>
      </c>
      <c r="C5349" t="n">
        <v>1.0086</v>
      </c>
    </row>
    <row r="5350">
      <c r="A5350" s="926" t="n">
        <v>39116</v>
      </c>
      <c r="B5350" t="n">
        <v>7.8035</v>
      </c>
      <c r="C5350" t="n">
        <v>1.0082</v>
      </c>
    </row>
    <row r="5351">
      <c r="A5351" s="926" t="n">
        <v>39118</v>
      </c>
      <c r="B5351" t="n">
        <v>7.8085</v>
      </c>
      <c r="C5351" t="n">
        <v>1.0087</v>
      </c>
    </row>
    <row r="5352">
      <c r="A5352" s="926" t="n">
        <v>39119</v>
      </c>
      <c r="B5352" t="n">
        <v>7.8085</v>
      </c>
      <c r="C5352" t="n">
        <v>1.0098</v>
      </c>
    </row>
    <row r="5353">
      <c r="A5353" s="926" t="n">
        <v>39120</v>
      </c>
      <c r="B5353" t="n">
        <v>7.8095</v>
      </c>
      <c r="C5353" t="n">
        <v>1.0104</v>
      </c>
    </row>
    <row r="5354">
      <c r="A5354" s="926" t="n">
        <v>39121</v>
      </c>
      <c r="B5354" t="n">
        <v>7.8145</v>
      </c>
      <c r="C5354" t="n">
        <v>1.0124</v>
      </c>
    </row>
    <row r="5355">
      <c r="A5355" s="926" t="n">
        <v>39122</v>
      </c>
      <c r="B5355" t="n">
        <v>7.8135</v>
      </c>
      <c r="C5355" t="n">
        <v>1.0126</v>
      </c>
    </row>
    <row r="5356">
      <c r="A5356" s="926" t="n">
        <v>39123</v>
      </c>
      <c r="B5356" t="n">
        <v>7.8115</v>
      </c>
      <c r="C5356" t="n">
        <v>1.0124</v>
      </c>
    </row>
    <row r="5357">
      <c r="A5357" s="926" t="n">
        <v>39125</v>
      </c>
      <c r="B5357" t="n">
        <v>7.8135</v>
      </c>
      <c r="C5357" t="n">
        <v>1.0125</v>
      </c>
    </row>
    <row r="5358">
      <c r="A5358" s="926" t="n">
        <v>39126</v>
      </c>
      <c r="B5358" t="n">
        <v>7.8135</v>
      </c>
      <c r="C5358" t="n">
        <v>1.0126</v>
      </c>
    </row>
    <row r="5359">
      <c r="A5359" s="926" t="n">
        <v>39127</v>
      </c>
      <c r="B5359" t="n">
        <v>7.8135</v>
      </c>
      <c r="C5359" t="n">
        <v>1.0125</v>
      </c>
    </row>
    <row r="5360">
      <c r="A5360" s="926" t="n">
        <v>39128</v>
      </c>
      <c r="B5360" t="n">
        <v>7.8095</v>
      </c>
      <c r="C5360" t="n">
        <v>1.0125</v>
      </c>
    </row>
    <row r="5361">
      <c r="A5361" s="926" t="n">
        <v>39129</v>
      </c>
      <c r="B5361" t="n">
        <v>7.8125</v>
      </c>
      <c r="C5361" t="n">
        <v>1.0126</v>
      </c>
    </row>
    <row r="5362">
      <c r="A5362" s="926" t="n">
        <v>39134</v>
      </c>
      <c r="B5362" t="n">
        <v>7.8145</v>
      </c>
      <c r="C5362" t="n">
        <v>1.0117</v>
      </c>
    </row>
    <row r="5363">
      <c r="A5363" s="926" t="n">
        <v>39135</v>
      </c>
      <c r="B5363" t="n">
        <v>7.8105</v>
      </c>
      <c r="C5363" t="n">
        <v>1.0113</v>
      </c>
    </row>
    <row r="5364">
      <c r="A5364" s="926" t="n">
        <v>39136</v>
      </c>
      <c r="B5364" t="n">
        <v>7.8115</v>
      </c>
      <c r="C5364" t="n">
        <v>1.0116</v>
      </c>
    </row>
    <row r="5365">
      <c r="A5365" s="926" t="n">
        <v>39137</v>
      </c>
      <c r="B5365" t="n">
        <v>7.8055</v>
      </c>
      <c r="C5365" t="n">
        <v>1.0116</v>
      </c>
    </row>
    <row r="5366">
      <c r="A5366" s="926" t="n">
        <v>39139</v>
      </c>
      <c r="B5366" t="n">
        <v>7.8085</v>
      </c>
      <c r="C5366" t="n">
        <v>1.0127</v>
      </c>
    </row>
    <row r="5367">
      <c r="A5367" s="926" t="n">
        <v>39140</v>
      </c>
      <c r="B5367" t="n">
        <v>7.8135</v>
      </c>
      <c r="C5367" t="n">
        <v>1.0128</v>
      </c>
    </row>
    <row r="5368">
      <c r="A5368" s="926" t="n">
        <v>39141</v>
      </c>
      <c r="B5368" t="n">
        <v>7.8115</v>
      </c>
      <c r="C5368" t="n">
        <v>1.0125</v>
      </c>
    </row>
    <row r="5369">
      <c r="A5369" s="926" t="n">
        <v>39142</v>
      </c>
      <c r="B5369" t="n">
        <v>7.8105</v>
      </c>
      <c r="C5369" t="n">
        <v>1.0124</v>
      </c>
    </row>
    <row r="5370">
      <c r="A5370" s="926" t="n">
        <v>39143</v>
      </c>
      <c r="B5370" t="n">
        <v>7.8115</v>
      </c>
      <c r="C5370" t="n">
        <v>1.0125</v>
      </c>
    </row>
    <row r="5371">
      <c r="A5371" s="926" t="n">
        <v>39144</v>
      </c>
      <c r="B5371" t="n">
        <v>7.8105</v>
      </c>
      <c r="C5371" t="n">
        <v>1.0124</v>
      </c>
    </row>
    <row r="5372">
      <c r="A5372" s="926" t="n">
        <v>39146</v>
      </c>
      <c r="B5372" t="n">
        <v>7.8145</v>
      </c>
      <c r="C5372" t="n">
        <v>1.0129</v>
      </c>
    </row>
    <row r="5373">
      <c r="A5373" s="926" t="n">
        <v>39147</v>
      </c>
      <c r="B5373" t="n">
        <v>7.8135</v>
      </c>
      <c r="C5373" t="n">
        <v>1.0124</v>
      </c>
    </row>
    <row r="5374">
      <c r="A5374" s="926" t="n">
        <v>39148</v>
      </c>
      <c r="B5374" t="n">
        <v>7.8165</v>
      </c>
      <c r="C5374" t="n">
        <v>1.0125</v>
      </c>
    </row>
    <row r="5375">
      <c r="A5375" s="926" t="n">
        <v>39149</v>
      </c>
      <c r="B5375" t="n">
        <v>7.8155</v>
      </c>
      <c r="C5375" t="n">
        <v>1.0134</v>
      </c>
    </row>
    <row r="5376">
      <c r="A5376" s="926" t="n">
        <v>39150</v>
      </c>
      <c r="B5376" t="n">
        <v>7.8145</v>
      </c>
      <c r="C5376" t="n">
        <v>1.0137</v>
      </c>
    </row>
    <row r="5377">
      <c r="A5377" s="926" t="n">
        <v>39151</v>
      </c>
      <c r="B5377" t="n">
        <v>7.8125</v>
      </c>
      <c r="C5377" t="n">
        <v>1.0134</v>
      </c>
    </row>
    <row r="5378">
      <c r="A5378" s="926" t="n">
        <v>39153</v>
      </c>
      <c r="B5378" t="n">
        <v>7.8145</v>
      </c>
      <c r="C5378" t="n">
        <v>1.0125</v>
      </c>
    </row>
    <row r="5379">
      <c r="A5379" s="926" t="n">
        <v>39154</v>
      </c>
      <c r="B5379" t="n">
        <v>7.8155</v>
      </c>
      <c r="C5379" t="n">
        <v>1.0126</v>
      </c>
    </row>
    <row r="5380">
      <c r="A5380" s="926" t="n">
        <v>39155</v>
      </c>
      <c r="B5380" t="n">
        <v>7.8145</v>
      </c>
      <c r="C5380" t="n">
        <v>1.0124</v>
      </c>
    </row>
    <row r="5381">
      <c r="A5381" s="926" t="n">
        <v>39156</v>
      </c>
      <c r="B5381" t="n">
        <v>7.8135</v>
      </c>
      <c r="C5381" t="n">
        <v>1.0125</v>
      </c>
    </row>
    <row r="5382">
      <c r="A5382" s="926" t="n">
        <v>39157</v>
      </c>
      <c r="B5382" t="n">
        <v>7.8115</v>
      </c>
      <c r="C5382" t="n">
        <v>1.0124</v>
      </c>
    </row>
    <row r="5383">
      <c r="A5383" s="926" t="n">
        <v>39158</v>
      </c>
      <c r="B5383" t="n">
        <v>7.8095</v>
      </c>
      <c r="C5383" t="n">
        <v>1.01265</v>
      </c>
    </row>
    <row r="5384">
      <c r="A5384" s="926" t="n">
        <v>39160</v>
      </c>
      <c r="B5384" t="n">
        <v>7.8115</v>
      </c>
      <c r="C5384" t="n">
        <v>1.0124</v>
      </c>
    </row>
    <row r="5385">
      <c r="A5385" s="926" t="n">
        <v>39161</v>
      </c>
      <c r="B5385" t="n">
        <v>7.8125</v>
      </c>
      <c r="C5385" t="n">
        <v>1.0125</v>
      </c>
    </row>
    <row r="5386">
      <c r="A5386" s="926" t="n">
        <v>39162</v>
      </c>
      <c r="B5386" t="n">
        <v>7.8115</v>
      </c>
      <c r="C5386" t="n">
        <v>1.0124</v>
      </c>
    </row>
    <row r="5387">
      <c r="A5387" s="926" t="n">
        <v>39163</v>
      </c>
      <c r="B5387" t="n">
        <v>7.8095</v>
      </c>
      <c r="C5387" t="n">
        <v>1.0124</v>
      </c>
    </row>
    <row r="5388">
      <c r="A5388" s="926" t="n">
        <v>39164</v>
      </c>
      <c r="B5388" t="n">
        <v>7.8125</v>
      </c>
      <c r="C5388" t="n">
        <v>1.0137</v>
      </c>
    </row>
    <row r="5389">
      <c r="A5389" s="926" t="n">
        <v>39165</v>
      </c>
      <c r="B5389" t="n">
        <v>7.8085</v>
      </c>
      <c r="C5389" t="n">
        <v>1.0132</v>
      </c>
    </row>
    <row r="5390">
      <c r="A5390" s="926" t="n">
        <v>39167</v>
      </c>
      <c r="B5390" t="n">
        <v>7.8135</v>
      </c>
      <c r="C5390" t="n">
        <v>1.0134</v>
      </c>
    </row>
    <row r="5391">
      <c r="A5391" s="926" t="n">
        <v>39168</v>
      </c>
      <c r="B5391" t="n">
        <v>7.8135</v>
      </c>
      <c r="C5391" t="n">
        <v>1.0134</v>
      </c>
    </row>
    <row r="5392">
      <c r="A5392" s="926" t="n">
        <v>39169</v>
      </c>
      <c r="B5392" t="n">
        <v>7.8135</v>
      </c>
      <c r="C5392" t="n">
        <v>1.0126</v>
      </c>
    </row>
    <row r="5393">
      <c r="A5393" s="926" t="n">
        <v>39170</v>
      </c>
      <c r="B5393" t="n">
        <v>7.8135</v>
      </c>
      <c r="C5393" t="n">
        <v>1.0126</v>
      </c>
    </row>
    <row r="5394">
      <c r="A5394" s="926" t="n">
        <v>39171</v>
      </c>
      <c r="B5394" t="n">
        <v>7.8145</v>
      </c>
      <c r="C5394" t="n">
        <v>1.0128</v>
      </c>
    </row>
    <row r="5395">
      <c r="A5395" s="926" t="n">
        <v>39172</v>
      </c>
      <c r="B5395" t="n">
        <v>7.8105</v>
      </c>
      <c r="C5395" t="n">
        <v>1.0123</v>
      </c>
    </row>
    <row r="5396">
      <c r="A5396" s="926" t="n">
        <v>39174</v>
      </c>
      <c r="B5396" t="n">
        <v>7.8155</v>
      </c>
      <c r="C5396" t="n">
        <v>1.0126</v>
      </c>
    </row>
    <row r="5397">
      <c r="A5397" s="926" t="n">
        <v>39175</v>
      </c>
      <c r="B5397" t="n">
        <v>7.8155</v>
      </c>
      <c r="C5397" t="n">
        <v>1.01435</v>
      </c>
    </row>
    <row r="5398">
      <c r="A5398" s="926" t="n">
        <v>39176</v>
      </c>
      <c r="B5398" t="n">
        <v>7.8155</v>
      </c>
      <c r="C5398" t="n">
        <v>1.01435</v>
      </c>
    </row>
    <row r="5399">
      <c r="A5399" s="926" t="n">
        <v>39182</v>
      </c>
      <c r="B5399" t="n">
        <v>7.8155</v>
      </c>
      <c r="C5399" t="n">
        <v>1.01435</v>
      </c>
    </row>
    <row r="5400">
      <c r="A5400" s="926" t="n">
        <v>39183</v>
      </c>
      <c r="B5400" t="n">
        <v>7.8125</v>
      </c>
      <c r="C5400" t="n">
        <v>1.0145</v>
      </c>
    </row>
    <row r="5401">
      <c r="A5401" s="926" t="n">
        <v>39184</v>
      </c>
      <c r="B5401" t="n">
        <v>7.8155</v>
      </c>
      <c r="C5401" t="n">
        <v>1.0147</v>
      </c>
    </row>
    <row r="5402">
      <c r="A5402" s="926" t="n">
        <v>39185</v>
      </c>
      <c r="B5402" t="n">
        <v>7.8155</v>
      </c>
      <c r="C5402" t="n">
        <v>1.0146</v>
      </c>
    </row>
    <row r="5403">
      <c r="A5403" s="926" t="n">
        <v>39186</v>
      </c>
      <c r="B5403" t="n">
        <v>7.8095</v>
      </c>
      <c r="C5403" t="n">
        <v>1.0144</v>
      </c>
    </row>
    <row r="5404">
      <c r="A5404" s="926" t="n">
        <v>39188</v>
      </c>
      <c r="B5404" t="n">
        <v>7.8145</v>
      </c>
      <c r="C5404" t="n">
        <v>1.0146</v>
      </c>
    </row>
    <row r="5405">
      <c r="A5405" s="926" t="n">
        <v>39189</v>
      </c>
      <c r="B5405" t="n">
        <v>7.8125</v>
      </c>
      <c r="C5405" t="n">
        <v>1.0146</v>
      </c>
    </row>
    <row r="5406">
      <c r="A5406" s="926" t="n">
        <v>39190</v>
      </c>
      <c r="B5406" t="n">
        <v>7.8115</v>
      </c>
      <c r="C5406" t="n">
        <v>1.0145</v>
      </c>
    </row>
    <row r="5407">
      <c r="A5407" s="926" t="n">
        <v>39191</v>
      </c>
      <c r="B5407" t="n">
        <v>7.8135</v>
      </c>
      <c r="C5407" t="n">
        <v>1.01475</v>
      </c>
    </row>
    <row r="5408">
      <c r="A5408" s="926" t="n">
        <v>39192</v>
      </c>
      <c r="B5408" t="n">
        <v>7.8135</v>
      </c>
      <c r="C5408" t="n">
        <v>1.0144</v>
      </c>
    </row>
    <row r="5409">
      <c r="A5409" s="926" t="n">
        <v>39193</v>
      </c>
      <c r="B5409" t="n">
        <v>7.8115</v>
      </c>
      <c r="C5409" t="n">
        <v>1.0141</v>
      </c>
    </row>
    <row r="5410">
      <c r="A5410" s="926" t="n">
        <v>39195</v>
      </c>
      <c r="B5410" t="n">
        <v>7.8145</v>
      </c>
      <c r="C5410" t="n">
        <v>1.0145</v>
      </c>
    </row>
    <row r="5411">
      <c r="A5411" s="926" t="n">
        <v>39196</v>
      </c>
      <c r="B5411" t="n">
        <v>7.8155</v>
      </c>
      <c r="C5411" t="n">
        <v>1.0146</v>
      </c>
    </row>
    <row r="5412">
      <c r="A5412" s="926" t="n">
        <v>39197</v>
      </c>
      <c r="B5412" t="n">
        <v>7.8175</v>
      </c>
      <c r="C5412" t="n">
        <v>1.0145</v>
      </c>
    </row>
    <row r="5413">
      <c r="A5413" s="926" t="n">
        <v>39198</v>
      </c>
      <c r="B5413" t="n">
        <v>7.8205</v>
      </c>
      <c r="C5413" t="n">
        <v>1.0155</v>
      </c>
    </row>
    <row r="5414">
      <c r="A5414" s="926" t="n">
        <v>39199</v>
      </c>
      <c r="B5414" t="n">
        <v>7.8215</v>
      </c>
      <c r="C5414" t="n">
        <v>1.0155</v>
      </c>
    </row>
    <row r="5415">
      <c r="A5415" s="926" t="n">
        <v>39200</v>
      </c>
      <c r="B5415" t="n">
        <v>7.8185</v>
      </c>
      <c r="C5415" t="n">
        <v>1.0155</v>
      </c>
    </row>
    <row r="5416">
      <c r="A5416" s="926" t="n">
        <v>39202</v>
      </c>
      <c r="B5416" t="n">
        <v>7.8215</v>
      </c>
      <c r="C5416" t="n">
        <v>1.0158</v>
      </c>
    </row>
    <row r="5417">
      <c r="A5417" s="926" t="n">
        <v>39204</v>
      </c>
      <c r="B5417" t="n">
        <v>7.8225</v>
      </c>
      <c r="C5417" t="n">
        <v>1.01565</v>
      </c>
    </row>
    <row r="5418">
      <c r="A5418" s="926" t="n">
        <v>39205</v>
      </c>
      <c r="B5418" t="n">
        <v>7.8205</v>
      </c>
      <c r="C5418" t="n">
        <v>1.0157</v>
      </c>
    </row>
    <row r="5419">
      <c r="A5419" s="926" t="n">
        <v>39206</v>
      </c>
      <c r="B5419" t="n">
        <v>7.8205</v>
      </c>
      <c r="C5419" t="n">
        <v>1.0158</v>
      </c>
    </row>
    <row r="5420">
      <c r="A5420" s="926" t="n">
        <v>39207</v>
      </c>
      <c r="B5420" t="n">
        <v>7.8195</v>
      </c>
      <c r="C5420" t="n">
        <v>1.0158</v>
      </c>
    </row>
    <row r="5421">
      <c r="A5421" s="926" t="n">
        <v>39209</v>
      </c>
      <c r="B5421" t="n">
        <v>7.8175</v>
      </c>
      <c r="C5421" t="n">
        <v>1.0186</v>
      </c>
    </row>
    <row r="5422">
      <c r="A5422" s="926" t="n">
        <v>39210</v>
      </c>
      <c r="B5422" t="n">
        <v>7.8185</v>
      </c>
      <c r="C5422" t="n">
        <v>1.0184</v>
      </c>
    </row>
    <row r="5423">
      <c r="A5423" s="926" t="n">
        <v>39211</v>
      </c>
      <c r="B5423" t="n">
        <v>7.8185</v>
      </c>
      <c r="C5423" t="n">
        <v>1.0184</v>
      </c>
    </row>
    <row r="5424">
      <c r="A5424" s="926" t="n">
        <v>39212</v>
      </c>
      <c r="B5424" t="n">
        <v>7.8195</v>
      </c>
      <c r="C5424" t="n">
        <v>1.0186</v>
      </c>
    </row>
    <row r="5425">
      <c r="A5425" s="926" t="n">
        <v>39213</v>
      </c>
      <c r="B5425" t="n">
        <v>7.8215</v>
      </c>
      <c r="C5425" t="n">
        <v>1.0195</v>
      </c>
    </row>
    <row r="5426">
      <c r="A5426" s="926" t="n">
        <v>39214</v>
      </c>
      <c r="B5426" t="n">
        <v>7.8165</v>
      </c>
      <c r="C5426" t="n">
        <v>1.01885</v>
      </c>
    </row>
    <row r="5427">
      <c r="A5427" s="926" t="n">
        <v>39216</v>
      </c>
      <c r="B5427" t="n">
        <v>7.8135</v>
      </c>
      <c r="C5427" t="n">
        <v>1.02045</v>
      </c>
    </row>
    <row r="5428">
      <c r="A5428" s="926" t="n">
        <v>39217</v>
      </c>
      <c r="B5428" t="n">
        <v>7.8155</v>
      </c>
      <c r="C5428" t="n">
        <v>1.02085</v>
      </c>
    </row>
    <row r="5429">
      <c r="A5429" s="926" t="n">
        <v>39218</v>
      </c>
      <c r="B5429" t="n">
        <v>7.8185</v>
      </c>
      <c r="C5429" t="n">
        <v>1.0207</v>
      </c>
    </row>
    <row r="5430">
      <c r="A5430" s="926" t="n">
        <v>39219</v>
      </c>
      <c r="B5430" t="n">
        <v>7.8195</v>
      </c>
      <c r="C5430" t="n">
        <v>1.0206</v>
      </c>
    </row>
    <row r="5431">
      <c r="A5431" s="926" t="n">
        <v>39220</v>
      </c>
      <c r="B5431" t="n">
        <v>7.8225</v>
      </c>
      <c r="C5431" t="n">
        <v>1.0216</v>
      </c>
    </row>
    <row r="5432">
      <c r="A5432" s="926" t="n">
        <v>39221</v>
      </c>
      <c r="B5432" t="n">
        <v>7.8155</v>
      </c>
      <c r="C5432" t="n">
        <v>1.0215</v>
      </c>
    </row>
    <row r="5433">
      <c r="A5433" s="926" t="n">
        <v>39223</v>
      </c>
      <c r="B5433" t="n">
        <v>7.8215</v>
      </c>
      <c r="C5433" t="n">
        <v>1.0236</v>
      </c>
    </row>
    <row r="5434">
      <c r="A5434" s="926" t="n">
        <v>39224</v>
      </c>
      <c r="B5434" t="n">
        <v>7.8235</v>
      </c>
      <c r="C5434" t="n">
        <v>1.0243</v>
      </c>
    </row>
    <row r="5435">
      <c r="A5435" s="926" t="n">
        <v>39225</v>
      </c>
      <c r="B5435" t="n">
        <v>7.8235</v>
      </c>
      <c r="C5435" t="n">
        <v>1.02455</v>
      </c>
    </row>
    <row r="5436">
      <c r="A5436" s="926" t="n">
        <v>39227</v>
      </c>
      <c r="B5436" t="n">
        <v>7.8235</v>
      </c>
      <c r="C5436" t="n">
        <v>1.0244</v>
      </c>
    </row>
    <row r="5437">
      <c r="A5437" s="926" t="n">
        <v>39228</v>
      </c>
      <c r="B5437" t="n">
        <v>7.8225</v>
      </c>
      <c r="C5437" t="n">
        <v>1.0246</v>
      </c>
    </row>
    <row r="5438">
      <c r="A5438" s="926" t="n">
        <v>39230</v>
      </c>
      <c r="B5438" t="n">
        <v>7.8215</v>
      </c>
      <c r="C5438" t="n">
        <v>1.02445</v>
      </c>
    </row>
    <row r="5439">
      <c r="A5439" s="926" t="n">
        <v>39231</v>
      </c>
      <c r="B5439" t="n">
        <v>7.8195</v>
      </c>
      <c r="C5439" t="n">
        <v>1.02565</v>
      </c>
    </row>
    <row r="5440">
      <c r="A5440" s="926" t="n">
        <v>39232</v>
      </c>
      <c r="B5440" t="n">
        <v>7.8025</v>
      </c>
      <c r="C5440" t="n">
        <v>1.0237</v>
      </c>
    </row>
    <row r="5441">
      <c r="A5441" s="926" t="n">
        <v>39233</v>
      </c>
      <c r="B5441" t="n">
        <v>7.8095</v>
      </c>
      <c r="C5441" t="n">
        <v>1.02595</v>
      </c>
    </row>
    <row r="5442">
      <c r="A5442" s="926" t="n">
        <v>39234</v>
      </c>
      <c r="B5442" t="n">
        <v>7.8095</v>
      </c>
      <c r="C5442" t="n">
        <v>1.02395</v>
      </c>
    </row>
    <row r="5443">
      <c r="A5443" s="926" t="n">
        <v>39235</v>
      </c>
      <c r="B5443" t="n">
        <v>7.8065</v>
      </c>
      <c r="C5443" t="n">
        <v>1.0246</v>
      </c>
    </row>
    <row r="5444">
      <c r="A5444" s="926" t="n">
        <v>39237</v>
      </c>
      <c r="B5444" t="n">
        <v>7.8055</v>
      </c>
      <c r="C5444" t="n">
        <v>1.02395</v>
      </c>
    </row>
    <row r="5445">
      <c r="A5445" s="926" t="n">
        <v>39238</v>
      </c>
      <c r="B5445" t="n">
        <v>7.8065</v>
      </c>
      <c r="C5445" t="n">
        <v>1.0234</v>
      </c>
    </row>
    <row r="5446">
      <c r="A5446" s="926" t="n">
        <v>39239</v>
      </c>
      <c r="B5446" t="n">
        <v>7.8105</v>
      </c>
      <c r="C5446" t="n">
        <v>1.0249</v>
      </c>
    </row>
    <row r="5447">
      <c r="A5447" s="926" t="n">
        <v>39240</v>
      </c>
      <c r="B5447" t="n">
        <v>7.8125</v>
      </c>
      <c r="C5447" t="n">
        <v>1.02475</v>
      </c>
    </row>
    <row r="5448">
      <c r="A5448" s="926" t="n">
        <v>39241</v>
      </c>
      <c r="B5448" t="n">
        <v>7.8145</v>
      </c>
      <c r="C5448" t="n">
        <v>1.0246</v>
      </c>
    </row>
    <row r="5449">
      <c r="A5449" s="926" t="n">
        <v>39242</v>
      </c>
      <c r="B5449" t="n">
        <v>7.8115</v>
      </c>
      <c r="C5449" t="n">
        <v>1.0242</v>
      </c>
    </row>
    <row r="5450">
      <c r="A5450" s="926" t="n">
        <v>39244</v>
      </c>
      <c r="B5450" t="n">
        <v>7.8125</v>
      </c>
      <c r="C5450" t="n">
        <v>1.0246</v>
      </c>
    </row>
    <row r="5451">
      <c r="A5451" s="926" t="n">
        <v>39245</v>
      </c>
      <c r="B5451" t="n">
        <v>7.8145</v>
      </c>
      <c r="C5451" t="n">
        <v>1.0247</v>
      </c>
    </row>
    <row r="5452">
      <c r="A5452" s="926" t="n">
        <v>39246</v>
      </c>
      <c r="B5452" t="n">
        <v>7.8165</v>
      </c>
      <c r="C5452" t="n">
        <v>1.02755</v>
      </c>
    </row>
    <row r="5453">
      <c r="A5453" s="926" t="n">
        <v>39247</v>
      </c>
      <c r="B5453" t="n">
        <v>7.8155</v>
      </c>
      <c r="C5453" t="n">
        <v>1.02755</v>
      </c>
    </row>
    <row r="5454">
      <c r="A5454" s="926" t="n">
        <v>39248</v>
      </c>
      <c r="B5454" t="n">
        <v>7.8185</v>
      </c>
      <c r="C5454" t="n">
        <v>1.0278</v>
      </c>
    </row>
    <row r="5455">
      <c r="A5455" s="926" t="n">
        <v>39249</v>
      </c>
      <c r="B5455" t="n">
        <v>7.8155</v>
      </c>
      <c r="C5455" t="n">
        <v>1.02755</v>
      </c>
    </row>
    <row r="5456">
      <c r="A5456" s="926" t="n">
        <v>39251</v>
      </c>
      <c r="B5456" t="n">
        <v>7.8185</v>
      </c>
      <c r="C5456" t="n">
        <v>1.0285</v>
      </c>
    </row>
    <row r="5457">
      <c r="A5457" s="926" t="n">
        <v>39253</v>
      </c>
      <c r="B5457" t="n">
        <v>7.8165</v>
      </c>
      <c r="C5457" t="n">
        <v>1.0285</v>
      </c>
    </row>
    <row r="5458">
      <c r="A5458" s="926" t="n">
        <v>39254</v>
      </c>
      <c r="B5458" t="n">
        <v>7.8125</v>
      </c>
      <c r="C5458" t="n">
        <v>1.0281</v>
      </c>
    </row>
    <row r="5459">
      <c r="A5459" s="926" t="n">
        <v>39255</v>
      </c>
      <c r="B5459" t="n">
        <v>7.8135</v>
      </c>
      <c r="C5459" t="n">
        <v>1.02865</v>
      </c>
    </row>
    <row r="5460">
      <c r="A5460" s="926" t="n">
        <v>39256</v>
      </c>
      <c r="B5460" t="n">
        <v>7.8115</v>
      </c>
      <c r="C5460" t="n">
        <v>1.0284</v>
      </c>
    </row>
    <row r="5461">
      <c r="A5461" s="926" t="n">
        <v>39258</v>
      </c>
      <c r="B5461" t="n">
        <v>7.8145</v>
      </c>
      <c r="C5461" t="n">
        <v>1.0288</v>
      </c>
    </row>
    <row r="5462">
      <c r="A5462" s="926" t="n">
        <v>39259</v>
      </c>
      <c r="B5462" t="n">
        <v>7.8135</v>
      </c>
      <c r="C5462" t="n">
        <v>1.02865</v>
      </c>
    </row>
    <row r="5463">
      <c r="A5463" s="926" t="n">
        <v>39260</v>
      </c>
      <c r="B5463" t="n">
        <v>7.8135</v>
      </c>
      <c r="C5463" t="n">
        <v>1.02865</v>
      </c>
    </row>
    <row r="5464">
      <c r="A5464" s="926" t="n">
        <v>39261</v>
      </c>
      <c r="B5464" t="n">
        <v>7.8145</v>
      </c>
      <c r="C5464" t="n">
        <v>1.02865</v>
      </c>
    </row>
    <row r="5465">
      <c r="A5465" s="926" t="n">
        <v>39262</v>
      </c>
      <c r="B5465" t="n">
        <v>7.8165</v>
      </c>
      <c r="C5465" t="n">
        <v>1.02865</v>
      </c>
    </row>
    <row r="5466">
      <c r="A5466" s="926" t="n">
        <v>39263</v>
      </c>
      <c r="B5466" t="n">
        <v>7.8125</v>
      </c>
      <c r="C5466" t="n">
        <v>1.0296</v>
      </c>
    </row>
    <row r="5467">
      <c r="A5467" s="926" t="n">
        <v>39266</v>
      </c>
      <c r="B5467" t="n">
        <v>7.8145</v>
      </c>
      <c r="C5467" t="n">
        <v>1.03165</v>
      </c>
    </row>
    <row r="5468">
      <c r="A5468" s="926" t="n">
        <v>39267</v>
      </c>
      <c r="B5468" t="n">
        <v>7.8125</v>
      </c>
      <c r="C5468" t="n">
        <v>1.03175</v>
      </c>
    </row>
    <row r="5469">
      <c r="A5469" s="926" t="n">
        <v>39268</v>
      </c>
      <c r="B5469" t="n">
        <v>7.8155</v>
      </c>
      <c r="C5469" t="n">
        <v>1.02755</v>
      </c>
    </row>
    <row r="5470">
      <c r="A5470" s="926" t="n">
        <v>39269</v>
      </c>
      <c r="B5470" t="n">
        <v>7.8175</v>
      </c>
      <c r="C5470" t="n">
        <v>1.0315</v>
      </c>
    </row>
    <row r="5471">
      <c r="A5471" s="926" t="n">
        <v>39270</v>
      </c>
      <c r="B5471" t="n">
        <v>7.8135</v>
      </c>
      <c r="C5471" t="n">
        <v>1.03165</v>
      </c>
    </row>
    <row r="5472">
      <c r="A5472" s="926" t="n">
        <v>39272</v>
      </c>
      <c r="B5472" t="n">
        <v>7.8175</v>
      </c>
      <c r="C5472" t="n">
        <v>1.0315</v>
      </c>
    </row>
    <row r="5473">
      <c r="A5473" s="926" t="n">
        <v>39273</v>
      </c>
      <c r="B5473" t="n">
        <v>7.8155</v>
      </c>
      <c r="C5473" t="n">
        <v>1.0323</v>
      </c>
    </row>
    <row r="5474">
      <c r="A5474" s="926" t="n">
        <v>39274</v>
      </c>
      <c r="B5474" t="n">
        <v>7.8165</v>
      </c>
      <c r="C5474" t="n">
        <v>1.03545</v>
      </c>
    </row>
    <row r="5475">
      <c r="A5475" s="926" t="n">
        <v>39275</v>
      </c>
      <c r="B5475" t="n">
        <v>7.8145</v>
      </c>
      <c r="C5475" t="n">
        <v>1.0353</v>
      </c>
    </row>
    <row r="5476">
      <c r="A5476" s="926" t="n">
        <v>39276</v>
      </c>
      <c r="B5476" t="n">
        <v>7.8175</v>
      </c>
      <c r="C5476" t="n">
        <v>1.03555</v>
      </c>
    </row>
    <row r="5477">
      <c r="A5477" s="926" t="n">
        <v>39277</v>
      </c>
      <c r="B5477" t="n">
        <v>7.8155</v>
      </c>
      <c r="C5477" t="n">
        <v>1.03515</v>
      </c>
    </row>
    <row r="5478">
      <c r="A5478" s="926" t="n">
        <v>39279</v>
      </c>
      <c r="B5478" t="n">
        <v>7.8195</v>
      </c>
      <c r="C5478" t="n">
        <v>1.03655</v>
      </c>
    </row>
    <row r="5479">
      <c r="A5479" s="926" t="n">
        <v>39280</v>
      </c>
      <c r="B5479" t="n">
        <v>7.8195</v>
      </c>
      <c r="C5479" t="n">
        <v>1.0375</v>
      </c>
    </row>
    <row r="5480">
      <c r="A5480" s="926" t="n">
        <v>39281</v>
      </c>
      <c r="B5480" t="n">
        <v>7.8205</v>
      </c>
      <c r="C5480" t="n">
        <v>1.03765</v>
      </c>
    </row>
    <row r="5481">
      <c r="A5481" s="926" t="n">
        <v>39282</v>
      </c>
      <c r="B5481" t="n">
        <v>7.8205</v>
      </c>
      <c r="C5481" t="n">
        <v>1.0375</v>
      </c>
    </row>
    <row r="5482">
      <c r="A5482" s="926" t="n">
        <v>39283</v>
      </c>
      <c r="B5482" t="n">
        <v>7.8195</v>
      </c>
      <c r="C5482" t="n">
        <v>1.03705</v>
      </c>
    </row>
    <row r="5483">
      <c r="A5483" s="926" t="n">
        <v>39284</v>
      </c>
      <c r="B5483" t="n">
        <v>7.8165</v>
      </c>
      <c r="C5483" t="n">
        <v>1.03735</v>
      </c>
    </row>
    <row r="5484">
      <c r="A5484" s="926" t="n">
        <v>39286</v>
      </c>
      <c r="B5484" t="n">
        <v>7.8195</v>
      </c>
      <c r="C5484" t="n">
        <v>1.0375</v>
      </c>
    </row>
    <row r="5485">
      <c r="A5485" s="926" t="n">
        <v>39287</v>
      </c>
      <c r="B5485" t="n">
        <v>7.8215</v>
      </c>
      <c r="C5485" t="n">
        <v>1.03765</v>
      </c>
    </row>
    <row r="5486">
      <c r="A5486" s="926" t="n">
        <v>39288</v>
      </c>
      <c r="B5486" t="n">
        <v>7.8225</v>
      </c>
      <c r="C5486" t="n">
        <v>1.03745</v>
      </c>
    </row>
    <row r="5487">
      <c r="A5487" s="926" t="n">
        <v>39289</v>
      </c>
      <c r="B5487" t="n">
        <v>7.8225</v>
      </c>
      <c r="C5487" t="n">
        <v>1.03745</v>
      </c>
    </row>
    <row r="5488">
      <c r="A5488" s="926" t="n">
        <v>39290</v>
      </c>
      <c r="B5488" t="n">
        <v>7.8215</v>
      </c>
      <c r="C5488" t="n">
        <v>1.0383</v>
      </c>
    </row>
    <row r="5489">
      <c r="A5489" s="926" t="n">
        <v>39291</v>
      </c>
      <c r="B5489" t="n">
        <v>7.8215</v>
      </c>
      <c r="C5489" t="n">
        <v>1.0383</v>
      </c>
    </row>
    <row r="5490">
      <c r="A5490" s="926" t="n">
        <v>39293</v>
      </c>
      <c r="B5490" t="n">
        <v>7.8235</v>
      </c>
      <c r="C5490" t="n">
        <v>1.03845</v>
      </c>
    </row>
    <row r="5491">
      <c r="A5491" s="926" t="n">
        <v>39294</v>
      </c>
      <c r="B5491" t="n">
        <v>7.8245</v>
      </c>
      <c r="C5491" t="n">
        <v>1.03855</v>
      </c>
    </row>
    <row r="5492">
      <c r="A5492" s="926" t="n">
        <v>39295</v>
      </c>
      <c r="B5492" t="n">
        <v>7.8285</v>
      </c>
      <c r="C5492" t="n">
        <v>1.03895</v>
      </c>
    </row>
    <row r="5493">
      <c r="A5493" s="926" t="n">
        <v>39296</v>
      </c>
      <c r="B5493" t="n">
        <v>7.8285</v>
      </c>
      <c r="C5493" t="n">
        <v>1.0384</v>
      </c>
    </row>
    <row r="5494">
      <c r="A5494" s="926" t="n">
        <v>39297</v>
      </c>
      <c r="B5494" t="n">
        <v>7.8285</v>
      </c>
      <c r="C5494" t="n">
        <v>1.03855</v>
      </c>
    </row>
    <row r="5495">
      <c r="A5495" s="926" t="n">
        <v>39298</v>
      </c>
      <c r="B5495" t="n">
        <v>7.8265</v>
      </c>
      <c r="C5495" t="n">
        <v>1.03825</v>
      </c>
    </row>
    <row r="5496">
      <c r="A5496" s="926" t="n">
        <v>39300</v>
      </c>
      <c r="B5496" t="n">
        <v>7.8285</v>
      </c>
      <c r="C5496" t="n">
        <v>1.03855</v>
      </c>
    </row>
    <row r="5497">
      <c r="A5497" s="926" t="n">
        <v>39301</v>
      </c>
      <c r="B5497" t="n">
        <v>7.8285</v>
      </c>
      <c r="C5497" t="n">
        <v>1.0384</v>
      </c>
    </row>
    <row r="5498">
      <c r="A5498" s="926" t="n">
        <v>39302</v>
      </c>
      <c r="B5498" t="n">
        <v>7.8285</v>
      </c>
      <c r="C5498" t="n">
        <v>1.0384</v>
      </c>
    </row>
    <row r="5499">
      <c r="A5499" s="926" t="n">
        <v>39303</v>
      </c>
      <c r="B5499" t="n">
        <v>7.8285</v>
      </c>
      <c r="C5499" t="n">
        <v>1.0387</v>
      </c>
    </row>
    <row r="5500">
      <c r="A5500" s="926" t="n">
        <v>39304</v>
      </c>
      <c r="B5500" t="n">
        <v>7.8195</v>
      </c>
      <c r="C5500" t="n">
        <v>1.03885</v>
      </c>
    </row>
    <row r="5501">
      <c r="A5501" s="926" t="n">
        <v>39305</v>
      </c>
      <c r="B5501" t="n">
        <v>7.8185</v>
      </c>
      <c r="C5501" t="n">
        <v>1.03845</v>
      </c>
    </row>
    <row r="5502">
      <c r="A5502" s="926" t="n">
        <v>39307</v>
      </c>
      <c r="B5502" t="n">
        <v>7.8215</v>
      </c>
      <c r="C5502" t="n">
        <v>1.03635</v>
      </c>
    </row>
    <row r="5503">
      <c r="A5503" s="926" t="n">
        <v>39308</v>
      </c>
      <c r="B5503" t="n">
        <v>7.8205</v>
      </c>
      <c r="C5503" t="n">
        <v>1.0364</v>
      </c>
    </row>
    <row r="5504">
      <c r="A5504" s="926" t="n">
        <v>39309</v>
      </c>
      <c r="B5504" t="n">
        <v>7.8155</v>
      </c>
      <c r="C5504" t="n">
        <v>1.03585</v>
      </c>
    </row>
    <row r="5505">
      <c r="A5505" s="926" t="n">
        <v>39310</v>
      </c>
      <c r="B5505" t="n">
        <v>7.8155</v>
      </c>
      <c r="C5505" t="n">
        <v>1.0345</v>
      </c>
    </row>
    <row r="5506">
      <c r="A5506" s="926" t="n">
        <v>39311</v>
      </c>
      <c r="B5506" t="n">
        <v>7.8005</v>
      </c>
      <c r="C5506" t="n">
        <v>1.03445</v>
      </c>
    </row>
    <row r="5507">
      <c r="A5507" s="926" t="n">
        <v>39312</v>
      </c>
      <c r="B5507" t="n">
        <v>7.8105</v>
      </c>
      <c r="C5507" t="n">
        <v>1.03575</v>
      </c>
    </row>
    <row r="5508">
      <c r="A5508" s="926" t="n">
        <v>39314</v>
      </c>
      <c r="B5508" t="n">
        <v>7.8135</v>
      </c>
      <c r="C5508" t="n">
        <v>1.0345</v>
      </c>
    </row>
    <row r="5509">
      <c r="A5509" s="926" t="n">
        <v>39315</v>
      </c>
      <c r="B5509" t="n">
        <v>7.8115</v>
      </c>
      <c r="C5509" t="n">
        <v>1.03465</v>
      </c>
    </row>
    <row r="5510">
      <c r="A5510" s="926" t="n">
        <v>39316</v>
      </c>
      <c r="B5510" t="n">
        <v>7.8085</v>
      </c>
      <c r="C5510" t="n">
        <v>1.03385</v>
      </c>
    </row>
    <row r="5511">
      <c r="A5511" s="926" t="n">
        <v>39317</v>
      </c>
      <c r="B5511" t="n">
        <v>7.8085</v>
      </c>
      <c r="C5511" t="n">
        <v>1.03315</v>
      </c>
    </row>
    <row r="5512">
      <c r="A5512" s="926" t="n">
        <v>39318</v>
      </c>
      <c r="B5512" t="n">
        <v>7.8075</v>
      </c>
      <c r="C5512" t="n">
        <v>1.03615</v>
      </c>
    </row>
    <row r="5513">
      <c r="A5513" s="926" t="n">
        <v>39319</v>
      </c>
      <c r="B5513" t="n">
        <v>7.7955</v>
      </c>
      <c r="C5513" t="n">
        <v>1.03455</v>
      </c>
    </row>
    <row r="5514">
      <c r="A5514" s="926" t="n">
        <v>39321</v>
      </c>
      <c r="B5514" t="n">
        <v>7.8045</v>
      </c>
      <c r="C5514" t="n">
        <v>1.03675</v>
      </c>
    </row>
    <row r="5515">
      <c r="A5515" s="926" t="n">
        <v>39322</v>
      </c>
      <c r="B5515" t="n">
        <v>7.8025</v>
      </c>
      <c r="C5515" t="n">
        <v>1.03645</v>
      </c>
    </row>
    <row r="5516">
      <c r="A5516" s="926" t="n">
        <v>39323</v>
      </c>
      <c r="B5516" t="n">
        <v>7.8005</v>
      </c>
      <c r="C5516" t="n">
        <v>1.03685</v>
      </c>
    </row>
    <row r="5517">
      <c r="A5517" s="926" t="n">
        <v>39324</v>
      </c>
      <c r="B5517" t="n">
        <v>7.8025</v>
      </c>
      <c r="C5517" t="n">
        <v>1.03715</v>
      </c>
    </row>
    <row r="5518">
      <c r="A5518" s="926" t="n">
        <v>39325</v>
      </c>
      <c r="B5518" t="n">
        <v>7.7985</v>
      </c>
      <c r="C5518" t="n">
        <v>1.0377</v>
      </c>
    </row>
    <row r="5519">
      <c r="A5519" s="926" t="n">
        <v>39326</v>
      </c>
      <c r="B5519" t="n">
        <v>7.7935</v>
      </c>
      <c r="C5519" t="n">
        <v>1.03755</v>
      </c>
    </row>
    <row r="5520">
      <c r="A5520" s="926" t="n">
        <v>39328</v>
      </c>
      <c r="B5520" t="n">
        <v>7.7945</v>
      </c>
      <c r="C5520" t="n">
        <v>1.03775</v>
      </c>
    </row>
    <row r="5521">
      <c r="A5521" s="926" t="n">
        <v>39329</v>
      </c>
      <c r="B5521" t="n">
        <v>7.7965</v>
      </c>
      <c r="C5521" t="n">
        <v>1.03795</v>
      </c>
    </row>
    <row r="5522">
      <c r="A5522" s="926" t="n">
        <v>39330</v>
      </c>
      <c r="B5522" t="n">
        <v>7.7945</v>
      </c>
      <c r="C5522" t="n">
        <v>1.0366</v>
      </c>
    </row>
    <row r="5523">
      <c r="A5523" s="926" t="n">
        <v>39331</v>
      </c>
      <c r="B5523" t="n">
        <v>7.7925</v>
      </c>
      <c r="C5523" t="n">
        <v>1.03635</v>
      </c>
    </row>
    <row r="5524">
      <c r="A5524" s="926" t="n">
        <v>39332</v>
      </c>
      <c r="B5524" t="n">
        <v>7.7885</v>
      </c>
      <c r="C5524" t="n">
        <v>1.03635</v>
      </c>
    </row>
    <row r="5525">
      <c r="A5525" s="926" t="n">
        <v>39333</v>
      </c>
      <c r="B5525" t="n">
        <v>7.7825</v>
      </c>
      <c r="C5525" t="n">
        <v>1.0366</v>
      </c>
    </row>
    <row r="5526">
      <c r="A5526" s="926" t="n">
        <v>39335</v>
      </c>
      <c r="B5526" t="n">
        <v>7.7815</v>
      </c>
      <c r="C5526" t="n">
        <v>1.0364</v>
      </c>
    </row>
    <row r="5527">
      <c r="A5527" s="926" t="n">
        <v>39336</v>
      </c>
      <c r="B5527" t="n">
        <v>7.7855</v>
      </c>
      <c r="C5527" t="n">
        <v>1.03745</v>
      </c>
    </row>
    <row r="5528">
      <c r="A5528" s="926" t="n">
        <v>39337</v>
      </c>
      <c r="B5528" t="n">
        <v>7.7865</v>
      </c>
      <c r="C5528" t="n">
        <v>1.03765</v>
      </c>
    </row>
    <row r="5529">
      <c r="A5529" s="926" t="n">
        <v>39338</v>
      </c>
      <c r="B5529" t="n">
        <v>7.7885</v>
      </c>
      <c r="C5529" t="n">
        <v>1.03835</v>
      </c>
    </row>
    <row r="5530">
      <c r="A5530" s="926" t="n">
        <v>39339</v>
      </c>
      <c r="B5530" t="n">
        <v>7.7895</v>
      </c>
      <c r="C5530" t="n">
        <v>1.03815</v>
      </c>
    </row>
    <row r="5531">
      <c r="A5531" s="926" t="n">
        <v>39340</v>
      </c>
      <c r="B5531" t="n">
        <v>7.7865</v>
      </c>
      <c r="C5531" t="n">
        <v>1.03945</v>
      </c>
    </row>
    <row r="5532">
      <c r="A5532" s="926" t="n">
        <v>39342</v>
      </c>
      <c r="B5532" t="n">
        <v>7.7895</v>
      </c>
      <c r="C5532" t="n">
        <v>1.04055</v>
      </c>
    </row>
    <row r="5533">
      <c r="A5533" s="926" t="n">
        <v>39343</v>
      </c>
      <c r="B5533" t="n">
        <v>7.7905</v>
      </c>
      <c r="C5533" t="n">
        <v>1.04055</v>
      </c>
    </row>
    <row r="5534">
      <c r="A5534" s="926" t="n">
        <v>39344</v>
      </c>
      <c r="B5534" t="n">
        <v>7.7885</v>
      </c>
      <c r="C5534" t="n">
        <v>1.04055</v>
      </c>
    </row>
    <row r="5535">
      <c r="A5535" s="926" t="n">
        <v>39345</v>
      </c>
      <c r="B5535" t="n">
        <v>7.7855</v>
      </c>
      <c r="C5535" t="n">
        <v>1.04055</v>
      </c>
    </row>
    <row r="5536">
      <c r="A5536" s="926" t="n">
        <v>39346</v>
      </c>
      <c r="B5536" t="n">
        <v>7.7855</v>
      </c>
      <c r="C5536" t="n">
        <v>1.0414</v>
      </c>
    </row>
    <row r="5537">
      <c r="A5537" s="926" t="n">
        <v>39347</v>
      </c>
      <c r="B5537" t="n">
        <v>7.7815</v>
      </c>
      <c r="C5537" t="n">
        <v>1.04155</v>
      </c>
    </row>
    <row r="5538">
      <c r="A5538" s="926" t="n">
        <v>39349</v>
      </c>
      <c r="B5538" t="n">
        <v>7.7775</v>
      </c>
      <c r="C5538" t="n">
        <v>1.0413</v>
      </c>
    </row>
    <row r="5539">
      <c r="A5539" s="926" t="n">
        <v>39350</v>
      </c>
      <c r="B5539" t="n">
        <v>7.7725</v>
      </c>
      <c r="C5539" t="n">
        <v>1.04005</v>
      </c>
    </row>
    <row r="5540">
      <c r="A5540" s="926" t="n">
        <v>39352</v>
      </c>
      <c r="B5540" t="n">
        <v>7.7615</v>
      </c>
      <c r="C5540" t="n">
        <v>1.04045</v>
      </c>
    </row>
    <row r="5541">
      <c r="A5541" s="926" t="n">
        <v>39353</v>
      </c>
      <c r="B5541" t="n">
        <v>7.7615</v>
      </c>
      <c r="C5541" t="n">
        <v>1.04055</v>
      </c>
    </row>
    <row r="5542">
      <c r="A5542" s="926" t="n">
        <v>39354</v>
      </c>
      <c r="B5542" t="n">
        <v>7.7665</v>
      </c>
      <c r="C5542" t="n">
        <v>1.04055</v>
      </c>
    </row>
    <row r="5543">
      <c r="A5543" s="926" t="n">
        <v>39357</v>
      </c>
      <c r="B5543" t="n">
        <v>7.7645</v>
      </c>
      <c r="C5543" t="n">
        <v>1.04025</v>
      </c>
    </row>
    <row r="5544">
      <c r="A5544" s="926" t="n">
        <v>39358</v>
      </c>
      <c r="B5544" t="n">
        <v>7.7605</v>
      </c>
      <c r="C5544" t="n">
        <v>1.0407</v>
      </c>
    </row>
    <row r="5545">
      <c r="A5545" s="926" t="n">
        <v>39359</v>
      </c>
      <c r="B5545" t="n">
        <v>7.7595</v>
      </c>
      <c r="C5545" t="n">
        <v>1.04055</v>
      </c>
    </row>
    <row r="5546">
      <c r="A5546" s="926" t="n">
        <v>39360</v>
      </c>
      <c r="B5546" t="n">
        <v>7.7575</v>
      </c>
      <c r="C5546" t="n">
        <v>1.04055</v>
      </c>
    </row>
    <row r="5547">
      <c r="A5547" s="926" t="n">
        <v>39361</v>
      </c>
      <c r="B5547" t="n">
        <v>7.7555</v>
      </c>
      <c r="C5547" t="n">
        <v>1.04055</v>
      </c>
    </row>
    <row r="5548">
      <c r="A5548" s="926" t="n">
        <v>39363</v>
      </c>
      <c r="B5548" t="n">
        <v>7.7585</v>
      </c>
      <c r="C5548" t="n">
        <v>1.04055</v>
      </c>
    </row>
    <row r="5549">
      <c r="A5549" s="926" t="n">
        <v>39364</v>
      </c>
      <c r="B5549" t="n">
        <v>7.7605</v>
      </c>
      <c r="C5549" t="n">
        <v>1.03835</v>
      </c>
    </row>
    <row r="5550">
      <c r="A5550" s="926" t="n">
        <v>39365</v>
      </c>
      <c r="B5550" t="n">
        <v>7.7595</v>
      </c>
      <c r="C5550" t="n">
        <v>1.03845</v>
      </c>
    </row>
    <row r="5551">
      <c r="A5551" s="926" t="n">
        <v>39366</v>
      </c>
      <c r="B5551" t="n">
        <v>7.7555</v>
      </c>
      <c r="C5551" t="n">
        <v>1.0385</v>
      </c>
    </row>
    <row r="5552">
      <c r="A5552" s="926" t="n">
        <v>39367</v>
      </c>
      <c r="B5552" t="n">
        <v>7.7515</v>
      </c>
      <c r="C5552" t="n">
        <v>1.03825</v>
      </c>
    </row>
    <row r="5553">
      <c r="A5553" s="926" t="n">
        <v>39368</v>
      </c>
      <c r="B5553" t="n">
        <v>7.7545</v>
      </c>
      <c r="C5553" t="n">
        <v>1.0385</v>
      </c>
    </row>
    <row r="5554">
      <c r="A5554" s="926" t="n">
        <v>39370</v>
      </c>
      <c r="B5554" t="n">
        <v>7.7525</v>
      </c>
      <c r="C5554" t="n">
        <v>1.03825</v>
      </c>
    </row>
    <row r="5555">
      <c r="A5555" s="926" t="n">
        <v>39371</v>
      </c>
      <c r="B5555" t="n">
        <v>7.7535</v>
      </c>
      <c r="C5555" t="n">
        <v>1.03835</v>
      </c>
    </row>
    <row r="5556">
      <c r="A5556" s="926" t="n">
        <v>39372</v>
      </c>
      <c r="B5556" t="n">
        <v>7.7535</v>
      </c>
      <c r="C5556" t="n">
        <v>1.03835</v>
      </c>
    </row>
    <row r="5557">
      <c r="A5557" s="926" t="n">
        <v>39373</v>
      </c>
      <c r="B5557" t="n">
        <v>7.7515</v>
      </c>
      <c r="C5557" t="n">
        <v>1.0381</v>
      </c>
    </row>
    <row r="5558">
      <c r="A5558" s="926" t="n">
        <v>39375</v>
      </c>
      <c r="B5558" t="n">
        <v>7.7485</v>
      </c>
      <c r="C5558" t="n">
        <v>1.03855</v>
      </c>
    </row>
    <row r="5559">
      <c r="A5559" s="926" t="n">
        <v>39377</v>
      </c>
      <c r="B5559" t="n">
        <v>7.7515</v>
      </c>
      <c r="C5559" t="n">
        <v>1.03865</v>
      </c>
    </row>
    <row r="5560">
      <c r="A5560" s="926" t="n">
        <v>39378</v>
      </c>
      <c r="B5560" t="n">
        <v>7.7505</v>
      </c>
      <c r="C5560" t="n">
        <v>1.03855</v>
      </c>
    </row>
    <row r="5561">
      <c r="A5561" s="926" t="n">
        <v>39379</v>
      </c>
      <c r="B5561" t="n">
        <v>7.7515</v>
      </c>
      <c r="C5561" t="n">
        <v>1.03865</v>
      </c>
    </row>
    <row r="5562">
      <c r="A5562" s="926" t="n">
        <v>39380</v>
      </c>
      <c r="B5562" t="n">
        <v>7.7515</v>
      </c>
      <c r="C5562" t="n">
        <v>1.03865</v>
      </c>
    </row>
    <row r="5563">
      <c r="A5563" s="926" t="n">
        <v>39381</v>
      </c>
      <c r="B5563" t="n">
        <v>7.7505</v>
      </c>
      <c r="C5563" t="n">
        <v>1.04045</v>
      </c>
    </row>
    <row r="5564">
      <c r="A5564" s="926" t="n">
        <v>39382</v>
      </c>
      <c r="B5564" t="n">
        <v>7.7505</v>
      </c>
      <c r="C5564" t="n">
        <v>1.04045</v>
      </c>
    </row>
    <row r="5565">
      <c r="A5565" s="926" t="n">
        <v>39384</v>
      </c>
      <c r="B5565" t="n">
        <v>7.7505</v>
      </c>
      <c r="C5565" t="n">
        <v>1.04045</v>
      </c>
    </row>
    <row r="5566">
      <c r="A5566" s="926" t="n">
        <v>39385</v>
      </c>
      <c r="B5566" t="n">
        <v>7.7505</v>
      </c>
      <c r="C5566" t="n">
        <v>1.04045</v>
      </c>
    </row>
    <row r="5567">
      <c r="A5567" s="926" t="n">
        <v>39386</v>
      </c>
      <c r="B5567" t="n">
        <v>7.7505</v>
      </c>
      <c r="C5567" t="n">
        <v>1.04045</v>
      </c>
    </row>
    <row r="5568">
      <c r="A5568" s="926" t="n">
        <v>39387</v>
      </c>
      <c r="B5568" t="n">
        <v>7.7545</v>
      </c>
      <c r="C5568" t="n">
        <v>1.04455</v>
      </c>
    </row>
    <row r="5569">
      <c r="A5569" s="926" t="n">
        <v>39388</v>
      </c>
      <c r="B5569" t="n">
        <v>7.7635</v>
      </c>
      <c r="C5569" t="n">
        <v>1.04575</v>
      </c>
    </row>
    <row r="5570">
      <c r="A5570" s="926" t="n">
        <v>39389</v>
      </c>
      <c r="B5570" t="n">
        <v>7.7555</v>
      </c>
      <c r="C5570" t="n">
        <v>1.04435</v>
      </c>
    </row>
    <row r="5571">
      <c r="A5571" s="926" t="n">
        <v>39391</v>
      </c>
      <c r="B5571" t="n">
        <v>7.7655</v>
      </c>
      <c r="C5571" t="n">
        <v>1.04545</v>
      </c>
    </row>
    <row r="5572">
      <c r="A5572" s="926" t="n">
        <v>39392</v>
      </c>
      <c r="B5572" t="n">
        <v>7.7655</v>
      </c>
      <c r="C5572" t="n">
        <v>1.04485</v>
      </c>
    </row>
    <row r="5573">
      <c r="A5573" s="926" t="n">
        <v>39393</v>
      </c>
      <c r="B5573" t="n">
        <v>7.7705</v>
      </c>
      <c r="C5573" t="n">
        <v>1.04515</v>
      </c>
    </row>
    <row r="5574">
      <c r="A5574" s="926" t="n">
        <v>39394</v>
      </c>
      <c r="B5574" t="n">
        <v>7.7695</v>
      </c>
      <c r="C5574" t="n">
        <v>1.04855</v>
      </c>
    </row>
    <row r="5575">
      <c r="A5575" s="926" t="n">
        <v>39395</v>
      </c>
      <c r="B5575" t="n">
        <v>7.7765</v>
      </c>
      <c r="C5575" t="n">
        <v>1.05185</v>
      </c>
    </row>
    <row r="5576">
      <c r="A5576" s="926" t="n">
        <v>39396</v>
      </c>
      <c r="B5576" t="n">
        <v>7.754</v>
      </c>
      <c r="C5576" t="n">
        <v>1.0505</v>
      </c>
    </row>
    <row r="5577">
      <c r="A5577" s="926" t="n">
        <v>39398</v>
      </c>
      <c r="B5577" t="n">
        <v>7.7855</v>
      </c>
      <c r="C5577" t="n">
        <v>1.05335</v>
      </c>
    </row>
    <row r="5578">
      <c r="A5578" s="926" t="n">
        <v>39399</v>
      </c>
      <c r="B5578" t="n">
        <v>7.7865</v>
      </c>
      <c r="C5578" t="n">
        <v>1.05365</v>
      </c>
    </row>
    <row r="5579">
      <c r="A5579" s="926" t="n">
        <v>39400</v>
      </c>
      <c r="B5579" t="n">
        <v>7.7885</v>
      </c>
      <c r="C5579" t="n">
        <v>1.05165</v>
      </c>
    </row>
    <row r="5580">
      <c r="A5580" s="926" t="n">
        <v>39401</v>
      </c>
      <c r="B5580" t="n">
        <v>7.7865</v>
      </c>
      <c r="C5580" t="n">
        <v>1.05255</v>
      </c>
    </row>
    <row r="5581">
      <c r="A5581" s="926" t="n">
        <v>39402</v>
      </c>
      <c r="B5581" t="n">
        <v>7.7835</v>
      </c>
      <c r="C5581" t="n">
        <v>1.0531</v>
      </c>
    </row>
    <row r="5582">
      <c r="A5582" s="926" t="n">
        <v>39403</v>
      </c>
      <c r="B5582" t="n">
        <v>7.7845</v>
      </c>
      <c r="C5582" t="n">
        <v>1.05355</v>
      </c>
    </row>
    <row r="5583">
      <c r="A5583" s="926" t="n">
        <v>39405</v>
      </c>
      <c r="B5583" t="n">
        <v>7.7865</v>
      </c>
      <c r="C5583" t="n">
        <v>1.0535</v>
      </c>
    </row>
    <row r="5584">
      <c r="A5584" s="926" t="n">
        <v>39406</v>
      </c>
      <c r="B5584" t="n">
        <v>7.7815</v>
      </c>
      <c r="C5584" t="n">
        <v>1.0534</v>
      </c>
    </row>
    <row r="5585">
      <c r="A5585" s="926" t="n">
        <v>39407</v>
      </c>
      <c r="B5585" t="n">
        <v>7.7805</v>
      </c>
      <c r="C5585" t="n">
        <v>1.05325</v>
      </c>
    </row>
    <row r="5586">
      <c r="A5586" s="926" t="n">
        <v>39408</v>
      </c>
      <c r="B5586" t="n">
        <v>7.7795</v>
      </c>
      <c r="C5586" t="n">
        <v>1.05345</v>
      </c>
    </row>
    <row r="5587">
      <c r="A5587" s="926" t="n">
        <v>39409</v>
      </c>
      <c r="B5587" t="n">
        <v>7.7765</v>
      </c>
      <c r="C5587" t="n">
        <v>1.05555</v>
      </c>
    </row>
    <row r="5588">
      <c r="A5588" s="926" t="n">
        <v>39410</v>
      </c>
      <c r="B5588" t="n">
        <v>7.7745</v>
      </c>
      <c r="C5588" t="n">
        <v>1.0556</v>
      </c>
    </row>
    <row r="5589">
      <c r="A5589" s="926" t="n">
        <v>39412</v>
      </c>
      <c r="B5589" t="n">
        <v>7.7775</v>
      </c>
      <c r="C5589" t="n">
        <v>1.05575</v>
      </c>
    </row>
    <row r="5590">
      <c r="A5590" s="926" t="n">
        <v>39413</v>
      </c>
      <c r="B5590" t="n">
        <v>7.7835</v>
      </c>
      <c r="C5590" t="n">
        <v>1.05755</v>
      </c>
    </row>
    <row r="5591">
      <c r="A5591" s="926" t="n">
        <v>39414</v>
      </c>
      <c r="B5591" t="n">
        <v>7.7855</v>
      </c>
      <c r="C5591" t="n">
        <v>1.05755</v>
      </c>
    </row>
    <row r="5592">
      <c r="A5592" s="926" t="n">
        <v>39415</v>
      </c>
      <c r="B5592" t="n">
        <v>7.7875</v>
      </c>
      <c r="C5592" t="n">
        <v>1.05835</v>
      </c>
    </row>
    <row r="5593">
      <c r="A5593" s="926" t="n">
        <v>39416</v>
      </c>
      <c r="B5593" t="n">
        <v>7.7885</v>
      </c>
      <c r="C5593" t="n">
        <v>1.0595</v>
      </c>
    </row>
    <row r="5594">
      <c r="A5594" s="926" t="n">
        <v>39417</v>
      </c>
      <c r="B5594" t="n">
        <v>7.7845</v>
      </c>
      <c r="C5594" t="n">
        <v>1.05955</v>
      </c>
    </row>
    <row r="5595">
      <c r="A5595" s="926" t="n">
        <v>39419</v>
      </c>
      <c r="B5595" t="n">
        <v>7.7895</v>
      </c>
      <c r="C5595" t="n">
        <v>1.05645</v>
      </c>
    </row>
    <row r="5596">
      <c r="A5596" s="926" t="n">
        <v>39420</v>
      </c>
      <c r="B5596" t="n">
        <v>7.7905</v>
      </c>
      <c r="C5596" t="n">
        <v>1.05665</v>
      </c>
    </row>
    <row r="5597">
      <c r="A5597" s="926" t="n">
        <v>39421</v>
      </c>
      <c r="B5597" t="n">
        <v>7.7945</v>
      </c>
      <c r="C5597" t="n">
        <v>1.0596</v>
      </c>
    </row>
    <row r="5598">
      <c r="A5598" s="926" t="n">
        <v>39422</v>
      </c>
      <c r="B5598" t="n">
        <v>7.7965</v>
      </c>
      <c r="C5598" t="n">
        <v>1.0596</v>
      </c>
    </row>
    <row r="5599">
      <c r="A5599" s="926" t="n">
        <v>39423</v>
      </c>
      <c r="B5599" t="n">
        <v>7.7965</v>
      </c>
      <c r="C5599" t="n">
        <v>1.05975</v>
      </c>
    </row>
    <row r="5600">
      <c r="A5600" s="926" t="n">
        <v>39424</v>
      </c>
      <c r="B5600" t="n">
        <v>7.7905</v>
      </c>
      <c r="C5600" t="n">
        <v>1.05965</v>
      </c>
    </row>
    <row r="5601">
      <c r="A5601" s="926" t="n">
        <v>39426</v>
      </c>
      <c r="B5601" t="n">
        <v>7.7965</v>
      </c>
      <c r="C5601" t="n">
        <v>1.0596</v>
      </c>
    </row>
    <row r="5602">
      <c r="A5602" s="926" t="n">
        <v>39427</v>
      </c>
      <c r="B5602" t="n">
        <v>7.7985</v>
      </c>
      <c r="C5602" t="n">
        <v>1.06075</v>
      </c>
    </row>
    <row r="5603">
      <c r="A5603" s="926" t="n">
        <v>39428</v>
      </c>
      <c r="B5603" t="n">
        <v>7.7975</v>
      </c>
      <c r="C5603" t="n">
        <v>1.06235</v>
      </c>
    </row>
    <row r="5604">
      <c r="A5604" s="926" t="n">
        <v>39429</v>
      </c>
      <c r="B5604" t="n">
        <v>7.7985</v>
      </c>
      <c r="C5604" t="n">
        <v>1.06345</v>
      </c>
    </row>
    <row r="5605">
      <c r="A5605" s="926" t="n">
        <v>39430</v>
      </c>
      <c r="B5605" t="n">
        <v>7.7985</v>
      </c>
      <c r="C5605" t="n">
        <v>1.06375</v>
      </c>
    </row>
    <row r="5606">
      <c r="A5606" s="926" t="n">
        <v>39431</v>
      </c>
      <c r="B5606" t="n">
        <v>7.7965</v>
      </c>
      <c r="C5606" t="n">
        <v>1.0635</v>
      </c>
    </row>
    <row r="5607">
      <c r="A5607" s="926" t="n">
        <v>39433</v>
      </c>
      <c r="B5607" t="n">
        <v>7.8015</v>
      </c>
      <c r="C5607" t="n">
        <v>1.06345</v>
      </c>
    </row>
    <row r="5608">
      <c r="A5608" s="926" t="n">
        <v>39434</v>
      </c>
      <c r="B5608" t="n">
        <v>7.7995</v>
      </c>
      <c r="C5608" t="n">
        <v>1.06345</v>
      </c>
    </row>
    <row r="5609">
      <c r="A5609" s="926" t="n">
        <v>39435</v>
      </c>
      <c r="B5609" t="n">
        <v>7.8025</v>
      </c>
      <c r="C5609" t="n">
        <v>1.0614</v>
      </c>
    </row>
    <row r="5610">
      <c r="A5610" s="926" t="n">
        <v>39436</v>
      </c>
      <c r="B5610" t="n">
        <v>7.8025</v>
      </c>
      <c r="C5610" t="n">
        <v>1.0636</v>
      </c>
    </row>
    <row r="5611">
      <c r="A5611" s="926" t="n">
        <v>39437</v>
      </c>
      <c r="B5611" t="n">
        <v>7.8025</v>
      </c>
      <c r="C5611" t="n">
        <v>1.0646</v>
      </c>
    </row>
    <row r="5612">
      <c r="A5612" s="926" t="n">
        <v>39438</v>
      </c>
      <c r="B5612" t="n">
        <v>7.7975</v>
      </c>
      <c r="C5612" t="n">
        <v>1.0655</v>
      </c>
    </row>
    <row r="5613">
      <c r="A5613" s="926" t="n">
        <v>39440</v>
      </c>
      <c r="B5613" t="n">
        <v>7.8045</v>
      </c>
      <c r="C5613" t="n">
        <v>1.06645</v>
      </c>
    </row>
    <row r="5614">
      <c r="A5614" s="926" t="n">
        <v>39443</v>
      </c>
      <c r="B5614" t="n">
        <v>7.8065</v>
      </c>
      <c r="C5614" t="n">
        <v>1.0713</v>
      </c>
    </row>
    <row r="5615">
      <c r="A5615" s="926" t="n">
        <v>39444</v>
      </c>
      <c r="B5615" t="n">
        <v>7.8005</v>
      </c>
      <c r="C5615" t="n">
        <v>1.07355</v>
      </c>
    </row>
    <row r="5616">
      <c r="A5616" s="926" t="n">
        <v>39445</v>
      </c>
      <c r="B5616" t="n">
        <v>7.8015</v>
      </c>
      <c r="C5616" t="n">
        <v>1.07355</v>
      </c>
    </row>
    <row r="5617">
      <c r="A5617" s="926" t="n">
        <v>39447</v>
      </c>
      <c r="B5617" t="n">
        <v>7.8015</v>
      </c>
      <c r="C5617" t="n">
        <v>1.07355</v>
      </c>
    </row>
    <row r="5618">
      <c r="A5618" s="926" t="n">
        <v>39449</v>
      </c>
      <c r="B5618" t="n">
        <v>7.8115</v>
      </c>
      <c r="C5618" t="n">
        <v>1.0758</v>
      </c>
    </row>
    <row r="5619">
      <c r="A5619" s="926" t="n">
        <v>39450</v>
      </c>
      <c r="B5619" t="n">
        <v>7.8155</v>
      </c>
      <c r="C5619" t="n">
        <v>1.07875</v>
      </c>
    </row>
    <row r="5620">
      <c r="A5620" s="926" t="n">
        <v>39451</v>
      </c>
      <c r="B5620" t="n">
        <v>7.8015</v>
      </c>
      <c r="C5620" t="n">
        <v>1.0783</v>
      </c>
    </row>
    <row r="5621">
      <c r="A5621" s="926" t="n">
        <v>39452</v>
      </c>
      <c r="B5621" t="n">
        <v>7.8005</v>
      </c>
      <c r="C5621" t="n">
        <v>1.0795</v>
      </c>
    </row>
    <row r="5622">
      <c r="A5622" s="926" t="n">
        <v>39454</v>
      </c>
      <c r="B5622" t="n">
        <v>7.7995</v>
      </c>
      <c r="C5622" t="n">
        <v>1.0795</v>
      </c>
    </row>
    <row r="5623">
      <c r="A5623" s="926" t="n">
        <v>39455</v>
      </c>
      <c r="B5623" t="n">
        <v>7.8035</v>
      </c>
      <c r="C5623" t="n">
        <v>1.0798</v>
      </c>
    </row>
    <row r="5624">
      <c r="A5624" s="926" t="n">
        <v>39456</v>
      </c>
      <c r="B5624" t="n">
        <v>7.8045</v>
      </c>
      <c r="C5624" t="n">
        <v>1.08065</v>
      </c>
    </row>
    <row r="5625">
      <c r="A5625" s="926" t="n">
        <v>39457</v>
      </c>
      <c r="B5625" t="n">
        <v>7.8055</v>
      </c>
      <c r="C5625" t="n">
        <v>1.0814</v>
      </c>
    </row>
    <row r="5626">
      <c r="A5626" s="926" t="n">
        <v>39458</v>
      </c>
      <c r="B5626" t="n">
        <v>7.8045</v>
      </c>
      <c r="C5626" t="n">
        <v>1.0814</v>
      </c>
    </row>
    <row r="5627">
      <c r="A5627" s="926" t="n">
        <v>39459</v>
      </c>
      <c r="B5627" t="n">
        <v>7.8035</v>
      </c>
      <c r="C5627" t="n">
        <v>1.0814</v>
      </c>
    </row>
    <row r="5628">
      <c r="A5628" s="926" t="n">
        <v>39461</v>
      </c>
      <c r="B5628" t="n">
        <v>7.8065</v>
      </c>
      <c r="C5628" t="n">
        <v>1.0812</v>
      </c>
    </row>
    <row r="5629">
      <c r="A5629" s="926" t="n">
        <v>39462</v>
      </c>
      <c r="B5629" t="n">
        <v>7.8005</v>
      </c>
      <c r="C5629" t="n">
        <v>1.0804</v>
      </c>
    </row>
    <row r="5630">
      <c r="A5630" s="926" t="n">
        <v>39463</v>
      </c>
      <c r="B5630" t="n">
        <v>7.7985</v>
      </c>
      <c r="C5630" t="n">
        <v>1.0834</v>
      </c>
    </row>
    <row r="5631">
      <c r="A5631" s="926" t="n">
        <v>39464</v>
      </c>
      <c r="B5631" t="n">
        <v>7.8035</v>
      </c>
      <c r="C5631" t="n">
        <v>1.0837</v>
      </c>
    </row>
    <row r="5632">
      <c r="A5632" s="926" t="n">
        <v>39465</v>
      </c>
      <c r="B5632" t="n">
        <v>7.8065</v>
      </c>
      <c r="C5632" t="n">
        <v>1.0833</v>
      </c>
    </row>
    <row r="5633">
      <c r="A5633" s="926" t="n">
        <v>39466</v>
      </c>
      <c r="B5633" t="n">
        <v>7.8035</v>
      </c>
      <c r="C5633" t="n">
        <v>1.0835</v>
      </c>
    </row>
    <row r="5634">
      <c r="A5634" s="926" t="n">
        <v>39468</v>
      </c>
      <c r="B5634" t="n">
        <v>7.8115</v>
      </c>
      <c r="C5634" t="n">
        <v>1.0835</v>
      </c>
    </row>
    <row r="5635">
      <c r="A5635" s="926" t="n">
        <v>39469</v>
      </c>
      <c r="B5635" t="n">
        <v>7.8095</v>
      </c>
      <c r="C5635" t="n">
        <v>1.0854</v>
      </c>
    </row>
    <row r="5636">
      <c r="A5636" s="926" t="n">
        <v>39470</v>
      </c>
      <c r="B5636" t="n">
        <v>7.8075</v>
      </c>
      <c r="C5636" t="n">
        <v>1.0855</v>
      </c>
    </row>
    <row r="5637">
      <c r="A5637" s="926" t="n">
        <v>39471</v>
      </c>
      <c r="B5637" t="n">
        <v>7.8085</v>
      </c>
      <c r="C5637" t="n">
        <v>1.0857</v>
      </c>
    </row>
    <row r="5638">
      <c r="A5638" s="926" t="n">
        <v>39472</v>
      </c>
      <c r="B5638" t="n">
        <v>7.8095</v>
      </c>
      <c r="C5638" t="n">
        <v>1.0894</v>
      </c>
    </row>
    <row r="5639">
      <c r="A5639" s="926" t="n">
        <v>39473</v>
      </c>
      <c r="B5639" t="n">
        <v>7.8065</v>
      </c>
      <c r="C5639" t="n">
        <v>1.0895</v>
      </c>
    </row>
    <row r="5640">
      <c r="A5640" s="926" t="n">
        <v>39475</v>
      </c>
      <c r="B5640" t="n">
        <v>7.8095</v>
      </c>
      <c r="C5640" t="n">
        <v>1.0899</v>
      </c>
    </row>
    <row r="5641">
      <c r="A5641" s="926" t="n">
        <v>39476</v>
      </c>
      <c r="B5641" t="n">
        <v>7.8045</v>
      </c>
      <c r="C5641" t="n">
        <v>1.0913</v>
      </c>
    </row>
    <row r="5642">
      <c r="A5642" s="926" t="n">
        <v>39477</v>
      </c>
      <c r="B5642" t="n">
        <v>7.8025</v>
      </c>
      <c r="C5642" t="n">
        <v>1.09105</v>
      </c>
    </row>
    <row r="5643">
      <c r="A5643" s="926" t="n">
        <v>39478</v>
      </c>
      <c r="B5643" t="n">
        <v>7.8005</v>
      </c>
      <c r="C5643" t="n">
        <v>1.0912</v>
      </c>
    </row>
    <row r="5644">
      <c r="A5644" s="926" t="n">
        <v>39479</v>
      </c>
      <c r="B5644" t="n">
        <v>7.7955</v>
      </c>
      <c r="C5644" t="n">
        <v>1.0919</v>
      </c>
    </row>
    <row r="5645">
      <c r="A5645" s="926" t="n">
        <v>39480</v>
      </c>
      <c r="B5645" t="n">
        <v>7.7945</v>
      </c>
      <c r="C5645" t="n">
        <v>1.0924</v>
      </c>
    </row>
    <row r="5646">
      <c r="A5646" s="926" t="n">
        <v>39482</v>
      </c>
      <c r="B5646" t="n">
        <v>7.8005</v>
      </c>
      <c r="C5646" t="n">
        <v>1.0923</v>
      </c>
    </row>
    <row r="5647">
      <c r="A5647" s="926" t="n">
        <v>39483</v>
      </c>
      <c r="B5647" t="n">
        <v>7.8005</v>
      </c>
      <c r="C5647" t="n">
        <v>1.09245</v>
      </c>
    </row>
    <row r="5648">
      <c r="A5648" s="926" t="n">
        <v>39484</v>
      </c>
      <c r="B5648" t="n">
        <v>7.7975</v>
      </c>
      <c r="C5648" t="n">
        <v>1.092</v>
      </c>
    </row>
    <row r="5649">
      <c r="A5649" s="926" t="n">
        <v>39489</v>
      </c>
      <c r="B5649" t="n">
        <v>7.7985</v>
      </c>
      <c r="C5649" t="n">
        <v>1.0922</v>
      </c>
    </row>
    <row r="5650">
      <c r="A5650" s="926" t="n">
        <v>39490</v>
      </c>
      <c r="B5650" t="n">
        <v>7.7985</v>
      </c>
      <c r="C5650" t="n">
        <v>1.0925</v>
      </c>
    </row>
    <row r="5651">
      <c r="A5651" s="926" t="n">
        <v>39491</v>
      </c>
      <c r="B5651" t="n">
        <v>7.8015</v>
      </c>
      <c r="C5651" t="n">
        <v>1.0906</v>
      </c>
    </row>
    <row r="5652">
      <c r="A5652" s="926" t="n">
        <v>39492</v>
      </c>
      <c r="B5652" t="n">
        <v>7.8015</v>
      </c>
      <c r="C5652" t="n">
        <v>1.0917</v>
      </c>
    </row>
    <row r="5653">
      <c r="A5653" s="926" t="n">
        <v>39493</v>
      </c>
      <c r="B5653" t="n">
        <v>7.7995</v>
      </c>
      <c r="C5653" t="n">
        <v>1.0934</v>
      </c>
    </row>
    <row r="5654">
      <c r="A5654" s="926" t="n">
        <v>39494</v>
      </c>
      <c r="B5654" t="n">
        <v>7.7975</v>
      </c>
      <c r="C5654" t="n">
        <v>1.0934</v>
      </c>
    </row>
    <row r="5655">
      <c r="A5655" s="926" t="n">
        <v>39496</v>
      </c>
      <c r="B5655" t="n">
        <v>7.8015</v>
      </c>
      <c r="C5655" t="n">
        <v>1.0935</v>
      </c>
    </row>
    <row r="5656">
      <c r="A5656" s="926" t="n">
        <v>39497</v>
      </c>
      <c r="B5656" t="n">
        <v>7.8005</v>
      </c>
      <c r="C5656" t="n">
        <v>1.09545</v>
      </c>
    </row>
    <row r="5657">
      <c r="A5657" s="926" t="n">
        <v>39498</v>
      </c>
      <c r="B5657" t="n">
        <v>7.8025</v>
      </c>
      <c r="C5657" t="n">
        <v>1.0965</v>
      </c>
    </row>
    <row r="5658">
      <c r="A5658" s="926" t="n">
        <v>39499</v>
      </c>
      <c r="B5658" t="n">
        <v>7.8005</v>
      </c>
      <c r="C5658" t="n">
        <v>1.0984</v>
      </c>
    </row>
    <row r="5659">
      <c r="A5659" s="926" t="n">
        <v>39500</v>
      </c>
      <c r="B5659" t="n">
        <v>7.7975</v>
      </c>
      <c r="C5659" t="n">
        <v>1.0984</v>
      </c>
    </row>
    <row r="5660">
      <c r="A5660" s="926" t="n">
        <v>39501</v>
      </c>
      <c r="B5660" t="n">
        <v>7.7945</v>
      </c>
      <c r="C5660" t="n">
        <v>1.09845</v>
      </c>
    </row>
    <row r="5661">
      <c r="A5661" s="926" t="n">
        <v>39503</v>
      </c>
      <c r="B5661" t="n">
        <v>7.7975</v>
      </c>
      <c r="C5661" t="n">
        <v>1.0987</v>
      </c>
    </row>
    <row r="5662">
      <c r="A5662" s="926" t="n">
        <v>39504</v>
      </c>
      <c r="B5662" t="n">
        <v>7.7965</v>
      </c>
      <c r="C5662" t="n">
        <v>1.0984</v>
      </c>
    </row>
    <row r="5663">
      <c r="A5663" s="926" t="n">
        <v>39505</v>
      </c>
      <c r="B5663" t="n">
        <v>7.7895</v>
      </c>
      <c r="C5663" t="n">
        <v>1.09625</v>
      </c>
    </row>
    <row r="5664">
      <c r="A5664" s="926" t="n">
        <v>39506</v>
      </c>
      <c r="B5664" t="n">
        <v>7.7845</v>
      </c>
      <c r="C5664" t="n">
        <v>1.09955</v>
      </c>
    </row>
    <row r="5665">
      <c r="A5665" s="926" t="n">
        <v>39507</v>
      </c>
      <c r="B5665" t="n">
        <v>7.7815</v>
      </c>
      <c r="C5665" t="n">
        <v>1.1018</v>
      </c>
    </row>
    <row r="5666">
      <c r="A5666" s="926" t="n">
        <v>39508</v>
      </c>
      <c r="B5666" t="n">
        <v>7.7795</v>
      </c>
      <c r="C5666" t="n">
        <v>1.1015</v>
      </c>
    </row>
    <row r="5667">
      <c r="A5667" s="926" t="n">
        <v>39510</v>
      </c>
      <c r="B5667" t="n">
        <v>7.7815</v>
      </c>
      <c r="C5667" t="n">
        <v>1.10145</v>
      </c>
    </row>
    <row r="5668">
      <c r="A5668" s="926" t="n">
        <v>39511</v>
      </c>
      <c r="B5668" t="n">
        <v>7.7845</v>
      </c>
      <c r="C5668" t="n">
        <v>1.10125</v>
      </c>
    </row>
    <row r="5669">
      <c r="A5669" s="926" t="n">
        <v>39512</v>
      </c>
      <c r="B5669" t="n">
        <v>7.7875</v>
      </c>
      <c r="C5669" t="n">
        <v>1.10185</v>
      </c>
    </row>
    <row r="5670">
      <c r="A5670" s="926" t="n">
        <v>39513</v>
      </c>
      <c r="B5670" t="n">
        <v>7.7885</v>
      </c>
      <c r="C5670" t="n">
        <v>1.1017</v>
      </c>
    </row>
    <row r="5671">
      <c r="A5671" s="926" t="n">
        <v>39514</v>
      </c>
      <c r="B5671" t="n">
        <v>7.7855</v>
      </c>
      <c r="C5671" t="n">
        <v>1.10125</v>
      </c>
    </row>
    <row r="5672">
      <c r="A5672" s="926" t="n">
        <v>39515</v>
      </c>
      <c r="B5672" t="n">
        <v>7.7805</v>
      </c>
      <c r="C5672" t="n">
        <v>1.10135</v>
      </c>
    </row>
    <row r="5673">
      <c r="A5673" s="926" t="n">
        <v>39517</v>
      </c>
      <c r="B5673" t="n">
        <v>7.7885</v>
      </c>
      <c r="C5673" t="n">
        <v>1.10135</v>
      </c>
    </row>
    <row r="5674">
      <c r="A5674" s="926" t="n">
        <v>39518</v>
      </c>
      <c r="B5674" t="n">
        <v>7.7885</v>
      </c>
      <c r="C5674" t="n">
        <v>1.1031</v>
      </c>
    </row>
    <row r="5675">
      <c r="A5675" s="926" t="n">
        <v>39519</v>
      </c>
      <c r="B5675" t="n">
        <v>7.7895</v>
      </c>
      <c r="C5675" t="n">
        <v>1.1034</v>
      </c>
    </row>
    <row r="5676">
      <c r="A5676" s="926" t="n">
        <v>39520</v>
      </c>
      <c r="B5676" t="n">
        <v>7.7835</v>
      </c>
      <c r="C5676" t="n">
        <v>1.10285</v>
      </c>
    </row>
    <row r="5677">
      <c r="A5677" s="926" t="n">
        <v>39521</v>
      </c>
      <c r="B5677" t="n">
        <v>7.7835</v>
      </c>
      <c r="C5677" t="n">
        <v>1.1044</v>
      </c>
    </row>
    <row r="5678">
      <c r="A5678" s="926" t="n">
        <v>39522</v>
      </c>
      <c r="B5678" t="n">
        <v>7.7775</v>
      </c>
      <c r="C5678" t="n">
        <v>1.10515</v>
      </c>
    </row>
    <row r="5679">
      <c r="A5679" s="926" t="n">
        <v>39524</v>
      </c>
      <c r="B5679" t="n">
        <v>7.7675</v>
      </c>
      <c r="C5679" t="n">
        <v>1.1056</v>
      </c>
    </row>
    <row r="5680">
      <c r="A5680" s="926" t="n">
        <v>39525</v>
      </c>
      <c r="B5680" t="n">
        <v>7.7695</v>
      </c>
      <c r="C5680" t="n">
        <v>1.10365</v>
      </c>
    </row>
    <row r="5681">
      <c r="A5681" s="926" t="n">
        <v>39526</v>
      </c>
      <c r="B5681" t="n">
        <v>7.7765</v>
      </c>
      <c r="C5681" t="n">
        <v>1.1067</v>
      </c>
    </row>
    <row r="5682">
      <c r="A5682" s="926" t="n">
        <v>39527</v>
      </c>
      <c r="B5682" t="n">
        <v>7.7785</v>
      </c>
      <c r="C5682" t="n">
        <v>1.10955</v>
      </c>
    </row>
    <row r="5683">
      <c r="A5683" s="926" t="n">
        <v>39532</v>
      </c>
      <c r="B5683" t="n">
        <v>7.7815</v>
      </c>
      <c r="C5683" t="n">
        <v>1.11155</v>
      </c>
    </row>
    <row r="5684">
      <c r="A5684" s="926" t="n">
        <v>39533</v>
      </c>
      <c r="B5684" t="n">
        <v>7.7835</v>
      </c>
      <c r="C5684" t="n">
        <v>1.11435</v>
      </c>
    </row>
    <row r="5685">
      <c r="A5685" s="926" t="n">
        <v>39534</v>
      </c>
      <c r="B5685" t="n">
        <v>7.7815</v>
      </c>
      <c r="C5685" t="n">
        <v>1.11535</v>
      </c>
    </row>
    <row r="5686">
      <c r="A5686" s="926" t="n">
        <v>39535</v>
      </c>
      <c r="B5686" t="n">
        <v>7.7825</v>
      </c>
      <c r="C5686" t="n">
        <v>1.11645</v>
      </c>
    </row>
    <row r="5687">
      <c r="A5687" s="926" t="n">
        <v>39536</v>
      </c>
      <c r="B5687" t="n">
        <v>7.7805</v>
      </c>
      <c r="C5687" t="n">
        <v>1.1165</v>
      </c>
    </row>
    <row r="5688">
      <c r="A5688" s="926" t="n">
        <v>39538</v>
      </c>
      <c r="B5688" t="n">
        <v>7.7855</v>
      </c>
      <c r="C5688" t="n">
        <v>1.11655</v>
      </c>
    </row>
    <row r="5689">
      <c r="A5689" s="926" t="n">
        <v>39539</v>
      </c>
      <c r="B5689" t="n">
        <v>7.7865</v>
      </c>
      <c r="C5689" t="n">
        <v>1.11655</v>
      </c>
    </row>
    <row r="5690">
      <c r="A5690" s="926" t="n">
        <v>39540</v>
      </c>
      <c r="B5690" t="n">
        <v>7.7915</v>
      </c>
      <c r="C5690" t="n">
        <v>1.11645</v>
      </c>
    </row>
    <row r="5691">
      <c r="A5691" s="926" t="n">
        <v>39541</v>
      </c>
      <c r="B5691" t="n">
        <v>7.7915</v>
      </c>
      <c r="C5691" t="n">
        <v>1.11645</v>
      </c>
    </row>
    <row r="5692">
      <c r="A5692" s="926" t="n">
        <v>39543</v>
      </c>
      <c r="B5692" t="n">
        <v>7.7895</v>
      </c>
      <c r="C5692" t="n">
        <v>1.11635</v>
      </c>
    </row>
    <row r="5693">
      <c r="A5693" s="926" t="n">
        <v>39545</v>
      </c>
      <c r="B5693" t="n">
        <v>7.7915</v>
      </c>
      <c r="C5693" t="n">
        <v>1.1168</v>
      </c>
    </row>
    <row r="5694">
      <c r="A5694" s="926" t="n">
        <v>39546</v>
      </c>
      <c r="B5694" t="n">
        <v>7.7915</v>
      </c>
      <c r="C5694" t="n">
        <v>1.1176</v>
      </c>
    </row>
    <row r="5695">
      <c r="A5695" s="926" t="n">
        <v>39547</v>
      </c>
      <c r="B5695" t="n">
        <v>7.7915</v>
      </c>
      <c r="C5695" t="n">
        <v>1.11775</v>
      </c>
    </row>
    <row r="5696">
      <c r="A5696" s="926" t="n">
        <v>39548</v>
      </c>
      <c r="B5696" t="n">
        <v>7.7875</v>
      </c>
      <c r="C5696" t="n">
        <v>1.11875</v>
      </c>
    </row>
    <row r="5697">
      <c r="A5697" s="926" t="n">
        <v>39549</v>
      </c>
      <c r="B5697" t="n">
        <v>7.7905</v>
      </c>
      <c r="C5697" t="n">
        <v>1.11935</v>
      </c>
    </row>
    <row r="5698">
      <c r="A5698" s="926" t="n">
        <v>39550</v>
      </c>
      <c r="B5698" t="n">
        <v>7.7845</v>
      </c>
      <c r="C5698" t="n">
        <v>1.11965</v>
      </c>
    </row>
    <row r="5699">
      <c r="A5699" s="926" t="n">
        <v>39552</v>
      </c>
      <c r="B5699" t="n">
        <v>7.7925</v>
      </c>
      <c r="C5699" t="n">
        <v>1.11965</v>
      </c>
    </row>
    <row r="5700">
      <c r="A5700" s="926" t="n">
        <v>39553</v>
      </c>
      <c r="B5700" t="n">
        <v>7.7945</v>
      </c>
      <c r="C5700" t="n">
        <v>1.11965</v>
      </c>
    </row>
    <row r="5701">
      <c r="A5701" s="926" t="n">
        <v>39554</v>
      </c>
      <c r="B5701" t="n">
        <v>7.7955</v>
      </c>
      <c r="C5701" t="n">
        <v>1.11945</v>
      </c>
    </row>
    <row r="5702">
      <c r="A5702" s="926" t="n">
        <v>39555</v>
      </c>
      <c r="B5702" t="n">
        <v>7.7935</v>
      </c>
      <c r="C5702" t="n">
        <v>1.11965</v>
      </c>
    </row>
    <row r="5703">
      <c r="A5703" s="926" t="n">
        <v>39556</v>
      </c>
      <c r="B5703" t="n">
        <v>7.7935</v>
      </c>
      <c r="C5703" t="n">
        <v>1.12155</v>
      </c>
    </row>
    <row r="5704">
      <c r="A5704" s="926" t="n">
        <v>39557</v>
      </c>
      <c r="B5704" t="n">
        <v>7.7915</v>
      </c>
      <c r="C5704" t="n">
        <v>1.12145</v>
      </c>
    </row>
    <row r="5705">
      <c r="A5705" s="926" t="n">
        <v>39559</v>
      </c>
      <c r="B5705" t="n">
        <v>7.7955</v>
      </c>
      <c r="C5705" t="n">
        <v>1.12175</v>
      </c>
    </row>
    <row r="5706">
      <c r="A5706" s="926" t="n">
        <v>39560</v>
      </c>
      <c r="B5706" t="n">
        <v>7.7955</v>
      </c>
      <c r="C5706" t="n">
        <v>1.12045</v>
      </c>
    </row>
    <row r="5707">
      <c r="A5707" s="926" t="n">
        <v>39561</v>
      </c>
      <c r="B5707" t="n">
        <v>7.7945</v>
      </c>
      <c r="C5707" t="n">
        <v>1.12145</v>
      </c>
    </row>
    <row r="5708">
      <c r="A5708" s="926" t="n">
        <v>39562</v>
      </c>
      <c r="B5708" t="n">
        <v>7.7945</v>
      </c>
      <c r="C5708" t="n">
        <v>1.12185</v>
      </c>
    </row>
    <row r="5709">
      <c r="A5709" s="926" t="n">
        <v>39563</v>
      </c>
      <c r="B5709" t="n">
        <v>7.7935</v>
      </c>
      <c r="C5709" t="n">
        <v>1.12195</v>
      </c>
    </row>
    <row r="5710">
      <c r="A5710" s="926" t="n">
        <v>39564</v>
      </c>
      <c r="B5710" t="n">
        <v>7.7895</v>
      </c>
      <c r="C5710" t="n">
        <v>1.12165</v>
      </c>
    </row>
    <row r="5711">
      <c r="A5711" s="926" t="n">
        <v>39566</v>
      </c>
      <c r="B5711" t="n">
        <v>7.7935</v>
      </c>
      <c r="C5711" t="n">
        <v>1.11965</v>
      </c>
    </row>
    <row r="5712">
      <c r="A5712" s="926" t="n">
        <v>39567</v>
      </c>
      <c r="B5712" t="n">
        <v>7.7925</v>
      </c>
      <c r="C5712" t="n">
        <v>1.11965</v>
      </c>
    </row>
    <row r="5713">
      <c r="A5713" s="926" t="n">
        <v>39568</v>
      </c>
      <c r="B5713" t="n">
        <v>7.7945</v>
      </c>
      <c r="C5713" t="n">
        <v>1.12155</v>
      </c>
    </row>
    <row r="5714">
      <c r="A5714" s="926" t="n">
        <v>39570</v>
      </c>
      <c r="B5714" t="n">
        <v>7.7965</v>
      </c>
      <c r="C5714" t="n">
        <v>1.12185</v>
      </c>
    </row>
    <row r="5715">
      <c r="A5715" s="926" t="n">
        <v>39571</v>
      </c>
      <c r="B5715" t="n">
        <v>7.7925</v>
      </c>
      <c r="C5715" t="n">
        <v>1.12165</v>
      </c>
    </row>
    <row r="5716">
      <c r="A5716" s="926" t="n">
        <v>39573</v>
      </c>
      <c r="B5716" t="n">
        <v>7.7955</v>
      </c>
      <c r="C5716" t="n">
        <v>1.1184</v>
      </c>
    </row>
    <row r="5717">
      <c r="A5717" s="926" t="n">
        <v>39574</v>
      </c>
      <c r="B5717" t="n">
        <v>7.7965</v>
      </c>
      <c r="C5717" t="n">
        <v>1.1187</v>
      </c>
    </row>
    <row r="5718">
      <c r="A5718" s="926" t="n">
        <v>39575</v>
      </c>
      <c r="B5718" t="n">
        <v>7.7955</v>
      </c>
      <c r="C5718" t="n">
        <v>1.1186</v>
      </c>
    </row>
    <row r="5719">
      <c r="A5719" s="926" t="n">
        <v>39576</v>
      </c>
      <c r="B5719" t="n">
        <v>7.7965</v>
      </c>
      <c r="C5719" t="n">
        <v>1.11685</v>
      </c>
    </row>
    <row r="5720">
      <c r="A5720" s="926" t="n">
        <v>39577</v>
      </c>
      <c r="B5720" t="n">
        <v>7.7965</v>
      </c>
      <c r="C5720" t="n">
        <v>1.11685</v>
      </c>
    </row>
    <row r="5721">
      <c r="A5721" s="926" t="n">
        <v>39578</v>
      </c>
      <c r="B5721" t="n">
        <v>7.7945</v>
      </c>
      <c r="C5721" t="n">
        <v>1.11675</v>
      </c>
    </row>
    <row r="5722">
      <c r="A5722" s="926" t="n">
        <v>39581</v>
      </c>
      <c r="B5722" t="n">
        <v>7.7975</v>
      </c>
      <c r="C5722" t="n">
        <v>1.11685</v>
      </c>
    </row>
    <row r="5723">
      <c r="A5723" s="926" t="n">
        <v>39582</v>
      </c>
      <c r="B5723" t="n">
        <v>7.7995</v>
      </c>
      <c r="C5723" t="n">
        <v>1.1173</v>
      </c>
    </row>
    <row r="5724">
      <c r="A5724" s="926" t="n">
        <v>39583</v>
      </c>
      <c r="B5724" t="n">
        <v>7.8015</v>
      </c>
      <c r="C5724" t="n">
        <v>1.1167</v>
      </c>
    </row>
    <row r="5725">
      <c r="A5725" s="926" t="n">
        <v>39584</v>
      </c>
      <c r="B5725" t="n">
        <v>7.8015</v>
      </c>
      <c r="C5725" t="n">
        <v>1.117</v>
      </c>
    </row>
    <row r="5726">
      <c r="A5726" s="926" t="n">
        <v>39585</v>
      </c>
      <c r="B5726" t="n">
        <v>7.7985</v>
      </c>
      <c r="C5726" t="n">
        <v>1.11685</v>
      </c>
    </row>
    <row r="5727">
      <c r="A5727" s="926" t="n">
        <v>39587</v>
      </c>
      <c r="B5727" t="n">
        <v>7.7995</v>
      </c>
      <c r="C5727" t="n">
        <v>1.1169</v>
      </c>
    </row>
    <row r="5728">
      <c r="A5728" s="926" t="n">
        <v>39588</v>
      </c>
      <c r="B5728" t="n">
        <v>7.8015</v>
      </c>
      <c r="C5728" t="n">
        <v>1.117</v>
      </c>
    </row>
    <row r="5729">
      <c r="A5729" s="926" t="n">
        <v>39589</v>
      </c>
      <c r="B5729" t="n">
        <v>7.8015</v>
      </c>
      <c r="C5729" t="n">
        <v>1.12425</v>
      </c>
    </row>
    <row r="5730">
      <c r="A5730" s="926" t="n">
        <v>39590</v>
      </c>
      <c r="B5730" t="n">
        <v>7.8015</v>
      </c>
      <c r="C5730" t="n">
        <v>1.1277</v>
      </c>
    </row>
    <row r="5731">
      <c r="A5731" s="926" t="n">
        <v>39591</v>
      </c>
      <c r="B5731" t="n">
        <v>7.8035</v>
      </c>
      <c r="C5731" t="n">
        <v>1.1284</v>
      </c>
    </row>
    <row r="5732">
      <c r="A5732" s="926" t="n">
        <v>39592</v>
      </c>
      <c r="B5732" t="n">
        <v>7.7995</v>
      </c>
      <c r="C5732" t="n">
        <v>1.129</v>
      </c>
    </row>
    <row r="5733">
      <c r="A5733" s="926" t="n">
        <v>39594</v>
      </c>
      <c r="B5733" t="n">
        <v>7.8035</v>
      </c>
      <c r="C5733" t="n">
        <v>1.1295</v>
      </c>
    </row>
    <row r="5734">
      <c r="A5734" s="926" t="n">
        <v>39595</v>
      </c>
      <c r="B5734" t="n">
        <v>7.8055</v>
      </c>
      <c r="C5734" t="n">
        <v>1.1295</v>
      </c>
    </row>
    <row r="5735">
      <c r="A5735" s="926" t="n">
        <v>39596</v>
      </c>
      <c r="B5735" t="n">
        <v>7.8035</v>
      </c>
      <c r="C5735" t="n">
        <v>1.1284</v>
      </c>
    </row>
    <row r="5736">
      <c r="A5736" s="926" t="n">
        <v>39597</v>
      </c>
      <c r="B5736" t="n">
        <v>7.8065</v>
      </c>
      <c r="C5736" t="n">
        <v>1.1296</v>
      </c>
    </row>
    <row r="5737">
      <c r="A5737" s="926" t="n">
        <v>39598</v>
      </c>
      <c r="B5737" t="n">
        <v>7.8045</v>
      </c>
      <c r="C5737" t="n">
        <v>1.1285</v>
      </c>
    </row>
    <row r="5738">
      <c r="A5738" s="926" t="n">
        <v>39599</v>
      </c>
      <c r="B5738" t="n">
        <v>7.8025</v>
      </c>
      <c r="C5738" t="n">
        <v>1.1296</v>
      </c>
    </row>
    <row r="5739">
      <c r="A5739" s="926" t="n">
        <v>39601</v>
      </c>
      <c r="B5739" t="n">
        <v>7.8045</v>
      </c>
      <c r="C5739" t="n">
        <v>1.1295</v>
      </c>
    </row>
    <row r="5740">
      <c r="A5740" s="926" t="n">
        <v>39602</v>
      </c>
      <c r="B5740" t="n">
        <v>7.8055</v>
      </c>
      <c r="C5740" t="n">
        <v>1.13145</v>
      </c>
    </row>
    <row r="5741">
      <c r="A5741" s="926" t="n">
        <v>39603</v>
      </c>
      <c r="B5741" t="n">
        <v>7.8075</v>
      </c>
      <c r="C5741" t="n">
        <v>1.1295</v>
      </c>
    </row>
    <row r="5742">
      <c r="A5742" s="926" t="n">
        <v>39604</v>
      </c>
      <c r="B5742" t="n">
        <v>7.8095</v>
      </c>
      <c r="C5742" t="n">
        <v>1.1299</v>
      </c>
    </row>
    <row r="5743">
      <c r="A5743" s="926" t="n">
        <v>39605</v>
      </c>
      <c r="B5743" t="n">
        <v>7.8085</v>
      </c>
      <c r="C5743" t="n">
        <v>1.1316</v>
      </c>
    </row>
    <row r="5744">
      <c r="A5744" s="926" t="n">
        <v>39609</v>
      </c>
      <c r="B5744" t="n">
        <v>7.8105</v>
      </c>
      <c r="C5744" t="n">
        <v>1.13235</v>
      </c>
    </row>
    <row r="5745">
      <c r="A5745" s="926" t="n">
        <v>39610</v>
      </c>
      <c r="B5745" t="n">
        <v>7.8095</v>
      </c>
      <c r="C5745" t="n">
        <v>1.1324</v>
      </c>
    </row>
    <row r="5746">
      <c r="A5746" s="926" t="n">
        <v>39611</v>
      </c>
      <c r="B5746" t="n">
        <v>7.8075</v>
      </c>
      <c r="C5746" t="n">
        <v>1.13505</v>
      </c>
    </row>
    <row r="5747">
      <c r="A5747" s="926" t="n">
        <v>39612</v>
      </c>
      <c r="B5747" t="n">
        <v>7.8125</v>
      </c>
      <c r="C5747" t="n">
        <v>1.13645</v>
      </c>
    </row>
    <row r="5748">
      <c r="A5748" s="926" t="n">
        <v>39613</v>
      </c>
      <c r="B5748" t="n">
        <v>7.8105</v>
      </c>
      <c r="C5748" t="n">
        <v>1.13645</v>
      </c>
    </row>
    <row r="5749">
      <c r="A5749" s="926" t="n">
        <v>39615</v>
      </c>
      <c r="B5749" t="n">
        <v>7.8135</v>
      </c>
      <c r="C5749" t="n">
        <v>1.13655</v>
      </c>
    </row>
    <row r="5750">
      <c r="A5750" s="926" t="n">
        <v>39616</v>
      </c>
      <c r="B5750" t="n">
        <v>7.8095</v>
      </c>
      <c r="C5750" t="n">
        <v>1.13835</v>
      </c>
    </row>
    <row r="5751">
      <c r="A5751" s="926" t="n">
        <v>39617</v>
      </c>
      <c r="B5751" t="n">
        <v>7.8085</v>
      </c>
      <c r="C5751" t="n">
        <v>1.1394</v>
      </c>
    </row>
    <row r="5752">
      <c r="A5752" s="926" t="n">
        <v>39618</v>
      </c>
      <c r="B5752" t="n">
        <v>7.8065</v>
      </c>
      <c r="C5752" t="n">
        <v>1.1396</v>
      </c>
    </row>
    <row r="5753">
      <c r="A5753" s="926" t="n">
        <v>39619</v>
      </c>
      <c r="B5753" t="n">
        <v>7.8075</v>
      </c>
      <c r="C5753" t="n">
        <v>1.1396</v>
      </c>
    </row>
    <row r="5754">
      <c r="A5754" s="926" t="n">
        <v>39620</v>
      </c>
      <c r="B5754" t="n">
        <v>7.8025</v>
      </c>
      <c r="C5754" t="n">
        <v>1.1388</v>
      </c>
    </row>
    <row r="5755">
      <c r="A5755" s="926" t="n">
        <v>39622</v>
      </c>
      <c r="B5755" t="n">
        <v>7.8065</v>
      </c>
      <c r="C5755" t="n">
        <v>1.1411</v>
      </c>
    </row>
    <row r="5756">
      <c r="A5756" s="926" t="n">
        <v>39623</v>
      </c>
      <c r="B5756" t="n">
        <v>7.8085</v>
      </c>
      <c r="C5756" t="n">
        <v>1.1411</v>
      </c>
    </row>
    <row r="5757">
      <c r="A5757" s="926" t="n">
        <v>39624</v>
      </c>
      <c r="B5757" t="n">
        <v>7.8055</v>
      </c>
      <c r="C5757" t="n">
        <v>1.1406</v>
      </c>
    </row>
    <row r="5758">
      <c r="A5758" s="926" t="n">
        <v>39625</v>
      </c>
      <c r="B5758" t="n">
        <v>7.8065</v>
      </c>
      <c r="C5758" t="n">
        <v>1.1415</v>
      </c>
    </row>
    <row r="5759">
      <c r="A5759" s="926" t="n">
        <v>39626</v>
      </c>
      <c r="B5759" t="n">
        <v>7.8025</v>
      </c>
      <c r="C5759" t="n">
        <v>1.1422</v>
      </c>
    </row>
    <row r="5760">
      <c r="A5760" s="926" t="n">
        <v>39627</v>
      </c>
      <c r="B5760" t="n">
        <v>7.8005</v>
      </c>
      <c r="C5760" t="n">
        <v>1.1424</v>
      </c>
    </row>
    <row r="5761">
      <c r="A5761" s="926" t="n">
        <v>39629</v>
      </c>
      <c r="B5761" t="n">
        <v>7.8005</v>
      </c>
      <c r="C5761" t="n">
        <v>1.1424</v>
      </c>
    </row>
    <row r="5762">
      <c r="A5762" s="926" t="n">
        <v>39631</v>
      </c>
      <c r="B5762" t="n">
        <v>7.7995</v>
      </c>
      <c r="C5762" t="n">
        <v>1.1418</v>
      </c>
    </row>
    <row r="5763">
      <c r="A5763" s="926" t="n">
        <v>39632</v>
      </c>
      <c r="B5763" t="n">
        <v>7.7985</v>
      </c>
      <c r="C5763" t="n">
        <v>1.1423</v>
      </c>
    </row>
    <row r="5764">
      <c r="A5764" s="926" t="n">
        <v>39633</v>
      </c>
      <c r="B5764" t="n">
        <v>7.7975</v>
      </c>
      <c r="C5764" t="n">
        <v>1.1415</v>
      </c>
    </row>
    <row r="5765">
      <c r="A5765" s="926" t="n">
        <v>39634</v>
      </c>
      <c r="B5765" t="n">
        <v>7.7975</v>
      </c>
      <c r="C5765" t="n">
        <v>1.1416</v>
      </c>
    </row>
    <row r="5766">
      <c r="A5766" s="926" t="n">
        <v>39636</v>
      </c>
      <c r="B5766" t="n">
        <v>7.7995</v>
      </c>
      <c r="C5766" t="n">
        <v>1.1426</v>
      </c>
    </row>
    <row r="5767">
      <c r="A5767" s="926" t="n">
        <v>39637</v>
      </c>
      <c r="B5767" t="n">
        <v>7.8025</v>
      </c>
      <c r="C5767" t="n">
        <v>1.1432</v>
      </c>
    </row>
    <row r="5768">
      <c r="A5768" s="926" t="n">
        <v>39638</v>
      </c>
      <c r="B5768" t="n">
        <v>7.8025</v>
      </c>
      <c r="C5768" t="n">
        <v>1.1432</v>
      </c>
    </row>
    <row r="5769">
      <c r="A5769" s="926" t="n">
        <v>39639</v>
      </c>
      <c r="B5769" t="n">
        <v>7.8025</v>
      </c>
      <c r="C5769" t="n">
        <v>1.1437</v>
      </c>
    </row>
    <row r="5770">
      <c r="A5770" s="926" t="n">
        <v>39640</v>
      </c>
      <c r="B5770" t="n">
        <v>7.8035</v>
      </c>
      <c r="C5770" t="n">
        <v>1.14635</v>
      </c>
    </row>
    <row r="5771">
      <c r="A5771" s="926" t="n">
        <v>39641</v>
      </c>
      <c r="B5771" t="n">
        <v>7.8025</v>
      </c>
      <c r="C5771" t="n">
        <v>1.14655</v>
      </c>
    </row>
    <row r="5772">
      <c r="A5772" s="926" t="n">
        <v>39643</v>
      </c>
      <c r="B5772" t="n">
        <v>7.8035</v>
      </c>
      <c r="C5772" t="n">
        <v>1.14675</v>
      </c>
    </row>
    <row r="5773">
      <c r="A5773" s="926" t="n">
        <v>39644</v>
      </c>
      <c r="B5773" t="n">
        <v>7.8025</v>
      </c>
      <c r="C5773" t="n">
        <v>1.14505</v>
      </c>
    </row>
    <row r="5774">
      <c r="A5774" s="926" t="n">
        <v>39645</v>
      </c>
      <c r="B5774" t="n">
        <v>7.7985</v>
      </c>
      <c r="C5774" t="n">
        <v>1.14465</v>
      </c>
    </row>
    <row r="5775">
      <c r="A5775" s="926" t="n">
        <v>39646</v>
      </c>
      <c r="B5775" t="n">
        <v>7.7995</v>
      </c>
      <c r="C5775" t="n">
        <v>1.1448</v>
      </c>
    </row>
    <row r="5776">
      <c r="A5776" s="926" t="n">
        <v>39647</v>
      </c>
      <c r="B5776" t="n">
        <v>7.7985</v>
      </c>
      <c r="C5776" t="n">
        <v>1.14445</v>
      </c>
    </row>
    <row r="5777">
      <c r="A5777" s="926" t="n">
        <v>39648</v>
      </c>
      <c r="B5777" t="n">
        <v>7.7975</v>
      </c>
      <c r="C5777" t="n">
        <v>1.14615</v>
      </c>
    </row>
    <row r="5778">
      <c r="A5778" s="926" t="n">
        <v>39650</v>
      </c>
      <c r="B5778" t="n">
        <v>7.7985</v>
      </c>
      <c r="C5778" t="n">
        <v>1.1465</v>
      </c>
    </row>
    <row r="5779">
      <c r="A5779" s="926" t="n">
        <v>39651</v>
      </c>
      <c r="B5779" t="n">
        <v>7.7975</v>
      </c>
      <c r="C5779" t="n">
        <v>1.14715</v>
      </c>
    </row>
    <row r="5780">
      <c r="A5780" s="926" t="n">
        <v>39652</v>
      </c>
      <c r="B5780" t="n">
        <v>7.8005</v>
      </c>
      <c r="C5780" t="n">
        <v>1.14745</v>
      </c>
    </row>
    <row r="5781">
      <c r="A5781" s="926" t="n">
        <v>39653</v>
      </c>
      <c r="B5781" t="n">
        <v>7.8005</v>
      </c>
      <c r="C5781" t="n">
        <v>1.14745</v>
      </c>
    </row>
    <row r="5782">
      <c r="A5782" s="926" t="n">
        <v>39654</v>
      </c>
      <c r="B5782" t="n">
        <v>7.7995</v>
      </c>
      <c r="C5782" t="n">
        <v>1.14835</v>
      </c>
    </row>
    <row r="5783">
      <c r="A5783" s="926" t="n">
        <v>39655</v>
      </c>
      <c r="B5783" t="n">
        <v>7.7985</v>
      </c>
      <c r="C5783" t="n">
        <v>1.14815</v>
      </c>
    </row>
    <row r="5784">
      <c r="A5784" s="926" t="n">
        <v>39657</v>
      </c>
      <c r="B5784" t="n">
        <v>7.8005</v>
      </c>
      <c r="C5784" t="n">
        <v>1.14745</v>
      </c>
    </row>
    <row r="5785">
      <c r="A5785" s="926" t="n">
        <v>39658</v>
      </c>
      <c r="B5785" t="n">
        <v>7.8015</v>
      </c>
      <c r="C5785" t="n">
        <v>1.14725</v>
      </c>
    </row>
    <row r="5786">
      <c r="A5786" s="926" t="n">
        <v>39659</v>
      </c>
      <c r="B5786" t="n">
        <v>7.8045</v>
      </c>
      <c r="C5786" t="n">
        <v>1.14685</v>
      </c>
    </row>
    <row r="5787">
      <c r="A5787" s="926" t="n">
        <v>39660</v>
      </c>
      <c r="B5787" t="n">
        <v>7.8035</v>
      </c>
      <c r="C5787" t="n">
        <v>1.14775</v>
      </c>
    </row>
    <row r="5788">
      <c r="A5788" s="926" t="n">
        <v>39661</v>
      </c>
      <c r="B5788" t="n">
        <v>7.8035</v>
      </c>
      <c r="C5788" t="n">
        <v>1.14535</v>
      </c>
    </row>
    <row r="5789">
      <c r="A5789" s="926" t="n">
        <v>39662</v>
      </c>
      <c r="B5789" t="n">
        <v>7.8035</v>
      </c>
      <c r="C5789" t="n">
        <v>1.14755</v>
      </c>
    </row>
    <row r="5790">
      <c r="A5790" s="926" t="n">
        <v>39664</v>
      </c>
      <c r="B5790" t="n">
        <v>7.8045</v>
      </c>
      <c r="C5790" t="n">
        <v>1.145</v>
      </c>
    </row>
    <row r="5791">
      <c r="A5791" s="926" t="n">
        <v>39665</v>
      </c>
      <c r="B5791" t="n">
        <v>7.8055</v>
      </c>
      <c r="C5791" t="n">
        <v>1.14415</v>
      </c>
    </row>
    <row r="5792">
      <c r="A5792" s="926" t="n">
        <v>39667</v>
      </c>
      <c r="B5792" t="n">
        <v>7.8065</v>
      </c>
      <c r="C5792" t="n">
        <v>1.1436</v>
      </c>
    </row>
    <row r="5793">
      <c r="A5793" s="926" t="n">
        <v>39668</v>
      </c>
      <c r="B5793" t="n">
        <v>7.8105</v>
      </c>
      <c r="C5793" t="n">
        <v>1.14305</v>
      </c>
    </row>
    <row r="5794">
      <c r="A5794" s="926" t="n">
        <v>39669</v>
      </c>
      <c r="B5794" t="n">
        <v>7.8075</v>
      </c>
      <c r="C5794" t="n">
        <v>1.14445</v>
      </c>
    </row>
    <row r="5795">
      <c r="A5795" s="926" t="n">
        <v>39671</v>
      </c>
      <c r="B5795" t="n">
        <v>7.8115</v>
      </c>
      <c r="C5795" t="n">
        <v>1.143</v>
      </c>
    </row>
    <row r="5796">
      <c r="A5796" s="926" t="n">
        <v>39672</v>
      </c>
      <c r="B5796" t="n">
        <v>7.8105</v>
      </c>
      <c r="C5796" t="n">
        <v>1.1434</v>
      </c>
    </row>
    <row r="5797">
      <c r="A5797" s="926" t="n">
        <v>39673</v>
      </c>
      <c r="B5797" t="n">
        <v>7.8085</v>
      </c>
      <c r="C5797" t="n">
        <v>1.1434</v>
      </c>
    </row>
    <row r="5798">
      <c r="A5798" s="926" t="n">
        <v>39674</v>
      </c>
      <c r="B5798" t="n">
        <v>7.8105</v>
      </c>
      <c r="C5798" t="n">
        <v>1.14355</v>
      </c>
    </row>
    <row r="5799">
      <c r="A5799" s="926" t="n">
        <v>39675</v>
      </c>
      <c r="B5799" t="n">
        <v>7.8135</v>
      </c>
      <c r="C5799" t="n">
        <v>1.1428</v>
      </c>
    </row>
    <row r="5800">
      <c r="A5800" s="926" t="n">
        <v>39676</v>
      </c>
      <c r="B5800" t="n">
        <v>7.8115</v>
      </c>
      <c r="C5800" t="n">
        <v>1.142</v>
      </c>
    </row>
    <row r="5801">
      <c r="A5801" s="926" t="n">
        <v>39678</v>
      </c>
      <c r="B5801" t="n">
        <v>7.8145</v>
      </c>
      <c r="C5801" t="n">
        <v>1.1423</v>
      </c>
    </row>
    <row r="5802">
      <c r="A5802" s="926" t="n">
        <v>39679</v>
      </c>
      <c r="B5802" t="n">
        <v>7.8125</v>
      </c>
      <c r="C5802" t="n">
        <v>1.1412</v>
      </c>
    </row>
    <row r="5803">
      <c r="A5803" s="926" t="n">
        <v>39680</v>
      </c>
      <c r="B5803" t="n">
        <v>7.8115</v>
      </c>
      <c r="C5803" t="n">
        <v>1.1415</v>
      </c>
    </row>
    <row r="5804">
      <c r="A5804" s="926" t="n">
        <v>39681</v>
      </c>
      <c r="B5804" t="n">
        <v>7.8095</v>
      </c>
      <c r="C5804" t="n">
        <v>1.1414</v>
      </c>
    </row>
    <row r="5805">
      <c r="A5805" s="926" t="n">
        <v>39683</v>
      </c>
      <c r="B5805" t="n">
        <v>7.8045</v>
      </c>
      <c r="C5805" t="n">
        <v>1.143</v>
      </c>
    </row>
    <row r="5806">
      <c r="A5806" s="926" t="n">
        <v>39685</v>
      </c>
      <c r="B5806" t="n">
        <v>7.8095</v>
      </c>
      <c r="C5806" t="n">
        <v>1.1406</v>
      </c>
    </row>
    <row r="5807">
      <c r="A5807" s="926" t="n">
        <v>39686</v>
      </c>
      <c r="B5807" t="n">
        <v>7.8085</v>
      </c>
      <c r="C5807" t="n">
        <v>1.1414</v>
      </c>
    </row>
    <row r="5808">
      <c r="A5808" s="926" t="n">
        <v>39687</v>
      </c>
      <c r="B5808" t="n">
        <v>7.8085</v>
      </c>
      <c r="C5808" t="n">
        <v>1.1416</v>
      </c>
    </row>
    <row r="5809">
      <c r="A5809" s="926" t="n">
        <v>39688</v>
      </c>
      <c r="B5809" t="n">
        <v>7.8095</v>
      </c>
      <c r="C5809" t="n">
        <v>1.1436</v>
      </c>
    </row>
    <row r="5810">
      <c r="A5810" s="926" t="n">
        <v>39689</v>
      </c>
      <c r="B5810" t="n">
        <v>7.8085</v>
      </c>
      <c r="C5810" t="n">
        <v>1.1434</v>
      </c>
    </row>
    <row r="5811">
      <c r="A5811" s="926" t="n">
        <v>39690</v>
      </c>
      <c r="B5811" t="n">
        <v>7.8035</v>
      </c>
      <c r="C5811" t="n">
        <v>1.1427</v>
      </c>
    </row>
    <row r="5812">
      <c r="A5812" s="926" t="n">
        <v>39692</v>
      </c>
      <c r="B5812" t="n">
        <v>7.8065</v>
      </c>
      <c r="C5812" t="n">
        <v>1.1433</v>
      </c>
    </row>
    <row r="5813">
      <c r="A5813" s="926" t="n">
        <v>39693</v>
      </c>
      <c r="B5813" t="n">
        <v>7.8075</v>
      </c>
      <c r="C5813" t="n">
        <v>1.1421</v>
      </c>
    </row>
    <row r="5814">
      <c r="A5814" s="926" t="n">
        <v>39694</v>
      </c>
      <c r="B5814" t="n">
        <v>7.8095</v>
      </c>
      <c r="C5814" t="n">
        <v>1.1409</v>
      </c>
    </row>
    <row r="5815">
      <c r="A5815" s="926" t="n">
        <v>39695</v>
      </c>
      <c r="B5815" t="n">
        <v>7.8075</v>
      </c>
      <c r="C5815" t="n">
        <v>1.1423</v>
      </c>
    </row>
    <row r="5816">
      <c r="A5816" s="926" t="n">
        <v>39696</v>
      </c>
      <c r="B5816" t="n">
        <v>7.8085</v>
      </c>
      <c r="C5816" t="n">
        <v>1.1421</v>
      </c>
    </row>
    <row r="5817">
      <c r="A5817" s="926" t="n">
        <v>39697</v>
      </c>
      <c r="B5817" t="n">
        <v>7.8045</v>
      </c>
      <c r="C5817" t="n">
        <v>1.1413</v>
      </c>
    </row>
    <row r="5818">
      <c r="A5818" s="926" t="n">
        <v>39699</v>
      </c>
      <c r="B5818" t="n">
        <v>7.8065</v>
      </c>
      <c r="C5818" t="n">
        <v>1.1425</v>
      </c>
    </row>
    <row r="5819">
      <c r="A5819" s="926" t="n">
        <v>39700</v>
      </c>
      <c r="B5819" t="n">
        <v>7.7995</v>
      </c>
      <c r="C5819" t="n">
        <v>1.1428</v>
      </c>
    </row>
    <row r="5820">
      <c r="A5820" s="926" t="n">
        <v>39701</v>
      </c>
      <c r="B5820" t="n">
        <v>7.7995</v>
      </c>
      <c r="C5820" t="n">
        <v>1.1426</v>
      </c>
    </row>
    <row r="5821">
      <c r="A5821" s="926" t="n">
        <v>39702</v>
      </c>
      <c r="B5821" t="n">
        <v>7.7995</v>
      </c>
      <c r="C5821" t="n">
        <v>1.1424</v>
      </c>
    </row>
    <row r="5822">
      <c r="A5822" s="926" t="n">
        <v>39703</v>
      </c>
      <c r="B5822" t="n">
        <v>7.7985</v>
      </c>
      <c r="C5822" t="n">
        <v>1.14145</v>
      </c>
    </row>
    <row r="5823">
      <c r="A5823" s="926" t="n">
        <v>39704</v>
      </c>
      <c r="B5823" t="n">
        <v>7.7955</v>
      </c>
      <c r="C5823" t="n">
        <v>1.141</v>
      </c>
    </row>
    <row r="5824">
      <c r="A5824" s="926" t="n">
        <v>39707</v>
      </c>
      <c r="B5824" t="n">
        <v>7.7845</v>
      </c>
      <c r="C5824" t="n">
        <v>1.1406</v>
      </c>
    </row>
    <row r="5825">
      <c r="A5825" s="926" t="n">
        <v>39708</v>
      </c>
      <c r="B5825" t="n">
        <v>7.7835</v>
      </c>
      <c r="C5825" t="n">
        <v>1.1384</v>
      </c>
    </row>
    <row r="5826">
      <c r="A5826" s="926" t="n">
        <v>39709</v>
      </c>
      <c r="B5826" t="n">
        <v>7.7825</v>
      </c>
      <c r="C5826" t="n">
        <v>1.13695</v>
      </c>
    </row>
    <row r="5827">
      <c r="A5827" s="926" t="n">
        <v>39710</v>
      </c>
      <c r="B5827" t="n">
        <v>7.7815</v>
      </c>
      <c r="C5827" t="n">
        <v>1.1391</v>
      </c>
    </row>
    <row r="5828">
      <c r="A5828" s="926" t="n">
        <v>39711</v>
      </c>
      <c r="B5828" t="n">
        <v>7.7765</v>
      </c>
      <c r="C5828" t="n">
        <v>1.1374</v>
      </c>
    </row>
    <row r="5829">
      <c r="A5829" s="926" t="n">
        <v>39713</v>
      </c>
      <c r="B5829" t="n">
        <v>7.7775</v>
      </c>
      <c r="C5829" t="n">
        <v>1.1392</v>
      </c>
    </row>
    <row r="5830">
      <c r="A5830" s="926" t="n">
        <v>39714</v>
      </c>
      <c r="B5830" t="n">
        <v>7.7655</v>
      </c>
      <c r="C5830" t="n">
        <v>1.1385</v>
      </c>
    </row>
    <row r="5831">
      <c r="A5831" s="926" t="n">
        <v>39715</v>
      </c>
      <c r="B5831" t="n">
        <v>7.7635</v>
      </c>
      <c r="C5831" t="n">
        <v>1.1382</v>
      </c>
    </row>
    <row r="5832">
      <c r="A5832" s="926" t="n">
        <v>39716</v>
      </c>
      <c r="B5832" t="n">
        <v>7.7715</v>
      </c>
      <c r="C5832" t="n">
        <v>1.1393</v>
      </c>
    </row>
    <row r="5833">
      <c r="A5833" s="926" t="n">
        <v>39717</v>
      </c>
      <c r="B5833" t="n">
        <v>7.7775</v>
      </c>
      <c r="C5833" t="n">
        <v>1.139</v>
      </c>
    </row>
    <row r="5834">
      <c r="A5834" s="926" t="n">
        <v>39718</v>
      </c>
      <c r="B5834" t="n">
        <v>7.7725</v>
      </c>
      <c r="C5834" t="n">
        <v>1.137</v>
      </c>
    </row>
    <row r="5835">
      <c r="A5835" s="926" t="n">
        <v>39720</v>
      </c>
      <c r="B5835" t="n">
        <v>7.7715</v>
      </c>
      <c r="C5835" t="n">
        <v>1.1357</v>
      </c>
    </row>
    <row r="5836">
      <c r="A5836" s="926" t="n">
        <v>39721</v>
      </c>
      <c r="B5836" t="n">
        <v>7.7655</v>
      </c>
      <c r="C5836" t="n">
        <v>1.13495</v>
      </c>
    </row>
    <row r="5837">
      <c r="A5837" s="926" t="n">
        <v>39723</v>
      </c>
      <c r="B5837" t="n">
        <v>7.7685</v>
      </c>
      <c r="C5837" t="n">
        <v>1.1354</v>
      </c>
    </row>
    <row r="5838">
      <c r="A5838" s="926" t="n">
        <v>39724</v>
      </c>
      <c r="B5838" t="n">
        <v>7.7695</v>
      </c>
      <c r="C5838" t="n">
        <v>1.1354</v>
      </c>
    </row>
    <row r="5839">
      <c r="A5839" s="926" t="n">
        <v>39725</v>
      </c>
      <c r="B5839" t="n">
        <v>7.7655</v>
      </c>
      <c r="C5839" t="n">
        <v>1.1363</v>
      </c>
    </row>
    <row r="5840">
      <c r="A5840" s="926" t="n">
        <v>39727</v>
      </c>
      <c r="B5840" t="n">
        <v>7.7725</v>
      </c>
      <c r="C5840" t="n">
        <v>1.13415</v>
      </c>
    </row>
    <row r="5841">
      <c r="A5841" s="926" t="n">
        <v>39729</v>
      </c>
      <c r="B5841" t="n">
        <v>7.7685</v>
      </c>
      <c r="C5841" t="n">
        <v>1.1399</v>
      </c>
    </row>
    <row r="5842">
      <c r="A5842" s="926" t="n">
        <v>39730</v>
      </c>
      <c r="B5842" t="n">
        <v>7.7665</v>
      </c>
      <c r="C5842" t="n">
        <v>1.1381</v>
      </c>
    </row>
    <row r="5843">
      <c r="A5843" s="926" t="n">
        <v>39731</v>
      </c>
      <c r="B5843" t="n">
        <v>7.7625</v>
      </c>
      <c r="C5843" t="n">
        <v>1.136</v>
      </c>
    </row>
    <row r="5844">
      <c r="A5844" s="926" t="n">
        <v>39732</v>
      </c>
      <c r="B5844" t="n">
        <v>7.7575</v>
      </c>
      <c r="C5844" t="n">
        <v>1.13645</v>
      </c>
    </row>
    <row r="5845">
      <c r="A5845" s="926" t="n">
        <v>39734</v>
      </c>
      <c r="B5845" t="n">
        <v>7.7615</v>
      </c>
      <c r="C5845" t="n">
        <v>1.1369</v>
      </c>
    </row>
    <row r="5846">
      <c r="A5846" s="926" t="n">
        <v>39735</v>
      </c>
      <c r="B5846" t="n">
        <v>7.7615</v>
      </c>
      <c r="C5846" t="n">
        <v>1.1367</v>
      </c>
    </row>
    <row r="5847">
      <c r="A5847" s="926" t="n">
        <v>39736</v>
      </c>
      <c r="B5847" t="n">
        <v>7.7615</v>
      </c>
      <c r="C5847" t="n">
        <v>1.13555</v>
      </c>
    </row>
    <row r="5848">
      <c r="A5848" s="926" t="n">
        <v>39737</v>
      </c>
      <c r="B5848" t="n">
        <v>7.7575</v>
      </c>
      <c r="C5848" t="n">
        <v>1.13495</v>
      </c>
    </row>
    <row r="5849">
      <c r="A5849" s="926" t="n">
        <v>39738</v>
      </c>
      <c r="B5849" t="n">
        <v>7.7595</v>
      </c>
      <c r="C5849" t="n">
        <v>1.1349</v>
      </c>
    </row>
    <row r="5850">
      <c r="A5850" s="926" t="n">
        <v>39739</v>
      </c>
      <c r="B5850" t="n">
        <v>7.7525</v>
      </c>
      <c r="C5850" t="n">
        <v>1.1339</v>
      </c>
    </row>
    <row r="5851">
      <c r="A5851" s="926" t="n">
        <v>39741</v>
      </c>
      <c r="B5851" t="n">
        <v>7.7585</v>
      </c>
      <c r="C5851" t="n">
        <v>1.1358</v>
      </c>
    </row>
    <row r="5852">
      <c r="A5852" s="926" t="n">
        <v>39742</v>
      </c>
      <c r="B5852" t="n">
        <v>7.7555</v>
      </c>
      <c r="C5852" t="n">
        <v>1.1345</v>
      </c>
    </row>
    <row r="5853">
      <c r="A5853" s="926" t="n">
        <v>39743</v>
      </c>
      <c r="B5853" t="n">
        <v>7.7565</v>
      </c>
      <c r="C5853" t="n">
        <v>1.134</v>
      </c>
    </row>
    <row r="5854">
      <c r="A5854" s="926" t="n">
        <v>39744</v>
      </c>
      <c r="B5854" t="n">
        <v>7.7535</v>
      </c>
      <c r="C5854" t="n">
        <v>1.13255</v>
      </c>
    </row>
    <row r="5855">
      <c r="A5855" s="926" t="n">
        <v>39745</v>
      </c>
      <c r="B5855" t="n">
        <v>7.7535</v>
      </c>
      <c r="C5855" t="n">
        <v>1.13205</v>
      </c>
    </row>
    <row r="5856">
      <c r="A5856" s="926" t="n">
        <v>39746</v>
      </c>
      <c r="B5856" t="n">
        <v>7.7495</v>
      </c>
      <c r="C5856" t="n">
        <v>1.1313</v>
      </c>
    </row>
    <row r="5857">
      <c r="A5857" s="926" t="n">
        <v>39748</v>
      </c>
      <c r="B5857" t="n">
        <v>7.7525</v>
      </c>
      <c r="C5857" t="n">
        <v>1.1314</v>
      </c>
    </row>
    <row r="5858">
      <c r="A5858" s="926" t="n">
        <v>39749</v>
      </c>
      <c r="B5858" t="n">
        <v>7.7515</v>
      </c>
      <c r="C5858" t="n">
        <v>1.13175</v>
      </c>
    </row>
    <row r="5859">
      <c r="A5859" s="926" t="n">
        <v>39750</v>
      </c>
      <c r="B5859" t="n">
        <v>7.7535</v>
      </c>
      <c r="C5859" t="n">
        <v>1.13235</v>
      </c>
    </row>
    <row r="5860">
      <c r="A5860" s="926" t="n">
        <v>39751</v>
      </c>
      <c r="B5860" t="n">
        <v>7.7535</v>
      </c>
      <c r="C5860" t="n">
        <v>1.13255</v>
      </c>
    </row>
    <row r="5861">
      <c r="A5861" s="926" t="n">
        <v>39752</v>
      </c>
      <c r="B5861" t="n">
        <v>7.7515</v>
      </c>
      <c r="C5861" t="n">
        <v>1.1321</v>
      </c>
    </row>
    <row r="5862">
      <c r="A5862" s="926" t="n">
        <v>39753</v>
      </c>
      <c r="B5862" t="n">
        <v>7.7485</v>
      </c>
      <c r="C5862" t="n">
        <v>1.13165</v>
      </c>
    </row>
    <row r="5863">
      <c r="A5863" s="926" t="n">
        <v>39755</v>
      </c>
      <c r="B5863" t="n">
        <v>7.7515</v>
      </c>
      <c r="C5863" t="n">
        <v>1.13275</v>
      </c>
    </row>
    <row r="5864">
      <c r="A5864" s="926" t="n">
        <v>39756</v>
      </c>
      <c r="B5864" t="n">
        <v>7.7505</v>
      </c>
      <c r="C5864" t="n">
        <v>1.1326</v>
      </c>
    </row>
    <row r="5865">
      <c r="A5865" s="926" t="n">
        <v>39757</v>
      </c>
      <c r="B5865" t="n">
        <v>7.7515</v>
      </c>
      <c r="C5865" t="n">
        <v>1.1336</v>
      </c>
    </row>
    <row r="5866">
      <c r="A5866" s="926" t="n">
        <v>39758</v>
      </c>
      <c r="B5866" t="n">
        <v>7.7505</v>
      </c>
      <c r="C5866" t="n">
        <v>1.13395</v>
      </c>
    </row>
    <row r="5867">
      <c r="A5867" s="926" t="n">
        <v>39759</v>
      </c>
      <c r="B5867" t="n">
        <v>7.7505</v>
      </c>
      <c r="C5867" t="n">
        <v>1.13275</v>
      </c>
    </row>
    <row r="5868">
      <c r="A5868" s="926" t="n">
        <v>39760</v>
      </c>
      <c r="B5868" t="n">
        <v>7.7485</v>
      </c>
      <c r="C5868" t="n">
        <v>1.1323</v>
      </c>
    </row>
    <row r="5869">
      <c r="A5869" s="926" t="n">
        <v>39762</v>
      </c>
      <c r="B5869" t="n">
        <v>7.7505</v>
      </c>
      <c r="C5869" t="n">
        <v>1.1336</v>
      </c>
    </row>
    <row r="5870">
      <c r="A5870" s="926" t="n">
        <v>39763</v>
      </c>
      <c r="B5870" t="n">
        <v>7.7505</v>
      </c>
      <c r="C5870" t="n">
        <v>1.13245</v>
      </c>
    </row>
    <row r="5871">
      <c r="A5871" s="926" t="n">
        <v>39764</v>
      </c>
      <c r="B5871" t="n">
        <v>7.7525</v>
      </c>
      <c r="C5871" t="n">
        <v>1.1324</v>
      </c>
    </row>
    <row r="5872">
      <c r="A5872" s="926" t="n">
        <v>39765</v>
      </c>
      <c r="B5872" t="n">
        <v>7.7505</v>
      </c>
      <c r="C5872" t="n">
        <v>1.1321</v>
      </c>
    </row>
    <row r="5873">
      <c r="A5873" s="926" t="n">
        <v>39766</v>
      </c>
      <c r="B5873" t="n">
        <v>7.7505</v>
      </c>
      <c r="C5873" t="n">
        <v>1.12935</v>
      </c>
    </row>
    <row r="5874">
      <c r="A5874" s="926" t="n">
        <v>39767</v>
      </c>
      <c r="B5874" t="n">
        <v>7.7485</v>
      </c>
      <c r="C5874" t="n">
        <v>1.12905</v>
      </c>
    </row>
    <row r="5875">
      <c r="A5875" s="926" t="n">
        <v>39769</v>
      </c>
      <c r="B5875" t="n">
        <v>7.7515</v>
      </c>
      <c r="C5875" t="n">
        <v>1.12945</v>
      </c>
    </row>
    <row r="5876">
      <c r="A5876" s="926" t="n">
        <v>39770</v>
      </c>
      <c r="B5876" t="n">
        <v>7.7505</v>
      </c>
      <c r="C5876" t="n">
        <v>1.12935</v>
      </c>
    </row>
    <row r="5877">
      <c r="A5877" s="926" t="n">
        <v>39771</v>
      </c>
      <c r="B5877" t="n">
        <v>7.7505</v>
      </c>
      <c r="C5877" t="n">
        <v>1.12935</v>
      </c>
    </row>
    <row r="5878">
      <c r="A5878" s="926" t="n">
        <v>39772</v>
      </c>
      <c r="B5878" t="n">
        <v>7.7505</v>
      </c>
      <c r="C5878" t="n">
        <v>1.12935</v>
      </c>
    </row>
    <row r="5879">
      <c r="A5879" s="926" t="n">
        <v>39773</v>
      </c>
      <c r="B5879" t="n">
        <v>7.7505</v>
      </c>
      <c r="C5879" t="n">
        <v>1.12765</v>
      </c>
    </row>
    <row r="5880">
      <c r="A5880" s="926" t="n">
        <v>39774</v>
      </c>
      <c r="B5880" t="n">
        <v>7.7485</v>
      </c>
      <c r="C5880" t="n">
        <v>1.12735</v>
      </c>
    </row>
    <row r="5881">
      <c r="A5881" s="926" t="n">
        <v>39776</v>
      </c>
      <c r="B5881" t="n">
        <v>7.7525</v>
      </c>
      <c r="C5881" t="n">
        <v>1.12825</v>
      </c>
    </row>
    <row r="5882">
      <c r="A5882" s="926" t="n">
        <v>39777</v>
      </c>
      <c r="B5882" t="n">
        <v>7.7565</v>
      </c>
      <c r="C5882" t="n">
        <v>1.12935</v>
      </c>
    </row>
    <row r="5883">
      <c r="A5883" s="926" t="n">
        <v>39778</v>
      </c>
      <c r="B5883" t="n">
        <v>7.7555</v>
      </c>
      <c r="C5883" t="n">
        <v>1.12935</v>
      </c>
    </row>
    <row r="5884">
      <c r="A5884" s="926" t="n">
        <v>39779</v>
      </c>
      <c r="B5884" t="n">
        <v>7.7545</v>
      </c>
      <c r="C5884" t="n">
        <v>1.12905</v>
      </c>
    </row>
    <row r="5885">
      <c r="A5885" s="926" t="n">
        <v>39780</v>
      </c>
      <c r="B5885" t="n">
        <v>7.7515</v>
      </c>
      <c r="C5885" t="n">
        <v>1.12745</v>
      </c>
    </row>
    <row r="5886">
      <c r="A5886" s="926" t="n">
        <v>39781</v>
      </c>
      <c r="B5886" t="n">
        <v>7.7495</v>
      </c>
      <c r="C5886" t="n">
        <v>1.12755</v>
      </c>
    </row>
    <row r="5887">
      <c r="A5887" s="926" t="n">
        <v>39783</v>
      </c>
      <c r="B5887" t="n">
        <v>7.7505</v>
      </c>
      <c r="C5887" t="n">
        <v>1.1231</v>
      </c>
    </row>
    <row r="5888">
      <c r="A5888" s="926" t="n">
        <v>39784</v>
      </c>
      <c r="B5888" t="n">
        <v>7.7515</v>
      </c>
      <c r="C5888" t="n">
        <v>1.11965</v>
      </c>
    </row>
    <row r="5889">
      <c r="A5889" s="926" t="n">
        <v>39785</v>
      </c>
      <c r="B5889" t="n">
        <v>7.7525</v>
      </c>
      <c r="C5889" t="n">
        <v>1.1203</v>
      </c>
    </row>
    <row r="5890">
      <c r="A5890" s="926" t="n">
        <v>39786</v>
      </c>
      <c r="B5890" t="n">
        <v>7.7525</v>
      </c>
      <c r="C5890" t="n">
        <v>1.119</v>
      </c>
    </row>
    <row r="5891">
      <c r="A5891" s="926" t="n">
        <v>39787</v>
      </c>
      <c r="B5891" t="n">
        <v>7.7515</v>
      </c>
      <c r="C5891" t="n">
        <v>1.1205</v>
      </c>
    </row>
    <row r="5892">
      <c r="A5892" s="926" t="n">
        <v>39788</v>
      </c>
      <c r="B5892" t="n">
        <v>7.7485</v>
      </c>
      <c r="C5892" t="n">
        <v>1.1197</v>
      </c>
    </row>
    <row r="5893">
      <c r="A5893" s="926" t="n">
        <v>39790</v>
      </c>
      <c r="B5893" t="n">
        <v>7.7515</v>
      </c>
      <c r="C5893" t="n">
        <v>1.11965</v>
      </c>
    </row>
    <row r="5894">
      <c r="A5894" s="926" t="n">
        <v>39791</v>
      </c>
      <c r="B5894" t="n">
        <v>7.7515</v>
      </c>
      <c r="C5894" t="n">
        <v>1.1205</v>
      </c>
    </row>
    <row r="5895">
      <c r="A5895" s="926" t="n">
        <v>39792</v>
      </c>
      <c r="B5895" t="n">
        <v>7.7505</v>
      </c>
      <c r="C5895" t="n">
        <v>1.1216</v>
      </c>
    </row>
    <row r="5896">
      <c r="A5896" s="926" t="n">
        <v>39793</v>
      </c>
      <c r="B5896" t="n">
        <v>7.7505</v>
      </c>
      <c r="C5896" t="n">
        <v>1.12325</v>
      </c>
    </row>
    <row r="5897">
      <c r="A5897" s="926" t="n">
        <v>39794</v>
      </c>
      <c r="B5897" t="n">
        <v>7.7505</v>
      </c>
      <c r="C5897" t="n">
        <v>1.1249</v>
      </c>
    </row>
    <row r="5898">
      <c r="A5898" s="926" t="n">
        <v>39795</v>
      </c>
      <c r="B5898" t="n">
        <v>7.7485</v>
      </c>
      <c r="C5898" t="n">
        <v>1.1241</v>
      </c>
    </row>
    <row r="5899">
      <c r="A5899" s="926" t="n">
        <v>39797</v>
      </c>
      <c r="B5899" t="n">
        <v>7.7505</v>
      </c>
      <c r="C5899" t="n">
        <v>1.1247</v>
      </c>
    </row>
    <row r="5900">
      <c r="A5900" s="926" t="n">
        <v>39798</v>
      </c>
      <c r="B5900" t="n">
        <v>7.7505</v>
      </c>
      <c r="C5900" t="n">
        <v>1.1244</v>
      </c>
    </row>
    <row r="5901">
      <c r="A5901" s="926" t="n">
        <v>39799</v>
      </c>
      <c r="B5901" t="n">
        <v>7.7505</v>
      </c>
      <c r="C5901" t="n">
        <v>1.126</v>
      </c>
    </row>
    <row r="5902">
      <c r="A5902" s="926" t="n">
        <v>39800</v>
      </c>
      <c r="B5902" t="n">
        <v>7.7505</v>
      </c>
      <c r="C5902" t="n">
        <v>1.12715</v>
      </c>
    </row>
    <row r="5903">
      <c r="A5903" s="926" t="n">
        <v>39801</v>
      </c>
      <c r="B5903" t="n">
        <v>7.7505</v>
      </c>
      <c r="C5903" t="n">
        <v>1.12635</v>
      </c>
    </row>
    <row r="5904">
      <c r="A5904" s="926" t="n">
        <v>39802</v>
      </c>
      <c r="B5904" t="n">
        <v>7.7495</v>
      </c>
      <c r="C5904" t="n">
        <v>1.1275</v>
      </c>
    </row>
    <row r="5905">
      <c r="A5905" s="926" t="n">
        <v>39804</v>
      </c>
      <c r="B5905" t="n">
        <v>7.7505</v>
      </c>
      <c r="C5905" t="n">
        <v>1.1249</v>
      </c>
    </row>
    <row r="5906">
      <c r="A5906" s="926" t="n">
        <v>39805</v>
      </c>
      <c r="B5906" t="n">
        <v>7.7505</v>
      </c>
      <c r="C5906" t="n">
        <v>1.1239</v>
      </c>
    </row>
    <row r="5907">
      <c r="A5907" s="926" t="n">
        <v>39806</v>
      </c>
      <c r="B5907" t="n">
        <v>7.7505</v>
      </c>
      <c r="C5907" t="n">
        <v>1.1242</v>
      </c>
    </row>
    <row r="5908">
      <c r="A5908" s="926" t="n">
        <v>39809</v>
      </c>
      <c r="B5908" t="n">
        <v>7.7485</v>
      </c>
      <c r="C5908" t="n">
        <v>1.1276</v>
      </c>
    </row>
    <row r="5909">
      <c r="A5909" s="926" t="n">
        <v>39811</v>
      </c>
      <c r="B5909" t="n">
        <v>7.7505</v>
      </c>
      <c r="C5909" t="n">
        <v>1.12455</v>
      </c>
    </row>
    <row r="5910">
      <c r="A5910" s="926" t="n">
        <v>39812</v>
      </c>
      <c r="B5910" t="n">
        <v>7.7505</v>
      </c>
      <c r="C5910" t="n">
        <v>1.1244</v>
      </c>
    </row>
    <row r="5911">
      <c r="A5911" s="926" t="n">
        <v>39813</v>
      </c>
      <c r="B5911" t="n">
        <v>7.7505</v>
      </c>
      <c r="C5911" t="n">
        <v>1.12815</v>
      </c>
    </row>
    <row r="5912">
      <c r="A5912" s="926" t="n">
        <v>39815</v>
      </c>
      <c r="B5912" t="n">
        <v>7.7515</v>
      </c>
      <c r="C5912" t="n">
        <v>1.12795</v>
      </c>
    </row>
    <row r="5913">
      <c r="A5913" s="926" t="n">
        <v>39816</v>
      </c>
      <c r="B5913" t="n">
        <v>7.7485</v>
      </c>
      <c r="C5913" t="n">
        <v>1.129</v>
      </c>
    </row>
    <row r="5914">
      <c r="A5914" s="926" t="n">
        <v>39818</v>
      </c>
      <c r="B5914" t="n">
        <v>7.7525</v>
      </c>
      <c r="C5914" t="n">
        <v>1.1278</v>
      </c>
    </row>
    <row r="5915">
      <c r="A5915" s="926" t="n">
        <v>39819</v>
      </c>
      <c r="B5915" t="n">
        <v>7.7545</v>
      </c>
      <c r="C5915" t="n">
        <v>1.12645</v>
      </c>
    </row>
    <row r="5916">
      <c r="A5916" s="926" t="n">
        <v>39820</v>
      </c>
      <c r="B5916" t="n">
        <v>7.7535</v>
      </c>
      <c r="C5916" t="n">
        <v>1.12695</v>
      </c>
    </row>
    <row r="5917">
      <c r="A5917" s="926" t="n">
        <v>39821</v>
      </c>
      <c r="B5917" t="n">
        <v>7.7555</v>
      </c>
      <c r="C5917" t="n">
        <v>1.1274</v>
      </c>
    </row>
    <row r="5918">
      <c r="A5918" s="926" t="n">
        <v>39822</v>
      </c>
      <c r="B5918" t="n">
        <v>7.7585</v>
      </c>
      <c r="C5918" t="n">
        <v>1.1275</v>
      </c>
    </row>
    <row r="5919">
      <c r="A5919" s="926" t="n">
        <v>39823</v>
      </c>
      <c r="B5919" t="n">
        <v>7.7555</v>
      </c>
      <c r="C5919" t="n">
        <v>1.1276</v>
      </c>
    </row>
    <row r="5920">
      <c r="A5920" s="926" t="n">
        <v>39825</v>
      </c>
      <c r="B5920" t="n">
        <v>7.7575</v>
      </c>
      <c r="C5920" t="n">
        <v>1.12705</v>
      </c>
    </row>
    <row r="5921">
      <c r="A5921" s="926" t="n">
        <v>39826</v>
      </c>
      <c r="B5921" t="n">
        <v>7.7565</v>
      </c>
      <c r="C5921" t="n">
        <v>1.12655</v>
      </c>
    </row>
    <row r="5922">
      <c r="A5922" s="926" t="n">
        <v>39827</v>
      </c>
      <c r="B5922" t="n">
        <v>7.7575</v>
      </c>
      <c r="C5922" t="n">
        <v>1.12755</v>
      </c>
    </row>
    <row r="5923">
      <c r="A5923" s="926" t="n">
        <v>39828</v>
      </c>
      <c r="B5923" t="n">
        <v>7.7595</v>
      </c>
      <c r="C5923" t="n">
        <v>1.1275</v>
      </c>
    </row>
    <row r="5924">
      <c r="A5924" s="926" t="n">
        <v>39829</v>
      </c>
      <c r="B5924" t="n">
        <v>7.7595</v>
      </c>
      <c r="C5924" t="n">
        <v>1.1275</v>
      </c>
    </row>
    <row r="5925">
      <c r="A5925" s="926" t="n">
        <v>39830</v>
      </c>
      <c r="B5925" t="n">
        <v>7.7545</v>
      </c>
      <c r="C5925" t="n">
        <v>1.1263</v>
      </c>
    </row>
    <row r="5926">
      <c r="A5926" s="926" t="n">
        <v>39832</v>
      </c>
      <c r="B5926" t="n">
        <v>7.7595</v>
      </c>
      <c r="C5926" t="n">
        <v>1.1275</v>
      </c>
    </row>
    <row r="5927">
      <c r="A5927" s="926" t="n">
        <v>39833</v>
      </c>
      <c r="B5927" t="n">
        <v>7.7585</v>
      </c>
      <c r="C5927" t="n">
        <v>1.12735</v>
      </c>
    </row>
    <row r="5928">
      <c r="A5928" s="926" t="n">
        <v>39834</v>
      </c>
      <c r="B5928" t="n">
        <v>7.7595</v>
      </c>
      <c r="C5928" t="n">
        <v>1.127</v>
      </c>
    </row>
    <row r="5929">
      <c r="A5929" s="926" t="n">
        <v>39835</v>
      </c>
      <c r="B5929" t="n">
        <v>7.7595</v>
      </c>
      <c r="C5929" t="n">
        <v>1.12735</v>
      </c>
    </row>
    <row r="5930">
      <c r="A5930" s="926" t="n">
        <v>39836</v>
      </c>
      <c r="B5930" t="n">
        <v>7.7595</v>
      </c>
      <c r="C5930" t="n">
        <v>1.127</v>
      </c>
    </row>
    <row r="5931">
      <c r="A5931" s="926" t="n">
        <v>39837</v>
      </c>
      <c r="B5931" t="n">
        <v>7.7545</v>
      </c>
      <c r="C5931" t="n">
        <v>1.1258</v>
      </c>
    </row>
    <row r="5932">
      <c r="A5932" s="926" t="n">
        <v>39842</v>
      </c>
      <c r="B5932" t="n">
        <v>7.7575</v>
      </c>
      <c r="C5932" t="n">
        <v>1.1251</v>
      </c>
    </row>
    <row r="5933">
      <c r="A5933" s="926" t="n">
        <v>39843</v>
      </c>
      <c r="B5933" t="n">
        <v>7.7565</v>
      </c>
      <c r="C5933" t="n">
        <v>1.1249</v>
      </c>
    </row>
    <row r="5934">
      <c r="A5934" s="926" t="n">
        <v>39844</v>
      </c>
      <c r="B5934" t="n">
        <v>7.7515</v>
      </c>
      <c r="C5934" t="n">
        <v>1.127</v>
      </c>
    </row>
    <row r="5935">
      <c r="A5935" s="926" t="n">
        <v>39846</v>
      </c>
      <c r="B5935" t="n">
        <v>7.7565</v>
      </c>
      <c r="C5935" t="n">
        <v>1.1261</v>
      </c>
    </row>
    <row r="5936">
      <c r="A5936" s="926" t="n">
        <v>39847</v>
      </c>
      <c r="B5936" t="n">
        <v>7.7545</v>
      </c>
      <c r="C5936" t="n">
        <v>1.12595</v>
      </c>
    </row>
    <row r="5937">
      <c r="A5937" s="926" t="n">
        <v>39848</v>
      </c>
      <c r="B5937" t="n">
        <v>7.7545</v>
      </c>
      <c r="C5937" t="n">
        <v>1.1276</v>
      </c>
    </row>
    <row r="5938">
      <c r="A5938" s="926" t="n">
        <v>39849</v>
      </c>
      <c r="B5938" t="n">
        <v>7.7545</v>
      </c>
      <c r="C5938" t="n">
        <v>1.1266</v>
      </c>
    </row>
    <row r="5939">
      <c r="A5939" s="926" t="n">
        <v>39850</v>
      </c>
      <c r="B5939" t="n">
        <v>7.7545</v>
      </c>
      <c r="C5939" t="n">
        <v>1.12675</v>
      </c>
    </row>
    <row r="5940">
      <c r="A5940" s="926" t="n">
        <v>39851</v>
      </c>
      <c r="B5940" t="n">
        <v>7.7505</v>
      </c>
      <c r="C5940" t="n">
        <v>1.1269</v>
      </c>
    </row>
    <row r="5941">
      <c r="A5941" s="926" t="n">
        <v>39853</v>
      </c>
      <c r="B5941" t="n">
        <v>7.7535</v>
      </c>
      <c r="C5941" t="n">
        <v>1.12725</v>
      </c>
    </row>
    <row r="5942">
      <c r="A5942" s="926" t="n">
        <v>39854</v>
      </c>
      <c r="B5942" t="n">
        <v>7.7535</v>
      </c>
      <c r="C5942" t="n">
        <v>1.12725</v>
      </c>
    </row>
    <row r="5943">
      <c r="A5943" s="926" t="n">
        <v>39855</v>
      </c>
      <c r="B5943" t="n">
        <v>7.7515</v>
      </c>
      <c r="C5943" t="n">
        <v>1.12665</v>
      </c>
    </row>
    <row r="5944">
      <c r="A5944" s="926" t="n">
        <v>39856</v>
      </c>
      <c r="B5944" t="n">
        <v>7.7525</v>
      </c>
      <c r="C5944" t="n">
        <v>1.12695</v>
      </c>
    </row>
    <row r="5945">
      <c r="A5945" s="926" t="n">
        <v>39857</v>
      </c>
      <c r="B5945" t="n">
        <v>7.7535</v>
      </c>
      <c r="C5945" t="n">
        <v>1.1271</v>
      </c>
    </row>
    <row r="5946">
      <c r="A5946" s="926" t="n">
        <v>39858</v>
      </c>
      <c r="B5946" t="n">
        <v>7.7505</v>
      </c>
      <c r="C5946" t="n">
        <v>1.1285</v>
      </c>
    </row>
    <row r="5947">
      <c r="A5947" s="926" t="n">
        <v>39860</v>
      </c>
      <c r="B5947" t="n">
        <v>7.7545</v>
      </c>
      <c r="C5947" t="n">
        <v>1.1271</v>
      </c>
    </row>
    <row r="5948">
      <c r="A5948" s="926" t="n">
        <v>39861</v>
      </c>
      <c r="B5948" t="n">
        <v>7.7555</v>
      </c>
      <c r="C5948" t="n">
        <v>1.12625</v>
      </c>
    </row>
    <row r="5949">
      <c r="A5949" s="926" t="n">
        <v>39862</v>
      </c>
      <c r="B5949" t="n">
        <v>7.7555</v>
      </c>
      <c r="C5949" t="n">
        <v>1.12675</v>
      </c>
    </row>
    <row r="5950">
      <c r="A5950" s="926" t="n">
        <v>39863</v>
      </c>
      <c r="B5950" t="n">
        <v>7.7545</v>
      </c>
      <c r="C5950" t="n">
        <v>1.1266</v>
      </c>
    </row>
    <row r="5951">
      <c r="A5951" s="926" t="n">
        <v>39864</v>
      </c>
      <c r="B5951" t="n">
        <v>7.7545</v>
      </c>
      <c r="C5951" t="n">
        <v>1.12695</v>
      </c>
    </row>
    <row r="5952">
      <c r="A5952" s="926" t="n">
        <v>39865</v>
      </c>
      <c r="B5952" t="n">
        <v>7.7525</v>
      </c>
      <c r="C5952" t="n">
        <v>1.12715</v>
      </c>
    </row>
    <row r="5953">
      <c r="A5953" s="926" t="n">
        <v>39867</v>
      </c>
      <c r="B5953" t="n">
        <v>7.7535</v>
      </c>
      <c r="C5953" t="n">
        <v>1.12695</v>
      </c>
    </row>
    <row r="5954">
      <c r="A5954" s="926" t="n">
        <v>39868</v>
      </c>
      <c r="B5954" t="n">
        <v>7.7535</v>
      </c>
      <c r="C5954" t="n">
        <v>1.12645</v>
      </c>
    </row>
    <row r="5955">
      <c r="A5955" s="926" t="n">
        <v>39869</v>
      </c>
      <c r="B5955" t="n">
        <v>7.7535</v>
      </c>
      <c r="C5955" t="n">
        <v>1.12645</v>
      </c>
    </row>
    <row r="5956">
      <c r="A5956" s="926" t="n">
        <v>39870</v>
      </c>
      <c r="B5956" t="n">
        <v>7.7545</v>
      </c>
      <c r="C5956" t="n">
        <v>1.1266</v>
      </c>
    </row>
    <row r="5957">
      <c r="A5957" s="926" t="n">
        <v>39871</v>
      </c>
      <c r="B5957" t="n">
        <v>7.7545</v>
      </c>
      <c r="C5957" t="n">
        <v>1.1263</v>
      </c>
    </row>
    <row r="5958">
      <c r="A5958" s="926" t="n">
        <v>39872</v>
      </c>
      <c r="B5958" t="n">
        <v>7.7535</v>
      </c>
      <c r="C5958" t="n">
        <v>1.1265</v>
      </c>
    </row>
    <row r="5959">
      <c r="A5959" s="926" t="n">
        <v>39874</v>
      </c>
      <c r="B5959" t="n">
        <v>7.7575</v>
      </c>
      <c r="C5959" t="n">
        <v>1.1264</v>
      </c>
    </row>
    <row r="5960">
      <c r="A5960" s="926" t="n">
        <v>39875</v>
      </c>
      <c r="B5960" t="n">
        <v>7.7575</v>
      </c>
      <c r="C5960" t="n">
        <v>1.1262</v>
      </c>
    </row>
    <row r="5961">
      <c r="A5961" s="926" t="n">
        <v>39876</v>
      </c>
      <c r="B5961" t="n">
        <v>7.7595</v>
      </c>
      <c r="C5961" t="n">
        <v>1.1265</v>
      </c>
    </row>
    <row r="5962">
      <c r="A5962" s="926" t="n">
        <v>39877</v>
      </c>
      <c r="B5962" t="n">
        <v>7.7595</v>
      </c>
      <c r="C5962" t="n">
        <v>1.12685</v>
      </c>
    </row>
    <row r="5963">
      <c r="A5963" s="926" t="n">
        <v>39878</v>
      </c>
      <c r="B5963" t="n">
        <v>7.7565</v>
      </c>
      <c r="C5963" t="n">
        <v>1.12675</v>
      </c>
    </row>
    <row r="5964">
      <c r="A5964" s="926" t="n">
        <v>39879</v>
      </c>
      <c r="B5964" t="n">
        <v>7.7525</v>
      </c>
      <c r="C5964" t="n">
        <v>1.1288</v>
      </c>
    </row>
    <row r="5965">
      <c r="A5965" s="926" t="n">
        <v>39881</v>
      </c>
      <c r="B5965" t="n">
        <v>7.7555</v>
      </c>
      <c r="C5965" t="n">
        <v>1.1261</v>
      </c>
    </row>
    <row r="5966">
      <c r="A5966" s="926" t="n">
        <v>39882</v>
      </c>
      <c r="B5966" t="n">
        <v>7.7565</v>
      </c>
      <c r="C5966" t="n">
        <v>1.1264</v>
      </c>
    </row>
    <row r="5967">
      <c r="A5967" s="926" t="n">
        <v>39883</v>
      </c>
      <c r="B5967" t="n">
        <v>7.7565</v>
      </c>
      <c r="C5967" t="n">
        <v>1.1264</v>
      </c>
    </row>
    <row r="5968">
      <c r="A5968" s="926" t="n">
        <v>39884</v>
      </c>
      <c r="B5968" t="n">
        <v>7.7555</v>
      </c>
      <c r="C5968" t="n">
        <v>1.1264</v>
      </c>
    </row>
    <row r="5969">
      <c r="A5969" s="926" t="n">
        <v>39885</v>
      </c>
      <c r="B5969" t="n">
        <v>7.7545</v>
      </c>
      <c r="C5969" t="n">
        <v>1.12675</v>
      </c>
    </row>
    <row r="5970">
      <c r="A5970" s="926" t="n">
        <v>39886</v>
      </c>
      <c r="B5970" t="n">
        <v>7.7515</v>
      </c>
      <c r="C5970" t="n">
        <v>1.1257</v>
      </c>
    </row>
    <row r="5971">
      <c r="A5971" s="926" t="n">
        <v>39888</v>
      </c>
      <c r="B5971" t="n">
        <v>7.7525</v>
      </c>
      <c r="C5971" t="n">
        <v>1.12665</v>
      </c>
    </row>
    <row r="5972">
      <c r="A5972" s="926" t="n">
        <v>39889</v>
      </c>
      <c r="B5972" t="n">
        <v>7.7535</v>
      </c>
      <c r="C5972" t="n">
        <v>1.1266</v>
      </c>
    </row>
    <row r="5973">
      <c r="A5973" s="926" t="n">
        <v>39890</v>
      </c>
      <c r="B5973" t="n">
        <v>7.7525</v>
      </c>
      <c r="C5973" t="n">
        <v>1.12665</v>
      </c>
    </row>
    <row r="5974">
      <c r="A5974" s="926" t="n">
        <v>39891</v>
      </c>
      <c r="B5974" t="n">
        <v>7.7525</v>
      </c>
      <c r="C5974" t="n">
        <v>1.12745</v>
      </c>
    </row>
    <row r="5975">
      <c r="A5975" s="926" t="n">
        <v>39892</v>
      </c>
      <c r="B5975" t="n">
        <v>7.7515</v>
      </c>
      <c r="C5975" t="n">
        <v>1.1278</v>
      </c>
    </row>
    <row r="5976">
      <c r="A5976" s="926" t="n">
        <v>39893</v>
      </c>
      <c r="B5976" t="n">
        <v>7.7485</v>
      </c>
      <c r="C5976" t="n">
        <v>1.1295</v>
      </c>
    </row>
    <row r="5977">
      <c r="A5977" s="926" t="n">
        <v>39895</v>
      </c>
      <c r="B5977" t="n">
        <v>7.7505</v>
      </c>
      <c r="C5977" t="n">
        <v>1.12685</v>
      </c>
    </row>
    <row r="5978">
      <c r="A5978" s="926" t="n">
        <v>39896</v>
      </c>
      <c r="B5978" t="n">
        <v>7.7505</v>
      </c>
      <c r="C5978" t="n">
        <v>1.12735</v>
      </c>
    </row>
    <row r="5979">
      <c r="A5979" s="926" t="n">
        <v>39897</v>
      </c>
      <c r="B5979" t="n">
        <v>7.7505</v>
      </c>
      <c r="C5979" t="n">
        <v>1.127</v>
      </c>
    </row>
    <row r="5980">
      <c r="A5980" s="926" t="n">
        <v>39898</v>
      </c>
      <c r="B5980" t="n">
        <v>7.7505</v>
      </c>
      <c r="C5980" t="n">
        <v>1.127</v>
      </c>
    </row>
    <row r="5981">
      <c r="A5981" s="926" t="n">
        <v>39899</v>
      </c>
      <c r="B5981" t="n">
        <v>7.7505</v>
      </c>
      <c r="C5981" t="n">
        <v>1.127</v>
      </c>
    </row>
    <row r="5982">
      <c r="A5982" s="926" t="n">
        <v>39900</v>
      </c>
      <c r="B5982" t="n">
        <v>7.7475</v>
      </c>
      <c r="C5982" t="n">
        <v>1.1289</v>
      </c>
    </row>
    <row r="5983">
      <c r="A5983" s="926" t="n">
        <v>39902</v>
      </c>
      <c r="B5983" t="n">
        <v>7.7505</v>
      </c>
      <c r="C5983" t="n">
        <v>1.12665</v>
      </c>
    </row>
    <row r="5984">
      <c r="A5984" s="926" t="n">
        <v>39903</v>
      </c>
      <c r="B5984" t="n">
        <v>7.7505</v>
      </c>
      <c r="C5984" t="n">
        <v>1.1262</v>
      </c>
    </row>
    <row r="5985">
      <c r="A5985" s="926" t="n">
        <v>39904</v>
      </c>
      <c r="B5985" t="n">
        <v>7.7515</v>
      </c>
      <c r="C5985" t="n">
        <v>1.12685</v>
      </c>
    </row>
    <row r="5986">
      <c r="A5986" s="926" t="n">
        <v>39905</v>
      </c>
      <c r="B5986" t="n">
        <v>7.7515</v>
      </c>
      <c r="C5986" t="n">
        <v>1.12685</v>
      </c>
    </row>
    <row r="5987">
      <c r="A5987" s="926" t="n">
        <v>39906</v>
      </c>
      <c r="B5987" t="n">
        <v>7.7505</v>
      </c>
      <c r="C5987" t="n">
        <v>1.1265</v>
      </c>
    </row>
    <row r="5988">
      <c r="A5988" s="926" t="n">
        <v>39909</v>
      </c>
      <c r="B5988" t="n">
        <v>7.7505</v>
      </c>
      <c r="C5988" t="n">
        <v>1.12965</v>
      </c>
    </row>
    <row r="5989">
      <c r="A5989" s="926" t="n">
        <v>39910</v>
      </c>
      <c r="B5989" t="n">
        <v>7.7515</v>
      </c>
      <c r="C5989" t="n">
        <v>1.12975</v>
      </c>
    </row>
    <row r="5990">
      <c r="A5990" s="926" t="n">
        <v>39911</v>
      </c>
      <c r="B5990" t="n">
        <v>7.7515</v>
      </c>
      <c r="C5990" t="n">
        <v>1.12945</v>
      </c>
    </row>
    <row r="5991">
      <c r="A5991" s="926" t="n">
        <v>39912</v>
      </c>
      <c r="B5991" t="n">
        <v>7.7515</v>
      </c>
      <c r="C5991" t="n">
        <v>1.13125</v>
      </c>
    </row>
    <row r="5992">
      <c r="A5992" s="926" t="n">
        <v>39917</v>
      </c>
      <c r="B5992" t="n">
        <v>7.7515</v>
      </c>
      <c r="C5992" t="n">
        <v>1.1341</v>
      </c>
    </row>
    <row r="5993">
      <c r="A5993" s="926" t="n">
        <v>39918</v>
      </c>
      <c r="B5993" t="n">
        <v>7.7505</v>
      </c>
      <c r="C5993" t="n">
        <v>1.13325</v>
      </c>
    </row>
    <row r="5994">
      <c r="A5994" s="926" t="n">
        <v>39919</v>
      </c>
      <c r="B5994" t="n">
        <v>7.7505</v>
      </c>
      <c r="C5994" t="n">
        <v>1.1336</v>
      </c>
    </row>
    <row r="5995">
      <c r="A5995" s="926" t="n">
        <v>39920</v>
      </c>
      <c r="B5995" t="n">
        <v>7.7505</v>
      </c>
      <c r="C5995" t="n">
        <v>1.13345</v>
      </c>
    </row>
    <row r="5996">
      <c r="A5996" s="926" t="n">
        <v>39921</v>
      </c>
      <c r="B5996" t="n">
        <v>7.7495</v>
      </c>
      <c r="C5996" t="n">
        <v>1.1358</v>
      </c>
    </row>
    <row r="5997">
      <c r="A5997" s="926" t="n">
        <v>39923</v>
      </c>
      <c r="B5997" t="n">
        <v>7.7505</v>
      </c>
      <c r="C5997" t="n">
        <v>1.13325</v>
      </c>
    </row>
    <row r="5998">
      <c r="A5998" s="926" t="n">
        <v>39924</v>
      </c>
      <c r="B5998" t="n">
        <v>7.7505</v>
      </c>
      <c r="C5998" t="n">
        <v>1.13325</v>
      </c>
    </row>
    <row r="5999">
      <c r="A5999" s="926" t="n">
        <v>39925</v>
      </c>
      <c r="B5999" t="n">
        <v>7.7505</v>
      </c>
      <c r="C5999" t="n">
        <v>1.13395</v>
      </c>
    </row>
    <row r="6000">
      <c r="A6000" s="926" t="n">
        <v>39926</v>
      </c>
      <c r="B6000" t="n">
        <v>7.7505</v>
      </c>
      <c r="C6000" t="n">
        <v>1.1341</v>
      </c>
    </row>
    <row r="6001">
      <c r="A6001" s="926" t="n">
        <v>39927</v>
      </c>
      <c r="B6001" t="n">
        <v>7.7505</v>
      </c>
      <c r="C6001" t="n">
        <v>1.1341</v>
      </c>
    </row>
    <row r="6002">
      <c r="A6002" s="926" t="n">
        <v>39928</v>
      </c>
      <c r="B6002" t="n">
        <v>7.7485</v>
      </c>
      <c r="C6002" t="n">
        <v>1.1355</v>
      </c>
    </row>
    <row r="6003">
      <c r="A6003" s="926" t="n">
        <v>39930</v>
      </c>
      <c r="B6003" t="n">
        <v>7.7505</v>
      </c>
      <c r="C6003" t="n">
        <v>1.1346</v>
      </c>
    </row>
    <row r="6004">
      <c r="A6004" s="926" t="n">
        <v>39931</v>
      </c>
      <c r="B6004" t="n">
        <v>7.7505</v>
      </c>
      <c r="C6004" t="n">
        <v>1.13425</v>
      </c>
    </row>
    <row r="6005">
      <c r="A6005" s="926" t="n">
        <v>39932</v>
      </c>
      <c r="B6005" t="n">
        <v>7.7505</v>
      </c>
      <c r="C6005" t="n">
        <v>1.1363</v>
      </c>
    </row>
    <row r="6006">
      <c r="A6006" s="926" t="n">
        <v>39933</v>
      </c>
      <c r="B6006" t="n">
        <v>7.7505</v>
      </c>
      <c r="C6006" t="n">
        <v>1.1359</v>
      </c>
    </row>
    <row r="6007">
      <c r="A6007" s="926" t="n">
        <v>39937</v>
      </c>
      <c r="B6007" t="n">
        <v>7.7505</v>
      </c>
      <c r="C6007" t="n">
        <v>1.1371</v>
      </c>
    </row>
    <row r="6008">
      <c r="A6008" s="926" t="n">
        <v>39938</v>
      </c>
      <c r="B6008" t="n">
        <v>7.7505</v>
      </c>
      <c r="C6008" t="n">
        <v>1.1373</v>
      </c>
    </row>
    <row r="6009">
      <c r="A6009" s="926" t="n">
        <v>39939</v>
      </c>
      <c r="B6009" t="n">
        <v>7.7505</v>
      </c>
      <c r="C6009" t="n">
        <v>1.1368</v>
      </c>
    </row>
    <row r="6010">
      <c r="A6010" s="926" t="n">
        <v>39940</v>
      </c>
      <c r="B6010" t="n">
        <v>7.7515</v>
      </c>
      <c r="C6010" t="n">
        <v>1.1369</v>
      </c>
    </row>
    <row r="6011">
      <c r="A6011" s="926" t="n">
        <v>39941</v>
      </c>
      <c r="B6011" t="n">
        <v>7.7505</v>
      </c>
      <c r="C6011" t="n">
        <v>1.1369</v>
      </c>
    </row>
    <row r="6012">
      <c r="A6012" s="926" t="n">
        <v>39942</v>
      </c>
      <c r="B6012" t="n">
        <v>7.7475</v>
      </c>
      <c r="C6012" t="n">
        <v>1.13885</v>
      </c>
    </row>
    <row r="6013">
      <c r="A6013" s="926" t="n">
        <v>39944</v>
      </c>
      <c r="B6013" t="n">
        <v>7.7505</v>
      </c>
      <c r="C6013" t="n">
        <v>1.1368</v>
      </c>
    </row>
    <row r="6014">
      <c r="A6014" s="926" t="n">
        <v>39945</v>
      </c>
      <c r="B6014" t="n">
        <v>7.7505</v>
      </c>
      <c r="C6014" t="n">
        <v>1.1363</v>
      </c>
    </row>
    <row r="6015">
      <c r="A6015" s="926" t="n">
        <v>39946</v>
      </c>
      <c r="B6015" t="n">
        <v>7.7505</v>
      </c>
      <c r="C6015" t="n">
        <v>1.1368</v>
      </c>
    </row>
    <row r="6016">
      <c r="A6016" s="926" t="n">
        <v>39947</v>
      </c>
      <c r="B6016" t="n">
        <v>7.7505</v>
      </c>
      <c r="C6016" t="n">
        <v>1.1364</v>
      </c>
    </row>
    <row r="6017">
      <c r="A6017" s="926" t="n">
        <v>39948</v>
      </c>
      <c r="B6017" t="n">
        <v>7.7515</v>
      </c>
      <c r="C6017" t="n">
        <v>1.1364</v>
      </c>
    </row>
    <row r="6018">
      <c r="A6018" s="926" t="n">
        <v>39949</v>
      </c>
      <c r="B6018" t="n">
        <v>7.7505</v>
      </c>
      <c r="C6018" t="n">
        <v>1.1381</v>
      </c>
    </row>
    <row r="6019">
      <c r="A6019" s="926" t="n">
        <v>39951</v>
      </c>
      <c r="B6019" t="n">
        <v>7.7525</v>
      </c>
      <c r="C6019" t="n">
        <v>1.13655</v>
      </c>
    </row>
    <row r="6020">
      <c r="A6020" s="926" t="n">
        <v>39952</v>
      </c>
      <c r="B6020" t="n">
        <v>7.7525</v>
      </c>
      <c r="C6020" t="n">
        <v>1.1374</v>
      </c>
    </row>
    <row r="6021">
      <c r="A6021" s="926" t="n">
        <v>39953</v>
      </c>
      <c r="B6021" t="n">
        <v>7.7525</v>
      </c>
      <c r="C6021" t="n">
        <v>1.1376</v>
      </c>
    </row>
    <row r="6022">
      <c r="A6022" s="926" t="n">
        <v>39954</v>
      </c>
      <c r="B6022" t="n">
        <v>7.7535</v>
      </c>
      <c r="C6022" t="n">
        <v>1.1379</v>
      </c>
    </row>
    <row r="6023">
      <c r="A6023" s="926" t="n">
        <v>39955</v>
      </c>
      <c r="B6023" t="n">
        <v>7.7525</v>
      </c>
      <c r="C6023" t="n">
        <v>1.1376</v>
      </c>
    </row>
    <row r="6024">
      <c r="A6024" s="926" t="n">
        <v>39956</v>
      </c>
      <c r="B6024" t="n">
        <v>7.7505</v>
      </c>
      <c r="C6024" t="n">
        <v>1.1398</v>
      </c>
    </row>
    <row r="6025">
      <c r="A6025" s="926" t="n">
        <v>39958</v>
      </c>
      <c r="B6025" t="n">
        <v>7.7525</v>
      </c>
      <c r="C6025" t="n">
        <v>1.1376</v>
      </c>
    </row>
    <row r="6026">
      <c r="A6026" s="926" t="n">
        <v>39959</v>
      </c>
      <c r="B6026" t="n">
        <v>7.7525</v>
      </c>
      <c r="C6026" t="n">
        <v>1.1367</v>
      </c>
    </row>
    <row r="6027">
      <c r="A6027" s="926" t="n">
        <v>39960</v>
      </c>
      <c r="B6027" t="n">
        <v>7.7535</v>
      </c>
      <c r="C6027" t="n">
        <v>1.1364</v>
      </c>
    </row>
    <row r="6028">
      <c r="A6028" s="926" t="n">
        <v>39962</v>
      </c>
      <c r="B6028" t="n">
        <v>7.7525</v>
      </c>
      <c r="C6028" t="n">
        <v>1.13705</v>
      </c>
    </row>
    <row r="6029">
      <c r="A6029" s="926" t="n">
        <v>39963</v>
      </c>
      <c r="B6029" t="n">
        <v>7.7505</v>
      </c>
      <c r="C6029" t="n">
        <v>1.1393</v>
      </c>
    </row>
    <row r="6030">
      <c r="A6030" s="926" t="n">
        <v>39965</v>
      </c>
      <c r="B6030" t="n">
        <v>7.7525</v>
      </c>
      <c r="C6030" t="n">
        <v>1.1369</v>
      </c>
    </row>
    <row r="6031">
      <c r="A6031" s="926" t="n">
        <v>39966</v>
      </c>
      <c r="B6031" t="n">
        <v>7.7535</v>
      </c>
      <c r="C6031" t="n">
        <v>1.1369</v>
      </c>
    </row>
    <row r="6032">
      <c r="A6032" s="926" t="n">
        <v>39967</v>
      </c>
      <c r="B6032" t="n">
        <v>7.7525</v>
      </c>
      <c r="C6032" t="n">
        <v>1.1369</v>
      </c>
    </row>
    <row r="6033">
      <c r="A6033" s="926" t="n">
        <v>39968</v>
      </c>
      <c r="B6033" t="n">
        <v>7.7525</v>
      </c>
      <c r="C6033" t="n">
        <v>1.1362</v>
      </c>
    </row>
    <row r="6034">
      <c r="A6034" s="926" t="n">
        <v>39969</v>
      </c>
      <c r="B6034" t="n">
        <v>7.7515</v>
      </c>
      <c r="C6034" t="n">
        <v>1.1361</v>
      </c>
    </row>
    <row r="6035">
      <c r="A6035" s="926" t="n">
        <v>39970</v>
      </c>
      <c r="B6035" t="n">
        <v>7.7515</v>
      </c>
      <c r="C6035" t="n">
        <v>1.1373</v>
      </c>
    </row>
    <row r="6036">
      <c r="A6036" s="926" t="n">
        <v>39972</v>
      </c>
      <c r="B6036" t="n">
        <v>7.7535</v>
      </c>
      <c r="C6036" t="n">
        <v>1.1355</v>
      </c>
    </row>
    <row r="6037">
      <c r="A6037" s="926" t="n">
        <v>39973</v>
      </c>
      <c r="B6037" t="n">
        <v>7.7525</v>
      </c>
      <c r="C6037" t="n">
        <v>1.13655</v>
      </c>
    </row>
    <row r="6038">
      <c r="A6038" s="926" t="n">
        <v>39974</v>
      </c>
      <c r="B6038" t="n">
        <v>7.7515</v>
      </c>
      <c r="C6038" t="n">
        <v>1.1367</v>
      </c>
    </row>
    <row r="6039">
      <c r="A6039" s="926" t="n">
        <v>39975</v>
      </c>
      <c r="B6039" t="n">
        <v>7.7525</v>
      </c>
      <c r="C6039" t="n">
        <v>1.1367</v>
      </c>
    </row>
    <row r="6040">
      <c r="A6040" s="926" t="n">
        <v>39976</v>
      </c>
      <c r="B6040" t="n">
        <v>7.7515</v>
      </c>
      <c r="C6040" t="n">
        <v>1.1367</v>
      </c>
    </row>
    <row r="6041">
      <c r="A6041" s="926" t="n">
        <v>39977</v>
      </c>
      <c r="B6041" t="n">
        <v>7.7485</v>
      </c>
      <c r="C6041" t="n">
        <v>1.13815</v>
      </c>
    </row>
    <row r="6042">
      <c r="A6042" s="926" t="n">
        <v>39979</v>
      </c>
      <c r="B6042" t="n">
        <v>7.7515</v>
      </c>
      <c r="C6042" t="n">
        <v>1.1366</v>
      </c>
    </row>
    <row r="6043">
      <c r="A6043" s="926" t="n">
        <v>39980</v>
      </c>
      <c r="B6043" t="n">
        <v>7.7515</v>
      </c>
      <c r="C6043" t="n">
        <v>1.1362</v>
      </c>
    </row>
    <row r="6044">
      <c r="A6044" s="926" t="n">
        <v>39981</v>
      </c>
      <c r="B6044" t="n">
        <v>7.7505</v>
      </c>
      <c r="C6044" t="n">
        <v>1.1363</v>
      </c>
    </row>
    <row r="6045">
      <c r="A6045" s="926" t="n">
        <v>39982</v>
      </c>
      <c r="B6045" t="n">
        <v>7.7515</v>
      </c>
      <c r="C6045" t="n">
        <v>1.1367</v>
      </c>
    </row>
    <row r="6046">
      <c r="A6046" s="926" t="n">
        <v>39983</v>
      </c>
      <c r="B6046" t="n">
        <v>7.7505</v>
      </c>
      <c r="C6046" t="n">
        <v>1.1363</v>
      </c>
    </row>
    <row r="6047">
      <c r="A6047" s="926" t="n">
        <v>39984</v>
      </c>
      <c r="B6047" t="n">
        <v>7.7475</v>
      </c>
      <c r="C6047" t="n">
        <v>1.138</v>
      </c>
    </row>
    <row r="6048">
      <c r="A6048" s="926" t="n">
        <v>39986</v>
      </c>
      <c r="B6048" t="n">
        <v>7.7505</v>
      </c>
      <c r="C6048" t="n">
        <v>1.1361</v>
      </c>
    </row>
    <row r="6049">
      <c r="A6049" s="926" t="n">
        <v>39987</v>
      </c>
      <c r="B6049" t="n">
        <v>7.7515</v>
      </c>
      <c r="C6049" t="n">
        <v>1.1362</v>
      </c>
    </row>
    <row r="6050">
      <c r="A6050" s="926" t="n">
        <v>39988</v>
      </c>
      <c r="B6050" t="n">
        <v>7.7505</v>
      </c>
      <c r="C6050" t="n">
        <v>1.1366</v>
      </c>
    </row>
    <row r="6051">
      <c r="A6051" s="926" t="n">
        <v>39989</v>
      </c>
      <c r="B6051" t="n">
        <v>7.7505</v>
      </c>
      <c r="C6051" t="n">
        <v>1.1366</v>
      </c>
    </row>
    <row r="6052">
      <c r="A6052" s="926" t="n">
        <v>39990</v>
      </c>
      <c r="B6052" t="n">
        <v>7.7505</v>
      </c>
      <c r="C6052" t="n">
        <v>1.1361</v>
      </c>
    </row>
    <row r="6053">
      <c r="A6053" s="926" t="n">
        <v>39991</v>
      </c>
      <c r="B6053" t="n">
        <v>7.7495</v>
      </c>
      <c r="C6053" t="n">
        <v>1.13915</v>
      </c>
    </row>
    <row r="6054">
      <c r="A6054" s="926" t="n">
        <v>39993</v>
      </c>
      <c r="B6054" t="n">
        <v>7.7505</v>
      </c>
      <c r="C6054" t="n">
        <v>1.1366</v>
      </c>
    </row>
    <row r="6055">
      <c r="A6055" s="926" t="n">
        <v>39994</v>
      </c>
      <c r="B6055" t="n">
        <v>7.7505</v>
      </c>
      <c r="C6055" t="n">
        <v>1.1368</v>
      </c>
    </row>
    <row r="6056">
      <c r="A6056" s="926" t="n">
        <v>39996</v>
      </c>
      <c r="B6056" t="n">
        <v>7.7505</v>
      </c>
      <c r="C6056" t="n">
        <v>1.1368</v>
      </c>
    </row>
    <row r="6057">
      <c r="A6057" s="926" t="n">
        <v>39997</v>
      </c>
      <c r="B6057" t="n">
        <v>7.7505</v>
      </c>
      <c r="C6057" t="n">
        <v>1.1368</v>
      </c>
    </row>
    <row r="6058">
      <c r="A6058" s="926" t="n">
        <v>39998</v>
      </c>
      <c r="B6058" t="n">
        <v>7.7485</v>
      </c>
      <c r="C6058" t="n">
        <v>1.139</v>
      </c>
    </row>
    <row r="6059">
      <c r="A6059" s="926" t="n">
        <v>40000</v>
      </c>
      <c r="B6059" t="n">
        <v>7.7505</v>
      </c>
      <c r="C6059" t="n">
        <v>1.13575</v>
      </c>
    </row>
    <row r="6060">
      <c r="A6060" s="926" t="n">
        <v>40001</v>
      </c>
      <c r="B6060" t="n">
        <v>7.7505</v>
      </c>
      <c r="C6060" t="n">
        <v>1.1344</v>
      </c>
    </row>
    <row r="6061">
      <c r="A6061" s="926" t="n">
        <v>40002</v>
      </c>
      <c r="B6061" t="n">
        <v>7.7505</v>
      </c>
      <c r="C6061" t="n">
        <v>1.13435</v>
      </c>
    </row>
    <row r="6062">
      <c r="A6062" s="926" t="n">
        <v>40003</v>
      </c>
      <c r="B6062" t="n">
        <v>7.7505</v>
      </c>
      <c r="C6062" t="n">
        <v>1.1345</v>
      </c>
    </row>
    <row r="6063">
      <c r="A6063" s="926" t="n">
        <v>40004</v>
      </c>
      <c r="B6063" t="n">
        <v>7.7505</v>
      </c>
      <c r="C6063" t="n">
        <v>1.1354</v>
      </c>
    </row>
    <row r="6064">
      <c r="A6064" s="926" t="n">
        <v>40005</v>
      </c>
      <c r="B6064" t="n">
        <v>7.7475</v>
      </c>
      <c r="C6064" t="n">
        <v>1.13555</v>
      </c>
    </row>
    <row r="6065">
      <c r="A6065" s="926" t="n">
        <v>40007</v>
      </c>
      <c r="B6065" t="n">
        <v>7.7515</v>
      </c>
      <c r="C6065" t="n">
        <v>1.1356</v>
      </c>
    </row>
    <row r="6066">
      <c r="A6066" s="926" t="n">
        <v>40008</v>
      </c>
      <c r="B6066" t="n">
        <v>7.7505</v>
      </c>
      <c r="C6066" t="n">
        <v>1.1354</v>
      </c>
    </row>
    <row r="6067">
      <c r="A6067" s="926" t="n">
        <v>40009</v>
      </c>
      <c r="B6067" t="n">
        <v>7.7505</v>
      </c>
      <c r="C6067" t="n">
        <v>1.1354</v>
      </c>
    </row>
    <row r="6068">
      <c r="A6068" s="926" t="n">
        <v>40010</v>
      </c>
      <c r="B6068" t="n">
        <v>7.7505</v>
      </c>
      <c r="C6068" t="n">
        <v>1.136</v>
      </c>
    </row>
    <row r="6069">
      <c r="A6069" s="926" t="n">
        <v>40011</v>
      </c>
      <c r="B6069" t="n">
        <v>7.7505</v>
      </c>
      <c r="C6069" t="n">
        <v>1.136</v>
      </c>
    </row>
    <row r="6070">
      <c r="A6070" s="926" t="n">
        <v>40012</v>
      </c>
      <c r="B6070" t="n">
        <v>7.7495</v>
      </c>
      <c r="C6070" t="n">
        <v>1.13565</v>
      </c>
    </row>
    <row r="6071">
      <c r="A6071" s="926" t="n">
        <v>40014</v>
      </c>
      <c r="B6071" t="n">
        <v>7.7505</v>
      </c>
      <c r="C6071" t="n">
        <v>1.136</v>
      </c>
    </row>
    <row r="6072">
      <c r="A6072" s="926" t="n">
        <v>40015</v>
      </c>
      <c r="B6072" t="n">
        <v>7.7505</v>
      </c>
      <c r="C6072" t="n">
        <v>1.136</v>
      </c>
    </row>
    <row r="6073">
      <c r="A6073" s="926" t="n">
        <v>40016</v>
      </c>
      <c r="B6073" t="n">
        <v>7.7505</v>
      </c>
      <c r="C6073" t="n">
        <v>1.1355</v>
      </c>
    </row>
    <row r="6074">
      <c r="A6074" s="926" t="n">
        <v>40017</v>
      </c>
      <c r="B6074" t="n">
        <v>7.7505</v>
      </c>
      <c r="C6074" t="n">
        <v>1.136</v>
      </c>
    </row>
    <row r="6075">
      <c r="A6075" s="926" t="n">
        <v>40018</v>
      </c>
      <c r="B6075" t="n">
        <v>7.7505</v>
      </c>
      <c r="C6075" t="n">
        <v>1.136</v>
      </c>
    </row>
    <row r="6076">
      <c r="A6076" s="926" t="n">
        <v>40019</v>
      </c>
      <c r="B6076" t="n">
        <v>7.7485</v>
      </c>
      <c r="C6076" t="n">
        <v>1.13555</v>
      </c>
    </row>
    <row r="6077">
      <c r="A6077" s="926" t="n">
        <v>40021</v>
      </c>
      <c r="B6077" t="n">
        <v>7.7505</v>
      </c>
      <c r="C6077" t="n">
        <v>1.136</v>
      </c>
    </row>
    <row r="6078">
      <c r="A6078" s="926" t="n">
        <v>40022</v>
      </c>
      <c r="B6078" t="n">
        <v>7.7505</v>
      </c>
      <c r="C6078" t="n">
        <v>1.136</v>
      </c>
    </row>
    <row r="6079">
      <c r="A6079" s="926" t="n">
        <v>40023</v>
      </c>
      <c r="B6079" t="n">
        <v>7.7505</v>
      </c>
      <c r="C6079" t="n">
        <v>1.136</v>
      </c>
    </row>
    <row r="6080">
      <c r="A6080" s="926" t="n">
        <v>40024</v>
      </c>
      <c r="B6080" t="n">
        <v>7.7505</v>
      </c>
      <c r="C6080" t="n">
        <v>1.136</v>
      </c>
    </row>
    <row r="6081">
      <c r="A6081" s="926" t="n">
        <v>40025</v>
      </c>
      <c r="B6081" t="n">
        <v>7.7505</v>
      </c>
      <c r="C6081" t="n">
        <v>1.136</v>
      </c>
    </row>
    <row r="6082">
      <c r="A6082" s="926" t="n">
        <v>40026</v>
      </c>
      <c r="B6082" t="n">
        <v>7.7475</v>
      </c>
      <c r="C6082" t="n">
        <v>1.13575</v>
      </c>
    </row>
    <row r="6083">
      <c r="A6083" s="926" t="n">
        <v>40028</v>
      </c>
      <c r="B6083" t="n">
        <v>7.7505</v>
      </c>
      <c r="C6083" t="n">
        <v>1.1365</v>
      </c>
    </row>
    <row r="6084">
      <c r="A6084" s="926" t="n">
        <v>40029</v>
      </c>
      <c r="B6084" t="n">
        <v>7.7505</v>
      </c>
      <c r="C6084" t="n">
        <v>1.1365</v>
      </c>
    </row>
    <row r="6085">
      <c r="A6085" s="926" t="n">
        <v>40030</v>
      </c>
      <c r="B6085" t="n">
        <v>7.7505</v>
      </c>
      <c r="C6085" t="n">
        <v>1.1365</v>
      </c>
    </row>
    <row r="6086">
      <c r="A6086" s="926" t="n">
        <v>40031</v>
      </c>
      <c r="B6086" t="n">
        <v>7.7505</v>
      </c>
      <c r="C6086" t="n">
        <v>1.1365</v>
      </c>
    </row>
    <row r="6087">
      <c r="A6087" s="926" t="n">
        <v>40032</v>
      </c>
      <c r="B6087" t="n">
        <v>7.7505</v>
      </c>
      <c r="C6087" t="n">
        <v>1.1365</v>
      </c>
    </row>
    <row r="6088">
      <c r="A6088" s="926" t="n">
        <v>40033</v>
      </c>
      <c r="B6088" t="n">
        <v>7.7495</v>
      </c>
      <c r="C6088" t="n">
        <v>1.13585</v>
      </c>
    </row>
    <row r="6089">
      <c r="A6089" s="926" t="n">
        <v>40035</v>
      </c>
      <c r="B6089" t="n">
        <v>7.7505</v>
      </c>
      <c r="C6089" t="n">
        <v>1.136</v>
      </c>
    </row>
    <row r="6090">
      <c r="A6090" s="926" t="n">
        <v>40036</v>
      </c>
      <c r="B6090" t="n">
        <v>7.7505</v>
      </c>
      <c r="C6090" t="n">
        <v>1.136</v>
      </c>
    </row>
    <row r="6091">
      <c r="A6091" s="926" t="n">
        <v>40037</v>
      </c>
      <c r="B6091" t="n">
        <v>7.7515</v>
      </c>
      <c r="C6091" t="n">
        <v>1.1355</v>
      </c>
    </row>
    <row r="6092">
      <c r="A6092" s="926" t="n">
        <v>40038</v>
      </c>
      <c r="B6092" t="n">
        <v>7.7515</v>
      </c>
      <c r="C6092" t="n">
        <v>1.136</v>
      </c>
    </row>
    <row r="6093">
      <c r="A6093" s="926" t="n">
        <v>40039</v>
      </c>
      <c r="B6093" t="n">
        <v>7.7515</v>
      </c>
      <c r="C6093" t="n">
        <v>1.1365</v>
      </c>
    </row>
    <row r="6094">
      <c r="A6094" s="926" t="n">
        <v>40040</v>
      </c>
      <c r="B6094" t="n">
        <v>7.7485</v>
      </c>
      <c r="C6094" t="n">
        <v>1.1352</v>
      </c>
    </row>
    <row r="6095">
      <c r="A6095" s="926" t="n">
        <v>40042</v>
      </c>
      <c r="B6095" t="n">
        <v>7.7515</v>
      </c>
      <c r="C6095" t="n">
        <v>1.1363</v>
      </c>
    </row>
    <row r="6096">
      <c r="A6096" s="926" t="n">
        <v>40043</v>
      </c>
      <c r="B6096" t="n">
        <v>7.7515</v>
      </c>
      <c r="C6096" t="n">
        <v>1.136</v>
      </c>
    </row>
    <row r="6097">
      <c r="A6097" s="926" t="n">
        <v>40044</v>
      </c>
      <c r="B6097" t="n">
        <v>7.7525</v>
      </c>
      <c r="C6097" t="n">
        <v>1.1365</v>
      </c>
    </row>
    <row r="6098">
      <c r="A6098" s="926" t="n">
        <v>40045</v>
      </c>
      <c r="B6098" t="n">
        <v>7.7515</v>
      </c>
      <c r="C6098" t="n">
        <v>1.1364</v>
      </c>
    </row>
    <row r="6099">
      <c r="A6099" s="926" t="n">
        <v>40046</v>
      </c>
      <c r="B6099" t="n">
        <v>7.7515</v>
      </c>
      <c r="C6099" t="n">
        <v>1.1365</v>
      </c>
    </row>
    <row r="6100">
      <c r="A6100" s="926" t="n">
        <v>40047</v>
      </c>
      <c r="B6100" t="n">
        <v>7.7485</v>
      </c>
      <c r="C6100" t="n">
        <v>1.1357</v>
      </c>
    </row>
    <row r="6101">
      <c r="A6101" s="926" t="n">
        <v>40049</v>
      </c>
      <c r="B6101" t="n">
        <v>7.7515</v>
      </c>
      <c r="C6101" t="n">
        <v>1.1365</v>
      </c>
    </row>
    <row r="6102">
      <c r="A6102" s="926" t="n">
        <v>40050</v>
      </c>
      <c r="B6102" t="n">
        <v>7.7515</v>
      </c>
      <c r="C6102" t="n">
        <v>1.1366</v>
      </c>
    </row>
    <row r="6103">
      <c r="A6103" s="926" t="n">
        <v>40051</v>
      </c>
      <c r="B6103" t="n">
        <v>7.7505</v>
      </c>
      <c r="C6103" t="n">
        <v>1.1365</v>
      </c>
    </row>
    <row r="6104">
      <c r="A6104" s="926" t="n">
        <v>40052</v>
      </c>
      <c r="B6104" t="n">
        <v>7.7515</v>
      </c>
      <c r="C6104" t="n">
        <v>1.1365</v>
      </c>
    </row>
    <row r="6105">
      <c r="A6105" s="926" t="n">
        <v>40053</v>
      </c>
      <c r="B6105" t="n">
        <v>7.7515</v>
      </c>
      <c r="C6105" t="n">
        <v>1.1365</v>
      </c>
    </row>
    <row r="6106">
      <c r="A6106" s="926" t="n">
        <v>40054</v>
      </c>
      <c r="B6106" t="n">
        <v>7.7505</v>
      </c>
      <c r="C6106" t="n">
        <v>1.136</v>
      </c>
    </row>
    <row r="6107">
      <c r="A6107" s="926" t="n">
        <v>40056</v>
      </c>
      <c r="B6107" t="n">
        <v>7.7515</v>
      </c>
      <c r="C6107" t="n">
        <v>1.136</v>
      </c>
    </row>
    <row r="6108">
      <c r="A6108" s="926" t="n">
        <v>40057</v>
      </c>
      <c r="B6108" t="n">
        <v>7.7515</v>
      </c>
      <c r="C6108" t="n">
        <v>1.1363</v>
      </c>
    </row>
    <row r="6109">
      <c r="A6109" s="926" t="n">
        <v>40058</v>
      </c>
      <c r="B6109" t="n">
        <v>7.7515</v>
      </c>
      <c r="C6109" t="n">
        <v>1.1361</v>
      </c>
    </row>
    <row r="6110">
      <c r="A6110" s="926" t="n">
        <v>40059</v>
      </c>
      <c r="B6110" t="n">
        <v>7.7515</v>
      </c>
      <c r="C6110" t="n">
        <v>1.1368</v>
      </c>
    </row>
    <row r="6111">
      <c r="A6111" s="926" t="n">
        <v>40060</v>
      </c>
      <c r="B6111" t="n">
        <v>7.7515</v>
      </c>
      <c r="C6111" t="n">
        <v>1.1368</v>
      </c>
    </row>
    <row r="6112">
      <c r="A6112" s="926" t="n">
        <v>40061</v>
      </c>
      <c r="B6112" t="n">
        <v>7.7485</v>
      </c>
      <c r="C6112" t="n">
        <v>1.1359</v>
      </c>
    </row>
    <row r="6113">
      <c r="A6113" s="926" t="n">
        <v>40063</v>
      </c>
      <c r="B6113" t="n">
        <v>7.7505</v>
      </c>
      <c r="C6113" t="n">
        <v>1.13675</v>
      </c>
    </row>
    <row r="6114">
      <c r="A6114" s="926" t="n">
        <v>40064</v>
      </c>
      <c r="B6114" t="n">
        <v>7.7505</v>
      </c>
      <c r="C6114" t="n">
        <v>1.1368</v>
      </c>
    </row>
    <row r="6115">
      <c r="A6115" s="926" t="n">
        <v>40065</v>
      </c>
      <c r="B6115" t="n">
        <v>7.7505</v>
      </c>
      <c r="C6115" t="n">
        <v>1.1371</v>
      </c>
    </row>
    <row r="6116">
      <c r="A6116" s="926" t="n">
        <v>40066</v>
      </c>
      <c r="B6116" t="n">
        <v>7.7515</v>
      </c>
      <c r="C6116" t="n">
        <v>1.1371</v>
      </c>
    </row>
    <row r="6117">
      <c r="A6117" s="926" t="n">
        <v>40067</v>
      </c>
      <c r="B6117" t="n">
        <v>7.7505</v>
      </c>
      <c r="C6117" t="n">
        <v>1.137</v>
      </c>
    </row>
    <row r="6118">
      <c r="A6118" s="926" t="n">
        <v>40068</v>
      </c>
      <c r="B6118" t="n">
        <v>7.7475</v>
      </c>
      <c r="C6118" t="n">
        <v>1.1356</v>
      </c>
    </row>
    <row r="6119">
      <c r="A6119" s="926" t="n">
        <v>40070</v>
      </c>
      <c r="B6119" t="n">
        <v>7.7505</v>
      </c>
      <c r="C6119" t="n">
        <v>1.1371</v>
      </c>
    </row>
    <row r="6120">
      <c r="A6120" s="926" t="n">
        <v>40071</v>
      </c>
      <c r="B6120" t="n">
        <v>7.7505</v>
      </c>
      <c r="C6120" t="n">
        <v>1.1371</v>
      </c>
    </row>
    <row r="6121">
      <c r="A6121" s="926" t="n">
        <v>40072</v>
      </c>
      <c r="B6121" t="n">
        <v>7.7505</v>
      </c>
      <c r="C6121" t="n">
        <v>1.1371</v>
      </c>
    </row>
    <row r="6122">
      <c r="A6122" s="926" t="n">
        <v>40073</v>
      </c>
      <c r="B6122" t="n">
        <v>7.7505</v>
      </c>
      <c r="C6122" t="n">
        <v>1.1375</v>
      </c>
    </row>
    <row r="6123">
      <c r="A6123" s="926" t="n">
        <v>40074</v>
      </c>
      <c r="B6123" t="n">
        <v>7.7505</v>
      </c>
      <c r="C6123" t="n">
        <v>1.1372</v>
      </c>
    </row>
    <row r="6124">
      <c r="A6124" s="926" t="n">
        <v>40075</v>
      </c>
      <c r="B6124" t="n">
        <v>7.7495</v>
      </c>
      <c r="C6124" t="n">
        <v>1.1362</v>
      </c>
    </row>
    <row r="6125">
      <c r="A6125" s="926" t="n">
        <v>40077</v>
      </c>
      <c r="B6125" t="n">
        <v>7.7515</v>
      </c>
      <c r="C6125" t="n">
        <v>1.1372</v>
      </c>
    </row>
    <row r="6126">
      <c r="A6126" s="926" t="n">
        <v>40078</v>
      </c>
      <c r="B6126" t="n">
        <v>7.7505</v>
      </c>
      <c r="C6126" t="n">
        <v>1.1373</v>
      </c>
    </row>
    <row r="6127">
      <c r="A6127" s="926" t="n">
        <v>40079</v>
      </c>
      <c r="B6127" t="n">
        <v>7.7515</v>
      </c>
      <c r="C6127" t="n">
        <v>1.1375</v>
      </c>
    </row>
    <row r="6128">
      <c r="A6128" s="926" t="n">
        <v>40080</v>
      </c>
      <c r="B6128" t="n">
        <v>7.7515</v>
      </c>
      <c r="C6128" t="n">
        <v>1.1375</v>
      </c>
    </row>
    <row r="6129">
      <c r="A6129" s="926" t="n">
        <v>40081</v>
      </c>
      <c r="B6129" t="n">
        <v>7.7515</v>
      </c>
      <c r="C6129" t="n">
        <v>1.1374</v>
      </c>
    </row>
    <row r="6130">
      <c r="A6130" s="926" t="n">
        <v>40082</v>
      </c>
      <c r="B6130" t="n">
        <v>7.7485</v>
      </c>
      <c r="C6130" t="n">
        <v>1.1361</v>
      </c>
    </row>
    <row r="6131">
      <c r="A6131" s="926" t="n">
        <v>40084</v>
      </c>
      <c r="B6131" t="n">
        <v>7.7505</v>
      </c>
      <c r="C6131" t="n">
        <v>1.1372</v>
      </c>
    </row>
    <row r="6132">
      <c r="A6132" s="926" t="n">
        <v>40085</v>
      </c>
      <c r="B6132" t="n">
        <v>7.7505</v>
      </c>
      <c r="C6132" t="n">
        <v>1.1373</v>
      </c>
    </row>
    <row r="6133">
      <c r="A6133" s="926" t="n">
        <v>40086</v>
      </c>
      <c r="B6133" t="n">
        <v>7.7505</v>
      </c>
      <c r="C6133" t="n">
        <v>1.1373</v>
      </c>
    </row>
    <row r="6134">
      <c r="A6134" s="926" t="n">
        <v>40088</v>
      </c>
      <c r="B6134" t="n">
        <v>7.7505</v>
      </c>
      <c r="C6134" t="n">
        <v>1.1373</v>
      </c>
    </row>
    <row r="6135">
      <c r="A6135" s="926" t="n">
        <v>40091</v>
      </c>
      <c r="B6135" t="n">
        <v>7.7505</v>
      </c>
      <c r="C6135" t="n">
        <v>1.138</v>
      </c>
    </row>
    <row r="6136">
      <c r="A6136" s="926" t="n">
        <v>40092</v>
      </c>
      <c r="B6136" t="n">
        <v>7.7505</v>
      </c>
      <c r="C6136" t="n">
        <v>1.138</v>
      </c>
    </row>
    <row r="6137">
      <c r="A6137" s="926" t="n">
        <v>40093</v>
      </c>
      <c r="B6137" t="n">
        <v>7.7505</v>
      </c>
      <c r="C6137" t="n">
        <v>1.138</v>
      </c>
    </row>
    <row r="6138">
      <c r="A6138" s="926" t="n">
        <v>40094</v>
      </c>
      <c r="B6138" t="n">
        <v>7.7505</v>
      </c>
      <c r="C6138" t="n">
        <v>1.138</v>
      </c>
    </row>
    <row r="6139">
      <c r="A6139" s="926" t="n">
        <v>40095</v>
      </c>
      <c r="B6139" t="n">
        <v>7.7505</v>
      </c>
      <c r="C6139" t="n">
        <v>1.1383</v>
      </c>
    </row>
    <row r="6140">
      <c r="A6140" s="926" t="n">
        <v>40096</v>
      </c>
      <c r="B6140" t="n">
        <v>7.7485</v>
      </c>
      <c r="C6140" t="n">
        <v>1.13825</v>
      </c>
    </row>
    <row r="6141">
      <c r="A6141" s="926" t="n">
        <v>40098</v>
      </c>
      <c r="B6141" t="n">
        <v>7.7505</v>
      </c>
      <c r="C6141" t="n">
        <v>1.1382</v>
      </c>
    </row>
    <row r="6142">
      <c r="A6142" s="926" t="n">
        <v>40099</v>
      </c>
      <c r="B6142" t="n">
        <v>7.7505</v>
      </c>
      <c r="C6142" t="n">
        <v>1.1384</v>
      </c>
    </row>
    <row r="6143">
      <c r="A6143" s="926" t="n">
        <v>40100</v>
      </c>
      <c r="B6143" t="n">
        <v>7.7505</v>
      </c>
      <c r="C6143" t="n">
        <v>1.1385</v>
      </c>
    </row>
    <row r="6144">
      <c r="A6144" s="926" t="n">
        <v>40101</v>
      </c>
      <c r="B6144" t="n">
        <v>7.7505</v>
      </c>
      <c r="C6144" t="n">
        <v>1.1385</v>
      </c>
    </row>
    <row r="6145">
      <c r="A6145" s="926" t="n">
        <v>40102</v>
      </c>
      <c r="B6145" t="n">
        <v>7.7505</v>
      </c>
      <c r="C6145" t="n">
        <v>1.1385</v>
      </c>
    </row>
    <row r="6146">
      <c r="A6146" s="926" t="n">
        <v>40103</v>
      </c>
      <c r="B6146" t="n">
        <v>7.7495</v>
      </c>
      <c r="C6146" t="n">
        <v>1.13655</v>
      </c>
    </row>
    <row r="6147">
      <c r="A6147" s="926" t="n">
        <v>40105</v>
      </c>
      <c r="B6147" t="n">
        <v>7.7505</v>
      </c>
      <c r="C6147" t="n">
        <v>1.1385</v>
      </c>
    </row>
    <row r="6148">
      <c r="A6148" s="926" t="n">
        <v>40106</v>
      </c>
      <c r="B6148" t="n">
        <v>7.7505</v>
      </c>
      <c r="C6148" t="n">
        <v>1.1385</v>
      </c>
    </row>
    <row r="6149">
      <c r="A6149" s="926" t="n">
        <v>40107</v>
      </c>
      <c r="B6149" t="n">
        <v>7.7505</v>
      </c>
      <c r="C6149" t="n">
        <v>1.1385</v>
      </c>
    </row>
    <row r="6150">
      <c r="A6150" s="926" t="n">
        <v>40108</v>
      </c>
      <c r="B6150" t="n">
        <v>7.7505</v>
      </c>
      <c r="C6150" t="n">
        <v>1.1385</v>
      </c>
    </row>
    <row r="6151">
      <c r="A6151" s="926" t="n">
        <v>40109</v>
      </c>
      <c r="B6151" t="n">
        <v>7.7505</v>
      </c>
      <c r="C6151" t="n">
        <v>1.1385</v>
      </c>
    </row>
    <row r="6152">
      <c r="A6152" s="926" t="n">
        <v>40110</v>
      </c>
      <c r="B6152" t="n">
        <v>7.7485</v>
      </c>
      <c r="C6152" t="n">
        <v>1.13675</v>
      </c>
    </row>
    <row r="6153">
      <c r="A6153" s="926" t="n">
        <v>40113</v>
      </c>
      <c r="B6153" t="n">
        <v>7.7505</v>
      </c>
      <c r="C6153" t="n">
        <v>1.1385</v>
      </c>
    </row>
    <row r="6154">
      <c r="A6154" s="926" t="n">
        <v>40114</v>
      </c>
      <c r="B6154" t="n">
        <v>7.7505</v>
      </c>
      <c r="C6154" t="n">
        <v>1.1382</v>
      </c>
    </row>
    <row r="6155">
      <c r="A6155" s="926" t="n">
        <v>40115</v>
      </c>
      <c r="B6155" t="n">
        <v>7.7505</v>
      </c>
      <c r="C6155" t="n">
        <v>1.1382</v>
      </c>
    </row>
    <row r="6156">
      <c r="A6156" s="926" t="n">
        <v>40116</v>
      </c>
      <c r="B6156" t="n">
        <v>7.7505</v>
      </c>
      <c r="C6156" t="n">
        <v>1.1382</v>
      </c>
    </row>
    <row r="6157">
      <c r="A6157" s="926" t="n">
        <v>40117</v>
      </c>
      <c r="B6157" t="n">
        <v>7.7485</v>
      </c>
      <c r="C6157" t="n">
        <v>1.13805</v>
      </c>
    </row>
    <row r="6158">
      <c r="A6158" s="926" t="n">
        <v>40119</v>
      </c>
      <c r="B6158" t="n">
        <v>7.7505</v>
      </c>
      <c r="C6158" t="n">
        <v>1.138</v>
      </c>
    </row>
    <row r="6159">
      <c r="A6159" s="926" t="n">
        <v>40120</v>
      </c>
      <c r="B6159" t="n">
        <v>7.7505</v>
      </c>
      <c r="C6159" t="n">
        <v>1.138</v>
      </c>
    </row>
    <row r="6160">
      <c r="A6160" s="926" t="n">
        <v>40121</v>
      </c>
      <c r="B6160" t="n">
        <v>7.7505</v>
      </c>
      <c r="C6160" t="n">
        <v>1.138</v>
      </c>
    </row>
    <row r="6161">
      <c r="A6161" s="926" t="n">
        <v>40122</v>
      </c>
      <c r="B6161" t="n">
        <v>7.7505</v>
      </c>
      <c r="C6161" t="n">
        <v>1.1381</v>
      </c>
    </row>
    <row r="6162">
      <c r="A6162" s="926" t="n">
        <v>40123</v>
      </c>
      <c r="B6162" t="n">
        <v>7.7505</v>
      </c>
      <c r="C6162" t="n">
        <v>1.1381</v>
      </c>
    </row>
    <row r="6163">
      <c r="A6163" s="926" t="n">
        <v>40124</v>
      </c>
      <c r="B6163" t="n">
        <v>7.7505</v>
      </c>
      <c r="C6163" t="n">
        <v>1.13715</v>
      </c>
    </row>
    <row r="6164">
      <c r="A6164" s="926" t="n">
        <v>40126</v>
      </c>
      <c r="B6164" t="n">
        <v>7.7505</v>
      </c>
      <c r="C6164" t="n">
        <v>1.1381</v>
      </c>
    </row>
    <row r="6165">
      <c r="A6165" s="926" t="n">
        <v>40127</v>
      </c>
      <c r="B6165" t="n">
        <v>7.7505</v>
      </c>
      <c r="C6165" t="n">
        <v>1.1381</v>
      </c>
    </row>
    <row r="6166">
      <c r="A6166" s="926" t="n">
        <v>40128</v>
      </c>
      <c r="B6166" t="n">
        <v>7.7505</v>
      </c>
      <c r="C6166" t="n">
        <v>1.1381</v>
      </c>
    </row>
    <row r="6167">
      <c r="A6167" s="926" t="n">
        <v>40129</v>
      </c>
      <c r="B6167" t="n">
        <v>7.7505</v>
      </c>
      <c r="C6167" t="n">
        <v>1.1383</v>
      </c>
    </row>
    <row r="6168">
      <c r="A6168" s="926" t="n">
        <v>40130</v>
      </c>
      <c r="B6168" t="n">
        <v>7.7505</v>
      </c>
      <c r="C6168" t="n">
        <v>1.1383</v>
      </c>
    </row>
    <row r="6169">
      <c r="A6169" s="926" t="n">
        <v>40131</v>
      </c>
      <c r="B6169" t="n">
        <v>7.7485</v>
      </c>
      <c r="C6169" t="n">
        <v>1.13655</v>
      </c>
    </row>
    <row r="6170">
      <c r="A6170" s="926" t="n">
        <v>40133</v>
      </c>
      <c r="B6170" t="n">
        <v>7.7505</v>
      </c>
      <c r="C6170" t="n">
        <v>1.1383</v>
      </c>
    </row>
    <row r="6171">
      <c r="A6171" s="926" t="n">
        <v>40134</v>
      </c>
      <c r="B6171" t="n">
        <v>7.7505</v>
      </c>
      <c r="C6171" t="n">
        <v>1.1383</v>
      </c>
    </row>
    <row r="6172">
      <c r="A6172" s="926" t="n">
        <v>40135</v>
      </c>
      <c r="B6172" t="n">
        <v>7.7505</v>
      </c>
      <c r="C6172" t="n">
        <v>1.1383</v>
      </c>
    </row>
    <row r="6173">
      <c r="A6173" s="926" t="n">
        <v>40136</v>
      </c>
      <c r="B6173" t="n">
        <v>7.7505</v>
      </c>
      <c r="C6173" t="n">
        <v>1.1383</v>
      </c>
    </row>
    <row r="6174">
      <c r="A6174" s="926" t="n">
        <v>40137</v>
      </c>
      <c r="B6174" t="n">
        <v>7.7505</v>
      </c>
      <c r="C6174" t="n">
        <v>1.138</v>
      </c>
    </row>
    <row r="6175">
      <c r="A6175" s="926" t="n">
        <v>40138</v>
      </c>
      <c r="B6175" t="n">
        <v>7.7485</v>
      </c>
      <c r="C6175" t="n">
        <v>1.13775</v>
      </c>
    </row>
    <row r="6176">
      <c r="A6176" s="926" t="n">
        <v>40140</v>
      </c>
      <c r="B6176" t="n">
        <v>7.7505</v>
      </c>
      <c r="C6176" t="n">
        <v>1.138</v>
      </c>
    </row>
    <row r="6177">
      <c r="A6177" s="926" t="n">
        <v>40141</v>
      </c>
      <c r="B6177" t="n">
        <v>7.7505</v>
      </c>
      <c r="C6177" t="n">
        <v>1.138</v>
      </c>
    </row>
    <row r="6178">
      <c r="A6178" s="926" t="n">
        <v>40142</v>
      </c>
      <c r="B6178" t="n">
        <v>7.7505</v>
      </c>
      <c r="C6178" t="n">
        <v>1.1378</v>
      </c>
    </row>
    <row r="6179">
      <c r="A6179" s="926" t="n">
        <v>40143</v>
      </c>
      <c r="B6179" t="n">
        <v>7.7505</v>
      </c>
      <c r="C6179" t="n">
        <v>1.1383</v>
      </c>
    </row>
    <row r="6180">
      <c r="A6180" s="926" t="n">
        <v>40144</v>
      </c>
      <c r="B6180" t="n">
        <v>7.7505</v>
      </c>
      <c r="C6180" t="n">
        <v>1.1383</v>
      </c>
    </row>
    <row r="6181">
      <c r="A6181" s="926" t="n">
        <v>40145</v>
      </c>
      <c r="B6181" t="n">
        <v>7.7505</v>
      </c>
      <c r="C6181" t="n">
        <v>1.13735</v>
      </c>
    </row>
    <row r="6182">
      <c r="A6182" s="926" t="n">
        <v>40147</v>
      </c>
      <c r="B6182" t="n">
        <v>7.7505</v>
      </c>
      <c r="C6182" t="n">
        <v>1.1378</v>
      </c>
    </row>
    <row r="6183">
      <c r="A6183" s="926" t="n">
        <v>40148</v>
      </c>
      <c r="B6183" t="n">
        <v>7.7505</v>
      </c>
      <c r="C6183" t="n">
        <v>1.1383</v>
      </c>
    </row>
    <row r="6184">
      <c r="A6184" s="926" t="n">
        <v>40149</v>
      </c>
      <c r="B6184" t="n">
        <v>7.7505</v>
      </c>
      <c r="C6184" t="n">
        <v>1.1381</v>
      </c>
    </row>
    <row r="6185">
      <c r="A6185" s="926" t="n">
        <v>40150</v>
      </c>
      <c r="B6185" t="n">
        <v>7.7505</v>
      </c>
      <c r="C6185" t="n">
        <v>1.1381</v>
      </c>
    </row>
    <row r="6186">
      <c r="A6186" s="926" t="n">
        <v>40151</v>
      </c>
      <c r="B6186" t="n">
        <v>7.7505</v>
      </c>
      <c r="C6186" t="n">
        <v>1.1381</v>
      </c>
    </row>
    <row r="6187">
      <c r="A6187" s="926" t="n">
        <v>40152</v>
      </c>
      <c r="B6187" t="n">
        <v>7.7485</v>
      </c>
      <c r="C6187" t="n">
        <v>1.13635</v>
      </c>
    </row>
    <row r="6188">
      <c r="A6188" s="926" t="n">
        <v>40154</v>
      </c>
      <c r="B6188" t="n">
        <v>7.7505</v>
      </c>
      <c r="C6188" t="n">
        <v>1.1381</v>
      </c>
    </row>
    <row r="6189">
      <c r="A6189" s="926" t="n">
        <v>40155</v>
      </c>
      <c r="B6189" t="n">
        <v>7.7505</v>
      </c>
      <c r="C6189" t="n">
        <v>1.138</v>
      </c>
    </row>
    <row r="6190">
      <c r="A6190" s="926" t="n">
        <v>40156</v>
      </c>
      <c r="B6190" t="n">
        <v>7.7515</v>
      </c>
      <c r="C6190" t="n">
        <v>1.138</v>
      </c>
    </row>
    <row r="6191">
      <c r="A6191" s="926" t="n">
        <v>40157</v>
      </c>
      <c r="B6191" t="n">
        <v>7.7515</v>
      </c>
      <c r="C6191" t="n">
        <v>1.1381</v>
      </c>
    </row>
    <row r="6192">
      <c r="A6192" s="926" t="n">
        <v>40158</v>
      </c>
      <c r="B6192" t="n">
        <v>7.7515</v>
      </c>
      <c r="C6192" t="n">
        <v>1.138</v>
      </c>
    </row>
    <row r="6193">
      <c r="A6193" s="926" t="n">
        <v>40159</v>
      </c>
      <c r="B6193" t="n">
        <v>7.7485</v>
      </c>
      <c r="C6193" t="n">
        <v>1.13805</v>
      </c>
    </row>
    <row r="6194">
      <c r="A6194" s="926" t="n">
        <v>40161</v>
      </c>
      <c r="B6194" t="n">
        <v>7.7525</v>
      </c>
      <c r="C6194" t="n">
        <v>1.1381</v>
      </c>
    </row>
    <row r="6195">
      <c r="A6195" s="926" t="n">
        <v>40162</v>
      </c>
      <c r="B6195" t="n">
        <v>7.7525</v>
      </c>
      <c r="C6195" t="n">
        <v>1.138</v>
      </c>
    </row>
    <row r="6196">
      <c r="A6196" s="926" t="n">
        <v>40163</v>
      </c>
      <c r="B6196" t="n">
        <v>7.7545</v>
      </c>
      <c r="C6196" t="n">
        <v>1.1385</v>
      </c>
    </row>
    <row r="6197">
      <c r="A6197" s="926" t="n">
        <v>40164</v>
      </c>
      <c r="B6197" t="n">
        <v>7.7555</v>
      </c>
      <c r="C6197" t="n">
        <v>1.1385</v>
      </c>
    </row>
    <row r="6198">
      <c r="A6198" s="926" t="n">
        <v>40165</v>
      </c>
      <c r="B6198" t="n">
        <v>7.7565</v>
      </c>
      <c r="C6198" t="n">
        <v>1.1385</v>
      </c>
    </row>
    <row r="6199">
      <c r="A6199" s="926" t="n">
        <v>40166</v>
      </c>
      <c r="B6199" t="n">
        <v>7.7565</v>
      </c>
      <c r="C6199" t="n">
        <v>1.13705</v>
      </c>
    </row>
    <row r="6200">
      <c r="A6200" s="926" t="n">
        <v>40168</v>
      </c>
      <c r="B6200" t="n">
        <v>7.7555</v>
      </c>
      <c r="C6200" t="n">
        <v>1.1382</v>
      </c>
    </row>
    <row r="6201">
      <c r="A6201" s="926" t="n">
        <v>40169</v>
      </c>
      <c r="B6201" t="n">
        <v>7.7575</v>
      </c>
      <c r="C6201" t="n">
        <v>1.1385</v>
      </c>
    </row>
    <row r="6202">
      <c r="A6202" s="926" t="n">
        <v>40170</v>
      </c>
      <c r="B6202" t="n">
        <v>7.7555</v>
      </c>
      <c r="C6202" t="n">
        <v>1.1383</v>
      </c>
    </row>
    <row r="6203">
      <c r="A6203" s="926" t="n">
        <v>40171</v>
      </c>
      <c r="B6203" t="n">
        <v>7.7565</v>
      </c>
      <c r="C6203" t="n">
        <v>1.1386</v>
      </c>
    </row>
    <row r="6204">
      <c r="A6204" s="926" t="n">
        <v>40175</v>
      </c>
      <c r="B6204" t="n">
        <v>7.7565</v>
      </c>
      <c r="C6204" t="n">
        <v>1.1385</v>
      </c>
    </row>
    <row r="6205">
      <c r="A6205" s="926" t="n">
        <v>40176</v>
      </c>
      <c r="B6205" t="n">
        <v>7.7565</v>
      </c>
      <c r="C6205" t="n">
        <v>1.1385</v>
      </c>
    </row>
    <row r="6206">
      <c r="A6206" s="926" t="n">
        <v>40177</v>
      </c>
      <c r="B6206" t="n">
        <v>7.7555</v>
      </c>
      <c r="C6206" t="n">
        <v>1.1385</v>
      </c>
    </row>
    <row r="6207">
      <c r="A6207" s="926" t="n">
        <v>40178</v>
      </c>
      <c r="B6207" t="n">
        <v>7.7555</v>
      </c>
      <c r="C6207" t="n">
        <v>1.1385</v>
      </c>
    </row>
    <row r="6208">
      <c r="A6208" s="926" t="n">
        <v>40180</v>
      </c>
      <c r="B6208" t="n">
        <v>7.7525</v>
      </c>
      <c r="C6208" t="n">
        <v>1.13715</v>
      </c>
    </row>
    <row r="6209">
      <c r="A6209" s="926" t="n">
        <v>40182</v>
      </c>
      <c r="B6209" t="n">
        <v>7.7585</v>
      </c>
      <c r="C6209" t="n">
        <v>1.139</v>
      </c>
    </row>
    <row r="6210">
      <c r="A6210" s="926" t="n">
        <v>40183</v>
      </c>
      <c r="B6210" t="n">
        <v>7.7565</v>
      </c>
      <c r="C6210" t="n">
        <v>1.139</v>
      </c>
    </row>
    <row r="6211">
      <c r="A6211" s="926" t="n">
        <v>40184</v>
      </c>
      <c r="B6211" t="n">
        <v>7.7565</v>
      </c>
      <c r="C6211" t="n">
        <v>1.139</v>
      </c>
    </row>
    <row r="6212">
      <c r="A6212" s="926" t="n">
        <v>40185</v>
      </c>
      <c r="B6212" t="n">
        <v>7.7555</v>
      </c>
      <c r="C6212" t="n">
        <v>1.139</v>
      </c>
    </row>
    <row r="6213">
      <c r="A6213" s="926" t="n">
        <v>40186</v>
      </c>
      <c r="B6213" t="n">
        <v>7.7565</v>
      </c>
      <c r="C6213" t="n">
        <v>1.1385</v>
      </c>
    </row>
    <row r="6214">
      <c r="A6214" s="926" t="n">
        <v>40187</v>
      </c>
      <c r="B6214" t="n">
        <v>7.7535</v>
      </c>
      <c r="C6214" t="n">
        <v>1.13875</v>
      </c>
    </row>
    <row r="6215">
      <c r="A6215" s="926" t="n">
        <v>40189</v>
      </c>
      <c r="B6215" t="n">
        <v>7.7555</v>
      </c>
      <c r="C6215" t="n">
        <v>1.1385</v>
      </c>
    </row>
    <row r="6216">
      <c r="A6216" s="926" t="n">
        <v>40190</v>
      </c>
      <c r="B6216" t="n">
        <v>7.7555</v>
      </c>
      <c r="C6216" t="n">
        <v>1.1385</v>
      </c>
    </row>
    <row r="6217">
      <c r="A6217" s="926" t="n">
        <v>40191</v>
      </c>
      <c r="B6217" t="n">
        <v>7.7555</v>
      </c>
      <c r="C6217" t="n">
        <v>1.1387</v>
      </c>
    </row>
    <row r="6218">
      <c r="A6218" s="926" t="n">
        <v>40192</v>
      </c>
      <c r="B6218" t="n">
        <v>7.7565</v>
      </c>
      <c r="C6218" t="n">
        <v>1.1384</v>
      </c>
    </row>
    <row r="6219">
      <c r="A6219" s="926" t="n">
        <v>40193</v>
      </c>
      <c r="B6219" t="n">
        <v>7.7595</v>
      </c>
      <c r="C6219" t="n">
        <v>1.1395</v>
      </c>
    </row>
    <row r="6220">
      <c r="A6220" s="926" t="n">
        <v>40194</v>
      </c>
      <c r="B6220" t="n">
        <v>7.7595</v>
      </c>
      <c r="C6220" t="n">
        <v>1.13795</v>
      </c>
    </row>
    <row r="6221">
      <c r="A6221" s="926" t="n">
        <v>40196</v>
      </c>
      <c r="B6221" t="n">
        <v>7.7615</v>
      </c>
      <c r="C6221" t="n">
        <v>1.1398</v>
      </c>
    </row>
    <row r="6222">
      <c r="A6222" s="926" t="n">
        <v>40197</v>
      </c>
      <c r="B6222" t="n">
        <v>7.7655</v>
      </c>
      <c r="C6222" t="n">
        <v>1.14</v>
      </c>
    </row>
    <row r="6223">
      <c r="A6223" s="926" t="n">
        <v>40198</v>
      </c>
      <c r="B6223" t="n">
        <v>7.7675</v>
      </c>
      <c r="C6223" t="n">
        <v>1.1402</v>
      </c>
    </row>
    <row r="6224">
      <c r="A6224" s="926" t="n">
        <v>40199</v>
      </c>
      <c r="B6224" t="n">
        <v>7.7695</v>
      </c>
      <c r="C6224" t="n">
        <v>1.1406</v>
      </c>
    </row>
    <row r="6225">
      <c r="A6225" s="926" t="n">
        <v>40200</v>
      </c>
      <c r="B6225" t="n">
        <v>7.7715</v>
      </c>
      <c r="C6225" t="n">
        <v>1.141</v>
      </c>
    </row>
    <row r="6226">
      <c r="A6226" s="926" t="n">
        <v>40201</v>
      </c>
      <c r="B6226" t="n">
        <v>7.7705</v>
      </c>
      <c r="C6226" t="n">
        <v>1.1401</v>
      </c>
    </row>
    <row r="6227">
      <c r="A6227" s="926" t="n">
        <v>40203</v>
      </c>
      <c r="B6227" t="n">
        <v>7.7725</v>
      </c>
      <c r="C6227" t="n">
        <v>1.1412</v>
      </c>
    </row>
    <row r="6228">
      <c r="A6228" s="926" t="n">
        <v>40204</v>
      </c>
      <c r="B6228" t="n">
        <v>7.7715</v>
      </c>
      <c r="C6228" t="n">
        <v>1.1406</v>
      </c>
    </row>
    <row r="6229">
      <c r="A6229" s="926" t="n">
        <v>40205</v>
      </c>
      <c r="B6229" t="n">
        <v>7.7765</v>
      </c>
      <c r="C6229" t="n">
        <v>1.1416</v>
      </c>
    </row>
    <row r="6230">
      <c r="A6230" s="926" t="n">
        <v>40206</v>
      </c>
      <c r="B6230" t="n">
        <v>7.7725</v>
      </c>
      <c r="C6230" t="n">
        <v>1.1415</v>
      </c>
    </row>
    <row r="6231">
      <c r="A6231" s="926" t="n">
        <v>40207</v>
      </c>
      <c r="B6231" t="n">
        <v>7.7695</v>
      </c>
      <c r="C6231" t="n">
        <v>1.1411</v>
      </c>
    </row>
    <row r="6232">
      <c r="A6232" s="926" t="n">
        <v>40208</v>
      </c>
      <c r="B6232" t="n">
        <v>7.7615</v>
      </c>
      <c r="C6232" t="n">
        <v>1.1413</v>
      </c>
    </row>
    <row r="6233">
      <c r="A6233" s="926" t="n">
        <v>40210</v>
      </c>
      <c r="B6233" t="n">
        <v>7.7675</v>
      </c>
      <c r="C6233" t="n">
        <v>1.1405</v>
      </c>
    </row>
    <row r="6234">
      <c r="A6234" s="926" t="n">
        <v>40211</v>
      </c>
      <c r="B6234" t="n">
        <v>7.7685</v>
      </c>
      <c r="C6234" t="n">
        <v>1.1403</v>
      </c>
    </row>
    <row r="6235">
      <c r="A6235" s="926" t="n">
        <v>40212</v>
      </c>
      <c r="B6235" t="n">
        <v>7.7665</v>
      </c>
      <c r="C6235" t="n">
        <v>1.1403</v>
      </c>
    </row>
    <row r="6236">
      <c r="A6236" s="926" t="n">
        <v>40213</v>
      </c>
      <c r="B6236" t="n">
        <v>7.7685</v>
      </c>
      <c r="C6236" t="n">
        <v>1.1405</v>
      </c>
    </row>
    <row r="6237">
      <c r="A6237" s="926" t="n">
        <v>40214</v>
      </c>
      <c r="B6237" t="n">
        <v>7.7715</v>
      </c>
      <c r="C6237" t="n">
        <v>1.1409</v>
      </c>
    </row>
    <row r="6238">
      <c r="A6238" s="926" t="n">
        <v>40215</v>
      </c>
      <c r="B6238" t="n">
        <v>7.7705</v>
      </c>
      <c r="C6238" t="n">
        <v>1.13995</v>
      </c>
    </row>
    <row r="6239">
      <c r="A6239" s="926" t="n">
        <v>40217</v>
      </c>
      <c r="B6239" t="n">
        <v>7.7715</v>
      </c>
      <c r="C6239" t="n">
        <v>1.141</v>
      </c>
    </row>
    <row r="6240">
      <c r="A6240" s="926" t="n">
        <v>40218</v>
      </c>
      <c r="B6240" t="n">
        <v>7.7695</v>
      </c>
      <c r="C6240" t="n">
        <v>1.1408</v>
      </c>
    </row>
    <row r="6241">
      <c r="A6241" s="926" t="n">
        <v>40219</v>
      </c>
      <c r="B6241" t="n">
        <v>7.7705</v>
      </c>
      <c r="C6241" t="n">
        <v>1.1408</v>
      </c>
    </row>
    <row r="6242">
      <c r="A6242" s="926" t="n">
        <v>40220</v>
      </c>
      <c r="B6242" t="n">
        <v>7.7705</v>
      </c>
      <c r="C6242" t="n">
        <v>1.1408</v>
      </c>
    </row>
    <row r="6243">
      <c r="A6243" s="926" t="n">
        <v>40221</v>
      </c>
      <c r="B6243" t="n">
        <v>7.7705</v>
      </c>
      <c r="C6243" t="n">
        <v>1.1407</v>
      </c>
    </row>
    <row r="6244">
      <c r="A6244" s="926" t="n">
        <v>40226</v>
      </c>
      <c r="B6244" t="n">
        <v>7.7695</v>
      </c>
      <c r="C6244" t="n">
        <v>1.1405</v>
      </c>
    </row>
    <row r="6245">
      <c r="A6245" s="926" t="n">
        <v>40227</v>
      </c>
      <c r="B6245" t="n">
        <v>7.7685</v>
      </c>
      <c r="C6245" t="n">
        <v>1.1405</v>
      </c>
    </row>
    <row r="6246">
      <c r="A6246" s="926" t="n">
        <v>40228</v>
      </c>
      <c r="B6246" t="n">
        <v>7.7675</v>
      </c>
      <c r="C6246" t="n">
        <v>1.1405</v>
      </c>
    </row>
    <row r="6247">
      <c r="A6247" s="926" t="n">
        <v>40229</v>
      </c>
      <c r="B6247" t="n">
        <v>7.7645</v>
      </c>
      <c r="C6247" t="n">
        <v>1.13955</v>
      </c>
    </row>
    <row r="6248">
      <c r="A6248" s="926" t="n">
        <v>40231</v>
      </c>
      <c r="B6248" t="n">
        <v>7.7655</v>
      </c>
      <c r="C6248" t="n">
        <v>1.1402</v>
      </c>
    </row>
    <row r="6249">
      <c r="A6249" s="926" t="n">
        <v>40232</v>
      </c>
      <c r="B6249" t="n">
        <v>7.7615</v>
      </c>
      <c r="C6249" t="n">
        <v>1.14</v>
      </c>
    </row>
    <row r="6250">
      <c r="A6250" s="926" t="n">
        <v>40233</v>
      </c>
      <c r="B6250" t="n">
        <v>7.7645</v>
      </c>
      <c r="C6250" t="n">
        <v>1.1401</v>
      </c>
    </row>
    <row r="6251">
      <c r="A6251" s="926" t="n">
        <v>40234</v>
      </c>
      <c r="B6251" t="n">
        <v>7.7645</v>
      </c>
      <c r="C6251" t="n">
        <v>1.1402</v>
      </c>
    </row>
    <row r="6252">
      <c r="A6252" s="926" t="n">
        <v>40235</v>
      </c>
      <c r="B6252" t="n">
        <v>7.7635</v>
      </c>
      <c r="C6252" t="n">
        <v>1.1402</v>
      </c>
    </row>
    <row r="6253">
      <c r="A6253" s="926" t="n">
        <v>40236</v>
      </c>
      <c r="B6253" t="n">
        <v>7.7605</v>
      </c>
      <c r="C6253" t="n">
        <v>1.13895</v>
      </c>
    </row>
    <row r="6254">
      <c r="A6254" s="926" t="n">
        <v>40238</v>
      </c>
      <c r="B6254" t="n">
        <v>7.7625</v>
      </c>
      <c r="C6254" t="n">
        <v>1.1395</v>
      </c>
    </row>
    <row r="6255">
      <c r="A6255" s="926" t="n">
        <v>40239</v>
      </c>
      <c r="B6255" t="n">
        <v>7.7655</v>
      </c>
      <c r="C6255" t="n">
        <v>1.14</v>
      </c>
    </row>
    <row r="6256">
      <c r="A6256" s="926" t="n">
        <v>40240</v>
      </c>
      <c r="B6256" t="n">
        <v>7.7635</v>
      </c>
      <c r="C6256" t="n">
        <v>1.14</v>
      </c>
    </row>
    <row r="6257">
      <c r="A6257" s="926" t="n">
        <v>40241</v>
      </c>
      <c r="B6257" t="n">
        <v>7.7635</v>
      </c>
      <c r="C6257" t="n">
        <v>1.14</v>
      </c>
    </row>
    <row r="6258">
      <c r="A6258" s="926" t="n">
        <v>40242</v>
      </c>
      <c r="B6258" t="n">
        <v>7.7635</v>
      </c>
      <c r="C6258" t="n">
        <v>1.14</v>
      </c>
    </row>
    <row r="6259">
      <c r="A6259" s="926" t="n">
        <v>40243</v>
      </c>
      <c r="B6259" t="n">
        <v>7.7615</v>
      </c>
      <c r="C6259" t="n">
        <v>1.1408</v>
      </c>
    </row>
    <row r="6260">
      <c r="A6260" s="926" t="n">
        <v>40245</v>
      </c>
      <c r="B6260" t="n">
        <v>7.7625</v>
      </c>
      <c r="C6260" t="n">
        <v>1.14</v>
      </c>
    </row>
    <row r="6261">
      <c r="A6261" s="926" t="n">
        <v>40246</v>
      </c>
      <c r="B6261" t="n">
        <v>7.7595</v>
      </c>
      <c r="C6261" t="n">
        <v>1.1398</v>
      </c>
    </row>
    <row r="6262">
      <c r="A6262" s="926" t="n">
        <v>40247</v>
      </c>
      <c r="B6262" t="n">
        <v>7.7595</v>
      </c>
      <c r="C6262" t="n">
        <v>1.1395</v>
      </c>
    </row>
    <row r="6263">
      <c r="A6263" s="926" t="n">
        <v>40248</v>
      </c>
      <c r="B6263" t="n">
        <v>7.7595</v>
      </c>
      <c r="C6263" t="n">
        <v>1.1395</v>
      </c>
    </row>
    <row r="6264">
      <c r="A6264" s="926" t="n">
        <v>40249</v>
      </c>
      <c r="B6264" t="n">
        <v>7.7595</v>
      </c>
      <c r="C6264" t="n">
        <v>1.1391</v>
      </c>
    </row>
    <row r="6265">
      <c r="A6265" s="926" t="n">
        <v>40250</v>
      </c>
      <c r="B6265" t="n">
        <v>7.7545</v>
      </c>
      <c r="C6265" t="n">
        <v>1.13895</v>
      </c>
    </row>
    <row r="6266">
      <c r="A6266" s="926" t="n">
        <v>40252</v>
      </c>
      <c r="B6266" t="n">
        <v>7.7595</v>
      </c>
      <c r="C6266" t="n">
        <v>1.1395</v>
      </c>
    </row>
    <row r="6267">
      <c r="A6267" s="926" t="n">
        <v>40253</v>
      </c>
      <c r="B6267" t="n">
        <v>7.7605</v>
      </c>
      <c r="C6267" t="n">
        <v>1.1395</v>
      </c>
    </row>
    <row r="6268">
      <c r="A6268" s="926" t="n">
        <v>40254</v>
      </c>
      <c r="B6268" t="n">
        <v>7.7625</v>
      </c>
      <c r="C6268" t="n">
        <v>1.1395</v>
      </c>
    </row>
    <row r="6269">
      <c r="A6269" s="926" t="n">
        <v>40255</v>
      </c>
      <c r="B6269" t="n">
        <v>7.7625</v>
      </c>
      <c r="C6269" t="n">
        <v>1.1395</v>
      </c>
    </row>
    <row r="6270">
      <c r="A6270" s="926" t="n">
        <v>40256</v>
      </c>
      <c r="B6270" t="n">
        <v>7.7595</v>
      </c>
      <c r="C6270" t="n">
        <v>1.1395</v>
      </c>
    </row>
    <row r="6271">
      <c r="A6271" s="926" t="n">
        <v>40257</v>
      </c>
      <c r="B6271" t="n">
        <v>7.7575</v>
      </c>
      <c r="C6271" t="n">
        <v>1.1397</v>
      </c>
    </row>
    <row r="6272">
      <c r="A6272" s="926" t="n">
        <v>40259</v>
      </c>
      <c r="B6272" t="n">
        <v>7.7625</v>
      </c>
      <c r="C6272" t="n">
        <v>1.1395</v>
      </c>
    </row>
    <row r="6273">
      <c r="A6273" s="926" t="n">
        <v>40260</v>
      </c>
      <c r="B6273" t="n">
        <v>7.7625</v>
      </c>
      <c r="C6273" t="n">
        <v>1.1395</v>
      </c>
    </row>
    <row r="6274">
      <c r="A6274" s="926" t="n">
        <v>40261</v>
      </c>
      <c r="B6274" t="n">
        <v>7.7625</v>
      </c>
      <c r="C6274" t="n">
        <v>1.1395</v>
      </c>
    </row>
    <row r="6275">
      <c r="A6275" s="926" t="n">
        <v>40262</v>
      </c>
      <c r="B6275" t="n">
        <v>7.7625</v>
      </c>
      <c r="C6275" t="n">
        <v>1.1395</v>
      </c>
    </row>
    <row r="6276">
      <c r="A6276" s="926" t="n">
        <v>40263</v>
      </c>
      <c r="B6276" t="n">
        <v>7.7635</v>
      </c>
      <c r="C6276" t="n">
        <v>1.1397</v>
      </c>
    </row>
    <row r="6277">
      <c r="A6277" s="926" t="n">
        <v>40264</v>
      </c>
      <c r="B6277" t="n">
        <v>7.7615</v>
      </c>
      <c r="C6277" t="n">
        <v>1.13945</v>
      </c>
    </row>
    <row r="6278">
      <c r="A6278" s="926" t="n">
        <v>40266</v>
      </c>
      <c r="B6278" t="n">
        <v>7.7645</v>
      </c>
      <c r="C6278" t="n">
        <v>1.1395</v>
      </c>
    </row>
    <row r="6279">
      <c r="A6279" s="926" t="n">
        <v>40267</v>
      </c>
      <c r="B6279" t="n">
        <v>7.7645</v>
      </c>
      <c r="C6279" t="n">
        <v>1.1395</v>
      </c>
    </row>
    <row r="6280">
      <c r="A6280" s="926" t="n">
        <v>40268</v>
      </c>
      <c r="B6280" t="n">
        <v>7.7645</v>
      </c>
      <c r="C6280" t="n">
        <v>1.14</v>
      </c>
    </row>
    <row r="6281">
      <c r="A6281" s="926" t="n">
        <v>40269</v>
      </c>
      <c r="B6281" t="n">
        <v>7.7655</v>
      </c>
      <c r="C6281" t="n">
        <v>1.14</v>
      </c>
    </row>
    <row r="6282">
      <c r="A6282" s="926" t="n">
        <v>40275</v>
      </c>
      <c r="B6282" t="n">
        <v>7.7645</v>
      </c>
      <c r="C6282" t="n">
        <v>1.14</v>
      </c>
    </row>
    <row r="6283">
      <c r="A6283" s="926" t="n">
        <v>40276</v>
      </c>
      <c r="B6283" t="n">
        <v>7.7625</v>
      </c>
      <c r="C6283" t="n">
        <v>1.1395</v>
      </c>
    </row>
    <row r="6284">
      <c r="A6284" s="926" t="n">
        <v>40277</v>
      </c>
      <c r="B6284" t="n">
        <v>7.7585</v>
      </c>
      <c r="C6284" t="n">
        <v>1.1398</v>
      </c>
    </row>
    <row r="6285">
      <c r="A6285" s="926" t="n">
        <v>40278</v>
      </c>
      <c r="B6285" t="n">
        <v>7.7545</v>
      </c>
      <c r="C6285" t="n">
        <v>1.13895</v>
      </c>
    </row>
    <row r="6286">
      <c r="A6286" s="926" t="n">
        <v>40280</v>
      </c>
      <c r="B6286" t="n">
        <v>7.7585</v>
      </c>
      <c r="C6286" t="n">
        <v>1.1398</v>
      </c>
    </row>
    <row r="6287">
      <c r="A6287" s="926" t="n">
        <v>40281</v>
      </c>
      <c r="B6287" t="n">
        <v>7.7605</v>
      </c>
      <c r="C6287" t="n">
        <v>1.1398</v>
      </c>
    </row>
    <row r="6288">
      <c r="A6288" s="926" t="n">
        <v>40282</v>
      </c>
      <c r="B6288" t="n">
        <v>7.7615</v>
      </c>
      <c r="C6288" t="n">
        <v>1.1398</v>
      </c>
    </row>
    <row r="6289">
      <c r="A6289" s="926" t="n">
        <v>40283</v>
      </c>
      <c r="B6289" t="n">
        <v>7.7615</v>
      </c>
      <c r="C6289" t="n">
        <v>1.1395</v>
      </c>
    </row>
    <row r="6290">
      <c r="A6290" s="926" t="n">
        <v>40284</v>
      </c>
      <c r="B6290" t="n">
        <v>7.7625</v>
      </c>
      <c r="C6290" t="n">
        <v>1.1395</v>
      </c>
    </row>
    <row r="6291">
      <c r="A6291" s="926" t="n">
        <v>40285</v>
      </c>
      <c r="B6291" t="n">
        <v>7.7585</v>
      </c>
      <c r="C6291" t="n">
        <v>1.13915</v>
      </c>
    </row>
    <row r="6292">
      <c r="A6292" s="926" t="n">
        <v>40287</v>
      </c>
      <c r="B6292" t="n">
        <v>7.7625</v>
      </c>
      <c r="C6292" t="n">
        <v>1.1395</v>
      </c>
    </row>
    <row r="6293">
      <c r="A6293" s="926" t="n">
        <v>40288</v>
      </c>
      <c r="B6293" t="n">
        <v>7.7635</v>
      </c>
      <c r="C6293" t="n">
        <v>1.1395</v>
      </c>
    </row>
    <row r="6294">
      <c r="A6294" s="926" t="n">
        <v>40289</v>
      </c>
      <c r="B6294" t="n">
        <v>7.7635</v>
      </c>
      <c r="C6294" t="n">
        <v>1.1398</v>
      </c>
    </row>
    <row r="6295">
      <c r="A6295" s="926" t="n">
        <v>40290</v>
      </c>
      <c r="B6295" t="n">
        <v>7.7635</v>
      </c>
      <c r="C6295" t="n">
        <v>1.1398</v>
      </c>
    </row>
    <row r="6296">
      <c r="A6296" s="926" t="n">
        <v>40291</v>
      </c>
      <c r="B6296" t="n">
        <v>7.7635</v>
      </c>
      <c r="C6296" t="n">
        <v>1.1398</v>
      </c>
    </row>
    <row r="6297">
      <c r="A6297" s="926" t="n">
        <v>40292</v>
      </c>
      <c r="B6297" t="n">
        <v>7.7625</v>
      </c>
      <c r="C6297" t="n">
        <v>1.13975</v>
      </c>
    </row>
    <row r="6298">
      <c r="A6298" s="926" t="n">
        <v>40294</v>
      </c>
      <c r="B6298" t="n">
        <v>7.7635</v>
      </c>
      <c r="C6298" t="n">
        <v>1.1398</v>
      </c>
    </row>
    <row r="6299">
      <c r="A6299" s="926" t="n">
        <v>40295</v>
      </c>
      <c r="B6299" t="n">
        <v>7.7645</v>
      </c>
      <c r="C6299" t="n">
        <v>1.1395</v>
      </c>
    </row>
    <row r="6300">
      <c r="A6300" s="926" t="n">
        <v>40296</v>
      </c>
      <c r="B6300" t="n">
        <v>7.7665</v>
      </c>
      <c r="C6300" t="n">
        <v>1.1395</v>
      </c>
    </row>
    <row r="6301">
      <c r="A6301" s="926" t="n">
        <v>40297</v>
      </c>
      <c r="B6301" t="n">
        <v>7.7675</v>
      </c>
      <c r="C6301" t="n">
        <v>1.14</v>
      </c>
    </row>
    <row r="6302">
      <c r="A6302" s="926" t="n">
        <v>40298</v>
      </c>
      <c r="B6302" t="n">
        <v>7.7645</v>
      </c>
      <c r="C6302" t="n">
        <v>1.1398</v>
      </c>
    </row>
    <row r="6303">
      <c r="A6303" s="926" t="n">
        <v>40301</v>
      </c>
      <c r="B6303" t="n">
        <v>7.7635</v>
      </c>
      <c r="C6303" t="n">
        <v>1.1399</v>
      </c>
    </row>
    <row r="6304">
      <c r="A6304" s="926" t="n">
        <v>40302</v>
      </c>
      <c r="B6304" t="n">
        <v>7.7635</v>
      </c>
      <c r="C6304" t="n">
        <v>1.1395</v>
      </c>
    </row>
    <row r="6305">
      <c r="A6305" s="926" t="n">
        <v>40303</v>
      </c>
      <c r="B6305" t="n">
        <v>7.7675</v>
      </c>
      <c r="C6305" t="n">
        <v>1.1397</v>
      </c>
    </row>
    <row r="6306">
      <c r="A6306" s="926" t="n">
        <v>40304</v>
      </c>
      <c r="B6306" t="n">
        <v>7.7695</v>
      </c>
      <c r="C6306" t="n">
        <v>1.1399</v>
      </c>
    </row>
    <row r="6307">
      <c r="A6307" s="926" t="n">
        <v>40305</v>
      </c>
      <c r="B6307" t="n">
        <v>7.7825</v>
      </c>
      <c r="C6307" t="n">
        <v>1.1416</v>
      </c>
    </row>
    <row r="6308">
      <c r="A6308" s="926" t="n">
        <v>40306</v>
      </c>
      <c r="B6308" t="n">
        <v>7.7805</v>
      </c>
      <c r="C6308" t="n">
        <v>1.1409</v>
      </c>
    </row>
    <row r="6309">
      <c r="A6309" s="926" t="n">
        <v>40308</v>
      </c>
      <c r="B6309" t="n">
        <v>7.7805</v>
      </c>
      <c r="C6309" t="n">
        <v>1.14215</v>
      </c>
    </row>
    <row r="6310">
      <c r="A6310" s="926" t="n">
        <v>40309</v>
      </c>
      <c r="B6310" t="n">
        <v>7.7815</v>
      </c>
      <c r="C6310" t="n">
        <v>1.1421</v>
      </c>
    </row>
    <row r="6311">
      <c r="A6311" s="926" t="n">
        <v>40310</v>
      </c>
      <c r="B6311" t="n">
        <v>7.7825</v>
      </c>
      <c r="C6311" t="n">
        <v>1.1416</v>
      </c>
    </row>
    <row r="6312">
      <c r="A6312" s="926" t="n">
        <v>40311</v>
      </c>
      <c r="B6312" t="n">
        <v>7.7825</v>
      </c>
      <c r="C6312" t="n">
        <v>1.1415</v>
      </c>
    </row>
    <row r="6313">
      <c r="A6313" s="926" t="n">
        <v>40312</v>
      </c>
      <c r="B6313" t="n">
        <v>7.7825</v>
      </c>
      <c r="C6313" t="n">
        <v>1.1415</v>
      </c>
    </row>
    <row r="6314">
      <c r="A6314" s="926" t="n">
        <v>40313</v>
      </c>
      <c r="B6314" t="n">
        <v>7.7845</v>
      </c>
      <c r="C6314" t="n">
        <v>1.14165</v>
      </c>
    </row>
    <row r="6315">
      <c r="A6315" s="926" t="n">
        <v>40315</v>
      </c>
      <c r="B6315" t="n">
        <v>7.7975</v>
      </c>
      <c r="C6315" t="n">
        <v>1.1425</v>
      </c>
    </row>
    <row r="6316">
      <c r="A6316" s="926" t="n">
        <v>40316</v>
      </c>
      <c r="B6316" t="n">
        <v>7.7985</v>
      </c>
      <c r="C6316" t="n">
        <v>1.1434</v>
      </c>
    </row>
    <row r="6317">
      <c r="A6317" s="926" t="n">
        <v>40317</v>
      </c>
      <c r="B6317" t="n">
        <v>7.7995</v>
      </c>
      <c r="C6317" t="n">
        <v>1.1441</v>
      </c>
    </row>
    <row r="6318">
      <c r="A6318" s="926" t="n">
        <v>40318</v>
      </c>
      <c r="B6318" t="n">
        <v>7.8045</v>
      </c>
      <c r="C6318" t="n">
        <v>1.1441</v>
      </c>
    </row>
    <row r="6319">
      <c r="A6319" s="926" t="n">
        <v>40320</v>
      </c>
      <c r="B6319" t="n">
        <v>7.8015</v>
      </c>
      <c r="C6319" t="n">
        <v>1.14415</v>
      </c>
    </row>
    <row r="6320">
      <c r="A6320" s="926" t="n">
        <v>40322</v>
      </c>
      <c r="B6320" t="n">
        <v>7.8025</v>
      </c>
      <c r="C6320" t="n">
        <v>1.1439</v>
      </c>
    </row>
    <row r="6321">
      <c r="A6321" s="926" t="n">
        <v>40323</v>
      </c>
      <c r="B6321" t="n">
        <v>7.8015</v>
      </c>
      <c r="C6321" t="n">
        <v>1.1439</v>
      </c>
    </row>
    <row r="6322">
      <c r="A6322" s="926" t="n">
        <v>40324</v>
      </c>
      <c r="B6322" t="n">
        <v>7.8015</v>
      </c>
      <c r="C6322" t="n">
        <v>1.1438</v>
      </c>
    </row>
    <row r="6323">
      <c r="A6323" s="926" t="n">
        <v>40325</v>
      </c>
      <c r="B6323" t="n">
        <v>7.7865</v>
      </c>
      <c r="C6323" t="n">
        <v>1.1421</v>
      </c>
    </row>
    <row r="6324">
      <c r="A6324" s="926" t="n">
        <v>40326</v>
      </c>
      <c r="B6324" t="n">
        <v>7.7885</v>
      </c>
      <c r="C6324" t="n">
        <v>1.142</v>
      </c>
    </row>
    <row r="6325">
      <c r="A6325" s="926" t="n">
        <v>40327</v>
      </c>
      <c r="B6325" t="n">
        <v>7.7865</v>
      </c>
      <c r="C6325" t="n">
        <v>1.14195</v>
      </c>
    </row>
    <row r="6326">
      <c r="A6326" s="926" t="n">
        <v>40329</v>
      </c>
      <c r="B6326" t="n">
        <v>7.7925</v>
      </c>
      <c r="C6326" t="n">
        <v>1.1425</v>
      </c>
    </row>
    <row r="6327">
      <c r="A6327" s="926" t="n">
        <v>40330</v>
      </c>
      <c r="B6327" t="n">
        <v>7.7915</v>
      </c>
      <c r="C6327" t="n">
        <v>1.1425</v>
      </c>
    </row>
    <row r="6328">
      <c r="A6328" s="926" t="n">
        <v>40331</v>
      </c>
      <c r="B6328" t="n">
        <v>7.7955</v>
      </c>
      <c r="C6328" t="n">
        <v>1.1427</v>
      </c>
    </row>
    <row r="6329">
      <c r="A6329" s="926" t="n">
        <v>40332</v>
      </c>
      <c r="B6329" t="n">
        <v>7.7905</v>
      </c>
      <c r="C6329" t="n">
        <v>1.1428</v>
      </c>
    </row>
    <row r="6330">
      <c r="A6330" s="926" t="n">
        <v>40333</v>
      </c>
      <c r="B6330" t="n">
        <v>7.7915</v>
      </c>
      <c r="C6330" t="n">
        <v>1.1423</v>
      </c>
    </row>
    <row r="6331">
      <c r="A6331" s="926" t="n">
        <v>40334</v>
      </c>
      <c r="B6331" t="n">
        <v>7.7925</v>
      </c>
      <c r="C6331" t="n">
        <v>1.14275</v>
      </c>
    </row>
    <row r="6332">
      <c r="A6332" s="926" t="n">
        <v>40336</v>
      </c>
      <c r="B6332" t="n">
        <v>7.8005</v>
      </c>
      <c r="C6332" t="n">
        <v>1.1429</v>
      </c>
    </row>
    <row r="6333">
      <c r="A6333" s="926" t="n">
        <v>40337</v>
      </c>
      <c r="B6333" t="n">
        <v>7.8045</v>
      </c>
      <c r="C6333" t="n">
        <v>1.1437</v>
      </c>
    </row>
    <row r="6334">
      <c r="A6334" s="926" t="n">
        <v>40338</v>
      </c>
      <c r="B6334" t="n">
        <v>7.8005</v>
      </c>
      <c r="C6334" t="n">
        <v>1.1439</v>
      </c>
    </row>
    <row r="6335">
      <c r="A6335" s="926" t="n">
        <v>40339</v>
      </c>
      <c r="B6335" t="n">
        <v>7.7965</v>
      </c>
      <c r="C6335" t="n">
        <v>1.1436</v>
      </c>
    </row>
    <row r="6336">
      <c r="A6336" s="926" t="n">
        <v>40340</v>
      </c>
      <c r="B6336" t="n">
        <v>7.7945</v>
      </c>
      <c r="C6336" t="n">
        <v>1.1428</v>
      </c>
    </row>
    <row r="6337">
      <c r="A6337" s="926" t="n">
        <v>40341</v>
      </c>
      <c r="B6337" t="n">
        <v>7.7895</v>
      </c>
      <c r="C6337" t="n">
        <v>1.14085</v>
      </c>
    </row>
    <row r="6338">
      <c r="A6338" s="926" t="n">
        <v>40343</v>
      </c>
      <c r="B6338" t="n">
        <v>7.7945</v>
      </c>
      <c r="C6338" t="n">
        <v>1.1433</v>
      </c>
    </row>
    <row r="6339">
      <c r="A6339" s="926" t="n">
        <v>40344</v>
      </c>
      <c r="B6339" t="n">
        <v>7.7935</v>
      </c>
      <c r="C6339" t="n">
        <v>1.143</v>
      </c>
    </row>
    <row r="6340">
      <c r="A6340" s="926" t="n">
        <v>40346</v>
      </c>
      <c r="B6340" t="n">
        <v>7.7885</v>
      </c>
      <c r="C6340" t="n">
        <v>1.1425</v>
      </c>
    </row>
    <row r="6341">
      <c r="A6341" s="926" t="n">
        <v>40347</v>
      </c>
      <c r="B6341" t="n">
        <v>7.7865</v>
      </c>
      <c r="C6341" t="n">
        <v>1.1421</v>
      </c>
    </row>
    <row r="6342">
      <c r="A6342" s="926" t="n">
        <v>40348</v>
      </c>
      <c r="B6342" t="n">
        <v>7.7805</v>
      </c>
      <c r="C6342" t="n">
        <v>1.14125</v>
      </c>
    </row>
    <row r="6343">
      <c r="A6343" s="926" t="n">
        <v>40350</v>
      </c>
      <c r="B6343" t="n">
        <v>7.7715</v>
      </c>
      <c r="C6343" t="n">
        <v>1.142</v>
      </c>
    </row>
    <row r="6344">
      <c r="A6344" s="926" t="n">
        <v>40351</v>
      </c>
      <c r="B6344" t="n">
        <v>7.7785</v>
      </c>
      <c r="C6344" t="n">
        <v>1.1451</v>
      </c>
    </row>
    <row r="6345">
      <c r="A6345" s="926" t="n">
        <v>40352</v>
      </c>
      <c r="B6345" t="n">
        <v>7.7795</v>
      </c>
      <c r="C6345" t="n">
        <v>1.1445</v>
      </c>
    </row>
    <row r="6346">
      <c r="A6346" s="926" t="n">
        <v>40353</v>
      </c>
      <c r="B6346" t="n">
        <v>7.7785</v>
      </c>
      <c r="C6346" t="n">
        <v>1.1441</v>
      </c>
    </row>
    <row r="6347">
      <c r="A6347" s="926" t="n">
        <v>40354</v>
      </c>
      <c r="B6347" t="n">
        <v>7.7785</v>
      </c>
      <c r="C6347" t="n">
        <v>1.148</v>
      </c>
    </row>
    <row r="6348">
      <c r="A6348" s="926" t="n">
        <v>40355</v>
      </c>
      <c r="B6348" t="n">
        <v>7.7765</v>
      </c>
      <c r="C6348" t="n">
        <v>1.1478</v>
      </c>
    </row>
    <row r="6349">
      <c r="A6349" s="926" t="n">
        <v>40357</v>
      </c>
      <c r="B6349" t="n">
        <v>7.7835</v>
      </c>
      <c r="C6349" t="n">
        <v>1.1478</v>
      </c>
    </row>
    <row r="6350">
      <c r="A6350" s="926" t="n">
        <v>40358</v>
      </c>
      <c r="B6350" t="n">
        <v>7.7845</v>
      </c>
      <c r="C6350" t="n">
        <v>1.1483</v>
      </c>
    </row>
    <row r="6351">
      <c r="A6351" s="926" t="n">
        <v>40359</v>
      </c>
      <c r="B6351" t="n">
        <v>7.7855</v>
      </c>
      <c r="C6351" t="n">
        <v>1.148</v>
      </c>
    </row>
    <row r="6352">
      <c r="A6352" s="926" t="n">
        <v>40361</v>
      </c>
      <c r="B6352" t="n">
        <v>7.7935</v>
      </c>
      <c r="C6352" t="n">
        <v>1.152</v>
      </c>
    </row>
    <row r="6353">
      <c r="A6353" s="926" t="n">
        <v>40362</v>
      </c>
      <c r="B6353" t="n">
        <v>7.7945</v>
      </c>
      <c r="C6353" t="n">
        <v>1.1516</v>
      </c>
    </row>
    <row r="6354">
      <c r="A6354" s="926" t="n">
        <v>40364</v>
      </c>
      <c r="B6354" t="n">
        <v>7.7895</v>
      </c>
      <c r="C6354" t="n">
        <v>1.1509</v>
      </c>
    </row>
    <row r="6355">
      <c r="A6355" s="926" t="n">
        <v>40365</v>
      </c>
      <c r="B6355" t="n">
        <v>7.7905</v>
      </c>
      <c r="C6355" t="n">
        <v>1.1509</v>
      </c>
    </row>
    <row r="6356">
      <c r="A6356" s="926" t="n">
        <v>40366</v>
      </c>
      <c r="B6356" t="n">
        <v>7.7925</v>
      </c>
      <c r="C6356" t="n">
        <v>1.1512</v>
      </c>
    </row>
    <row r="6357">
      <c r="A6357" s="926" t="n">
        <v>40367</v>
      </c>
      <c r="B6357" t="n">
        <v>7.7895</v>
      </c>
      <c r="C6357" t="n">
        <v>1.15125</v>
      </c>
    </row>
    <row r="6358">
      <c r="A6358" s="926" t="n">
        <v>40368</v>
      </c>
      <c r="B6358" t="n">
        <v>7.7845</v>
      </c>
      <c r="C6358" t="n">
        <v>1.15085</v>
      </c>
    </row>
    <row r="6359">
      <c r="A6359" s="926" t="n">
        <v>40369</v>
      </c>
      <c r="B6359" t="n">
        <v>7.7625</v>
      </c>
      <c r="C6359" t="n">
        <v>1.15125</v>
      </c>
    </row>
    <row r="6360">
      <c r="A6360" s="926" t="n">
        <v>40371</v>
      </c>
      <c r="B6360" t="n">
        <v>7.7755</v>
      </c>
      <c r="C6360" t="n">
        <v>1.1502</v>
      </c>
    </row>
    <row r="6361">
      <c r="A6361" s="926" t="n">
        <v>40372</v>
      </c>
      <c r="B6361" t="n">
        <v>7.7775</v>
      </c>
      <c r="C6361" t="n">
        <v>1.1493</v>
      </c>
    </row>
    <row r="6362">
      <c r="A6362" s="926" t="n">
        <v>40373</v>
      </c>
      <c r="B6362" t="n">
        <v>7.7745</v>
      </c>
      <c r="C6362" t="n">
        <v>1.149</v>
      </c>
    </row>
    <row r="6363">
      <c r="A6363" s="926" t="n">
        <v>40374</v>
      </c>
      <c r="B6363" t="n">
        <v>7.7725</v>
      </c>
      <c r="C6363" t="n">
        <v>1.149</v>
      </c>
    </row>
    <row r="6364">
      <c r="A6364" s="926" t="n">
        <v>40375</v>
      </c>
      <c r="B6364" t="n">
        <v>7.7745</v>
      </c>
      <c r="C6364" t="n">
        <v>1.1491</v>
      </c>
    </row>
    <row r="6365">
      <c r="A6365" s="926" t="n">
        <v>40376</v>
      </c>
      <c r="B6365" t="n">
        <v>7.7715</v>
      </c>
      <c r="C6365" t="n">
        <v>1.149</v>
      </c>
    </row>
    <row r="6366">
      <c r="A6366" s="926" t="n">
        <v>40378</v>
      </c>
      <c r="B6366" t="n">
        <v>7.7765</v>
      </c>
      <c r="C6366" t="n">
        <v>1.149</v>
      </c>
    </row>
    <row r="6367">
      <c r="A6367" s="926" t="n">
        <v>40379</v>
      </c>
      <c r="B6367" t="n">
        <v>7.7755</v>
      </c>
      <c r="C6367" t="n">
        <v>1.1495</v>
      </c>
    </row>
    <row r="6368">
      <c r="A6368" s="926" t="n">
        <v>40380</v>
      </c>
      <c r="B6368" t="n">
        <v>7.7785</v>
      </c>
      <c r="C6368" t="n">
        <v>1.14945</v>
      </c>
    </row>
    <row r="6369">
      <c r="A6369" s="926" t="n">
        <v>40381</v>
      </c>
      <c r="B6369" t="n">
        <v>7.7765</v>
      </c>
      <c r="C6369" t="n">
        <v>1.1489</v>
      </c>
    </row>
    <row r="6370">
      <c r="A6370" s="926" t="n">
        <v>40382</v>
      </c>
      <c r="B6370" t="n">
        <v>7.7735</v>
      </c>
      <c r="C6370" t="n">
        <v>1.1489</v>
      </c>
    </row>
    <row r="6371">
      <c r="A6371" s="926" t="n">
        <v>40383</v>
      </c>
      <c r="B6371" t="n">
        <v>7.7645</v>
      </c>
      <c r="C6371" t="n">
        <v>1.1488</v>
      </c>
    </row>
    <row r="6372">
      <c r="A6372" s="926" t="n">
        <v>40385</v>
      </c>
      <c r="B6372" t="n">
        <v>7.7665</v>
      </c>
      <c r="C6372" t="n">
        <v>1.14835</v>
      </c>
    </row>
    <row r="6373">
      <c r="A6373" s="926" t="n">
        <v>40386</v>
      </c>
      <c r="B6373" t="n">
        <v>7.7685</v>
      </c>
      <c r="C6373" t="n">
        <v>1.1482</v>
      </c>
    </row>
    <row r="6374">
      <c r="A6374" s="926" t="n">
        <v>40387</v>
      </c>
      <c r="B6374" t="n">
        <v>7.7675</v>
      </c>
      <c r="C6374" t="n">
        <v>1.14815</v>
      </c>
    </row>
    <row r="6375">
      <c r="A6375" s="926" t="n">
        <v>40388</v>
      </c>
      <c r="B6375" t="n">
        <v>7.7685</v>
      </c>
      <c r="C6375" t="n">
        <v>1.14815</v>
      </c>
    </row>
    <row r="6376">
      <c r="A6376" s="926" t="n">
        <v>40389</v>
      </c>
      <c r="B6376" t="n">
        <v>7.7675</v>
      </c>
      <c r="C6376" t="n">
        <v>1.1485</v>
      </c>
    </row>
    <row r="6377">
      <c r="A6377" s="926" t="n">
        <v>40390</v>
      </c>
      <c r="B6377" t="n">
        <v>7.7645</v>
      </c>
      <c r="C6377" t="n">
        <v>1.1478</v>
      </c>
    </row>
    <row r="6378">
      <c r="A6378" s="926" t="n">
        <v>40392</v>
      </c>
      <c r="B6378" t="n">
        <v>7.7655</v>
      </c>
      <c r="C6378" t="n">
        <v>1.1484</v>
      </c>
    </row>
    <row r="6379">
      <c r="A6379" s="926" t="n">
        <v>40393</v>
      </c>
      <c r="B6379" t="n">
        <v>7.7635</v>
      </c>
      <c r="C6379" t="n">
        <v>1.1486</v>
      </c>
    </row>
    <row r="6380">
      <c r="A6380" s="926" t="n">
        <v>40394</v>
      </c>
      <c r="B6380" t="n">
        <v>7.7645</v>
      </c>
      <c r="C6380" t="n">
        <v>1.14865</v>
      </c>
    </row>
    <row r="6381">
      <c r="A6381" s="926" t="n">
        <v>40395</v>
      </c>
      <c r="B6381" t="n">
        <v>7.7665</v>
      </c>
      <c r="C6381" t="n">
        <v>1.1485</v>
      </c>
    </row>
    <row r="6382">
      <c r="A6382" s="926" t="n">
        <v>40396</v>
      </c>
      <c r="B6382" t="n">
        <v>7.7645</v>
      </c>
      <c r="C6382" t="n">
        <v>1.149</v>
      </c>
    </row>
    <row r="6383">
      <c r="A6383" s="926" t="n">
        <v>40397</v>
      </c>
      <c r="B6383" t="n">
        <v>7.7615</v>
      </c>
      <c r="C6383" t="n">
        <v>1.1489</v>
      </c>
    </row>
    <row r="6384">
      <c r="A6384" s="926" t="n">
        <v>40399</v>
      </c>
      <c r="B6384" t="n">
        <v>7.7625</v>
      </c>
      <c r="C6384" t="n">
        <v>1.14945</v>
      </c>
    </row>
    <row r="6385">
      <c r="A6385" s="926" t="n">
        <v>40400</v>
      </c>
      <c r="B6385" t="n">
        <v>7.7645</v>
      </c>
      <c r="C6385" t="n">
        <v>1.14915</v>
      </c>
    </row>
    <row r="6386">
      <c r="A6386" s="926" t="n">
        <v>40401</v>
      </c>
      <c r="B6386" t="n">
        <v>7.7665</v>
      </c>
      <c r="C6386" t="n">
        <v>1.1492</v>
      </c>
    </row>
    <row r="6387">
      <c r="A6387" s="926" t="n">
        <v>40402</v>
      </c>
      <c r="B6387" t="n">
        <v>7.7675</v>
      </c>
      <c r="C6387" t="n">
        <v>1.1475</v>
      </c>
    </row>
    <row r="6388">
      <c r="A6388" s="926" t="n">
        <v>40403</v>
      </c>
      <c r="B6388" t="n">
        <v>7.7705</v>
      </c>
      <c r="C6388" t="n">
        <v>1.1477</v>
      </c>
    </row>
    <row r="6389">
      <c r="A6389" s="926" t="n">
        <v>40404</v>
      </c>
      <c r="B6389" t="n">
        <v>7.7715</v>
      </c>
      <c r="C6389" t="n">
        <v>1.1473</v>
      </c>
    </row>
    <row r="6390">
      <c r="A6390" s="926" t="n">
        <v>40406</v>
      </c>
      <c r="B6390" t="n">
        <v>7.7725</v>
      </c>
      <c r="C6390" t="n">
        <v>1.145</v>
      </c>
    </row>
    <row r="6391">
      <c r="A6391" s="926" t="n">
        <v>40407</v>
      </c>
      <c r="B6391" t="n">
        <v>7.7695</v>
      </c>
      <c r="C6391" t="n">
        <v>1.1454</v>
      </c>
    </row>
    <row r="6392">
      <c r="A6392" s="926" t="n">
        <v>40408</v>
      </c>
      <c r="B6392" t="n">
        <v>7.7725</v>
      </c>
      <c r="C6392" t="n">
        <v>1.1467</v>
      </c>
    </row>
    <row r="6393">
      <c r="A6393" s="926" t="n">
        <v>40409</v>
      </c>
      <c r="B6393" t="n">
        <v>7.7715</v>
      </c>
      <c r="C6393" t="n">
        <v>1.14655</v>
      </c>
    </row>
    <row r="6394">
      <c r="A6394" s="926" t="n">
        <v>40410</v>
      </c>
      <c r="B6394" t="n">
        <v>7.7745</v>
      </c>
      <c r="C6394" t="n">
        <v>1.14715</v>
      </c>
    </row>
    <row r="6395">
      <c r="A6395" s="926" t="n">
        <v>40411</v>
      </c>
      <c r="B6395" t="n">
        <v>7.7705</v>
      </c>
      <c r="C6395" t="n">
        <v>1.1472</v>
      </c>
    </row>
    <row r="6396">
      <c r="A6396" s="926" t="n">
        <v>40413</v>
      </c>
      <c r="B6396" t="n">
        <v>7.7755</v>
      </c>
      <c r="C6396" t="n">
        <v>1.1463</v>
      </c>
    </row>
    <row r="6397">
      <c r="A6397" s="926" t="n">
        <v>40414</v>
      </c>
      <c r="B6397" t="n">
        <v>7.7765</v>
      </c>
      <c r="C6397" t="n">
        <v>1.1461</v>
      </c>
    </row>
    <row r="6398">
      <c r="A6398" s="926" t="n">
        <v>40415</v>
      </c>
      <c r="B6398" t="n">
        <v>7.7765</v>
      </c>
      <c r="C6398" t="n">
        <v>1.14585</v>
      </c>
    </row>
    <row r="6399">
      <c r="A6399" s="926" t="n">
        <v>40416</v>
      </c>
      <c r="B6399" t="n">
        <v>7.7765</v>
      </c>
      <c r="C6399" t="n">
        <v>1.14535</v>
      </c>
    </row>
    <row r="6400">
      <c r="A6400" s="926" t="n">
        <v>40417</v>
      </c>
      <c r="B6400" t="n">
        <v>7.7795</v>
      </c>
      <c r="C6400" t="n">
        <v>1.1465</v>
      </c>
    </row>
    <row r="6401">
      <c r="A6401" s="926" t="n">
        <v>40418</v>
      </c>
      <c r="B6401" t="n">
        <v>7.7765</v>
      </c>
      <c r="C6401" t="n">
        <v>1.1458</v>
      </c>
    </row>
    <row r="6402">
      <c r="A6402" s="926" t="n">
        <v>40420</v>
      </c>
      <c r="B6402" t="n">
        <v>7.7795</v>
      </c>
      <c r="C6402" t="n">
        <v>1.14655</v>
      </c>
    </row>
    <row r="6403">
      <c r="A6403" s="926" t="n">
        <v>40421</v>
      </c>
      <c r="B6403" t="n">
        <v>7.7805</v>
      </c>
      <c r="C6403" t="n">
        <v>1.145</v>
      </c>
    </row>
    <row r="6404">
      <c r="A6404" s="926" t="n">
        <v>40422</v>
      </c>
      <c r="B6404" t="n">
        <v>7.7775</v>
      </c>
      <c r="C6404" t="n">
        <v>1.1444</v>
      </c>
    </row>
    <row r="6405">
      <c r="A6405" s="926" t="n">
        <v>40423</v>
      </c>
      <c r="B6405" t="n">
        <v>7.7745</v>
      </c>
      <c r="C6405" t="n">
        <v>1.1449</v>
      </c>
    </row>
    <row r="6406">
      <c r="A6406" s="926" t="n">
        <v>40424</v>
      </c>
      <c r="B6406" t="n">
        <v>7.7735</v>
      </c>
      <c r="C6406" t="n">
        <v>1.146</v>
      </c>
    </row>
    <row r="6407">
      <c r="A6407" s="926" t="n">
        <v>40425</v>
      </c>
      <c r="B6407" t="n">
        <v>7.7705</v>
      </c>
      <c r="C6407" t="n">
        <v>1.1448</v>
      </c>
    </row>
    <row r="6408">
      <c r="A6408" s="926" t="n">
        <v>40427</v>
      </c>
      <c r="B6408" t="n">
        <v>7.7695</v>
      </c>
      <c r="C6408" t="n">
        <v>1.1465</v>
      </c>
    </row>
    <row r="6409">
      <c r="A6409" s="926" t="n">
        <v>40428</v>
      </c>
      <c r="B6409" t="n">
        <v>7.7695</v>
      </c>
      <c r="C6409" t="n">
        <v>1.147</v>
      </c>
    </row>
    <row r="6410">
      <c r="A6410" s="926" t="n">
        <v>40429</v>
      </c>
      <c r="B6410" t="n">
        <v>7.7715</v>
      </c>
      <c r="C6410" t="n">
        <v>1.1465</v>
      </c>
    </row>
    <row r="6411">
      <c r="A6411" s="926" t="n">
        <v>40430</v>
      </c>
      <c r="B6411" t="n">
        <v>7.7725</v>
      </c>
      <c r="C6411" t="n">
        <v>1.148</v>
      </c>
    </row>
    <row r="6412">
      <c r="A6412" s="926" t="n">
        <v>40431</v>
      </c>
      <c r="B6412" t="n">
        <v>7.7695</v>
      </c>
      <c r="C6412" t="n">
        <v>1.15065</v>
      </c>
    </row>
    <row r="6413">
      <c r="A6413" s="926" t="n">
        <v>40432</v>
      </c>
      <c r="B6413" t="n">
        <v>7.7665</v>
      </c>
      <c r="C6413" t="n">
        <v>1.1497</v>
      </c>
    </row>
    <row r="6414">
      <c r="A6414" s="926" t="n">
        <v>40434</v>
      </c>
      <c r="B6414" t="n">
        <v>7.7675</v>
      </c>
      <c r="C6414" t="n">
        <v>1.152</v>
      </c>
    </row>
    <row r="6415">
      <c r="A6415" s="926" t="n">
        <v>40435</v>
      </c>
      <c r="B6415" t="n">
        <v>7.7675</v>
      </c>
      <c r="C6415" t="n">
        <v>1.15305</v>
      </c>
    </row>
    <row r="6416">
      <c r="A6416" s="926" t="n">
        <v>40436</v>
      </c>
      <c r="B6416" t="n">
        <v>7.7675</v>
      </c>
      <c r="C6416" t="n">
        <v>1.15405</v>
      </c>
    </row>
    <row r="6417">
      <c r="A6417" s="926" t="n">
        <v>40437</v>
      </c>
      <c r="B6417" t="n">
        <v>7.7675</v>
      </c>
      <c r="C6417" t="n">
        <v>1.15655</v>
      </c>
    </row>
    <row r="6418">
      <c r="A6418" s="926" t="n">
        <v>40438</v>
      </c>
      <c r="B6418" t="n">
        <v>7.7645</v>
      </c>
      <c r="C6418" t="n">
        <v>1.15585</v>
      </c>
    </row>
    <row r="6419">
      <c r="A6419" s="926" t="n">
        <v>40439</v>
      </c>
      <c r="B6419" t="n">
        <v>7.7635</v>
      </c>
      <c r="C6419" t="n">
        <v>1.15685</v>
      </c>
    </row>
    <row r="6420">
      <c r="A6420" s="926" t="n">
        <v>40441</v>
      </c>
      <c r="B6420" t="n">
        <v>7.7645</v>
      </c>
      <c r="C6420" t="n">
        <v>1.15845</v>
      </c>
    </row>
    <row r="6421">
      <c r="A6421" s="926" t="n">
        <v>40442</v>
      </c>
      <c r="B6421" t="n">
        <v>7.7635</v>
      </c>
      <c r="C6421" t="n">
        <v>1.16105</v>
      </c>
    </row>
    <row r="6422">
      <c r="A6422" s="926" t="n">
        <v>40443</v>
      </c>
      <c r="B6422" t="n">
        <v>7.7605</v>
      </c>
      <c r="C6422" t="n">
        <v>1.16285</v>
      </c>
    </row>
    <row r="6423">
      <c r="A6423" s="926" t="n">
        <v>40445</v>
      </c>
      <c r="B6423" t="n">
        <v>7.7615</v>
      </c>
      <c r="C6423" t="n">
        <v>1.163</v>
      </c>
    </row>
    <row r="6424">
      <c r="A6424" s="926" t="n">
        <v>40446</v>
      </c>
      <c r="B6424" t="n">
        <v>7.7555</v>
      </c>
      <c r="C6424" t="n">
        <v>1.1624</v>
      </c>
    </row>
    <row r="6425">
      <c r="A6425" s="926" t="n">
        <v>40448</v>
      </c>
      <c r="B6425" t="n">
        <v>7.7585</v>
      </c>
      <c r="C6425" t="n">
        <v>1.16005</v>
      </c>
    </row>
    <row r="6426">
      <c r="A6426" s="926" t="n">
        <v>40449</v>
      </c>
      <c r="B6426" t="n">
        <v>7.7595</v>
      </c>
      <c r="C6426" t="n">
        <v>1.16105</v>
      </c>
    </row>
    <row r="6427">
      <c r="A6427" s="926" t="n">
        <v>40450</v>
      </c>
      <c r="B6427" t="n">
        <v>7.7575</v>
      </c>
      <c r="C6427" t="n">
        <v>1.16245</v>
      </c>
    </row>
    <row r="6428">
      <c r="A6428" s="926" t="n">
        <v>40451</v>
      </c>
      <c r="B6428" t="n">
        <v>7.7615</v>
      </c>
      <c r="C6428" t="n">
        <v>1.16235</v>
      </c>
    </row>
    <row r="6429">
      <c r="A6429" s="926" t="n">
        <v>40453</v>
      </c>
      <c r="B6429" t="n">
        <v>7.7565</v>
      </c>
      <c r="C6429" t="n">
        <v>1.1625</v>
      </c>
    </row>
    <row r="6430">
      <c r="A6430" s="926" t="n">
        <v>40455</v>
      </c>
      <c r="B6430" t="n">
        <v>7.7605</v>
      </c>
      <c r="C6430" t="n">
        <v>1.16435</v>
      </c>
    </row>
    <row r="6431">
      <c r="A6431" s="926" t="n">
        <v>40456</v>
      </c>
      <c r="B6431" t="n">
        <v>7.7575</v>
      </c>
      <c r="C6431" t="n">
        <v>1.16425</v>
      </c>
    </row>
    <row r="6432">
      <c r="A6432" s="926" t="n">
        <v>40457</v>
      </c>
      <c r="B6432" t="n">
        <v>7.7555</v>
      </c>
      <c r="C6432" t="n">
        <v>1.1644</v>
      </c>
    </row>
    <row r="6433">
      <c r="A6433" s="926" t="n">
        <v>40458</v>
      </c>
      <c r="B6433" t="n">
        <v>7.7565</v>
      </c>
      <c r="C6433" t="n">
        <v>1.1656</v>
      </c>
    </row>
    <row r="6434">
      <c r="A6434" s="926" t="n">
        <v>40459</v>
      </c>
      <c r="B6434" t="n">
        <v>7.7565</v>
      </c>
      <c r="C6434" t="n">
        <v>1.16495</v>
      </c>
    </row>
    <row r="6435">
      <c r="A6435" s="926" t="n">
        <v>40460</v>
      </c>
      <c r="B6435" t="n">
        <v>7.7555</v>
      </c>
      <c r="C6435" t="n">
        <v>1.1665</v>
      </c>
    </row>
    <row r="6436">
      <c r="A6436" s="926" t="n">
        <v>40462</v>
      </c>
      <c r="B6436" t="n">
        <v>7.7585</v>
      </c>
      <c r="C6436" t="n">
        <v>1.16565</v>
      </c>
    </row>
    <row r="6437">
      <c r="A6437" s="926" t="n">
        <v>40463</v>
      </c>
      <c r="B6437" t="n">
        <v>7.7605</v>
      </c>
      <c r="C6437" t="n">
        <v>1.16505</v>
      </c>
    </row>
    <row r="6438">
      <c r="A6438" s="926" t="n">
        <v>40464</v>
      </c>
      <c r="B6438" t="n">
        <v>7.7615</v>
      </c>
      <c r="C6438" t="n">
        <v>1.166</v>
      </c>
    </row>
    <row r="6439">
      <c r="A6439" s="926" t="n">
        <v>40465</v>
      </c>
      <c r="B6439" t="n">
        <v>7.7595</v>
      </c>
      <c r="C6439" t="n">
        <v>1.16735</v>
      </c>
    </row>
    <row r="6440">
      <c r="A6440" s="926" t="n">
        <v>40466</v>
      </c>
      <c r="B6440" t="n">
        <v>7.7595</v>
      </c>
      <c r="C6440" t="n">
        <v>1.1695</v>
      </c>
    </row>
    <row r="6441">
      <c r="A6441" s="926" t="n">
        <v>40469</v>
      </c>
      <c r="B6441" t="n">
        <v>7.7595</v>
      </c>
      <c r="C6441" t="n">
        <v>1.169</v>
      </c>
    </row>
    <row r="6442">
      <c r="A6442" s="926" t="n">
        <v>40470</v>
      </c>
      <c r="B6442" t="n">
        <v>7.7585</v>
      </c>
      <c r="C6442" t="n">
        <v>1.169</v>
      </c>
    </row>
    <row r="6443">
      <c r="A6443" s="926" t="n">
        <v>40471</v>
      </c>
      <c r="B6443" t="n">
        <v>7.7615</v>
      </c>
      <c r="C6443" t="n">
        <v>1.16885</v>
      </c>
    </row>
    <row r="6444">
      <c r="A6444" s="926" t="n">
        <v>40472</v>
      </c>
      <c r="B6444" t="n">
        <v>7.7645</v>
      </c>
      <c r="C6444" t="n">
        <v>1.17</v>
      </c>
    </row>
    <row r="6445">
      <c r="A6445" s="926" t="n">
        <v>40473</v>
      </c>
      <c r="B6445" t="n">
        <v>7.7665</v>
      </c>
      <c r="C6445" t="n">
        <v>1.169</v>
      </c>
    </row>
    <row r="6446">
      <c r="A6446" s="926" t="n">
        <v>40474</v>
      </c>
      <c r="B6446" t="n">
        <v>7.7605</v>
      </c>
      <c r="C6446" t="n">
        <v>1.1689</v>
      </c>
    </row>
    <row r="6447">
      <c r="A6447" s="926" t="n">
        <v>40476</v>
      </c>
      <c r="B6447" t="n">
        <v>7.7625</v>
      </c>
      <c r="C6447" t="n">
        <v>1.168</v>
      </c>
    </row>
    <row r="6448">
      <c r="A6448" s="926" t="n">
        <v>40477</v>
      </c>
      <c r="B6448" t="n">
        <v>7.7585</v>
      </c>
      <c r="C6448" t="n">
        <v>1.1675</v>
      </c>
    </row>
    <row r="6449">
      <c r="A6449" s="926" t="n">
        <v>40478</v>
      </c>
      <c r="B6449" t="n">
        <v>7.7595</v>
      </c>
      <c r="C6449" t="n">
        <v>1.1651</v>
      </c>
    </row>
    <row r="6450">
      <c r="A6450" s="926" t="n">
        <v>40479</v>
      </c>
      <c r="B6450" t="n">
        <v>7.7585</v>
      </c>
      <c r="C6450" t="n">
        <v>1.163</v>
      </c>
    </row>
    <row r="6451">
      <c r="A6451" s="926" t="n">
        <v>40480</v>
      </c>
      <c r="B6451" t="n">
        <v>7.7575</v>
      </c>
      <c r="C6451" t="n">
        <v>1.1641</v>
      </c>
    </row>
    <row r="6452">
      <c r="A6452" s="926" t="n">
        <v>40481</v>
      </c>
      <c r="B6452" t="n">
        <v>7.7495</v>
      </c>
      <c r="C6452" t="n">
        <v>1.16445</v>
      </c>
    </row>
    <row r="6453">
      <c r="A6453" s="926" t="n">
        <v>40483</v>
      </c>
      <c r="B6453" t="n">
        <v>7.7525</v>
      </c>
      <c r="C6453" t="n">
        <v>1.164</v>
      </c>
    </row>
    <row r="6454">
      <c r="A6454" s="926" t="n">
        <v>40484</v>
      </c>
      <c r="B6454" t="n">
        <v>7.7525</v>
      </c>
      <c r="C6454" t="n">
        <v>1.161</v>
      </c>
    </row>
    <row r="6455">
      <c r="A6455" s="926" t="n">
        <v>40485</v>
      </c>
      <c r="B6455" t="n">
        <v>7.7515</v>
      </c>
      <c r="C6455" t="n">
        <v>1.1638</v>
      </c>
    </row>
    <row r="6456">
      <c r="A6456" s="926" t="n">
        <v>40486</v>
      </c>
      <c r="B6456" t="n">
        <v>7.7515</v>
      </c>
      <c r="C6456" t="n">
        <v>1.165</v>
      </c>
    </row>
    <row r="6457">
      <c r="A6457" s="926" t="n">
        <v>40487</v>
      </c>
      <c r="B6457" t="n">
        <v>7.7525</v>
      </c>
      <c r="C6457" t="n">
        <v>1.1662</v>
      </c>
    </row>
    <row r="6458">
      <c r="A6458" s="926" t="n">
        <v>40488</v>
      </c>
      <c r="B6458" t="n">
        <v>7.7485</v>
      </c>
      <c r="C6458" t="n">
        <v>1.16605</v>
      </c>
    </row>
    <row r="6459">
      <c r="A6459" s="926" t="n">
        <v>40490</v>
      </c>
      <c r="B6459" t="n">
        <v>7.7525</v>
      </c>
      <c r="C6459" t="n">
        <v>1.166</v>
      </c>
    </row>
    <row r="6460">
      <c r="A6460" s="926" t="n">
        <v>40491</v>
      </c>
      <c r="B6460" t="n">
        <v>7.7525</v>
      </c>
      <c r="C6460" t="n">
        <v>1.1665</v>
      </c>
    </row>
    <row r="6461">
      <c r="A6461" s="926" t="n">
        <v>40492</v>
      </c>
      <c r="B6461" t="n">
        <v>7.7525</v>
      </c>
      <c r="C6461" t="n">
        <v>1.169</v>
      </c>
    </row>
    <row r="6462">
      <c r="A6462" s="926" t="n">
        <v>40493</v>
      </c>
      <c r="B6462" t="n">
        <v>7.7515</v>
      </c>
      <c r="C6462" t="n">
        <v>1.17255</v>
      </c>
    </row>
    <row r="6463">
      <c r="A6463" s="926" t="n">
        <v>40494</v>
      </c>
      <c r="B6463" t="n">
        <v>7.7535</v>
      </c>
      <c r="C6463" t="n">
        <v>1.17115</v>
      </c>
    </row>
    <row r="6464">
      <c r="A6464" s="926" t="n">
        <v>40495</v>
      </c>
      <c r="B6464" t="n">
        <v>7.7505</v>
      </c>
      <c r="C6464" t="n">
        <v>1.17125</v>
      </c>
    </row>
    <row r="6465">
      <c r="A6465" s="926" t="n">
        <v>40497</v>
      </c>
      <c r="B6465" t="n">
        <v>7.7515</v>
      </c>
      <c r="C6465" t="n">
        <v>1.1715</v>
      </c>
    </row>
    <row r="6466">
      <c r="A6466" s="926" t="n">
        <v>40498</v>
      </c>
      <c r="B6466" t="n">
        <v>7.7535</v>
      </c>
      <c r="C6466" t="n">
        <v>1.16905</v>
      </c>
    </row>
    <row r="6467">
      <c r="A6467" s="926" t="n">
        <v>40499</v>
      </c>
      <c r="B6467" t="n">
        <v>7.7565</v>
      </c>
      <c r="C6467" t="n">
        <v>1.1685</v>
      </c>
    </row>
    <row r="6468">
      <c r="A6468" s="926" t="n">
        <v>40500</v>
      </c>
      <c r="B6468" t="n">
        <v>7.7555</v>
      </c>
      <c r="C6468" t="n">
        <v>1.17005</v>
      </c>
    </row>
    <row r="6469">
      <c r="A6469" s="926" t="n">
        <v>40501</v>
      </c>
      <c r="B6469" t="n">
        <v>7.7545</v>
      </c>
      <c r="C6469" t="n">
        <v>1.17</v>
      </c>
    </row>
    <row r="6470">
      <c r="A6470" s="926" t="n">
        <v>40502</v>
      </c>
      <c r="B6470" t="n">
        <v>7.7515</v>
      </c>
      <c r="C6470" t="n">
        <v>1.1695</v>
      </c>
    </row>
    <row r="6471">
      <c r="A6471" s="926" t="n">
        <v>40504</v>
      </c>
      <c r="B6471" t="n">
        <v>7.7555</v>
      </c>
      <c r="C6471" t="n">
        <v>1.1699</v>
      </c>
    </row>
    <row r="6472">
      <c r="A6472" s="926" t="n">
        <v>40505</v>
      </c>
      <c r="B6472" t="n">
        <v>7.7585</v>
      </c>
      <c r="C6472" t="n">
        <v>1.1695</v>
      </c>
    </row>
    <row r="6473">
      <c r="A6473" s="926" t="n">
        <v>40506</v>
      </c>
      <c r="B6473" t="n">
        <v>7.7595</v>
      </c>
      <c r="C6473" t="n">
        <v>1.168</v>
      </c>
    </row>
    <row r="6474">
      <c r="A6474" s="926" t="n">
        <v>40507</v>
      </c>
      <c r="B6474" t="n">
        <v>7.7595</v>
      </c>
      <c r="C6474" t="n">
        <v>1.168</v>
      </c>
    </row>
    <row r="6475">
      <c r="A6475" s="926" t="n">
        <v>40508</v>
      </c>
      <c r="B6475" t="n">
        <v>7.7635</v>
      </c>
      <c r="C6475" t="n">
        <v>1.16905</v>
      </c>
    </row>
    <row r="6476">
      <c r="A6476" s="926" t="n">
        <v>40509</v>
      </c>
      <c r="B6476" t="n">
        <v>7.7625</v>
      </c>
      <c r="C6476" t="n">
        <v>1.16905</v>
      </c>
    </row>
    <row r="6477">
      <c r="A6477" s="926" t="n">
        <v>40511</v>
      </c>
      <c r="B6477" t="n">
        <v>7.7635</v>
      </c>
      <c r="C6477" t="n">
        <v>1.166</v>
      </c>
    </row>
    <row r="6478">
      <c r="A6478" s="926" t="n">
        <v>40512</v>
      </c>
      <c r="B6478" t="n">
        <v>7.7665</v>
      </c>
      <c r="C6478" t="n">
        <v>1.16695</v>
      </c>
    </row>
    <row r="6479">
      <c r="A6479" s="926" t="n">
        <v>40513</v>
      </c>
      <c r="B6479" t="n">
        <v>7.7675</v>
      </c>
      <c r="C6479" t="n">
        <v>1.1671</v>
      </c>
    </row>
    <row r="6480">
      <c r="A6480" s="926" t="n">
        <v>40514</v>
      </c>
      <c r="B6480" t="n">
        <v>7.7715</v>
      </c>
      <c r="C6480" t="n">
        <v>1.16815</v>
      </c>
    </row>
    <row r="6481">
      <c r="A6481" s="926" t="n">
        <v>40515</v>
      </c>
      <c r="B6481" t="n">
        <v>7.7675</v>
      </c>
      <c r="C6481" t="n">
        <v>1.1684</v>
      </c>
    </row>
    <row r="6482">
      <c r="A6482" s="926" t="n">
        <v>40516</v>
      </c>
      <c r="B6482" t="n">
        <v>7.7615</v>
      </c>
      <c r="C6482" t="n">
        <v>1.16835</v>
      </c>
    </row>
    <row r="6483">
      <c r="A6483" s="926" t="n">
        <v>40518</v>
      </c>
      <c r="B6483" t="n">
        <v>7.7665</v>
      </c>
      <c r="C6483" t="n">
        <v>1.169</v>
      </c>
    </row>
    <row r="6484">
      <c r="A6484" s="926" t="n">
        <v>40519</v>
      </c>
      <c r="B6484" t="n">
        <v>7.7635</v>
      </c>
      <c r="C6484" t="n">
        <v>1.16905</v>
      </c>
    </row>
    <row r="6485">
      <c r="A6485" s="926" t="n">
        <v>40520</v>
      </c>
      <c r="B6485" t="n">
        <v>7.7675</v>
      </c>
      <c r="C6485" t="n">
        <v>1.1691</v>
      </c>
    </row>
    <row r="6486">
      <c r="A6486" s="926" t="n">
        <v>40521</v>
      </c>
      <c r="B6486" t="n">
        <v>7.7695</v>
      </c>
      <c r="C6486" t="n">
        <v>1.1691</v>
      </c>
    </row>
    <row r="6487">
      <c r="A6487" s="926" t="n">
        <v>40522</v>
      </c>
      <c r="B6487" t="n">
        <v>7.7715</v>
      </c>
      <c r="C6487" t="n">
        <v>1.17</v>
      </c>
    </row>
    <row r="6488">
      <c r="A6488" s="926" t="n">
        <v>40523</v>
      </c>
      <c r="B6488" t="n">
        <v>7.7715</v>
      </c>
      <c r="C6488" t="n">
        <v>1.16995</v>
      </c>
    </row>
    <row r="6489">
      <c r="A6489" s="926" t="n">
        <v>40525</v>
      </c>
      <c r="B6489" t="n">
        <v>7.7775</v>
      </c>
      <c r="C6489" t="n">
        <v>1.1703</v>
      </c>
    </row>
    <row r="6490">
      <c r="A6490" s="926" t="n">
        <v>40526</v>
      </c>
      <c r="B6490" t="n">
        <v>7.7765</v>
      </c>
      <c r="C6490" t="n">
        <v>1.16995</v>
      </c>
    </row>
    <row r="6491">
      <c r="A6491" s="926" t="n">
        <v>40527</v>
      </c>
      <c r="B6491" t="n">
        <v>7.7745</v>
      </c>
      <c r="C6491" t="n">
        <v>1.17</v>
      </c>
    </row>
    <row r="6492">
      <c r="A6492" s="926" t="n">
        <v>40528</v>
      </c>
      <c r="B6492" t="n">
        <v>7.7785</v>
      </c>
      <c r="C6492" t="n">
        <v>1.1702</v>
      </c>
    </row>
    <row r="6493">
      <c r="A6493" s="926" t="n">
        <v>40529</v>
      </c>
      <c r="B6493" t="n">
        <v>7.7765</v>
      </c>
      <c r="C6493" t="n">
        <v>1.16995</v>
      </c>
    </row>
    <row r="6494">
      <c r="A6494" s="926" t="n">
        <v>40530</v>
      </c>
      <c r="B6494" t="n">
        <v>7.7755</v>
      </c>
      <c r="C6494" t="n">
        <v>1.16995</v>
      </c>
    </row>
    <row r="6495">
      <c r="A6495" s="926" t="n">
        <v>40532</v>
      </c>
      <c r="B6495" t="n">
        <v>7.7795</v>
      </c>
      <c r="C6495" t="n">
        <v>1.1693</v>
      </c>
    </row>
    <row r="6496">
      <c r="A6496" s="926" t="n">
        <v>40533</v>
      </c>
      <c r="B6496" t="n">
        <v>7.7745</v>
      </c>
      <c r="C6496" t="n">
        <v>1.1695</v>
      </c>
    </row>
    <row r="6497">
      <c r="A6497" s="926" t="n">
        <v>40534</v>
      </c>
      <c r="B6497" t="n">
        <v>7.7755</v>
      </c>
      <c r="C6497" t="n">
        <v>1.17085</v>
      </c>
    </row>
    <row r="6498">
      <c r="A6498" s="926" t="n">
        <v>40535</v>
      </c>
      <c r="B6498" t="n">
        <v>7.7805</v>
      </c>
      <c r="C6498" t="n">
        <v>1.1732</v>
      </c>
    </row>
    <row r="6499">
      <c r="A6499" s="926" t="n">
        <v>40536</v>
      </c>
      <c r="B6499" t="n">
        <v>7.7805</v>
      </c>
      <c r="C6499" t="n">
        <v>1.17515</v>
      </c>
    </row>
    <row r="6500">
      <c r="A6500" s="926" t="n">
        <v>40540</v>
      </c>
      <c r="B6500" t="n">
        <v>7.7825</v>
      </c>
      <c r="C6500" t="n">
        <v>1.177</v>
      </c>
    </row>
    <row r="6501">
      <c r="A6501" s="926" t="n">
        <v>40541</v>
      </c>
      <c r="B6501" t="n">
        <v>7.7825</v>
      </c>
      <c r="C6501" t="n">
        <v>1.1765</v>
      </c>
    </row>
    <row r="6502">
      <c r="A6502" s="926" t="n">
        <v>40542</v>
      </c>
      <c r="B6502" t="n">
        <v>7.7845</v>
      </c>
      <c r="C6502" t="n">
        <v>1.1803</v>
      </c>
    </row>
    <row r="6503">
      <c r="A6503" s="926" t="n">
        <v>40543</v>
      </c>
      <c r="B6503" t="n">
        <v>7.7745</v>
      </c>
      <c r="C6503" t="n">
        <v>1.1816</v>
      </c>
    </row>
    <row r="6504">
      <c r="A6504" s="926" t="n">
        <v>40546</v>
      </c>
      <c r="B6504" t="n">
        <v>7.7715</v>
      </c>
      <c r="C6504" t="n">
        <v>1.1815</v>
      </c>
    </row>
    <row r="6505">
      <c r="A6505" s="926" t="n">
        <v>40547</v>
      </c>
      <c r="B6505" t="n">
        <v>7.7695</v>
      </c>
      <c r="C6505" t="n">
        <v>1.179</v>
      </c>
    </row>
    <row r="6506">
      <c r="A6506" s="926" t="n">
        <v>40548</v>
      </c>
      <c r="B6506" t="n">
        <v>7.7725</v>
      </c>
      <c r="C6506" t="n">
        <v>1.1763</v>
      </c>
    </row>
    <row r="6507">
      <c r="A6507" s="926" t="n">
        <v>40549</v>
      </c>
      <c r="B6507" t="n">
        <v>7.7745</v>
      </c>
      <c r="C6507" t="n">
        <v>1.17615</v>
      </c>
    </row>
    <row r="6508">
      <c r="A6508" s="926" t="n">
        <v>40550</v>
      </c>
      <c r="B6508" t="n">
        <v>7.7755</v>
      </c>
      <c r="C6508" t="n">
        <v>1.17515</v>
      </c>
    </row>
    <row r="6509">
      <c r="A6509" s="926" t="n">
        <v>40551</v>
      </c>
      <c r="B6509" t="n">
        <v>7.7705</v>
      </c>
      <c r="C6509" t="n">
        <v>1.17465</v>
      </c>
    </row>
    <row r="6510">
      <c r="A6510" s="926" t="n">
        <v>40553</v>
      </c>
      <c r="B6510" t="n">
        <v>7.7755</v>
      </c>
      <c r="C6510" t="n">
        <v>1.175</v>
      </c>
    </row>
    <row r="6511">
      <c r="A6511" s="926" t="n">
        <v>40554</v>
      </c>
      <c r="B6511" t="n">
        <v>7.7795</v>
      </c>
      <c r="C6511" t="n">
        <v>1.17645</v>
      </c>
    </row>
    <row r="6512">
      <c r="A6512" s="926" t="n">
        <v>40555</v>
      </c>
      <c r="B6512" t="n">
        <v>7.7765</v>
      </c>
      <c r="C6512" t="n">
        <v>1.17805</v>
      </c>
    </row>
    <row r="6513">
      <c r="A6513" s="926" t="n">
        <v>40556</v>
      </c>
      <c r="B6513" t="n">
        <v>7.7765</v>
      </c>
      <c r="C6513" t="n">
        <v>1.1805</v>
      </c>
    </row>
    <row r="6514">
      <c r="A6514" s="926" t="n">
        <v>40557</v>
      </c>
      <c r="B6514" t="n">
        <v>7.7755</v>
      </c>
      <c r="C6514" t="n">
        <v>1.182</v>
      </c>
    </row>
    <row r="6515">
      <c r="A6515" s="926" t="n">
        <v>40558</v>
      </c>
      <c r="B6515" t="n">
        <v>7.7725</v>
      </c>
      <c r="C6515" t="n">
        <v>1.1821</v>
      </c>
    </row>
    <row r="6516">
      <c r="A6516" s="926" t="n">
        <v>40560</v>
      </c>
      <c r="B6516" t="n">
        <v>7.7775</v>
      </c>
      <c r="C6516" t="n">
        <v>1.1817</v>
      </c>
    </row>
    <row r="6517">
      <c r="A6517" s="926" t="n">
        <v>40561</v>
      </c>
      <c r="B6517" t="n">
        <v>7.7785</v>
      </c>
      <c r="C6517" t="n">
        <v>1.183</v>
      </c>
    </row>
    <row r="6518">
      <c r="A6518" s="926" t="n">
        <v>40562</v>
      </c>
      <c r="B6518" t="n">
        <v>7.7775</v>
      </c>
      <c r="C6518" t="n">
        <v>1.1829</v>
      </c>
    </row>
    <row r="6519">
      <c r="A6519" s="926" t="n">
        <v>40563</v>
      </c>
      <c r="B6519" t="n">
        <v>7.7825</v>
      </c>
      <c r="C6519" t="n">
        <v>1.1832</v>
      </c>
    </row>
    <row r="6520">
      <c r="A6520" s="926" t="n">
        <v>40564</v>
      </c>
      <c r="B6520" t="n">
        <v>7.7865</v>
      </c>
      <c r="C6520" t="n">
        <v>1.1835</v>
      </c>
    </row>
    <row r="6521">
      <c r="A6521" s="926" t="n">
        <v>40565</v>
      </c>
      <c r="B6521" t="n">
        <v>7.7885</v>
      </c>
      <c r="C6521" t="n">
        <v>1.1851</v>
      </c>
    </row>
    <row r="6522">
      <c r="A6522" s="926" t="n">
        <v>40567</v>
      </c>
      <c r="B6522" t="n">
        <v>7.7965</v>
      </c>
      <c r="C6522" t="n">
        <v>1.1862</v>
      </c>
    </row>
    <row r="6523">
      <c r="A6523" s="926" t="n">
        <v>40568</v>
      </c>
      <c r="B6523" t="n">
        <v>7.7925</v>
      </c>
      <c r="C6523" t="n">
        <v>1.18605</v>
      </c>
    </row>
    <row r="6524">
      <c r="A6524" s="926" t="n">
        <v>40569</v>
      </c>
      <c r="B6524" t="n">
        <v>7.7875</v>
      </c>
      <c r="C6524" t="n">
        <v>1.185</v>
      </c>
    </row>
    <row r="6525">
      <c r="A6525" s="926" t="n">
        <v>40570</v>
      </c>
      <c r="B6525" t="n">
        <v>7.7875</v>
      </c>
      <c r="C6525" t="n">
        <v>1.1848</v>
      </c>
    </row>
    <row r="6526">
      <c r="A6526" s="926" t="n">
        <v>40571</v>
      </c>
      <c r="B6526" t="n">
        <v>7.7885</v>
      </c>
      <c r="C6526" t="n">
        <v>1.1848</v>
      </c>
    </row>
    <row r="6527">
      <c r="A6527" s="926" t="n">
        <v>40572</v>
      </c>
      <c r="B6527" t="n">
        <v>7.7885</v>
      </c>
      <c r="C6527" t="n">
        <v>1.1851</v>
      </c>
    </row>
    <row r="6528">
      <c r="A6528" s="926" t="n">
        <v>40574</v>
      </c>
      <c r="B6528" t="n">
        <v>7.7955</v>
      </c>
      <c r="C6528" t="n">
        <v>1.1855</v>
      </c>
    </row>
    <row r="6529">
      <c r="A6529" s="926" t="n">
        <v>40575</v>
      </c>
      <c r="B6529" t="n">
        <v>7.7915</v>
      </c>
      <c r="C6529" t="n">
        <v>1.1852</v>
      </c>
    </row>
    <row r="6530">
      <c r="A6530" s="926" t="n">
        <v>40576</v>
      </c>
      <c r="B6530" t="n">
        <v>7.7865</v>
      </c>
      <c r="C6530" t="n">
        <v>1.1853</v>
      </c>
    </row>
    <row r="6531">
      <c r="A6531" s="926" t="n">
        <v>40581</v>
      </c>
      <c r="B6531" t="n">
        <v>7.7845</v>
      </c>
      <c r="C6531" t="n">
        <v>1.18655</v>
      </c>
    </row>
    <row r="6532">
      <c r="A6532" s="926" t="n">
        <v>40582</v>
      </c>
      <c r="B6532" t="n">
        <v>7.7825</v>
      </c>
      <c r="C6532" t="n">
        <v>1.18805</v>
      </c>
    </row>
    <row r="6533">
      <c r="A6533" s="926" t="n">
        <v>40583</v>
      </c>
      <c r="B6533" t="n">
        <v>7.7865</v>
      </c>
      <c r="C6533" t="n">
        <v>1.1851</v>
      </c>
    </row>
    <row r="6534">
      <c r="A6534" s="926" t="n">
        <v>40584</v>
      </c>
      <c r="B6534" t="n">
        <v>7.7885</v>
      </c>
      <c r="C6534" t="n">
        <v>1.1845</v>
      </c>
    </row>
    <row r="6535">
      <c r="A6535" s="926" t="n">
        <v>40585</v>
      </c>
      <c r="B6535" t="n">
        <v>7.7935</v>
      </c>
      <c r="C6535" t="n">
        <v>1.1845</v>
      </c>
    </row>
    <row r="6536">
      <c r="A6536" s="926" t="n">
        <v>40586</v>
      </c>
      <c r="B6536" t="n">
        <v>7.7935</v>
      </c>
      <c r="C6536" t="n">
        <v>1.1841</v>
      </c>
    </row>
    <row r="6537">
      <c r="A6537" s="926" t="n">
        <v>40588</v>
      </c>
      <c r="B6537" t="n">
        <v>7.7945</v>
      </c>
      <c r="C6537" t="n">
        <v>1.1842</v>
      </c>
    </row>
    <row r="6538">
      <c r="A6538" s="926" t="n">
        <v>40589</v>
      </c>
      <c r="B6538" t="n">
        <v>7.795</v>
      </c>
      <c r="C6538" t="n">
        <v>1.1842</v>
      </c>
    </row>
    <row r="6539">
      <c r="A6539" s="926" t="n">
        <v>40590</v>
      </c>
      <c r="B6539" t="n">
        <v>7.7925</v>
      </c>
      <c r="C6539" t="n">
        <v>1.1855</v>
      </c>
    </row>
    <row r="6540">
      <c r="A6540" s="926" t="n">
        <v>40591</v>
      </c>
      <c r="B6540" t="n">
        <v>7.787</v>
      </c>
      <c r="C6540" t="n">
        <v>1.185</v>
      </c>
    </row>
    <row r="6541">
      <c r="A6541" s="926" t="n">
        <v>40592</v>
      </c>
      <c r="B6541" t="n">
        <v>7.786</v>
      </c>
      <c r="C6541" t="n">
        <v>1.1861</v>
      </c>
    </row>
    <row r="6542">
      <c r="A6542" s="926" t="n">
        <v>40593</v>
      </c>
      <c r="B6542" t="n">
        <v>7.782</v>
      </c>
      <c r="C6542" t="n">
        <v>1.18485</v>
      </c>
    </row>
    <row r="6543">
      <c r="A6543" s="926" t="n">
        <v>40595</v>
      </c>
      <c r="B6543" t="n">
        <v>7.785</v>
      </c>
      <c r="C6543" t="n">
        <v>1.1875</v>
      </c>
    </row>
    <row r="6544">
      <c r="A6544" s="926" t="n">
        <v>40596</v>
      </c>
      <c r="B6544" t="n">
        <v>7.79</v>
      </c>
      <c r="C6544" t="n">
        <v>1.1867</v>
      </c>
    </row>
    <row r="6545">
      <c r="A6545" s="926" t="n">
        <v>40597</v>
      </c>
      <c r="B6545" t="n">
        <v>7.79</v>
      </c>
      <c r="C6545" t="n">
        <v>1.1869</v>
      </c>
    </row>
    <row r="6546">
      <c r="A6546" s="926" t="n">
        <v>40598</v>
      </c>
      <c r="B6546" t="n">
        <v>7.794</v>
      </c>
      <c r="C6546" t="n">
        <v>1.1871</v>
      </c>
    </row>
    <row r="6547">
      <c r="A6547" s="926" t="n">
        <v>40599</v>
      </c>
      <c r="B6547" t="n">
        <v>7.791</v>
      </c>
      <c r="C6547" t="n">
        <v>1.18775</v>
      </c>
    </row>
    <row r="6548">
      <c r="A6548" s="926" t="n">
        <v>40600</v>
      </c>
      <c r="B6548" t="n">
        <v>7.791</v>
      </c>
      <c r="C6548" t="n">
        <v>1.18725</v>
      </c>
    </row>
    <row r="6549">
      <c r="A6549" s="926" t="n">
        <v>40602</v>
      </c>
      <c r="B6549" t="n">
        <v>7.791</v>
      </c>
      <c r="C6549" t="n">
        <v>1.18685</v>
      </c>
    </row>
    <row r="6550">
      <c r="A6550" s="926" t="n">
        <v>40603</v>
      </c>
      <c r="B6550" t="n">
        <v>7.788</v>
      </c>
      <c r="C6550" t="n">
        <v>1.18755</v>
      </c>
    </row>
    <row r="6551">
      <c r="A6551" s="926" t="n">
        <v>40604</v>
      </c>
      <c r="B6551" t="n">
        <v>7.79</v>
      </c>
      <c r="C6551" t="n">
        <v>1.18755</v>
      </c>
    </row>
    <row r="6552">
      <c r="A6552" s="926" t="n">
        <v>40605</v>
      </c>
      <c r="B6552" t="n">
        <v>7.79</v>
      </c>
      <c r="C6552" t="n">
        <v>1.1882</v>
      </c>
    </row>
    <row r="6553">
      <c r="A6553" s="926" t="n">
        <v>40606</v>
      </c>
      <c r="B6553" t="n">
        <v>7.789</v>
      </c>
      <c r="C6553" t="n">
        <v>1.1885</v>
      </c>
    </row>
    <row r="6554">
      <c r="A6554" s="926" t="n">
        <v>40607</v>
      </c>
      <c r="B6554" t="n">
        <v>7.785</v>
      </c>
      <c r="C6554" t="n">
        <v>1.192</v>
      </c>
    </row>
    <row r="6555">
      <c r="A6555" s="926" t="n">
        <v>40609</v>
      </c>
      <c r="B6555" t="n">
        <v>7.787</v>
      </c>
      <c r="C6555" t="n">
        <v>1.1883</v>
      </c>
    </row>
    <row r="6556">
      <c r="A6556" s="926" t="n">
        <v>40610</v>
      </c>
      <c r="B6556" t="n">
        <v>7.788</v>
      </c>
      <c r="C6556" t="n">
        <v>1.1886</v>
      </c>
    </row>
    <row r="6557">
      <c r="A6557" s="926" t="n">
        <v>40611</v>
      </c>
      <c r="B6557" t="n">
        <v>7.788</v>
      </c>
      <c r="C6557" t="n">
        <v>1.18755</v>
      </c>
    </row>
    <row r="6558">
      <c r="A6558" s="926" t="n">
        <v>40612</v>
      </c>
      <c r="B6558" t="n">
        <v>7.79</v>
      </c>
      <c r="C6558" t="n">
        <v>1.1872</v>
      </c>
    </row>
    <row r="6559">
      <c r="A6559" s="926" t="n">
        <v>40613</v>
      </c>
      <c r="B6559" t="n">
        <v>7.791</v>
      </c>
      <c r="C6559" t="n">
        <v>1.1869</v>
      </c>
    </row>
    <row r="6560">
      <c r="A6560" s="926" t="n">
        <v>40614</v>
      </c>
      <c r="B6560" t="n">
        <v>7.784</v>
      </c>
      <c r="C6560" t="n">
        <v>1.18905</v>
      </c>
    </row>
    <row r="6561">
      <c r="A6561" s="926" t="n">
        <v>40616</v>
      </c>
      <c r="B6561" t="n">
        <v>7.79</v>
      </c>
      <c r="C6561" t="n">
        <v>1.18695</v>
      </c>
    </row>
    <row r="6562">
      <c r="A6562" s="926" t="n">
        <v>40617</v>
      </c>
      <c r="B6562" t="n">
        <v>7.794</v>
      </c>
      <c r="C6562" t="n">
        <v>1.18865</v>
      </c>
    </row>
    <row r="6563">
      <c r="A6563" s="926" t="n">
        <v>40618</v>
      </c>
      <c r="B6563" t="n">
        <v>7.794</v>
      </c>
      <c r="C6563" t="n">
        <v>1.18845</v>
      </c>
    </row>
    <row r="6564">
      <c r="A6564" s="926" t="n">
        <v>40619</v>
      </c>
      <c r="B6564" t="n">
        <v>7.801</v>
      </c>
      <c r="C6564" t="n">
        <v>1.1895</v>
      </c>
    </row>
    <row r="6565">
      <c r="A6565" s="926" t="n">
        <v>40620</v>
      </c>
      <c r="B6565" t="n">
        <v>7.798</v>
      </c>
      <c r="C6565" t="n">
        <v>1.1894</v>
      </c>
    </row>
    <row r="6566">
      <c r="A6566" s="926" t="n">
        <v>40621</v>
      </c>
      <c r="B6566" t="n">
        <v>7.8</v>
      </c>
      <c r="C6566" t="n">
        <v>1.1915</v>
      </c>
    </row>
    <row r="6567">
      <c r="A6567" s="926" t="n">
        <v>40623</v>
      </c>
      <c r="B6567" t="n">
        <v>7.796</v>
      </c>
      <c r="C6567" t="n">
        <v>1.18785</v>
      </c>
    </row>
    <row r="6568">
      <c r="A6568" s="926" t="n">
        <v>40624</v>
      </c>
      <c r="B6568" t="n">
        <v>7.797</v>
      </c>
      <c r="C6568" t="n">
        <v>1.19055</v>
      </c>
    </row>
    <row r="6569">
      <c r="A6569" s="926" t="n">
        <v>40625</v>
      </c>
      <c r="B6569" t="n">
        <v>7.794</v>
      </c>
      <c r="C6569" t="n">
        <v>1.1901</v>
      </c>
    </row>
    <row r="6570">
      <c r="A6570" s="926" t="n">
        <v>40626</v>
      </c>
      <c r="B6570" t="n">
        <v>7.794</v>
      </c>
      <c r="C6570" t="n">
        <v>1.18955</v>
      </c>
    </row>
    <row r="6571">
      <c r="A6571" s="926" t="n">
        <v>40627</v>
      </c>
      <c r="B6571" t="n">
        <v>7.794</v>
      </c>
      <c r="C6571" t="n">
        <v>1.19055</v>
      </c>
    </row>
    <row r="6572">
      <c r="A6572" s="926" t="n">
        <v>40628</v>
      </c>
      <c r="B6572" t="n">
        <v>7.793</v>
      </c>
      <c r="C6572" t="n">
        <v>1.1925</v>
      </c>
    </row>
    <row r="6573">
      <c r="A6573" s="926" t="n">
        <v>40630</v>
      </c>
      <c r="B6573" t="n">
        <v>7.8</v>
      </c>
      <c r="C6573" t="n">
        <v>1.19065</v>
      </c>
    </row>
    <row r="6574">
      <c r="A6574" s="926" t="n">
        <v>40631</v>
      </c>
      <c r="B6574" t="n">
        <v>7.797</v>
      </c>
      <c r="C6574" t="n">
        <v>1.19055</v>
      </c>
    </row>
    <row r="6575">
      <c r="A6575" s="926" t="n">
        <v>40632</v>
      </c>
      <c r="B6575" t="n">
        <v>7.789</v>
      </c>
      <c r="C6575" t="n">
        <v>1.1904</v>
      </c>
    </row>
    <row r="6576">
      <c r="A6576" s="926" t="n">
        <v>40633</v>
      </c>
      <c r="B6576" t="n">
        <v>7.784</v>
      </c>
      <c r="C6576" t="n">
        <v>1.191</v>
      </c>
    </row>
    <row r="6577">
      <c r="A6577" s="926" t="n">
        <v>40634</v>
      </c>
      <c r="B6577" t="n">
        <v>7.78</v>
      </c>
      <c r="C6577" t="n">
        <v>1.19065</v>
      </c>
    </row>
    <row r="6578">
      <c r="A6578" s="926" t="n">
        <v>40635</v>
      </c>
      <c r="B6578" t="n">
        <v>7.775</v>
      </c>
      <c r="C6578" t="n">
        <v>1.19255</v>
      </c>
    </row>
    <row r="6579">
      <c r="A6579" s="926" t="n">
        <v>40637</v>
      </c>
      <c r="B6579" t="n">
        <v>7.775</v>
      </c>
      <c r="C6579" t="n">
        <v>1.191</v>
      </c>
    </row>
    <row r="6580">
      <c r="A6580" s="926" t="n">
        <v>40639</v>
      </c>
      <c r="B6580" t="n">
        <v>7.773</v>
      </c>
      <c r="C6580" t="n">
        <v>1.1896</v>
      </c>
    </row>
    <row r="6581">
      <c r="A6581" s="926" t="n">
        <v>40640</v>
      </c>
      <c r="B6581" t="n">
        <v>7.773</v>
      </c>
      <c r="C6581" t="n">
        <v>1.1905</v>
      </c>
    </row>
    <row r="6582">
      <c r="A6582" s="926" t="n">
        <v>40641</v>
      </c>
      <c r="B6582" t="n">
        <v>7.767</v>
      </c>
      <c r="C6582" t="n">
        <v>1.1905</v>
      </c>
    </row>
    <row r="6583">
      <c r="A6583" s="926" t="n">
        <v>40642</v>
      </c>
      <c r="B6583" t="n">
        <v>7.772</v>
      </c>
      <c r="C6583" t="n">
        <v>1.19295</v>
      </c>
    </row>
    <row r="6584">
      <c r="A6584" s="926" t="n">
        <v>40644</v>
      </c>
      <c r="B6584" t="n">
        <v>7.769</v>
      </c>
      <c r="C6584" t="n">
        <v>1.1908</v>
      </c>
    </row>
    <row r="6585">
      <c r="A6585" s="926" t="n">
        <v>40645</v>
      </c>
      <c r="B6585" t="n">
        <v>7.772</v>
      </c>
      <c r="C6585" t="n">
        <v>1.19</v>
      </c>
    </row>
    <row r="6586">
      <c r="A6586" s="926" t="n">
        <v>40646</v>
      </c>
      <c r="B6586" t="n">
        <v>7.774</v>
      </c>
      <c r="C6586" t="n">
        <v>1.19185</v>
      </c>
    </row>
    <row r="6587">
      <c r="A6587" s="926" t="n">
        <v>40647</v>
      </c>
      <c r="B6587" t="n">
        <v>7.775</v>
      </c>
      <c r="C6587" t="n">
        <v>1.1928</v>
      </c>
    </row>
    <row r="6588">
      <c r="A6588" s="926" t="n">
        <v>40648</v>
      </c>
      <c r="B6588" t="n">
        <v>7.774</v>
      </c>
      <c r="C6588" t="n">
        <v>1.19295</v>
      </c>
    </row>
    <row r="6589">
      <c r="A6589" s="926" t="n">
        <v>40649</v>
      </c>
      <c r="B6589" t="n">
        <v>7.773</v>
      </c>
      <c r="C6589" t="n">
        <v>1.19555</v>
      </c>
    </row>
    <row r="6590">
      <c r="A6590" s="926" t="n">
        <v>40651</v>
      </c>
      <c r="B6590" t="n">
        <v>7.777</v>
      </c>
      <c r="C6590" t="n">
        <v>1.1933</v>
      </c>
    </row>
    <row r="6591">
      <c r="A6591" s="926" t="n">
        <v>40652</v>
      </c>
      <c r="B6591" t="n">
        <v>7.778</v>
      </c>
      <c r="C6591" t="n">
        <v>1.1938</v>
      </c>
    </row>
    <row r="6592">
      <c r="A6592" s="926" t="n">
        <v>40653</v>
      </c>
      <c r="B6592" t="n">
        <v>7.777</v>
      </c>
      <c r="C6592" t="n">
        <v>1.1947</v>
      </c>
    </row>
    <row r="6593">
      <c r="A6593" s="926" t="n">
        <v>40654</v>
      </c>
      <c r="B6593" t="n">
        <v>7.77</v>
      </c>
      <c r="C6593" t="n">
        <v>1.1945</v>
      </c>
    </row>
    <row r="6594">
      <c r="A6594" s="926" t="n">
        <v>40659</v>
      </c>
      <c r="B6594" t="n">
        <v>7.773</v>
      </c>
      <c r="C6594" t="n">
        <v>1.195</v>
      </c>
    </row>
    <row r="6595">
      <c r="A6595" s="926" t="n">
        <v>40660</v>
      </c>
      <c r="B6595" t="n">
        <v>7.772</v>
      </c>
      <c r="C6595" t="n">
        <v>1.1957</v>
      </c>
    </row>
    <row r="6596">
      <c r="A6596" s="926" t="n">
        <v>40661</v>
      </c>
      <c r="B6596" t="n">
        <v>7.768</v>
      </c>
      <c r="C6596" t="n">
        <v>1.197</v>
      </c>
    </row>
    <row r="6597">
      <c r="A6597" s="926" t="n">
        <v>40662</v>
      </c>
      <c r="B6597" t="n">
        <v>7.77</v>
      </c>
      <c r="C6597" t="n">
        <v>1.1992</v>
      </c>
    </row>
    <row r="6598">
      <c r="A6598" s="926" t="n">
        <v>40663</v>
      </c>
      <c r="B6598" t="n">
        <v>7.765</v>
      </c>
      <c r="C6598" t="n">
        <v>1.2019</v>
      </c>
    </row>
    <row r="6599">
      <c r="A6599" s="926" t="n">
        <v>40666</v>
      </c>
      <c r="B6599" t="n">
        <v>7.767</v>
      </c>
      <c r="C6599" t="n">
        <v>1.1985</v>
      </c>
    </row>
    <row r="6600">
      <c r="A6600" s="926" t="n">
        <v>40667</v>
      </c>
      <c r="B6600" t="n">
        <v>7.769</v>
      </c>
      <c r="C6600" t="n">
        <v>1.19815</v>
      </c>
    </row>
    <row r="6601">
      <c r="A6601" s="926" t="n">
        <v>40668</v>
      </c>
      <c r="B6601" t="n">
        <v>7.77</v>
      </c>
      <c r="C6601" t="n">
        <v>1.1983</v>
      </c>
    </row>
    <row r="6602">
      <c r="A6602" s="926" t="n">
        <v>40669</v>
      </c>
      <c r="B6602" t="n">
        <v>7.771</v>
      </c>
      <c r="C6602" t="n">
        <v>1.1988</v>
      </c>
    </row>
    <row r="6603">
      <c r="A6603" s="926" t="n">
        <v>40670</v>
      </c>
      <c r="B6603" t="n">
        <v>7.771</v>
      </c>
      <c r="C6603" t="n">
        <v>1.2015</v>
      </c>
    </row>
    <row r="6604">
      <c r="A6604" s="926" t="n">
        <v>40672</v>
      </c>
      <c r="B6604" t="n">
        <v>7.77</v>
      </c>
      <c r="C6604" t="n">
        <v>1.19905</v>
      </c>
    </row>
    <row r="6605">
      <c r="A6605" s="926" t="n">
        <v>40674</v>
      </c>
      <c r="B6605" t="n">
        <v>7.771</v>
      </c>
      <c r="C6605" t="n">
        <v>1.199</v>
      </c>
    </row>
    <row r="6606">
      <c r="A6606" s="926" t="n">
        <v>40675</v>
      </c>
      <c r="B6606" t="n">
        <v>7.772</v>
      </c>
      <c r="C6606" t="n">
        <v>1.1984</v>
      </c>
    </row>
    <row r="6607">
      <c r="A6607" s="926" t="n">
        <v>40676</v>
      </c>
      <c r="B6607" t="n">
        <v>7.771</v>
      </c>
      <c r="C6607" t="n">
        <v>1.1984</v>
      </c>
    </row>
    <row r="6608">
      <c r="A6608" s="926" t="n">
        <v>40677</v>
      </c>
      <c r="B6608" t="n">
        <v>7.769</v>
      </c>
      <c r="C6608" t="n">
        <v>1.201</v>
      </c>
    </row>
    <row r="6609">
      <c r="A6609" s="926" t="n">
        <v>40679</v>
      </c>
      <c r="B6609" t="n">
        <v>7.775</v>
      </c>
      <c r="C6609" t="n">
        <v>1.198</v>
      </c>
    </row>
    <row r="6610">
      <c r="A6610" s="926" t="n">
        <v>40680</v>
      </c>
      <c r="B6610" t="n">
        <v>7.776</v>
      </c>
      <c r="C6610" t="n">
        <v>1.1974</v>
      </c>
    </row>
    <row r="6611">
      <c r="A6611" s="926" t="n">
        <v>40681</v>
      </c>
      <c r="B6611" t="n">
        <v>7.773</v>
      </c>
      <c r="C6611" t="n">
        <v>1.1968</v>
      </c>
    </row>
    <row r="6612">
      <c r="A6612" s="926" t="n">
        <v>40682</v>
      </c>
      <c r="B6612" t="n">
        <v>7.773</v>
      </c>
      <c r="C6612" t="n">
        <v>1.1969</v>
      </c>
    </row>
    <row r="6613">
      <c r="A6613" s="926" t="n">
        <v>40683</v>
      </c>
      <c r="B6613" t="n">
        <v>7.773</v>
      </c>
      <c r="C6613" t="n">
        <v>1.1981</v>
      </c>
    </row>
    <row r="6614">
      <c r="A6614" s="926" t="n">
        <v>40684</v>
      </c>
      <c r="B6614" t="n">
        <v>7.774</v>
      </c>
      <c r="C6614" t="n">
        <v>1.2005</v>
      </c>
    </row>
    <row r="6615">
      <c r="A6615" s="926" t="n">
        <v>40686</v>
      </c>
      <c r="B6615" t="n">
        <v>7.775</v>
      </c>
      <c r="C6615" t="n">
        <v>1.1985</v>
      </c>
    </row>
    <row r="6616">
      <c r="A6616" s="926" t="n">
        <v>40687</v>
      </c>
      <c r="B6616" t="n">
        <v>7.776</v>
      </c>
      <c r="C6616" t="n">
        <v>1.19785</v>
      </c>
    </row>
    <row r="6617">
      <c r="A6617" s="926" t="n">
        <v>40688</v>
      </c>
      <c r="B6617" t="n">
        <v>7.777</v>
      </c>
      <c r="C6617" t="n">
        <v>1.2001</v>
      </c>
    </row>
    <row r="6618">
      <c r="A6618" s="926" t="n">
        <v>40689</v>
      </c>
      <c r="B6618" t="n">
        <v>7.782</v>
      </c>
      <c r="C6618" t="n">
        <v>1.2015</v>
      </c>
    </row>
    <row r="6619">
      <c r="A6619" s="926" t="n">
        <v>40690</v>
      </c>
      <c r="B6619" t="n">
        <v>7.781</v>
      </c>
      <c r="C6619" t="n">
        <v>1.2012</v>
      </c>
    </row>
    <row r="6620">
      <c r="A6620" s="926" t="n">
        <v>40691</v>
      </c>
      <c r="B6620" t="n">
        <v>7.781</v>
      </c>
      <c r="C6620" t="n">
        <v>1.204</v>
      </c>
    </row>
    <row r="6621">
      <c r="A6621" s="926" t="n">
        <v>40693</v>
      </c>
      <c r="B6621" t="n">
        <v>7.779</v>
      </c>
      <c r="C6621" t="n">
        <v>1.202</v>
      </c>
    </row>
    <row r="6622">
      <c r="A6622" s="926" t="n">
        <v>40694</v>
      </c>
      <c r="B6622" t="n">
        <v>7.778</v>
      </c>
      <c r="C6622" t="n">
        <v>1.202</v>
      </c>
    </row>
    <row r="6623">
      <c r="A6623" s="926" t="n">
        <v>40695</v>
      </c>
      <c r="B6623" t="n">
        <v>7.778</v>
      </c>
      <c r="C6623" t="n">
        <v>1.2025</v>
      </c>
    </row>
    <row r="6624">
      <c r="A6624" s="926" t="n">
        <v>40696</v>
      </c>
      <c r="B6624" t="n">
        <v>7.779</v>
      </c>
      <c r="C6624" t="n">
        <v>1.2018</v>
      </c>
    </row>
    <row r="6625">
      <c r="A6625" s="926" t="n">
        <v>40697</v>
      </c>
      <c r="B6625" t="n">
        <v>7.776</v>
      </c>
      <c r="C6625" t="n">
        <v>1.2018</v>
      </c>
    </row>
    <row r="6626">
      <c r="A6626" s="926" t="n">
        <v>40698</v>
      </c>
      <c r="B6626" t="n">
        <v>7.774</v>
      </c>
      <c r="C6626" t="n">
        <v>1.2045</v>
      </c>
    </row>
    <row r="6627">
      <c r="A6627" s="926" t="n">
        <v>40701</v>
      </c>
      <c r="B6627" t="n">
        <v>7.778</v>
      </c>
      <c r="C6627" t="n">
        <v>1.20195</v>
      </c>
    </row>
    <row r="6628">
      <c r="A6628" s="926" t="n">
        <v>40702</v>
      </c>
      <c r="B6628" t="n">
        <v>7.779</v>
      </c>
      <c r="C6628" t="n">
        <v>1.2027</v>
      </c>
    </row>
    <row r="6629">
      <c r="A6629" s="926" t="n">
        <v>40703</v>
      </c>
      <c r="B6629" t="n">
        <v>7.78</v>
      </c>
      <c r="C6629" t="n">
        <v>1.2024</v>
      </c>
    </row>
    <row r="6630">
      <c r="A6630" s="926" t="n">
        <v>40704</v>
      </c>
      <c r="B6630" t="n">
        <v>7.782</v>
      </c>
      <c r="C6630" t="n">
        <v>1.2026</v>
      </c>
    </row>
    <row r="6631">
      <c r="A6631" s="926" t="n">
        <v>40705</v>
      </c>
      <c r="B6631" t="n">
        <v>7.781</v>
      </c>
      <c r="C6631" t="n">
        <v>1.20345</v>
      </c>
    </row>
    <row r="6632">
      <c r="A6632" s="926" t="n">
        <v>40707</v>
      </c>
      <c r="B6632" t="n">
        <v>7.783</v>
      </c>
      <c r="C6632" t="n">
        <v>1.20235</v>
      </c>
    </row>
    <row r="6633">
      <c r="A6633" s="926" t="n">
        <v>40708</v>
      </c>
      <c r="B6633" t="n">
        <v>7.782</v>
      </c>
      <c r="C6633" t="n">
        <v>1.203</v>
      </c>
    </row>
    <row r="6634">
      <c r="A6634" s="926" t="n">
        <v>40709</v>
      </c>
      <c r="B6634" t="n">
        <v>7.784</v>
      </c>
      <c r="C6634" t="n">
        <v>1.2036</v>
      </c>
    </row>
    <row r="6635">
      <c r="A6635" s="926" t="n">
        <v>40710</v>
      </c>
      <c r="B6635" t="n">
        <v>7.7945</v>
      </c>
      <c r="C6635" t="n">
        <v>1.2045</v>
      </c>
    </row>
    <row r="6636">
      <c r="A6636" s="926" t="n">
        <v>40711</v>
      </c>
      <c r="B6636" t="n">
        <v>7.7975</v>
      </c>
      <c r="C6636" t="n">
        <v>1.2077</v>
      </c>
    </row>
    <row r="6637">
      <c r="A6637" s="926" t="n">
        <v>40712</v>
      </c>
      <c r="B6637" t="n">
        <v>7.7895</v>
      </c>
      <c r="C6637" t="n">
        <v>1.21</v>
      </c>
    </row>
    <row r="6638">
      <c r="A6638" s="926" t="n">
        <v>40714</v>
      </c>
      <c r="B6638" t="n">
        <v>7.7945</v>
      </c>
      <c r="C6638" t="n">
        <v>1.2064</v>
      </c>
    </row>
    <row r="6639">
      <c r="A6639" s="926" t="n">
        <v>40715</v>
      </c>
      <c r="B6639" t="n">
        <v>7.7885</v>
      </c>
      <c r="C6639" t="n">
        <v>1.206</v>
      </c>
    </row>
    <row r="6640">
      <c r="A6640" s="926" t="n">
        <v>40716</v>
      </c>
      <c r="B6640" t="n">
        <v>7.7895</v>
      </c>
      <c r="C6640" t="n">
        <v>1.20615</v>
      </c>
    </row>
    <row r="6641">
      <c r="A6641" s="926" t="n">
        <v>40717</v>
      </c>
      <c r="B6641" t="n">
        <v>7.7895</v>
      </c>
      <c r="C6641" t="n">
        <v>1.206</v>
      </c>
    </row>
    <row r="6642">
      <c r="A6642" s="926" t="n">
        <v>40718</v>
      </c>
      <c r="B6642" t="n">
        <v>7.7895</v>
      </c>
      <c r="C6642" t="n">
        <v>1.2055</v>
      </c>
    </row>
    <row r="6643">
      <c r="A6643" s="926" t="n">
        <v>40719</v>
      </c>
      <c r="B6643" t="n">
        <v>7.7865</v>
      </c>
      <c r="C6643" t="n">
        <v>1.20805</v>
      </c>
    </row>
    <row r="6644">
      <c r="A6644" s="926" t="n">
        <v>40721</v>
      </c>
      <c r="B6644" t="n">
        <v>7.7875</v>
      </c>
      <c r="C6644" t="n">
        <v>1.2048</v>
      </c>
    </row>
    <row r="6645">
      <c r="A6645" s="926" t="n">
        <v>40722</v>
      </c>
      <c r="B6645" t="n">
        <v>7.7855</v>
      </c>
      <c r="C6645" t="n">
        <v>1.2041</v>
      </c>
    </row>
    <row r="6646">
      <c r="A6646" s="926" t="n">
        <v>40723</v>
      </c>
      <c r="B6646" t="n">
        <v>7.7825</v>
      </c>
      <c r="C6646" t="n">
        <v>1.205</v>
      </c>
    </row>
    <row r="6647">
      <c r="A6647" s="926" t="n">
        <v>40724</v>
      </c>
      <c r="B6647" t="n">
        <v>7.7815</v>
      </c>
      <c r="C6647" t="n">
        <v>1.2053</v>
      </c>
    </row>
    <row r="6648">
      <c r="A6648" s="926" t="n">
        <v>40726</v>
      </c>
      <c r="B6648" t="n">
        <v>7.7795</v>
      </c>
      <c r="C6648" t="n">
        <v>1.2065</v>
      </c>
    </row>
    <row r="6649">
      <c r="A6649" s="926" t="n">
        <v>40728</v>
      </c>
      <c r="B6649" t="n">
        <v>7.7815</v>
      </c>
      <c r="C6649" t="n">
        <v>1.2059</v>
      </c>
    </row>
    <row r="6650">
      <c r="A6650" s="926" t="n">
        <v>40729</v>
      </c>
      <c r="B6650" t="n">
        <v>7.7815</v>
      </c>
      <c r="C6650" t="n">
        <v>1.206</v>
      </c>
    </row>
    <row r="6651">
      <c r="A6651" s="926" t="n">
        <v>40730</v>
      </c>
      <c r="B6651" t="n">
        <v>7.7815</v>
      </c>
      <c r="C6651" t="n">
        <v>1.205</v>
      </c>
    </row>
    <row r="6652">
      <c r="A6652" s="926" t="n">
        <v>40731</v>
      </c>
      <c r="B6652" t="n">
        <v>7.7835</v>
      </c>
      <c r="C6652" t="n">
        <v>1.2051</v>
      </c>
    </row>
    <row r="6653">
      <c r="A6653" s="926" t="n">
        <v>40732</v>
      </c>
      <c r="B6653" t="n">
        <v>7.7815</v>
      </c>
      <c r="C6653" t="n">
        <v>1.20585</v>
      </c>
    </row>
    <row r="6654">
      <c r="A6654" s="926" t="n">
        <v>40733</v>
      </c>
      <c r="B6654" t="n">
        <v>7.7795</v>
      </c>
      <c r="C6654" t="n">
        <v>1.20855</v>
      </c>
    </row>
    <row r="6655">
      <c r="A6655" s="926" t="n">
        <v>40735</v>
      </c>
      <c r="B6655" t="n">
        <v>7.7835</v>
      </c>
      <c r="C6655" t="n">
        <v>1.20615</v>
      </c>
    </row>
    <row r="6656">
      <c r="A6656" s="926" t="n">
        <v>40736</v>
      </c>
      <c r="B6656" t="n">
        <v>7.7945</v>
      </c>
      <c r="C6656" t="n">
        <v>1.2055</v>
      </c>
    </row>
    <row r="6657">
      <c r="A6657" s="926" t="n">
        <v>40737</v>
      </c>
      <c r="B6657" t="n">
        <v>7.7905</v>
      </c>
      <c r="C6657" t="n">
        <v>1.2055</v>
      </c>
    </row>
    <row r="6658">
      <c r="A6658" s="926" t="n">
        <v>40738</v>
      </c>
      <c r="B6658" t="n">
        <v>7.7905</v>
      </c>
      <c r="C6658" t="n">
        <v>1.20565</v>
      </c>
    </row>
    <row r="6659">
      <c r="A6659" s="926" t="n">
        <v>40739</v>
      </c>
      <c r="B6659" t="n">
        <v>7.7925</v>
      </c>
      <c r="C6659" t="n">
        <v>1.20615</v>
      </c>
    </row>
    <row r="6660">
      <c r="A6660" s="926" t="n">
        <v>40740</v>
      </c>
      <c r="B6660" t="n">
        <v>7.7935</v>
      </c>
      <c r="C6660" t="n">
        <v>1.20855</v>
      </c>
    </row>
    <row r="6661">
      <c r="A6661" s="926" t="n">
        <v>40742</v>
      </c>
      <c r="B6661" t="n">
        <v>7.7955</v>
      </c>
      <c r="C6661" t="n">
        <v>1.2076</v>
      </c>
    </row>
    <row r="6662">
      <c r="A6662" s="926" t="n">
        <v>40743</v>
      </c>
      <c r="B6662" t="n">
        <v>7.7935</v>
      </c>
      <c r="C6662" t="n">
        <v>1.20705</v>
      </c>
    </row>
    <row r="6663">
      <c r="A6663" s="926" t="n">
        <v>40744</v>
      </c>
      <c r="B6663" t="n">
        <v>7.7925</v>
      </c>
      <c r="C6663" t="n">
        <v>1.20895</v>
      </c>
    </row>
    <row r="6664">
      <c r="A6664" s="926" t="n">
        <v>40745</v>
      </c>
      <c r="B6664" t="n">
        <v>7.7925</v>
      </c>
      <c r="C6664" t="n">
        <v>1.20895</v>
      </c>
    </row>
    <row r="6665">
      <c r="A6665" s="926" t="n">
        <v>40746</v>
      </c>
      <c r="B6665" t="n">
        <v>7.7905</v>
      </c>
      <c r="C6665" t="n">
        <v>1.2101</v>
      </c>
    </row>
    <row r="6666">
      <c r="A6666" s="926" t="n">
        <v>40747</v>
      </c>
      <c r="B6666" t="n">
        <v>7.7895</v>
      </c>
      <c r="C6666" t="n">
        <v>1.21245</v>
      </c>
    </row>
    <row r="6667">
      <c r="A6667" s="926" t="n">
        <v>40749</v>
      </c>
      <c r="B6667" t="n">
        <v>7.7915</v>
      </c>
      <c r="C6667" t="n">
        <v>1.2101</v>
      </c>
    </row>
    <row r="6668">
      <c r="A6668" s="926" t="n">
        <v>40750</v>
      </c>
      <c r="B6668" t="n">
        <v>7.7895</v>
      </c>
      <c r="C6668" t="n">
        <v>1.2111</v>
      </c>
    </row>
    <row r="6669">
      <c r="A6669" s="926" t="n">
        <v>40751</v>
      </c>
      <c r="B6669" t="n">
        <v>7.7895</v>
      </c>
      <c r="C6669" t="n">
        <v>1.2109</v>
      </c>
    </row>
    <row r="6670">
      <c r="A6670" s="926" t="n">
        <v>40752</v>
      </c>
      <c r="B6670" t="n">
        <v>7.7915</v>
      </c>
      <c r="C6670" t="n">
        <v>1.2105</v>
      </c>
    </row>
    <row r="6671">
      <c r="A6671" s="926" t="n">
        <v>40753</v>
      </c>
      <c r="B6671" t="n">
        <v>7.7945</v>
      </c>
      <c r="C6671" t="n">
        <v>1.2111</v>
      </c>
    </row>
    <row r="6672">
      <c r="A6672" s="926" t="n">
        <v>40754</v>
      </c>
      <c r="B6672" t="n">
        <v>7.7925</v>
      </c>
      <c r="C6672" t="n">
        <v>1.21335</v>
      </c>
    </row>
    <row r="6673">
      <c r="A6673" s="926" t="n">
        <v>40756</v>
      </c>
      <c r="B6673" t="n">
        <v>7.7915</v>
      </c>
      <c r="C6673" t="n">
        <v>1.2128</v>
      </c>
    </row>
    <row r="6674">
      <c r="A6674" s="926" t="n">
        <v>40757</v>
      </c>
      <c r="B6674" t="n">
        <v>7.7925</v>
      </c>
      <c r="C6674" t="n">
        <v>1.212</v>
      </c>
    </row>
    <row r="6675">
      <c r="A6675" s="926" t="n">
        <v>40758</v>
      </c>
      <c r="B6675" t="n">
        <v>7.7965</v>
      </c>
      <c r="C6675" t="n">
        <v>1.2125</v>
      </c>
    </row>
    <row r="6676">
      <c r="A6676" s="926" t="n">
        <v>40759</v>
      </c>
      <c r="B6676" t="n">
        <v>7.7985</v>
      </c>
      <c r="C6676" t="n">
        <v>1.2133</v>
      </c>
    </row>
    <row r="6677">
      <c r="A6677" s="926" t="n">
        <v>40760</v>
      </c>
      <c r="B6677" t="n">
        <v>7.8045</v>
      </c>
      <c r="C6677" t="n">
        <v>1.2128</v>
      </c>
    </row>
    <row r="6678">
      <c r="A6678" s="926" t="n">
        <v>40761</v>
      </c>
      <c r="B6678" t="n">
        <v>7.8045</v>
      </c>
      <c r="C6678" t="n">
        <v>1.21485</v>
      </c>
    </row>
    <row r="6679">
      <c r="A6679" s="926" t="n">
        <v>40763</v>
      </c>
      <c r="B6679" t="n">
        <v>7.8045</v>
      </c>
      <c r="C6679" t="n">
        <v>1.2164</v>
      </c>
    </row>
    <row r="6680">
      <c r="A6680" s="926" t="n">
        <v>40764</v>
      </c>
      <c r="B6680" t="n">
        <v>7.8085</v>
      </c>
      <c r="C6680" t="n">
        <v>1.215</v>
      </c>
    </row>
    <row r="6681">
      <c r="A6681" s="926" t="n">
        <v>40765</v>
      </c>
      <c r="B6681" t="n">
        <v>7.8045</v>
      </c>
      <c r="C6681" t="n">
        <v>1.2186</v>
      </c>
    </row>
    <row r="6682">
      <c r="A6682" s="926" t="n">
        <v>40766</v>
      </c>
      <c r="B6682" t="n">
        <v>7.798</v>
      </c>
      <c r="C6682" t="n">
        <v>1.2221</v>
      </c>
    </row>
    <row r="6683">
      <c r="A6683" s="926" t="n">
        <v>40767</v>
      </c>
      <c r="B6683" t="n">
        <v>7.7955</v>
      </c>
      <c r="C6683" t="n">
        <v>1.2207</v>
      </c>
    </row>
    <row r="6684">
      <c r="A6684" s="926" t="n">
        <v>40768</v>
      </c>
      <c r="B6684" t="n">
        <v>7.7895</v>
      </c>
      <c r="C6684" t="n">
        <v>1.2226</v>
      </c>
    </row>
    <row r="6685">
      <c r="A6685" s="926" t="n">
        <v>40770</v>
      </c>
      <c r="B6685" t="n">
        <v>7.7945</v>
      </c>
      <c r="C6685" t="n">
        <v>1.221</v>
      </c>
    </row>
    <row r="6686">
      <c r="A6686" s="926" t="n">
        <v>40771</v>
      </c>
      <c r="B6686" t="n">
        <v>7.7935</v>
      </c>
      <c r="C6686" t="n">
        <v>1.2212</v>
      </c>
    </row>
    <row r="6687">
      <c r="A6687" s="926" t="n">
        <v>40772</v>
      </c>
      <c r="B6687" t="n">
        <v>7.7925</v>
      </c>
      <c r="C6687" t="n">
        <v>1.2212</v>
      </c>
    </row>
    <row r="6688">
      <c r="A6688" s="926" t="n">
        <v>40773</v>
      </c>
      <c r="B6688" t="n">
        <v>7.7925</v>
      </c>
      <c r="C6688" t="n">
        <v>1.2221</v>
      </c>
    </row>
    <row r="6689">
      <c r="A6689" s="926" t="n">
        <v>40774</v>
      </c>
      <c r="B6689" t="n">
        <v>7.7995</v>
      </c>
      <c r="C6689" t="n">
        <v>1.2215</v>
      </c>
    </row>
    <row r="6690">
      <c r="A6690" s="926" t="n">
        <v>40775</v>
      </c>
      <c r="B6690" t="n">
        <v>7.7955</v>
      </c>
      <c r="C6690" t="n">
        <v>1.22415</v>
      </c>
    </row>
    <row r="6691">
      <c r="A6691" s="926" t="n">
        <v>40777</v>
      </c>
      <c r="B6691" t="n">
        <v>7.7985</v>
      </c>
      <c r="C6691" t="n">
        <v>1.22115</v>
      </c>
    </row>
    <row r="6692">
      <c r="A6692" s="926" t="n">
        <v>40778</v>
      </c>
      <c r="B6692" t="n">
        <v>7.7975</v>
      </c>
      <c r="C6692" t="n">
        <v>1.2207</v>
      </c>
    </row>
    <row r="6693">
      <c r="A6693" s="926" t="n">
        <v>40779</v>
      </c>
      <c r="B6693" t="n">
        <v>7.7965</v>
      </c>
      <c r="C6693" t="n">
        <v>1.222</v>
      </c>
    </row>
    <row r="6694">
      <c r="A6694" s="926" t="n">
        <v>40780</v>
      </c>
      <c r="B6694" t="n">
        <v>7.7945</v>
      </c>
      <c r="C6694" t="n">
        <v>1.22205</v>
      </c>
    </row>
    <row r="6695">
      <c r="A6695" s="926" t="n">
        <v>40781</v>
      </c>
      <c r="B6695" t="n">
        <v>7.7965</v>
      </c>
      <c r="C6695" t="n">
        <v>1.2225</v>
      </c>
    </row>
    <row r="6696">
      <c r="A6696" s="926" t="n">
        <v>40782</v>
      </c>
      <c r="B6696" t="n">
        <v>7.7925</v>
      </c>
      <c r="C6696" t="n">
        <v>1.22445</v>
      </c>
    </row>
    <row r="6697">
      <c r="A6697" s="926" t="n">
        <v>40784</v>
      </c>
      <c r="B6697" t="n">
        <v>7.7935</v>
      </c>
      <c r="C6697" t="n">
        <v>1.22335</v>
      </c>
    </row>
    <row r="6698">
      <c r="A6698" s="926" t="n">
        <v>40785</v>
      </c>
      <c r="B6698" t="n">
        <v>7.7945</v>
      </c>
      <c r="C6698" t="n">
        <v>1.2237</v>
      </c>
    </row>
    <row r="6699">
      <c r="A6699" s="926" t="n">
        <v>40786</v>
      </c>
      <c r="B6699" t="n">
        <v>7.7955</v>
      </c>
      <c r="C6699" t="n">
        <v>1.22405</v>
      </c>
    </row>
    <row r="6700">
      <c r="A6700" s="926" t="n">
        <v>40787</v>
      </c>
      <c r="B6700" t="n">
        <v>7.7845</v>
      </c>
      <c r="C6700" t="n">
        <v>1.2227</v>
      </c>
    </row>
    <row r="6701">
      <c r="A6701" s="926" t="n">
        <v>40788</v>
      </c>
      <c r="B6701" t="n">
        <v>7.7875</v>
      </c>
      <c r="C6701" t="n">
        <v>1.2221</v>
      </c>
    </row>
    <row r="6702">
      <c r="A6702" s="926" t="n">
        <v>40789</v>
      </c>
      <c r="B6702" t="n">
        <v>7.7855</v>
      </c>
      <c r="C6702" t="n">
        <v>1.2245</v>
      </c>
    </row>
    <row r="6703">
      <c r="A6703" s="926" t="n">
        <v>40791</v>
      </c>
      <c r="B6703" t="n">
        <v>7.7885</v>
      </c>
      <c r="C6703" t="n">
        <v>1.2216</v>
      </c>
    </row>
    <row r="6704">
      <c r="A6704" s="926" t="n">
        <v>40792</v>
      </c>
      <c r="B6704" t="n">
        <v>7.7925</v>
      </c>
      <c r="C6704" t="n">
        <v>1.22155</v>
      </c>
    </row>
    <row r="6705">
      <c r="A6705" s="926" t="n">
        <v>40793</v>
      </c>
      <c r="B6705" t="n">
        <v>7.7935</v>
      </c>
      <c r="C6705" t="n">
        <v>1.22105</v>
      </c>
    </row>
    <row r="6706">
      <c r="A6706" s="926" t="n">
        <v>40794</v>
      </c>
      <c r="B6706" t="n">
        <v>7.7945</v>
      </c>
      <c r="C6706" t="n">
        <v>1.2212</v>
      </c>
    </row>
    <row r="6707">
      <c r="A6707" s="926" t="n">
        <v>40795</v>
      </c>
      <c r="B6707" t="n">
        <v>7.7925</v>
      </c>
      <c r="C6707" t="n">
        <v>1.22165</v>
      </c>
    </row>
    <row r="6708">
      <c r="A6708" s="926" t="n">
        <v>40796</v>
      </c>
      <c r="B6708" t="n">
        <v>7.7925</v>
      </c>
      <c r="C6708" t="n">
        <v>1.22385</v>
      </c>
    </row>
    <row r="6709">
      <c r="A6709" s="926" t="n">
        <v>40798</v>
      </c>
      <c r="B6709" t="n">
        <v>7.8005</v>
      </c>
      <c r="C6709" t="n">
        <v>1.223</v>
      </c>
    </row>
    <row r="6710">
      <c r="A6710" s="926" t="n">
        <v>40800</v>
      </c>
      <c r="B6710" t="n">
        <v>7.8065</v>
      </c>
      <c r="C6710" t="n">
        <v>1.2225</v>
      </c>
    </row>
    <row r="6711">
      <c r="A6711" s="926" t="n">
        <v>40801</v>
      </c>
      <c r="B6711" t="n">
        <v>7.7985</v>
      </c>
      <c r="C6711" t="n">
        <v>1.2224</v>
      </c>
    </row>
    <row r="6712">
      <c r="A6712" s="926" t="n">
        <v>40802</v>
      </c>
      <c r="B6712" t="n">
        <v>7.7895</v>
      </c>
      <c r="C6712" t="n">
        <v>1.2223</v>
      </c>
    </row>
    <row r="6713">
      <c r="A6713" s="926" t="n">
        <v>40803</v>
      </c>
      <c r="B6713" t="n">
        <v>7.7885</v>
      </c>
      <c r="C6713" t="n">
        <v>1.2245</v>
      </c>
    </row>
    <row r="6714">
      <c r="A6714" s="926" t="n">
        <v>40805</v>
      </c>
      <c r="B6714" t="n">
        <v>7.7945</v>
      </c>
      <c r="C6714" t="n">
        <v>1.2228</v>
      </c>
    </row>
    <row r="6715">
      <c r="A6715" s="926" t="n">
        <v>40806</v>
      </c>
      <c r="B6715" t="n">
        <v>7.7935</v>
      </c>
      <c r="C6715" t="n">
        <v>1.2224</v>
      </c>
    </row>
    <row r="6716">
      <c r="A6716" s="926" t="n">
        <v>40807</v>
      </c>
      <c r="B6716" t="n">
        <v>7.7885</v>
      </c>
      <c r="C6716" t="n">
        <v>1.2233</v>
      </c>
    </row>
    <row r="6717">
      <c r="A6717" s="926" t="n">
        <v>40808</v>
      </c>
      <c r="B6717" t="n">
        <v>7.7955</v>
      </c>
      <c r="C6717" t="n">
        <v>1.22155</v>
      </c>
    </row>
    <row r="6718">
      <c r="A6718" s="926" t="n">
        <v>40809</v>
      </c>
      <c r="B6718" t="n">
        <v>7.7955</v>
      </c>
      <c r="C6718" t="n">
        <v>1.2221</v>
      </c>
    </row>
    <row r="6719">
      <c r="A6719" s="926" t="n">
        <v>40810</v>
      </c>
      <c r="B6719" t="n">
        <v>7.8015</v>
      </c>
      <c r="C6719" t="n">
        <v>1.225</v>
      </c>
    </row>
    <row r="6720">
      <c r="A6720" s="926" t="n">
        <v>40812</v>
      </c>
      <c r="B6720" t="n">
        <v>7.7995</v>
      </c>
      <c r="C6720" t="n">
        <v>1.22295</v>
      </c>
    </row>
    <row r="6721">
      <c r="A6721" s="926" t="n">
        <v>40813</v>
      </c>
      <c r="B6721" t="n">
        <v>7.7925</v>
      </c>
      <c r="C6721" t="n">
        <v>1.22145</v>
      </c>
    </row>
    <row r="6722">
      <c r="A6722" s="926" t="n">
        <v>40814</v>
      </c>
      <c r="B6722" t="n">
        <v>7.7945</v>
      </c>
      <c r="C6722" t="n">
        <v>1.2218</v>
      </c>
    </row>
    <row r="6723">
      <c r="A6723" s="926" t="n">
        <v>40816</v>
      </c>
      <c r="B6723" t="n">
        <v>7.7915</v>
      </c>
      <c r="C6723" t="n">
        <v>1.22275</v>
      </c>
    </row>
    <row r="6724">
      <c r="A6724" s="926" t="n">
        <v>40819</v>
      </c>
      <c r="B6724" t="n">
        <v>7.7875</v>
      </c>
      <c r="C6724" t="n">
        <v>1.22245</v>
      </c>
    </row>
    <row r="6725">
      <c r="A6725" s="926" t="n">
        <v>40820</v>
      </c>
      <c r="B6725" t="n">
        <v>7.7855</v>
      </c>
      <c r="C6725" t="n">
        <v>1.2223</v>
      </c>
    </row>
    <row r="6726">
      <c r="A6726" s="926" t="n">
        <v>40822</v>
      </c>
      <c r="B6726" t="n">
        <v>7.7835</v>
      </c>
      <c r="C6726" t="n">
        <v>1.2215</v>
      </c>
    </row>
    <row r="6727">
      <c r="A6727" s="926" t="n">
        <v>40823</v>
      </c>
      <c r="B6727" t="n">
        <v>7.7825</v>
      </c>
      <c r="C6727" t="n">
        <v>1.2216</v>
      </c>
    </row>
    <row r="6728">
      <c r="A6728" s="926" t="n">
        <v>40824</v>
      </c>
      <c r="B6728" t="n">
        <v>7.7825</v>
      </c>
      <c r="C6728" t="n">
        <v>1.22395</v>
      </c>
    </row>
    <row r="6729">
      <c r="A6729" s="926" t="n">
        <v>40826</v>
      </c>
      <c r="B6729" t="n">
        <v>7.7815</v>
      </c>
      <c r="C6729" t="n">
        <v>1.22395</v>
      </c>
    </row>
    <row r="6730">
      <c r="A6730" s="926" t="n">
        <v>40827</v>
      </c>
      <c r="B6730" t="n">
        <v>7.7815</v>
      </c>
      <c r="C6730" t="n">
        <v>1.22415</v>
      </c>
    </row>
    <row r="6731">
      <c r="A6731" s="926" t="n">
        <v>40828</v>
      </c>
      <c r="B6731" t="n">
        <v>7.7815</v>
      </c>
      <c r="C6731" t="n">
        <v>1.2209</v>
      </c>
    </row>
    <row r="6732">
      <c r="A6732" s="926" t="n">
        <v>40829</v>
      </c>
      <c r="B6732" t="n">
        <v>7.7785</v>
      </c>
      <c r="C6732" t="n">
        <v>1.22</v>
      </c>
    </row>
    <row r="6733">
      <c r="A6733" s="926" t="n">
        <v>40830</v>
      </c>
      <c r="B6733" t="n">
        <v>7.7785</v>
      </c>
      <c r="C6733" t="n">
        <v>1.2212</v>
      </c>
    </row>
    <row r="6734">
      <c r="A6734" s="926" t="n">
        <v>40831</v>
      </c>
      <c r="B6734" t="n">
        <v>7.7755</v>
      </c>
      <c r="C6734" t="n">
        <v>1.2235</v>
      </c>
    </row>
    <row r="6735">
      <c r="A6735" s="926" t="n">
        <v>40833</v>
      </c>
      <c r="B6735" t="n">
        <v>7.7765</v>
      </c>
      <c r="C6735" t="n">
        <v>1.22145</v>
      </c>
    </row>
    <row r="6736">
      <c r="A6736" s="926" t="n">
        <v>40834</v>
      </c>
      <c r="B6736" t="n">
        <v>7.7755</v>
      </c>
      <c r="C6736" t="n">
        <v>1.221</v>
      </c>
    </row>
    <row r="6737">
      <c r="A6737" s="926" t="n">
        <v>40835</v>
      </c>
      <c r="B6737" t="n">
        <v>7.7765</v>
      </c>
      <c r="C6737" t="n">
        <v>1.22105</v>
      </c>
    </row>
    <row r="6738">
      <c r="A6738" s="926" t="n">
        <v>40836</v>
      </c>
      <c r="B6738" t="n">
        <v>7.7785</v>
      </c>
      <c r="C6738" t="n">
        <v>1.21965</v>
      </c>
    </row>
    <row r="6739">
      <c r="A6739" s="926" t="n">
        <v>40837</v>
      </c>
      <c r="B6739" t="n">
        <v>7.7795</v>
      </c>
      <c r="C6739" t="n">
        <v>1.22105</v>
      </c>
    </row>
    <row r="6740">
      <c r="A6740" s="926" t="n">
        <v>40838</v>
      </c>
      <c r="B6740" t="n">
        <v>7.7785</v>
      </c>
      <c r="C6740" t="n">
        <v>1.22255</v>
      </c>
    </row>
    <row r="6741">
      <c r="A6741" s="926" t="n">
        <v>40840</v>
      </c>
      <c r="B6741" t="n">
        <v>7.7785</v>
      </c>
      <c r="C6741" t="n">
        <v>1.2227</v>
      </c>
    </row>
    <row r="6742">
      <c r="A6742" s="926" t="n">
        <v>40841</v>
      </c>
      <c r="B6742" t="n">
        <v>7.7745</v>
      </c>
      <c r="C6742" t="n">
        <v>1.22345</v>
      </c>
    </row>
    <row r="6743">
      <c r="A6743" s="926" t="n">
        <v>40842</v>
      </c>
      <c r="B6743" t="n">
        <v>7.7725</v>
      </c>
      <c r="C6743" t="n">
        <v>1.22215</v>
      </c>
    </row>
    <row r="6744">
      <c r="A6744" s="926" t="n">
        <v>40843</v>
      </c>
      <c r="B6744" t="n">
        <v>7.7705</v>
      </c>
      <c r="C6744" t="n">
        <v>1.2235</v>
      </c>
    </row>
    <row r="6745">
      <c r="A6745" s="926" t="n">
        <v>40844</v>
      </c>
      <c r="B6745" t="n">
        <v>7.7705</v>
      </c>
      <c r="C6745" t="n">
        <v>1.22495</v>
      </c>
    </row>
    <row r="6746">
      <c r="A6746" s="926" t="n">
        <v>40845</v>
      </c>
      <c r="B6746" t="n">
        <v>7.7605</v>
      </c>
      <c r="C6746" t="n">
        <v>1.22745</v>
      </c>
    </row>
    <row r="6747">
      <c r="A6747" s="926" t="n">
        <v>40847</v>
      </c>
      <c r="B6747" t="n">
        <v>7.7675</v>
      </c>
      <c r="C6747" t="n">
        <v>1.2237</v>
      </c>
    </row>
    <row r="6748">
      <c r="A6748" s="926" t="n">
        <v>40848</v>
      </c>
      <c r="B6748" t="n">
        <v>7.7675</v>
      </c>
      <c r="C6748" t="n">
        <v>1.223</v>
      </c>
    </row>
    <row r="6749">
      <c r="A6749" s="926" t="n">
        <v>40849</v>
      </c>
      <c r="B6749" t="n">
        <v>7.7695</v>
      </c>
      <c r="C6749" t="n">
        <v>1.224</v>
      </c>
    </row>
    <row r="6750">
      <c r="A6750" s="926" t="n">
        <v>40850</v>
      </c>
      <c r="B6750" t="n">
        <v>7.7695</v>
      </c>
      <c r="C6750" t="n">
        <v>1.22475</v>
      </c>
    </row>
    <row r="6751">
      <c r="A6751" s="926" t="n">
        <v>40851</v>
      </c>
      <c r="B6751" t="n">
        <v>7.7675</v>
      </c>
      <c r="C6751" t="n">
        <v>1.22525</v>
      </c>
    </row>
    <row r="6752">
      <c r="A6752" s="926" t="n">
        <v>40852</v>
      </c>
      <c r="B6752" t="n">
        <v>7.7645</v>
      </c>
      <c r="C6752" t="n">
        <v>1.22745</v>
      </c>
    </row>
    <row r="6753">
      <c r="A6753" s="926" t="n">
        <v>40854</v>
      </c>
      <c r="B6753" t="n">
        <v>7.7685</v>
      </c>
      <c r="C6753" t="n">
        <v>1.2246</v>
      </c>
    </row>
    <row r="6754">
      <c r="A6754" s="926" t="n">
        <v>40855</v>
      </c>
      <c r="B6754" t="n">
        <v>7.7705</v>
      </c>
      <c r="C6754" t="n">
        <v>1.2252</v>
      </c>
    </row>
    <row r="6755">
      <c r="A6755" s="926" t="n">
        <v>40856</v>
      </c>
      <c r="B6755" t="n">
        <v>7.7695</v>
      </c>
      <c r="C6755" t="n">
        <v>1.2271</v>
      </c>
    </row>
    <row r="6756">
      <c r="A6756" s="926" t="n">
        <v>40857</v>
      </c>
      <c r="B6756" t="n">
        <v>7.7775</v>
      </c>
      <c r="C6756" t="n">
        <v>1.2272</v>
      </c>
    </row>
    <row r="6757">
      <c r="A6757" s="926" t="n">
        <v>40858</v>
      </c>
      <c r="B6757" t="n">
        <v>7.7795</v>
      </c>
      <c r="C6757" t="n">
        <v>1.2279</v>
      </c>
    </row>
    <row r="6758">
      <c r="A6758" s="926" t="n">
        <v>40859</v>
      </c>
      <c r="B6758" t="n">
        <v>7.7775</v>
      </c>
      <c r="C6758" t="n">
        <v>1.2305</v>
      </c>
    </row>
    <row r="6759">
      <c r="A6759" s="926" t="n">
        <v>40861</v>
      </c>
      <c r="B6759" t="n">
        <v>7.7785</v>
      </c>
      <c r="C6759" t="n">
        <v>1.22735</v>
      </c>
    </row>
    <row r="6760">
      <c r="A6760" s="926" t="n">
        <v>40862</v>
      </c>
      <c r="B6760" t="n">
        <v>7.7805</v>
      </c>
      <c r="C6760" t="n">
        <v>1.2259</v>
      </c>
    </row>
    <row r="6761">
      <c r="A6761" s="926" t="n">
        <v>40863</v>
      </c>
      <c r="B6761" t="n">
        <v>7.7845</v>
      </c>
      <c r="C6761" t="n">
        <v>1.2281</v>
      </c>
    </row>
    <row r="6762">
      <c r="A6762" s="926" t="n">
        <v>40864</v>
      </c>
      <c r="B6762" t="n">
        <v>7.7845</v>
      </c>
      <c r="C6762" t="n">
        <v>1.22695</v>
      </c>
    </row>
    <row r="6763">
      <c r="A6763" s="926" t="n">
        <v>40865</v>
      </c>
      <c r="B6763" t="n">
        <v>7.7875</v>
      </c>
      <c r="C6763" t="n">
        <v>1.22565</v>
      </c>
    </row>
    <row r="6764">
      <c r="A6764" s="926" t="n">
        <v>40866</v>
      </c>
      <c r="B6764" t="n">
        <v>7.7875</v>
      </c>
      <c r="C6764" t="n">
        <v>1.22795</v>
      </c>
    </row>
    <row r="6765">
      <c r="A6765" s="926" t="n">
        <v>40868</v>
      </c>
      <c r="B6765" t="n">
        <v>7.7885</v>
      </c>
      <c r="C6765" t="n">
        <v>1.22545</v>
      </c>
    </row>
    <row r="6766">
      <c r="A6766" s="926" t="n">
        <v>40869</v>
      </c>
      <c r="B6766" t="n">
        <v>7.7895</v>
      </c>
      <c r="C6766" t="n">
        <v>1.22485</v>
      </c>
    </row>
    <row r="6767">
      <c r="A6767" s="926" t="n">
        <v>40870</v>
      </c>
      <c r="B6767" t="n">
        <v>7.7925</v>
      </c>
      <c r="C6767" t="n">
        <v>1.22695</v>
      </c>
    </row>
    <row r="6768">
      <c r="A6768" s="926" t="n">
        <v>40871</v>
      </c>
      <c r="B6768" t="n">
        <v>7.7935</v>
      </c>
      <c r="C6768" t="n">
        <v>1.227</v>
      </c>
    </row>
    <row r="6769">
      <c r="A6769" s="926" t="n">
        <v>40872</v>
      </c>
      <c r="B6769" t="n">
        <v>7.7945</v>
      </c>
      <c r="C6769" t="n">
        <v>1.2263</v>
      </c>
    </row>
    <row r="6770">
      <c r="A6770" s="926" t="n">
        <v>40873</v>
      </c>
      <c r="B6770" t="n">
        <v>7.7925</v>
      </c>
      <c r="C6770" t="n">
        <v>1.2284</v>
      </c>
    </row>
    <row r="6771">
      <c r="A6771" s="926" t="n">
        <v>40875</v>
      </c>
      <c r="B6771" t="n">
        <v>7.7935</v>
      </c>
      <c r="C6771" t="n">
        <v>1.222</v>
      </c>
    </row>
    <row r="6772">
      <c r="A6772" s="926" t="n">
        <v>40876</v>
      </c>
      <c r="B6772" t="n">
        <v>7.7925</v>
      </c>
      <c r="C6772" t="n">
        <v>1.22185</v>
      </c>
    </row>
    <row r="6773">
      <c r="A6773" s="926" t="n">
        <v>40877</v>
      </c>
      <c r="B6773" t="n">
        <v>7.7875</v>
      </c>
      <c r="C6773" t="n">
        <v>1.2218</v>
      </c>
    </row>
    <row r="6774">
      <c r="A6774" s="926" t="n">
        <v>40878</v>
      </c>
      <c r="B6774" t="n">
        <v>7.7745</v>
      </c>
      <c r="C6774" t="n">
        <v>1.22295</v>
      </c>
    </row>
    <row r="6775">
      <c r="A6775" s="926" t="n">
        <v>40879</v>
      </c>
      <c r="B6775" t="n">
        <v>7.7715</v>
      </c>
      <c r="C6775" t="n">
        <v>1.22315</v>
      </c>
    </row>
    <row r="6776">
      <c r="A6776" s="926" t="n">
        <v>40880</v>
      </c>
      <c r="B6776" t="n">
        <v>7.7685</v>
      </c>
      <c r="C6776" t="n">
        <v>1.22555</v>
      </c>
    </row>
    <row r="6777">
      <c r="A6777" s="926" t="n">
        <v>40882</v>
      </c>
      <c r="B6777" t="n">
        <v>7.7705</v>
      </c>
      <c r="C6777" t="n">
        <v>1.223</v>
      </c>
    </row>
    <row r="6778">
      <c r="A6778" s="926" t="n">
        <v>40883</v>
      </c>
      <c r="B6778" t="n">
        <v>7.7745</v>
      </c>
      <c r="C6778" t="n">
        <v>1.22315</v>
      </c>
    </row>
    <row r="6779">
      <c r="A6779" s="926" t="n">
        <v>40884</v>
      </c>
      <c r="B6779" t="n">
        <v>7.7725</v>
      </c>
      <c r="C6779" t="n">
        <v>1.22255</v>
      </c>
    </row>
    <row r="6780">
      <c r="A6780" s="926" t="n">
        <v>40885</v>
      </c>
      <c r="B6780" t="n">
        <v>7.7755</v>
      </c>
      <c r="C6780" t="n">
        <v>1.223</v>
      </c>
    </row>
    <row r="6781">
      <c r="A6781" s="926" t="n">
        <v>40886</v>
      </c>
      <c r="B6781" t="n">
        <v>7.7815</v>
      </c>
      <c r="C6781" t="n">
        <v>1.22375</v>
      </c>
    </row>
    <row r="6782">
      <c r="A6782" s="926" t="n">
        <v>40887</v>
      </c>
      <c r="B6782" t="n">
        <v>7.7825</v>
      </c>
      <c r="C6782" t="n">
        <v>1.22605</v>
      </c>
    </row>
    <row r="6783">
      <c r="A6783" s="926" t="n">
        <v>40889</v>
      </c>
      <c r="B6783" t="n">
        <v>7.7795</v>
      </c>
      <c r="C6783" t="n">
        <v>1.225</v>
      </c>
    </row>
    <row r="6784">
      <c r="A6784" s="926" t="n">
        <v>40890</v>
      </c>
      <c r="B6784" t="n">
        <v>7.7805</v>
      </c>
      <c r="C6784" t="n">
        <v>1.2236</v>
      </c>
    </row>
    <row r="6785">
      <c r="A6785" s="926" t="n">
        <v>40891</v>
      </c>
      <c r="B6785" t="n">
        <v>7.7805</v>
      </c>
      <c r="C6785" t="n">
        <v>1.22265</v>
      </c>
    </row>
    <row r="6786">
      <c r="A6786" s="926" t="n">
        <v>40892</v>
      </c>
      <c r="B6786" t="n">
        <v>7.7835</v>
      </c>
      <c r="C6786" t="n">
        <v>1.22195</v>
      </c>
    </row>
    <row r="6787">
      <c r="A6787" s="926" t="n">
        <v>40893</v>
      </c>
      <c r="B6787" t="n">
        <v>7.7805</v>
      </c>
      <c r="C6787" t="n">
        <v>1.224</v>
      </c>
    </row>
    <row r="6788">
      <c r="A6788" s="926" t="n">
        <v>40894</v>
      </c>
      <c r="B6788" t="n">
        <v>7.7825</v>
      </c>
      <c r="C6788" t="n">
        <v>1.2275</v>
      </c>
    </row>
    <row r="6789">
      <c r="A6789" s="926" t="n">
        <v>40896</v>
      </c>
      <c r="B6789" t="n">
        <v>7.7845</v>
      </c>
      <c r="C6789" t="n">
        <v>1.225</v>
      </c>
    </row>
    <row r="6790">
      <c r="A6790" s="926" t="n">
        <v>40897</v>
      </c>
      <c r="B6790" t="n">
        <v>7.7825</v>
      </c>
      <c r="C6790" t="n">
        <v>1.225</v>
      </c>
    </row>
    <row r="6791">
      <c r="A6791" s="926" t="n">
        <v>40898</v>
      </c>
      <c r="B6791" t="n">
        <v>7.7795</v>
      </c>
      <c r="C6791" t="n">
        <v>1.2271</v>
      </c>
    </row>
    <row r="6792">
      <c r="A6792" s="926" t="n">
        <v>40899</v>
      </c>
      <c r="B6792" t="n">
        <v>7.7805</v>
      </c>
      <c r="C6792" t="n">
        <v>1.2269</v>
      </c>
    </row>
    <row r="6793">
      <c r="A6793" s="926" t="n">
        <v>40900</v>
      </c>
      <c r="B6793" t="n">
        <v>7.7765</v>
      </c>
      <c r="C6793" t="n">
        <v>1.22625</v>
      </c>
    </row>
    <row r="6794">
      <c r="A6794" s="926" t="n">
        <v>40901</v>
      </c>
      <c r="B6794" t="n">
        <v>7.7775</v>
      </c>
      <c r="C6794" t="n">
        <v>1.22955</v>
      </c>
    </row>
    <row r="6795">
      <c r="A6795" s="926" t="n">
        <v>40905</v>
      </c>
      <c r="B6795" t="n">
        <v>7.7755</v>
      </c>
      <c r="C6795" t="n">
        <v>1.229</v>
      </c>
    </row>
    <row r="6796">
      <c r="A6796" s="926" t="n">
        <v>40906</v>
      </c>
      <c r="B6796" t="n">
        <v>7.7735</v>
      </c>
      <c r="C6796" t="n">
        <v>1.22905</v>
      </c>
    </row>
    <row r="6797">
      <c r="A6797" s="926" t="n">
        <v>40907</v>
      </c>
      <c r="B6797" t="n">
        <v>7.7685</v>
      </c>
      <c r="C6797" t="n">
        <v>1.23085</v>
      </c>
    </row>
    <row r="6798">
      <c r="A6798" s="926" t="n">
        <v>40908</v>
      </c>
      <c r="B6798" t="n">
        <v>7.7655</v>
      </c>
      <c r="C6798" t="n">
        <v>1.2325</v>
      </c>
    </row>
    <row r="6799">
      <c r="A6799" s="926" t="n">
        <v>40911</v>
      </c>
      <c r="B6799" t="n">
        <v>7.7695</v>
      </c>
      <c r="C6799" t="n">
        <v>1.2316</v>
      </c>
    </row>
    <row r="6800">
      <c r="A6800" s="926" t="n">
        <v>40912</v>
      </c>
      <c r="B6800" t="n">
        <v>7.7685</v>
      </c>
      <c r="C6800" t="n">
        <v>1.2325</v>
      </c>
    </row>
    <row r="6801">
      <c r="A6801" s="926" t="n">
        <v>40913</v>
      </c>
      <c r="B6801" t="n">
        <v>7.7665</v>
      </c>
      <c r="C6801" t="n">
        <v>1.23015</v>
      </c>
    </row>
    <row r="6802">
      <c r="A6802" s="926" t="n">
        <v>40914</v>
      </c>
      <c r="B6802" t="n">
        <v>7.7655</v>
      </c>
      <c r="C6802" t="n">
        <v>1.2305</v>
      </c>
    </row>
    <row r="6803">
      <c r="A6803" s="926" t="n">
        <v>40915</v>
      </c>
      <c r="B6803" t="n">
        <v>7.7635</v>
      </c>
      <c r="C6803" t="n">
        <v>1.233</v>
      </c>
    </row>
    <row r="6804">
      <c r="A6804" s="926" t="n">
        <v>40917</v>
      </c>
      <c r="B6804" t="n">
        <v>7.7645</v>
      </c>
      <c r="C6804" t="n">
        <v>1.2296</v>
      </c>
    </row>
    <row r="6805">
      <c r="A6805" s="926" t="n">
        <v>40918</v>
      </c>
      <c r="B6805" t="n">
        <v>7.7675</v>
      </c>
      <c r="C6805" t="n">
        <v>1.22955</v>
      </c>
    </row>
    <row r="6806">
      <c r="A6806" s="926" t="n">
        <v>40919</v>
      </c>
      <c r="B6806" t="n">
        <v>7.7675</v>
      </c>
      <c r="C6806" t="n">
        <v>1.22965</v>
      </c>
    </row>
    <row r="6807">
      <c r="A6807" s="926" t="n">
        <v>40920</v>
      </c>
      <c r="B6807" t="n">
        <v>7.7675</v>
      </c>
      <c r="C6807" t="n">
        <v>1.22965</v>
      </c>
    </row>
    <row r="6808">
      <c r="A6808" s="926" t="n">
        <v>40921</v>
      </c>
      <c r="B6808" t="n">
        <v>7.7675</v>
      </c>
      <c r="C6808" t="n">
        <v>1.22955</v>
      </c>
    </row>
    <row r="6809">
      <c r="A6809" s="926" t="n">
        <v>40922</v>
      </c>
      <c r="B6809" t="n">
        <v>7.7635</v>
      </c>
      <c r="C6809" t="n">
        <v>1.2319</v>
      </c>
    </row>
    <row r="6810">
      <c r="A6810" s="926" t="n">
        <v>40924</v>
      </c>
      <c r="B6810" t="n">
        <v>7.7685</v>
      </c>
      <c r="C6810" t="n">
        <v>1.2307</v>
      </c>
    </row>
    <row r="6811">
      <c r="A6811" s="926" t="n">
        <v>40925</v>
      </c>
      <c r="B6811" t="n">
        <v>7.7655</v>
      </c>
      <c r="C6811" t="n">
        <v>1.23035</v>
      </c>
    </row>
    <row r="6812">
      <c r="A6812" s="926" t="n">
        <v>40926</v>
      </c>
      <c r="B6812" t="n">
        <v>7.7625</v>
      </c>
      <c r="C6812" t="n">
        <v>1.231</v>
      </c>
    </row>
    <row r="6813">
      <c r="A6813" s="926" t="n">
        <v>40927</v>
      </c>
      <c r="B6813" t="n">
        <v>7.7635</v>
      </c>
      <c r="C6813" t="n">
        <v>1.23105</v>
      </c>
    </row>
    <row r="6814">
      <c r="A6814" s="926" t="n">
        <v>40928</v>
      </c>
      <c r="B6814" t="n">
        <v>7.7615</v>
      </c>
      <c r="C6814" t="n">
        <v>1.22955</v>
      </c>
    </row>
    <row r="6815">
      <c r="A6815" s="926" t="n">
        <v>40929</v>
      </c>
      <c r="B6815" t="n">
        <v>7.7605</v>
      </c>
      <c r="C6815" t="n">
        <v>1.2318</v>
      </c>
    </row>
    <row r="6816">
      <c r="A6816" s="926" t="n">
        <v>40934</v>
      </c>
      <c r="B6816" t="n">
        <v>7.7585</v>
      </c>
      <c r="C6816" t="n">
        <v>1.2293</v>
      </c>
    </row>
    <row r="6817">
      <c r="A6817" s="926" t="n">
        <v>40935</v>
      </c>
      <c r="B6817" t="n">
        <v>7.7575</v>
      </c>
      <c r="C6817" t="n">
        <v>1.2291</v>
      </c>
    </row>
    <row r="6818">
      <c r="A6818" s="926" t="n">
        <v>40936</v>
      </c>
      <c r="B6818" t="n">
        <v>7.7535</v>
      </c>
      <c r="C6818" t="n">
        <v>1.23165</v>
      </c>
    </row>
    <row r="6819">
      <c r="A6819" s="926" t="n">
        <v>40938</v>
      </c>
      <c r="B6819" t="n">
        <v>7.7575</v>
      </c>
      <c r="C6819" t="n">
        <v>1.2289</v>
      </c>
    </row>
    <row r="6820">
      <c r="A6820" s="926" t="n">
        <v>40939</v>
      </c>
      <c r="B6820" t="n">
        <v>7.7555</v>
      </c>
      <c r="C6820" t="n">
        <v>1.229</v>
      </c>
    </row>
    <row r="6821">
      <c r="A6821" s="926" t="n">
        <v>40940</v>
      </c>
      <c r="B6821" t="n">
        <v>7.7555</v>
      </c>
      <c r="C6821" t="n">
        <v>1.23085</v>
      </c>
    </row>
    <row r="6822">
      <c r="A6822" s="926" t="n">
        <v>40941</v>
      </c>
      <c r="B6822" t="n">
        <v>7.7555</v>
      </c>
      <c r="C6822" t="n">
        <v>1.23115</v>
      </c>
    </row>
    <row r="6823">
      <c r="A6823" s="926" t="n">
        <v>40942</v>
      </c>
      <c r="B6823" t="n">
        <v>7.7555</v>
      </c>
      <c r="C6823" t="n">
        <v>1.2306</v>
      </c>
    </row>
    <row r="6824">
      <c r="A6824" s="926" t="n">
        <v>40943</v>
      </c>
      <c r="B6824" t="n">
        <v>7.7525</v>
      </c>
      <c r="C6824" t="n">
        <v>1.2329</v>
      </c>
    </row>
    <row r="6825">
      <c r="A6825" s="926" t="n">
        <v>40945</v>
      </c>
      <c r="B6825" t="n">
        <v>7.7545</v>
      </c>
      <c r="C6825" t="n">
        <v>1.2305</v>
      </c>
    </row>
    <row r="6826">
      <c r="A6826" s="926" t="n">
        <v>40946</v>
      </c>
      <c r="B6826" t="n">
        <v>7.7535</v>
      </c>
      <c r="C6826" t="n">
        <v>1.2305</v>
      </c>
    </row>
    <row r="6827">
      <c r="A6827" s="926" t="n">
        <v>40947</v>
      </c>
      <c r="B6827" t="n">
        <v>7.7535</v>
      </c>
      <c r="C6827" t="n">
        <v>1.231</v>
      </c>
    </row>
    <row r="6828">
      <c r="A6828" s="926" t="n">
        <v>40948</v>
      </c>
      <c r="B6828" t="n">
        <v>7.7545</v>
      </c>
      <c r="C6828" t="n">
        <v>1.23265</v>
      </c>
    </row>
    <row r="6829">
      <c r="A6829" s="926" t="n">
        <v>40949</v>
      </c>
      <c r="B6829" t="n">
        <v>7.7565</v>
      </c>
      <c r="C6829" t="n">
        <v>1.2332</v>
      </c>
    </row>
    <row r="6830">
      <c r="A6830" s="926" t="n">
        <v>40950</v>
      </c>
      <c r="B6830" t="n">
        <v>7.7545</v>
      </c>
      <c r="C6830" t="n">
        <v>1.2354</v>
      </c>
    </row>
    <row r="6831">
      <c r="A6831" s="926" t="n">
        <v>40952</v>
      </c>
      <c r="B6831" t="n">
        <v>7.7545</v>
      </c>
      <c r="C6831" t="n">
        <v>1.2319</v>
      </c>
    </row>
    <row r="6832">
      <c r="A6832" s="926" t="n">
        <v>40953</v>
      </c>
      <c r="B6832" t="n">
        <v>7.7525</v>
      </c>
      <c r="C6832" t="n">
        <v>1.23165</v>
      </c>
    </row>
    <row r="6833">
      <c r="A6833" s="926" t="n">
        <v>40954</v>
      </c>
      <c r="B6833" t="n">
        <v>7.7535</v>
      </c>
      <c r="C6833" t="n">
        <v>1.2315</v>
      </c>
    </row>
    <row r="6834">
      <c r="A6834" s="926" t="n">
        <v>40955</v>
      </c>
      <c r="B6834" t="n">
        <v>7.7545</v>
      </c>
      <c r="C6834" t="n">
        <v>1.2324</v>
      </c>
    </row>
    <row r="6835">
      <c r="A6835" s="926" t="n">
        <v>40956</v>
      </c>
      <c r="B6835" t="n">
        <v>7.7545</v>
      </c>
      <c r="C6835" t="n">
        <v>1.2331</v>
      </c>
    </row>
    <row r="6836">
      <c r="A6836" s="926" t="n">
        <v>40957</v>
      </c>
      <c r="B6836" t="n">
        <v>7.754</v>
      </c>
      <c r="C6836" t="n">
        <v>1.23545</v>
      </c>
    </row>
    <row r="6837">
      <c r="A6837" s="926" t="n">
        <v>40959</v>
      </c>
      <c r="B6837" t="n">
        <v>7.7535</v>
      </c>
      <c r="C6837" t="n">
        <v>1.2325</v>
      </c>
    </row>
    <row r="6838">
      <c r="A6838" s="926" t="n">
        <v>40960</v>
      </c>
      <c r="B6838" t="n">
        <v>7.7545</v>
      </c>
      <c r="C6838" t="n">
        <v>1.231</v>
      </c>
    </row>
    <row r="6839">
      <c r="A6839" s="926" t="n">
        <v>40961</v>
      </c>
      <c r="B6839" t="n">
        <v>7.7545</v>
      </c>
      <c r="C6839" t="n">
        <v>1.23255</v>
      </c>
    </row>
    <row r="6840">
      <c r="A6840" s="926" t="n">
        <v>40962</v>
      </c>
      <c r="B6840" t="n">
        <v>7.7555</v>
      </c>
      <c r="C6840" t="n">
        <v>1.2315</v>
      </c>
    </row>
    <row r="6841">
      <c r="A6841" s="926" t="n">
        <v>40963</v>
      </c>
      <c r="B6841" t="n">
        <v>7.7545</v>
      </c>
      <c r="C6841" t="n">
        <v>1.232</v>
      </c>
    </row>
    <row r="6842">
      <c r="A6842" s="926" t="n">
        <v>40964</v>
      </c>
      <c r="B6842" t="n">
        <v>7.7545</v>
      </c>
      <c r="C6842" t="n">
        <v>1.2347</v>
      </c>
    </row>
    <row r="6843">
      <c r="A6843" s="926" t="n">
        <v>40966</v>
      </c>
      <c r="B6843" t="n">
        <v>7.7555</v>
      </c>
      <c r="C6843" t="n">
        <v>1.2316</v>
      </c>
    </row>
    <row r="6844">
      <c r="A6844" s="926" t="n">
        <v>40967</v>
      </c>
      <c r="B6844" t="n">
        <v>7.7545</v>
      </c>
      <c r="C6844" t="n">
        <v>1.2319</v>
      </c>
    </row>
    <row r="6845">
      <c r="A6845" s="926" t="n">
        <v>40968</v>
      </c>
      <c r="B6845" t="n">
        <v>7.7545</v>
      </c>
      <c r="C6845" t="n">
        <v>1.23255</v>
      </c>
    </row>
    <row r="6846">
      <c r="A6846" s="926" t="n">
        <v>40969</v>
      </c>
      <c r="B6846" t="n">
        <v>7.7555</v>
      </c>
      <c r="C6846" t="n">
        <v>1.2319</v>
      </c>
    </row>
    <row r="6847">
      <c r="A6847" s="926" t="n">
        <v>40970</v>
      </c>
      <c r="B6847" t="n">
        <v>7.7565</v>
      </c>
      <c r="C6847" t="n">
        <v>1.2321</v>
      </c>
    </row>
    <row r="6848">
      <c r="A6848" s="926" t="n">
        <v>40971</v>
      </c>
      <c r="B6848" t="n">
        <v>7.7575</v>
      </c>
      <c r="C6848" t="n">
        <v>1.2342</v>
      </c>
    </row>
    <row r="6849">
      <c r="A6849" s="926" t="n">
        <v>40973</v>
      </c>
      <c r="B6849" t="n">
        <v>7.7615</v>
      </c>
      <c r="C6849" t="n">
        <v>1.2315</v>
      </c>
    </row>
    <row r="6850">
      <c r="A6850" s="926" t="n">
        <v>40974</v>
      </c>
      <c r="B6850" t="n">
        <v>7.7615</v>
      </c>
      <c r="C6850" t="n">
        <v>1.2318</v>
      </c>
    </row>
    <row r="6851">
      <c r="A6851" s="926" t="n">
        <v>40975</v>
      </c>
      <c r="B6851" t="n">
        <v>7.7625</v>
      </c>
      <c r="C6851" t="n">
        <v>1.2315</v>
      </c>
    </row>
    <row r="6852">
      <c r="A6852" s="926" t="n">
        <v>40976</v>
      </c>
      <c r="B6852" t="n">
        <v>7.7635</v>
      </c>
      <c r="C6852" t="n">
        <v>1.2316</v>
      </c>
    </row>
    <row r="6853">
      <c r="A6853" s="926" t="n">
        <v>40977</v>
      </c>
      <c r="B6853" t="n">
        <v>7.7565</v>
      </c>
      <c r="C6853" t="n">
        <v>1.2308</v>
      </c>
    </row>
    <row r="6854">
      <c r="A6854" s="926" t="n">
        <v>40978</v>
      </c>
      <c r="B6854" t="n">
        <v>7.7555</v>
      </c>
      <c r="C6854" t="n">
        <v>1.2335</v>
      </c>
    </row>
    <row r="6855">
      <c r="A6855" s="926" t="n">
        <v>40980</v>
      </c>
      <c r="B6855" t="n">
        <v>7.7575</v>
      </c>
      <c r="C6855" t="n">
        <v>1.22815</v>
      </c>
    </row>
    <row r="6856">
      <c r="A6856" s="926" t="n">
        <v>40981</v>
      </c>
      <c r="B6856" t="n">
        <v>7.7595</v>
      </c>
      <c r="C6856" t="n">
        <v>1.2283</v>
      </c>
    </row>
    <row r="6857">
      <c r="A6857" s="926" t="n">
        <v>40982</v>
      </c>
      <c r="B6857" t="n">
        <v>7.7615</v>
      </c>
      <c r="C6857" t="n">
        <v>1.22705</v>
      </c>
    </row>
    <row r="6858">
      <c r="A6858" s="926" t="n">
        <v>40983</v>
      </c>
      <c r="B6858" t="n">
        <v>7.7615</v>
      </c>
      <c r="C6858" t="n">
        <v>1.22705</v>
      </c>
    </row>
    <row r="6859">
      <c r="A6859" s="926" t="n">
        <v>40984</v>
      </c>
      <c r="B6859" t="n">
        <v>7.7625</v>
      </c>
      <c r="C6859" t="n">
        <v>1.22915</v>
      </c>
    </row>
    <row r="6860">
      <c r="A6860" s="926" t="n">
        <v>40985</v>
      </c>
      <c r="B6860" t="n">
        <v>7.7635</v>
      </c>
      <c r="C6860" t="n">
        <v>1.2315</v>
      </c>
    </row>
    <row r="6861">
      <c r="A6861" s="926" t="n">
        <v>40987</v>
      </c>
      <c r="B6861" t="n">
        <v>7.7615</v>
      </c>
      <c r="C6861" t="n">
        <v>1.2305</v>
      </c>
    </row>
    <row r="6862">
      <c r="A6862" s="926" t="n">
        <v>40988</v>
      </c>
      <c r="B6862" t="n">
        <v>7.7625</v>
      </c>
      <c r="C6862" t="n">
        <v>1.23</v>
      </c>
    </row>
    <row r="6863">
      <c r="A6863" s="926" t="n">
        <v>40989</v>
      </c>
      <c r="B6863" t="n">
        <v>7.7635</v>
      </c>
      <c r="C6863" t="n">
        <v>1.2299</v>
      </c>
    </row>
    <row r="6864">
      <c r="A6864" s="926" t="n">
        <v>40990</v>
      </c>
      <c r="B6864" t="n">
        <v>7.7635</v>
      </c>
      <c r="C6864" t="n">
        <v>1.23</v>
      </c>
    </row>
    <row r="6865">
      <c r="A6865" s="926" t="n">
        <v>40991</v>
      </c>
      <c r="B6865" t="n">
        <v>7.7665</v>
      </c>
      <c r="C6865" t="n">
        <v>1.233</v>
      </c>
    </row>
    <row r="6866">
      <c r="A6866" s="926" t="n">
        <v>40992</v>
      </c>
      <c r="B6866" t="n">
        <v>7.7675</v>
      </c>
      <c r="C6866" t="n">
        <v>1.2354</v>
      </c>
    </row>
    <row r="6867">
      <c r="A6867" s="926" t="n">
        <v>40994</v>
      </c>
      <c r="B6867" t="n">
        <v>7.7675</v>
      </c>
      <c r="C6867" t="n">
        <v>1.23305</v>
      </c>
    </row>
    <row r="6868">
      <c r="A6868" s="926" t="n">
        <v>40995</v>
      </c>
      <c r="B6868" t="n">
        <v>7.7645</v>
      </c>
      <c r="C6868" t="n">
        <v>1.2317</v>
      </c>
    </row>
    <row r="6869">
      <c r="A6869" s="926" t="n">
        <v>40996</v>
      </c>
      <c r="B6869" t="n">
        <v>7.7635</v>
      </c>
      <c r="C6869" t="n">
        <v>1.2328</v>
      </c>
    </row>
    <row r="6870">
      <c r="A6870" s="926" t="n">
        <v>40997</v>
      </c>
      <c r="B6870" t="n">
        <v>7.7645</v>
      </c>
      <c r="C6870" t="n">
        <v>1.2326</v>
      </c>
    </row>
    <row r="6871">
      <c r="A6871" s="926" t="n">
        <v>40998</v>
      </c>
      <c r="B6871" t="n">
        <v>7.7635</v>
      </c>
      <c r="C6871" t="n">
        <v>1.2324</v>
      </c>
    </row>
    <row r="6872">
      <c r="A6872" s="926" t="n">
        <v>40999</v>
      </c>
      <c r="B6872" t="n">
        <v>7.7645</v>
      </c>
      <c r="C6872" t="n">
        <v>1.2353</v>
      </c>
    </row>
    <row r="6873">
      <c r="A6873" s="926" t="n">
        <v>41001</v>
      </c>
      <c r="B6873" t="n">
        <v>7.7635</v>
      </c>
      <c r="C6873" t="n">
        <v>1.233</v>
      </c>
    </row>
    <row r="6874">
      <c r="A6874" s="926" t="n">
        <v>41002</v>
      </c>
      <c r="B6874" t="n">
        <v>7.7645</v>
      </c>
      <c r="C6874" t="n">
        <v>1.2324</v>
      </c>
    </row>
    <row r="6875">
      <c r="A6875" s="926" t="n">
        <v>41004</v>
      </c>
      <c r="B6875" t="n">
        <v>7.7645</v>
      </c>
      <c r="C6875" t="n">
        <v>1.23405</v>
      </c>
    </row>
    <row r="6876">
      <c r="A6876" s="926" t="n">
        <v>41009</v>
      </c>
      <c r="B6876" t="n">
        <v>7.7645</v>
      </c>
      <c r="C6876" t="n">
        <v>1.233</v>
      </c>
    </row>
    <row r="6877">
      <c r="A6877" s="926" t="n">
        <v>41010</v>
      </c>
      <c r="B6877" t="n">
        <v>7.7635</v>
      </c>
      <c r="C6877" t="n">
        <v>1.2323</v>
      </c>
    </row>
    <row r="6878">
      <c r="A6878" s="926" t="n">
        <v>41011</v>
      </c>
      <c r="B6878" t="n">
        <v>7.7635</v>
      </c>
      <c r="C6878" t="n">
        <v>1.2315</v>
      </c>
    </row>
    <row r="6879">
      <c r="A6879" s="926" t="n">
        <v>41012</v>
      </c>
      <c r="B6879" t="n">
        <v>7.7625</v>
      </c>
      <c r="C6879" t="n">
        <v>1.23265</v>
      </c>
    </row>
    <row r="6880">
      <c r="A6880" s="926" t="n">
        <v>41013</v>
      </c>
      <c r="B6880" t="n">
        <v>7.7595</v>
      </c>
      <c r="C6880" t="n">
        <v>1.235</v>
      </c>
    </row>
    <row r="6881">
      <c r="A6881" s="926" t="n">
        <v>41015</v>
      </c>
      <c r="B6881" t="n">
        <v>7.7585</v>
      </c>
      <c r="C6881" t="n">
        <v>1.2291</v>
      </c>
    </row>
    <row r="6882">
      <c r="A6882" s="926" t="n">
        <v>41016</v>
      </c>
      <c r="B6882" t="n">
        <v>7.7605</v>
      </c>
      <c r="C6882" t="n">
        <v>1.232</v>
      </c>
    </row>
    <row r="6883">
      <c r="A6883" s="926" t="n">
        <v>41017</v>
      </c>
      <c r="B6883" t="n">
        <v>7.7605</v>
      </c>
      <c r="C6883" t="n">
        <v>1.23155</v>
      </c>
    </row>
    <row r="6884">
      <c r="A6884" s="926" t="n">
        <v>41018</v>
      </c>
      <c r="B6884" t="n">
        <v>7.7595</v>
      </c>
      <c r="C6884" t="n">
        <v>1.2307</v>
      </c>
    </row>
    <row r="6885">
      <c r="A6885" s="926" t="n">
        <v>41019</v>
      </c>
      <c r="B6885" t="n">
        <v>7.7605</v>
      </c>
      <c r="C6885" t="n">
        <v>1.231</v>
      </c>
    </row>
    <row r="6886">
      <c r="A6886" s="926" t="n">
        <v>41020</v>
      </c>
      <c r="B6886" t="n">
        <v>7.7595</v>
      </c>
      <c r="C6886" t="n">
        <v>1.2335</v>
      </c>
    </row>
    <row r="6887">
      <c r="A6887" s="926" t="n">
        <v>41022</v>
      </c>
      <c r="B6887" t="n">
        <v>7.7605</v>
      </c>
      <c r="C6887" t="n">
        <v>1.231</v>
      </c>
    </row>
    <row r="6888">
      <c r="A6888" s="926" t="n">
        <v>41023</v>
      </c>
      <c r="B6888" t="n">
        <v>7.7605</v>
      </c>
      <c r="C6888" t="n">
        <v>1.231</v>
      </c>
    </row>
    <row r="6889">
      <c r="A6889" s="926" t="n">
        <v>41024</v>
      </c>
      <c r="B6889" t="n">
        <v>7.7585</v>
      </c>
      <c r="C6889" t="n">
        <v>1.23085</v>
      </c>
    </row>
    <row r="6890">
      <c r="A6890" s="926" t="n">
        <v>41025</v>
      </c>
      <c r="B6890" t="n">
        <v>7.7585</v>
      </c>
      <c r="C6890" t="n">
        <v>1.232</v>
      </c>
    </row>
    <row r="6891">
      <c r="A6891" s="926" t="n">
        <v>41026</v>
      </c>
      <c r="B6891" t="n">
        <v>7.7585</v>
      </c>
      <c r="C6891" t="n">
        <v>1.2295</v>
      </c>
    </row>
    <row r="6892">
      <c r="A6892" s="926" t="n">
        <v>41029</v>
      </c>
      <c r="B6892" t="n">
        <v>7.7585</v>
      </c>
      <c r="C6892" t="n">
        <v>1.229</v>
      </c>
    </row>
    <row r="6893">
      <c r="A6893" s="926" t="n">
        <v>41031</v>
      </c>
      <c r="B6893" t="n">
        <v>7.7575</v>
      </c>
      <c r="C6893" t="n">
        <v>1.2315</v>
      </c>
    </row>
    <row r="6894">
      <c r="A6894" s="926" t="n">
        <v>41032</v>
      </c>
      <c r="B6894" t="n">
        <v>7.7585</v>
      </c>
      <c r="C6894" t="n">
        <v>1.23045</v>
      </c>
    </row>
    <row r="6895">
      <c r="A6895" s="926" t="n">
        <v>41033</v>
      </c>
      <c r="B6895" t="n">
        <v>7.7605</v>
      </c>
      <c r="C6895" t="n">
        <v>1.2307</v>
      </c>
    </row>
    <row r="6896">
      <c r="A6896" s="926" t="n">
        <v>41034</v>
      </c>
      <c r="B6896" t="n">
        <v>7.7585</v>
      </c>
      <c r="C6896" t="n">
        <v>1.23295</v>
      </c>
    </row>
    <row r="6897">
      <c r="A6897" s="926" t="n">
        <v>41036</v>
      </c>
      <c r="B6897" t="n">
        <v>7.7625</v>
      </c>
      <c r="C6897" t="n">
        <v>1.2295</v>
      </c>
    </row>
    <row r="6898">
      <c r="A6898" s="926" t="n">
        <v>41037</v>
      </c>
      <c r="B6898" t="n">
        <v>7.7615</v>
      </c>
      <c r="C6898" t="n">
        <v>1.2305</v>
      </c>
    </row>
    <row r="6899">
      <c r="A6899" s="926" t="n">
        <v>41038</v>
      </c>
      <c r="B6899" t="n">
        <v>7.7615</v>
      </c>
      <c r="C6899" t="n">
        <v>1.23005</v>
      </c>
    </row>
    <row r="6900">
      <c r="A6900" s="926" t="n">
        <v>41039</v>
      </c>
      <c r="B6900" t="n">
        <v>7.7615</v>
      </c>
      <c r="C6900" t="n">
        <v>1.23015</v>
      </c>
    </row>
    <row r="6901">
      <c r="A6901" s="926" t="n">
        <v>41040</v>
      </c>
      <c r="B6901" t="n">
        <v>7.7635</v>
      </c>
      <c r="C6901" t="n">
        <v>1.2295</v>
      </c>
    </row>
    <row r="6902">
      <c r="A6902" s="926" t="n">
        <v>41041</v>
      </c>
      <c r="B6902" t="n">
        <v>7.7655</v>
      </c>
      <c r="C6902" t="n">
        <v>1.2322</v>
      </c>
    </row>
    <row r="6903">
      <c r="A6903" s="926" t="n">
        <v>41043</v>
      </c>
      <c r="B6903" t="n">
        <v>7.7645</v>
      </c>
      <c r="C6903" t="n">
        <v>1.22945</v>
      </c>
    </row>
    <row r="6904">
      <c r="A6904" s="926" t="n">
        <v>41044</v>
      </c>
      <c r="B6904" t="n">
        <v>7.7645</v>
      </c>
      <c r="C6904" t="n">
        <v>1.2289</v>
      </c>
    </row>
    <row r="6905">
      <c r="A6905" s="926" t="n">
        <v>41045</v>
      </c>
      <c r="B6905" t="n">
        <v>7.7685</v>
      </c>
      <c r="C6905" t="n">
        <v>1.2285</v>
      </c>
    </row>
    <row r="6906">
      <c r="A6906" s="926" t="n">
        <v>41046</v>
      </c>
      <c r="B6906" t="n">
        <v>7.7675</v>
      </c>
      <c r="C6906" t="n">
        <v>1.22895</v>
      </c>
    </row>
    <row r="6907">
      <c r="A6907" s="926" t="n">
        <v>41047</v>
      </c>
      <c r="B6907" t="n">
        <v>7.7685</v>
      </c>
      <c r="C6907" t="n">
        <v>1.22795</v>
      </c>
    </row>
    <row r="6908">
      <c r="A6908" s="926" t="n">
        <v>41048</v>
      </c>
      <c r="B6908" t="n">
        <v>7.7665</v>
      </c>
      <c r="C6908" t="n">
        <v>1.2306</v>
      </c>
    </row>
    <row r="6909">
      <c r="A6909" s="926" t="n">
        <v>41050</v>
      </c>
      <c r="B6909" t="n">
        <v>7.7645</v>
      </c>
      <c r="C6909" t="n">
        <v>1.2279</v>
      </c>
    </row>
    <row r="6910">
      <c r="A6910" s="926" t="n">
        <v>41051</v>
      </c>
      <c r="B6910" t="n">
        <v>7.7635</v>
      </c>
      <c r="C6910" t="n">
        <v>1.2281</v>
      </c>
    </row>
    <row r="6911">
      <c r="A6911" s="926" t="n">
        <v>41052</v>
      </c>
      <c r="B6911" t="n">
        <v>7.7655</v>
      </c>
      <c r="C6911" t="n">
        <v>1.22805</v>
      </c>
    </row>
    <row r="6912">
      <c r="A6912" s="926" t="n">
        <v>41053</v>
      </c>
      <c r="B6912" t="n">
        <v>7.7635</v>
      </c>
      <c r="C6912" t="n">
        <v>1.225</v>
      </c>
    </row>
    <row r="6913">
      <c r="A6913" s="926" t="n">
        <v>41054</v>
      </c>
      <c r="B6913" t="n">
        <v>7.7615</v>
      </c>
      <c r="C6913" t="n">
        <v>1.223</v>
      </c>
    </row>
    <row r="6914">
      <c r="A6914" s="926" t="n">
        <v>41055</v>
      </c>
      <c r="B6914" t="n">
        <v>7.7615</v>
      </c>
      <c r="C6914" t="n">
        <v>1.22545</v>
      </c>
    </row>
    <row r="6915">
      <c r="A6915" s="926" t="n">
        <v>41057</v>
      </c>
      <c r="B6915" t="n">
        <v>7.7615</v>
      </c>
      <c r="C6915" t="n">
        <v>1.22355</v>
      </c>
    </row>
    <row r="6916">
      <c r="A6916" s="926" t="n">
        <v>41058</v>
      </c>
      <c r="B6916" t="n">
        <v>7.7615</v>
      </c>
      <c r="C6916" t="n">
        <v>1.2229</v>
      </c>
    </row>
    <row r="6917">
      <c r="A6917" s="926" t="n">
        <v>41059</v>
      </c>
      <c r="B6917" t="n">
        <v>7.7625</v>
      </c>
      <c r="C6917" t="n">
        <v>1.2216</v>
      </c>
    </row>
    <row r="6918">
      <c r="A6918" s="926" t="n">
        <v>41060</v>
      </c>
      <c r="B6918" t="n">
        <v>7.7635</v>
      </c>
      <c r="C6918" t="n">
        <v>1.2175</v>
      </c>
    </row>
    <row r="6919">
      <c r="A6919" s="926" t="n">
        <v>41061</v>
      </c>
      <c r="B6919" t="n">
        <v>7.7605</v>
      </c>
      <c r="C6919" t="n">
        <v>1.2178</v>
      </c>
    </row>
    <row r="6920">
      <c r="A6920" s="926" t="n">
        <v>41062</v>
      </c>
      <c r="B6920" t="n">
        <v>7.7605</v>
      </c>
      <c r="C6920" t="n">
        <v>1.2205</v>
      </c>
    </row>
    <row r="6921">
      <c r="A6921" s="926" t="n">
        <v>41064</v>
      </c>
      <c r="B6921" t="n">
        <v>7.7585</v>
      </c>
      <c r="C6921" t="n">
        <v>1.2187</v>
      </c>
    </row>
    <row r="6922">
      <c r="A6922" s="926" t="n">
        <v>41065</v>
      </c>
      <c r="B6922" t="n">
        <v>7.7585</v>
      </c>
      <c r="C6922" t="n">
        <v>1.21995</v>
      </c>
    </row>
    <row r="6923">
      <c r="A6923" s="926" t="n">
        <v>41066</v>
      </c>
      <c r="B6923" t="n">
        <v>7.7575</v>
      </c>
      <c r="C6923" t="n">
        <v>1.21845</v>
      </c>
    </row>
    <row r="6924">
      <c r="A6924" s="926" t="n">
        <v>41067</v>
      </c>
      <c r="B6924" t="n">
        <v>7.7575</v>
      </c>
      <c r="C6924" t="n">
        <v>1.22</v>
      </c>
    </row>
    <row r="6925">
      <c r="A6925" s="926" t="n">
        <v>41068</v>
      </c>
      <c r="B6925" t="n">
        <v>7.7575</v>
      </c>
      <c r="C6925" t="n">
        <v>1.218</v>
      </c>
    </row>
    <row r="6926">
      <c r="A6926" s="926" t="n">
        <v>41069</v>
      </c>
      <c r="B6926" t="n">
        <v>7.7585</v>
      </c>
      <c r="C6926" t="n">
        <v>1.2205</v>
      </c>
    </row>
    <row r="6927">
      <c r="A6927" s="926" t="n">
        <v>41071</v>
      </c>
      <c r="B6927" t="n">
        <v>7.7585</v>
      </c>
      <c r="C6927" t="n">
        <v>1.21815</v>
      </c>
    </row>
    <row r="6928">
      <c r="A6928" s="926" t="n">
        <v>41072</v>
      </c>
      <c r="B6928" t="n">
        <v>7.7585</v>
      </c>
      <c r="C6928" t="n">
        <v>1.2165</v>
      </c>
    </row>
    <row r="6929">
      <c r="A6929" s="926" t="n">
        <v>41073</v>
      </c>
      <c r="B6929" t="n">
        <v>7.7575</v>
      </c>
      <c r="C6929" t="n">
        <v>1.2179</v>
      </c>
    </row>
    <row r="6930">
      <c r="A6930" s="926" t="n">
        <v>41074</v>
      </c>
      <c r="B6930" t="n">
        <v>7.7575</v>
      </c>
      <c r="C6930" t="n">
        <v>1.2179</v>
      </c>
    </row>
    <row r="6931">
      <c r="A6931" s="926" t="n">
        <v>41075</v>
      </c>
      <c r="B6931" t="n">
        <v>7.7595</v>
      </c>
      <c r="C6931" t="n">
        <v>1.21915</v>
      </c>
    </row>
    <row r="6932">
      <c r="A6932" s="926" t="n">
        <v>41076</v>
      </c>
      <c r="B6932" t="n">
        <v>7.7585</v>
      </c>
      <c r="C6932" t="n">
        <v>1.22155</v>
      </c>
    </row>
    <row r="6933">
      <c r="A6933" s="926" t="n">
        <v>41078</v>
      </c>
      <c r="B6933" t="n">
        <v>7.7585</v>
      </c>
      <c r="C6933" t="n">
        <v>1.22015</v>
      </c>
    </row>
    <row r="6934">
      <c r="A6934" s="926" t="n">
        <v>41079</v>
      </c>
      <c r="B6934" t="n">
        <v>7.7585</v>
      </c>
      <c r="C6934" t="n">
        <v>1.22005</v>
      </c>
    </row>
    <row r="6935">
      <c r="A6935" s="926" t="n">
        <v>41080</v>
      </c>
      <c r="B6935" t="n">
        <v>7.7575</v>
      </c>
      <c r="C6935" t="n">
        <v>1.2204</v>
      </c>
    </row>
    <row r="6936">
      <c r="A6936" s="926" t="n">
        <v>41081</v>
      </c>
      <c r="B6936" t="n">
        <v>7.7585</v>
      </c>
      <c r="C6936" t="n">
        <v>1.219</v>
      </c>
    </row>
    <row r="6937">
      <c r="A6937" s="926" t="n">
        <v>41082</v>
      </c>
      <c r="B6937" t="n">
        <v>7.7595</v>
      </c>
      <c r="C6937" t="n">
        <v>1.21705</v>
      </c>
    </row>
    <row r="6938">
      <c r="A6938" s="926" t="n">
        <v>41085</v>
      </c>
      <c r="B6938" t="n">
        <v>7.7595</v>
      </c>
      <c r="C6938" t="n">
        <v>1.2161</v>
      </c>
    </row>
    <row r="6939">
      <c r="A6939" s="926" t="n">
        <v>41086</v>
      </c>
      <c r="B6939" t="n">
        <v>7.7575</v>
      </c>
      <c r="C6939" t="n">
        <v>1.21885</v>
      </c>
    </row>
    <row r="6940">
      <c r="A6940" s="926" t="n">
        <v>41087</v>
      </c>
      <c r="B6940" t="n">
        <v>7.7585</v>
      </c>
      <c r="C6940" t="n">
        <v>1.2184</v>
      </c>
    </row>
    <row r="6941">
      <c r="A6941" s="926" t="n">
        <v>41088</v>
      </c>
      <c r="B6941" t="n">
        <v>7.7575</v>
      </c>
      <c r="C6941" t="n">
        <v>1.2194</v>
      </c>
    </row>
    <row r="6942">
      <c r="A6942" s="926" t="n">
        <v>41089</v>
      </c>
      <c r="B6942" t="n">
        <v>7.7555</v>
      </c>
      <c r="C6942" t="n">
        <v>1.2195</v>
      </c>
    </row>
    <row r="6943">
      <c r="A6943" s="926" t="n">
        <v>41090</v>
      </c>
      <c r="B6943" t="n">
        <v>7.7555</v>
      </c>
      <c r="C6943" t="n">
        <v>1.222</v>
      </c>
    </row>
    <row r="6944">
      <c r="A6944" s="926" t="n">
        <v>41093</v>
      </c>
      <c r="B6944" t="n">
        <v>7.7545</v>
      </c>
      <c r="C6944" t="n">
        <v>1.22105</v>
      </c>
    </row>
    <row r="6945">
      <c r="A6945" s="926" t="n">
        <v>41094</v>
      </c>
      <c r="B6945" t="n">
        <v>7.7535</v>
      </c>
      <c r="C6945" t="n">
        <v>1.221</v>
      </c>
    </row>
    <row r="6946">
      <c r="A6946" s="926" t="n">
        <v>41095</v>
      </c>
      <c r="B6946" t="n">
        <v>7.7535</v>
      </c>
      <c r="C6946" t="n">
        <v>1.2203</v>
      </c>
    </row>
    <row r="6947">
      <c r="A6947" s="926" t="n">
        <v>41096</v>
      </c>
      <c r="B6947" t="n">
        <v>7.7525</v>
      </c>
      <c r="C6947" t="n">
        <v>1.2188</v>
      </c>
    </row>
    <row r="6948">
      <c r="A6948" s="926" t="n">
        <v>41097</v>
      </c>
      <c r="B6948" t="n">
        <v>7.7535</v>
      </c>
      <c r="C6948" t="n">
        <v>1.2215</v>
      </c>
    </row>
    <row r="6949">
      <c r="A6949" s="926" t="n">
        <v>41099</v>
      </c>
      <c r="B6949" t="n">
        <v>7.7535</v>
      </c>
      <c r="C6949" t="n">
        <v>1.2184</v>
      </c>
    </row>
    <row r="6950">
      <c r="A6950" s="926" t="n">
        <v>41100</v>
      </c>
      <c r="B6950" t="n">
        <v>7.7545</v>
      </c>
      <c r="C6950" t="n">
        <v>1.2193</v>
      </c>
    </row>
    <row r="6951">
      <c r="A6951" s="926" t="n">
        <v>41101</v>
      </c>
      <c r="B6951" t="n">
        <v>7.7535</v>
      </c>
      <c r="C6951" t="n">
        <v>1.218</v>
      </c>
    </row>
    <row r="6952">
      <c r="A6952" s="926" t="n">
        <v>41102</v>
      </c>
      <c r="B6952" t="n">
        <v>7.7555</v>
      </c>
      <c r="C6952" t="n">
        <v>1.21835</v>
      </c>
    </row>
    <row r="6953">
      <c r="A6953" s="926" t="n">
        <v>41103</v>
      </c>
      <c r="B6953" t="n">
        <v>7.7565</v>
      </c>
      <c r="C6953" t="n">
        <v>1.21705</v>
      </c>
    </row>
    <row r="6954">
      <c r="A6954" s="926" t="n">
        <v>41104</v>
      </c>
      <c r="B6954" t="n">
        <v>7.7545</v>
      </c>
      <c r="C6954" t="n">
        <v>1.2195</v>
      </c>
    </row>
    <row r="6955">
      <c r="A6955" s="926" t="n">
        <v>41106</v>
      </c>
      <c r="B6955" t="n">
        <v>7.7565</v>
      </c>
      <c r="C6955" t="n">
        <v>1.2166</v>
      </c>
    </row>
    <row r="6956">
      <c r="A6956" s="926" t="n">
        <v>41107</v>
      </c>
      <c r="B6956" t="n">
        <v>7.7555</v>
      </c>
      <c r="C6956" t="n">
        <v>1.2165</v>
      </c>
    </row>
    <row r="6957">
      <c r="A6957" s="926" t="n">
        <v>41108</v>
      </c>
      <c r="B6957" t="n">
        <v>7.7565</v>
      </c>
      <c r="C6957" t="n">
        <v>1.21715</v>
      </c>
    </row>
    <row r="6958">
      <c r="A6958" s="926" t="n">
        <v>41109</v>
      </c>
      <c r="B6958" t="n">
        <v>7.7555</v>
      </c>
      <c r="C6958" t="n">
        <v>1.21825</v>
      </c>
    </row>
    <row r="6959">
      <c r="A6959" s="926" t="n">
        <v>41110</v>
      </c>
      <c r="B6959" t="n">
        <v>7.7555</v>
      </c>
      <c r="C6959" t="n">
        <v>1.217</v>
      </c>
    </row>
    <row r="6960">
      <c r="A6960" s="926" t="n">
        <v>41111</v>
      </c>
      <c r="B6960" t="n">
        <v>7.7555</v>
      </c>
      <c r="C6960" t="n">
        <v>1.2195</v>
      </c>
    </row>
    <row r="6961">
      <c r="A6961" s="926" t="n">
        <v>41113</v>
      </c>
      <c r="B6961" t="n">
        <v>7.7565</v>
      </c>
      <c r="C6961" t="n">
        <v>1.21505</v>
      </c>
    </row>
    <row r="6962">
      <c r="A6962" s="926" t="n">
        <v>41114</v>
      </c>
      <c r="B6962" t="n">
        <v>7.7575</v>
      </c>
      <c r="C6962" t="n">
        <v>1.215</v>
      </c>
    </row>
    <row r="6963">
      <c r="A6963" s="926" t="n">
        <v>41115</v>
      </c>
      <c r="B6963" t="n">
        <v>7.7575</v>
      </c>
      <c r="C6963" t="n">
        <v>1.2135</v>
      </c>
    </row>
    <row r="6964">
      <c r="A6964" s="926" t="n">
        <v>41116</v>
      </c>
      <c r="B6964" t="n">
        <v>7.7565</v>
      </c>
      <c r="C6964" t="n">
        <v>1.2145</v>
      </c>
    </row>
    <row r="6965">
      <c r="A6965" s="926" t="n">
        <v>41117</v>
      </c>
      <c r="B6965" t="n">
        <v>7.7565</v>
      </c>
      <c r="C6965" t="n">
        <v>1.2169</v>
      </c>
    </row>
    <row r="6966">
      <c r="A6966" s="926" t="n">
        <v>41118</v>
      </c>
      <c r="B6966" t="n">
        <v>7.7565</v>
      </c>
      <c r="C6966" t="n">
        <v>1.2185</v>
      </c>
    </row>
    <row r="6967">
      <c r="A6967" s="926" t="n">
        <v>41120</v>
      </c>
      <c r="B6967" t="n">
        <v>7.7555</v>
      </c>
      <c r="C6967" t="n">
        <v>1.21585</v>
      </c>
    </row>
    <row r="6968">
      <c r="A6968" s="926" t="n">
        <v>41121</v>
      </c>
      <c r="B6968" t="n">
        <v>7.7535</v>
      </c>
      <c r="C6968" t="n">
        <v>1.2149</v>
      </c>
    </row>
    <row r="6969">
      <c r="A6969" s="926" t="n">
        <v>41122</v>
      </c>
      <c r="B6969" t="n">
        <v>7.7535</v>
      </c>
      <c r="C6969" t="n">
        <v>1.2161</v>
      </c>
    </row>
    <row r="6970">
      <c r="A6970" s="926" t="n">
        <v>41123</v>
      </c>
      <c r="B6970" t="n">
        <v>7.7545</v>
      </c>
      <c r="C6970" t="n">
        <v>1.2162</v>
      </c>
    </row>
    <row r="6971">
      <c r="A6971" s="926" t="n">
        <v>41124</v>
      </c>
      <c r="B6971" t="n">
        <v>7.7545</v>
      </c>
      <c r="C6971" t="n">
        <v>1.217</v>
      </c>
    </row>
    <row r="6972">
      <c r="A6972" s="926" t="n">
        <v>41125</v>
      </c>
      <c r="B6972" t="n">
        <v>7.7525</v>
      </c>
      <c r="C6972" t="n">
        <v>1.2195</v>
      </c>
    </row>
    <row r="6973">
      <c r="A6973" s="926" t="n">
        <v>41127</v>
      </c>
      <c r="B6973" t="n">
        <v>7.7545</v>
      </c>
      <c r="C6973" t="n">
        <v>1.2171</v>
      </c>
    </row>
    <row r="6974">
      <c r="A6974" s="926" t="n">
        <v>41128</v>
      </c>
      <c r="B6974" t="n">
        <v>7.7545</v>
      </c>
      <c r="C6974" t="n">
        <v>1.2175</v>
      </c>
    </row>
    <row r="6975">
      <c r="A6975" s="926" t="n">
        <v>41129</v>
      </c>
      <c r="B6975" t="n">
        <v>7.7545</v>
      </c>
      <c r="C6975" t="n">
        <v>1.21865</v>
      </c>
    </row>
    <row r="6976">
      <c r="A6976" s="926" t="n">
        <v>41130</v>
      </c>
      <c r="B6976" t="n">
        <v>7.7565</v>
      </c>
      <c r="C6976" t="n">
        <v>1.22</v>
      </c>
    </row>
    <row r="6977">
      <c r="A6977" s="926" t="n">
        <v>41131</v>
      </c>
      <c r="B6977" t="n">
        <v>7.7575</v>
      </c>
      <c r="C6977" t="n">
        <v>1.21835</v>
      </c>
    </row>
    <row r="6978">
      <c r="A6978" s="926" t="n">
        <v>41132</v>
      </c>
      <c r="B6978" t="n">
        <v>7.7555</v>
      </c>
      <c r="C6978" t="n">
        <v>1.22055</v>
      </c>
    </row>
    <row r="6979">
      <c r="A6979" s="926" t="n">
        <v>41134</v>
      </c>
      <c r="B6979" t="n">
        <v>7.7565</v>
      </c>
      <c r="C6979" t="n">
        <v>1.21905</v>
      </c>
    </row>
    <row r="6980">
      <c r="A6980" s="926" t="n">
        <v>41135</v>
      </c>
      <c r="B6980" t="n">
        <v>7.7565</v>
      </c>
      <c r="C6980" t="n">
        <v>1.21905</v>
      </c>
    </row>
    <row r="6981">
      <c r="A6981" s="926" t="n">
        <v>41136</v>
      </c>
      <c r="B6981" t="n">
        <v>7.7565</v>
      </c>
      <c r="C6981" t="n">
        <v>1.219</v>
      </c>
    </row>
    <row r="6982">
      <c r="A6982" s="926" t="n">
        <v>41137</v>
      </c>
      <c r="B6982" t="n">
        <v>7.7565</v>
      </c>
      <c r="C6982" t="n">
        <v>1.218</v>
      </c>
    </row>
    <row r="6983">
      <c r="A6983" s="926" t="n">
        <v>41138</v>
      </c>
      <c r="B6983" t="n">
        <v>7.7565</v>
      </c>
      <c r="C6983" t="n">
        <v>1.219</v>
      </c>
    </row>
    <row r="6984">
      <c r="A6984" s="926" t="n">
        <v>41139</v>
      </c>
      <c r="B6984" t="n">
        <v>7.7565</v>
      </c>
      <c r="C6984" t="n">
        <v>1.22195</v>
      </c>
    </row>
    <row r="6985">
      <c r="A6985" s="926" t="n">
        <v>41141</v>
      </c>
      <c r="B6985" t="n">
        <v>7.7565</v>
      </c>
      <c r="C6985" t="n">
        <v>1.219</v>
      </c>
    </row>
    <row r="6986">
      <c r="A6986" s="926" t="n">
        <v>41142</v>
      </c>
      <c r="B6986" t="n">
        <v>7.7565</v>
      </c>
      <c r="C6986" t="n">
        <v>1.22</v>
      </c>
    </row>
    <row r="6987">
      <c r="A6987" s="926" t="n">
        <v>41143</v>
      </c>
      <c r="B6987" t="n">
        <v>7.7565</v>
      </c>
      <c r="C6987" t="n">
        <v>1.2204</v>
      </c>
    </row>
    <row r="6988">
      <c r="A6988" s="926" t="n">
        <v>41144</v>
      </c>
      <c r="B6988" t="n">
        <v>7.7555</v>
      </c>
      <c r="C6988" t="n">
        <v>1.22005</v>
      </c>
    </row>
    <row r="6989">
      <c r="A6989" s="926" t="n">
        <v>41145</v>
      </c>
      <c r="B6989" t="n">
        <v>7.7555</v>
      </c>
      <c r="C6989" t="n">
        <v>1.22035</v>
      </c>
    </row>
    <row r="6990">
      <c r="A6990" s="926" t="n">
        <v>41146</v>
      </c>
      <c r="B6990" t="n">
        <v>7.7555</v>
      </c>
      <c r="C6990" t="n">
        <v>1.22295</v>
      </c>
    </row>
    <row r="6991">
      <c r="A6991" s="926" t="n">
        <v>41148</v>
      </c>
      <c r="B6991" t="n">
        <v>7.7555</v>
      </c>
      <c r="C6991" t="n">
        <v>1.2195</v>
      </c>
    </row>
    <row r="6992">
      <c r="A6992" s="926" t="n">
        <v>41149</v>
      </c>
      <c r="B6992" t="n">
        <v>7.7555</v>
      </c>
      <c r="C6992" t="n">
        <v>1.21995</v>
      </c>
    </row>
    <row r="6993">
      <c r="A6993" s="926" t="n">
        <v>41150</v>
      </c>
      <c r="B6993" t="n">
        <v>7.7555</v>
      </c>
      <c r="C6993" t="n">
        <v>1.2215</v>
      </c>
    </row>
    <row r="6994">
      <c r="A6994" s="926" t="n">
        <v>41151</v>
      </c>
      <c r="B6994" t="n">
        <v>7.7565</v>
      </c>
      <c r="C6994" t="n">
        <v>1.22065</v>
      </c>
    </row>
    <row r="6995">
      <c r="A6995" s="926" t="n">
        <v>41152</v>
      </c>
      <c r="B6995" t="n">
        <v>7.7555</v>
      </c>
      <c r="C6995" t="n">
        <v>1.2205</v>
      </c>
    </row>
    <row r="6996">
      <c r="A6996" s="926" t="n">
        <v>41153</v>
      </c>
      <c r="B6996" t="n">
        <v>7.7555</v>
      </c>
      <c r="C6996" t="n">
        <v>1.223</v>
      </c>
    </row>
    <row r="6997">
      <c r="A6997" s="926" t="n">
        <v>41155</v>
      </c>
      <c r="B6997" t="n">
        <v>7.7555</v>
      </c>
      <c r="C6997" t="n">
        <v>1.2215</v>
      </c>
    </row>
    <row r="6998">
      <c r="A6998" s="926" t="n">
        <v>41156</v>
      </c>
      <c r="B6998" t="n">
        <v>7.7555</v>
      </c>
      <c r="C6998" t="n">
        <v>1.22255</v>
      </c>
    </row>
    <row r="6999">
      <c r="A6999" s="926" t="n">
        <v>41157</v>
      </c>
      <c r="B6999" t="n">
        <v>7.7565</v>
      </c>
      <c r="C6999" t="n">
        <v>1.2212</v>
      </c>
    </row>
    <row r="7000">
      <c r="A7000" s="926" t="n">
        <v>41158</v>
      </c>
      <c r="B7000" t="n">
        <v>7.7565</v>
      </c>
      <c r="C7000" t="n">
        <v>1.2215</v>
      </c>
    </row>
    <row r="7001">
      <c r="A7001" s="926" t="n">
        <v>41159</v>
      </c>
      <c r="B7001" t="n">
        <v>7.7555</v>
      </c>
      <c r="C7001" t="n">
        <v>1.2224</v>
      </c>
    </row>
    <row r="7002">
      <c r="A7002" s="926" t="n">
        <v>41160</v>
      </c>
      <c r="B7002" t="n">
        <v>7.7555</v>
      </c>
      <c r="C7002" t="n">
        <v>1.2249</v>
      </c>
    </row>
    <row r="7003">
      <c r="A7003" s="926" t="n">
        <v>41162</v>
      </c>
      <c r="B7003" t="n">
        <v>7.7555</v>
      </c>
      <c r="C7003" t="n">
        <v>1.22355</v>
      </c>
    </row>
    <row r="7004">
      <c r="A7004" s="926" t="n">
        <v>41163</v>
      </c>
      <c r="B7004" t="n">
        <v>7.7535</v>
      </c>
      <c r="C7004" t="n">
        <v>1.2235</v>
      </c>
    </row>
    <row r="7005">
      <c r="A7005" s="926" t="n">
        <v>41164</v>
      </c>
      <c r="B7005" t="n">
        <v>7.7555</v>
      </c>
      <c r="C7005" t="n">
        <v>1.22485</v>
      </c>
    </row>
    <row r="7006">
      <c r="A7006" s="926" t="n">
        <v>41165</v>
      </c>
      <c r="B7006" t="n">
        <v>7.7545</v>
      </c>
      <c r="C7006" t="n">
        <v>1.22485</v>
      </c>
    </row>
    <row r="7007">
      <c r="A7007" s="926" t="n">
        <v>41166</v>
      </c>
      <c r="B7007" t="n">
        <v>7.7525</v>
      </c>
      <c r="C7007" t="n">
        <v>1.2264</v>
      </c>
    </row>
    <row r="7008">
      <c r="A7008" s="926" t="n">
        <v>41167</v>
      </c>
      <c r="B7008" t="n">
        <v>7.7495</v>
      </c>
      <c r="C7008" t="n">
        <v>1.229</v>
      </c>
    </row>
    <row r="7009">
      <c r="A7009" s="926" t="n">
        <v>41169</v>
      </c>
      <c r="B7009" t="n">
        <v>7.7525</v>
      </c>
      <c r="C7009" t="n">
        <v>1.22715</v>
      </c>
    </row>
    <row r="7010">
      <c r="A7010" s="926" t="n">
        <v>41170</v>
      </c>
      <c r="B7010" t="n">
        <v>7.7525</v>
      </c>
      <c r="C7010" t="n">
        <v>1.22615</v>
      </c>
    </row>
    <row r="7011">
      <c r="A7011" s="926" t="n">
        <v>41171</v>
      </c>
      <c r="B7011" t="n">
        <v>7.7515</v>
      </c>
      <c r="C7011" t="n">
        <v>1.2275</v>
      </c>
    </row>
    <row r="7012">
      <c r="A7012" s="926" t="n">
        <v>41172</v>
      </c>
      <c r="B7012" t="n">
        <v>7.7535</v>
      </c>
      <c r="C7012" t="n">
        <v>1.22795</v>
      </c>
    </row>
    <row r="7013">
      <c r="A7013" s="926" t="n">
        <v>41173</v>
      </c>
      <c r="B7013" t="n">
        <v>7.7525</v>
      </c>
      <c r="C7013" t="n">
        <v>1.22895</v>
      </c>
    </row>
    <row r="7014">
      <c r="A7014" s="926" t="n">
        <v>41174</v>
      </c>
      <c r="B7014" t="n">
        <v>7.7525</v>
      </c>
      <c r="C7014" t="n">
        <v>1.2315</v>
      </c>
    </row>
    <row r="7015">
      <c r="A7015" s="926" t="n">
        <v>41176</v>
      </c>
      <c r="B7015" t="n">
        <v>7.7525</v>
      </c>
      <c r="C7015" t="n">
        <v>1.22905</v>
      </c>
    </row>
    <row r="7016">
      <c r="A7016" s="926" t="n">
        <v>41177</v>
      </c>
      <c r="B7016" t="n">
        <v>7.7525</v>
      </c>
      <c r="C7016" t="n">
        <v>1.22905</v>
      </c>
    </row>
    <row r="7017">
      <c r="A7017" s="926" t="n">
        <v>41178</v>
      </c>
      <c r="B7017" t="n">
        <v>7.7535</v>
      </c>
      <c r="C7017" t="n">
        <v>1.2295</v>
      </c>
    </row>
    <row r="7018">
      <c r="A7018" s="926" t="n">
        <v>41179</v>
      </c>
      <c r="B7018" t="n">
        <v>7.7535</v>
      </c>
      <c r="C7018" t="n">
        <v>1.23005</v>
      </c>
    </row>
    <row r="7019">
      <c r="A7019" s="926" t="n">
        <v>41180</v>
      </c>
      <c r="B7019" t="n">
        <v>7.7525</v>
      </c>
      <c r="C7019" t="n">
        <v>1.232</v>
      </c>
    </row>
    <row r="7020">
      <c r="A7020" s="926" t="n">
        <v>41181</v>
      </c>
      <c r="B7020" t="n">
        <v>7.7535</v>
      </c>
      <c r="C7020" t="n">
        <v>1.2346</v>
      </c>
    </row>
    <row r="7021">
      <c r="A7021" s="926" t="n">
        <v>41185</v>
      </c>
      <c r="B7021" t="n">
        <v>7.7545</v>
      </c>
      <c r="C7021" t="n">
        <v>1.2331</v>
      </c>
    </row>
    <row r="7022">
      <c r="A7022" s="926" t="n">
        <v>41186</v>
      </c>
      <c r="B7022" t="n">
        <v>7.7545</v>
      </c>
      <c r="C7022" t="n">
        <v>1.231</v>
      </c>
    </row>
    <row r="7023">
      <c r="A7023" s="926" t="n">
        <v>41187</v>
      </c>
      <c r="B7023" t="n">
        <v>7.7525</v>
      </c>
      <c r="C7023" t="n">
        <v>1.2309</v>
      </c>
    </row>
    <row r="7024">
      <c r="A7024" s="926" t="n">
        <v>41188</v>
      </c>
      <c r="B7024" t="n">
        <v>7.7505</v>
      </c>
      <c r="C7024" t="n">
        <v>1.2335</v>
      </c>
    </row>
    <row r="7025">
      <c r="A7025" s="926" t="n">
        <v>41190</v>
      </c>
      <c r="B7025" t="n">
        <v>7.7525</v>
      </c>
      <c r="C7025" t="n">
        <v>1.233</v>
      </c>
    </row>
    <row r="7026">
      <c r="A7026" s="926" t="n">
        <v>41191</v>
      </c>
      <c r="B7026" t="n">
        <v>7.7515</v>
      </c>
      <c r="C7026" t="n">
        <v>1.2329</v>
      </c>
    </row>
    <row r="7027">
      <c r="A7027" s="926" t="n">
        <v>41192</v>
      </c>
      <c r="B7027" t="n">
        <v>7.7525</v>
      </c>
      <c r="C7027" t="n">
        <v>1.233</v>
      </c>
    </row>
    <row r="7028">
      <c r="A7028" s="926" t="n">
        <v>41193</v>
      </c>
      <c r="B7028" t="n">
        <v>7.7515</v>
      </c>
      <c r="C7028" t="n">
        <v>1.2338</v>
      </c>
    </row>
    <row r="7029">
      <c r="A7029" s="926" t="n">
        <v>41194</v>
      </c>
      <c r="B7029" t="n">
        <v>7.7515</v>
      </c>
      <c r="C7029" t="n">
        <v>1.2365</v>
      </c>
    </row>
    <row r="7030">
      <c r="A7030" s="926" t="n">
        <v>41195</v>
      </c>
      <c r="B7030" t="n">
        <v>7.7505</v>
      </c>
      <c r="C7030" t="n">
        <v>1.239</v>
      </c>
    </row>
    <row r="7031">
      <c r="A7031" s="926" t="n">
        <v>41197</v>
      </c>
      <c r="B7031" t="n">
        <v>7.7515</v>
      </c>
      <c r="C7031" t="n">
        <v>1.237</v>
      </c>
    </row>
    <row r="7032">
      <c r="A7032" s="926" t="n">
        <v>41198</v>
      </c>
      <c r="B7032" t="n">
        <v>7.7505</v>
      </c>
      <c r="C7032" t="n">
        <v>1.236</v>
      </c>
    </row>
    <row r="7033">
      <c r="A7033" s="926" t="n">
        <v>41199</v>
      </c>
      <c r="B7033" t="n">
        <v>7.7515</v>
      </c>
      <c r="C7033" t="n">
        <v>1.239</v>
      </c>
    </row>
    <row r="7034">
      <c r="A7034" s="926" t="n">
        <v>41200</v>
      </c>
      <c r="B7034" t="n">
        <v>7.7505</v>
      </c>
      <c r="C7034" t="n">
        <v>1.239</v>
      </c>
    </row>
    <row r="7035">
      <c r="A7035" s="926" t="n">
        <v>41201</v>
      </c>
      <c r="B7035" t="n">
        <v>7.7505</v>
      </c>
      <c r="C7035" t="n">
        <v>1.24</v>
      </c>
    </row>
    <row r="7036">
      <c r="A7036" s="926" t="n">
        <v>41202</v>
      </c>
      <c r="B7036" t="n">
        <v>7.7495</v>
      </c>
      <c r="C7036" t="n">
        <v>1.2419</v>
      </c>
    </row>
    <row r="7037">
      <c r="A7037" s="926" t="n">
        <v>41204</v>
      </c>
      <c r="B7037" t="n">
        <v>7.7495</v>
      </c>
      <c r="C7037" t="n">
        <v>1.24</v>
      </c>
    </row>
    <row r="7038">
      <c r="A7038" s="926" t="n">
        <v>41206</v>
      </c>
      <c r="B7038" t="n">
        <v>7.7505</v>
      </c>
      <c r="C7038" t="n">
        <v>1.24</v>
      </c>
    </row>
    <row r="7039">
      <c r="A7039" s="926" t="n">
        <v>41207</v>
      </c>
      <c r="B7039" t="n">
        <v>7.7505</v>
      </c>
      <c r="C7039" t="n">
        <v>1.2422</v>
      </c>
    </row>
    <row r="7040">
      <c r="A7040" s="926" t="n">
        <v>41208</v>
      </c>
      <c r="B7040" t="n">
        <v>7.7495</v>
      </c>
      <c r="C7040" t="n">
        <v>1.2434</v>
      </c>
    </row>
    <row r="7041">
      <c r="A7041" s="926" t="n">
        <v>41209</v>
      </c>
      <c r="B7041" t="n">
        <v>7.7505</v>
      </c>
      <c r="C7041" t="n">
        <v>1.2445</v>
      </c>
    </row>
    <row r="7042">
      <c r="A7042" s="926" t="n">
        <v>41211</v>
      </c>
      <c r="B7042" t="n">
        <v>7.7495</v>
      </c>
      <c r="C7042" t="n">
        <v>1.2428</v>
      </c>
    </row>
    <row r="7043">
      <c r="A7043" s="926" t="n">
        <v>41212</v>
      </c>
      <c r="B7043" t="n">
        <v>7.7495</v>
      </c>
      <c r="C7043" t="n">
        <v>1.242</v>
      </c>
    </row>
    <row r="7044">
      <c r="A7044" s="926" t="n">
        <v>41213</v>
      </c>
      <c r="B7044" t="n">
        <v>7.7495</v>
      </c>
      <c r="C7044" t="n">
        <v>1.243</v>
      </c>
    </row>
    <row r="7045">
      <c r="A7045" s="926" t="n">
        <v>41214</v>
      </c>
      <c r="B7045" t="n">
        <v>7.7495</v>
      </c>
      <c r="C7045" t="n">
        <v>1.243</v>
      </c>
    </row>
    <row r="7046">
      <c r="A7046" s="926" t="n">
        <v>41215</v>
      </c>
      <c r="B7046" t="n">
        <v>7.7495</v>
      </c>
      <c r="C7046" t="n">
        <v>1.2426</v>
      </c>
    </row>
    <row r="7047">
      <c r="A7047" s="926" t="n">
        <v>41216</v>
      </c>
      <c r="B7047" t="n">
        <v>7.7485</v>
      </c>
      <c r="C7047" t="n">
        <v>1.24495</v>
      </c>
    </row>
    <row r="7048">
      <c r="A7048" s="926" t="n">
        <v>41218</v>
      </c>
      <c r="B7048" t="n">
        <v>7.7495</v>
      </c>
      <c r="C7048" t="n">
        <v>1.242</v>
      </c>
    </row>
    <row r="7049">
      <c r="A7049" s="926" t="n">
        <v>41219</v>
      </c>
      <c r="B7049" t="n">
        <v>7.7495</v>
      </c>
      <c r="C7049" t="n">
        <v>1.2425</v>
      </c>
    </row>
    <row r="7050">
      <c r="A7050" s="926" t="n">
        <v>41220</v>
      </c>
      <c r="B7050" t="n">
        <v>7.7495</v>
      </c>
      <c r="C7050" t="n">
        <v>1.243</v>
      </c>
    </row>
    <row r="7051">
      <c r="A7051" s="926" t="n">
        <v>41221</v>
      </c>
      <c r="B7051" t="n">
        <v>7.7505</v>
      </c>
      <c r="C7051" t="n">
        <v>1.243</v>
      </c>
    </row>
    <row r="7052">
      <c r="A7052" s="926" t="n">
        <v>41222</v>
      </c>
      <c r="B7052" t="n">
        <v>7.7505</v>
      </c>
      <c r="C7052" t="n">
        <v>1.243</v>
      </c>
    </row>
    <row r="7053">
      <c r="A7053" s="926" t="n">
        <v>41223</v>
      </c>
      <c r="B7053" t="n">
        <v>7.7505</v>
      </c>
      <c r="C7053" t="n">
        <v>1.2466</v>
      </c>
    </row>
    <row r="7054">
      <c r="A7054" s="926" t="n">
        <v>41225</v>
      </c>
      <c r="B7054" t="n">
        <v>7.7505</v>
      </c>
      <c r="C7054" t="n">
        <v>1.245</v>
      </c>
    </row>
    <row r="7055">
      <c r="A7055" s="926" t="n">
        <v>41226</v>
      </c>
      <c r="B7055" t="n">
        <v>7.7505</v>
      </c>
      <c r="C7055" t="n">
        <v>1.2462</v>
      </c>
    </row>
    <row r="7056">
      <c r="A7056" s="926" t="n">
        <v>41227</v>
      </c>
      <c r="B7056" t="n">
        <v>7.7505</v>
      </c>
      <c r="C7056" t="n">
        <v>1.247</v>
      </c>
    </row>
    <row r="7057">
      <c r="A7057" s="926" t="n">
        <v>41228</v>
      </c>
      <c r="B7057" t="n">
        <v>7.7505</v>
      </c>
      <c r="C7057" t="n">
        <v>1.246</v>
      </c>
    </row>
    <row r="7058">
      <c r="A7058" s="926" t="n">
        <v>41229</v>
      </c>
      <c r="B7058" t="n">
        <v>7.7515</v>
      </c>
      <c r="C7058" t="n">
        <v>1.244</v>
      </c>
    </row>
    <row r="7059">
      <c r="A7059" s="926" t="n">
        <v>41230</v>
      </c>
      <c r="B7059" t="n">
        <v>7.7505</v>
      </c>
      <c r="C7059" t="n">
        <v>1.2465</v>
      </c>
    </row>
    <row r="7060">
      <c r="A7060" s="926" t="n">
        <v>41232</v>
      </c>
      <c r="B7060" t="n">
        <v>7.7515</v>
      </c>
      <c r="C7060" t="n">
        <v>1.2446</v>
      </c>
    </row>
    <row r="7061">
      <c r="A7061" s="926" t="n">
        <v>41233</v>
      </c>
      <c r="B7061" t="n">
        <v>7.7515</v>
      </c>
      <c r="C7061" t="n">
        <v>1.2455</v>
      </c>
    </row>
    <row r="7062">
      <c r="A7062" s="926" t="n">
        <v>41234</v>
      </c>
      <c r="B7062" t="n">
        <v>7.7505</v>
      </c>
      <c r="C7062" t="n">
        <v>1.2455</v>
      </c>
    </row>
    <row r="7063">
      <c r="A7063" s="926" t="n">
        <v>41235</v>
      </c>
      <c r="B7063" t="n">
        <v>7.7505</v>
      </c>
      <c r="C7063" t="n">
        <v>1.24605</v>
      </c>
    </row>
    <row r="7064">
      <c r="A7064" s="926" t="n">
        <v>41236</v>
      </c>
      <c r="B7064" t="n">
        <v>7.7505</v>
      </c>
      <c r="C7064" t="n">
        <v>1.246</v>
      </c>
    </row>
    <row r="7065">
      <c r="A7065" s="926" t="n">
        <v>41237</v>
      </c>
      <c r="B7065" t="n">
        <v>7.7505</v>
      </c>
      <c r="C7065" t="n">
        <v>1.2485</v>
      </c>
    </row>
    <row r="7066">
      <c r="A7066" s="926" t="n">
        <v>41239</v>
      </c>
      <c r="B7066" t="n">
        <v>7.7495</v>
      </c>
      <c r="C7066" t="n">
        <v>1.246</v>
      </c>
    </row>
    <row r="7067">
      <c r="A7067" s="926" t="n">
        <v>41240</v>
      </c>
      <c r="B7067" t="n">
        <v>7.7495</v>
      </c>
      <c r="C7067" t="n">
        <v>1.2475</v>
      </c>
    </row>
    <row r="7068">
      <c r="A7068" s="926" t="n">
        <v>41241</v>
      </c>
      <c r="B7068" t="n">
        <v>7.7495</v>
      </c>
      <c r="C7068" t="n">
        <v>1.2465</v>
      </c>
    </row>
    <row r="7069">
      <c r="A7069" s="926" t="n">
        <v>41242</v>
      </c>
      <c r="B7069" t="n">
        <v>7.7495</v>
      </c>
      <c r="C7069" t="n">
        <v>1.248</v>
      </c>
    </row>
    <row r="7070">
      <c r="A7070" s="926" t="n">
        <v>41243</v>
      </c>
      <c r="B7070" t="n">
        <v>7.7495</v>
      </c>
      <c r="C7070" t="n">
        <v>1.25</v>
      </c>
    </row>
    <row r="7071">
      <c r="A7071" s="926" t="n">
        <v>41244</v>
      </c>
      <c r="B7071" t="n">
        <v>7.7505</v>
      </c>
      <c r="C7071" t="n">
        <v>1.25</v>
      </c>
    </row>
    <row r="7072">
      <c r="A7072" s="926" t="n">
        <v>41246</v>
      </c>
      <c r="B7072" t="n">
        <v>7.7495</v>
      </c>
      <c r="C7072" t="n">
        <v>1.248</v>
      </c>
    </row>
    <row r="7073">
      <c r="A7073" s="926" t="n">
        <v>41247</v>
      </c>
      <c r="B7073" t="n">
        <v>7.7495</v>
      </c>
      <c r="C7073" t="n">
        <v>1.25</v>
      </c>
    </row>
    <row r="7074">
      <c r="A7074" s="926" t="n">
        <v>41248</v>
      </c>
      <c r="B7074" t="n">
        <v>7.7495</v>
      </c>
      <c r="C7074" t="n">
        <v>1.249</v>
      </c>
    </row>
    <row r="7075">
      <c r="A7075" s="926" t="n">
        <v>41249</v>
      </c>
      <c r="B7075" t="n">
        <v>7.7495</v>
      </c>
      <c r="C7075" t="n">
        <v>1.248</v>
      </c>
    </row>
    <row r="7076">
      <c r="A7076" s="926" t="n">
        <v>41250</v>
      </c>
      <c r="B7076" t="n">
        <v>7.7495</v>
      </c>
      <c r="C7076" t="n">
        <v>1.249</v>
      </c>
    </row>
    <row r="7077">
      <c r="A7077" s="926" t="n">
        <v>41251</v>
      </c>
      <c r="B7077" t="n">
        <v>7.7485</v>
      </c>
      <c r="C7077" t="n">
        <v>1.249</v>
      </c>
    </row>
    <row r="7078">
      <c r="A7078" s="926" t="n">
        <v>41253</v>
      </c>
      <c r="B7078" t="n">
        <v>7.7495</v>
      </c>
      <c r="C7078" t="n">
        <v>1.25</v>
      </c>
    </row>
    <row r="7079">
      <c r="A7079" s="926" t="n">
        <v>41254</v>
      </c>
      <c r="B7079" t="n">
        <v>7.7495</v>
      </c>
      <c r="C7079" t="n">
        <v>1.247</v>
      </c>
    </row>
    <row r="7080">
      <c r="A7080" s="926" t="n">
        <v>41255</v>
      </c>
      <c r="B7080" t="n">
        <v>7.7495</v>
      </c>
      <c r="C7080" t="n">
        <v>1.244</v>
      </c>
    </row>
    <row r="7081">
      <c r="A7081" s="926" t="n">
        <v>41256</v>
      </c>
      <c r="B7081" t="n">
        <v>7.7495</v>
      </c>
      <c r="C7081" t="n">
        <v>1.2435</v>
      </c>
    </row>
    <row r="7082">
      <c r="A7082" s="926" t="n">
        <v>41257</v>
      </c>
      <c r="B7082" t="n">
        <v>7.7495</v>
      </c>
      <c r="C7082" t="n">
        <v>1.2445</v>
      </c>
    </row>
    <row r="7083">
      <c r="A7083" s="926" t="n">
        <v>41258</v>
      </c>
      <c r="B7083" t="n">
        <v>7.7495</v>
      </c>
      <c r="C7083" t="n">
        <v>1.244</v>
      </c>
    </row>
    <row r="7084">
      <c r="A7084" s="926" t="n">
        <v>41260</v>
      </c>
      <c r="B7084" t="n">
        <v>7.7495</v>
      </c>
      <c r="C7084" t="n">
        <v>1.243</v>
      </c>
    </row>
    <row r="7085">
      <c r="A7085" s="926" t="n">
        <v>41261</v>
      </c>
      <c r="B7085" t="n">
        <v>7.7495</v>
      </c>
      <c r="C7085" t="n">
        <v>1.2456</v>
      </c>
    </row>
    <row r="7086">
      <c r="A7086" s="926" t="n">
        <v>41262</v>
      </c>
      <c r="B7086" t="n">
        <v>7.7495</v>
      </c>
      <c r="C7086" t="n">
        <v>1.246</v>
      </c>
    </row>
    <row r="7087">
      <c r="A7087" s="926" t="n">
        <v>41263</v>
      </c>
      <c r="B7087" t="n">
        <v>7.7495</v>
      </c>
      <c r="C7087" t="n">
        <v>1.246</v>
      </c>
    </row>
    <row r="7088">
      <c r="A7088" s="926" t="n">
        <v>41264</v>
      </c>
      <c r="B7088" t="n">
        <v>7.7495</v>
      </c>
      <c r="C7088" t="n">
        <v>1.2455</v>
      </c>
    </row>
    <row r="7089">
      <c r="A7089" s="926" t="n">
        <v>41265</v>
      </c>
      <c r="B7089" t="n">
        <v>7.7505</v>
      </c>
      <c r="C7089" t="n">
        <v>1.24655</v>
      </c>
    </row>
    <row r="7090">
      <c r="A7090" s="926" t="n">
        <v>41267</v>
      </c>
      <c r="B7090" t="n">
        <v>7.7495</v>
      </c>
      <c r="C7090" t="n">
        <v>1.246</v>
      </c>
    </row>
    <row r="7091">
      <c r="A7091" s="926" t="n">
        <v>41270</v>
      </c>
      <c r="B7091" t="n">
        <v>7.7505</v>
      </c>
      <c r="C7091" t="n">
        <v>1.244</v>
      </c>
    </row>
    <row r="7092">
      <c r="A7092" s="926" t="n">
        <v>41271</v>
      </c>
      <c r="B7092" t="n">
        <v>7.7515</v>
      </c>
      <c r="C7092" t="n">
        <v>1.246</v>
      </c>
    </row>
    <row r="7093">
      <c r="A7093" s="926" t="n">
        <v>41272</v>
      </c>
      <c r="B7093" t="n">
        <v>7.7495</v>
      </c>
      <c r="C7093" t="n">
        <v>1.24595</v>
      </c>
    </row>
    <row r="7094">
      <c r="A7094" s="926" t="n">
        <v>41274</v>
      </c>
      <c r="B7094" t="n">
        <v>7.7505</v>
      </c>
      <c r="C7094" t="n">
        <v>1.246</v>
      </c>
    </row>
    <row r="7095">
      <c r="A7095" s="926" t="n">
        <v>41276</v>
      </c>
      <c r="B7095" t="n">
        <v>7.7515</v>
      </c>
      <c r="C7095" t="n">
        <v>1.2485</v>
      </c>
    </row>
    <row r="7096">
      <c r="A7096" s="926" t="n">
        <v>41277</v>
      </c>
      <c r="B7096" t="n">
        <v>7.7515</v>
      </c>
      <c r="C7096" t="n">
        <v>1.2495</v>
      </c>
    </row>
    <row r="7097">
      <c r="A7097" s="926" t="n">
        <v>41278</v>
      </c>
      <c r="B7097" t="n">
        <v>7.7515</v>
      </c>
      <c r="C7097" t="n">
        <v>1.246</v>
      </c>
    </row>
    <row r="7098">
      <c r="A7098" s="926" t="n">
        <v>41279</v>
      </c>
      <c r="B7098" t="n">
        <v>7.7505</v>
      </c>
      <c r="C7098" t="n">
        <v>1.245</v>
      </c>
    </row>
    <row r="7099">
      <c r="A7099" s="926" t="n">
        <v>41281</v>
      </c>
      <c r="B7099" t="n">
        <v>7.7505</v>
      </c>
      <c r="C7099" t="n">
        <v>1.2465</v>
      </c>
    </row>
    <row r="7100">
      <c r="A7100" s="926" t="n">
        <v>41282</v>
      </c>
      <c r="B7100" t="n">
        <v>7.7505</v>
      </c>
      <c r="C7100" t="n">
        <v>1.24685</v>
      </c>
    </row>
    <row r="7101">
      <c r="A7101" s="926" t="n">
        <v>41283</v>
      </c>
      <c r="B7101" t="n">
        <v>7.7515</v>
      </c>
      <c r="C7101" t="n">
        <v>1.2475</v>
      </c>
    </row>
    <row r="7102">
      <c r="A7102" s="926" t="n">
        <v>41284</v>
      </c>
      <c r="B7102" t="n">
        <v>7.7515</v>
      </c>
      <c r="C7102" t="n">
        <v>1.248</v>
      </c>
    </row>
    <row r="7103">
      <c r="A7103" s="926" t="n">
        <v>41285</v>
      </c>
      <c r="B7103" t="n">
        <v>7.7525</v>
      </c>
      <c r="C7103" t="n">
        <v>1.2485</v>
      </c>
    </row>
    <row r="7104">
      <c r="A7104" s="926" t="n">
        <v>41286</v>
      </c>
      <c r="B7104" t="n">
        <v>7.7515</v>
      </c>
      <c r="C7104" t="n">
        <v>1.249</v>
      </c>
    </row>
    <row r="7105">
      <c r="A7105" s="926" t="n">
        <v>41288</v>
      </c>
      <c r="B7105" t="n">
        <v>7.7525</v>
      </c>
      <c r="C7105" t="n">
        <v>1.2495</v>
      </c>
    </row>
    <row r="7106">
      <c r="A7106" s="926" t="n">
        <v>41289</v>
      </c>
      <c r="B7106" t="n">
        <v>7.7525</v>
      </c>
      <c r="C7106" t="n">
        <v>1.249</v>
      </c>
    </row>
    <row r="7107">
      <c r="A7107" s="926" t="n">
        <v>41290</v>
      </c>
      <c r="B7107" t="n">
        <v>7.7525</v>
      </c>
      <c r="C7107" t="n">
        <v>1.249</v>
      </c>
    </row>
    <row r="7108">
      <c r="A7108" s="926" t="n">
        <v>41291</v>
      </c>
      <c r="B7108" t="n">
        <v>7.7525</v>
      </c>
      <c r="C7108" t="n">
        <v>1.24915</v>
      </c>
    </row>
    <row r="7109">
      <c r="A7109" s="926" t="n">
        <v>41292</v>
      </c>
      <c r="B7109" t="n">
        <v>7.7525</v>
      </c>
      <c r="C7109" t="n">
        <v>1.249</v>
      </c>
    </row>
    <row r="7110">
      <c r="A7110" s="926" t="n">
        <v>41293</v>
      </c>
      <c r="B7110" t="n">
        <v>7.7515</v>
      </c>
      <c r="C7110" t="n">
        <v>1.249</v>
      </c>
    </row>
    <row r="7111">
      <c r="A7111" s="926" t="n">
        <v>41295</v>
      </c>
      <c r="B7111" t="n">
        <v>7.7525</v>
      </c>
      <c r="C7111" t="n">
        <v>1.2485</v>
      </c>
    </row>
    <row r="7112">
      <c r="A7112" s="926" t="n">
        <v>41296</v>
      </c>
      <c r="B7112" t="n">
        <v>7.7535</v>
      </c>
      <c r="C7112" t="n">
        <v>1.24815</v>
      </c>
    </row>
    <row r="7113">
      <c r="A7113" s="926" t="n">
        <v>41297</v>
      </c>
      <c r="B7113" t="n">
        <v>7.7525</v>
      </c>
      <c r="C7113" t="n">
        <v>1.2485</v>
      </c>
    </row>
    <row r="7114">
      <c r="A7114" s="926" t="n">
        <v>41298</v>
      </c>
      <c r="B7114" t="n">
        <v>7.7525</v>
      </c>
      <c r="C7114" t="n">
        <v>1.2485</v>
      </c>
    </row>
    <row r="7115">
      <c r="A7115" s="926" t="n">
        <v>41299</v>
      </c>
      <c r="B7115" t="n">
        <v>7.7535</v>
      </c>
      <c r="C7115" t="n">
        <v>1.248</v>
      </c>
    </row>
    <row r="7116">
      <c r="A7116" s="926" t="n">
        <v>41300</v>
      </c>
      <c r="B7116" t="n">
        <v>7.7545</v>
      </c>
      <c r="C7116" t="n">
        <v>1.248</v>
      </c>
    </row>
    <row r="7117">
      <c r="A7117" s="926" t="n">
        <v>41302</v>
      </c>
      <c r="B7117" t="n">
        <v>7.7555</v>
      </c>
      <c r="C7117" t="n">
        <v>1.2475</v>
      </c>
    </row>
    <row r="7118">
      <c r="A7118" s="926" t="n">
        <v>41303</v>
      </c>
      <c r="B7118" t="n">
        <v>7.7585</v>
      </c>
      <c r="C7118" t="n">
        <v>1.24765</v>
      </c>
    </row>
    <row r="7119">
      <c r="A7119" s="926" t="n">
        <v>41304</v>
      </c>
      <c r="B7119" t="n">
        <v>7.7575</v>
      </c>
      <c r="C7119" t="n">
        <v>1.249</v>
      </c>
    </row>
    <row r="7120">
      <c r="A7120" s="926" t="n">
        <v>41305</v>
      </c>
      <c r="B7120" t="n">
        <v>7.7565</v>
      </c>
      <c r="C7120" t="n">
        <v>1.24885</v>
      </c>
    </row>
    <row r="7121">
      <c r="A7121" s="926" t="n">
        <v>41306</v>
      </c>
      <c r="B7121" t="n">
        <v>7.7565</v>
      </c>
      <c r="C7121" t="n">
        <v>1.2485</v>
      </c>
    </row>
    <row r="7122">
      <c r="A7122" s="926" t="n">
        <v>41307</v>
      </c>
      <c r="B7122" t="n">
        <v>7.7565</v>
      </c>
      <c r="C7122" t="n">
        <v>1.248</v>
      </c>
    </row>
    <row r="7123">
      <c r="A7123" s="926" t="n">
        <v>41309</v>
      </c>
      <c r="B7123" t="n">
        <v>7.7555</v>
      </c>
      <c r="C7123" t="n">
        <v>1.2472</v>
      </c>
    </row>
    <row r="7124">
      <c r="A7124" s="926" t="n">
        <v>41310</v>
      </c>
      <c r="B7124" t="n">
        <v>7.7535</v>
      </c>
      <c r="C7124" t="n">
        <v>1.2465</v>
      </c>
    </row>
    <row r="7125">
      <c r="A7125" s="926" t="n">
        <v>41311</v>
      </c>
      <c r="B7125" t="n">
        <v>7.7535</v>
      </c>
      <c r="C7125" t="n">
        <v>1.2465</v>
      </c>
    </row>
    <row r="7126">
      <c r="A7126" s="926" t="n">
        <v>41312</v>
      </c>
      <c r="B7126" t="n">
        <v>7.7545</v>
      </c>
      <c r="C7126" t="n">
        <v>1.2455</v>
      </c>
    </row>
    <row r="7127">
      <c r="A7127" s="926" t="n">
        <v>41313</v>
      </c>
      <c r="B7127" t="n">
        <v>7.7555</v>
      </c>
      <c r="C7127" t="n">
        <v>1.247</v>
      </c>
    </row>
    <row r="7128">
      <c r="A7128" s="926" t="n">
        <v>41314</v>
      </c>
      <c r="B7128" t="n">
        <v>7.7525</v>
      </c>
      <c r="C7128" t="n">
        <v>1.246</v>
      </c>
    </row>
    <row r="7129">
      <c r="A7129" s="926" t="n">
        <v>41319</v>
      </c>
      <c r="B7129" t="n">
        <v>7.7545</v>
      </c>
      <c r="C7129" t="n">
        <v>1.2458</v>
      </c>
    </row>
    <row r="7130">
      <c r="A7130" s="926" t="n">
        <v>41320</v>
      </c>
      <c r="B7130" t="n">
        <v>7.7545</v>
      </c>
      <c r="C7130" t="n">
        <v>1.24615</v>
      </c>
    </row>
    <row r="7131">
      <c r="A7131" s="926" t="n">
        <v>41321</v>
      </c>
      <c r="B7131" t="n">
        <v>7.7545</v>
      </c>
      <c r="C7131" t="n">
        <v>1.24605</v>
      </c>
    </row>
    <row r="7132">
      <c r="A7132" s="926" t="n">
        <v>41323</v>
      </c>
      <c r="B7132" t="n">
        <v>7.7545</v>
      </c>
      <c r="C7132" t="n">
        <v>1.245</v>
      </c>
    </row>
    <row r="7133">
      <c r="A7133" s="926" t="n">
        <v>41324</v>
      </c>
      <c r="B7133" t="n">
        <v>7.7545</v>
      </c>
      <c r="C7133" t="n">
        <v>1.244</v>
      </c>
    </row>
    <row r="7134">
      <c r="A7134" s="926" t="n">
        <v>41325</v>
      </c>
      <c r="B7134" t="n">
        <v>7.7545</v>
      </c>
      <c r="C7134" t="n">
        <v>1.2441</v>
      </c>
    </row>
    <row r="7135">
      <c r="A7135" s="926" t="n">
        <v>41326</v>
      </c>
      <c r="B7135" t="n">
        <v>7.7555</v>
      </c>
      <c r="C7135" t="n">
        <v>1.2442</v>
      </c>
    </row>
    <row r="7136">
      <c r="A7136" s="926" t="n">
        <v>41327</v>
      </c>
      <c r="B7136" t="n">
        <v>7.7555</v>
      </c>
      <c r="C7136" t="n">
        <v>1.245</v>
      </c>
    </row>
    <row r="7137">
      <c r="A7137" s="926" t="n">
        <v>41328</v>
      </c>
      <c r="B7137" t="n">
        <v>7.7555</v>
      </c>
      <c r="C7137" t="n">
        <v>1.24545</v>
      </c>
    </row>
    <row r="7138">
      <c r="A7138" s="926" t="n">
        <v>41330</v>
      </c>
      <c r="B7138" t="n">
        <v>7.7565</v>
      </c>
      <c r="C7138" t="n">
        <v>1.2455</v>
      </c>
    </row>
    <row r="7139">
      <c r="A7139" s="926" t="n">
        <v>41331</v>
      </c>
      <c r="B7139" t="n">
        <v>7.7575</v>
      </c>
      <c r="C7139" t="n">
        <v>1.24665</v>
      </c>
    </row>
    <row r="7140">
      <c r="A7140" s="926" t="n">
        <v>41332</v>
      </c>
      <c r="B7140" t="n">
        <v>7.7575</v>
      </c>
      <c r="C7140" t="n">
        <v>1.2465</v>
      </c>
    </row>
    <row r="7141">
      <c r="A7141" s="926" t="n">
        <v>41333</v>
      </c>
      <c r="B7141" t="n">
        <v>7.7555</v>
      </c>
      <c r="C7141" t="n">
        <v>1.24785</v>
      </c>
    </row>
    <row r="7142">
      <c r="A7142" s="926" t="n">
        <v>41334</v>
      </c>
      <c r="B7142" t="n">
        <v>7.7545</v>
      </c>
      <c r="C7142" t="n">
        <v>1.24805</v>
      </c>
    </row>
    <row r="7143">
      <c r="A7143" s="926" t="n">
        <v>41335</v>
      </c>
      <c r="B7143" t="n">
        <v>7.7525</v>
      </c>
      <c r="C7143" t="n">
        <v>1.2475</v>
      </c>
    </row>
    <row r="7144">
      <c r="A7144" s="926" t="n">
        <v>41337</v>
      </c>
      <c r="B7144" t="n">
        <v>7.7565</v>
      </c>
      <c r="C7144" t="n">
        <v>1.248</v>
      </c>
    </row>
    <row r="7145">
      <c r="A7145" s="926" t="n">
        <v>41338</v>
      </c>
      <c r="B7145" t="n">
        <v>7.7555</v>
      </c>
      <c r="C7145" t="n">
        <v>1.248</v>
      </c>
    </row>
    <row r="7146">
      <c r="A7146" s="926" t="n">
        <v>41339</v>
      </c>
      <c r="B7146" t="n">
        <v>7.7555</v>
      </c>
      <c r="C7146" t="n">
        <v>1.2485</v>
      </c>
    </row>
    <row r="7147">
      <c r="A7147" s="926" t="n">
        <v>41340</v>
      </c>
      <c r="B7147" t="n">
        <v>7.7555</v>
      </c>
      <c r="C7147" t="n">
        <v>1.2485</v>
      </c>
    </row>
    <row r="7148">
      <c r="A7148" s="926" t="n">
        <v>41341</v>
      </c>
      <c r="B7148" t="n">
        <v>7.7565</v>
      </c>
      <c r="C7148" t="n">
        <v>1.2505</v>
      </c>
    </row>
    <row r="7149">
      <c r="A7149" s="926" t="n">
        <v>41342</v>
      </c>
      <c r="B7149" t="n">
        <v>7.7565</v>
      </c>
      <c r="C7149" t="n">
        <v>1.2495</v>
      </c>
    </row>
    <row r="7150">
      <c r="A7150" s="926" t="n">
        <v>41344</v>
      </c>
      <c r="B7150" t="n">
        <v>7.7565</v>
      </c>
      <c r="C7150" t="n">
        <v>1.249</v>
      </c>
    </row>
    <row r="7151">
      <c r="A7151" s="926" t="n">
        <v>41345</v>
      </c>
      <c r="B7151" t="n">
        <v>7.7565</v>
      </c>
      <c r="C7151" t="n">
        <v>1.24915</v>
      </c>
    </row>
    <row r="7152">
      <c r="A7152" s="926" t="n">
        <v>41346</v>
      </c>
      <c r="B7152" t="n">
        <v>7.7565</v>
      </c>
      <c r="C7152" t="n">
        <v>1.24935</v>
      </c>
    </row>
    <row r="7153">
      <c r="A7153" s="926" t="n">
        <v>41347</v>
      </c>
      <c r="B7153" t="n">
        <v>7.7565</v>
      </c>
      <c r="C7153" t="n">
        <v>1.24935</v>
      </c>
    </row>
    <row r="7154">
      <c r="A7154" s="926" t="n">
        <v>41348</v>
      </c>
      <c r="B7154" t="n">
        <v>7.7575</v>
      </c>
      <c r="C7154" t="n">
        <v>1.25</v>
      </c>
    </row>
    <row r="7155">
      <c r="A7155" s="926" t="n">
        <v>41349</v>
      </c>
      <c r="B7155" t="n">
        <v>7.7605</v>
      </c>
      <c r="C7155" t="n">
        <v>1.2515</v>
      </c>
    </row>
    <row r="7156">
      <c r="A7156" s="926" t="n">
        <v>41351</v>
      </c>
      <c r="B7156" t="n">
        <v>7.7605</v>
      </c>
      <c r="C7156" t="n">
        <v>1.25015</v>
      </c>
    </row>
    <row r="7157">
      <c r="A7157" s="926" t="n">
        <v>41352</v>
      </c>
      <c r="B7157" t="n">
        <v>7.7595</v>
      </c>
      <c r="C7157" t="n">
        <v>1.24935</v>
      </c>
    </row>
    <row r="7158">
      <c r="A7158" s="926" t="n">
        <v>41353</v>
      </c>
      <c r="B7158" t="n">
        <v>7.7615</v>
      </c>
      <c r="C7158" t="n">
        <v>1.25065</v>
      </c>
    </row>
    <row r="7159">
      <c r="A7159" s="926" t="n">
        <v>41354</v>
      </c>
      <c r="B7159" t="n">
        <v>7.7615</v>
      </c>
      <c r="C7159" t="n">
        <v>1.2505</v>
      </c>
    </row>
    <row r="7160">
      <c r="A7160" s="926" t="n">
        <v>41355</v>
      </c>
      <c r="B7160" t="n">
        <v>7.7625</v>
      </c>
      <c r="C7160" t="n">
        <v>1.2512</v>
      </c>
    </row>
    <row r="7161">
      <c r="A7161" s="926" t="n">
        <v>41356</v>
      </c>
      <c r="B7161" t="n">
        <v>7.7625</v>
      </c>
      <c r="C7161" t="n">
        <v>1.251</v>
      </c>
    </row>
    <row r="7162">
      <c r="A7162" s="926" t="n">
        <v>41358</v>
      </c>
      <c r="B7162" t="n">
        <v>7.7625</v>
      </c>
      <c r="C7162" t="n">
        <v>1.2515</v>
      </c>
    </row>
    <row r="7163">
      <c r="A7163" s="926" t="n">
        <v>41359</v>
      </c>
      <c r="B7163" t="n">
        <v>7.7605</v>
      </c>
      <c r="C7163" t="n">
        <v>1.25085</v>
      </c>
    </row>
    <row r="7164">
      <c r="A7164" s="926" t="n">
        <v>41360</v>
      </c>
      <c r="B7164" t="n">
        <v>7.7605</v>
      </c>
      <c r="C7164" t="n">
        <v>1.2507</v>
      </c>
    </row>
    <row r="7165">
      <c r="A7165" s="926" t="n">
        <v>41361</v>
      </c>
      <c r="B7165" t="n">
        <v>7.7615</v>
      </c>
      <c r="C7165" t="n">
        <v>1.2503</v>
      </c>
    </row>
    <row r="7166">
      <c r="A7166" s="926" t="n">
        <v>41366</v>
      </c>
      <c r="B7166" t="n">
        <v>7.7625</v>
      </c>
      <c r="C7166" t="n">
        <v>1.2535</v>
      </c>
    </row>
    <row r="7167">
      <c r="A7167" s="926" t="n">
        <v>41367</v>
      </c>
      <c r="B7167" t="n">
        <v>7.7615</v>
      </c>
      <c r="C7167" t="n">
        <v>1.25445</v>
      </c>
    </row>
    <row r="7168">
      <c r="A7168" s="926" t="n">
        <v>41369</v>
      </c>
      <c r="B7168" t="n">
        <v>7.7625</v>
      </c>
      <c r="C7168" t="n">
        <v>1.254</v>
      </c>
    </row>
    <row r="7169">
      <c r="A7169" s="926" t="n">
        <v>41370</v>
      </c>
      <c r="B7169" t="n">
        <v>7.7645</v>
      </c>
      <c r="C7169" t="n">
        <v>1.2535</v>
      </c>
    </row>
    <row r="7170">
      <c r="A7170" s="926" t="n">
        <v>41372</v>
      </c>
      <c r="B7170" t="n">
        <v>7.7625</v>
      </c>
      <c r="C7170" t="n">
        <v>1.25235</v>
      </c>
    </row>
    <row r="7171">
      <c r="A7171" s="926" t="n">
        <v>41373</v>
      </c>
      <c r="B7171" t="n">
        <v>7.7635</v>
      </c>
      <c r="C7171" t="n">
        <v>1.253</v>
      </c>
    </row>
    <row r="7172">
      <c r="A7172" s="926" t="n">
        <v>41374</v>
      </c>
      <c r="B7172" t="n">
        <v>7.7615</v>
      </c>
      <c r="C7172" t="n">
        <v>1.2544</v>
      </c>
    </row>
    <row r="7173">
      <c r="A7173" s="926" t="n">
        <v>41375</v>
      </c>
      <c r="B7173" t="n">
        <v>7.7625</v>
      </c>
      <c r="C7173" t="n">
        <v>1.2547</v>
      </c>
    </row>
    <row r="7174">
      <c r="A7174" s="926" t="n">
        <v>41376</v>
      </c>
      <c r="B7174" t="n">
        <v>7.7615</v>
      </c>
      <c r="C7174" t="n">
        <v>1.255</v>
      </c>
    </row>
    <row r="7175">
      <c r="A7175" s="926" t="n">
        <v>41377</v>
      </c>
      <c r="B7175" t="n">
        <v>7.7625</v>
      </c>
      <c r="C7175" t="n">
        <v>1.25555</v>
      </c>
    </row>
    <row r="7176">
      <c r="A7176" s="926" t="n">
        <v>41379</v>
      </c>
      <c r="B7176" t="n">
        <v>7.7615</v>
      </c>
      <c r="C7176" t="n">
        <v>1.256</v>
      </c>
    </row>
    <row r="7177">
      <c r="A7177" s="926" t="n">
        <v>41380</v>
      </c>
      <c r="B7177" t="n">
        <v>7.7615</v>
      </c>
      <c r="C7177" t="n">
        <v>1.2559</v>
      </c>
    </row>
    <row r="7178">
      <c r="A7178" s="926" t="n">
        <v>41381</v>
      </c>
      <c r="B7178" t="n">
        <v>7.7615</v>
      </c>
      <c r="C7178" t="n">
        <v>1.2585</v>
      </c>
    </row>
    <row r="7179">
      <c r="A7179" s="926" t="n">
        <v>41382</v>
      </c>
      <c r="B7179" t="n">
        <v>7.7625</v>
      </c>
      <c r="C7179" t="n">
        <v>1.2575</v>
      </c>
    </row>
    <row r="7180">
      <c r="A7180" s="926" t="n">
        <v>41383</v>
      </c>
      <c r="B7180" t="n">
        <v>7.7625</v>
      </c>
      <c r="C7180" t="n">
        <v>1.2574</v>
      </c>
    </row>
    <row r="7181">
      <c r="A7181" s="926" t="n">
        <v>41384</v>
      </c>
      <c r="B7181" t="n">
        <v>7.7625</v>
      </c>
      <c r="C7181" t="n">
        <v>1.2575</v>
      </c>
    </row>
    <row r="7182">
      <c r="A7182" s="926" t="n">
        <v>41386</v>
      </c>
      <c r="B7182" t="n">
        <v>7.7635</v>
      </c>
      <c r="C7182" t="n">
        <v>1.257</v>
      </c>
    </row>
    <row r="7183">
      <c r="A7183" s="926" t="n">
        <v>41387</v>
      </c>
      <c r="B7183" t="n">
        <v>7.7635</v>
      </c>
      <c r="C7183" t="n">
        <v>1.257</v>
      </c>
    </row>
    <row r="7184">
      <c r="A7184" s="926" t="n">
        <v>41388</v>
      </c>
      <c r="B7184" t="n">
        <v>7.7635</v>
      </c>
      <c r="C7184" t="n">
        <v>1.2583</v>
      </c>
    </row>
    <row r="7185">
      <c r="A7185" s="926" t="n">
        <v>41389</v>
      </c>
      <c r="B7185" t="n">
        <v>7.7635</v>
      </c>
      <c r="C7185" t="n">
        <v>1.26</v>
      </c>
    </row>
    <row r="7186">
      <c r="A7186" s="926" t="n">
        <v>41390</v>
      </c>
      <c r="B7186" t="n">
        <v>7.7635</v>
      </c>
      <c r="C7186" t="n">
        <v>1.25945</v>
      </c>
    </row>
    <row r="7187">
      <c r="A7187" s="926" t="n">
        <v>41391</v>
      </c>
      <c r="B7187" t="n">
        <v>7.7635</v>
      </c>
      <c r="C7187" t="n">
        <v>1.2605</v>
      </c>
    </row>
    <row r="7188">
      <c r="A7188" s="926" t="n">
        <v>41393</v>
      </c>
      <c r="B7188" t="n">
        <v>7.7625</v>
      </c>
      <c r="C7188" t="n">
        <v>1.26</v>
      </c>
    </row>
    <row r="7189">
      <c r="A7189" s="926" t="n">
        <v>41394</v>
      </c>
      <c r="B7189" t="n">
        <v>7.7605</v>
      </c>
      <c r="C7189" t="n">
        <v>1.26</v>
      </c>
    </row>
    <row r="7190">
      <c r="A7190" s="926" t="n">
        <v>41396</v>
      </c>
      <c r="B7190" t="n">
        <v>7.7585</v>
      </c>
      <c r="C7190" t="n">
        <v>1.262</v>
      </c>
    </row>
    <row r="7191">
      <c r="A7191" s="926" t="n">
        <v>41397</v>
      </c>
      <c r="B7191" t="n">
        <v>7.7595</v>
      </c>
      <c r="C7191" t="n">
        <v>1.26105</v>
      </c>
    </row>
    <row r="7192">
      <c r="A7192" s="926" t="n">
        <v>41398</v>
      </c>
      <c r="B7192" t="n">
        <v>7.7595</v>
      </c>
      <c r="C7192" t="n">
        <v>1.262</v>
      </c>
    </row>
    <row r="7193">
      <c r="A7193" s="926" t="n">
        <v>41400</v>
      </c>
      <c r="B7193" t="n">
        <v>7.7595</v>
      </c>
      <c r="C7193" t="n">
        <v>1.2595</v>
      </c>
    </row>
    <row r="7194">
      <c r="A7194" s="926" t="n">
        <v>41401</v>
      </c>
      <c r="B7194" t="n">
        <v>7.7605</v>
      </c>
      <c r="C7194" t="n">
        <v>1.26215</v>
      </c>
    </row>
    <row r="7195">
      <c r="A7195" s="926" t="n">
        <v>41402</v>
      </c>
      <c r="B7195" t="n">
        <v>7.7605</v>
      </c>
      <c r="C7195" t="n">
        <v>1.265</v>
      </c>
    </row>
    <row r="7196">
      <c r="A7196" s="926" t="n">
        <v>41403</v>
      </c>
      <c r="B7196" t="n">
        <v>7.7595</v>
      </c>
      <c r="C7196" t="n">
        <v>1.266</v>
      </c>
    </row>
    <row r="7197">
      <c r="A7197" s="926" t="n">
        <v>41404</v>
      </c>
      <c r="B7197" t="n">
        <v>7.7595</v>
      </c>
      <c r="C7197" t="n">
        <v>1.2648</v>
      </c>
    </row>
    <row r="7198">
      <c r="A7198" s="926" t="n">
        <v>41405</v>
      </c>
      <c r="B7198" t="n">
        <v>7.7595</v>
      </c>
      <c r="C7198" t="n">
        <v>1.2645</v>
      </c>
    </row>
    <row r="7199">
      <c r="A7199" s="926" t="n">
        <v>41407</v>
      </c>
      <c r="B7199" t="n">
        <v>7.7605</v>
      </c>
      <c r="C7199" t="n">
        <v>1.264</v>
      </c>
    </row>
    <row r="7200">
      <c r="A7200" s="926" t="n">
        <v>41408</v>
      </c>
      <c r="B7200" t="n">
        <v>7.7605</v>
      </c>
      <c r="C7200" t="n">
        <v>1.265</v>
      </c>
    </row>
    <row r="7201">
      <c r="A7201" s="926" t="n">
        <v>41409</v>
      </c>
      <c r="B7201" t="n">
        <v>7.7615</v>
      </c>
      <c r="C7201" t="n">
        <v>1.2645</v>
      </c>
    </row>
    <row r="7202">
      <c r="A7202" s="926" t="n">
        <v>41410</v>
      </c>
      <c r="B7202" t="n">
        <v>7.7625</v>
      </c>
      <c r="C7202" t="n">
        <v>1.2647</v>
      </c>
    </row>
    <row r="7203">
      <c r="A7203" s="926" t="n">
        <v>41412</v>
      </c>
      <c r="B7203" t="n">
        <v>7.7615</v>
      </c>
      <c r="C7203" t="n">
        <v>1.264</v>
      </c>
    </row>
    <row r="7204">
      <c r="A7204" s="926" t="n">
        <v>41414</v>
      </c>
      <c r="B7204" t="n">
        <v>7.7615</v>
      </c>
      <c r="C7204" t="n">
        <v>1.26585</v>
      </c>
    </row>
    <row r="7205">
      <c r="A7205" s="926" t="n">
        <v>41415</v>
      </c>
      <c r="B7205" t="n">
        <v>7.7605</v>
      </c>
      <c r="C7205" t="n">
        <v>1.26735</v>
      </c>
    </row>
    <row r="7206">
      <c r="A7206" s="926" t="n">
        <v>41416</v>
      </c>
      <c r="B7206" t="n">
        <v>7.7605</v>
      </c>
      <c r="C7206" t="n">
        <v>1.267</v>
      </c>
    </row>
    <row r="7207">
      <c r="A7207" s="926" t="n">
        <v>41417</v>
      </c>
      <c r="B7207" t="n">
        <v>7.7625</v>
      </c>
      <c r="C7207" t="n">
        <v>1.267</v>
      </c>
    </row>
    <row r="7208">
      <c r="A7208" s="926" t="n">
        <v>41418</v>
      </c>
      <c r="B7208" t="n">
        <v>7.7625</v>
      </c>
      <c r="C7208" t="n">
        <v>1.26855</v>
      </c>
    </row>
    <row r="7209">
      <c r="A7209" s="926" t="n">
        <v>41419</v>
      </c>
      <c r="B7209" t="n">
        <v>7.7615</v>
      </c>
      <c r="C7209" t="n">
        <v>1.2685</v>
      </c>
    </row>
    <row r="7210">
      <c r="A7210" s="926" t="n">
        <v>41421</v>
      </c>
      <c r="B7210" t="n">
        <v>7.7625</v>
      </c>
      <c r="C7210" t="n">
        <v>1.269</v>
      </c>
    </row>
    <row r="7211">
      <c r="A7211" s="926" t="n">
        <v>41422</v>
      </c>
      <c r="B7211" t="n">
        <v>7.7635</v>
      </c>
      <c r="C7211" t="n">
        <v>1.2695</v>
      </c>
    </row>
    <row r="7212">
      <c r="A7212" s="926" t="n">
        <v>41423</v>
      </c>
      <c r="B7212" t="n">
        <v>7.7635</v>
      </c>
      <c r="C7212" t="n">
        <v>1.2695</v>
      </c>
    </row>
    <row r="7213">
      <c r="A7213" s="926" t="n">
        <v>41424</v>
      </c>
      <c r="B7213" t="n">
        <v>7.7635</v>
      </c>
      <c r="C7213" t="n">
        <v>1.2685</v>
      </c>
    </row>
    <row r="7214">
      <c r="A7214" s="926" t="n">
        <v>41425</v>
      </c>
      <c r="B7214" t="n">
        <v>7.7635</v>
      </c>
      <c r="C7214" t="n">
        <v>1.2665</v>
      </c>
    </row>
    <row r="7215">
      <c r="A7215" s="926" t="n">
        <v>41426</v>
      </c>
      <c r="B7215" t="n">
        <v>7.7615</v>
      </c>
      <c r="C7215" t="n">
        <v>1.267</v>
      </c>
    </row>
    <row r="7216">
      <c r="A7216" s="926" t="n">
        <v>41428</v>
      </c>
      <c r="B7216" t="n">
        <v>7.7625</v>
      </c>
      <c r="C7216" t="n">
        <v>1.2675</v>
      </c>
    </row>
    <row r="7217">
      <c r="A7217" s="926" t="n">
        <v>41429</v>
      </c>
      <c r="B7217" t="n">
        <v>7.7625</v>
      </c>
      <c r="C7217" t="n">
        <v>1.269</v>
      </c>
    </row>
    <row r="7218">
      <c r="A7218" s="926" t="n">
        <v>41430</v>
      </c>
      <c r="B7218" t="n">
        <v>7.7605</v>
      </c>
      <c r="C7218" t="n">
        <v>1.269</v>
      </c>
    </row>
    <row r="7219">
      <c r="A7219" s="926" t="n">
        <v>41431</v>
      </c>
      <c r="B7219" t="n">
        <v>7.7615</v>
      </c>
      <c r="C7219" t="n">
        <v>1.2692</v>
      </c>
    </row>
    <row r="7220">
      <c r="A7220" s="926" t="n">
        <v>41432</v>
      </c>
      <c r="B7220" t="n">
        <v>7.7615</v>
      </c>
      <c r="C7220" t="n">
        <v>1.268</v>
      </c>
    </row>
    <row r="7221">
      <c r="A7221" s="926" t="n">
        <v>41433</v>
      </c>
      <c r="B7221" t="n">
        <v>7.7625</v>
      </c>
      <c r="C7221" t="n">
        <v>1.267</v>
      </c>
    </row>
    <row r="7222">
      <c r="A7222" s="926" t="n">
        <v>41435</v>
      </c>
      <c r="B7222" t="n">
        <v>7.7625</v>
      </c>
      <c r="C7222" t="n">
        <v>1.2665</v>
      </c>
    </row>
    <row r="7223">
      <c r="A7223" s="926" t="n">
        <v>41436</v>
      </c>
      <c r="B7223" t="n">
        <v>7.7625</v>
      </c>
      <c r="C7223" t="n">
        <v>1.26635</v>
      </c>
    </row>
    <row r="7224">
      <c r="A7224" s="926" t="n">
        <v>41438</v>
      </c>
      <c r="B7224" t="n">
        <v>7.7645</v>
      </c>
      <c r="C7224" t="n">
        <v>1.26635</v>
      </c>
    </row>
    <row r="7225">
      <c r="A7225" s="926" t="n">
        <v>41439</v>
      </c>
      <c r="B7225" t="n">
        <v>7.7625</v>
      </c>
      <c r="C7225" t="n">
        <v>1.266</v>
      </c>
    </row>
    <row r="7226">
      <c r="A7226" s="926" t="n">
        <v>41440</v>
      </c>
      <c r="B7226" t="n">
        <v>7.7605</v>
      </c>
      <c r="C7226" t="n">
        <v>1.2675</v>
      </c>
    </row>
    <row r="7227">
      <c r="A7227" s="926" t="n">
        <v>41442</v>
      </c>
      <c r="B7227" t="n">
        <v>7.7595</v>
      </c>
      <c r="C7227" t="n">
        <v>1.26585</v>
      </c>
    </row>
    <row r="7228">
      <c r="A7228" s="926" t="n">
        <v>41443</v>
      </c>
      <c r="B7228" t="n">
        <v>7.7585</v>
      </c>
      <c r="C7228" t="n">
        <v>1.267</v>
      </c>
    </row>
    <row r="7229">
      <c r="A7229" s="926" t="n">
        <v>41444</v>
      </c>
      <c r="B7229" t="n">
        <v>7.7555</v>
      </c>
      <c r="C7229" t="n">
        <v>1.267</v>
      </c>
    </row>
    <row r="7230">
      <c r="A7230" s="926" t="n">
        <v>41445</v>
      </c>
      <c r="B7230" t="n">
        <v>7.7555</v>
      </c>
      <c r="C7230" t="n">
        <v>1.2675</v>
      </c>
    </row>
    <row r="7231">
      <c r="A7231" s="926" t="n">
        <v>41446</v>
      </c>
      <c r="B7231" t="n">
        <v>7.7555</v>
      </c>
      <c r="C7231" t="n">
        <v>1.2663</v>
      </c>
    </row>
    <row r="7232">
      <c r="A7232" s="926" t="n">
        <v>41447</v>
      </c>
      <c r="B7232" t="n">
        <v>7.7565</v>
      </c>
      <c r="C7232" t="n">
        <v>1.2665</v>
      </c>
    </row>
    <row r="7233">
      <c r="A7233" s="926" t="n">
        <v>41449</v>
      </c>
      <c r="B7233" t="n">
        <v>7.7555</v>
      </c>
      <c r="C7233" t="n">
        <v>1.26655</v>
      </c>
    </row>
    <row r="7234">
      <c r="A7234" s="926" t="n">
        <v>41450</v>
      </c>
      <c r="B7234" t="n">
        <v>7.7555</v>
      </c>
      <c r="C7234" t="n">
        <v>1.26445</v>
      </c>
    </row>
    <row r="7235">
      <c r="A7235" s="926" t="n">
        <v>41451</v>
      </c>
      <c r="B7235" t="n">
        <v>7.7565</v>
      </c>
      <c r="C7235" t="n">
        <v>1.26355</v>
      </c>
    </row>
    <row r="7236">
      <c r="A7236" s="926" t="n">
        <v>41452</v>
      </c>
      <c r="B7236" t="n">
        <v>7.7575</v>
      </c>
      <c r="C7236" t="n">
        <v>1.263</v>
      </c>
    </row>
    <row r="7237">
      <c r="A7237" s="926" t="n">
        <v>41453</v>
      </c>
      <c r="B7237" t="n">
        <v>7.7565</v>
      </c>
      <c r="C7237" t="n">
        <v>1.2635</v>
      </c>
    </row>
    <row r="7238">
      <c r="A7238" s="926" t="n">
        <v>41454</v>
      </c>
      <c r="B7238" t="n">
        <v>7.7565</v>
      </c>
      <c r="C7238" t="n">
        <v>1.2635</v>
      </c>
    </row>
    <row r="7239">
      <c r="A7239" s="926" t="n">
        <v>41457</v>
      </c>
      <c r="B7239" t="n">
        <v>7.7545</v>
      </c>
      <c r="C7239" t="n">
        <v>1.2645</v>
      </c>
    </row>
    <row r="7240">
      <c r="A7240" s="926" t="n">
        <v>41458</v>
      </c>
      <c r="B7240" t="n">
        <v>7.7535</v>
      </c>
      <c r="C7240" t="n">
        <v>1.26505</v>
      </c>
    </row>
    <row r="7241">
      <c r="A7241" s="926" t="n">
        <v>41459</v>
      </c>
      <c r="B7241" t="n">
        <v>7.7525</v>
      </c>
      <c r="C7241" t="n">
        <v>1.26585</v>
      </c>
    </row>
    <row r="7242">
      <c r="A7242" s="926" t="n">
        <v>41460</v>
      </c>
      <c r="B7242" t="n">
        <v>7.7535</v>
      </c>
      <c r="C7242" t="n">
        <v>1.2665</v>
      </c>
    </row>
    <row r="7243">
      <c r="A7243" s="926" t="n">
        <v>41461</v>
      </c>
      <c r="B7243" t="n">
        <v>7.7545</v>
      </c>
      <c r="C7243" t="n">
        <v>1.26655</v>
      </c>
    </row>
    <row r="7244">
      <c r="A7244" s="926" t="n">
        <v>41463</v>
      </c>
      <c r="B7244" t="n">
        <v>7.7545</v>
      </c>
      <c r="C7244" t="n">
        <v>1.26495</v>
      </c>
    </row>
    <row r="7245">
      <c r="A7245" s="926" t="n">
        <v>41464</v>
      </c>
      <c r="B7245" t="n">
        <v>7.7565</v>
      </c>
      <c r="C7245" t="n">
        <v>1.266</v>
      </c>
    </row>
    <row r="7246">
      <c r="A7246" s="926" t="n">
        <v>41465</v>
      </c>
      <c r="B7246" t="n">
        <v>7.7565</v>
      </c>
      <c r="C7246" t="n">
        <v>1.265</v>
      </c>
    </row>
    <row r="7247">
      <c r="A7247" s="926" t="n">
        <v>41466</v>
      </c>
      <c r="B7247" t="n">
        <v>7.7565</v>
      </c>
      <c r="C7247" t="n">
        <v>1.2652</v>
      </c>
    </row>
    <row r="7248">
      <c r="A7248" s="926" t="n">
        <v>41467</v>
      </c>
      <c r="B7248" t="n">
        <v>7.7565</v>
      </c>
      <c r="C7248" t="n">
        <v>1.2635</v>
      </c>
    </row>
    <row r="7249">
      <c r="A7249" s="926" t="n">
        <v>41468</v>
      </c>
      <c r="B7249" t="n">
        <v>7.7575</v>
      </c>
      <c r="C7249" t="n">
        <v>1.264</v>
      </c>
    </row>
    <row r="7250">
      <c r="A7250" s="926" t="n">
        <v>41470</v>
      </c>
      <c r="B7250" t="n">
        <v>7.7575</v>
      </c>
      <c r="C7250" t="n">
        <v>1.265</v>
      </c>
    </row>
    <row r="7251">
      <c r="A7251" s="926" t="n">
        <v>41471</v>
      </c>
      <c r="B7251" t="n">
        <v>7.7565</v>
      </c>
      <c r="C7251" t="n">
        <v>1.2648</v>
      </c>
    </row>
    <row r="7252">
      <c r="A7252" s="926" t="n">
        <v>41472</v>
      </c>
      <c r="B7252" t="n">
        <v>7.7565</v>
      </c>
      <c r="C7252" t="n">
        <v>1.26585</v>
      </c>
    </row>
    <row r="7253">
      <c r="A7253" s="926" t="n">
        <v>41473</v>
      </c>
      <c r="B7253" t="n">
        <v>7.7575</v>
      </c>
      <c r="C7253" t="n">
        <v>1.2652</v>
      </c>
    </row>
    <row r="7254">
      <c r="A7254" s="926" t="n">
        <v>41474</v>
      </c>
      <c r="B7254" t="n">
        <v>7.7575</v>
      </c>
      <c r="C7254" t="n">
        <v>1.2645</v>
      </c>
    </row>
    <row r="7255">
      <c r="A7255" s="926" t="n">
        <v>41475</v>
      </c>
      <c r="B7255" t="n">
        <v>7.7565</v>
      </c>
      <c r="C7255" t="n">
        <v>1.2655</v>
      </c>
    </row>
    <row r="7256">
      <c r="A7256" s="926" t="n">
        <v>41477</v>
      </c>
      <c r="B7256" t="n">
        <v>7.7575</v>
      </c>
      <c r="C7256" t="n">
        <v>1.266</v>
      </c>
    </row>
    <row r="7257">
      <c r="A7257" s="926" t="n">
        <v>41478</v>
      </c>
      <c r="B7257" t="n">
        <v>7.7575</v>
      </c>
      <c r="C7257" t="n">
        <v>1.2655</v>
      </c>
    </row>
    <row r="7258">
      <c r="A7258" s="926" t="n">
        <v>41479</v>
      </c>
      <c r="B7258" t="n">
        <v>7.7565</v>
      </c>
      <c r="C7258" t="n">
        <v>1.2653</v>
      </c>
    </row>
    <row r="7259">
      <c r="A7259" s="926" t="n">
        <v>41480</v>
      </c>
      <c r="B7259" t="n">
        <v>7.7565</v>
      </c>
      <c r="C7259" t="n">
        <v>1.2655</v>
      </c>
    </row>
    <row r="7260">
      <c r="A7260" s="926" t="n">
        <v>41481</v>
      </c>
      <c r="B7260" t="n">
        <v>7.7565</v>
      </c>
      <c r="C7260" t="n">
        <v>1.26605</v>
      </c>
    </row>
    <row r="7261">
      <c r="A7261" s="926" t="n">
        <v>41482</v>
      </c>
      <c r="B7261" t="n">
        <v>7.7565</v>
      </c>
      <c r="C7261" t="n">
        <v>1.2665</v>
      </c>
    </row>
    <row r="7262">
      <c r="A7262" s="926" t="n">
        <v>41484</v>
      </c>
      <c r="B7262" t="n">
        <v>7.7565</v>
      </c>
      <c r="C7262" t="n">
        <v>1.266</v>
      </c>
    </row>
    <row r="7263">
      <c r="A7263" s="926" t="n">
        <v>41485</v>
      </c>
      <c r="B7263" t="n">
        <v>7.7555</v>
      </c>
      <c r="C7263" t="n">
        <v>1.2658</v>
      </c>
    </row>
    <row r="7264">
      <c r="A7264" s="926" t="n">
        <v>41486</v>
      </c>
      <c r="B7264" t="n">
        <v>7.7545</v>
      </c>
      <c r="C7264" t="n">
        <v>1.266</v>
      </c>
    </row>
    <row r="7265">
      <c r="A7265" s="926" t="n">
        <v>41487</v>
      </c>
      <c r="B7265" t="n">
        <v>7.7545</v>
      </c>
      <c r="C7265" t="n">
        <v>1.267</v>
      </c>
    </row>
    <row r="7266">
      <c r="A7266" s="926" t="n">
        <v>41488</v>
      </c>
      <c r="B7266" t="n">
        <v>7.7555</v>
      </c>
      <c r="C7266" t="n">
        <v>1.2658</v>
      </c>
    </row>
    <row r="7267">
      <c r="A7267" s="926" t="n">
        <v>41489</v>
      </c>
      <c r="B7267" t="n">
        <v>7.7545</v>
      </c>
      <c r="C7267" t="n">
        <v>1.2665</v>
      </c>
    </row>
    <row r="7268">
      <c r="A7268" s="926" t="n">
        <v>41491</v>
      </c>
      <c r="B7268" t="n">
        <v>7.7555</v>
      </c>
      <c r="C7268" t="n">
        <v>1.267</v>
      </c>
    </row>
    <row r="7269">
      <c r="A7269" s="926" t="n">
        <v>41492</v>
      </c>
      <c r="B7269" t="n">
        <v>7.7555</v>
      </c>
      <c r="C7269" t="n">
        <v>1.26785</v>
      </c>
    </row>
    <row r="7270">
      <c r="A7270" s="926" t="n">
        <v>41493</v>
      </c>
      <c r="B7270" t="n">
        <v>7.7555</v>
      </c>
      <c r="C7270" t="n">
        <v>1.268</v>
      </c>
    </row>
    <row r="7271">
      <c r="A7271" s="926" t="n">
        <v>41494</v>
      </c>
      <c r="B7271" t="n">
        <v>7.7555</v>
      </c>
      <c r="C7271" t="n">
        <v>1.2688</v>
      </c>
    </row>
    <row r="7272">
      <c r="A7272" s="926" t="n">
        <v>41495</v>
      </c>
      <c r="B7272" t="n">
        <v>7.7545</v>
      </c>
      <c r="C7272" t="n">
        <v>1.2689</v>
      </c>
    </row>
    <row r="7273">
      <c r="A7273" s="926" t="n">
        <v>41496</v>
      </c>
      <c r="B7273" t="n">
        <v>7.7555</v>
      </c>
      <c r="C7273" t="n">
        <v>1.2685</v>
      </c>
    </row>
    <row r="7274">
      <c r="A7274" s="926" t="n">
        <v>41498</v>
      </c>
      <c r="B7274" t="n">
        <v>7.7545</v>
      </c>
      <c r="C7274" t="n">
        <v>1.2689</v>
      </c>
    </row>
    <row r="7275">
      <c r="A7275" s="926" t="n">
        <v>41499</v>
      </c>
      <c r="B7275" t="n">
        <v>7.7555</v>
      </c>
      <c r="C7275" t="n">
        <v>1.269</v>
      </c>
    </row>
    <row r="7276">
      <c r="A7276" s="926" t="n">
        <v>41501</v>
      </c>
      <c r="B7276" t="n">
        <v>7.7545</v>
      </c>
      <c r="C7276" t="n">
        <v>1.269</v>
      </c>
    </row>
    <row r="7277">
      <c r="A7277" s="926" t="n">
        <v>41502</v>
      </c>
      <c r="B7277" t="n">
        <v>7.7535</v>
      </c>
      <c r="C7277" t="n">
        <v>1.2705</v>
      </c>
    </row>
    <row r="7278">
      <c r="A7278" s="926" t="n">
        <v>41503</v>
      </c>
      <c r="B7278" t="n">
        <v>7.7535</v>
      </c>
      <c r="C7278" t="n">
        <v>1.27</v>
      </c>
    </row>
    <row r="7279">
      <c r="A7279" s="926" t="n">
        <v>41505</v>
      </c>
      <c r="B7279" t="n">
        <v>7.7535</v>
      </c>
      <c r="C7279" t="n">
        <v>1.268</v>
      </c>
    </row>
    <row r="7280">
      <c r="A7280" s="926" t="n">
        <v>41506</v>
      </c>
      <c r="B7280" t="n">
        <v>7.7545</v>
      </c>
      <c r="C7280" t="n">
        <v>1.268</v>
      </c>
    </row>
    <row r="7281">
      <c r="A7281" s="926" t="n">
        <v>41507</v>
      </c>
      <c r="B7281" t="n">
        <v>7.7545</v>
      </c>
      <c r="C7281" t="n">
        <v>1.268</v>
      </c>
    </row>
    <row r="7282">
      <c r="A7282" s="926" t="n">
        <v>41508</v>
      </c>
      <c r="B7282" t="n">
        <v>7.7555</v>
      </c>
      <c r="C7282" t="n">
        <v>1.2677</v>
      </c>
    </row>
    <row r="7283">
      <c r="A7283" s="926" t="n">
        <v>41509</v>
      </c>
      <c r="B7283" t="n">
        <v>7.7545</v>
      </c>
      <c r="C7283" t="n">
        <v>1.268</v>
      </c>
    </row>
    <row r="7284">
      <c r="A7284" s="926" t="n">
        <v>41510</v>
      </c>
      <c r="B7284" t="n">
        <v>7.7545</v>
      </c>
      <c r="C7284" t="n">
        <v>1.2685</v>
      </c>
    </row>
    <row r="7285">
      <c r="A7285" s="926" t="n">
        <v>41512</v>
      </c>
      <c r="B7285" t="n">
        <v>7.7545</v>
      </c>
      <c r="C7285" t="n">
        <v>1.269</v>
      </c>
    </row>
    <row r="7286">
      <c r="A7286" s="926" t="n">
        <v>41513</v>
      </c>
      <c r="B7286" t="n">
        <v>7.7555</v>
      </c>
      <c r="C7286" t="n">
        <v>1.2685</v>
      </c>
    </row>
    <row r="7287">
      <c r="A7287" s="926" t="n">
        <v>41514</v>
      </c>
      <c r="B7287" t="n">
        <v>7.7545</v>
      </c>
      <c r="C7287" t="n">
        <v>1.2683</v>
      </c>
    </row>
    <row r="7288">
      <c r="A7288" s="926" t="n">
        <v>41515</v>
      </c>
      <c r="B7288" t="n">
        <v>7.7545</v>
      </c>
      <c r="C7288" t="n">
        <v>1.268</v>
      </c>
    </row>
    <row r="7289">
      <c r="A7289" s="926" t="n">
        <v>41516</v>
      </c>
      <c r="B7289" t="n">
        <v>7.7545</v>
      </c>
      <c r="C7289" t="n">
        <v>1.2685</v>
      </c>
    </row>
    <row r="7290">
      <c r="A7290" s="926" t="n">
        <v>41517</v>
      </c>
      <c r="B7290" t="n">
        <v>7.7525</v>
      </c>
      <c r="C7290" t="n">
        <v>1.27</v>
      </c>
    </row>
    <row r="7291">
      <c r="A7291" s="926" t="n">
        <v>41519</v>
      </c>
      <c r="B7291" t="n">
        <v>7.7535</v>
      </c>
      <c r="C7291" t="n">
        <v>1.2688</v>
      </c>
    </row>
    <row r="7292">
      <c r="A7292" s="926" t="n">
        <v>41520</v>
      </c>
      <c r="B7292" t="n">
        <v>7.7545</v>
      </c>
      <c r="C7292" t="n">
        <v>1.269</v>
      </c>
    </row>
    <row r="7293">
      <c r="A7293" s="926" t="n">
        <v>41521</v>
      </c>
      <c r="B7293" t="n">
        <v>7.7555</v>
      </c>
      <c r="C7293" t="n">
        <v>1.2685</v>
      </c>
    </row>
    <row r="7294">
      <c r="A7294" s="926" t="n">
        <v>41522</v>
      </c>
      <c r="B7294" t="n">
        <v>7.7555</v>
      </c>
      <c r="C7294" t="n">
        <v>1.2689</v>
      </c>
    </row>
    <row r="7295">
      <c r="A7295" s="926" t="n">
        <v>41523</v>
      </c>
      <c r="B7295" t="n">
        <v>7.7555</v>
      </c>
      <c r="C7295" t="n">
        <v>1.2689</v>
      </c>
    </row>
    <row r="7296">
      <c r="A7296" s="926" t="n">
        <v>41524</v>
      </c>
      <c r="B7296" t="n">
        <v>7.7545</v>
      </c>
      <c r="C7296" t="n">
        <v>1.269</v>
      </c>
    </row>
    <row r="7297">
      <c r="A7297" s="926" t="n">
        <v>41526</v>
      </c>
      <c r="B7297" t="n">
        <v>7.7555</v>
      </c>
      <c r="C7297" t="n">
        <v>1.2689</v>
      </c>
    </row>
    <row r="7298">
      <c r="A7298" s="926" t="n">
        <v>41527</v>
      </c>
      <c r="B7298" t="n">
        <v>7.7535</v>
      </c>
      <c r="C7298" t="n">
        <v>1.269</v>
      </c>
    </row>
    <row r="7299">
      <c r="A7299" s="926" t="n">
        <v>41528</v>
      </c>
      <c r="B7299" t="n">
        <v>7.7545</v>
      </c>
      <c r="C7299" t="n">
        <v>1.269</v>
      </c>
    </row>
    <row r="7300">
      <c r="A7300" s="926" t="n">
        <v>41529</v>
      </c>
      <c r="B7300" t="n">
        <v>7.7535</v>
      </c>
      <c r="C7300" t="n">
        <v>1.2695</v>
      </c>
    </row>
    <row r="7301">
      <c r="A7301" s="926" t="n">
        <v>41530</v>
      </c>
      <c r="B7301" t="n">
        <v>7.7535</v>
      </c>
      <c r="C7301" t="n">
        <v>1.2695</v>
      </c>
    </row>
    <row r="7302">
      <c r="A7302" s="926" t="n">
        <v>41531</v>
      </c>
      <c r="B7302" t="n">
        <v>7.7535</v>
      </c>
      <c r="C7302" t="n">
        <v>1.269</v>
      </c>
    </row>
    <row r="7303">
      <c r="A7303" s="926" t="n">
        <v>41533</v>
      </c>
      <c r="B7303" t="n">
        <v>7.7535</v>
      </c>
      <c r="C7303" t="n">
        <v>1.2695</v>
      </c>
    </row>
    <row r="7304">
      <c r="A7304" s="926" t="n">
        <v>41534</v>
      </c>
      <c r="B7304" t="n">
        <v>7.7545</v>
      </c>
      <c r="C7304" t="n">
        <v>1.269</v>
      </c>
    </row>
    <row r="7305">
      <c r="A7305" s="926" t="n">
        <v>41535</v>
      </c>
      <c r="B7305" t="n">
        <v>7.7535</v>
      </c>
      <c r="C7305" t="n">
        <v>1.2679</v>
      </c>
    </row>
    <row r="7306">
      <c r="A7306" s="926" t="n">
        <v>41536</v>
      </c>
      <c r="B7306" t="n">
        <v>7.7535</v>
      </c>
      <c r="C7306" t="n">
        <v>1.269</v>
      </c>
    </row>
    <row r="7307">
      <c r="A7307" s="926" t="n">
        <v>41538</v>
      </c>
      <c r="B7307" t="n">
        <v>7.7525</v>
      </c>
      <c r="C7307" t="n">
        <v>1.269</v>
      </c>
    </row>
    <row r="7308">
      <c r="A7308" s="926" t="n">
        <v>41540</v>
      </c>
      <c r="B7308" t="n">
        <v>7.7535</v>
      </c>
      <c r="C7308" t="n">
        <v>1.269</v>
      </c>
    </row>
    <row r="7309">
      <c r="A7309" s="926" t="n">
        <v>41541</v>
      </c>
      <c r="B7309" t="n">
        <v>7.7525</v>
      </c>
      <c r="C7309" t="n">
        <v>1.269</v>
      </c>
    </row>
    <row r="7310">
      <c r="A7310" s="926" t="n">
        <v>41542</v>
      </c>
      <c r="B7310" t="n">
        <v>7.7535</v>
      </c>
      <c r="C7310" t="n">
        <v>1.26855</v>
      </c>
    </row>
    <row r="7311">
      <c r="A7311" s="926" t="n">
        <v>41543</v>
      </c>
      <c r="B7311" t="n">
        <v>7.7535</v>
      </c>
      <c r="C7311" t="n">
        <v>1.26855</v>
      </c>
    </row>
    <row r="7312">
      <c r="A7312" s="926" t="n">
        <v>41544</v>
      </c>
      <c r="B7312" t="n">
        <v>7.7535</v>
      </c>
      <c r="C7312" t="n">
        <v>1.26835</v>
      </c>
    </row>
    <row r="7313">
      <c r="A7313" s="926" t="n">
        <v>41545</v>
      </c>
      <c r="B7313" t="n">
        <v>7.7535</v>
      </c>
      <c r="C7313" t="n">
        <v>1.269</v>
      </c>
    </row>
    <row r="7314">
      <c r="A7314" s="926" t="n">
        <v>41547</v>
      </c>
      <c r="B7314" t="n">
        <v>7.7535</v>
      </c>
      <c r="C7314" t="n">
        <v>1.269</v>
      </c>
    </row>
    <row r="7315">
      <c r="A7315" s="926" t="n">
        <v>41549</v>
      </c>
      <c r="B7315" t="n">
        <v>7.7545</v>
      </c>
      <c r="C7315" t="n">
        <v>1.269</v>
      </c>
    </row>
    <row r="7316">
      <c r="A7316" s="926" t="n">
        <v>41550</v>
      </c>
      <c r="B7316" t="n">
        <v>7.7545</v>
      </c>
      <c r="C7316" t="n">
        <v>1.269</v>
      </c>
    </row>
    <row r="7317">
      <c r="A7317" s="926" t="n">
        <v>41551</v>
      </c>
      <c r="B7317" t="n">
        <v>7.7535</v>
      </c>
      <c r="C7317" t="n">
        <v>1.2689</v>
      </c>
    </row>
    <row r="7318">
      <c r="A7318" s="926" t="n">
        <v>41552</v>
      </c>
      <c r="B7318" t="n">
        <v>7.7525</v>
      </c>
      <c r="C7318" t="n">
        <v>1.269</v>
      </c>
    </row>
    <row r="7319">
      <c r="A7319" s="926" t="n">
        <v>41554</v>
      </c>
      <c r="B7319" t="n">
        <v>7.7535</v>
      </c>
      <c r="C7319" t="n">
        <v>1.269</v>
      </c>
    </row>
    <row r="7320">
      <c r="A7320" s="926" t="n">
        <v>41555</v>
      </c>
      <c r="B7320" t="n">
        <v>7.7535</v>
      </c>
      <c r="C7320" t="n">
        <v>1.269</v>
      </c>
    </row>
    <row r="7321">
      <c r="A7321" s="926" t="n">
        <v>41556</v>
      </c>
      <c r="B7321" t="n">
        <v>7.7535</v>
      </c>
      <c r="C7321" t="n">
        <v>1.269</v>
      </c>
    </row>
    <row r="7322">
      <c r="A7322" s="926" t="n">
        <v>41557</v>
      </c>
      <c r="B7322" t="n">
        <v>7.7535</v>
      </c>
      <c r="C7322" t="n">
        <v>1.2685</v>
      </c>
    </row>
    <row r="7323">
      <c r="A7323" s="926" t="n">
        <v>41558</v>
      </c>
      <c r="B7323" t="n">
        <v>7.7535</v>
      </c>
      <c r="C7323" t="n">
        <v>1.2705</v>
      </c>
    </row>
    <row r="7324">
      <c r="A7324" s="926" t="n">
        <v>41559</v>
      </c>
      <c r="B7324" t="n">
        <v>7.7535</v>
      </c>
      <c r="C7324" t="n">
        <v>1.2695</v>
      </c>
    </row>
    <row r="7325">
      <c r="A7325" s="926" t="n">
        <v>41562</v>
      </c>
      <c r="B7325" t="n">
        <v>7.7545</v>
      </c>
      <c r="C7325" t="n">
        <v>1.2715</v>
      </c>
    </row>
    <row r="7326">
      <c r="A7326" s="926" t="n">
        <v>41563</v>
      </c>
      <c r="B7326" t="n">
        <v>7.7545</v>
      </c>
      <c r="C7326" t="n">
        <v>1.2727</v>
      </c>
    </row>
    <row r="7327">
      <c r="A7327" s="926" t="n">
        <v>41564</v>
      </c>
      <c r="B7327" t="n">
        <v>7.7535</v>
      </c>
      <c r="C7327" t="n">
        <v>1.273</v>
      </c>
    </row>
    <row r="7328">
      <c r="A7328" s="926" t="n">
        <v>41565</v>
      </c>
      <c r="B7328" t="n">
        <v>7.7535</v>
      </c>
      <c r="C7328" t="n">
        <v>1.2745</v>
      </c>
    </row>
    <row r="7329">
      <c r="A7329" s="926" t="n">
        <v>41566</v>
      </c>
      <c r="B7329" t="n">
        <v>7.7545</v>
      </c>
      <c r="C7329" t="n">
        <v>1.2735</v>
      </c>
    </row>
    <row r="7330">
      <c r="A7330" s="926" t="n">
        <v>41568</v>
      </c>
      <c r="B7330" t="n">
        <v>7.7525</v>
      </c>
      <c r="C7330" t="n">
        <v>1.2739</v>
      </c>
    </row>
    <row r="7331">
      <c r="A7331" s="926" t="n">
        <v>41569</v>
      </c>
      <c r="B7331" t="n">
        <v>7.7525</v>
      </c>
      <c r="C7331" t="n">
        <v>1.274</v>
      </c>
    </row>
    <row r="7332">
      <c r="A7332" s="926" t="n">
        <v>41570</v>
      </c>
      <c r="B7332" t="n">
        <v>7.7525</v>
      </c>
      <c r="C7332" t="n">
        <v>1.275</v>
      </c>
    </row>
    <row r="7333">
      <c r="A7333" s="926" t="n">
        <v>41571</v>
      </c>
      <c r="B7333" t="n">
        <v>7.7525</v>
      </c>
      <c r="C7333" t="n">
        <v>1.276</v>
      </c>
    </row>
    <row r="7334">
      <c r="A7334" s="926" t="n">
        <v>41572</v>
      </c>
      <c r="B7334" t="n">
        <v>7.7535</v>
      </c>
      <c r="C7334" t="n">
        <v>1.2767</v>
      </c>
    </row>
    <row r="7335">
      <c r="A7335" s="926" t="n">
        <v>41573</v>
      </c>
      <c r="B7335" t="n">
        <v>7.7525</v>
      </c>
      <c r="C7335" t="n">
        <v>1.2765</v>
      </c>
    </row>
    <row r="7336">
      <c r="A7336" s="926" t="n">
        <v>41575</v>
      </c>
      <c r="B7336" t="n">
        <v>7.7525</v>
      </c>
      <c r="C7336" t="n">
        <v>1.27655</v>
      </c>
    </row>
    <row r="7337">
      <c r="A7337" s="926" t="n">
        <v>41576</v>
      </c>
      <c r="B7337" t="n">
        <v>7.7525</v>
      </c>
      <c r="C7337" t="n">
        <v>1.276</v>
      </c>
    </row>
    <row r="7338">
      <c r="A7338" s="926" t="n">
        <v>41577</v>
      </c>
      <c r="B7338" t="n">
        <v>7.7525</v>
      </c>
      <c r="C7338" t="n">
        <v>1.2745</v>
      </c>
    </row>
    <row r="7339">
      <c r="A7339" s="926" t="n">
        <v>41578</v>
      </c>
      <c r="B7339" t="n">
        <v>7.7525</v>
      </c>
      <c r="C7339" t="n">
        <v>1.27455</v>
      </c>
    </row>
    <row r="7340">
      <c r="A7340" s="926" t="n">
        <v>41579</v>
      </c>
      <c r="B7340" t="n">
        <v>7.7525</v>
      </c>
      <c r="C7340" t="n">
        <v>1.2735</v>
      </c>
    </row>
    <row r="7341">
      <c r="A7341" s="926" t="n">
        <v>41580</v>
      </c>
      <c r="B7341" t="n">
        <v>7.7505</v>
      </c>
      <c r="C7341" t="n">
        <v>1.273</v>
      </c>
    </row>
    <row r="7342">
      <c r="A7342" s="926" t="n">
        <v>41582</v>
      </c>
      <c r="B7342" t="n">
        <v>7.7515</v>
      </c>
      <c r="C7342" t="n">
        <v>1.2725</v>
      </c>
    </row>
    <row r="7343">
      <c r="A7343" s="926" t="n">
        <v>41583</v>
      </c>
      <c r="B7343" t="n">
        <v>7.7515</v>
      </c>
      <c r="C7343" t="n">
        <v>1.2735</v>
      </c>
    </row>
    <row r="7344">
      <c r="A7344" s="926" t="n">
        <v>41584</v>
      </c>
      <c r="B7344" t="n">
        <v>7.7515</v>
      </c>
      <c r="C7344" t="n">
        <v>1.2735</v>
      </c>
    </row>
    <row r="7345">
      <c r="A7345" s="926" t="n">
        <v>41585</v>
      </c>
      <c r="B7345" t="n">
        <v>7.7515</v>
      </c>
      <c r="C7345" t="n">
        <v>1.2735</v>
      </c>
    </row>
    <row r="7346">
      <c r="A7346" s="926" t="n">
        <v>41586</v>
      </c>
      <c r="B7346" t="n">
        <v>7.7515</v>
      </c>
      <c r="C7346" t="n">
        <v>1.274</v>
      </c>
    </row>
    <row r="7347">
      <c r="A7347" s="926" t="n">
        <v>41587</v>
      </c>
      <c r="B7347" t="n">
        <v>7.7515</v>
      </c>
      <c r="C7347" t="n">
        <v>1.2735</v>
      </c>
    </row>
    <row r="7348">
      <c r="A7348" s="926" t="n">
        <v>41589</v>
      </c>
      <c r="B7348" t="n">
        <v>7.7515</v>
      </c>
      <c r="C7348" t="n">
        <v>1.2745</v>
      </c>
    </row>
    <row r="7349">
      <c r="A7349" s="926" t="n">
        <v>41590</v>
      </c>
      <c r="B7349" t="n">
        <v>7.7525</v>
      </c>
      <c r="C7349" t="n">
        <v>1.2745</v>
      </c>
    </row>
    <row r="7350">
      <c r="A7350" s="926" t="n">
        <v>41591</v>
      </c>
      <c r="B7350" t="n">
        <v>7.7525</v>
      </c>
      <c r="C7350" t="n">
        <v>1.2755</v>
      </c>
    </row>
    <row r="7351">
      <c r="A7351" s="926" t="n">
        <v>41592</v>
      </c>
      <c r="B7351" t="n">
        <v>7.7525</v>
      </c>
      <c r="C7351" t="n">
        <v>1.2745</v>
      </c>
    </row>
    <row r="7352">
      <c r="A7352" s="926" t="n">
        <v>41593</v>
      </c>
      <c r="B7352" t="n">
        <v>7.7535</v>
      </c>
      <c r="C7352" t="n">
        <v>1.27445</v>
      </c>
    </row>
    <row r="7353">
      <c r="A7353" s="926" t="n">
        <v>41594</v>
      </c>
      <c r="B7353" t="n">
        <v>7.7525</v>
      </c>
      <c r="C7353" t="n">
        <v>1.2745</v>
      </c>
    </row>
    <row r="7354">
      <c r="A7354" s="926" t="n">
        <v>41596</v>
      </c>
      <c r="B7354" t="n">
        <v>7.7525</v>
      </c>
      <c r="C7354" t="n">
        <v>1.2745</v>
      </c>
    </row>
    <row r="7355">
      <c r="A7355" s="926" t="n">
        <v>41597</v>
      </c>
      <c r="B7355" t="n">
        <v>7.7515</v>
      </c>
      <c r="C7355" t="n">
        <v>1.2743</v>
      </c>
    </row>
    <row r="7356">
      <c r="A7356" s="926" t="n">
        <v>41598</v>
      </c>
      <c r="B7356" t="n">
        <v>7.7515</v>
      </c>
      <c r="C7356" t="n">
        <v>1.2745</v>
      </c>
    </row>
    <row r="7357">
      <c r="A7357" s="926" t="n">
        <v>41599</v>
      </c>
      <c r="B7357" t="n">
        <v>7.7515</v>
      </c>
      <c r="C7357" t="n">
        <v>1.2735</v>
      </c>
    </row>
    <row r="7358">
      <c r="A7358" s="926" t="n">
        <v>41600</v>
      </c>
      <c r="B7358" t="n">
        <v>7.7515</v>
      </c>
      <c r="C7358" t="n">
        <v>1.2735</v>
      </c>
    </row>
    <row r="7359">
      <c r="A7359" s="926" t="n">
        <v>41601</v>
      </c>
      <c r="B7359" t="n">
        <v>7.7515</v>
      </c>
      <c r="C7359" t="n">
        <v>1.2735</v>
      </c>
    </row>
    <row r="7360">
      <c r="A7360" s="926" t="n">
        <v>41603</v>
      </c>
      <c r="B7360" t="n">
        <v>7.7525</v>
      </c>
      <c r="C7360" t="n">
        <v>1.274</v>
      </c>
    </row>
    <row r="7361">
      <c r="A7361" s="926" t="n">
        <v>41604</v>
      </c>
      <c r="B7361" t="n">
        <v>7.7515</v>
      </c>
      <c r="C7361" t="n">
        <v>1.2739</v>
      </c>
    </row>
    <row r="7362">
      <c r="A7362" s="926" t="n">
        <v>41605</v>
      </c>
      <c r="B7362" t="n">
        <v>7.7515</v>
      </c>
      <c r="C7362" t="n">
        <v>1.274</v>
      </c>
    </row>
    <row r="7363">
      <c r="A7363" s="926" t="n">
        <v>41606</v>
      </c>
      <c r="B7363" t="n">
        <v>7.7525</v>
      </c>
      <c r="C7363" t="n">
        <v>1.274</v>
      </c>
    </row>
    <row r="7364">
      <c r="A7364" s="926" t="n">
        <v>41607</v>
      </c>
      <c r="B7364" t="n">
        <v>7.7525</v>
      </c>
      <c r="C7364" t="n">
        <v>1.274</v>
      </c>
    </row>
    <row r="7365">
      <c r="A7365" s="926" t="n">
        <v>41608</v>
      </c>
      <c r="B7365" t="n">
        <v>7.7525</v>
      </c>
      <c r="C7365" t="n">
        <v>1.2735</v>
      </c>
    </row>
    <row r="7366">
      <c r="A7366" s="926" t="n">
        <v>41610</v>
      </c>
      <c r="B7366" t="n">
        <v>7.7525</v>
      </c>
      <c r="C7366" t="n">
        <v>1.274</v>
      </c>
    </row>
    <row r="7367">
      <c r="A7367" s="926" t="n">
        <v>41611</v>
      </c>
      <c r="B7367" t="n">
        <v>7.7515</v>
      </c>
      <c r="C7367" t="n">
        <v>1.274</v>
      </c>
    </row>
    <row r="7368">
      <c r="A7368" s="926" t="n">
        <v>41612</v>
      </c>
      <c r="B7368" t="n">
        <v>7.7525</v>
      </c>
      <c r="C7368" t="n">
        <v>1.274</v>
      </c>
    </row>
    <row r="7369">
      <c r="A7369" s="926" t="n">
        <v>41613</v>
      </c>
      <c r="B7369" t="n">
        <v>7.7525</v>
      </c>
      <c r="C7369" t="n">
        <v>1.2744</v>
      </c>
    </row>
    <row r="7370">
      <c r="A7370" s="926" t="n">
        <v>41614</v>
      </c>
      <c r="B7370" t="n">
        <v>7.7535</v>
      </c>
      <c r="C7370" t="n">
        <v>1.276</v>
      </c>
    </row>
    <row r="7371">
      <c r="A7371" s="926" t="n">
        <v>41615</v>
      </c>
      <c r="B7371" t="n">
        <v>7.7525</v>
      </c>
      <c r="C7371" t="n">
        <v>1.276</v>
      </c>
    </row>
    <row r="7372">
      <c r="A7372" s="926" t="n">
        <v>41617</v>
      </c>
      <c r="B7372" t="n">
        <v>7.7535</v>
      </c>
      <c r="C7372" t="n">
        <v>1.2784</v>
      </c>
    </row>
    <row r="7373">
      <c r="A7373" s="926" t="n">
        <v>41618</v>
      </c>
      <c r="B7373" t="n">
        <v>7.7535</v>
      </c>
      <c r="C7373" t="n">
        <v>1.2781</v>
      </c>
    </row>
    <row r="7374">
      <c r="A7374" s="926" t="n">
        <v>41619</v>
      </c>
      <c r="B7374" t="n">
        <v>7.7525</v>
      </c>
      <c r="C7374" t="n">
        <v>1.2779</v>
      </c>
    </row>
    <row r="7375">
      <c r="A7375" s="926" t="n">
        <v>41620</v>
      </c>
      <c r="B7375" t="n">
        <v>7.7535</v>
      </c>
      <c r="C7375" t="n">
        <v>1.2775</v>
      </c>
    </row>
    <row r="7376">
      <c r="A7376" s="926" t="n">
        <v>41621</v>
      </c>
      <c r="B7376" t="n">
        <v>7.7525</v>
      </c>
      <c r="C7376" t="n">
        <v>1.278</v>
      </c>
    </row>
    <row r="7377">
      <c r="A7377" s="926" t="n">
        <v>41622</v>
      </c>
      <c r="B7377" t="n">
        <v>7.7525</v>
      </c>
      <c r="C7377" t="n">
        <v>1.278</v>
      </c>
    </row>
    <row r="7378">
      <c r="A7378" s="926" t="n">
        <v>41624</v>
      </c>
      <c r="B7378" t="n">
        <v>7.7525</v>
      </c>
      <c r="C7378" t="n">
        <v>1.2785</v>
      </c>
    </row>
    <row r="7379">
      <c r="A7379" s="926" t="n">
        <v>41625</v>
      </c>
      <c r="B7379" t="n">
        <v>7.7525</v>
      </c>
      <c r="C7379" t="n">
        <v>1.2785</v>
      </c>
    </row>
    <row r="7380">
      <c r="A7380" s="926" t="n">
        <v>41626</v>
      </c>
      <c r="B7380" t="n">
        <v>7.7515</v>
      </c>
      <c r="C7380" t="n">
        <v>1.2785</v>
      </c>
    </row>
    <row r="7381">
      <c r="A7381" s="926" t="n">
        <v>41627</v>
      </c>
      <c r="B7381" t="n">
        <v>7.7525</v>
      </c>
      <c r="C7381" t="n">
        <v>1.278</v>
      </c>
    </row>
    <row r="7382">
      <c r="A7382" s="926" t="n">
        <v>41628</v>
      </c>
      <c r="B7382" t="n">
        <v>7.7545</v>
      </c>
      <c r="C7382" t="n">
        <v>1.2785</v>
      </c>
    </row>
    <row r="7383">
      <c r="A7383" s="926" t="n">
        <v>41629</v>
      </c>
      <c r="B7383" t="n">
        <v>7.7535</v>
      </c>
      <c r="C7383" t="n">
        <v>1.2785</v>
      </c>
    </row>
    <row r="7384">
      <c r="A7384" s="926" t="n">
        <v>41631</v>
      </c>
      <c r="B7384" t="n">
        <v>7.7535</v>
      </c>
      <c r="C7384" t="n">
        <v>1.279</v>
      </c>
    </row>
    <row r="7385">
      <c r="A7385" s="926" t="n">
        <v>41632</v>
      </c>
      <c r="B7385" t="n">
        <v>7.7535</v>
      </c>
      <c r="C7385" t="n">
        <v>1.279</v>
      </c>
    </row>
    <row r="7386">
      <c r="A7386" s="926" t="n">
        <v>41635</v>
      </c>
      <c r="B7386" t="n">
        <v>7.7535</v>
      </c>
      <c r="C7386" t="n">
        <v>1.2795</v>
      </c>
    </row>
    <row r="7387">
      <c r="A7387" s="926" t="n">
        <v>41636</v>
      </c>
      <c r="B7387" t="n">
        <v>7.753</v>
      </c>
      <c r="C7387" t="n">
        <v>1.2795</v>
      </c>
    </row>
    <row r="7388">
      <c r="A7388" s="926" t="n">
        <v>41638</v>
      </c>
      <c r="B7388" t="n">
        <v>7.7535</v>
      </c>
      <c r="C7388" t="n">
        <v>1.28</v>
      </c>
    </row>
    <row r="7389">
      <c r="A7389" s="926" t="n">
        <v>41639</v>
      </c>
      <c r="B7389" t="n">
        <v>7.7535</v>
      </c>
      <c r="C7389" t="n">
        <v>1.28</v>
      </c>
    </row>
    <row r="7390">
      <c r="A7390" s="926" t="n">
        <v>41641</v>
      </c>
      <c r="B7390" t="n">
        <v>7.7535</v>
      </c>
      <c r="C7390" t="n">
        <v>1.283</v>
      </c>
    </row>
    <row r="7391">
      <c r="A7391" s="926" t="n">
        <v>41642</v>
      </c>
      <c r="B7391" t="n">
        <v>7.7535</v>
      </c>
      <c r="C7391" t="n">
        <v>1.2825</v>
      </c>
    </row>
    <row r="7392">
      <c r="A7392" s="926" t="n">
        <v>41643</v>
      </c>
      <c r="B7392" t="n">
        <v>7.7535</v>
      </c>
      <c r="C7392" t="n">
        <v>1.2825</v>
      </c>
    </row>
    <row r="7393">
      <c r="A7393" s="926" t="n">
        <v>41645</v>
      </c>
      <c r="B7393" t="n">
        <v>7.7545</v>
      </c>
      <c r="C7393" t="n">
        <v>1.28315</v>
      </c>
    </row>
    <row r="7394">
      <c r="A7394" s="926" t="n">
        <v>41646</v>
      </c>
      <c r="B7394" t="n">
        <v>7.7535</v>
      </c>
      <c r="C7394" t="n">
        <v>1.283</v>
      </c>
    </row>
    <row r="7395">
      <c r="A7395" s="926" t="n">
        <v>41647</v>
      </c>
      <c r="B7395" t="n">
        <v>7.7545</v>
      </c>
      <c r="C7395" t="n">
        <v>1.283</v>
      </c>
    </row>
    <row r="7396">
      <c r="A7396" s="926" t="n">
        <v>41648</v>
      </c>
      <c r="B7396" t="n">
        <v>7.7535</v>
      </c>
      <c r="C7396" t="n">
        <v>1.283</v>
      </c>
    </row>
    <row r="7397">
      <c r="A7397" s="926" t="n">
        <v>41649</v>
      </c>
      <c r="B7397" t="n">
        <v>7.7535</v>
      </c>
      <c r="C7397" t="n">
        <v>1.283</v>
      </c>
    </row>
    <row r="7398">
      <c r="A7398" s="926" t="n">
        <v>41650</v>
      </c>
      <c r="B7398" t="n">
        <v>7.7545</v>
      </c>
      <c r="C7398" t="n">
        <v>1.2831</v>
      </c>
    </row>
    <row r="7399">
      <c r="A7399" s="926" t="n">
        <v>41652</v>
      </c>
      <c r="B7399" t="n">
        <v>7.7545</v>
      </c>
      <c r="C7399" t="n">
        <v>1.2847</v>
      </c>
    </row>
    <row r="7400">
      <c r="A7400" s="926" t="n">
        <v>41653</v>
      </c>
      <c r="B7400" t="n">
        <v>7.7535</v>
      </c>
      <c r="C7400" t="n">
        <v>1.285</v>
      </c>
    </row>
    <row r="7401">
      <c r="A7401" s="926" t="n">
        <v>41654</v>
      </c>
      <c r="B7401" t="n">
        <v>7.7545</v>
      </c>
      <c r="C7401" t="n">
        <v>1.285</v>
      </c>
    </row>
    <row r="7402">
      <c r="A7402" s="926" t="n">
        <v>41655</v>
      </c>
      <c r="B7402" t="n">
        <v>7.7545</v>
      </c>
      <c r="C7402" t="n">
        <v>1.283</v>
      </c>
    </row>
    <row r="7403">
      <c r="A7403" s="926" t="n">
        <v>41656</v>
      </c>
      <c r="B7403" t="n">
        <v>7.7545</v>
      </c>
      <c r="C7403" t="n">
        <v>1.283</v>
      </c>
    </row>
    <row r="7404">
      <c r="A7404" s="926" t="n">
        <v>41657</v>
      </c>
      <c r="B7404" t="n">
        <v>7.7545</v>
      </c>
      <c r="C7404" t="n">
        <v>1.2835</v>
      </c>
    </row>
    <row r="7405">
      <c r="A7405" s="926" t="n">
        <v>41659</v>
      </c>
      <c r="B7405" t="n">
        <v>7.7565</v>
      </c>
      <c r="C7405" t="n">
        <v>1.2832</v>
      </c>
    </row>
    <row r="7406">
      <c r="A7406" s="926" t="n">
        <v>41660</v>
      </c>
      <c r="B7406" t="n">
        <v>7.7565</v>
      </c>
      <c r="C7406" t="n">
        <v>1.2835</v>
      </c>
    </row>
    <row r="7407">
      <c r="A7407" s="926" t="n">
        <v>41661</v>
      </c>
      <c r="B7407" t="n">
        <v>7.7565</v>
      </c>
      <c r="C7407" t="n">
        <v>1.283</v>
      </c>
    </row>
    <row r="7408">
      <c r="A7408" s="926" t="n">
        <v>41662</v>
      </c>
      <c r="B7408" t="n">
        <v>7.7575</v>
      </c>
      <c r="C7408" t="n">
        <v>1.283</v>
      </c>
    </row>
    <row r="7409">
      <c r="A7409" s="926" t="n">
        <v>41663</v>
      </c>
      <c r="B7409" t="n">
        <v>7.7615</v>
      </c>
      <c r="C7409" t="n">
        <v>1.28505</v>
      </c>
    </row>
    <row r="7410">
      <c r="A7410" s="926" t="n">
        <v>41664</v>
      </c>
      <c r="B7410" t="n">
        <v>7.7625</v>
      </c>
      <c r="C7410" t="n">
        <v>1.2845</v>
      </c>
    </row>
    <row r="7411">
      <c r="A7411" s="926" t="n">
        <v>41666</v>
      </c>
      <c r="B7411" t="n">
        <v>7.7615</v>
      </c>
      <c r="C7411" t="n">
        <v>1.28485</v>
      </c>
    </row>
    <row r="7412">
      <c r="A7412" s="926" t="n">
        <v>41667</v>
      </c>
      <c r="B7412" t="n">
        <v>7.7635</v>
      </c>
      <c r="C7412" t="n">
        <v>1.2845</v>
      </c>
    </row>
    <row r="7413">
      <c r="A7413" s="926" t="n">
        <v>41668</v>
      </c>
      <c r="B7413" t="n">
        <v>7.7625</v>
      </c>
      <c r="C7413" t="n">
        <v>1.28405</v>
      </c>
    </row>
    <row r="7414">
      <c r="A7414" s="926" t="n">
        <v>41669</v>
      </c>
      <c r="B7414" t="n">
        <v>7.7655</v>
      </c>
      <c r="C7414" t="n">
        <v>1.284</v>
      </c>
    </row>
    <row r="7415">
      <c r="A7415" s="926" t="n">
        <v>41674</v>
      </c>
      <c r="B7415" t="n">
        <v>7.7635</v>
      </c>
      <c r="C7415" t="n">
        <v>1.28415</v>
      </c>
    </row>
    <row r="7416">
      <c r="A7416" s="926" t="n">
        <v>41675</v>
      </c>
      <c r="B7416" t="n">
        <v>7.7625</v>
      </c>
      <c r="C7416" t="n">
        <v>1.284</v>
      </c>
    </row>
    <row r="7417">
      <c r="A7417" s="926" t="n">
        <v>41676</v>
      </c>
      <c r="B7417" t="n">
        <v>7.7595</v>
      </c>
      <c r="C7417" t="n">
        <v>1.28475</v>
      </c>
    </row>
    <row r="7418">
      <c r="A7418" s="926" t="n">
        <v>41677</v>
      </c>
      <c r="B7418" t="n">
        <v>7.7585</v>
      </c>
      <c r="C7418" t="n">
        <v>1.2813</v>
      </c>
    </row>
    <row r="7419">
      <c r="A7419" s="926" t="n">
        <v>41678</v>
      </c>
      <c r="B7419" t="n">
        <v>7.7585</v>
      </c>
      <c r="C7419" t="n">
        <v>1.28095</v>
      </c>
    </row>
    <row r="7420">
      <c r="A7420" s="926" t="n">
        <v>41680</v>
      </c>
      <c r="B7420" t="n">
        <v>7.7565</v>
      </c>
      <c r="C7420" t="n">
        <v>1.2815</v>
      </c>
    </row>
    <row r="7421">
      <c r="A7421" s="926" t="n">
        <v>41681</v>
      </c>
      <c r="B7421" t="n">
        <v>7.7565</v>
      </c>
      <c r="C7421" t="n">
        <v>1.2815</v>
      </c>
    </row>
    <row r="7422">
      <c r="A7422" s="926" t="n">
        <v>41682</v>
      </c>
      <c r="B7422" t="n">
        <v>7.7545</v>
      </c>
      <c r="C7422" t="n">
        <v>1.28065</v>
      </c>
    </row>
    <row r="7423">
      <c r="A7423" s="926" t="n">
        <v>41683</v>
      </c>
      <c r="B7423" t="n">
        <v>7.7565</v>
      </c>
      <c r="C7423" t="n">
        <v>1.28</v>
      </c>
    </row>
    <row r="7424">
      <c r="A7424" s="926" t="n">
        <v>41684</v>
      </c>
      <c r="B7424" t="n">
        <v>7.7555</v>
      </c>
      <c r="C7424" t="n">
        <v>1.281</v>
      </c>
    </row>
    <row r="7425">
      <c r="A7425" s="926" t="n">
        <v>41685</v>
      </c>
      <c r="B7425" t="n">
        <v>7.7535</v>
      </c>
      <c r="C7425" t="n">
        <v>1.281</v>
      </c>
    </row>
    <row r="7426">
      <c r="A7426" s="926" t="n">
        <v>41687</v>
      </c>
      <c r="B7426" t="n">
        <v>7.7545</v>
      </c>
      <c r="C7426" t="n">
        <v>1.2803</v>
      </c>
    </row>
    <row r="7427">
      <c r="A7427" s="926" t="n">
        <v>41688</v>
      </c>
      <c r="B7427" t="n">
        <v>7.7545</v>
      </c>
      <c r="C7427" t="n">
        <v>1.2803</v>
      </c>
    </row>
    <row r="7428">
      <c r="A7428" s="926" t="n">
        <v>41689</v>
      </c>
      <c r="B7428" t="n">
        <v>7.7545</v>
      </c>
      <c r="C7428" t="n">
        <v>1.278</v>
      </c>
    </row>
    <row r="7429">
      <c r="A7429" s="926" t="n">
        <v>41690</v>
      </c>
      <c r="B7429" t="n">
        <v>7.7555</v>
      </c>
      <c r="C7429" t="n">
        <v>1.2765</v>
      </c>
    </row>
    <row r="7430">
      <c r="A7430" s="926" t="n">
        <v>41691</v>
      </c>
      <c r="B7430" t="n">
        <v>7.7545</v>
      </c>
      <c r="C7430" t="n">
        <v>1.275</v>
      </c>
    </row>
    <row r="7431">
      <c r="A7431" s="926" t="n">
        <v>41692</v>
      </c>
      <c r="B7431" t="n">
        <v>7.7545</v>
      </c>
      <c r="C7431" t="n">
        <v>1.2705</v>
      </c>
    </row>
    <row r="7432">
      <c r="A7432" s="926" t="n">
        <v>41694</v>
      </c>
      <c r="B7432" t="n">
        <v>7.7555</v>
      </c>
      <c r="C7432" t="n">
        <v>1.274</v>
      </c>
    </row>
    <row r="7433">
      <c r="A7433" s="926" t="n">
        <v>41695</v>
      </c>
      <c r="B7433" t="n">
        <v>7.7615</v>
      </c>
      <c r="C7433" t="n">
        <v>1.271</v>
      </c>
    </row>
    <row r="7434">
      <c r="A7434" s="926" t="n">
        <v>41696</v>
      </c>
      <c r="B7434" t="n">
        <v>7.7585</v>
      </c>
      <c r="C7434" t="n">
        <v>1.2685</v>
      </c>
    </row>
    <row r="7435">
      <c r="A7435" s="926" t="n">
        <v>41697</v>
      </c>
      <c r="B7435" t="n">
        <v>7.7595</v>
      </c>
      <c r="C7435" t="n">
        <v>1.2685</v>
      </c>
    </row>
    <row r="7436">
      <c r="A7436" s="926" t="n">
        <v>41698</v>
      </c>
      <c r="B7436" t="n">
        <v>7.7605</v>
      </c>
      <c r="C7436" t="n">
        <v>1.2598</v>
      </c>
    </row>
    <row r="7437">
      <c r="A7437" s="926" t="n">
        <v>41699</v>
      </c>
      <c r="B7437" t="n">
        <v>7.7605</v>
      </c>
      <c r="C7437" t="n">
        <v>1.2645</v>
      </c>
    </row>
    <row r="7438">
      <c r="A7438" s="926" t="n">
        <v>41701</v>
      </c>
      <c r="B7438" t="n">
        <v>7.7595</v>
      </c>
      <c r="C7438" t="n">
        <v>1.264</v>
      </c>
    </row>
    <row r="7439">
      <c r="A7439" s="926" t="n">
        <v>41702</v>
      </c>
      <c r="B7439" t="n">
        <v>7.7595</v>
      </c>
      <c r="C7439" t="n">
        <v>1.265</v>
      </c>
    </row>
    <row r="7440">
      <c r="A7440" s="926" t="n">
        <v>41703</v>
      </c>
      <c r="B7440" t="n">
        <v>7.7595</v>
      </c>
      <c r="C7440" t="n">
        <v>1.2675</v>
      </c>
    </row>
    <row r="7441">
      <c r="A7441" s="926" t="n">
        <v>41704</v>
      </c>
      <c r="B7441" t="n">
        <v>7.7595</v>
      </c>
      <c r="C7441" t="n">
        <v>1.2713</v>
      </c>
    </row>
    <row r="7442">
      <c r="A7442" s="926" t="n">
        <v>41705</v>
      </c>
      <c r="B7442" t="n">
        <v>7.7605</v>
      </c>
      <c r="C7442" t="n">
        <v>1.271</v>
      </c>
    </row>
    <row r="7443">
      <c r="A7443" s="926" t="n">
        <v>41706</v>
      </c>
      <c r="B7443" t="n">
        <v>7.7595</v>
      </c>
      <c r="C7443" t="n">
        <v>1.27</v>
      </c>
    </row>
    <row r="7444">
      <c r="A7444" s="926" t="n">
        <v>41708</v>
      </c>
      <c r="B7444" t="n">
        <v>7.7605</v>
      </c>
      <c r="C7444" t="n">
        <v>1.2655</v>
      </c>
    </row>
    <row r="7445">
      <c r="A7445" s="926" t="n">
        <v>41709</v>
      </c>
      <c r="B7445" t="n">
        <v>7.7605</v>
      </c>
      <c r="C7445" t="n">
        <v>1.2665</v>
      </c>
    </row>
    <row r="7446">
      <c r="A7446" s="926" t="n">
        <v>41710</v>
      </c>
      <c r="B7446" t="n">
        <v>7.7625</v>
      </c>
      <c r="C7446" t="n">
        <v>1.2649</v>
      </c>
    </row>
    <row r="7447">
      <c r="A7447" s="926" t="n">
        <v>41711</v>
      </c>
      <c r="B7447" t="n">
        <v>7.7635</v>
      </c>
      <c r="C7447" t="n">
        <v>1.26635</v>
      </c>
    </row>
    <row r="7448">
      <c r="A7448" s="926" t="n">
        <v>41712</v>
      </c>
      <c r="B7448" t="n">
        <v>7.7645</v>
      </c>
      <c r="C7448" t="n">
        <v>1.2649</v>
      </c>
    </row>
    <row r="7449">
      <c r="A7449" s="926" t="n">
        <v>41713</v>
      </c>
      <c r="B7449" t="n">
        <v>7.7675</v>
      </c>
      <c r="C7449" t="n">
        <v>1.2645</v>
      </c>
    </row>
    <row r="7450">
      <c r="A7450" s="926" t="n">
        <v>41715</v>
      </c>
      <c r="B7450" t="n">
        <v>7.7655</v>
      </c>
      <c r="C7450" t="n">
        <v>1.261</v>
      </c>
    </row>
    <row r="7451">
      <c r="A7451" s="926" t="n">
        <v>41716</v>
      </c>
      <c r="B7451" t="n">
        <v>7.7655</v>
      </c>
      <c r="C7451" t="n">
        <v>1.2575</v>
      </c>
    </row>
    <row r="7452">
      <c r="A7452" s="926" t="n">
        <v>41717</v>
      </c>
      <c r="B7452" t="n">
        <v>7.7635</v>
      </c>
      <c r="C7452" t="n">
        <v>1.25415</v>
      </c>
    </row>
    <row r="7453">
      <c r="A7453" s="926" t="n">
        <v>41718</v>
      </c>
      <c r="B7453" t="n">
        <v>7.7635</v>
      </c>
      <c r="C7453" t="n">
        <v>1.249</v>
      </c>
    </row>
    <row r="7454">
      <c r="A7454" s="926" t="n">
        <v>41719</v>
      </c>
      <c r="B7454" t="n">
        <v>7.7635</v>
      </c>
      <c r="C7454" t="n">
        <v>1.249</v>
      </c>
    </row>
    <row r="7455">
      <c r="A7455" s="926" t="n">
        <v>41720</v>
      </c>
      <c r="B7455" t="n">
        <v>7.7575</v>
      </c>
      <c r="C7455" t="n">
        <v>1.2485</v>
      </c>
    </row>
    <row r="7456">
      <c r="A7456" s="926" t="n">
        <v>41722</v>
      </c>
      <c r="B7456" t="n">
        <v>7.7595</v>
      </c>
      <c r="C7456" t="n">
        <v>1.2505</v>
      </c>
    </row>
    <row r="7457">
      <c r="A7457" s="926" t="n">
        <v>41723</v>
      </c>
      <c r="B7457" t="n">
        <v>7.7575</v>
      </c>
      <c r="C7457" t="n">
        <v>1.2545</v>
      </c>
    </row>
    <row r="7458">
      <c r="A7458" s="926" t="n">
        <v>41724</v>
      </c>
      <c r="B7458" t="n">
        <v>7.7585</v>
      </c>
      <c r="C7458" t="n">
        <v>1.252</v>
      </c>
    </row>
    <row r="7459">
      <c r="A7459" s="926" t="n">
        <v>41725</v>
      </c>
      <c r="B7459" t="n">
        <v>7.7575</v>
      </c>
      <c r="C7459" t="n">
        <v>1.2504</v>
      </c>
    </row>
    <row r="7460">
      <c r="A7460" s="926" t="n">
        <v>41726</v>
      </c>
      <c r="B7460" t="n">
        <v>7.7575</v>
      </c>
      <c r="C7460" t="n">
        <v>1.251</v>
      </c>
    </row>
    <row r="7461">
      <c r="A7461" s="926" t="n">
        <v>41727</v>
      </c>
      <c r="B7461" t="n">
        <v>7.7565</v>
      </c>
      <c r="C7461" t="n">
        <v>1.251</v>
      </c>
    </row>
    <row r="7462">
      <c r="A7462" s="926" t="n">
        <v>41729</v>
      </c>
      <c r="B7462" t="n">
        <v>7.7565</v>
      </c>
      <c r="C7462" t="n">
        <v>1.249</v>
      </c>
    </row>
    <row r="7463">
      <c r="A7463" s="926" t="n">
        <v>41730</v>
      </c>
      <c r="B7463" t="n">
        <v>7.7575</v>
      </c>
      <c r="C7463" t="n">
        <v>1.2522</v>
      </c>
    </row>
    <row r="7464">
      <c r="A7464" s="926" t="n">
        <v>41731</v>
      </c>
      <c r="B7464" t="n">
        <v>7.7565</v>
      </c>
      <c r="C7464" t="n">
        <v>1.252</v>
      </c>
    </row>
    <row r="7465">
      <c r="A7465" s="926" t="n">
        <v>41732</v>
      </c>
      <c r="B7465" t="n">
        <v>7.7565</v>
      </c>
      <c r="C7465" t="n">
        <v>1.2515</v>
      </c>
    </row>
    <row r="7466">
      <c r="A7466" s="926" t="n">
        <v>41733</v>
      </c>
      <c r="B7466" t="n">
        <v>7.7565</v>
      </c>
      <c r="C7466" t="n">
        <v>1.2495</v>
      </c>
    </row>
    <row r="7467">
      <c r="A7467" s="926" t="n">
        <v>41736</v>
      </c>
      <c r="B7467" t="n">
        <v>7.7555</v>
      </c>
      <c r="C7467" t="n">
        <v>1.2495</v>
      </c>
    </row>
    <row r="7468">
      <c r="A7468" s="926" t="n">
        <v>41737</v>
      </c>
      <c r="B7468" t="n">
        <v>7.7535</v>
      </c>
      <c r="C7468" t="n">
        <v>1.252</v>
      </c>
    </row>
    <row r="7469">
      <c r="A7469" s="926" t="n">
        <v>41738</v>
      </c>
      <c r="B7469" t="n">
        <v>7.7535</v>
      </c>
      <c r="C7469" t="n">
        <v>1.2525</v>
      </c>
    </row>
    <row r="7470">
      <c r="A7470" s="926" t="n">
        <v>41739</v>
      </c>
      <c r="B7470" t="n">
        <v>7.7545</v>
      </c>
      <c r="C7470" t="n">
        <v>1.25015</v>
      </c>
    </row>
    <row r="7471">
      <c r="A7471" s="926" t="n">
        <v>41740</v>
      </c>
      <c r="B7471" t="n">
        <v>7.7535</v>
      </c>
      <c r="C7471" t="n">
        <v>1.2505</v>
      </c>
    </row>
    <row r="7472">
      <c r="A7472" s="926" t="n">
        <v>41741</v>
      </c>
      <c r="B7472" t="n">
        <v>7.7535</v>
      </c>
      <c r="C7472" t="n">
        <v>1.2495</v>
      </c>
    </row>
    <row r="7473">
      <c r="A7473" s="926" t="n">
        <v>41743</v>
      </c>
      <c r="B7473" t="n">
        <v>7.7525</v>
      </c>
      <c r="C7473" t="n">
        <v>1.2493</v>
      </c>
    </row>
    <row r="7474">
      <c r="A7474" s="926" t="n">
        <v>41744</v>
      </c>
      <c r="B7474" t="n">
        <v>7.7535</v>
      </c>
      <c r="C7474" t="n">
        <v>1.247</v>
      </c>
    </row>
    <row r="7475">
      <c r="A7475" s="926" t="n">
        <v>41745</v>
      </c>
      <c r="B7475" t="n">
        <v>7.7545</v>
      </c>
      <c r="C7475" t="n">
        <v>1.24765</v>
      </c>
    </row>
    <row r="7476">
      <c r="A7476" s="926" t="n">
        <v>41746</v>
      </c>
      <c r="B7476" t="n">
        <v>7.7535</v>
      </c>
      <c r="C7476" t="n">
        <v>1.2485</v>
      </c>
    </row>
    <row r="7477">
      <c r="A7477" s="926" t="n">
        <v>41751</v>
      </c>
      <c r="B7477" t="n">
        <v>7.7525</v>
      </c>
      <c r="C7477" t="n">
        <v>1.2453</v>
      </c>
    </row>
    <row r="7478">
      <c r="A7478" s="926" t="n">
        <v>41752</v>
      </c>
      <c r="B7478" t="n">
        <v>7.7525</v>
      </c>
      <c r="C7478" t="n">
        <v>1.2426</v>
      </c>
    </row>
    <row r="7479">
      <c r="A7479" s="926" t="n">
        <v>41753</v>
      </c>
      <c r="B7479" t="n">
        <v>7.7535</v>
      </c>
      <c r="C7479" t="n">
        <v>1.2435</v>
      </c>
    </row>
    <row r="7480">
      <c r="A7480" s="926" t="n">
        <v>41754</v>
      </c>
      <c r="B7480" t="n">
        <v>7.7535</v>
      </c>
      <c r="C7480" t="n">
        <v>1.2412</v>
      </c>
    </row>
    <row r="7481">
      <c r="A7481" s="926" t="n">
        <v>41755</v>
      </c>
      <c r="B7481" t="n">
        <v>7.7535</v>
      </c>
      <c r="C7481" t="n">
        <v>1.2405</v>
      </c>
    </row>
    <row r="7482">
      <c r="A7482" s="926" t="n">
        <v>41757</v>
      </c>
      <c r="B7482" t="n">
        <v>7.7525</v>
      </c>
      <c r="C7482" t="n">
        <v>1.2418</v>
      </c>
    </row>
    <row r="7483">
      <c r="A7483" s="926" t="n">
        <v>41758</v>
      </c>
      <c r="B7483" t="n">
        <v>7.7525</v>
      </c>
      <c r="C7483" t="n">
        <v>1.2405</v>
      </c>
    </row>
    <row r="7484">
      <c r="A7484" s="926" t="n">
        <v>41759</v>
      </c>
      <c r="B7484" t="n">
        <v>7.7525</v>
      </c>
      <c r="C7484" t="n">
        <v>1.23795</v>
      </c>
    </row>
    <row r="7485">
      <c r="A7485" s="926" t="n">
        <v>41761</v>
      </c>
      <c r="B7485" t="n">
        <v>7.7525</v>
      </c>
      <c r="C7485" t="n">
        <v>1.241</v>
      </c>
    </row>
    <row r="7486">
      <c r="A7486" s="926" t="n">
        <v>41762</v>
      </c>
      <c r="B7486" t="n">
        <v>7.7505</v>
      </c>
      <c r="C7486" t="n">
        <v>1.241</v>
      </c>
    </row>
    <row r="7487">
      <c r="A7487" s="926" t="n">
        <v>41764</v>
      </c>
      <c r="B7487" t="n">
        <v>7.7525</v>
      </c>
      <c r="C7487" t="n">
        <v>1.242</v>
      </c>
    </row>
    <row r="7488">
      <c r="A7488" s="926" t="n">
        <v>41766</v>
      </c>
      <c r="B7488" t="n">
        <v>7.7515</v>
      </c>
      <c r="C7488" t="n">
        <v>1.245</v>
      </c>
    </row>
    <row r="7489">
      <c r="A7489" s="926" t="n">
        <v>41767</v>
      </c>
      <c r="B7489" t="n">
        <v>7.7515</v>
      </c>
      <c r="C7489" t="n">
        <v>1.244</v>
      </c>
    </row>
    <row r="7490">
      <c r="A7490" s="926" t="n">
        <v>41768</v>
      </c>
      <c r="B7490" t="n">
        <v>7.7515</v>
      </c>
      <c r="C7490" t="n">
        <v>1.2435</v>
      </c>
    </row>
    <row r="7491">
      <c r="A7491" s="926" t="n">
        <v>41769</v>
      </c>
      <c r="B7491" t="n">
        <v>7.7515</v>
      </c>
      <c r="C7491" t="n">
        <v>1.2445</v>
      </c>
    </row>
    <row r="7492">
      <c r="A7492" s="926" t="n">
        <v>41771</v>
      </c>
      <c r="B7492" t="n">
        <v>7.7515</v>
      </c>
      <c r="C7492" t="n">
        <v>1.2435</v>
      </c>
    </row>
    <row r="7493">
      <c r="A7493" s="926" t="n">
        <v>41772</v>
      </c>
      <c r="B7493" t="n">
        <v>7.7515</v>
      </c>
      <c r="C7493" t="n">
        <v>1.242</v>
      </c>
    </row>
    <row r="7494">
      <c r="A7494" s="926" t="n">
        <v>41773</v>
      </c>
      <c r="B7494" t="n">
        <v>7.7515</v>
      </c>
      <c r="C7494" t="n">
        <v>1.2435</v>
      </c>
    </row>
    <row r="7495">
      <c r="A7495" s="926" t="n">
        <v>41774</v>
      </c>
      <c r="B7495" t="n">
        <v>7.7515</v>
      </c>
      <c r="C7495" t="n">
        <v>1.2445</v>
      </c>
    </row>
    <row r="7496">
      <c r="A7496" s="926" t="n">
        <v>41775</v>
      </c>
      <c r="B7496" t="n">
        <v>7.7515</v>
      </c>
      <c r="C7496" t="n">
        <v>1.245</v>
      </c>
    </row>
    <row r="7497">
      <c r="A7497" s="926" t="n">
        <v>41776</v>
      </c>
      <c r="B7497" t="n">
        <v>7.7515</v>
      </c>
      <c r="C7497" t="n">
        <v>1.2445</v>
      </c>
    </row>
    <row r="7498">
      <c r="A7498" s="926" t="n">
        <v>41778</v>
      </c>
      <c r="B7498" t="n">
        <v>7.7515</v>
      </c>
      <c r="C7498" t="n">
        <v>1.244</v>
      </c>
    </row>
    <row r="7499">
      <c r="A7499" s="926" t="n">
        <v>41779</v>
      </c>
      <c r="B7499" t="n">
        <v>7.7515</v>
      </c>
      <c r="C7499" t="n">
        <v>1.243</v>
      </c>
    </row>
    <row r="7500">
      <c r="A7500" s="926" t="n">
        <v>41780</v>
      </c>
      <c r="B7500" t="n">
        <v>7.7525</v>
      </c>
      <c r="C7500" t="n">
        <v>1.243</v>
      </c>
    </row>
    <row r="7501">
      <c r="A7501" s="926" t="n">
        <v>41781</v>
      </c>
      <c r="B7501" t="n">
        <v>7.7525</v>
      </c>
      <c r="C7501" t="n">
        <v>1.243</v>
      </c>
    </row>
    <row r="7502">
      <c r="A7502" s="926" t="n">
        <v>41782</v>
      </c>
      <c r="B7502" t="n">
        <v>7.7535</v>
      </c>
      <c r="C7502" t="n">
        <v>1.2425</v>
      </c>
    </row>
    <row r="7503">
      <c r="A7503" s="926" t="n">
        <v>41783</v>
      </c>
      <c r="B7503" t="n">
        <v>7.7535</v>
      </c>
      <c r="C7503" t="n">
        <v>1.2425</v>
      </c>
    </row>
    <row r="7504">
      <c r="A7504" s="926" t="n">
        <v>41785</v>
      </c>
      <c r="B7504" t="n">
        <v>7.7535</v>
      </c>
      <c r="C7504" t="n">
        <v>1.2435</v>
      </c>
    </row>
    <row r="7505">
      <c r="A7505" s="926" t="n">
        <v>41786</v>
      </c>
      <c r="B7505" t="n">
        <v>7.7525</v>
      </c>
      <c r="C7505" t="n">
        <v>1.2415</v>
      </c>
    </row>
    <row r="7506">
      <c r="A7506" s="926" t="n">
        <v>41787</v>
      </c>
      <c r="B7506" t="n">
        <v>7.7525</v>
      </c>
      <c r="C7506" t="n">
        <v>1.239</v>
      </c>
    </row>
    <row r="7507">
      <c r="A7507" s="926" t="n">
        <v>41788</v>
      </c>
      <c r="B7507" t="n">
        <v>7.7525</v>
      </c>
      <c r="C7507" t="n">
        <v>1.2405</v>
      </c>
    </row>
    <row r="7508">
      <c r="A7508" s="926" t="n">
        <v>41789</v>
      </c>
      <c r="B7508" t="n">
        <v>7.7525</v>
      </c>
      <c r="C7508" t="n">
        <v>1.2415</v>
      </c>
    </row>
    <row r="7509">
      <c r="A7509" s="926" t="n">
        <v>41790</v>
      </c>
      <c r="B7509" t="n">
        <v>7.7525</v>
      </c>
      <c r="C7509" t="n">
        <v>1.2415</v>
      </c>
    </row>
    <row r="7510">
      <c r="A7510" s="926" t="n">
        <v>41793</v>
      </c>
      <c r="B7510" t="n">
        <v>7.7535</v>
      </c>
      <c r="C7510" t="n">
        <v>1.2405</v>
      </c>
    </row>
    <row r="7511">
      <c r="A7511" s="926" t="n">
        <v>41794</v>
      </c>
      <c r="B7511" t="n">
        <v>7.7525</v>
      </c>
      <c r="C7511" t="n">
        <v>1.2395</v>
      </c>
    </row>
    <row r="7512">
      <c r="A7512" s="926" t="n">
        <v>41795</v>
      </c>
      <c r="B7512" t="n">
        <v>7.7525</v>
      </c>
      <c r="C7512" t="n">
        <v>1.2395</v>
      </c>
    </row>
    <row r="7513">
      <c r="A7513" s="926" t="n">
        <v>41796</v>
      </c>
      <c r="B7513" t="n">
        <v>7.7525</v>
      </c>
      <c r="C7513" t="n">
        <v>1.2395</v>
      </c>
    </row>
    <row r="7514">
      <c r="A7514" s="926" t="n">
        <v>41797</v>
      </c>
      <c r="B7514" t="n">
        <v>7.7525</v>
      </c>
      <c r="C7514" t="n">
        <v>1.2395</v>
      </c>
    </row>
    <row r="7515">
      <c r="A7515" s="926" t="n">
        <v>41799</v>
      </c>
      <c r="B7515" t="n">
        <v>7.7515</v>
      </c>
      <c r="C7515" t="n">
        <v>1.24255</v>
      </c>
    </row>
    <row r="7516">
      <c r="A7516" s="926" t="n">
        <v>41800</v>
      </c>
      <c r="B7516" t="n">
        <v>7.7515</v>
      </c>
      <c r="C7516" t="n">
        <v>1.2445</v>
      </c>
    </row>
    <row r="7517">
      <c r="A7517" s="926" t="n">
        <v>41801</v>
      </c>
      <c r="B7517" t="n">
        <v>7.7515</v>
      </c>
      <c r="C7517" t="n">
        <v>1.244</v>
      </c>
    </row>
    <row r="7518">
      <c r="A7518" s="926" t="n">
        <v>41802</v>
      </c>
      <c r="B7518" t="n">
        <v>7.7515</v>
      </c>
      <c r="C7518" t="n">
        <v>1.246</v>
      </c>
    </row>
    <row r="7519">
      <c r="A7519" s="926" t="n">
        <v>41803</v>
      </c>
      <c r="B7519" t="n">
        <v>7.7515</v>
      </c>
      <c r="C7519" t="n">
        <v>1.2485</v>
      </c>
    </row>
    <row r="7520">
      <c r="A7520" s="926" t="n">
        <v>41804</v>
      </c>
      <c r="B7520" t="n">
        <v>7.7505</v>
      </c>
      <c r="C7520" t="n">
        <v>1.2475</v>
      </c>
    </row>
    <row r="7521">
      <c r="A7521" s="926" t="n">
        <v>41806</v>
      </c>
      <c r="B7521" t="n">
        <v>7.7515</v>
      </c>
      <c r="C7521" t="n">
        <v>1.247</v>
      </c>
    </row>
    <row r="7522">
      <c r="A7522" s="926" t="n">
        <v>41807</v>
      </c>
      <c r="B7522" t="n">
        <v>7.7515</v>
      </c>
      <c r="C7522" t="n">
        <v>1.2455</v>
      </c>
    </row>
    <row r="7523">
      <c r="A7523" s="926" t="n">
        <v>41808</v>
      </c>
      <c r="B7523" t="n">
        <v>7.7505</v>
      </c>
      <c r="C7523" t="n">
        <v>1.245</v>
      </c>
    </row>
    <row r="7524">
      <c r="A7524" s="926" t="n">
        <v>41809</v>
      </c>
      <c r="B7524" t="n">
        <v>7.7505</v>
      </c>
      <c r="C7524" t="n">
        <v>1.2435</v>
      </c>
    </row>
    <row r="7525">
      <c r="A7525" s="926" t="n">
        <v>41810</v>
      </c>
      <c r="B7525" t="n">
        <v>7.7505</v>
      </c>
      <c r="C7525" t="n">
        <v>1.2435</v>
      </c>
    </row>
    <row r="7526">
      <c r="A7526" s="926" t="n">
        <v>41811</v>
      </c>
      <c r="B7526" t="n">
        <v>7.7505</v>
      </c>
      <c r="C7526" t="n">
        <v>1.2445</v>
      </c>
    </row>
    <row r="7527">
      <c r="A7527" s="926" t="n">
        <v>41813</v>
      </c>
      <c r="B7527" t="n">
        <v>7.7505</v>
      </c>
      <c r="C7527" t="n">
        <v>1.2435</v>
      </c>
    </row>
    <row r="7528">
      <c r="A7528" s="926" t="n">
        <v>41814</v>
      </c>
      <c r="B7528" t="n">
        <v>7.7515</v>
      </c>
      <c r="C7528" t="n">
        <v>1.2435</v>
      </c>
    </row>
    <row r="7529">
      <c r="A7529" s="926" t="n">
        <v>41815</v>
      </c>
      <c r="B7529" t="n">
        <v>7.7515</v>
      </c>
      <c r="C7529" t="n">
        <v>1.242</v>
      </c>
    </row>
    <row r="7530">
      <c r="A7530" s="926" t="n">
        <v>41816</v>
      </c>
      <c r="B7530" t="n">
        <v>7.7515</v>
      </c>
      <c r="C7530" t="n">
        <v>1.243</v>
      </c>
    </row>
    <row r="7531">
      <c r="A7531" s="926" t="n">
        <v>41817</v>
      </c>
      <c r="B7531" t="n">
        <v>7.7505</v>
      </c>
      <c r="C7531" t="n">
        <v>1.2455</v>
      </c>
    </row>
    <row r="7532">
      <c r="A7532" s="926" t="n">
        <v>41818</v>
      </c>
      <c r="B7532" t="n">
        <v>7.7505</v>
      </c>
      <c r="C7532" t="n">
        <v>1.246</v>
      </c>
    </row>
    <row r="7533">
      <c r="A7533" s="926" t="n">
        <v>41820</v>
      </c>
      <c r="B7533" t="n">
        <v>7.7505</v>
      </c>
      <c r="C7533" t="n">
        <v>1.248</v>
      </c>
    </row>
    <row r="7534">
      <c r="A7534" s="926" t="n">
        <v>41822</v>
      </c>
      <c r="B7534" t="n">
        <v>7.7495</v>
      </c>
      <c r="C7534" t="n">
        <v>1.2465</v>
      </c>
    </row>
    <row r="7535">
      <c r="A7535" s="926" t="n">
        <v>41823</v>
      </c>
      <c r="B7535" t="n">
        <v>7.7505</v>
      </c>
      <c r="C7535" t="n">
        <v>1.2462</v>
      </c>
    </row>
    <row r="7536">
      <c r="A7536" s="926" t="n">
        <v>41824</v>
      </c>
      <c r="B7536" t="n">
        <v>7.7495</v>
      </c>
      <c r="C7536" t="n">
        <v>1.2473</v>
      </c>
    </row>
    <row r="7537">
      <c r="A7537" s="926" t="n">
        <v>41825</v>
      </c>
      <c r="B7537" t="n">
        <v>7.7485</v>
      </c>
      <c r="C7537" t="n">
        <v>1.249</v>
      </c>
    </row>
    <row r="7538">
      <c r="A7538" s="926" t="n">
        <v>41827</v>
      </c>
      <c r="B7538" t="n">
        <v>7.7495</v>
      </c>
      <c r="C7538" t="n">
        <v>1.249</v>
      </c>
    </row>
    <row r="7539">
      <c r="A7539" s="926" t="n">
        <v>41828</v>
      </c>
      <c r="B7539" t="n">
        <v>7.7495</v>
      </c>
      <c r="C7539" t="n">
        <v>1.2485</v>
      </c>
    </row>
    <row r="7540">
      <c r="A7540" s="926" t="n">
        <v>41829</v>
      </c>
      <c r="B7540" t="n">
        <v>7.7495</v>
      </c>
      <c r="C7540" t="n">
        <v>1.25</v>
      </c>
    </row>
    <row r="7541">
      <c r="A7541" s="926" t="n">
        <v>41830</v>
      </c>
      <c r="B7541" t="n">
        <v>7.7495</v>
      </c>
      <c r="C7541" t="n">
        <v>1.2495</v>
      </c>
    </row>
    <row r="7542">
      <c r="A7542" s="926" t="n">
        <v>41831</v>
      </c>
      <c r="B7542" t="n">
        <v>7.7495</v>
      </c>
      <c r="C7542" t="n">
        <v>1.249</v>
      </c>
    </row>
    <row r="7543">
      <c r="A7543" s="926" t="n">
        <v>41832</v>
      </c>
      <c r="B7543" t="n">
        <v>7.7495</v>
      </c>
      <c r="C7543" t="n">
        <v>1.249</v>
      </c>
    </row>
    <row r="7544">
      <c r="A7544" s="926" t="n">
        <v>41834</v>
      </c>
      <c r="B7544" t="n">
        <v>7.7495</v>
      </c>
      <c r="C7544" t="n">
        <v>1.2485</v>
      </c>
    </row>
    <row r="7545">
      <c r="A7545" s="926" t="n">
        <v>41835</v>
      </c>
      <c r="B7545" t="n">
        <v>7.7495</v>
      </c>
      <c r="C7545" t="n">
        <v>1.248</v>
      </c>
    </row>
    <row r="7546">
      <c r="A7546" s="926" t="n">
        <v>41836</v>
      </c>
      <c r="B7546" t="n">
        <v>7.7505</v>
      </c>
      <c r="C7546" t="n">
        <v>1.2475</v>
      </c>
    </row>
    <row r="7547">
      <c r="A7547" s="926" t="n">
        <v>41837</v>
      </c>
      <c r="B7547" t="n">
        <v>7.7505</v>
      </c>
      <c r="C7547" t="n">
        <v>1.2495</v>
      </c>
    </row>
    <row r="7548">
      <c r="A7548" s="926" t="n">
        <v>41838</v>
      </c>
      <c r="B7548" t="n">
        <v>7.7505</v>
      </c>
      <c r="C7548" t="n">
        <v>1.249</v>
      </c>
    </row>
    <row r="7549">
      <c r="A7549" s="926" t="n">
        <v>41839</v>
      </c>
      <c r="B7549" t="n">
        <v>7.7505</v>
      </c>
      <c r="C7549" t="n">
        <v>1.2495</v>
      </c>
    </row>
    <row r="7550">
      <c r="A7550" s="926" t="n">
        <v>41841</v>
      </c>
      <c r="B7550" t="n">
        <v>7.7515</v>
      </c>
      <c r="C7550" t="n">
        <v>1.2485</v>
      </c>
    </row>
    <row r="7551">
      <c r="A7551" s="926" t="n">
        <v>41842</v>
      </c>
      <c r="B7551" t="n">
        <v>7.7515</v>
      </c>
      <c r="C7551" t="n">
        <v>1.2485</v>
      </c>
    </row>
    <row r="7552">
      <c r="A7552" s="926" t="n">
        <v>41843</v>
      </c>
      <c r="B7552" t="n">
        <v>7.7505</v>
      </c>
      <c r="C7552" t="n">
        <v>1.25</v>
      </c>
    </row>
    <row r="7553">
      <c r="A7553" s="926" t="n">
        <v>41844</v>
      </c>
      <c r="B7553" t="n">
        <v>7.7505</v>
      </c>
      <c r="C7553" t="n">
        <v>1.2515</v>
      </c>
    </row>
    <row r="7554">
      <c r="A7554" s="926" t="n">
        <v>41845</v>
      </c>
      <c r="B7554" t="n">
        <v>7.7495</v>
      </c>
      <c r="C7554" t="n">
        <v>1.2505</v>
      </c>
    </row>
    <row r="7555">
      <c r="A7555" s="926" t="n">
        <v>41846</v>
      </c>
      <c r="B7555" t="n">
        <v>7.7485</v>
      </c>
      <c r="C7555" t="n">
        <v>1.2515</v>
      </c>
    </row>
    <row r="7556">
      <c r="A7556" s="926" t="n">
        <v>41848</v>
      </c>
      <c r="B7556" t="n">
        <v>7.7495</v>
      </c>
      <c r="C7556" t="n">
        <v>1.2518</v>
      </c>
    </row>
    <row r="7557">
      <c r="A7557" s="926" t="n">
        <v>41849</v>
      </c>
      <c r="B7557" t="n">
        <v>7.7495</v>
      </c>
      <c r="C7557" t="n">
        <v>1.2528</v>
      </c>
    </row>
    <row r="7558">
      <c r="A7558" s="926" t="n">
        <v>41850</v>
      </c>
      <c r="B7558" t="n">
        <v>7.7495</v>
      </c>
      <c r="C7558" t="n">
        <v>1.254</v>
      </c>
    </row>
    <row r="7559">
      <c r="A7559" s="926" t="n">
        <v>41851</v>
      </c>
      <c r="B7559" t="n">
        <v>7.7495</v>
      </c>
      <c r="C7559" t="n">
        <v>1.2545</v>
      </c>
    </row>
    <row r="7560">
      <c r="A7560" s="926" t="n">
        <v>41852</v>
      </c>
      <c r="B7560" t="n">
        <v>7.7495</v>
      </c>
      <c r="C7560" t="n">
        <v>1.254</v>
      </c>
    </row>
    <row r="7561">
      <c r="A7561" s="926" t="n">
        <v>41853</v>
      </c>
      <c r="B7561" t="n">
        <v>7.7495</v>
      </c>
      <c r="C7561" t="n">
        <v>1.254</v>
      </c>
    </row>
    <row r="7562">
      <c r="A7562" s="926" t="n">
        <v>41855</v>
      </c>
      <c r="B7562" t="n">
        <v>7.7495</v>
      </c>
      <c r="C7562" t="n">
        <v>1.2535</v>
      </c>
    </row>
    <row r="7563">
      <c r="A7563" s="926" t="n">
        <v>41856</v>
      </c>
      <c r="B7563" t="n">
        <v>7.7495</v>
      </c>
      <c r="C7563" t="n">
        <v>1.2545</v>
      </c>
    </row>
    <row r="7564">
      <c r="A7564" s="926" t="n">
        <v>41857</v>
      </c>
      <c r="B7564" t="n">
        <v>7.7495</v>
      </c>
      <c r="C7564" t="n">
        <v>1.25635</v>
      </c>
    </row>
    <row r="7565">
      <c r="A7565" s="926" t="n">
        <v>41858</v>
      </c>
      <c r="B7565" t="n">
        <v>7.7505</v>
      </c>
      <c r="C7565" t="n">
        <v>1.25755</v>
      </c>
    </row>
    <row r="7566">
      <c r="A7566" s="926" t="n">
        <v>41859</v>
      </c>
      <c r="B7566" t="n">
        <v>7.7505</v>
      </c>
      <c r="C7566" t="n">
        <v>1.2588</v>
      </c>
    </row>
    <row r="7567">
      <c r="A7567" s="926" t="n">
        <v>41860</v>
      </c>
      <c r="B7567" t="n">
        <v>7.7515</v>
      </c>
      <c r="C7567" t="n">
        <v>1.2585</v>
      </c>
    </row>
    <row r="7568">
      <c r="A7568" s="926" t="n">
        <v>41862</v>
      </c>
      <c r="B7568" t="n">
        <v>7.7505</v>
      </c>
      <c r="C7568" t="n">
        <v>1.2593</v>
      </c>
    </row>
    <row r="7569">
      <c r="A7569" s="926" t="n">
        <v>41863</v>
      </c>
      <c r="B7569" t="n">
        <v>7.7505</v>
      </c>
      <c r="C7569" t="n">
        <v>1.2585</v>
      </c>
    </row>
    <row r="7570">
      <c r="A7570" s="926" t="n">
        <v>41864</v>
      </c>
      <c r="B7570" t="n">
        <v>7.7505</v>
      </c>
      <c r="C7570" t="n">
        <v>1.2575</v>
      </c>
    </row>
    <row r="7571">
      <c r="A7571" s="926" t="n">
        <v>41865</v>
      </c>
      <c r="B7571" t="n">
        <v>7.7505</v>
      </c>
      <c r="C7571" t="n">
        <v>1.2588</v>
      </c>
    </row>
    <row r="7572">
      <c r="A7572" s="926" t="n">
        <v>41866</v>
      </c>
      <c r="B7572" t="n">
        <v>7.7505</v>
      </c>
      <c r="C7572" t="n">
        <v>1.2605</v>
      </c>
    </row>
    <row r="7573">
      <c r="A7573" s="926" t="n">
        <v>41867</v>
      </c>
      <c r="B7573" t="n">
        <v>7.7485</v>
      </c>
      <c r="C7573" t="n">
        <v>1.2605</v>
      </c>
    </row>
    <row r="7574">
      <c r="A7574" s="926" t="n">
        <v>41869</v>
      </c>
      <c r="B7574" t="n">
        <v>7.7505</v>
      </c>
      <c r="C7574" t="n">
        <v>1.2605</v>
      </c>
    </row>
    <row r="7575">
      <c r="A7575" s="926" t="n">
        <v>41870</v>
      </c>
      <c r="B7575" t="n">
        <v>7.7495</v>
      </c>
      <c r="C7575" t="n">
        <v>1.2613</v>
      </c>
    </row>
    <row r="7576">
      <c r="A7576" s="926" t="n">
        <v>41871</v>
      </c>
      <c r="B7576" t="n">
        <v>7.7505</v>
      </c>
      <c r="C7576" t="n">
        <v>1.261</v>
      </c>
    </row>
    <row r="7577">
      <c r="A7577" s="926" t="n">
        <v>41872</v>
      </c>
      <c r="B7577" t="n">
        <v>7.7495</v>
      </c>
      <c r="C7577" t="n">
        <v>1.259</v>
      </c>
    </row>
    <row r="7578">
      <c r="A7578" s="926" t="n">
        <v>41873</v>
      </c>
      <c r="B7578" t="n">
        <v>7.7495</v>
      </c>
      <c r="C7578" t="n">
        <v>1.258</v>
      </c>
    </row>
    <row r="7579">
      <c r="A7579" s="926" t="n">
        <v>41874</v>
      </c>
      <c r="B7579" t="n">
        <v>7.7495</v>
      </c>
      <c r="C7579" t="n">
        <v>1.2593</v>
      </c>
    </row>
    <row r="7580">
      <c r="A7580" s="926" t="n">
        <v>41876</v>
      </c>
      <c r="B7580" t="n">
        <v>7.7495</v>
      </c>
      <c r="C7580" t="n">
        <v>1.2595</v>
      </c>
    </row>
    <row r="7581">
      <c r="A7581" s="926" t="n">
        <v>41877</v>
      </c>
      <c r="B7581" t="n">
        <v>7.7495</v>
      </c>
      <c r="C7581" t="n">
        <v>1.2595</v>
      </c>
    </row>
    <row r="7582">
      <c r="A7582" s="926" t="n">
        <v>41878</v>
      </c>
      <c r="B7582" t="n">
        <v>7.7495</v>
      </c>
      <c r="C7582" t="n">
        <v>1.2605</v>
      </c>
    </row>
    <row r="7583">
      <c r="A7583" s="926" t="n">
        <v>41879</v>
      </c>
      <c r="B7583" t="n">
        <v>7.7495</v>
      </c>
      <c r="C7583" t="n">
        <v>1.262</v>
      </c>
    </row>
    <row r="7584">
      <c r="A7584" s="926" t="n">
        <v>41880</v>
      </c>
      <c r="B7584" t="n">
        <v>7.7495</v>
      </c>
      <c r="C7584" t="n">
        <v>1.261</v>
      </c>
    </row>
    <row r="7585">
      <c r="A7585" s="926" t="n">
        <v>41881</v>
      </c>
      <c r="B7585" t="n">
        <v>7.7495</v>
      </c>
      <c r="C7585" t="n">
        <v>1.261</v>
      </c>
    </row>
    <row r="7586">
      <c r="A7586" s="926" t="n">
        <v>41883</v>
      </c>
      <c r="B7586" t="n">
        <v>7.7495</v>
      </c>
      <c r="C7586" t="n">
        <v>1.2621</v>
      </c>
    </row>
    <row r="7587">
      <c r="A7587" s="926" t="n">
        <v>41884</v>
      </c>
      <c r="B7587" t="n">
        <v>7.7495</v>
      </c>
      <c r="C7587" t="n">
        <v>1.2608</v>
      </c>
    </row>
    <row r="7588">
      <c r="A7588" s="926" t="n">
        <v>41885</v>
      </c>
      <c r="B7588" t="n">
        <v>7.7495</v>
      </c>
      <c r="C7588" t="n">
        <v>1.2606</v>
      </c>
    </row>
    <row r="7589">
      <c r="A7589" s="926" t="n">
        <v>41886</v>
      </c>
      <c r="B7589" t="n">
        <v>7.7495</v>
      </c>
      <c r="C7589" t="n">
        <v>1.2626</v>
      </c>
    </row>
    <row r="7590">
      <c r="A7590" s="926" t="n">
        <v>41887</v>
      </c>
      <c r="B7590" t="n">
        <v>7.7495</v>
      </c>
      <c r="C7590" t="n">
        <v>1.2623</v>
      </c>
    </row>
    <row r="7591">
      <c r="A7591" s="926" t="n">
        <v>41888</v>
      </c>
      <c r="B7591" t="n">
        <v>7.7485</v>
      </c>
      <c r="C7591" t="n">
        <v>1.2618</v>
      </c>
    </row>
    <row r="7592">
      <c r="A7592" s="926" t="n">
        <v>41890</v>
      </c>
      <c r="B7592" t="n">
        <v>7.7495</v>
      </c>
      <c r="C7592" t="n">
        <v>1.2621</v>
      </c>
    </row>
    <row r="7593">
      <c r="A7593" s="926" t="n">
        <v>41892</v>
      </c>
      <c r="B7593" t="n">
        <v>7.7495</v>
      </c>
      <c r="C7593" t="n">
        <v>1.2639</v>
      </c>
    </row>
    <row r="7594">
      <c r="A7594" s="926" t="n">
        <v>41893</v>
      </c>
      <c r="B7594" t="n">
        <v>7.7495</v>
      </c>
      <c r="C7594" t="n">
        <v>1.2641</v>
      </c>
    </row>
    <row r="7595">
      <c r="A7595" s="926" t="n">
        <v>41894</v>
      </c>
      <c r="B7595" t="n">
        <v>7.7505</v>
      </c>
      <c r="C7595" t="n">
        <v>1.2639</v>
      </c>
    </row>
    <row r="7596">
      <c r="A7596" s="926" t="n">
        <v>41895</v>
      </c>
      <c r="B7596" t="n">
        <v>7.7505</v>
      </c>
      <c r="C7596" t="n">
        <v>1.2634</v>
      </c>
    </row>
    <row r="7597">
      <c r="A7597" s="926" t="n">
        <v>41897</v>
      </c>
      <c r="B7597" t="n">
        <v>7.7505</v>
      </c>
      <c r="C7597" t="n">
        <v>1.2612</v>
      </c>
    </row>
    <row r="7598">
      <c r="A7598" s="926" t="n">
        <v>41898</v>
      </c>
      <c r="B7598" t="n">
        <v>7.7505</v>
      </c>
      <c r="C7598" t="n">
        <v>1.2597</v>
      </c>
    </row>
    <row r="7599">
      <c r="A7599" s="926" t="n">
        <v>41899</v>
      </c>
      <c r="B7599" t="n">
        <v>7.7505</v>
      </c>
      <c r="C7599" t="n">
        <v>1.2611</v>
      </c>
    </row>
    <row r="7600">
      <c r="A7600" s="926" t="n">
        <v>41900</v>
      </c>
      <c r="B7600" t="n">
        <v>7.7505</v>
      </c>
      <c r="C7600" t="n">
        <v>1.2607</v>
      </c>
    </row>
    <row r="7601">
      <c r="A7601" s="926" t="n">
        <v>41901</v>
      </c>
      <c r="B7601" t="n">
        <v>7.7505</v>
      </c>
      <c r="C7601" t="n">
        <v>1.2622</v>
      </c>
    </row>
    <row r="7602">
      <c r="A7602" s="926" t="n">
        <v>41902</v>
      </c>
      <c r="B7602" t="n">
        <v>7.7505</v>
      </c>
      <c r="C7602" t="n">
        <v>1.2621</v>
      </c>
    </row>
    <row r="7603">
      <c r="A7603" s="926" t="n">
        <v>41904</v>
      </c>
      <c r="B7603" t="n">
        <v>7.7515</v>
      </c>
      <c r="C7603" t="n">
        <v>1.2623</v>
      </c>
    </row>
    <row r="7604">
      <c r="A7604" s="926" t="n">
        <v>41905</v>
      </c>
      <c r="B7604" t="n">
        <v>7.7505</v>
      </c>
      <c r="C7604" t="n">
        <v>1.2618</v>
      </c>
    </row>
    <row r="7605">
      <c r="A7605" s="926" t="n">
        <v>41906</v>
      </c>
      <c r="B7605" t="n">
        <v>7.7515</v>
      </c>
      <c r="C7605" t="n">
        <v>1.2631</v>
      </c>
    </row>
    <row r="7606">
      <c r="A7606" s="926" t="n">
        <v>41907</v>
      </c>
      <c r="B7606" t="n">
        <v>7.7525</v>
      </c>
      <c r="C7606" t="n">
        <v>1.2632</v>
      </c>
    </row>
    <row r="7607">
      <c r="A7607" s="926" t="n">
        <v>41908</v>
      </c>
      <c r="B7607" t="n">
        <v>7.7555</v>
      </c>
      <c r="C7607" t="n">
        <v>1.2638</v>
      </c>
    </row>
    <row r="7608">
      <c r="A7608" s="926" t="n">
        <v>41909</v>
      </c>
      <c r="B7608" t="n">
        <v>7.7565</v>
      </c>
      <c r="C7608" t="n">
        <v>1.2658</v>
      </c>
    </row>
    <row r="7609">
      <c r="A7609" s="926" t="n">
        <v>41911</v>
      </c>
      <c r="B7609" t="n">
        <v>7.7605</v>
      </c>
      <c r="C7609" t="n">
        <v>1.26485</v>
      </c>
    </row>
    <row r="7610">
      <c r="A7610" s="926" t="n">
        <v>41912</v>
      </c>
      <c r="B7610" t="n">
        <v>7.7635</v>
      </c>
      <c r="C7610" t="n">
        <v>1.2619</v>
      </c>
    </row>
    <row r="7611">
      <c r="A7611" s="926" t="n">
        <v>41915</v>
      </c>
      <c r="B7611" t="n">
        <v>7.7575</v>
      </c>
      <c r="C7611" t="n">
        <v>1.2631</v>
      </c>
    </row>
    <row r="7612">
      <c r="A7612" s="926" t="n">
        <v>41916</v>
      </c>
      <c r="B7612" t="n">
        <v>7.7615</v>
      </c>
      <c r="C7612" t="n">
        <v>1.2629</v>
      </c>
    </row>
    <row r="7613">
      <c r="A7613" s="926" t="n">
        <v>41918</v>
      </c>
      <c r="B7613" t="n">
        <v>7.7555</v>
      </c>
      <c r="C7613" t="n">
        <v>1.2609</v>
      </c>
    </row>
    <row r="7614">
      <c r="A7614" s="926" t="n">
        <v>41919</v>
      </c>
      <c r="B7614" t="n">
        <v>7.7555</v>
      </c>
      <c r="C7614" t="n">
        <v>1.2618</v>
      </c>
    </row>
    <row r="7615">
      <c r="A7615" s="926" t="n">
        <v>41920</v>
      </c>
      <c r="B7615" t="n">
        <v>7.7565</v>
      </c>
      <c r="C7615" t="n">
        <v>1.2636</v>
      </c>
    </row>
    <row r="7616">
      <c r="A7616" s="926" t="n">
        <v>41921</v>
      </c>
      <c r="B7616" t="n">
        <v>7.7555</v>
      </c>
      <c r="C7616" t="n">
        <v>1.2644</v>
      </c>
    </row>
    <row r="7617">
      <c r="A7617" s="926" t="n">
        <v>41922</v>
      </c>
      <c r="B7617" t="n">
        <v>7.7585</v>
      </c>
      <c r="C7617" t="n">
        <v>1.26505</v>
      </c>
    </row>
    <row r="7618">
      <c r="A7618" s="926" t="n">
        <v>41923</v>
      </c>
      <c r="B7618" t="n">
        <v>7.7585</v>
      </c>
      <c r="C7618" t="n">
        <v>1.26505</v>
      </c>
    </row>
    <row r="7619">
      <c r="A7619" s="926" t="n">
        <v>41925</v>
      </c>
      <c r="B7619" t="n">
        <v>7.7565</v>
      </c>
      <c r="C7619" t="n">
        <v>1.2651</v>
      </c>
    </row>
    <row r="7620">
      <c r="A7620" s="926" t="n">
        <v>41926</v>
      </c>
      <c r="B7620" t="n">
        <v>7.7575</v>
      </c>
      <c r="C7620" t="n">
        <v>1.2666</v>
      </c>
    </row>
    <row r="7621">
      <c r="A7621" s="926" t="n">
        <v>41927</v>
      </c>
      <c r="B7621" t="n">
        <v>7.7555</v>
      </c>
      <c r="C7621" t="n">
        <v>1.2661</v>
      </c>
    </row>
    <row r="7622">
      <c r="A7622" s="926" t="n">
        <v>41928</v>
      </c>
      <c r="B7622" t="n">
        <v>7.7575</v>
      </c>
      <c r="C7622" t="n">
        <v>1.26675</v>
      </c>
    </row>
    <row r="7623">
      <c r="A7623" s="926" t="n">
        <v>41929</v>
      </c>
      <c r="B7623" t="n">
        <v>7.7575</v>
      </c>
      <c r="C7623" t="n">
        <v>1.26675</v>
      </c>
    </row>
    <row r="7624">
      <c r="A7624" s="926" t="n">
        <v>41930</v>
      </c>
      <c r="B7624" t="n">
        <v>7.7555</v>
      </c>
      <c r="C7624" t="n">
        <v>1.2665</v>
      </c>
    </row>
    <row r="7625">
      <c r="A7625" s="926" t="n">
        <v>41932</v>
      </c>
      <c r="B7625" t="n">
        <v>7.7575</v>
      </c>
      <c r="C7625" t="n">
        <v>1.2663</v>
      </c>
    </row>
    <row r="7626">
      <c r="A7626" s="926" t="n">
        <v>41933</v>
      </c>
      <c r="B7626" t="n">
        <v>7.7575</v>
      </c>
      <c r="C7626" t="n">
        <v>1.26675</v>
      </c>
    </row>
    <row r="7627">
      <c r="A7627" s="926" t="n">
        <v>41934</v>
      </c>
      <c r="B7627" t="n">
        <v>7.7555</v>
      </c>
      <c r="C7627" t="n">
        <v>1.2671</v>
      </c>
    </row>
    <row r="7628">
      <c r="A7628" s="926" t="n">
        <v>41935</v>
      </c>
      <c r="B7628" t="n">
        <v>7.7565</v>
      </c>
      <c r="C7628" t="n">
        <v>1.2678</v>
      </c>
    </row>
    <row r="7629">
      <c r="A7629" s="926" t="n">
        <v>41936</v>
      </c>
      <c r="B7629" t="n">
        <v>7.7575</v>
      </c>
      <c r="C7629" t="n">
        <v>1.2672</v>
      </c>
    </row>
    <row r="7630">
      <c r="A7630" s="926" t="n">
        <v>41937</v>
      </c>
      <c r="B7630" t="n">
        <v>7.7575</v>
      </c>
      <c r="C7630" t="n">
        <v>1.2681</v>
      </c>
    </row>
    <row r="7631">
      <c r="A7631" s="926" t="n">
        <v>41939</v>
      </c>
      <c r="B7631" t="n">
        <v>7.7565</v>
      </c>
      <c r="C7631" t="n">
        <v>1.2684</v>
      </c>
    </row>
    <row r="7632">
      <c r="A7632" s="926" t="n">
        <v>41940</v>
      </c>
      <c r="B7632" t="n">
        <v>7.7565</v>
      </c>
      <c r="C7632" t="n">
        <v>1.2681</v>
      </c>
    </row>
    <row r="7633">
      <c r="A7633" s="926" t="n">
        <v>41941</v>
      </c>
      <c r="B7633" t="n">
        <v>7.7555</v>
      </c>
      <c r="C7633" t="n">
        <v>1.2689</v>
      </c>
    </row>
    <row r="7634">
      <c r="A7634" s="926" t="n">
        <v>41942</v>
      </c>
      <c r="B7634" t="n">
        <v>7.7545</v>
      </c>
      <c r="C7634" t="n">
        <v>1.2674</v>
      </c>
    </row>
    <row r="7635">
      <c r="A7635" s="926" t="n">
        <v>41943</v>
      </c>
      <c r="B7635" t="n">
        <v>7.7545</v>
      </c>
      <c r="C7635" t="n">
        <v>1.2676</v>
      </c>
    </row>
    <row r="7636">
      <c r="A7636" s="926" t="n">
        <v>41944</v>
      </c>
      <c r="B7636" t="n">
        <v>7.7545</v>
      </c>
      <c r="C7636" t="n">
        <v>1.2693</v>
      </c>
    </row>
    <row r="7637">
      <c r="A7637" s="926" t="n">
        <v>41946</v>
      </c>
      <c r="B7637" t="n">
        <v>7.7545</v>
      </c>
      <c r="C7637" t="n">
        <v>1.2673</v>
      </c>
    </row>
    <row r="7638">
      <c r="A7638" s="926" t="n">
        <v>41947</v>
      </c>
      <c r="B7638" t="n">
        <v>7.7535</v>
      </c>
      <c r="C7638" t="n">
        <v>1.2671</v>
      </c>
    </row>
    <row r="7639">
      <c r="A7639" s="926" t="n">
        <v>41948</v>
      </c>
      <c r="B7639" t="n">
        <v>7.7515</v>
      </c>
      <c r="C7639" t="n">
        <v>1.2671</v>
      </c>
    </row>
    <row r="7640">
      <c r="A7640" s="926" t="n">
        <v>41949</v>
      </c>
      <c r="B7640" t="n">
        <v>7.7525</v>
      </c>
      <c r="C7640" t="n">
        <v>1.2675</v>
      </c>
    </row>
    <row r="7641">
      <c r="A7641" s="926" t="n">
        <v>41950</v>
      </c>
      <c r="B7641" t="n">
        <v>7.7525</v>
      </c>
      <c r="C7641" t="n">
        <v>1.2676</v>
      </c>
    </row>
    <row r="7642">
      <c r="A7642" s="926" t="n">
        <v>41951</v>
      </c>
      <c r="B7642" t="n">
        <v>7.7515</v>
      </c>
      <c r="C7642" t="n">
        <v>1.2666</v>
      </c>
    </row>
    <row r="7643">
      <c r="A7643" s="926" t="n">
        <v>41953</v>
      </c>
      <c r="B7643" t="n">
        <v>7.7515</v>
      </c>
      <c r="C7643" t="n">
        <v>1.2673</v>
      </c>
    </row>
    <row r="7644">
      <c r="A7644" s="926" t="n">
        <v>41954</v>
      </c>
      <c r="B7644" t="n">
        <v>7.7535</v>
      </c>
      <c r="C7644" t="n">
        <v>1.2665</v>
      </c>
    </row>
    <row r="7645">
      <c r="A7645" s="926" t="n">
        <v>41955</v>
      </c>
      <c r="B7645" t="n">
        <v>7.7535</v>
      </c>
      <c r="C7645" t="n">
        <v>1.2663</v>
      </c>
    </row>
    <row r="7646">
      <c r="A7646" s="926" t="n">
        <v>41956</v>
      </c>
      <c r="B7646" t="n">
        <v>7.7535</v>
      </c>
      <c r="C7646" t="n">
        <v>1.2663</v>
      </c>
    </row>
    <row r="7647">
      <c r="A7647" s="926" t="n">
        <v>41957</v>
      </c>
      <c r="B7647" t="n">
        <v>7.7545</v>
      </c>
      <c r="C7647" t="n">
        <v>1.2664</v>
      </c>
    </row>
    <row r="7648">
      <c r="A7648" s="926" t="n">
        <v>41958</v>
      </c>
      <c r="B7648" t="n">
        <v>7.7545</v>
      </c>
      <c r="C7648" t="n">
        <v>1.2648</v>
      </c>
    </row>
    <row r="7649">
      <c r="A7649" s="926" t="n">
        <v>41960</v>
      </c>
      <c r="B7649" t="n">
        <v>7.7545</v>
      </c>
      <c r="C7649" t="n">
        <v>1.2661</v>
      </c>
    </row>
    <row r="7650">
      <c r="A7650" s="926" t="n">
        <v>41961</v>
      </c>
      <c r="B7650" t="n">
        <v>7.7545</v>
      </c>
      <c r="C7650" t="n">
        <v>1.2674</v>
      </c>
    </row>
    <row r="7651">
      <c r="A7651" s="926" t="n">
        <v>41962</v>
      </c>
      <c r="B7651" t="n">
        <v>7.7545</v>
      </c>
      <c r="C7651" t="n">
        <v>1.26655</v>
      </c>
    </row>
    <row r="7652">
      <c r="A7652" s="926" t="n">
        <v>41963</v>
      </c>
      <c r="B7652" t="n">
        <v>7.7555</v>
      </c>
      <c r="C7652" t="n">
        <v>1.26575</v>
      </c>
    </row>
    <row r="7653">
      <c r="A7653" s="926" t="n">
        <v>41964</v>
      </c>
      <c r="B7653" t="n">
        <v>7.7555</v>
      </c>
      <c r="C7653" t="n">
        <v>1.266</v>
      </c>
    </row>
    <row r="7654">
      <c r="A7654" s="926" t="n">
        <v>41965</v>
      </c>
      <c r="B7654" t="n">
        <v>7.7575</v>
      </c>
      <c r="C7654" t="n">
        <v>1.2648</v>
      </c>
    </row>
    <row r="7655">
      <c r="A7655" s="926" t="n">
        <v>41967</v>
      </c>
      <c r="B7655" t="n">
        <v>7.7565</v>
      </c>
      <c r="C7655" t="n">
        <v>1.2632</v>
      </c>
    </row>
    <row r="7656">
      <c r="A7656" s="926" t="n">
        <v>41968</v>
      </c>
      <c r="B7656" t="n">
        <v>7.7555</v>
      </c>
      <c r="C7656" t="n">
        <v>1.2607</v>
      </c>
    </row>
    <row r="7657">
      <c r="A7657" s="926" t="n">
        <v>41969</v>
      </c>
      <c r="B7657" t="n">
        <v>7.7545</v>
      </c>
      <c r="C7657" t="n">
        <v>1.26245</v>
      </c>
    </row>
    <row r="7658">
      <c r="A7658" s="926" t="n">
        <v>41970</v>
      </c>
      <c r="B7658" t="n">
        <v>7.7535</v>
      </c>
      <c r="C7658" t="n">
        <v>1.26155</v>
      </c>
    </row>
    <row r="7659">
      <c r="A7659" s="926" t="n">
        <v>41971</v>
      </c>
      <c r="B7659" t="n">
        <v>7.7525</v>
      </c>
      <c r="C7659" t="n">
        <v>1.2591</v>
      </c>
    </row>
    <row r="7660">
      <c r="A7660" s="926" t="n">
        <v>41972</v>
      </c>
      <c r="B7660" t="n">
        <v>7.7525</v>
      </c>
      <c r="C7660" t="n">
        <v>1.2587</v>
      </c>
    </row>
    <row r="7661">
      <c r="A7661" s="926" t="n">
        <v>41974</v>
      </c>
      <c r="B7661" t="n">
        <v>7.7535</v>
      </c>
      <c r="C7661" t="n">
        <v>1.2591</v>
      </c>
    </row>
    <row r="7662">
      <c r="A7662" s="926" t="n">
        <v>41975</v>
      </c>
      <c r="B7662" t="n">
        <v>7.7545</v>
      </c>
      <c r="C7662" t="n">
        <v>1.26055</v>
      </c>
    </row>
    <row r="7663">
      <c r="A7663" s="926" t="n">
        <v>41976</v>
      </c>
      <c r="B7663" t="n">
        <v>7.7535</v>
      </c>
      <c r="C7663" t="n">
        <v>1.2614</v>
      </c>
    </row>
    <row r="7664">
      <c r="A7664" s="926" t="n">
        <v>41977</v>
      </c>
      <c r="B7664" t="n">
        <v>7.7525</v>
      </c>
      <c r="C7664" t="n">
        <v>1.2594</v>
      </c>
    </row>
    <row r="7665">
      <c r="A7665" s="926" t="n">
        <v>41978</v>
      </c>
      <c r="B7665" t="n">
        <v>7.7505</v>
      </c>
      <c r="C7665" t="n">
        <v>1.25975</v>
      </c>
    </row>
    <row r="7666">
      <c r="A7666" s="926" t="n">
        <v>41979</v>
      </c>
      <c r="B7666" t="n">
        <v>7.7505</v>
      </c>
      <c r="C7666" t="n">
        <v>1.2589</v>
      </c>
    </row>
    <row r="7667">
      <c r="A7667" s="926" t="n">
        <v>41981</v>
      </c>
      <c r="B7667" t="n">
        <v>7.7505</v>
      </c>
      <c r="C7667" t="n">
        <v>1.2578</v>
      </c>
    </row>
    <row r="7668">
      <c r="A7668" s="926" t="n">
        <v>41982</v>
      </c>
      <c r="B7668" t="n">
        <v>7.7515</v>
      </c>
      <c r="C7668" t="n">
        <v>1.25115</v>
      </c>
    </row>
    <row r="7669">
      <c r="A7669" s="926" t="n">
        <v>41983</v>
      </c>
      <c r="B7669" t="n">
        <v>7.7515</v>
      </c>
      <c r="C7669" t="n">
        <v>1.25385</v>
      </c>
    </row>
    <row r="7670">
      <c r="A7670" s="926" t="n">
        <v>41984</v>
      </c>
      <c r="B7670" t="n">
        <v>7.7515</v>
      </c>
      <c r="C7670" t="n">
        <v>1.2537</v>
      </c>
    </row>
    <row r="7671">
      <c r="A7671" s="926" t="n">
        <v>41985</v>
      </c>
      <c r="B7671" t="n">
        <v>7.7525</v>
      </c>
      <c r="C7671" t="n">
        <v>1.2515</v>
      </c>
    </row>
    <row r="7672">
      <c r="A7672" s="926" t="n">
        <v>41986</v>
      </c>
      <c r="B7672" t="n">
        <v>7.7515</v>
      </c>
      <c r="C7672" t="n">
        <v>1.25135</v>
      </c>
    </row>
    <row r="7673">
      <c r="A7673" s="926" t="n">
        <v>41988</v>
      </c>
      <c r="B7673" t="n">
        <v>7.7525</v>
      </c>
      <c r="C7673" t="n">
        <v>1.2521</v>
      </c>
    </row>
    <row r="7674">
      <c r="A7674" s="926" t="n">
        <v>41989</v>
      </c>
      <c r="B7674" t="n">
        <v>7.7525</v>
      </c>
      <c r="C7674" t="n">
        <v>1.25105</v>
      </c>
    </row>
    <row r="7675">
      <c r="A7675" s="926" t="n">
        <v>41990</v>
      </c>
      <c r="B7675" t="n">
        <v>7.7535</v>
      </c>
      <c r="C7675" t="n">
        <v>1.251</v>
      </c>
    </row>
    <row r="7676">
      <c r="A7676" s="926" t="n">
        <v>41991</v>
      </c>
      <c r="B7676" t="n">
        <v>7.7545</v>
      </c>
      <c r="C7676" t="n">
        <v>1.24625</v>
      </c>
    </row>
    <row r="7677">
      <c r="A7677" s="926" t="n">
        <v>41992</v>
      </c>
      <c r="B7677" t="n">
        <v>7.7535</v>
      </c>
      <c r="C7677" t="n">
        <v>1.24605</v>
      </c>
    </row>
    <row r="7678">
      <c r="A7678" s="926" t="n">
        <v>41993</v>
      </c>
      <c r="B7678" t="n">
        <v>7.7515</v>
      </c>
      <c r="C7678" t="n">
        <v>1.24765</v>
      </c>
    </row>
    <row r="7679">
      <c r="A7679" s="926" t="n">
        <v>41995</v>
      </c>
      <c r="B7679" t="n">
        <v>7.7555</v>
      </c>
      <c r="C7679" t="n">
        <v>1.24725</v>
      </c>
    </row>
    <row r="7680">
      <c r="A7680" s="926" t="n">
        <v>41996</v>
      </c>
      <c r="B7680" t="n">
        <v>7.7575</v>
      </c>
      <c r="C7680" t="n">
        <v>1.2466</v>
      </c>
    </row>
    <row r="7681">
      <c r="A7681" s="926" t="n">
        <v>41997</v>
      </c>
      <c r="B7681" t="n">
        <v>7.7605</v>
      </c>
      <c r="C7681" t="n">
        <v>1.24685</v>
      </c>
    </row>
    <row r="7682">
      <c r="A7682" s="926" t="n">
        <v>42000</v>
      </c>
      <c r="B7682" t="n">
        <v>7.7615</v>
      </c>
      <c r="C7682" t="n">
        <v>1.249</v>
      </c>
    </row>
    <row r="7683">
      <c r="A7683" s="926" t="n">
        <v>42002</v>
      </c>
      <c r="B7683" t="n">
        <v>7.7575</v>
      </c>
      <c r="C7683" t="n">
        <v>1.24455</v>
      </c>
    </row>
    <row r="7684">
      <c r="A7684" s="926" t="n">
        <v>42003</v>
      </c>
      <c r="B7684" t="n">
        <v>7.7575</v>
      </c>
      <c r="C7684" t="n">
        <v>1.24665</v>
      </c>
    </row>
    <row r="7685">
      <c r="A7685" s="926" t="n">
        <v>42004</v>
      </c>
      <c r="B7685" t="n">
        <v>7.7555</v>
      </c>
      <c r="C7685" t="n">
        <v>1.2479</v>
      </c>
    </row>
    <row r="7686">
      <c r="A7686" s="926" t="n">
        <v>42006</v>
      </c>
      <c r="B7686" t="n">
        <v>7.7555</v>
      </c>
      <c r="C7686" t="n">
        <v>1.2453</v>
      </c>
    </row>
    <row r="7687">
      <c r="A7687" s="926" t="n">
        <v>42007</v>
      </c>
      <c r="B7687" t="n">
        <v>7.7565</v>
      </c>
      <c r="C7687" t="n">
        <v>1.24885</v>
      </c>
    </row>
    <row r="7688">
      <c r="A7688" s="926" t="n">
        <v>42009</v>
      </c>
      <c r="B7688" t="n">
        <v>7.7555</v>
      </c>
      <c r="C7688" t="n">
        <v>1.24575</v>
      </c>
    </row>
    <row r="7689">
      <c r="A7689" s="926" t="n">
        <v>42010</v>
      </c>
      <c r="B7689" t="n">
        <v>7.7535</v>
      </c>
      <c r="C7689" t="n">
        <v>1.2478</v>
      </c>
    </row>
    <row r="7690">
      <c r="A7690" s="926" t="n">
        <v>42011</v>
      </c>
      <c r="B7690" t="n">
        <v>7.7535</v>
      </c>
      <c r="C7690" t="n">
        <v>1.2479</v>
      </c>
    </row>
    <row r="7691">
      <c r="A7691" s="926" t="n">
        <v>42012</v>
      </c>
      <c r="B7691" t="n">
        <v>7.7545</v>
      </c>
      <c r="C7691" t="n">
        <v>1.24695</v>
      </c>
    </row>
    <row r="7692">
      <c r="A7692" s="926" t="n">
        <v>42013</v>
      </c>
      <c r="B7692" t="n">
        <v>7.7545</v>
      </c>
      <c r="C7692" t="n">
        <v>1.24845</v>
      </c>
    </row>
    <row r="7693">
      <c r="A7693" s="926" t="n">
        <v>42014</v>
      </c>
      <c r="B7693" t="n">
        <v>7.7505</v>
      </c>
      <c r="C7693" t="n">
        <v>1.24835</v>
      </c>
    </row>
    <row r="7694">
      <c r="A7694" s="926" t="n">
        <v>42016</v>
      </c>
      <c r="B7694" t="n">
        <v>7.7525</v>
      </c>
      <c r="C7694" t="n">
        <v>1.25045</v>
      </c>
    </row>
    <row r="7695">
      <c r="A7695" s="926" t="n">
        <v>42017</v>
      </c>
      <c r="B7695" t="n">
        <v>7.7535</v>
      </c>
      <c r="C7695" t="n">
        <v>1.25015</v>
      </c>
    </row>
    <row r="7696">
      <c r="A7696" s="926" t="n">
        <v>42018</v>
      </c>
      <c r="B7696" t="n">
        <v>7.7535</v>
      </c>
      <c r="C7696" t="n">
        <v>1.2512</v>
      </c>
    </row>
    <row r="7697">
      <c r="A7697" s="926" t="n">
        <v>42019</v>
      </c>
      <c r="B7697" t="n">
        <v>7.7535</v>
      </c>
      <c r="C7697" t="n">
        <v>1.25215</v>
      </c>
    </row>
    <row r="7698">
      <c r="A7698" s="926" t="n">
        <v>42020</v>
      </c>
      <c r="B7698" t="n">
        <v>7.7505</v>
      </c>
      <c r="C7698" t="n">
        <v>1.24685</v>
      </c>
    </row>
    <row r="7699">
      <c r="A7699" s="926" t="n">
        <v>42021</v>
      </c>
      <c r="B7699" t="n">
        <v>7.7505</v>
      </c>
      <c r="C7699" t="n">
        <v>1.2447</v>
      </c>
    </row>
    <row r="7700">
      <c r="A7700" s="926" t="n">
        <v>42023</v>
      </c>
      <c r="B7700" t="n">
        <v>7.7515</v>
      </c>
      <c r="C7700" t="n">
        <v>1.24455</v>
      </c>
    </row>
    <row r="7701">
      <c r="A7701" s="926" t="n">
        <v>42024</v>
      </c>
      <c r="B7701" t="n">
        <v>7.7525</v>
      </c>
      <c r="C7701" t="n">
        <v>1.2459</v>
      </c>
    </row>
    <row r="7702">
      <c r="A7702" s="926" t="n">
        <v>42025</v>
      </c>
      <c r="B7702" t="n">
        <v>7.7525</v>
      </c>
      <c r="C7702" t="n">
        <v>1.2472</v>
      </c>
    </row>
    <row r="7703">
      <c r="A7703" s="926" t="n">
        <v>42026</v>
      </c>
      <c r="B7703" t="n">
        <v>7.7525</v>
      </c>
      <c r="C7703" t="n">
        <v>1.2477</v>
      </c>
    </row>
    <row r="7704">
      <c r="A7704" s="926" t="n">
        <v>42027</v>
      </c>
      <c r="B7704" t="n">
        <v>7.7515</v>
      </c>
      <c r="C7704" t="n">
        <v>1.2437</v>
      </c>
    </row>
    <row r="7705">
      <c r="A7705" s="926" t="n">
        <v>42028</v>
      </c>
      <c r="B7705" t="n">
        <v>7.7515</v>
      </c>
      <c r="C7705" t="n">
        <v>1.2397</v>
      </c>
    </row>
    <row r="7706">
      <c r="A7706" s="926" t="n">
        <v>42030</v>
      </c>
      <c r="B7706" t="n">
        <v>7.7525</v>
      </c>
      <c r="C7706" t="n">
        <v>1.23795</v>
      </c>
    </row>
    <row r="7707">
      <c r="A7707" s="926" t="n">
        <v>42031</v>
      </c>
      <c r="B7707" t="n">
        <v>7.7515</v>
      </c>
      <c r="C7707" t="n">
        <v>1.24075</v>
      </c>
    </row>
    <row r="7708">
      <c r="A7708" s="926" t="n">
        <v>42032</v>
      </c>
      <c r="B7708" t="n">
        <v>7.7515</v>
      </c>
      <c r="C7708" t="n">
        <v>1.24055</v>
      </c>
    </row>
    <row r="7709">
      <c r="A7709" s="926" t="n">
        <v>42033</v>
      </c>
      <c r="B7709" t="n">
        <v>7.7515</v>
      </c>
      <c r="C7709" t="n">
        <v>1.239</v>
      </c>
    </row>
    <row r="7710">
      <c r="A7710" s="926" t="n">
        <v>42034</v>
      </c>
      <c r="B7710" t="n">
        <v>7.7515</v>
      </c>
      <c r="C7710" t="n">
        <v>1.23835</v>
      </c>
    </row>
    <row r="7711">
      <c r="A7711" s="926" t="n">
        <v>42035</v>
      </c>
      <c r="B7711" t="n">
        <v>7.7505</v>
      </c>
      <c r="C7711" t="n">
        <v>1.2367</v>
      </c>
    </row>
    <row r="7712">
      <c r="A7712" s="926" t="n">
        <v>42037</v>
      </c>
      <c r="B7712" t="n">
        <v>7.7535</v>
      </c>
      <c r="C7712" t="n">
        <v>1.23645</v>
      </c>
    </row>
    <row r="7713">
      <c r="A7713" s="926" t="n">
        <v>42038</v>
      </c>
      <c r="B7713" t="n">
        <v>7.7545</v>
      </c>
      <c r="C7713" t="n">
        <v>1.23665</v>
      </c>
    </row>
    <row r="7714">
      <c r="A7714" s="926" t="n">
        <v>42039</v>
      </c>
      <c r="B7714" t="n">
        <v>7.7535</v>
      </c>
      <c r="C7714" t="n">
        <v>1.24025</v>
      </c>
    </row>
    <row r="7715">
      <c r="A7715" s="926" t="n">
        <v>42040</v>
      </c>
      <c r="B7715" t="n">
        <v>7.7535</v>
      </c>
      <c r="C7715" t="n">
        <v>1.2397</v>
      </c>
    </row>
    <row r="7716">
      <c r="A7716" s="926" t="n">
        <v>42041</v>
      </c>
      <c r="B7716" t="n">
        <v>7.7515</v>
      </c>
      <c r="C7716" t="n">
        <v>1.24115</v>
      </c>
    </row>
    <row r="7717">
      <c r="A7717" s="926" t="n">
        <v>42042</v>
      </c>
      <c r="B7717" t="n">
        <v>7.7525</v>
      </c>
      <c r="C7717" t="n">
        <v>1.24185</v>
      </c>
    </row>
    <row r="7718">
      <c r="A7718" s="926" t="n">
        <v>42044</v>
      </c>
      <c r="B7718" t="n">
        <v>7.7525</v>
      </c>
      <c r="C7718" t="n">
        <v>1.24005</v>
      </c>
    </row>
    <row r="7719">
      <c r="A7719" s="926" t="n">
        <v>42045</v>
      </c>
      <c r="B7719" t="n">
        <v>7.7525</v>
      </c>
      <c r="C7719" t="n">
        <v>1.24165</v>
      </c>
    </row>
    <row r="7720">
      <c r="A7720" s="926" t="n">
        <v>42046</v>
      </c>
      <c r="B7720" t="n">
        <v>7.7535</v>
      </c>
      <c r="C7720" t="n">
        <v>1.24125</v>
      </c>
    </row>
    <row r="7721">
      <c r="A7721" s="926" t="n">
        <v>42047</v>
      </c>
      <c r="B7721" t="n">
        <v>7.7535</v>
      </c>
      <c r="C7721" t="n">
        <v>1.24095</v>
      </c>
    </row>
    <row r="7722">
      <c r="A7722" s="926" t="n">
        <v>42048</v>
      </c>
      <c r="B7722" t="n">
        <v>7.7545</v>
      </c>
      <c r="C7722" t="n">
        <v>1.24215</v>
      </c>
    </row>
    <row r="7723">
      <c r="A7723" s="926" t="n">
        <v>42049</v>
      </c>
      <c r="B7723" t="n">
        <v>7.7555</v>
      </c>
      <c r="C7723" t="n">
        <v>1.2417</v>
      </c>
    </row>
    <row r="7724">
      <c r="A7724" s="926" t="n">
        <v>42051</v>
      </c>
      <c r="B7724" t="n">
        <v>7.7575</v>
      </c>
      <c r="C7724" t="n">
        <v>1.23865</v>
      </c>
    </row>
    <row r="7725">
      <c r="A7725" s="926" t="n">
        <v>42052</v>
      </c>
      <c r="B7725" t="n">
        <v>7.7565</v>
      </c>
      <c r="C7725" t="n">
        <v>1.23545</v>
      </c>
    </row>
    <row r="7726">
      <c r="A7726" s="926" t="n">
        <v>42053</v>
      </c>
      <c r="B7726" t="n">
        <v>7.7565</v>
      </c>
      <c r="C7726" t="n">
        <v>1.23515</v>
      </c>
    </row>
    <row r="7727">
      <c r="A7727" s="926" t="n">
        <v>42058</v>
      </c>
      <c r="B7727" t="n">
        <v>7.7565</v>
      </c>
      <c r="C7727" t="n">
        <v>1.23595</v>
      </c>
    </row>
    <row r="7728">
      <c r="A7728" s="926" t="n">
        <v>42059</v>
      </c>
      <c r="B7728" t="n">
        <v>7.7565</v>
      </c>
      <c r="C7728" t="n">
        <v>1.23585</v>
      </c>
    </row>
    <row r="7729">
      <c r="A7729" s="926" t="n">
        <v>42060</v>
      </c>
      <c r="B7729" t="n">
        <v>7.7545</v>
      </c>
      <c r="C7729" t="n">
        <v>1.23665</v>
      </c>
    </row>
    <row r="7730">
      <c r="A7730" s="926" t="n">
        <v>42061</v>
      </c>
      <c r="B7730" t="n">
        <v>7.7545</v>
      </c>
      <c r="C7730" t="n">
        <v>1.23685</v>
      </c>
    </row>
    <row r="7731">
      <c r="A7731" s="926" t="n">
        <v>42062</v>
      </c>
      <c r="B7731" t="n">
        <v>7.7555</v>
      </c>
      <c r="C7731" t="n">
        <v>1.23375</v>
      </c>
    </row>
    <row r="7732">
      <c r="A7732" s="926" t="n">
        <v>42063</v>
      </c>
      <c r="B7732" t="n">
        <v>7.7535</v>
      </c>
      <c r="C7732" t="n">
        <v>1.2327</v>
      </c>
    </row>
    <row r="7733">
      <c r="A7733" s="926" t="n">
        <v>42065</v>
      </c>
      <c r="B7733" t="n">
        <v>7.7545</v>
      </c>
      <c r="C7733" t="n">
        <v>1.2329</v>
      </c>
    </row>
    <row r="7734">
      <c r="A7734" s="926" t="n">
        <v>42066</v>
      </c>
      <c r="B7734" t="n">
        <v>7.7545</v>
      </c>
      <c r="C7734" t="n">
        <v>1.23395</v>
      </c>
    </row>
    <row r="7735">
      <c r="A7735" s="926" t="n">
        <v>42067</v>
      </c>
      <c r="B7735" t="n">
        <v>7.7545</v>
      </c>
      <c r="C7735" t="n">
        <v>1.2348</v>
      </c>
    </row>
    <row r="7736">
      <c r="A7736" s="926" t="n">
        <v>42068</v>
      </c>
      <c r="B7736" t="n">
        <v>7.7555</v>
      </c>
      <c r="C7736" t="n">
        <v>1.23555</v>
      </c>
    </row>
    <row r="7737">
      <c r="A7737" s="926" t="n">
        <v>42069</v>
      </c>
      <c r="B7737" t="n">
        <v>7.7565</v>
      </c>
      <c r="C7737" t="n">
        <v>1.23625</v>
      </c>
    </row>
    <row r="7738">
      <c r="A7738" s="926" t="n">
        <v>42070</v>
      </c>
      <c r="B7738" t="n">
        <v>7.7555</v>
      </c>
      <c r="C7738" t="n">
        <v>1.234</v>
      </c>
    </row>
    <row r="7739">
      <c r="A7739" s="926" t="n">
        <v>42072</v>
      </c>
      <c r="B7739" t="n">
        <v>7.7585</v>
      </c>
      <c r="C7739" t="n">
        <v>1.23615</v>
      </c>
    </row>
    <row r="7740">
      <c r="A7740" s="926" t="n">
        <v>42073</v>
      </c>
      <c r="B7740" t="n">
        <v>7.7585</v>
      </c>
      <c r="C7740" t="n">
        <v>1.23705</v>
      </c>
    </row>
    <row r="7741">
      <c r="A7741" s="926" t="n">
        <v>42074</v>
      </c>
      <c r="B7741" t="n">
        <v>7.7605</v>
      </c>
      <c r="C7741" t="n">
        <v>1.23695</v>
      </c>
    </row>
    <row r="7742">
      <c r="A7742" s="926" t="n">
        <v>42075</v>
      </c>
      <c r="B7742" t="n">
        <v>7.7635</v>
      </c>
      <c r="C7742" t="n">
        <v>1.23735</v>
      </c>
    </row>
    <row r="7743">
      <c r="A7743" s="926" t="n">
        <v>42076</v>
      </c>
      <c r="B7743" t="n">
        <v>7.7645</v>
      </c>
      <c r="C7743" t="n">
        <v>1.23775</v>
      </c>
    </row>
    <row r="7744">
      <c r="A7744" s="926" t="n">
        <v>42077</v>
      </c>
      <c r="B7744" t="n">
        <v>7.7655</v>
      </c>
      <c r="C7744" t="n">
        <v>1.236</v>
      </c>
    </row>
    <row r="7745">
      <c r="A7745" s="926" t="n">
        <v>42079</v>
      </c>
      <c r="B7745" t="n">
        <v>7.7655</v>
      </c>
      <c r="C7745" t="n">
        <v>1.23725</v>
      </c>
    </row>
    <row r="7746">
      <c r="A7746" s="926" t="n">
        <v>42080</v>
      </c>
      <c r="B7746" t="n">
        <v>7.7635</v>
      </c>
      <c r="C7746" t="n">
        <v>1.24115</v>
      </c>
    </row>
    <row r="7747">
      <c r="A7747" s="926" t="n">
        <v>42081</v>
      </c>
      <c r="B7747" t="n">
        <v>7.7585</v>
      </c>
      <c r="C7747" t="n">
        <v>1.2441</v>
      </c>
    </row>
    <row r="7748">
      <c r="A7748" s="926" t="n">
        <v>42082</v>
      </c>
      <c r="B7748" t="n">
        <v>7.7565</v>
      </c>
      <c r="C7748" t="n">
        <v>1.2489</v>
      </c>
    </row>
    <row r="7749">
      <c r="A7749" s="926" t="n">
        <v>42083</v>
      </c>
      <c r="B7749" t="n">
        <v>7.7575</v>
      </c>
      <c r="C7749" t="n">
        <v>1.25</v>
      </c>
    </row>
    <row r="7750">
      <c r="A7750" s="926" t="n">
        <v>42084</v>
      </c>
      <c r="B7750" t="n">
        <v>7.7565</v>
      </c>
      <c r="C7750" t="n">
        <v>1.2502</v>
      </c>
    </row>
    <row r="7751">
      <c r="A7751" s="926" t="n">
        <v>42086</v>
      </c>
      <c r="B7751" t="n">
        <v>7.7555</v>
      </c>
      <c r="C7751" t="n">
        <v>1.24915</v>
      </c>
    </row>
    <row r="7752">
      <c r="A7752" s="926" t="n">
        <v>42087</v>
      </c>
      <c r="B7752" t="n">
        <v>7.7545</v>
      </c>
      <c r="C7752" t="n">
        <v>1.2485</v>
      </c>
    </row>
    <row r="7753">
      <c r="A7753" s="926" t="n">
        <v>42088</v>
      </c>
      <c r="B7753" t="n">
        <v>7.7545</v>
      </c>
      <c r="C7753" t="n">
        <v>1.2474</v>
      </c>
    </row>
    <row r="7754">
      <c r="A7754" s="926" t="n">
        <v>42089</v>
      </c>
      <c r="B7754" t="n">
        <v>7.7535</v>
      </c>
      <c r="C7754" t="n">
        <v>1.24765</v>
      </c>
    </row>
    <row r="7755">
      <c r="A7755" s="926" t="n">
        <v>42090</v>
      </c>
      <c r="B7755" t="n">
        <v>7.7535</v>
      </c>
      <c r="C7755" t="n">
        <v>1.24645</v>
      </c>
    </row>
    <row r="7756">
      <c r="A7756" s="926" t="n">
        <v>42091</v>
      </c>
      <c r="B7756" t="n">
        <v>7.7525</v>
      </c>
      <c r="C7756" t="n">
        <v>1.248</v>
      </c>
    </row>
    <row r="7757">
      <c r="A7757" s="926" t="n">
        <v>42093</v>
      </c>
      <c r="B7757" t="n">
        <v>7.7535</v>
      </c>
      <c r="C7757" t="n">
        <v>1.24815</v>
      </c>
    </row>
    <row r="7758">
      <c r="A7758" s="926" t="n">
        <v>42094</v>
      </c>
      <c r="B7758" t="n">
        <v>7.7545</v>
      </c>
      <c r="C7758" t="n">
        <v>1.25005</v>
      </c>
    </row>
    <row r="7759">
      <c r="A7759" s="926" t="n">
        <v>42095</v>
      </c>
      <c r="B7759" t="n">
        <v>7.7535</v>
      </c>
      <c r="C7759" t="n">
        <v>1.25</v>
      </c>
    </row>
    <row r="7760">
      <c r="A7760" s="926" t="n">
        <v>42096</v>
      </c>
      <c r="B7760" t="n">
        <v>7.7525</v>
      </c>
      <c r="C7760" t="n">
        <v>1.2497</v>
      </c>
    </row>
    <row r="7761">
      <c r="A7761" s="926" t="n">
        <v>42102</v>
      </c>
      <c r="B7761" t="n">
        <v>7.7505</v>
      </c>
      <c r="C7761" t="n">
        <v>1.24895</v>
      </c>
    </row>
    <row r="7762">
      <c r="A7762" s="926" t="n">
        <v>42103</v>
      </c>
      <c r="B7762" t="n">
        <v>7.7495</v>
      </c>
      <c r="C7762" t="n">
        <v>1.2472</v>
      </c>
    </row>
    <row r="7763">
      <c r="A7763" s="926" t="n">
        <v>42104</v>
      </c>
      <c r="B7763" t="n">
        <v>7.7495</v>
      </c>
      <c r="C7763" t="n">
        <v>1.24595</v>
      </c>
    </row>
    <row r="7764">
      <c r="A7764" s="926" t="n">
        <v>42105</v>
      </c>
      <c r="B7764" t="n">
        <v>7.7495</v>
      </c>
      <c r="C7764" t="n">
        <v>1.24615</v>
      </c>
    </row>
    <row r="7765">
      <c r="A7765" s="926" t="n">
        <v>42107</v>
      </c>
      <c r="B7765" t="n">
        <v>7.7495</v>
      </c>
      <c r="C7765" t="n">
        <v>1.24525</v>
      </c>
    </row>
    <row r="7766">
      <c r="A7766" s="926" t="n">
        <v>42108</v>
      </c>
      <c r="B7766" t="n">
        <v>7.7495</v>
      </c>
      <c r="C7766" t="n">
        <v>1.2464</v>
      </c>
    </row>
    <row r="7767">
      <c r="A7767" s="926" t="n">
        <v>42109</v>
      </c>
      <c r="B7767" t="n">
        <v>7.7505</v>
      </c>
      <c r="C7767" t="n">
        <v>1.24825</v>
      </c>
    </row>
    <row r="7768">
      <c r="A7768" s="926" t="n">
        <v>42110</v>
      </c>
      <c r="B7768" t="n">
        <v>7.7505</v>
      </c>
      <c r="C7768" t="n">
        <v>1.2508</v>
      </c>
    </row>
    <row r="7769">
      <c r="A7769" s="926" t="n">
        <v>42111</v>
      </c>
      <c r="B7769" t="n">
        <v>7.7505</v>
      </c>
      <c r="C7769" t="n">
        <v>1.2519</v>
      </c>
    </row>
    <row r="7770">
      <c r="A7770" s="926" t="n">
        <v>42112</v>
      </c>
      <c r="B7770" t="n">
        <v>7.7505</v>
      </c>
      <c r="C7770" t="n">
        <v>1.25155</v>
      </c>
    </row>
    <row r="7771">
      <c r="A7771" s="926" t="n">
        <v>42114</v>
      </c>
      <c r="B7771" t="n">
        <v>7.7495</v>
      </c>
      <c r="C7771" t="n">
        <v>1.2497</v>
      </c>
    </row>
    <row r="7772">
      <c r="A7772" s="926" t="n">
        <v>42115</v>
      </c>
      <c r="B7772" t="n">
        <v>7.7495</v>
      </c>
      <c r="C7772" t="n">
        <v>1.2502</v>
      </c>
    </row>
    <row r="7773">
      <c r="A7773" s="926" t="n">
        <v>42116</v>
      </c>
      <c r="B7773" t="n">
        <v>7.7495</v>
      </c>
      <c r="C7773" t="n">
        <v>1.2511</v>
      </c>
    </row>
    <row r="7774">
      <c r="A7774" s="926" t="n">
        <v>42117</v>
      </c>
      <c r="B7774" t="n">
        <v>7.7495</v>
      </c>
      <c r="C7774" t="n">
        <v>1.2504</v>
      </c>
    </row>
    <row r="7775">
      <c r="A7775" s="926" t="n">
        <v>42118</v>
      </c>
      <c r="B7775" t="n">
        <v>7.7495</v>
      </c>
      <c r="C7775" t="n">
        <v>1.2514</v>
      </c>
    </row>
    <row r="7776">
      <c r="A7776" s="926" t="n">
        <v>42119</v>
      </c>
      <c r="B7776" t="n">
        <v>7.7495</v>
      </c>
      <c r="C7776" t="n">
        <v>1.251</v>
      </c>
    </row>
    <row r="7777">
      <c r="A7777" s="926" t="n">
        <v>42121</v>
      </c>
      <c r="B7777" t="n">
        <v>7.7495</v>
      </c>
      <c r="C7777" t="n">
        <v>1.2485</v>
      </c>
    </row>
    <row r="7778">
      <c r="A7778" s="926" t="n">
        <v>42122</v>
      </c>
      <c r="B7778" t="n">
        <v>7.7495</v>
      </c>
      <c r="C7778" t="n">
        <v>1.24785</v>
      </c>
    </row>
    <row r="7779">
      <c r="A7779" s="926" t="n">
        <v>42123</v>
      </c>
      <c r="B7779" t="n">
        <v>7.7495</v>
      </c>
      <c r="C7779" t="n">
        <v>1.24915</v>
      </c>
    </row>
    <row r="7780">
      <c r="A7780" s="926" t="n">
        <v>42124</v>
      </c>
      <c r="B7780" t="n">
        <v>7.7495</v>
      </c>
      <c r="C7780" t="n">
        <v>1.2491</v>
      </c>
    </row>
    <row r="7781">
      <c r="A7781" s="926" t="n">
        <v>42126</v>
      </c>
      <c r="B7781" t="n">
        <v>7.7515</v>
      </c>
      <c r="C7781" t="n">
        <v>1.2483</v>
      </c>
    </row>
    <row r="7782">
      <c r="A7782" s="926" t="n">
        <v>42128</v>
      </c>
      <c r="B7782" t="n">
        <v>7.7515</v>
      </c>
      <c r="C7782" t="n">
        <v>1.2478</v>
      </c>
    </row>
    <row r="7783">
      <c r="A7783" s="926" t="n">
        <v>42129</v>
      </c>
      <c r="B7783" t="n">
        <v>7.7515</v>
      </c>
      <c r="C7783" t="n">
        <v>1.2482</v>
      </c>
    </row>
    <row r="7784">
      <c r="A7784" s="926" t="n">
        <v>42130</v>
      </c>
      <c r="B7784" t="n">
        <v>7.7515</v>
      </c>
      <c r="C7784" t="n">
        <v>1.25005</v>
      </c>
    </row>
    <row r="7785">
      <c r="A7785" s="926" t="n">
        <v>42131</v>
      </c>
      <c r="B7785" t="n">
        <v>7.7515</v>
      </c>
      <c r="C7785" t="n">
        <v>1.2484</v>
      </c>
    </row>
    <row r="7786">
      <c r="A7786" s="926" t="n">
        <v>42132</v>
      </c>
      <c r="B7786" t="n">
        <v>7.7525</v>
      </c>
      <c r="C7786" t="n">
        <v>1.24845</v>
      </c>
    </row>
    <row r="7787">
      <c r="A7787" s="926" t="n">
        <v>42133</v>
      </c>
      <c r="B7787" t="n">
        <v>7.7535</v>
      </c>
      <c r="C7787" t="n">
        <v>1.249</v>
      </c>
    </row>
    <row r="7788">
      <c r="A7788" s="926" t="n">
        <v>42135</v>
      </c>
      <c r="B7788" t="n">
        <v>7.7525</v>
      </c>
      <c r="C7788" t="n">
        <v>1.2478</v>
      </c>
    </row>
    <row r="7789">
      <c r="A7789" s="926" t="n">
        <v>42136</v>
      </c>
      <c r="B7789" t="n">
        <v>7.7515</v>
      </c>
      <c r="C7789" t="n">
        <v>1.24855</v>
      </c>
    </row>
    <row r="7790">
      <c r="A7790" s="926" t="n">
        <v>42137</v>
      </c>
      <c r="B7790" t="n">
        <v>7.7525</v>
      </c>
      <c r="C7790" t="n">
        <v>1.24965</v>
      </c>
    </row>
    <row r="7791">
      <c r="A7791" s="926" t="n">
        <v>42138</v>
      </c>
      <c r="B7791" t="n">
        <v>7.7515</v>
      </c>
      <c r="C7791" t="n">
        <v>1.25</v>
      </c>
    </row>
    <row r="7792">
      <c r="A7792" s="926" t="n">
        <v>42139</v>
      </c>
      <c r="B7792" t="n">
        <v>7.7505</v>
      </c>
      <c r="C7792" t="n">
        <v>1.2488</v>
      </c>
    </row>
    <row r="7793">
      <c r="A7793" s="926" t="n">
        <v>42140</v>
      </c>
      <c r="B7793" t="n">
        <v>7.7495</v>
      </c>
      <c r="C7793" t="n">
        <v>1.24895</v>
      </c>
    </row>
    <row r="7794">
      <c r="A7794" s="926" t="n">
        <v>42142</v>
      </c>
      <c r="B7794" t="n">
        <v>7.7515</v>
      </c>
      <c r="C7794" t="n">
        <v>1.2493</v>
      </c>
    </row>
    <row r="7795">
      <c r="A7795" s="926" t="n">
        <v>42143</v>
      </c>
      <c r="B7795" t="n">
        <v>7.7515</v>
      </c>
      <c r="C7795" t="n">
        <v>1.24875</v>
      </c>
    </row>
    <row r="7796">
      <c r="A7796" s="926" t="n">
        <v>42144</v>
      </c>
      <c r="B7796" t="n">
        <v>7.7515</v>
      </c>
      <c r="C7796" t="n">
        <v>1.24895</v>
      </c>
    </row>
    <row r="7797">
      <c r="A7797" s="926" t="n">
        <v>42145</v>
      </c>
      <c r="B7797" t="n">
        <v>7.7525</v>
      </c>
      <c r="C7797" t="n">
        <v>1.24995</v>
      </c>
    </row>
    <row r="7798">
      <c r="A7798" s="926" t="n">
        <v>42146</v>
      </c>
      <c r="B7798" t="n">
        <v>7.7515</v>
      </c>
      <c r="C7798" t="n">
        <v>1.2505</v>
      </c>
    </row>
    <row r="7799">
      <c r="A7799" s="926" t="n">
        <v>42147</v>
      </c>
      <c r="B7799" t="n">
        <v>7.7515</v>
      </c>
      <c r="C7799" t="n">
        <v>1.25035</v>
      </c>
    </row>
    <row r="7800">
      <c r="A7800" s="926" t="n">
        <v>42150</v>
      </c>
      <c r="B7800" t="n">
        <v>7.7515</v>
      </c>
      <c r="C7800" t="n">
        <v>1.24915</v>
      </c>
    </row>
    <row r="7801">
      <c r="A7801" s="926" t="n">
        <v>42151</v>
      </c>
      <c r="B7801" t="n">
        <v>7.7515</v>
      </c>
      <c r="C7801" t="n">
        <v>1.24905</v>
      </c>
    </row>
    <row r="7802">
      <c r="A7802" s="926" t="n">
        <v>42152</v>
      </c>
      <c r="B7802" t="n">
        <v>7.7525</v>
      </c>
      <c r="C7802" t="n">
        <v>1.2495</v>
      </c>
    </row>
    <row r="7803">
      <c r="A7803" s="926" t="n">
        <v>42153</v>
      </c>
      <c r="B7803" t="n">
        <v>7.7515</v>
      </c>
      <c r="C7803" t="n">
        <v>1.24945</v>
      </c>
    </row>
    <row r="7804">
      <c r="A7804" s="926" t="n">
        <v>42154</v>
      </c>
      <c r="B7804" t="n">
        <v>7.7515</v>
      </c>
      <c r="C7804" t="n">
        <v>1.2496</v>
      </c>
    </row>
    <row r="7805">
      <c r="A7805" s="926" t="n">
        <v>42156</v>
      </c>
      <c r="B7805" t="n">
        <v>7.7535</v>
      </c>
      <c r="C7805" t="n">
        <v>1.25005</v>
      </c>
    </row>
    <row r="7806">
      <c r="A7806" s="926" t="n">
        <v>42157</v>
      </c>
      <c r="B7806" t="n">
        <v>7.7555</v>
      </c>
      <c r="C7806" t="n">
        <v>1.25075</v>
      </c>
    </row>
    <row r="7807">
      <c r="A7807" s="926" t="n">
        <v>42158</v>
      </c>
      <c r="B7807" t="n">
        <v>7.7535</v>
      </c>
      <c r="C7807" t="n">
        <v>1.2506</v>
      </c>
    </row>
    <row r="7808">
      <c r="A7808" s="926" t="n">
        <v>42159</v>
      </c>
      <c r="B7808" t="n">
        <v>7.7515</v>
      </c>
      <c r="C7808" t="n">
        <v>1.2494</v>
      </c>
    </row>
    <row r="7809">
      <c r="A7809" s="926" t="n">
        <v>42160</v>
      </c>
      <c r="B7809" t="n">
        <v>7.7525</v>
      </c>
      <c r="C7809" t="n">
        <v>1.2489</v>
      </c>
    </row>
    <row r="7810">
      <c r="A7810" s="926" t="n">
        <v>42161</v>
      </c>
      <c r="B7810" t="n">
        <v>7.7525</v>
      </c>
      <c r="C7810" t="n">
        <v>1.2488</v>
      </c>
    </row>
    <row r="7811">
      <c r="A7811" s="926" t="n">
        <v>42163</v>
      </c>
      <c r="B7811" t="n">
        <v>7.7515</v>
      </c>
      <c r="C7811" t="n">
        <v>1.2482</v>
      </c>
    </row>
    <row r="7812">
      <c r="A7812" s="926" t="n">
        <v>42164</v>
      </c>
      <c r="B7812" t="n">
        <v>7.7525</v>
      </c>
      <c r="C7812" t="n">
        <v>1.2478</v>
      </c>
    </row>
    <row r="7813">
      <c r="A7813" s="926" t="n">
        <v>42165</v>
      </c>
      <c r="B7813" t="n">
        <v>7.7515</v>
      </c>
      <c r="C7813" t="n">
        <v>1.24845</v>
      </c>
    </row>
    <row r="7814">
      <c r="A7814" s="926" t="n">
        <v>42166</v>
      </c>
      <c r="B7814" t="n">
        <v>7.7525</v>
      </c>
      <c r="C7814" t="n">
        <v>1.24825</v>
      </c>
    </row>
    <row r="7815">
      <c r="A7815" s="926" t="n">
        <v>42167</v>
      </c>
      <c r="B7815" t="n">
        <v>7.7525</v>
      </c>
      <c r="C7815" t="n">
        <v>1.2481</v>
      </c>
    </row>
    <row r="7816">
      <c r="A7816" s="926" t="n">
        <v>42168</v>
      </c>
      <c r="B7816" t="n">
        <v>7.7525</v>
      </c>
      <c r="C7816" t="n">
        <v>1.24745</v>
      </c>
    </row>
    <row r="7817">
      <c r="A7817" s="926" t="n">
        <v>42170</v>
      </c>
      <c r="B7817" t="n">
        <v>7.7525</v>
      </c>
      <c r="C7817" t="n">
        <v>1.24765</v>
      </c>
    </row>
    <row r="7818">
      <c r="A7818" s="926" t="n">
        <v>42171</v>
      </c>
      <c r="B7818" t="n">
        <v>7.7515</v>
      </c>
      <c r="C7818" t="n">
        <v>1.24795</v>
      </c>
    </row>
    <row r="7819">
      <c r="A7819" s="926" t="n">
        <v>42172</v>
      </c>
      <c r="B7819" t="n">
        <v>7.7525</v>
      </c>
      <c r="C7819" t="n">
        <v>1.2485</v>
      </c>
    </row>
    <row r="7820">
      <c r="A7820" s="926" t="n">
        <v>42173</v>
      </c>
      <c r="B7820" t="n">
        <v>7.7525</v>
      </c>
      <c r="C7820" t="n">
        <v>1.2492</v>
      </c>
    </row>
    <row r="7821">
      <c r="A7821" s="926" t="n">
        <v>42174</v>
      </c>
      <c r="B7821" t="n">
        <v>7.7515</v>
      </c>
      <c r="C7821" t="n">
        <v>1.2486</v>
      </c>
    </row>
    <row r="7822">
      <c r="A7822" s="926" t="n">
        <v>42177</v>
      </c>
      <c r="B7822" t="n">
        <v>7.7515</v>
      </c>
      <c r="C7822" t="n">
        <v>1.2493</v>
      </c>
    </row>
    <row r="7823">
      <c r="A7823" s="926" t="n">
        <v>42178</v>
      </c>
      <c r="B7823" t="n">
        <v>7.7525</v>
      </c>
      <c r="C7823" t="n">
        <v>1.2499</v>
      </c>
    </row>
    <row r="7824">
      <c r="A7824" s="926" t="n">
        <v>42179</v>
      </c>
      <c r="B7824" t="n">
        <v>7.7515</v>
      </c>
      <c r="C7824" t="n">
        <v>1.2494</v>
      </c>
    </row>
    <row r="7825">
      <c r="A7825" s="926" t="n">
        <v>42180</v>
      </c>
      <c r="B7825" t="n">
        <v>7.7515</v>
      </c>
      <c r="C7825" t="n">
        <v>1.2492</v>
      </c>
    </row>
    <row r="7826">
      <c r="A7826" s="926" t="n">
        <v>42181</v>
      </c>
      <c r="B7826" t="n">
        <v>7.7515</v>
      </c>
      <c r="C7826" t="n">
        <v>1.24885</v>
      </c>
    </row>
    <row r="7827">
      <c r="A7827" s="926" t="n">
        <v>42182</v>
      </c>
      <c r="B7827" t="n">
        <v>7.7505</v>
      </c>
      <c r="C7827" t="n">
        <v>1.2488</v>
      </c>
    </row>
    <row r="7828">
      <c r="A7828" s="926" t="n">
        <v>42184</v>
      </c>
      <c r="B7828" t="n">
        <v>7.7525</v>
      </c>
      <c r="C7828" t="n">
        <v>1.24845</v>
      </c>
    </row>
    <row r="7829">
      <c r="A7829" s="926" t="n">
        <v>42185</v>
      </c>
      <c r="B7829" t="n">
        <v>7.7515</v>
      </c>
      <c r="C7829" t="n">
        <v>1.24915</v>
      </c>
    </row>
    <row r="7830">
      <c r="A7830" s="926" t="n">
        <v>42187</v>
      </c>
      <c r="B7830" t="n">
        <v>7.7515</v>
      </c>
      <c r="C7830" t="n">
        <v>1.24935</v>
      </c>
    </row>
    <row r="7831">
      <c r="A7831" s="926" t="n">
        <v>42188</v>
      </c>
      <c r="B7831" t="n">
        <v>7.7515</v>
      </c>
      <c r="C7831" t="n">
        <v>1.24935</v>
      </c>
    </row>
    <row r="7832">
      <c r="A7832" s="926" t="n">
        <v>42189</v>
      </c>
      <c r="B7832" t="n">
        <v>7.7515</v>
      </c>
      <c r="C7832" t="n">
        <v>1.2485</v>
      </c>
    </row>
    <row r="7833">
      <c r="A7833" s="926" t="n">
        <v>42191</v>
      </c>
      <c r="B7833" t="n">
        <v>7.7525</v>
      </c>
      <c r="C7833" t="n">
        <v>1.24785</v>
      </c>
    </row>
    <row r="7834">
      <c r="A7834" s="926" t="n">
        <v>42192</v>
      </c>
      <c r="B7834" t="n">
        <v>7.7555</v>
      </c>
      <c r="C7834" t="n">
        <v>1.2478</v>
      </c>
    </row>
    <row r="7835">
      <c r="A7835" s="926" t="n">
        <v>42193</v>
      </c>
      <c r="B7835" t="n">
        <v>7.7535</v>
      </c>
      <c r="C7835" t="n">
        <v>1.246</v>
      </c>
    </row>
    <row r="7836">
      <c r="A7836" s="926" t="n">
        <v>42194</v>
      </c>
      <c r="B7836" t="n">
        <v>7.7525</v>
      </c>
      <c r="C7836" t="n">
        <v>1.24685</v>
      </c>
    </row>
    <row r="7837">
      <c r="A7837" s="926" t="n">
        <v>42195</v>
      </c>
      <c r="B7837" t="n">
        <v>7.7515</v>
      </c>
      <c r="C7837" t="n">
        <v>1.2473</v>
      </c>
    </row>
    <row r="7838">
      <c r="A7838" s="926" t="n">
        <v>42196</v>
      </c>
      <c r="B7838" t="n">
        <v>7.7515</v>
      </c>
      <c r="C7838" t="n">
        <v>1.24675</v>
      </c>
    </row>
    <row r="7839">
      <c r="A7839" s="926" t="n">
        <v>42198</v>
      </c>
      <c r="B7839" t="n">
        <v>7.7505</v>
      </c>
      <c r="C7839" t="n">
        <v>1.2468</v>
      </c>
    </row>
    <row r="7840">
      <c r="A7840" s="926" t="n">
        <v>42199</v>
      </c>
      <c r="B7840" t="n">
        <v>7.7515</v>
      </c>
      <c r="C7840" t="n">
        <v>1.24715</v>
      </c>
    </row>
    <row r="7841">
      <c r="A7841" s="926" t="n">
        <v>42200</v>
      </c>
      <c r="B7841" t="n">
        <v>7.7505</v>
      </c>
      <c r="C7841" t="n">
        <v>1.24755</v>
      </c>
    </row>
    <row r="7842">
      <c r="A7842" s="926" t="n">
        <v>42201</v>
      </c>
      <c r="B7842" t="n">
        <v>7.7505</v>
      </c>
      <c r="C7842" t="n">
        <v>1.24715</v>
      </c>
    </row>
    <row r="7843">
      <c r="A7843" s="926" t="n">
        <v>42202</v>
      </c>
      <c r="B7843" t="n">
        <v>7.7505</v>
      </c>
      <c r="C7843" t="n">
        <v>1.2474</v>
      </c>
    </row>
    <row r="7844">
      <c r="A7844" s="926" t="n">
        <v>42203</v>
      </c>
      <c r="B7844" t="n">
        <v>7.7485</v>
      </c>
      <c r="C7844" t="n">
        <v>1.2474</v>
      </c>
    </row>
    <row r="7845">
      <c r="A7845" s="926" t="n">
        <v>42205</v>
      </c>
      <c r="B7845" t="n">
        <v>7.7505</v>
      </c>
      <c r="C7845" t="n">
        <v>1.2474</v>
      </c>
    </row>
    <row r="7846">
      <c r="A7846" s="926" t="n">
        <v>42206</v>
      </c>
      <c r="B7846" t="n">
        <v>7.7505</v>
      </c>
      <c r="C7846" t="n">
        <v>1.24755</v>
      </c>
    </row>
    <row r="7847">
      <c r="A7847" s="926" t="n">
        <v>42207</v>
      </c>
      <c r="B7847" t="n">
        <v>7.7505</v>
      </c>
      <c r="C7847" t="n">
        <v>1.24785</v>
      </c>
    </row>
    <row r="7848">
      <c r="A7848" s="926" t="n">
        <v>42208</v>
      </c>
      <c r="B7848" t="n">
        <v>7.7505</v>
      </c>
      <c r="C7848" t="n">
        <v>1.2472</v>
      </c>
    </row>
    <row r="7849">
      <c r="A7849" s="926" t="n">
        <v>42209</v>
      </c>
      <c r="B7849" t="n">
        <v>7.7505</v>
      </c>
      <c r="C7849" t="n">
        <v>1.24605</v>
      </c>
    </row>
    <row r="7850">
      <c r="A7850" s="926" t="n">
        <v>42210</v>
      </c>
      <c r="B7850" t="n">
        <v>7.7505</v>
      </c>
      <c r="C7850" t="n">
        <v>1.2451</v>
      </c>
    </row>
    <row r="7851">
      <c r="A7851" s="926" t="n">
        <v>42212</v>
      </c>
      <c r="B7851" t="n">
        <v>7.7505</v>
      </c>
      <c r="C7851" t="n">
        <v>1.2456</v>
      </c>
    </row>
    <row r="7852">
      <c r="A7852" s="926" t="n">
        <v>42213</v>
      </c>
      <c r="B7852" t="n">
        <v>7.7505</v>
      </c>
      <c r="C7852" t="n">
        <v>1.2467</v>
      </c>
    </row>
    <row r="7853">
      <c r="A7853" s="926" t="n">
        <v>42214</v>
      </c>
      <c r="B7853" t="n">
        <v>7.7505</v>
      </c>
      <c r="C7853" t="n">
        <v>1.2467</v>
      </c>
    </row>
    <row r="7854">
      <c r="A7854" s="926" t="n">
        <v>42215</v>
      </c>
      <c r="B7854" t="n">
        <v>7.7505</v>
      </c>
      <c r="C7854" t="n">
        <v>1.2461</v>
      </c>
    </row>
    <row r="7855">
      <c r="A7855" s="926" t="n">
        <v>42216</v>
      </c>
      <c r="B7855" t="n">
        <v>7.7515</v>
      </c>
      <c r="C7855" t="n">
        <v>1.2458</v>
      </c>
    </row>
    <row r="7856">
      <c r="A7856" s="926" t="n">
        <v>42217</v>
      </c>
      <c r="B7856" t="n">
        <v>7.7525</v>
      </c>
      <c r="C7856" t="n">
        <v>1.2463</v>
      </c>
    </row>
    <row r="7857">
      <c r="A7857" s="926" t="n">
        <v>42219</v>
      </c>
      <c r="B7857" t="n">
        <v>7.7515</v>
      </c>
      <c r="C7857" t="n">
        <v>1.24665</v>
      </c>
    </row>
    <row r="7858">
      <c r="A7858" s="926" t="n">
        <v>42220</v>
      </c>
      <c r="B7858" t="n">
        <v>7.7525</v>
      </c>
      <c r="C7858" t="n">
        <v>1.2471</v>
      </c>
    </row>
    <row r="7859">
      <c r="A7859" s="926" t="n">
        <v>42221</v>
      </c>
      <c r="B7859" t="n">
        <v>7.7535</v>
      </c>
      <c r="C7859" t="n">
        <v>1.2465</v>
      </c>
    </row>
    <row r="7860">
      <c r="A7860" s="926" t="n">
        <v>42222</v>
      </c>
      <c r="B7860" t="n">
        <v>7.7505</v>
      </c>
      <c r="C7860" t="n">
        <v>1.24625</v>
      </c>
    </row>
    <row r="7861">
      <c r="A7861" s="926" t="n">
        <v>42223</v>
      </c>
      <c r="B7861" t="n">
        <v>7.7515</v>
      </c>
      <c r="C7861" t="n">
        <v>1.24685</v>
      </c>
    </row>
    <row r="7862">
      <c r="A7862" s="926" t="n">
        <v>42224</v>
      </c>
      <c r="B7862" t="n">
        <v>7.7505</v>
      </c>
      <c r="C7862" t="n">
        <v>1.247</v>
      </c>
    </row>
    <row r="7863">
      <c r="A7863" s="926" t="n">
        <v>42226</v>
      </c>
      <c r="B7863" t="n">
        <v>7.7525</v>
      </c>
      <c r="C7863" t="n">
        <v>1.24725</v>
      </c>
    </row>
    <row r="7864">
      <c r="A7864" s="926" t="n">
        <v>42227</v>
      </c>
      <c r="B7864" t="n">
        <v>7.7565</v>
      </c>
      <c r="C7864" t="n">
        <v>1.22</v>
      </c>
    </row>
    <row r="7865">
      <c r="A7865" s="926" t="n">
        <v>42228</v>
      </c>
      <c r="B7865" t="n">
        <v>7.7555</v>
      </c>
      <c r="C7865" t="n">
        <v>1.18175</v>
      </c>
    </row>
    <row r="7866">
      <c r="A7866" s="926" t="n">
        <v>42229</v>
      </c>
      <c r="B7866" t="n">
        <v>7.7515</v>
      </c>
      <c r="C7866" t="n">
        <v>1.2023</v>
      </c>
    </row>
    <row r="7867">
      <c r="A7867" s="926" t="n">
        <v>42230</v>
      </c>
      <c r="B7867" t="n">
        <v>7.7565</v>
      </c>
      <c r="C7867" t="n">
        <v>1.2044</v>
      </c>
    </row>
    <row r="7868">
      <c r="A7868" s="926" t="n">
        <v>42231</v>
      </c>
      <c r="B7868" t="n">
        <v>7.7555</v>
      </c>
      <c r="C7868" t="n">
        <v>1.2016</v>
      </c>
    </row>
    <row r="7869">
      <c r="A7869" s="926" t="n">
        <v>42233</v>
      </c>
      <c r="B7869" t="n">
        <v>7.7545</v>
      </c>
      <c r="C7869" t="n">
        <v>1.20435</v>
      </c>
    </row>
    <row r="7870">
      <c r="A7870" s="926" t="n">
        <v>42234</v>
      </c>
      <c r="B7870" t="n">
        <v>7.7545</v>
      </c>
      <c r="C7870" t="n">
        <v>1.20345</v>
      </c>
    </row>
    <row r="7871">
      <c r="A7871" s="926" t="n">
        <v>42235</v>
      </c>
      <c r="B7871" t="n">
        <v>7.7535</v>
      </c>
      <c r="C7871" t="n">
        <v>1.20445</v>
      </c>
    </row>
    <row r="7872">
      <c r="A7872" s="926" t="n">
        <v>42236</v>
      </c>
      <c r="B7872" t="n">
        <v>7.7515</v>
      </c>
      <c r="C7872" t="n">
        <v>1.2025</v>
      </c>
    </row>
    <row r="7873">
      <c r="A7873" s="926" t="n">
        <v>42237</v>
      </c>
      <c r="B7873" t="n">
        <v>7.7515</v>
      </c>
      <c r="C7873" t="n">
        <v>1.20295</v>
      </c>
    </row>
    <row r="7874">
      <c r="A7874" s="926" t="n">
        <v>42238</v>
      </c>
      <c r="B7874" t="n">
        <v>7.7525</v>
      </c>
      <c r="C7874" t="n">
        <v>1.2001</v>
      </c>
    </row>
    <row r="7875">
      <c r="A7875" s="926" t="n">
        <v>42240</v>
      </c>
      <c r="B7875" t="n">
        <v>7.7535</v>
      </c>
      <c r="C7875" t="n">
        <v>1.1993</v>
      </c>
    </row>
    <row r="7876">
      <c r="A7876" s="926" t="n">
        <v>42241</v>
      </c>
      <c r="B7876" t="n">
        <v>7.7505</v>
      </c>
      <c r="C7876" t="n">
        <v>1.1963</v>
      </c>
    </row>
    <row r="7877">
      <c r="A7877" s="926" t="n">
        <v>42242</v>
      </c>
      <c r="B7877" t="n">
        <v>7.7505</v>
      </c>
      <c r="C7877" t="n">
        <v>1.1942</v>
      </c>
    </row>
    <row r="7878">
      <c r="A7878" s="926" t="n">
        <v>42243</v>
      </c>
      <c r="B7878" t="n">
        <v>7.7505</v>
      </c>
      <c r="C7878" t="n">
        <v>1.1964</v>
      </c>
    </row>
    <row r="7879">
      <c r="A7879" s="926" t="n">
        <v>42244</v>
      </c>
      <c r="B7879" t="n">
        <v>7.7495</v>
      </c>
      <c r="C7879" t="n">
        <v>1.2007</v>
      </c>
    </row>
    <row r="7880">
      <c r="A7880" s="926" t="n">
        <v>42245</v>
      </c>
      <c r="B7880" t="n">
        <v>7.7485</v>
      </c>
      <c r="C7880" t="n">
        <v>1.1994</v>
      </c>
    </row>
    <row r="7881">
      <c r="A7881" s="926" t="n">
        <v>42247</v>
      </c>
      <c r="B7881" t="n">
        <v>7.7505</v>
      </c>
      <c r="C7881" t="n">
        <v>1.203</v>
      </c>
    </row>
    <row r="7882">
      <c r="A7882" s="926" t="n">
        <v>42248</v>
      </c>
      <c r="B7882" t="n">
        <v>7.7495</v>
      </c>
      <c r="C7882" t="n">
        <v>1.20725</v>
      </c>
    </row>
    <row r="7883">
      <c r="A7883" s="926" t="n">
        <v>42249</v>
      </c>
      <c r="B7883" t="n">
        <v>7.7495</v>
      </c>
      <c r="C7883" t="n">
        <v>1.2032</v>
      </c>
    </row>
    <row r="7884">
      <c r="A7884" s="926" t="n">
        <v>42251</v>
      </c>
      <c r="B7884" t="n">
        <v>7.7495</v>
      </c>
      <c r="C7884" t="n">
        <v>1.20085</v>
      </c>
    </row>
    <row r="7885">
      <c r="A7885" s="926" t="n">
        <v>42252</v>
      </c>
      <c r="B7885" t="n">
        <v>7.7495</v>
      </c>
      <c r="C7885" t="n">
        <v>1.198</v>
      </c>
    </row>
    <row r="7886">
      <c r="A7886" s="926" t="n">
        <v>42254</v>
      </c>
      <c r="B7886" t="n">
        <v>7.7495</v>
      </c>
      <c r="C7886" t="n">
        <v>1.1994</v>
      </c>
    </row>
    <row r="7887">
      <c r="A7887" s="926" t="n">
        <v>42255</v>
      </c>
      <c r="B7887" t="n">
        <v>7.7495</v>
      </c>
      <c r="C7887" t="n">
        <v>1.1997</v>
      </c>
    </row>
    <row r="7888">
      <c r="A7888" s="926" t="n">
        <v>42256</v>
      </c>
      <c r="B7888" t="n">
        <v>7.7505</v>
      </c>
      <c r="C7888" t="n">
        <v>1.1977</v>
      </c>
    </row>
    <row r="7889">
      <c r="A7889" s="926" t="n">
        <v>42257</v>
      </c>
      <c r="B7889" t="n">
        <v>7.7505</v>
      </c>
      <c r="C7889" t="n">
        <v>1.2083</v>
      </c>
    </row>
    <row r="7890">
      <c r="A7890" s="926" t="n">
        <v>42258</v>
      </c>
      <c r="B7890" t="n">
        <v>7.7495</v>
      </c>
      <c r="C7890" t="n">
        <v>1.20905</v>
      </c>
    </row>
    <row r="7891">
      <c r="A7891" s="926" t="n">
        <v>42259</v>
      </c>
      <c r="B7891" t="n">
        <v>7.7495</v>
      </c>
      <c r="C7891" t="n">
        <v>1.20885</v>
      </c>
    </row>
    <row r="7892">
      <c r="A7892" s="926" t="n">
        <v>42261</v>
      </c>
      <c r="B7892" t="n">
        <v>7.7495</v>
      </c>
      <c r="C7892" t="n">
        <v>1.21025</v>
      </c>
    </row>
    <row r="7893">
      <c r="A7893" s="926" t="n">
        <v>42262</v>
      </c>
      <c r="B7893" t="n">
        <v>7.7495</v>
      </c>
      <c r="C7893" t="n">
        <v>1.21055</v>
      </c>
    </row>
    <row r="7894">
      <c r="A7894" s="926" t="n">
        <v>42263</v>
      </c>
      <c r="B7894" t="n">
        <v>7.7495</v>
      </c>
      <c r="C7894" t="n">
        <v>1.21045</v>
      </c>
    </row>
    <row r="7895">
      <c r="A7895" s="926" t="n">
        <v>42264</v>
      </c>
      <c r="B7895" t="n">
        <v>7.7495</v>
      </c>
      <c r="C7895" t="n">
        <v>1.21025</v>
      </c>
    </row>
    <row r="7896">
      <c r="A7896" s="926" t="n">
        <v>42265</v>
      </c>
      <c r="B7896" t="n">
        <v>7.7495</v>
      </c>
      <c r="C7896" t="n">
        <v>1.21215</v>
      </c>
    </row>
    <row r="7897">
      <c r="A7897" s="926" t="n">
        <v>42266</v>
      </c>
      <c r="B7897" t="n">
        <v>7.7485</v>
      </c>
      <c r="C7897" t="n">
        <v>1.2131</v>
      </c>
    </row>
    <row r="7898">
      <c r="A7898" s="926" t="n">
        <v>42268</v>
      </c>
      <c r="B7898" t="n">
        <v>7.7495</v>
      </c>
      <c r="C7898" t="n">
        <v>1.21025</v>
      </c>
    </row>
    <row r="7899">
      <c r="A7899" s="926" t="n">
        <v>42269</v>
      </c>
      <c r="B7899" t="n">
        <v>7.7495</v>
      </c>
      <c r="C7899" t="n">
        <v>1.21025</v>
      </c>
    </row>
    <row r="7900">
      <c r="A7900" s="926" t="n">
        <v>42270</v>
      </c>
      <c r="B7900" t="n">
        <v>7.7495</v>
      </c>
      <c r="C7900" t="n">
        <v>1.20515</v>
      </c>
    </row>
    <row r="7901">
      <c r="A7901" s="926" t="n">
        <v>42271</v>
      </c>
      <c r="B7901" t="n">
        <v>7.7495</v>
      </c>
      <c r="C7901" t="n">
        <v>1.20515</v>
      </c>
    </row>
    <row r="7902">
      <c r="A7902" s="926" t="n">
        <v>42272</v>
      </c>
      <c r="B7902" t="n">
        <v>7.7495</v>
      </c>
      <c r="C7902" t="n">
        <v>1.20975</v>
      </c>
    </row>
    <row r="7903">
      <c r="A7903" s="926" t="n">
        <v>42273</v>
      </c>
      <c r="B7903" t="n">
        <v>7.7495</v>
      </c>
      <c r="C7903" t="n">
        <v>1.21125</v>
      </c>
    </row>
    <row r="7904">
      <c r="A7904" s="926" t="n">
        <v>42276</v>
      </c>
      <c r="B7904" t="n">
        <v>7.7495</v>
      </c>
      <c r="C7904" t="n">
        <v>1.21635</v>
      </c>
    </row>
    <row r="7905">
      <c r="A7905" s="926" t="n">
        <v>42277</v>
      </c>
      <c r="B7905" t="n">
        <v>7.7495</v>
      </c>
      <c r="C7905" t="n">
        <v>1.2212</v>
      </c>
    </row>
    <row r="7906">
      <c r="A7906" s="926" t="n">
        <v>42279</v>
      </c>
      <c r="B7906" t="n">
        <v>7.7495</v>
      </c>
      <c r="C7906" t="n">
        <v>1.21555</v>
      </c>
    </row>
    <row r="7907">
      <c r="A7907" s="926" t="n">
        <v>42280</v>
      </c>
      <c r="B7907" t="n">
        <v>7.7495</v>
      </c>
      <c r="C7907" t="n">
        <v>1.2181</v>
      </c>
    </row>
    <row r="7908">
      <c r="A7908" s="926" t="n">
        <v>42282</v>
      </c>
      <c r="B7908" t="n">
        <v>7.7495</v>
      </c>
      <c r="C7908" t="n">
        <v>1.2183</v>
      </c>
    </row>
    <row r="7909">
      <c r="A7909" s="926" t="n">
        <v>42283</v>
      </c>
      <c r="B7909" t="n">
        <v>7.7495</v>
      </c>
      <c r="C7909" t="n">
        <v>1.2194</v>
      </c>
    </row>
    <row r="7910">
      <c r="A7910" s="926" t="n">
        <v>42284</v>
      </c>
      <c r="B7910" t="n">
        <v>7.7495</v>
      </c>
      <c r="C7910" t="n">
        <v>1.2226</v>
      </c>
    </row>
    <row r="7911">
      <c r="A7911" s="926" t="n">
        <v>42285</v>
      </c>
      <c r="B7911" t="n">
        <v>7.7495</v>
      </c>
      <c r="C7911" t="n">
        <v>1.21975</v>
      </c>
    </row>
    <row r="7912">
      <c r="A7912" s="926" t="n">
        <v>42286</v>
      </c>
      <c r="B7912" t="n">
        <v>7.7495</v>
      </c>
      <c r="C7912" t="n">
        <v>1.22145</v>
      </c>
    </row>
    <row r="7913">
      <c r="A7913" s="926" t="n">
        <v>42287</v>
      </c>
      <c r="B7913" t="n">
        <v>7.7495</v>
      </c>
      <c r="C7913" t="n">
        <v>1.22205</v>
      </c>
    </row>
    <row r="7914">
      <c r="A7914" s="926" t="n">
        <v>42289</v>
      </c>
      <c r="B7914" t="n">
        <v>7.7495</v>
      </c>
      <c r="C7914" t="n">
        <v>1.2262</v>
      </c>
    </row>
    <row r="7915">
      <c r="A7915" s="926" t="n">
        <v>42290</v>
      </c>
      <c r="B7915" t="n">
        <v>7.7495</v>
      </c>
      <c r="C7915" t="n">
        <v>1.2232</v>
      </c>
    </row>
    <row r="7916">
      <c r="A7916" s="926" t="n">
        <v>42291</v>
      </c>
      <c r="B7916" t="n">
        <v>7.7495</v>
      </c>
      <c r="C7916" t="n">
        <v>1.22095</v>
      </c>
    </row>
    <row r="7917">
      <c r="A7917" s="926" t="n">
        <v>42292</v>
      </c>
      <c r="B7917" t="n">
        <v>7.7495</v>
      </c>
      <c r="C7917" t="n">
        <v>1.221</v>
      </c>
    </row>
    <row r="7918">
      <c r="A7918" s="926" t="n">
        <v>42293</v>
      </c>
      <c r="B7918" t="n">
        <v>7.7495</v>
      </c>
      <c r="C7918" t="n">
        <v>1.21855</v>
      </c>
    </row>
    <row r="7919">
      <c r="A7919" s="926" t="n">
        <v>42294</v>
      </c>
      <c r="B7919" t="n">
        <v>7.7495</v>
      </c>
      <c r="C7919" t="n">
        <v>1.21765</v>
      </c>
    </row>
    <row r="7920">
      <c r="A7920" s="926" t="n">
        <v>42296</v>
      </c>
      <c r="B7920" t="n">
        <v>7.7495</v>
      </c>
      <c r="C7920" t="n">
        <v>1.2164</v>
      </c>
    </row>
    <row r="7921">
      <c r="A7921" s="926" t="n">
        <v>42297</v>
      </c>
      <c r="B7921" t="n">
        <v>7.7495</v>
      </c>
      <c r="C7921" t="n">
        <v>1.21655</v>
      </c>
    </row>
    <row r="7922">
      <c r="A7922" s="926" t="n">
        <v>42299</v>
      </c>
      <c r="B7922" t="n">
        <v>7.7495</v>
      </c>
      <c r="C7922" t="n">
        <v>1.21565</v>
      </c>
    </row>
    <row r="7923">
      <c r="A7923" s="926" t="n">
        <v>42300</v>
      </c>
      <c r="B7923" t="n">
        <v>7.7495</v>
      </c>
      <c r="C7923" t="n">
        <v>1.21285</v>
      </c>
    </row>
    <row r="7924">
      <c r="A7924" s="926" t="n">
        <v>42301</v>
      </c>
      <c r="B7924" t="n">
        <v>7.7495</v>
      </c>
      <c r="C7924" t="n">
        <v>1.21135</v>
      </c>
    </row>
    <row r="7925">
      <c r="A7925" s="926" t="n">
        <v>42303</v>
      </c>
      <c r="B7925" t="n">
        <v>7.7495</v>
      </c>
      <c r="C7925" t="n">
        <v>1.21225</v>
      </c>
    </row>
    <row r="7926">
      <c r="A7926" s="926" t="n">
        <v>42304</v>
      </c>
      <c r="B7926" t="n">
        <v>7.7495</v>
      </c>
      <c r="C7926" t="n">
        <v>1.21325</v>
      </c>
    </row>
    <row r="7927">
      <c r="A7927" s="926" t="n">
        <v>42305</v>
      </c>
      <c r="B7927" t="n">
        <v>7.7495</v>
      </c>
      <c r="C7927" t="n">
        <v>1.21125</v>
      </c>
    </row>
    <row r="7928">
      <c r="A7928" s="926" t="n">
        <v>42306</v>
      </c>
      <c r="B7928" t="n">
        <v>7.7495</v>
      </c>
      <c r="C7928" t="n">
        <v>1.21675</v>
      </c>
    </row>
    <row r="7929">
      <c r="A7929" s="926" t="n">
        <v>42307</v>
      </c>
      <c r="B7929" t="n">
        <v>7.7495</v>
      </c>
      <c r="C7929" t="n">
        <v>1.2256</v>
      </c>
    </row>
    <row r="7930">
      <c r="A7930" s="926" t="n">
        <v>42308</v>
      </c>
      <c r="B7930" t="n">
        <v>7.7495</v>
      </c>
      <c r="C7930" t="n">
        <v>1.2255</v>
      </c>
    </row>
    <row r="7931">
      <c r="A7931" s="926" t="n">
        <v>42310</v>
      </c>
      <c r="B7931" t="n">
        <v>7.7495</v>
      </c>
      <c r="C7931" t="n">
        <v>1.221</v>
      </c>
    </row>
    <row r="7932">
      <c r="A7932" s="926" t="n">
        <v>42311</v>
      </c>
      <c r="B7932" t="n">
        <v>7.7495</v>
      </c>
      <c r="C7932" t="n">
        <v>1.2217</v>
      </c>
    </row>
    <row r="7933">
      <c r="A7933" s="926" t="n">
        <v>42312</v>
      </c>
      <c r="B7933" t="n">
        <v>7.7505</v>
      </c>
      <c r="C7933" t="n">
        <v>1.22115</v>
      </c>
    </row>
    <row r="7934">
      <c r="A7934" s="926" t="n">
        <v>42313</v>
      </c>
      <c r="B7934" t="n">
        <v>7.7505</v>
      </c>
      <c r="C7934" t="n">
        <v>1.2173</v>
      </c>
    </row>
    <row r="7935">
      <c r="A7935" s="926" t="n">
        <v>42314</v>
      </c>
      <c r="B7935" t="n">
        <v>7.7505</v>
      </c>
      <c r="C7935" t="n">
        <v>1.21695</v>
      </c>
    </row>
    <row r="7936">
      <c r="A7936" s="926" t="n">
        <v>42315</v>
      </c>
      <c r="B7936" t="n">
        <v>7.7495</v>
      </c>
      <c r="C7936" t="n">
        <v>1.2124</v>
      </c>
    </row>
    <row r="7937">
      <c r="A7937" s="926" t="n">
        <v>42317</v>
      </c>
      <c r="B7937" t="n">
        <v>7.7505</v>
      </c>
      <c r="C7937" t="n">
        <v>1.21315</v>
      </c>
    </row>
    <row r="7938">
      <c r="A7938" s="926" t="n">
        <v>42318</v>
      </c>
      <c r="B7938" t="n">
        <v>7.7505</v>
      </c>
      <c r="C7938" t="n">
        <v>1.21315</v>
      </c>
    </row>
    <row r="7939">
      <c r="A7939" s="926" t="n">
        <v>42319</v>
      </c>
      <c r="B7939" t="n">
        <v>7.7505</v>
      </c>
      <c r="C7939" t="n">
        <v>1.21285</v>
      </c>
    </row>
    <row r="7940">
      <c r="A7940" s="926" t="n">
        <v>42320</v>
      </c>
      <c r="B7940" t="n">
        <v>7.7495</v>
      </c>
      <c r="C7940" t="n">
        <v>1.21235</v>
      </c>
    </row>
    <row r="7941">
      <c r="A7941" s="926" t="n">
        <v>42321</v>
      </c>
      <c r="B7941" t="n">
        <v>7.7495</v>
      </c>
      <c r="C7941" t="n">
        <v>1.20965</v>
      </c>
    </row>
    <row r="7942">
      <c r="A7942" s="926" t="n">
        <v>42322</v>
      </c>
      <c r="B7942" t="n">
        <v>7.7505</v>
      </c>
      <c r="C7942" t="n">
        <v>1.21005</v>
      </c>
    </row>
    <row r="7943">
      <c r="A7943" s="926" t="n">
        <v>42324</v>
      </c>
      <c r="B7943" t="n">
        <v>7.7505</v>
      </c>
      <c r="C7943" t="n">
        <v>1.21315</v>
      </c>
    </row>
    <row r="7944">
      <c r="A7944" s="926" t="n">
        <v>42325</v>
      </c>
      <c r="B7944" t="n">
        <v>7.7495</v>
      </c>
      <c r="C7944" t="n">
        <v>1.21095</v>
      </c>
    </row>
    <row r="7945">
      <c r="A7945" s="926" t="n">
        <v>42326</v>
      </c>
      <c r="B7945" t="n">
        <v>7.7505</v>
      </c>
      <c r="C7945" t="n">
        <v>1.20885</v>
      </c>
    </row>
    <row r="7946">
      <c r="A7946" s="926" t="n">
        <v>42327</v>
      </c>
      <c r="B7946" t="n">
        <v>7.7495</v>
      </c>
      <c r="C7946" t="n">
        <v>1.20915</v>
      </c>
    </row>
    <row r="7947">
      <c r="A7947" s="926" t="n">
        <v>42328</v>
      </c>
      <c r="B7947" t="n">
        <v>7.7495</v>
      </c>
      <c r="C7947" t="n">
        <v>1.20885</v>
      </c>
    </row>
    <row r="7948">
      <c r="A7948" s="926" t="n">
        <v>42329</v>
      </c>
      <c r="B7948" t="n">
        <v>7.7495</v>
      </c>
      <c r="C7948" t="n">
        <v>1.20735</v>
      </c>
    </row>
    <row r="7949">
      <c r="A7949" s="926" t="n">
        <v>42331</v>
      </c>
      <c r="B7949" t="n">
        <v>7.7495</v>
      </c>
      <c r="C7949" t="n">
        <v>1.20515</v>
      </c>
    </row>
    <row r="7950">
      <c r="A7950" s="926" t="n">
        <v>42332</v>
      </c>
      <c r="B7950" t="n">
        <v>7.7495</v>
      </c>
      <c r="C7950" t="n">
        <v>1.2057</v>
      </c>
    </row>
    <row r="7951">
      <c r="A7951" s="926" t="n">
        <v>42333</v>
      </c>
      <c r="B7951" t="n">
        <v>7.7495</v>
      </c>
      <c r="C7951" t="n">
        <v>1.20745</v>
      </c>
    </row>
    <row r="7952">
      <c r="A7952" s="926" t="n">
        <v>42334</v>
      </c>
      <c r="B7952" t="n">
        <v>7.7495</v>
      </c>
      <c r="C7952" t="n">
        <v>1.20495</v>
      </c>
    </row>
    <row r="7953">
      <c r="A7953" s="926" t="n">
        <v>42335</v>
      </c>
      <c r="B7953" t="n">
        <v>7.7495</v>
      </c>
      <c r="C7953" t="n">
        <v>1.20215</v>
      </c>
    </row>
    <row r="7954">
      <c r="A7954" s="926" t="n">
        <v>42336</v>
      </c>
      <c r="B7954" t="n">
        <v>7.7495</v>
      </c>
      <c r="C7954" t="n">
        <v>1.2015</v>
      </c>
    </row>
    <row r="7955">
      <c r="A7955" s="926" t="n">
        <v>42338</v>
      </c>
      <c r="B7955" t="n">
        <v>7.7495</v>
      </c>
      <c r="C7955" t="n">
        <v>1.20535</v>
      </c>
    </row>
    <row r="7956">
      <c r="A7956" s="926" t="n">
        <v>42339</v>
      </c>
      <c r="B7956" t="n">
        <v>7.7515</v>
      </c>
      <c r="C7956" t="n">
        <v>1.20345</v>
      </c>
    </row>
    <row r="7957">
      <c r="A7957" s="926" t="n">
        <v>42340</v>
      </c>
      <c r="B7957" t="n">
        <v>7.7495</v>
      </c>
      <c r="C7957" t="n">
        <v>1.2037</v>
      </c>
    </row>
    <row r="7958">
      <c r="A7958" s="926" t="n">
        <v>42341</v>
      </c>
      <c r="B7958" t="n">
        <v>7.7495</v>
      </c>
      <c r="C7958" t="n">
        <v>1.20205</v>
      </c>
    </row>
    <row r="7959">
      <c r="A7959" s="926" t="n">
        <v>42342</v>
      </c>
      <c r="B7959" t="n">
        <v>7.7495</v>
      </c>
      <c r="C7959" t="n">
        <v>1.2051</v>
      </c>
    </row>
    <row r="7960">
      <c r="A7960" s="926" t="n">
        <v>42343</v>
      </c>
      <c r="B7960" t="n">
        <v>7.7495</v>
      </c>
      <c r="C7960" t="n">
        <v>1.2017</v>
      </c>
    </row>
    <row r="7961">
      <c r="A7961" s="926" t="n">
        <v>42345</v>
      </c>
      <c r="B7961" t="n">
        <v>7.7495</v>
      </c>
      <c r="C7961" t="n">
        <v>1.19945</v>
      </c>
    </row>
    <row r="7962">
      <c r="A7962" s="926" t="n">
        <v>42346</v>
      </c>
      <c r="B7962" t="n">
        <v>7.7495</v>
      </c>
      <c r="C7962" t="n">
        <v>1.1953</v>
      </c>
    </row>
    <row r="7963">
      <c r="A7963" s="926" t="n">
        <v>42347</v>
      </c>
      <c r="B7963" t="n">
        <v>7.7495</v>
      </c>
      <c r="C7963" t="n">
        <v>1.1942</v>
      </c>
    </row>
    <row r="7964">
      <c r="A7964" s="926" t="n">
        <v>42348</v>
      </c>
      <c r="B7964" t="n">
        <v>7.7505</v>
      </c>
      <c r="C7964" t="n">
        <v>1.18955</v>
      </c>
    </row>
    <row r="7965">
      <c r="A7965" s="926" t="n">
        <v>42349</v>
      </c>
      <c r="B7965" t="n">
        <v>7.7495</v>
      </c>
      <c r="C7965" t="n">
        <v>1.1877</v>
      </c>
    </row>
    <row r="7966">
      <c r="A7966" s="926" t="n">
        <v>42350</v>
      </c>
      <c r="B7966" t="n">
        <v>7.7495</v>
      </c>
      <c r="C7966" t="n">
        <v>1.18605</v>
      </c>
    </row>
    <row r="7967">
      <c r="A7967" s="926" t="n">
        <v>42352</v>
      </c>
      <c r="B7967" t="n">
        <v>7.7495</v>
      </c>
      <c r="C7967" t="n">
        <v>1.18315</v>
      </c>
    </row>
    <row r="7968">
      <c r="A7968" s="926" t="n">
        <v>42353</v>
      </c>
      <c r="B7968" t="n">
        <v>7.7495</v>
      </c>
      <c r="C7968" t="n">
        <v>1.1854</v>
      </c>
    </row>
    <row r="7969">
      <c r="A7969" s="926" t="n">
        <v>42354</v>
      </c>
      <c r="B7969" t="n">
        <v>7.7495</v>
      </c>
      <c r="C7969" t="n">
        <v>1.18795</v>
      </c>
    </row>
    <row r="7970">
      <c r="A7970" s="926" t="n">
        <v>42355</v>
      </c>
      <c r="B7970" t="n">
        <v>7.7505</v>
      </c>
      <c r="C7970" t="n">
        <v>1.1839</v>
      </c>
    </row>
    <row r="7971">
      <c r="A7971" s="926" t="n">
        <v>42356</v>
      </c>
      <c r="B7971" t="n">
        <v>7.7515</v>
      </c>
      <c r="C7971" t="n">
        <v>1.18175</v>
      </c>
    </row>
    <row r="7972">
      <c r="A7972" s="926" t="n">
        <v>42357</v>
      </c>
      <c r="B7972" t="n">
        <v>7.7525</v>
      </c>
      <c r="C7972" t="n">
        <v>1.1828</v>
      </c>
    </row>
    <row r="7973">
      <c r="A7973" s="926" t="n">
        <v>42359</v>
      </c>
      <c r="B7973" t="n">
        <v>7.7515</v>
      </c>
      <c r="C7973" t="n">
        <v>1.18355</v>
      </c>
    </row>
    <row r="7974">
      <c r="A7974" s="926" t="n">
        <v>42360</v>
      </c>
      <c r="B7974" t="n">
        <v>7.7525</v>
      </c>
      <c r="C7974" t="n">
        <v>1.18585</v>
      </c>
    </row>
    <row r="7975">
      <c r="A7975" s="926" t="n">
        <v>42361</v>
      </c>
      <c r="B7975" t="n">
        <v>7.7505</v>
      </c>
      <c r="C7975" t="n">
        <v>1.1858</v>
      </c>
    </row>
    <row r="7976">
      <c r="A7976" s="926" t="n">
        <v>42362</v>
      </c>
      <c r="B7976" t="n">
        <v>7.7505</v>
      </c>
      <c r="C7976" t="n">
        <v>1.1851</v>
      </c>
    </row>
    <row r="7977">
      <c r="A7977" s="926" t="n">
        <v>42366</v>
      </c>
      <c r="B7977" t="n">
        <v>7.7505</v>
      </c>
      <c r="C7977" t="n">
        <v>1.1841</v>
      </c>
    </row>
    <row r="7978">
      <c r="A7978" s="926" t="n">
        <v>42367</v>
      </c>
      <c r="B7978" t="n">
        <v>7.7495</v>
      </c>
      <c r="C7978" t="n">
        <v>1.17895</v>
      </c>
    </row>
    <row r="7979">
      <c r="A7979" s="926" t="n">
        <v>42368</v>
      </c>
      <c r="B7979" t="n">
        <v>7.7495</v>
      </c>
      <c r="C7979" t="n">
        <v>1.1739</v>
      </c>
    </row>
    <row r="7980">
      <c r="A7980" s="926" t="n">
        <v>42369</v>
      </c>
      <c r="B7980" t="n">
        <v>7.7505</v>
      </c>
      <c r="C7980" t="n">
        <v>1.17605</v>
      </c>
    </row>
    <row r="7981">
      <c r="A7981" s="926" t="n">
        <v>42371</v>
      </c>
      <c r="B7981" t="n">
        <v>7.7495</v>
      </c>
      <c r="C7981" t="n">
        <v>1.17995</v>
      </c>
    </row>
    <row r="7982">
      <c r="A7982" s="926" t="n">
        <v>42373</v>
      </c>
      <c r="B7982" t="n">
        <v>7.7505</v>
      </c>
      <c r="C7982" t="n">
        <v>1.1727</v>
      </c>
    </row>
    <row r="7983">
      <c r="A7983" s="926" t="n">
        <v>42374</v>
      </c>
      <c r="B7983" t="n">
        <v>7.7505</v>
      </c>
      <c r="C7983" t="n">
        <v>1.16775</v>
      </c>
    </row>
    <row r="7984">
      <c r="A7984" s="926" t="n">
        <v>42375</v>
      </c>
      <c r="B7984" t="n">
        <v>7.7515</v>
      </c>
      <c r="C7984" t="n">
        <v>1.1579</v>
      </c>
    </row>
    <row r="7985">
      <c r="A7985" s="926" t="n">
        <v>42376</v>
      </c>
      <c r="B7985" t="n">
        <v>7.7515</v>
      </c>
      <c r="C7985" t="n">
        <v>1.1595</v>
      </c>
    </row>
    <row r="7986">
      <c r="A7986" s="926" t="n">
        <v>42377</v>
      </c>
      <c r="B7986" t="n">
        <v>7.7565</v>
      </c>
      <c r="C7986" t="n">
        <v>1.1602</v>
      </c>
    </row>
    <row r="7987">
      <c r="A7987" s="926" t="n">
        <v>42378</v>
      </c>
      <c r="B7987" t="n">
        <v>7.7635</v>
      </c>
      <c r="C7987" t="n">
        <v>1.16145</v>
      </c>
    </row>
    <row r="7988">
      <c r="A7988" s="926" t="n">
        <v>42380</v>
      </c>
      <c r="B7988" t="n">
        <v>7.7605</v>
      </c>
      <c r="C7988" t="n">
        <v>1.1655</v>
      </c>
    </row>
    <row r="7989">
      <c r="A7989" s="926" t="n">
        <v>42381</v>
      </c>
      <c r="B7989" t="n">
        <v>7.7575</v>
      </c>
      <c r="C7989" t="n">
        <v>1.17795</v>
      </c>
    </row>
    <row r="7990">
      <c r="A7990" s="926" t="n">
        <v>42382</v>
      </c>
      <c r="B7990" t="n">
        <v>7.7585</v>
      </c>
      <c r="C7990" t="n">
        <v>1.17985</v>
      </c>
    </row>
    <row r="7991">
      <c r="A7991" s="926" t="n">
        <v>42383</v>
      </c>
      <c r="B7991" t="n">
        <v>7.7695</v>
      </c>
      <c r="C7991" t="n">
        <v>1.17715</v>
      </c>
    </row>
    <row r="7992">
      <c r="A7992" s="926" t="n">
        <v>42384</v>
      </c>
      <c r="B7992" t="n">
        <v>7.7985</v>
      </c>
      <c r="C7992" t="n">
        <v>1.1787</v>
      </c>
    </row>
    <row r="7993">
      <c r="A7993" s="926" t="n">
        <v>42385</v>
      </c>
      <c r="B7993" t="n">
        <v>7.7895</v>
      </c>
      <c r="C7993" t="n">
        <v>1.17695</v>
      </c>
    </row>
    <row r="7994">
      <c r="A7994" s="926" t="n">
        <v>42387</v>
      </c>
      <c r="B7994" t="n">
        <v>7.7965</v>
      </c>
      <c r="C7994" t="n">
        <v>1.18385</v>
      </c>
    </row>
    <row r="7995">
      <c r="A7995" s="926" t="n">
        <v>42388</v>
      </c>
      <c r="B7995" t="n">
        <v>7.8075</v>
      </c>
      <c r="C7995" t="n">
        <v>1.18305</v>
      </c>
    </row>
    <row r="7996">
      <c r="A7996" s="926" t="n">
        <v>42389</v>
      </c>
      <c r="B7996" t="n">
        <v>7.8205</v>
      </c>
      <c r="C7996" t="n">
        <v>1.18495</v>
      </c>
    </row>
    <row r="7997">
      <c r="A7997" s="926" t="n">
        <v>42390</v>
      </c>
      <c r="B7997" t="n">
        <v>7.8165</v>
      </c>
      <c r="C7997" t="n">
        <v>1.18245</v>
      </c>
    </row>
    <row r="7998">
      <c r="A7998" s="926" t="n">
        <v>42391</v>
      </c>
      <c r="B7998" t="n">
        <v>7.7935</v>
      </c>
      <c r="C7998" t="n">
        <v>1.17995</v>
      </c>
    </row>
    <row r="7999">
      <c r="A7999" s="926" t="n">
        <v>42392</v>
      </c>
      <c r="B7999" t="n">
        <v>7.7905</v>
      </c>
      <c r="C7999" t="n">
        <v>1.17715</v>
      </c>
    </row>
    <row r="8000">
      <c r="A8000" s="926" t="n">
        <v>42394</v>
      </c>
      <c r="B8000" t="n">
        <v>7.7885</v>
      </c>
      <c r="C8000" t="n">
        <v>1.17815</v>
      </c>
    </row>
    <row r="8001">
      <c r="A8001" s="926" t="n">
        <v>42395</v>
      </c>
      <c r="B8001" t="n">
        <v>7.7935</v>
      </c>
      <c r="C8001" t="n">
        <v>1.17905</v>
      </c>
    </row>
    <row r="8002">
      <c r="A8002" s="926" t="n">
        <v>42396</v>
      </c>
      <c r="B8002" t="n">
        <v>7.7855</v>
      </c>
      <c r="C8002" t="n">
        <v>1.17765</v>
      </c>
    </row>
    <row r="8003">
      <c r="A8003" s="926" t="n">
        <v>42397</v>
      </c>
      <c r="B8003" t="n">
        <v>7.7915</v>
      </c>
      <c r="C8003" t="n">
        <v>1.17855</v>
      </c>
    </row>
    <row r="8004">
      <c r="A8004" s="926" t="n">
        <v>42398</v>
      </c>
      <c r="B8004" t="n">
        <v>7.7895</v>
      </c>
      <c r="C8004" t="n">
        <v>1.17715</v>
      </c>
    </row>
    <row r="8005">
      <c r="A8005" s="926" t="n">
        <v>42399</v>
      </c>
      <c r="B8005" t="n">
        <v>7.7785</v>
      </c>
      <c r="C8005" t="n">
        <v>1.1804</v>
      </c>
    </row>
    <row r="8006">
      <c r="A8006" s="926" t="n">
        <v>42401</v>
      </c>
      <c r="B8006" t="n">
        <v>7.7835</v>
      </c>
      <c r="C8006" t="n">
        <v>1.17855</v>
      </c>
    </row>
    <row r="8007">
      <c r="A8007" s="926" t="n">
        <v>42402</v>
      </c>
      <c r="B8007" t="n">
        <v>7.7775</v>
      </c>
      <c r="C8007" t="n">
        <v>1.175</v>
      </c>
    </row>
    <row r="8008">
      <c r="A8008" s="926" t="n">
        <v>42403</v>
      </c>
      <c r="B8008" t="n">
        <v>7.7965</v>
      </c>
      <c r="C8008" t="n">
        <v>1.1741</v>
      </c>
    </row>
    <row r="8009">
      <c r="A8009" s="926" t="n">
        <v>42404</v>
      </c>
      <c r="B8009" t="n">
        <v>7.7875</v>
      </c>
      <c r="C8009" t="n">
        <v>1.17695</v>
      </c>
    </row>
    <row r="8010">
      <c r="A8010" s="926" t="n">
        <v>42405</v>
      </c>
      <c r="B8010" t="n">
        <v>7.7915</v>
      </c>
      <c r="C8010" t="n">
        <v>1.1845</v>
      </c>
    </row>
    <row r="8011">
      <c r="A8011" s="926" t="n">
        <v>42406</v>
      </c>
      <c r="B8011" t="n">
        <v>7.7895</v>
      </c>
      <c r="C8011" t="n">
        <v>1.1851</v>
      </c>
    </row>
    <row r="8012">
      <c r="A8012" s="926" t="n">
        <v>42411</v>
      </c>
      <c r="B8012" t="n">
        <v>7.7845</v>
      </c>
      <c r="C8012" t="n">
        <v>1.1909</v>
      </c>
    </row>
    <row r="8013">
      <c r="A8013" s="926" t="n">
        <v>42412</v>
      </c>
      <c r="B8013" t="n">
        <v>7.7875</v>
      </c>
      <c r="C8013" t="n">
        <v>1.19145</v>
      </c>
    </row>
    <row r="8014">
      <c r="A8014" s="926" t="n">
        <v>42413</v>
      </c>
      <c r="B8014" t="n">
        <v>7.7885</v>
      </c>
      <c r="C8014" t="n">
        <v>1.19645</v>
      </c>
    </row>
    <row r="8015">
      <c r="A8015" s="926" t="n">
        <v>42415</v>
      </c>
      <c r="B8015" t="n">
        <v>7.7835</v>
      </c>
      <c r="C8015" t="n">
        <v>1.19795</v>
      </c>
    </row>
    <row r="8016">
      <c r="A8016" s="926" t="n">
        <v>42416</v>
      </c>
      <c r="B8016" t="n">
        <v>7.7875</v>
      </c>
      <c r="C8016" t="n">
        <v>1.19535</v>
      </c>
    </row>
    <row r="8017">
      <c r="A8017" s="926" t="n">
        <v>42417</v>
      </c>
      <c r="B8017" t="n">
        <v>7.7885</v>
      </c>
      <c r="C8017" t="n">
        <v>1.1932</v>
      </c>
    </row>
    <row r="8018">
      <c r="A8018" s="926" t="n">
        <v>42418</v>
      </c>
      <c r="B8018" t="n">
        <v>7.7845</v>
      </c>
      <c r="C8018" t="n">
        <v>1.1935</v>
      </c>
    </row>
    <row r="8019">
      <c r="A8019" s="926" t="n">
        <v>42419</v>
      </c>
      <c r="B8019" t="n">
        <v>7.7755</v>
      </c>
      <c r="C8019" t="n">
        <v>1.19185</v>
      </c>
    </row>
    <row r="8020">
      <c r="A8020" s="926" t="n">
        <v>42420</v>
      </c>
      <c r="B8020" t="n">
        <v>7.7725</v>
      </c>
      <c r="C8020" t="n">
        <v>1.1909</v>
      </c>
    </row>
    <row r="8021">
      <c r="A8021" s="926" t="n">
        <v>42422</v>
      </c>
      <c r="B8021" t="n">
        <v>7.7725</v>
      </c>
      <c r="C8021" t="n">
        <v>1.1915</v>
      </c>
    </row>
    <row r="8022">
      <c r="A8022" s="926" t="n">
        <v>42423</v>
      </c>
      <c r="B8022" t="n">
        <v>7.7675</v>
      </c>
      <c r="C8022" t="n">
        <v>1.1884</v>
      </c>
    </row>
    <row r="8023">
      <c r="A8023" s="926" t="n">
        <v>42424</v>
      </c>
      <c r="B8023" t="n">
        <v>7.7685</v>
      </c>
      <c r="C8023" t="n">
        <v>1.1886</v>
      </c>
    </row>
    <row r="8024">
      <c r="A8024" s="926" t="n">
        <v>42425</v>
      </c>
      <c r="B8024" t="n">
        <v>7.7695</v>
      </c>
      <c r="C8024" t="n">
        <v>1.188</v>
      </c>
    </row>
    <row r="8025">
      <c r="A8025" s="926" t="n">
        <v>42426</v>
      </c>
      <c r="B8025" t="n">
        <v>7.7685</v>
      </c>
      <c r="C8025" t="n">
        <v>1.1882</v>
      </c>
    </row>
    <row r="8026">
      <c r="A8026" s="926" t="n">
        <v>42427</v>
      </c>
      <c r="B8026" t="n">
        <v>7.7735</v>
      </c>
      <c r="C8026" t="n">
        <v>1.187</v>
      </c>
    </row>
    <row r="8027">
      <c r="A8027" s="926" t="n">
        <v>42429</v>
      </c>
      <c r="B8027" t="n">
        <v>7.7755</v>
      </c>
      <c r="C8027" t="n">
        <v>1.1871</v>
      </c>
    </row>
    <row r="8028">
      <c r="A8028" s="926" t="n">
        <v>42430</v>
      </c>
      <c r="B8028" t="n">
        <v>7.7715</v>
      </c>
      <c r="C8028" t="n">
        <v>1.18765</v>
      </c>
    </row>
    <row r="8029">
      <c r="A8029" s="926" t="n">
        <v>42431</v>
      </c>
      <c r="B8029" t="n">
        <v>7.7755</v>
      </c>
      <c r="C8029" t="n">
        <v>1.1866</v>
      </c>
    </row>
    <row r="8030">
      <c r="A8030" s="926" t="n">
        <v>42432</v>
      </c>
      <c r="B8030" t="n">
        <v>7.7735</v>
      </c>
      <c r="C8030" t="n">
        <v>1.18775</v>
      </c>
    </row>
    <row r="8031">
      <c r="A8031" s="926" t="n">
        <v>42433</v>
      </c>
      <c r="B8031" t="n">
        <v>7.7685</v>
      </c>
      <c r="C8031" t="n">
        <v>1.19215</v>
      </c>
    </row>
    <row r="8032">
      <c r="A8032" s="926" t="n">
        <v>42434</v>
      </c>
      <c r="B8032" t="n">
        <v>7.7625</v>
      </c>
      <c r="C8032" t="n">
        <v>1.19395</v>
      </c>
    </row>
    <row r="8033">
      <c r="A8033" s="926" t="n">
        <v>42436</v>
      </c>
      <c r="B8033" t="n">
        <v>7.7665</v>
      </c>
      <c r="C8033" t="n">
        <v>1.1921</v>
      </c>
    </row>
    <row r="8034">
      <c r="A8034" s="926" t="n">
        <v>42437</v>
      </c>
      <c r="B8034" t="n">
        <v>7.7655</v>
      </c>
      <c r="C8034" t="n">
        <v>1.1931</v>
      </c>
    </row>
    <row r="8035">
      <c r="A8035" s="926" t="n">
        <v>42438</v>
      </c>
      <c r="B8035" t="n">
        <v>7.7665</v>
      </c>
      <c r="C8035" t="n">
        <v>1.1914</v>
      </c>
    </row>
    <row r="8036">
      <c r="A8036" s="926" t="n">
        <v>42439</v>
      </c>
      <c r="B8036" t="n">
        <v>7.7645</v>
      </c>
      <c r="C8036" t="n">
        <v>1.1912</v>
      </c>
    </row>
    <row r="8037">
      <c r="A8037" s="926" t="n">
        <v>42440</v>
      </c>
      <c r="B8037" t="n">
        <v>7.7615</v>
      </c>
      <c r="C8037" t="n">
        <v>1.195</v>
      </c>
    </row>
    <row r="8038">
      <c r="A8038" s="926" t="n">
        <v>42441</v>
      </c>
      <c r="B8038" t="n">
        <v>7.7575</v>
      </c>
      <c r="C8038" t="n">
        <v>1.19735</v>
      </c>
    </row>
    <row r="8039">
      <c r="A8039" s="926" t="n">
        <v>42443</v>
      </c>
      <c r="B8039" t="n">
        <v>7.7585</v>
      </c>
      <c r="C8039" t="n">
        <v>1.1952</v>
      </c>
    </row>
    <row r="8040">
      <c r="A8040" s="926" t="n">
        <v>42444</v>
      </c>
      <c r="B8040" t="n">
        <v>7.7605</v>
      </c>
      <c r="C8040" t="n">
        <v>1.1932</v>
      </c>
    </row>
    <row r="8041">
      <c r="A8041" s="926" t="n">
        <v>42445</v>
      </c>
      <c r="B8041" t="n">
        <v>7.7615</v>
      </c>
      <c r="C8041" t="n">
        <v>1.1903</v>
      </c>
    </row>
    <row r="8042">
      <c r="A8042" s="926" t="n">
        <v>42446</v>
      </c>
      <c r="B8042" t="n">
        <v>7.7575</v>
      </c>
      <c r="C8042" t="n">
        <v>1.1946</v>
      </c>
    </row>
    <row r="8043">
      <c r="A8043" s="926" t="n">
        <v>42447</v>
      </c>
      <c r="B8043" t="n">
        <v>7.7555</v>
      </c>
      <c r="C8043" t="n">
        <v>1.19895</v>
      </c>
    </row>
    <row r="8044">
      <c r="A8044" s="926" t="n">
        <v>42448</v>
      </c>
      <c r="B8044" t="n">
        <v>7.7545</v>
      </c>
      <c r="C8044" t="n">
        <v>1.1995</v>
      </c>
    </row>
    <row r="8045">
      <c r="A8045" s="926" t="n">
        <v>42450</v>
      </c>
      <c r="B8045" t="n">
        <v>7.7545</v>
      </c>
      <c r="C8045" t="n">
        <v>1.19605</v>
      </c>
    </row>
    <row r="8046">
      <c r="A8046" s="926" t="n">
        <v>42451</v>
      </c>
      <c r="B8046" t="n">
        <v>7.7535</v>
      </c>
      <c r="C8046" t="n">
        <v>1.195</v>
      </c>
    </row>
    <row r="8047">
      <c r="A8047" s="926" t="n">
        <v>42452</v>
      </c>
      <c r="B8047" t="n">
        <v>7.7555</v>
      </c>
      <c r="C8047" t="n">
        <v>1.193</v>
      </c>
    </row>
    <row r="8048">
      <c r="A8048" s="926" t="n">
        <v>42453</v>
      </c>
      <c r="B8048" t="n">
        <v>7.7575</v>
      </c>
      <c r="C8048" t="n">
        <v>1.1898</v>
      </c>
    </row>
    <row r="8049">
      <c r="A8049" s="926" t="n">
        <v>42458</v>
      </c>
      <c r="B8049" t="n">
        <v>7.7565</v>
      </c>
      <c r="C8049" t="n">
        <v>1.1902</v>
      </c>
    </row>
    <row r="8050">
      <c r="A8050" s="926" t="n">
        <v>42459</v>
      </c>
      <c r="B8050" t="n">
        <v>7.7535</v>
      </c>
      <c r="C8050" t="n">
        <v>1.1957</v>
      </c>
    </row>
    <row r="8051">
      <c r="A8051" s="926" t="n">
        <v>42460</v>
      </c>
      <c r="B8051" t="n">
        <v>7.7535</v>
      </c>
      <c r="C8051" t="n">
        <v>1.1979</v>
      </c>
    </row>
    <row r="8052">
      <c r="A8052" s="926" t="n">
        <v>42461</v>
      </c>
      <c r="B8052" t="n">
        <v>7.7545</v>
      </c>
      <c r="C8052" t="n">
        <v>1.1982</v>
      </c>
    </row>
    <row r="8053">
      <c r="A8053" s="926" t="n">
        <v>42462</v>
      </c>
      <c r="B8053" t="n">
        <v>7.7555</v>
      </c>
      <c r="C8053" t="n">
        <v>1.1976</v>
      </c>
    </row>
    <row r="8054">
      <c r="A8054" s="926" t="n">
        <v>42465</v>
      </c>
      <c r="B8054" t="n">
        <v>7.7555</v>
      </c>
      <c r="C8054" t="n">
        <v>1.1971</v>
      </c>
    </row>
    <row r="8055">
      <c r="A8055" s="926" t="n">
        <v>42466</v>
      </c>
      <c r="B8055" t="n">
        <v>7.7565</v>
      </c>
      <c r="C8055" t="n">
        <v>1.196</v>
      </c>
    </row>
    <row r="8056">
      <c r="A8056" s="926" t="n">
        <v>42467</v>
      </c>
      <c r="B8056" t="n">
        <v>7.7565</v>
      </c>
      <c r="C8056" t="n">
        <v>1.1968</v>
      </c>
    </row>
    <row r="8057">
      <c r="A8057" s="926" t="n">
        <v>42468</v>
      </c>
      <c r="B8057" t="n">
        <v>7.7565</v>
      </c>
      <c r="C8057" t="n">
        <v>1.19545</v>
      </c>
    </row>
    <row r="8058">
      <c r="A8058" s="926" t="n">
        <v>42469</v>
      </c>
      <c r="B8058" t="n">
        <v>7.7565</v>
      </c>
      <c r="C8058" t="n">
        <v>1.1966</v>
      </c>
    </row>
    <row r="8059">
      <c r="A8059" s="926" t="n">
        <v>42471</v>
      </c>
      <c r="B8059" t="n">
        <v>7.7575</v>
      </c>
      <c r="C8059" t="n">
        <v>1.1979</v>
      </c>
    </row>
    <row r="8060">
      <c r="A8060" s="926" t="n">
        <v>42472</v>
      </c>
      <c r="B8060" t="n">
        <v>7.7555</v>
      </c>
      <c r="C8060" t="n">
        <v>1.1981</v>
      </c>
    </row>
    <row r="8061">
      <c r="A8061" s="926" t="n">
        <v>42473</v>
      </c>
      <c r="B8061" t="n">
        <v>7.7555</v>
      </c>
      <c r="C8061" t="n">
        <v>1.1976</v>
      </c>
    </row>
    <row r="8062">
      <c r="A8062" s="926" t="n">
        <v>42474</v>
      </c>
      <c r="B8062" t="n">
        <v>7.7575</v>
      </c>
      <c r="C8062" t="n">
        <v>1.1936</v>
      </c>
    </row>
    <row r="8063">
      <c r="A8063" s="926" t="n">
        <v>42475</v>
      </c>
      <c r="B8063" t="n">
        <v>7.7565</v>
      </c>
      <c r="C8063" t="n">
        <v>1.1953</v>
      </c>
    </row>
    <row r="8064">
      <c r="A8064" s="926" t="n">
        <v>42476</v>
      </c>
      <c r="B8064" t="n">
        <v>7.7545</v>
      </c>
      <c r="C8064" t="n">
        <v>1.19525</v>
      </c>
    </row>
    <row r="8065">
      <c r="A8065" s="926" t="n">
        <v>42478</v>
      </c>
      <c r="B8065" t="n">
        <v>7.7545</v>
      </c>
      <c r="C8065" t="n">
        <v>1.195</v>
      </c>
    </row>
    <row r="8066">
      <c r="A8066" s="926" t="n">
        <v>42479</v>
      </c>
      <c r="B8066" t="n">
        <v>7.7555</v>
      </c>
      <c r="C8066" t="n">
        <v>1.1974</v>
      </c>
    </row>
    <row r="8067">
      <c r="A8067" s="926" t="n">
        <v>42480</v>
      </c>
      <c r="B8067" t="n">
        <v>7.7565</v>
      </c>
      <c r="C8067" t="n">
        <v>1.1982</v>
      </c>
    </row>
    <row r="8068">
      <c r="A8068" s="926" t="n">
        <v>42481</v>
      </c>
      <c r="B8068" t="n">
        <v>7.7575</v>
      </c>
      <c r="C8068" t="n">
        <v>1.19675</v>
      </c>
    </row>
    <row r="8069">
      <c r="A8069" s="926" t="n">
        <v>42482</v>
      </c>
      <c r="B8069" t="n">
        <v>7.7575</v>
      </c>
      <c r="C8069" t="n">
        <v>1.1941</v>
      </c>
    </row>
    <row r="8070">
      <c r="A8070" s="926" t="n">
        <v>42483</v>
      </c>
      <c r="B8070" t="n">
        <v>7.7575</v>
      </c>
      <c r="C8070" t="n">
        <v>1.19235</v>
      </c>
    </row>
    <row r="8071">
      <c r="A8071" s="926" t="n">
        <v>42485</v>
      </c>
      <c r="B8071" t="n">
        <v>7.7565</v>
      </c>
      <c r="C8071" t="n">
        <v>1.19105</v>
      </c>
    </row>
    <row r="8072">
      <c r="A8072" s="926" t="n">
        <v>42486</v>
      </c>
      <c r="B8072" t="n">
        <v>7.7555</v>
      </c>
      <c r="C8072" t="n">
        <v>1.1919</v>
      </c>
    </row>
    <row r="8073">
      <c r="A8073" s="926" t="n">
        <v>42487</v>
      </c>
      <c r="B8073" t="n">
        <v>7.7565</v>
      </c>
      <c r="C8073" t="n">
        <v>1.1929</v>
      </c>
    </row>
    <row r="8074">
      <c r="A8074" s="926" t="n">
        <v>42488</v>
      </c>
      <c r="B8074" t="n">
        <v>7.7565</v>
      </c>
      <c r="C8074" t="n">
        <v>1.1952</v>
      </c>
    </row>
    <row r="8075">
      <c r="A8075" s="926" t="n">
        <v>42489</v>
      </c>
      <c r="B8075" t="n">
        <v>7.7565</v>
      </c>
      <c r="C8075" t="n">
        <v>1.1965</v>
      </c>
    </row>
    <row r="8076">
      <c r="A8076" s="926" t="n">
        <v>42490</v>
      </c>
      <c r="B8076" t="n">
        <v>7.7555</v>
      </c>
      <c r="C8076" t="n">
        <v>1.1953</v>
      </c>
    </row>
    <row r="8077">
      <c r="A8077" s="926" t="n">
        <v>42493</v>
      </c>
      <c r="B8077" t="n">
        <v>7.7585</v>
      </c>
      <c r="C8077" t="n">
        <v>1.1974</v>
      </c>
    </row>
    <row r="8078">
      <c r="A8078" s="926" t="n">
        <v>42494</v>
      </c>
      <c r="B8078" t="n">
        <v>7.7595</v>
      </c>
      <c r="C8078" t="n">
        <v>1.1927</v>
      </c>
    </row>
    <row r="8079">
      <c r="A8079" s="926" t="n">
        <v>42495</v>
      </c>
      <c r="B8079" t="n">
        <v>7.7605</v>
      </c>
      <c r="C8079" t="n">
        <v>1.192</v>
      </c>
    </row>
    <row r="8080">
      <c r="A8080" s="926" t="n">
        <v>42496</v>
      </c>
      <c r="B8080" t="n">
        <v>7.7615</v>
      </c>
      <c r="C8080" t="n">
        <v>1.1909</v>
      </c>
    </row>
    <row r="8081">
      <c r="A8081" s="926" t="n">
        <v>42497</v>
      </c>
      <c r="B8081" t="n">
        <v>7.7605</v>
      </c>
      <c r="C8081" t="n">
        <v>1.19075</v>
      </c>
    </row>
    <row r="8082">
      <c r="A8082" s="926" t="n">
        <v>42499</v>
      </c>
      <c r="B8082" t="n">
        <v>7.7605</v>
      </c>
      <c r="C8082" t="n">
        <v>1.1903</v>
      </c>
    </row>
    <row r="8083">
      <c r="A8083" s="926" t="n">
        <v>42500</v>
      </c>
      <c r="B8083" t="n">
        <v>7.7625</v>
      </c>
      <c r="C8083" t="n">
        <v>1.1872</v>
      </c>
    </row>
    <row r="8084">
      <c r="A8084" s="926" t="n">
        <v>42501</v>
      </c>
      <c r="B8084" t="n">
        <v>7.7605</v>
      </c>
      <c r="C8084" t="n">
        <v>1.1871</v>
      </c>
    </row>
    <row r="8085">
      <c r="A8085" s="926" t="n">
        <v>42502</v>
      </c>
      <c r="B8085" t="n">
        <v>7.7585</v>
      </c>
      <c r="C8085" t="n">
        <v>1.18635</v>
      </c>
    </row>
    <row r="8086">
      <c r="A8086" s="926" t="n">
        <v>42503</v>
      </c>
      <c r="B8086" t="n">
        <v>7.7625</v>
      </c>
      <c r="C8086" t="n">
        <v>1.18575</v>
      </c>
    </row>
    <row r="8087">
      <c r="A8087" s="926" t="n">
        <v>42506</v>
      </c>
      <c r="B8087" t="n">
        <v>7.7625</v>
      </c>
      <c r="C8087" t="n">
        <v>1.18515</v>
      </c>
    </row>
    <row r="8088">
      <c r="A8088" s="926" t="n">
        <v>42507</v>
      </c>
      <c r="B8088" t="n">
        <v>7.7615</v>
      </c>
      <c r="C8088" t="n">
        <v>1.1868</v>
      </c>
    </row>
    <row r="8089">
      <c r="A8089" s="926" t="n">
        <v>42508</v>
      </c>
      <c r="B8089" t="n">
        <v>7.7625</v>
      </c>
      <c r="C8089" t="n">
        <v>1.18485</v>
      </c>
    </row>
    <row r="8090">
      <c r="A8090" s="926" t="n">
        <v>42509</v>
      </c>
      <c r="B8090" t="n">
        <v>7.7655</v>
      </c>
      <c r="C8090" t="n">
        <v>1.18355</v>
      </c>
    </row>
    <row r="8091">
      <c r="A8091" s="926" t="n">
        <v>42510</v>
      </c>
      <c r="B8091" t="n">
        <v>7.7655</v>
      </c>
      <c r="C8091" t="n">
        <v>1.18435</v>
      </c>
    </row>
    <row r="8092">
      <c r="A8092" s="926" t="n">
        <v>42511</v>
      </c>
      <c r="B8092" t="n">
        <v>7.7685</v>
      </c>
      <c r="C8092" t="n">
        <v>1.1834</v>
      </c>
    </row>
    <row r="8093">
      <c r="A8093" s="926" t="n">
        <v>42513</v>
      </c>
      <c r="B8093" t="n">
        <v>7.7675</v>
      </c>
      <c r="C8093" t="n">
        <v>1.18405</v>
      </c>
    </row>
    <row r="8094">
      <c r="A8094" s="926" t="n">
        <v>42514</v>
      </c>
      <c r="B8094" t="n">
        <v>7.7675</v>
      </c>
      <c r="C8094" t="n">
        <v>1.18345</v>
      </c>
    </row>
    <row r="8095">
      <c r="A8095" s="926" t="n">
        <v>42515</v>
      </c>
      <c r="B8095" t="n">
        <v>7.7665</v>
      </c>
      <c r="C8095" t="n">
        <v>1.18315</v>
      </c>
    </row>
    <row r="8096">
      <c r="A8096" s="926" t="n">
        <v>42516</v>
      </c>
      <c r="B8096" t="n">
        <v>7.7655</v>
      </c>
      <c r="C8096" t="n">
        <v>1.1833</v>
      </c>
    </row>
    <row r="8097">
      <c r="A8097" s="926" t="n">
        <v>42517</v>
      </c>
      <c r="B8097" t="n">
        <v>7.7645</v>
      </c>
      <c r="C8097" t="n">
        <v>1.1827</v>
      </c>
    </row>
    <row r="8098">
      <c r="A8098" s="926" t="n">
        <v>42518</v>
      </c>
      <c r="B8098" t="n">
        <v>7.7645</v>
      </c>
      <c r="C8098" t="n">
        <v>1.1813</v>
      </c>
    </row>
    <row r="8099">
      <c r="A8099" s="926" t="n">
        <v>42520</v>
      </c>
      <c r="B8099" t="n">
        <v>7.7685</v>
      </c>
      <c r="C8099" t="n">
        <v>1.1792</v>
      </c>
    </row>
    <row r="8100">
      <c r="A8100" s="926" t="n">
        <v>42521</v>
      </c>
      <c r="B8100" t="n">
        <v>7.7675</v>
      </c>
      <c r="C8100" t="n">
        <v>1.17875</v>
      </c>
    </row>
    <row r="8101">
      <c r="A8101" s="926" t="n">
        <v>42522</v>
      </c>
      <c r="B8101" t="n">
        <v>7.7695</v>
      </c>
      <c r="C8101" t="n">
        <v>1.17805</v>
      </c>
    </row>
    <row r="8102">
      <c r="A8102" s="926" t="n">
        <v>42523</v>
      </c>
      <c r="B8102" t="n">
        <v>7.7695</v>
      </c>
      <c r="C8102" t="n">
        <v>1.18025</v>
      </c>
    </row>
    <row r="8103">
      <c r="A8103" s="926" t="n">
        <v>42524</v>
      </c>
      <c r="B8103" t="n">
        <v>7.7705</v>
      </c>
      <c r="C8103" t="n">
        <v>1.17935</v>
      </c>
    </row>
    <row r="8104">
      <c r="A8104" s="926" t="n">
        <v>42525</v>
      </c>
      <c r="B8104" t="n">
        <v>7.7665</v>
      </c>
      <c r="C8104" t="n">
        <v>1.187</v>
      </c>
    </row>
    <row r="8105">
      <c r="A8105" s="926" t="n">
        <v>42527</v>
      </c>
      <c r="B8105" t="n">
        <v>7.7675</v>
      </c>
      <c r="C8105" t="n">
        <v>1.18315</v>
      </c>
    </row>
    <row r="8106">
      <c r="A8106" s="926" t="n">
        <v>42528</v>
      </c>
      <c r="B8106" t="n">
        <v>7.7675</v>
      </c>
      <c r="C8106" t="n">
        <v>1.18175</v>
      </c>
    </row>
    <row r="8107">
      <c r="A8107" s="926" t="n">
        <v>42529</v>
      </c>
      <c r="B8107" t="n">
        <v>7.7635</v>
      </c>
      <c r="C8107" t="n">
        <v>1.18075</v>
      </c>
    </row>
    <row r="8108">
      <c r="A8108" s="926" t="n">
        <v>42531</v>
      </c>
      <c r="B8108" t="n">
        <v>7.7615</v>
      </c>
      <c r="C8108" t="n">
        <v>1.17805</v>
      </c>
    </row>
    <row r="8109">
      <c r="A8109" s="926" t="n">
        <v>42532</v>
      </c>
      <c r="B8109" t="n">
        <v>7.7625</v>
      </c>
      <c r="C8109" t="n">
        <v>1.17475</v>
      </c>
    </row>
    <row r="8110">
      <c r="A8110" s="926" t="n">
        <v>42534</v>
      </c>
      <c r="B8110" t="n">
        <v>7.7635</v>
      </c>
      <c r="C8110" t="n">
        <v>1.17695</v>
      </c>
    </row>
    <row r="8111">
      <c r="A8111" s="926" t="n">
        <v>42535</v>
      </c>
      <c r="B8111" t="n">
        <v>7.7615</v>
      </c>
      <c r="C8111" t="n">
        <v>1.17635</v>
      </c>
    </row>
    <row r="8112">
      <c r="A8112" s="926" t="n">
        <v>42536</v>
      </c>
      <c r="B8112" t="n">
        <v>7.7595</v>
      </c>
      <c r="C8112" t="n">
        <v>1.1743</v>
      </c>
    </row>
    <row r="8113">
      <c r="A8113" s="926" t="n">
        <v>42537</v>
      </c>
      <c r="B8113" t="n">
        <v>7.7585</v>
      </c>
      <c r="C8113" t="n">
        <v>1.17685</v>
      </c>
    </row>
    <row r="8114">
      <c r="A8114" s="926" t="n">
        <v>42538</v>
      </c>
      <c r="B8114" t="n">
        <v>7.7595</v>
      </c>
      <c r="C8114" t="n">
        <v>1.1763</v>
      </c>
    </row>
    <row r="8115">
      <c r="A8115" s="926" t="n">
        <v>42539</v>
      </c>
      <c r="B8115" t="n">
        <v>7.7585</v>
      </c>
      <c r="C8115" t="n">
        <v>1.17625</v>
      </c>
    </row>
    <row r="8116">
      <c r="A8116" s="926" t="n">
        <v>42541</v>
      </c>
      <c r="B8116" t="n">
        <v>7.7595</v>
      </c>
      <c r="C8116" t="n">
        <v>1.17745</v>
      </c>
    </row>
    <row r="8117">
      <c r="A8117" s="926" t="n">
        <v>42542</v>
      </c>
      <c r="B8117" t="n">
        <v>7.7595</v>
      </c>
      <c r="C8117" t="n">
        <v>1.17805</v>
      </c>
    </row>
    <row r="8118">
      <c r="A8118" s="926" t="n">
        <v>42543</v>
      </c>
      <c r="B8118" t="n">
        <v>7.7575</v>
      </c>
      <c r="C8118" t="n">
        <v>1.17625</v>
      </c>
    </row>
    <row r="8119">
      <c r="A8119" s="926" t="n">
        <v>42544</v>
      </c>
      <c r="B8119" t="n">
        <v>7.7565</v>
      </c>
      <c r="C8119" t="n">
        <v>1.1765</v>
      </c>
    </row>
    <row r="8120">
      <c r="A8120" s="926" t="n">
        <v>42545</v>
      </c>
      <c r="B8120" t="n">
        <v>7.7605</v>
      </c>
      <c r="C8120" t="n">
        <v>1.16815</v>
      </c>
    </row>
    <row r="8121">
      <c r="A8121" s="926" t="n">
        <v>42546</v>
      </c>
      <c r="B8121" t="n">
        <v>7.7595</v>
      </c>
      <c r="C8121" t="n">
        <v>1.1688</v>
      </c>
    </row>
    <row r="8122">
      <c r="A8122" s="926" t="n">
        <v>42548</v>
      </c>
      <c r="B8122" t="n">
        <v>7.7565</v>
      </c>
      <c r="C8122" t="n">
        <v>1.1641</v>
      </c>
    </row>
    <row r="8123">
      <c r="A8123" s="926" t="n">
        <v>42549</v>
      </c>
      <c r="B8123" t="n">
        <v>7.7585</v>
      </c>
      <c r="C8123" t="n">
        <v>1.16155</v>
      </c>
    </row>
    <row r="8124">
      <c r="A8124" s="926" t="n">
        <v>42550</v>
      </c>
      <c r="B8124" t="n">
        <v>7.7585</v>
      </c>
      <c r="C8124" t="n">
        <v>1.16355</v>
      </c>
    </row>
    <row r="8125">
      <c r="A8125" s="926" t="n">
        <v>42551</v>
      </c>
      <c r="B8125" t="n">
        <v>7.7585</v>
      </c>
      <c r="C8125" t="n">
        <v>1.1612</v>
      </c>
    </row>
    <row r="8126">
      <c r="A8126" s="926" t="n">
        <v>42553</v>
      </c>
      <c r="B8126" t="n">
        <v>7.7575</v>
      </c>
      <c r="C8126" t="n">
        <v>1.16175</v>
      </c>
    </row>
    <row r="8127">
      <c r="A8127" s="926" t="n">
        <v>42555</v>
      </c>
      <c r="B8127" t="n">
        <v>7.7575</v>
      </c>
      <c r="C8127" t="n">
        <v>1.16215</v>
      </c>
    </row>
    <row r="8128">
      <c r="A8128" s="926" t="n">
        <v>42556</v>
      </c>
      <c r="B8128" t="n">
        <v>7.7575</v>
      </c>
      <c r="C8128" t="n">
        <v>1.16115</v>
      </c>
    </row>
    <row r="8129">
      <c r="A8129" s="926" t="n">
        <v>42557</v>
      </c>
      <c r="B8129" t="n">
        <v>7.7585</v>
      </c>
      <c r="C8129" t="n">
        <v>1.1584</v>
      </c>
    </row>
    <row r="8130">
      <c r="A8130" s="926" t="n">
        <v>42558</v>
      </c>
      <c r="B8130" t="n">
        <v>7.76</v>
      </c>
      <c r="C8130" t="n">
        <v>1.15905</v>
      </c>
    </row>
    <row r="8131">
      <c r="A8131" s="926" t="n">
        <v>42559</v>
      </c>
      <c r="B8131" t="n">
        <v>7.759</v>
      </c>
      <c r="C8131" t="n">
        <v>1.15845</v>
      </c>
    </row>
    <row r="8132">
      <c r="A8132" s="926" t="n">
        <v>42560</v>
      </c>
      <c r="B8132" t="n">
        <v>7.758</v>
      </c>
      <c r="C8132" t="n">
        <v>1.1571</v>
      </c>
    </row>
    <row r="8133">
      <c r="A8133" s="926" t="n">
        <v>42562</v>
      </c>
      <c r="B8133" t="n">
        <v>7.759</v>
      </c>
      <c r="C8133" t="n">
        <v>1.15825</v>
      </c>
    </row>
    <row r="8134">
      <c r="A8134" s="926" t="n">
        <v>42563</v>
      </c>
      <c r="B8134" t="n">
        <v>7.759</v>
      </c>
      <c r="C8134" t="n">
        <v>1.1578</v>
      </c>
    </row>
    <row r="8135">
      <c r="A8135" s="926" t="n">
        <v>42564</v>
      </c>
      <c r="B8135" t="n">
        <v>7.759</v>
      </c>
      <c r="C8135" t="n">
        <v>1.15895</v>
      </c>
    </row>
    <row r="8136">
      <c r="A8136" s="926" t="n">
        <v>42565</v>
      </c>
      <c r="B8136" t="n">
        <v>7.757</v>
      </c>
      <c r="C8136" t="n">
        <v>1.1584</v>
      </c>
    </row>
    <row r="8137">
      <c r="A8137" s="926" t="n">
        <v>42566</v>
      </c>
      <c r="B8137" t="n">
        <v>7.756</v>
      </c>
      <c r="C8137" t="n">
        <v>1.15925</v>
      </c>
    </row>
    <row r="8138">
      <c r="A8138" s="926" t="n">
        <v>42567</v>
      </c>
      <c r="B8138" t="n">
        <v>7.753</v>
      </c>
      <c r="C8138" t="n">
        <v>1.15565</v>
      </c>
    </row>
    <row r="8139">
      <c r="A8139" s="926" t="n">
        <v>42569</v>
      </c>
      <c r="B8139" t="n">
        <v>7.756</v>
      </c>
      <c r="C8139" t="n">
        <v>1.15625</v>
      </c>
    </row>
    <row r="8140">
      <c r="A8140" s="926" t="n">
        <v>42570</v>
      </c>
      <c r="B8140" t="n">
        <v>7.756</v>
      </c>
      <c r="C8140" t="n">
        <v>1.15675</v>
      </c>
    </row>
    <row r="8141">
      <c r="A8141" s="926" t="n">
        <v>42571</v>
      </c>
      <c r="B8141" t="n">
        <v>7.756</v>
      </c>
      <c r="C8141" t="n">
        <v>1.15835</v>
      </c>
    </row>
    <row r="8142">
      <c r="A8142" s="926" t="n">
        <v>42572</v>
      </c>
      <c r="B8142" t="n">
        <v>7.756</v>
      </c>
      <c r="C8142" t="n">
        <v>1.16205</v>
      </c>
    </row>
    <row r="8143">
      <c r="A8143" s="926" t="n">
        <v>42573</v>
      </c>
      <c r="B8143" t="n">
        <v>7.756</v>
      </c>
      <c r="C8143" t="n">
        <v>1.16155</v>
      </c>
    </row>
    <row r="8144">
      <c r="A8144" s="926" t="n">
        <v>42574</v>
      </c>
      <c r="B8144" t="n">
        <v>7.758</v>
      </c>
      <c r="C8144" t="n">
        <v>1.1609</v>
      </c>
    </row>
    <row r="8145">
      <c r="A8145" s="926" t="n">
        <v>42576</v>
      </c>
      <c r="B8145" t="n">
        <v>7.758</v>
      </c>
      <c r="C8145" t="n">
        <v>1.1599</v>
      </c>
    </row>
    <row r="8146">
      <c r="A8146" s="926" t="n">
        <v>42577</v>
      </c>
      <c r="B8146" t="n">
        <v>7.758</v>
      </c>
      <c r="C8146" t="n">
        <v>1.16085</v>
      </c>
    </row>
    <row r="8147">
      <c r="A8147" s="926" t="n">
        <v>42578</v>
      </c>
      <c r="B8147" t="n">
        <v>7.758</v>
      </c>
      <c r="C8147" t="n">
        <v>1.16195</v>
      </c>
    </row>
    <row r="8148">
      <c r="A8148" s="926" t="n">
        <v>42579</v>
      </c>
      <c r="B8148" t="n">
        <v>7.757</v>
      </c>
      <c r="C8148" t="n">
        <v>1.16385</v>
      </c>
    </row>
    <row r="8149">
      <c r="A8149" s="926" t="n">
        <v>42580</v>
      </c>
      <c r="B8149" t="n">
        <v>7.756</v>
      </c>
      <c r="C8149" t="n">
        <v>1.16495</v>
      </c>
    </row>
    <row r="8150">
      <c r="A8150" s="926" t="n">
        <v>42581</v>
      </c>
      <c r="B8150" t="n">
        <v>7.757</v>
      </c>
      <c r="C8150" t="n">
        <v>1.17</v>
      </c>
    </row>
    <row r="8151">
      <c r="A8151" s="926" t="n">
        <v>42583</v>
      </c>
      <c r="B8151" t="n">
        <v>7.76</v>
      </c>
      <c r="C8151" t="n">
        <v>1.1684</v>
      </c>
    </row>
    <row r="8152">
      <c r="A8152" s="926" t="n">
        <v>42585</v>
      </c>
      <c r="B8152" t="n">
        <v>7.76</v>
      </c>
      <c r="C8152" t="n">
        <v>1.1694</v>
      </c>
    </row>
    <row r="8153">
      <c r="A8153" s="926" t="n">
        <v>42586</v>
      </c>
      <c r="B8153" t="n">
        <v>7.757</v>
      </c>
      <c r="C8153" t="n">
        <v>1.168</v>
      </c>
    </row>
    <row r="8154">
      <c r="A8154" s="926" t="n">
        <v>42587</v>
      </c>
      <c r="B8154" t="n">
        <v>7.756</v>
      </c>
      <c r="C8154" t="n">
        <v>1.16585</v>
      </c>
    </row>
    <row r="8155">
      <c r="A8155" s="926" t="n">
        <v>42588</v>
      </c>
      <c r="B8155" t="n">
        <v>7.755</v>
      </c>
      <c r="C8155" t="n">
        <v>1.16285</v>
      </c>
    </row>
    <row r="8156">
      <c r="A8156" s="926" t="n">
        <v>42590</v>
      </c>
      <c r="B8156" t="n">
        <v>7.757</v>
      </c>
      <c r="C8156" t="n">
        <v>1.1634</v>
      </c>
    </row>
    <row r="8157">
      <c r="A8157" s="926" t="n">
        <v>42591</v>
      </c>
      <c r="B8157" t="n">
        <v>7.758</v>
      </c>
      <c r="C8157" t="n">
        <v>1.16315</v>
      </c>
    </row>
    <row r="8158">
      <c r="A8158" s="926" t="n">
        <v>42592</v>
      </c>
      <c r="B8158" t="n">
        <v>7.757</v>
      </c>
      <c r="C8158" t="n">
        <v>1.16585</v>
      </c>
    </row>
    <row r="8159">
      <c r="A8159" s="926" t="n">
        <v>42593</v>
      </c>
      <c r="B8159" t="n">
        <v>7.757</v>
      </c>
      <c r="C8159" t="n">
        <v>1.1674</v>
      </c>
    </row>
    <row r="8160">
      <c r="A8160" s="926" t="n">
        <v>42594</v>
      </c>
      <c r="B8160" t="n">
        <v>7.757</v>
      </c>
      <c r="C8160" t="n">
        <v>1.16615</v>
      </c>
    </row>
    <row r="8161">
      <c r="A8161" s="926" t="n">
        <v>42595</v>
      </c>
      <c r="B8161" t="n">
        <v>7.758</v>
      </c>
      <c r="C8161" t="n">
        <v>1.16635</v>
      </c>
    </row>
    <row r="8162">
      <c r="A8162" s="926" t="n">
        <v>42597</v>
      </c>
      <c r="B8162" t="n">
        <v>7.757</v>
      </c>
      <c r="C8162" t="n">
        <v>1.16675</v>
      </c>
    </row>
    <row r="8163">
      <c r="A8163" s="926" t="n">
        <v>42598</v>
      </c>
      <c r="B8163" t="n">
        <v>7.757</v>
      </c>
      <c r="C8163" t="n">
        <v>1.169</v>
      </c>
    </row>
    <row r="8164">
      <c r="A8164" s="926" t="n">
        <v>42599</v>
      </c>
      <c r="B8164" t="n">
        <v>7.756</v>
      </c>
      <c r="C8164" t="n">
        <v>1.1687</v>
      </c>
    </row>
    <row r="8165">
      <c r="A8165" s="926" t="n">
        <v>42600</v>
      </c>
      <c r="B8165" t="n">
        <v>7.755</v>
      </c>
      <c r="C8165" t="n">
        <v>1.169</v>
      </c>
    </row>
    <row r="8166">
      <c r="A8166" s="926" t="n">
        <v>42601</v>
      </c>
      <c r="B8166" t="n">
        <v>7.755</v>
      </c>
      <c r="C8166" t="n">
        <v>1.1661</v>
      </c>
    </row>
    <row r="8167">
      <c r="A8167" s="926" t="n">
        <v>42602</v>
      </c>
      <c r="B8167" t="n">
        <v>7.752</v>
      </c>
      <c r="C8167" t="n">
        <v>1.16495</v>
      </c>
    </row>
    <row r="8168">
      <c r="A8168" s="926" t="n">
        <v>42604</v>
      </c>
      <c r="B8168" t="n">
        <v>7.754</v>
      </c>
      <c r="C8168" t="n">
        <v>1.16275</v>
      </c>
    </row>
    <row r="8169">
      <c r="A8169" s="926" t="n">
        <v>42605</v>
      </c>
      <c r="B8169" t="n">
        <v>7.755</v>
      </c>
      <c r="C8169" t="n">
        <v>1.1662</v>
      </c>
    </row>
    <row r="8170">
      <c r="A8170" s="926" t="n">
        <v>42606</v>
      </c>
      <c r="B8170" t="n">
        <v>7.755</v>
      </c>
      <c r="C8170" t="n">
        <v>1.164</v>
      </c>
    </row>
    <row r="8171">
      <c r="A8171" s="926" t="n">
        <v>42607</v>
      </c>
      <c r="B8171" t="n">
        <v>7.755</v>
      </c>
      <c r="C8171" t="n">
        <v>1.1629</v>
      </c>
    </row>
    <row r="8172">
      <c r="A8172" s="926" t="n">
        <v>42608</v>
      </c>
      <c r="B8172" t="n">
        <v>7.757</v>
      </c>
      <c r="C8172" t="n">
        <v>1.16155</v>
      </c>
    </row>
    <row r="8173">
      <c r="A8173" s="926" t="n">
        <v>42609</v>
      </c>
      <c r="B8173" t="n">
        <v>7.758</v>
      </c>
      <c r="C8173" t="n">
        <v>1.1594</v>
      </c>
    </row>
    <row r="8174">
      <c r="A8174" s="926" t="n">
        <v>42611</v>
      </c>
      <c r="B8174" t="n">
        <v>7.758</v>
      </c>
      <c r="C8174" t="n">
        <v>1.1594</v>
      </c>
    </row>
    <row r="8175">
      <c r="A8175" s="926" t="n">
        <v>42612</v>
      </c>
      <c r="B8175" t="n">
        <v>7.757</v>
      </c>
      <c r="C8175" t="n">
        <v>1.15945</v>
      </c>
    </row>
    <row r="8176">
      <c r="A8176" s="926" t="n">
        <v>42613</v>
      </c>
      <c r="B8176" t="n">
        <v>7.758</v>
      </c>
      <c r="C8176" t="n">
        <v>1.15955</v>
      </c>
    </row>
    <row r="8177">
      <c r="A8177" s="926" t="n">
        <v>42614</v>
      </c>
      <c r="B8177" t="n">
        <v>7.758</v>
      </c>
      <c r="C8177" t="n">
        <v>1.15965</v>
      </c>
    </row>
    <row r="8178">
      <c r="A8178" s="926" t="n">
        <v>42615</v>
      </c>
      <c r="B8178" t="n">
        <v>7.758</v>
      </c>
      <c r="C8178" t="n">
        <v>1.15965</v>
      </c>
    </row>
    <row r="8179">
      <c r="A8179" s="926" t="n">
        <v>42616</v>
      </c>
      <c r="B8179" t="n">
        <v>7.756</v>
      </c>
      <c r="C8179" t="n">
        <v>1.1578</v>
      </c>
    </row>
    <row r="8180">
      <c r="A8180" s="926" t="n">
        <v>42618</v>
      </c>
      <c r="B8180" t="n">
        <v>7.756</v>
      </c>
      <c r="C8180" t="n">
        <v>1.15965</v>
      </c>
    </row>
    <row r="8181">
      <c r="A8181" s="926" t="n">
        <v>42619</v>
      </c>
      <c r="B8181" t="n">
        <v>7.756</v>
      </c>
      <c r="C8181" t="n">
        <v>1.15965</v>
      </c>
    </row>
    <row r="8182">
      <c r="A8182" s="926" t="n">
        <v>42620</v>
      </c>
      <c r="B8182" t="n">
        <v>7.756</v>
      </c>
      <c r="C8182" t="n">
        <v>1.1625</v>
      </c>
    </row>
    <row r="8183">
      <c r="A8183" s="926" t="n">
        <v>42621</v>
      </c>
      <c r="B8183" t="n">
        <v>7.757</v>
      </c>
      <c r="C8183" t="n">
        <v>1.16295</v>
      </c>
    </row>
    <row r="8184">
      <c r="A8184" s="926" t="n">
        <v>42622</v>
      </c>
      <c r="B8184" t="n">
        <v>7.758</v>
      </c>
      <c r="C8184" t="n">
        <v>1.1598</v>
      </c>
    </row>
    <row r="8185">
      <c r="A8185" s="926" t="n">
        <v>42623</v>
      </c>
      <c r="B8185" t="n">
        <v>7.756</v>
      </c>
      <c r="C8185" t="n">
        <v>1.15895</v>
      </c>
    </row>
    <row r="8186">
      <c r="A8186" s="926" t="n">
        <v>42625</v>
      </c>
      <c r="B8186" t="n">
        <v>7.759</v>
      </c>
      <c r="C8186" t="n">
        <v>1.15975</v>
      </c>
    </row>
    <row r="8187">
      <c r="A8187" s="926" t="n">
        <v>42626</v>
      </c>
      <c r="B8187" t="n">
        <v>7.759</v>
      </c>
      <c r="C8187" t="n">
        <v>1.1603</v>
      </c>
    </row>
    <row r="8188">
      <c r="A8188" s="926" t="n">
        <v>42627</v>
      </c>
      <c r="B8188" t="n">
        <v>7.759</v>
      </c>
      <c r="C8188" t="n">
        <v>1.1635</v>
      </c>
    </row>
    <row r="8189">
      <c r="A8189" s="926" t="n">
        <v>42628</v>
      </c>
      <c r="B8189" t="n">
        <v>7.76</v>
      </c>
      <c r="C8189" t="n">
        <v>1.1635</v>
      </c>
    </row>
    <row r="8190">
      <c r="A8190" s="926" t="n">
        <v>42630</v>
      </c>
      <c r="B8190" t="n">
        <v>7.758</v>
      </c>
      <c r="C8190" t="n">
        <v>1.16575</v>
      </c>
    </row>
    <row r="8191">
      <c r="A8191" s="926" t="n">
        <v>42632</v>
      </c>
      <c r="B8191" t="n">
        <v>7.759</v>
      </c>
      <c r="C8191" t="n">
        <v>1.1635</v>
      </c>
    </row>
    <row r="8192">
      <c r="A8192" s="926" t="n">
        <v>42633</v>
      </c>
      <c r="B8192" t="n">
        <v>7.758</v>
      </c>
      <c r="C8192" t="n">
        <v>1.16185</v>
      </c>
    </row>
    <row r="8193">
      <c r="A8193" s="926" t="n">
        <v>42634</v>
      </c>
      <c r="B8193" t="n">
        <v>7.757</v>
      </c>
      <c r="C8193" t="n">
        <v>1.1615</v>
      </c>
    </row>
    <row r="8194">
      <c r="A8194" s="926" t="n">
        <v>42635</v>
      </c>
      <c r="B8194" t="n">
        <v>7.757</v>
      </c>
      <c r="C8194" t="n">
        <v>1.1618</v>
      </c>
    </row>
    <row r="8195">
      <c r="A8195" s="926" t="n">
        <v>42636</v>
      </c>
      <c r="B8195" t="n">
        <v>7.757</v>
      </c>
      <c r="C8195" t="n">
        <v>1.16145</v>
      </c>
    </row>
    <row r="8196">
      <c r="A8196" s="926" t="n">
        <v>42637</v>
      </c>
      <c r="B8196" t="n">
        <v>7.757</v>
      </c>
      <c r="C8196" t="n">
        <v>1.16135</v>
      </c>
    </row>
    <row r="8197">
      <c r="A8197" s="926" t="n">
        <v>42639</v>
      </c>
      <c r="B8197" t="n">
        <v>7.757</v>
      </c>
      <c r="C8197" t="n">
        <v>1.16115</v>
      </c>
    </row>
    <row r="8198">
      <c r="A8198" s="926" t="n">
        <v>42640</v>
      </c>
      <c r="B8198" t="n">
        <v>7.756</v>
      </c>
      <c r="C8198" t="n">
        <v>1.1612</v>
      </c>
    </row>
    <row r="8199">
      <c r="A8199" s="926" t="n">
        <v>42641</v>
      </c>
      <c r="B8199" t="n">
        <v>7.755</v>
      </c>
      <c r="C8199" t="n">
        <v>1.16035</v>
      </c>
    </row>
    <row r="8200">
      <c r="A8200" s="926" t="n">
        <v>42642</v>
      </c>
      <c r="B8200" t="n">
        <v>7.756</v>
      </c>
      <c r="C8200" t="n">
        <v>1.1607</v>
      </c>
    </row>
    <row r="8201">
      <c r="A8201" s="926" t="n">
        <v>42643</v>
      </c>
      <c r="B8201" t="n">
        <v>7.755</v>
      </c>
      <c r="C8201" t="n">
        <v>1.1606</v>
      </c>
    </row>
    <row r="8202">
      <c r="A8202" s="926" t="n">
        <v>42646</v>
      </c>
      <c r="B8202" t="n">
        <v>7.756</v>
      </c>
      <c r="C8202" t="n">
        <v>1.16165</v>
      </c>
    </row>
    <row r="8203">
      <c r="A8203" s="926" t="n">
        <v>42647</v>
      </c>
      <c r="B8203" t="n">
        <v>7.757</v>
      </c>
      <c r="C8203" t="n">
        <v>1.1605</v>
      </c>
    </row>
    <row r="8204">
      <c r="A8204" s="926" t="n">
        <v>42648</v>
      </c>
      <c r="B8204" t="n">
        <v>7.758</v>
      </c>
      <c r="C8204" t="n">
        <v>1.15935</v>
      </c>
    </row>
    <row r="8205">
      <c r="A8205" s="926" t="n">
        <v>42649</v>
      </c>
      <c r="B8205" t="n">
        <v>7.758</v>
      </c>
      <c r="C8205" t="n">
        <v>1.15825</v>
      </c>
    </row>
    <row r="8206">
      <c r="A8206" s="926" t="n">
        <v>42650</v>
      </c>
      <c r="B8206" t="n">
        <v>7.759</v>
      </c>
      <c r="C8206" t="n">
        <v>1.15575</v>
      </c>
    </row>
    <row r="8207">
      <c r="A8207" s="926" t="n">
        <v>42651</v>
      </c>
      <c r="B8207" t="n">
        <v>7.757</v>
      </c>
      <c r="C8207" t="n">
        <v>1.1565</v>
      </c>
    </row>
    <row r="8208">
      <c r="A8208" s="926" t="n">
        <v>42654</v>
      </c>
      <c r="B8208" t="n">
        <v>7.761</v>
      </c>
      <c r="C8208" t="n">
        <v>1.15495</v>
      </c>
    </row>
    <row r="8209">
      <c r="A8209" s="926" t="n">
        <v>42655</v>
      </c>
      <c r="B8209" t="n">
        <v>7.759</v>
      </c>
      <c r="C8209" t="n">
        <v>1.15395</v>
      </c>
    </row>
    <row r="8210">
      <c r="A8210" s="926" t="n">
        <v>42656</v>
      </c>
      <c r="B8210" t="n">
        <v>7.76</v>
      </c>
      <c r="C8210" t="n">
        <v>1.15195</v>
      </c>
    </row>
    <row r="8211">
      <c r="A8211" s="926" t="n">
        <v>42657</v>
      </c>
      <c r="B8211" t="n">
        <v>7.759</v>
      </c>
      <c r="C8211" t="n">
        <v>1.15205</v>
      </c>
    </row>
    <row r="8212">
      <c r="A8212" s="926" t="n">
        <v>42658</v>
      </c>
      <c r="B8212" t="n">
        <v>7.759</v>
      </c>
      <c r="C8212" t="n">
        <v>1.1519</v>
      </c>
    </row>
    <row r="8213">
      <c r="A8213" s="926" t="n">
        <v>42660</v>
      </c>
      <c r="B8213" t="n">
        <v>7.76</v>
      </c>
      <c r="C8213" t="n">
        <v>1.1499</v>
      </c>
    </row>
    <row r="8214">
      <c r="A8214" s="926" t="n">
        <v>42661</v>
      </c>
      <c r="B8214" t="n">
        <v>7.76</v>
      </c>
      <c r="C8214" t="n">
        <v>1.1504</v>
      </c>
    </row>
    <row r="8215">
      <c r="A8215" s="926" t="n">
        <v>42662</v>
      </c>
      <c r="B8215" t="n">
        <v>7.759</v>
      </c>
      <c r="C8215" t="n">
        <v>1.15055</v>
      </c>
    </row>
    <row r="8216">
      <c r="A8216" s="926" t="n">
        <v>42663</v>
      </c>
      <c r="B8216" t="n">
        <v>7.759</v>
      </c>
      <c r="C8216" t="n">
        <v>1.1503</v>
      </c>
    </row>
    <row r="8217">
      <c r="A8217" s="926" t="n">
        <v>42665</v>
      </c>
      <c r="B8217" t="n">
        <v>7.756</v>
      </c>
      <c r="C8217" t="n">
        <v>1.1442</v>
      </c>
    </row>
    <row r="8218">
      <c r="A8218" s="926" t="n">
        <v>42667</v>
      </c>
      <c r="B8218" t="n">
        <v>7.758</v>
      </c>
      <c r="C8218" t="n">
        <v>1.1451</v>
      </c>
    </row>
    <row r="8219">
      <c r="A8219" s="926" t="n">
        <v>42668</v>
      </c>
      <c r="B8219" t="n">
        <v>7.758</v>
      </c>
      <c r="C8219" t="n">
        <v>1.1435</v>
      </c>
    </row>
    <row r="8220">
      <c r="A8220" s="926" t="n">
        <v>42669</v>
      </c>
      <c r="B8220" t="n">
        <v>7.757</v>
      </c>
      <c r="C8220" t="n">
        <v>1.1442</v>
      </c>
    </row>
    <row r="8221">
      <c r="A8221" s="926" t="n">
        <v>42670</v>
      </c>
      <c r="B8221" t="n">
        <v>7.756</v>
      </c>
      <c r="C8221" t="n">
        <v>1.143</v>
      </c>
    </row>
    <row r="8222">
      <c r="A8222" s="926" t="n">
        <v>42671</v>
      </c>
      <c r="B8222" t="n">
        <v>7.755</v>
      </c>
      <c r="C8222" t="n">
        <v>1.142</v>
      </c>
    </row>
    <row r="8223">
      <c r="A8223" s="926" t="n">
        <v>42672</v>
      </c>
      <c r="B8223" t="n">
        <v>7.754</v>
      </c>
      <c r="C8223" t="n">
        <v>1.14235</v>
      </c>
    </row>
    <row r="8224">
      <c r="A8224" s="926" t="n">
        <v>42674</v>
      </c>
      <c r="B8224" t="n">
        <v>7.756</v>
      </c>
      <c r="C8224" t="n">
        <v>1.1438</v>
      </c>
    </row>
    <row r="8225">
      <c r="A8225" s="926" t="n">
        <v>42675</v>
      </c>
      <c r="B8225" t="n">
        <v>7.756</v>
      </c>
      <c r="C8225" t="n">
        <v>1.1433</v>
      </c>
    </row>
    <row r="8226">
      <c r="A8226" s="926" t="n">
        <v>42676</v>
      </c>
      <c r="B8226" t="n">
        <v>7.756</v>
      </c>
      <c r="C8226" t="n">
        <v>1.1447</v>
      </c>
    </row>
    <row r="8227">
      <c r="A8227" s="926" t="n">
        <v>42677</v>
      </c>
      <c r="B8227" t="n">
        <v>7.756</v>
      </c>
      <c r="C8227" t="n">
        <v>1.14575</v>
      </c>
    </row>
    <row r="8228">
      <c r="A8228" s="926" t="n">
        <v>42678</v>
      </c>
      <c r="B8228" t="n">
        <v>7.757</v>
      </c>
      <c r="C8228" t="n">
        <v>1.1457</v>
      </c>
    </row>
    <row r="8229">
      <c r="A8229" s="926" t="n">
        <v>42679</v>
      </c>
      <c r="B8229" t="n">
        <v>7.755</v>
      </c>
      <c r="C8229" t="n">
        <v>1.1447</v>
      </c>
    </row>
    <row r="8230">
      <c r="A8230" s="926" t="n">
        <v>42681</v>
      </c>
      <c r="B8230" t="n">
        <v>7.757</v>
      </c>
      <c r="C8230" t="n">
        <v>1.1431</v>
      </c>
    </row>
    <row r="8231">
      <c r="A8231" s="926" t="n">
        <v>42682</v>
      </c>
      <c r="B8231" t="n">
        <v>7.756</v>
      </c>
      <c r="C8231" t="n">
        <v>1.14265</v>
      </c>
    </row>
    <row r="8232">
      <c r="A8232" s="926" t="n">
        <v>42683</v>
      </c>
      <c r="B8232" t="n">
        <v>7.755</v>
      </c>
      <c r="C8232" t="n">
        <v>1.14275</v>
      </c>
    </row>
    <row r="8233">
      <c r="A8233" s="926" t="n">
        <v>42684</v>
      </c>
      <c r="B8233" t="n">
        <v>7.756</v>
      </c>
      <c r="C8233" t="n">
        <v>1.139</v>
      </c>
    </row>
    <row r="8234">
      <c r="A8234" s="926" t="n">
        <v>42685</v>
      </c>
      <c r="B8234" t="n">
        <v>7.758</v>
      </c>
      <c r="C8234" t="n">
        <v>1.1358</v>
      </c>
    </row>
    <row r="8235">
      <c r="A8235" s="926" t="n">
        <v>42686</v>
      </c>
      <c r="B8235" t="n">
        <v>7.759</v>
      </c>
      <c r="C8235" t="n">
        <v>1.13705</v>
      </c>
    </row>
    <row r="8236">
      <c r="A8236" s="926" t="n">
        <v>42688</v>
      </c>
      <c r="B8236" t="n">
        <v>7.758</v>
      </c>
      <c r="C8236" t="n">
        <v>1.1337</v>
      </c>
    </row>
    <row r="8237">
      <c r="A8237" s="926" t="n">
        <v>42689</v>
      </c>
      <c r="B8237" t="n">
        <v>7.758</v>
      </c>
      <c r="C8237" t="n">
        <v>1.13015</v>
      </c>
    </row>
    <row r="8238">
      <c r="A8238" s="926" t="n">
        <v>42690</v>
      </c>
      <c r="B8238" t="n">
        <v>7.758</v>
      </c>
      <c r="C8238" t="n">
        <v>1.1275</v>
      </c>
    </row>
    <row r="8239">
      <c r="A8239" s="926" t="n">
        <v>42691</v>
      </c>
      <c r="B8239" t="n">
        <v>7.758</v>
      </c>
      <c r="C8239" t="n">
        <v>1.12665</v>
      </c>
    </row>
    <row r="8240">
      <c r="A8240" s="926" t="n">
        <v>42692</v>
      </c>
      <c r="B8240" t="n">
        <v>7.758</v>
      </c>
      <c r="C8240" t="n">
        <v>1.12265</v>
      </c>
    </row>
    <row r="8241">
      <c r="A8241" s="926" t="n">
        <v>42693</v>
      </c>
      <c r="B8241" t="n">
        <v>7.756</v>
      </c>
      <c r="C8241" t="n">
        <v>1.1236</v>
      </c>
    </row>
    <row r="8242">
      <c r="A8242" s="926" t="n">
        <v>42695</v>
      </c>
      <c r="B8242" t="n">
        <v>7.757</v>
      </c>
      <c r="C8242" t="n">
        <v>1.12225</v>
      </c>
    </row>
    <row r="8243">
      <c r="A8243" s="926" t="n">
        <v>42696</v>
      </c>
      <c r="B8243" t="n">
        <v>7.757</v>
      </c>
      <c r="C8243" t="n">
        <v>1.12245</v>
      </c>
    </row>
    <row r="8244">
      <c r="A8244" s="926" t="n">
        <v>42697</v>
      </c>
      <c r="B8244" t="n">
        <v>7.757</v>
      </c>
      <c r="C8244" t="n">
        <v>1.12115</v>
      </c>
    </row>
    <row r="8245">
      <c r="A8245" s="926" t="n">
        <v>42698</v>
      </c>
      <c r="B8245" t="n">
        <v>7.756</v>
      </c>
      <c r="C8245" t="n">
        <v>1.11545</v>
      </c>
    </row>
    <row r="8246">
      <c r="A8246" s="926" t="n">
        <v>42699</v>
      </c>
      <c r="B8246" t="n">
        <v>7.757</v>
      </c>
      <c r="C8246" t="n">
        <v>1.11805</v>
      </c>
    </row>
    <row r="8247">
      <c r="A8247" s="926" t="n">
        <v>42700</v>
      </c>
      <c r="B8247" t="n">
        <v>7.757</v>
      </c>
      <c r="C8247" t="n">
        <v>1.11645</v>
      </c>
    </row>
    <row r="8248">
      <c r="A8248" s="926" t="n">
        <v>42702</v>
      </c>
      <c r="B8248" t="n">
        <v>7.757</v>
      </c>
      <c r="C8248" t="n">
        <v>1.1201</v>
      </c>
    </row>
    <row r="8249">
      <c r="A8249" s="926" t="n">
        <v>42703</v>
      </c>
      <c r="B8249" t="n">
        <v>7.758</v>
      </c>
      <c r="C8249" t="n">
        <v>1.12185</v>
      </c>
    </row>
    <row r="8250">
      <c r="A8250" s="926" t="n">
        <v>42704</v>
      </c>
      <c r="B8250" t="n">
        <v>7.757</v>
      </c>
      <c r="C8250" t="n">
        <v>1.12395</v>
      </c>
    </row>
    <row r="8251">
      <c r="A8251" s="926" t="n">
        <v>42705</v>
      </c>
      <c r="B8251" t="n">
        <v>7.756</v>
      </c>
      <c r="C8251" t="n">
        <v>1.12365</v>
      </c>
    </row>
    <row r="8252">
      <c r="A8252" s="926" t="n">
        <v>42706</v>
      </c>
      <c r="B8252" t="n">
        <v>7.757</v>
      </c>
      <c r="C8252" t="n">
        <v>1.12635</v>
      </c>
    </row>
    <row r="8253">
      <c r="A8253" s="926" t="n">
        <v>42707</v>
      </c>
      <c r="B8253" t="n">
        <v>7.757</v>
      </c>
      <c r="C8253" t="n">
        <v>1.12915</v>
      </c>
    </row>
    <row r="8254">
      <c r="A8254" s="926" t="n">
        <v>42709</v>
      </c>
      <c r="B8254" t="n">
        <v>7.756</v>
      </c>
      <c r="C8254" t="n">
        <v>1.12795</v>
      </c>
    </row>
    <row r="8255">
      <c r="A8255" s="926" t="n">
        <v>42710</v>
      </c>
      <c r="B8255" t="n">
        <v>7.756</v>
      </c>
      <c r="C8255" t="n">
        <v>1.12765</v>
      </c>
    </row>
    <row r="8256">
      <c r="A8256" s="926" t="n">
        <v>42711</v>
      </c>
      <c r="B8256" t="n">
        <v>7.757</v>
      </c>
      <c r="C8256" t="n">
        <v>1.12375</v>
      </c>
    </row>
    <row r="8257">
      <c r="A8257" s="926" t="n">
        <v>42712</v>
      </c>
      <c r="B8257" t="n">
        <v>7.757</v>
      </c>
      <c r="C8257" t="n">
        <v>1.12495</v>
      </c>
    </row>
    <row r="8258">
      <c r="A8258" s="926" t="n">
        <v>42713</v>
      </c>
      <c r="B8258" t="n">
        <v>7.759</v>
      </c>
      <c r="C8258" t="n">
        <v>1.1213</v>
      </c>
    </row>
    <row r="8259">
      <c r="A8259" s="926" t="n">
        <v>42714</v>
      </c>
      <c r="B8259" t="n">
        <v>7.759</v>
      </c>
      <c r="C8259" t="n">
        <v>1.1199</v>
      </c>
    </row>
    <row r="8260">
      <c r="A8260" s="926" t="n">
        <v>42716</v>
      </c>
      <c r="B8260" t="n">
        <v>7.761</v>
      </c>
      <c r="C8260" t="n">
        <v>1.11875</v>
      </c>
    </row>
    <row r="8261">
      <c r="A8261" s="926" t="n">
        <v>42717</v>
      </c>
      <c r="B8261" t="n">
        <v>7.76</v>
      </c>
      <c r="C8261" t="n">
        <v>1.12015</v>
      </c>
    </row>
    <row r="8262">
      <c r="A8262" s="926" t="n">
        <v>42718</v>
      </c>
      <c r="B8262" t="n">
        <v>7.757</v>
      </c>
      <c r="C8262" t="n">
        <v>1.12125</v>
      </c>
    </row>
    <row r="8263">
      <c r="A8263" s="926" t="n">
        <v>42719</v>
      </c>
      <c r="B8263" t="n">
        <v>7.76</v>
      </c>
      <c r="C8263" t="n">
        <v>1.11855</v>
      </c>
    </row>
    <row r="8264">
      <c r="A8264" s="926" t="n">
        <v>42720</v>
      </c>
      <c r="B8264" t="n">
        <v>7.765</v>
      </c>
      <c r="C8264" t="n">
        <v>1.12035</v>
      </c>
    </row>
    <row r="8265">
      <c r="A8265" s="926" t="n">
        <v>42721</v>
      </c>
      <c r="B8265" t="n">
        <v>7.765</v>
      </c>
      <c r="C8265" t="n">
        <v>1.1141</v>
      </c>
    </row>
    <row r="8266">
      <c r="A8266" s="926" t="n">
        <v>42723</v>
      </c>
      <c r="B8266" t="n">
        <v>7.766</v>
      </c>
      <c r="C8266" t="n">
        <v>1.11815</v>
      </c>
    </row>
    <row r="8267">
      <c r="A8267" s="926" t="n">
        <v>42724</v>
      </c>
      <c r="B8267" t="n">
        <v>7.768</v>
      </c>
      <c r="C8267" t="n">
        <v>1.1182</v>
      </c>
    </row>
    <row r="8268">
      <c r="A8268" s="926" t="n">
        <v>42725</v>
      </c>
      <c r="B8268" t="n">
        <v>7.763</v>
      </c>
      <c r="C8268" t="n">
        <v>1.11905</v>
      </c>
    </row>
    <row r="8269">
      <c r="A8269" s="926" t="n">
        <v>42726</v>
      </c>
      <c r="B8269" t="n">
        <v>7.763</v>
      </c>
      <c r="C8269" t="n">
        <v>1.11835</v>
      </c>
    </row>
    <row r="8270">
      <c r="A8270" s="926" t="n">
        <v>42727</v>
      </c>
      <c r="B8270" t="n">
        <v>7.762</v>
      </c>
      <c r="C8270" t="n">
        <v>1.11685</v>
      </c>
    </row>
    <row r="8271">
      <c r="A8271" s="926" t="n">
        <v>42728</v>
      </c>
      <c r="B8271" t="n">
        <v>7.76</v>
      </c>
      <c r="C8271" t="n">
        <v>1.11685</v>
      </c>
    </row>
    <row r="8272">
      <c r="A8272" s="926" t="n">
        <v>42732</v>
      </c>
      <c r="B8272" t="n">
        <v>7.759</v>
      </c>
      <c r="C8272" t="n">
        <v>1.11525</v>
      </c>
    </row>
    <row r="8273">
      <c r="A8273" s="926" t="n">
        <v>42733</v>
      </c>
      <c r="B8273" t="n">
        <v>7.758</v>
      </c>
      <c r="C8273" t="n">
        <v>1.113</v>
      </c>
    </row>
    <row r="8274">
      <c r="A8274" s="926" t="n">
        <v>42734</v>
      </c>
      <c r="B8274" t="n">
        <v>7.756</v>
      </c>
      <c r="C8274" t="n">
        <v>1.1115</v>
      </c>
    </row>
    <row r="8275">
      <c r="A8275" s="926" t="n">
        <v>42735</v>
      </c>
      <c r="B8275" t="n">
        <v>7.754</v>
      </c>
      <c r="C8275" t="n">
        <v>1.11125</v>
      </c>
    </row>
    <row r="8276">
      <c r="A8276" s="926" t="n">
        <v>42738</v>
      </c>
      <c r="B8276" t="n">
        <v>7.758</v>
      </c>
      <c r="C8276" t="n">
        <v>1.11345</v>
      </c>
    </row>
    <row r="8277">
      <c r="A8277" s="926" t="n">
        <v>42739</v>
      </c>
      <c r="B8277" t="n">
        <v>7.757</v>
      </c>
      <c r="C8277" t="n">
        <v>1.11835</v>
      </c>
    </row>
    <row r="8278">
      <c r="A8278" s="926" t="n">
        <v>42740</v>
      </c>
      <c r="B8278" t="n">
        <v>7.756</v>
      </c>
      <c r="C8278" t="n">
        <v>1.1427</v>
      </c>
    </row>
    <row r="8279">
      <c r="A8279" s="926" t="n">
        <v>42741</v>
      </c>
      <c r="B8279" t="n">
        <v>7.756</v>
      </c>
      <c r="C8279" t="n">
        <v>1.13825</v>
      </c>
    </row>
    <row r="8280">
      <c r="A8280" s="926" t="n">
        <v>42742</v>
      </c>
      <c r="B8280" t="n">
        <v>7.755</v>
      </c>
      <c r="C8280" t="n">
        <v>1.12885</v>
      </c>
    </row>
    <row r="8281">
      <c r="A8281" s="926" t="n">
        <v>42744</v>
      </c>
      <c r="B8281" t="n">
        <v>7.757</v>
      </c>
      <c r="C8281" t="n">
        <v>1.1291</v>
      </c>
    </row>
    <row r="8282">
      <c r="A8282" s="926" t="n">
        <v>42745</v>
      </c>
      <c r="B8282" t="n">
        <v>7.756</v>
      </c>
      <c r="C8282" t="n">
        <v>1.12565</v>
      </c>
    </row>
    <row r="8283">
      <c r="A8283" s="926" t="n">
        <v>42746</v>
      </c>
      <c r="B8283" t="n">
        <v>7.756</v>
      </c>
      <c r="C8283" t="n">
        <v>1.12495</v>
      </c>
    </row>
    <row r="8284">
      <c r="A8284" s="926" t="n">
        <v>42747</v>
      </c>
      <c r="B8284" t="n">
        <v>7.755</v>
      </c>
      <c r="C8284" t="n">
        <v>1.12575</v>
      </c>
    </row>
    <row r="8285">
      <c r="A8285" s="926" t="n">
        <v>42748</v>
      </c>
      <c r="B8285" t="n">
        <v>7.756</v>
      </c>
      <c r="C8285" t="n">
        <v>1.1339</v>
      </c>
    </row>
    <row r="8286">
      <c r="A8286" s="926" t="n">
        <v>42749</v>
      </c>
      <c r="B8286" t="n">
        <v>7.756</v>
      </c>
      <c r="C8286" t="n">
        <v>1.1337</v>
      </c>
    </row>
    <row r="8287">
      <c r="A8287" s="926" t="n">
        <v>42751</v>
      </c>
      <c r="B8287" t="n">
        <v>7.756</v>
      </c>
      <c r="C8287" t="n">
        <v>1.13105</v>
      </c>
    </row>
    <row r="8288">
      <c r="A8288" s="926" t="n">
        <v>42752</v>
      </c>
      <c r="B8288" t="n">
        <v>7.757</v>
      </c>
      <c r="C8288" t="n">
        <v>1.1346</v>
      </c>
    </row>
    <row r="8289">
      <c r="A8289" s="926" t="n">
        <v>42753</v>
      </c>
      <c r="B8289" t="n">
        <v>7.757</v>
      </c>
      <c r="C8289" t="n">
        <v>1.1382</v>
      </c>
    </row>
    <row r="8290">
      <c r="A8290" s="926" t="n">
        <v>42754</v>
      </c>
      <c r="B8290" t="n">
        <v>7.758</v>
      </c>
      <c r="C8290" t="n">
        <v>1.1336</v>
      </c>
    </row>
    <row r="8291">
      <c r="A8291" s="926" t="n">
        <v>42755</v>
      </c>
      <c r="B8291" t="n">
        <v>7.759</v>
      </c>
      <c r="C8291" t="n">
        <v>1.1343</v>
      </c>
    </row>
    <row r="8292">
      <c r="A8292" s="926" t="n">
        <v>42756</v>
      </c>
      <c r="B8292" t="n">
        <v>7.756</v>
      </c>
      <c r="C8292" t="n">
        <v>1.13425</v>
      </c>
    </row>
    <row r="8293">
      <c r="A8293" s="926" t="n">
        <v>42758</v>
      </c>
      <c r="B8293" t="n">
        <v>7.759</v>
      </c>
      <c r="C8293" t="n">
        <v>1.1372</v>
      </c>
    </row>
    <row r="8294">
      <c r="A8294" s="926" t="n">
        <v>42759</v>
      </c>
      <c r="B8294" t="n">
        <v>7.758</v>
      </c>
      <c r="C8294" t="n">
        <v>1.1383</v>
      </c>
    </row>
    <row r="8295">
      <c r="A8295" s="926" t="n">
        <v>42760</v>
      </c>
      <c r="B8295" t="n">
        <v>7.759</v>
      </c>
      <c r="C8295" t="n">
        <v>1.1358</v>
      </c>
    </row>
    <row r="8296">
      <c r="A8296" s="926" t="n">
        <v>42761</v>
      </c>
      <c r="B8296" t="n">
        <v>7.759</v>
      </c>
      <c r="C8296" t="n">
        <v>1.1361</v>
      </c>
    </row>
    <row r="8297">
      <c r="A8297" s="926" t="n">
        <v>42762</v>
      </c>
      <c r="B8297" t="n">
        <v>7.759</v>
      </c>
      <c r="C8297" t="n">
        <v>1.129</v>
      </c>
    </row>
    <row r="8298">
      <c r="A8298" s="926" t="n">
        <v>42767</v>
      </c>
      <c r="B8298" t="n">
        <v>7.76</v>
      </c>
      <c r="C8298" t="n">
        <v>1.1353</v>
      </c>
    </row>
    <row r="8299">
      <c r="A8299" s="926" t="n">
        <v>42768</v>
      </c>
      <c r="B8299" t="n">
        <v>7.761</v>
      </c>
      <c r="C8299" t="n">
        <v>1.138</v>
      </c>
    </row>
    <row r="8300">
      <c r="A8300" s="926" t="n">
        <v>42769</v>
      </c>
      <c r="B8300" t="n">
        <v>7.76</v>
      </c>
      <c r="C8300" t="n">
        <v>1.1377</v>
      </c>
    </row>
    <row r="8301">
      <c r="A8301" s="926" t="n">
        <v>42770</v>
      </c>
      <c r="B8301" t="n">
        <v>7.757</v>
      </c>
      <c r="C8301" t="n">
        <v>1.13995</v>
      </c>
    </row>
    <row r="8302">
      <c r="A8302" s="926" t="n">
        <v>42772</v>
      </c>
      <c r="B8302" t="n">
        <v>7.758</v>
      </c>
      <c r="C8302" t="n">
        <v>1.1387</v>
      </c>
    </row>
    <row r="8303">
      <c r="A8303" s="926" t="n">
        <v>42773</v>
      </c>
      <c r="B8303" t="n">
        <v>7.759</v>
      </c>
      <c r="C8303" t="n">
        <v>1.1368</v>
      </c>
    </row>
    <row r="8304">
      <c r="A8304" s="926" t="n">
        <v>42774</v>
      </c>
      <c r="B8304" t="n">
        <v>7.76</v>
      </c>
      <c r="C8304" t="n">
        <v>1.1323</v>
      </c>
    </row>
    <row r="8305">
      <c r="A8305" s="926" t="n">
        <v>42775</v>
      </c>
      <c r="B8305" t="n">
        <v>7.759</v>
      </c>
      <c r="C8305" t="n">
        <v>1.132</v>
      </c>
    </row>
    <row r="8306">
      <c r="A8306" s="926" t="n">
        <v>42776</v>
      </c>
      <c r="B8306" t="n">
        <v>7.759</v>
      </c>
      <c r="C8306" t="n">
        <v>1.13035</v>
      </c>
    </row>
    <row r="8307">
      <c r="A8307" s="926" t="n">
        <v>42777</v>
      </c>
      <c r="B8307" t="n">
        <v>7.759</v>
      </c>
      <c r="C8307" t="n">
        <v>1.1305</v>
      </c>
    </row>
    <row r="8308">
      <c r="A8308" s="926" t="n">
        <v>42779</v>
      </c>
      <c r="B8308" t="n">
        <v>7.76</v>
      </c>
      <c r="C8308" t="n">
        <v>1.12835</v>
      </c>
    </row>
    <row r="8309">
      <c r="A8309" s="926" t="n">
        <v>42780</v>
      </c>
      <c r="B8309" t="n">
        <v>7.76</v>
      </c>
      <c r="C8309" t="n">
        <v>1.13095</v>
      </c>
    </row>
    <row r="8310">
      <c r="A8310" s="926" t="n">
        <v>42781</v>
      </c>
      <c r="B8310" t="n">
        <v>7.762</v>
      </c>
      <c r="C8310" t="n">
        <v>1.1321</v>
      </c>
    </row>
    <row r="8311">
      <c r="A8311" s="926" t="n">
        <v>42782</v>
      </c>
      <c r="B8311" t="n">
        <v>7.762</v>
      </c>
      <c r="C8311" t="n">
        <v>1.1335</v>
      </c>
    </row>
    <row r="8312">
      <c r="A8312" s="926" t="n">
        <v>42783</v>
      </c>
      <c r="B8312" t="n">
        <v>7.762</v>
      </c>
      <c r="C8312" t="n">
        <v>1.1328</v>
      </c>
    </row>
    <row r="8313">
      <c r="A8313" s="926" t="n">
        <v>42784</v>
      </c>
      <c r="B8313" t="n">
        <v>7.761</v>
      </c>
      <c r="C8313" t="n">
        <v>1.13285</v>
      </c>
    </row>
    <row r="8314">
      <c r="A8314" s="926" t="n">
        <v>42786</v>
      </c>
      <c r="B8314" t="n">
        <v>7.762</v>
      </c>
      <c r="C8314" t="n">
        <v>1.1331</v>
      </c>
    </row>
    <row r="8315">
      <c r="A8315" s="926" t="n">
        <v>42787</v>
      </c>
      <c r="B8315" t="n">
        <v>7.762</v>
      </c>
      <c r="C8315" t="n">
        <v>1.1303</v>
      </c>
    </row>
    <row r="8316">
      <c r="A8316" s="926" t="n">
        <v>42788</v>
      </c>
      <c r="B8316" t="n">
        <v>7.762</v>
      </c>
      <c r="C8316" t="n">
        <v>1.13055</v>
      </c>
    </row>
    <row r="8317">
      <c r="A8317" s="926" t="n">
        <v>42789</v>
      </c>
      <c r="B8317" t="n">
        <v>7.76</v>
      </c>
      <c r="C8317" t="n">
        <v>1.1305</v>
      </c>
    </row>
    <row r="8318">
      <c r="A8318" s="926" t="n">
        <v>42790</v>
      </c>
      <c r="B8318" t="n">
        <v>7.761</v>
      </c>
      <c r="C8318" t="n">
        <v>1.1323</v>
      </c>
    </row>
    <row r="8319">
      <c r="A8319" s="926" t="n">
        <v>42791</v>
      </c>
      <c r="B8319" t="n">
        <v>7.759</v>
      </c>
      <c r="C8319" t="n">
        <v>1.13075</v>
      </c>
    </row>
    <row r="8320">
      <c r="A8320" s="926" t="n">
        <v>42793</v>
      </c>
      <c r="B8320" t="n">
        <v>7.762</v>
      </c>
      <c r="C8320" t="n">
        <v>1.1311</v>
      </c>
    </row>
    <row r="8321">
      <c r="A8321" s="926" t="n">
        <v>42794</v>
      </c>
      <c r="B8321" t="n">
        <v>7.763</v>
      </c>
      <c r="C8321" t="n">
        <v>1.13225</v>
      </c>
    </row>
    <row r="8322">
      <c r="A8322" s="926" t="n">
        <v>42795</v>
      </c>
      <c r="B8322" t="n">
        <v>7.764</v>
      </c>
      <c r="C8322" t="n">
        <v>1.12985</v>
      </c>
    </row>
    <row r="8323">
      <c r="A8323" s="926" t="n">
        <v>42796</v>
      </c>
      <c r="B8323" t="n">
        <v>7.764</v>
      </c>
      <c r="C8323" t="n">
        <v>1.12915</v>
      </c>
    </row>
    <row r="8324">
      <c r="A8324" s="926" t="n">
        <v>42797</v>
      </c>
      <c r="B8324" t="n">
        <v>7.765</v>
      </c>
      <c r="C8324" t="n">
        <v>1.12645</v>
      </c>
    </row>
    <row r="8325">
      <c r="A8325" s="926" t="n">
        <v>42798</v>
      </c>
      <c r="B8325" t="n">
        <v>7.764</v>
      </c>
      <c r="C8325" t="n">
        <v>1.1256</v>
      </c>
    </row>
    <row r="8326">
      <c r="A8326" s="926" t="n">
        <v>42800</v>
      </c>
      <c r="B8326" t="n">
        <v>7.765</v>
      </c>
      <c r="C8326" t="n">
        <v>1.12625</v>
      </c>
    </row>
    <row r="8327">
      <c r="A8327" s="926" t="n">
        <v>42801</v>
      </c>
      <c r="B8327" t="n">
        <v>7.767</v>
      </c>
      <c r="C8327" t="n">
        <v>1.12675</v>
      </c>
    </row>
    <row r="8328">
      <c r="A8328" s="926" t="n">
        <v>42802</v>
      </c>
      <c r="B8328" t="n">
        <v>7.768</v>
      </c>
      <c r="C8328" t="n">
        <v>1.12475</v>
      </c>
    </row>
    <row r="8329">
      <c r="A8329" s="926" t="n">
        <v>42803</v>
      </c>
      <c r="B8329" t="n">
        <v>7.768</v>
      </c>
      <c r="C8329" t="n">
        <v>1.12465</v>
      </c>
    </row>
    <row r="8330">
      <c r="A8330" s="926" t="n">
        <v>42804</v>
      </c>
      <c r="B8330" t="n">
        <v>7.766</v>
      </c>
      <c r="C8330" t="n">
        <v>1.12435</v>
      </c>
    </row>
    <row r="8331">
      <c r="A8331" s="926" t="n">
        <v>42805</v>
      </c>
      <c r="B8331" t="n">
        <v>7.764</v>
      </c>
      <c r="C8331" t="n">
        <v>1.1272</v>
      </c>
    </row>
    <row r="8332">
      <c r="A8332" s="926" t="n">
        <v>42807</v>
      </c>
      <c r="B8332" t="n">
        <v>7.766</v>
      </c>
      <c r="C8332" t="n">
        <v>1.12635</v>
      </c>
    </row>
    <row r="8333">
      <c r="A8333" s="926" t="n">
        <v>42808</v>
      </c>
      <c r="B8333" t="n">
        <v>7.771</v>
      </c>
      <c r="C8333" t="n">
        <v>1.12495</v>
      </c>
    </row>
    <row r="8334">
      <c r="A8334" s="926" t="n">
        <v>42809</v>
      </c>
      <c r="B8334" t="n">
        <v>7.77</v>
      </c>
      <c r="C8334" t="n">
        <v>1.12655</v>
      </c>
    </row>
    <row r="8335">
      <c r="A8335" s="926" t="n">
        <v>42810</v>
      </c>
      <c r="B8335" t="n">
        <v>7.765</v>
      </c>
      <c r="C8335" t="n">
        <v>1.13155</v>
      </c>
    </row>
    <row r="8336">
      <c r="A8336" s="926" t="n">
        <v>42811</v>
      </c>
      <c r="B8336" t="n">
        <v>7.766</v>
      </c>
      <c r="C8336" t="n">
        <v>1.12745</v>
      </c>
    </row>
    <row r="8337">
      <c r="A8337" s="926" t="n">
        <v>42812</v>
      </c>
      <c r="B8337" t="n">
        <v>7.76</v>
      </c>
      <c r="C8337" t="n">
        <v>1.1258</v>
      </c>
    </row>
    <row r="8338">
      <c r="A8338" s="926" t="n">
        <v>42814</v>
      </c>
      <c r="B8338" t="n">
        <v>7.767</v>
      </c>
      <c r="C8338" t="n">
        <v>1.12705</v>
      </c>
    </row>
    <row r="8339">
      <c r="A8339" s="926" t="n">
        <v>42815</v>
      </c>
      <c r="B8339" t="n">
        <v>7.767</v>
      </c>
      <c r="C8339" t="n">
        <v>1.1275</v>
      </c>
    </row>
    <row r="8340">
      <c r="A8340" s="926" t="n">
        <v>42816</v>
      </c>
      <c r="B8340" t="n">
        <v>7.768</v>
      </c>
      <c r="C8340" t="n">
        <v>1.1311</v>
      </c>
    </row>
    <row r="8341">
      <c r="A8341" s="926" t="n">
        <v>42817</v>
      </c>
      <c r="B8341" t="n">
        <v>7.768</v>
      </c>
      <c r="C8341" t="n">
        <v>1.13085</v>
      </c>
    </row>
    <row r="8342">
      <c r="A8342" s="926" t="n">
        <v>42818</v>
      </c>
      <c r="B8342" t="n">
        <v>7.768</v>
      </c>
      <c r="C8342" t="n">
        <v>1.12905</v>
      </c>
    </row>
    <row r="8343">
      <c r="A8343" s="926" t="n">
        <v>42819</v>
      </c>
      <c r="B8343" t="n">
        <v>7.767</v>
      </c>
      <c r="C8343" t="n">
        <v>1.1306</v>
      </c>
    </row>
    <row r="8344">
      <c r="A8344" s="926" t="n">
        <v>42821</v>
      </c>
      <c r="B8344" t="n">
        <v>7.768</v>
      </c>
      <c r="C8344" t="n">
        <v>1.1336</v>
      </c>
    </row>
    <row r="8345">
      <c r="A8345" s="926" t="n">
        <v>42822</v>
      </c>
      <c r="B8345" t="n">
        <v>7.769</v>
      </c>
      <c r="C8345" t="n">
        <v>1.1314</v>
      </c>
    </row>
    <row r="8346">
      <c r="A8346" s="926" t="n">
        <v>42823</v>
      </c>
      <c r="B8346" t="n">
        <v>7.769</v>
      </c>
      <c r="C8346" t="n">
        <v>1.13045</v>
      </c>
    </row>
    <row r="8347">
      <c r="A8347" s="926" t="n">
        <v>42824</v>
      </c>
      <c r="B8347" t="n">
        <v>7.772</v>
      </c>
      <c r="C8347" t="n">
        <v>1.12975</v>
      </c>
    </row>
    <row r="8348">
      <c r="A8348" s="926" t="n">
        <v>42825</v>
      </c>
      <c r="B8348" t="n">
        <v>7.77</v>
      </c>
      <c r="C8348" t="n">
        <v>1.12885</v>
      </c>
    </row>
    <row r="8349">
      <c r="A8349" s="926" t="n">
        <v>42826</v>
      </c>
      <c r="B8349" t="n">
        <v>7.77</v>
      </c>
      <c r="C8349" t="n">
        <v>1.13105</v>
      </c>
    </row>
    <row r="8350">
      <c r="A8350" s="926" t="n">
        <v>42828</v>
      </c>
      <c r="B8350" t="n">
        <v>7.773</v>
      </c>
      <c r="C8350" t="n">
        <v>1.13045</v>
      </c>
    </row>
    <row r="8351">
      <c r="A8351" s="926" t="n">
        <v>42830</v>
      </c>
      <c r="B8351" t="n">
        <v>7.771</v>
      </c>
      <c r="C8351" t="n">
        <v>1.12955</v>
      </c>
    </row>
    <row r="8352">
      <c r="A8352" s="926" t="n">
        <v>42831</v>
      </c>
      <c r="B8352" t="n">
        <v>7.771</v>
      </c>
      <c r="C8352" t="n">
        <v>1.12765</v>
      </c>
    </row>
    <row r="8353">
      <c r="A8353" s="926" t="n">
        <v>42832</v>
      </c>
      <c r="B8353" t="n">
        <v>7.771</v>
      </c>
      <c r="C8353" t="n">
        <v>1.12755</v>
      </c>
    </row>
    <row r="8354">
      <c r="A8354" s="926" t="n">
        <v>42833</v>
      </c>
      <c r="B8354" t="n">
        <v>7.766</v>
      </c>
      <c r="C8354" t="n">
        <v>1.1252</v>
      </c>
    </row>
    <row r="8355">
      <c r="A8355" s="926" t="n">
        <v>42835</v>
      </c>
      <c r="B8355" t="n">
        <v>7.771</v>
      </c>
      <c r="C8355" t="n">
        <v>1.12455</v>
      </c>
    </row>
    <row r="8356">
      <c r="A8356" s="926" t="n">
        <v>42836</v>
      </c>
      <c r="B8356" t="n">
        <v>7.772</v>
      </c>
      <c r="C8356" t="n">
        <v>1.12525</v>
      </c>
    </row>
    <row r="8357">
      <c r="A8357" s="926" t="n">
        <v>42837</v>
      </c>
      <c r="B8357" t="n">
        <v>7.773</v>
      </c>
      <c r="C8357" t="n">
        <v>1.12655</v>
      </c>
    </row>
    <row r="8358">
      <c r="A8358" s="926" t="n">
        <v>42838</v>
      </c>
      <c r="B8358" t="n">
        <v>7.774</v>
      </c>
      <c r="C8358" t="n">
        <v>1.1298</v>
      </c>
    </row>
    <row r="8359">
      <c r="A8359" s="926" t="n">
        <v>42843</v>
      </c>
      <c r="B8359" t="n">
        <v>7.776</v>
      </c>
      <c r="C8359" t="n">
        <v>1.1293</v>
      </c>
    </row>
    <row r="8360">
      <c r="A8360" s="926" t="n">
        <v>42844</v>
      </c>
      <c r="B8360" t="n">
        <v>7.775</v>
      </c>
      <c r="C8360" t="n">
        <v>1.12975</v>
      </c>
    </row>
    <row r="8361">
      <c r="A8361" s="926" t="n">
        <v>42845</v>
      </c>
      <c r="B8361" t="n">
        <v>7.777</v>
      </c>
      <c r="C8361" t="n">
        <v>1.13025</v>
      </c>
    </row>
    <row r="8362">
      <c r="A8362" s="926" t="n">
        <v>42846</v>
      </c>
      <c r="B8362" t="n">
        <v>7.777</v>
      </c>
      <c r="C8362" t="n">
        <v>1.13</v>
      </c>
    </row>
    <row r="8363">
      <c r="A8363" s="926" t="n">
        <v>42847</v>
      </c>
      <c r="B8363" t="n">
        <v>7.776</v>
      </c>
      <c r="C8363" t="n">
        <v>1.1287</v>
      </c>
    </row>
    <row r="8364">
      <c r="A8364" s="926" t="n">
        <v>42849</v>
      </c>
      <c r="B8364" t="n">
        <v>7.778</v>
      </c>
      <c r="C8364" t="n">
        <v>1.12935</v>
      </c>
    </row>
    <row r="8365">
      <c r="A8365" s="926" t="n">
        <v>42850</v>
      </c>
      <c r="B8365" t="n">
        <v>7.784</v>
      </c>
      <c r="C8365" t="n">
        <v>1.1306</v>
      </c>
    </row>
    <row r="8366">
      <c r="A8366" s="926" t="n">
        <v>42851</v>
      </c>
      <c r="B8366" t="n">
        <v>7.783</v>
      </c>
      <c r="C8366" t="n">
        <v>1.12885</v>
      </c>
    </row>
    <row r="8367">
      <c r="A8367" s="926" t="n">
        <v>42852</v>
      </c>
      <c r="B8367" t="n">
        <v>7.783</v>
      </c>
      <c r="C8367" t="n">
        <v>1.12805</v>
      </c>
    </row>
    <row r="8368">
      <c r="A8368" s="926" t="n">
        <v>42853</v>
      </c>
      <c r="B8368" t="n">
        <v>7.781</v>
      </c>
      <c r="C8368" t="n">
        <v>1.12785</v>
      </c>
    </row>
    <row r="8369">
      <c r="A8369" s="926" t="n">
        <v>42854</v>
      </c>
      <c r="B8369" t="n">
        <v>7.778</v>
      </c>
      <c r="C8369" t="n">
        <v>1.12655</v>
      </c>
    </row>
    <row r="8370">
      <c r="A8370" s="926" t="n">
        <v>42857</v>
      </c>
      <c r="B8370" t="n">
        <v>7.781</v>
      </c>
      <c r="C8370" t="n">
        <v>1.12855</v>
      </c>
    </row>
    <row r="8371">
      <c r="A8371" s="926" t="n">
        <v>42859</v>
      </c>
      <c r="B8371" t="n">
        <v>7.783</v>
      </c>
      <c r="C8371" t="n">
        <v>1.12845</v>
      </c>
    </row>
    <row r="8372">
      <c r="A8372" s="926" t="n">
        <v>42860</v>
      </c>
      <c r="B8372" t="n">
        <v>7.784</v>
      </c>
      <c r="C8372" t="n">
        <v>1.1278</v>
      </c>
    </row>
    <row r="8373">
      <c r="A8373" s="926" t="n">
        <v>42861</v>
      </c>
      <c r="B8373" t="n">
        <v>7.784</v>
      </c>
      <c r="C8373" t="n">
        <v>1.1273</v>
      </c>
    </row>
    <row r="8374">
      <c r="A8374" s="926" t="n">
        <v>42863</v>
      </c>
      <c r="B8374" t="n">
        <v>7.786</v>
      </c>
      <c r="C8374" t="n">
        <v>1.1278</v>
      </c>
    </row>
    <row r="8375">
      <c r="A8375" s="926" t="n">
        <v>42864</v>
      </c>
      <c r="B8375" t="n">
        <v>7.786</v>
      </c>
      <c r="C8375" t="n">
        <v>1.12625</v>
      </c>
    </row>
    <row r="8376">
      <c r="A8376" s="926" t="n">
        <v>42865</v>
      </c>
      <c r="B8376" t="n">
        <v>7.787</v>
      </c>
      <c r="C8376" t="n">
        <v>1.12665</v>
      </c>
    </row>
    <row r="8377">
      <c r="A8377" s="926" t="n">
        <v>42866</v>
      </c>
      <c r="B8377" t="n">
        <v>7.79</v>
      </c>
      <c r="C8377" t="n">
        <v>1.12755</v>
      </c>
    </row>
    <row r="8378">
      <c r="A8378" s="926" t="n">
        <v>42867</v>
      </c>
      <c r="B8378" t="n">
        <v>7.794</v>
      </c>
      <c r="C8378" t="n">
        <v>1.12875</v>
      </c>
    </row>
    <row r="8379">
      <c r="A8379" s="926" t="n">
        <v>42868</v>
      </c>
      <c r="B8379" t="n">
        <v>7.793</v>
      </c>
      <c r="C8379" t="n">
        <v>1.1299</v>
      </c>
    </row>
    <row r="8380">
      <c r="A8380" s="926" t="n">
        <v>42870</v>
      </c>
      <c r="B8380" t="n">
        <v>7.789</v>
      </c>
      <c r="C8380" t="n">
        <v>1.12935</v>
      </c>
    </row>
    <row r="8381">
      <c r="A8381" s="926" t="n">
        <v>42871</v>
      </c>
      <c r="B8381" t="n">
        <v>7.788</v>
      </c>
      <c r="C8381" t="n">
        <v>1.13095</v>
      </c>
    </row>
    <row r="8382">
      <c r="A8382" s="926" t="n">
        <v>42872</v>
      </c>
      <c r="B8382" t="n">
        <v>7.789</v>
      </c>
      <c r="C8382" t="n">
        <v>1.13205</v>
      </c>
    </row>
    <row r="8383">
      <c r="A8383" s="926" t="n">
        <v>42873</v>
      </c>
      <c r="B8383" t="n">
        <v>7.786</v>
      </c>
      <c r="C8383" t="n">
        <v>1.1315</v>
      </c>
    </row>
    <row r="8384">
      <c r="A8384" s="926" t="n">
        <v>42874</v>
      </c>
      <c r="B8384" t="n">
        <v>7.783</v>
      </c>
      <c r="C8384" t="n">
        <v>1.13015</v>
      </c>
    </row>
    <row r="8385">
      <c r="A8385" s="926" t="n">
        <v>42875</v>
      </c>
      <c r="B8385" t="n">
        <v>7.782</v>
      </c>
      <c r="C8385" t="n">
        <v>1.1323</v>
      </c>
    </row>
    <row r="8386">
      <c r="A8386" s="926" t="n">
        <v>42877</v>
      </c>
      <c r="B8386" t="n">
        <v>7.787</v>
      </c>
      <c r="C8386" t="n">
        <v>1.13195</v>
      </c>
    </row>
    <row r="8387">
      <c r="A8387" s="926" t="n">
        <v>42878</v>
      </c>
      <c r="B8387" t="n">
        <v>7.788</v>
      </c>
      <c r="C8387" t="n">
        <v>1.1318</v>
      </c>
    </row>
    <row r="8388">
      <c r="A8388" s="926" t="n">
        <v>42879</v>
      </c>
      <c r="B8388" t="n">
        <v>7.791</v>
      </c>
      <c r="C8388" t="n">
        <v>1.1324</v>
      </c>
    </row>
    <row r="8389">
      <c r="A8389" s="926" t="n">
        <v>42880</v>
      </c>
      <c r="B8389" t="n">
        <v>7.79</v>
      </c>
      <c r="C8389" t="n">
        <v>1.1354</v>
      </c>
    </row>
    <row r="8390">
      <c r="A8390" s="926" t="n">
        <v>42881</v>
      </c>
      <c r="B8390" t="n">
        <v>7.793</v>
      </c>
      <c r="C8390" t="n">
        <v>1.1392</v>
      </c>
    </row>
    <row r="8391">
      <c r="A8391" s="926" t="n">
        <v>42882</v>
      </c>
      <c r="B8391" t="n">
        <v>7.793</v>
      </c>
      <c r="C8391" t="n">
        <v>1.14135</v>
      </c>
    </row>
    <row r="8392">
      <c r="A8392" s="926" t="n">
        <v>42884</v>
      </c>
      <c r="B8392" t="n">
        <v>7.795</v>
      </c>
      <c r="C8392" t="n">
        <v>1.1427</v>
      </c>
    </row>
    <row r="8393">
      <c r="A8393" s="926" t="n">
        <v>42886</v>
      </c>
      <c r="B8393" t="n">
        <v>7.789</v>
      </c>
      <c r="C8393" t="n">
        <v>1.15225</v>
      </c>
    </row>
    <row r="8394">
      <c r="A8394" s="926" t="n">
        <v>42887</v>
      </c>
      <c r="B8394" t="n">
        <v>7.793</v>
      </c>
      <c r="C8394" t="n">
        <v>1.1566</v>
      </c>
    </row>
    <row r="8395">
      <c r="A8395" s="926" t="n">
        <v>42888</v>
      </c>
      <c r="B8395" t="n">
        <v>7.793</v>
      </c>
      <c r="C8395" t="n">
        <v>1.1476</v>
      </c>
    </row>
    <row r="8396">
      <c r="A8396" s="926" t="n">
        <v>42889</v>
      </c>
      <c r="B8396" t="n">
        <v>7.79</v>
      </c>
      <c r="C8396" t="n">
        <v>1.14985</v>
      </c>
    </row>
    <row r="8397">
      <c r="A8397" s="926" t="n">
        <v>42891</v>
      </c>
      <c r="B8397" t="n">
        <v>7.793</v>
      </c>
      <c r="C8397" t="n">
        <v>1.14925</v>
      </c>
    </row>
    <row r="8398">
      <c r="A8398" s="926" t="n">
        <v>42892</v>
      </c>
      <c r="B8398" t="n">
        <v>7.794</v>
      </c>
      <c r="C8398" t="n">
        <v>1.15125</v>
      </c>
    </row>
    <row r="8399">
      <c r="A8399" s="926" t="n">
        <v>42893</v>
      </c>
      <c r="B8399" t="n">
        <v>7.795</v>
      </c>
      <c r="C8399" t="n">
        <v>1.1509</v>
      </c>
    </row>
    <row r="8400">
      <c r="A8400" s="926" t="n">
        <v>42894</v>
      </c>
      <c r="B8400" t="n">
        <v>7.797</v>
      </c>
      <c r="C8400" t="n">
        <v>1.151</v>
      </c>
    </row>
    <row r="8401">
      <c r="A8401" s="926" t="n">
        <v>42895</v>
      </c>
      <c r="B8401" t="n">
        <v>7.797</v>
      </c>
      <c r="C8401" t="n">
        <v>1.14895</v>
      </c>
    </row>
    <row r="8402">
      <c r="A8402" s="926" t="n">
        <v>42896</v>
      </c>
      <c r="B8402" t="n">
        <v>7.796</v>
      </c>
      <c r="C8402" t="n">
        <v>1.149</v>
      </c>
    </row>
    <row r="8403">
      <c r="A8403" s="926" t="n">
        <v>42898</v>
      </c>
      <c r="B8403" t="n">
        <v>7.797</v>
      </c>
      <c r="C8403" t="n">
        <v>1.1479</v>
      </c>
    </row>
    <row r="8404">
      <c r="A8404" s="926" t="n">
        <v>42899</v>
      </c>
      <c r="B8404" t="n">
        <v>7.799</v>
      </c>
      <c r="C8404" t="n">
        <v>1.14865</v>
      </c>
    </row>
    <row r="8405">
      <c r="A8405" s="926" t="n">
        <v>42900</v>
      </c>
      <c r="B8405" t="n">
        <v>7.8</v>
      </c>
      <c r="C8405" t="n">
        <v>1.1488</v>
      </c>
    </row>
    <row r="8406">
      <c r="A8406" s="926" t="n">
        <v>42901</v>
      </c>
      <c r="B8406" t="n">
        <v>7.801</v>
      </c>
      <c r="C8406" t="n">
        <v>1.1491</v>
      </c>
    </row>
    <row r="8407">
      <c r="A8407" s="926" t="n">
        <v>42902</v>
      </c>
      <c r="B8407" t="n">
        <v>7.801</v>
      </c>
      <c r="C8407" t="n">
        <v>1.1439</v>
      </c>
    </row>
    <row r="8408">
      <c r="A8408" s="926" t="n">
        <v>42903</v>
      </c>
      <c r="B8408" t="n">
        <v>7.8</v>
      </c>
      <c r="C8408" t="n">
        <v>1.14455</v>
      </c>
    </row>
    <row r="8409">
      <c r="A8409" s="926" t="n">
        <v>42905</v>
      </c>
      <c r="B8409" t="n">
        <v>7.798</v>
      </c>
      <c r="C8409" t="n">
        <v>1.1434</v>
      </c>
    </row>
    <row r="8410">
      <c r="A8410" s="926" t="n">
        <v>42906</v>
      </c>
      <c r="B8410" t="n">
        <v>7.8</v>
      </c>
      <c r="C8410" t="n">
        <v>1.1413</v>
      </c>
    </row>
    <row r="8411">
      <c r="A8411" s="926" t="n">
        <v>42907</v>
      </c>
      <c r="B8411" t="n">
        <v>7.802</v>
      </c>
      <c r="C8411" t="n">
        <v>1.1423</v>
      </c>
    </row>
    <row r="8412">
      <c r="A8412" s="926" t="n">
        <v>42908</v>
      </c>
      <c r="B8412" t="n">
        <v>7.801</v>
      </c>
      <c r="C8412" t="n">
        <v>1.1417</v>
      </c>
    </row>
    <row r="8413">
      <c r="A8413" s="926" t="n">
        <v>42909</v>
      </c>
      <c r="B8413" t="n">
        <v>7.799</v>
      </c>
      <c r="C8413" t="n">
        <v>1.1408</v>
      </c>
    </row>
    <row r="8414">
      <c r="A8414" s="926" t="n">
        <v>42910</v>
      </c>
      <c r="B8414" t="n">
        <v>7.8</v>
      </c>
      <c r="C8414" t="n">
        <v>1.14055</v>
      </c>
    </row>
    <row r="8415">
      <c r="A8415" s="926" t="n">
        <v>42912</v>
      </c>
      <c r="B8415" t="n">
        <v>7.8</v>
      </c>
      <c r="C8415" t="n">
        <v>1.1387</v>
      </c>
    </row>
    <row r="8416">
      <c r="A8416" s="926" t="n">
        <v>42913</v>
      </c>
      <c r="B8416" t="n">
        <v>7.801</v>
      </c>
      <c r="C8416" t="n">
        <v>1.1428</v>
      </c>
    </row>
    <row r="8417">
      <c r="A8417" s="926" t="n">
        <v>42914</v>
      </c>
      <c r="B8417" t="n">
        <v>7.803</v>
      </c>
      <c r="C8417" t="n">
        <v>1.1476</v>
      </c>
    </row>
    <row r="8418">
      <c r="A8418" s="926" t="n">
        <v>42915</v>
      </c>
      <c r="B8418" t="n">
        <v>7.806</v>
      </c>
      <c r="C8418" t="n">
        <v>1.15075</v>
      </c>
    </row>
    <row r="8419">
      <c r="A8419" s="926" t="n">
        <v>42916</v>
      </c>
      <c r="B8419" t="n">
        <v>7.807</v>
      </c>
      <c r="C8419" t="n">
        <v>1.15265</v>
      </c>
    </row>
    <row r="8420">
      <c r="A8420" s="926" t="n">
        <v>42919</v>
      </c>
      <c r="B8420" t="n">
        <v>7.811</v>
      </c>
      <c r="C8420" t="n">
        <v>1.15145</v>
      </c>
    </row>
    <row r="8421">
      <c r="A8421" s="926" t="n">
        <v>42920</v>
      </c>
      <c r="B8421" t="n">
        <v>7.809</v>
      </c>
      <c r="C8421" t="n">
        <v>1.1486</v>
      </c>
    </row>
    <row r="8422">
      <c r="A8422" s="926" t="n">
        <v>42921</v>
      </c>
      <c r="B8422" t="n">
        <v>7.806</v>
      </c>
      <c r="C8422" t="n">
        <v>1.14855</v>
      </c>
    </row>
    <row r="8423">
      <c r="A8423" s="926" t="n">
        <v>42922</v>
      </c>
      <c r="B8423" t="n">
        <v>7.809</v>
      </c>
      <c r="C8423" t="n">
        <v>1.14795</v>
      </c>
    </row>
    <row r="8424">
      <c r="A8424" s="926" t="n">
        <v>42923</v>
      </c>
      <c r="B8424" t="n">
        <v>7.812</v>
      </c>
      <c r="C8424" t="n">
        <v>1.14885</v>
      </c>
    </row>
    <row r="8425">
      <c r="A8425" s="926" t="n">
        <v>42924</v>
      </c>
      <c r="B8425" t="n">
        <v>7.81</v>
      </c>
      <c r="C8425" t="n">
        <v>1.1477</v>
      </c>
    </row>
    <row r="8426">
      <c r="A8426" s="926" t="n">
        <v>42926</v>
      </c>
      <c r="B8426" t="n">
        <v>7.813</v>
      </c>
      <c r="C8426" t="n">
        <v>1.1482</v>
      </c>
    </row>
    <row r="8427">
      <c r="A8427" s="926" t="n">
        <v>42927</v>
      </c>
      <c r="B8427" t="n">
        <v>7.814</v>
      </c>
      <c r="C8427" t="n">
        <v>1.1473</v>
      </c>
    </row>
    <row r="8428">
      <c r="A8428" s="926" t="n">
        <v>42928</v>
      </c>
      <c r="B8428" t="n">
        <v>7.812</v>
      </c>
      <c r="C8428" t="n">
        <v>1.15055</v>
      </c>
    </row>
    <row r="8429">
      <c r="A8429" s="926" t="n">
        <v>42929</v>
      </c>
      <c r="B8429" t="n">
        <v>7.81</v>
      </c>
      <c r="C8429" t="n">
        <v>1.15235</v>
      </c>
    </row>
    <row r="8430">
      <c r="A8430" s="926" t="n">
        <v>42930</v>
      </c>
      <c r="B8430" t="n">
        <v>7.811</v>
      </c>
      <c r="C8430" t="n">
        <v>1.15175</v>
      </c>
    </row>
    <row r="8431">
      <c r="A8431" s="926" t="n">
        <v>42931</v>
      </c>
      <c r="B8431" t="n">
        <v>7.804</v>
      </c>
      <c r="C8431" t="n">
        <v>1.1526</v>
      </c>
    </row>
    <row r="8432">
      <c r="A8432" s="926" t="n">
        <v>42933</v>
      </c>
      <c r="B8432" t="n">
        <v>7.804</v>
      </c>
      <c r="C8432" t="n">
        <v>1.15295</v>
      </c>
    </row>
    <row r="8433">
      <c r="A8433" s="926" t="n">
        <v>42934</v>
      </c>
      <c r="B8433" t="n">
        <v>7.805</v>
      </c>
      <c r="C8433" t="n">
        <v>1.1555</v>
      </c>
    </row>
    <row r="8434">
      <c r="A8434" s="926" t="n">
        <v>42935</v>
      </c>
      <c r="B8434" t="n">
        <v>7.808</v>
      </c>
      <c r="C8434" t="n">
        <v>1.15585</v>
      </c>
    </row>
    <row r="8435">
      <c r="A8435" s="926" t="n">
        <v>42936</v>
      </c>
      <c r="B8435" t="n">
        <v>7.809</v>
      </c>
      <c r="C8435" t="n">
        <v>1.1542</v>
      </c>
    </row>
    <row r="8436">
      <c r="A8436" s="926" t="n">
        <v>42937</v>
      </c>
      <c r="B8436" t="n">
        <v>7.81</v>
      </c>
      <c r="C8436" t="n">
        <v>1.1557</v>
      </c>
    </row>
    <row r="8437">
      <c r="A8437" s="926" t="n">
        <v>42938</v>
      </c>
      <c r="B8437" t="n">
        <v>7.81</v>
      </c>
      <c r="C8437" t="n">
        <v>1.15585</v>
      </c>
    </row>
    <row r="8438">
      <c r="A8438" s="926" t="n">
        <v>42940</v>
      </c>
      <c r="B8438" t="n">
        <v>7.807</v>
      </c>
      <c r="C8438" t="n">
        <v>1.15645</v>
      </c>
    </row>
    <row r="8439">
      <c r="A8439" s="926" t="n">
        <v>42941</v>
      </c>
      <c r="B8439" t="n">
        <v>7.808</v>
      </c>
      <c r="C8439" t="n">
        <v>1.15735</v>
      </c>
    </row>
    <row r="8440">
      <c r="A8440" s="926" t="n">
        <v>42942</v>
      </c>
      <c r="B8440" t="n">
        <v>7.811</v>
      </c>
      <c r="C8440" t="n">
        <v>1.15645</v>
      </c>
    </row>
    <row r="8441">
      <c r="A8441" s="926" t="n">
        <v>42943</v>
      </c>
      <c r="B8441" t="n">
        <v>7.81</v>
      </c>
      <c r="C8441" t="n">
        <v>1.15985</v>
      </c>
    </row>
    <row r="8442">
      <c r="A8442" s="926" t="n">
        <v>42944</v>
      </c>
      <c r="B8442" t="n">
        <v>7.811</v>
      </c>
      <c r="C8442" t="n">
        <v>1.15845</v>
      </c>
    </row>
    <row r="8443">
      <c r="A8443" s="926" t="n">
        <v>42945</v>
      </c>
      <c r="B8443" t="n">
        <v>7.81</v>
      </c>
      <c r="C8443" t="n">
        <v>1.15895</v>
      </c>
    </row>
    <row r="8444">
      <c r="A8444" s="926" t="n">
        <v>42947</v>
      </c>
      <c r="B8444" t="n">
        <v>7.81</v>
      </c>
      <c r="C8444" t="n">
        <v>1.16075</v>
      </c>
    </row>
    <row r="8445">
      <c r="A8445" s="926" t="n">
        <v>42948</v>
      </c>
      <c r="B8445" t="n">
        <v>7.813</v>
      </c>
      <c r="C8445" t="n">
        <v>1.16215</v>
      </c>
    </row>
    <row r="8446">
      <c r="A8446" s="926" t="n">
        <v>42949</v>
      </c>
      <c r="B8446" t="n">
        <v>7.816</v>
      </c>
      <c r="C8446" t="n">
        <v>1.16145</v>
      </c>
    </row>
    <row r="8447">
      <c r="A8447" s="926" t="n">
        <v>42950</v>
      </c>
      <c r="B8447" t="n">
        <v>7.819</v>
      </c>
      <c r="C8447" t="n">
        <v>1.16205</v>
      </c>
    </row>
    <row r="8448">
      <c r="A8448" s="926" t="n">
        <v>42951</v>
      </c>
      <c r="B8448" t="n">
        <v>7.818</v>
      </c>
      <c r="C8448" t="n">
        <v>1.16275</v>
      </c>
    </row>
    <row r="8449">
      <c r="A8449" s="926" t="n">
        <v>42952</v>
      </c>
      <c r="B8449" t="n">
        <v>7.818</v>
      </c>
      <c r="C8449" t="n">
        <v>1.16095</v>
      </c>
    </row>
    <row r="8450">
      <c r="A8450" s="926" t="n">
        <v>42954</v>
      </c>
      <c r="B8450" t="n">
        <v>7.823</v>
      </c>
      <c r="C8450" t="n">
        <v>1.16285</v>
      </c>
    </row>
    <row r="8451">
      <c r="A8451" s="926" t="n">
        <v>42955</v>
      </c>
      <c r="B8451" t="n">
        <v>7.824</v>
      </c>
      <c r="C8451" t="n">
        <v>1.16645</v>
      </c>
    </row>
    <row r="8452">
      <c r="A8452" s="926" t="n">
        <v>42956</v>
      </c>
      <c r="B8452" t="n">
        <v>7.818</v>
      </c>
      <c r="C8452" t="n">
        <v>1.16785</v>
      </c>
    </row>
    <row r="8453">
      <c r="A8453" s="926" t="n">
        <v>42957</v>
      </c>
      <c r="B8453" t="n">
        <v>7.817</v>
      </c>
      <c r="C8453" t="n">
        <v>1.17075</v>
      </c>
    </row>
    <row r="8454">
      <c r="A8454" s="926" t="n">
        <v>42958</v>
      </c>
      <c r="B8454" t="n">
        <v>7.818</v>
      </c>
      <c r="C8454" t="n">
        <v>1.1692</v>
      </c>
    </row>
    <row r="8455">
      <c r="A8455" s="926" t="n">
        <v>42959</v>
      </c>
      <c r="B8455" t="n">
        <v>7.82</v>
      </c>
      <c r="C8455" t="n">
        <v>1.17165</v>
      </c>
    </row>
    <row r="8456">
      <c r="A8456" s="926" t="n">
        <v>42961</v>
      </c>
      <c r="B8456" t="n">
        <v>7.822</v>
      </c>
      <c r="C8456" t="n">
        <v>1.17085</v>
      </c>
    </row>
    <row r="8457">
      <c r="A8457" s="926" t="n">
        <v>42962</v>
      </c>
      <c r="B8457" t="n">
        <v>7.823</v>
      </c>
      <c r="C8457" t="n">
        <v>1.16855</v>
      </c>
    </row>
    <row r="8458">
      <c r="A8458" s="926" t="n">
        <v>42963</v>
      </c>
      <c r="B8458" t="n">
        <v>7.824</v>
      </c>
      <c r="C8458" t="n">
        <v>1.1669</v>
      </c>
    </row>
    <row r="8459">
      <c r="A8459" s="926" t="n">
        <v>42964</v>
      </c>
      <c r="B8459" t="n">
        <v>7.824</v>
      </c>
      <c r="C8459" t="n">
        <v>1.1712</v>
      </c>
    </row>
    <row r="8460">
      <c r="A8460" s="926" t="n">
        <v>42965</v>
      </c>
      <c r="B8460" t="n">
        <v>7.825</v>
      </c>
      <c r="C8460" t="n">
        <v>1.1704</v>
      </c>
    </row>
    <row r="8461">
      <c r="A8461" s="926" t="n">
        <v>42966</v>
      </c>
      <c r="B8461" t="n">
        <v>7.822</v>
      </c>
      <c r="C8461" t="n">
        <v>1.17115</v>
      </c>
    </row>
    <row r="8462">
      <c r="A8462" s="926" t="n">
        <v>42968</v>
      </c>
      <c r="B8462" t="n">
        <v>7.825</v>
      </c>
      <c r="C8462" t="n">
        <v>1.1712</v>
      </c>
    </row>
    <row r="8463">
      <c r="A8463" s="926" t="n">
        <v>42969</v>
      </c>
      <c r="B8463" t="n">
        <v>7.826</v>
      </c>
      <c r="C8463" t="n">
        <v>1.1748</v>
      </c>
    </row>
    <row r="8464">
      <c r="A8464" s="926" t="n">
        <v>42971</v>
      </c>
      <c r="B8464" t="n">
        <v>7.827</v>
      </c>
      <c r="C8464" t="n">
        <v>1.1755</v>
      </c>
    </row>
    <row r="8465">
      <c r="A8465" s="926" t="n">
        <v>42972</v>
      </c>
      <c r="B8465" t="n">
        <v>7.826</v>
      </c>
      <c r="C8465" t="n">
        <v>1.175</v>
      </c>
    </row>
    <row r="8466">
      <c r="A8466" s="926" t="n">
        <v>42973</v>
      </c>
      <c r="B8466" t="n">
        <v>7.819</v>
      </c>
      <c r="C8466" t="n">
        <v>1.17685</v>
      </c>
    </row>
    <row r="8467">
      <c r="A8467" s="926" t="n">
        <v>42975</v>
      </c>
      <c r="B8467" t="n">
        <v>7.825</v>
      </c>
      <c r="C8467" t="n">
        <v>1.1797</v>
      </c>
    </row>
    <row r="8468">
      <c r="A8468" s="926" t="n">
        <v>42976</v>
      </c>
      <c r="B8468" t="n">
        <v>7.826</v>
      </c>
      <c r="C8468" t="n">
        <v>1.1848</v>
      </c>
    </row>
    <row r="8469">
      <c r="A8469" s="926" t="n">
        <v>42977</v>
      </c>
      <c r="B8469" t="n">
        <v>7.827</v>
      </c>
      <c r="C8469" t="n">
        <v>1.18705</v>
      </c>
    </row>
    <row r="8470">
      <c r="A8470" s="926" t="n">
        <v>42978</v>
      </c>
      <c r="B8470" t="n">
        <v>7.827</v>
      </c>
      <c r="C8470" t="n">
        <v>1.18555</v>
      </c>
    </row>
    <row r="8471">
      <c r="A8471" s="926" t="n">
        <v>42979</v>
      </c>
      <c r="B8471" t="n">
        <v>7.827</v>
      </c>
      <c r="C8471" t="n">
        <v>1.1898</v>
      </c>
    </row>
    <row r="8472">
      <c r="A8472" s="926" t="n">
        <v>42980</v>
      </c>
      <c r="B8472" t="n">
        <v>7.824</v>
      </c>
      <c r="C8472" t="n">
        <v>1.19185</v>
      </c>
    </row>
    <row r="8473">
      <c r="A8473" s="926" t="n">
        <v>42982</v>
      </c>
      <c r="B8473" t="n">
        <v>7.826</v>
      </c>
      <c r="C8473" t="n">
        <v>1.19645</v>
      </c>
    </row>
    <row r="8474">
      <c r="A8474" s="926" t="n">
        <v>42983</v>
      </c>
      <c r="B8474" t="n">
        <v>7.826</v>
      </c>
      <c r="C8474" t="n">
        <v>1.19545</v>
      </c>
    </row>
    <row r="8475">
      <c r="A8475" s="926" t="n">
        <v>42984</v>
      </c>
      <c r="B8475" t="n">
        <v>7.826</v>
      </c>
      <c r="C8475" t="n">
        <v>1.19535</v>
      </c>
    </row>
    <row r="8476">
      <c r="A8476" s="926" t="n">
        <v>42985</v>
      </c>
      <c r="B8476" t="n">
        <v>7.825</v>
      </c>
      <c r="C8476" t="n">
        <v>1.2002</v>
      </c>
    </row>
    <row r="8477">
      <c r="A8477" s="926" t="n">
        <v>42986</v>
      </c>
      <c r="B8477" t="n">
        <v>7.808</v>
      </c>
      <c r="C8477" t="n">
        <v>1.2075</v>
      </c>
    </row>
    <row r="8478">
      <c r="A8478" s="926" t="n">
        <v>42987</v>
      </c>
      <c r="B8478" t="n">
        <v>7.811</v>
      </c>
      <c r="C8478" t="n">
        <v>1.2015</v>
      </c>
    </row>
    <row r="8479">
      <c r="A8479" s="926" t="n">
        <v>42989</v>
      </c>
      <c r="B8479" t="n">
        <v>7.816</v>
      </c>
      <c r="C8479" t="n">
        <v>1.19655</v>
      </c>
    </row>
    <row r="8480">
      <c r="A8480" s="926" t="n">
        <v>42990</v>
      </c>
      <c r="B8480" t="n">
        <v>7.815</v>
      </c>
      <c r="C8480" t="n">
        <v>1.1947</v>
      </c>
    </row>
    <row r="8481">
      <c r="A8481" s="926" t="n">
        <v>42991</v>
      </c>
      <c r="B8481" t="n">
        <v>7.812</v>
      </c>
      <c r="C8481" t="n">
        <v>1.19715</v>
      </c>
    </row>
    <row r="8482">
      <c r="A8482" s="926" t="n">
        <v>42992</v>
      </c>
      <c r="B8482" t="n">
        <v>7.813</v>
      </c>
      <c r="C8482" t="n">
        <v>1.19195</v>
      </c>
    </row>
    <row r="8483">
      <c r="A8483" s="926" t="n">
        <v>42993</v>
      </c>
      <c r="B8483" t="n">
        <v>7.814</v>
      </c>
      <c r="C8483" t="n">
        <v>1.19325</v>
      </c>
    </row>
    <row r="8484">
      <c r="A8484" s="926" t="n">
        <v>42994</v>
      </c>
      <c r="B8484" t="n">
        <v>7.82</v>
      </c>
      <c r="C8484" t="n">
        <v>1.19405</v>
      </c>
    </row>
    <row r="8485">
      <c r="A8485" s="926" t="n">
        <v>42996</v>
      </c>
      <c r="B8485" t="n">
        <v>7.817</v>
      </c>
      <c r="C8485" t="n">
        <v>1.19225</v>
      </c>
    </row>
    <row r="8486">
      <c r="A8486" s="926" t="n">
        <v>42997</v>
      </c>
      <c r="B8486" t="n">
        <v>7.806</v>
      </c>
      <c r="C8486" t="n">
        <v>1.18485</v>
      </c>
    </row>
    <row r="8487">
      <c r="A8487" s="926" t="n">
        <v>42998</v>
      </c>
      <c r="B8487" t="n">
        <v>7.809</v>
      </c>
      <c r="C8487" t="n">
        <v>1.18805</v>
      </c>
    </row>
    <row r="8488">
      <c r="A8488" s="926" t="n">
        <v>42999</v>
      </c>
      <c r="B8488" t="n">
        <v>7.808</v>
      </c>
      <c r="C8488" t="n">
        <v>1.1841</v>
      </c>
    </row>
    <row r="8489">
      <c r="A8489" s="926" t="n">
        <v>43000</v>
      </c>
      <c r="B8489" t="n">
        <v>7.81</v>
      </c>
      <c r="C8489" t="n">
        <v>1.18605</v>
      </c>
    </row>
    <row r="8490">
      <c r="A8490" s="926" t="n">
        <v>43001</v>
      </c>
      <c r="B8490" t="n">
        <v>7.81</v>
      </c>
      <c r="C8490" t="n">
        <v>1.18735</v>
      </c>
    </row>
    <row r="8491">
      <c r="A8491" s="926" t="n">
        <v>43003</v>
      </c>
      <c r="B8491" t="n">
        <v>7.815</v>
      </c>
      <c r="C8491" t="n">
        <v>1.1827</v>
      </c>
    </row>
    <row r="8492">
      <c r="A8492" s="926" t="n">
        <v>43004</v>
      </c>
      <c r="B8492" t="n">
        <v>7.815</v>
      </c>
      <c r="C8492" t="n">
        <v>1.1807</v>
      </c>
    </row>
    <row r="8493">
      <c r="A8493" s="926" t="n">
        <v>43005</v>
      </c>
      <c r="B8493" t="n">
        <v>7.809</v>
      </c>
      <c r="C8493" t="n">
        <v>1.1772</v>
      </c>
    </row>
    <row r="8494">
      <c r="A8494" s="926" t="n">
        <v>43006</v>
      </c>
      <c r="B8494" t="n">
        <v>7.809</v>
      </c>
      <c r="C8494" t="n">
        <v>1.1714</v>
      </c>
    </row>
    <row r="8495">
      <c r="A8495" s="926" t="n">
        <v>43007</v>
      </c>
      <c r="B8495" t="n">
        <v>7.811</v>
      </c>
      <c r="C8495" t="n">
        <v>1.17295</v>
      </c>
    </row>
    <row r="8496">
      <c r="A8496" s="926" t="n">
        <v>43008</v>
      </c>
      <c r="B8496" t="n">
        <v>7.81</v>
      </c>
      <c r="C8496" t="n">
        <v>1.17555</v>
      </c>
    </row>
    <row r="8497">
      <c r="A8497" s="926" t="n">
        <v>43011</v>
      </c>
      <c r="B8497" t="n">
        <v>7.813</v>
      </c>
      <c r="C8497" t="n">
        <v>1.17135</v>
      </c>
    </row>
    <row r="8498">
      <c r="A8498" s="926" t="n">
        <v>43012</v>
      </c>
      <c r="B8498" t="n">
        <v>7.81</v>
      </c>
      <c r="C8498" t="n">
        <v>1.1752</v>
      </c>
    </row>
    <row r="8499">
      <c r="A8499" s="926" t="n">
        <v>43014</v>
      </c>
      <c r="B8499" t="n">
        <v>7.807</v>
      </c>
      <c r="C8499" t="n">
        <v>1.173</v>
      </c>
    </row>
    <row r="8500">
      <c r="A8500" s="926" t="n">
        <v>43015</v>
      </c>
      <c r="B8500" t="n">
        <v>7.806</v>
      </c>
      <c r="C8500" t="n">
        <v>1.17335</v>
      </c>
    </row>
    <row r="8501">
      <c r="A8501" s="926" t="n">
        <v>43017</v>
      </c>
      <c r="B8501" t="n">
        <v>7.806</v>
      </c>
      <c r="C8501" t="n">
        <v>1.17775</v>
      </c>
    </row>
    <row r="8502">
      <c r="A8502" s="926" t="n">
        <v>43018</v>
      </c>
      <c r="B8502" t="n">
        <v>7.806</v>
      </c>
      <c r="C8502" t="n">
        <v>1.18545</v>
      </c>
    </row>
    <row r="8503">
      <c r="A8503" s="926" t="n">
        <v>43019</v>
      </c>
      <c r="B8503" t="n">
        <v>7.805</v>
      </c>
      <c r="C8503" t="n">
        <v>1.1871</v>
      </c>
    </row>
    <row r="8504">
      <c r="A8504" s="926" t="n">
        <v>43020</v>
      </c>
      <c r="B8504" t="n">
        <v>7.807</v>
      </c>
      <c r="C8504" t="n">
        <v>1.18695</v>
      </c>
    </row>
    <row r="8505">
      <c r="A8505" s="926" t="n">
        <v>43021</v>
      </c>
      <c r="B8505" t="n">
        <v>7.809</v>
      </c>
      <c r="C8505" t="n">
        <v>1.18755</v>
      </c>
    </row>
    <row r="8506">
      <c r="A8506" s="926" t="n">
        <v>43022</v>
      </c>
      <c r="B8506" t="n">
        <v>7.807</v>
      </c>
      <c r="C8506" t="n">
        <v>1.1886</v>
      </c>
    </row>
    <row r="8507">
      <c r="A8507" s="926" t="n">
        <v>43024</v>
      </c>
      <c r="B8507" t="n">
        <v>7.81</v>
      </c>
      <c r="C8507" t="n">
        <v>1.18855</v>
      </c>
    </row>
    <row r="8508">
      <c r="A8508" s="926" t="n">
        <v>43025</v>
      </c>
      <c r="B8508" t="n">
        <v>7.809</v>
      </c>
      <c r="C8508" t="n">
        <v>1.1824</v>
      </c>
    </row>
    <row r="8509">
      <c r="A8509" s="926" t="n">
        <v>43026</v>
      </c>
      <c r="B8509" t="n">
        <v>7.809</v>
      </c>
      <c r="C8509" t="n">
        <v>1.18</v>
      </c>
    </row>
    <row r="8510">
      <c r="A8510" s="926" t="n">
        <v>43027</v>
      </c>
      <c r="B8510" t="n">
        <v>7.804</v>
      </c>
      <c r="C8510" t="n">
        <v>1.17815</v>
      </c>
    </row>
    <row r="8511">
      <c r="A8511" s="926" t="n">
        <v>43028</v>
      </c>
      <c r="B8511" t="n">
        <v>7.804</v>
      </c>
      <c r="C8511" t="n">
        <v>1.1789</v>
      </c>
    </row>
    <row r="8512">
      <c r="A8512" s="926" t="n">
        <v>43029</v>
      </c>
      <c r="B8512" t="n">
        <v>7.801</v>
      </c>
      <c r="C8512" t="n">
        <v>1.17765</v>
      </c>
    </row>
    <row r="8513">
      <c r="A8513" s="926" t="n">
        <v>43031</v>
      </c>
      <c r="B8513" t="n">
        <v>7.804</v>
      </c>
      <c r="C8513" t="n">
        <v>1.1757</v>
      </c>
    </row>
    <row r="8514">
      <c r="A8514" s="926" t="n">
        <v>43032</v>
      </c>
      <c r="B8514" t="n">
        <v>7.805</v>
      </c>
      <c r="C8514" t="n">
        <v>1.1762</v>
      </c>
    </row>
    <row r="8515">
      <c r="A8515" s="926" t="n">
        <v>43033</v>
      </c>
      <c r="B8515" t="n">
        <v>7.805</v>
      </c>
      <c r="C8515" t="n">
        <v>1.1752</v>
      </c>
    </row>
    <row r="8516">
      <c r="A8516" s="926" t="n">
        <v>43034</v>
      </c>
      <c r="B8516" t="n">
        <v>7.803</v>
      </c>
      <c r="C8516" t="n">
        <v>1.1759</v>
      </c>
    </row>
    <row r="8517">
      <c r="A8517" s="926" t="n">
        <v>43035</v>
      </c>
      <c r="B8517" t="n">
        <v>7.805</v>
      </c>
      <c r="C8517" t="n">
        <v>1.1725</v>
      </c>
    </row>
    <row r="8518">
      <c r="A8518" s="926" t="n">
        <v>43038</v>
      </c>
      <c r="B8518" t="n">
        <v>7.801</v>
      </c>
      <c r="C8518" t="n">
        <v>1.1732</v>
      </c>
    </row>
    <row r="8519">
      <c r="A8519" s="926" t="n">
        <v>43039</v>
      </c>
      <c r="B8519" t="n">
        <v>7.802</v>
      </c>
      <c r="C8519" t="n">
        <v>1.1766</v>
      </c>
    </row>
    <row r="8520">
      <c r="A8520" s="926" t="n">
        <v>43040</v>
      </c>
      <c r="B8520" t="n">
        <v>7.803</v>
      </c>
      <c r="C8520" t="n">
        <v>1.17845</v>
      </c>
    </row>
    <row r="8521">
      <c r="A8521" s="926" t="n">
        <v>43041</v>
      </c>
      <c r="B8521" t="n">
        <v>7.802</v>
      </c>
      <c r="C8521" t="n">
        <v>1.1826</v>
      </c>
    </row>
    <row r="8522">
      <c r="A8522" s="926" t="n">
        <v>43042</v>
      </c>
      <c r="B8522" t="n">
        <v>7.804</v>
      </c>
      <c r="C8522" t="n">
        <v>1.179</v>
      </c>
    </row>
    <row r="8523">
      <c r="A8523" s="926" t="n">
        <v>43043</v>
      </c>
      <c r="B8523" t="n">
        <v>7.803</v>
      </c>
      <c r="C8523" t="n">
        <v>1.17555</v>
      </c>
    </row>
    <row r="8524">
      <c r="A8524" s="926" t="n">
        <v>43045</v>
      </c>
      <c r="B8524" t="n">
        <v>7.803</v>
      </c>
      <c r="C8524" t="n">
        <v>1.1751</v>
      </c>
    </row>
    <row r="8525">
      <c r="A8525" s="926" t="n">
        <v>43046</v>
      </c>
      <c r="B8525" t="n">
        <v>7.804</v>
      </c>
      <c r="C8525" t="n">
        <v>1.1777</v>
      </c>
    </row>
    <row r="8526">
      <c r="A8526" s="926" t="n">
        <v>43047</v>
      </c>
      <c r="B8526" t="n">
        <v>7.804</v>
      </c>
      <c r="C8526" t="n">
        <v>1.1753</v>
      </c>
    </row>
    <row r="8527">
      <c r="A8527" s="926" t="n">
        <v>43048</v>
      </c>
      <c r="B8527" t="n">
        <v>7.799</v>
      </c>
      <c r="C8527" t="n">
        <v>1.1754</v>
      </c>
    </row>
    <row r="8528">
      <c r="A8528" s="926" t="n">
        <v>43049</v>
      </c>
      <c r="B8528" t="n">
        <v>7.803</v>
      </c>
      <c r="C8528" t="n">
        <v>1.1746</v>
      </c>
    </row>
    <row r="8529">
      <c r="A8529" s="926" t="n">
        <v>43050</v>
      </c>
      <c r="B8529" t="n">
        <v>7.802</v>
      </c>
      <c r="C8529" t="n">
        <v>1.171</v>
      </c>
    </row>
    <row r="8530">
      <c r="A8530" s="926" t="n">
        <v>43052</v>
      </c>
      <c r="B8530" t="n">
        <v>7.804</v>
      </c>
      <c r="C8530" t="n">
        <v>1.1731</v>
      </c>
    </row>
    <row r="8531">
      <c r="A8531" s="926" t="n">
        <v>43053</v>
      </c>
      <c r="B8531" t="n">
        <v>7.804</v>
      </c>
      <c r="C8531" t="n">
        <v>1.1739</v>
      </c>
    </row>
    <row r="8532">
      <c r="A8532" s="926" t="n">
        <v>43054</v>
      </c>
      <c r="B8532" t="n">
        <v>7.805</v>
      </c>
      <c r="C8532" t="n">
        <v>1.1761</v>
      </c>
    </row>
    <row r="8533">
      <c r="A8533" s="926" t="n">
        <v>43055</v>
      </c>
      <c r="B8533" t="n">
        <v>7.81</v>
      </c>
      <c r="C8533" t="n">
        <v>1.1769</v>
      </c>
    </row>
    <row r="8534">
      <c r="A8534" s="926" t="n">
        <v>43056</v>
      </c>
      <c r="B8534" t="n">
        <v>7.812</v>
      </c>
      <c r="C8534" t="n">
        <v>1.1772</v>
      </c>
    </row>
    <row r="8535">
      <c r="A8535" s="926" t="n">
        <v>43057</v>
      </c>
      <c r="B8535" t="n">
        <v>7.81</v>
      </c>
      <c r="C8535" t="n">
        <v>1.178</v>
      </c>
    </row>
    <row r="8536">
      <c r="A8536" s="926" t="n">
        <v>43059</v>
      </c>
      <c r="B8536" t="n">
        <v>7.813</v>
      </c>
      <c r="C8536" t="n">
        <v>1.1762</v>
      </c>
    </row>
    <row r="8537">
      <c r="A8537" s="926" t="n">
        <v>43060</v>
      </c>
      <c r="B8537" t="n">
        <v>7.813</v>
      </c>
      <c r="C8537" t="n">
        <v>1.17605</v>
      </c>
    </row>
    <row r="8538">
      <c r="A8538" s="926" t="n">
        <v>43061</v>
      </c>
      <c r="B8538" t="n">
        <v>7.812</v>
      </c>
      <c r="C8538" t="n">
        <v>1.18065</v>
      </c>
    </row>
    <row r="8539">
      <c r="A8539" s="926" t="n">
        <v>43062</v>
      </c>
      <c r="B8539" t="n">
        <v>7.81</v>
      </c>
      <c r="C8539" t="n">
        <v>1.1843</v>
      </c>
    </row>
    <row r="8540">
      <c r="A8540" s="926" t="n">
        <v>43063</v>
      </c>
      <c r="B8540" t="n">
        <v>7.809</v>
      </c>
      <c r="C8540" t="n">
        <v>1.1835</v>
      </c>
    </row>
    <row r="8541">
      <c r="A8541" s="926" t="n">
        <v>43064</v>
      </c>
      <c r="B8541" t="n">
        <v>7.808</v>
      </c>
      <c r="C8541" t="n">
        <v>1.18485</v>
      </c>
    </row>
    <row r="8542">
      <c r="A8542" s="926" t="n">
        <v>43066</v>
      </c>
      <c r="B8542" t="n">
        <v>7.803</v>
      </c>
      <c r="C8542" t="n">
        <v>1.18215</v>
      </c>
    </row>
    <row r="8543">
      <c r="A8543" s="926" t="n">
        <v>43067</v>
      </c>
      <c r="B8543" t="n">
        <v>7.804</v>
      </c>
      <c r="C8543" t="n">
        <v>1.182</v>
      </c>
    </row>
    <row r="8544">
      <c r="A8544" s="926" t="n">
        <v>43068</v>
      </c>
      <c r="B8544" t="n">
        <v>7.807</v>
      </c>
      <c r="C8544" t="n">
        <v>1.18325</v>
      </c>
    </row>
    <row r="8545">
      <c r="A8545" s="926" t="n">
        <v>43069</v>
      </c>
      <c r="B8545" t="n">
        <v>7.809</v>
      </c>
      <c r="C8545" t="n">
        <v>1.1808</v>
      </c>
    </row>
    <row r="8546">
      <c r="A8546" s="926" t="n">
        <v>43070</v>
      </c>
      <c r="B8546" t="n">
        <v>7.811</v>
      </c>
      <c r="C8546" t="n">
        <v>1.1813</v>
      </c>
    </row>
    <row r="8547">
      <c r="A8547" s="926" t="n">
        <v>43071</v>
      </c>
      <c r="B8547" t="n">
        <v>7.813</v>
      </c>
      <c r="C8547" t="n">
        <v>1.1842</v>
      </c>
    </row>
    <row r="8548">
      <c r="A8548" s="926" t="n">
        <v>43073</v>
      </c>
      <c r="B8548" t="n">
        <v>7.816</v>
      </c>
      <c r="C8548" t="n">
        <v>1.1812</v>
      </c>
    </row>
    <row r="8549">
      <c r="A8549" s="926" t="n">
        <v>43074</v>
      </c>
      <c r="B8549" t="n">
        <v>7.818</v>
      </c>
      <c r="C8549" t="n">
        <v>1.18185</v>
      </c>
    </row>
    <row r="8550">
      <c r="A8550" s="926" t="n">
        <v>43075</v>
      </c>
      <c r="B8550" t="n">
        <v>7.816</v>
      </c>
      <c r="C8550" t="n">
        <v>1.1811</v>
      </c>
    </row>
    <row r="8551">
      <c r="A8551" s="926" t="n">
        <v>43076</v>
      </c>
      <c r="B8551" t="n">
        <v>7.814</v>
      </c>
      <c r="C8551" t="n">
        <v>1.1806</v>
      </c>
    </row>
    <row r="8552">
      <c r="A8552" s="926" t="n">
        <v>43077</v>
      </c>
      <c r="B8552" t="n">
        <v>7.809</v>
      </c>
      <c r="C8552" t="n">
        <v>1.17905</v>
      </c>
    </row>
    <row r="8553">
      <c r="A8553" s="926" t="n">
        <v>43078</v>
      </c>
      <c r="B8553" t="n">
        <v>7.806</v>
      </c>
      <c r="C8553" t="n">
        <v>1.1781</v>
      </c>
    </row>
    <row r="8554">
      <c r="A8554" s="926" t="n">
        <v>43080</v>
      </c>
      <c r="B8554" t="n">
        <v>7.81</v>
      </c>
      <c r="C8554" t="n">
        <v>1.1798</v>
      </c>
    </row>
    <row r="8555">
      <c r="A8555" s="926" t="n">
        <v>43081</v>
      </c>
      <c r="B8555" t="n">
        <v>7.808</v>
      </c>
      <c r="C8555" t="n">
        <v>1.1788</v>
      </c>
    </row>
    <row r="8556">
      <c r="A8556" s="926" t="n">
        <v>43082</v>
      </c>
      <c r="B8556" t="n">
        <v>7.808</v>
      </c>
      <c r="C8556" t="n">
        <v>1.1789</v>
      </c>
    </row>
    <row r="8557">
      <c r="A8557" s="926" t="n">
        <v>43083</v>
      </c>
      <c r="B8557" t="n">
        <v>7.813</v>
      </c>
      <c r="C8557" t="n">
        <v>1.1819</v>
      </c>
    </row>
    <row r="8558">
      <c r="A8558" s="926" t="n">
        <v>43084</v>
      </c>
      <c r="B8558" t="n">
        <v>7.814</v>
      </c>
      <c r="C8558" t="n">
        <v>1.1825</v>
      </c>
    </row>
    <row r="8559">
      <c r="A8559" s="926" t="n">
        <v>43085</v>
      </c>
      <c r="B8559" t="n">
        <v>7.811</v>
      </c>
      <c r="C8559" t="n">
        <v>1.1821</v>
      </c>
    </row>
    <row r="8560">
      <c r="A8560" s="926" t="n">
        <v>43087</v>
      </c>
      <c r="B8560" t="n">
        <v>7.815</v>
      </c>
      <c r="C8560" t="n">
        <v>1.1819</v>
      </c>
    </row>
    <row r="8561">
      <c r="A8561" s="926" t="n">
        <v>43088</v>
      </c>
      <c r="B8561" t="n">
        <v>7.82</v>
      </c>
      <c r="C8561" t="n">
        <v>1.18245</v>
      </c>
    </row>
    <row r="8562">
      <c r="A8562" s="926" t="n">
        <v>43089</v>
      </c>
      <c r="B8562" t="n">
        <v>7.821</v>
      </c>
      <c r="C8562" t="n">
        <v>1.1872</v>
      </c>
    </row>
    <row r="8563">
      <c r="A8563" s="926" t="n">
        <v>43090</v>
      </c>
      <c r="B8563" t="n">
        <v>7.828</v>
      </c>
      <c r="C8563" t="n">
        <v>1.19195</v>
      </c>
    </row>
    <row r="8564">
      <c r="A8564" s="926" t="n">
        <v>43091</v>
      </c>
      <c r="B8564" t="n">
        <v>7.82</v>
      </c>
      <c r="C8564" t="n">
        <v>1.19055</v>
      </c>
    </row>
    <row r="8565">
      <c r="A8565" s="926" t="n">
        <v>43092</v>
      </c>
      <c r="B8565" t="n">
        <v>7.815</v>
      </c>
      <c r="C8565" t="n">
        <v>1.19045</v>
      </c>
    </row>
    <row r="8566">
      <c r="A8566" s="926" t="n">
        <v>43096</v>
      </c>
      <c r="B8566" t="n">
        <v>7.814</v>
      </c>
      <c r="C8566" t="n">
        <v>1.19255</v>
      </c>
    </row>
    <row r="8567">
      <c r="A8567" s="926" t="n">
        <v>43097</v>
      </c>
      <c r="B8567" t="n">
        <v>7.817</v>
      </c>
      <c r="C8567" t="n">
        <v>1.19545</v>
      </c>
    </row>
    <row r="8568">
      <c r="A8568" s="926" t="n">
        <v>43098</v>
      </c>
      <c r="B8568" t="n">
        <v>7.818</v>
      </c>
      <c r="C8568" t="n">
        <v>1.2001</v>
      </c>
    </row>
    <row r="8569">
      <c r="A8569" s="926" t="n">
        <v>43099</v>
      </c>
      <c r="B8569" t="n">
        <v>7.814</v>
      </c>
      <c r="C8569" t="n">
        <v>1.1989</v>
      </c>
    </row>
    <row r="8570">
      <c r="A8570" s="926" t="n">
        <v>43102</v>
      </c>
      <c r="B8570" t="n">
        <v>7.817</v>
      </c>
      <c r="C8570" t="n">
        <v>1.2043</v>
      </c>
    </row>
    <row r="8571">
      <c r="A8571" s="926" t="n">
        <v>43103</v>
      </c>
      <c r="B8571" t="n">
        <v>7.818</v>
      </c>
      <c r="C8571" t="n">
        <v>1.2018</v>
      </c>
    </row>
    <row r="8572">
      <c r="A8572" s="926" t="n">
        <v>43104</v>
      </c>
      <c r="B8572" t="n">
        <v>7.82</v>
      </c>
      <c r="C8572" t="n">
        <v>1.203</v>
      </c>
    </row>
    <row r="8573">
      <c r="A8573" s="926" t="n">
        <v>43105</v>
      </c>
      <c r="B8573" t="n">
        <v>7.821</v>
      </c>
      <c r="C8573" t="n">
        <v>1.2076</v>
      </c>
    </row>
    <row r="8574">
      <c r="A8574" s="926" t="n">
        <v>43106</v>
      </c>
      <c r="B8574" t="n">
        <v>7.818</v>
      </c>
      <c r="C8574" t="n">
        <v>1.207</v>
      </c>
    </row>
    <row r="8575">
      <c r="A8575" s="926" t="n">
        <v>43108</v>
      </c>
      <c r="B8575" t="n">
        <v>7.823</v>
      </c>
      <c r="C8575" t="n">
        <v>1.206</v>
      </c>
    </row>
    <row r="8576">
      <c r="A8576" s="926" t="n">
        <v>43109</v>
      </c>
      <c r="B8576" t="n">
        <v>7.823</v>
      </c>
      <c r="C8576" t="n">
        <v>1.20295</v>
      </c>
    </row>
    <row r="8577">
      <c r="A8577" s="926" t="n">
        <v>43110</v>
      </c>
      <c r="B8577" t="n">
        <v>7.824</v>
      </c>
      <c r="C8577" t="n">
        <v>1.19855</v>
      </c>
    </row>
    <row r="8578">
      <c r="A8578" s="926" t="n">
        <v>43111</v>
      </c>
      <c r="B8578" t="n">
        <v>7.825</v>
      </c>
      <c r="C8578" t="n">
        <v>1.201</v>
      </c>
    </row>
    <row r="8579">
      <c r="A8579" s="926" t="n">
        <v>43112</v>
      </c>
      <c r="B8579" t="n">
        <v>7.824</v>
      </c>
      <c r="C8579" t="n">
        <v>1.2076</v>
      </c>
    </row>
    <row r="8580">
      <c r="A8580" s="926" t="n">
        <v>43113</v>
      </c>
      <c r="B8580" t="n">
        <v>7.823</v>
      </c>
      <c r="C8580" t="n">
        <v>1.21095</v>
      </c>
    </row>
    <row r="8581">
      <c r="A8581" s="926" t="n">
        <v>43115</v>
      </c>
      <c r="B8581" t="n">
        <v>7.825</v>
      </c>
      <c r="C8581" t="n">
        <v>1.2157</v>
      </c>
    </row>
    <row r="8582">
      <c r="A8582" s="926" t="n">
        <v>43116</v>
      </c>
      <c r="B8582" t="n">
        <v>7.826</v>
      </c>
      <c r="C8582" t="n">
        <v>1.2154</v>
      </c>
    </row>
    <row r="8583">
      <c r="A8583" s="926" t="n">
        <v>43117</v>
      </c>
      <c r="B8583" t="n">
        <v>7.824</v>
      </c>
      <c r="C8583" t="n">
        <v>1.21505</v>
      </c>
    </row>
    <row r="8584">
      <c r="A8584" s="926" t="n">
        <v>43118</v>
      </c>
      <c r="B8584" t="n">
        <v>7.822</v>
      </c>
      <c r="C8584" t="n">
        <v>1.21515</v>
      </c>
    </row>
    <row r="8585">
      <c r="A8585" s="926" t="n">
        <v>43119</v>
      </c>
      <c r="B8585" t="n">
        <v>7.819</v>
      </c>
      <c r="C8585" t="n">
        <v>1.22235</v>
      </c>
    </row>
    <row r="8586">
      <c r="A8586" s="926" t="n">
        <v>43120</v>
      </c>
      <c r="B8586" t="n">
        <v>7.817</v>
      </c>
      <c r="C8586" t="n">
        <v>1.22195</v>
      </c>
    </row>
    <row r="8587">
      <c r="A8587" s="926" t="n">
        <v>43122</v>
      </c>
      <c r="B8587" t="n">
        <v>7.819</v>
      </c>
      <c r="C8587" t="n">
        <v>1.21935</v>
      </c>
    </row>
    <row r="8588">
      <c r="A8588" s="926" t="n">
        <v>43123</v>
      </c>
      <c r="B8588" t="n">
        <v>7.819</v>
      </c>
      <c r="C8588" t="n">
        <v>1.22155</v>
      </c>
    </row>
    <row r="8589">
      <c r="A8589" s="926" t="n">
        <v>43124</v>
      </c>
      <c r="B8589" t="n">
        <v>7.82</v>
      </c>
      <c r="C8589" t="n">
        <v>1.22275</v>
      </c>
    </row>
    <row r="8590">
      <c r="A8590" s="926" t="n">
        <v>43125</v>
      </c>
      <c r="B8590" t="n">
        <v>7.818</v>
      </c>
      <c r="C8590" t="n">
        <v>1.23355</v>
      </c>
    </row>
    <row r="8591">
      <c r="A8591" s="926" t="n">
        <v>43126</v>
      </c>
      <c r="B8591" t="n">
        <v>7.82</v>
      </c>
      <c r="C8591" t="n">
        <v>1.2367</v>
      </c>
    </row>
    <row r="8592">
      <c r="A8592" s="926" t="n">
        <v>43127</v>
      </c>
      <c r="B8592" t="n">
        <v>7.818</v>
      </c>
      <c r="C8592" t="n">
        <v>1.2353</v>
      </c>
    </row>
    <row r="8593">
      <c r="A8593" s="926" t="n">
        <v>43129</v>
      </c>
      <c r="B8593" t="n">
        <v>7.82</v>
      </c>
      <c r="C8593" t="n">
        <v>1.2363</v>
      </c>
    </row>
    <row r="8594">
      <c r="A8594" s="926" t="n">
        <v>43130</v>
      </c>
      <c r="B8594" t="n">
        <v>7.82</v>
      </c>
      <c r="C8594" t="n">
        <v>1.2329</v>
      </c>
    </row>
    <row r="8595">
      <c r="A8595" s="926" t="n">
        <v>43131</v>
      </c>
      <c r="B8595" t="n">
        <v>7.821</v>
      </c>
      <c r="C8595" t="n">
        <v>1.2406</v>
      </c>
    </row>
    <row r="8596">
      <c r="A8596" s="926" t="n">
        <v>43132</v>
      </c>
      <c r="B8596" t="n">
        <v>7.822</v>
      </c>
      <c r="C8596" t="n">
        <v>1.2409</v>
      </c>
    </row>
    <row r="8597">
      <c r="A8597" s="926" t="n">
        <v>43133</v>
      </c>
      <c r="B8597" t="n">
        <v>7.821</v>
      </c>
      <c r="C8597" t="n">
        <v>1.2446</v>
      </c>
    </row>
    <row r="8598">
      <c r="A8598" s="926" t="n">
        <v>43134</v>
      </c>
      <c r="B8598" t="n">
        <v>7.821</v>
      </c>
      <c r="C8598" t="n">
        <v>1.2399</v>
      </c>
    </row>
    <row r="8599">
      <c r="A8599" s="926" t="n">
        <v>43136</v>
      </c>
      <c r="B8599" t="n">
        <v>7.822</v>
      </c>
      <c r="C8599" t="n">
        <v>1.24075</v>
      </c>
    </row>
    <row r="8600">
      <c r="A8600" s="926" t="n">
        <v>43137</v>
      </c>
      <c r="B8600" t="n">
        <v>7.82</v>
      </c>
      <c r="C8600" t="n">
        <v>1.24215</v>
      </c>
    </row>
    <row r="8601">
      <c r="A8601" s="926" t="n">
        <v>43138</v>
      </c>
      <c r="B8601" t="n">
        <v>7.82</v>
      </c>
      <c r="C8601" t="n">
        <v>1.24805</v>
      </c>
    </row>
    <row r="8602">
      <c r="A8602" s="926" t="n">
        <v>43139</v>
      </c>
      <c r="B8602" t="n">
        <v>7.82</v>
      </c>
      <c r="C8602" t="n">
        <v>1.23265</v>
      </c>
    </row>
    <row r="8603">
      <c r="A8603" s="926" t="n">
        <v>43140</v>
      </c>
      <c r="B8603" t="n">
        <v>7.821</v>
      </c>
      <c r="C8603" t="n">
        <v>1.2365</v>
      </c>
    </row>
    <row r="8604">
      <c r="A8604" s="926" t="n">
        <v>43141</v>
      </c>
      <c r="B8604" t="n">
        <v>7.818</v>
      </c>
      <c r="C8604" t="n">
        <v>1.2363</v>
      </c>
    </row>
    <row r="8605">
      <c r="A8605" s="926" t="n">
        <v>43143</v>
      </c>
      <c r="B8605" t="n">
        <v>7.821</v>
      </c>
      <c r="C8605" t="n">
        <v>1.239</v>
      </c>
    </row>
    <row r="8606">
      <c r="A8606" s="926" t="n">
        <v>43144</v>
      </c>
      <c r="B8606" t="n">
        <v>7.823</v>
      </c>
      <c r="C8606" t="n">
        <v>1.2344</v>
      </c>
    </row>
    <row r="8607">
      <c r="A8607" s="926" t="n">
        <v>43145</v>
      </c>
      <c r="B8607" t="n">
        <v>7.823</v>
      </c>
      <c r="C8607" t="n">
        <v>1.2362</v>
      </c>
    </row>
    <row r="8608">
      <c r="A8608" s="926" t="n">
        <v>43146</v>
      </c>
      <c r="B8608" t="n">
        <v>7.824</v>
      </c>
      <c r="C8608" t="n">
        <v>1.244</v>
      </c>
    </row>
    <row r="8609">
      <c r="A8609" s="926" t="n">
        <v>43151</v>
      </c>
      <c r="B8609" t="n">
        <v>7.824</v>
      </c>
      <c r="C8609" t="n">
        <v>1.2373</v>
      </c>
    </row>
    <row r="8610">
      <c r="A8610" s="926" t="n">
        <v>43152</v>
      </c>
      <c r="B8610" t="n">
        <v>7.825</v>
      </c>
      <c r="C8610" t="n">
        <v>1.23445</v>
      </c>
    </row>
    <row r="8611">
      <c r="A8611" s="926" t="n">
        <v>43153</v>
      </c>
      <c r="B8611" t="n">
        <v>7.827</v>
      </c>
      <c r="C8611" t="n">
        <v>1.2338</v>
      </c>
    </row>
    <row r="8612">
      <c r="A8612" s="926" t="n">
        <v>43154</v>
      </c>
      <c r="B8612" t="n">
        <v>7.824</v>
      </c>
      <c r="C8612" t="n">
        <v>1.2341</v>
      </c>
    </row>
    <row r="8613">
      <c r="A8613" s="926" t="n">
        <v>43155</v>
      </c>
      <c r="B8613" t="n">
        <v>7.823</v>
      </c>
      <c r="C8613" t="n">
        <v>1.2361</v>
      </c>
    </row>
    <row r="8614">
      <c r="A8614" s="926" t="n">
        <v>43157</v>
      </c>
      <c r="B8614" t="n">
        <v>7.825</v>
      </c>
      <c r="C8614" t="n">
        <v>1.24</v>
      </c>
    </row>
    <row r="8615">
      <c r="A8615" s="926" t="n">
        <v>43158</v>
      </c>
      <c r="B8615" t="n">
        <v>7.827</v>
      </c>
      <c r="C8615" t="n">
        <v>1.2416</v>
      </c>
    </row>
    <row r="8616">
      <c r="A8616" s="926" t="n">
        <v>43159</v>
      </c>
      <c r="B8616" t="n">
        <v>7.83</v>
      </c>
      <c r="C8616" t="n">
        <v>1.2375</v>
      </c>
    </row>
    <row r="8617">
      <c r="A8617" s="926" t="n">
        <v>43160</v>
      </c>
      <c r="B8617" t="n">
        <v>7.829</v>
      </c>
      <c r="C8617" t="n">
        <v>1.2347</v>
      </c>
    </row>
    <row r="8618">
      <c r="A8618" s="926" t="n">
        <v>43161</v>
      </c>
      <c r="B8618" t="n">
        <v>7.831</v>
      </c>
      <c r="C8618" t="n">
        <v>1.2334</v>
      </c>
    </row>
    <row r="8619">
      <c r="A8619" s="926" t="n">
        <v>43162</v>
      </c>
      <c r="B8619" t="n">
        <v>7.831</v>
      </c>
      <c r="C8619" t="n">
        <v>1.23745</v>
      </c>
    </row>
    <row r="8620">
      <c r="A8620" s="926" t="n">
        <v>43164</v>
      </c>
      <c r="B8620" t="n">
        <v>7.833</v>
      </c>
      <c r="C8620" t="n">
        <v>1.236</v>
      </c>
    </row>
    <row r="8621">
      <c r="A8621" s="926" t="n">
        <v>43165</v>
      </c>
      <c r="B8621" t="n">
        <v>7.834</v>
      </c>
      <c r="C8621" t="n">
        <v>1.2349</v>
      </c>
    </row>
    <row r="8622">
      <c r="A8622" s="926" t="n">
        <v>43166</v>
      </c>
      <c r="B8622" t="n">
        <v>7.835</v>
      </c>
      <c r="C8622" t="n">
        <v>1.2398</v>
      </c>
    </row>
    <row r="8623">
      <c r="A8623" s="926" t="n">
        <v>43167</v>
      </c>
      <c r="B8623" t="n">
        <v>7.835</v>
      </c>
      <c r="C8623" t="n">
        <v>1.2378</v>
      </c>
    </row>
    <row r="8624">
      <c r="A8624" s="926" t="n">
        <v>43168</v>
      </c>
      <c r="B8624" t="n">
        <v>7.842</v>
      </c>
      <c r="C8624" t="n">
        <v>1.2372</v>
      </c>
    </row>
    <row r="8625">
      <c r="A8625" s="926" t="n">
        <v>43169</v>
      </c>
      <c r="B8625" t="n">
        <v>7.836</v>
      </c>
      <c r="C8625" t="n">
        <v>1.2393</v>
      </c>
    </row>
    <row r="8626">
      <c r="A8626" s="926" t="n">
        <v>43171</v>
      </c>
      <c r="B8626" t="n">
        <v>7.841</v>
      </c>
      <c r="C8626" t="n">
        <v>1.2395</v>
      </c>
    </row>
    <row r="8627">
      <c r="A8627" s="926" t="n">
        <v>43172</v>
      </c>
      <c r="B8627" t="n">
        <v>7.841</v>
      </c>
      <c r="C8627" t="n">
        <v>1.2387</v>
      </c>
    </row>
    <row r="8628">
      <c r="A8628" s="926" t="n">
        <v>43173</v>
      </c>
      <c r="B8628" t="n">
        <v>7.842</v>
      </c>
      <c r="C8628" t="n">
        <v>1.242</v>
      </c>
    </row>
    <row r="8629">
      <c r="A8629" s="926" t="n">
        <v>43174</v>
      </c>
      <c r="B8629" t="n">
        <v>7.843</v>
      </c>
      <c r="C8629" t="n">
        <v>1.2427</v>
      </c>
    </row>
    <row r="8630">
      <c r="A8630" s="926" t="n">
        <v>43175</v>
      </c>
      <c r="B8630" t="n">
        <v>7.844</v>
      </c>
      <c r="C8630" t="n">
        <v>1.2409</v>
      </c>
    </row>
    <row r="8631">
      <c r="A8631" s="926" t="n">
        <v>43176</v>
      </c>
      <c r="B8631" t="n">
        <v>7.841</v>
      </c>
      <c r="C8631" t="n">
        <v>1.23875</v>
      </c>
    </row>
    <row r="8632">
      <c r="A8632" s="926" t="n">
        <v>43178</v>
      </c>
      <c r="B8632" t="n">
        <v>7.845</v>
      </c>
      <c r="C8632" t="n">
        <v>1.2394</v>
      </c>
    </row>
    <row r="8633">
      <c r="A8633" s="926" t="n">
        <v>43179</v>
      </c>
      <c r="B8633" t="n">
        <v>7.845</v>
      </c>
      <c r="C8633" t="n">
        <v>1.2406</v>
      </c>
    </row>
    <row r="8634">
      <c r="A8634" s="926" t="n">
        <v>43180</v>
      </c>
      <c r="B8634" t="n">
        <v>7.847</v>
      </c>
      <c r="C8634" t="n">
        <v>1.2401</v>
      </c>
    </row>
    <row r="8635">
      <c r="A8635" s="926" t="n">
        <v>43181</v>
      </c>
      <c r="B8635" t="n">
        <v>7.848</v>
      </c>
      <c r="C8635" t="n">
        <v>1.2429</v>
      </c>
    </row>
    <row r="8636">
      <c r="A8636" s="926" t="n">
        <v>43182</v>
      </c>
      <c r="B8636" t="n">
        <v>7.85</v>
      </c>
      <c r="C8636" t="n">
        <v>1.2412</v>
      </c>
    </row>
    <row r="8637">
      <c r="A8637" s="926" t="n">
        <v>43183</v>
      </c>
      <c r="B8637" t="n">
        <v>7.845</v>
      </c>
      <c r="C8637" t="n">
        <v>1.24215</v>
      </c>
    </row>
    <row r="8638">
      <c r="A8638" s="926" t="n">
        <v>43185</v>
      </c>
      <c r="B8638" t="n">
        <v>7.849</v>
      </c>
      <c r="C8638" t="n">
        <v>1.2454</v>
      </c>
    </row>
    <row r="8639">
      <c r="A8639" s="926" t="n">
        <v>43186</v>
      </c>
      <c r="B8639" t="n">
        <v>7.848</v>
      </c>
      <c r="C8639" t="n">
        <v>1.25685</v>
      </c>
    </row>
    <row r="8640">
      <c r="A8640" s="926" t="n">
        <v>43187</v>
      </c>
      <c r="B8640" t="n">
        <v>7.848</v>
      </c>
      <c r="C8640" t="n">
        <v>1.25155</v>
      </c>
    </row>
    <row r="8641">
      <c r="A8641" s="926" t="n">
        <v>43188</v>
      </c>
      <c r="B8641" t="n">
        <v>7.849</v>
      </c>
      <c r="C8641" t="n">
        <v>1.24965</v>
      </c>
    </row>
    <row r="8642">
      <c r="A8642" s="926" t="n">
        <v>43193</v>
      </c>
      <c r="B8642" t="n">
        <v>7.85</v>
      </c>
      <c r="C8642" t="n">
        <v>1.25155</v>
      </c>
    </row>
    <row r="8643">
      <c r="A8643" s="926" t="n">
        <v>43194</v>
      </c>
      <c r="B8643" t="n">
        <v>7.85</v>
      </c>
      <c r="C8643" t="n">
        <v>1.24815</v>
      </c>
    </row>
    <row r="8644">
      <c r="A8644" s="926" t="n">
        <v>43196</v>
      </c>
      <c r="B8644" t="n">
        <v>7.85</v>
      </c>
      <c r="C8644" t="n">
        <v>1.24255</v>
      </c>
    </row>
    <row r="8645">
      <c r="A8645" s="926" t="n">
        <v>43197</v>
      </c>
      <c r="B8645" t="n">
        <v>7.848</v>
      </c>
      <c r="C8645" t="n">
        <v>1.2437</v>
      </c>
    </row>
    <row r="8646">
      <c r="A8646" s="926" t="n">
        <v>43199</v>
      </c>
      <c r="B8646" t="n">
        <v>7.85</v>
      </c>
      <c r="C8646" t="n">
        <v>1.2425</v>
      </c>
    </row>
    <row r="8647">
      <c r="A8647" s="926" t="n">
        <v>43200</v>
      </c>
      <c r="B8647" t="n">
        <v>7.85</v>
      </c>
      <c r="C8647" t="n">
        <v>1.2473</v>
      </c>
    </row>
    <row r="8648">
      <c r="A8648" s="926" t="n">
        <v>43201</v>
      </c>
      <c r="B8648" t="n">
        <v>7.851</v>
      </c>
      <c r="C8648" t="n">
        <v>1.25115</v>
      </c>
    </row>
    <row r="8649">
      <c r="A8649" s="926" t="n">
        <v>43202</v>
      </c>
      <c r="B8649" t="n">
        <v>7.851</v>
      </c>
      <c r="C8649" t="n">
        <v>1.2503</v>
      </c>
    </row>
    <row r="8650">
      <c r="A8650" s="926" t="n">
        <v>43203</v>
      </c>
      <c r="B8650" t="n">
        <v>7.851</v>
      </c>
      <c r="C8650" t="n">
        <v>1.24925</v>
      </c>
    </row>
    <row r="8651">
      <c r="A8651" s="926" t="n">
        <v>43204</v>
      </c>
      <c r="B8651" t="n">
        <v>7.851</v>
      </c>
      <c r="C8651" t="n">
        <v>1.25165</v>
      </c>
    </row>
    <row r="8652">
      <c r="A8652" s="926" t="n">
        <v>43206</v>
      </c>
      <c r="B8652" t="n">
        <v>7.851</v>
      </c>
      <c r="C8652" t="n">
        <v>1.24965</v>
      </c>
    </row>
    <row r="8653">
      <c r="A8653" s="926" t="n">
        <v>43207</v>
      </c>
      <c r="B8653" t="n">
        <v>7.851</v>
      </c>
      <c r="C8653" t="n">
        <v>1.25225</v>
      </c>
    </row>
    <row r="8654">
      <c r="A8654" s="926" t="n">
        <v>43208</v>
      </c>
      <c r="B8654" t="n">
        <v>7.851</v>
      </c>
      <c r="C8654" t="n">
        <v>1.2491</v>
      </c>
    </row>
    <row r="8655">
      <c r="A8655" s="926" t="n">
        <v>43209</v>
      </c>
      <c r="B8655" t="n">
        <v>7.85</v>
      </c>
      <c r="C8655" t="n">
        <v>1.25335</v>
      </c>
    </row>
    <row r="8656">
      <c r="A8656" s="926" t="n">
        <v>43210</v>
      </c>
      <c r="B8656" t="n">
        <v>7.848</v>
      </c>
      <c r="C8656" t="n">
        <v>1.25</v>
      </c>
    </row>
    <row r="8657">
      <c r="A8657" s="926" t="n">
        <v>43211</v>
      </c>
      <c r="B8657" t="n">
        <v>7.844</v>
      </c>
      <c r="C8657" t="n">
        <v>1.2491</v>
      </c>
    </row>
    <row r="8658">
      <c r="A8658" s="926" t="n">
        <v>43213</v>
      </c>
      <c r="B8658" t="n">
        <v>7.843</v>
      </c>
      <c r="C8658" t="n">
        <v>1.24735</v>
      </c>
    </row>
    <row r="8659">
      <c r="A8659" s="926" t="n">
        <v>43214</v>
      </c>
      <c r="B8659" t="n">
        <v>7.846</v>
      </c>
      <c r="C8659" t="n">
        <v>1.24315</v>
      </c>
    </row>
    <row r="8660">
      <c r="A8660" s="926" t="n">
        <v>43215</v>
      </c>
      <c r="B8660" t="n">
        <v>7.849</v>
      </c>
      <c r="C8660" t="n">
        <v>1.2432</v>
      </c>
    </row>
    <row r="8661">
      <c r="A8661" s="926" t="n">
        <v>43216</v>
      </c>
      <c r="B8661" t="n">
        <v>7.849</v>
      </c>
      <c r="C8661" t="n">
        <v>1.2423</v>
      </c>
    </row>
    <row r="8662">
      <c r="A8662" s="926" t="n">
        <v>43217</v>
      </c>
      <c r="B8662" t="n">
        <v>7.849</v>
      </c>
      <c r="C8662" t="n">
        <v>1.23865</v>
      </c>
    </row>
    <row r="8663">
      <c r="A8663" s="926" t="n">
        <v>43218</v>
      </c>
      <c r="B8663" t="n">
        <v>7.847</v>
      </c>
      <c r="C8663" t="n">
        <v>1.24225</v>
      </c>
    </row>
    <row r="8664">
      <c r="A8664" s="926" t="n">
        <v>43220</v>
      </c>
      <c r="B8664" t="n">
        <v>7.85</v>
      </c>
      <c r="C8664" t="n">
        <v>1.2428</v>
      </c>
    </row>
    <row r="8665">
      <c r="A8665" s="926" t="n">
        <v>43222</v>
      </c>
      <c r="B8665" t="n">
        <v>7.851</v>
      </c>
      <c r="C8665" t="n">
        <v>1.2348</v>
      </c>
    </row>
    <row r="8666">
      <c r="A8666" s="926" t="n">
        <v>43223</v>
      </c>
      <c r="B8666" t="n">
        <v>7.85</v>
      </c>
      <c r="C8666" t="n">
        <v>1.23395</v>
      </c>
    </row>
    <row r="8667">
      <c r="A8667" s="926" t="n">
        <v>43224</v>
      </c>
      <c r="B8667" t="n">
        <v>7.851</v>
      </c>
      <c r="C8667" t="n">
        <v>1.2356</v>
      </c>
    </row>
    <row r="8668">
      <c r="A8668" s="926" t="n">
        <v>43225</v>
      </c>
      <c r="B8668" t="n">
        <v>7.849</v>
      </c>
      <c r="C8668" t="n">
        <v>1.23435</v>
      </c>
    </row>
    <row r="8669">
      <c r="A8669" s="926" t="n">
        <v>43227</v>
      </c>
      <c r="B8669" t="n">
        <v>7.851</v>
      </c>
      <c r="C8669" t="n">
        <v>1.23335</v>
      </c>
    </row>
    <row r="8670">
      <c r="A8670" s="926" t="n">
        <v>43228</v>
      </c>
      <c r="B8670" t="n">
        <v>7.85</v>
      </c>
      <c r="C8670" t="n">
        <v>1.23425</v>
      </c>
    </row>
    <row r="8671">
      <c r="A8671" s="926" t="n">
        <v>43229</v>
      </c>
      <c r="B8671" t="n">
        <v>7.851</v>
      </c>
      <c r="C8671" t="n">
        <v>1.23155</v>
      </c>
    </row>
    <row r="8672">
      <c r="A8672" s="926" t="n">
        <v>43230</v>
      </c>
      <c r="B8672" t="n">
        <v>7.851</v>
      </c>
      <c r="C8672" t="n">
        <v>1.234</v>
      </c>
    </row>
    <row r="8673">
      <c r="A8673" s="926" t="n">
        <v>43231</v>
      </c>
      <c r="B8673" t="n">
        <v>7.851</v>
      </c>
      <c r="C8673" t="n">
        <v>1.2388</v>
      </c>
    </row>
    <row r="8674">
      <c r="A8674" s="926" t="n">
        <v>43232</v>
      </c>
      <c r="B8674" t="n">
        <v>7.851</v>
      </c>
      <c r="C8674" t="n">
        <v>1.2391</v>
      </c>
    </row>
    <row r="8675">
      <c r="A8675" s="926" t="n">
        <v>43234</v>
      </c>
      <c r="B8675" t="n">
        <v>7.851</v>
      </c>
      <c r="C8675" t="n">
        <v>1.2396</v>
      </c>
    </row>
    <row r="8676">
      <c r="A8676" s="926" t="n">
        <v>43235</v>
      </c>
      <c r="B8676" t="n">
        <v>7.851</v>
      </c>
      <c r="C8676" t="n">
        <v>1.2382</v>
      </c>
    </row>
    <row r="8677">
      <c r="A8677" s="926" t="n">
        <v>43236</v>
      </c>
      <c r="B8677" t="n">
        <v>7.851</v>
      </c>
      <c r="C8677" t="n">
        <v>1.23425</v>
      </c>
    </row>
    <row r="8678">
      <c r="A8678" s="926" t="n">
        <v>43237</v>
      </c>
      <c r="B8678" t="n">
        <v>7.851</v>
      </c>
      <c r="C8678" t="n">
        <v>1.2357</v>
      </c>
    </row>
    <row r="8679">
      <c r="A8679" s="926" t="n">
        <v>43238</v>
      </c>
      <c r="B8679" t="n">
        <v>7.851</v>
      </c>
      <c r="C8679" t="n">
        <v>1.235</v>
      </c>
    </row>
    <row r="8680">
      <c r="A8680" s="926" t="n">
        <v>43239</v>
      </c>
      <c r="B8680" t="n">
        <v>7.851</v>
      </c>
      <c r="C8680" t="n">
        <v>1.23355</v>
      </c>
    </row>
    <row r="8681">
      <c r="A8681" s="926" t="n">
        <v>43241</v>
      </c>
      <c r="B8681" t="n">
        <v>7.851</v>
      </c>
      <c r="C8681" t="n">
        <v>1.23125</v>
      </c>
    </row>
    <row r="8682">
      <c r="A8682" s="926" t="n">
        <v>43243</v>
      </c>
      <c r="B8682" t="n">
        <v>7.85</v>
      </c>
      <c r="C8682" t="n">
        <v>1.23215</v>
      </c>
    </row>
    <row r="8683">
      <c r="A8683" s="926" t="n">
        <v>43244</v>
      </c>
      <c r="B8683" t="n">
        <v>7.849</v>
      </c>
      <c r="C8683" t="n">
        <v>1.22985</v>
      </c>
    </row>
    <row r="8684">
      <c r="A8684" s="926" t="n">
        <v>43245</v>
      </c>
      <c r="B8684" t="n">
        <v>7.846</v>
      </c>
      <c r="C8684" t="n">
        <v>1.2297</v>
      </c>
    </row>
    <row r="8685">
      <c r="A8685" s="926" t="n">
        <v>43246</v>
      </c>
      <c r="B8685" t="n">
        <v>7.845</v>
      </c>
      <c r="C8685" t="n">
        <v>1.22735</v>
      </c>
    </row>
    <row r="8686">
      <c r="A8686" s="926" t="n">
        <v>43248</v>
      </c>
      <c r="B8686" t="n">
        <v>7.845</v>
      </c>
      <c r="C8686" t="n">
        <v>1.22845</v>
      </c>
    </row>
    <row r="8687">
      <c r="A8687" s="926" t="n">
        <v>43249</v>
      </c>
      <c r="B8687" t="n">
        <v>7.847</v>
      </c>
      <c r="C8687" t="n">
        <v>1.22355</v>
      </c>
    </row>
    <row r="8688">
      <c r="A8688" s="926" t="n">
        <v>43250</v>
      </c>
      <c r="B8688" t="n">
        <v>7.846</v>
      </c>
      <c r="C8688" t="n">
        <v>1.22145</v>
      </c>
    </row>
    <row r="8689">
      <c r="A8689" s="926" t="n">
        <v>43251</v>
      </c>
      <c r="B8689" t="n">
        <v>7.849</v>
      </c>
      <c r="C8689" t="n">
        <v>1.22685</v>
      </c>
    </row>
    <row r="8690">
      <c r="A8690" s="926" t="n">
        <v>43252</v>
      </c>
      <c r="B8690" t="n">
        <v>7.847</v>
      </c>
      <c r="C8690" t="n">
        <v>1.22455</v>
      </c>
    </row>
    <row r="8691">
      <c r="A8691" s="926" t="n">
        <v>43253</v>
      </c>
      <c r="B8691" t="n">
        <v>7.845</v>
      </c>
      <c r="C8691" t="n">
        <v>1.22295</v>
      </c>
    </row>
    <row r="8692">
      <c r="A8692" s="926" t="n">
        <v>43255</v>
      </c>
      <c r="B8692" t="n">
        <v>7.848</v>
      </c>
      <c r="C8692" t="n">
        <v>1.22345</v>
      </c>
    </row>
    <row r="8693">
      <c r="A8693" s="926" t="n">
        <v>43256</v>
      </c>
      <c r="B8693" t="n">
        <v>7.848</v>
      </c>
      <c r="C8693" t="n">
        <v>1.22635</v>
      </c>
    </row>
    <row r="8694">
      <c r="A8694" s="926" t="n">
        <v>43257</v>
      </c>
      <c r="B8694" t="n">
        <v>7.848</v>
      </c>
      <c r="C8694" t="n">
        <v>1.2299</v>
      </c>
    </row>
    <row r="8695">
      <c r="A8695" s="926" t="n">
        <v>43258</v>
      </c>
      <c r="B8695" t="n">
        <v>7.846</v>
      </c>
      <c r="C8695" t="n">
        <v>1.22895</v>
      </c>
    </row>
    <row r="8696">
      <c r="A8696" s="926" t="n">
        <v>43259</v>
      </c>
      <c r="B8696" t="n">
        <v>7.846</v>
      </c>
      <c r="C8696" t="n">
        <v>1.22525</v>
      </c>
    </row>
    <row r="8697">
      <c r="A8697" s="926" t="n">
        <v>43260</v>
      </c>
      <c r="B8697" t="n">
        <v>7.846</v>
      </c>
      <c r="C8697" t="n">
        <v>1.226</v>
      </c>
    </row>
    <row r="8698">
      <c r="A8698" s="926" t="n">
        <v>43262</v>
      </c>
      <c r="B8698" t="n">
        <v>7.848</v>
      </c>
      <c r="C8698" t="n">
        <v>1.22685</v>
      </c>
    </row>
    <row r="8699">
      <c r="A8699" s="926" t="n">
        <v>43263</v>
      </c>
      <c r="B8699" t="n">
        <v>7.848</v>
      </c>
      <c r="C8699" t="n">
        <v>1.22625</v>
      </c>
    </row>
    <row r="8700">
      <c r="A8700" s="926" t="n">
        <v>43264</v>
      </c>
      <c r="B8700" t="n">
        <v>7.849</v>
      </c>
      <c r="C8700" t="n">
        <v>1.22615</v>
      </c>
    </row>
    <row r="8701">
      <c r="A8701" s="926" t="n">
        <v>43265</v>
      </c>
      <c r="B8701" t="n">
        <v>7.849</v>
      </c>
      <c r="C8701" t="n">
        <v>1.22865</v>
      </c>
    </row>
    <row r="8702">
      <c r="A8702" s="926" t="n">
        <v>43266</v>
      </c>
      <c r="B8702" t="n">
        <v>7.85</v>
      </c>
      <c r="C8702" t="n">
        <v>1.2233</v>
      </c>
    </row>
    <row r="8703">
      <c r="A8703" s="926" t="n">
        <v>43267</v>
      </c>
      <c r="B8703" t="n">
        <v>7.849</v>
      </c>
      <c r="C8703" t="n">
        <v>1.2198</v>
      </c>
    </row>
    <row r="8704">
      <c r="A8704" s="926" t="n">
        <v>43270</v>
      </c>
      <c r="B8704" t="n">
        <v>7.851</v>
      </c>
      <c r="C8704" t="n">
        <v>1.21245</v>
      </c>
    </row>
    <row r="8705">
      <c r="A8705" s="926" t="n">
        <v>43271</v>
      </c>
      <c r="B8705" t="n">
        <v>7.85</v>
      </c>
      <c r="C8705" t="n">
        <v>1.2125</v>
      </c>
    </row>
    <row r="8706">
      <c r="A8706" s="926" t="n">
        <v>43272</v>
      </c>
      <c r="B8706" t="n">
        <v>7.846</v>
      </c>
      <c r="C8706" t="n">
        <v>1.2057</v>
      </c>
    </row>
    <row r="8707">
      <c r="A8707" s="926" t="n">
        <v>43273</v>
      </c>
      <c r="B8707" t="n">
        <v>7.846</v>
      </c>
      <c r="C8707" t="n">
        <v>1.2068</v>
      </c>
    </row>
    <row r="8708">
      <c r="A8708" s="926" t="n">
        <v>43274</v>
      </c>
      <c r="B8708" t="n">
        <v>7.846</v>
      </c>
      <c r="C8708" t="n">
        <v>1.2053</v>
      </c>
    </row>
    <row r="8709">
      <c r="A8709" s="926" t="n">
        <v>43276</v>
      </c>
      <c r="B8709" t="n">
        <v>7.848</v>
      </c>
      <c r="C8709" t="n">
        <v>1.19885</v>
      </c>
    </row>
    <row r="8710">
      <c r="A8710" s="926" t="n">
        <v>43277</v>
      </c>
      <c r="B8710" t="n">
        <v>7.849</v>
      </c>
      <c r="C8710" t="n">
        <v>1.19645</v>
      </c>
    </row>
    <row r="8711">
      <c r="A8711" s="926" t="n">
        <v>43278</v>
      </c>
      <c r="B8711" t="n">
        <v>7.848</v>
      </c>
      <c r="C8711" t="n">
        <v>1.1895</v>
      </c>
    </row>
    <row r="8712">
      <c r="A8712" s="926" t="n">
        <v>43279</v>
      </c>
      <c r="B8712" t="n">
        <v>7.848</v>
      </c>
      <c r="C8712" t="n">
        <v>1.18575</v>
      </c>
    </row>
    <row r="8713">
      <c r="A8713" s="926" t="n">
        <v>43280</v>
      </c>
      <c r="B8713" t="n">
        <v>7.849</v>
      </c>
      <c r="C8713" t="n">
        <v>1.1846</v>
      </c>
    </row>
    <row r="8714">
      <c r="A8714" s="926" t="n">
        <v>43281</v>
      </c>
      <c r="B8714" t="n">
        <v>7.846</v>
      </c>
      <c r="C8714" t="n">
        <v>1.1822</v>
      </c>
    </row>
    <row r="8715">
      <c r="A8715" s="926" t="n">
        <v>43284</v>
      </c>
      <c r="B8715" t="n">
        <v>7.847</v>
      </c>
      <c r="C8715" t="n">
        <v>1.17245</v>
      </c>
    </row>
    <row r="8716">
      <c r="A8716" s="926" t="n">
        <v>43285</v>
      </c>
      <c r="B8716" t="n">
        <v>7.844</v>
      </c>
      <c r="C8716" t="n">
        <v>1.1854</v>
      </c>
    </row>
    <row r="8717">
      <c r="A8717" s="926" t="n">
        <v>43286</v>
      </c>
      <c r="B8717" t="n">
        <v>7.848</v>
      </c>
      <c r="C8717" t="n">
        <v>1.1805</v>
      </c>
    </row>
    <row r="8718">
      <c r="A8718" s="926" t="n">
        <v>43287</v>
      </c>
      <c r="B8718" t="n">
        <v>7.849</v>
      </c>
      <c r="C8718" t="n">
        <v>1.1786</v>
      </c>
    </row>
    <row r="8719">
      <c r="A8719" s="926" t="n">
        <v>43288</v>
      </c>
      <c r="B8719" t="n">
        <v>7.847</v>
      </c>
      <c r="C8719" t="n">
        <v>1.178</v>
      </c>
    </row>
    <row r="8720">
      <c r="A8720" s="926" t="n">
        <v>43290</v>
      </c>
      <c r="B8720" t="n">
        <v>7.85</v>
      </c>
      <c r="C8720" t="n">
        <v>1.18385</v>
      </c>
    </row>
    <row r="8721">
      <c r="A8721" s="926" t="n">
        <v>43291</v>
      </c>
      <c r="B8721" t="n">
        <v>7.85</v>
      </c>
      <c r="C8721" t="n">
        <v>1.18565</v>
      </c>
    </row>
    <row r="8722">
      <c r="A8722" s="926" t="n">
        <v>43292</v>
      </c>
      <c r="B8722" t="n">
        <v>7.85</v>
      </c>
      <c r="C8722" t="n">
        <v>1.1756</v>
      </c>
    </row>
    <row r="8723">
      <c r="A8723" s="926" t="n">
        <v>43293</v>
      </c>
      <c r="B8723" t="n">
        <v>7.85</v>
      </c>
      <c r="C8723" t="n">
        <v>1.1738</v>
      </c>
    </row>
    <row r="8724">
      <c r="A8724" s="926" t="n">
        <v>43294</v>
      </c>
      <c r="B8724" t="n">
        <v>7.85</v>
      </c>
      <c r="C8724" t="n">
        <v>1.17395</v>
      </c>
    </row>
    <row r="8725">
      <c r="A8725" s="926" t="n">
        <v>43295</v>
      </c>
      <c r="B8725" t="n">
        <v>7.849</v>
      </c>
      <c r="C8725" t="n">
        <v>1.1698</v>
      </c>
    </row>
    <row r="8726">
      <c r="A8726" s="926" t="n">
        <v>43297</v>
      </c>
      <c r="B8726" t="n">
        <v>7.85</v>
      </c>
      <c r="C8726" t="n">
        <v>1.1704</v>
      </c>
    </row>
    <row r="8727">
      <c r="A8727" s="926" t="n">
        <v>43298</v>
      </c>
      <c r="B8727" t="n">
        <v>7.849</v>
      </c>
      <c r="C8727" t="n">
        <v>1.1727</v>
      </c>
    </row>
    <row r="8728">
      <c r="A8728" s="926" t="n">
        <v>43299</v>
      </c>
      <c r="B8728" t="n">
        <v>7.85</v>
      </c>
      <c r="C8728" t="n">
        <v>1.16535</v>
      </c>
    </row>
    <row r="8729">
      <c r="A8729" s="926" t="n">
        <v>43300</v>
      </c>
      <c r="B8729" t="n">
        <v>7.85</v>
      </c>
      <c r="C8729" t="n">
        <v>1.15765</v>
      </c>
    </row>
    <row r="8730">
      <c r="A8730" s="926" t="n">
        <v>43301</v>
      </c>
      <c r="B8730" t="n">
        <v>7.85</v>
      </c>
      <c r="C8730" t="n">
        <v>1.15645</v>
      </c>
    </row>
    <row r="8731">
      <c r="A8731" s="926" t="n">
        <v>43302</v>
      </c>
      <c r="B8731" t="n">
        <v>7.848</v>
      </c>
      <c r="C8731" t="n">
        <v>1.15875</v>
      </c>
    </row>
    <row r="8732">
      <c r="A8732" s="926" t="n">
        <v>43304</v>
      </c>
      <c r="B8732" t="n">
        <v>7.849</v>
      </c>
      <c r="C8732" t="n">
        <v>1.1567</v>
      </c>
    </row>
    <row r="8733">
      <c r="A8733" s="926" t="n">
        <v>43305</v>
      </c>
      <c r="B8733" t="n">
        <v>7.847</v>
      </c>
      <c r="C8733" t="n">
        <v>1.14725</v>
      </c>
    </row>
    <row r="8734">
      <c r="A8734" s="926" t="n">
        <v>43306</v>
      </c>
      <c r="B8734" t="n">
        <v>7.847</v>
      </c>
      <c r="C8734" t="n">
        <v>1.15525</v>
      </c>
    </row>
    <row r="8735">
      <c r="A8735" s="926" t="n">
        <v>43307</v>
      </c>
      <c r="B8735" t="n">
        <v>7.848</v>
      </c>
      <c r="C8735" t="n">
        <v>1.15545</v>
      </c>
    </row>
    <row r="8736">
      <c r="A8736" s="926" t="n">
        <v>43308</v>
      </c>
      <c r="B8736" t="n">
        <v>7.849</v>
      </c>
      <c r="C8736" t="n">
        <v>1.15155</v>
      </c>
    </row>
    <row r="8737">
      <c r="A8737" s="926" t="n">
        <v>43309</v>
      </c>
      <c r="B8737" t="n">
        <v>7.847</v>
      </c>
      <c r="C8737" t="n">
        <v>1.14945</v>
      </c>
    </row>
    <row r="8738">
      <c r="A8738" s="926" t="n">
        <v>43311</v>
      </c>
      <c r="B8738" t="n">
        <v>7.849</v>
      </c>
      <c r="C8738" t="n">
        <v>1.1479</v>
      </c>
    </row>
    <row r="8739">
      <c r="A8739" s="926" t="n">
        <v>43312</v>
      </c>
      <c r="B8739" t="n">
        <v>7.85</v>
      </c>
      <c r="C8739" t="n">
        <v>1.1485</v>
      </c>
    </row>
    <row r="8740">
      <c r="A8740" s="926" t="n">
        <v>43313</v>
      </c>
      <c r="B8740" t="n">
        <v>7.85</v>
      </c>
      <c r="C8740" t="n">
        <v>1.1486</v>
      </c>
    </row>
    <row r="8741">
      <c r="A8741" s="926" t="n">
        <v>43314</v>
      </c>
      <c r="B8741" t="n">
        <v>7.85</v>
      </c>
      <c r="C8741" t="n">
        <v>1.1488</v>
      </c>
    </row>
    <row r="8742">
      <c r="A8742" s="926" t="n">
        <v>43315</v>
      </c>
      <c r="B8742" t="n">
        <v>7.85</v>
      </c>
      <c r="C8742" t="n">
        <v>1.1381</v>
      </c>
    </row>
    <row r="8743">
      <c r="A8743" s="926" t="n">
        <v>43316</v>
      </c>
      <c r="B8743" t="n">
        <v>7.849</v>
      </c>
      <c r="C8743" t="n">
        <v>1.14645</v>
      </c>
    </row>
    <row r="8744">
      <c r="A8744" s="926" t="n">
        <v>43318</v>
      </c>
      <c r="B8744" t="n">
        <v>7.85</v>
      </c>
      <c r="C8744" t="n">
        <v>1.1453</v>
      </c>
    </row>
    <row r="8745">
      <c r="A8745" s="926" t="n">
        <v>43319</v>
      </c>
      <c r="B8745" t="n">
        <v>7.85</v>
      </c>
      <c r="C8745" t="n">
        <v>1.1467</v>
      </c>
    </row>
    <row r="8746">
      <c r="A8746" s="926" t="n">
        <v>43320</v>
      </c>
      <c r="B8746" t="n">
        <v>7.851</v>
      </c>
      <c r="C8746" t="n">
        <v>1.1501</v>
      </c>
    </row>
    <row r="8747">
      <c r="A8747" s="926" t="n">
        <v>43321</v>
      </c>
      <c r="B8747" t="n">
        <v>7.851</v>
      </c>
      <c r="C8747" t="n">
        <v>1.1493</v>
      </c>
    </row>
    <row r="8748">
      <c r="A8748" s="926" t="n">
        <v>43322</v>
      </c>
      <c r="B8748" t="n">
        <v>7.851</v>
      </c>
      <c r="C8748" t="n">
        <v>1.1447</v>
      </c>
    </row>
    <row r="8749">
      <c r="A8749" s="926" t="n">
        <v>43323</v>
      </c>
      <c r="B8749" t="n">
        <v>7.849</v>
      </c>
      <c r="C8749" t="n">
        <v>1.14285</v>
      </c>
    </row>
    <row r="8750">
      <c r="A8750" s="926" t="n">
        <v>43325</v>
      </c>
      <c r="B8750" t="n">
        <v>7.851</v>
      </c>
      <c r="C8750" t="n">
        <v>1.1408</v>
      </c>
    </row>
    <row r="8751">
      <c r="A8751" s="926" t="n">
        <v>43326</v>
      </c>
      <c r="B8751" t="n">
        <v>7.851</v>
      </c>
      <c r="C8751" t="n">
        <v>1.14035</v>
      </c>
    </row>
    <row r="8752">
      <c r="A8752" s="926" t="n">
        <v>43327</v>
      </c>
      <c r="B8752" t="n">
        <v>7.851</v>
      </c>
      <c r="C8752" t="n">
        <v>1.13555</v>
      </c>
    </row>
    <row r="8753">
      <c r="A8753" s="926" t="n">
        <v>43328</v>
      </c>
      <c r="B8753" t="n">
        <v>7.851</v>
      </c>
      <c r="C8753" t="n">
        <v>1.139</v>
      </c>
    </row>
    <row r="8754">
      <c r="A8754" s="926" t="n">
        <v>43329</v>
      </c>
      <c r="B8754" t="n">
        <v>7.851</v>
      </c>
      <c r="C8754" t="n">
        <v>1.14215</v>
      </c>
    </row>
    <row r="8755">
      <c r="A8755" s="926" t="n">
        <v>43330</v>
      </c>
      <c r="B8755" t="n">
        <v>7.85</v>
      </c>
      <c r="C8755" t="n">
        <v>1.1492</v>
      </c>
    </row>
    <row r="8756">
      <c r="A8756" s="926" t="n">
        <v>43332</v>
      </c>
      <c r="B8756" t="n">
        <v>7.851</v>
      </c>
      <c r="C8756" t="n">
        <v>1.1459</v>
      </c>
    </row>
    <row r="8757">
      <c r="A8757" s="926" t="n">
        <v>43333</v>
      </c>
      <c r="B8757" t="n">
        <v>7.851</v>
      </c>
      <c r="C8757" t="n">
        <v>1.14825</v>
      </c>
    </row>
    <row r="8758">
      <c r="A8758" s="926" t="n">
        <v>43334</v>
      </c>
      <c r="B8758" t="n">
        <v>7.851</v>
      </c>
      <c r="C8758" t="n">
        <v>1.14795</v>
      </c>
    </row>
    <row r="8759">
      <c r="A8759" s="926" t="n">
        <v>43335</v>
      </c>
      <c r="B8759" t="n">
        <v>7.851</v>
      </c>
      <c r="C8759" t="n">
        <v>1.1432</v>
      </c>
    </row>
    <row r="8760">
      <c r="A8760" s="926" t="n">
        <v>43336</v>
      </c>
      <c r="B8760" t="n">
        <v>7.851</v>
      </c>
      <c r="C8760" t="n">
        <v>1.1426</v>
      </c>
    </row>
    <row r="8761">
      <c r="A8761" s="926" t="n">
        <v>43337</v>
      </c>
      <c r="B8761" t="n">
        <v>7.849</v>
      </c>
      <c r="C8761" t="n">
        <v>1.1531</v>
      </c>
    </row>
    <row r="8762">
      <c r="A8762" s="926" t="n">
        <v>43339</v>
      </c>
      <c r="B8762" t="n">
        <v>7.851</v>
      </c>
      <c r="C8762" t="n">
        <v>1.15255</v>
      </c>
    </row>
    <row r="8763">
      <c r="A8763" s="926" t="n">
        <v>43340</v>
      </c>
      <c r="B8763" t="n">
        <v>7.851</v>
      </c>
      <c r="C8763" t="n">
        <v>1.1543</v>
      </c>
    </row>
    <row r="8764">
      <c r="A8764" s="926" t="n">
        <v>43341</v>
      </c>
      <c r="B8764" t="n">
        <v>7.85</v>
      </c>
      <c r="C8764" t="n">
        <v>1.1514</v>
      </c>
    </row>
    <row r="8765">
      <c r="A8765" s="926" t="n">
        <v>43342</v>
      </c>
      <c r="B8765" t="n">
        <v>7.85</v>
      </c>
      <c r="C8765" t="n">
        <v>1.1488</v>
      </c>
    </row>
    <row r="8766">
      <c r="A8766" s="926" t="n">
        <v>43343</v>
      </c>
      <c r="B8766" t="n">
        <v>7.85</v>
      </c>
      <c r="C8766" t="n">
        <v>1.1475</v>
      </c>
    </row>
    <row r="8767">
      <c r="A8767" s="926" t="n">
        <v>43344</v>
      </c>
      <c r="B8767" t="n">
        <v>7.85</v>
      </c>
      <c r="C8767" t="n">
        <v>1.14705</v>
      </c>
    </row>
    <row r="8768">
      <c r="A8768" s="926" t="n">
        <v>43346</v>
      </c>
      <c r="B8768" t="n">
        <v>7.851</v>
      </c>
      <c r="C8768" t="n">
        <v>1.1479</v>
      </c>
    </row>
    <row r="8769">
      <c r="A8769" s="926" t="n">
        <v>43347</v>
      </c>
      <c r="B8769" t="n">
        <v>7.85</v>
      </c>
      <c r="C8769" t="n">
        <v>1.1473</v>
      </c>
    </row>
    <row r="8770">
      <c r="A8770" s="926" t="n">
        <v>43348</v>
      </c>
      <c r="B8770" t="n">
        <v>7.85</v>
      </c>
      <c r="C8770" t="n">
        <v>1.1448</v>
      </c>
    </row>
    <row r="8771">
      <c r="A8771" s="926" t="n">
        <v>43349</v>
      </c>
      <c r="B8771" t="n">
        <v>7.85</v>
      </c>
      <c r="C8771" t="n">
        <v>1.1457</v>
      </c>
    </row>
    <row r="8772">
      <c r="A8772" s="926" t="n">
        <v>43350</v>
      </c>
      <c r="B8772" t="n">
        <v>7.851</v>
      </c>
      <c r="C8772" t="n">
        <v>1.1471</v>
      </c>
    </row>
    <row r="8773">
      <c r="A8773" s="926" t="n">
        <v>43351</v>
      </c>
      <c r="B8773" t="n">
        <v>7.851</v>
      </c>
      <c r="C8773" t="n">
        <v>1.14325</v>
      </c>
    </row>
    <row r="8774">
      <c r="A8774" s="926" t="n">
        <v>43353</v>
      </c>
      <c r="B8774" t="n">
        <v>7.851</v>
      </c>
      <c r="C8774" t="n">
        <v>1.1424</v>
      </c>
    </row>
    <row r="8775">
      <c r="A8775" s="926" t="n">
        <v>43354</v>
      </c>
      <c r="B8775" t="n">
        <v>7.851</v>
      </c>
      <c r="C8775" t="n">
        <v>1.1429</v>
      </c>
    </row>
    <row r="8776">
      <c r="A8776" s="926" t="n">
        <v>43355</v>
      </c>
      <c r="B8776" t="n">
        <v>7.85</v>
      </c>
      <c r="C8776" t="n">
        <v>1.1402</v>
      </c>
    </row>
    <row r="8777">
      <c r="A8777" s="926" t="n">
        <v>43356</v>
      </c>
      <c r="B8777" t="n">
        <v>7.849</v>
      </c>
      <c r="C8777" t="n">
        <v>1.1458</v>
      </c>
    </row>
    <row r="8778">
      <c r="A8778" s="926" t="n">
        <v>43357</v>
      </c>
      <c r="B8778" t="n">
        <v>7.85</v>
      </c>
      <c r="C8778" t="n">
        <v>1.1463</v>
      </c>
    </row>
    <row r="8779">
      <c r="A8779" s="926" t="n">
        <v>43358</v>
      </c>
      <c r="B8779" t="n">
        <v>7.847</v>
      </c>
      <c r="C8779" t="n">
        <v>1.14145</v>
      </c>
    </row>
    <row r="8780">
      <c r="A8780" s="926" t="n">
        <v>43360</v>
      </c>
      <c r="B8780" t="n">
        <v>7.849</v>
      </c>
      <c r="C8780" t="n">
        <v>1.1418</v>
      </c>
    </row>
    <row r="8781">
      <c r="A8781" s="926" t="n">
        <v>43361</v>
      </c>
      <c r="B8781" t="n">
        <v>7.845</v>
      </c>
      <c r="C8781" t="n">
        <v>1.1422</v>
      </c>
    </row>
    <row r="8782">
      <c r="A8782" s="926" t="n">
        <v>43362</v>
      </c>
      <c r="B8782" t="n">
        <v>7.847</v>
      </c>
      <c r="C8782" t="n">
        <v>1.1453</v>
      </c>
    </row>
    <row r="8783">
      <c r="A8783" s="926" t="n">
        <v>43363</v>
      </c>
      <c r="B8783" t="n">
        <v>7.845</v>
      </c>
      <c r="C8783" t="n">
        <v>1.1448</v>
      </c>
    </row>
    <row r="8784">
      <c r="A8784" s="926" t="n">
        <v>43364</v>
      </c>
      <c r="B8784" t="n">
        <v>7.811</v>
      </c>
      <c r="C8784" t="n">
        <v>1.1439</v>
      </c>
    </row>
    <row r="8785">
      <c r="A8785" s="926" t="n">
        <v>43365</v>
      </c>
      <c r="B8785" t="n">
        <v>7.809</v>
      </c>
      <c r="C8785" t="n">
        <v>1.14085</v>
      </c>
    </row>
    <row r="8786">
      <c r="A8786" s="926" t="n">
        <v>43367</v>
      </c>
      <c r="B8786" t="n">
        <v>7.81</v>
      </c>
      <c r="C8786" t="n">
        <v>1.138</v>
      </c>
    </row>
    <row r="8787">
      <c r="A8787" s="926" t="n">
        <v>43369</v>
      </c>
      <c r="B8787" t="n">
        <v>7.816</v>
      </c>
      <c r="C8787" t="n">
        <v>1.13695</v>
      </c>
    </row>
    <row r="8788">
      <c r="A8788" s="926" t="n">
        <v>43370</v>
      </c>
      <c r="B8788" t="n">
        <v>7.814</v>
      </c>
      <c r="C8788" t="n">
        <v>1.13615</v>
      </c>
    </row>
    <row r="8789">
      <c r="A8789" s="926" t="n">
        <v>43371</v>
      </c>
      <c r="B8789" t="n">
        <v>7.826</v>
      </c>
      <c r="C8789" t="n">
        <v>1.1371</v>
      </c>
    </row>
    <row r="8790">
      <c r="A8790" s="926" t="n">
        <v>43372</v>
      </c>
      <c r="B8790" t="n">
        <v>7.828</v>
      </c>
      <c r="C8790" t="n">
        <v>1.13845</v>
      </c>
    </row>
    <row r="8791">
      <c r="A8791" s="926" t="n">
        <v>43375</v>
      </c>
      <c r="B8791" t="n">
        <v>7.837</v>
      </c>
      <c r="C8791" t="n">
        <v>1.1377</v>
      </c>
    </row>
    <row r="8792">
      <c r="A8792" s="926" t="n">
        <v>43376</v>
      </c>
      <c r="B8792" t="n">
        <v>7.839</v>
      </c>
      <c r="C8792" t="n">
        <v>1.1387</v>
      </c>
    </row>
    <row r="8793">
      <c r="A8793" s="926" t="n">
        <v>43377</v>
      </c>
      <c r="B8793" t="n">
        <v>7.835</v>
      </c>
      <c r="C8793" t="n">
        <v>1.13645</v>
      </c>
    </row>
    <row r="8794">
      <c r="A8794" s="926" t="n">
        <v>43378</v>
      </c>
      <c r="B8794" t="n">
        <v>7.834</v>
      </c>
      <c r="C8794" t="n">
        <v>1.1345</v>
      </c>
    </row>
    <row r="8795">
      <c r="A8795" s="926" t="n">
        <v>43379</v>
      </c>
      <c r="B8795" t="n">
        <v>7.835</v>
      </c>
      <c r="C8795" t="n">
        <v>1.13605</v>
      </c>
    </row>
    <row r="8796">
      <c r="A8796" s="926" t="n">
        <v>43381</v>
      </c>
      <c r="B8796" t="n">
        <v>7.827</v>
      </c>
      <c r="C8796" t="n">
        <v>1.1334</v>
      </c>
    </row>
    <row r="8797">
      <c r="A8797" s="926" t="n">
        <v>43382</v>
      </c>
      <c r="B8797" t="n">
        <v>7.833</v>
      </c>
      <c r="C8797" t="n">
        <v>1.13125</v>
      </c>
    </row>
    <row r="8798">
      <c r="A8798" s="926" t="n">
        <v>43383</v>
      </c>
      <c r="B8798" t="n">
        <v>7.838</v>
      </c>
      <c r="C8798" t="n">
        <v>1.13285</v>
      </c>
    </row>
    <row r="8799">
      <c r="A8799" s="926" t="n">
        <v>43384</v>
      </c>
      <c r="B8799" t="n">
        <v>7.838</v>
      </c>
      <c r="C8799" t="n">
        <v>1.12985</v>
      </c>
    </row>
    <row r="8800">
      <c r="A8800" s="926" t="n">
        <v>43385</v>
      </c>
      <c r="B8800" t="n">
        <v>7.836</v>
      </c>
      <c r="C8800" t="n">
        <v>1.1345</v>
      </c>
    </row>
    <row r="8801">
      <c r="A8801" s="926" t="n">
        <v>43386</v>
      </c>
      <c r="B8801" t="n">
        <v>7.835</v>
      </c>
      <c r="C8801" t="n">
        <v>1.1319</v>
      </c>
    </row>
    <row r="8802">
      <c r="A8802" s="926" t="n">
        <v>43388</v>
      </c>
      <c r="B8802" t="n">
        <v>7.838</v>
      </c>
      <c r="C8802" t="n">
        <v>1.13175</v>
      </c>
    </row>
    <row r="8803">
      <c r="A8803" s="926" t="n">
        <v>43389</v>
      </c>
      <c r="B8803" t="n">
        <v>7.837</v>
      </c>
      <c r="C8803" t="n">
        <v>1.13305</v>
      </c>
    </row>
    <row r="8804">
      <c r="A8804" s="926" t="n">
        <v>43391</v>
      </c>
      <c r="B8804" t="n">
        <v>7.841</v>
      </c>
      <c r="C8804" t="n">
        <v>1.12985</v>
      </c>
    </row>
    <row r="8805">
      <c r="A8805" s="926" t="n">
        <v>43392</v>
      </c>
      <c r="B8805" t="n">
        <v>7.841</v>
      </c>
      <c r="C8805" t="n">
        <v>1.12975</v>
      </c>
    </row>
    <row r="8806">
      <c r="A8806" s="926" t="n">
        <v>43393</v>
      </c>
      <c r="B8806" t="n">
        <v>7.842</v>
      </c>
      <c r="C8806" t="n">
        <v>1.1301</v>
      </c>
    </row>
    <row r="8807">
      <c r="A8807" s="926" t="n">
        <v>43395</v>
      </c>
      <c r="B8807" t="n">
        <v>7.841</v>
      </c>
      <c r="C8807" t="n">
        <v>1.13115</v>
      </c>
    </row>
    <row r="8808">
      <c r="A8808" s="926" t="n">
        <v>43396</v>
      </c>
      <c r="B8808" t="n">
        <v>7.84</v>
      </c>
      <c r="C8808" t="n">
        <v>1.12875</v>
      </c>
    </row>
    <row r="8809">
      <c r="A8809" s="926" t="n">
        <v>43397</v>
      </c>
      <c r="B8809" t="n">
        <v>7.841</v>
      </c>
      <c r="C8809" t="n">
        <v>1.12945</v>
      </c>
    </row>
    <row r="8810">
      <c r="A8810" s="926" t="n">
        <v>43398</v>
      </c>
      <c r="B8810" t="n">
        <v>7.84</v>
      </c>
      <c r="C8810" t="n">
        <v>1.1271</v>
      </c>
    </row>
    <row r="8811">
      <c r="A8811" s="926" t="n">
        <v>43399</v>
      </c>
      <c r="B8811" t="n">
        <v>7.842</v>
      </c>
      <c r="C8811" t="n">
        <v>1.1249</v>
      </c>
    </row>
    <row r="8812">
      <c r="A8812" s="926" t="n">
        <v>43400</v>
      </c>
      <c r="B8812" t="n">
        <v>7.84</v>
      </c>
      <c r="C8812" t="n">
        <v>1.1276</v>
      </c>
    </row>
    <row r="8813">
      <c r="A8813" s="926" t="n">
        <v>43402</v>
      </c>
      <c r="B8813" t="n">
        <v>7.844</v>
      </c>
      <c r="C8813" t="n">
        <v>1.1258</v>
      </c>
    </row>
    <row r="8814">
      <c r="A8814" s="926" t="n">
        <v>43403</v>
      </c>
      <c r="B8814" t="n">
        <v>7.846</v>
      </c>
      <c r="C8814" t="n">
        <v>1.1258</v>
      </c>
    </row>
    <row r="8815">
      <c r="A8815" s="926" t="n">
        <v>43404</v>
      </c>
      <c r="B8815" t="n">
        <v>7.847</v>
      </c>
      <c r="C8815" t="n">
        <v>1.12495</v>
      </c>
    </row>
    <row r="8816">
      <c r="A8816" s="926" t="n">
        <v>43405</v>
      </c>
      <c r="B8816" t="n">
        <v>7.841</v>
      </c>
      <c r="C8816" t="n">
        <v>1.1257</v>
      </c>
    </row>
    <row r="8817">
      <c r="A8817" s="926" t="n">
        <v>43406</v>
      </c>
      <c r="B8817" t="n">
        <v>7.839</v>
      </c>
      <c r="C8817" t="n">
        <v>1.1356</v>
      </c>
    </row>
    <row r="8818">
      <c r="A8818" s="926" t="n">
        <v>43407</v>
      </c>
      <c r="B8818" t="n">
        <v>7.817</v>
      </c>
      <c r="C8818" t="n">
        <v>1.1326</v>
      </c>
    </row>
    <row r="8819">
      <c r="A8819" s="926" t="n">
        <v>43409</v>
      </c>
      <c r="B8819" t="n">
        <v>7.835</v>
      </c>
      <c r="C8819" t="n">
        <v>1.1327</v>
      </c>
    </row>
    <row r="8820">
      <c r="A8820" s="926" t="n">
        <v>43410</v>
      </c>
      <c r="B8820" t="n">
        <v>7.836</v>
      </c>
      <c r="C8820" t="n">
        <v>1.13275</v>
      </c>
    </row>
    <row r="8821">
      <c r="A8821" s="926" t="n">
        <v>43411</v>
      </c>
      <c r="B8821" t="n">
        <v>7.834</v>
      </c>
      <c r="C8821" t="n">
        <v>1.13125</v>
      </c>
    </row>
    <row r="8822">
      <c r="A8822" s="926" t="n">
        <v>43412</v>
      </c>
      <c r="B8822" t="n">
        <v>7.831</v>
      </c>
      <c r="C8822" t="n">
        <v>1.13035</v>
      </c>
    </row>
    <row r="8823">
      <c r="A8823" s="926" t="n">
        <v>43413</v>
      </c>
      <c r="B8823" t="n">
        <v>7.828</v>
      </c>
      <c r="C8823" t="n">
        <v>1.12735</v>
      </c>
    </row>
    <row r="8824">
      <c r="A8824" s="926" t="n">
        <v>43414</v>
      </c>
      <c r="B8824" t="n">
        <v>7.832</v>
      </c>
      <c r="C8824" t="n">
        <v>1.12725</v>
      </c>
    </row>
    <row r="8825">
      <c r="A8825" s="926" t="n">
        <v>43416</v>
      </c>
      <c r="B8825" t="n">
        <v>7.834</v>
      </c>
      <c r="C8825" t="n">
        <v>1.12505</v>
      </c>
    </row>
    <row r="8826">
      <c r="A8826" s="926" t="n">
        <v>43417</v>
      </c>
      <c r="B8826" t="n">
        <v>7.834</v>
      </c>
      <c r="C8826" t="n">
        <v>1.12755</v>
      </c>
    </row>
    <row r="8827">
      <c r="A8827" s="926" t="n">
        <v>43418</v>
      </c>
      <c r="B8827" t="n">
        <v>7.833</v>
      </c>
      <c r="C8827" t="n">
        <v>1.12775</v>
      </c>
    </row>
    <row r="8828">
      <c r="A8828" s="926" t="n">
        <v>43419</v>
      </c>
      <c r="B8828" t="n">
        <v>7.831</v>
      </c>
      <c r="C8828" t="n">
        <v>1.13045</v>
      </c>
    </row>
    <row r="8829">
      <c r="A8829" s="926" t="n">
        <v>43420</v>
      </c>
      <c r="B8829" t="n">
        <v>7.833</v>
      </c>
      <c r="C8829" t="n">
        <v>1.13005</v>
      </c>
    </row>
    <row r="8830">
      <c r="A8830" s="926" t="n">
        <v>43421</v>
      </c>
      <c r="B8830" t="n">
        <v>7.829</v>
      </c>
      <c r="C8830" t="n">
        <v>1.1311</v>
      </c>
    </row>
    <row r="8831">
      <c r="A8831" s="926" t="n">
        <v>43423</v>
      </c>
      <c r="B8831" t="n">
        <v>7.833</v>
      </c>
      <c r="C8831" t="n">
        <v>1.12955</v>
      </c>
    </row>
    <row r="8832">
      <c r="A8832" s="926" t="n">
        <v>43424</v>
      </c>
      <c r="B8832" t="n">
        <v>7.833</v>
      </c>
      <c r="C8832" t="n">
        <v>1.12915</v>
      </c>
    </row>
    <row r="8833">
      <c r="A8833" s="926" t="n">
        <v>43425</v>
      </c>
      <c r="B8833" t="n">
        <v>7.832</v>
      </c>
      <c r="C8833" t="n">
        <v>1.12895</v>
      </c>
    </row>
    <row r="8834">
      <c r="A8834" s="926" t="n">
        <v>43426</v>
      </c>
      <c r="B8834" t="n">
        <v>7.832</v>
      </c>
      <c r="C8834" t="n">
        <v>1.13105</v>
      </c>
    </row>
    <row r="8835">
      <c r="A8835" s="926" t="n">
        <v>43427</v>
      </c>
      <c r="B8835" t="n">
        <v>7.828</v>
      </c>
      <c r="C8835" t="n">
        <v>1.12885</v>
      </c>
    </row>
    <row r="8836">
      <c r="A8836" s="926" t="n">
        <v>43428</v>
      </c>
      <c r="B8836" t="n">
        <v>7.827</v>
      </c>
      <c r="C8836" t="n">
        <v>1.1269</v>
      </c>
    </row>
    <row r="8837">
      <c r="A8837" s="926" t="n">
        <v>43430</v>
      </c>
      <c r="B8837" t="n">
        <v>7.826</v>
      </c>
      <c r="C8837" t="n">
        <v>1.12815</v>
      </c>
    </row>
    <row r="8838">
      <c r="A8838" s="926" t="n">
        <v>43431</v>
      </c>
      <c r="B8838" t="n">
        <v>7.825</v>
      </c>
      <c r="C8838" t="n">
        <v>1.12625</v>
      </c>
    </row>
    <row r="8839">
      <c r="A8839" s="926" t="n">
        <v>43432</v>
      </c>
      <c r="B8839" t="n">
        <v>7.828</v>
      </c>
      <c r="C8839" t="n">
        <v>1.12605</v>
      </c>
    </row>
    <row r="8840">
      <c r="A8840" s="926" t="n">
        <v>43433</v>
      </c>
      <c r="B8840" t="n">
        <v>7.823</v>
      </c>
      <c r="C8840" t="n">
        <v>1.12805</v>
      </c>
    </row>
    <row r="8841">
      <c r="A8841" s="926" t="n">
        <v>43434</v>
      </c>
      <c r="B8841" t="n">
        <v>7.822</v>
      </c>
      <c r="C8841" t="n">
        <v>1.12675</v>
      </c>
    </row>
    <row r="8842">
      <c r="A8842" s="926" t="n">
        <v>43435</v>
      </c>
      <c r="B8842" t="n">
        <v>7.8235</v>
      </c>
      <c r="C8842" t="n">
        <v>1.1252</v>
      </c>
    </row>
    <row r="8843">
      <c r="A8843" s="926" t="n">
        <v>43437</v>
      </c>
      <c r="B8843" t="n">
        <v>7.822</v>
      </c>
      <c r="C8843" t="n">
        <v>1.13555</v>
      </c>
    </row>
    <row r="8844">
      <c r="A8844" s="926" t="n">
        <v>43438</v>
      </c>
      <c r="B8844" t="n">
        <v>7.811</v>
      </c>
      <c r="C8844" t="n">
        <v>1.142</v>
      </c>
    </row>
    <row r="8845">
      <c r="A8845" s="926" t="n">
        <v>43439</v>
      </c>
      <c r="B8845" t="n">
        <v>7.805</v>
      </c>
      <c r="C8845" t="n">
        <v>1.1368</v>
      </c>
    </row>
    <row r="8846">
      <c r="A8846" s="926" t="n">
        <v>43440</v>
      </c>
      <c r="B8846" t="n">
        <v>7.814</v>
      </c>
      <c r="C8846" t="n">
        <v>1.13365</v>
      </c>
    </row>
    <row r="8847">
      <c r="A8847" s="926" t="n">
        <v>43441</v>
      </c>
      <c r="B8847" t="n">
        <v>7.814</v>
      </c>
      <c r="C8847" t="n">
        <v>1.13625</v>
      </c>
    </row>
    <row r="8848">
      <c r="A8848" s="926" t="n">
        <v>43442</v>
      </c>
      <c r="B8848" t="n">
        <v>7.816</v>
      </c>
      <c r="C8848" t="n">
        <v>1.135</v>
      </c>
    </row>
    <row r="8849">
      <c r="A8849" s="926" t="n">
        <v>43444</v>
      </c>
      <c r="B8849" t="n">
        <v>7.814</v>
      </c>
      <c r="C8849" t="n">
        <v>1.12995</v>
      </c>
    </row>
    <row r="8850">
      <c r="A8850" s="926" t="n">
        <v>43445</v>
      </c>
      <c r="B8850" t="n">
        <v>7.815</v>
      </c>
      <c r="C8850" t="n">
        <v>1.13185</v>
      </c>
    </row>
    <row r="8851">
      <c r="A8851" s="926" t="n">
        <v>43446</v>
      </c>
      <c r="B8851" t="n">
        <v>7.817</v>
      </c>
      <c r="C8851" t="n">
        <v>1.13455</v>
      </c>
    </row>
    <row r="8852">
      <c r="A8852" s="926" t="n">
        <v>43447</v>
      </c>
      <c r="B8852" t="n">
        <v>7.81</v>
      </c>
      <c r="C8852" t="n">
        <v>1.13825</v>
      </c>
    </row>
    <row r="8853">
      <c r="A8853" s="926" t="n">
        <v>43448</v>
      </c>
      <c r="B8853" t="n">
        <v>7.813</v>
      </c>
      <c r="C8853" t="n">
        <v>1.13385</v>
      </c>
    </row>
    <row r="8854">
      <c r="A8854" s="926" t="n">
        <v>43449</v>
      </c>
      <c r="B8854" t="n">
        <v>7.814</v>
      </c>
      <c r="C8854" t="n">
        <v>1.132</v>
      </c>
    </row>
    <row r="8855">
      <c r="A8855" s="926" t="n">
        <v>43451</v>
      </c>
      <c r="B8855" t="n">
        <v>7.814</v>
      </c>
      <c r="C8855" t="n">
        <v>1.13285</v>
      </c>
    </row>
    <row r="8856">
      <c r="A8856" s="926" t="n">
        <v>43452</v>
      </c>
      <c r="B8856" t="n">
        <v>7.818</v>
      </c>
      <c r="C8856" t="n">
        <v>1.13335</v>
      </c>
    </row>
    <row r="8857">
      <c r="A8857" s="926" t="n">
        <v>43453</v>
      </c>
      <c r="B8857" t="n">
        <v>7.823</v>
      </c>
      <c r="C8857" t="n">
        <v>1.1352</v>
      </c>
    </row>
    <row r="8858">
      <c r="A8858" s="926" t="n">
        <v>43454</v>
      </c>
      <c r="B8858" t="n">
        <v>7.828</v>
      </c>
      <c r="C8858" t="n">
        <v>1.13375</v>
      </c>
    </row>
    <row r="8859">
      <c r="A8859" s="926" t="n">
        <v>43455</v>
      </c>
      <c r="B8859" t="n">
        <v>7.827</v>
      </c>
      <c r="C8859" t="n">
        <v>1.13435</v>
      </c>
    </row>
    <row r="8860">
      <c r="A8860" s="926" t="n">
        <v>43456</v>
      </c>
      <c r="B8860" t="n">
        <v>7.832</v>
      </c>
      <c r="C8860" t="n">
        <v>1.131</v>
      </c>
    </row>
    <row r="8861">
      <c r="A8861" s="926" t="n">
        <v>43458</v>
      </c>
      <c r="B8861" t="n">
        <v>7.834</v>
      </c>
      <c r="C8861" t="n">
        <v>1.13535</v>
      </c>
    </row>
    <row r="8862">
      <c r="A8862" s="926" t="n">
        <v>43461</v>
      </c>
      <c r="B8862" t="n">
        <v>7.835</v>
      </c>
      <c r="C8862" t="n">
        <v>1.13645</v>
      </c>
    </row>
    <row r="8863">
      <c r="A8863" s="926" t="n">
        <v>43462</v>
      </c>
      <c r="B8863" t="n">
        <v>7.833</v>
      </c>
      <c r="C8863" t="n">
        <v>1.14075</v>
      </c>
    </row>
    <row r="8864">
      <c r="A8864" s="926" t="n">
        <v>43463</v>
      </c>
      <c r="B8864" t="n">
        <v>7.83</v>
      </c>
      <c r="C8864" t="n">
        <v>1.1376</v>
      </c>
    </row>
    <row r="8865">
      <c r="A8865" s="926" t="n">
        <v>43465</v>
      </c>
      <c r="B8865" t="n">
        <v>7.834</v>
      </c>
      <c r="C8865" t="n">
        <v>1.1386</v>
      </c>
    </row>
    <row r="8866">
      <c r="A8866" s="926" t="n">
        <v>43467</v>
      </c>
      <c r="B8866" t="n">
        <v>7.836</v>
      </c>
      <c r="C8866" t="n">
        <v>1.1414</v>
      </c>
    </row>
    <row r="8867">
      <c r="A8867" s="926" t="n">
        <v>43468</v>
      </c>
      <c r="B8867" t="n">
        <v>7.835</v>
      </c>
      <c r="C8867" t="n">
        <v>1.13755</v>
      </c>
    </row>
    <row r="8868">
      <c r="A8868" s="926" t="n">
        <v>43469</v>
      </c>
      <c r="B8868" t="n">
        <v>7.833</v>
      </c>
      <c r="C8868" t="n">
        <v>1.13945</v>
      </c>
    </row>
    <row r="8869">
      <c r="A8869" s="926" t="n">
        <v>43470</v>
      </c>
      <c r="B8869" t="n">
        <v>7.835</v>
      </c>
      <c r="C8869" t="n">
        <v>1.14135</v>
      </c>
    </row>
    <row r="8870">
      <c r="A8870" s="926" t="n">
        <v>43472</v>
      </c>
      <c r="B8870" t="n">
        <v>7.837</v>
      </c>
      <c r="C8870" t="n">
        <v>1.1437</v>
      </c>
    </row>
    <row r="8871">
      <c r="A8871" s="926" t="n">
        <v>43473</v>
      </c>
      <c r="B8871" t="n">
        <v>7.839</v>
      </c>
      <c r="C8871" t="n">
        <v>1.1425</v>
      </c>
    </row>
    <row r="8872">
      <c r="A8872" s="926" t="n">
        <v>43474</v>
      </c>
      <c r="B8872" t="n">
        <v>7.84</v>
      </c>
      <c r="C8872" t="n">
        <v>1.1457</v>
      </c>
    </row>
    <row r="8873">
      <c r="A8873" s="926" t="n">
        <v>43475</v>
      </c>
      <c r="B8873" t="n">
        <v>7.839</v>
      </c>
      <c r="C8873" t="n">
        <v>1.1539</v>
      </c>
    </row>
    <row r="8874">
      <c r="A8874" s="926" t="n">
        <v>43476</v>
      </c>
      <c r="B8874" t="n">
        <v>7.842</v>
      </c>
      <c r="C8874" t="n">
        <v>1.16115</v>
      </c>
    </row>
    <row r="8875">
      <c r="A8875" s="926" t="n">
        <v>43477</v>
      </c>
      <c r="B8875" t="n">
        <v>7.84</v>
      </c>
      <c r="C8875" t="n">
        <v>1.15935</v>
      </c>
    </row>
    <row r="8876">
      <c r="A8876" s="926" t="n">
        <v>43479</v>
      </c>
      <c r="B8876" t="n">
        <v>7.844</v>
      </c>
      <c r="C8876" t="n">
        <v>1.15785</v>
      </c>
    </row>
    <row r="8877">
      <c r="A8877" s="926" t="n">
        <v>43480</v>
      </c>
      <c r="B8877" t="n">
        <v>7.843</v>
      </c>
      <c r="C8877" t="n">
        <v>1.1601</v>
      </c>
    </row>
    <row r="8878">
      <c r="A8878" s="926" t="n">
        <v>43481</v>
      </c>
      <c r="B8878" t="n">
        <v>7.846</v>
      </c>
      <c r="C8878" t="n">
        <v>1.15885</v>
      </c>
    </row>
    <row r="8879">
      <c r="A8879" s="926" t="n">
        <v>43482</v>
      </c>
      <c r="B8879" t="n">
        <v>7.846</v>
      </c>
      <c r="C8879" t="n">
        <v>1.15835</v>
      </c>
    </row>
    <row r="8880">
      <c r="A8880" s="926" t="n">
        <v>43483</v>
      </c>
      <c r="B8880" t="n">
        <v>7.846</v>
      </c>
      <c r="C8880" t="n">
        <v>1.15685</v>
      </c>
    </row>
    <row r="8881">
      <c r="A8881" s="926" t="n">
        <v>43484</v>
      </c>
      <c r="B8881" t="n">
        <v>7.844</v>
      </c>
      <c r="C8881" t="n">
        <v>1.1528</v>
      </c>
    </row>
    <row r="8882">
      <c r="A8882" s="926" t="n">
        <v>43486</v>
      </c>
      <c r="B8882" t="n">
        <v>7.845</v>
      </c>
      <c r="C8882" t="n">
        <v>1.15385</v>
      </c>
    </row>
    <row r="8883">
      <c r="A8883" s="926" t="n">
        <v>43487</v>
      </c>
      <c r="B8883" t="n">
        <v>7.847</v>
      </c>
      <c r="C8883" t="n">
        <v>1.15095</v>
      </c>
    </row>
    <row r="8884">
      <c r="A8884" s="926" t="n">
        <v>43488</v>
      </c>
      <c r="B8884" t="n">
        <v>7.847</v>
      </c>
      <c r="C8884" t="n">
        <v>1.1557</v>
      </c>
    </row>
    <row r="8885">
      <c r="A8885" s="926" t="n">
        <v>43489</v>
      </c>
      <c r="B8885" t="n">
        <v>7.847</v>
      </c>
      <c r="C8885" t="n">
        <v>1.15465</v>
      </c>
    </row>
    <row r="8886">
      <c r="A8886" s="926" t="n">
        <v>43490</v>
      </c>
      <c r="B8886" t="n">
        <v>7.848</v>
      </c>
      <c r="C8886" t="n">
        <v>1.15915</v>
      </c>
    </row>
    <row r="8887">
      <c r="A8887" s="926" t="n">
        <v>43491</v>
      </c>
      <c r="B8887" t="n">
        <v>7.846</v>
      </c>
      <c r="C8887" t="n">
        <v>1.1613</v>
      </c>
    </row>
    <row r="8888">
      <c r="A8888" s="926" t="n">
        <v>43493</v>
      </c>
      <c r="B8888" t="n">
        <v>7.847</v>
      </c>
      <c r="C8888" t="n">
        <v>1.16285</v>
      </c>
    </row>
    <row r="8889">
      <c r="A8889" s="926" t="n">
        <v>43494</v>
      </c>
      <c r="B8889" t="n">
        <v>7.847</v>
      </c>
      <c r="C8889" t="n">
        <v>1.16155</v>
      </c>
    </row>
    <row r="8890">
      <c r="A8890" s="926" t="n">
        <v>43495</v>
      </c>
      <c r="B8890" t="n">
        <v>7.844</v>
      </c>
      <c r="C8890" t="n">
        <v>1.16475</v>
      </c>
    </row>
    <row r="8891">
      <c r="A8891" s="926" t="n">
        <v>43496</v>
      </c>
      <c r="B8891" t="n">
        <v>7.847</v>
      </c>
      <c r="C8891" t="n">
        <v>1.1685</v>
      </c>
    </row>
    <row r="8892">
      <c r="A8892" s="926" t="n">
        <v>43497</v>
      </c>
      <c r="B8892" t="n">
        <v>7.847</v>
      </c>
      <c r="C8892" t="n">
        <v>1.16265</v>
      </c>
    </row>
    <row r="8893">
      <c r="A8893" s="926" t="n">
        <v>43498</v>
      </c>
      <c r="B8893" t="n">
        <v>7.847</v>
      </c>
      <c r="C8893" t="n">
        <v>1.16115</v>
      </c>
    </row>
    <row r="8894">
      <c r="A8894" s="926" t="n">
        <v>43500</v>
      </c>
      <c r="B8894" t="n">
        <v>7.846</v>
      </c>
      <c r="C8894" t="n">
        <v>1.1572</v>
      </c>
    </row>
    <row r="8895">
      <c r="A8895" s="926" t="n">
        <v>43504</v>
      </c>
      <c r="B8895" t="n">
        <v>7.847</v>
      </c>
      <c r="C8895" t="n">
        <v>1.15625</v>
      </c>
    </row>
    <row r="8896">
      <c r="A8896" s="926" t="n">
        <v>43505</v>
      </c>
      <c r="B8896" t="n">
        <v>7.847</v>
      </c>
      <c r="C8896" t="n">
        <v>1.1562</v>
      </c>
    </row>
    <row r="8897">
      <c r="A8897" s="926" t="n">
        <v>43507</v>
      </c>
      <c r="B8897" t="n">
        <v>7.848</v>
      </c>
      <c r="C8897" t="n">
        <v>1.15755</v>
      </c>
    </row>
    <row r="8898">
      <c r="A8898" s="926" t="n">
        <v>43508</v>
      </c>
      <c r="B8898" t="n">
        <v>7.849</v>
      </c>
      <c r="C8898" t="n">
        <v>1.15645</v>
      </c>
    </row>
    <row r="8899">
      <c r="A8899" s="926" t="n">
        <v>43509</v>
      </c>
      <c r="B8899" t="n">
        <v>7.849</v>
      </c>
      <c r="C8899" t="n">
        <v>1.16065</v>
      </c>
    </row>
    <row r="8900">
      <c r="A8900" s="926" t="n">
        <v>43510</v>
      </c>
      <c r="B8900" t="n">
        <v>7.849</v>
      </c>
      <c r="C8900" t="n">
        <v>1.15865</v>
      </c>
    </row>
    <row r="8901">
      <c r="A8901" s="926" t="n">
        <v>43511</v>
      </c>
      <c r="B8901" t="n">
        <v>7.848</v>
      </c>
      <c r="C8901" t="n">
        <v>1.15625</v>
      </c>
    </row>
    <row r="8902">
      <c r="A8902" s="926" t="n">
        <v>43512</v>
      </c>
      <c r="B8902" t="n">
        <v>7.848</v>
      </c>
      <c r="C8902" t="n">
        <v>1.15875</v>
      </c>
    </row>
    <row r="8903">
      <c r="A8903" s="926" t="n">
        <v>43514</v>
      </c>
      <c r="B8903" t="n">
        <v>7.849</v>
      </c>
      <c r="C8903" t="n">
        <v>1.15945</v>
      </c>
    </row>
    <row r="8904">
      <c r="A8904" s="926" t="n">
        <v>43515</v>
      </c>
      <c r="B8904" t="n">
        <v>7.85</v>
      </c>
      <c r="C8904" t="n">
        <v>1.1571</v>
      </c>
    </row>
    <row r="8905">
      <c r="A8905" s="926" t="n">
        <v>43516</v>
      </c>
      <c r="B8905" t="n">
        <v>7.85</v>
      </c>
      <c r="C8905" t="n">
        <v>1.1664</v>
      </c>
    </row>
    <row r="8906">
      <c r="A8906" s="926" t="n">
        <v>43517</v>
      </c>
      <c r="B8906" t="n">
        <v>7.849</v>
      </c>
      <c r="C8906" t="n">
        <v>1.17025</v>
      </c>
    </row>
    <row r="8907">
      <c r="A8907" s="926" t="n">
        <v>43518</v>
      </c>
      <c r="B8907" t="n">
        <v>7.849</v>
      </c>
      <c r="C8907" t="n">
        <v>1.16775</v>
      </c>
    </row>
    <row r="8908">
      <c r="A8908" s="926" t="n">
        <v>43519</v>
      </c>
      <c r="B8908" t="n">
        <v>7.848</v>
      </c>
      <c r="C8908" t="n">
        <v>1.17155</v>
      </c>
    </row>
    <row r="8909">
      <c r="A8909" s="926" t="n">
        <v>43521</v>
      </c>
      <c r="B8909" t="n">
        <v>7.849</v>
      </c>
      <c r="C8909" t="n">
        <v>1.1732</v>
      </c>
    </row>
    <row r="8910">
      <c r="A8910" s="926" t="n">
        <v>43522</v>
      </c>
      <c r="B8910" t="n">
        <v>7.85</v>
      </c>
      <c r="C8910" t="n">
        <v>1.1719</v>
      </c>
    </row>
    <row r="8911">
      <c r="A8911" s="926" t="n">
        <v>43523</v>
      </c>
      <c r="B8911" t="n">
        <v>7.85</v>
      </c>
      <c r="C8911" t="n">
        <v>1.1729</v>
      </c>
    </row>
    <row r="8912">
      <c r="A8912" s="926" t="n">
        <v>43524</v>
      </c>
      <c r="B8912" t="n">
        <v>7.851</v>
      </c>
      <c r="C8912" t="n">
        <v>1.1743</v>
      </c>
    </row>
    <row r="8913">
      <c r="A8913" s="926" t="n">
        <v>43525</v>
      </c>
      <c r="B8913" t="n">
        <v>7.85</v>
      </c>
      <c r="C8913" t="n">
        <v>1.17105</v>
      </c>
    </row>
    <row r="8914">
      <c r="A8914" s="926" t="n">
        <v>43526</v>
      </c>
      <c r="B8914" t="n">
        <v>7.849</v>
      </c>
      <c r="C8914" t="n">
        <v>1.1681</v>
      </c>
    </row>
    <row r="8915">
      <c r="A8915" s="926" t="n">
        <v>43528</v>
      </c>
      <c r="B8915" t="n">
        <v>7.85</v>
      </c>
      <c r="C8915" t="n">
        <v>1.1728</v>
      </c>
    </row>
    <row r="8916">
      <c r="A8916" s="926" t="n">
        <v>43529</v>
      </c>
      <c r="B8916" t="n">
        <v>7.851</v>
      </c>
      <c r="C8916" t="n">
        <v>1.1714</v>
      </c>
    </row>
    <row r="8917">
      <c r="A8917" s="926" t="n">
        <v>43530</v>
      </c>
      <c r="B8917" t="n">
        <v>7.851</v>
      </c>
      <c r="C8917" t="n">
        <v>1.1686</v>
      </c>
    </row>
    <row r="8918">
      <c r="A8918" s="926" t="n">
        <v>43531</v>
      </c>
      <c r="B8918" t="n">
        <v>7.851</v>
      </c>
      <c r="C8918" t="n">
        <v>1.16875</v>
      </c>
    </row>
    <row r="8919">
      <c r="A8919" s="926" t="n">
        <v>43532</v>
      </c>
      <c r="B8919" t="n">
        <v>7.851</v>
      </c>
      <c r="C8919" t="n">
        <v>1.1658</v>
      </c>
    </row>
    <row r="8920">
      <c r="A8920" s="926" t="n">
        <v>43533</v>
      </c>
      <c r="B8920" t="n">
        <v>7.85</v>
      </c>
      <c r="C8920" t="n">
        <v>1.1656</v>
      </c>
    </row>
    <row r="8921">
      <c r="A8921" s="926" t="n">
        <v>43535</v>
      </c>
      <c r="B8921" t="n">
        <v>7.851</v>
      </c>
      <c r="C8921" t="n">
        <v>1.16625</v>
      </c>
    </row>
    <row r="8922">
      <c r="A8922" s="926" t="n">
        <v>43536</v>
      </c>
      <c r="B8922" t="n">
        <v>7.851</v>
      </c>
      <c r="C8922" t="n">
        <v>1.16765</v>
      </c>
    </row>
    <row r="8923">
      <c r="A8923" s="926" t="n">
        <v>43537</v>
      </c>
      <c r="B8923" t="n">
        <v>7.851</v>
      </c>
      <c r="C8923" t="n">
        <v>1.16875</v>
      </c>
    </row>
    <row r="8924">
      <c r="A8924" s="926" t="n">
        <v>43538</v>
      </c>
      <c r="B8924" t="n">
        <v>7.851</v>
      </c>
      <c r="C8924" t="n">
        <v>1.16815</v>
      </c>
    </row>
    <row r="8925">
      <c r="A8925" s="926" t="n">
        <v>43539</v>
      </c>
      <c r="B8925" t="n">
        <v>7.851</v>
      </c>
      <c r="C8925" t="n">
        <v>1.1675</v>
      </c>
    </row>
    <row r="8926">
      <c r="A8926" s="926" t="n">
        <v>43540</v>
      </c>
      <c r="B8926" t="n">
        <v>7.849</v>
      </c>
      <c r="C8926" t="n">
        <v>1.1686</v>
      </c>
    </row>
    <row r="8927">
      <c r="A8927" s="926" t="n">
        <v>43542</v>
      </c>
      <c r="B8927" t="n">
        <v>7.851</v>
      </c>
      <c r="C8927" t="n">
        <v>1.1694</v>
      </c>
    </row>
    <row r="8928">
      <c r="A8928" s="926" t="n">
        <v>43543</v>
      </c>
      <c r="B8928" t="n">
        <v>7.851</v>
      </c>
      <c r="C8928" t="n">
        <v>1.16825</v>
      </c>
    </row>
    <row r="8929">
      <c r="A8929" s="926" t="n">
        <v>43544</v>
      </c>
      <c r="B8929" t="n">
        <v>7.851</v>
      </c>
      <c r="C8929" t="n">
        <v>1.16935</v>
      </c>
    </row>
    <row r="8930">
      <c r="A8930" s="926" t="n">
        <v>43545</v>
      </c>
      <c r="B8930" t="n">
        <v>7.849</v>
      </c>
      <c r="C8930" t="n">
        <v>1.1743</v>
      </c>
    </row>
    <row r="8931">
      <c r="A8931" s="926" t="n">
        <v>43546</v>
      </c>
      <c r="B8931" t="n">
        <v>7.847</v>
      </c>
      <c r="C8931" t="n">
        <v>1.17005</v>
      </c>
    </row>
    <row r="8932">
      <c r="A8932" s="926" t="n">
        <v>43547</v>
      </c>
      <c r="B8932" t="n">
        <v>7.847</v>
      </c>
      <c r="C8932" t="n">
        <v>1.1665</v>
      </c>
    </row>
    <row r="8933">
      <c r="A8933" s="926" t="n">
        <v>43549</v>
      </c>
      <c r="B8933" t="n">
        <v>7.85</v>
      </c>
      <c r="C8933" t="n">
        <v>1.16855</v>
      </c>
    </row>
    <row r="8934">
      <c r="A8934" s="926" t="n">
        <v>43550</v>
      </c>
      <c r="B8934" t="n">
        <v>7.85</v>
      </c>
      <c r="C8934" t="n">
        <v>1.1684</v>
      </c>
    </row>
    <row r="8935">
      <c r="A8935" s="926" t="n">
        <v>43551</v>
      </c>
      <c r="B8935" t="n">
        <v>7.85</v>
      </c>
      <c r="C8935" t="n">
        <v>1.1673</v>
      </c>
    </row>
    <row r="8936">
      <c r="A8936" s="926" t="n">
        <v>43552</v>
      </c>
      <c r="B8936" t="n">
        <v>7.851</v>
      </c>
      <c r="C8936" t="n">
        <v>1.1656</v>
      </c>
    </row>
    <row r="8937">
      <c r="A8937" s="926" t="n">
        <v>43553</v>
      </c>
      <c r="B8937" t="n">
        <v>7.851</v>
      </c>
      <c r="C8937" t="n">
        <v>1.16635</v>
      </c>
    </row>
    <row r="8938">
      <c r="A8938" s="926" t="n">
        <v>43554</v>
      </c>
      <c r="B8938" t="n">
        <v>7.849</v>
      </c>
      <c r="C8938" t="n">
        <v>1.1672</v>
      </c>
    </row>
    <row r="8939">
      <c r="A8939" s="926" t="n">
        <v>43556</v>
      </c>
      <c r="B8939" t="n">
        <v>7.851</v>
      </c>
      <c r="C8939" t="n">
        <v>1.16905</v>
      </c>
    </row>
    <row r="8940">
      <c r="A8940" s="926" t="n">
        <v>43557</v>
      </c>
      <c r="B8940" t="n">
        <v>7.851</v>
      </c>
      <c r="C8940" t="n">
        <v>1.16765</v>
      </c>
    </row>
    <row r="8941">
      <c r="A8941" s="926" t="n">
        <v>43558</v>
      </c>
      <c r="B8941" t="n">
        <v>7.851</v>
      </c>
      <c r="C8941" t="n">
        <v>1.16955</v>
      </c>
    </row>
    <row r="8942">
      <c r="A8942" s="926" t="n">
        <v>43559</v>
      </c>
      <c r="B8942" t="n">
        <v>7.85</v>
      </c>
      <c r="C8942" t="n">
        <v>1.1686</v>
      </c>
    </row>
    <row r="8943">
      <c r="A8943" s="926" t="n">
        <v>43561</v>
      </c>
      <c r="B8943" t="n">
        <v>7.848</v>
      </c>
      <c r="C8943" t="n">
        <v>1.1691</v>
      </c>
    </row>
    <row r="8944">
      <c r="A8944" s="926" t="n">
        <v>43563</v>
      </c>
      <c r="B8944" t="n">
        <v>7.85</v>
      </c>
      <c r="C8944" t="n">
        <v>1.16775</v>
      </c>
    </row>
    <row r="8945">
      <c r="A8945" s="926" t="n">
        <v>43564</v>
      </c>
      <c r="B8945" t="n">
        <v>7.844</v>
      </c>
      <c r="C8945" t="n">
        <v>1.1672</v>
      </c>
    </row>
    <row r="8946">
      <c r="A8946" s="926" t="n">
        <v>43565</v>
      </c>
      <c r="B8946" t="n">
        <v>7.836</v>
      </c>
      <c r="C8946" t="n">
        <v>1.16615</v>
      </c>
    </row>
    <row r="8947">
      <c r="A8947" s="926" t="n">
        <v>43566</v>
      </c>
      <c r="B8947" t="n">
        <v>7.845</v>
      </c>
      <c r="C8947" t="n">
        <v>1.1671</v>
      </c>
    </row>
    <row r="8948">
      <c r="A8948" s="926" t="n">
        <v>43567</v>
      </c>
      <c r="B8948" t="n">
        <v>7.842</v>
      </c>
      <c r="C8948" t="n">
        <v>1.1662</v>
      </c>
    </row>
    <row r="8949">
      <c r="A8949" s="926" t="n">
        <v>43568</v>
      </c>
      <c r="B8949" t="n">
        <v>7.843</v>
      </c>
      <c r="C8949" t="n">
        <v>1.1687</v>
      </c>
    </row>
    <row r="8950">
      <c r="A8950" s="926" t="n">
        <v>43570</v>
      </c>
      <c r="B8950" t="n">
        <v>7.84</v>
      </c>
      <c r="C8950" t="n">
        <v>1.16905</v>
      </c>
    </row>
    <row r="8951">
      <c r="A8951" s="926" t="n">
        <v>43571</v>
      </c>
      <c r="B8951" t="n">
        <v>7.84</v>
      </c>
      <c r="C8951" t="n">
        <v>1.16895</v>
      </c>
    </row>
    <row r="8952">
      <c r="A8952" s="926" t="n">
        <v>43572</v>
      </c>
      <c r="B8952" t="n">
        <v>7.846</v>
      </c>
      <c r="C8952" t="n">
        <v>1.17275</v>
      </c>
    </row>
    <row r="8953">
      <c r="A8953" s="926" t="n">
        <v>43573</v>
      </c>
      <c r="B8953" t="n">
        <v>7.845</v>
      </c>
      <c r="C8953" t="n">
        <v>1.1722</v>
      </c>
    </row>
    <row r="8954">
      <c r="A8954" s="926" t="n">
        <v>43578</v>
      </c>
      <c r="B8954" t="n">
        <v>7.845</v>
      </c>
      <c r="C8954" t="n">
        <v>1.16795</v>
      </c>
    </row>
    <row r="8955">
      <c r="A8955" s="926" t="n">
        <v>43579</v>
      </c>
      <c r="B8955" t="n">
        <v>7.843</v>
      </c>
      <c r="C8955" t="n">
        <v>1.16585</v>
      </c>
    </row>
    <row r="8956">
      <c r="A8956" s="926" t="n">
        <v>43580</v>
      </c>
      <c r="B8956" t="n">
        <v>7.844</v>
      </c>
      <c r="C8956" t="n">
        <v>1.16425</v>
      </c>
    </row>
    <row r="8957">
      <c r="A8957" s="926" t="n">
        <v>43581</v>
      </c>
      <c r="B8957" t="n">
        <v>7.846</v>
      </c>
      <c r="C8957" t="n">
        <v>1.16405</v>
      </c>
    </row>
    <row r="8958">
      <c r="A8958" s="926" t="n">
        <v>43582</v>
      </c>
      <c r="B8958" t="n">
        <v>7.843</v>
      </c>
      <c r="C8958" t="n">
        <v>1.1635</v>
      </c>
    </row>
    <row r="8959">
      <c r="A8959" s="926" t="n">
        <v>43584</v>
      </c>
      <c r="B8959" t="n">
        <v>7.845</v>
      </c>
      <c r="C8959" t="n">
        <v>1.16485</v>
      </c>
    </row>
    <row r="8960">
      <c r="A8960" s="926" t="n">
        <v>43585</v>
      </c>
      <c r="B8960" t="n">
        <v>7.847</v>
      </c>
      <c r="C8960" t="n">
        <v>1.16295</v>
      </c>
    </row>
    <row r="8961">
      <c r="A8961" s="926" t="n">
        <v>43587</v>
      </c>
      <c r="B8961" t="n">
        <v>7.846</v>
      </c>
      <c r="C8961" t="n">
        <v>1.1634</v>
      </c>
    </row>
    <row r="8962">
      <c r="A8962" s="926" t="n">
        <v>43588</v>
      </c>
      <c r="B8962" t="n">
        <v>7.846</v>
      </c>
      <c r="C8962" t="n">
        <v>1.16335</v>
      </c>
    </row>
    <row r="8963">
      <c r="A8963" s="926" t="n">
        <v>43589</v>
      </c>
      <c r="B8963" t="n">
        <v>7.845</v>
      </c>
      <c r="C8963" t="n">
        <v>1.16425</v>
      </c>
    </row>
    <row r="8964">
      <c r="A8964" s="926" t="n">
        <v>43591</v>
      </c>
      <c r="B8964" t="n">
        <v>7.847</v>
      </c>
      <c r="C8964" t="n">
        <v>1.15545</v>
      </c>
    </row>
    <row r="8965">
      <c r="A8965" s="926" t="n">
        <v>43592</v>
      </c>
      <c r="B8965" t="n">
        <v>7.849</v>
      </c>
      <c r="C8965" t="n">
        <v>1.15775</v>
      </c>
    </row>
    <row r="8966">
      <c r="A8966" s="926" t="n">
        <v>43593</v>
      </c>
      <c r="B8966" t="n">
        <v>7.849</v>
      </c>
      <c r="C8966" t="n">
        <v>1.15655</v>
      </c>
    </row>
    <row r="8967">
      <c r="A8967" s="926" t="n">
        <v>43594</v>
      </c>
      <c r="B8967" t="n">
        <v>7.849</v>
      </c>
      <c r="C8967" t="n">
        <v>1.149</v>
      </c>
    </row>
    <row r="8968">
      <c r="A8968" s="926" t="n">
        <v>43595</v>
      </c>
      <c r="B8968" t="n">
        <v>7.849</v>
      </c>
      <c r="C8968" t="n">
        <v>1.1501</v>
      </c>
    </row>
    <row r="8969">
      <c r="A8969" s="926" t="n">
        <v>43596</v>
      </c>
      <c r="B8969" t="n">
        <v>7.849</v>
      </c>
      <c r="C8969" t="n">
        <v>1.1478</v>
      </c>
    </row>
    <row r="8970">
      <c r="A8970" s="926" t="n">
        <v>43599</v>
      </c>
      <c r="B8970" t="n">
        <v>7.85</v>
      </c>
      <c r="C8970" t="n">
        <v>1.1377</v>
      </c>
    </row>
    <row r="8971">
      <c r="A8971" s="926" t="n">
        <v>43600</v>
      </c>
      <c r="B8971" t="n">
        <v>7.851</v>
      </c>
      <c r="C8971" t="n">
        <v>1.1384</v>
      </c>
    </row>
    <row r="8972">
      <c r="A8972" s="926" t="n">
        <v>43601</v>
      </c>
      <c r="B8972" t="n">
        <v>7.85</v>
      </c>
      <c r="C8972" t="n">
        <v>1.13635</v>
      </c>
    </row>
    <row r="8973">
      <c r="A8973" s="926" t="n">
        <v>43602</v>
      </c>
      <c r="B8973" t="n">
        <v>7.851</v>
      </c>
      <c r="C8973" t="n">
        <v>1.13195</v>
      </c>
    </row>
    <row r="8974">
      <c r="A8974" s="926" t="n">
        <v>43603</v>
      </c>
      <c r="B8974" t="n">
        <v>7.849</v>
      </c>
      <c r="C8974" t="n">
        <v>1.1297</v>
      </c>
    </row>
    <row r="8975">
      <c r="A8975" s="926" t="n">
        <v>43605</v>
      </c>
      <c r="B8975" t="n">
        <v>7.85</v>
      </c>
      <c r="C8975" t="n">
        <v>1.13135</v>
      </c>
    </row>
    <row r="8976">
      <c r="A8976" s="926" t="n">
        <v>43606</v>
      </c>
      <c r="B8976" t="n">
        <v>7.85</v>
      </c>
      <c r="C8976" t="n">
        <v>1.13185</v>
      </c>
    </row>
    <row r="8977">
      <c r="A8977" s="926" t="n">
        <v>43607</v>
      </c>
      <c r="B8977" t="n">
        <v>7.85</v>
      </c>
      <c r="C8977" t="n">
        <v>1.13185</v>
      </c>
    </row>
    <row r="8978">
      <c r="A8978" s="926" t="n">
        <v>43608</v>
      </c>
      <c r="B8978" t="n">
        <v>7.85</v>
      </c>
      <c r="C8978" t="n">
        <v>1.13145</v>
      </c>
    </row>
    <row r="8979">
      <c r="A8979" s="926" t="n">
        <v>43609</v>
      </c>
      <c r="B8979" t="n">
        <v>7.85</v>
      </c>
      <c r="C8979" t="n">
        <v>1.13435</v>
      </c>
    </row>
    <row r="8980">
      <c r="A8980" s="926" t="n">
        <v>43610</v>
      </c>
      <c r="B8980" t="n">
        <v>7.849</v>
      </c>
      <c r="C8980" t="n">
        <v>1.134</v>
      </c>
    </row>
    <row r="8981">
      <c r="A8981" s="926" t="n">
        <v>43612</v>
      </c>
      <c r="B8981" t="n">
        <v>7.851</v>
      </c>
      <c r="C8981" t="n">
        <v>1.13595</v>
      </c>
    </row>
    <row r="8982">
      <c r="A8982" s="926" t="n">
        <v>43613</v>
      </c>
      <c r="B8982" t="n">
        <v>7.85</v>
      </c>
      <c r="C8982" t="n">
        <v>1.1341</v>
      </c>
    </row>
    <row r="8983">
      <c r="A8983" s="926" t="n">
        <v>43614</v>
      </c>
      <c r="B8983" t="n">
        <v>7.85</v>
      </c>
      <c r="C8983" t="n">
        <v>1.13205</v>
      </c>
    </row>
    <row r="8984">
      <c r="A8984" s="926" t="n">
        <v>43615</v>
      </c>
      <c r="B8984" t="n">
        <v>7.85</v>
      </c>
      <c r="C8984" t="n">
        <v>1.1336</v>
      </c>
    </row>
    <row r="8985">
      <c r="A8985" s="926" t="n">
        <v>43616</v>
      </c>
      <c r="B8985" t="n">
        <v>7.847</v>
      </c>
      <c r="C8985" t="n">
        <v>1.13245</v>
      </c>
    </row>
    <row r="8986">
      <c r="A8986" s="926" t="n">
        <v>43617</v>
      </c>
      <c r="B8986" t="n">
        <v>7.839</v>
      </c>
      <c r="C8986" t="n">
        <v>1.1299</v>
      </c>
    </row>
    <row r="8987">
      <c r="A8987" s="926" t="n">
        <v>43619</v>
      </c>
      <c r="B8987" t="n">
        <v>7.835</v>
      </c>
      <c r="C8987" t="n">
        <v>1.1308</v>
      </c>
    </row>
    <row r="8988">
      <c r="A8988" s="926" t="n">
        <v>43620</v>
      </c>
      <c r="B8988" t="n">
        <v>7.841</v>
      </c>
      <c r="C8988" t="n">
        <v>1.13275</v>
      </c>
    </row>
    <row r="8989">
      <c r="A8989" s="926" t="n">
        <v>43621</v>
      </c>
      <c r="B8989" t="n">
        <v>7.842</v>
      </c>
      <c r="C8989" t="n">
        <v>1.13235</v>
      </c>
    </row>
    <row r="8990">
      <c r="A8990" s="926" t="n">
        <v>43622</v>
      </c>
      <c r="B8990" t="n">
        <v>7.841</v>
      </c>
      <c r="C8990" t="n">
        <v>1.13135</v>
      </c>
    </row>
    <row r="8991">
      <c r="A8991" s="926" t="n">
        <v>43624</v>
      </c>
      <c r="B8991" t="n">
        <v>7.842</v>
      </c>
      <c r="C8991" t="n">
        <v>1.12885</v>
      </c>
    </row>
    <row r="8992">
      <c r="A8992" s="926" t="n">
        <v>43626</v>
      </c>
      <c r="B8992" t="n">
        <v>7.845</v>
      </c>
      <c r="C8992" t="n">
        <v>1.12905</v>
      </c>
    </row>
    <row r="8993">
      <c r="A8993" s="926" t="n">
        <v>43627</v>
      </c>
      <c r="B8993" t="n">
        <v>7.837</v>
      </c>
      <c r="C8993" t="n">
        <v>1.13055</v>
      </c>
    </row>
    <row r="8994">
      <c r="A8994" s="926" t="n">
        <v>43628</v>
      </c>
      <c r="B8994" t="n">
        <v>7.825</v>
      </c>
      <c r="C8994" t="n">
        <v>1.1294</v>
      </c>
    </row>
    <row r="8995">
      <c r="A8995" s="926" t="n">
        <v>43629</v>
      </c>
      <c r="B8995" t="n">
        <v>7.826</v>
      </c>
      <c r="C8995" t="n">
        <v>1.12895</v>
      </c>
    </row>
    <row r="8996">
      <c r="A8996" s="926" t="n">
        <v>43630</v>
      </c>
      <c r="B8996" t="n">
        <v>7.828</v>
      </c>
      <c r="C8996" t="n">
        <v>1.12875</v>
      </c>
    </row>
    <row r="8997">
      <c r="A8997" s="926" t="n">
        <v>43631</v>
      </c>
      <c r="B8997" t="n">
        <v>7.828</v>
      </c>
      <c r="C8997" t="n">
        <v>1.1296</v>
      </c>
    </row>
    <row r="8998">
      <c r="A8998" s="926" t="n">
        <v>43633</v>
      </c>
      <c r="B8998" t="n">
        <v>7.829</v>
      </c>
      <c r="C8998" t="n">
        <v>1.12915</v>
      </c>
    </row>
    <row r="8999">
      <c r="A8999" s="926" t="n">
        <v>43634</v>
      </c>
      <c r="B8999" t="n">
        <v>7.835</v>
      </c>
      <c r="C8999" t="n">
        <v>1.1301</v>
      </c>
    </row>
    <row r="9000">
      <c r="A9000" s="926" t="n">
        <v>43635</v>
      </c>
      <c r="B9000" t="n">
        <v>7.828</v>
      </c>
      <c r="C9000" t="n">
        <v>1.13345</v>
      </c>
    </row>
    <row r="9001">
      <c r="A9001" s="926" t="n">
        <v>43636</v>
      </c>
      <c r="B9001" t="n">
        <v>7.819</v>
      </c>
      <c r="C9001" t="n">
        <v>1.13855</v>
      </c>
    </row>
    <row r="9002">
      <c r="A9002" s="926" t="n">
        <v>43637</v>
      </c>
      <c r="B9002" t="n">
        <v>7.811</v>
      </c>
      <c r="C9002" t="n">
        <v>1.1369</v>
      </c>
    </row>
    <row r="9003">
      <c r="A9003" s="926" t="n">
        <v>43638</v>
      </c>
      <c r="B9003" t="n">
        <v>7.813</v>
      </c>
      <c r="C9003" t="n">
        <v>1.13765</v>
      </c>
    </row>
    <row r="9004">
      <c r="A9004" s="926" t="n">
        <v>43640</v>
      </c>
      <c r="B9004" t="n">
        <v>7.814</v>
      </c>
      <c r="C9004" t="n">
        <v>1.13645</v>
      </c>
    </row>
    <row r="9005">
      <c r="A9005" s="926" t="n">
        <v>43641</v>
      </c>
      <c r="B9005" t="n">
        <v>7.807</v>
      </c>
      <c r="C9005" t="n">
        <v>1.13445</v>
      </c>
    </row>
    <row r="9006">
      <c r="A9006" s="926" t="n">
        <v>43642</v>
      </c>
      <c r="B9006" t="n">
        <v>7.81</v>
      </c>
      <c r="C9006" t="n">
        <v>1.13455</v>
      </c>
    </row>
    <row r="9007">
      <c r="A9007" s="926" t="n">
        <v>43643</v>
      </c>
      <c r="B9007" t="n">
        <v>7.814</v>
      </c>
      <c r="C9007" t="n">
        <v>1.1362</v>
      </c>
    </row>
    <row r="9008">
      <c r="A9008" s="926" t="n">
        <v>43644</v>
      </c>
      <c r="B9008" t="n">
        <v>7.81</v>
      </c>
      <c r="C9008" t="n">
        <v>1.13745</v>
      </c>
    </row>
    <row r="9009">
      <c r="A9009" s="926" t="n">
        <v>43645</v>
      </c>
      <c r="B9009" t="n">
        <v>7.812</v>
      </c>
      <c r="C9009" t="n">
        <v>1.13665</v>
      </c>
    </row>
    <row r="9010">
      <c r="A9010" s="926" t="n">
        <v>43648</v>
      </c>
      <c r="B9010" t="n">
        <v>7.803</v>
      </c>
      <c r="C9010" t="n">
        <v>1.1364</v>
      </c>
    </row>
    <row r="9011">
      <c r="A9011" s="926" t="n">
        <v>43649</v>
      </c>
      <c r="B9011" t="n">
        <v>7.797</v>
      </c>
      <c r="C9011" t="n">
        <v>1.1312</v>
      </c>
    </row>
    <row r="9012">
      <c r="A9012" s="926" t="n">
        <v>43650</v>
      </c>
      <c r="B9012" t="n">
        <v>7.786</v>
      </c>
      <c r="C9012" t="n">
        <v>1.13195</v>
      </c>
    </row>
    <row r="9013">
      <c r="A9013" s="926" t="n">
        <v>43651</v>
      </c>
      <c r="B9013" t="n">
        <v>7.793</v>
      </c>
      <c r="C9013" t="n">
        <v>1.1321</v>
      </c>
    </row>
    <row r="9014">
      <c r="A9014" s="926" t="n">
        <v>43652</v>
      </c>
      <c r="B9014" t="n">
        <v>7.795</v>
      </c>
      <c r="C9014" t="n">
        <v>1.13</v>
      </c>
    </row>
    <row r="9015">
      <c r="A9015" s="926" t="n">
        <v>43654</v>
      </c>
      <c r="B9015" t="n">
        <v>7.798</v>
      </c>
      <c r="C9015" t="n">
        <v>1.13085</v>
      </c>
    </row>
    <row r="9016">
      <c r="A9016" s="926" t="n">
        <v>43655</v>
      </c>
      <c r="B9016" t="n">
        <v>7.811</v>
      </c>
      <c r="C9016" t="n">
        <v>1.13445</v>
      </c>
    </row>
    <row r="9017">
      <c r="A9017" s="926" t="n">
        <v>43656</v>
      </c>
      <c r="B9017" t="n">
        <v>7.813</v>
      </c>
      <c r="C9017" t="n">
        <v>1.13385</v>
      </c>
    </row>
    <row r="9018">
      <c r="A9018" s="926" t="n">
        <v>43657</v>
      </c>
      <c r="B9018" t="n">
        <v>7.818</v>
      </c>
      <c r="C9018" t="n">
        <v>1.1378</v>
      </c>
    </row>
    <row r="9019">
      <c r="A9019" s="926" t="n">
        <v>43658</v>
      </c>
      <c r="B9019" t="n">
        <v>7.824</v>
      </c>
      <c r="C9019" t="n">
        <v>1.13765</v>
      </c>
    </row>
    <row r="9020">
      <c r="A9020" s="926" t="n">
        <v>43659</v>
      </c>
      <c r="B9020" t="n">
        <v>7.825</v>
      </c>
      <c r="C9020" t="n">
        <v>1.13725</v>
      </c>
    </row>
    <row r="9021">
      <c r="A9021" s="926" t="n">
        <v>43661</v>
      </c>
      <c r="B9021" t="n">
        <v>7.83</v>
      </c>
      <c r="C9021" t="n">
        <v>1.13935</v>
      </c>
    </row>
    <row r="9022">
      <c r="A9022" s="926" t="n">
        <v>43662</v>
      </c>
      <c r="B9022" t="n">
        <v>7.814</v>
      </c>
      <c r="C9022" t="n">
        <v>1.13625</v>
      </c>
    </row>
    <row r="9023">
      <c r="A9023" s="926" t="n">
        <v>43663</v>
      </c>
      <c r="B9023" t="n">
        <v>7.814</v>
      </c>
      <c r="C9023" t="n">
        <v>1.13515</v>
      </c>
    </row>
    <row r="9024">
      <c r="A9024" s="926" t="n">
        <v>43664</v>
      </c>
      <c r="B9024" t="n">
        <v>7.815</v>
      </c>
      <c r="C9024" t="n">
        <v>1.13575</v>
      </c>
    </row>
    <row r="9025">
      <c r="A9025" s="926" t="n">
        <v>43665</v>
      </c>
      <c r="B9025" t="n">
        <v>7.804</v>
      </c>
      <c r="C9025" t="n">
        <v>1.1346</v>
      </c>
    </row>
    <row r="9026">
      <c r="A9026" s="926" t="n">
        <v>43666</v>
      </c>
      <c r="B9026" t="n">
        <v>7.809</v>
      </c>
      <c r="C9026" t="n">
        <v>1.13425</v>
      </c>
    </row>
    <row r="9027">
      <c r="A9027" s="926" t="n">
        <v>43668</v>
      </c>
      <c r="B9027" t="n">
        <v>7.809</v>
      </c>
      <c r="C9027" t="n">
        <v>1.13525</v>
      </c>
    </row>
    <row r="9028">
      <c r="A9028" s="926" t="n">
        <v>43669</v>
      </c>
      <c r="B9028" t="n">
        <v>7.809</v>
      </c>
      <c r="C9028" t="n">
        <v>1.1345</v>
      </c>
    </row>
    <row r="9029">
      <c r="A9029" s="926" t="n">
        <v>43670</v>
      </c>
      <c r="B9029" t="n">
        <v>7.813</v>
      </c>
      <c r="C9029" t="n">
        <v>1.13515</v>
      </c>
    </row>
    <row r="9030">
      <c r="A9030" s="926" t="n">
        <v>43671</v>
      </c>
      <c r="B9030" t="n">
        <v>7.816</v>
      </c>
      <c r="C9030" t="n">
        <v>1.1366</v>
      </c>
    </row>
    <row r="9031">
      <c r="A9031" s="926" t="n">
        <v>43672</v>
      </c>
      <c r="B9031" t="n">
        <v>7.816</v>
      </c>
      <c r="C9031" t="n">
        <v>1.136</v>
      </c>
    </row>
    <row r="9032">
      <c r="A9032" s="926" t="n">
        <v>43673</v>
      </c>
      <c r="B9032" t="n">
        <v>7.819</v>
      </c>
      <c r="C9032" t="n">
        <v>1.13545</v>
      </c>
    </row>
    <row r="9033">
      <c r="A9033" s="926" t="n">
        <v>43675</v>
      </c>
      <c r="B9033" t="n">
        <v>7.816</v>
      </c>
      <c r="C9033" t="n">
        <v>1.1335</v>
      </c>
    </row>
    <row r="9034">
      <c r="A9034" s="926" t="n">
        <v>43676</v>
      </c>
      <c r="B9034" t="n">
        <v>7.824</v>
      </c>
      <c r="C9034" t="n">
        <v>1.13545</v>
      </c>
    </row>
    <row r="9035">
      <c r="A9035" s="926" t="n">
        <v>43677</v>
      </c>
      <c r="B9035" t="n">
        <v>7.827</v>
      </c>
      <c r="C9035" t="n">
        <v>1.13565</v>
      </c>
    </row>
    <row r="9036">
      <c r="A9036" s="926" t="n">
        <v>43678</v>
      </c>
      <c r="B9036" t="n">
        <v>7.826</v>
      </c>
      <c r="C9036" t="n">
        <v>1.13305</v>
      </c>
    </row>
    <row r="9037">
      <c r="A9037" s="926" t="n">
        <v>43679</v>
      </c>
      <c r="B9037" t="n">
        <v>7.823</v>
      </c>
      <c r="C9037" t="n">
        <v>1.12405</v>
      </c>
    </row>
    <row r="9038">
      <c r="A9038" s="926" t="n">
        <v>43680</v>
      </c>
      <c r="B9038" t="n">
        <v>7.829</v>
      </c>
      <c r="C9038" t="n">
        <v>1.12195</v>
      </c>
    </row>
    <row r="9039">
      <c r="A9039" s="926" t="n">
        <v>43682</v>
      </c>
      <c r="B9039" t="n">
        <v>7.833</v>
      </c>
      <c r="C9039" t="n">
        <v>1.1083</v>
      </c>
    </row>
    <row r="9040">
      <c r="A9040" s="926" t="n">
        <v>43683</v>
      </c>
      <c r="B9040" t="n">
        <v>7.837</v>
      </c>
      <c r="C9040" t="n">
        <v>1.1092</v>
      </c>
    </row>
    <row r="9041">
      <c r="A9041" s="926" t="n">
        <v>43684</v>
      </c>
      <c r="B9041" t="n">
        <v>7.841</v>
      </c>
      <c r="C9041" t="n">
        <v>1.108</v>
      </c>
    </row>
    <row r="9042">
      <c r="A9042" s="926" t="n">
        <v>43685</v>
      </c>
      <c r="B9042" t="n">
        <v>7.843</v>
      </c>
      <c r="C9042" t="n">
        <v>1.1094</v>
      </c>
    </row>
    <row r="9043">
      <c r="A9043" s="926" t="n">
        <v>43686</v>
      </c>
      <c r="B9043" t="n">
        <v>7.843</v>
      </c>
      <c r="C9043" t="n">
        <v>1.1089</v>
      </c>
    </row>
    <row r="9044">
      <c r="A9044" s="926" t="n">
        <v>43687</v>
      </c>
      <c r="B9044" t="n">
        <v>7.842</v>
      </c>
      <c r="C9044" t="n">
        <v>1.105</v>
      </c>
    </row>
    <row r="9045">
      <c r="A9045" s="926" t="n">
        <v>43689</v>
      </c>
      <c r="B9045" t="n">
        <v>7.846</v>
      </c>
      <c r="C9045" t="n">
        <v>1.10585</v>
      </c>
    </row>
    <row r="9046">
      <c r="A9046" s="926" t="n">
        <v>43690</v>
      </c>
      <c r="B9046" t="n">
        <v>7.847</v>
      </c>
      <c r="C9046" t="n">
        <v>1.10465</v>
      </c>
    </row>
    <row r="9047">
      <c r="A9047" s="926" t="n">
        <v>43691</v>
      </c>
      <c r="B9047" t="n">
        <v>7.846</v>
      </c>
      <c r="C9047" t="n">
        <v>1.1162</v>
      </c>
    </row>
    <row r="9048">
      <c r="A9048" s="926" t="n">
        <v>43692</v>
      </c>
      <c r="B9048" t="n">
        <v>7.842</v>
      </c>
      <c r="C9048" t="n">
        <v>1.114</v>
      </c>
    </row>
    <row r="9049">
      <c r="A9049" s="926" t="n">
        <v>43693</v>
      </c>
      <c r="B9049" t="n">
        <v>7.841</v>
      </c>
      <c r="C9049" t="n">
        <v>1.1118</v>
      </c>
    </row>
    <row r="9050">
      <c r="A9050" s="926" t="n">
        <v>43694</v>
      </c>
      <c r="B9050" t="n">
        <v>7.844</v>
      </c>
      <c r="C9050" t="n">
        <v>1.1129</v>
      </c>
    </row>
    <row r="9051">
      <c r="A9051" s="926" t="n">
        <v>43696</v>
      </c>
      <c r="B9051" t="n">
        <v>7.845</v>
      </c>
      <c r="C9051" t="n">
        <v>1.1123</v>
      </c>
    </row>
    <row r="9052">
      <c r="A9052" s="926" t="n">
        <v>43697</v>
      </c>
      <c r="B9052" t="n">
        <v>7.846</v>
      </c>
      <c r="C9052" t="n">
        <v>1.1098</v>
      </c>
    </row>
    <row r="9053">
      <c r="A9053" s="926" t="n">
        <v>43698</v>
      </c>
      <c r="B9053" t="n">
        <v>7.844</v>
      </c>
      <c r="C9053" t="n">
        <v>1.1105</v>
      </c>
    </row>
    <row r="9054">
      <c r="A9054" s="926" t="n">
        <v>43699</v>
      </c>
      <c r="B9054" t="n">
        <v>7.843</v>
      </c>
      <c r="C9054" t="n">
        <v>1.1069</v>
      </c>
    </row>
    <row r="9055">
      <c r="A9055" s="926" t="n">
        <v>43700</v>
      </c>
      <c r="B9055" t="n">
        <v>7.842</v>
      </c>
      <c r="C9055" t="n">
        <v>1.10545</v>
      </c>
    </row>
    <row r="9056">
      <c r="A9056" s="926" t="n">
        <v>43701</v>
      </c>
      <c r="B9056" t="n">
        <v>7.843</v>
      </c>
      <c r="C9056" t="n">
        <v>1.0993</v>
      </c>
    </row>
    <row r="9057">
      <c r="A9057" s="926" t="n">
        <v>43703</v>
      </c>
      <c r="B9057" t="n">
        <v>7.845</v>
      </c>
      <c r="C9057" t="n">
        <v>1.09445</v>
      </c>
    </row>
    <row r="9058">
      <c r="A9058" s="926" t="n">
        <v>43704</v>
      </c>
      <c r="B9058" t="n">
        <v>7.846</v>
      </c>
      <c r="C9058" t="n">
        <v>1.09365</v>
      </c>
    </row>
    <row r="9059">
      <c r="A9059" s="926" t="n">
        <v>43705</v>
      </c>
      <c r="B9059" t="n">
        <v>7.848</v>
      </c>
      <c r="C9059" t="n">
        <v>1.0955</v>
      </c>
    </row>
    <row r="9060">
      <c r="A9060" s="926" t="n">
        <v>43706</v>
      </c>
      <c r="B9060" t="n">
        <v>7.846</v>
      </c>
      <c r="C9060" t="n">
        <v>1.09505</v>
      </c>
    </row>
    <row r="9061">
      <c r="A9061" s="926" t="n">
        <v>43707</v>
      </c>
      <c r="B9061" t="n">
        <v>7.845</v>
      </c>
      <c r="C9061" t="n">
        <v>1.09665</v>
      </c>
    </row>
    <row r="9062">
      <c r="A9062" s="926" t="n">
        <v>43708</v>
      </c>
      <c r="B9062" t="n">
        <v>7.841</v>
      </c>
      <c r="C9062" t="n">
        <v>1.0947</v>
      </c>
    </row>
    <row r="9063">
      <c r="A9063" s="926" t="n">
        <v>43710</v>
      </c>
      <c r="B9063" t="n">
        <v>7.844</v>
      </c>
      <c r="C9063" t="n">
        <v>1.09395</v>
      </c>
    </row>
    <row r="9064">
      <c r="A9064" s="926" t="n">
        <v>43711</v>
      </c>
      <c r="B9064" t="n">
        <v>7.845</v>
      </c>
      <c r="C9064" t="n">
        <v>1.09165</v>
      </c>
    </row>
    <row r="9065">
      <c r="A9065" s="926" t="n">
        <v>43712</v>
      </c>
      <c r="B9065" t="n">
        <v>7.842</v>
      </c>
      <c r="C9065" t="n">
        <v>1.09455</v>
      </c>
    </row>
    <row r="9066">
      <c r="A9066" s="926" t="n">
        <v>43713</v>
      </c>
      <c r="B9066" t="n">
        <v>7.841</v>
      </c>
      <c r="C9066" t="n">
        <v>1.098</v>
      </c>
    </row>
    <row r="9067">
      <c r="A9067" s="926" t="n">
        <v>43714</v>
      </c>
      <c r="B9067" t="n">
        <v>7.84</v>
      </c>
      <c r="C9067" t="n">
        <v>1.09995</v>
      </c>
    </row>
    <row r="9068">
      <c r="A9068" s="926" t="n">
        <v>43715</v>
      </c>
      <c r="B9068" t="n">
        <v>7.84</v>
      </c>
      <c r="C9068" t="n">
        <v>1.1027</v>
      </c>
    </row>
    <row r="9069">
      <c r="A9069" s="926" t="n">
        <v>43717</v>
      </c>
      <c r="B9069" t="n">
        <v>7.842</v>
      </c>
      <c r="C9069" t="n">
        <v>1.0998</v>
      </c>
    </row>
    <row r="9070">
      <c r="A9070" s="926" t="n">
        <v>43718</v>
      </c>
      <c r="B9070" t="n">
        <v>7.841</v>
      </c>
      <c r="C9070" t="n">
        <v>1.10235</v>
      </c>
    </row>
    <row r="9071">
      <c r="A9071" s="926" t="n">
        <v>43719</v>
      </c>
      <c r="B9071" t="n">
        <v>7.84</v>
      </c>
      <c r="C9071" t="n">
        <v>1.1024</v>
      </c>
    </row>
    <row r="9072">
      <c r="A9072" s="926" t="n">
        <v>43720</v>
      </c>
      <c r="B9072" t="n">
        <v>7.828</v>
      </c>
      <c r="C9072" t="n">
        <v>1.1052</v>
      </c>
    </row>
    <row r="9073">
      <c r="A9073" s="926" t="n">
        <v>43721</v>
      </c>
      <c r="B9073" t="n">
        <v>7.826</v>
      </c>
      <c r="C9073" t="n">
        <v>1.1117</v>
      </c>
    </row>
    <row r="9074">
      <c r="A9074" s="926" t="n">
        <v>43724</v>
      </c>
      <c r="B9074" t="n">
        <v>7.824</v>
      </c>
      <c r="C9074" t="n">
        <v>1.1076</v>
      </c>
    </row>
    <row r="9075">
      <c r="A9075" s="926" t="n">
        <v>43725</v>
      </c>
      <c r="B9075" t="n">
        <v>7.825</v>
      </c>
      <c r="C9075" t="n">
        <v>1.1039</v>
      </c>
    </row>
    <row r="9076">
      <c r="A9076" s="926" t="n">
        <v>43726</v>
      </c>
      <c r="B9076" t="n">
        <v>7.829</v>
      </c>
      <c r="C9076" t="n">
        <v>1.1051</v>
      </c>
    </row>
    <row r="9077">
      <c r="A9077" s="926" t="n">
        <v>43727</v>
      </c>
      <c r="B9077" t="n">
        <v>7.829</v>
      </c>
      <c r="C9077" t="n">
        <v>1.10265</v>
      </c>
    </row>
    <row r="9078">
      <c r="A9078" s="926" t="n">
        <v>43728</v>
      </c>
      <c r="B9078" t="n">
        <v>7.834</v>
      </c>
      <c r="C9078" t="n">
        <v>1.1064</v>
      </c>
    </row>
    <row r="9079">
      <c r="A9079" s="926" t="n">
        <v>43729</v>
      </c>
      <c r="B9079" t="n">
        <v>7.837</v>
      </c>
      <c r="C9079" t="n">
        <v>1.1001</v>
      </c>
    </row>
    <row r="9080">
      <c r="A9080" s="926" t="n">
        <v>43731</v>
      </c>
      <c r="B9080" t="n">
        <v>7.84</v>
      </c>
      <c r="C9080" t="n">
        <v>1.10235</v>
      </c>
    </row>
    <row r="9081">
      <c r="A9081" s="926" t="n">
        <v>43732</v>
      </c>
      <c r="B9081" t="n">
        <v>7.84</v>
      </c>
      <c r="C9081" t="n">
        <v>1.1033</v>
      </c>
    </row>
    <row r="9082">
      <c r="A9082" s="926" t="n">
        <v>43733</v>
      </c>
      <c r="B9082" t="n">
        <v>7.839</v>
      </c>
      <c r="C9082" t="n">
        <v>1.10115</v>
      </c>
    </row>
    <row r="9083">
      <c r="A9083" s="926" t="n">
        <v>43734</v>
      </c>
      <c r="B9083" t="n">
        <v>7.839</v>
      </c>
      <c r="C9083" t="n">
        <v>1.1002</v>
      </c>
    </row>
    <row r="9084">
      <c r="A9084" s="926" t="n">
        <v>43735</v>
      </c>
      <c r="B9084" t="n">
        <v>7.841</v>
      </c>
      <c r="C9084" t="n">
        <v>1.10065</v>
      </c>
    </row>
    <row r="9085">
      <c r="A9085" s="926" t="n">
        <v>43736</v>
      </c>
      <c r="B9085" t="n">
        <v>7.841</v>
      </c>
      <c r="C9085" t="n">
        <v>1.0984</v>
      </c>
    </row>
    <row r="9086">
      <c r="A9086" s="926" t="n">
        <v>43738</v>
      </c>
      <c r="B9086" t="n">
        <v>7.842</v>
      </c>
      <c r="C9086" t="n">
        <v>1.09925</v>
      </c>
    </row>
    <row r="9087">
      <c r="A9087" s="926" t="n">
        <v>43740</v>
      </c>
      <c r="B9087" t="n">
        <v>7.842</v>
      </c>
      <c r="C9087" t="n">
        <v>1.09655</v>
      </c>
    </row>
    <row r="9088">
      <c r="A9088" s="926" t="n">
        <v>43741</v>
      </c>
      <c r="B9088" t="n">
        <v>7.842</v>
      </c>
      <c r="C9088" t="n">
        <v>1.09845</v>
      </c>
    </row>
    <row r="9089">
      <c r="A9089" s="926" t="n">
        <v>43742</v>
      </c>
      <c r="B9089" t="n">
        <v>7.844</v>
      </c>
      <c r="C9089" t="n">
        <v>1.1013</v>
      </c>
    </row>
    <row r="9090">
      <c r="A9090" s="926" t="n">
        <v>43743</v>
      </c>
      <c r="B9090" t="n">
        <v>7.84</v>
      </c>
      <c r="C9090" t="n">
        <v>1.1018</v>
      </c>
    </row>
    <row r="9091">
      <c r="A9091" s="926" t="n">
        <v>43746</v>
      </c>
      <c r="B9091" t="n">
        <v>7.844</v>
      </c>
      <c r="C9091" t="n">
        <v>1.10085</v>
      </c>
    </row>
    <row r="9092">
      <c r="A9092" s="926" t="n">
        <v>43747</v>
      </c>
      <c r="B9092" t="n">
        <v>7.845</v>
      </c>
      <c r="C9092" t="n">
        <v>1.09705</v>
      </c>
    </row>
    <row r="9093">
      <c r="A9093" s="926" t="n">
        <v>43748</v>
      </c>
      <c r="B9093" t="n">
        <v>7.844</v>
      </c>
      <c r="C9093" t="n">
        <v>1.10215</v>
      </c>
    </row>
    <row r="9094">
      <c r="A9094" s="926" t="n">
        <v>43749</v>
      </c>
      <c r="B9094" t="n">
        <v>7.843</v>
      </c>
      <c r="C9094" t="n">
        <v>1.10395</v>
      </c>
    </row>
    <row r="9095">
      <c r="A9095" s="926" t="n">
        <v>43750</v>
      </c>
      <c r="B9095" t="n">
        <v>7.844</v>
      </c>
      <c r="C9095" t="n">
        <v>1.10795</v>
      </c>
    </row>
    <row r="9096">
      <c r="A9096" s="926" t="n">
        <v>43752</v>
      </c>
      <c r="B9096" t="n">
        <v>7.845</v>
      </c>
      <c r="C9096" t="n">
        <v>1.11025</v>
      </c>
    </row>
    <row r="9097">
      <c r="A9097" s="926" t="n">
        <v>43753</v>
      </c>
      <c r="B9097" t="n">
        <v>7.846</v>
      </c>
      <c r="C9097" t="n">
        <v>1.1086</v>
      </c>
    </row>
    <row r="9098">
      <c r="A9098" s="926" t="n">
        <v>43754</v>
      </c>
      <c r="B9098" t="n">
        <v>7.845</v>
      </c>
      <c r="C9098" t="n">
        <v>1.10545</v>
      </c>
    </row>
    <row r="9099">
      <c r="A9099" s="926" t="n">
        <v>43755</v>
      </c>
      <c r="B9099" t="n">
        <v>7.846</v>
      </c>
      <c r="C9099" t="n">
        <v>1.1051</v>
      </c>
    </row>
    <row r="9100">
      <c r="A9100" s="926" t="n">
        <v>43756</v>
      </c>
      <c r="B9100" t="n">
        <v>7.844</v>
      </c>
      <c r="C9100" t="n">
        <v>1.1074</v>
      </c>
    </row>
    <row r="9101">
      <c r="A9101" s="926" t="n">
        <v>43757</v>
      </c>
      <c r="B9101" t="n">
        <v>7.843</v>
      </c>
      <c r="C9101" t="n">
        <v>1.10855</v>
      </c>
    </row>
    <row r="9102">
      <c r="A9102" s="926" t="n">
        <v>43759</v>
      </c>
      <c r="B9102" t="n">
        <v>7.843</v>
      </c>
      <c r="C9102" t="n">
        <v>1.109</v>
      </c>
    </row>
    <row r="9103">
      <c r="A9103" s="926" t="n">
        <v>43760</v>
      </c>
      <c r="B9103" t="n">
        <v>7.844</v>
      </c>
      <c r="C9103" t="n">
        <v>1.109</v>
      </c>
    </row>
    <row r="9104">
      <c r="A9104" s="926" t="n">
        <v>43761</v>
      </c>
      <c r="B9104" t="n">
        <v>7.843</v>
      </c>
      <c r="C9104" t="n">
        <v>1.10775</v>
      </c>
    </row>
    <row r="9105">
      <c r="A9105" s="926" t="n">
        <v>43762</v>
      </c>
      <c r="B9105" t="n">
        <v>7.84</v>
      </c>
      <c r="C9105" t="n">
        <v>1.10925</v>
      </c>
    </row>
    <row r="9106">
      <c r="A9106" s="926" t="n">
        <v>43763</v>
      </c>
      <c r="B9106" t="n">
        <v>7.839</v>
      </c>
      <c r="C9106" t="n">
        <v>1.10915</v>
      </c>
    </row>
    <row r="9107">
      <c r="A9107" s="926" t="n">
        <v>43764</v>
      </c>
      <c r="B9107" t="n">
        <v>7.838</v>
      </c>
      <c r="C9107" t="n">
        <v>1.11135</v>
      </c>
    </row>
    <row r="9108">
      <c r="A9108" s="926" t="n">
        <v>43766</v>
      </c>
      <c r="B9108" t="n">
        <v>7.84</v>
      </c>
      <c r="C9108" t="n">
        <v>1.11085</v>
      </c>
    </row>
    <row r="9109">
      <c r="A9109" s="926" t="n">
        <v>43767</v>
      </c>
      <c r="B9109" t="n">
        <v>7.842</v>
      </c>
      <c r="C9109" t="n">
        <v>1.1117</v>
      </c>
    </row>
    <row r="9110">
      <c r="A9110" s="926" t="n">
        <v>43768</v>
      </c>
      <c r="B9110" t="n">
        <v>7.841</v>
      </c>
      <c r="C9110" t="n">
        <v>1.1104</v>
      </c>
    </row>
    <row r="9111">
      <c r="A9111" s="926" t="n">
        <v>43769</v>
      </c>
      <c r="B9111" t="n">
        <v>7.838</v>
      </c>
      <c r="C9111" t="n">
        <v>1.1144</v>
      </c>
    </row>
    <row r="9112">
      <c r="A9112" s="926" t="n">
        <v>43770</v>
      </c>
      <c r="B9112" t="n">
        <v>7.838</v>
      </c>
      <c r="C9112" t="n">
        <v>1.1133</v>
      </c>
    </row>
    <row r="9113">
      <c r="A9113" s="926" t="n">
        <v>43771</v>
      </c>
      <c r="B9113" t="n">
        <v>7.836</v>
      </c>
      <c r="C9113" t="n">
        <v>1.1126</v>
      </c>
    </row>
    <row r="9114">
      <c r="A9114" s="926" t="n">
        <v>43773</v>
      </c>
      <c r="B9114" t="n">
        <v>7.839</v>
      </c>
      <c r="C9114" t="n">
        <v>1.1158</v>
      </c>
    </row>
    <row r="9115">
      <c r="A9115" s="926" t="n">
        <v>43774</v>
      </c>
      <c r="B9115" t="n">
        <v>7.838</v>
      </c>
      <c r="C9115" t="n">
        <v>1.1174</v>
      </c>
    </row>
    <row r="9116">
      <c r="A9116" s="926" t="n">
        <v>43775</v>
      </c>
      <c r="B9116" t="n">
        <v>7.832</v>
      </c>
      <c r="C9116" t="n">
        <v>1.1189</v>
      </c>
    </row>
    <row r="9117">
      <c r="A9117" s="926" t="n">
        <v>43776</v>
      </c>
      <c r="B9117" t="n">
        <v>7.826</v>
      </c>
      <c r="C9117" t="n">
        <v>1.1159</v>
      </c>
    </row>
    <row r="9118">
      <c r="A9118" s="926" t="n">
        <v>43777</v>
      </c>
      <c r="B9118" t="n">
        <v>7.826</v>
      </c>
      <c r="C9118" t="n">
        <v>1.1212</v>
      </c>
    </row>
    <row r="9119">
      <c r="A9119" s="926" t="n">
        <v>43778</v>
      </c>
      <c r="B9119" t="n">
        <v>7.826</v>
      </c>
      <c r="C9119" t="n">
        <v>1.11945</v>
      </c>
    </row>
    <row r="9120">
      <c r="A9120" s="926" t="n">
        <v>43780</v>
      </c>
      <c r="B9120" t="n">
        <v>7.835</v>
      </c>
      <c r="C9120" t="n">
        <v>1.1181</v>
      </c>
    </row>
    <row r="9121">
      <c r="A9121" s="926" t="n">
        <v>43781</v>
      </c>
      <c r="B9121" t="n">
        <v>7.827</v>
      </c>
      <c r="C9121" t="n">
        <v>1.1187</v>
      </c>
    </row>
    <row r="9122">
      <c r="A9122" s="926" t="n">
        <v>43782</v>
      </c>
      <c r="B9122" t="n">
        <v>7.832</v>
      </c>
      <c r="C9122" t="n">
        <v>1.11545</v>
      </c>
    </row>
    <row r="9123">
      <c r="A9123" s="926" t="n">
        <v>43783</v>
      </c>
      <c r="B9123" t="n">
        <v>7.828</v>
      </c>
      <c r="C9123" t="n">
        <v>1.1149</v>
      </c>
    </row>
    <row r="9124">
      <c r="A9124" s="926" t="n">
        <v>43784</v>
      </c>
      <c r="B9124" t="n">
        <v>7.831</v>
      </c>
      <c r="C9124" t="n">
        <v>1.1172</v>
      </c>
    </row>
    <row r="9125">
      <c r="A9125" s="926" t="n">
        <v>43785</v>
      </c>
      <c r="B9125" t="n">
        <v>7.828</v>
      </c>
      <c r="C9125" t="n">
        <v>1.1169</v>
      </c>
    </row>
    <row r="9126">
      <c r="A9126" s="926" t="n">
        <v>43787</v>
      </c>
      <c r="B9126" t="n">
        <v>7.83</v>
      </c>
      <c r="C9126" t="n">
        <v>1.1164</v>
      </c>
    </row>
    <row r="9127">
      <c r="A9127" s="926" t="n">
        <v>43788</v>
      </c>
      <c r="B9127" t="n">
        <v>7.83</v>
      </c>
      <c r="C9127" t="n">
        <v>1.1145</v>
      </c>
    </row>
    <row r="9128">
      <c r="A9128" s="926" t="n">
        <v>43789</v>
      </c>
      <c r="B9128" t="n">
        <v>7.827</v>
      </c>
      <c r="C9128" t="n">
        <v>1.1129</v>
      </c>
    </row>
    <row r="9129">
      <c r="A9129" s="926" t="n">
        <v>43790</v>
      </c>
      <c r="B9129" t="n">
        <v>7.827</v>
      </c>
      <c r="C9129" t="n">
        <v>1.1119</v>
      </c>
    </row>
    <row r="9130">
      <c r="A9130" s="926" t="n">
        <v>43791</v>
      </c>
      <c r="B9130" t="n">
        <v>7.825</v>
      </c>
      <c r="C9130" t="n">
        <v>1.1117</v>
      </c>
    </row>
    <row r="9131">
      <c r="A9131" s="926" t="n">
        <v>43792</v>
      </c>
      <c r="B9131" t="n">
        <v>7.825</v>
      </c>
      <c r="C9131" t="n">
        <v>1.11075</v>
      </c>
    </row>
    <row r="9132">
      <c r="A9132" s="926" t="n">
        <v>43794</v>
      </c>
      <c r="B9132" t="n">
        <v>7.827</v>
      </c>
      <c r="C9132" t="n">
        <v>1.1132</v>
      </c>
    </row>
    <row r="9133">
      <c r="A9133" s="926" t="n">
        <v>43795</v>
      </c>
      <c r="B9133" t="n">
        <v>7.828</v>
      </c>
      <c r="C9133" t="n">
        <v>1.1143</v>
      </c>
    </row>
    <row r="9134">
      <c r="A9134" s="926" t="n">
        <v>43796</v>
      </c>
      <c r="B9134" t="n">
        <v>7.83</v>
      </c>
      <c r="C9134" t="n">
        <v>1.11465</v>
      </c>
    </row>
    <row r="9135">
      <c r="A9135" s="926" t="n">
        <v>43797</v>
      </c>
      <c r="B9135" t="n">
        <v>7.83</v>
      </c>
      <c r="C9135" t="n">
        <v>1.1148</v>
      </c>
    </row>
    <row r="9136">
      <c r="A9136" s="926" t="n">
        <v>43798</v>
      </c>
      <c r="B9136" t="n">
        <v>7.829</v>
      </c>
      <c r="C9136" t="n">
        <v>1.1131</v>
      </c>
    </row>
    <row r="9137">
      <c r="A9137" s="926" t="n">
        <v>43799</v>
      </c>
      <c r="B9137" t="n">
        <v>7.828</v>
      </c>
      <c r="C9137" t="n">
        <v>1.11275</v>
      </c>
    </row>
    <row r="9138">
      <c r="A9138" s="926" t="n">
        <v>43801</v>
      </c>
      <c r="B9138" t="n">
        <v>7.83</v>
      </c>
      <c r="C9138" t="n">
        <v>1.1132</v>
      </c>
    </row>
    <row r="9139">
      <c r="A9139" s="926" t="n">
        <v>43802</v>
      </c>
      <c r="B9139" t="n">
        <v>7.83</v>
      </c>
      <c r="C9139" t="n">
        <v>1.1124</v>
      </c>
    </row>
    <row r="9140">
      <c r="A9140" s="926" t="n">
        <v>43803</v>
      </c>
      <c r="B9140" t="n">
        <v>7.829</v>
      </c>
      <c r="C9140" t="n">
        <v>1.1071</v>
      </c>
    </row>
    <row r="9141">
      <c r="A9141" s="926" t="n">
        <v>43804</v>
      </c>
      <c r="B9141" t="n">
        <v>7.83</v>
      </c>
      <c r="C9141" t="n">
        <v>1.11</v>
      </c>
    </row>
    <row r="9142">
      <c r="A9142" s="926" t="n">
        <v>43805</v>
      </c>
      <c r="B9142" t="n">
        <v>7.83</v>
      </c>
      <c r="C9142" t="n">
        <v>1.1132</v>
      </c>
    </row>
    <row r="9143">
      <c r="A9143" s="926" t="n">
        <v>43806</v>
      </c>
      <c r="B9143" t="n">
        <v>7.83</v>
      </c>
      <c r="C9143" t="n">
        <v>1.1146</v>
      </c>
    </row>
    <row r="9144">
      <c r="A9144" s="926" t="n">
        <v>43808</v>
      </c>
      <c r="B9144" t="n">
        <v>7.828</v>
      </c>
      <c r="C9144" t="n">
        <v>1.1129</v>
      </c>
    </row>
    <row r="9145">
      <c r="A9145" s="926" t="n">
        <v>43809</v>
      </c>
      <c r="B9145" t="n">
        <v>7.828</v>
      </c>
      <c r="C9145" t="n">
        <v>1.1126</v>
      </c>
    </row>
    <row r="9146">
      <c r="A9146" s="926" t="n">
        <v>43810</v>
      </c>
      <c r="B9146" t="n">
        <v>7.823</v>
      </c>
      <c r="C9146" t="n">
        <v>1.1118</v>
      </c>
    </row>
    <row r="9147">
      <c r="A9147" s="926" t="n">
        <v>43811</v>
      </c>
      <c r="B9147" t="n">
        <v>7.808</v>
      </c>
      <c r="C9147" t="n">
        <v>1.1108</v>
      </c>
    </row>
    <row r="9148">
      <c r="A9148" s="926" t="n">
        <v>43812</v>
      </c>
      <c r="B9148" t="n">
        <v>7.805</v>
      </c>
      <c r="C9148" t="n">
        <v>1.11985</v>
      </c>
    </row>
    <row r="9149">
      <c r="A9149" s="926" t="n">
        <v>43813</v>
      </c>
      <c r="B9149" t="n">
        <v>7.799</v>
      </c>
      <c r="C9149" t="n">
        <v>1.1131</v>
      </c>
    </row>
    <row r="9150">
      <c r="A9150" s="926" t="n">
        <v>43815</v>
      </c>
      <c r="B9150" t="n">
        <v>7.792</v>
      </c>
      <c r="C9150" t="n">
        <v>1.1132</v>
      </c>
    </row>
    <row r="9151">
      <c r="A9151" s="926" t="n">
        <v>43816</v>
      </c>
      <c r="B9151" t="n">
        <v>7.792</v>
      </c>
      <c r="C9151" t="n">
        <v>1.1139</v>
      </c>
    </row>
    <row r="9152">
      <c r="A9152" s="926" t="n">
        <v>43817</v>
      </c>
      <c r="B9152" t="n">
        <v>7.789</v>
      </c>
      <c r="C9152" t="n">
        <v>1.1122</v>
      </c>
    </row>
    <row r="9153">
      <c r="A9153" s="926" t="n">
        <v>43818</v>
      </c>
      <c r="B9153" t="n">
        <v>7.792</v>
      </c>
      <c r="C9153" t="n">
        <v>1.11335</v>
      </c>
    </row>
    <row r="9154">
      <c r="A9154" s="926" t="n">
        <v>43819</v>
      </c>
      <c r="B9154" t="n">
        <v>7.801</v>
      </c>
      <c r="C9154" t="n">
        <v>1.1133</v>
      </c>
    </row>
    <row r="9155">
      <c r="A9155" s="926" t="n">
        <v>43820</v>
      </c>
      <c r="B9155" t="n">
        <v>7.795</v>
      </c>
      <c r="C9155" t="n">
        <v>1.1131</v>
      </c>
    </row>
    <row r="9156">
      <c r="A9156" s="926" t="n">
        <v>43822</v>
      </c>
      <c r="B9156" t="n">
        <v>7.79</v>
      </c>
      <c r="C9156" t="n">
        <v>1.1117</v>
      </c>
    </row>
    <row r="9157">
      <c r="A9157" s="926" t="n">
        <v>43823</v>
      </c>
      <c r="B9157" t="n">
        <v>7.788</v>
      </c>
      <c r="C9157" t="n">
        <v>1.1113</v>
      </c>
    </row>
    <row r="9158">
      <c r="A9158" s="926" t="n">
        <v>43826</v>
      </c>
      <c r="B9158" t="n">
        <v>7.789</v>
      </c>
      <c r="C9158" t="n">
        <v>1.1134</v>
      </c>
    </row>
    <row r="9159">
      <c r="A9159" s="926" t="n">
        <v>43827</v>
      </c>
      <c r="B9159" t="n">
        <v>7.788</v>
      </c>
      <c r="C9159" t="n">
        <v>1.11355</v>
      </c>
    </row>
    <row r="9160">
      <c r="A9160" s="926" t="n">
        <v>43829</v>
      </c>
      <c r="B9160" t="n">
        <v>7.788</v>
      </c>
      <c r="C9160" t="n">
        <v>1.116</v>
      </c>
    </row>
    <row r="9161">
      <c r="A9161" s="926" t="n">
        <v>43830</v>
      </c>
      <c r="B9161" t="n">
        <v>7.787</v>
      </c>
      <c r="C9161" t="n">
        <v>1.1175</v>
      </c>
    </row>
    <row r="9162">
      <c r="A9162" s="926" t="n">
        <v>43832</v>
      </c>
      <c r="B9162" t="n">
        <v>7.792</v>
      </c>
      <c r="C9162" t="n">
        <v>1.1194</v>
      </c>
    </row>
    <row r="9163">
      <c r="A9163" s="926" t="n">
        <v>43833</v>
      </c>
      <c r="B9163" t="n">
        <v>7.781</v>
      </c>
      <c r="C9163" t="n">
        <v>1.1165</v>
      </c>
    </row>
    <row r="9164">
      <c r="A9164" s="926" t="n">
        <v>43834</v>
      </c>
      <c r="B9164" t="n">
        <v>7.779</v>
      </c>
      <c r="C9164" t="n">
        <v>1.1161</v>
      </c>
    </row>
    <row r="9165">
      <c r="A9165" s="926" t="n">
        <v>43836</v>
      </c>
      <c r="B9165" t="n">
        <v>7.772</v>
      </c>
      <c r="C9165" t="n">
        <v>1.1144</v>
      </c>
    </row>
    <row r="9166">
      <c r="A9166" s="926" t="n">
        <v>43837</v>
      </c>
      <c r="B9166" t="n">
        <v>7.775</v>
      </c>
      <c r="C9166" t="n">
        <v>1.11935</v>
      </c>
    </row>
    <row r="9167">
      <c r="A9167" s="926" t="n">
        <v>43838</v>
      </c>
      <c r="B9167" t="n">
        <v>7.78</v>
      </c>
      <c r="C9167" t="n">
        <v>1.12145</v>
      </c>
    </row>
    <row r="9168">
      <c r="A9168" s="926" t="n">
        <v>43839</v>
      </c>
      <c r="B9168" t="n">
        <v>7.775</v>
      </c>
      <c r="C9168" t="n">
        <v>1.12345</v>
      </c>
    </row>
    <row r="9169">
      <c r="A9169" s="926" t="n">
        <v>43840</v>
      </c>
      <c r="B9169" t="n">
        <v>7.767</v>
      </c>
      <c r="C9169" t="n">
        <v>1.12125</v>
      </c>
    </row>
    <row r="9170">
      <c r="A9170" s="926" t="n">
        <v>43841</v>
      </c>
      <c r="B9170" t="n">
        <v>7.766</v>
      </c>
      <c r="C9170" t="n">
        <v>1.12275</v>
      </c>
    </row>
    <row r="9171">
      <c r="A9171" s="926" t="n">
        <v>43843</v>
      </c>
      <c r="B9171" t="n">
        <v>7.771</v>
      </c>
      <c r="C9171" t="n">
        <v>1.12635</v>
      </c>
    </row>
    <row r="9172">
      <c r="A9172" s="926" t="n">
        <v>43844</v>
      </c>
      <c r="B9172" t="n">
        <v>7.774</v>
      </c>
      <c r="C9172" t="n">
        <v>1.12965</v>
      </c>
    </row>
    <row r="9173">
      <c r="A9173" s="926" t="n">
        <v>43845</v>
      </c>
      <c r="B9173" t="n">
        <v>7.778</v>
      </c>
      <c r="C9173" t="n">
        <v>1.1288</v>
      </c>
    </row>
    <row r="9174">
      <c r="A9174" s="926" t="n">
        <v>43846</v>
      </c>
      <c r="B9174" t="n">
        <v>7.772</v>
      </c>
      <c r="C9174" t="n">
        <v>1.1277</v>
      </c>
    </row>
    <row r="9175">
      <c r="A9175" s="926" t="n">
        <v>43847</v>
      </c>
      <c r="B9175" t="n">
        <v>7.771</v>
      </c>
      <c r="C9175" t="n">
        <v>1.132</v>
      </c>
    </row>
    <row r="9176">
      <c r="A9176" s="926" t="n">
        <v>43848</v>
      </c>
      <c r="B9176" t="n">
        <v>7.768</v>
      </c>
      <c r="C9176" t="n">
        <v>1.13075</v>
      </c>
    </row>
    <row r="9177">
      <c r="A9177" s="926" t="n">
        <v>43850</v>
      </c>
      <c r="B9177" t="n">
        <v>7.769</v>
      </c>
      <c r="C9177" t="n">
        <v>1.134</v>
      </c>
    </row>
    <row r="9178">
      <c r="A9178" s="926" t="n">
        <v>43851</v>
      </c>
      <c r="B9178" t="n">
        <v>7.773</v>
      </c>
      <c r="C9178" t="n">
        <v>1.12585</v>
      </c>
    </row>
    <row r="9179">
      <c r="A9179" s="926" t="n">
        <v>43852</v>
      </c>
      <c r="B9179" t="n">
        <v>7.773</v>
      </c>
      <c r="C9179" t="n">
        <v>1.12545</v>
      </c>
    </row>
    <row r="9180">
      <c r="A9180" s="926" t="n">
        <v>43853</v>
      </c>
      <c r="B9180" t="n">
        <v>7.775</v>
      </c>
      <c r="C9180" t="n">
        <v>1.1215</v>
      </c>
    </row>
    <row r="9181">
      <c r="A9181" s="926" t="n">
        <v>43854</v>
      </c>
      <c r="B9181" t="n">
        <v>7.773</v>
      </c>
      <c r="C9181" t="n">
        <v>1.12285</v>
      </c>
    </row>
    <row r="9182">
      <c r="A9182" s="926" t="n">
        <v>43859</v>
      </c>
      <c r="B9182" t="n">
        <v>7.775</v>
      </c>
      <c r="C9182" t="n">
        <v>1.1164</v>
      </c>
    </row>
    <row r="9183">
      <c r="A9183" s="926" t="n">
        <v>43860</v>
      </c>
      <c r="B9183" t="n">
        <v>7.768</v>
      </c>
      <c r="C9183" t="n">
        <v>1.1116</v>
      </c>
    </row>
    <row r="9184">
      <c r="A9184" s="926" t="n">
        <v>43861</v>
      </c>
      <c r="B9184" t="n">
        <v>7.77</v>
      </c>
      <c r="C9184" t="n">
        <v>1.1134</v>
      </c>
    </row>
    <row r="9185">
      <c r="A9185" s="926" t="n">
        <v>43862</v>
      </c>
      <c r="B9185" t="n">
        <v>7.766</v>
      </c>
      <c r="C9185" t="n">
        <v>1.1093</v>
      </c>
    </row>
    <row r="9186">
      <c r="A9186" s="926" t="n">
        <v>43864</v>
      </c>
      <c r="B9186" t="n">
        <v>7.769</v>
      </c>
      <c r="C9186" t="n">
        <v>1.108</v>
      </c>
    </row>
    <row r="9187">
      <c r="A9187" s="926" t="n">
        <v>43865</v>
      </c>
      <c r="B9187" t="n">
        <v>7.77</v>
      </c>
      <c r="C9187" t="n">
        <v>1.1112</v>
      </c>
    </row>
    <row r="9188">
      <c r="A9188" s="926" t="n">
        <v>43866</v>
      </c>
      <c r="B9188" t="n">
        <v>7.766</v>
      </c>
      <c r="C9188" t="n">
        <v>1.1094</v>
      </c>
    </row>
    <row r="9189">
      <c r="A9189" s="926" t="n">
        <v>43867</v>
      </c>
      <c r="B9189" t="n">
        <v>7.765</v>
      </c>
      <c r="C9189" t="n">
        <v>1.114</v>
      </c>
    </row>
    <row r="9190">
      <c r="A9190" s="926" t="n">
        <v>43868</v>
      </c>
      <c r="B9190" t="n">
        <v>7.762</v>
      </c>
      <c r="C9190" t="n">
        <v>1.11195</v>
      </c>
    </row>
    <row r="9191">
      <c r="A9191" s="926" t="n">
        <v>43869</v>
      </c>
      <c r="B9191" t="n">
        <v>7.767</v>
      </c>
      <c r="C9191" t="n">
        <v>1.10825</v>
      </c>
    </row>
    <row r="9192">
      <c r="A9192" s="926" t="n">
        <v>43871</v>
      </c>
      <c r="B9192" t="n">
        <v>7.767</v>
      </c>
      <c r="C9192" t="n">
        <v>1.1122</v>
      </c>
    </row>
    <row r="9193">
      <c r="A9193" s="926" t="n">
        <v>43872</v>
      </c>
      <c r="B9193" t="n">
        <v>7.766</v>
      </c>
      <c r="C9193" t="n">
        <v>1.11345</v>
      </c>
    </row>
    <row r="9194">
      <c r="A9194" s="926" t="n">
        <v>43873</v>
      </c>
      <c r="B9194" t="n">
        <v>7.768</v>
      </c>
      <c r="C9194" t="n">
        <v>1.115</v>
      </c>
    </row>
    <row r="9195">
      <c r="A9195" s="926" t="n">
        <v>43874</v>
      </c>
      <c r="B9195" t="n">
        <v>7.77</v>
      </c>
      <c r="C9195" t="n">
        <v>1.11225</v>
      </c>
    </row>
    <row r="9196">
      <c r="A9196" s="926" t="n">
        <v>43875</v>
      </c>
      <c r="B9196" t="n">
        <v>7.769</v>
      </c>
      <c r="C9196" t="n">
        <v>1.1119</v>
      </c>
    </row>
    <row r="9197">
      <c r="A9197" s="926" t="n">
        <v>43876</v>
      </c>
      <c r="B9197" t="n">
        <v>7.768</v>
      </c>
      <c r="C9197" t="n">
        <v>1.1104</v>
      </c>
    </row>
    <row r="9198">
      <c r="A9198" s="926" t="n">
        <v>43878</v>
      </c>
      <c r="B9198" t="n">
        <v>7.767</v>
      </c>
      <c r="C9198" t="n">
        <v>1.1124</v>
      </c>
    </row>
    <row r="9199">
      <c r="A9199" s="926" t="n">
        <v>43879</v>
      </c>
      <c r="B9199" t="n">
        <v>7.769</v>
      </c>
      <c r="C9199" t="n">
        <v>1.10885</v>
      </c>
    </row>
    <row r="9200">
      <c r="A9200" s="926" t="n">
        <v>43880</v>
      </c>
      <c r="B9200" t="n">
        <v>7.771</v>
      </c>
      <c r="C9200" t="n">
        <v>1.1091</v>
      </c>
    </row>
    <row r="9201">
      <c r="A9201" s="926" t="n">
        <v>43881</v>
      </c>
      <c r="B9201" t="n">
        <v>7.777</v>
      </c>
      <c r="C9201" t="n">
        <v>1.1072</v>
      </c>
    </row>
    <row r="9202">
      <c r="A9202" s="926" t="n">
        <v>43882</v>
      </c>
      <c r="B9202" t="n">
        <v>7.788</v>
      </c>
      <c r="C9202" t="n">
        <v>1.1053</v>
      </c>
    </row>
    <row r="9203">
      <c r="A9203" s="926" t="n">
        <v>43883</v>
      </c>
      <c r="B9203" t="n">
        <v>7.7865</v>
      </c>
      <c r="C9203" t="n">
        <v>1.1062</v>
      </c>
    </row>
    <row r="9204">
      <c r="A9204" s="926" t="n">
        <v>43885</v>
      </c>
      <c r="B9204" t="n">
        <v>7.795</v>
      </c>
      <c r="C9204" t="n">
        <v>1.1063</v>
      </c>
    </row>
    <row r="9205">
      <c r="A9205" s="926" t="n">
        <v>43886</v>
      </c>
      <c r="B9205" t="n">
        <v>7.789</v>
      </c>
      <c r="C9205" t="n">
        <v>1.1092</v>
      </c>
    </row>
    <row r="9206">
      <c r="A9206" s="926" t="n">
        <v>43887</v>
      </c>
      <c r="B9206" t="n">
        <v>7.792</v>
      </c>
      <c r="C9206" t="n">
        <v>1.1079</v>
      </c>
    </row>
    <row r="9207">
      <c r="A9207" s="926" t="n">
        <v>43888</v>
      </c>
      <c r="B9207" t="n">
        <v>7.799</v>
      </c>
      <c r="C9207" t="n">
        <v>1.1106</v>
      </c>
    </row>
    <row r="9208">
      <c r="A9208" s="926" t="n">
        <v>43889</v>
      </c>
      <c r="B9208" t="n">
        <v>7.798</v>
      </c>
      <c r="C9208" t="n">
        <v>1.112</v>
      </c>
    </row>
    <row r="9209">
      <c r="A9209" s="926" t="n">
        <v>43890</v>
      </c>
      <c r="B9209" t="n">
        <v>7.793</v>
      </c>
      <c r="C9209" t="n">
        <v>1.1162</v>
      </c>
    </row>
    <row r="9210">
      <c r="A9210" s="926" t="n">
        <v>43892</v>
      </c>
      <c r="B9210" t="n">
        <v>7.784</v>
      </c>
      <c r="C9210" t="n">
        <v>1.11665</v>
      </c>
    </row>
    <row r="9211">
      <c r="A9211" s="926" t="n">
        <v>43893</v>
      </c>
      <c r="B9211" t="n">
        <v>7.782</v>
      </c>
      <c r="C9211" t="n">
        <v>1.1147</v>
      </c>
    </row>
    <row r="9212">
      <c r="A9212" s="926" t="n">
        <v>43894</v>
      </c>
      <c r="B9212" t="n">
        <v>7.77</v>
      </c>
      <c r="C9212" t="n">
        <v>1.1204</v>
      </c>
    </row>
    <row r="9213">
      <c r="A9213" s="926" t="n">
        <v>43895</v>
      </c>
      <c r="B9213" t="n">
        <v>7.771</v>
      </c>
      <c r="C9213" t="n">
        <v>1.11945</v>
      </c>
    </row>
    <row r="9214">
      <c r="A9214" s="926" t="n">
        <v>43896</v>
      </c>
      <c r="B9214" t="n">
        <v>7.772</v>
      </c>
      <c r="C9214" t="n">
        <v>1.1189</v>
      </c>
    </row>
    <row r="9215">
      <c r="A9215" s="926" t="n">
        <v>43897</v>
      </c>
      <c r="B9215" t="n">
        <v>7.773</v>
      </c>
      <c r="C9215" t="n">
        <v>1.12185</v>
      </c>
    </row>
    <row r="9216">
      <c r="A9216" s="926" t="n">
        <v>43899</v>
      </c>
      <c r="B9216" t="n">
        <v>7.77</v>
      </c>
      <c r="C9216" t="n">
        <v>1.11825</v>
      </c>
    </row>
    <row r="9217">
      <c r="A9217" s="926" t="n">
        <v>43900</v>
      </c>
      <c r="B9217" t="n">
        <v>7.772</v>
      </c>
      <c r="C9217" t="n">
        <v>1.12015</v>
      </c>
    </row>
    <row r="9218">
      <c r="A9218" s="926" t="n">
        <v>43901</v>
      </c>
      <c r="B9218" t="n">
        <v>7.769</v>
      </c>
      <c r="C9218" t="n">
        <v>1.11665</v>
      </c>
    </row>
    <row r="9219">
      <c r="A9219" s="926" t="n">
        <v>43902</v>
      </c>
      <c r="B9219" t="n">
        <v>7.773</v>
      </c>
      <c r="C9219" t="n">
        <v>1.1125</v>
      </c>
    </row>
    <row r="9220">
      <c r="A9220" s="926" t="n">
        <v>43903</v>
      </c>
      <c r="B9220" t="n">
        <v>7.773</v>
      </c>
      <c r="C9220" t="n">
        <v>1.1092</v>
      </c>
    </row>
    <row r="9221">
      <c r="A9221" s="926" t="n">
        <v>43904</v>
      </c>
      <c r="B9221" t="n">
        <v>7.769</v>
      </c>
      <c r="C9221" t="n">
        <v>1.1062</v>
      </c>
    </row>
    <row r="9222">
      <c r="A9222" s="926" t="n">
        <v>43906</v>
      </c>
      <c r="B9222" t="n">
        <v>7.765</v>
      </c>
      <c r="C9222" t="n">
        <v>1.1062</v>
      </c>
    </row>
    <row r="9223">
      <c r="A9223" s="926" t="n">
        <v>43907</v>
      </c>
      <c r="B9223" t="n">
        <v>7.767</v>
      </c>
      <c r="C9223" t="n">
        <v>1.108</v>
      </c>
    </row>
    <row r="9224">
      <c r="A9224" s="926" t="n">
        <v>43908</v>
      </c>
      <c r="B9224" t="n">
        <v>7.766</v>
      </c>
      <c r="C9224" t="n">
        <v>1.1031</v>
      </c>
    </row>
    <row r="9225">
      <c r="A9225" s="926" t="n">
        <v>43909</v>
      </c>
      <c r="B9225" t="n">
        <v>7.766</v>
      </c>
      <c r="C9225" t="n">
        <v>1.09375</v>
      </c>
    </row>
    <row r="9226">
      <c r="A9226" s="926" t="n">
        <v>43910</v>
      </c>
      <c r="B9226" t="n">
        <v>7.759</v>
      </c>
      <c r="C9226" t="n">
        <v>1.0942</v>
      </c>
    </row>
    <row r="9227">
      <c r="A9227" s="926" t="n">
        <v>43911</v>
      </c>
      <c r="B9227" t="n">
        <v>7.757</v>
      </c>
      <c r="C9227" t="n">
        <v>1.0883</v>
      </c>
    </row>
    <row r="9228">
      <c r="A9228" s="926" t="n">
        <v>43913</v>
      </c>
      <c r="B9228" t="n">
        <v>7.759</v>
      </c>
      <c r="C9228" t="n">
        <v>1.08685</v>
      </c>
    </row>
    <row r="9229">
      <c r="A9229" s="926" t="n">
        <v>43914</v>
      </c>
      <c r="B9229" t="n">
        <v>7.757</v>
      </c>
      <c r="C9229" t="n">
        <v>1.09425</v>
      </c>
    </row>
    <row r="9230">
      <c r="A9230" s="926" t="n">
        <v>43915</v>
      </c>
      <c r="B9230" t="n">
        <v>7.756</v>
      </c>
      <c r="C9230" t="n">
        <v>1.09405</v>
      </c>
    </row>
    <row r="9231">
      <c r="A9231" s="926" t="n">
        <v>43916</v>
      </c>
      <c r="B9231" t="n">
        <v>7.755</v>
      </c>
      <c r="C9231" t="n">
        <v>1.09025</v>
      </c>
    </row>
    <row r="9232">
      <c r="A9232" s="926" t="n">
        <v>43917</v>
      </c>
      <c r="B9232" t="n">
        <v>7.753</v>
      </c>
      <c r="C9232" t="n">
        <v>1.09395</v>
      </c>
    </row>
    <row r="9233">
      <c r="A9233" s="926" t="n">
        <v>43918</v>
      </c>
      <c r="B9233" t="n">
        <v>7.752</v>
      </c>
      <c r="C9233" t="n">
        <v>1.0931</v>
      </c>
    </row>
    <row r="9234">
      <c r="A9234" s="926" t="n">
        <v>43920</v>
      </c>
      <c r="B9234" t="n">
        <v>7.755</v>
      </c>
      <c r="C9234" t="n">
        <v>1.09085</v>
      </c>
    </row>
    <row r="9235">
      <c r="A9235" s="926" t="n">
        <v>43921</v>
      </c>
      <c r="B9235" t="n">
        <v>7.755</v>
      </c>
      <c r="C9235" t="n">
        <v>1.09165</v>
      </c>
    </row>
    <row r="9236">
      <c r="A9236" s="926" t="n">
        <v>43922</v>
      </c>
      <c r="B9236" t="n">
        <v>7.752</v>
      </c>
      <c r="C9236" t="n">
        <v>1.09055</v>
      </c>
    </row>
    <row r="9237">
      <c r="A9237" s="926" t="n">
        <v>43923</v>
      </c>
      <c r="B9237" t="n">
        <v>7.753</v>
      </c>
      <c r="C9237" t="n">
        <v>1.08915</v>
      </c>
    </row>
    <row r="9238">
      <c r="A9238" s="926" t="n">
        <v>43924</v>
      </c>
      <c r="B9238" t="n">
        <v>7.755</v>
      </c>
      <c r="C9238" t="n">
        <v>1.09185</v>
      </c>
    </row>
    <row r="9239">
      <c r="A9239" s="926" t="n">
        <v>43927</v>
      </c>
      <c r="B9239" t="n">
        <v>7.754</v>
      </c>
      <c r="C9239" t="n">
        <v>1.09195</v>
      </c>
    </row>
    <row r="9240">
      <c r="A9240" s="926" t="n">
        <v>43928</v>
      </c>
      <c r="B9240" t="n">
        <v>7.754</v>
      </c>
      <c r="C9240" t="n">
        <v>1.09725</v>
      </c>
    </row>
    <row r="9241">
      <c r="A9241" s="926" t="n">
        <v>43929</v>
      </c>
      <c r="B9241" t="n">
        <v>7.753</v>
      </c>
      <c r="C9241" t="n">
        <v>1.0962</v>
      </c>
    </row>
    <row r="9242">
      <c r="A9242" s="926" t="n">
        <v>43930</v>
      </c>
      <c r="B9242" t="n">
        <v>7.755</v>
      </c>
      <c r="C9242" t="n">
        <v>1.0961</v>
      </c>
    </row>
    <row r="9243">
      <c r="A9243" s="926" t="n">
        <v>43935</v>
      </c>
      <c r="B9243" t="n">
        <v>7.753</v>
      </c>
      <c r="C9243" t="n">
        <v>1.0992</v>
      </c>
    </row>
    <row r="9244">
      <c r="A9244" s="926" t="n">
        <v>43936</v>
      </c>
      <c r="B9244" t="n">
        <v>7.752</v>
      </c>
      <c r="C9244" t="n">
        <v>1.09805</v>
      </c>
    </row>
    <row r="9245">
      <c r="A9245" s="926" t="n">
        <v>43937</v>
      </c>
      <c r="B9245" t="n">
        <v>7.752</v>
      </c>
      <c r="C9245" t="n">
        <v>1.0949</v>
      </c>
    </row>
    <row r="9246">
      <c r="A9246" s="926" t="n">
        <v>43938</v>
      </c>
      <c r="B9246" t="n">
        <v>7.752</v>
      </c>
      <c r="C9246" t="n">
        <v>1.09475</v>
      </c>
    </row>
    <row r="9247">
      <c r="A9247" s="926" t="n">
        <v>43939</v>
      </c>
      <c r="B9247" t="n">
        <v>7.752</v>
      </c>
      <c r="C9247" t="n">
        <v>1.0931</v>
      </c>
    </row>
    <row r="9248">
      <c r="A9248" s="926" t="n">
        <v>43941</v>
      </c>
      <c r="B9248" t="n">
        <v>7.752</v>
      </c>
      <c r="C9248" t="n">
        <v>1.09405</v>
      </c>
    </row>
    <row r="9249">
      <c r="A9249" s="926" t="n">
        <v>43942</v>
      </c>
      <c r="B9249" t="n">
        <v>7.751</v>
      </c>
      <c r="C9249" t="n">
        <v>1.0923</v>
      </c>
    </row>
    <row r="9250">
      <c r="A9250" s="926" t="n">
        <v>43943</v>
      </c>
      <c r="B9250" t="n">
        <v>7.751</v>
      </c>
      <c r="C9250" t="n">
        <v>1.09245</v>
      </c>
    </row>
    <row r="9251">
      <c r="A9251" s="926" t="n">
        <v>43944</v>
      </c>
      <c r="B9251" t="n">
        <v>7.752</v>
      </c>
      <c r="C9251" t="n">
        <v>1.0946</v>
      </c>
    </row>
    <row r="9252">
      <c r="A9252" s="926" t="n">
        <v>43945</v>
      </c>
      <c r="B9252" t="n">
        <v>7.752</v>
      </c>
      <c r="C9252" t="n">
        <v>1.0936</v>
      </c>
    </row>
    <row r="9253">
      <c r="A9253" s="926" t="n">
        <v>43946</v>
      </c>
      <c r="B9253" t="n">
        <v>7.75</v>
      </c>
      <c r="C9253" t="n">
        <v>1.0926</v>
      </c>
    </row>
    <row r="9254">
      <c r="A9254" s="926" t="n">
        <v>43948</v>
      </c>
      <c r="B9254" t="n">
        <v>7.751</v>
      </c>
      <c r="C9254" t="n">
        <v>1.0944</v>
      </c>
    </row>
    <row r="9255">
      <c r="A9255" s="926" t="n">
        <v>43949</v>
      </c>
      <c r="B9255" t="n">
        <v>7.752</v>
      </c>
      <c r="C9255" t="n">
        <v>1.09295</v>
      </c>
    </row>
    <row r="9256">
      <c r="A9256" s="926" t="n">
        <v>43950</v>
      </c>
      <c r="B9256" t="n">
        <v>7.751</v>
      </c>
      <c r="C9256" t="n">
        <v>1.09465</v>
      </c>
    </row>
    <row r="9257">
      <c r="A9257" s="926" t="n">
        <v>43953</v>
      </c>
      <c r="B9257" t="n">
        <v>7.752</v>
      </c>
      <c r="C9257" t="n">
        <v>1.08695</v>
      </c>
    </row>
    <row r="9258">
      <c r="A9258" s="926" t="n">
        <v>43955</v>
      </c>
      <c r="B9258" t="n">
        <v>7.753</v>
      </c>
      <c r="C9258" t="n">
        <v>1.0859</v>
      </c>
    </row>
    <row r="9259">
      <c r="A9259" s="926" t="n">
        <v>43956</v>
      </c>
      <c r="B9259" t="n">
        <v>7.755</v>
      </c>
      <c r="C9259" t="n">
        <v>1.08905</v>
      </c>
    </row>
    <row r="9260">
      <c r="A9260" s="926" t="n">
        <v>43957</v>
      </c>
      <c r="B9260" t="n">
        <v>7.752</v>
      </c>
      <c r="C9260" t="n">
        <v>1.09135</v>
      </c>
    </row>
    <row r="9261">
      <c r="A9261" s="926" t="n">
        <v>43958</v>
      </c>
      <c r="B9261" t="n">
        <v>7.752</v>
      </c>
      <c r="C9261" t="n">
        <v>1.09035</v>
      </c>
    </row>
    <row r="9262">
      <c r="A9262" s="926" t="n">
        <v>43959</v>
      </c>
      <c r="B9262" t="n">
        <v>7.752</v>
      </c>
      <c r="C9262" t="n">
        <v>1.09275</v>
      </c>
    </row>
    <row r="9263">
      <c r="A9263" s="926" t="n">
        <v>43960</v>
      </c>
      <c r="B9263" t="n">
        <v>7.752</v>
      </c>
      <c r="C9263" t="n">
        <v>1.0917</v>
      </c>
    </row>
    <row r="9264">
      <c r="A9264" s="926" t="n">
        <v>43962</v>
      </c>
      <c r="B9264" t="n">
        <v>7.752</v>
      </c>
      <c r="C9264" t="n">
        <v>1.09305</v>
      </c>
    </row>
    <row r="9265">
      <c r="A9265" s="926" t="n">
        <v>43963</v>
      </c>
      <c r="B9265" t="n">
        <v>7.752</v>
      </c>
      <c r="C9265" t="n">
        <v>1.09145</v>
      </c>
    </row>
    <row r="9266">
      <c r="A9266" s="926" t="n">
        <v>43964</v>
      </c>
      <c r="B9266" t="n">
        <v>7.752</v>
      </c>
      <c r="C9266" t="n">
        <v>1.09105</v>
      </c>
    </row>
    <row r="9267">
      <c r="A9267" s="926" t="n">
        <v>43965</v>
      </c>
      <c r="B9267" t="n">
        <v>7.751</v>
      </c>
      <c r="C9267" t="n">
        <v>1.09015</v>
      </c>
    </row>
    <row r="9268">
      <c r="A9268" s="926" t="n">
        <v>43966</v>
      </c>
      <c r="B9268" t="n">
        <v>7.753</v>
      </c>
      <c r="C9268" t="n">
        <v>1.08935</v>
      </c>
    </row>
    <row r="9269">
      <c r="A9269" s="926" t="n">
        <v>43967</v>
      </c>
      <c r="B9269" t="n">
        <v>7.752</v>
      </c>
      <c r="C9269" t="n">
        <v>1.0868</v>
      </c>
    </row>
    <row r="9270">
      <c r="A9270" s="926" t="n">
        <v>43969</v>
      </c>
      <c r="B9270" t="n">
        <v>7.752</v>
      </c>
      <c r="C9270" t="n">
        <v>1.08675</v>
      </c>
    </row>
    <row r="9271">
      <c r="A9271" s="926" t="n">
        <v>43970</v>
      </c>
      <c r="B9271" t="n">
        <v>7.752</v>
      </c>
      <c r="C9271" t="n">
        <v>1.08895</v>
      </c>
    </row>
    <row r="9272">
      <c r="A9272" s="926" t="n">
        <v>43971</v>
      </c>
      <c r="B9272" t="n">
        <v>7.751</v>
      </c>
      <c r="C9272" t="n">
        <v>1.08905</v>
      </c>
    </row>
    <row r="9273">
      <c r="A9273" s="926" t="n">
        <v>43972</v>
      </c>
      <c r="B9273" t="n">
        <v>7.751</v>
      </c>
      <c r="C9273" t="n">
        <v>1.08965</v>
      </c>
    </row>
    <row r="9274">
      <c r="A9274" s="926" t="n">
        <v>43973</v>
      </c>
      <c r="B9274" t="n">
        <v>7.757</v>
      </c>
      <c r="C9274" t="n">
        <v>1.08515</v>
      </c>
    </row>
    <row r="9275">
      <c r="A9275" s="926" t="n">
        <v>43974</v>
      </c>
      <c r="B9275" t="n">
        <v>7.757</v>
      </c>
      <c r="C9275" t="n">
        <v>1.0847</v>
      </c>
    </row>
    <row r="9276">
      <c r="A9276" s="926" t="n">
        <v>43976</v>
      </c>
      <c r="B9276" t="n">
        <v>7.757</v>
      </c>
      <c r="C9276" t="n">
        <v>1.08425</v>
      </c>
    </row>
    <row r="9277">
      <c r="A9277" s="926" t="n">
        <v>43977</v>
      </c>
      <c r="B9277" t="n">
        <v>7.754</v>
      </c>
      <c r="C9277" t="n">
        <v>1.08505</v>
      </c>
    </row>
    <row r="9278">
      <c r="A9278" s="926" t="n">
        <v>43978</v>
      </c>
      <c r="B9278" t="n">
        <v>7.754</v>
      </c>
      <c r="C9278" t="n">
        <v>1.08105</v>
      </c>
    </row>
    <row r="9279">
      <c r="A9279" s="926" t="n">
        <v>43979</v>
      </c>
      <c r="B9279" t="n">
        <v>7.754</v>
      </c>
      <c r="C9279" t="n">
        <v>1.08105</v>
      </c>
    </row>
    <row r="9280">
      <c r="A9280" s="926" t="n">
        <v>43980</v>
      </c>
      <c r="B9280" t="n">
        <v>7.7545</v>
      </c>
      <c r="C9280" t="n">
        <v>1.0821</v>
      </c>
    </row>
    <row r="9281">
      <c r="A9281" s="926" t="n">
        <v>43981</v>
      </c>
      <c r="B9281" t="n">
        <v>7.753</v>
      </c>
      <c r="C9281" t="n">
        <v>1.0862</v>
      </c>
    </row>
    <row r="9282">
      <c r="A9282" s="926" t="n">
        <v>43983</v>
      </c>
      <c r="B9282" t="n">
        <v>7.7535</v>
      </c>
      <c r="C9282" t="n">
        <v>1.0875</v>
      </c>
    </row>
    <row r="9283">
      <c r="A9283" s="926" t="n">
        <v>43984</v>
      </c>
      <c r="B9283" t="n">
        <v>7.7525</v>
      </c>
      <c r="C9283" t="n">
        <v>1.0872</v>
      </c>
    </row>
    <row r="9284">
      <c r="A9284" s="926" t="n">
        <v>43985</v>
      </c>
      <c r="B9284" t="n">
        <v>7.7515</v>
      </c>
      <c r="C9284" t="n">
        <v>1.0898</v>
      </c>
    </row>
    <row r="9285">
      <c r="A9285" s="926" t="n">
        <v>43986</v>
      </c>
      <c r="B9285" t="n">
        <v>7.7515</v>
      </c>
      <c r="C9285" t="n">
        <v>1.0874</v>
      </c>
    </row>
    <row r="9286">
      <c r="A9286" s="926" t="n">
        <v>43987</v>
      </c>
      <c r="B9286" t="n">
        <v>7.7515</v>
      </c>
      <c r="C9286" t="n">
        <v>1.09425</v>
      </c>
    </row>
    <row r="9287">
      <c r="A9287" s="926" t="n">
        <v>43988</v>
      </c>
      <c r="B9287" t="n">
        <v>7.752</v>
      </c>
      <c r="C9287" t="n">
        <v>1.0962</v>
      </c>
    </row>
    <row r="9288">
      <c r="A9288" s="926" t="n">
        <v>43990</v>
      </c>
      <c r="B9288" t="n">
        <v>7.7515</v>
      </c>
      <c r="C9288" t="n">
        <v>1.09565</v>
      </c>
    </row>
    <row r="9289">
      <c r="A9289" s="926" t="n">
        <v>43991</v>
      </c>
      <c r="B9289" t="n">
        <v>7.7515</v>
      </c>
      <c r="C9289" t="n">
        <v>1.0958</v>
      </c>
    </row>
    <row r="9290">
      <c r="A9290" s="926" t="n">
        <v>43992</v>
      </c>
      <c r="B9290" t="n">
        <v>7.7515</v>
      </c>
      <c r="C9290" t="n">
        <v>1.09715</v>
      </c>
    </row>
    <row r="9291">
      <c r="A9291" s="926" t="n">
        <v>43993</v>
      </c>
      <c r="B9291" t="n">
        <v>7.7525</v>
      </c>
      <c r="C9291" t="n">
        <v>1.09645</v>
      </c>
    </row>
    <row r="9292">
      <c r="A9292" s="926" t="n">
        <v>43994</v>
      </c>
      <c r="B9292" t="n">
        <v>7.7515</v>
      </c>
      <c r="C9292" t="n">
        <v>1.0956</v>
      </c>
    </row>
    <row r="9293">
      <c r="A9293" s="926" t="n">
        <v>43995</v>
      </c>
      <c r="B9293" t="n">
        <v>7.752</v>
      </c>
      <c r="C9293" t="n">
        <v>1.0945</v>
      </c>
    </row>
    <row r="9294">
      <c r="A9294" s="926" t="n">
        <v>43997</v>
      </c>
      <c r="B9294" t="n">
        <v>7.7515</v>
      </c>
      <c r="C9294" t="n">
        <v>1.09235</v>
      </c>
    </row>
    <row r="9295">
      <c r="A9295" s="926" t="n">
        <v>43998</v>
      </c>
      <c r="B9295" t="n">
        <v>7.7525</v>
      </c>
      <c r="C9295" t="n">
        <v>1.0966</v>
      </c>
    </row>
    <row r="9296">
      <c r="A9296" s="926" t="n">
        <v>43999</v>
      </c>
      <c r="B9296" t="n">
        <v>7.7515</v>
      </c>
      <c r="C9296" t="n">
        <v>1.09425</v>
      </c>
    </row>
    <row r="9297">
      <c r="A9297" s="926" t="n">
        <v>44000</v>
      </c>
      <c r="B9297" t="n">
        <v>7.7515</v>
      </c>
      <c r="C9297" t="n">
        <v>1.0966</v>
      </c>
    </row>
    <row r="9298">
      <c r="A9298" s="926" t="n">
        <v>44001</v>
      </c>
      <c r="B9298" t="n">
        <v>7.7515</v>
      </c>
      <c r="C9298" t="n">
        <v>1.09635</v>
      </c>
    </row>
    <row r="9299">
      <c r="A9299" s="926" t="n">
        <v>44002</v>
      </c>
      <c r="B9299" t="n">
        <v>7.752</v>
      </c>
      <c r="C9299" t="n">
        <v>1.0948</v>
      </c>
    </row>
    <row r="9300">
      <c r="A9300" s="926" t="n">
        <v>44004</v>
      </c>
      <c r="B9300" t="n">
        <v>7.7515</v>
      </c>
      <c r="C9300" t="n">
        <v>1.0961</v>
      </c>
    </row>
    <row r="9301">
      <c r="A9301" s="926" t="n">
        <v>44005</v>
      </c>
      <c r="B9301" t="n">
        <v>7.7515</v>
      </c>
      <c r="C9301" t="n">
        <v>1.09675</v>
      </c>
    </row>
    <row r="9302">
      <c r="A9302" s="926" t="n">
        <v>44006</v>
      </c>
      <c r="B9302" t="n">
        <v>7.7515</v>
      </c>
      <c r="C9302" t="n">
        <v>1.09765</v>
      </c>
    </row>
    <row r="9303">
      <c r="A9303" s="926" t="n">
        <v>44008</v>
      </c>
      <c r="B9303" t="n">
        <v>7.7515</v>
      </c>
      <c r="C9303" t="n">
        <v>1.09435</v>
      </c>
    </row>
    <row r="9304">
      <c r="A9304" s="926" t="n">
        <v>44009</v>
      </c>
      <c r="B9304" t="n">
        <v>7.753</v>
      </c>
      <c r="C9304" t="n">
        <v>1.0941</v>
      </c>
    </row>
    <row r="9305">
      <c r="A9305" s="926" t="n">
        <v>44011</v>
      </c>
      <c r="B9305" t="n">
        <v>7.7515</v>
      </c>
      <c r="C9305" t="n">
        <v>1.09605</v>
      </c>
    </row>
    <row r="9306">
      <c r="A9306" s="926" t="n">
        <v>44012</v>
      </c>
      <c r="B9306" t="n">
        <v>7.7515</v>
      </c>
      <c r="C9306" t="n">
        <v>1.09615</v>
      </c>
    </row>
    <row r="9307">
      <c r="A9307" s="926" t="n">
        <v>44014</v>
      </c>
      <c r="B9307" t="n">
        <v>7.7515</v>
      </c>
      <c r="C9307" t="n">
        <v>1.09685</v>
      </c>
    </row>
    <row r="9308">
      <c r="A9308" s="926" t="n">
        <v>44015</v>
      </c>
      <c r="B9308" t="n">
        <v>7.7515</v>
      </c>
      <c r="C9308" t="n">
        <v>1.0972</v>
      </c>
    </row>
    <row r="9309">
      <c r="A9309" s="926" t="n">
        <v>44016</v>
      </c>
      <c r="B9309" t="n">
        <v>7.752</v>
      </c>
      <c r="C9309" t="n">
        <v>1.0962</v>
      </c>
    </row>
    <row r="9310">
      <c r="A9310" s="926" t="n">
        <v>44018</v>
      </c>
      <c r="B9310" t="n">
        <v>7.7515</v>
      </c>
      <c r="C9310" t="n">
        <v>1.10225</v>
      </c>
    </row>
    <row r="9311">
      <c r="A9311" s="926" t="n">
        <v>44019</v>
      </c>
      <c r="B9311" t="n">
        <v>7.7515</v>
      </c>
      <c r="C9311" t="n">
        <v>1.1042</v>
      </c>
    </row>
    <row r="9312">
      <c r="A9312" s="926" t="n">
        <v>44020</v>
      </c>
      <c r="B9312" t="n">
        <v>7.7515</v>
      </c>
      <c r="C9312" t="n">
        <v>1.10465</v>
      </c>
    </row>
    <row r="9313">
      <c r="A9313" s="926" t="n">
        <v>44021</v>
      </c>
      <c r="B9313" t="n">
        <v>7.7515</v>
      </c>
      <c r="C9313" t="n">
        <v>1.1093</v>
      </c>
    </row>
    <row r="9314">
      <c r="A9314" s="926" t="n">
        <v>44022</v>
      </c>
      <c r="B9314" t="n">
        <v>7.7515</v>
      </c>
      <c r="C9314" t="n">
        <v>1.1053</v>
      </c>
    </row>
    <row r="9315">
      <c r="A9315" s="926" t="n">
        <v>44023</v>
      </c>
      <c r="B9315" t="n">
        <v>7.752</v>
      </c>
      <c r="C9315" t="n">
        <v>1.1073</v>
      </c>
    </row>
    <row r="9316">
      <c r="A9316" s="926" t="n">
        <v>44025</v>
      </c>
      <c r="B9316" t="n">
        <v>7.7525</v>
      </c>
      <c r="C9316" t="n">
        <v>1.10785</v>
      </c>
    </row>
    <row r="9317">
      <c r="A9317" s="926" t="n">
        <v>44026</v>
      </c>
      <c r="B9317" t="n">
        <v>7.7525</v>
      </c>
      <c r="C9317" t="n">
        <v>1.10515</v>
      </c>
    </row>
    <row r="9318">
      <c r="A9318" s="926" t="n">
        <v>44027</v>
      </c>
      <c r="B9318" t="n">
        <v>7.7525</v>
      </c>
      <c r="C9318" t="n">
        <v>1.10745</v>
      </c>
    </row>
    <row r="9319">
      <c r="A9319" s="926" t="n">
        <v>44028</v>
      </c>
      <c r="B9319" t="n">
        <v>7.7545</v>
      </c>
      <c r="C9319" t="n">
        <v>1.1078</v>
      </c>
    </row>
    <row r="9320">
      <c r="A9320" s="926" t="n">
        <v>44029</v>
      </c>
      <c r="B9320" t="n">
        <v>7.7545</v>
      </c>
      <c r="C9320" t="n">
        <v>1.10835</v>
      </c>
    </row>
    <row r="9321">
      <c r="A9321" s="926" t="n">
        <v>44030</v>
      </c>
      <c r="B9321" t="n">
        <v>7.756</v>
      </c>
      <c r="C9321" t="n">
        <v>1.1088</v>
      </c>
    </row>
    <row r="9322">
      <c r="A9322" s="926" t="n">
        <v>44032</v>
      </c>
      <c r="B9322" t="n">
        <v>7.7545</v>
      </c>
      <c r="C9322" t="n">
        <v>1.10985</v>
      </c>
    </row>
    <row r="9323">
      <c r="A9323" s="926" t="n">
        <v>44033</v>
      </c>
      <c r="B9323" t="n">
        <v>7.7525</v>
      </c>
      <c r="C9323" t="n">
        <v>1.1092</v>
      </c>
    </row>
    <row r="9324">
      <c r="A9324" s="926" t="n">
        <v>44034</v>
      </c>
      <c r="B9324" t="n">
        <v>7.7525</v>
      </c>
      <c r="C9324" t="n">
        <v>1.11185</v>
      </c>
    </row>
    <row r="9325">
      <c r="A9325" s="926" t="n">
        <v>44035</v>
      </c>
      <c r="B9325" t="n">
        <v>7.7535</v>
      </c>
      <c r="C9325" t="n">
        <v>1.108</v>
      </c>
    </row>
    <row r="9326">
      <c r="A9326" s="926" t="n">
        <v>44036</v>
      </c>
      <c r="B9326" t="n">
        <v>7.7535</v>
      </c>
      <c r="C9326" t="n">
        <v>1.10405</v>
      </c>
    </row>
    <row r="9327">
      <c r="A9327" s="926" t="n">
        <v>44037</v>
      </c>
      <c r="B9327" t="n">
        <v>7.752</v>
      </c>
      <c r="C9327" t="n">
        <v>1.1048</v>
      </c>
    </row>
    <row r="9328">
      <c r="A9328" s="926" t="n">
        <v>44039</v>
      </c>
      <c r="B9328" t="n">
        <v>7.7535</v>
      </c>
      <c r="C9328" t="n">
        <v>1.1079</v>
      </c>
    </row>
    <row r="9329">
      <c r="A9329" s="926" t="n">
        <v>44040</v>
      </c>
      <c r="B9329" t="n">
        <v>7.7525</v>
      </c>
      <c r="C9329" t="n">
        <v>1.1074</v>
      </c>
    </row>
    <row r="9330">
      <c r="A9330" s="926" t="n">
        <v>44041</v>
      </c>
      <c r="B9330" t="n">
        <v>7.7515</v>
      </c>
      <c r="C9330" t="n">
        <v>1.1072</v>
      </c>
    </row>
    <row r="9331">
      <c r="A9331" s="926" t="n">
        <v>44042</v>
      </c>
      <c r="B9331" t="n">
        <v>7.7515</v>
      </c>
      <c r="C9331" t="n">
        <v>1.1061</v>
      </c>
    </row>
    <row r="9332">
      <c r="A9332" s="926" t="n">
        <v>44043</v>
      </c>
      <c r="B9332" t="n">
        <v>7.7515</v>
      </c>
      <c r="C9332" t="n">
        <v>1.10825</v>
      </c>
    </row>
    <row r="9333">
      <c r="A9333" s="926" t="n">
        <v>44044</v>
      </c>
      <c r="B9333" t="n">
        <v>7.752</v>
      </c>
      <c r="C9333" t="n">
        <v>1.1087</v>
      </c>
    </row>
    <row r="9334">
      <c r="A9334" s="926" t="n">
        <v>44046</v>
      </c>
      <c r="B9334" t="n">
        <v>7.7515</v>
      </c>
      <c r="C9334" t="n">
        <v>1.1101</v>
      </c>
    </row>
    <row r="9335">
      <c r="A9335" s="926" t="n">
        <v>44047</v>
      </c>
      <c r="B9335" t="n">
        <v>7.7515</v>
      </c>
      <c r="C9335" t="n">
        <v>1.1098</v>
      </c>
    </row>
    <row r="9336">
      <c r="A9336" s="926" t="n">
        <v>44048</v>
      </c>
      <c r="B9336" t="n">
        <v>7.7515</v>
      </c>
      <c r="C9336" t="n">
        <v>1.1151</v>
      </c>
    </row>
    <row r="9337">
      <c r="A9337" s="926" t="n">
        <v>44049</v>
      </c>
      <c r="B9337" t="n">
        <v>7.7515</v>
      </c>
      <c r="C9337" t="n">
        <v>1.116</v>
      </c>
    </row>
    <row r="9338">
      <c r="A9338" s="926" t="n">
        <v>44050</v>
      </c>
      <c r="B9338" t="n">
        <v>7.7515</v>
      </c>
      <c r="C9338" t="n">
        <v>1.11325</v>
      </c>
    </row>
    <row r="9339">
      <c r="A9339" s="926" t="n">
        <v>44051</v>
      </c>
      <c r="B9339" t="n">
        <v>7.751</v>
      </c>
      <c r="C9339" t="n">
        <v>1.1125</v>
      </c>
    </row>
    <row r="9340">
      <c r="A9340" s="926" t="n">
        <v>44053</v>
      </c>
      <c r="B9340" t="n">
        <v>7.7515</v>
      </c>
      <c r="C9340" t="n">
        <v>1.11245</v>
      </c>
    </row>
    <row r="9341">
      <c r="A9341" s="926" t="n">
        <v>44054</v>
      </c>
      <c r="B9341" t="n">
        <v>7.7515</v>
      </c>
      <c r="C9341" t="n">
        <v>1.1147</v>
      </c>
    </row>
    <row r="9342">
      <c r="A9342" s="926" t="n">
        <v>44055</v>
      </c>
      <c r="B9342" t="n">
        <v>7.7525</v>
      </c>
      <c r="C9342" t="n">
        <v>1.1158</v>
      </c>
    </row>
    <row r="9343">
      <c r="A9343" s="926" t="n">
        <v>44056</v>
      </c>
      <c r="B9343" t="n">
        <v>7.7515</v>
      </c>
      <c r="C9343" t="n">
        <v>1.1173</v>
      </c>
    </row>
    <row r="9344">
      <c r="A9344" s="926" t="n">
        <v>44057</v>
      </c>
      <c r="B9344" t="n">
        <v>7.7525</v>
      </c>
      <c r="C9344" t="n">
        <v>1.1162</v>
      </c>
    </row>
    <row r="9345">
      <c r="A9345" s="926" t="n">
        <v>44058</v>
      </c>
      <c r="B9345" t="n">
        <v>7.751</v>
      </c>
      <c r="C9345" t="n">
        <v>1.11605</v>
      </c>
    </row>
    <row r="9346">
      <c r="A9346" s="926" t="n">
        <v>44060</v>
      </c>
      <c r="B9346" t="n">
        <v>7.7515</v>
      </c>
      <c r="C9346" t="n">
        <v>1.1179</v>
      </c>
    </row>
    <row r="9347">
      <c r="A9347" s="926" t="n">
        <v>44061</v>
      </c>
      <c r="B9347" t="n">
        <v>7.7515</v>
      </c>
      <c r="C9347" t="n">
        <v>1.11945</v>
      </c>
    </row>
    <row r="9348">
      <c r="A9348" s="926" t="n">
        <v>44062</v>
      </c>
      <c r="B9348" t="n">
        <v>7.7515</v>
      </c>
      <c r="C9348" t="n">
        <v>1.12085</v>
      </c>
    </row>
    <row r="9349">
      <c r="A9349" s="926" t="n">
        <v>44063</v>
      </c>
      <c r="B9349" t="n">
        <v>7.7515</v>
      </c>
      <c r="C9349" t="n">
        <v>1.12115</v>
      </c>
    </row>
    <row r="9350">
      <c r="A9350" s="926" t="n">
        <v>44064</v>
      </c>
      <c r="B9350" t="n">
        <v>7.7515</v>
      </c>
      <c r="C9350" t="n">
        <v>1.12355</v>
      </c>
    </row>
    <row r="9351">
      <c r="A9351" s="926" t="n">
        <v>44065</v>
      </c>
      <c r="B9351" t="n">
        <v>7.752</v>
      </c>
      <c r="C9351" t="n">
        <v>1.11955</v>
      </c>
    </row>
    <row r="9352">
      <c r="A9352" s="926" t="n">
        <v>44067</v>
      </c>
      <c r="B9352" t="n">
        <v>7.7515</v>
      </c>
      <c r="C9352" t="n">
        <v>1.12125</v>
      </c>
    </row>
    <row r="9353">
      <c r="A9353" s="926" t="n">
        <v>44068</v>
      </c>
      <c r="B9353" t="n">
        <v>7.7515</v>
      </c>
      <c r="C9353" t="n">
        <v>1.1222</v>
      </c>
    </row>
    <row r="9354">
      <c r="A9354" s="926" t="n">
        <v>44069</v>
      </c>
      <c r="B9354" t="n">
        <v>7.7515</v>
      </c>
      <c r="C9354" t="n">
        <v>1.12445</v>
      </c>
    </row>
    <row r="9355">
      <c r="A9355" s="926" t="n">
        <v>44070</v>
      </c>
      <c r="B9355" t="n">
        <v>7.7515</v>
      </c>
      <c r="C9355" t="n">
        <v>1.12685</v>
      </c>
    </row>
    <row r="9356">
      <c r="A9356" s="926" t="n">
        <v>44071</v>
      </c>
      <c r="B9356" t="n">
        <v>7.7515</v>
      </c>
      <c r="C9356" t="n">
        <v>1.12965</v>
      </c>
    </row>
    <row r="9357">
      <c r="A9357" s="926" t="n">
        <v>44072</v>
      </c>
      <c r="B9357" t="n">
        <v>7.751</v>
      </c>
      <c r="C9357" t="n">
        <v>1.1299</v>
      </c>
    </row>
    <row r="9358">
      <c r="A9358" s="926" t="n">
        <v>44074</v>
      </c>
      <c r="B9358" t="n">
        <v>7.7515</v>
      </c>
      <c r="C9358" t="n">
        <v>1.13075</v>
      </c>
    </row>
    <row r="9359">
      <c r="A9359" s="926" t="n">
        <v>44075</v>
      </c>
      <c r="B9359" t="n">
        <v>7.7515</v>
      </c>
      <c r="C9359" t="n">
        <v>1.13695</v>
      </c>
    </row>
    <row r="9360">
      <c r="A9360" s="926" t="n">
        <v>44076</v>
      </c>
      <c r="B9360" t="n">
        <v>7.7515</v>
      </c>
      <c r="C9360" t="n">
        <v>1.13545</v>
      </c>
    </row>
    <row r="9361">
      <c r="A9361" s="926" t="n">
        <v>44077</v>
      </c>
      <c r="B9361" t="n">
        <v>7.7515</v>
      </c>
      <c r="C9361" t="n">
        <v>1.13295</v>
      </c>
    </row>
    <row r="9362">
      <c r="A9362" s="926" t="n">
        <v>44078</v>
      </c>
      <c r="B9362" t="n">
        <v>7.7515</v>
      </c>
      <c r="C9362" t="n">
        <v>1.13225</v>
      </c>
    </row>
    <row r="9363">
      <c r="A9363" s="926" t="n">
        <v>44079</v>
      </c>
      <c r="B9363" t="n">
        <v>7.751</v>
      </c>
      <c r="C9363" t="n">
        <v>1.13325</v>
      </c>
    </row>
    <row r="9364">
      <c r="A9364" s="926" t="n">
        <v>44081</v>
      </c>
      <c r="B9364" t="n">
        <v>7.7515</v>
      </c>
      <c r="C9364" t="n">
        <v>1.13395</v>
      </c>
    </row>
    <row r="9365">
      <c r="A9365" s="926" t="n">
        <v>44082</v>
      </c>
      <c r="B9365" t="n">
        <v>7.7515</v>
      </c>
      <c r="C9365" t="n">
        <v>1.13425</v>
      </c>
    </row>
    <row r="9366">
      <c r="A9366" s="926" t="n">
        <v>44083</v>
      </c>
      <c r="B9366" t="n">
        <v>7.7515</v>
      </c>
      <c r="C9366" t="n">
        <v>1.13105</v>
      </c>
    </row>
    <row r="9367">
      <c r="A9367" s="926" t="n">
        <v>44084</v>
      </c>
      <c r="B9367" t="n">
        <v>7.7515</v>
      </c>
      <c r="C9367" t="n">
        <v>1.13355</v>
      </c>
    </row>
    <row r="9368">
      <c r="A9368" s="926" t="n">
        <v>44085</v>
      </c>
      <c r="B9368" t="n">
        <v>7.7515</v>
      </c>
      <c r="C9368" t="n">
        <v>1.13365</v>
      </c>
    </row>
    <row r="9369">
      <c r="A9369" s="926" t="n">
        <v>44086</v>
      </c>
      <c r="B9369" t="n">
        <v>7.751</v>
      </c>
      <c r="C9369" t="n">
        <v>1.1343</v>
      </c>
    </row>
    <row r="9370">
      <c r="A9370" s="926" t="n">
        <v>44088</v>
      </c>
      <c r="B9370" t="n">
        <v>7.7515</v>
      </c>
      <c r="C9370" t="n">
        <v>1.135</v>
      </c>
    </row>
    <row r="9371">
      <c r="A9371" s="926" t="n">
        <v>44089</v>
      </c>
      <c r="B9371" t="n">
        <v>7.7515</v>
      </c>
      <c r="C9371" t="n">
        <v>1.1429</v>
      </c>
    </row>
    <row r="9372">
      <c r="A9372" s="926" t="n">
        <v>44090</v>
      </c>
      <c r="B9372" t="n">
        <v>7.7515</v>
      </c>
      <c r="C9372" t="n">
        <v>1.1453</v>
      </c>
    </row>
    <row r="9373">
      <c r="A9373" s="926" t="n">
        <v>44091</v>
      </c>
      <c r="B9373" t="n">
        <v>7.7515</v>
      </c>
      <c r="C9373" t="n">
        <v>1.1454</v>
      </c>
    </row>
    <row r="9374">
      <c r="A9374" s="926" t="n">
        <v>44092</v>
      </c>
      <c r="B9374" t="n">
        <v>7.7515</v>
      </c>
      <c r="C9374" t="n">
        <v>1.14815</v>
      </c>
    </row>
    <row r="9375">
      <c r="A9375" s="926" t="n">
        <v>44093</v>
      </c>
      <c r="B9375" t="n">
        <v>7.751</v>
      </c>
      <c r="C9375" t="n">
        <v>1.1431</v>
      </c>
    </row>
    <row r="9376">
      <c r="A9376" s="926" t="n">
        <v>44095</v>
      </c>
      <c r="B9376" t="n">
        <v>7.7515</v>
      </c>
      <c r="C9376" t="n">
        <v>1.1466</v>
      </c>
    </row>
    <row r="9377">
      <c r="A9377" s="926" t="n">
        <v>44096</v>
      </c>
      <c r="B9377" t="n">
        <v>7.7515</v>
      </c>
      <c r="C9377" t="n">
        <v>1.1412</v>
      </c>
    </row>
    <row r="9378">
      <c r="A9378" s="926" t="n">
        <v>44097</v>
      </c>
      <c r="B9378" t="n">
        <v>7.7515</v>
      </c>
      <c r="C9378" t="n">
        <v>1.1412</v>
      </c>
    </row>
    <row r="9379">
      <c r="A9379" s="926" t="n">
        <v>44098</v>
      </c>
      <c r="B9379" t="n">
        <v>7.7515</v>
      </c>
      <c r="C9379" t="n">
        <v>1.13505</v>
      </c>
    </row>
    <row r="9380">
      <c r="A9380" s="926" t="n">
        <v>44099</v>
      </c>
      <c r="B9380" t="n">
        <v>7.7515</v>
      </c>
      <c r="C9380" t="n">
        <v>1.13605</v>
      </c>
    </row>
    <row r="9381">
      <c r="A9381" s="926" t="n">
        <v>44100</v>
      </c>
      <c r="B9381" t="n">
        <v>7.751</v>
      </c>
      <c r="C9381" t="n">
        <v>1.13505</v>
      </c>
    </row>
    <row r="9382">
      <c r="A9382" s="926" t="n">
        <v>44102</v>
      </c>
      <c r="B9382" t="n">
        <v>7.7515</v>
      </c>
      <c r="C9382" t="n">
        <v>1.1349</v>
      </c>
    </row>
    <row r="9383">
      <c r="A9383" s="926" t="n">
        <v>44103</v>
      </c>
      <c r="B9383" t="n">
        <v>7.7515</v>
      </c>
      <c r="C9383" t="n">
        <v>1.13715</v>
      </c>
    </row>
    <row r="9384">
      <c r="A9384" s="926" t="n">
        <v>44104</v>
      </c>
      <c r="B9384" t="n">
        <v>7.7515</v>
      </c>
      <c r="C9384" t="n">
        <v>1.1372</v>
      </c>
    </row>
    <row r="9385">
      <c r="A9385" s="926" t="n">
        <v>44107</v>
      </c>
      <c r="B9385" t="n">
        <v>7.751</v>
      </c>
      <c r="C9385" t="n">
        <v>1.14715</v>
      </c>
    </row>
    <row r="9386">
      <c r="A9386" s="926" t="n">
        <v>44109</v>
      </c>
      <c r="B9386" t="n">
        <v>7.7515</v>
      </c>
      <c r="C9386" t="n">
        <v>1.1487</v>
      </c>
    </row>
    <row r="9387">
      <c r="A9387" s="926" t="n">
        <v>44110</v>
      </c>
      <c r="B9387" t="n">
        <v>7.7515</v>
      </c>
      <c r="C9387" t="n">
        <v>1.15165</v>
      </c>
    </row>
    <row r="9388">
      <c r="A9388" s="926" t="n">
        <v>44111</v>
      </c>
      <c r="B9388" t="n">
        <v>7.7515</v>
      </c>
      <c r="C9388" t="n">
        <v>1.1522</v>
      </c>
    </row>
    <row r="9389">
      <c r="A9389" s="926" t="n">
        <v>44112</v>
      </c>
      <c r="B9389" t="n">
        <v>7.7515</v>
      </c>
      <c r="C9389" t="n">
        <v>1.152</v>
      </c>
    </row>
    <row r="9390">
      <c r="A9390" s="926" t="n">
        <v>44113</v>
      </c>
      <c r="B9390" t="n">
        <v>7.7515</v>
      </c>
      <c r="C9390" t="n">
        <v>1.15655</v>
      </c>
    </row>
    <row r="9391">
      <c r="A9391" s="926" t="n">
        <v>44114</v>
      </c>
      <c r="B9391" t="n">
        <v>7.751</v>
      </c>
      <c r="C9391" t="n">
        <v>1.15775</v>
      </c>
    </row>
    <row r="9392">
      <c r="A9392" s="926" t="n">
        <v>44116</v>
      </c>
      <c r="B9392" t="n">
        <v>7.7515</v>
      </c>
      <c r="C9392" t="n">
        <v>1.1553</v>
      </c>
    </row>
    <row r="9393">
      <c r="A9393" s="926" t="n">
        <v>44118</v>
      </c>
      <c r="B9393" t="n">
        <v>7.7515</v>
      </c>
      <c r="C9393" t="n">
        <v>1.1509</v>
      </c>
    </row>
    <row r="9394">
      <c r="A9394" s="926" t="n">
        <v>44119</v>
      </c>
      <c r="B9394" t="n">
        <v>7.7515</v>
      </c>
      <c r="C9394" t="n">
        <v>1.1537</v>
      </c>
    </row>
    <row r="9395">
      <c r="A9395" s="926" t="n">
        <v>44120</v>
      </c>
      <c r="B9395" t="n">
        <v>7.7515</v>
      </c>
      <c r="C9395" t="n">
        <v>1.1557</v>
      </c>
    </row>
    <row r="9396">
      <c r="A9396" s="926" t="n">
        <v>44121</v>
      </c>
      <c r="B9396" t="n">
        <v>7.751</v>
      </c>
      <c r="C9396" t="n">
        <v>1.15785</v>
      </c>
    </row>
    <row r="9397">
      <c r="A9397" s="926" t="n">
        <v>44123</v>
      </c>
      <c r="B9397" t="n">
        <v>7.7515</v>
      </c>
      <c r="C9397" t="n">
        <v>1.15825</v>
      </c>
    </row>
    <row r="9398">
      <c r="A9398" s="926" t="n">
        <v>44124</v>
      </c>
      <c r="B9398" t="n">
        <v>7.7515</v>
      </c>
      <c r="C9398" t="n">
        <v>1.16105</v>
      </c>
    </row>
    <row r="9399">
      <c r="A9399" s="926" t="n">
        <v>44125</v>
      </c>
      <c r="B9399" t="n">
        <v>7.7515</v>
      </c>
      <c r="C9399" t="n">
        <v>1.16875</v>
      </c>
    </row>
    <row r="9400">
      <c r="A9400" s="926" t="n">
        <v>44126</v>
      </c>
      <c r="B9400" t="n">
        <v>7.7515</v>
      </c>
      <c r="C9400" t="n">
        <v>1.16445</v>
      </c>
    </row>
    <row r="9401">
      <c r="A9401" s="926" t="n">
        <v>44127</v>
      </c>
      <c r="B9401" t="n">
        <v>7.7515</v>
      </c>
      <c r="C9401" t="n">
        <v>1.1623</v>
      </c>
    </row>
    <row r="9402">
      <c r="A9402" s="926" t="n">
        <v>44128</v>
      </c>
      <c r="B9402" t="n">
        <v>7.751</v>
      </c>
      <c r="C9402" t="n">
        <v>1.1626</v>
      </c>
    </row>
    <row r="9403">
      <c r="A9403" s="926" t="n">
        <v>44131</v>
      </c>
      <c r="B9403" t="n">
        <v>7.7515</v>
      </c>
      <c r="C9403" t="n">
        <v>1.15775</v>
      </c>
    </row>
    <row r="9404">
      <c r="A9404" s="926" t="n">
        <v>44132</v>
      </c>
      <c r="B9404" t="n">
        <v>7.7515</v>
      </c>
      <c r="C9404" t="n">
        <v>1.15505</v>
      </c>
    </row>
    <row r="9405">
      <c r="A9405" s="926" t="n">
        <v>44133</v>
      </c>
      <c r="B9405" t="n">
        <v>7.7535</v>
      </c>
      <c r="C9405" t="n">
        <v>1.15605</v>
      </c>
    </row>
    <row r="9406">
      <c r="A9406" s="926" t="n">
        <v>44134</v>
      </c>
      <c r="B9406" t="n">
        <v>7.753</v>
      </c>
      <c r="C9406" t="n">
        <v>1.1571</v>
      </c>
    </row>
    <row r="9407">
      <c r="A9407" s="926" t="n">
        <v>44135</v>
      </c>
      <c r="B9407" t="n">
        <v>7.752</v>
      </c>
      <c r="C9407" t="n">
        <v>1.1574</v>
      </c>
    </row>
    <row r="9408">
      <c r="A9408" s="926" t="n">
        <v>44137</v>
      </c>
      <c r="B9408" t="n">
        <v>7.755</v>
      </c>
      <c r="C9408" t="n">
        <v>1.1585</v>
      </c>
    </row>
    <row r="9409">
      <c r="A9409" s="926" t="n">
        <v>44138</v>
      </c>
      <c r="B9409" t="n">
        <v>7.752</v>
      </c>
      <c r="C9409" t="n">
        <v>1.1588</v>
      </c>
    </row>
    <row r="9410">
      <c r="A9410" s="926" t="n">
        <v>44139</v>
      </c>
      <c r="B9410" t="n">
        <v>7.753</v>
      </c>
      <c r="C9410" t="n">
        <v>1.1547</v>
      </c>
    </row>
    <row r="9411">
      <c r="A9411" s="926" t="n">
        <v>44140</v>
      </c>
      <c r="B9411" t="n">
        <v>7.756</v>
      </c>
      <c r="C9411" t="n">
        <v>1.16845</v>
      </c>
    </row>
    <row r="9412">
      <c r="A9412" s="926" t="n">
        <v>44141</v>
      </c>
      <c r="B9412" t="n">
        <v>7.754</v>
      </c>
      <c r="C9412" t="n">
        <v>1.17205</v>
      </c>
    </row>
    <row r="9413">
      <c r="A9413" s="926" t="n">
        <v>44142</v>
      </c>
      <c r="B9413" t="n">
        <v>7.754</v>
      </c>
      <c r="C9413" t="n">
        <v>1.1764</v>
      </c>
    </row>
    <row r="9414">
      <c r="A9414" s="926" t="n">
        <v>44144</v>
      </c>
      <c r="B9414" t="n">
        <v>7.755</v>
      </c>
      <c r="C9414" t="n">
        <v>1.1822</v>
      </c>
    </row>
    <row r="9415">
      <c r="A9415" s="926" t="n">
        <v>44145</v>
      </c>
      <c r="B9415" t="n">
        <v>7.755</v>
      </c>
      <c r="C9415" t="n">
        <v>1.17425</v>
      </c>
    </row>
    <row r="9416">
      <c r="A9416" s="926" t="n">
        <v>44146</v>
      </c>
      <c r="B9416" t="n">
        <v>7.754</v>
      </c>
      <c r="C9416" t="n">
        <v>1.17635</v>
      </c>
    </row>
    <row r="9417">
      <c r="A9417" s="926" t="n">
        <v>44147</v>
      </c>
      <c r="B9417" t="n">
        <v>7.755</v>
      </c>
      <c r="C9417" t="n">
        <v>1.1704</v>
      </c>
    </row>
    <row r="9418">
      <c r="A9418" s="926" t="n">
        <v>44148</v>
      </c>
      <c r="B9418" t="n">
        <v>7.755</v>
      </c>
      <c r="C9418" t="n">
        <v>1.17055</v>
      </c>
    </row>
    <row r="9419">
      <c r="A9419" s="926" t="n">
        <v>44149</v>
      </c>
      <c r="B9419" t="n">
        <v>7.753</v>
      </c>
      <c r="C9419" t="n">
        <v>1.1751</v>
      </c>
    </row>
    <row r="9420">
      <c r="A9420" s="926" t="n">
        <v>44151</v>
      </c>
      <c r="B9420" t="n">
        <v>7.754</v>
      </c>
      <c r="C9420" t="n">
        <v>1.18</v>
      </c>
    </row>
    <row r="9421">
      <c r="A9421" s="926" t="n">
        <v>44152</v>
      </c>
      <c r="B9421" t="n">
        <v>7.754</v>
      </c>
      <c r="C9421" t="n">
        <v>1.1818</v>
      </c>
    </row>
    <row r="9422">
      <c r="A9422" s="926" t="n">
        <v>44153</v>
      </c>
      <c r="B9422" t="n">
        <v>7.753</v>
      </c>
      <c r="C9422" t="n">
        <v>1.1855</v>
      </c>
    </row>
    <row r="9423">
      <c r="A9423" s="926" t="n">
        <v>44154</v>
      </c>
      <c r="B9423" t="n">
        <v>7.753</v>
      </c>
      <c r="C9423" t="n">
        <v>1.1801</v>
      </c>
    </row>
    <row r="9424">
      <c r="A9424" s="926" t="n">
        <v>44155</v>
      </c>
      <c r="B9424" t="n">
        <v>7.754</v>
      </c>
      <c r="C9424" t="n">
        <v>1.1812</v>
      </c>
    </row>
    <row r="9425">
      <c r="A9425" s="926" t="n">
        <v>44156</v>
      </c>
      <c r="B9425" t="n">
        <v>7.753</v>
      </c>
      <c r="C9425" t="n">
        <v>1.18325</v>
      </c>
    </row>
    <row r="9426">
      <c r="A9426" s="926" t="n">
        <v>44158</v>
      </c>
      <c r="B9426" t="n">
        <v>7.753</v>
      </c>
      <c r="C9426" t="n">
        <v>1.1822</v>
      </c>
    </row>
    <row r="9427">
      <c r="A9427" s="926" t="n">
        <v>44159</v>
      </c>
      <c r="B9427" t="n">
        <v>7.753</v>
      </c>
      <c r="C9427" t="n">
        <v>1.1782</v>
      </c>
    </row>
    <row r="9428">
      <c r="A9428" s="926" t="n">
        <v>44160</v>
      </c>
      <c r="B9428" t="n">
        <v>7.752</v>
      </c>
      <c r="C9428" t="n">
        <v>1.17845</v>
      </c>
    </row>
    <row r="9429">
      <c r="A9429" s="926" t="n">
        <v>44161</v>
      </c>
      <c r="B9429" t="n">
        <v>7.752</v>
      </c>
      <c r="C9429" t="n">
        <v>1.1812</v>
      </c>
    </row>
    <row r="9430">
      <c r="A9430" s="926" t="n">
        <v>44162</v>
      </c>
      <c r="B9430" t="n">
        <v>7.752</v>
      </c>
      <c r="C9430" t="n">
        <v>1.1788</v>
      </c>
    </row>
    <row r="9431">
      <c r="A9431" s="926" t="n">
        <v>44163</v>
      </c>
      <c r="B9431" t="n">
        <v>7.752</v>
      </c>
      <c r="C9431" t="n">
        <v>1.1787</v>
      </c>
    </row>
    <row r="9432">
      <c r="A9432" s="926" t="n">
        <v>44165</v>
      </c>
      <c r="B9432" t="n">
        <v>7.752</v>
      </c>
      <c r="C9432" t="n">
        <v>1.177</v>
      </c>
    </row>
    <row r="9433">
      <c r="A9433" s="926" t="n">
        <v>44166</v>
      </c>
      <c r="B9433" t="n">
        <v>7.753</v>
      </c>
      <c r="C9433" t="n">
        <v>1.18225</v>
      </c>
    </row>
    <row r="9434">
      <c r="A9434" s="926" t="n">
        <v>44167</v>
      </c>
      <c r="B9434" t="n">
        <v>7.754</v>
      </c>
      <c r="C9434" t="n">
        <v>1.1836</v>
      </c>
    </row>
    <row r="9435">
      <c r="A9435" s="926" t="n">
        <v>44168</v>
      </c>
      <c r="B9435" t="n">
        <v>7.753</v>
      </c>
      <c r="C9435" t="n">
        <v>1.1846</v>
      </c>
    </row>
    <row r="9436">
      <c r="A9436" s="926" t="n">
        <v>44169</v>
      </c>
      <c r="B9436" t="n">
        <v>7.752</v>
      </c>
      <c r="C9436" t="n">
        <v>1.18865</v>
      </c>
    </row>
    <row r="9437">
      <c r="A9437" s="926" t="n">
        <v>44170</v>
      </c>
      <c r="B9437" t="n">
        <v>7.752</v>
      </c>
      <c r="C9437" t="n">
        <v>1.18945</v>
      </c>
    </row>
    <row r="9438">
      <c r="A9438" s="926" t="n">
        <v>44172</v>
      </c>
      <c r="B9438" t="n">
        <v>7.752</v>
      </c>
      <c r="C9438" t="n">
        <v>1.1881</v>
      </c>
    </row>
    <row r="9439">
      <c r="A9439" s="926" t="n">
        <v>44173</v>
      </c>
      <c r="B9439" t="n">
        <v>7.752</v>
      </c>
      <c r="C9439" t="n">
        <v>1.1886</v>
      </c>
    </row>
    <row r="9440">
      <c r="A9440" s="926" t="n">
        <v>44174</v>
      </c>
      <c r="B9440" t="n">
        <v>7.753</v>
      </c>
      <c r="C9440" t="n">
        <v>1.19175</v>
      </c>
    </row>
    <row r="9441">
      <c r="A9441" s="926" t="n">
        <v>44175</v>
      </c>
      <c r="B9441" t="n">
        <v>7.753</v>
      </c>
      <c r="C9441" t="n">
        <v>1.1858</v>
      </c>
    </row>
    <row r="9442">
      <c r="A9442" s="926" t="n">
        <v>44176</v>
      </c>
      <c r="B9442" t="n">
        <v>7.753</v>
      </c>
      <c r="C9442" t="n">
        <v>1.18815</v>
      </c>
    </row>
    <row r="9443">
      <c r="A9443" s="926" t="n">
        <v>44177</v>
      </c>
      <c r="B9443" t="n">
        <v>7.752</v>
      </c>
      <c r="C9443" t="n">
        <v>1.18555</v>
      </c>
    </row>
    <row r="9444">
      <c r="A9444" s="926" t="n">
        <v>44179</v>
      </c>
      <c r="B9444" t="n">
        <v>7.753</v>
      </c>
      <c r="C9444" t="n">
        <v>1.1884</v>
      </c>
    </row>
    <row r="9445">
      <c r="A9445" s="926" t="n">
        <v>44180</v>
      </c>
      <c r="B9445" t="n">
        <v>7.753</v>
      </c>
      <c r="C9445" t="n">
        <v>1.1854</v>
      </c>
    </row>
    <row r="9446">
      <c r="A9446" s="926" t="n">
        <v>44181</v>
      </c>
      <c r="B9446" t="n">
        <v>7.754</v>
      </c>
      <c r="C9446" t="n">
        <v>1.1897</v>
      </c>
    </row>
    <row r="9447">
      <c r="A9447" s="926" t="n">
        <v>44182</v>
      </c>
      <c r="B9447" t="n">
        <v>7.753</v>
      </c>
      <c r="C9447" t="n">
        <v>1.19135</v>
      </c>
    </row>
    <row r="9448">
      <c r="A9448" s="926" t="n">
        <v>44183</v>
      </c>
      <c r="B9448" t="n">
        <v>7.754</v>
      </c>
      <c r="C9448" t="n">
        <v>1.1881</v>
      </c>
    </row>
    <row r="9449">
      <c r="A9449" s="926" t="n">
        <v>44184</v>
      </c>
      <c r="B9449" t="n">
        <v>7.753</v>
      </c>
      <c r="C9449" t="n">
        <v>1.18935</v>
      </c>
    </row>
    <row r="9450">
      <c r="A9450" s="926" t="n">
        <v>44186</v>
      </c>
      <c r="B9450" t="n">
        <v>7.755</v>
      </c>
      <c r="C9450" t="n">
        <v>1.18695</v>
      </c>
    </row>
    <row r="9451">
      <c r="A9451" s="926" t="n">
        <v>44187</v>
      </c>
      <c r="B9451" t="n">
        <v>7.754</v>
      </c>
      <c r="C9451" t="n">
        <v>1.1852</v>
      </c>
    </row>
    <row r="9452">
      <c r="A9452" s="926" t="n">
        <v>44188</v>
      </c>
      <c r="B9452" t="n">
        <v>7.753</v>
      </c>
      <c r="C9452" t="n">
        <v>1.1872</v>
      </c>
    </row>
    <row r="9453">
      <c r="A9453" s="926" t="n">
        <v>44189</v>
      </c>
      <c r="B9453" t="n">
        <v>7.754</v>
      </c>
      <c r="C9453" t="n">
        <v>1.18965</v>
      </c>
    </row>
    <row r="9454">
      <c r="A9454" s="926" t="n">
        <v>44193</v>
      </c>
      <c r="B9454" t="n">
        <v>7.753</v>
      </c>
      <c r="C9454" t="n">
        <v>1.1887</v>
      </c>
    </row>
    <row r="9455">
      <c r="A9455" s="926" t="n">
        <v>44194</v>
      </c>
      <c r="B9455" t="n">
        <v>7.755</v>
      </c>
      <c r="C9455" t="n">
        <v>1.1894</v>
      </c>
    </row>
    <row r="9456">
      <c r="A9456" s="926" t="n">
        <v>44195</v>
      </c>
      <c r="B9456" t="n">
        <v>7.754</v>
      </c>
      <c r="C9456" t="n">
        <v>1.19165</v>
      </c>
    </row>
    <row r="9457">
      <c r="A9457" s="926" t="n">
        <v>44196</v>
      </c>
      <c r="B9457" t="n">
        <v>7.753</v>
      </c>
      <c r="C9457" t="n">
        <v>1.1919</v>
      </c>
    </row>
    <row r="9458">
      <c r="A9458" s="926" t="n">
        <v>44198</v>
      </c>
      <c r="B9458" t="n">
        <v>7.753</v>
      </c>
      <c r="C9458" t="n">
        <v>1.1921</v>
      </c>
    </row>
    <row r="9459">
      <c r="A9459" s="926" t="n">
        <v>44200</v>
      </c>
      <c r="B9459" t="n">
        <v>7.754</v>
      </c>
      <c r="C9459" t="n">
        <v>1.20305</v>
      </c>
    </row>
    <row r="9460">
      <c r="A9460" s="926" t="n">
        <v>44201</v>
      </c>
      <c r="B9460" t="n">
        <v>7.754</v>
      </c>
      <c r="C9460" t="n">
        <v>1.20415</v>
      </c>
    </row>
    <row r="9461">
      <c r="A9461" s="926" t="n">
        <v>44202</v>
      </c>
      <c r="B9461" t="n">
        <v>7.754</v>
      </c>
      <c r="C9461" t="n">
        <v>1.20495</v>
      </c>
    </row>
    <row r="9462">
      <c r="A9462" s="926" t="n">
        <v>44203</v>
      </c>
      <c r="B9462" t="n">
        <v>7.754</v>
      </c>
      <c r="C9462" t="n">
        <v>1.2041</v>
      </c>
    </row>
    <row r="9463">
      <c r="A9463" s="926" t="n">
        <v>44204</v>
      </c>
      <c r="B9463" t="n">
        <v>7.754</v>
      </c>
      <c r="C9463" t="n">
        <v>1.20075</v>
      </c>
    </row>
    <row r="9464">
      <c r="A9464" s="926" t="n">
        <v>44205</v>
      </c>
      <c r="B9464" t="n">
        <v>7.756</v>
      </c>
      <c r="C9464" t="n">
        <v>1.1999</v>
      </c>
    </row>
    <row r="9465">
      <c r="A9465" s="926" t="n">
        <v>44207</v>
      </c>
      <c r="B9465" t="n">
        <v>7.756</v>
      </c>
      <c r="C9465" t="n">
        <v>1.1979</v>
      </c>
    </row>
    <row r="9466">
      <c r="A9466" s="926" t="n">
        <v>44208</v>
      </c>
      <c r="B9466" t="n">
        <v>7.755</v>
      </c>
      <c r="C9466" t="n">
        <v>1.20075</v>
      </c>
    </row>
    <row r="9467">
      <c r="A9467" s="926" t="n">
        <v>44209</v>
      </c>
      <c r="B9467" t="n">
        <v>7.755</v>
      </c>
      <c r="C9467" t="n">
        <v>1.20305</v>
      </c>
    </row>
    <row r="9468">
      <c r="A9468" s="926" t="n">
        <v>44210</v>
      </c>
      <c r="B9468" t="n">
        <v>7.754</v>
      </c>
      <c r="C9468" t="n">
        <v>1.19945</v>
      </c>
    </row>
    <row r="9469">
      <c r="A9469" s="926" t="n">
        <v>44211</v>
      </c>
      <c r="B9469" t="n">
        <v>7.754</v>
      </c>
      <c r="C9469" t="n">
        <v>1.19865</v>
      </c>
    </row>
    <row r="9470">
      <c r="A9470" s="926" t="n">
        <v>44212</v>
      </c>
      <c r="B9470" t="n">
        <v>7.755</v>
      </c>
      <c r="C9470" t="n">
        <v>1.1958</v>
      </c>
    </row>
    <row r="9471">
      <c r="A9471" s="926" t="n">
        <v>44214</v>
      </c>
      <c r="B9471" t="n">
        <v>7.754</v>
      </c>
      <c r="C9471" t="n">
        <v>1.1947</v>
      </c>
    </row>
    <row r="9472">
      <c r="A9472" s="926" t="n">
        <v>44215</v>
      </c>
      <c r="B9472" t="n">
        <v>7.753</v>
      </c>
      <c r="C9472" t="n">
        <v>1.194</v>
      </c>
    </row>
    <row r="9473">
      <c r="A9473" s="926" t="n">
        <v>44216</v>
      </c>
      <c r="B9473" t="n">
        <v>7.753</v>
      </c>
      <c r="C9473" t="n">
        <v>1.19955</v>
      </c>
    </row>
    <row r="9474">
      <c r="A9474" s="926" t="n">
        <v>44217</v>
      </c>
      <c r="B9474" t="n">
        <v>7.753</v>
      </c>
      <c r="C9474" t="n">
        <v>1.20025</v>
      </c>
    </row>
    <row r="9475">
      <c r="A9475" s="926" t="n">
        <v>44218</v>
      </c>
      <c r="B9475" t="n">
        <v>7.753</v>
      </c>
      <c r="C9475" t="n">
        <v>1.19695</v>
      </c>
    </row>
    <row r="9476">
      <c r="A9476" s="926" t="n">
        <v>44219</v>
      </c>
      <c r="B9476" t="n">
        <v>7.753</v>
      </c>
      <c r="C9476" t="n">
        <v>1.19365</v>
      </c>
    </row>
    <row r="9477">
      <c r="A9477" s="926" t="n">
        <v>44221</v>
      </c>
      <c r="B9477" t="n">
        <v>7.753</v>
      </c>
      <c r="C9477" t="n">
        <v>1.19535</v>
      </c>
    </row>
    <row r="9478">
      <c r="A9478" s="926" t="n">
        <v>44222</v>
      </c>
      <c r="B9478" t="n">
        <v>7.752</v>
      </c>
      <c r="C9478" t="n">
        <v>1.1956</v>
      </c>
    </row>
    <row r="9479">
      <c r="A9479" s="926" t="n">
        <v>44223</v>
      </c>
      <c r="B9479" t="n">
        <v>7.753</v>
      </c>
      <c r="C9479" t="n">
        <v>1.19785</v>
      </c>
    </row>
    <row r="9480">
      <c r="A9480" s="926" t="n">
        <v>44224</v>
      </c>
      <c r="B9480" t="n">
        <v>7.754</v>
      </c>
      <c r="C9480" t="n">
        <v>1.1937</v>
      </c>
    </row>
    <row r="9481">
      <c r="A9481" s="926" t="n">
        <v>44225</v>
      </c>
      <c r="B9481" t="n">
        <v>7.754</v>
      </c>
      <c r="C9481" t="n">
        <v>1.19825</v>
      </c>
    </row>
    <row r="9482">
      <c r="A9482" s="926" t="n">
        <v>44226</v>
      </c>
      <c r="B9482" t="n">
        <v>7.753</v>
      </c>
      <c r="C9482" t="n">
        <v>1.20225</v>
      </c>
    </row>
    <row r="9483">
      <c r="A9483" s="926" t="n">
        <v>44228</v>
      </c>
      <c r="B9483" t="n">
        <v>7.754</v>
      </c>
      <c r="C9483" t="n">
        <v>1.20015</v>
      </c>
    </row>
    <row r="9484">
      <c r="A9484" s="926" t="n">
        <v>44229</v>
      </c>
      <c r="B9484" t="n">
        <v>7.754</v>
      </c>
      <c r="C9484" t="n">
        <v>1.19885</v>
      </c>
    </row>
    <row r="9485">
      <c r="A9485" s="926" t="n">
        <v>44230</v>
      </c>
      <c r="B9485" t="n">
        <v>7.752</v>
      </c>
      <c r="C9485" t="n">
        <v>1.19955</v>
      </c>
    </row>
    <row r="9486">
      <c r="A9486" s="926" t="n">
        <v>44231</v>
      </c>
      <c r="B9486" t="n">
        <v>7.753</v>
      </c>
      <c r="C9486" t="n">
        <v>1.19935</v>
      </c>
    </row>
    <row r="9487">
      <c r="A9487" s="926" t="n">
        <v>44232</v>
      </c>
      <c r="B9487" t="n">
        <v>7.754</v>
      </c>
      <c r="C9487" t="n">
        <v>1.19665</v>
      </c>
    </row>
    <row r="9488">
      <c r="A9488" s="926" t="n">
        <v>44233</v>
      </c>
      <c r="B9488" t="n">
        <v>7.753</v>
      </c>
      <c r="C9488" t="n">
        <v>1.20055</v>
      </c>
    </row>
    <row r="9489">
      <c r="A9489" s="926" t="n">
        <v>44235</v>
      </c>
      <c r="B9489" t="n">
        <v>7.754</v>
      </c>
      <c r="C9489" t="n">
        <v>1.20205</v>
      </c>
    </row>
    <row r="9490">
      <c r="A9490" s="926" t="n">
        <v>44236</v>
      </c>
      <c r="B9490" t="n">
        <v>7.753</v>
      </c>
      <c r="C9490" t="n">
        <v>1.2041</v>
      </c>
    </row>
    <row r="9491">
      <c r="A9491" s="926" t="n">
        <v>44237</v>
      </c>
      <c r="B9491" t="n">
        <v>7.754</v>
      </c>
      <c r="C9491" t="n">
        <v>1.20665</v>
      </c>
    </row>
    <row r="9492">
      <c r="A9492" s="926" t="n">
        <v>44238</v>
      </c>
      <c r="B9492" t="n">
        <v>7.754</v>
      </c>
      <c r="C9492" t="n">
        <v>1.20805</v>
      </c>
    </row>
    <row r="9493">
      <c r="A9493" s="926" t="n">
        <v>44243</v>
      </c>
      <c r="B9493" t="n">
        <v>7.753</v>
      </c>
      <c r="C9493" t="n">
        <v>1.20935</v>
      </c>
    </row>
    <row r="9494">
      <c r="A9494" s="926" t="n">
        <v>44244</v>
      </c>
      <c r="B9494" t="n">
        <v>7.754</v>
      </c>
      <c r="C9494" t="n">
        <v>1.20315</v>
      </c>
    </row>
    <row r="9495">
      <c r="A9495" s="926" t="n">
        <v>44245</v>
      </c>
      <c r="B9495" t="n">
        <v>7.754</v>
      </c>
      <c r="C9495" t="n">
        <v>1.20255</v>
      </c>
    </row>
    <row r="9496">
      <c r="A9496" s="926" t="n">
        <v>44246</v>
      </c>
      <c r="B9496" t="n">
        <v>7.754</v>
      </c>
      <c r="C9496" t="n">
        <v>1.20125</v>
      </c>
    </row>
    <row r="9497">
      <c r="A9497" s="926" t="n">
        <v>44247</v>
      </c>
      <c r="B9497" t="n">
        <v>7.755</v>
      </c>
      <c r="C9497" t="n">
        <v>1.2006</v>
      </c>
    </row>
    <row r="9498">
      <c r="A9498" s="926" t="n">
        <v>44249</v>
      </c>
      <c r="B9498" t="n">
        <v>7.754</v>
      </c>
      <c r="C9498" t="n">
        <v>1.20015</v>
      </c>
    </row>
    <row r="9499">
      <c r="A9499" s="926" t="n">
        <v>44250</v>
      </c>
      <c r="B9499" t="n">
        <v>7.754</v>
      </c>
      <c r="C9499" t="n">
        <v>1.20005</v>
      </c>
    </row>
    <row r="9500">
      <c r="A9500" s="926" t="n">
        <v>44251</v>
      </c>
      <c r="B9500" t="n">
        <v>7.756</v>
      </c>
      <c r="C9500" t="n">
        <v>1.20065</v>
      </c>
    </row>
    <row r="9501">
      <c r="A9501" s="926" t="n">
        <v>44252</v>
      </c>
      <c r="B9501" t="n">
        <v>7.755</v>
      </c>
      <c r="C9501" t="n">
        <v>1.20265</v>
      </c>
    </row>
    <row r="9502">
      <c r="A9502" s="926" t="n">
        <v>44253</v>
      </c>
      <c r="B9502" t="n">
        <v>7.757</v>
      </c>
      <c r="C9502" t="n">
        <v>1.19775</v>
      </c>
    </row>
    <row r="9503">
      <c r="A9503" s="926" t="n">
        <v>44254</v>
      </c>
      <c r="B9503" t="n">
        <v>7.757</v>
      </c>
      <c r="C9503" t="n">
        <v>1.1963</v>
      </c>
    </row>
    <row r="9504">
      <c r="A9504" s="926" t="n">
        <v>44256</v>
      </c>
      <c r="B9504" t="n">
        <v>7.758</v>
      </c>
      <c r="C9504" t="n">
        <v>1.19935</v>
      </c>
    </row>
    <row r="9505">
      <c r="A9505" s="926" t="n">
        <v>44257</v>
      </c>
      <c r="B9505" t="n">
        <v>7.759</v>
      </c>
      <c r="C9505" t="n">
        <v>1.19765</v>
      </c>
    </row>
    <row r="9506">
      <c r="A9506" s="926" t="n">
        <v>44258</v>
      </c>
      <c r="B9506" t="n">
        <v>7.758</v>
      </c>
      <c r="C9506" t="n">
        <v>1.19945</v>
      </c>
    </row>
    <row r="9507">
      <c r="A9507" s="926" t="n">
        <v>44259</v>
      </c>
      <c r="B9507" t="n">
        <v>7.759</v>
      </c>
      <c r="C9507" t="n">
        <v>1.1991</v>
      </c>
    </row>
    <row r="9508">
      <c r="A9508" s="926" t="n">
        <v>44260</v>
      </c>
      <c r="B9508" t="n">
        <v>7.762</v>
      </c>
      <c r="C9508" t="n">
        <v>1.1971</v>
      </c>
    </row>
    <row r="9509">
      <c r="A9509" s="926" t="n">
        <v>44261</v>
      </c>
      <c r="B9509" t="n">
        <v>7.763</v>
      </c>
      <c r="C9509" t="n">
        <v>1.1914</v>
      </c>
    </row>
    <row r="9510">
      <c r="A9510" s="926" t="n">
        <v>44263</v>
      </c>
      <c r="B9510" t="n">
        <v>7.768</v>
      </c>
      <c r="C9510" t="n">
        <v>1.19025</v>
      </c>
    </row>
    <row r="9511">
      <c r="A9511" s="926" t="n">
        <v>44264</v>
      </c>
      <c r="B9511" t="n">
        <v>7.769</v>
      </c>
      <c r="C9511" t="n">
        <v>1.1875</v>
      </c>
    </row>
    <row r="9512">
      <c r="A9512" s="926" t="n">
        <v>44265</v>
      </c>
      <c r="B9512" t="n">
        <v>7.765</v>
      </c>
      <c r="C9512" t="n">
        <v>1.1917</v>
      </c>
    </row>
    <row r="9513">
      <c r="A9513" s="926" t="n">
        <v>44266</v>
      </c>
      <c r="B9513" t="n">
        <v>7.761</v>
      </c>
      <c r="C9513" t="n">
        <v>1.1939</v>
      </c>
    </row>
    <row r="9514">
      <c r="A9514" s="926" t="n">
        <v>44267</v>
      </c>
      <c r="B9514" t="n">
        <v>7.762</v>
      </c>
      <c r="C9514" t="n">
        <v>1.1953</v>
      </c>
    </row>
    <row r="9515">
      <c r="A9515" s="926" t="n">
        <v>44268</v>
      </c>
      <c r="B9515" t="n">
        <v>7.763</v>
      </c>
      <c r="C9515" t="n">
        <v>1.19435</v>
      </c>
    </row>
    <row r="9516">
      <c r="A9516" s="926" t="n">
        <v>44270</v>
      </c>
      <c r="B9516" t="n">
        <v>7.765</v>
      </c>
      <c r="C9516" t="n">
        <v>1.1929</v>
      </c>
    </row>
    <row r="9517">
      <c r="A9517" s="926" t="n">
        <v>44271</v>
      </c>
      <c r="B9517" t="n">
        <v>7.766</v>
      </c>
      <c r="C9517" t="n">
        <v>1.19515</v>
      </c>
    </row>
    <row r="9518">
      <c r="A9518" s="926" t="n">
        <v>44272</v>
      </c>
      <c r="B9518" t="n">
        <v>7.767</v>
      </c>
      <c r="C9518" t="n">
        <v>1.19465</v>
      </c>
    </row>
    <row r="9519">
      <c r="A9519" s="926" t="n">
        <v>44273</v>
      </c>
      <c r="B9519" t="n">
        <v>7.766</v>
      </c>
      <c r="C9519" t="n">
        <v>1.1965</v>
      </c>
    </row>
    <row r="9520">
      <c r="A9520" s="926" t="n">
        <v>44274</v>
      </c>
      <c r="B9520" t="n">
        <v>7.768</v>
      </c>
      <c r="C9520" t="n">
        <v>1.1936</v>
      </c>
    </row>
    <row r="9521">
      <c r="A9521" s="926" t="n">
        <v>44275</v>
      </c>
      <c r="B9521" t="n">
        <v>7.765</v>
      </c>
      <c r="C9521" t="n">
        <v>1.1932</v>
      </c>
    </row>
    <row r="9522">
      <c r="A9522" s="926" t="n">
        <v>44277</v>
      </c>
      <c r="B9522" t="n">
        <v>7.767</v>
      </c>
      <c r="C9522" t="n">
        <v>1.1928</v>
      </c>
    </row>
    <row r="9523">
      <c r="A9523" s="926" t="n">
        <v>44278</v>
      </c>
      <c r="B9523" t="n">
        <v>7.768</v>
      </c>
      <c r="C9523" t="n">
        <v>1.19355</v>
      </c>
    </row>
    <row r="9524">
      <c r="A9524" s="926" t="n">
        <v>44279</v>
      </c>
      <c r="B9524" t="n">
        <v>7.771</v>
      </c>
      <c r="C9524" t="n">
        <v>1.1912</v>
      </c>
    </row>
    <row r="9525">
      <c r="A9525" s="926" t="n">
        <v>44280</v>
      </c>
      <c r="B9525" t="n">
        <v>7.77</v>
      </c>
      <c r="C9525" t="n">
        <v>1.1893</v>
      </c>
    </row>
    <row r="9526">
      <c r="A9526" s="926" t="n">
        <v>44281</v>
      </c>
      <c r="B9526" t="n">
        <v>7.77</v>
      </c>
      <c r="C9526" t="n">
        <v>1.1877</v>
      </c>
    </row>
    <row r="9527">
      <c r="A9527" s="926" t="n">
        <v>44282</v>
      </c>
      <c r="B9527" t="n">
        <v>7.769</v>
      </c>
      <c r="C9527" t="n">
        <v>1.18845</v>
      </c>
    </row>
    <row r="9528">
      <c r="A9528" s="926" t="n">
        <v>44284</v>
      </c>
      <c r="B9528" t="n">
        <v>7.774</v>
      </c>
      <c r="C9528" t="n">
        <v>1.18545</v>
      </c>
    </row>
    <row r="9529">
      <c r="A9529" s="926" t="n">
        <v>44285</v>
      </c>
      <c r="B9529" t="n">
        <v>7.776</v>
      </c>
      <c r="C9529" t="n">
        <v>1.18305</v>
      </c>
    </row>
    <row r="9530">
      <c r="A9530" s="926" t="n">
        <v>44286</v>
      </c>
      <c r="B9530" t="n">
        <v>7.775</v>
      </c>
      <c r="C9530" t="n">
        <v>1.18425</v>
      </c>
    </row>
    <row r="9531">
      <c r="A9531" s="926" t="n">
        <v>44287</v>
      </c>
      <c r="B9531" t="n">
        <v>7.775</v>
      </c>
      <c r="C9531" t="n">
        <v>1.1818</v>
      </c>
    </row>
    <row r="9532">
      <c r="A9532" s="926" t="n">
        <v>44293</v>
      </c>
      <c r="B9532" t="n">
        <v>7.783</v>
      </c>
      <c r="C9532" t="n">
        <v>1.1893</v>
      </c>
    </row>
    <row r="9533">
      <c r="A9533" s="926" t="n">
        <v>44294</v>
      </c>
      <c r="B9533" t="n">
        <v>7.785</v>
      </c>
      <c r="C9533" t="n">
        <v>1.18805</v>
      </c>
    </row>
    <row r="9534">
      <c r="A9534" s="926" t="n">
        <v>44295</v>
      </c>
      <c r="B9534" t="n">
        <v>7.78</v>
      </c>
      <c r="C9534" t="n">
        <v>1.18525</v>
      </c>
    </row>
    <row r="9535">
      <c r="A9535" s="926" t="n">
        <v>44296</v>
      </c>
      <c r="B9535" t="n">
        <v>7.778</v>
      </c>
      <c r="C9535" t="n">
        <v>1.18605</v>
      </c>
    </row>
    <row r="9536">
      <c r="A9536" s="926" t="n">
        <v>44298</v>
      </c>
      <c r="B9536" t="n">
        <v>7.778</v>
      </c>
      <c r="C9536" t="n">
        <v>1.18645</v>
      </c>
    </row>
    <row r="9537">
      <c r="A9537" s="926" t="n">
        <v>44299</v>
      </c>
      <c r="B9537" t="n">
        <v>7.775</v>
      </c>
      <c r="C9537" t="n">
        <v>1.18625</v>
      </c>
    </row>
    <row r="9538">
      <c r="A9538" s="926" t="n">
        <v>44300</v>
      </c>
      <c r="B9538" t="n">
        <v>7.769</v>
      </c>
      <c r="C9538" t="n">
        <v>1.1882</v>
      </c>
    </row>
    <row r="9539">
      <c r="A9539" s="926" t="n">
        <v>44301</v>
      </c>
      <c r="B9539" t="n">
        <v>7.768</v>
      </c>
      <c r="C9539" t="n">
        <v>1.1886</v>
      </c>
    </row>
    <row r="9540">
      <c r="A9540" s="926" t="n">
        <v>44302</v>
      </c>
      <c r="B9540" t="n">
        <v>7.769</v>
      </c>
      <c r="C9540" t="n">
        <v>1.19045</v>
      </c>
    </row>
    <row r="9541">
      <c r="A9541" s="926" t="n">
        <v>44303</v>
      </c>
      <c r="B9541" t="n">
        <v>7.771</v>
      </c>
      <c r="C9541" t="n">
        <v>1.19045</v>
      </c>
    </row>
    <row r="9542">
      <c r="A9542" s="926" t="n">
        <v>44305</v>
      </c>
      <c r="B9542" t="n">
        <v>7.772</v>
      </c>
      <c r="C9542" t="n">
        <v>1.19245</v>
      </c>
    </row>
    <row r="9543">
      <c r="A9543" s="926" t="n">
        <v>44306</v>
      </c>
      <c r="B9543" t="n">
        <v>7.767</v>
      </c>
      <c r="C9543" t="n">
        <v>1.1965</v>
      </c>
    </row>
    <row r="9544">
      <c r="A9544" s="926" t="n">
        <v>44307</v>
      </c>
      <c r="B9544" t="n">
        <v>7.763</v>
      </c>
      <c r="C9544" t="n">
        <v>1.1955</v>
      </c>
    </row>
    <row r="9545">
      <c r="A9545" s="926" t="n">
        <v>44308</v>
      </c>
      <c r="B9545" t="n">
        <v>7.762</v>
      </c>
      <c r="C9545" t="n">
        <v>1.1978</v>
      </c>
    </row>
    <row r="9546">
      <c r="A9546" s="926" t="n">
        <v>44309</v>
      </c>
      <c r="B9546" t="n">
        <v>7.763</v>
      </c>
      <c r="C9546" t="n">
        <v>1.1959</v>
      </c>
    </row>
    <row r="9547">
      <c r="A9547" s="926" t="n">
        <v>44310</v>
      </c>
      <c r="B9547" t="n">
        <v>7.761</v>
      </c>
      <c r="C9547" t="n">
        <v>1.1959</v>
      </c>
    </row>
    <row r="9548">
      <c r="A9548" s="926" t="n">
        <v>44312</v>
      </c>
      <c r="B9548" t="n">
        <v>7.762</v>
      </c>
      <c r="C9548" t="n">
        <v>1.1967</v>
      </c>
    </row>
    <row r="9549">
      <c r="A9549" s="926" t="n">
        <v>44313</v>
      </c>
      <c r="B9549" t="n">
        <v>7.763</v>
      </c>
      <c r="C9549" t="n">
        <v>1.19825</v>
      </c>
    </row>
    <row r="9550">
      <c r="A9550" s="926" t="n">
        <v>44314</v>
      </c>
      <c r="B9550" t="n">
        <v>7.763</v>
      </c>
      <c r="C9550" t="n">
        <v>1.19805</v>
      </c>
    </row>
    <row r="9551">
      <c r="A9551" s="926" t="n">
        <v>44315</v>
      </c>
      <c r="B9551" t="n">
        <v>7.764</v>
      </c>
      <c r="C9551" t="n">
        <v>1.20065</v>
      </c>
    </row>
    <row r="9552">
      <c r="A9552" s="926" t="n">
        <v>44316</v>
      </c>
      <c r="B9552" t="n">
        <v>7.766</v>
      </c>
      <c r="C9552" t="n">
        <v>1.2011</v>
      </c>
    </row>
    <row r="9553">
      <c r="A9553" s="926" t="n">
        <v>44319</v>
      </c>
      <c r="B9553" t="n">
        <v>7.768</v>
      </c>
      <c r="C9553" t="n">
        <v>1.19895</v>
      </c>
    </row>
    <row r="9554">
      <c r="A9554" s="926" t="n">
        <v>44320</v>
      </c>
      <c r="B9554" t="n">
        <v>7.768</v>
      </c>
      <c r="C9554" t="n">
        <v>1.19945</v>
      </c>
    </row>
    <row r="9555">
      <c r="A9555" s="926" t="n">
        <v>44321</v>
      </c>
      <c r="B9555" t="n">
        <v>7.77</v>
      </c>
      <c r="C9555" t="n">
        <v>1.1975</v>
      </c>
    </row>
    <row r="9556">
      <c r="A9556" s="926" t="n">
        <v>44322</v>
      </c>
      <c r="B9556" t="n">
        <v>7.77</v>
      </c>
      <c r="C9556" t="n">
        <v>1.1996</v>
      </c>
    </row>
    <row r="9557">
      <c r="A9557" s="926" t="n">
        <v>44323</v>
      </c>
      <c r="B9557" t="n">
        <v>7.768</v>
      </c>
      <c r="C9557" t="n">
        <v>1.20295</v>
      </c>
    </row>
    <row r="9558">
      <c r="A9558" s="926" t="n">
        <v>44324</v>
      </c>
      <c r="B9558" t="n">
        <v>7.766</v>
      </c>
      <c r="C9558" t="n">
        <v>1.21</v>
      </c>
    </row>
    <row r="9559">
      <c r="A9559" s="926" t="n">
        <v>44326</v>
      </c>
      <c r="B9559" t="n">
        <v>7.768</v>
      </c>
      <c r="C9559" t="n">
        <v>1.2098</v>
      </c>
    </row>
    <row r="9560">
      <c r="A9560" s="926" t="n">
        <v>44327</v>
      </c>
      <c r="B9560" t="n">
        <v>7.768</v>
      </c>
      <c r="C9560" t="n">
        <v>1.20855</v>
      </c>
    </row>
    <row r="9561">
      <c r="A9561" s="926" t="n">
        <v>44328</v>
      </c>
      <c r="B9561" t="n">
        <v>7.768</v>
      </c>
      <c r="C9561" t="n">
        <v>1.20695</v>
      </c>
    </row>
    <row r="9562">
      <c r="A9562" s="926" t="n">
        <v>44329</v>
      </c>
      <c r="B9562" t="n">
        <v>7.768</v>
      </c>
      <c r="C9562" t="n">
        <v>1.20435</v>
      </c>
    </row>
    <row r="9563">
      <c r="A9563" s="926" t="n">
        <v>44330</v>
      </c>
      <c r="B9563" t="n">
        <v>7.768</v>
      </c>
      <c r="C9563" t="n">
        <v>1.20735</v>
      </c>
    </row>
    <row r="9564">
      <c r="A9564" s="926" t="n">
        <v>44331</v>
      </c>
      <c r="B9564" t="n">
        <v>7.768</v>
      </c>
      <c r="C9564" t="n">
        <v>1.20625</v>
      </c>
    </row>
    <row r="9565">
      <c r="A9565" s="926" t="n">
        <v>44333</v>
      </c>
      <c r="B9565" t="n">
        <v>7.768</v>
      </c>
      <c r="C9565" t="n">
        <v>1.2063</v>
      </c>
    </row>
    <row r="9566">
      <c r="A9566" s="926" t="n">
        <v>44334</v>
      </c>
      <c r="B9566" t="n">
        <v>7.766</v>
      </c>
      <c r="C9566" t="n">
        <v>1.2089</v>
      </c>
    </row>
    <row r="9567">
      <c r="A9567" s="926" t="n">
        <v>44336</v>
      </c>
      <c r="B9567" t="n">
        <v>7.765</v>
      </c>
      <c r="C9567" t="n">
        <v>1.20595</v>
      </c>
    </row>
    <row r="9568">
      <c r="A9568" s="926" t="n">
        <v>44337</v>
      </c>
      <c r="B9568" t="n">
        <v>7.765</v>
      </c>
      <c r="C9568" t="n">
        <v>1.20705</v>
      </c>
    </row>
    <row r="9569">
      <c r="A9569" s="926" t="n">
        <v>44338</v>
      </c>
      <c r="B9569" t="n">
        <v>7.764</v>
      </c>
      <c r="C9569" t="n">
        <v>1.20585</v>
      </c>
    </row>
    <row r="9570">
      <c r="A9570" s="926" t="n">
        <v>44340</v>
      </c>
      <c r="B9570" t="n">
        <v>7.767</v>
      </c>
      <c r="C9570" t="n">
        <v>1.2078</v>
      </c>
    </row>
    <row r="9571">
      <c r="A9571" s="926" t="n">
        <v>44341</v>
      </c>
      <c r="B9571" t="n">
        <v>7.763</v>
      </c>
      <c r="C9571" t="n">
        <v>1.2138</v>
      </c>
    </row>
    <row r="9572">
      <c r="A9572" s="926" t="n">
        <v>44342</v>
      </c>
      <c r="B9572" t="n">
        <v>7.763</v>
      </c>
      <c r="C9572" t="n">
        <v>1.2154</v>
      </c>
    </row>
    <row r="9573">
      <c r="A9573" s="926" t="n">
        <v>44343</v>
      </c>
      <c r="B9573" t="n">
        <v>7.762</v>
      </c>
      <c r="C9573" t="n">
        <v>1.2184</v>
      </c>
    </row>
    <row r="9574">
      <c r="A9574" s="926" t="n">
        <v>44344</v>
      </c>
      <c r="B9574" t="n">
        <v>7.761</v>
      </c>
      <c r="C9574" t="n">
        <v>1.2188</v>
      </c>
    </row>
    <row r="9575">
      <c r="A9575" s="926" t="n">
        <v>44345</v>
      </c>
      <c r="B9575" t="n">
        <v>7.762</v>
      </c>
      <c r="C9575" t="n">
        <v>1.21945</v>
      </c>
    </row>
    <row r="9576">
      <c r="A9576" s="926" t="n">
        <v>44347</v>
      </c>
      <c r="B9576" t="n">
        <v>7.762</v>
      </c>
      <c r="C9576" t="n">
        <v>1.21985</v>
      </c>
    </row>
    <row r="9577">
      <c r="A9577" s="926" t="n">
        <v>44348</v>
      </c>
      <c r="B9577" t="n">
        <v>7.76</v>
      </c>
      <c r="C9577" t="n">
        <v>1.2174</v>
      </c>
    </row>
    <row r="9578">
      <c r="A9578" s="926" t="n">
        <v>44349</v>
      </c>
      <c r="B9578" t="n">
        <v>7.76</v>
      </c>
      <c r="C9578" t="n">
        <v>1.2145</v>
      </c>
    </row>
    <row r="9579">
      <c r="A9579" s="926" t="n">
        <v>44350</v>
      </c>
      <c r="B9579" t="n">
        <v>7.759</v>
      </c>
      <c r="C9579" t="n">
        <v>1.2142</v>
      </c>
    </row>
    <row r="9580">
      <c r="A9580" s="926" t="n">
        <v>44351</v>
      </c>
      <c r="B9580" t="n">
        <v>7.759</v>
      </c>
      <c r="C9580" t="n">
        <v>1.2117</v>
      </c>
    </row>
    <row r="9581">
      <c r="A9581" s="926" t="n">
        <v>44352</v>
      </c>
      <c r="B9581" t="n">
        <v>7.757</v>
      </c>
      <c r="C9581" t="n">
        <v>1.2137</v>
      </c>
    </row>
    <row r="9582">
      <c r="A9582" s="926" t="n">
        <v>44354</v>
      </c>
      <c r="B9582" t="n">
        <v>7.758</v>
      </c>
      <c r="C9582" t="n">
        <v>1.2126</v>
      </c>
    </row>
    <row r="9583">
      <c r="A9583" s="926" t="n">
        <v>44355</v>
      </c>
      <c r="B9583" t="n">
        <v>7.76</v>
      </c>
      <c r="C9583" t="n">
        <v>1.215</v>
      </c>
    </row>
    <row r="9584">
      <c r="A9584" s="926" t="n">
        <v>44356</v>
      </c>
      <c r="B9584" t="n">
        <v>7.76</v>
      </c>
      <c r="C9584" t="n">
        <v>1.214</v>
      </c>
    </row>
    <row r="9585">
      <c r="A9585" s="926" t="n">
        <v>44357</v>
      </c>
      <c r="B9585" t="n">
        <v>7.761</v>
      </c>
      <c r="C9585" t="n">
        <v>1.2167</v>
      </c>
    </row>
    <row r="9586">
      <c r="A9586" s="926" t="n">
        <v>44358</v>
      </c>
      <c r="B9586" t="n">
        <v>7.761</v>
      </c>
      <c r="C9586" t="n">
        <v>1.21565</v>
      </c>
    </row>
    <row r="9587">
      <c r="A9587" s="926" t="n">
        <v>44359</v>
      </c>
      <c r="B9587" t="n">
        <v>7.761</v>
      </c>
      <c r="C9587" t="n">
        <v>1.2133</v>
      </c>
    </row>
    <row r="9588">
      <c r="A9588" s="926" t="n">
        <v>44362</v>
      </c>
      <c r="B9588" t="n">
        <v>7.764</v>
      </c>
      <c r="C9588" t="n">
        <v>1.21285</v>
      </c>
    </row>
    <row r="9589">
      <c r="A9589" s="926" t="n">
        <v>44363</v>
      </c>
      <c r="B9589" t="n">
        <v>7.763</v>
      </c>
      <c r="C9589" t="n">
        <v>1.213</v>
      </c>
    </row>
    <row r="9590">
      <c r="A9590" s="926" t="n">
        <v>44364</v>
      </c>
      <c r="B9590" t="n">
        <v>7.766</v>
      </c>
      <c r="C9590" t="n">
        <v>1.20785</v>
      </c>
    </row>
    <row r="9591">
      <c r="A9591" s="926" t="n">
        <v>44365</v>
      </c>
      <c r="B9591" t="n">
        <v>7.765</v>
      </c>
      <c r="C9591" t="n">
        <v>1.20405</v>
      </c>
    </row>
    <row r="9592">
      <c r="A9592" s="926" t="n">
        <v>44366</v>
      </c>
      <c r="B9592" t="n">
        <v>7.764</v>
      </c>
      <c r="C9592" t="n">
        <v>1.20185</v>
      </c>
    </row>
    <row r="9593">
      <c r="A9593" s="926" t="n">
        <v>44368</v>
      </c>
      <c r="B9593" t="n">
        <v>7.765</v>
      </c>
      <c r="C9593" t="n">
        <v>1.19975</v>
      </c>
    </row>
    <row r="9594">
      <c r="A9594" s="926" t="n">
        <v>44369</v>
      </c>
      <c r="B9594" t="n">
        <v>7.766</v>
      </c>
      <c r="C9594" t="n">
        <v>1.19945</v>
      </c>
    </row>
    <row r="9595">
      <c r="A9595" s="926" t="n">
        <v>44370</v>
      </c>
      <c r="B9595" t="n">
        <v>7.767</v>
      </c>
      <c r="C9595" t="n">
        <v>1.19665</v>
      </c>
    </row>
    <row r="9596">
      <c r="A9596" s="926" t="n">
        <v>44371</v>
      </c>
      <c r="B9596" t="n">
        <v>7.765</v>
      </c>
      <c r="C9596" t="n">
        <v>1.19955</v>
      </c>
    </row>
    <row r="9597">
      <c r="A9597" s="926" t="n">
        <v>44372</v>
      </c>
      <c r="B9597" t="n">
        <v>7.763</v>
      </c>
      <c r="C9597" t="n">
        <v>1.20255</v>
      </c>
    </row>
    <row r="9598">
      <c r="A9598" s="926" t="n">
        <v>44373</v>
      </c>
      <c r="B9598" t="n">
        <v>7.762</v>
      </c>
      <c r="C9598" t="n">
        <v>1.2014</v>
      </c>
    </row>
    <row r="9599">
      <c r="A9599" s="926" t="n">
        <v>44375</v>
      </c>
      <c r="B9599" t="n">
        <v>7.763</v>
      </c>
      <c r="C9599" t="n">
        <v>1.2017</v>
      </c>
    </row>
    <row r="9600">
      <c r="A9600" s="926" t="n">
        <v>44376</v>
      </c>
      <c r="B9600" t="n">
        <v>7.764</v>
      </c>
      <c r="C9600" t="n">
        <v>1.20205</v>
      </c>
    </row>
    <row r="9601">
      <c r="A9601" s="926" t="n">
        <v>44377</v>
      </c>
      <c r="B9601" t="n">
        <v>7.767</v>
      </c>
      <c r="C9601" t="n">
        <v>1.203</v>
      </c>
    </row>
    <row r="9602">
      <c r="A9602" s="926" t="n">
        <v>44379</v>
      </c>
      <c r="B9602" t="n">
        <v>7.77</v>
      </c>
      <c r="C9602" t="n">
        <v>1.1981</v>
      </c>
    </row>
    <row r="9603">
      <c r="A9603" s="926" t="n">
        <v>44380</v>
      </c>
      <c r="B9603" t="n">
        <v>7.767</v>
      </c>
      <c r="C9603" t="n">
        <v>1.20015</v>
      </c>
    </row>
    <row r="9604">
      <c r="A9604" s="926" t="n">
        <v>44382</v>
      </c>
      <c r="B9604" t="n">
        <v>7.768</v>
      </c>
      <c r="C9604" t="n">
        <v>1.20245</v>
      </c>
    </row>
    <row r="9605">
      <c r="A9605" s="926" t="n">
        <v>44383</v>
      </c>
      <c r="B9605" t="n">
        <v>7.768</v>
      </c>
      <c r="C9605" t="n">
        <v>1.20215</v>
      </c>
    </row>
    <row r="9606">
      <c r="A9606" s="926" t="n">
        <v>44384</v>
      </c>
      <c r="B9606" t="n">
        <v>7.769</v>
      </c>
      <c r="C9606" t="n">
        <v>1.20075</v>
      </c>
    </row>
    <row r="9607">
      <c r="A9607" s="926" t="n">
        <v>44385</v>
      </c>
      <c r="B9607" t="n">
        <v>7.769</v>
      </c>
      <c r="C9607" t="n">
        <v>1.1979</v>
      </c>
    </row>
    <row r="9608">
      <c r="A9608" s="926" t="n">
        <v>44386</v>
      </c>
      <c r="B9608" t="n">
        <v>7.769</v>
      </c>
      <c r="C9608" t="n">
        <v>1.19585</v>
      </c>
    </row>
    <row r="9609">
      <c r="A9609" s="926" t="n">
        <v>44387</v>
      </c>
      <c r="B9609" t="n">
        <v>7.769</v>
      </c>
      <c r="C9609" t="n">
        <v>1.1985</v>
      </c>
    </row>
    <row r="9610">
      <c r="A9610" s="926" t="n">
        <v>44389</v>
      </c>
      <c r="B9610" t="n">
        <v>7.768</v>
      </c>
      <c r="C9610" t="n">
        <v>1.19905</v>
      </c>
    </row>
    <row r="9611">
      <c r="A9611" s="926" t="n">
        <v>44390</v>
      </c>
      <c r="B9611" t="n">
        <v>7.767</v>
      </c>
      <c r="C9611" t="n">
        <v>1.20055</v>
      </c>
    </row>
    <row r="9612">
      <c r="A9612" s="926" t="n">
        <v>44391</v>
      </c>
      <c r="B9612" t="n">
        <v>7.768</v>
      </c>
      <c r="C9612" t="n">
        <v>1.19925</v>
      </c>
    </row>
    <row r="9613">
      <c r="A9613" s="926" t="n">
        <v>44392</v>
      </c>
      <c r="B9613" t="n">
        <v>7.768</v>
      </c>
      <c r="C9613" t="n">
        <v>1.20255</v>
      </c>
    </row>
    <row r="9614">
      <c r="A9614" s="926" t="n">
        <v>44393</v>
      </c>
      <c r="B9614" t="n">
        <v>7.769</v>
      </c>
      <c r="C9614" t="n">
        <v>1.20095</v>
      </c>
    </row>
    <row r="9615">
      <c r="A9615" s="926" t="n">
        <v>44394</v>
      </c>
      <c r="B9615" t="n">
        <v>7.769</v>
      </c>
      <c r="C9615" t="n">
        <v>1.1998</v>
      </c>
    </row>
    <row r="9616">
      <c r="A9616" s="926" t="n">
        <v>44396</v>
      </c>
      <c r="B9616" t="n">
        <v>7.77</v>
      </c>
      <c r="C9616" t="n">
        <v>1.19755</v>
      </c>
    </row>
    <row r="9617">
      <c r="A9617" s="926" t="n">
        <v>44397</v>
      </c>
      <c r="B9617" t="n">
        <v>7.773</v>
      </c>
      <c r="C9617" t="n">
        <v>1.19815</v>
      </c>
    </row>
    <row r="9618">
      <c r="A9618" s="926" t="n">
        <v>44398</v>
      </c>
      <c r="B9618" t="n">
        <v>7.776</v>
      </c>
      <c r="C9618" t="n">
        <v>1.20055</v>
      </c>
    </row>
    <row r="9619">
      <c r="A9619" s="926" t="n">
        <v>44399</v>
      </c>
      <c r="B9619" t="n">
        <v>7.774</v>
      </c>
      <c r="C9619" t="n">
        <v>1.20245</v>
      </c>
    </row>
    <row r="9620">
      <c r="A9620" s="926" t="n">
        <v>44400</v>
      </c>
      <c r="B9620" t="n">
        <v>7.772</v>
      </c>
      <c r="C9620" t="n">
        <v>1.20025</v>
      </c>
    </row>
    <row r="9621">
      <c r="A9621" s="926" t="n">
        <v>44401</v>
      </c>
      <c r="B9621" t="n">
        <v>7.77</v>
      </c>
      <c r="C9621" t="n">
        <v>1.20015</v>
      </c>
    </row>
    <row r="9622">
      <c r="A9622" s="926" t="n">
        <v>44403</v>
      </c>
      <c r="B9622" t="n">
        <v>7.775</v>
      </c>
      <c r="C9622" t="n">
        <v>1.19825</v>
      </c>
    </row>
    <row r="9623">
      <c r="A9623" s="926" t="n">
        <v>44404</v>
      </c>
      <c r="B9623" t="n">
        <v>7.782</v>
      </c>
      <c r="C9623" t="n">
        <v>1.1994</v>
      </c>
    </row>
    <row r="9624">
      <c r="A9624" s="926" t="n">
        <v>44405</v>
      </c>
      <c r="B9624" t="n">
        <v>7.782</v>
      </c>
      <c r="C9624" t="n">
        <v>1.1951</v>
      </c>
    </row>
    <row r="9625">
      <c r="A9625" s="926" t="n">
        <v>44406</v>
      </c>
      <c r="B9625" t="n">
        <v>7.777</v>
      </c>
      <c r="C9625" t="n">
        <v>1.2017</v>
      </c>
    </row>
    <row r="9626">
      <c r="A9626" s="926" t="n">
        <v>44407</v>
      </c>
      <c r="B9626" t="n">
        <v>7.775</v>
      </c>
      <c r="C9626" t="n">
        <v>1.2032</v>
      </c>
    </row>
    <row r="9627">
      <c r="A9627" s="926" t="n">
        <v>44408</v>
      </c>
      <c r="B9627" t="n">
        <v>7.773</v>
      </c>
      <c r="C9627" t="n">
        <v>1.20285</v>
      </c>
    </row>
    <row r="9628">
      <c r="A9628" s="926" t="n">
        <v>44410</v>
      </c>
      <c r="B9628" t="n">
        <v>7.777</v>
      </c>
      <c r="C9628" t="n">
        <v>1.2028</v>
      </c>
    </row>
    <row r="9629">
      <c r="A9629" s="926" t="n">
        <v>44411</v>
      </c>
      <c r="B9629" t="n">
        <v>7.777</v>
      </c>
      <c r="C9629" t="n">
        <v>1.20285</v>
      </c>
    </row>
    <row r="9630">
      <c r="A9630" s="926" t="n">
        <v>44412</v>
      </c>
      <c r="B9630" t="n">
        <v>7.775</v>
      </c>
      <c r="C9630" t="n">
        <v>1.20435</v>
      </c>
    </row>
    <row r="9631">
      <c r="A9631" s="926" t="n">
        <v>44413</v>
      </c>
      <c r="B9631" t="n">
        <v>7.778</v>
      </c>
      <c r="C9631" t="n">
        <v>1.20395</v>
      </c>
    </row>
    <row r="9632">
      <c r="A9632" s="926" t="n">
        <v>44414</v>
      </c>
      <c r="B9632" t="n">
        <v>7.778</v>
      </c>
      <c r="C9632" t="n">
        <v>1.20335</v>
      </c>
    </row>
    <row r="9633">
      <c r="A9633" s="926" t="n">
        <v>44415</v>
      </c>
      <c r="B9633" t="n">
        <v>7.78</v>
      </c>
      <c r="C9633" t="n">
        <v>1.2013</v>
      </c>
    </row>
    <row r="9634">
      <c r="A9634" s="926" t="n">
        <v>44417</v>
      </c>
      <c r="B9634" t="n">
        <v>7.784</v>
      </c>
      <c r="C9634" t="n">
        <v>1.20185</v>
      </c>
    </row>
    <row r="9635">
      <c r="A9635" s="926" t="n">
        <v>44418</v>
      </c>
      <c r="B9635" t="n">
        <v>7.784</v>
      </c>
      <c r="C9635" t="n">
        <v>1.20095</v>
      </c>
    </row>
    <row r="9636">
      <c r="A9636" s="926" t="n">
        <v>44419</v>
      </c>
      <c r="B9636" t="n">
        <v>7.783</v>
      </c>
      <c r="C9636" t="n">
        <v>1.19955</v>
      </c>
    </row>
    <row r="9637">
      <c r="A9637" s="926" t="n">
        <v>44420</v>
      </c>
      <c r="B9637" t="n">
        <v>7.782</v>
      </c>
      <c r="C9637" t="n">
        <v>1.20135</v>
      </c>
    </row>
    <row r="9638">
      <c r="A9638" s="926" t="n">
        <v>44421</v>
      </c>
      <c r="B9638" t="n">
        <v>7.784</v>
      </c>
      <c r="C9638" t="n">
        <v>1.2009</v>
      </c>
    </row>
    <row r="9639">
      <c r="A9639" s="926" t="n">
        <v>44422</v>
      </c>
      <c r="B9639" t="n">
        <v>7.784</v>
      </c>
      <c r="C9639" t="n">
        <v>1.20165</v>
      </c>
    </row>
    <row r="9640">
      <c r="A9640" s="926" t="n">
        <v>44424</v>
      </c>
      <c r="B9640" t="n">
        <v>7.784</v>
      </c>
      <c r="C9640" t="n">
        <v>1.20125</v>
      </c>
    </row>
    <row r="9641">
      <c r="A9641" s="926" t="n">
        <v>44425</v>
      </c>
      <c r="B9641" t="n">
        <v>7.791</v>
      </c>
      <c r="C9641" t="n">
        <v>1.2009</v>
      </c>
    </row>
    <row r="9642">
      <c r="A9642" s="926" t="n">
        <v>44426</v>
      </c>
      <c r="B9642" t="n">
        <v>7.789</v>
      </c>
      <c r="C9642" t="n">
        <v>1.20145</v>
      </c>
    </row>
    <row r="9643">
      <c r="A9643" s="926" t="n">
        <v>44427</v>
      </c>
      <c r="B9643" t="n">
        <v>7.794</v>
      </c>
      <c r="C9643" t="n">
        <v>1.199</v>
      </c>
    </row>
    <row r="9644">
      <c r="A9644" s="926" t="n">
        <v>44428</v>
      </c>
      <c r="B9644" t="n">
        <v>7.791</v>
      </c>
      <c r="C9644" t="n">
        <v>1.1981</v>
      </c>
    </row>
    <row r="9645">
      <c r="A9645" s="926" t="n">
        <v>44429</v>
      </c>
      <c r="B9645" t="n">
        <v>7.792</v>
      </c>
      <c r="C9645" t="n">
        <v>1.1993</v>
      </c>
    </row>
    <row r="9646">
      <c r="A9646" s="926" t="n">
        <v>44431</v>
      </c>
      <c r="B9646" t="n">
        <v>7.792</v>
      </c>
      <c r="C9646" t="n">
        <v>1.19925</v>
      </c>
    </row>
    <row r="9647">
      <c r="A9647" s="926" t="n">
        <v>44432</v>
      </c>
      <c r="B9647" t="n">
        <v>7.79</v>
      </c>
      <c r="C9647" t="n">
        <v>1.20245</v>
      </c>
    </row>
    <row r="9648">
      <c r="A9648" s="926" t="n">
        <v>44433</v>
      </c>
      <c r="B9648" t="n">
        <v>7.785</v>
      </c>
      <c r="C9648" t="n">
        <v>1.20225</v>
      </c>
    </row>
    <row r="9649">
      <c r="A9649" s="926" t="n">
        <v>44434</v>
      </c>
      <c r="B9649" t="n">
        <v>7.788</v>
      </c>
      <c r="C9649" t="n">
        <v>1.2018</v>
      </c>
    </row>
    <row r="9650">
      <c r="A9650" s="926" t="n">
        <v>44435</v>
      </c>
      <c r="B9650" t="n">
        <v>7.79</v>
      </c>
      <c r="C9650" t="n">
        <v>1.20215</v>
      </c>
    </row>
    <row r="9651">
      <c r="A9651" s="926" t="n">
        <v>44436</v>
      </c>
      <c r="B9651" t="n">
        <v>7.788</v>
      </c>
      <c r="C9651" t="n">
        <v>1.20515</v>
      </c>
    </row>
    <row r="9652">
      <c r="A9652" s="926" t="n">
        <v>44438</v>
      </c>
      <c r="B9652" t="n">
        <v>7.789</v>
      </c>
      <c r="C9652" t="n">
        <v>1.20455</v>
      </c>
    </row>
    <row r="9653">
      <c r="A9653" s="926" t="n">
        <v>44439</v>
      </c>
      <c r="B9653" t="n">
        <v>7.783</v>
      </c>
      <c r="C9653" t="n">
        <v>1.20515</v>
      </c>
    </row>
    <row r="9654">
      <c r="A9654" s="926" t="n">
        <v>44440</v>
      </c>
      <c r="B9654" t="n">
        <v>7.777</v>
      </c>
      <c r="C9654" t="n">
        <v>1.2046</v>
      </c>
    </row>
    <row r="9655">
      <c r="A9655" s="926" t="n">
        <v>44441</v>
      </c>
      <c r="B9655" t="n">
        <v>7.775</v>
      </c>
      <c r="C9655" t="n">
        <v>1.2046</v>
      </c>
    </row>
    <row r="9656">
      <c r="A9656" s="926" t="n">
        <v>44442</v>
      </c>
      <c r="B9656" t="n">
        <v>7.773</v>
      </c>
      <c r="C9656" t="n">
        <v>1.20485</v>
      </c>
    </row>
    <row r="9657">
      <c r="A9657" s="926" t="n">
        <v>44443</v>
      </c>
      <c r="B9657" t="n">
        <v>7.772</v>
      </c>
      <c r="C9657" t="n">
        <v>1.20735</v>
      </c>
    </row>
    <row r="9658">
      <c r="A9658" s="926" t="n">
        <v>44445</v>
      </c>
      <c r="B9658" t="n">
        <v>7.775</v>
      </c>
      <c r="C9658" t="n">
        <v>1.2059</v>
      </c>
    </row>
    <row r="9659">
      <c r="A9659" s="926" t="n">
        <v>44446</v>
      </c>
      <c r="B9659" t="n">
        <v>7.774</v>
      </c>
      <c r="C9659" t="n">
        <v>1.2045</v>
      </c>
    </row>
    <row r="9660">
      <c r="A9660" s="926" t="n">
        <v>44447</v>
      </c>
      <c r="B9660" t="n">
        <v>7.778</v>
      </c>
      <c r="C9660" t="n">
        <v>1.2037</v>
      </c>
    </row>
    <row r="9661">
      <c r="A9661" s="926" t="n">
        <v>44448</v>
      </c>
      <c r="B9661" t="n">
        <v>7.779</v>
      </c>
      <c r="C9661" t="n">
        <v>1.2046</v>
      </c>
    </row>
    <row r="9662">
      <c r="A9662" s="926" t="n">
        <v>44449</v>
      </c>
      <c r="B9662" t="n">
        <v>7.777</v>
      </c>
      <c r="C9662" t="n">
        <v>1.20885</v>
      </c>
    </row>
    <row r="9663">
      <c r="A9663" s="926" t="n">
        <v>44450</v>
      </c>
      <c r="B9663" t="n">
        <v>7.778</v>
      </c>
      <c r="C9663" t="n">
        <v>1.20725</v>
      </c>
    </row>
    <row r="9664">
      <c r="A9664" s="926" t="n">
        <v>44452</v>
      </c>
      <c r="B9664" t="n">
        <v>7.78</v>
      </c>
      <c r="C9664" t="n">
        <v>1.20575</v>
      </c>
    </row>
    <row r="9665">
      <c r="A9665" s="926" t="n">
        <v>44453</v>
      </c>
      <c r="B9665" t="n">
        <v>7.781</v>
      </c>
      <c r="C9665" t="n">
        <v>1.20765</v>
      </c>
    </row>
    <row r="9666">
      <c r="A9666" s="926" t="n">
        <v>44454</v>
      </c>
      <c r="B9666" t="n">
        <v>7.78</v>
      </c>
      <c r="C9666" t="n">
        <v>1.20895</v>
      </c>
    </row>
    <row r="9667">
      <c r="A9667" s="926" t="n">
        <v>44455</v>
      </c>
      <c r="B9667" t="n">
        <v>7.785</v>
      </c>
      <c r="C9667" t="n">
        <v>1.2092</v>
      </c>
    </row>
    <row r="9668">
      <c r="A9668" s="926" t="n">
        <v>44456</v>
      </c>
      <c r="B9668" t="n">
        <v>7.784</v>
      </c>
      <c r="C9668" t="n">
        <v>1.20765</v>
      </c>
    </row>
    <row r="9669">
      <c r="A9669" s="926" t="n">
        <v>44457</v>
      </c>
      <c r="B9669" t="n">
        <v>7.783</v>
      </c>
      <c r="C9669" t="n">
        <v>1.2029</v>
      </c>
    </row>
    <row r="9670">
      <c r="A9670" s="926" t="n">
        <v>44459</v>
      </c>
      <c r="B9670" t="n">
        <v>7.789</v>
      </c>
      <c r="C9670" t="n">
        <v>1.2018</v>
      </c>
    </row>
    <row r="9671">
      <c r="A9671" s="926" t="n">
        <v>44460</v>
      </c>
      <c r="B9671" t="n">
        <v>7.786</v>
      </c>
      <c r="C9671" t="n">
        <v>1.2025</v>
      </c>
    </row>
    <row r="9672">
      <c r="A9672" s="926" t="n">
        <v>44462</v>
      </c>
      <c r="B9672" t="n">
        <v>7.787</v>
      </c>
      <c r="C9672" t="n">
        <v>1.20405</v>
      </c>
    </row>
    <row r="9673">
      <c r="A9673" s="926" t="n">
        <v>44463</v>
      </c>
      <c r="B9673" t="n">
        <v>7.786</v>
      </c>
      <c r="C9673" t="n">
        <v>1.20435</v>
      </c>
    </row>
    <row r="9674">
      <c r="A9674" s="926" t="n">
        <v>44464</v>
      </c>
      <c r="B9674" t="n">
        <v>7.786</v>
      </c>
      <c r="C9674" t="n">
        <v>1.20495</v>
      </c>
    </row>
    <row r="9675">
      <c r="A9675" s="926" t="n">
        <v>44466</v>
      </c>
      <c r="B9675" t="n">
        <v>7.785</v>
      </c>
      <c r="C9675" t="n">
        <v>1.20535</v>
      </c>
    </row>
    <row r="9676">
      <c r="A9676" s="926" t="n">
        <v>44467</v>
      </c>
      <c r="B9676" t="n">
        <v>7.784</v>
      </c>
      <c r="C9676" t="n">
        <v>1.20495</v>
      </c>
    </row>
    <row r="9677">
      <c r="A9677" s="926" t="n">
        <v>44468</v>
      </c>
      <c r="B9677" t="n">
        <v>7.784</v>
      </c>
      <c r="C9677" t="n">
        <v>1.2035</v>
      </c>
    </row>
    <row r="9678">
      <c r="A9678" s="926" t="n">
        <v>44469</v>
      </c>
      <c r="B9678" t="n">
        <v>7.789</v>
      </c>
      <c r="C9678" t="n">
        <v>1.204</v>
      </c>
    </row>
    <row r="9679">
      <c r="A9679" s="926" t="n">
        <v>44471</v>
      </c>
      <c r="B9679" t="n">
        <v>7.785</v>
      </c>
      <c r="C9679" t="n">
        <v>1.20975</v>
      </c>
    </row>
    <row r="9680">
      <c r="A9680" s="926" t="n">
        <v>44473</v>
      </c>
      <c r="B9680" t="n">
        <v>7.788</v>
      </c>
      <c r="C9680" t="n">
        <v>1.2079</v>
      </c>
    </row>
    <row r="9681">
      <c r="A9681" s="926" t="n">
        <v>44474</v>
      </c>
      <c r="B9681" t="n">
        <v>7.785</v>
      </c>
      <c r="C9681" t="n">
        <v>1.20705</v>
      </c>
    </row>
    <row r="9682">
      <c r="A9682" s="926" t="n">
        <v>44475</v>
      </c>
      <c r="B9682" t="n">
        <v>7.787</v>
      </c>
      <c r="C9682" t="n">
        <v>1.20725</v>
      </c>
    </row>
    <row r="9683">
      <c r="A9683" s="926" t="n">
        <v>44476</v>
      </c>
      <c r="B9683" t="n">
        <v>7.787</v>
      </c>
      <c r="C9683" t="n">
        <v>1.20775</v>
      </c>
    </row>
    <row r="9684">
      <c r="A9684" s="926" t="n">
        <v>44477</v>
      </c>
      <c r="B9684" t="n">
        <v>7.787</v>
      </c>
      <c r="C9684" t="n">
        <v>1.20695</v>
      </c>
    </row>
    <row r="9685">
      <c r="A9685" s="926" t="n">
        <v>44480</v>
      </c>
      <c r="B9685" t="n">
        <v>7.784</v>
      </c>
      <c r="C9685" t="n">
        <v>1.2093</v>
      </c>
    </row>
    <row r="9686">
      <c r="A9686" s="926" t="n">
        <v>44481</v>
      </c>
      <c r="B9686" t="n">
        <v>7.782</v>
      </c>
      <c r="C9686" t="n">
        <v>1.20525</v>
      </c>
    </row>
    <row r="9687">
      <c r="A9687" s="926" t="n">
        <v>44484</v>
      </c>
      <c r="B9687" t="n">
        <v>7.781</v>
      </c>
      <c r="C9687" t="n">
        <v>1.21115</v>
      </c>
    </row>
    <row r="9688">
      <c r="A9688" s="926" t="n">
        <v>44485</v>
      </c>
      <c r="B9688" t="n">
        <v>7.777</v>
      </c>
      <c r="C9688" t="n">
        <v>1.2087</v>
      </c>
    </row>
    <row r="9689">
      <c r="A9689" s="926" t="n">
        <v>44487</v>
      </c>
      <c r="B9689" t="n">
        <v>7.781</v>
      </c>
      <c r="C9689" t="n">
        <v>1.2093</v>
      </c>
    </row>
    <row r="9690">
      <c r="A9690" s="926" t="n">
        <v>44488</v>
      </c>
      <c r="B9690" t="n">
        <v>7.779</v>
      </c>
      <c r="C9690" t="n">
        <v>1.2152</v>
      </c>
    </row>
    <row r="9691">
      <c r="A9691" s="926" t="n">
        <v>44489</v>
      </c>
      <c r="B9691" t="n">
        <v>7.778</v>
      </c>
      <c r="C9691" t="n">
        <v>1.2175</v>
      </c>
    </row>
    <row r="9692">
      <c r="A9692" s="926" t="n">
        <v>44490</v>
      </c>
      <c r="B9692" t="n">
        <v>7.776</v>
      </c>
      <c r="C9692" t="n">
        <v>1.2153</v>
      </c>
    </row>
    <row r="9693">
      <c r="A9693" s="926" t="n">
        <v>44491</v>
      </c>
      <c r="B9693" t="n">
        <v>7.776</v>
      </c>
      <c r="C9693" t="n">
        <v>1.21695</v>
      </c>
    </row>
    <row r="9694">
      <c r="A9694" s="926" t="n">
        <v>44492</v>
      </c>
      <c r="B9694" t="n">
        <v>7.774</v>
      </c>
      <c r="C9694" t="n">
        <v>1.2177</v>
      </c>
    </row>
    <row r="9695">
      <c r="A9695" s="926" t="n">
        <v>44494</v>
      </c>
      <c r="B9695" t="n">
        <v>7.775</v>
      </c>
      <c r="C9695" t="n">
        <v>1.2194</v>
      </c>
    </row>
    <row r="9696">
      <c r="A9696" s="926" t="n">
        <v>44495</v>
      </c>
      <c r="B9696" t="n">
        <v>7.775</v>
      </c>
      <c r="C9696" t="n">
        <v>1.2189</v>
      </c>
    </row>
    <row r="9697">
      <c r="A9697" s="926" t="n">
        <v>44496</v>
      </c>
      <c r="B9697" t="n">
        <v>7.779</v>
      </c>
      <c r="C9697" t="n">
        <v>1.219</v>
      </c>
    </row>
    <row r="9698">
      <c r="A9698" s="926" t="n">
        <v>44497</v>
      </c>
      <c r="B9698" t="n">
        <v>7.779</v>
      </c>
      <c r="C9698" t="n">
        <v>1.2163</v>
      </c>
    </row>
    <row r="9699">
      <c r="A9699" s="926" t="n">
        <v>44498</v>
      </c>
      <c r="B9699" t="n">
        <v>7.776</v>
      </c>
      <c r="C9699" t="n">
        <v>1.2181</v>
      </c>
    </row>
    <row r="9700">
      <c r="A9700" s="926" t="n">
        <v>44499</v>
      </c>
      <c r="B9700" t="n">
        <v>7.779</v>
      </c>
      <c r="C9700" t="n">
        <v>1.2149</v>
      </c>
    </row>
    <row r="9701">
      <c r="A9701" s="926" t="n">
        <v>44501</v>
      </c>
      <c r="B9701" t="n">
        <v>7.782</v>
      </c>
      <c r="C9701" t="n">
        <v>1.2156</v>
      </c>
    </row>
    <row r="9702">
      <c r="A9702" s="926" t="n">
        <v>44502</v>
      </c>
      <c r="B9702" t="n">
        <v>7.784</v>
      </c>
      <c r="C9702" t="n">
        <v>1.217</v>
      </c>
    </row>
    <row r="9703">
      <c r="A9703" s="926" t="n">
        <v>44503</v>
      </c>
      <c r="B9703" t="n">
        <v>7.783</v>
      </c>
      <c r="C9703" t="n">
        <v>1.2164</v>
      </c>
    </row>
    <row r="9704">
      <c r="A9704" s="926" t="n">
        <v>44504</v>
      </c>
      <c r="B9704" t="n">
        <v>7.784</v>
      </c>
      <c r="C9704" t="n">
        <v>1.21765</v>
      </c>
    </row>
    <row r="9705">
      <c r="A9705" s="926" t="n">
        <v>44505</v>
      </c>
      <c r="B9705" t="n">
        <v>7.784</v>
      </c>
      <c r="C9705" t="n">
        <v>1.2165</v>
      </c>
    </row>
    <row r="9706">
      <c r="A9706" s="926" t="n">
        <v>44506</v>
      </c>
      <c r="B9706" t="n">
        <v>7.783</v>
      </c>
      <c r="C9706" t="n">
        <v>1.2174</v>
      </c>
    </row>
    <row r="9707">
      <c r="A9707" s="926" t="n">
        <v>44508</v>
      </c>
      <c r="B9707" t="n">
        <v>7.787</v>
      </c>
      <c r="C9707" t="n">
        <v>1.2176</v>
      </c>
    </row>
    <row r="9708">
      <c r="A9708" s="926" t="n">
        <v>44509</v>
      </c>
      <c r="B9708" t="n">
        <v>7.79</v>
      </c>
      <c r="C9708" t="n">
        <v>1.2184</v>
      </c>
    </row>
    <row r="9709">
      <c r="A9709" s="926" t="n">
        <v>44510</v>
      </c>
      <c r="B9709" t="n">
        <v>7.79</v>
      </c>
      <c r="C9709" t="n">
        <v>1.2187</v>
      </c>
    </row>
    <row r="9710">
      <c r="A9710" s="926" t="n">
        <v>44511</v>
      </c>
      <c r="B9710" t="n">
        <v>7.791</v>
      </c>
      <c r="C9710" t="n">
        <v>1.2172</v>
      </c>
    </row>
    <row r="9711">
      <c r="A9711" s="926" t="n">
        <v>44512</v>
      </c>
      <c r="B9711" t="n">
        <v>7.793</v>
      </c>
      <c r="C9711" t="n">
        <v>1.2202</v>
      </c>
    </row>
    <row r="9712">
      <c r="A9712" s="926" t="n">
        <v>44513</v>
      </c>
      <c r="B9712" t="n">
        <v>7.792</v>
      </c>
      <c r="C9712" t="n">
        <v>1.22125</v>
      </c>
    </row>
    <row r="9713">
      <c r="A9713" s="926" t="n">
        <v>44515</v>
      </c>
      <c r="B9713" t="n">
        <v>7.793</v>
      </c>
      <c r="C9713" t="n">
        <v>1.222</v>
      </c>
    </row>
    <row r="9714">
      <c r="A9714" s="926" t="n">
        <v>44516</v>
      </c>
      <c r="B9714" t="n">
        <v>7.789</v>
      </c>
      <c r="C9714" t="n">
        <v>1.2214</v>
      </c>
    </row>
    <row r="9715">
      <c r="A9715" s="926" t="n">
        <v>44517</v>
      </c>
      <c r="B9715" t="n">
        <v>7.789</v>
      </c>
      <c r="C9715" t="n">
        <v>1.21965</v>
      </c>
    </row>
    <row r="9716">
      <c r="A9716" s="926" t="n">
        <v>44518</v>
      </c>
      <c r="B9716" t="n">
        <v>7.79</v>
      </c>
      <c r="C9716" t="n">
        <v>1.2215</v>
      </c>
    </row>
    <row r="9717">
      <c r="A9717" s="926" t="n">
        <v>44519</v>
      </c>
      <c r="B9717" t="n">
        <v>7.792</v>
      </c>
      <c r="C9717" t="n">
        <v>1.2211</v>
      </c>
    </row>
    <row r="9718">
      <c r="A9718" s="926" t="n">
        <v>44520</v>
      </c>
      <c r="B9718" t="n">
        <v>7.792</v>
      </c>
      <c r="C9718" t="n">
        <v>1.21935</v>
      </c>
    </row>
    <row r="9719">
      <c r="A9719" s="926" t="n">
        <v>44522</v>
      </c>
      <c r="B9719" t="n">
        <v>7.793</v>
      </c>
      <c r="C9719" t="n">
        <v>1.2208</v>
      </c>
    </row>
    <row r="9720">
      <c r="A9720" s="926" t="n">
        <v>44523</v>
      </c>
      <c r="B9720" t="n">
        <v>7.793</v>
      </c>
      <c r="C9720" t="n">
        <v>1.2201</v>
      </c>
    </row>
    <row r="9721">
      <c r="A9721" s="926" t="n">
        <v>44524</v>
      </c>
      <c r="B9721" t="n">
        <v>7.794</v>
      </c>
      <c r="C9721" t="n">
        <v>1.2203</v>
      </c>
    </row>
    <row r="9722">
      <c r="A9722" s="926" t="n">
        <v>44525</v>
      </c>
      <c r="B9722" t="n">
        <v>7.798</v>
      </c>
      <c r="C9722" t="n">
        <v>1.2206</v>
      </c>
    </row>
    <row r="9723">
      <c r="A9723" s="926" t="n">
        <v>44526</v>
      </c>
      <c r="B9723" t="n">
        <v>7.798</v>
      </c>
      <c r="C9723" t="n">
        <v>1.22</v>
      </c>
    </row>
    <row r="9724">
      <c r="A9724" s="926" t="n">
        <v>44527</v>
      </c>
      <c r="B9724" t="n">
        <v>7.799</v>
      </c>
      <c r="C9724" t="n">
        <v>1.2191</v>
      </c>
    </row>
    <row r="9725">
      <c r="A9725" s="926" t="n">
        <v>44529</v>
      </c>
      <c r="B9725" t="n">
        <v>7.801</v>
      </c>
      <c r="C9725" t="n">
        <v>1.2218</v>
      </c>
    </row>
    <row r="9726">
      <c r="A9726" s="926" t="n">
        <v>44530</v>
      </c>
      <c r="B9726" t="n">
        <v>7.802</v>
      </c>
      <c r="C9726" t="n">
        <v>1.2237</v>
      </c>
    </row>
    <row r="9727">
      <c r="A9727" s="926" t="n">
        <v>44531</v>
      </c>
      <c r="B9727" t="n">
        <v>7.797</v>
      </c>
      <c r="C9727" t="n">
        <v>1.22475</v>
      </c>
    </row>
    <row r="9728">
      <c r="A9728" s="926" t="n">
        <v>44532</v>
      </c>
      <c r="B9728" t="n">
        <v>7.791</v>
      </c>
      <c r="C9728" t="n">
        <v>1.2226</v>
      </c>
    </row>
    <row r="9729">
      <c r="A9729" s="926" t="n">
        <v>44533</v>
      </c>
      <c r="B9729" t="n">
        <v>7.792</v>
      </c>
      <c r="C9729" t="n">
        <v>1.22325</v>
      </c>
    </row>
    <row r="9730">
      <c r="A9730" s="926" t="n">
        <v>44534</v>
      </c>
      <c r="B9730" t="n">
        <v>7.795</v>
      </c>
      <c r="C9730" t="n">
        <v>1.22305</v>
      </c>
    </row>
    <row r="9731">
      <c r="A9731" s="926" t="n">
        <v>44536</v>
      </c>
      <c r="B9731" t="n">
        <v>7.799</v>
      </c>
      <c r="C9731" t="n">
        <v>1.22355</v>
      </c>
    </row>
    <row r="9732">
      <c r="A9732" s="926" t="n">
        <v>44537</v>
      </c>
      <c r="B9732" t="n">
        <v>7.802</v>
      </c>
      <c r="C9732" t="n">
        <v>1.22495</v>
      </c>
    </row>
    <row r="9733">
      <c r="A9733" s="926" t="n">
        <v>44538</v>
      </c>
      <c r="B9733" t="n">
        <v>7.798</v>
      </c>
      <c r="C9733" t="n">
        <v>1.2273</v>
      </c>
    </row>
    <row r="9734">
      <c r="A9734" s="926" t="n">
        <v>44539</v>
      </c>
      <c r="B9734" t="n">
        <v>7.799</v>
      </c>
      <c r="C9734" t="n">
        <v>1.2298</v>
      </c>
    </row>
    <row r="9735">
      <c r="A9735" s="926" t="n">
        <v>44540</v>
      </c>
      <c r="B9735" t="n">
        <v>7.8</v>
      </c>
      <c r="C9735" t="n">
        <v>1.22505</v>
      </c>
    </row>
    <row r="9736">
      <c r="A9736" s="926" t="n">
        <v>44541</v>
      </c>
      <c r="B9736" t="n">
        <v>7.8</v>
      </c>
      <c r="C9736" t="n">
        <v>1.22325</v>
      </c>
    </row>
    <row r="9737">
      <c r="A9737" s="926" t="n">
        <v>44543</v>
      </c>
      <c r="B9737" t="n">
        <v>7.8</v>
      </c>
      <c r="C9737" t="n">
        <v>1.2239</v>
      </c>
    </row>
    <row r="9738">
      <c r="A9738" s="926" t="n">
        <v>44544</v>
      </c>
      <c r="B9738" t="n">
        <v>7.802</v>
      </c>
      <c r="C9738" t="n">
        <v>1.22505</v>
      </c>
    </row>
    <row r="9739">
      <c r="A9739" s="926" t="n">
        <v>44545</v>
      </c>
      <c r="B9739" t="n">
        <v>7.804</v>
      </c>
      <c r="C9739" t="n">
        <v>1.22485</v>
      </c>
    </row>
    <row r="9740">
      <c r="A9740" s="926" t="n">
        <v>44546</v>
      </c>
      <c r="B9740" t="n">
        <v>7.805</v>
      </c>
      <c r="C9740" t="n">
        <v>1.2248</v>
      </c>
    </row>
    <row r="9741">
      <c r="A9741" s="926" t="n">
        <v>44547</v>
      </c>
      <c r="B9741" t="n">
        <v>7.802</v>
      </c>
      <c r="C9741" t="n">
        <v>1.22355</v>
      </c>
    </row>
    <row r="9742">
      <c r="A9742" s="926" t="n">
        <v>44548</v>
      </c>
      <c r="B9742" t="n">
        <v>7.803</v>
      </c>
      <c r="C9742" t="n">
        <v>1.22155</v>
      </c>
    </row>
    <row r="9743">
      <c r="A9743" s="926" t="n">
        <v>44550</v>
      </c>
      <c r="B9743" t="n">
        <v>7.802</v>
      </c>
      <c r="C9743" t="n">
        <v>1.2216</v>
      </c>
    </row>
    <row r="9744">
      <c r="A9744" s="926" t="n">
        <v>44551</v>
      </c>
      <c r="B9744" t="n">
        <v>7.8</v>
      </c>
      <c r="C9744" t="n">
        <v>1.2231</v>
      </c>
    </row>
    <row r="9745">
      <c r="A9745" s="926" t="n">
        <v>44552</v>
      </c>
      <c r="B9745" t="n">
        <v>7.801</v>
      </c>
      <c r="C9745" t="n">
        <v>1.2233</v>
      </c>
    </row>
    <row r="9746">
      <c r="A9746" s="926" t="n">
        <v>44553</v>
      </c>
      <c r="B9746" t="n">
        <v>7.799</v>
      </c>
      <c r="C9746" t="n">
        <v>1.2231</v>
      </c>
    </row>
    <row r="9747">
      <c r="A9747" s="926" t="n">
        <v>44554</v>
      </c>
      <c r="B9747" t="n">
        <v>7.8</v>
      </c>
      <c r="C9747" t="n">
        <v>1.2239</v>
      </c>
    </row>
    <row r="9748">
      <c r="A9748" s="926" t="n">
        <v>44558</v>
      </c>
      <c r="B9748" t="n">
        <v>7.801</v>
      </c>
      <c r="C9748" t="n">
        <v>1.2238</v>
      </c>
    </row>
    <row r="9749">
      <c r="A9749" s="926" t="n">
        <v>44559</v>
      </c>
      <c r="B9749" t="n">
        <v>7.798</v>
      </c>
      <c r="C9749" t="n">
        <v>1.2239</v>
      </c>
    </row>
    <row r="9750">
      <c r="A9750" s="926" t="n">
        <v>44560</v>
      </c>
      <c r="B9750" t="n">
        <v>7.799</v>
      </c>
      <c r="C9750" t="n">
        <v>1.22515</v>
      </c>
    </row>
    <row r="9751">
      <c r="A9751" s="926" t="n">
        <v>44561</v>
      </c>
      <c r="B9751" t="n">
        <v>7.798</v>
      </c>
      <c r="C9751" t="n">
        <v>1.2245</v>
      </c>
    </row>
    <row r="9752">
      <c r="A9752" s="926" t="n">
        <v>44564</v>
      </c>
      <c r="B9752" t="n">
        <v>7.8</v>
      </c>
      <c r="C9752" t="n">
        <v>1.2264</v>
      </c>
    </row>
    <row r="9753">
      <c r="A9753" s="926" t="n">
        <v>44565</v>
      </c>
      <c r="B9753" t="n">
        <v>7.796</v>
      </c>
      <c r="C9753" t="n">
        <v>1.222</v>
      </c>
    </row>
    <row r="9754">
      <c r="A9754" s="926" t="n">
        <v>44566</v>
      </c>
      <c r="B9754" t="n">
        <v>7.795</v>
      </c>
      <c r="C9754" t="n">
        <v>1.22295</v>
      </c>
    </row>
    <row r="9755">
      <c r="A9755" s="926" t="n">
        <v>44567</v>
      </c>
      <c r="B9755" t="n">
        <v>7.801</v>
      </c>
      <c r="C9755" t="n">
        <v>1.2224</v>
      </c>
    </row>
    <row r="9756">
      <c r="A9756" s="926" t="n">
        <v>44568</v>
      </c>
      <c r="B9756" t="n">
        <v>7.801</v>
      </c>
      <c r="C9756" t="n">
        <v>1.2225</v>
      </c>
    </row>
    <row r="9757">
      <c r="A9757" s="926" t="n">
        <v>44569</v>
      </c>
      <c r="B9757" t="n">
        <v>7.798</v>
      </c>
      <c r="C9757" t="n">
        <v>1.22175</v>
      </c>
    </row>
    <row r="9758">
      <c r="A9758" s="926" t="n">
        <v>44571</v>
      </c>
      <c r="B9758" t="n">
        <v>7.798</v>
      </c>
      <c r="C9758" t="n">
        <v>1.2225</v>
      </c>
    </row>
    <row r="9759">
      <c r="A9759" s="926" t="n">
        <v>44572</v>
      </c>
      <c r="B9759" t="n">
        <v>7.798</v>
      </c>
      <c r="C9759" t="n">
        <v>1.2224</v>
      </c>
    </row>
    <row r="9760">
      <c r="A9760" s="926" t="n">
        <v>44573</v>
      </c>
      <c r="B9760" t="n">
        <v>7.797</v>
      </c>
      <c r="C9760" t="n">
        <v>1.22395</v>
      </c>
    </row>
    <row r="9761">
      <c r="A9761" s="926" t="n">
        <v>44574</v>
      </c>
      <c r="B9761" t="n">
        <v>7.791</v>
      </c>
      <c r="C9761" t="n">
        <v>1.22395</v>
      </c>
    </row>
    <row r="9762">
      <c r="A9762" s="926" t="n">
        <v>44575</v>
      </c>
      <c r="B9762" t="n">
        <v>7.788</v>
      </c>
      <c r="C9762" t="n">
        <v>1.2259</v>
      </c>
    </row>
    <row r="9763">
      <c r="A9763" s="926" t="n">
        <v>44576</v>
      </c>
      <c r="B9763" t="n">
        <v>7.786</v>
      </c>
      <c r="C9763" t="n">
        <v>1.22455</v>
      </c>
    </row>
    <row r="9764">
      <c r="A9764" s="926" t="n">
        <v>44578</v>
      </c>
      <c r="B9764" t="n">
        <v>7.788</v>
      </c>
      <c r="C9764" t="n">
        <v>1.2259</v>
      </c>
    </row>
    <row r="9765">
      <c r="A9765" s="926" t="n">
        <v>44579</v>
      </c>
      <c r="B9765" t="n">
        <v>7.795</v>
      </c>
      <c r="C9765" t="n">
        <v>1.2281</v>
      </c>
    </row>
    <row r="9766">
      <c r="A9766" s="926" t="n">
        <v>44580</v>
      </c>
      <c r="B9766" t="n">
        <v>7.793</v>
      </c>
      <c r="C9766" t="n">
        <v>1.22695</v>
      </c>
    </row>
    <row r="9767">
      <c r="A9767" s="926" t="n">
        <v>44581</v>
      </c>
      <c r="B9767" t="n">
        <v>7.791</v>
      </c>
      <c r="C9767" t="n">
        <v>1.22755</v>
      </c>
    </row>
    <row r="9768">
      <c r="A9768" s="926" t="n">
        <v>44582</v>
      </c>
      <c r="B9768" t="n">
        <v>7.789</v>
      </c>
      <c r="C9768" t="n">
        <v>1.2277</v>
      </c>
    </row>
    <row r="9769">
      <c r="A9769" s="926" t="n">
        <v>44583</v>
      </c>
      <c r="B9769" t="n">
        <v>7.787</v>
      </c>
      <c r="C9769" t="n">
        <v>1.2282</v>
      </c>
    </row>
    <row r="9770">
      <c r="A9770" s="926" t="n">
        <v>44585</v>
      </c>
      <c r="B9770" t="n">
        <v>7.788</v>
      </c>
      <c r="C9770" t="n">
        <v>1.22835</v>
      </c>
    </row>
    <row r="9771">
      <c r="A9771" s="926" t="n">
        <v>44586</v>
      </c>
      <c r="B9771" t="n">
        <v>7.786</v>
      </c>
      <c r="C9771" t="n">
        <v>1.22905</v>
      </c>
    </row>
    <row r="9772">
      <c r="A9772" s="926" t="n">
        <v>44587</v>
      </c>
      <c r="B9772" t="n">
        <v>7.787</v>
      </c>
      <c r="C9772" t="n">
        <v>1.23085</v>
      </c>
    </row>
    <row r="9773">
      <c r="A9773" s="926" t="n">
        <v>44588</v>
      </c>
      <c r="B9773" t="n">
        <v>7.792</v>
      </c>
      <c r="C9773" t="n">
        <v>1.2273</v>
      </c>
    </row>
    <row r="9774">
      <c r="A9774" s="926" t="n">
        <v>44589</v>
      </c>
      <c r="B9774" t="n">
        <v>7.794</v>
      </c>
      <c r="C9774" t="n">
        <v>1.2246</v>
      </c>
    </row>
    <row r="9775">
      <c r="A9775" s="926" t="n">
        <v>44590</v>
      </c>
      <c r="B9775" t="n">
        <v>7.793</v>
      </c>
      <c r="C9775" t="n">
        <v>1.22385</v>
      </c>
    </row>
    <row r="9776">
      <c r="A9776" s="926" t="n">
        <v>44592</v>
      </c>
      <c r="B9776" t="n">
        <v>7.798</v>
      </c>
      <c r="C9776" t="n">
        <v>1.2239</v>
      </c>
    </row>
    <row r="9777">
      <c r="A9777" s="926" t="n">
        <v>44596</v>
      </c>
      <c r="B9777" t="n">
        <v>7.792</v>
      </c>
      <c r="C9777" t="n">
        <v>1.2266</v>
      </c>
    </row>
    <row r="9778">
      <c r="A9778" s="926" t="n">
        <v>44597</v>
      </c>
      <c r="B9778" t="n">
        <v>7.789</v>
      </c>
      <c r="C9778" t="n">
        <v>1.22485</v>
      </c>
    </row>
    <row r="9779">
      <c r="A9779" s="926" t="n">
        <v>44598</v>
      </c>
      <c r="B9779" t="n">
        <v>7.789</v>
      </c>
      <c r="C9779" t="n">
        <v>1.22485</v>
      </c>
    </row>
    <row r="9780">
      <c r="A9780" s="926" t="n">
        <v>44599</v>
      </c>
      <c r="B9780" t="n">
        <v>7.794</v>
      </c>
      <c r="C9780" t="n">
        <v>1.2254</v>
      </c>
    </row>
    <row r="9781">
      <c r="A9781" s="926" t="n">
        <v>44600</v>
      </c>
      <c r="B9781" t="n">
        <v>7.796</v>
      </c>
      <c r="C9781" t="n">
        <v>1.2247</v>
      </c>
    </row>
    <row r="9782">
      <c r="A9782" s="926" t="n">
        <v>44601</v>
      </c>
      <c r="B9782" t="n">
        <v>7.794</v>
      </c>
      <c r="C9782" t="n">
        <v>1.22425</v>
      </c>
    </row>
    <row r="9783">
      <c r="A9783" s="926" t="n">
        <v>44602</v>
      </c>
      <c r="B9783" t="n">
        <v>7.794</v>
      </c>
      <c r="C9783" t="n">
        <v>1.2258</v>
      </c>
    </row>
    <row r="9784">
      <c r="A9784" s="926" t="n">
        <v>44603</v>
      </c>
      <c r="B9784" t="n">
        <v>7.804</v>
      </c>
      <c r="C9784" t="n">
        <v>1.2265</v>
      </c>
    </row>
    <row r="9785">
      <c r="A9785" s="926" t="n">
        <v>44604</v>
      </c>
      <c r="B9785" t="n">
        <v>7.801</v>
      </c>
      <c r="C9785" t="n">
        <v>1.22555</v>
      </c>
    </row>
    <row r="9786">
      <c r="A9786" s="926" t="n">
        <v>44605</v>
      </c>
      <c r="B9786" t="n">
        <v>7.801</v>
      </c>
      <c r="C9786" t="n">
        <v>1.22555</v>
      </c>
    </row>
    <row r="9787">
      <c r="A9787" s="926" t="n">
        <v>44606</v>
      </c>
      <c r="B9787" t="n">
        <v>7.803</v>
      </c>
      <c r="C9787" t="n">
        <v>1.2257</v>
      </c>
    </row>
    <row r="9788">
      <c r="A9788" s="926" t="n">
        <v>44607</v>
      </c>
      <c r="B9788" t="n">
        <v>7.804</v>
      </c>
      <c r="C9788" t="n">
        <v>1.22835</v>
      </c>
    </row>
    <row r="9789">
      <c r="A9789" s="926" t="n">
        <v>44608</v>
      </c>
      <c r="B9789" t="n">
        <v>7.802</v>
      </c>
      <c r="C9789" t="n">
        <v>1.23175</v>
      </c>
    </row>
    <row r="9790">
      <c r="A9790" s="926" t="n">
        <v>44609</v>
      </c>
      <c r="B9790" t="n">
        <v>7.802</v>
      </c>
      <c r="C9790" t="n">
        <v>1.23255</v>
      </c>
    </row>
    <row r="9791">
      <c r="A9791" s="926" t="n">
        <v>44610</v>
      </c>
      <c r="B9791" t="n">
        <v>7.801</v>
      </c>
      <c r="C9791" t="n">
        <v>1.23315</v>
      </c>
    </row>
    <row r="9792">
      <c r="A9792" s="926" t="n">
        <v>44611</v>
      </c>
      <c r="B9792" t="n">
        <v>7.801</v>
      </c>
      <c r="C9792" t="n">
        <v>1.2333</v>
      </c>
    </row>
    <row r="9793">
      <c r="A9793" s="926" t="n">
        <v>44612</v>
      </c>
      <c r="B9793" t="n">
        <v>7.801</v>
      </c>
      <c r="C9793" t="n">
        <v>1.2333</v>
      </c>
    </row>
    <row r="9794">
      <c r="A9794" s="926" t="n">
        <v>44613</v>
      </c>
      <c r="B9794" t="n">
        <v>7.801</v>
      </c>
      <c r="C9794" t="n">
        <v>1.23245</v>
      </c>
    </row>
    <row r="9795">
      <c r="A9795" s="926" t="n">
        <v>44614</v>
      </c>
      <c r="B9795" t="n">
        <v>7.803</v>
      </c>
      <c r="C9795" t="n">
        <v>1.2308</v>
      </c>
    </row>
    <row r="9796">
      <c r="A9796" s="926" t="n">
        <v>44615</v>
      </c>
      <c r="B9796" t="n">
        <v>7.804</v>
      </c>
      <c r="C9796" t="n">
        <v>1.23385</v>
      </c>
    </row>
    <row r="9797">
      <c r="A9797" s="926" t="n">
        <v>44616</v>
      </c>
      <c r="B9797" t="n">
        <v>7.81</v>
      </c>
      <c r="C9797" t="n">
        <v>1.23605</v>
      </c>
    </row>
    <row r="9798">
      <c r="A9798" s="926" t="n">
        <v>44617</v>
      </c>
      <c r="B9798" t="n">
        <v>7.808</v>
      </c>
      <c r="C9798" t="n">
        <v>1.23755</v>
      </c>
    </row>
    <row r="9799">
      <c r="A9799" s="926" t="n">
        <v>44618</v>
      </c>
      <c r="B9799" t="n">
        <v>7.809</v>
      </c>
      <c r="C9799" t="n">
        <v>1.2375</v>
      </c>
    </row>
    <row r="9800">
      <c r="A9800" s="926" t="n">
        <v>44619</v>
      </c>
      <c r="B9800" t="n">
        <v>7.809</v>
      </c>
      <c r="C9800" t="n">
        <v>1.2375</v>
      </c>
    </row>
    <row r="9801">
      <c r="A9801" s="926" t="n">
        <v>44620</v>
      </c>
      <c r="B9801" t="n">
        <v>7.814</v>
      </c>
      <c r="C9801" t="n">
        <v>1.23795</v>
      </c>
    </row>
    <row r="9802">
      <c r="A9802" s="926" t="n">
        <v>44621</v>
      </c>
      <c r="B9802" t="n">
        <v>7.815</v>
      </c>
      <c r="C9802" t="n">
        <v>1.23775</v>
      </c>
    </row>
    <row r="9803">
      <c r="A9803" s="926" t="n">
        <v>44622</v>
      </c>
      <c r="B9803" t="n">
        <v>7.817</v>
      </c>
      <c r="C9803" t="n">
        <v>1.23825</v>
      </c>
    </row>
    <row r="9804">
      <c r="A9804" s="926" t="n">
        <v>44623</v>
      </c>
      <c r="B9804" t="n">
        <v>7.815</v>
      </c>
      <c r="C9804" t="n">
        <v>1.23615</v>
      </c>
    </row>
    <row r="9805">
      <c r="A9805" s="926" t="n">
        <v>44624</v>
      </c>
      <c r="B9805" t="n">
        <v>7.817</v>
      </c>
      <c r="C9805" t="n">
        <v>1.23645</v>
      </c>
    </row>
    <row r="9806">
      <c r="A9806" s="926" t="n">
        <v>44625</v>
      </c>
      <c r="B9806" t="n">
        <v>7.814</v>
      </c>
      <c r="C9806" t="n">
        <v>1.23545</v>
      </c>
    </row>
    <row r="9807">
      <c r="A9807" s="926" t="n">
        <v>44627</v>
      </c>
      <c r="B9807" t="n">
        <v>7.815</v>
      </c>
      <c r="C9807" t="n">
        <v>1.2358</v>
      </c>
    </row>
    <row r="9808">
      <c r="A9808" s="926" t="n">
        <v>44628</v>
      </c>
      <c r="B9808" t="n">
        <v>7.823</v>
      </c>
      <c r="C9808" t="n">
        <v>1.23755</v>
      </c>
    </row>
    <row r="9809">
      <c r="A9809" s="926" t="n">
        <v>44629</v>
      </c>
      <c r="B9809" t="n">
        <v>7.821</v>
      </c>
      <c r="C9809" t="n">
        <v>1.23635</v>
      </c>
    </row>
    <row r="9810">
      <c r="A9810" s="926" t="n">
        <v>44630</v>
      </c>
      <c r="B9810" t="n">
        <v>7.82</v>
      </c>
      <c r="C9810" t="n">
        <v>1.23615</v>
      </c>
    </row>
    <row r="9811">
      <c r="A9811" s="926" t="n">
        <v>44631</v>
      </c>
      <c r="B9811" t="n">
        <v>7.826</v>
      </c>
      <c r="C9811" t="n">
        <v>1.23695</v>
      </c>
    </row>
    <row r="9812">
      <c r="A9812" s="926" t="n">
        <v>44632</v>
      </c>
      <c r="B9812" t="n">
        <v>7.83</v>
      </c>
      <c r="C9812" t="n">
        <v>1.2317</v>
      </c>
    </row>
    <row r="9813">
      <c r="A9813" s="926" t="n">
        <v>44634</v>
      </c>
      <c r="B9813" t="n">
        <v>7.83</v>
      </c>
      <c r="C9813" t="n">
        <v>1.229</v>
      </c>
    </row>
    <row r="9814">
      <c r="A9814" s="926" t="n">
        <v>44635</v>
      </c>
      <c r="B9814" t="n">
        <v>7.828</v>
      </c>
      <c r="C9814" t="n">
        <v>1.223</v>
      </c>
    </row>
    <row r="9815">
      <c r="A9815" s="926" t="n">
        <v>44636</v>
      </c>
      <c r="B9815" t="n">
        <v>7.822</v>
      </c>
      <c r="C9815" t="n">
        <v>1.22995</v>
      </c>
    </row>
    <row r="9816">
      <c r="A9816" s="926" t="n">
        <v>44637</v>
      </c>
      <c r="B9816" t="n">
        <v>7.822</v>
      </c>
      <c r="C9816" t="n">
        <v>1.22965</v>
      </c>
    </row>
    <row r="9817">
      <c r="A9817" s="926" t="n">
        <v>44638</v>
      </c>
      <c r="B9817" t="n">
        <v>7.821</v>
      </c>
      <c r="C9817" t="n">
        <v>1.2287</v>
      </c>
    </row>
    <row r="9818">
      <c r="A9818" s="926" t="n">
        <v>44639</v>
      </c>
      <c r="B9818" t="n">
        <v>7.825</v>
      </c>
      <c r="C9818" t="n">
        <v>1.22905</v>
      </c>
    </row>
    <row r="9819">
      <c r="A9819" s="926" t="n">
        <v>44641</v>
      </c>
      <c r="B9819" t="n">
        <v>7.826</v>
      </c>
      <c r="C9819" t="n">
        <v>1.22755</v>
      </c>
    </row>
    <row r="9820">
      <c r="A9820" s="926" t="n">
        <v>44642</v>
      </c>
      <c r="B9820" t="n">
        <v>7.829</v>
      </c>
      <c r="C9820" t="n">
        <v>1.22815</v>
      </c>
    </row>
    <row r="9821">
      <c r="A9821" s="926" t="n">
        <v>44643</v>
      </c>
      <c r="B9821" t="n">
        <v>7.827</v>
      </c>
      <c r="C9821" t="n">
        <v>1.226</v>
      </c>
    </row>
    <row r="9822">
      <c r="A9822" s="926" t="n">
        <v>44644</v>
      </c>
      <c r="B9822" t="n">
        <v>7.826</v>
      </c>
      <c r="C9822" t="n">
        <v>1.22615</v>
      </c>
    </row>
    <row r="9823">
      <c r="A9823" s="926" t="n">
        <v>44645</v>
      </c>
      <c r="B9823" t="n">
        <v>7.826</v>
      </c>
      <c r="C9823" t="n">
        <v>1.22745</v>
      </c>
    </row>
    <row r="9824">
      <c r="A9824" s="926" t="n">
        <v>44646</v>
      </c>
      <c r="B9824" t="n">
        <v>7.829</v>
      </c>
      <c r="C9824" t="n">
        <v>1.22635</v>
      </c>
    </row>
    <row r="9825">
      <c r="A9825" s="926" t="n">
        <v>44648</v>
      </c>
      <c r="B9825" t="n">
        <v>7.829</v>
      </c>
      <c r="C9825" t="n">
        <v>1.22535</v>
      </c>
    </row>
    <row r="9826">
      <c r="A9826" s="926" t="n">
        <v>44649</v>
      </c>
      <c r="B9826" t="n">
        <v>7.829</v>
      </c>
      <c r="C9826" t="n">
        <v>1.2268</v>
      </c>
    </row>
    <row r="9827">
      <c r="A9827" s="926" t="n">
        <v>44650</v>
      </c>
      <c r="B9827" t="n">
        <v>7.828</v>
      </c>
      <c r="C9827" t="n">
        <v>1.2309</v>
      </c>
    </row>
    <row r="9828">
      <c r="A9828" s="926" t="n">
        <v>44651</v>
      </c>
      <c r="B9828" t="n">
        <v>7.831</v>
      </c>
      <c r="C9828" t="n">
        <v>1.23325</v>
      </c>
    </row>
    <row r="9829">
      <c r="A9829" s="926" t="n">
        <v>44652</v>
      </c>
      <c r="B9829" t="n">
        <v>7.835</v>
      </c>
      <c r="C9829" t="n">
        <v>1.2323</v>
      </c>
    </row>
    <row r="9830">
      <c r="A9830" s="926" t="n">
        <v>44653</v>
      </c>
      <c r="B9830" t="n">
        <v>7.835</v>
      </c>
      <c r="C9830" t="n">
        <v>1.2304</v>
      </c>
    </row>
    <row r="9831">
      <c r="A9831" s="926" t="n">
        <v>44655</v>
      </c>
      <c r="B9831" t="n">
        <v>7.836</v>
      </c>
      <c r="C9831" t="n">
        <v>1.2299</v>
      </c>
    </row>
    <row r="9832">
      <c r="A9832" s="926" t="n">
        <v>44657</v>
      </c>
      <c r="B9832" t="n">
        <v>7.84</v>
      </c>
      <c r="C9832" t="n">
        <v>1.22985</v>
      </c>
    </row>
    <row r="9833">
      <c r="A9833" s="926" t="n">
        <v>44658</v>
      </c>
      <c r="B9833" t="n">
        <v>7.839</v>
      </c>
      <c r="C9833" t="n">
        <v>1.2323</v>
      </c>
    </row>
    <row r="9834">
      <c r="A9834" s="926" t="n">
        <v>44659</v>
      </c>
      <c r="B9834" t="n">
        <v>7.839</v>
      </c>
      <c r="C9834" t="n">
        <v>1.23125</v>
      </c>
    </row>
    <row r="9835">
      <c r="A9835" s="926" t="n">
        <v>44660</v>
      </c>
      <c r="B9835" t="n">
        <v>7.84</v>
      </c>
      <c r="C9835" t="n">
        <v>1.2311</v>
      </c>
    </row>
    <row r="9836">
      <c r="A9836" s="926" t="n">
        <v>44662</v>
      </c>
      <c r="B9836" t="n">
        <v>7.84</v>
      </c>
      <c r="C9836" t="n">
        <v>1.2283</v>
      </c>
    </row>
    <row r="9837">
      <c r="A9837" s="926" t="n">
        <v>44663</v>
      </c>
      <c r="B9837" t="n">
        <v>7.838</v>
      </c>
      <c r="C9837" t="n">
        <v>1.22945</v>
      </c>
    </row>
    <row r="9838">
      <c r="A9838" s="926" t="n">
        <v>44664</v>
      </c>
      <c r="B9838" t="n">
        <v>7.84</v>
      </c>
      <c r="C9838" t="n">
        <v>1.2298</v>
      </c>
    </row>
    <row r="9839">
      <c r="A9839" s="926" t="n">
        <v>44665</v>
      </c>
      <c r="B9839" t="n">
        <v>7.841</v>
      </c>
      <c r="C9839" t="n">
        <v>1.2301</v>
      </c>
    </row>
    <row r="9840">
      <c r="A9840" s="926" t="n">
        <v>44670</v>
      </c>
      <c r="B9840" t="n">
        <v>7.844</v>
      </c>
      <c r="C9840" t="n">
        <v>1.2286</v>
      </c>
    </row>
    <row r="9841">
      <c r="A9841" s="926" t="n">
        <v>44671</v>
      </c>
      <c r="B9841" t="n">
        <v>7.845</v>
      </c>
      <c r="C9841" t="n">
        <v>1.2201</v>
      </c>
    </row>
    <row r="9842">
      <c r="A9842" s="926" t="n">
        <v>44672</v>
      </c>
      <c r="B9842" t="n">
        <v>7.845</v>
      </c>
      <c r="C9842" t="n">
        <v>1.21255</v>
      </c>
    </row>
    <row r="9843">
      <c r="A9843" s="926" t="n">
        <v>44673</v>
      </c>
      <c r="B9843" t="n">
        <v>7.846</v>
      </c>
      <c r="C9843" t="n">
        <v>1.2078</v>
      </c>
    </row>
    <row r="9844">
      <c r="A9844" s="926" t="n">
        <v>44674</v>
      </c>
      <c r="B9844" t="n">
        <v>7.847</v>
      </c>
      <c r="C9844" t="n">
        <v>1.2022</v>
      </c>
    </row>
    <row r="9845">
      <c r="A9845" s="926" t="n">
        <v>44676</v>
      </c>
      <c r="B9845" t="n">
        <v>7.847</v>
      </c>
      <c r="C9845" t="n">
        <v>1.19105</v>
      </c>
    </row>
    <row r="9846">
      <c r="A9846" s="926" t="n">
        <v>44677</v>
      </c>
      <c r="B9846" t="n">
        <v>7.848</v>
      </c>
      <c r="C9846" t="n">
        <v>1.1934</v>
      </c>
    </row>
    <row r="9847">
      <c r="A9847" s="926" t="n">
        <v>44678</v>
      </c>
      <c r="B9847" t="n">
        <v>7.848</v>
      </c>
      <c r="C9847" t="n">
        <v>1.1915</v>
      </c>
    </row>
    <row r="9848">
      <c r="A9848" s="926" t="n">
        <v>44679</v>
      </c>
      <c r="B9848" t="n">
        <v>7.848</v>
      </c>
      <c r="C9848" t="n">
        <v>1.18175</v>
      </c>
    </row>
    <row r="9849">
      <c r="A9849" s="926" t="n">
        <v>44680</v>
      </c>
      <c r="B9849" t="n">
        <v>7.848</v>
      </c>
      <c r="C9849" t="n">
        <v>1.18345</v>
      </c>
    </row>
    <row r="9850">
      <c r="A9850" s="926" t="n">
        <v>44681</v>
      </c>
      <c r="B9850" t="n">
        <v>7.847</v>
      </c>
      <c r="C9850" t="n">
        <v>1.18155</v>
      </c>
    </row>
    <row r="9851">
      <c r="A9851" s="926" t="n">
        <v>44684</v>
      </c>
      <c r="B9851" t="n">
        <v>7.849</v>
      </c>
      <c r="C9851" t="n">
        <v>1.17425</v>
      </c>
    </row>
    <row r="9852">
      <c r="A9852" s="926" t="n">
        <v>44685</v>
      </c>
      <c r="B9852" t="n">
        <v>7.85</v>
      </c>
      <c r="C9852" t="n">
        <v>1.18085</v>
      </c>
    </row>
    <row r="9853">
      <c r="A9853" s="926" t="n">
        <v>44686</v>
      </c>
      <c r="B9853" t="n">
        <v>7.85</v>
      </c>
      <c r="C9853" t="n">
        <v>1.18175</v>
      </c>
    </row>
    <row r="9854">
      <c r="A9854" s="926" t="n">
        <v>44687</v>
      </c>
      <c r="B9854" t="n">
        <v>7.851</v>
      </c>
      <c r="C9854" t="n">
        <v>1.1693</v>
      </c>
    </row>
    <row r="9855">
      <c r="A9855" s="926" t="n">
        <v>44688</v>
      </c>
      <c r="B9855" t="n">
        <v>7.8505</v>
      </c>
      <c r="C9855" t="n">
        <v>1.1685</v>
      </c>
    </row>
    <row r="9856">
      <c r="A9856" s="926" t="n">
        <v>44691</v>
      </c>
      <c r="B9856" t="n">
        <v>7.851</v>
      </c>
      <c r="C9856" t="n">
        <v>1.1666</v>
      </c>
    </row>
    <row r="9857">
      <c r="A9857" s="926" t="n">
        <v>44692</v>
      </c>
      <c r="B9857" t="n">
        <v>7.851</v>
      </c>
      <c r="C9857" t="n">
        <v>1.1645</v>
      </c>
    </row>
    <row r="9858">
      <c r="A9858" s="926" t="n">
        <v>44693</v>
      </c>
      <c r="B9858" t="n">
        <v>7.851</v>
      </c>
      <c r="C9858" t="n">
        <v>1.15445</v>
      </c>
    </row>
    <row r="9859">
      <c r="A9859" s="926" t="n">
        <v>44694</v>
      </c>
      <c r="B9859" t="n">
        <v>7.851</v>
      </c>
      <c r="C9859" t="n">
        <v>1.15055</v>
      </c>
    </row>
    <row r="9860">
      <c r="A9860" s="926" t="n">
        <v>44695</v>
      </c>
      <c r="B9860" t="n">
        <v>7.851</v>
      </c>
      <c r="C9860" t="n">
        <v>1.15535</v>
      </c>
    </row>
    <row r="9861">
      <c r="A9861" s="926" t="n">
        <v>44697</v>
      </c>
      <c r="B9861" t="n">
        <v>7.851</v>
      </c>
      <c r="C9861" t="n">
        <v>1.15185</v>
      </c>
    </row>
    <row r="9862">
      <c r="A9862" s="926" t="n">
        <v>44698</v>
      </c>
      <c r="B9862" t="n">
        <v>7.851</v>
      </c>
      <c r="C9862" t="n">
        <v>1.16035</v>
      </c>
    </row>
    <row r="9863">
      <c r="A9863" s="926" t="n">
        <v>44699</v>
      </c>
      <c r="B9863" t="n">
        <v>7.851</v>
      </c>
      <c r="C9863" t="n">
        <v>1.16125</v>
      </c>
    </row>
    <row r="9864">
      <c r="A9864" s="926" t="n">
        <v>44700</v>
      </c>
      <c r="B9864" t="n">
        <v>7.849</v>
      </c>
      <c r="C9864" t="n">
        <v>1.1572</v>
      </c>
    </row>
    <row r="9865">
      <c r="A9865" s="926" t="n">
        <v>44701</v>
      </c>
      <c r="B9865" t="n">
        <v>7.848</v>
      </c>
      <c r="C9865" t="n">
        <v>1.1761</v>
      </c>
    </row>
    <row r="9866">
      <c r="A9866" s="926" t="n">
        <v>44702</v>
      </c>
      <c r="B9866" t="n">
        <v>7.849</v>
      </c>
      <c r="C9866" t="n">
        <v>1.17145</v>
      </c>
    </row>
    <row r="9867">
      <c r="A9867" s="926" t="n">
        <v>44704</v>
      </c>
      <c r="B9867" t="n">
        <v>7.85</v>
      </c>
      <c r="C9867" t="n">
        <v>1.17585</v>
      </c>
    </row>
    <row r="9868">
      <c r="A9868" s="926" t="n">
        <v>44705</v>
      </c>
      <c r="B9868" t="n">
        <v>7.85</v>
      </c>
      <c r="C9868" t="n">
        <v>1.17395</v>
      </c>
    </row>
    <row r="9869">
      <c r="A9869" s="926" t="n">
        <v>44706</v>
      </c>
      <c r="B9869" t="n">
        <v>7.85</v>
      </c>
      <c r="C9869" t="n">
        <v>1.17535</v>
      </c>
    </row>
    <row r="9870">
      <c r="A9870" s="926" t="n">
        <v>44707</v>
      </c>
      <c r="B9870" t="n">
        <v>7.851</v>
      </c>
      <c r="C9870" t="n">
        <v>1.16185</v>
      </c>
    </row>
    <row r="9871">
      <c r="A9871" s="926" t="n">
        <v>44708</v>
      </c>
      <c r="B9871" t="n">
        <v>7.851</v>
      </c>
      <c r="C9871" t="n">
        <v>1.1616</v>
      </c>
    </row>
    <row r="9872">
      <c r="A9872" s="926" t="n">
        <v>44709</v>
      </c>
      <c r="B9872" t="n">
        <v>7.85</v>
      </c>
      <c r="C9872" t="n">
        <v>1.16785</v>
      </c>
    </row>
    <row r="9873">
      <c r="A9873" s="926" t="n">
        <v>44711</v>
      </c>
      <c r="B9873" t="n">
        <v>7.85</v>
      </c>
      <c r="C9873" t="n">
        <v>1.17805</v>
      </c>
    </row>
    <row r="9874">
      <c r="A9874" s="926" t="n">
        <v>44712</v>
      </c>
      <c r="B9874" t="n">
        <v>7.849</v>
      </c>
      <c r="C9874" t="n">
        <v>1.17665</v>
      </c>
    </row>
    <row r="9875">
      <c r="A9875" s="926" t="n">
        <v>44713</v>
      </c>
      <c r="B9875" t="n">
        <v>7.847</v>
      </c>
      <c r="C9875" t="n">
        <v>1.1721</v>
      </c>
    </row>
    <row r="9876">
      <c r="A9876" s="926" t="n">
        <v>44714</v>
      </c>
      <c r="B9876" t="n">
        <v>7.847</v>
      </c>
      <c r="C9876" t="n">
        <v>1.1745</v>
      </c>
    </row>
    <row r="9877">
      <c r="A9877" s="926" t="n">
        <v>44716</v>
      </c>
      <c r="B9877" t="n">
        <v>7.846</v>
      </c>
      <c r="C9877" t="n">
        <v>1.17845</v>
      </c>
    </row>
    <row r="9878">
      <c r="A9878" s="926" t="n">
        <v>44718</v>
      </c>
      <c r="B9878" t="n">
        <v>7.847</v>
      </c>
      <c r="C9878" t="n">
        <v>1.17875</v>
      </c>
    </row>
    <row r="9879">
      <c r="A9879" s="926" t="n">
        <v>44719</v>
      </c>
      <c r="B9879" t="n">
        <v>7.847</v>
      </c>
      <c r="C9879" t="n">
        <v>1.17595</v>
      </c>
    </row>
    <row r="9880">
      <c r="A9880" s="926" t="n">
        <v>44720</v>
      </c>
      <c r="B9880" t="n">
        <v>7.848</v>
      </c>
      <c r="C9880" t="n">
        <v>1.17535</v>
      </c>
    </row>
    <row r="9881">
      <c r="A9881" s="926" t="n">
        <v>44721</v>
      </c>
      <c r="B9881" t="n">
        <v>7.85</v>
      </c>
      <c r="C9881" t="n">
        <v>1.174</v>
      </c>
    </row>
    <row r="9882">
      <c r="A9882" s="926" t="n">
        <v>44722</v>
      </c>
      <c r="B9882" t="n">
        <v>7.85</v>
      </c>
      <c r="C9882" t="n">
        <v>1.1732</v>
      </c>
    </row>
    <row r="9883">
      <c r="A9883" s="926" t="n">
        <v>44723</v>
      </c>
      <c r="B9883" t="n">
        <v>7.85</v>
      </c>
      <c r="C9883" t="n">
        <v>1.16645</v>
      </c>
    </row>
    <row r="9884">
      <c r="A9884" s="926" t="n">
        <v>44725</v>
      </c>
      <c r="B9884" t="n">
        <v>7.851</v>
      </c>
      <c r="C9884" t="n">
        <v>1.16325</v>
      </c>
    </row>
    <row r="9885">
      <c r="A9885" s="926" t="n">
        <v>44726</v>
      </c>
      <c r="B9885" t="n">
        <v>7.851</v>
      </c>
      <c r="C9885" t="n">
        <v>1.1662</v>
      </c>
    </row>
    <row r="9886">
      <c r="A9886" s="926" t="n">
        <v>44727</v>
      </c>
      <c r="B9886" t="n">
        <v>7.851</v>
      </c>
      <c r="C9886" t="n">
        <v>1.1678</v>
      </c>
    </row>
    <row r="9887">
      <c r="A9887" s="926" t="n">
        <v>44728</v>
      </c>
      <c r="B9887" t="n">
        <v>7.851</v>
      </c>
      <c r="C9887" t="n">
        <v>1.1698</v>
      </c>
    </row>
    <row r="9888">
      <c r="A9888" s="926" t="n">
        <v>44729</v>
      </c>
      <c r="B9888" t="n">
        <v>7.851</v>
      </c>
      <c r="C9888" t="n">
        <v>1.1715</v>
      </c>
    </row>
    <row r="9889">
      <c r="A9889" s="926" t="n">
        <v>44730</v>
      </c>
      <c r="B9889" t="n">
        <v>7.85</v>
      </c>
      <c r="C9889" t="n">
        <v>1.1703</v>
      </c>
    </row>
    <row r="9890">
      <c r="A9890" s="926" t="n">
        <v>44732</v>
      </c>
      <c r="B9890" t="n">
        <v>7.851</v>
      </c>
      <c r="C9890" t="n">
        <v>1.17545</v>
      </c>
    </row>
    <row r="9891">
      <c r="A9891" s="926" t="n">
        <v>44733</v>
      </c>
      <c r="B9891" t="n">
        <v>7.851</v>
      </c>
      <c r="C9891" t="n">
        <v>1.1733</v>
      </c>
    </row>
    <row r="9892">
      <c r="A9892" s="926" t="n">
        <v>44734</v>
      </c>
      <c r="B9892" t="n">
        <v>7.851</v>
      </c>
      <c r="C9892" t="n">
        <v>1.1673</v>
      </c>
    </row>
    <row r="9893">
      <c r="A9893" s="926" t="n">
        <v>44735</v>
      </c>
      <c r="B9893" t="n">
        <v>7.85</v>
      </c>
      <c r="C9893" t="n">
        <v>1.1712</v>
      </c>
    </row>
    <row r="9894">
      <c r="A9894" s="926" t="n">
        <v>44736</v>
      </c>
      <c r="B9894" t="n">
        <v>7.85</v>
      </c>
      <c r="C9894" t="n">
        <v>1.1728</v>
      </c>
    </row>
    <row r="9895">
      <c r="A9895" s="926" t="n">
        <v>44737</v>
      </c>
      <c r="B9895" t="n">
        <v>7.85</v>
      </c>
      <c r="C9895" t="n">
        <v>1.17455</v>
      </c>
    </row>
    <row r="9896">
      <c r="A9896" s="926" t="n">
        <v>44739</v>
      </c>
      <c r="B9896" t="n">
        <v>7.848</v>
      </c>
      <c r="C9896" t="n">
        <v>1.17465</v>
      </c>
    </row>
    <row r="9897">
      <c r="A9897" s="926" t="n">
        <v>44740</v>
      </c>
      <c r="B9897" t="n">
        <v>7.848</v>
      </c>
      <c r="C9897" t="n">
        <v>1.1749</v>
      </c>
    </row>
    <row r="9898">
      <c r="A9898" s="926" t="n">
        <v>44741</v>
      </c>
      <c r="B9898" t="n">
        <v>7.848</v>
      </c>
      <c r="C9898" t="n">
        <v>1.16965</v>
      </c>
    </row>
    <row r="9899">
      <c r="A9899" s="926" t="n">
        <v>44742</v>
      </c>
      <c r="B9899" t="n">
        <v>7.847</v>
      </c>
      <c r="C9899" t="n">
        <v>1.1714</v>
      </c>
    </row>
    <row r="9900">
      <c r="A9900" s="926" t="n">
        <v>44746</v>
      </c>
      <c r="B9900" t="n">
        <v>7.848</v>
      </c>
      <c r="C9900" t="n">
        <v>1.17245</v>
      </c>
    </row>
    <row r="9901">
      <c r="A9901" s="926" t="n">
        <v>44747</v>
      </c>
      <c r="B9901" t="n">
        <v>7.848</v>
      </c>
      <c r="C9901" t="n">
        <v>1.17185</v>
      </c>
    </row>
    <row r="9902">
      <c r="A9902" s="926" t="n">
        <v>44748</v>
      </c>
      <c r="B9902" t="n">
        <v>7.848</v>
      </c>
      <c r="C9902" t="n">
        <v>1.1699</v>
      </c>
    </row>
    <row r="9903">
      <c r="A9903" s="926" t="n">
        <v>44749</v>
      </c>
      <c r="B9903" t="n">
        <v>7.849</v>
      </c>
      <c r="C9903" t="n">
        <v>1.1701</v>
      </c>
    </row>
    <row r="9904">
      <c r="A9904" s="926" t="n">
        <v>44750</v>
      </c>
      <c r="B9904" t="n">
        <v>7.85</v>
      </c>
      <c r="C9904" t="n">
        <v>1.17105</v>
      </c>
    </row>
    <row r="9905">
      <c r="A9905" s="926" t="n">
        <v>44751</v>
      </c>
      <c r="B9905" t="n">
        <v>7.85</v>
      </c>
      <c r="C9905" t="n">
        <v>1.1744</v>
      </c>
    </row>
    <row r="9906">
      <c r="A9906" s="926" t="n">
        <v>44753</v>
      </c>
      <c r="B9906" t="n">
        <v>7.85</v>
      </c>
      <c r="C9906" t="n">
        <v>1.1696</v>
      </c>
    </row>
    <row r="9907">
      <c r="A9907" s="926" t="n">
        <v>44754</v>
      </c>
      <c r="B9907" t="n">
        <v>7.851</v>
      </c>
      <c r="C9907" t="n">
        <v>1.1646</v>
      </c>
    </row>
    <row r="9908">
      <c r="A9908" s="926" t="n">
        <v>44755</v>
      </c>
      <c r="B9908" t="n">
        <v>7.851</v>
      </c>
      <c r="C9908" t="n">
        <v>1.16805</v>
      </c>
    </row>
    <row r="9909">
      <c r="A9909" s="926" t="n">
        <v>44756</v>
      </c>
      <c r="B9909" t="n">
        <v>7.851</v>
      </c>
      <c r="C9909" t="n">
        <v>1.16425</v>
      </c>
    </row>
    <row r="9910">
      <c r="A9910" s="926" t="n">
        <v>44757</v>
      </c>
      <c r="B9910" t="n">
        <v>7.851</v>
      </c>
      <c r="C9910" t="n">
        <v>1.15805</v>
      </c>
    </row>
    <row r="9911">
      <c r="A9911" s="926" t="n">
        <v>44758</v>
      </c>
      <c r="B9911" t="n">
        <v>7.851</v>
      </c>
      <c r="C9911" t="n">
        <v>1.16165</v>
      </c>
    </row>
    <row r="9912">
      <c r="A9912" s="926" t="n">
        <v>44760</v>
      </c>
      <c r="B9912" t="n">
        <v>7.851</v>
      </c>
      <c r="C9912" t="n">
        <v>1.16265</v>
      </c>
    </row>
    <row r="9913">
      <c r="A9913" s="926" t="n">
        <v>44761</v>
      </c>
      <c r="B9913" t="n">
        <v>7.851</v>
      </c>
      <c r="C9913" t="n">
        <v>1.1624</v>
      </c>
    </row>
    <row r="9914">
      <c r="A9914" s="926" t="n">
        <v>44762</v>
      </c>
      <c r="B9914" t="n">
        <v>7.851</v>
      </c>
      <c r="C9914" t="n">
        <v>1.1624</v>
      </c>
    </row>
    <row r="9915">
      <c r="A9915" s="926" t="n">
        <v>44763</v>
      </c>
      <c r="B9915" t="n">
        <v>7.85</v>
      </c>
      <c r="C9915" t="n">
        <v>1.1595</v>
      </c>
    </row>
    <row r="9916">
      <c r="A9916" s="926" t="n">
        <v>44764</v>
      </c>
      <c r="B9916" t="n">
        <v>7.851</v>
      </c>
      <c r="C9916" t="n">
        <v>1.1591</v>
      </c>
    </row>
    <row r="9917">
      <c r="A9917" s="926" t="n">
        <v>44765</v>
      </c>
      <c r="B9917" t="n">
        <v>7.849</v>
      </c>
      <c r="C9917" t="n">
        <v>1.16145</v>
      </c>
    </row>
    <row r="9918">
      <c r="A9918" s="926" t="n">
        <v>44767</v>
      </c>
      <c r="B9918" t="n">
        <v>7.85</v>
      </c>
      <c r="C9918" t="n">
        <v>1.1617</v>
      </c>
    </row>
    <row r="9919">
      <c r="A9919" s="926" t="n">
        <v>44768</v>
      </c>
      <c r="B9919" t="n">
        <v>7.85</v>
      </c>
      <c r="C9919" t="n">
        <v>1.1618</v>
      </c>
    </row>
    <row r="9920">
      <c r="A9920" s="926" t="n">
        <v>44769</v>
      </c>
      <c r="B9920" t="n">
        <v>7.85</v>
      </c>
      <c r="C9920" t="n">
        <v>1.1603</v>
      </c>
    </row>
    <row r="9921">
      <c r="A9921" s="926" t="n">
        <v>44770</v>
      </c>
      <c r="B9921" t="n">
        <v>7.851</v>
      </c>
      <c r="C9921" t="n">
        <v>1.1641</v>
      </c>
    </row>
    <row r="9922">
      <c r="A9922" s="926" t="n">
        <v>44771</v>
      </c>
      <c r="B9922" t="n">
        <v>7.851</v>
      </c>
      <c r="C9922" t="n">
        <v>1.1649</v>
      </c>
    </row>
    <row r="9923">
      <c r="A9923" s="926" t="n">
        <v>44772</v>
      </c>
      <c r="B9923" t="n">
        <v>7.851</v>
      </c>
      <c r="C9923" t="n">
        <v>1.16305</v>
      </c>
    </row>
    <row r="9924">
      <c r="A9924" s="926" t="n">
        <v>44774</v>
      </c>
      <c r="B9924" t="n">
        <v>7.851</v>
      </c>
      <c r="C9924" t="n">
        <v>1.1612</v>
      </c>
    </row>
    <row r="9925">
      <c r="A9925" s="926" t="n">
        <v>44775</v>
      </c>
      <c r="B9925" t="n">
        <v>7.851</v>
      </c>
      <c r="C9925" t="n">
        <v>1.1585</v>
      </c>
    </row>
    <row r="9926">
      <c r="A9926" s="926" t="n">
        <v>44776</v>
      </c>
      <c r="B9926" t="n">
        <v>7.851</v>
      </c>
      <c r="C9926" t="n">
        <v>1.1612</v>
      </c>
    </row>
    <row r="9927">
      <c r="A9927" s="926" t="n">
        <v>44777</v>
      </c>
      <c r="B9927" t="n">
        <v>7.851</v>
      </c>
      <c r="C9927" t="n">
        <v>1.1614</v>
      </c>
    </row>
    <row r="9928">
      <c r="A9928" s="926" t="n">
        <v>44778</v>
      </c>
      <c r="B9928" t="n">
        <v>7.851</v>
      </c>
      <c r="C9928" t="n">
        <v>1.1629</v>
      </c>
    </row>
    <row r="9929">
      <c r="A9929" s="926" t="n">
        <v>44779</v>
      </c>
      <c r="B9929" t="n">
        <v>7.851</v>
      </c>
      <c r="C9929" t="n">
        <v>1.15995</v>
      </c>
    </row>
    <row r="9930">
      <c r="A9930" s="926" t="n">
        <v>44781</v>
      </c>
      <c r="B9930" t="n">
        <v>7.851</v>
      </c>
      <c r="C9930" t="n">
        <v>1.1598</v>
      </c>
    </row>
    <row r="9931">
      <c r="A9931" s="926" t="n">
        <v>44782</v>
      </c>
      <c r="B9931" t="n">
        <v>7.851</v>
      </c>
      <c r="C9931" t="n">
        <v>1.1613</v>
      </c>
    </row>
    <row r="9932">
      <c r="A9932" s="926" t="n">
        <v>44783</v>
      </c>
      <c r="B9932" t="n">
        <v>7.848</v>
      </c>
      <c r="C9932" t="n">
        <v>1.1606</v>
      </c>
    </row>
    <row r="9933">
      <c r="A9933" s="926" t="n">
        <v>44784</v>
      </c>
      <c r="B9933" t="n">
        <v>7.847</v>
      </c>
      <c r="C9933" t="n">
        <v>1.16525</v>
      </c>
    </row>
    <row r="9934">
      <c r="A9934" s="926" t="n">
        <v>44785</v>
      </c>
      <c r="B9934" t="n">
        <v>7.838</v>
      </c>
      <c r="C9934" t="n">
        <v>1.1634</v>
      </c>
    </row>
    <row r="9935">
      <c r="A9935" s="926" t="n">
        <v>44786</v>
      </c>
      <c r="B9935" t="n">
        <v>7.837</v>
      </c>
      <c r="C9935" t="n">
        <v>1.1634</v>
      </c>
    </row>
    <row r="9936">
      <c r="A9936" s="926" t="n">
        <v>44788</v>
      </c>
      <c r="B9936" t="n">
        <v>7.836</v>
      </c>
      <c r="C9936" t="n">
        <v>1.1574</v>
      </c>
    </row>
    <row r="9937">
      <c r="A9937" s="926" t="n">
        <v>44789</v>
      </c>
      <c r="B9937" t="n">
        <v>7.843</v>
      </c>
      <c r="C9937" t="n">
        <v>1.1514</v>
      </c>
    </row>
    <row r="9938">
      <c r="A9938" s="926" t="n">
        <v>44790</v>
      </c>
      <c r="B9938" t="n">
        <v>7.841</v>
      </c>
      <c r="C9938" t="n">
        <v>1.15555</v>
      </c>
    </row>
    <row r="9939">
      <c r="A9939" s="926" t="n">
        <v>44791</v>
      </c>
      <c r="B9939" t="n">
        <v>7.845</v>
      </c>
      <c r="C9939" t="n">
        <v>1.1519</v>
      </c>
    </row>
    <row r="9940">
      <c r="A9940" s="926" t="n">
        <v>44792</v>
      </c>
      <c r="B9940" t="n">
        <v>7.847</v>
      </c>
      <c r="C9940" t="n">
        <v>1.15035</v>
      </c>
    </row>
    <row r="9941">
      <c r="A9941" s="926" t="n">
        <v>44793</v>
      </c>
      <c r="B9941" t="n">
        <v>7.847</v>
      </c>
      <c r="C9941" t="n">
        <v>1.1484</v>
      </c>
    </row>
    <row r="9942">
      <c r="A9942" s="926" t="n">
        <v>44795</v>
      </c>
      <c r="B9942" t="n">
        <v>7.847</v>
      </c>
      <c r="C9942" t="n">
        <v>1.14625</v>
      </c>
    </row>
    <row r="9943">
      <c r="A9943" s="926" t="n">
        <v>44796</v>
      </c>
      <c r="B9943" t="n">
        <v>7.848</v>
      </c>
      <c r="C9943" t="n">
        <v>1.14075</v>
      </c>
    </row>
    <row r="9944">
      <c r="A9944" s="926" t="n">
        <v>44797</v>
      </c>
      <c r="B9944" t="n">
        <v>7.846</v>
      </c>
      <c r="C9944" t="n">
        <v>1.14105</v>
      </c>
    </row>
    <row r="9945">
      <c r="A9945" s="926" t="n">
        <v>44798</v>
      </c>
      <c r="B9945" t="n">
        <v>7.846</v>
      </c>
      <c r="C9945" t="n">
        <v>1.14485</v>
      </c>
    </row>
    <row r="9946">
      <c r="A9946" s="926" t="n">
        <v>44799</v>
      </c>
      <c r="B9946" t="n">
        <v>7.848</v>
      </c>
      <c r="C9946" t="n">
        <v>1.142</v>
      </c>
    </row>
    <row r="9947">
      <c r="A9947" s="926" t="n">
        <v>44800</v>
      </c>
      <c r="B9947" t="n">
        <v>7.848</v>
      </c>
      <c r="C9947" t="n">
        <v>1.13835</v>
      </c>
    </row>
    <row r="9948">
      <c r="A9948" s="926" t="n">
        <v>44802</v>
      </c>
      <c r="B9948" t="n">
        <v>7.85</v>
      </c>
      <c r="C9948" t="n">
        <v>1.1331</v>
      </c>
    </row>
    <row r="9949">
      <c r="A9949" s="926" t="n">
        <v>44803</v>
      </c>
      <c r="B9949" t="n">
        <v>7.849</v>
      </c>
      <c r="C9949" t="n">
        <v>1.13395</v>
      </c>
    </row>
    <row r="9950">
      <c r="A9950" s="926" t="n">
        <v>44804</v>
      </c>
      <c r="B9950" t="n">
        <v>7.848</v>
      </c>
      <c r="C9950" t="n">
        <v>1.1368</v>
      </c>
    </row>
    <row r="9951">
      <c r="A9951" s="926" t="n">
        <v>44805</v>
      </c>
      <c r="B9951" t="n">
        <v>7.85</v>
      </c>
      <c r="C9951" t="n">
        <v>1.1359</v>
      </c>
    </row>
    <row r="9952">
      <c r="A9952" s="926" t="n">
        <v>44806</v>
      </c>
      <c r="B9952" t="n">
        <v>7.85</v>
      </c>
      <c r="C9952" t="n">
        <v>1.1361</v>
      </c>
    </row>
    <row r="9953">
      <c r="A9953" s="926" t="n">
        <v>44807</v>
      </c>
      <c r="B9953" t="n">
        <v>7.85</v>
      </c>
      <c r="C9953" t="n">
        <v>1.1348</v>
      </c>
    </row>
    <row r="9954">
      <c r="A9954" s="926" t="n">
        <v>44809</v>
      </c>
      <c r="B9954" t="n">
        <v>7.85</v>
      </c>
      <c r="C9954" t="n">
        <v>1.1307</v>
      </c>
    </row>
    <row r="9955">
      <c r="A9955" s="926" t="n">
        <v>44810</v>
      </c>
      <c r="B9955" t="n">
        <v>7.85</v>
      </c>
      <c r="C9955" t="n">
        <v>1.13</v>
      </c>
    </row>
    <row r="9956">
      <c r="A9956" s="926" t="n">
        <v>44811</v>
      </c>
      <c r="B9956" t="n">
        <v>7.851</v>
      </c>
      <c r="C9956" t="n">
        <v>1.125</v>
      </c>
    </row>
    <row r="9957">
      <c r="A9957" s="926" t="n">
        <v>44812</v>
      </c>
      <c r="B9957" t="n">
        <v>7.85</v>
      </c>
      <c r="C9957" t="n">
        <v>1.1276</v>
      </c>
    </row>
    <row r="9958">
      <c r="A9958" s="926" t="n">
        <v>44813</v>
      </c>
      <c r="B9958" t="n">
        <v>7.85</v>
      </c>
      <c r="C9958" t="n">
        <v>1.1329</v>
      </c>
    </row>
    <row r="9959">
      <c r="A9959" s="926" t="n">
        <v>44814</v>
      </c>
      <c r="B9959" t="n">
        <v>7.85</v>
      </c>
      <c r="C9959" t="n">
        <v>1.1314</v>
      </c>
    </row>
    <row r="9960">
      <c r="A9960" s="926" t="n">
        <v>44817</v>
      </c>
      <c r="B9960" t="n">
        <v>7.85</v>
      </c>
      <c r="C9960" t="n">
        <v>1.1335</v>
      </c>
    </row>
    <row r="9961">
      <c r="A9961" s="926" t="n">
        <v>44818</v>
      </c>
      <c r="B9961" t="n">
        <v>7.85</v>
      </c>
      <c r="C9961" t="n">
        <v>1.1252</v>
      </c>
    </row>
    <row r="9962">
      <c r="A9962" s="926" t="n">
        <v>44819</v>
      </c>
      <c r="B9962" t="n">
        <v>7.848</v>
      </c>
      <c r="C9962" t="n">
        <v>1.1247</v>
      </c>
    </row>
    <row r="9963">
      <c r="A9963" s="926" t="n">
        <v>44820</v>
      </c>
      <c r="B9963" t="n">
        <v>7.85</v>
      </c>
      <c r="C9963" t="n">
        <v>1.11765</v>
      </c>
    </row>
    <row r="9964">
      <c r="A9964" s="926" t="n">
        <v>44821</v>
      </c>
      <c r="B9964" t="n">
        <v>7.85</v>
      </c>
      <c r="C9964" t="n">
        <v>1.1214</v>
      </c>
    </row>
    <row r="9965">
      <c r="A9965" s="926" t="n">
        <v>44823</v>
      </c>
      <c r="B9965" t="n">
        <v>7.85</v>
      </c>
      <c r="C9965" t="n">
        <v>1.11875</v>
      </c>
    </row>
    <row r="9966">
      <c r="A9966" s="926" t="n">
        <v>44824</v>
      </c>
      <c r="B9966" t="n">
        <v>7.85</v>
      </c>
      <c r="C9966" t="n">
        <v>1.11855</v>
      </c>
    </row>
    <row r="9967">
      <c r="A9967" s="926" t="n">
        <v>44825</v>
      </c>
      <c r="B9967" t="n">
        <v>7.851</v>
      </c>
      <c r="C9967" t="n">
        <v>1.11165</v>
      </c>
    </row>
    <row r="9968">
      <c r="A9968" s="926" t="n">
        <v>44826</v>
      </c>
      <c r="B9968" t="n">
        <v>7.851</v>
      </c>
      <c r="C9968" t="n">
        <v>1.1056</v>
      </c>
    </row>
    <row r="9969">
      <c r="A9969" s="926" t="n">
        <v>44827</v>
      </c>
      <c r="B9969" t="n">
        <v>7.851</v>
      </c>
      <c r="C9969" t="n">
        <v>1.10445</v>
      </c>
    </row>
    <row r="9970">
      <c r="A9970" s="926" t="n">
        <v>44828</v>
      </c>
      <c r="B9970" t="n">
        <v>7.85</v>
      </c>
      <c r="C9970" t="n">
        <v>1.10085</v>
      </c>
    </row>
    <row r="9971">
      <c r="A9971" s="926" t="n">
        <v>44830</v>
      </c>
      <c r="B9971" t="n">
        <v>7.851</v>
      </c>
      <c r="C9971" t="n">
        <v>1.09675</v>
      </c>
    </row>
    <row r="9972">
      <c r="A9972" s="926" t="n">
        <v>44831</v>
      </c>
      <c r="B9972" t="n">
        <v>7.851</v>
      </c>
      <c r="C9972" t="n">
        <v>1.0972</v>
      </c>
    </row>
    <row r="9973">
      <c r="A9973" s="926" t="n">
        <v>44832</v>
      </c>
      <c r="B9973" t="n">
        <v>7.851</v>
      </c>
      <c r="C9973" t="n">
        <v>1.08415</v>
      </c>
    </row>
    <row r="9974">
      <c r="A9974" s="926" t="n">
        <v>44833</v>
      </c>
      <c r="B9974" t="n">
        <v>7.851</v>
      </c>
      <c r="C9974" t="n">
        <v>1.0892</v>
      </c>
    </row>
    <row r="9975">
      <c r="A9975" s="926" t="n">
        <v>44834</v>
      </c>
      <c r="B9975" t="n">
        <v>7.851</v>
      </c>
      <c r="C9975" t="n">
        <v>1.10665</v>
      </c>
    </row>
    <row r="9976">
      <c r="A9976" s="926" t="n">
        <v>44837</v>
      </c>
      <c r="B9976" t="n">
        <v>7.851</v>
      </c>
      <c r="C9976" t="n">
        <v>1.0982</v>
      </c>
    </row>
    <row r="9977">
      <c r="A9977" s="926" t="n">
        <v>44839</v>
      </c>
      <c r="B9977" t="n">
        <v>7.851</v>
      </c>
      <c r="C9977" t="n">
        <v>1.11685</v>
      </c>
    </row>
    <row r="9978">
      <c r="A9978" s="926" t="n">
        <v>44840</v>
      </c>
      <c r="B9978" t="n">
        <v>7.851</v>
      </c>
      <c r="C9978" t="n">
        <v>1.11455</v>
      </c>
    </row>
    <row r="9979">
      <c r="A9979" s="926" t="n">
        <v>44841</v>
      </c>
      <c r="B9979" t="n">
        <v>7.851</v>
      </c>
      <c r="C9979" t="n">
        <v>1.1028</v>
      </c>
    </row>
    <row r="9980">
      <c r="A9980" s="926" t="n">
        <v>44842</v>
      </c>
      <c r="B9980" t="n">
        <v>7.851</v>
      </c>
      <c r="C9980" t="n">
        <v>1.1009</v>
      </c>
    </row>
    <row r="9981">
      <c r="A9981" s="926" t="n">
        <v>44844</v>
      </c>
      <c r="B9981" t="n">
        <v>7.851</v>
      </c>
      <c r="C9981" t="n">
        <v>1.102</v>
      </c>
    </row>
    <row r="9982">
      <c r="A9982" s="926" t="n">
        <v>44845</v>
      </c>
      <c r="B9982" t="n">
        <v>7.851</v>
      </c>
      <c r="C9982" t="n">
        <v>1.09225</v>
      </c>
    </row>
    <row r="9983">
      <c r="A9983" s="926" t="n">
        <v>44846</v>
      </c>
      <c r="B9983" t="n">
        <v>7.851</v>
      </c>
      <c r="C9983" t="n">
        <v>1.0953</v>
      </c>
    </row>
    <row r="9984">
      <c r="A9984" s="926" t="n">
        <v>44847</v>
      </c>
      <c r="B9984" t="n">
        <v>7.85</v>
      </c>
      <c r="C9984" t="n">
        <v>1.09095</v>
      </c>
    </row>
    <row r="9985">
      <c r="A9985" s="926" t="n">
        <v>44848</v>
      </c>
      <c r="B9985" t="n">
        <v>7.851</v>
      </c>
      <c r="C9985" t="n">
        <v>1.09205</v>
      </c>
    </row>
    <row r="9986">
      <c r="A9986" s="926" t="n">
        <v>44849</v>
      </c>
      <c r="B9986" t="n">
        <v>7.851</v>
      </c>
      <c r="C9986" t="n">
        <v>1.08735</v>
      </c>
    </row>
    <row r="9987">
      <c r="A9987" s="926" t="n">
        <v>44851</v>
      </c>
      <c r="B9987" t="n">
        <v>7.851</v>
      </c>
      <c r="C9987" t="n">
        <v>1.0894</v>
      </c>
    </row>
    <row r="9988">
      <c r="A9988" s="926" t="n">
        <v>44852</v>
      </c>
      <c r="B9988" t="n">
        <v>7.851</v>
      </c>
      <c r="C9988" t="n">
        <v>1.09065</v>
      </c>
    </row>
    <row r="9989">
      <c r="A9989" s="926" t="n">
        <v>44853</v>
      </c>
      <c r="B9989" t="n">
        <v>7.851</v>
      </c>
      <c r="C9989" t="n">
        <v>1.08395</v>
      </c>
    </row>
    <row r="9990">
      <c r="A9990" s="926" t="n">
        <v>44854</v>
      </c>
      <c r="B9990" t="n">
        <v>7.849</v>
      </c>
      <c r="C9990" t="n">
        <v>1.08305</v>
      </c>
    </row>
    <row r="9991">
      <c r="A9991" s="926" t="n">
        <v>44855</v>
      </c>
      <c r="B9991" t="n">
        <v>7.851</v>
      </c>
      <c r="C9991" t="n">
        <v>1.08035</v>
      </c>
    </row>
    <row r="9992">
      <c r="A9992" s="926" t="n">
        <v>44856</v>
      </c>
      <c r="B9992" t="n">
        <v>7.85</v>
      </c>
      <c r="C9992" t="n">
        <v>1.08605</v>
      </c>
    </row>
    <row r="9993">
      <c r="A9993" s="926" t="n">
        <v>44858</v>
      </c>
      <c r="B9993" t="n">
        <v>7.85</v>
      </c>
      <c r="C9993" t="n">
        <v>1.07845</v>
      </c>
    </row>
    <row r="9994">
      <c r="A9994" s="926" t="n">
        <v>44859</v>
      </c>
      <c r="B9994" t="n">
        <v>7.851</v>
      </c>
      <c r="C9994" t="n">
        <v>1.0705</v>
      </c>
    </row>
    <row r="9995">
      <c r="A9995" s="926" t="n">
        <v>44860</v>
      </c>
      <c r="B9995" t="n">
        <v>7.851</v>
      </c>
      <c r="C9995" t="n">
        <v>1.07935</v>
      </c>
    </row>
    <row r="9996">
      <c r="A9996" s="926" t="n">
        <v>44861</v>
      </c>
      <c r="B9996" t="n">
        <v>7.85</v>
      </c>
      <c r="C9996" t="n">
        <v>1.0853</v>
      </c>
    </row>
    <row r="9997">
      <c r="A9997" s="926" t="n">
        <v>44862</v>
      </c>
      <c r="B9997" t="n">
        <v>7.849</v>
      </c>
      <c r="C9997" t="n">
        <v>1.08125</v>
      </c>
    </row>
    <row r="9998">
      <c r="A9998" s="926" t="n">
        <v>44863</v>
      </c>
      <c r="B9998" t="n">
        <v>7.85</v>
      </c>
      <c r="C9998" t="n">
        <v>1.0801</v>
      </c>
    </row>
    <row r="9999">
      <c r="A9999" s="926" t="n">
        <v>44865</v>
      </c>
      <c r="B9999" t="n">
        <v>7.85</v>
      </c>
      <c r="C9999" t="n">
        <v>1.07595</v>
      </c>
    </row>
    <row r="10000">
      <c r="A10000" s="926" t="n">
        <v>44866</v>
      </c>
      <c r="B10000" t="n">
        <v>7.85</v>
      </c>
      <c r="C10000" t="n">
        <v>1.0778</v>
      </c>
    </row>
    <row r="10001">
      <c r="A10001" s="926" t="n">
        <v>44867</v>
      </c>
      <c r="B10001" t="n">
        <v>7.851</v>
      </c>
      <c r="C10001" t="n">
        <v>1.07755</v>
      </c>
    </row>
    <row r="10002">
      <c r="A10002" s="926" t="n">
        <v>44868</v>
      </c>
      <c r="B10002" t="n">
        <v>7.851</v>
      </c>
      <c r="C10002" t="n">
        <v>1.07105</v>
      </c>
    </row>
    <row r="10003">
      <c r="A10003" s="926" t="n">
        <v>44869</v>
      </c>
      <c r="B10003" t="n">
        <v>7.851</v>
      </c>
      <c r="C10003" t="n">
        <v>1.08115</v>
      </c>
    </row>
    <row r="10004">
      <c r="A10004" s="926" t="n">
        <v>44870</v>
      </c>
      <c r="B10004" t="n">
        <v>7.85</v>
      </c>
      <c r="C10004" t="n">
        <v>1.09365</v>
      </c>
    </row>
    <row r="10005">
      <c r="A10005" s="926" t="n">
        <v>44872</v>
      </c>
      <c r="B10005" t="n">
        <v>7.851</v>
      </c>
      <c r="C10005" t="n">
        <v>1.08545</v>
      </c>
    </row>
    <row r="10006">
      <c r="A10006" s="926" t="n">
        <v>44873</v>
      </c>
      <c r="B10006" t="n">
        <v>7.851</v>
      </c>
      <c r="C10006" t="n">
        <v>1.08245</v>
      </c>
    </row>
    <row r="10007">
      <c r="A10007" s="926" t="n">
        <v>44874</v>
      </c>
      <c r="B10007" t="n">
        <v>7.851</v>
      </c>
      <c r="C10007" t="n">
        <v>1.0824</v>
      </c>
    </row>
    <row r="10008">
      <c r="A10008" s="926" t="n">
        <v>44875</v>
      </c>
      <c r="B10008" t="n">
        <v>7.851</v>
      </c>
      <c r="C10008" t="n">
        <v>1.08215</v>
      </c>
    </row>
    <row r="10009">
      <c r="A10009" s="926" t="n">
        <v>44876</v>
      </c>
      <c r="B10009" t="n">
        <v>7.838</v>
      </c>
      <c r="C10009" t="n">
        <v>1.10565</v>
      </c>
    </row>
    <row r="10010">
      <c r="A10010" s="926" t="n">
        <v>44877</v>
      </c>
      <c r="B10010" t="n">
        <v>7.837</v>
      </c>
      <c r="C10010" t="n">
        <v>1.10565</v>
      </c>
    </row>
    <row r="10011">
      <c r="A10011" s="926" t="n">
        <v>44879</v>
      </c>
      <c r="B10011" t="n">
        <v>7.84</v>
      </c>
      <c r="C10011" t="n">
        <v>1.1139</v>
      </c>
    </row>
    <row r="10012">
      <c r="A10012" s="926" t="n">
        <v>44880</v>
      </c>
      <c r="B10012" t="n">
        <v>7.831</v>
      </c>
      <c r="C10012" t="n">
        <v>1.1124</v>
      </c>
    </row>
    <row r="10013">
      <c r="A10013" s="926" t="n">
        <v>44881</v>
      </c>
      <c r="B10013" t="n">
        <v>7.826</v>
      </c>
      <c r="C10013" t="n">
        <v>1.1055</v>
      </c>
    </row>
    <row r="10014">
      <c r="A10014" s="926" t="n">
        <v>44882</v>
      </c>
      <c r="B10014" t="n">
        <v>7.826</v>
      </c>
      <c r="C10014" t="n">
        <v>1.09695</v>
      </c>
    </row>
    <row r="10015">
      <c r="A10015" s="926" t="n">
        <v>44883</v>
      </c>
      <c r="B10015" t="n">
        <v>7.824</v>
      </c>
      <c r="C10015" t="n">
        <v>1.09725</v>
      </c>
    </row>
    <row r="10016">
      <c r="A10016" s="926" t="n">
        <v>44884</v>
      </c>
      <c r="B10016" t="n">
        <v>7.823</v>
      </c>
      <c r="C10016" t="n">
        <v>1.0979</v>
      </c>
    </row>
    <row r="10017">
      <c r="A10017" s="926" t="n">
        <v>44886</v>
      </c>
      <c r="B10017" t="n">
        <v>7.814</v>
      </c>
      <c r="C10017" t="n">
        <v>1.0902</v>
      </c>
    </row>
    <row r="10018">
      <c r="A10018" s="926" t="n">
        <v>44887</v>
      </c>
      <c r="B10018" t="n">
        <v>7.811</v>
      </c>
      <c r="C10018" t="n">
        <v>1.0895</v>
      </c>
    </row>
    <row r="10019">
      <c r="A10019" s="926" t="n">
        <v>44888</v>
      </c>
      <c r="B10019" t="n">
        <v>7.817</v>
      </c>
      <c r="C10019" t="n">
        <v>1.09285</v>
      </c>
    </row>
    <row r="10020">
      <c r="A10020" s="926" t="n">
        <v>44889</v>
      </c>
      <c r="B10020" t="n">
        <v>7.808</v>
      </c>
      <c r="C10020" t="n">
        <v>1.09275</v>
      </c>
    </row>
    <row r="10021">
      <c r="A10021" s="926" t="n">
        <v>44890</v>
      </c>
      <c r="B10021" t="n">
        <v>7.81</v>
      </c>
      <c r="C10021" t="n">
        <v>1.08975</v>
      </c>
    </row>
    <row r="10022">
      <c r="A10022" s="926" t="n">
        <v>44891</v>
      </c>
      <c r="B10022" t="n">
        <v>7.812</v>
      </c>
      <c r="C10022" t="n">
        <v>1.08595</v>
      </c>
    </row>
    <row r="10023">
      <c r="A10023" s="926" t="n">
        <v>44893</v>
      </c>
      <c r="B10023" t="n">
        <v>7.822</v>
      </c>
      <c r="C10023" t="n">
        <v>1.084</v>
      </c>
    </row>
    <row r="10024">
      <c r="A10024" s="926" t="n">
        <v>44894</v>
      </c>
      <c r="B10024" t="n">
        <v>7.812</v>
      </c>
      <c r="C10024" t="n">
        <v>1.08945</v>
      </c>
    </row>
    <row r="10025">
      <c r="A10025" s="926" t="n">
        <v>44895</v>
      </c>
      <c r="B10025" t="n">
        <v>7.804</v>
      </c>
      <c r="C10025" t="n">
        <v>1.0925</v>
      </c>
    </row>
    <row r="10026">
      <c r="A10026" s="926" t="n">
        <v>44896</v>
      </c>
      <c r="B10026" t="n">
        <v>7.787</v>
      </c>
      <c r="C10026" t="n">
        <v>1.1034</v>
      </c>
    </row>
    <row r="10027">
      <c r="A10027" s="926" t="n">
        <v>44897</v>
      </c>
      <c r="B10027" t="n">
        <v>7.782</v>
      </c>
      <c r="C10027" t="n">
        <v>1.10485</v>
      </c>
    </row>
    <row r="10028">
      <c r="A10028" s="926" t="n">
        <v>44898</v>
      </c>
      <c r="B10028" t="n">
        <v>7.79</v>
      </c>
      <c r="C10028" t="n">
        <v>1.1101</v>
      </c>
    </row>
    <row r="10029">
      <c r="A10029" s="926" t="n">
        <v>44900</v>
      </c>
      <c r="B10029" t="n">
        <v>7.769</v>
      </c>
      <c r="C10029" t="n">
        <v>1.1181</v>
      </c>
    </row>
    <row r="10030">
      <c r="A10030" s="926" t="n">
        <v>44901</v>
      </c>
      <c r="B10030" t="n">
        <v>7.774</v>
      </c>
      <c r="C10030" t="n">
        <v>1.1133</v>
      </c>
    </row>
    <row r="10031">
      <c r="A10031" s="926" t="n">
        <v>44902</v>
      </c>
      <c r="B10031" t="n">
        <v>7.793</v>
      </c>
      <c r="C10031" t="n">
        <v>1.11695</v>
      </c>
    </row>
    <row r="10032">
      <c r="A10032" s="926" t="n">
        <v>44903</v>
      </c>
      <c r="B10032" t="n">
        <v>7.789</v>
      </c>
      <c r="C10032" t="n">
        <v>1.11775</v>
      </c>
    </row>
    <row r="10033">
      <c r="A10033" s="926" t="n">
        <v>44904</v>
      </c>
      <c r="B10033" t="n">
        <v>7.789</v>
      </c>
      <c r="C10033" t="n">
        <v>1.1201</v>
      </c>
    </row>
    <row r="10034">
      <c r="A10034" s="926" t="n">
        <v>44905</v>
      </c>
      <c r="B10034" t="n">
        <v>7.786</v>
      </c>
      <c r="C10034" t="n">
        <v>1.11665</v>
      </c>
    </row>
    <row r="10035">
      <c r="A10035" s="926" t="n">
        <v>44907</v>
      </c>
      <c r="B10035" t="n">
        <v>7.781</v>
      </c>
      <c r="C10035" t="n">
        <v>1.11575</v>
      </c>
    </row>
    <row r="10036">
      <c r="A10036" s="926" t="n">
        <v>44908</v>
      </c>
      <c r="B10036" t="n">
        <v>7.775</v>
      </c>
      <c r="C10036" t="n">
        <v>1.11355</v>
      </c>
    </row>
    <row r="10037">
      <c r="A10037" s="926" t="n">
        <v>44909</v>
      </c>
      <c r="B10037" t="n">
        <v>7.778</v>
      </c>
      <c r="C10037" t="n">
        <v>1.11725</v>
      </c>
    </row>
    <row r="10038">
      <c r="A10038" s="926" t="n">
        <v>44910</v>
      </c>
      <c r="B10038" t="n">
        <v>7.775</v>
      </c>
      <c r="C10038" t="n">
        <v>1.11635</v>
      </c>
    </row>
    <row r="10039">
      <c r="A10039" s="926" t="n">
        <v>44911</v>
      </c>
      <c r="B10039" t="n">
        <v>7.778</v>
      </c>
      <c r="C10039" t="n">
        <v>1.115</v>
      </c>
    </row>
    <row r="10040">
      <c r="A10040" s="926" t="n">
        <v>44912</v>
      </c>
      <c r="B10040" t="n">
        <v>7.784</v>
      </c>
      <c r="C10040" t="n">
        <v>1.11565</v>
      </c>
    </row>
    <row r="10041">
      <c r="A10041" s="926" t="n">
        <v>44914</v>
      </c>
      <c r="B10041" t="n">
        <v>7.784</v>
      </c>
      <c r="C10041" t="n">
        <v>1.11525</v>
      </c>
    </row>
    <row r="10042">
      <c r="A10042" s="926" t="n">
        <v>44915</v>
      </c>
      <c r="B10042" t="n">
        <v>7.786</v>
      </c>
      <c r="C10042" t="n">
        <v>1.11475</v>
      </c>
    </row>
    <row r="10043">
      <c r="A10043" s="926" t="n">
        <v>44916</v>
      </c>
      <c r="B10043" t="n">
        <v>7.795</v>
      </c>
      <c r="C10043" t="n">
        <v>1.1169</v>
      </c>
    </row>
    <row r="10044">
      <c r="A10044" s="926" t="n">
        <v>44917</v>
      </c>
      <c r="B10044" t="n">
        <v>7.794</v>
      </c>
      <c r="C10044" t="n">
        <v>1.116</v>
      </c>
    </row>
    <row r="10045">
      <c r="A10045" s="926" t="n">
        <v>44918</v>
      </c>
      <c r="B10045" t="n">
        <v>7.804</v>
      </c>
      <c r="C10045" t="n">
        <v>1.1155</v>
      </c>
    </row>
    <row r="10046">
      <c r="A10046" s="926" t="n">
        <v>44919</v>
      </c>
      <c r="B10046" t="n">
        <v>7.805</v>
      </c>
      <c r="C10046" t="n">
        <v>1.11465</v>
      </c>
    </row>
    <row r="10047">
      <c r="A10047" s="926" t="n">
        <v>44923</v>
      </c>
      <c r="B10047" t="n">
        <v>7.793</v>
      </c>
      <c r="C10047" t="n">
        <v>1.11865</v>
      </c>
    </row>
    <row r="10048">
      <c r="A10048" s="926" t="n">
        <v>44924</v>
      </c>
      <c r="B10048" t="n">
        <v>7.795</v>
      </c>
      <c r="C10048" t="n">
        <v>1.1181</v>
      </c>
    </row>
    <row r="10049">
      <c r="A10049" s="926" t="n">
        <v>44925</v>
      </c>
      <c r="B10049" t="n">
        <v>7.799</v>
      </c>
      <c r="C10049" t="n">
        <v>1.1193</v>
      </c>
    </row>
    <row r="10050">
      <c r="A10050" s="926" t="n">
        <v>44926</v>
      </c>
      <c r="B10050" t="n">
        <v>7.808</v>
      </c>
      <c r="C10050" t="n">
        <v>1.1281</v>
      </c>
    </row>
    <row r="10051">
      <c r="A10051" s="926" t="n">
        <v>44929</v>
      </c>
      <c r="B10051" t="n">
        <v>7.811</v>
      </c>
      <c r="C10051" t="n">
        <v>1.13365</v>
      </c>
    </row>
    <row r="10052">
      <c r="A10052" s="926" t="n">
        <v>44930</v>
      </c>
      <c r="B10052" t="n">
        <v>7.821</v>
      </c>
      <c r="C10052" t="n">
        <v>1.1347</v>
      </c>
    </row>
    <row r="10053">
      <c r="A10053" s="926" t="n">
        <v>44931</v>
      </c>
      <c r="B10053" t="n">
        <v>7.817</v>
      </c>
      <c r="C10053" t="n">
        <v>1.13695</v>
      </c>
    </row>
    <row r="10054">
      <c r="A10054" s="926" t="n">
        <v>44932</v>
      </c>
      <c r="B10054" t="n">
        <v>7.811</v>
      </c>
      <c r="C10054" t="n">
        <v>1.13855</v>
      </c>
    </row>
    <row r="10055">
      <c r="A10055" s="926" t="n">
        <v>44933</v>
      </c>
      <c r="B10055" t="n">
        <v>7.807</v>
      </c>
      <c r="C10055" t="n">
        <v>1.143</v>
      </c>
    </row>
    <row r="10056">
      <c r="A10056" s="926" t="n">
        <v>44935</v>
      </c>
      <c r="B10056" t="n">
        <v>7.808</v>
      </c>
      <c r="C10056" t="n">
        <v>1.15115</v>
      </c>
    </row>
    <row r="10057">
      <c r="A10057" s="926" t="n">
        <v>44936</v>
      </c>
      <c r="B10057" t="n">
        <v>7.809</v>
      </c>
      <c r="C10057" t="n">
        <v>1.1506</v>
      </c>
    </row>
    <row r="10058">
      <c r="A10058" s="926" t="n">
        <v>44937</v>
      </c>
      <c r="B10058" t="n">
        <v>7.811</v>
      </c>
      <c r="C10058" t="n">
        <v>1.1519</v>
      </c>
    </row>
    <row r="10059">
      <c r="A10059" s="926" t="n">
        <v>44938</v>
      </c>
      <c r="B10059" t="n">
        <v>7.813</v>
      </c>
      <c r="C10059" t="n">
        <v>1.1548</v>
      </c>
    </row>
    <row r="10060">
      <c r="A10060" s="926" t="n">
        <v>44939</v>
      </c>
      <c r="B10060" t="n">
        <v>7.811</v>
      </c>
      <c r="C10060" t="n">
        <v>1.1592</v>
      </c>
    </row>
    <row r="10061">
      <c r="A10061" s="926" t="n">
        <v>44940</v>
      </c>
      <c r="B10061" t="n">
        <v>7.809</v>
      </c>
      <c r="C10061" t="n">
        <v>1.16375</v>
      </c>
    </row>
    <row r="10062">
      <c r="A10062" s="926" t="n">
        <v>44942</v>
      </c>
      <c r="B10062" t="n">
        <v>7.811</v>
      </c>
      <c r="C10062" t="n">
        <v>1.1628</v>
      </c>
    </row>
    <row r="10063">
      <c r="A10063" s="926" t="n">
        <v>44943</v>
      </c>
      <c r="B10063" t="n">
        <v>7.821</v>
      </c>
      <c r="C10063" t="n">
        <v>1.1541</v>
      </c>
    </row>
    <row r="10064">
      <c r="A10064" s="926" t="n">
        <v>44944</v>
      </c>
      <c r="B10064" t="n">
        <v>7.829</v>
      </c>
      <c r="C10064" t="n">
        <v>1.1557</v>
      </c>
    </row>
    <row r="10065">
      <c r="A10065" s="926" t="n">
        <v>44945</v>
      </c>
      <c r="B10065" t="n">
        <v>7.829</v>
      </c>
      <c r="C10065" t="n">
        <v>1.15405</v>
      </c>
    </row>
    <row r="10066">
      <c r="A10066" s="926" t="n">
        <v>44946</v>
      </c>
      <c r="B10066" t="n">
        <v>7.834</v>
      </c>
      <c r="C10066" t="n">
        <v>1.15455</v>
      </c>
    </row>
    <row r="10067">
      <c r="A10067" s="926" t="n">
        <v>44947</v>
      </c>
      <c r="B10067" t="n">
        <v>7.83</v>
      </c>
      <c r="C10067" t="n">
        <v>1.15455</v>
      </c>
    </row>
    <row r="10068">
      <c r="A10068" s="926" t="n">
        <v>44952</v>
      </c>
      <c r="B10068" t="n">
        <v>7.833</v>
      </c>
      <c r="C10068" t="n">
        <v>1.16085</v>
      </c>
    </row>
    <row r="10069">
      <c r="A10069" s="926" t="n">
        <v>44953</v>
      </c>
      <c r="B10069" t="n">
        <v>7.83</v>
      </c>
      <c r="C10069" t="n">
        <v>1.15805</v>
      </c>
    </row>
    <row r="10070">
      <c r="A10070" s="926" t="n">
        <v>44954</v>
      </c>
      <c r="B10070" t="n">
        <v>7.83</v>
      </c>
      <c r="C10070" t="n">
        <v>1.15895</v>
      </c>
    </row>
    <row r="10071">
      <c r="A10071" s="926" t="n">
        <v>44956</v>
      </c>
      <c r="B10071" t="n">
        <v>7.834</v>
      </c>
      <c r="C10071" t="n">
        <v>1.15985</v>
      </c>
    </row>
    <row r="10072">
      <c r="A10072" s="926" t="n">
        <v>44957</v>
      </c>
      <c r="B10072" t="n">
        <v>7.839</v>
      </c>
      <c r="C10072" t="n">
        <v>1.1599</v>
      </c>
    </row>
    <row r="10073">
      <c r="A10073" s="926" t="n">
        <v>44958</v>
      </c>
      <c r="B10073" t="n">
        <v>7.843</v>
      </c>
      <c r="C10073" t="n">
        <v>1.162</v>
      </c>
    </row>
    <row r="10074">
      <c r="A10074" s="926" t="n">
        <v>44959</v>
      </c>
      <c r="B10074" t="n">
        <v>7.843</v>
      </c>
      <c r="C10074" t="n">
        <v>1.1678</v>
      </c>
    </row>
    <row r="10075">
      <c r="A10075" s="926" t="n">
        <v>44960</v>
      </c>
      <c r="B10075" t="n">
        <v>7.847</v>
      </c>
      <c r="C10075" t="n">
        <v>1.1623</v>
      </c>
    </row>
    <row r="10076">
      <c r="A10076" s="926" t="n">
        <v>44961</v>
      </c>
      <c r="B10076" t="n">
        <v>7.848</v>
      </c>
      <c r="C10076" t="n">
        <v>1.1531</v>
      </c>
    </row>
    <row r="10077">
      <c r="A10077" s="926" t="n">
        <v>44963</v>
      </c>
      <c r="B10077" t="n">
        <v>7.849</v>
      </c>
      <c r="C10077" t="n">
        <v>1.15565</v>
      </c>
    </row>
    <row r="10078">
      <c r="A10078" s="926" t="n">
        <v>44964</v>
      </c>
      <c r="B10078" t="n">
        <v>7.849</v>
      </c>
      <c r="C10078" t="n">
        <v>1.15575</v>
      </c>
    </row>
    <row r="10079">
      <c r="A10079" s="926" t="n">
        <v>44965</v>
      </c>
      <c r="B10079" t="n">
        <v>7.85</v>
      </c>
      <c r="C10079" t="n">
        <v>1.15595</v>
      </c>
    </row>
    <row r="10080">
      <c r="A10080" s="926" t="n">
        <v>44966</v>
      </c>
      <c r="B10080" t="n">
        <v>7.851</v>
      </c>
      <c r="C10080" t="n">
        <v>1.15555</v>
      </c>
    </row>
    <row r="10081">
      <c r="A10081" s="926" t="n">
        <v>44967</v>
      </c>
      <c r="B10081" t="n">
        <v>7.851</v>
      </c>
      <c r="C10081" t="n">
        <v>1.1532</v>
      </c>
    </row>
    <row r="10082">
      <c r="A10082" s="926" t="n">
        <v>44968</v>
      </c>
      <c r="B10082" t="n">
        <v>7.851</v>
      </c>
      <c r="C10082" t="n">
        <v>1.1507</v>
      </c>
    </row>
    <row r="10083">
      <c r="A10083" s="926" t="n">
        <v>44970</v>
      </c>
      <c r="B10083" t="n">
        <v>7.851</v>
      </c>
      <c r="C10083" t="n">
        <v>1.14795</v>
      </c>
    </row>
    <row r="10084">
      <c r="A10084" s="926" t="n">
        <v>44971</v>
      </c>
      <c r="B10084" t="n">
        <v>7.851</v>
      </c>
      <c r="C10084" t="n">
        <v>1.15085</v>
      </c>
    </row>
    <row r="10085">
      <c r="A10085" s="926" t="n">
        <v>44972</v>
      </c>
      <c r="B10085" t="n">
        <v>7.85</v>
      </c>
      <c r="C10085" t="n">
        <v>1.14555</v>
      </c>
    </row>
    <row r="10086">
      <c r="A10086" s="926" t="n">
        <v>44973</v>
      </c>
      <c r="B10086" t="n">
        <v>7.85</v>
      </c>
      <c r="C10086" t="n">
        <v>1.1428</v>
      </c>
    </row>
    <row r="10087">
      <c r="A10087" s="926" t="n">
        <v>44974</v>
      </c>
      <c r="B10087" t="n">
        <v>7.85</v>
      </c>
      <c r="C10087" t="n">
        <v>1.13895</v>
      </c>
    </row>
    <row r="10088">
      <c r="A10088" s="926" t="n">
        <v>44975</v>
      </c>
      <c r="B10088" t="n">
        <v>7.845</v>
      </c>
      <c r="C10088" t="n">
        <v>1.14165</v>
      </c>
    </row>
    <row r="10089">
      <c r="A10089" s="926" t="n">
        <v>44977</v>
      </c>
      <c r="B10089" t="n">
        <v>7.836</v>
      </c>
      <c r="C10089" t="n">
        <v>1.14155</v>
      </c>
    </row>
    <row r="10090">
      <c r="A10090" s="926" t="n">
        <v>44978</v>
      </c>
      <c r="B10090" t="n">
        <v>7.843</v>
      </c>
      <c r="C10090" t="n">
        <v>1.14075</v>
      </c>
    </row>
    <row r="10091">
      <c r="A10091" s="926" t="n">
        <v>44979</v>
      </c>
      <c r="B10091" t="n">
        <v>7.845</v>
      </c>
      <c r="C10091" t="n">
        <v>1.13675</v>
      </c>
    </row>
    <row r="10092">
      <c r="A10092" s="926" t="n">
        <v>44980</v>
      </c>
      <c r="B10092" t="n">
        <v>7.844</v>
      </c>
      <c r="C10092" t="n">
        <v>1.1376</v>
      </c>
    </row>
    <row r="10093">
      <c r="A10093" s="926" t="n">
        <v>44981</v>
      </c>
      <c r="B10093" t="n">
        <v>7.849</v>
      </c>
      <c r="C10093" t="n">
        <v>1.1304</v>
      </c>
    </row>
    <row r="10094">
      <c r="A10094" s="926" t="n">
        <v>44982</v>
      </c>
      <c r="B10094" t="n">
        <v>7.849</v>
      </c>
      <c r="C10094" t="n">
        <v>1.12435</v>
      </c>
    </row>
    <row r="10095">
      <c r="A10095" s="926" t="n">
        <v>44984</v>
      </c>
      <c r="B10095" t="n">
        <v>7.847</v>
      </c>
      <c r="C10095" t="n">
        <v>1.1231</v>
      </c>
    </row>
    <row r="10096">
      <c r="A10096" s="926" t="n">
        <v>44985</v>
      </c>
      <c r="B10096" t="n">
        <v>7.849</v>
      </c>
      <c r="C10096" t="n">
        <v>1.12775</v>
      </c>
    </row>
    <row r="10097">
      <c r="A10097" s="926" t="n">
        <v>44986</v>
      </c>
      <c r="B10097" t="n">
        <v>7.85</v>
      </c>
      <c r="C10097" t="n">
        <v>1.1356</v>
      </c>
    </row>
    <row r="10098">
      <c r="A10098" s="926" t="n">
        <v>44987</v>
      </c>
      <c r="B10098" t="n">
        <v>7.851</v>
      </c>
      <c r="C10098" t="n">
        <v>1.13655</v>
      </c>
    </row>
    <row r="10099">
      <c r="A10099" s="926" t="n">
        <v>44988</v>
      </c>
      <c r="B10099" t="n">
        <v>7.851</v>
      </c>
      <c r="C10099" t="n">
        <v>1.13715</v>
      </c>
    </row>
    <row r="10100">
      <c r="A10100" s="926" t="n">
        <v>44989</v>
      </c>
      <c r="B10100" t="n">
        <v>7.85</v>
      </c>
      <c r="C10100" t="n">
        <v>1.1365</v>
      </c>
    </row>
    <row r="10101">
      <c r="A10101" s="926" t="n">
        <v>44991</v>
      </c>
      <c r="B10101" t="n">
        <v>7.851</v>
      </c>
      <c r="C10101" t="n">
        <v>1.1344</v>
      </c>
    </row>
    <row r="10102">
      <c r="A10102" s="926" t="n">
        <v>44992</v>
      </c>
      <c r="B10102" t="n">
        <v>7.851</v>
      </c>
      <c r="C10102" t="n">
        <v>1.13035</v>
      </c>
    </row>
    <row r="10103">
      <c r="A10103" s="926" t="n">
        <v>44993</v>
      </c>
      <c r="B10103" t="n">
        <v>7.851</v>
      </c>
      <c r="C10103" t="n">
        <v>1.12595</v>
      </c>
    </row>
    <row r="10104">
      <c r="A10104" s="926" t="n">
        <v>44994</v>
      </c>
      <c r="B10104" t="n">
        <v>7.851</v>
      </c>
      <c r="C10104" t="n">
        <v>1.12425</v>
      </c>
    </row>
    <row r="10105">
      <c r="A10105" s="926" t="n">
        <v>44995</v>
      </c>
      <c r="B10105" t="n">
        <v>7.851</v>
      </c>
      <c r="C10105" t="n">
        <v>1.12515</v>
      </c>
    </row>
    <row r="10106">
      <c r="A10106" s="926" t="n">
        <v>44996</v>
      </c>
      <c r="B10106" t="n">
        <v>7.848</v>
      </c>
      <c r="C10106" t="n">
        <v>1.1308</v>
      </c>
    </row>
    <row r="10107">
      <c r="A10107" s="926" t="n">
        <v>44998</v>
      </c>
      <c r="B10107" t="n">
        <v>7.848</v>
      </c>
      <c r="C10107" t="n">
        <v>1.1367</v>
      </c>
    </row>
    <row r="10108">
      <c r="A10108" s="926" t="n">
        <v>44999</v>
      </c>
      <c r="B10108" t="n">
        <v>7.846</v>
      </c>
      <c r="C10108" t="n">
        <v>1.1433</v>
      </c>
    </row>
    <row r="10109">
      <c r="A10109" s="926" t="n">
        <v>45000</v>
      </c>
      <c r="B10109" t="n">
        <v>7.851</v>
      </c>
      <c r="C10109" t="n">
        <v>1.13945</v>
      </c>
    </row>
    <row r="10110">
      <c r="A10110" s="926" t="n">
        <v>45001</v>
      </c>
      <c r="B10110" t="n">
        <v>7.85</v>
      </c>
      <c r="C10110" t="n">
        <v>1.13745</v>
      </c>
    </row>
    <row r="10111">
      <c r="A10111" s="926" t="n">
        <v>45002</v>
      </c>
      <c r="B10111" t="n">
        <v>7.851</v>
      </c>
      <c r="C10111" t="n">
        <v>1.143</v>
      </c>
    </row>
    <row r="10112">
      <c r="A10112" s="926" t="n">
        <v>45003</v>
      </c>
      <c r="B10112" t="n">
        <v>7.85</v>
      </c>
      <c r="C10112" t="n">
        <v>1.1393</v>
      </c>
    </row>
    <row r="10113">
      <c r="A10113" s="926" t="n">
        <v>45005</v>
      </c>
      <c r="B10113" t="n">
        <v>7.848</v>
      </c>
      <c r="C10113" t="n">
        <v>1.1382</v>
      </c>
    </row>
    <row r="10114">
      <c r="A10114" s="926" t="n">
        <v>45006</v>
      </c>
      <c r="B10114" t="n">
        <v>7.844</v>
      </c>
      <c r="C10114" t="n">
        <v>1.14055</v>
      </c>
    </row>
    <row r="10115">
      <c r="A10115" s="926" t="n">
        <v>45007</v>
      </c>
      <c r="B10115" t="n">
        <v>7.848</v>
      </c>
      <c r="C10115" t="n">
        <v>1.1393</v>
      </c>
    </row>
    <row r="10116">
      <c r="A10116" s="926" t="n">
        <v>45008</v>
      </c>
      <c r="B10116" t="n">
        <v>7.85</v>
      </c>
      <c r="C10116" t="n">
        <v>1.15075</v>
      </c>
    </row>
    <row r="10117">
      <c r="A10117" s="926" t="n">
        <v>45009</v>
      </c>
      <c r="B10117" t="n">
        <v>7.8515</v>
      </c>
      <c r="C10117" t="n">
        <v>1.14555</v>
      </c>
    </row>
    <row r="10118">
      <c r="A10118" s="926" t="n">
        <v>45010</v>
      </c>
      <c r="B10118" t="n">
        <v>7.85</v>
      </c>
      <c r="C10118" t="n">
        <v>1.14305</v>
      </c>
    </row>
    <row r="10119">
      <c r="A10119" s="926" t="n">
        <v>45012</v>
      </c>
      <c r="B10119" t="n">
        <v>7.8515</v>
      </c>
      <c r="C10119" t="n">
        <v>1.1414</v>
      </c>
    </row>
    <row r="10120">
      <c r="A10120" s="926" t="n">
        <v>45013</v>
      </c>
      <c r="B10120" t="n">
        <v>7.8515</v>
      </c>
      <c r="C10120" t="n">
        <v>1.1408</v>
      </c>
    </row>
    <row r="10121">
      <c r="A10121" s="926" t="n">
        <v>45014</v>
      </c>
      <c r="B10121" t="n">
        <v>7.8515</v>
      </c>
      <c r="C10121" t="n">
        <v>1.1395</v>
      </c>
    </row>
    <row r="10122">
      <c r="A10122" s="926" t="n">
        <v>45015</v>
      </c>
      <c r="B10122" t="n">
        <v>7.8515</v>
      </c>
      <c r="C10122" t="n">
        <v>1.1408</v>
      </c>
    </row>
    <row r="10123">
      <c r="A10123" s="926" t="n">
        <v>45016</v>
      </c>
      <c r="B10123" t="n">
        <v>7.8515</v>
      </c>
      <c r="C10123" t="n">
        <v>1.14295</v>
      </c>
    </row>
    <row r="10124">
      <c r="A10124" s="926" t="n">
        <v>45017</v>
      </c>
      <c r="B10124" t="n">
        <v>7.851</v>
      </c>
      <c r="C10124" t="n">
        <v>1.14225</v>
      </c>
    </row>
    <row r="10125">
      <c r="A10125" s="926" t="n">
        <v>45019</v>
      </c>
      <c r="B10125" t="n">
        <v>7.8515</v>
      </c>
      <c r="C10125" t="n">
        <v>1.1395</v>
      </c>
    </row>
    <row r="10126">
      <c r="A10126" s="926" t="n">
        <v>45020</v>
      </c>
      <c r="B10126" t="n">
        <v>7.853</v>
      </c>
      <c r="C10126" t="n">
        <v>1.14025</v>
      </c>
    </row>
    <row r="10127">
      <c r="A10127" s="926" t="n">
        <v>45022</v>
      </c>
      <c r="B10127" t="n">
        <v>7.8535</v>
      </c>
      <c r="C10127" t="n">
        <v>1.14075</v>
      </c>
    </row>
    <row r="10128">
      <c r="A10128" s="926" t="n">
        <v>45027</v>
      </c>
      <c r="B10128" t="n">
        <v>7.8525</v>
      </c>
      <c r="C10128" t="n">
        <v>1.13945</v>
      </c>
    </row>
    <row r="10129">
      <c r="A10129" s="926" t="n">
        <v>45028</v>
      </c>
      <c r="B10129" t="n">
        <v>7.8525</v>
      </c>
      <c r="C10129" t="n">
        <v>1.13905</v>
      </c>
    </row>
    <row r="10130">
      <c r="A10130" s="926" t="n">
        <v>45029</v>
      </c>
      <c r="B10130" t="n">
        <v>7.8525</v>
      </c>
      <c r="C10130" t="n">
        <v>1.14145</v>
      </c>
    </row>
    <row r="10131">
      <c r="A10131" s="926" t="n">
        <v>45030</v>
      </c>
      <c r="B10131" t="n">
        <v>7.8525</v>
      </c>
      <c r="C10131" t="n">
        <v>1.14685</v>
      </c>
    </row>
    <row r="10132">
      <c r="A10132" s="926" t="n">
        <v>45031</v>
      </c>
      <c r="B10132" t="n">
        <v>7.85</v>
      </c>
      <c r="C10132" t="n">
        <v>1.14265</v>
      </c>
    </row>
    <row r="10133">
      <c r="A10133" s="926" t="n">
        <v>45033</v>
      </c>
      <c r="B10133" t="n">
        <v>7.8525</v>
      </c>
      <c r="C10133" t="n">
        <v>1.14295</v>
      </c>
    </row>
    <row r="10134">
      <c r="A10134" s="926" t="n">
        <v>45034</v>
      </c>
      <c r="B10134" t="n">
        <v>7.8525</v>
      </c>
      <c r="C10134" t="n">
        <v>1.14145</v>
      </c>
    </row>
    <row r="10135">
      <c r="A10135" s="926" t="n">
        <v>45035</v>
      </c>
      <c r="B10135" t="n">
        <v>7.8525</v>
      </c>
      <c r="C10135" t="n">
        <v>1.13865</v>
      </c>
    </row>
    <row r="10136">
      <c r="A10136" s="926" t="n">
        <v>45036</v>
      </c>
      <c r="B10136" t="n">
        <v>7.8515</v>
      </c>
      <c r="C10136" t="n">
        <v>1.13955</v>
      </c>
    </row>
    <row r="10137">
      <c r="A10137" s="926" t="n">
        <v>45037</v>
      </c>
      <c r="B10137" t="n">
        <v>7.8495</v>
      </c>
      <c r="C10137" t="n">
        <v>1.13705</v>
      </c>
    </row>
    <row r="10138">
      <c r="A10138" s="926" t="n">
        <v>45038</v>
      </c>
      <c r="B10138" t="n">
        <v>7.848</v>
      </c>
      <c r="C10138" t="n">
        <v>1.13705</v>
      </c>
    </row>
    <row r="10139">
      <c r="A10139" s="926" t="n">
        <v>45040</v>
      </c>
      <c r="B10139" t="n">
        <v>7.849</v>
      </c>
      <c r="C10139" t="n">
        <v>1.1366</v>
      </c>
    </row>
    <row r="10140">
      <c r="A10140" s="926" t="n">
        <v>45041</v>
      </c>
      <c r="B10140" t="n">
        <v>7.851</v>
      </c>
      <c r="C10140" t="n">
        <v>1.1343</v>
      </c>
    </row>
    <row r="10141">
      <c r="A10141" s="926" t="n">
        <v>45042</v>
      </c>
      <c r="B10141" t="n">
        <v>7.851</v>
      </c>
      <c r="C10141" t="n">
        <v>1.1329</v>
      </c>
    </row>
    <row r="10142">
      <c r="A10142" s="926" t="n">
        <v>45043</v>
      </c>
      <c r="B10142" t="n">
        <v>7.851</v>
      </c>
      <c r="C10142" t="n">
        <v>1.13365</v>
      </c>
    </row>
    <row r="10143">
      <c r="A10143" s="926" t="n">
        <v>45044</v>
      </c>
      <c r="B10143" t="n">
        <v>7.851</v>
      </c>
      <c r="C10143" t="n">
        <v>1.1323</v>
      </c>
    </row>
    <row r="10144">
      <c r="A10144" s="926" t="n">
        <v>45045</v>
      </c>
      <c r="B10144" t="n">
        <v>7.85</v>
      </c>
      <c r="C10144" t="n">
        <v>1.1334</v>
      </c>
    </row>
    <row r="10145">
      <c r="A10145" s="926" t="n">
        <v>45048</v>
      </c>
      <c r="B10145" t="n">
        <v>7.851</v>
      </c>
      <c r="C10145" t="n">
        <v>1.12925</v>
      </c>
    </row>
    <row r="10146">
      <c r="A10146" s="926" t="n">
        <v>45049</v>
      </c>
      <c r="B10146" t="n">
        <v>7.851</v>
      </c>
      <c r="C10146" t="n">
        <v>1.13235</v>
      </c>
    </row>
    <row r="10147">
      <c r="A10147" s="926" t="n">
        <v>45050</v>
      </c>
      <c r="B10147" t="n">
        <v>7.849</v>
      </c>
      <c r="C10147" t="n">
        <v>1.13415</v>
      </c>
    </row>
    <row r="10148">
      <c r="A10148" s="926" t="n">
        <v>45051</v>
      </c>
      <c r="B10148" t="n">
        <v>7.85</v>
      </c>
      <c r="C10148" t="n">
        <v>1.13485</v>
      </c>
    </row>
    <row r="10149">
      <c r="A10149" s="926" t="n">
        <v>45052</v>
      </c>
      <c r="B10149" t="n">
        <v>7.848</v>
      </c>
      <c r="C10149" t="n">
        <v>1.1338</v>
      </c>
    </row>
    <row r="10150">
      <c r="A10150" s="926" t="n">
        <v>45054</v>
      </c>
      <c r="B10150" t="n">
        <v>7.849</v>
      </c>
      <c r="C10150" t="n">
        <v>1.1339</v>
      </c>
    </row>
    <row r="10151">
      <c r="A10151" s="926" t="n">
        <v>45055</v>
      </c>
      <c r="B10151" t="n">
        <v>7.849</v>
      </c>
      <c r="C10151" t="n">
        <v>1.1328</v>
      </c>
    </row>
    <row r="10152">
      <c r="A10152" s="926" t="n">
        <v>45056</v>
      </c>
      <c r="B10152" t="n">
        <v>7.835</v>
      </c>
      <c r="C10152" t="n">
        <v>1.1301</v>
      </c>
    </row>
    <row r="10153">
      <c r="A10153" s="926" t="n">
        <v>45057</v>
      </c>
      <c r="B10153" t="n">
        <v>7.834</v>
      </c>
      <c r="C10153" t="n">
        <v>1.12765</v>
      </c>
    </row>
    <row r="10154">
      <c r="A10154" s="926" t="n">
        <v>45058</v>
      </c>
      <c r="B10154" t="n">
        <v>7.843</v>
      </c>
      <c r="C10154" t="n">
        <v>1.12755</v>
      </c>
    </row>
    <row r="10155">
      <c r="A10155" s="926" t="n">
        <v>45059</v>
      </c>
      <c r="B10155" t="n">
        <v>7.843</v>
      </c>
      <c r="C10155" t="n">
        <v>1.12485</v>
      </c>
    </row>
    <row r="10156">
      <c r="A10156" s="926" t="n">
        <v>45061</v>
      </c>
      <c r="B10156" t="n">
        <v>7.842</v>
      </c>
      <c r="C10156" t="n">
        <v>1.1269</v>
      </c>
    </row>
    <row r="10157">
      <c r="A10157" s="926" t="n">
        <v>45062</v>
      </c>
      <c r="B10157" t="n">
        <v>7.839</v>
      </c>
      <c r="C10157" t="n">
        <v>1.12375</v>
      </c>
    </row>
    <row r="10158">
      <c r="A10158" s="926" t="n">
        <v>45063</v>
      </c>
      <c r="B10158" t="n">
        <v>7.836</v>
      </c>
      <c r="C10158" t="n">
        <v>1.11805</v>
      </c>
    </row>
    <row r="10159">
      <c r="A10159" s="926" t="n">
        <v>45064</v>
      </c>
      <c r="B10159" t="n">
        <v>7.829</v>
      </c>
      <c r="C10159" t="n">
        <v>1.11285</v>
      </c>
    </row>
    <row r="10160">
      <c r="A10160" s="926" t="n">
        <v>45065</v>
      </c>
      <c r="B10160" t="n">
        <v>7.813</v>
      </c>
      <c r="C10160" t="n">
        <v>1.1091</v>
      </c>
    </row>
    <row r="10161">
      <c r="A10161" s="926" t="n">
        <v>45066</v>
      </c>
      <c r="B10161" t="n">
        <v>7.816</v>
      </c>
      <c r="C10161" t="n">
        <v>1.1127</v>
      </c>
    </row>
    <row r="10162">
      <c r="A10162" s="926" t="n">
        <v>45068</v>
      </c>
      <c r="B10162" t="n">
        <v>7.82</v>
      </c>
      <c r="C10162" t="n">
        <v>1.1113</v>
      </c>
    </row>
    <row r="10163">
      <c r="A10163" s="926" t="n">
        <v>45069</v>
      </c>
      <c r="B10163" t="n">
        <v>7.833</v>
      </c>
      <c r="C10163" t="n">
        <v>1.10895</v>
      </c>
    </row>
    <row r="10164">
      <c r="A10164" s="926" t="n">
        <v>45070</v>
      </c>
      <c r="B10164" t="n">
        <v>7.834</v>
      </c>
      <c r="C10164" t="n">
        <v>1.1087</v>
      </c>
    </row>
    <row r="10165">
      <c r="A10165" s="926" t="n">
        <v>45071</v>
      </c>
      <c r="B10165" t="n">
        <v>7.835</v>
      </c>
      <c r="C10165" t="n">
        <v>1.10545</v>
      </c>
    </row>
    <row r="10166">
      <c r="A10166" s="926" t="n">
        <v>45073</v>
      </c>
      <c r="B10166" t="n">
        <v>7.834</v>
      </c>
      <c r="C10166" t="n">
        <v>1.10775</v>
      </c>
    </row>
    <row r="10167">
      <c r="A10167" s="926" t="n">
        <v>45075</v>
      </c>
      <c r="B10167" t="n">
        <v>7.83</v>
      </c>
      <c r="C10167" t="n">
        <v>1.1058</v>
      </c>
    </row>
    <row r="10168">
      <c r="A10168" s="926" t="n">
        <v>45076</v>
      </c>
      <c r="B10168" t="n">
        <v>7.834</v>
      </c>
      <c r="C10168" t="n">
        <v>1.1031</v>
      </c>
    </row>
    <row r="10169">
      <c r="A10169" s="926" t="n">
        <v>45077</v>
      </c>
      <c r="B10169" t="n">
        <v>7.834</v>
      </c>
      <c r="C10169" t="n">
        <v>1.09965</v>
      </c>
    </row>
    <row r="10170">
      <c r="A10170" s="926" t="n">
        <v>45078</v>
      </c>
      <c r="B10170" t="n">
        <v>7.832</v>
      </c>
      <c r="C10170" t="n">
        <v>1.09925</v>
      </c>
    </row>
    <row r="10171">
      <c r="A10171" s="926" t="n">
        <v>45079</v>
      </c>
      <c r="B10171" t="n">
        <v>7.833</v>
      </c>
      <c r="C10171" t="n">
        <v>1.10505</v>
      </c>
    </row>
    <row r="10172">
      <c r="A10172" s="926" t="n">
        <v>45080</v>
      </c>
      <c r="B10172" t="n">
        <v>7.838</v>
      </c>
      <c r="C10172" t="n">
        <v>1.10245</v>
      </c>
    </row>
    <row r="10173">
      <c r="A10173" s="926" t="n">
        <v>45082</v>
      </c>
      <c r="B10173" t="n">
        <v>7.84</v>
      </c>
      <c r="C10173" t="n">
        <v>1.09995</v>
      </c>
    </row>
    <row r="10174">
      <c r="A10174" s="926" t="n">
        <v>45083</v>
      </c>
      <c r="B10174" t="n">
        <v>7.843</v>
      </c>
      <c r="C10174" t="n">
        <v>1.10075</v>
      </c>
    </row>
    <row r="10175">
      <c r="A10175" s="926" t="n">
        <v>45084</v>
      </c>
      <c r="B10175" t="n">
        <v>7.841</v>
      </c>
      <c r="C10175" t="n">
        <v>1.09845</v>
      </c>
    </row>
    <row r="10176">
      <c r="A10176" s="926" t="n">
        <v>45085</v>
      </c>
      <c r="B10176" t="n">
        <v>7.837</v>
      </c>
      <c r="C10176" t="n">
        <v>1.0966</v>
      </c>
    </row>
    <row r="10177">
      <c r="A10177" s="926" t="n">
        <v>45086</v>
      </c>
      <c r="B10177" t="n">
        <v>7.838</v>
      </c>
      <c r="C10177" t="n">
        <v>1.09875</v>
      </c>
    </row>
    <row r="10178">
      <c r="A10178" s="926" t="n">
        <v>45087</v>
      </c>
      <c r="B10178" t="n">
        <v>7.84</v>
      </c>
      <c r="C10178" t="n">
        <v>1.0977</v>
      </c>
    </row>
    <row r="10179">
      <c r="A10179" s="926" t="n">
        <v>45089</v>
      </c>
      <c r="B10179" t="n">
        <v>7.84</v>
      </c>
      <c r="C10179" t="n">
        <v>1.09555</v>
      </c>
    </row>
    <row r="10180">
      <c r="A10180" s="926" t="n">
        <v>45090</v>
      </c>
      <c r="B10180" t="n">
        <v>7.835</v>
      </c>
      <c r="C10180" t="n">
        <v>1.09275</v>
      </c>
    </row>
    <row r="10181">
      <c r="A10181" s="926" t="n">
        <v>45091</v>
      </c>
      <c r="B10181" t="n">
        <v>7.833</v>
      </c>
      <c r="C10181" t="n">
        <v>1.09175</v>
      </c>
    </row>
    <row r="10182">
      <c r="A10182" s="926" t="n">
        <v>45092</v>
      </c>
      <c r="B10182" t="n">
        <v>7.828</v>
      </c>
      <c r="C10182" t="n">
        <v>1.0925</v>
      </c>
    </row>
    <row r="10183">
      <c r="A10183" s="926" t="n">
        <v>45093</v>
      </c>
      <c r="B10183" t="n">
        <v>7.822</v>
      </c>
      <c r="C10183" t="n">
        <v>1.0986</v>
      </c>
    </row>
    <row r="10184">
      <c r="A10184" s="926" t="n">
        <v>45094</v>
      </c>
      <c r="B10184" t="n">
        <v>7.82</v>
      </c>
      <c r="C10184" t="n">
        <v>1.0973</v>
      </c>
    </row>
    <row r="10185">
      <c r="A10185" s="926" t="n">
        <v>45096</v>
      </c>
      <c r="B10185" t="n">
        <v>7.818</v>
      </c>
      <c r="C10185" t="n">
        <v>1.09175</v>
      </c>
    </row>
    <row r="10186">
      <c r="A10186" s="926" t="n">
        <v>45097</v>
      </c>
      <c r="B10186" t="n">
        <v>7.823</v>
      </c>
      <c r="C10186" t="n">
        <v>1.09025</v>
      </c>
    </row>
    <row r="10187">
      <c r="A10187" s="926" t="n">
        <v>45098</v>
      </c>
      <c r="B10187" t="n">
        <v>7.827</v>
      </c>
      <c r="C10187" t="n">
        <v>1.0871</v>
      </c>
    </row>
    <row r="10188">
      <c r="A10188" s="926" t="n">
        <v>45100</v>
      </c>
      <c r="B10188" t="n">
        <v>7.831</v>
      </c>
      <c r="C10188" t="n">
        <v>1.0843</v>
      </c>
    </row>
    <row r="10189">
      <c r="A10189" s="926" t="n">
        <v>45101</v>
      </c>
      <c r="B10189" t="n">
        <v>7.831</v>
      </c>
      <c r="C10189" t="n">
        <v>1.08535</v>
      </c>
    </row>
    <row r="10190">
      <c r="A10190" s="926" t="n">
        <v>45103</v>
      </c>
      <c r="B10190" t="n">
        <v>7.83</v>
      </c>
      <c r="C10190" t="n">
        <v>1.0827</v>
      </c>
    </row>
    <row r="10191">
      <c r="A10191" s="926" t="n">
        <v>45104</v>
      </c>
      <c r="B10191" t="n">
        <v>7.832</v>
      </c>
      <c r="C10191" t="n">
        <v>1.0855</v>
      </c>
    </row>
    <row r="10192">
      <c r="A10192" s="926" t="n">
        <v>45105</v>
      </c>
      <c r="B10192" t="n">
        <v>7.834</v>
      </c>
      <c r="C10192" t="n">
        <v>1.0813</v>
      </c>
    </row>
    <row r="10193">
      <c r="A10193" s="926" t="n">
        <v>45106</v>
      </c>
      <c r="B10193" t="n">
        <v>7.836</v>
      </c>
      <c r="C10193" t="n">
        <v>1.07995</v>
      </c>
    </row>
    <row r="10194">
      <c r="A10194" s="926" t="n">
        <v>45107</v>
      </c>
      <c r="B10194" t="n">
        <v>7.836</v>
      </c>
      <c r="C10194" t="n">
        <v>1.0784</v>
      </c>
    </row>
    <row r="10195">
      <c r="A10195" s="926" t="n">
        <v>45110</v>
      </c>
      <c r="B10195" t="n">
        <v>7.835</v>
      </c>
      <c r="C10195" t="n">
        <v>1.0791</v>
      </c>
    </row>
    <row r="10196">
      <c r="A10196" s="926" t="n">
        <v>45111</v>
      </c>
      <c r="B10196" t="n">
        <v>7.832</v>
      </c>
      <c r="C10196" t="n">
        <v>1.08365</v>
      </c>
    </row>
    <row r="10197">
      <c r="A10197" s="926" t="n">
        <v>45112</v>
      </c>
      <c r="B10197" t="n">
        <v>7.828</v>
      </c>
      <c r="C10197" t="n">
        <v>1.07955</v>
      </c>
    </row>
    <row r="10198">
      <c r="A10198" s="926" t="n">
        <v>45113</v>
      </c>
      <c r="B10198" t="n">
        <v>7.819</v>
      </c>
      <c r="C10198" t="n">
        <v>1.07725</v>
      </c>
    </row>
    <row r="10199">
      <c r="A10199" s="926" t="n">
        <v>45114</v>
      </c>
      <c r="B10199" t="n">
        <v>7.828</v>
      </c>
      <c r="C10199" t="n">
        <v>1.0788</v>
      </c>
    </row>
    <row r="10200">
      <c r="A10200" s="926" t="n">
        <v>45115</v>
      </c>
      <c r="B10200" t="n">
        <v>7.827</v>
      </c>
      <c r="C10200" t="n">
        <v>1.08225</v>
      </c>
    </row>
    <row r="10201">
      <c r="A10201" s="926" t="n">
        <v>45117</v>
      </c>
      <c r="B10201" t="n">
        <v>7.829</v>
      </c>
      <c r="C10201" t="n">
        <v>1.081</v>
      </c>
    </row>
    <row r="10202">
      <c r="A10202" s="926" t="n">
        <v>45118</v>
      </c>
      <c r="B10202" t="n">
        <v>7.827</v>
      </c>
      <c r="C10202" t="n">
        <v>1.0867</v>
      </c>
    </row>
    <row r="10203">
      <c r="A10203" s="926" t="n">
        <v>45119</v>
      </c>
      <c r="B10203" t="n">
        <v>7.83</v>
      </c>
      <c r="C10203" t="n">
        <v>1.0877</v>
      </c>
    </row>
    <row r="10204">
      <c r="A10204" s="926" t="n">
        <v>45120</v>
      </c>
      <c r="B10204" t="n">
        <v>7.823</v>
      </c>
      <c r="C10204" t="n">
        <v>1.0907</v>
      </c>
    </row>
    <row r="10205">
      <c r="A10205" s="926" t="n">
        <v>45121</v>
      </c>
      <c r="B10205" t="n">
        <v>7.819</v>
      </c>
      <c r="C10205" t="n">
        <v>1.0953</v>
      </c>
    </row>
    <row r="10206">
      <c r="A10206" s="926" t="n">
        <v>45122</v>
      </c>
      <c r="B10206" t="n">
        <v>7.815</v>
      </c>
      <c r="C10206" t="n">
        <v>1.09205</v>
      </c>
    </row>
    <row r="10207">
      <c r="A10207" s="926" t="n">
        <v>45125</v>
      </c>
      <c r="B10207" t="n">
        <v>7.816</v>
      </c>
      <c r="C10207" t="n">
        <v>1.0885</v>
      </c>
    </row>
    <row r="10208">
      <c r="A10208" s="926" t="n">
        <v>45126</v>
      </c>
      <c r="B10208" t="n">
        <v>7.81</v>
      </c>
      <c r="C10208" t="n">
        <v>1.0814</v>
      </c>
    </row>
    <row r="10209">
      <c r="A10209" s="926" t="n">
        <v>45127</v>
      </c>
      <c r="B10209" t="n">
        <v>7.811</v>
      </c>
      <c r="C10209" t="n">
        <v>1.08605</v>
      </c>
    </row>
    <row r="10210">
      <c r="A10210" s="926" t="n">
        <v>45128</v>
      </c>
      <c r="B10210" t="n">
        <v>7.818</v>
      </c>
      <c r="C10210" t="n">
        <v>1.09005</v>
      </c>
    </row>
    <row r="10211">
      <c r="A10211" s="926" t="n">
        <v>45129</v>
      </c>
      <c r="B10211" t="n">
        <v>7.819</v>
      </c>
      <c r="C10211" t="n">
        <v>1.08775</v>
      </c>
    </row>
    <row r="10212">
      <c r="A10212" s="926" t="n">
        <v>45131</v>
      </c>
      <c r="B10212" t="n">
        <v>7.816</v>
      </c>
      <c r="C10212" t="n">
        <v>1.08565</v>
      </c>
    </row>
    <row r="10213">
      <c r="A10213" s="926" t="n">
        <v>45132</v>
      </c>
      <c r="B10213" t="n">
        <v>7.814</v>
      </c>
      <c r="C10213" t="n">
        <v>1.0935</v>
      </c>
    </row>
    <row r="10214">
      <c r="A10214" s="926" t="n">
        <v>45133</v>
      </c>
      <c r="B10214" t="n">
        <v>7.808</v>
      </c>
      <c r="C10214" t="n">
        <v>1.09135</v>
      </c>
    </row>
    <row r="10215">
      <c r="A10215" s="926" t="n">
        <v>45134</v>
      </c>
      <c r="B10215" t="n">
        <v>7.802</v>
      </c>
      <c r="C10215" t="n">
        <v>1.09205</v>
      </c>
    </row>
    <row r="10216">
      <c r="A10216" s="926" t="n">
        <v>45135</v>
      </c>
      <c r="B10216" t="n">
        <v>7.8</v>
      </c>
      <c r="C10216" t="n">
        <v>1.0894</v>
      </c>
    </row>
    <row r="10217">
      <c r="A10217" s="926" t="n">
        <v>45136</v>
      </c>
      <c r="B10217" t="n">
        <v>7.797</v>
      </c>
      <c r="C10217" t="n">
        <v>1.0905</v>
      </c>
    </row>
    <row r="10218">
      <c r="A10218" s="926" t="n">
        <v>45138</v>
      </c>
      <c r="B10218" t="n">
        <v>7.802</v>
      </c>
      <c r="C10218" t="n">
        <v>1.0915</v>
      </c>
    </row>
    <row r="10219">
      <c r="A10219" s="926" t="n">
        <v>45139</v>
      </c>
      <c r="B10219" t="n">
        <v>7.798</v>
      </c>
      <c r="C10219" t="n">
        <v>1.08735</v>
      </c>
    </row>
    <row r="10220">
      <c r="A10220" s="926" t="n">
        <v>45140</v>
      </c>
      <c r="B10220" t="n">
        <v>7.799</v>
      </c>
      <c r="C10220" t="n">
        <v>1.0841</v>
      </c>
    </row>
    <row r="10221">
      <c r="A10221" s="926" t="n">
        <v>45141</v>
      </c>
      <c r="B10221" t="n">
        <v>7.806</v>
      </c>
      <c r="C10221" t="n">
        <v>1.08335</v>
      </c>
    </row>
    <row r="10222">
      <c r="A10222" s="926" t="n">
        <v>45142</v>
      </c>
      <c r="B10222" t="n">
        <v>7.81</v>
      </c>
      <c r="C10222" t="n">
        <v>1.0861</v>
      </c>
    </row>
    <row r="10223">
      <c r="A10223" s="926" t="n">
        <v>45143</v>
      </c>
      <c r="B10223" t="n">
        <v>7.814</v>
      </c>
      <c r="C10223" t="n">
        <v>1.08705</v>
      </c>
    </row>
    <row r="10224">
      <c r="A10224" s="926" t="n">
        <v>45145</v>
      </c>
      <c r="B10224" t="n">
        <v>7.807</v>
      </c>
      <c r="C10224" t="n">
        <v>1.0839</v>
      </c>
    </row>
    <row r="10225">
      <c r="A10225" s="926" t="n">
        <v>45146</v>
      </c>
      <c r="B10225" t="n">
        <v>7.811</v>
      </c>
      <c r="C10225" t="n">
        <v>1.0805</v>
      </c>
    </row>
    <row r="10226">
      <c r="A10226" s="926" t="n">
        <v>45147</v>
      </c>
      <c r="B10226" t="n">
        <v>7.816</v>
      </c>
      <c r="C10226" t="n">
        <v>1.0826</v>
      </c>
    </row>
    <row r="10227">
      <c r="A10227" s="926" t="n">
        <v>45148</v>
      </c>
      <c r="B10227" t="n">
        <v>7.818</v>
      </c>
      <c r="C10227" t="n">
        <v>1.0822</v>
      </c>
    </row>
    <row r="10228">
      <c r="A10228" s="926" t="n">
        <v>45149</v>
      </c>
      <c r="B10228" t="n">
        <v>7.815</v>
      </c>
      <c r="C10228" t="n">
        <v>1.07805</v>
      </c>
    </row>
    <row r="10229">
      <c r="A10229" s="926" t="n">
        <v>45150</v>
      </c>
      <c r="B10229" t="n">
        <v>7.818</v>
      </c>
      <c r="C10229" t="n">
        <v>1.0769</v>
      </c>
    </row>
    <row r="10230">
      <c r="A10230" s="926" t="n">
        <v>45152</v>
      </c>
      <c r="B10230" t="n">
        <v>7.817</v>
      </c>
      <c r="C10230" t="n">
        <v>1.07415</v>
      </c>
    </row>
    <row r="10231">
      <c r="A10231" s="926" t="n">
        <v>45153</v>
      </c>
      <c r="B10231" t="n">
        <v>7.822</v>
      </c>
      <c r="C10231" t="n">
        <v>1.07125</v>
      </c>
    </row>
    <row r="10232">
      <c r="A10232" s="926" t="n">
        <v>45154</v>
      </c>
      <c r="B10232" t="n">
        <v>7.827</v>
      </c>
      <c r="C10232" t="n">
        <v>1.06985</v>
      </c>
    </row>
    <row r="10233">
      <c r="A10233" s="926" t="n">
        <v>45155</v>
      </c>
      <c r="B10233" t="n">
        <v>7.831</v>
      </c>
      <c r="C10233" t="n">
        <v>1.06835</v>
      </c>
    </row>
    <row r="10234">
      <c r="A10234" s="926" t="n">
        <v>45156</v>
      </c>
      <c r="B10234" t="n">
        <v>7.83</v>
      </c>
      <c r="C10234" t="n">
        <v>1.07145</v>
      </c>
    </row>
    <row r="10235">
      <c r="A10235" s="926" t="n">
        <v>45157</v>
      </c>
      <c r="B10235" t="n">
        <v>7.834</v>
      </c>
      <c r="C10235" t="n">
        <v>1.07195</v>
      </c>
    </row>
    <row r="10236">
      <c r="A10236" s="926" t="n">
        <v>45159</v>
      </c>
      <c r="B10236" t="n">
        <v>7.837</v>
      </c>
      <c r="C10236" t="n">
        <v>1.06835</v>
      </c>
    </row>
    <row r="10237">
      <c r="A10237" s="926" t="n">
        <v>45160</v>
      </c>
      <c r="B10237" t="n">
        <v>7.837</v>
      </c>
      <c r="C10237" t="n">
        <v>1.07445</v>
      </c>
    </row>
    <row r="10238">
      <c r="A10238" s="926" t="n">
        <v>45161</v>
      </c>
      <c r="B10238" t="n">
        <v>7.839</v>
      </c>
      <c r="C10238" t="n">
        <v>1.07435</v>
      </c>
    </row>
    <row r="10239">
      <c r="A10239" s="926" t="n">
        <v>45162</v>
      </c>
      <c r="B10239" t="n">
        <v>7.842</v>
      </c>
      <c r="C10239" t="n">
        <v>1.07665</v>
      </c>
    </row>
    <row r="10240">
      <c r="A10240" s="926" t="n">
        <v>45163</v>
      </c>
      <c r="B10240" t="n">
        <v>7.846</v>
      </c>
      <c r="C10240" t="n">
        <v>1.07565</v>
      </c>
    </row>
    <row r="10241">
      <c r="A10241" s="926" t="n">
        <v>45164</v>
      </c>
      <c r="B10241" t="n">
        <v>7.8455</v>
      </c>
      <c r="C10241" t="n">
        <v>1.07515</v>
      </c>
    </row>
    <row r="10242">
      <c r="A10242" s="926" t="n">
        <v>45166</v>
      </c>
      <c r="B10242" t="n">
        <v>7.846</v>
      </c>
      <c r="C10242" t="n">
        <v>1.07555</v>
      </c>
    </row>
    <row r="10243">
      <c r="A10243" s="926" t="n">
        <v>45167</v>
      </c>
      <c r="B10243" t="n">
        <v>7.846</v>
      </c>
      <c r="C10243" t="n">
        <v>1.07515</v>
      </c>
    </row>
    <row r="10244">
      <c r="A10244" s="926" t="n">
        <v>45168</v>
      </c>
      <c r="B10244" t="n">
        <v>7.848</v>
      </c>
      <c r="C10244" t="n">
        <v>1.07455</v>
      </c>
    </row>
    <row r="10245">
      <c r="A10245" s="926" t="n">
        <v>45169</v>
      </c>
      <c r="B10245" t="n">
        <v>7.847</v>
      </c>
      <c r="C10245" t="n">
        <v>1.07495</v>
      </c>
    </row>
    <row r="10246">
      <c r="A10246" s="926" t="n">
        <v>45173</v>
      </c>
      <c r="B10246" t="n">
        <v>7.841</v>
      </c>
      <c r="C10246" t="n">
        <v>1.07845</v>
      </c>
    </row>
    <row r="10247">
      <c r="A10247" s="926" t="n">
        <v>45174</v>
      </c>
      <c r="B10247" t="n">
        <v>7.838</v>
      </c>
      <c r="C10247" t="n">
        <v>1.0737</v>
      </c>
    </row>
    <row r="10248">
      <c r="A10248" s="926" t="n">
        <v>45175</v>
      </c>
      <c r="B10248" t="n">
        <v>7.844</v>
      </c>
      <c r="C10248" t="n">
        <v>1.0727</v>
      </c>
    </row>
    <row r="10249">
      <c r="A10249" s="926" t="n">
        <v>45176</v>
      </c>
      <c r="B10249" t="n">
        <v>7.841</v>
      </c>
      <c r="C10249" t="n">
        <v>1.06895</v>
      </c>
    </row>
    <row r="10250">
      <c r="A10250" s="926" t="n">
        <v>45178</v>
      </c>
      <c r="B10250" t="n">
        <v>7.842</v>
      </c>
      <c r="C10250" t="n">
        <v>1.06445</v>
      </c>
    </row>
    <row r="10251">
      <c r="A10251" s="926" t="n">
        <v>45180</v>
      </c>
      <c r="B10251" t="n">
        <v>7.838</v>
      </c>
      <c r="C10251" t="n">
        <v>1.07335</v>
      </c>
    </row>
    <row r="10252">
      <c r="A10252" s="926" t="n">
        <v>45181</v>
      </c>
      <c r="B10252" t="n">
        <v>7.832</v>
      </c>
      <c r="C10252" t="n">
        <v>1.0717</v>
      </c>
    </row>
    <row r="10253">
      <c r="A10253" s="926" t="n">
        <v>45182</v>
      </c>
      <c r="B10253" t="n">
        <v>7.827</v>
      </c>
      <c r="C10253" t="n">
        <v>1.0734</v>
      </c>
    </row>
    <row r="10254">
      <c r="A10254" s="926" t="n">
        <v>45183</v>
      </c>
      <c r="B10254" t="n">
        <v>7.826</v>
      </c>
      <c r="C10254" t="n">
        <v>1.0752</v>
      </c>
    </row>
    <row r="10255">
      <c r="A10255" s="926" t="n">
        <v>45184</v>
      </c>
      <c r="B10255" t="n">
        <v>7.828</v>
      </c>
      <c r="C10255" t="n">
        <v>1.076</v>
      </c>
    </row>
    <row r="10256">
      <c r="A10256" s="926" t="n">
        <v>45185</v>
      </c>
      <c r="B10256" t="n">
        <v>7.828</v>
      </c>
      <c r="C10256" t="n">
        <v>1.07385</v>
      </c>
    </row>
    <row r="10257">
      <c r="A10257" s="926" t="n">
        <v>45187</v>
      </c>
      <c r="B10257" t="n">
        <v>7.825</v>
      </c>
      <c r="C10257" t="n">
        <v>1.0731</v>
      </c>
    </row>
    <row r="10258">
      <c r="A10258" s="926" t="n">
        <v>45188</v>
      </c>
      <c r="B10258" t="n">
        <v>7.817</v>
      </c>
      <c r="C10258" t="n">
        <v>1.07035</v>
      </c>
    </row>
    <row r="10259">
      <c r="A10259" s="926" t="n">
        <v>45189</v>
      </c>
      <c r="B10259" t="n">
        <v>7.823</v>
      </c>
      <c r="C10259" t="n">
        <v>1.06935</v>
      </c>
    </row>
    <row r="10260">
      <c r="A10260" s="926" t="n">
        <v>45190</v>
      </c>
      <c r="B10260" t="n">
        <v>7.823</v>
      </c>
      <c r="C10260" t="n">
        <v>1.07025</v>
      </c>
    </row>
    <row r="10261">
      <c r="A10261" s="926" t="n">
        <v>45191</v>
      </c>
      <c r="B10261" t="n">
        <v>7.82</v>
      </c>
      <c r="C10261" t="n">
        <v>1.0709</v>
      </c>
    </row>
    <row r="10262">
      <c r="A10262" s="926" t="n">
        <v>45192</v>
      </c>
      <c r="B10262" t="n">
        <v>7.822</v>
      </c>
      <c r="C10262" t="n">
        <v>1.07155</v>
      </c>
    </row>
    <row r="10263">
      <c r="A10263" s="926" t="n">
        <v>45194</v>
      </c>
      <c r="B10263" t="n">
        <v>7.817</v>
      </c>
      <c r="C10263" t="n">
        <v>1.06895</v>
      </c>
    </row>
    <row r="10264">
      <c r="A10264" s="926" t="n">
        <v>45195</v>
      </c>
      <c r="B10264" t="n">
        <v>7.82</v>
      </c>
      <c r="C10264" t="n">
        <v>1.06955</v>
      </c>
    </row>
    <row r="10265">
      <c r="A10265" s="926" t="n">
        <v>45196</v>
      </c>
      <c r="B10265" t="n">
        <v>7.822</v>
      </c>
      <c r="C10265" t="n">
        <v>1.07035</v>
      </c>
    </row>
    <row r="10266">
      <c r="A10266" s="926" t="n">
        <v>45197</v>
      </c>
      <c r="B10266" t="n">
        <v>7.828</v>
      </c>
      <c r="C10266" t="n">
        <v>1.0703</v>
      </c>
    </row>
    <row r="10267">
      <c r="A10267" s="926" t="n">
        <v>45198</v>
      </c>
      <c r="B10267" t="n">
        <v>7.83</v>
      </c>
      <c r="C10267" t="n">
        <v>1.0739</v>
      </c>
    </row>
    <row r="10268">
      <c r="A10268" s="926" t="n">
        <v>45202</v>
      </c>
      <c r="B10268" t="n">
        <v>7.832</v>
      </c>
      <c r="C10268" t="n">
        <v>1.06945</v>
      </c>
    </row>
    <row r="10269">
      <c r="A10269" s="926" t="n">
        <v>45203</v>
      </c>
      <c r="B10269" t="n">
        <v>7.832</v>
      </c>
      <c r="C10269" t="n">
        <v>1.06895</v>
      </c>
    </row>
    <row r="10270">
      <c r="A10270" s="926" t="n">
        <v>45204</v>
      </c>
      <c r="B10270" t="n">
        <v>7.83</v>
      </c>
      <c r="C10270" t="n">
        <v>1.06945</v>
      </c>
    </row>
    <row r="10271">
      <c r="A10271" s="926" t="n">
        <v>45205</v>
      </c>
      <c r="B10271" t="n">
        <v>7.832</v>
      </c>
      <c r="C10271" t="n">
        <v>1.0709</v>
      </c>
    </row>
    <row r="10272">
      <c r="A10272" s="926" t="n">
        <v>45206</v>
      </c>
      <c r="B10272" t="n">
        <v>7.833</v>
      </c>
      <c r="C10272" t="n">
        <v>1.07175</v>
      </c>
    </row>
    <row r="10273">
      <c r="A10273" s="926" t="n">
        <v>45208</v>
      </c>
      <c r="B10273" t="n">
        <v>7.832</v>
      </c>
      <c r="C10273" t="n">
        <v>1.07305</v>
      </c>
    </row>
    <row r="10274">
      <c r="A10274" s="926" t="n">
        <v>45209</v>
      </c>
      <c r="B10274" t="n">
        <v>7.825</v>
      </c>
      <c r="C10274" t="n">
        <v>1.0725</v>
      </c>
    </row>
    <row r="10275">
      <c r="A10275" s="926" t="n">
        <v>45210</v>
      </c>
      <c r="B10275" t="n">
        <v>7.82</v>
      </c>
      <c r="C10275" t="n">
        <v>1.07115</v>
      </c>
    </row>
    <row r="10276">
      <c r="A10276" s="926" t="n">
        <v>45211</v>
      </c>
      <c r="B10276" t="n">
        <v>7.822</v>
      </c>
      <c r="C10276" t="n">
        <v>1.07225</v>
      </c>
    </row>
    <row r="10277">
      <c r="A10277" s="926" t="n">
        <v>45212</v>
      </c>
      <c r="B10277" t="n">
        <v>7.823</v>
      </c>
      <c r="C10277" t="n">
        <v>1.07025</v>
      </c>
    </row>
    <row r="10278">
      <c r="A10278" s="926" t="n">
        <v>45213</v>
      </c>
      <c r="B10278" t="n">
        <v>7.822</v>
      </c>
      <c r="C10278" t="n">
        <v>1.0688</v>
      </c>
    </row>
    <row r="10279">
      <c r="A10279" s="926" t="n">
        <v>45215</v>
      </c>
      <c r="B10279" t="n">
        <v>7.821</v>
      </c>
      <c r="C10279" t="n">
        <v>1.06925</v>
      </c>
    </row>
    <row r="10280">
      <c r="A10280" s="926" t="n">
        <v>45216</v>
      </c>
      <c r="B10280" t="n">
        <v>7.821</v>
      </c>
      <c r="C10280" t="n">
        <v>1.06825</v>
      </c>
    </row>
    <row r="10281">
      <c r="A10281" s="926" t="n">
        <v>45217</v>
      </c>
      <c r="B10281" t="n">
        <v>7.829</v>
      </c>
      <c r="C10281" t="n">
        <v>1.07025</v>
      </c>
    </row>
    <row r="10282">
      <c r="A10282" s="926" t="n">
        <v>45218</v>
      </c>
      <c r="B10282" t="n">
        <v>7.827</v>
      </c>
      <c r="C10282" t="n">
        <v>1.06785</v>
      </c>
    </row>
    <row r="10283">
      <c r="A10283" s="926" t="n">
        <v>45219</v>
      </c>
      <c r="B10283" t="n">
        <v>7.822</v>
      </c>
      <c r="C10283" t="n">
        <v>1.06625</v>
      </c>
    </row>
    <row r="10284">
      <c r="A10284" s="926" t="n">
        <v>45220</v>
      </c>
      <c r="B10284" t="n">
        <v>7.825</v>
      </c>
      <c r="C10284" t="n">
        <v>1.0686</v>
      </c>
    </row>
    <row r="10285">
      <c r="A10285" s="926" t="n">
        <v>45223</v>
      </c>
      <c r="B10285" t="n">
        <v>7.823</v>
      </c>
      <c r="C10285" t="n">
        <v>1.0705</v>
      </c>
    </row>
    <row r="10286">
      <c r="A10286" s="926" t="n">
        <v>45224</v>
      </c>
      <c r="B10286" t="n">
        <v>7.824</v>
      </c>
      <c r="C10286" t="n">
        <v>1.06905</v>
      </c>
    </row>
    <row r="10287">
      <c r="A10287" s="926" t="n">
        <v>45225</v>
      </c>
      <c r="B10287" t="n">
        <v>7.823</v>
      </c>
      <c r="C10287" t="n">
        <v>1.0674</v>
      </c>
    </row>
    <row r="10288">
      <c r="A10288" s="926" t="n">
        <v>45226</v>
      </c>
      <c r="B10288" t="n">
        <v>7.821</v>
      </c>
      <c r="C10288" t="n">
        <v>1.06785</v>
      </c>
    </row>
    <row r="10289">
      <c r="A10289" s="926" t="n">
        <v>45227</v>
      </c>
      <c r="B10289" t="n">
        <v>7.823</v>
      </c>
      <c r="C10289" t="n">
        <v>1.0668</v>
      </c>
    </row>
    <row r="10290">
      <c r="A10290" s="926" t="n">
        <v>45229</v>
      </c>
      <c r="B10290" t="n">
        <v>7.822</v>
      </c>
      <c r="C10290" t="n">
        <v>1.06725</v>
      </c>
    </row>
    <row r="10291">
      <c r="A10291" s="926" t="n">
        <v>45230</v>
      </c>
      <c r="B10291" t="n">
        <v>7.825</v>
      </c>
      <c r="C10291" t="n">
        <v>1.06685</v>
      </c>
    </row>
    <row r="10292">
      <c r="A10292" s="926" t="n">
        <v>45231</v>
      </c>
      <c r="B10292" t="n">
        <v>7.824</v>
      </c>
      <c r="C10292" t="n">
        <v>1.06625</v>
      </c>
    </row>
    <row r="10293">
      <c r="A10293" s="926" t="n">
        <v>45232</v>
      </c>
      <c r="B10293" t="n">
        <v>7.824</v>
      </c>
      <c r="C10293" t="n">
        <v>1.0668</v>
      </c>
    </row>
    <row r="10294">
      <c r="A10294" s="926" t="n">
        <v>45233</v>
      </c>
      <c r="B10294" t="n">
        <v>7.826</v>
      </c>
      <c r="C10294" t="n">
        <v>1.0685</v>
      </c>
    </row>
    <row r="10295">
      <c r="A10295" s="926" t="n">
        <v>45234</v>
      </c>
      <c r="B10295" t="n">
        <v>7.826</v>
      </c>
      <c r="C10295" t="n">
        <v>1.07385</v>
      </c>
    </row>
    <row r="10296">
      <c r="A10296" s="926" t="n">
        <v>45236</v>
      </c>
      <c r="B10296" t="n">
        <v>7.823</v>
      </c>
      <c r="C10296" t="n">
        <v>1.0733</v>
      </c>
    </row>
    <row r="10297">
      <c r="A10297" s="926" t="n">
        <v>45237</v>
      </c>
      <c r="B10297" t="n">
        <v>7.82</v>
      </c>
      <c r="C10297" t="n">
        <v>1.07275</v>
      </c>
    </row>
    <row r="10298">
      <c r="A10298" s="926" t="n">
        <v>45238</v>
      </c>
      <c r="B10298" t="n">
        <v>7.817</v>
      </c>
      <c r="C10298" t="n">
        <v>1.07325</v>
      </c>
    </row>
    <row r="10299">
      <c r="A10299" s="926" t="n">
        <v>45239</v>
      </c>
      <c r="B10299" t="n">
        <v>7.81</v>
      </c>
      <c r="C10299" t="n">
        <v>1.07085</v>
      </c>
    </row>
    <row r="10300">
      <c r="A10300" s="926" t="n">
        <v>45240</v>
      </c>
      <c r="B10300" t="n">
        <v>7.81</v>
      </c>
      <c r="C10300" t="n">
        <v>1.06925</v>
      </c>
    </row>
    <row r="10301">
      <c r="A10301" s="926" t="n">
        <v>45241</v>
      </c>
      <c r="B10301" t="n">
        <v>7.812</v>
      </c>
      <c r="C10301" t="n">
        <v>1.06905</v>
      </c>
    </row>
    <row r="10302">
      <c r="A10302" s="926" t="n">
        <v>45243</v>
      </c>
      <c r="B10302" t="n">
        <v>7.812</v>
      </c>
      <c r="C10302" t="n">
        <v>1.0687</v>
      </c>
    </row>
    <row r="10303">
      <c r="A10303" s="926" t="n">
        <v>45244</v>
      </c>
      <c r="B10303" t="n">
        <v>7.807</v>
      </c>
      <c r="C10303" t="n">
        <v>1.06925</v>
      </c>
    </row>
    <row r="10304">
      <c r="A10304" s="926" t="n">
        <v>45245</v>
      </c>
      <c r="B10304" t="n">
        <v>7.805</v>
      </c>
      <c r="C10304" t="n">
        <v>1.07725</v>
      </c>
    </row>
    <row r="10305">
      <c r="A10305" s="926" t="n">
        <v>45246</v>
      </c>
      <c r="B10305" t="n">
        <v>7.807</v>
      </c>
      <c r="C10305" t="n">
        <v>1.07535</v>
      </c>
    </row>
    <row r="10306">
      <c r="A10306" s="926" t="n">
        <v>45247</v>
      </c>
      <c r="B10306" t="n">
        <v>7.798</v>
      </c>
      <c r="C10306" t="n">
        <v>1.0754</v>
      </c>
    </row>
    <row r="10307">
      <c r="A10307" s="926" t="n">
        <v>45248</v>
      </c>
      <c r="B10307" t="n">
        <v>7.8</v>
      </c>
      <c r="C10307" t="n">
        <v>1.0806</v>
      </c>
    </row>
    <row r="10308">
      <c r="A10308" s="926" t="n">
        <v>45250</v>
      </c>
      <c r="B10308" t="n">
        <v>7.795</v>
      </c>
      <c r="C10308" t="n">
        <v>1.085</v>
      </c>
    </row>
    <row r="10309">
      <c r="A10309" s="926" t="n">
        <v>45251</v>
      </c>
      <c r="B10309" t="n">
        <v>7.793</v>
      </c>
      <c r="C10309" t="n">
        <v>1.09175</v>
      </c>
    </row>
    <row r="10310">
      <c r="A10310" s="926" t="n">
        <v>45252</v>
      </c>
      <c r="B10310" t="n">
        <v>7.801</v>
      </c>
      <c r="C10310" t="n">
        <v>1.0909</v>
      </c>
    </row>
    <row r="10311">
      <c r="A10311" s="926" t="n">
        <v>45253</v>
      </c>
      <c r="B10311" t="n">
        <v>7.797</v>
      </c>
      <c r="C10311" t="n">
        <v>1.09115</v>
      </c>
    </row>
    <row r="10312">
      <c r="A10312" s="926" t="n">
        <v>45254</v>
      </c>
      <c r="B10312" t="n">
        <v>7.797</v>
      </c>
      <c r="C10312" t="n">
        <v>1.0891</v>
      </c>
    </row>
    <row r="10313">
      <c r="A10313" s="926" t="n">
        <v>45255</v>
      </c>
      <c r="B10313" t="n">
        <v>7.793</v>
      </c>
      <c r="C10313" t="n">
        <v>1.09015</v>
      </c>
    </row>
    <row r="10314">
      <c r="A10314" s="926" t="n">
        <v>45257</v>
      </c>
      <c r="B10314" t="n">
        <v>7.791</v>
      </c>
      <c r="C10314" t="n">
        <v>1.088</v>
      </c>
    </row>
    <row r="10315">
      <c r="A10315" s="926" t="n">
        <v>45258</v>
      </c>
      <c r="B10315" t="n">
        <v>7.795</v>
      </c>
      <c r="C10315" t="n">
        <v>1.0889</v>
      </c>
    </row>
    <row r="10316">
      <c r="A10316" s="926" t="n">
        <v>45259</v>
      </c>
      <c r="B10316" t="n">
        <v>7.798</v>
      </c>
      <c r="C10316" t="n">
        <v>1.0944</v>
      </c>
    </row>
    <row r="10317">
      <c r="A10317" s="926" t="n">
        <v>45260</v>
      </c>
      <c r="B10317" t="n">
        <v>7.808</v>
      </c>
      <c r="C10317" t="n">
        <v>1.09475</v>
      </c>
    </row>
    <row r="10318" ht="15" customHeight="1" s="239">
      <c r="A10318" s="926" t="n">
        <v>45261</v>
      </c>
      <c r="B10318" s="927" t="n">
        <v>7.812</v>
      </c>
      <c r="C10318" s="927" t="n">
        <v>1.0923</v>
      </c>
    </row>
    <row r="10319" ht="15" customHeight="1" s="239">
      <c r="A10319" s="926" t="n">
        <v>45262</v>
      </c>
      <c r="B10319" s="927" t="n">
        <v>7.816</v>
      </c>
      <c r="C10319" s="927" t="n">
        <v>1.09705</v>
      </c>
    </row>
    <row r="10320" ht="15" customHeight="1" s="239">
      <c r="A10320" s="926" t="n">
        <v>45264</v>
      </c>
      <c r="B10320" s="927" t="n">
        <v>7.815</v>
      </c>
      <c r="C10320" s="927" t="n">
        <v>1.09435</v>
      </c>
    </row>
    <row r="10321" ht="15" customHeight="1" s="239">
      <c r="A10321" s="926" t="n">
        <v>45265</v>
      </c>
      <c r="B10321" s="927" t="n">
        <v>7.818</v>
      </c>
      <c r="C10321" s="927" t="n">
        <v>1.093</v>
      </c>
    </row>
    <row r="10322" ht="15" customHeight="1" s="239">
      <c r="A10322" s="926" t="n">
        <v>45266</v>
      </c>
      <c r="B10322" s="927" t="n">
        <v>7.812</v>
      </c>
      <c r="C10322" s="927" t="n">
        <v>1.0902</v>
      </c>
    </row>
    <row r="10323" ht="15" customHeight="1" s="239">
      <c r="A10323" s="926" t="n">
        <v>45267</v>
      </c>
      <c r="B10323" s="927" t="n">
        <v>7.812</v>
      </c>
      <c r="C10323" s="927" t="n">
        <v>1.0899</v>
      </c>
    </row>
    <row r="10324" ht="15" customHeight="1" s="239">
      <c r="A10324" s="926" t="n">
        <v>45268</v>
      </c>
      <c r="B10324" s="927" t="n">
        <v>7.811</v>
      </c>
      <c r="C10324" s="927" t="n">
        <v>1.0894</v>
      </c>
    </row>
    <row r="10325" ht="15" customHeight="1" s="239">
      <c r="A10325" s="926" t="n">
        <v>45269</v>
      </c>
      <c r="B10325" s="927" t="n">
        <v>7.81</v>
      </c>
      <c r="C10325" s="927" t="n">
        <v>1.0868</v>
      </c>
    </row>
    <row r="10326" ht="15" customHeight="1" s="239">
      <c r="A10326" s="926" t="n">
        <v>45271</v>
      </c>
      <c r="B10326" s="927" t="n">
        <v>7.809</v>
      </c>
      <c r="C10326" s="927" t="n">
        <v>1.0858</v>
      </c>
    </row>
    <row r="10327" ht="15" customHeight="1" s="239">
      <c r="A10327" s="926" t="n">
        <v>45272</v>
      </c>
      <c r="B10327" s="927" t="n">
        <v>7.808</v>
      </c>
      <c r="C10327" s="927" t="n">
        <v>1.0863</v>
      </c>
    </row>
    <row r="10328" ht="15" customHeight="1" s="239">
      <c r="A10328" s="926" t="n">
        <v>45273</v>
      </c>
      <c r="B10328" s="927" t="n">
        <v>7.814</v>
      </c>
      <c r="C10328" s="927" t="n">
        <v>1.0854</v>
      </c>
    </row>
    <row r="10329" ht="15" customHeight="1" s="239">
      <c r="A10329" s="926" t="n">
        <v>45274</v>
      </c>
      <c r="B10329" s="927" t="n">
        <v>7.81</v>
      </c>
      <c r="C10329" s="927" t="n">
        <v>1.09345</v>
      </c>
    </row>
    <row r="10330" ht="15" customHeight="1" s="239">
      <c r="A10330" s="926" t="n">
        <v>45275</v>
      </c>
      <c r="B10330" s="927" t="n">
        <v>7.807</v>
      </c>
      <c r="C10330" s="927" t="n">
        <v>1.09715</v>
      </c>
    </row>
    <row r="10331" ht="15" customHeight="1" s="239">
      <c r="A10331" s="926" t="n">
        <v>45276</v>
      </c>
      <c r="B10331" s="927" t="n">
        <v>7.806</v>
      </c>
      <c r="C10331" s="927" t="n">
        <v>1.09395</v>
      </c>
    </row>
    <row r="10332" ht="15" customHeight="1" s="239">
      <c r="A10332" s="926" t="n">
        <v>45278</v>
      </c>
      <c r="B10332" s="927" t="n">
        <v>7.801</v>
      </c>
      <c r="C10332" s="927" t="n">
        <v>1.0936</v>
      </c>
    </row>
    <row r="10333" ht="15" customHeight="1" s="239">
      <c r="A10333" s="926" t="n">
        <v>45279</v>
      </c>
      <c r="B10333" s="927" t="n">
        <v>7.799</v>
      </c>
      <c r="C10333" s="927" t="n">
        <v>1.0906</v>
      </c>
    </row>
    <row r="10334" ht="15" customHeight="1" s="239">
      <c r="A10334" s="926" t="n">
        <v>45280</v>
      </c>
      <c r="B10334" s="927" t="n">
        <v>7.805</v>
      </c>
      <c r="C10334" s="927" t="n">
        <v>1.0935</v>
      </c>
    </row>
    <row r="10335" ht="15" customHeight="1" s="239">
      <c r="A10335" s="926" t="n">
        <v>45281</v>
      </c>
      <c r="B10335" s="927" t="n">
        <v>7.805</v>
      </c>
      <c r="C10335" s="927" t="n">
        <v>1.09195</v>
      </c>
    </row>
    <row r="10336" ht="15" customHeight="1" s="239">
      <c r="A10336" s="926" t="n">
        <v>45282</v>
      </c>
      <c r="B10336" s="927" t="n">
        <v>7.814</v>
      </c>
      <c r="C10336" s="927" t="n">
        <v>1.09185</v>
      </c>
    </row>
    <row r="10337" ht="15" customHeight="1" s="239">
      <c r="A10337" s="926" t="n">
        <v>45283</v>
      </c>
      <c r="B10337" s="927" t="n">
        <v>7.814</v>
      </c>
      <c r="C10337" s="927" t="n">
        <v>1.09275</v>
      </c>
    </row>
    <row r="10338" ht="15" customHeight="1" s="239">
      <c r="A10338" s="926" t="n">
        <v>45287</v>
      </c>
      <c r="B10338" s="927" t="n">
        <v>7.813</v>
      </c>
      <c r="C10338" s="927" t="n">
        <v>1.0931</v>
      </c>
    </row>
    <row r="10339" ht="15" customHeight="1" s="239">
      <c r="A10339" s="926" t="n">
        <v>45288</v>
      </c>
      <c r="B10339" s="927" t="n">
        <v>7.814</v>
      </c>
      <c r="C10339" s="927" t="n">
        <v>1.09845</v>
      </c>
    </row>
    <row r="10340" ht="15" customHeight="1" s="239">
      <c r="A10340" s="926" t="n">
        <v>45289</v>
      </c>
      <c r="B10340" s="927" t="n">
        <v>7.814</v>
      </c>
      <c r="C10340" s="927" t="n">
        <v>1.1013</v>
      </c>
    </row>
    <row r="10341" ht="15" customHeight="1" s="239">
      <c r="A10341" s="926" t="n">
        <v>45290</v>
      </c>
      <c r="B10341" s="927" t="n">
        <v>7.811</v>
      </c>
      <c r="C10341" s="927" t="n">
        <v>1.0962</v>
      </c>
    </row>
    <row r="10342">
      <c r="A10342" s="926" t="n">
        <v>45293</v>
      </c>
      <c r="B10342" t="n">
        <v>7.814</v>
      </c>
      <c r="C10342" t="n">
        <v>1.0954</v>
      </c>
    </row>
    <row r="10343">
      <c r="A10343" s="926" t="n">
        <v>45294</v>
      </c>
      <c r="B10343" t="n">
        <v>7.814</v>
      </c>
      <c r="C10343" t="n">
        <v>1.09365</v>
      </c>
    </row>
    <row r="10344">
      <c r="A10344" s="926" t="n">
        <v>45295</v>
      </c>
      <c r="B10344" t="n">
        <v>7.809</v>
      </c>
      <c r="C10344" t="n">
        <v>1.0906</v>
      </c>
    </row>
    <row r="10345">
      <c r="A10345" s="926" t="n">
        <v>45296</v>
      </c>
      <c r="B10345" t="n">
        <v>7.811</v>
      </c>
      <c r="C10345" t="n">
        <v>1.0887</v>
      </c>
    </row>
    <row r="10346">
      <c r="A10346" s="926" t="n">
        <v>45297</v>
      </c>
      <c r="B10346" t="n">
        <v>7.813</v>
      </c>
      <c r="C10346" t="n">
        <v>1.09035</v>
      </c>
    </row>
    <row r="10347">
      <c r="A10347" s="926" t="n">
        <v>45299</v>
      </c>
      <c r="B10347" t="n">
        <v>7.809</v>
      </c>
      <c r="C10347" t="n">
        <v>1.0895</v>
      </c>
    </row>
    <row r="10348">
      <c r="A10348" s="926" t="n">
        <v>45300</v>
      </c>
      <c r="B10348" t="n">
        <v>7.813</v>
      </c>
      <c r="C10348" t="n">
        <v>1.0894</v>
      </c>
    </row>
    <row r="10349">
      <c r="A10349" s="926" t="n">
        <v>45301</v>
      </c>
      <c r="B10349" t="n">
        <v>7.821</v>
      </c>
      <c r="C10349" t="n">
        <v>1.08825</v>
      </c>
    </row>
    <row r="10350">
      <c r="A10350" s="926" t="n">
        <v>45302</v>
      </c>
      <c r="B10350" t="n">
        <v>7.817</v>
      </c>
      <c r="C10350" t="n">
        <v>1.09075</v>
      </c>
    </row>
    <row r="10351">
      <c r="A10351" s="926" t="n">
        <v>45303</v>
      </c>
      <c r="B10351" t="n">
        <v>7.819</v>
      </c>
      <c r="C10351" t="n">
        <v>1.0896</v>
      </c>
    </row>
    <row r="10352">
      <c r="A10352" s="926" t="n">
        <v>45304</v>
      </c>
      <c r="B10352" t="n">
        <v>7.823</v>
      </c>
      <c r="C10352" t="n">
        <v>1.0882</v>
      </c>
    </row>
    <row r="10353">
      <c r="A10353" s="926" t="n">
        <v>45306</v>
      </c>
      <c r="B10353" t="n">
        <v>7.821</v>
      </c>
      <c r="C10353" t="n">
        <v>1.08875</v>
      </c>
    </row>
    <row r="10354">
      <c r="A10354" s="926" t="n">
        <v>45307</v>
      </c>
      <c r="B10354" t="n">
        <v>7.823</v>
      </c>
      <c r="C10354" t="n">
        <v>1.0874</v>
      </c>
    </row>
    <row r="10355">
      <c r="A10355" s="926" t="n">
        <v>45308</v>
      </c>
      <c r="B10355" t="n">
        <v>7.825</v>
      </c>
      <c r="C10355" t="n">
        <v>1.08415</v>
      </c>
    </row>
    <row r="10356">
      <c r="A10356" s="926" t="n">
        <v>45309</v>
      </c>
      <c r="B10356" t="n">
        <v>7.82</v>
      </c>
      <c r="C10356" t="n">
        <v>1.084</v>
      </c>
    </row>
    <row r="10357">
      <c r="A10357" s="926" t="n">
        <v>45310</v>
      </c>
      <c r="B10357" t="n">
        <v>7.822</v>
      </c>
      <c r="C10357" t="n">
        <v>1.0853</v>
      </c>
    </row>
    <row r="10358">
      <c r="A10358" s="926" t="n">
        <v>45311</v>
      </c>
      <c r="B10358" t="n">
        <v>7.82</v>
      </c>
      <c r="C10358" t="n">
        <v>1.0856</v>
      </c>
    </row>
    <row r="10359">
      <c r="A10359" s="926" t="n">
        <v>45313</v>
      </c>
      <c r="B10359" t="n">
        <v>7.819</v>
      </c>
      <c r="C10359" t="n">
        <v>1.0856</v>
      </c>
    </row>
    <row r="10360">
      <c r="A10360" s="926" t="n">
        <v>45314</v>
      </c>
      <c r="B10360" t="n">
        <v>7.823</v>
      </c>
      <c r="C10360" t="n">
        <v>1.0915</v>
      </c>
    </row>
    <row r="10361">
      <c r="A10361" s="926" t="n">
        <v>45315</v>
      </c>
      <c r="B10361" t="n">
        <v>7.823</v>
      </c>
      <c r="C10361" t="n">
        <v>1.09035</v>
      </c>
    </row>
    <row r="10362">
      <c r="A10362" s="926" t="n">
        <v>45316</v>
      </c>
      <c r="B10362" t="n">
        <v>7.818</v>
      </c>
      <c r="C10362" t="n">
        <v>1.09085</v>
      </c>
    </row>
    <row r="10363">
      <c r="A10363" s="926" t="n">
        <v>45317</v>
      </c>
      <c r="B10363" t="n">
        <v>7.816</v>
      </c>
      <c r="C10363" t="n">
        <v>1.0871</v>
      </c>
    </row>
    <row r="10364">
      <c r="A10364" s="926" t="n">
        <v>45318</v>
      </c>
      <c r="B10364" t="n">
        <v>7.817</v>
      </c>
      <c r="C10364" t="n">
        <v>1.0874</v>
      </c>
    </row>
    <row r="10365">
      <c r="A10365" s="926" t="n">
        <v>45320</v>
      </c>
      <c r="B10365" t="n">
        <v>7.815</v>
      </c>
      <c r="C10365" t="n">
        <v>1.08655</v>
      </c>
    </row>
    <row r="10366">
      <c r="A10366" s="926" t="n">
        <v>45321</v>
      </c>
      <c r="B10366" t="n">
        <v>7.816</v>
      </c>
      <c r="C10366" t="n">
        <v>1.0876</v>
      </c>
    </row>
    <row r="10367">
      <c r="A10367" s="926" t="n">
        <v>45322</v>
      </c>
      <c r="B10367" t="n">
        <v>7.819</v>
      </c>
      <c r="C10367" t="n">
        <v>1.08755</v>
      </c>
    </row>
    <row r="10368">
      <c r="A10368" s="926" t="n">
        <v>45323</v>
      </c>
      <c r="B10368" t="n">
        <v>7.819</v>
      </c>
      <c r="C10368" t="n">
        <v>1.087</v>
      </c>
    </row>
    <row r="10369">
      <c r="A10369" s="926" t="n">
        <v>45324</v>
      </c>
      <c r="B10369" t="n">
        <v>7.819</v>
      </c>
      <c r="C10369" t="n">
        <v>1.0873</v>
      </c>
    </row>
    <row r="10370">
      <c r="A10370" s="926" t="n">
        <v>45325</v>
      </c>
      <c r="B10370" t="n">
        <v>7.822</v>
      </c>
      <c r="C10370" t="n">
        <v>1.08385</v>
      </c>
    </row>
    <row r="10371">
      <c r="A10371" s="926" t="n">
        <v>45327</v>
      </c>
      <c r="B10371" t="n">
        <v>7.823</v>
      </c>
      <c r="C10371" t="n">
        <v>1.0847</v>
      </c>
    </row>
    <row r="10372">
      <c r="A10372" s="926" t="n">
        <v>45328</v>
      </c>
      <c r="B10372" t="n">
        <v>7.823</v>
      </c>
      <c r="C10372" t="n">
        <v>1.08605</v>
      </c>
    </row>
    <row r="10373">
      <c r="A10373" s="926" t="n">
        <v>45329</v>
      </c>
      <c r="B10373" t="n">
        <v>7.822</v>
      </c>
      <c r="C10373" t="n">
        <v>1.08655</v>
      </c>
    </row>
    <row r="10374">
      <c r="A10374" s="926" t="n">
        <v>45330</v>
      </c>
      <c r="B10374" t="n">
        <v>7.821</v>
      </c>
      <c r="C10374" t="n">
        <v>1.0851</v>
      </c>
    </row>
    <row r="10375">
      <c r="A10375" s="926" t="n">
        <v>45331</v>
      </c>
      <c r="B10375" t="n">
        <v>7.822</v>
      </c>
      <c r="C10375" t="n">
        <v>1.0842</v>
      </c>
      <c r="K10375" s="1356" t="n"/>
    </row>
    <row r="10376">
      <c r="A10376" s="926" t="n">
        <v>45336</v>
      </c>
      <c r="B10376" t="n">
        <v>7.818</v>
      </c>
      <c r="C10376" t="n">
        <v>1.08175</v>
      </c>
    </row>
    <row r="10377">
      <c r="A10377" s="926" t="n">
        <v>45337</v>
      </c>
      <c r="B10377" t="n">
        <v>7.82</v>
      </c>
      <c r="C10377" t="n">
        <v>1.08195</v>
      </c>
    </row>
    <row r="10378">
      <c r="A10378" s="926" t="n">
        <v>45338</v>
      </c>
      <c r="B10378" t="n">
        <v>7.823</v>
      </c>
      <c r="C10378" t="n">
        <v>1.0832</v>
      </c>
    </row>
    <row r="10379">
      <c r="A10379" s="926" t="n">
        <v>45339</v>
      </c>
      <c r="B10379" t="n">
        <v>7.824</v>
      </c>
      <c r="C10379" t="n">
        <v>1.08475</v>
      </c>
    </row>
    <row r="10380">
      <c r="A10380" s="926" t="n">
        <v>45341</v>
      </c>
      <c r="B10380" t="n">
        <v>7.822</v>
      </c>
      <c r="C10380" t="n">
        <v>1.0848</v>
      </c>
    </row>
    <row r="10381">
      <c r="A10381" s="926" t="n">
        <v>45342</v>
      </c>
      <c r="B10381" t="n">
        <v>7.823</v>
      </c>
      <c r="C10381" t="n">
        <v>1.08535</v>
      </c>
    </row>
    <row r="10382">
      <c r="A10382" s="926" t="n">
        <v>45343</v>
      </c>
      <c r="B10382" t="n">
        <v>7.822</v>
      </c>
      <c r="C10382" t="n">
        <v>1.0878</v>
      </c>
    </row>
    <row r="10383">
      <c r="A10383" s="926" t="n">
        <v>45344</v>
      </c>
      <c r="B10383" t="n">
        <v>7.824</v>
      </c>
      <c r="C10383" t="n">
        <v>1.087</v>
      </c>
    </row>
    <row r="10384">
      <c r="A10384" s="926" t="n">
        <v>45345</v>
      </c>
      <c r="B10384" t="n">
        <v>7.825</v>
      </c>
      <c r="C10384" t="n">
        <v>1.08565</v>
      </c>
    </row>
    <row r="10385">
      <c r="A10385" s="926" t="n">
        <v>45346</v>
      </c>
      <c r="B10385" t="n">
        <v>7.826</v>
      </c>
      <c r="C10385" t="n">
        <v>1.086</v>
      </c>
    </row>
    <row r="10386">
      <c r="A10386" s="926" t="n">
        <v>45348</v>
      </c>
      <c r="B10386" t="n">
        <v>7.825</v>
      </c>
      <c r="C10386" t="n">
        <v>1.08595</v>
      </c>
    </row>
    <row r="10387">
      <c r="A10387" s="926" t="n">
        <v>45349</v>
      </c>
      <c r="B10387" t="n">
        <v>7.825</v>
      </c>
      <c r="C10387" t="n">
        <v>1.08535</v>
      </c>
    </row>
    <row r="10388">
      <c r="A10388" s="926" t="n">
        <v>45350</v>
      </c>
      <c r="B10388" t="n">
        <v>7.827</v>
      </c>
      <c r="C10388" t="n">
        <v>1.08465</v>
      </c>
    </row>
    <row r="10389">
      <c r="A10389" s="926" t="n">
        <v>45351</v>
      </c>
      <c r="B10389" t="n">
        <v>7.828</v>
      </c>
      <c r="C10389" t="n">
        <v>1.0858</v>
      </c>
    </row>
    <row r="10390">
      <c r="A10390" s="926" t="n">
        <v>45352</v>
      </c>
      <c r="B10390" t="n">
        <v>7.829</v>
      </c>
      <c r="C10390" t="n">
        <v>1.0857</v>
      </c>
    </row>
    <row r="10391">
      <c r="A10391" s="926" t="n">
        <v>45353</v>
      </c>
      <c r="B10391" t="n">
        <v>7.83</v>
      </c>
      <c r="C10391" t="n">
        <v>1.08595</v>
      </c>
    </row>
    <row r="10392">
      <c r="A10392" s="926" t="n">
        <v>45355</v>
      </c>
      <c r="B10392" t="n">
        <v>7.828</v>
      </c>
      <c r="C10392" t="n">
        <v>1.08555</v>
      </c>
    </row>
    <row r="10393">
      <c r="A10393" s="926" t="n">
        <v>45356</v>
      </c>
      <c r="B10393" t="n">
        <v>7.825</v>
      </c>
      <c r="C10393" t="n">
        <v>1.08515</v>
      </c>
    </row>
    <row r="10394">
      <c r="A10394" s="926" t="n">
        <v>45357</v>
      </c>
      <c r="B10394" t="n">
        <v>7.825</v>
      </c>
      <c r="C10394" t="n">
        <v>1.0849</v>
      </c>
    </row>
    <row r="10395">
      <c r="A10395" s="926" t="n">
        <v>45358</v>
      </c>
      <c r="B10395" t="n">
        <v>7.821</v>
      </c>
      <c r="C10395" t="n">
        <v>1.0845</v>
      </c>
    </row>
    <row r="10396">
      <c r="A10396" s="926" t="n">
        <v>45359</v>
      </c>
      <c r="B10396" t="n">
        <v>7.821</v>
      </c>
      <c r="C10396" t="n">
        <v>1.08625</v>
      </c>
    </row>
    <row r="10397">
      <c r="A10397" s="926" t="n">
        <v>45360</v>
      </c>
      <c r="B10397" t="n">
        <v>7.822</v>
      </c>
      <c r="C10397" t="n">
        <v>1.0863</v>
      </c>
    </row>
    <row r="10398">
      <c r="A10398" s="926" t="n">
        <v>45362</v>
      </c>
      <c r="B10398" t="n">
        <v>7.821</v>
      </c>
      <c r="C10398" t="n">
        <v>1.0878</v>
      </c>
    </row>
    <row r="10399">
      <c r="A10399" s="926" t="n">
        <v>45363</v>
      </c>
      <c r="B10399" t="n">
        <v>7.824</v>
      </c>
      <c r="C10399" t="n">
        <v>1.0896</v>
      </c>
    </row>
    <row r="10400">
      <c r="A10400" s="926" t="n">
        <v>45364</v>
      </c>
      <c r="B10400" t="n">
        <v>7.825</v>
      </c>
      <c r="C10400" t="n">
        <v>1.0871</v>
      </c>
    </row>
    <row r="10401">
      <c r="A10401" s="926" t="n">
        <v>45365</v>
      </c>
      <c r="B10401" t="n">
        <v>7.823</v>
      </c>
      <c r="C10401" t="n">
        <v>1.08655</v>
      </c>
    </row>
    <row r="10402">
      <c r="A10402" s="926" t="n">
        <v>45366</v>
      </c>
      <c r="B10402" t="n">
        <v>7.823</v>
      </c>
      <c r="C10402" t="n">
        <v>1.0861</v>
      </c>
    </row>
    <row r="10403">
      <c r="A10403" s="926" t="n">
        <v>45367</v>
      </c>
      <c r="B10403" t="n">
        <v>7.824</v>
      </c>
      <c r="C10403" t="n">
        <v>1.08565</v>
      </c>
    </row>
    <row r="10404">
      <c r="A10404" s="926" t="n">
        <v>45369</v>
      </c>
      <c r="B10404" t="n">
        <v>7.82</v>
      </c>
      <c r="C10404" t="n">
        <v>1.08545</v>
      </c>
    </row>
    <row r="10405">
      <c r="A10405" s="926" t="n">
        <v>45370</v>
      </c>
      <c r="B10405" t="n">
        <v>7.822</v>
      </c>
      <c r="C10405" t="n">
        <v>1.08505</v>
      </c>
    </row>
    <row r="10406">
      <c r="A10406" s="926" t="n">
        <v>45371</v>
      </c>
      <c r="B10406" t="n">
        <v>7.824</v>
      </c>
      <c r="C10406" t="n">
        <v>1.08485</v>
      </c>
    </row>
    <row r="10407">
      <c r="A10407" s="926" t="n">
        <v>45372</v>
      </c>
      <c r="B10407" t="n">
        <v>7.821</v>
      </c>
      <c r="C10407" t="n">
        <v>1.0844</v>
      </c>
    </row>
    <row r="10408">
      <c r="A10408" s="926" t="n">
        <v>45373</v>
      </c>
      <c r="B10408" t="n">
        <v>7.819</v>
      </c>
      <c r="C10408" t="n">
        <v>1.07625</v>
      </c>
    </row>
    <row r="10409">
      <c r="A10409" s="926" t="n">
        <v>45374</v>
      </c>
      <c r="B10409" t="n">
        <v>7.823</v>
      </c>
      <c r="C10409" t="n">
        <v>1.07525</v>
      </c>
    </row>
    <row r="10410">
      <c r="A10410" s="926" t="n">
        <v>45376</v>
      </c>
      <c r="B10410" t="n">
        <v>7.822</v>
      </c>
      <c r="C10410" t="n">
        <v>1.07895</v>
      </c>
    </row>
    <row r="10411">
      <c r="A10411" s="926" t="n">
        <v>45377</v>
      </c>
      <c r="B10411" t="n">
        <v>7.824</v>
      </c>
      <c r="C10411" t="n">
        <v>1.08035</v>
      </c>
    </row>
    <row r="10412">
      <c r="A10412" s="926" t="n">
        <v>45378</v>
      </c>
      <c r="B10412" t="n">
        <v>7.824</v>
      </c>
      <c r="C10412" t="n">
        <v>1.07805</v>
      </c>
    </row>
    <row r="10413">
      <c r="A10413" s="926" t="n">
        <v>45379</v>
      </c>
      <c r="B10413" t="n">
        <v>7.825</v>
      </c>
      <c r="C10413" t="n">
        <v>1.0786</v>
      </c>
    </row>
    <row r="10414">
      <c r="A10414" s="926" t="n">
        <v>45384</v>
      </c>
      <c r="B10414" t="n">
        <v>7.827</v>
      </c>
      <c r="C10414" t="n">
        <v>1.07755</v>
      </c>
    </row>
    <row r="10415">
      <c r="A10415" s="926" t="n">
        <v>45385</v>
      </c>
      <c r="B10415" t="n">
        <v>7.829</v>
      </c>
      <c r="C10415" t="n">
        <v>1.079</v>
      </c>
    </row>
    <row r="10416">
      <c r="A10416" s="926" t="n">
        <v>45387</v>
      </c>
      <c r="B10416" t="n">
        <v>7.83</v>
      </c>
      <c r="C10416" t="n">
        <v>1.0803</v>
      </c>
    </row>
    <row r="10417">
      <c r="A10417" s="926" t="n">
        <v>45388</v>
      </c>
      <c r="B10417" t="n">
        <v>7.83</v>
      </c>
      <c r="C10417" t="n">
        <v>1.0804</v>
      </c>
    </row>
    <row r="10418">
      <c r="A10418" s="926" t="n">
        <v>45390</v>
      </c>
      <c r="B10418" t="n">
        <v>7.831</v>
      </c>
      <c r="C10418" t="n">
        <v>1.08065</v>
      </c>
    </row>
    <row r="10419">
      <c r="A10419" s="926" t="n">
        <v>45391</v>
      </c>
      <c r="B10419" t="n">
        <v>7.833</v>
      </c>
      <c r="C10419" t="n">
        <v>1.08145</v>
      </c>
    </row>
    <row r="10420">
      <c r="A10420" s="926" t="n">
        <v>45392</v>
      </c>
      <c r="B10420" t="n">
        <v>7.834</v>
      </c>
      <c r="C10420" t="n">
        <v>1.08195</v>
      </c>
    </row>
    <row r="10421">
      <c r="A10421" s="926" t="n">
        <v>45393</v>
      </c>
      <c r="B10421" t="n">
        <v>7.837</v>
      </c>
      <c r="C10421" t="n">
        <v>1.08</v>
      </c>
    </row>
    <row r="10422">
      <c r="A10422" s="926" t="n">
        <v>45394</v>
      </c>
      <c r="B10422" t="n">
        <v>7.837</v>
      </c>
      <c r="C10422" t="n">
        <v>1.0792</v>
      </c>
    </row>
    <row r="10423">
      <c r="A10423" s="926" t="n">
        <v>45395</v>
      </c>
      <c r="B10423" t="n">
        <v>7.839</v>
      </c>
      <c r="C10423" t="n">
        <v>1.0788</v>
      </c>
    </row>
    <row r="10424">
      <c r="A10424" s="926" t="n">
        <v>45397</v>
      </c>
      <c r="B10424" t="n">
        <v>7.835</v>
      </c>
      <c r="C10424" t="n">
        <v>1.07935</v>
      </c>
    </row>
    <row r="10425">
      <c r="A10425" s="926" t="n">
        <v>45398</v>
      </c>
      <c r="B10425" t="n">
        <v>7.829</v>
      </c>
      <c r="C10425" t="n">
        <v>1.07685</v>
      </c>
    </row>
    <row r="10426">
      <c r="A10426" s="926" t="n">
        <v>45399</v>
      </c>
      <c r="B10426" t="n">
        <v>7.833</v>
      </c>
      <c r="C10426" t="n">
        <v>1.0802</v>
      </c>
    </row>
    <row r="10427">
      <c r="A10427" s="926" t="n">
        <v>45400</v>
      </c>
      <c r="B10427" t="n">
        <v>7.832</v>
      </c>
      <c r="C10427" t="n">
        <v>1.0803</v>
      </c>
    </row>
    <row r="10428">
      <c r="A10428" s="926" t="n">
        <v>45401</v>
      </c>
      <c r="B10428" t="n">
        <v>7.832</v>
      </c>
      <c r="C10428" t="n">
        <v>1.0796</v>
      </c>
    </row>
    <row r="10429">
      <c r="A10429" s="926" t="n">
        <v>45402</v>
      </c>
      <c r="B10429" t="n">
        <v>7.834</v>
      </c>
      <c r="C10429" t="n">
        <v>1.0806</v>
      </c>
    </row>
    <row r="10430">
      <c r="A10430" s="926" t="n">
        <v>45404</v>
      </c>
      <c r="B10430" t="n">
        <v>7.835</v>
      </c>
      <c r="C10430" t="n">
        <v>1.08085</v>
      </c>
    </row>
    <row r="10431">
      <c r="A10431" s="926" t="n">
        <v>45405</v>
      </c>
      <c r="B10431" t="n">
        <v>7.838</v>
      </c>
      <c r="C10431" t="n">
        <v>1.08005</v>
      </c>
    </row>
    <row r="10432">
      <c r="A10432" s="926" t="n">
        <v>45406</v>
      </c>
      <c r="B10432" t="n">
        <v>7.835</v>
      </c>
      <c r="C10432" t="n">
        <v>1.0787</v>
      </c>
    </row>
    <row r="10433">
      <c r="A10433" s="926" t="n">
        <v>45407</v>
      </c>
      <c r="B10433" t="n">
        <v>7.831</v>
      </c>
      <c r="C10433" t="n">
        <v>1.0775</v>
      </c>
    </row>
    <row r="10434">
      <c r="A10434" s="926" t="n">
        <v>45408</v>
      </c>
      <c r="B10434" t="n">
        <v>7.83</v>
      </c>
      <c r="C10434" t="n">
        <v>1.0789</v>
      </c>
    </row>
    <row r="10435">
      <c r="A10435" s="926" t="n">
        <v>45409</v>
      </c>
      <c r="B10435" t="n">
        <v>7.83</v>
      </c>
      <c r="C10435" t="n">
        <v>1.0771</v>
      </c>
    </row>
    <row r="10436">
      <c r="A10436" s="926" t="n">
        <v>45411</v>
      </c>
      <c r="B10436" t="n">
        <v>7.828</v>
      </c>
      <c r="C10436" t="n">
        <v>1.07825</v>
      </c>
    </row>
    <row r="10437">
      <c r="A10437" s="926" t="n">
        <v>45412</v>
      </c>
      <c r="B10437" t="n">
        <v>7.824</v>
      </c>
      <c r="C10437" t="n">
        <v>1.07795</v>
      </c>
    </row>
    <row r="10438">
      <c r="A10438" s="926" t="n">
        <v>45414</v>
      </c>
      <c r="B10438" t="n">
        <v>7.818</v>
      </c>
      <c r="C10438" t="n">
        <v>1.0821</v>
      </c>
    </row>
    <row r="10439">
      <c r="A10439" s="926" t="n">
        <v>45415</v>
      </c>
      <c r="B10439" t="n">
        <v>7.817</v>
      </c>
      <c r="C10439" t="n">
        <v>1.0854</v>
      </c>
    </row>
    <row r="10440">
      <c r="A10440" s="926" t="n">
        <v>45416</v>
      </c>
      <c r="B10440" t="n">
        <v>7.813</v>
      </c>
      <c r="C10440" t="n">
        <v>1.08625</v>
      </c>
    </row>
    <row r="10441">
      <c r="A10441" s="926" t="n">
        <v>45418</v>
      </c>
      <c r="B10441" t="n">
        <v>7.818</v>
      </c>
      <c r="C10441" t="n">
        <v>1.08305</v>
      </c>
    </row>
    <row r="10442">
      <c r="A10442" s="926" t="n">
        <v>45419</v>
      </c>
      <c r="B10442" t="n">
        <v>7.819</v>
      </c>
      <c r="C10442" t="n">
        <v>1.08305</v>
      </c>
    </row>
    <row r="10443">
      <c r="A10443" s="926" t="n">
        <v>45420</v>
      </c>
      <c r="B10443" t="n">
        <v>7.819</v>
      </c>
      <c r="C10443" t="n">
        <v>1.08145</v>
      </c>
    </row>
    <row r="10444">
      <c r="A10444" s="926" t="n">
        <v>45421</v>
      </c>
      <c r="B10444" t="n">
        <v>7.818</v>
      </c>
      <c r="C10444" t="n">
        <v>1.081</v>
      </c>
    </row>
    <row r="10445">
      <c r="A10445" s="926" t="n">
        <v>45422</v>
      </c>
      <c r="B10445" t="n">
        <v>7.814</v>
      </c>
      <c r="C10445" t="n">
        <v>1.081</v>
      </c>
    </row>
    <row r="10446">
      <c r="A10446" s="926" t="n">
        <v>45423</v>
      </c>
      <c r="B10446" t="n">
        <v>7.815</v>
      </c>
      <c r="C10446" t="n">
        <v>1.08035</v>
      </c>
    </row>
    <row r="10447">
      <c r="A10447" s="926" t="n">
        <v>45425</v>
      </c>
      <c r="B10447" t="n">
        <v>7.815</v>
      </c>
      <c r="C10447" t="n">
        <v>1.0791</v>
      </c>
    </row>
    <row r="10448">
      <c r="A10448" s="926" t="n">
        <v>45426</v>
      </c>
      <c r="B10448" t="n">
        <v>7.813</v>
      </c>
      <c r="C10448" t="n">
        <v>1.07865</v>
      </c>
    </row>
    <row r="10449">
      <c r="A10449" s="926" t="n">
        <v>45428</v>
      </c>
      <c r="B10449" t="n">
        <v>7.806</v>
      </c>
      <c r="C10449" t="n">
        <v>1.0809</v>
      </c>
    </row>
    <row r="10450">
      <c r="A10450" s="926" t="n">
        <v>45429</v>
      </c>
      <c r="B10450" t="n">
        <v>7.802</v>
      </c>
      <c r="C10450" t="n">
        <v>1.0798</v>
      </c>
    </row>
    <row r="10451">
      <c r="A10451" s="926" t="n">
        <v>45430</v>
      </c>
      <c r="B10451" t="n">
        <v>7.804</v>
      </c>
      <c r="C10451" t="n">
        <v>1.079</v>
      </c>
    </row>
    <row r="10452">
      <c r="A10452" s="926" t="n">
        <v>45432</v>
      </c>
      <c r="B10452" t="n">
        <v>7.8</v>
      </c>
      <c r="C10452" t="n">
        <v>1.07765</v>
      </c>
    </row>
    <row r="10453">
      <c r="A10453" s="926" t="n">
        <v>45433</v>
      </c>
      <c r="B10453" t="n">
        <v>7.803</v>
      </c>
      <c r="C10453" t="n">
        <v>1.07725</v>
      </c>
    </row>
    <row r="10454">
      <c r="A10454" s="926" t="n">
        <v>45434</v>
      </c>
      <c r="B10454" t="n">
        <v>7.807</v>
      </c>
      <c r="C10454" t="n">
        <v>1.07705</v>
      </c>
    </row>
    <row r="10455">
      <c r="A10455" s="926" t="n">
        <v>45435</v>
      </c>
      <c r="B10455" t="n">
        <v>7.809</v>
      </c>
      <c r="C10455" t="n">
        <v>1.07605</v>
      </c>
    </row>
    <row r="10456">
      <c r="A10456" s="926" t="n">
        <v>45436</v>
      </c>
      <c r="B10456" t="n">
        <v>7.812</v>
      </c>
      <c r="C10456" t="n">
        <v>1.07625</v>
      </c>
    </row>
    <row r="10457">
      <c r="A10457" s="926" t="n">
        <v>45437</v>
      </c>
      <c r="B10457" t="n">
        <v>7.814</v>
      </c>
      <c r="C10457" t="n">
        <v>1.076</v>
      </c>
    </row>
    <row r="10458">
      <c r="A10458" s="926" t="n">
        <v>45439</v>
      </c>
      <c r="B10458" t="n">
        <v>7.81</v>
      </c>
      <c r="C10458" t="n">
        <v>1.0762</v>
      </c>
    </row>
    <row r="10459">
      <c r="A10459" s="926" t="n">
        <v>45440</v>
      </c>
      <c r="B10459" t="n">
        <v>7.809</v>
      </c>
      <c r="C10459" t="n">
        <v>1.07545</v>
      </c>
    </row>
    <row r="10460">
      <c r="A10460" s="926" t="n">
        <v>45441</v>
      </c>
      <c r="B10460" t="n">
        <v>7.814</v>
      </c>
      <c r="C10460" t="n">
        <v>1.07545</v>
      </c>
    </row>
    <row r="10461">
      <c r="A10461" s="926" t="n">
        <v>45442</v>
      </c>
      <c r="B10461" t="n">
        <v>7.818</v>
      </c>
      <c r="C10461" t="n">
        <v>1.0761</v>
      </c>
    </row>
    <row r="10462">
      <c r="A10462" s="926" t="n">
        <v>45443</v>
      </c>
      <c r="B10462" t="n">
        <v>7.819</v>
      </c>
      <c r="C10462" t="n">
        <v>1.077</v>
      </c>
    </row>
    <row r="10463">
      <c r="A10463" s="926" t="n">
        <v>45444</v>
      </c>
      <c r="B10463" t="n">
        <v>7.82</v>
      </c>
      <c r="C10463" t="n">
        <v>1.0768</v>
      </c>
    </row>
    <row r="10464">
      <c r="A10464" s="926" t="n">
        <v>45446</v>
      </c>
      <c r="B10464" t="n">
        <v>7.821</v>
      </c>
      <c r="C10464" t="n">
        <v>1.0773</v>
      </c>
    </row>
    <row r="10465">
      <c r="A10465" s="926" t="n">
        <v>45447</v>
      </c>
      <c r="B10465" t="n">
        <v>7.819</v>
      </c>
      <c r="C10465" t="n">
        <v>1.0775</v>
      </c>
    </row>
    <row r="10466">
      <c r="A10466" s="926" t="n">
        <v>45448</v>
      </c>
      <c r="B10466" t="n">
        <v>7.81</v>
      </c>
      <c r="C10466" t="n">
        <v>1.07695</v>
      </c>
    </row>
    <row r="10467">
      <c r="A10467" s="926" t="n">
        <v>45449</v>
      </c>
      <c r="B10467" t="n">
        <v>7.811</v>
      </c>
      <c r="C10467" t="n">
        <v>1.0757</v>
      </c>
    </row>
    <row r="10468">
      <c r="A10468" s="926" t="n">
        <v>45450</v>
      </c>
      <c r="B10468" t="n">
        <v>7.81</v>
      </c>
      <c r="C10468" t="n">
        <v>1.077</v>
      </c>
    </row>
    <row r="10469">
      <c r="A10469" s="926" t="n">
        <v>45451</v>
      </c>
      <c r="B10469" t="n">
        <v>7.814</v>
      </c>
      <c r="C10469" t="n">
        <v>1.0759</v>
      </c>
    </row>
    <row r="10470">
      <c r="A10470" s="926" t="n">
        <v>45454</v>
      </c>
      <c r="B10470" t="n">
        <v>7.81</v>
      </c>
      <c r="C10470" t="n">
        <v>1.07475</v>
      </c>
    </row>
    <row r="10471">
      <c r="A10471" s="926" t="n">
        <v>45455</v>
      </c>
      <c r="B10471" t="n">
        <v>7.81</v>
      </c>
      <c r="C10471" t="n">
        <v>1.07435</v>
      </c>
    </row>
    <row r="10472">
      <c r="A10472" s="926" t="n">
        <v>45456</v>
      </c>
      <c r="B10472" t="n">
        <v>7.81</v>
      </c>
      <c r="C10472" t="n">
        <v>1.0748</v>
      </c>
    </row>
    <row r="10473">
      <c r="A10473" s="926" t="n">
        <v>45457</v>
      </c>
      <c r="B10473" t="n">
        <v>7.812</v>
      </c>
      <c r="C10473" t="n">
        <v>1.0742</v>
      </c>
    </row>
    <row r="10474">
      <c r="A10474" s="926" t="n">
        <v>45458</v>
      </c>
      <c r="B10474" t="n">
        <v>7.814</v>
      </c>
      <c r="C10474" t="n">
        <v>1.0745</v>
      </c>
    </row>
    <row r="10475">
      <c r="A10475" s="926" t="n">
        <v>45460</v>
      </c>
      <c r="B10475" t="n">
        <v>7.811</v>
      </c>
      <c r="C10475" t="n">
        <v>1.0741</v>
      </c>
    </row>
    <row r="10476">
      <c r="A10476" s="926" t="n">
        <v>45461</v>
      </c>
      <c r="B10476" t="n">
        <v>7.808</v>
      </c>
      <c r="C10476" t="n">
        <v>1.07375</v>
      </c>
    </row>
    <row r="10477">
      <c r="A10477" s="926" t="n">
        <v>45462</v>
      </c>
      <c r="B10477" t="n">
        <v>7.809</v>
      </c>
      <c r="C10477" t="n">
        <v>1.07335</v>
      </c>
    </row>
    <row r="10478">
      <c r="A10478" s="926" t="n">
        <v>45463</v>
      </c>
      <c r="B10478" t="n">
        <v>7.806</v>
      </c>
      <c r="C10478" t="n">
        <v>1.07155</v>
      </c>
    </row>
    <row r="10479">
      <c r="A10479" s="926" t="n">
        <v>45464</v>
      </c>
      <c r="B10479" t="n">
        <v>7.803</v>
      </c>
      <c r="C10479" t="n">
        <v>1.07075</v>
      </c>
    </row>
    <row r="10480">
      <c r="A10480" s="926" t="n">
        <v>45465</v>
      </c>
      <c r="B10480" t="n">
        <v>7.807</v>
      </c>
      <c r="C10480" t="n">
        <v>1.07095</v>
      </c>
    </row>
    <row r="10481">
      <c r="A10481" s="926" t="n">
        <v>45467</v>
      </c>
      <c r="B10481" t="n">
        <v>7.807</v>
      </c>
      <c r="C10481" t="n">
        <v>1.071</v>
      </c>
    </row>
    <row r="10482">
      <c r="A10482" s="926" t="n">
        <v>45468</v>
      </c>
      <c r="B10482" t="n">
        <v>7.809</v>
      </c>
      <c r="C10482" t="n">
        <v>1.072</v>
      </c>
    </row>
    <row r="10483">
      <c r="A10483" s="926" t="n">
        <v>45469</v>
      </c>
      <c r="B10483" t="n">
        <v>7.811</v>
      </c>
      <c r="C10483" t="n">
        <v>1.0707</v>
      </c>
    </row>
    <row r="10484">
      <c r="A10484" s="926" t="n">
        <v>45470</v>
      </c>
      <c r="B10484" t="n">
        <v>7.809</v>
      </c>
      <c r="C10484" t="n">
        <v>1.07</v>
      </c>
    </row>
    <row r="10485">
      <c r="A10485" s="926" t="n">
        <v>45471</v>
      </c>
      <c r="B10485" t="n">
        <v>7.809</v>
      </c>
      <c r="C10485" t="n">
        <v>1.0701</v>
      </c>
    </row>
    <row r="10486">
      <c r="A10486" s="926" t="n">
        <v>45472</v>
      </c>
      <c r="B10486" t="n">
        <v>7.81</v>
      </c>
      <c r="C10486" t="n">
        <v>1.06995</v>
      </c>
    </row>
    <row r="10487">
      <c r="A10487" s="926" t="n">
        <v>45475</v>
      </c>
      <c r="B10487" t="n">
        <v>7.813</v>
      </c>
      <c r="C10487" t="n">
        <v>1.06935</v>
      </c>
    </row>
    <row r="10488">
      <c r="A10488" s="926" t="n">
        <v>45476</v>
      </c>
      <c r="B10488" t="n">
        <v>7.813</v>
      </c>
      <c r="C10488" t="n">
        <v>1.0692</v>
      </c>
    </row>
    <row r="10489">
      <c r="A10489" s="926" t="n">
        <v>45477</v>
      </c>
      <c r="B10489" t="n">
        <v>7.81</v>
      </c>
      <c r="C10489" t="n">
        <v>1.06985</v>
      </c>
    </row>
    <row r="10490">
      <c r="A10490" s="926" t="n">
        <v>45478</v>
      </c>
      <c r="B10490" t="n">
        <v>7.812</v>
      </c>
      <c r="C10490" t="n">
        <v>1.0717</v>
      </c>
    </row>
    <row r="10491">
      <c r="A10491" s="926" t="n">
        <v>45479</v>
      </c>
      <c r="B10491" t="n">
        <v>7.814</v>
      </c>
      <c r="C10491" t="n">
        <v>1.07215</v>
      </c>
    </row>
    <row r="10492">
      <c r="A10492" s="926" t="n">
        <v>45481</v>
      </c>
      <c r="B10492" t="n">
        <v>7.812</v>
      </c>
      <c r="C10492" t="n">
        <v>1.0719</v>
      </c>
    </row>
    <row r="10493">
      <c r="A10493" s="926" t="n">
        <v>45482</v>
      </c>
      <c r="B10493" t="n">
        <v>7.813</v>
      </c>
      <c r="C10493" t="n">
        <v>1.0721</v>
      </c>
    </row>
    <row r="10494">
      <c r="A10494" s="926" t="n">
        <v>45483</v>
      </c>
      <c r="B10494" t="n">
        <v>7.813</v>
      </c>
      <c r="C10494" t="n">
        <v>1.07135</v>
      </c>
    </row>
    <row r="10495">
      <c r="A10495" s="926" t="n">
        <v>45484</v>
      </c>
      <c r="B10495" t="n">
        <v>7.81</v>
      </c>
      <c r="C10495" t="n">
        <v>1.0717</v>
      </c>
    </row>
    <row r="10496">
      <c r="A10496" s="926" t="n">
        <v>45485</v>
      </c>
      <c r="B10496" t="n">
        <v>7.807</v>
      </c>
      <c r="C10496" t="n">
        <v>1.0726</v>
      </c>
    </row>
    <row r="10497">
      <c r="A10497" s="926" t="n">
        <v>45486</v>
      </c>
      <c r="B10497" t="n">
        <v>7.809</v>
      </c>
      <c r="C10497" t="n">
        <v>1.07375</v>
      </c>
    </row>
    <row r="10498">
      <c r="A10498" s="926" t="n">
        <v>45488</v>
      </c>
      <c r="B10498" t="n">
        <v>7.808</v>
      </c>
      <c r="C10498" t="n">
        <v>1.07305</v>
      </c>
    </row>
    <row r="10499">
      <c r="A10499" s="926" t="n">
        <v>45489</v>
      </c>
      <c r="B10499" t="n">
        <v>7.806</v>
      </c>
      <c r="C10499" t="n">
        <v>1.0724</v>
      </c>
    </row>
    <row r="10500">
      <c r="A10500" s="926" t="n">
        <v>45490</v>
      </c>
      <c r="B10500" t="n">
        <v>7.808</v>
      </c>
      <c r="C10500" t="n">
        <v>1.07195</v>
      </c>
    </row>
    <row r="10501">
      <c r="A10501" s="926" t="n">
        <v>45491</v>
      </c>
      <c r="B10501" t="n">
        <v>7.808</v>
      </c>
      <c r="C10501" t="n">
        <v>1.07435</v>
      </c>
    </row>
    <row r="10502">
      <c r="A10502" s="926" t="n">
        <v>45492</v>
      </c>
      <c r="B10502" t="n">
        <v>7.812</v>
      </c>
      <c r="C10502" t="n">
        <v>1.073</v>
      </c>
    </row>
    <row r="10503">
      <c r="A10503" s="926" t="n">
        <v>45493</v>
      </c>
      <c r="B10503" t="n">
        <v>7.812</v>
      </c>
      <c r="C10503" t="n">
        <v>1.07225</v>
      </c>
    </row>
    <row r="10504">
      <c r="A10504" s="926" t="n">
        <v>45495</v>
      </c>
      <c r="B10504" t="n">
        <v>7.809</v>
      </c>
      <c r="C10504" t="n">
        <v>1.0709</v>
      </c>
    </row>
    <row r="10505">
      <c r="A10505" s="926" t="n">
        <v>45496</v>
      </c>
      <c r="B10505" t="n">
        <v>7.808</v>
      </c>
      <c r="C10505" t="n">
        <v>1.0713</v>
      </c>
    </row>
    <row r="10506">
      <c r="A10506" s="926" t="n">
        <v>45497</v>
      </c>
      <c r="B10506" t="n">
        <v>7.809</v>
      </c>
      <c r="C10506" t="n">
        <v>1.0723</v>
      </c>
    </row>
    <row r="10507">
      <c r="A10507" s="926" t="n">
        <v>45498</v>
      </c>
      <c r="B10507" t="n">
        <v>7.807</v>
      </c>
      <c r="C10507" s="929" t="n">
        <v>1.07735</v>
      </c>
    </row>
    <row r="10508">
      <c r="A10508" s="926" t="n">
        <v>45499</v>
      </c>
      <c r="B10508" t="n">
        <v>7.807</v>
      </c>
      <c r="C10508" t="n">
        <v>1.0758</v>
      </c>
    </row>
    <row r="10509">
      <c r="A10509" s="926" t="n">
        <v>45500</v>
      </c>
      <c r="B10509" t="n">
        <v>7.808</v>
      </c>
      <c r="C10509" t="n">
        <v>1.07495</v>
      </c>
    </row>
    <row r="10510">
      <c r="A10510" s="926" t="n">
        <v>45502</v>
      </c>
      <c r="B10510" t="n">
        <v>7.81</v>
      </c>
      <c r="C10510" t="n">
        <v>1.0755</v>
      </c>
    </row>
    <row r="10511">
      <c r="A10511" s="926" t="n">
        <v>45503</v>
      </c>
      <c r="B10511" t="n">
        <v>7.812</v>
      </c>
      <c r="C10511" t="n">
        <v>1.0743</v>
      </c>
    </row>
    <row r="10512">
      <c r="A10512" s="926" t="n">
        <v>45504</v>
      </c>
      <c r="B10512" t="n">
        <v>7.813</v>
      </c>
      <c r="C10512" t="n">
        <v>1.08085</v>
      </c>
    </row>
    <row r="10513">
      <c r="A10513" s="926" t="n">
        <v>45505</v>
      </c>
      <c r="B10513" t="n">
        <v>7.815</v>
      </c>
      <c r="C10513" t="n">
        <v>1.07885</v>
      </c>
    </row>
    <row r="10514">
      <c r="A10514" s="926" t="n">
        <v>45506</v>
      </c>
      <c r="B10514" t="n">
        <v>7.811</v>
      </c>
      <c r="C10514" t="n">
        <v>1.08345</v>
      </c>
    </row>
    <row r="10515">
      <c r="A10515" s="926" t="n">
        <v>45507</v>
      </c>
      <c r="B10515" t="n">
        <v>7.809</v>
      </c>
      <c r="C10515" t="n">
        <v>1.0896</v>
      </c>
    </row>
    <row r="10516">
      <c r="A10516" s="926" t="n">
        <v>45509</v>
      </c>
      <c r="B10516" t="n">
        <v>7.778</v>
      </c>
      <c r="C10516" t="n">
        <v>1.09035</v>
      </c>
    </row>
    <row r="10517">
      <c r="A10517" s="926" t="n">
        <v>45510</v>
      </c>
      <c r="B10517" t="n">
        <v>7.795</v>
      </c>
      <c r="C10517" t="n">
        <v>1.09115</v>
      </c>
    </row>
    <row r="10518">
      <c r="A10518" s="926" t="n">
        <v>45511</v>
      </c>
      <c r="B10518" t="n">
        <v>7.796</v>
      </c>
      <c r="C10518" t="n">
        <v>1.08545</v>
      </c>
    </row>
    <row r="10519">
      <c r="A10519" s="926" t="n">
        <v>45512</v>
      </c>
      <c r="B10519" t="n">
        <v>7.79</v>
      </c>
      <c r="C10519" t="n">
        <v>1.0878</v>
      </c>
    </row>
    <row r="10520">
      <c r="A10520" s="926" t="n">
        <v>45513</v>
      </c>
      <c r="B10520" t="n">
        <v>7.797</v>
      </c>
      <c r="C10520" t="n">
        <v>1.0871</v>
      </c>
    </row>
    <row r="10521">
      <c r="A10521" s="926" t="n">
        <v>45514</v>
      </c>
      <c r="B10521" t="n">
        <v>7.799</v>
      </c>
      <c r="C10521" t="n">
        <v>1.0872</v>
      </c>
    </row>
    <row r="10522">
      <c r="A10522" s="926" t="n">
        <v>45516</v>
      </c>
      <c r="B10522" t="n">
        <v>7.8</v>
      </c>
      <c r="C10522" t="n">
        <v>1.08595</v>
      </c>
    </row>
    <row r="10523">
      <c r="A10523" s="926" t="n">
        <v>45517</v>
      </c>
      <c r="B10523" t="n">
        <v>7.79</v>
      </c>
      <c r="C10523" t="n">
        <v>1.086</v>
      </c>
    </row>
    <row r="10524">
      <c r="A10524" s="926" t="n">
        <v>45518</v>
      </c>
      <c r="B10524" t="n">
        <v>7.792</v>
      </c>
      <c r="C10524" t="n">
        <v>1.09</v>
      </c>
    </row>
    <row r="10525">
      <c r="A10525" s="926" t="n">
        <v>45519</v>
      </c>
      <c r="B10525" t="n">
        <v>7.792</v>
      </c>
      <c r="C10525" t="n">
        <v>1.0888</v>
      </c>
    </row>
    <row r="10526">
      <c r="A10526" s="926" t="n">
        <v>45520</v>
      </c>
      <c r="B10526" t="n">
        <v>7.796</v>
      </c>
      <c r="C10526" t="n">
        <v>1.08585</v>
      </c>
    </row>
    <row r="10527">
      <c r="A10527" s="926" t="n">
        <v>45521</v>
      </c>
      <c r="B10527" t="n">
        <v>7.796</v>
      </c>
      <c r="C10527" t="n">
        <v>1.0883</v>
      </c>
    </row>
    <row r="10528">
      <c r="A10528" s="926" t="n">
        <v>45523</v>
      </c>
      <c r="B10528" t="n">
        <v>7.792</v>
      </c>
      <c r="C10528" t="n">
        <v>1.0913</v>
      </c>
    </row>
    <row r="10529">
      <c r="A10529" s="926" t="n">
        <v>45524</v>
      </c>
      <c r="B10529" t="n">
        <v>7.791</v>
      </c>
      <c r="C10529" t="n">
        <v>1.0908</v>
      </c>
    </row>
    <row r="10530">
      <c r="A10530" s="926" t="n">
        <v>45525</v>
      </c>
      <c r="B10530" t="n">
        <v>7.792</v>
      </c>
      <c r="C10530" t="n">
        <v>1.0928</v>
      </c>
    </row>
    <row r="10531">
      <c r="A10531" s="926" t="n">
        <v>45526</v>
      </c>
      <c r="B10531" t="n">
        <v>7.796</v>
      </c>
      <c r="C10531" t="n">
        <v>1.0933</v>
      </c>
    </row>
    <row r="10532">
      <c r="A10532" s="926" t="n">
        <v>45527</v>
      </c>
      <c r="B10532" t="n">
        <v>7.799</v>
      </c>
      <c r="C10532" t="n">
        <v>1.09285</v>
      </c>
    </row>
    <row r="10533">
      <c r="A10533" s="926" t="n">
        <v>45528</v>
      </c>
      <c r="B10533" t="n">
        <v>7.798</v>
      </c>
      <c r="C10533" t="n">
        <v>1.0959</v>
      </c>
    </row>
    <row r="10534">
      <c r="A10534" s="926" t="n">
        <v>45530</v>
      </c>
      <c r="B10534" t="n">
        <v>7.798</v>
      </c>
      <c r="C10534" t="n">
        <v>1.09545</v>
      </c>
    </row>
    <row r="10535">
      <c r="A10535" s="926" t="n">
        <v>45531</v>
      </c>
      <c r="B10535" t="n">
        <v>7.8</v>
      </c>
      <c r="C10535" t="n">
        <v>1.0947</v>
      </c>
    </row>
    <row r="10536">
      <c r="A10536" s="926" t="n">
        <v>45532</v>
      </c>
      <c r="B10536" t="n">
        <v>7.8</v>
      </c>
      <c r="C10536" t="n">
        <v>1.0932</v>
      </c>
    </row>
    <row r="10537">
      <c r="A10537" s="926" t="n">
        <v>45533</v>
      </c>
      <c r="B10537" t="n">
        <v>7.799</v>
      </c>
      <c r="C10537" t="n">
        <v>1.09715</v>
      </c>
    </row>
    <row r="10538">
      <c r="A10538" s="926" t="n">
        <v>45534</v>
      </c>
      <c r="B10538" t="n">
        <v>7.797</v>
      </c>
      <c r="C10538" t="n">
        <v>1.10015</v>
      </c>
    </row>
    <row r="10539">
      <c r="A10539" s="926" t="n">
        <v>45535</v>
      </c>
      <c r="B10539" t="n">
        <v>7.799</v>
      </c>
      <c r="C10539" t="n">
        <v>1.0999</v>
      </c>
    </row>
    <row r="10540">
      <c r="A10540" s="926" t="n">
        <v>45537</v>
      </c>
      <c r="B10540" t="n">
        <v>7.799</v>
      </c>
      <c r="C10540" t="n">
        <v>1.0979</v>
      </c>
    </row>
    <row r="10541">
      <c r="A10541" s="926" t="n">
        <v>45538</v>
      </c>
      <c r="B10541" t="n">
        <v>7.798</v>
      </c>
      <c r="C10541" t="n">
        <v>1.0951</v>
      </c>
    </row>
    <row r="10542">
      <c r="A10542" s="926" t="n">
        <v>45539</v>
      </c>
      <c r="B10542" t="n">
        <v>7.798</v>
      </c>
      <c r="C10542" t="n">
        <v>1.0962</v>
      </c>
    </row>
    <row r="10543">
      <c r="A10543" s="926" t="n">
        <v>45540</v>
      </c>
      <c r="B10543" t="n">
        <v>7.796</v>
      </c>
      <c r="C10543" t="n">
        <v>1.09825</v>
      </c>
    </row>
    <row r="10544">
      <c r="A10544" s="926" t="n">
        <v>45541</v>
      </c>
      <c r="B10544" t="n">
        <v>7.794</v>
      </c>
      <c r="C10544" t="n">
        <v>1.10055</v>
      </c>
    </row>
    <row r="10545">
      <c r="A10545" s="926" t="n">
        <v>45542</v>
      </c>
      <c r="B10545" t="n">
        <v>7.797</v>
      </c>
      <c r="C10545" t="n">
        <v>1.0995</v>
      </c>
    </row>
    <row r="10546">
      <c r="A10546" s="926" t="n">
        <v>45544</v>
      </c>
      <c r="B10546" t="n">
        <v>7.797</v>
      </c>
      <c r="C10546" t="n">
        <v>1.0963</v>
      </c>
    </row>
    <row r="10547">
      <c r="A10547" s="926" t="n">
        <v>45545</v>
      </c>
      <c r="B10547" t="n">
        <v>7.797</v>
      </c>
      <c r="C10547" t="n">
        <v>1.0944</v>
      </c>
    </row>
    <row r="10548">
      <c r="A10548" s="926" t="n">
        <v>45546</v>
      </c>
      <c r="B10548" t="n">
        <v>7.798</v>
      </c>
      <c r="C10548" t="n">
        <v>1.0958</v>
      </c>
    </row>
    <row r="10549">
      <c r="A10549" s="926" t="n">
        <v>45547</v>
      </c>
      <c r="B10549" t="n">
        <v>7.8</v>
      </c>
      <c r="C10549" t="n">
        <v>1.09425</v>
      </c>
    </row>
    <row r="10550">
      <c r="A10550" s="926" t="n">
        <v>45548</v>
      </c>
      <c r="B10550" t="n">
        <v>7.801</v>
      </c>
      <c r="C10550" t="n">
        <v>1.0976</v>
      </c>
    </row>
    <row r="10551">
      <c r="A10551" s="926" t="n">
        <v>45549</v>
      </c>
      <c r="B10551" t="n">
        <v>7.8</v>
      </c>
      <c r="C10551" t="n">
        <v>1.099</v>
      </c>
    </row>
    <row r="10552">
      <c r="A10552" s="926" t="n">
        <v>45551</v>
      </c>
      <c r="B10552" t="n">
        <v>7.795</v>
      </c>
      <c r="C10552" t="n">
        <v>1.099</v>
      </c>
    </row>
    <row r="10553">
      <c r="A10553" s="926" t="n">
        <v>45552</v>
      </c>
      <c r="B10553" t="n">
        <v>7.79</v>
      </c>
      <c r="C10553" t="n">
        <v>1.09715</v>
      </c>
    </row>
    <row r="10554">
      <c r="A10554" s="926" t="n">
        <v>45554</v>
      </c>
      <c r="B10554" t="n">
        <v>7.793</v>
      </c>
      <c r="C10554" t="n">
        <v>1.1032</v>
      </c>
    </row>
    <row r="10555">
      <c r="A10555" s="926" t="n">
        <v>45555</v>
      </c>
      <c r="B10555" t="n">
        <v>7.793</v>
      </c>
      <c r="C10555" t="n">
        <v>1.10525</v>
      </c>
    </row>
    <row r="10556">
      <c r="A10556" s="926" t="n">
        <v>45556</v>
      </c>
      <c r="B10556" t="n">
        <v>7.792</v>
      </c>
      <c r="C10556" t="n">
        <v>1.10655</v>
      </c>
    </row>
    <row r="10557">
      <c r="A10557" s="926" t="n">
        <v>45558</v>
      </c>
      <c r="B10557" t="n">
        <v>7.79</v>
      </c>
      <c r="C10557" t="n">
        <v>1.10395</v>
      </c>
    </row>
    <row r="10558">
      <c r="A10558" s="926" t="n">
        <v>45559</v>
      </c>
      <c r="B10558" t="n">
        <v>7.785</v>
      </c>
      <c r="C10558" t="n">
        <v>1.10585</v>
      </c>
    </row>
    <row r="10559">
      <c r="A10559" s="926" t="n">
        <v>45560</v>
      </c>
      <c r="B10559" t="n">
        <v>7.788</v>
      </c>
      <c r="C10559" t="n">
        <v>1.1099</v>
      </c>
    </row>
    <row r="10560">
      <c r="A10560" s="926" t="n">
        <v>45561</v>
      </c>
      <c r="B10560" t="n">
        <v>7.784</v>
      </c>
      <c r="C10560" t="n">
        <v>1.11</v>
      </c>
    </row>
    <row r="10561">
      <c r="A10561" s="926" t="n">
        <v>45562</v>
      </c>
      <c r="B10561" t="n">
        <v>7.78</v>
      </c>
      <c r="C10561" t="n">
        <v>1.1122</v>
      </c>
    </row>
    <row r="10562">
      <c r="A10562" s="926" t="n">
        <v>45563</v>
      </c>
      <c r="B10562" t="n">
        <v>7.774</v>
      </c>
      <c r="C10562" t="n">
        <v>1.11325</v>
      </c>
    </row>
    <row r="10563">
      <c r="A10563" s="926" t="n">
        <v>45565</v>
      </c>
      <c r="B10563" t="n">
        <v>7.77</v>
      </c>
      <c r="C10563" t="n">
        <v>1.11025</v>
      </c>
    </row>
    <row r="10564">
      <c r="A10564" s="926" t="n">
        <v>45567</v>
      </c>
      <c r="B10564" t="n">
        <v>7.766</v>
      </c>
      <c r="C10564" t="n">
        <v>1.1062</v>
      </c>
    </row>
    <row r="10565">
      <c r="A10565" s="926" t="n">
        <v>45568</v>
      </c>
      <c r="B10565" t="n">
        <v>7.767</v>
      </c>
      <c r="C10565" t="n">
        <v>1.1032</v>
      </c>
    </row>
    <row r="10566">
      <c r="A10566" s="926" t="n">
        <v>45569</v>
      </c>
      <c r="B10566" t="n">
        <v>7.767</v>
      </c>
      <c r="C10566" t="n">
        <v>1.10035</v>
      </c>
    </row>
    <row r="10567">
      <c r="A10567" s="926" t="n">
        <v>45570</v>
      </c>
      <c r="B10567" t="n">
        <v>7.768</v>
      </c>
      <c r="C10567" t="n">
        <v>1.09475</v>
      </c>
    </row>
    <row r="10568">
      <c r="A10568" s="926" t="n">
        <v>45572</v>
      </c>
      <c r="B10568" t="n">
        <v>7.767</v>
      </c>
      <c r="C10568" t="n">
        <v>1.0965</v>
      </c>
    </row>
    <row r="10569">
      <c r="A10569" s="926" t="n">
        <v>45573</v>
      </c>
      <c r="B10569" t="n">
        <v>7.771</v>
      </c>
      <c r="C10569" t="n">
        <v>1.1005</v>
      </c>
    </row>
    <row r="10570">
      <c r="A10570" s="926" t="n">
        <v>45574</v>
      </c>
      <c r="B10570" t="n">
        <v>7.774</v>
      </c>
      <c r="C10570" t="n">
        <v>1.10055</v>
      </c>
    </row>
    <row r="10571">
      <c r="A10571" s="926" t="n">
        <v>45575</v>
      </c>
      <c r="B10571" t="n">
        <v>7.772</v>
      </c>
      <c r="C10571" t="n">
        <v>1.09725</v>
      </c>
    </row>
    <row r="10572">
      <c r="A10572" s="926" t="n">
        <v>45577</v>
      </c>
      <c r="B10572" t="n">
        <v>7.773</v>
      </c>
      <c r="C10572" t="n">
        <v>1.0994</v>
      </c>
    </row>
    <row r="10573">
      <c r="A10573" s="926" t="n">
        <v>45579</v>
      </c>
      <c r="B10573" t="n">
        <v>7.769</v>
      </c>
      <c r="C10573" t="n">
        <v>1.0961</v>
      </c>
    </row>
    <row r="10574">
      <c r="A10574" s="926" t="n">
        <v>45580</v>
      </c>
      <c r="B10574" t="n">
        <v>7.768</v>
      </c>
      <c r="C10574" t="n">
        <v>1.0902</v>
      </c>
    </row>
    <row r="10575">
      <c r="A10575" s="926" t="n">
        <v>45581</v>
      </c>
      <c r="B10575" t="n">
        <v>7.771</v>
      </c>
      <c r="C10575" t="n">
        <v>1.08985</v>
      </c>
    </row>
    <row r="10576">
      <c r="A10576" s="926" t="n">
        <v>45582</v>
      </c>
      <c r="B10576" t="n">
        <v>7.773</v>
      </c>
      <c r="C10576" t="n">
        <v>1.08925</v>
      </c>
    </row>
    <row r="10577">
      <c r="A10577" s="926" t="n">
        <v>45583</v>
      </c>
      <c r="B10577" t="n">
        <v>7.771</v>
      </c>
      <c r="C10577" t="n">
        <v>1.09115</v>
      </c>
    </row>
    <row r="10578">
      <c r="A10578" s="926" t="n">
        <v>45584</v>
      </c>
      <c r="B10578" t="n">
        <v>7.772</v>
      </c>
      <c r="C10578" t="n">
        <v>1.09215</v>
      </c>
    </row>
    <row r="10579">
      <c r="A10579" s="926" t="n">
        <v>45586</v>
      </c>
      <c r="B10579" t="n">
        <v>7.773</v>
      </c>
      <c r="C10579" t="n">
        <v>1.09085</v>
      </c>
    </row>
    <row r="10580">
      <c r="A10580" s="926" t="n">
        <v>45587</v>
      </c>
      <c r="B10580" t="n">
        <v>7.775</v>
      </c>
      <c r="C10580" t="n">
        <v>1.0903</v>
      </c>
    </row>
    <row r="10581">
      <c r="A10581" s="926" t="n">
        <v>45588</v>
      </c>
      <c r="B10581" t="n">
        <v>7.773</v>
      </c>
      <c r="C10581" t="n">
        <v>1.0882</v>
      </c>
    </row>
    <row r="10582">
      <c r="A10582" s="926" t="n">
        <v>45589</v>
      </c>
      <c r="B10582" t="n">
        <v>7.769</v>
      </c>
      <c r="C10582" t="n">
        <v>1.09065</v>
      </c>
    </row>
    <row r="10583">
      <c r="A10583" s="926" t="n">
        <v>45590</v>
      </c>
      <c r="B10583" t="n">
        <v>7.772</v>
      </c>
      <c r="C10583" t="n">
        <v>1.08905</v>
      </c>
    </row>
    <row r="10584">
      <c r="A10584" s="926" t="n">
        <v>45591</v>
      </c>
      <c r="B10584" t="n">
        <v>7.772</v>
      </c>
      <c r="C10584" t="n">
        <v>1.08935</v>
      </c>
    </row>
    <row r="10585">
      <c r="A10585" s="926" t="n">
        <v>45593</v>
      </c>
      <c r="B10585" t="n">
        <v>7.772</v>
      </c>
      <c r="C10585" t="n">
        <v>1.0885</v>
      </c>
    </row>
    <row r="10586">
      <c r="A10586" s="926" t="n">
        <v>45594</v>
      </c>
      <c r="B10586" t="n">
        <v>7.772</v>
      </c>
      <c r="C10586" t="n">
        <v>1.0859</v>
      </c>
    </row>
    <row r="10587">
      <c r="A10587" s="926" t="n">
        <v>45595</v>
      </c>
      <c r="B10587" t="n">
        <v>7.772</v>
      </c>
      <c r="C10587" t="n">
        <v>1.0882</v>
      </c>
    </row>
    <row r="10588">
      <c r="A10588" s="926" t="n">
        <v>45596</v>
      </c>
      <c r="B10588" t="n">
        <v>7.773</v>
      </c>
      <c r="C10588" t="n">
        <v>1.0899</v>
      </c>
    </row>
    <row r="10589">
      <c r="A10589" s="926" t="n">
        <v>45597</v>
      </c>
      <c r="B10589" t="n">
        <v>7.778</v>
      </c>
      <c r="C10589" t="n">
        <v>1.09065</v>
      </c>
    </row>
    <row r="10590">
      <c r="A10590" s="926" t="n">
        <v>45598</v>
      </c>
      <c r="B10590" t="n">
        <v>7.779</v>
      </c>
      <c r="C10590" t="n">
        <v>1.08985</v>
      </c>
    </row>
    <row r="10591">
      <c r="A10591" s="926" t="n">
        <v>45600</v>
      </c>
      <c r="B10591" t="n">
        <v>7.775</v>
      </c>
      <c r="C10591" t="n">
        <v>1.0954</v>
      </c>
    </row>
    <row r="10592">
      <c r="A10592" s="926" t="n">
        <v>45601</v>
      </c>
      <c r="B10592" t="n">
        <v>7.774</v>
      </c>
      <c r="C10592" t="n">
        <v>1.0936</v>
      </c>
    </row>
    <row r="10593">
      <c r="A10593" s="926" t="n">
        <v>45602</v>
      </c>
      <c r="B10593" t="n">
        <v>7.777</v>
      </c>
      <c r="C10593" t="n">
        <v>1.08235</v>
      </c>
    </row>
    <row r="10594">
      <c r="A10594" s="926" t="n">
        <v>45603</v>
      </c>
      <c r="B10594" t="n">
        <v>7.774</v>
      </c>
      <c r="C10594" t="n">
        <v>1.0815</v>
      </c>
    </row>
    <row r="10595">
      <c r="A10595" s="926" t="n">
        <v>45604</v>
      </c>
      <c r="B10595" t="n">
        <v>7.773</v>
      </c>
      <c r="C10595" t="n">
        <v>1.085</v>
      </c>
    </row>
    <row r="10596">
      <c r="A10596" s="926" t="n">
        <v>45605</v>
      </c>
      <c r="B10596" t="n">
        <v>7.777</v>
      </c>
      <c r="C10596" t="n">
        <v>1.07925</v>
      </c>
    </row>
    <row r="10597">
      <c r="A10597" s="926" t="n">
        <v>45607</v>
      </c>
      <c r="B10597" t="n">
        <v>7.776</v>
      </c>
      <c r="C10597" t="n">
        <v>1.08045</v>
      </c>
    </row>
    <row r="10598">
      <c r="A10598" s="926" t="n">
        <v>45608</v>
      </c>
      <c r="B10598" t="n">
        <v>7.78</v>
      </c>
      <c r="C10598" t="n">
        <v>1.073</v>
      </c>
    </row>
    <row r="10599">
      <c r="A10599" s="926" t="n">
        <v>45609</v>
      </c>
      <c r="B10599" t="n">
        <v>7.781</v>
      </c>
      <c r="C10599" t="n">
        <v>1.07555</v>
      </c>
    </row>
    <row r="10600">
      <c r="A10600" s="926" t="n">
        <v>45610</v>
      </c>
      <c r="B10600" t="n">
        <v>7.782</v>
      </c>
      <c r="C10600" t="n">
        <v>1.0731</v>
      </c>
    </row>
    <row r="10601">
      <c r="A10601" s="926" t="n">
        <v>45611</v>
      </c>
      <c r="B10601" t="n">
        <v>7.783</v>
      </c>
      <c r="C10601" t="n">
        <v>1.0752</v>
      </c>
    </row>
    <row r="10602">
      <c r="A10602" s="926" t="n">
        <v>45612</v>
      </c>
      <c r="B10602" t="n">
        <v>7.787</v>
      </c>
      <c r="C10602" t="n">
        <v>1.0761</v>
      </c>
    </row>
    <row r="10603">
      <c r="A10603" s="926" t="n">
        <v>45614</v>
      </c>
      <c r="B10603" t="n">
        <v>7.785</v>
      </c>
      <c r="C10603" t="n">
        <v>1.07415</v>
      </c>
    </row>
    <row r="10604">
      <c r="A10604" s="926" t="n">
        <v>45615</v>
      </c>
      <c r="B10604" t="n">
        <v>7.783</v>
      </c>
      <c r="C10604" t="n">
        <v>1.07555</v>
      </c>
    </row>
    <row r="10605">
      <c r="A10605" s="926" t="n">
        <v>45616</v>
      </c>
      <c r="B10605" t="n">
        <v>7.783</v>
      </c>
      <c r="C10605" t="n">
        <v>1.07465</v>
      </c>
    </row>
    <row r="10606">
      <c r="A10606" s="926" t="n">
        <v>45617</v>
      </c>
      <c r="B10606" t="n">
        <v>7.784</v>
      </c>
      <c r="C10606" t="n">
        <v>1.0747</v>
      </c>
    </row>
    <row r="10607">
      <c r="A10607" s="926" t="n">
        <v>45618</v>
      </c>
      <c r="B10607" t="n">
        <v>7.783</v>
      </c>
      <c r="C10607" t="n">
        <v>1.0727</v>
      </c>
    </row>
    <row r="10608">
      <c r="A10608" s="926" t="n">
        <v>45619</v>
      </c>
      <c r="B10608" t="n">
        <v>7.786</v>
      </c>
      <c r="C10608" t="n">
        <v>1.0725</v>
      </c>
    </row>
    <row r="10609">
      <c r="A10609" s="926" t="n">
        <v>45621</v>
      </c>
      <c r="B10609" t="n">
        <v>7.782</v>
      </c>
      <c r="C10609" t="n">
        <v>1.0738</v>
      </c>
    </row>
    <row r="10610">
      <c r="A10610" s="926" t="n">
        <v>45622</v>
      </c>
      <c r="B10610" t="n">
        <v>7.783</v>
      </c>
      <c r="C10610" t="n">
        <v>1.071</v>
      </c>
    </row>
    <row r="10611">
      <c r="A10611" s="926" t="n">
        <v>45623</v>
      </c>
      <c r="B10611" t="n">
        <v>7.782</v>
      </c>
      <c r="C10611" t="n">
        <v>1.07235</v>
      </c>
    </row>
    <row r="10612">
      <c r="A10612" s="926" t="n">
        <v>45624</v>
      </c>
      <c r="B10612" t="n">
        <v>7.783</v>
      </c>
      <c r="C10612" t="n">
        <v>1.0728</v>
      </c>
    </row>
    <row r="10613">
      <c r="A10613" s="926" t="n">
        <v>45625</v>
      </c>
      <c r="B10613" t="n">
        <v>7.785</v>
      </c>
      <c r="C10613" t="n">
        <v>1.07565</v>
      </c>
    </row>
    <row r="10614">
      <c r="A10614" s="926" t="n">
        <v>45626</v>
      </c>
      <c r="B10614" t="n">
        <v>7.784</v>
      </c>
      <c r="C10614" t="n">
        <v>1.0739</v>
      </c>
    </row>
    <row r="10615">
      <c r="A10615" s="926" t="n">
        <v>45628</v>
      </c>
      <c r="B10615" t="n">
        <v>7.783</v>
      </c>
      <c r="C10615" t="n">
        <v>1.06935</v>
      </c>
    </row>
    <row r="10616">
      <c r="A10616" s="926" t="n">
        <v>45629</v>
      </c>
      <c r="B10616" t="n">
        <v>7.784</v>
      </c>
      <c r="C10616" t="n">
        <v>1.06765</v>
      </c>
    </row>
    <row r="10617">
      <c r="A10617" s="926" t="n">
        <v>45630</v>
      </c>
      <c r="B10617" t="n">
        <v>7.785</v>
      </c>
      <c r="C10617" t="n">
        <v>1.06925</v>
      </c>
    </row>
    <row r="10618">
      <c r="A10618" s="926" t="n">
        <v>45631</v>
      </c>
      <c r="B10618" t="n">
        <v>7.785</v>
      </c>
      <c r="C10618" t="n">
        <v>1.0694</v>
      </c>
    </row>
    <row r="10619">
      <c r="A10619" s="926" t="n">
        <v>45632</v>
      </c>
      <c r="B10619" t="n">
        <v>7.781</v>
      </c>
      <c r="C10619" t="n">
        <v>1.07055</v>
      </c>
    </row>
    <row r="10620">
      <c r="A10620" s="926" t="n">
        <v>45633</v>
      </c>
      <c r="B10620" t="n">
        <v>7.7805</v>
      </c>
      <c r="C10620" t="n">
        <v>1.0684</v>
      </c>
    </row>
    <row r="10621">
      <c r="A10621" s="926" t="n">
        <v>45635</v>
      </c>
      <c r="B10621" t="n">
        <v>7.782</v>
      </c>
      <c r="C10621" t="n">
        <v>1.06795</v>
      </c>
    </row>
    <row r="10622">
      <c r="A10622" s="926" t="n">
        <v>45636</v>
      </c>
      <c r="B10622" t="n">
        <v>7.777</v>
      </c>
      <c r="C10622" t="n">
        <v>1.07315</v>
      </c>
    </row>
    <row r="10623">
      <c r="A10623" s="926" t="n">
        <v>45637</v>
      </c>
      <c r="B10623" t="n">
        <v>7.778</v>
      </c>
      <c r="C10623" t="n">
        <v>1.07255</v>
      </c>
    </row>
    <row r="10624">
      <c r="A10624" s="926" t="n">
        <v>45638</v>
      </c>
      <c r="B10624" t="n">
        <v>7.776</v>
      </c>
      <c r="C10624" t="n">
        <v>1.06995</v>
      </c>
    </row>
    <row r="10625">
      <c r="A10625" s="926" t="n">
        <v>45639</v>
      </c>
      <c r="B10625" t="n">
        <v>7.775</v>
      </c>
      <c r="C10625" t="n">
        <v>1.06755</v>
      </c>
    </row>
    <row r="10626">
      <c r="A10626" s="926" t="n">
        <v>45640</v>
      </c>
      <c r="B10626" t="n">
        <v>7.7765</v>
      </c>
      <c r="C10626" t="n">
        <v>1.06835</v>
      </c>
    </row>
    <row r="10627">
      <c r="A10627" s="926" t="n">
        <v>45642</v>
      </c>
      <c r="B10627" t="n">
        <v>7.776</v>
      </c>
      <c r="C10627" t="n">
        <v>1.0672</v>
      </c>
    </row>
    <row r="10628">
      <c r="A10628" s="926" t="n">
        <v>45643</v>
      </c>
      <c r="B10628" t="n">
        <v>7.771</v>
      </c>
      <c r="C10628" t="n">
        <v>1.0659</v>
      </c>
    </row>
    <row r="10629">
      <c r="A10629" s="926" t="n">
        <v>45644</v>
      </c>
      <c r="B10629" t="n">
        <v>7.771</v>
      </c>
      <c r="C10629" t="n">
        <v>1.0663</v>
      </c>
    </row>
    <row r="10630">
      <c r="A10630" s="926" t="n">
        <v>45645</v>
      </c>
      <c r="B10630" t="n">
        <v>7.77</v>
      </c>
      <c r="C10630" t="n">
        <v>1.06295</v>
      </c>
    </row>
    <row r="10631">
      <c r="A10631" s="926" t="n">
        <v>45646</v>
      </c>
      <c r="B10631" t="n">
        <v>7.771</v>
      </c>
      <c r="C10631" t="n">
        <v>1.06385</v>
      </c>
    </row>
    <row r="10632">
      <c r="A10632" s="926" t="n">
        <v>45647</v>
      </c>
      <c r="B10632" t="n">
        <v>7.7775</v>
      </c>
      <c r="C10632" t="n">
        <v>1.0667</v>
      </c>
    </row>
    <row r="10633">
      <c r="A10633" s="926" t="n">
        <v>45649</v>
      </c>
      <c r="B10633" t="n">
        <v>7.771</v>
      </c>
      <c r="C10633" t="n">
        <v>1.0633</v>
      </c>
    </row>
    <row r="10634">
      <c r="A10634" s="926" t="n">
        <v>45650</v>
      </c>
      <c r="B10634" t="n">
        <v>7.767</v>
      </c>
      <c r="C10634" t="n">
        <v>1.0633</v>
      </c>
    </row>
    <row r="10635">
      <c r="A10635" s="926" t="n">
        <v>45653</v>
      </c>
      <c r="B10635" t="n">
        <v>7.764</v>
      </c>
      <c r="C10635" t="n">
        <v>1.06295</v>
      </c>
    </row>
    <row r="10636">
      <c r="A10636" s="926" t="n">
        <v>45654</v>
      </c>
      <c r="B10636" t="n">
        <v>7.7635</v>
      </c>
      <c r="C10636" t="n">
        <v>1.06335</v>
      </c>
    </row>
    <row r="10637">
      <c r="A10637" s="926" t="n">
        <v>45656</v>
      </c>
      <c r="B10637" t="n">
        <v>7.7625</v>
      </c>
      <c r="C10637" t="n">
        <v>1.0619</v>
      </c>
    </row>
    <row r="10638">
      <c r="A10638" s="926" t="n">
        <v>45657</v>
      </c>
      <c r="B10638" t="n">
        <v>7.764</v>
      </c>
      <c r="C10638" t="n">
        <v>1.0601</v>
      </c>
    </row>
    <row r="10639">
      <c r="A10639" s="926" t="n">
        <v>45659</v>
      </c>
      <c r="B10639" t="n">
        <v>7.775</v>
      </c>
      <c r="C10639" t="n">
        <v>1.06205</v>
      </c>
    </row>
    <row r="10640">
      <c r="A10640" s="926" t="n">
        <v>45660</v>
      </c>
      <c r="B10640" t="n">
        <v>7.778</v>
      </c>
      <c r="C10640" t="n">
        <v>1.06075</v>
      </c>
    </row>
    <row r="10641">
      <c r="A10641" s="926" t="n">
        <v>45661</v>
      </c>
      <c r="B10641" t="n">
        <v>7.7795</v>
      </c>
      <c r="C10641" t="n">
        <v>1.0573</v>
      </c>
    </row>
    <row r="10642">
      <c r="A10642" s="926" t="n">
        <v>45663</v>
      </c>
      <c r="B10642" t="n">
        <v>7.776</v>
      </c>
      <c r="C10642" t="n">
        <v>1.0573</v>
      </c>
    </row>
    <row r="10643">
      <c r="A10643" s="926" t="n">
        <v>45664</v>
      </c>
      <c r="B10643" t="n">
        <v>7.773</v>
      </c>
      <c r="C10643" t="n">
        <v>1.059</v>
      </c>
    </row>
    <row r="10644">
      <c r="A10644" s="926" t="n">
        <v>45665</v>
      </c>
      <c r="B10644" t="n">
        <v>7.777</v>
      </c>
      <c r="C10644" t="n">
        <v>1.05855</v>
      </c>
    </row>
    <row r="10645">
      <c r="A10645" s="926" t="n">
        <v>45666</v>
      </c>
      <c r="B10645" t="n">
        <v>7.78</v>
      </c>
      <c r="C10645" t="n">
        <v>1.05835</v>
      </c>
    </row>
    <row r="10646">
      <c r="A10646" s="926" t="n">
        <v>45667</v>
      </c>
      <c r="B10646" t="n">
        <v>7.785</v>
      </c>
      <c r="C10646" t="n">
        <v>1.05855</v>
      </c>
    </row>
    <row r="10647">
      <c r="A10647" s="926" t="n">
        <v>45668</v>
      </c>
      <c r="B10647" t="n">
        <v>7.7885</v>
      </c>
      <c r="C10647" t="n">
        <v>1.0579</v>
      </c>
    </row>
    <row r="10648">
      <c r="A10648" s="926" t="n">
        <v>45670</v>
      </c>
      <c r="B10648" t="n">
        <v>7.787</v>
      </c>
      <c r="C10648" t="n">
        <v>1.059</v>
      </c>
    </row>
    <row r="10649">
      <c r="A10649" s="926" t="n">
        <v>45671</v>
      </c>
      <c r="B10649" t="n">
        <v>7.786</v>
      </c>
      <c r="C10649" t="n">
        <v>1.06</v>
      </c>
    </row>
    <row r="10650">
      <c r="A10650" s="926" t="n">
        <v>45672</v>
      </c>
      <c r="B10650" t="n">
        <v>7.791</v>
      </c>
      <c r="C10650" t="n">
        <v>1.0605</v>
      </c>
    </row>
    <row r="10651">
      <c r="A10651" s="926" t="n">
        <v>45673</v>
      </c>
      <c r="B10651" t="n">
        <v>7.79</v>
      </c>
      <c r="C10651" t="n">
        <v>1.06005</v>
      </c>
    </row>
    <row r="10652">
      <c r="A10652" s="926" t="n">
        <v>45674</v>
      </c>
      <c r="B10652" t="n">
        <v>7.787</v>
      </c>
      <c r="C10652" t="n">
        <v>1.0601</v>
      </c>
    </row>
    <row r="10653">
      <c r="A10653" s="926" t="n">
        <v>45675</v>
      </c>
      <c r="B10653" t="n">
        <v>7.7875</v>
      </c>
      <c r="C10653" t="n">
        <v>1.061</v>
      </c>
    </row>
    <row r="10654">
      <c r="A10654" s="926" t="n">
        <v>45677</v>
      </c>
      <c r="B10654" t="n">
        <v>7.786</v>
      </c>
      <c r="C10654" t="n">
        <v>1.0628</v>
      </c>
    </row>
    <row r="10655">
      <c r="A10655" s="926" t="n">
        <v>45678</v>
      </c>
      <c r="B10655" t="n">
        <v>7.784</v>
      </c>
      <c r="C10655" t="n">
        <v>1.0685</v>
      </c>
    </row>
    <row r="10656">
      <c r="A10656" s="926" t="n">
        <v>45679</v>
      </c>
      <c r="B10656" t="n">
        <v>7.791</v>
      </c>
      <c r="C10656" t="n">
        <v>1.06905</v>
      </c>
    </row>
    <row r="10657">
      <c r="A10657" s="926" t="n">
        <v>45680</v>
      </c>
      <c r="B10657" t="n">
        <v>7.792</v>
      </c>
      <c r="C10657" t="n">
        <v>1.06905</v>
      </c>
    </row>
    <row r="10658">
      <c r="A10658" s="926" t="n">
        <v>45681</v>
      </c>
      <c r="B10658" t="n">
        <v>7.788</v>
      </c>
      <c r="C10658" t="n">
        <v>1.0737</v>
      </c>
    </row>
    <row r="10659">
      <c r="A10659" s="926" t="n">
        <v>45682</v>
      </c>
      <c r="B10659" t="n">
        <v>7.7875</v>
      </c>
      <c r="C10659" t="n">
        <v>1.075</v>
      </c>
    </row>
    <row r="10660">
      <c r="A10660" s="926" t="n">
        <v>45684</v>
      </c>
      <c r="B10660" t="n">
        <v>7.792</v>
      </c>
      <c r="C10660" t="n">
        <v>1.07125</v>
      </c>
    </row>
    <row r="10661">
      <c r="A10661" s="926" t="n">
        <v>45685</v>
      </c>
      <c r="B10661" t="n">
        <v>7.791</v>
      </c>
      <c r="C10661" t="n">
        <v>1.0698</v>
      </c>
    </row>
    <row r="10662">
      <c r="A10662" s="926" t="n">
        <v>45689</v>
      </c>
      <c r="B10662" t="n">
        <v>7.7935</v>
      </c>
      <c r="C10662" t="n">
        <v>1.06455</v>
      </c>
    </row>
    <row r="10663">
      <c r="A10663" s="926" t="n">
        <v>45691</v>
      </c>
      <c r="B10663" t="n">
        <v>7.795</v>
      </c>
      <c r="C10663" t="n">
        <v>1.06225</v>
      </c>
    </row>
    <row r="10664">
      <c r="A10664" s="926" t="n">
        <v>45692</v>
      </c>
      <c r="B10664" t="n">
        <v>7.79</v>
      </c>
      <c r="C10664" t="n">
        <v>1.0645</v>
      </c>
    </row>
    <row r="10665">
      <c r="A10665" s="926" t="n">
        <v>45693</v>
      </c>
      <c r="B10665" t="n">
        <v>7.79</v>
      </c>
      <c r="C10665" t="n">
        <v>1.06905</v>
      </c>
    </row>
    <row r="10666">
      <c r="A10666" s="926" t="n">
        <v>45694</v>
      </c>
      <c r="B10666" t="n">
        <v>7.788</v>
      </c>
      <c r="C10666" t="n">
        <v>1.0686</v>
      </c>
    </row>
    <row r="10667">
      <c r="A10667" s="926" t="n">
        <v>45695</v>
      </c>
      <c r="B10667" t="n">
        <v>7.789</v>
      </c>
      <c r="C10667" t="n">
        <v>1.0682</v>
      </c>
    </row>
    <row r="10668">
      <c r="A10668" s="926" t="n">
        <v>45696</v>
      </c>
      <c r="B10668" t="n">
        <v>7.7925</v>
      </c>
      <c r="C10668" t="n">
        <v>1.06685</v>
      </c>
    </row>
    <row r="10669">
      <c r="A10669" s="926" t="n">
        <v>45698</v>
      </c>
      <c r="B10669" t="n">
        <v>7.789</v>
      </c>
      <c r="C10669" t="n">
        <v>1.06565</v>
      </c>
    </row>
    <row r="10670">
      <c r="A10670" s="926" t="n">
        <v>45699</v>
      </c>
      <c r="B10670" t="n">
        <v>7.792</v>
      </c>
      <c r="C10670" t="n">
        <v>1.066</v>
      </c>
    </row>
    <row r="10671">
      <c r="A10671" s="926" t="n">
        <v>45700</v>
      </c>
      <c r="B10671" t="n">
        <v>7.791</v>
      </c>
      <c r="C10671" t="n">
        <v>1.0652</v>
      </c>
    </row>
    <row r="10672">
      <c r="A10672" s="926" t="n">
        <v>45701</v>
      </c>
      <c r="B10672" t="n">
        <v>7.789</v>
      </c>
      <c r="C10672" t="n">
        <v>1.06795</v>
      </c>
    </row>
    <row r="10673">
      <c r="A10673" s="926" t="n">
        <v>45702</v>
      </c>
      <c r="B10673" t="n">
        <v>7.786</v>
      </c>
      <c r="C10673" t="n">
        <v>1.06955</v>
      </c>
    </row>
    <row r="10674">
      <c r="A10674" s="926" t="n">
        <v>45703</v>
      </c>
      <c r="B10674" t="n">
        <v>7.7855</v>
      </c>
      <c r="C10674" t="n">
        <v>1.0724</v>
      </c>
    </row>
    <row r="10675">
      <c r="A10675" s="926" t="n">
        <v>45705</v>
      </c>
      <c r="B10675" t="n">
        <v>7.781</v>
      </c>
      <c r="C10675" t="n">
        <v>1.0731</v>
      </c>
    </row>
    <row r="10676">
      <c r="A10676" s="926" t="n">
        <v>45706</v>
      </c>
      <c r="B10676" t="n">
        <v>7.781</v>
      </c>
      <c r="C10676" t="n">
        <v>1.06865</v>
      </c>
    </row>
    <row r="10677">
      <c r="A10677" s="926" t="n">
        <v>45707</v>
      </c>
      <c r="B10677" t="n">
        <v>7.774</v>
      </c>
      <c r="C10677" t="n">
        <v>1.067</v>
      </c>
    </row>
    <row r="10678">
      <c r="A10678" s="926" t="n">
        <v>45708</v>
      </c>
      <c r="B10678" t="n">
        <v>7.779</v>
      </c>
      <c r="C10678" t="n">
        <v>1.06965</v>
      </c>
    </row>
    <row r="10679">
      <c r="A10679" s="926" t="n">
        <v>45709</v>
      </c>
      <c r="B10679" t="n">
        <v>7.772</v>
      </c>
      <c r="C10679" t="n">
        <v>1.07165</v>
      </c>
    </row>
    <row r="10680">
      <c r="A10680" s="926" t="n">
        <v>45710</v>
      </c>
      <c r="B10680" t="n">
        <v>7.7715</v>
      </c>
      <c r="C10680" t="n">
        <v>1.07125</v>
      </c>
    </row>
    <row r="10681">
      <c r="A10681" s="926" t="n">
        <v>45712</v>
      </c>
      <c r="B10681" t="n">
        <v>7.774</v>
      </c>
      <c r="C10681" t="n">
        <v>1.07285</v>
      </c>
    </row>
    <row r="10682">
      <c r="A10682" s="926" t="n">
        <v>45713</v>
      </c>
      <c r="B10682" t="n">
        <v>7.7775</v>
      </c>
      <c r="C10682" t="n">
        <v>1.07085</v>
      </c>
    </row>
    <row r="10683">
      <c r="A10683" s="926" t="n">
        <v>45714</v>
      </c>
      <c r="B10683" t="n">
        <v>7.772</v>
      </c>
      <c r="C10683" t="n">
        <v>1.07</v>
      </c>
    </row>
    <row r="10684">
      <c r="A10684" s="926" t="n">
        <v>45715</v>
      </c>
      <c r="B10684" t="n">
        <v>7.776</v>
      </c>
      <c r="C10684" t="n">
        <v>1.06935</v>
      </c>
    </row>
    <row r="10685">
      <c r="A10685" s="926" t="n">
        <v>45716</v>
      </c>
      <c r="B10685" t="n">
        <v>7.78</v>
      </c>
      <c r="C10685" t="n">
        <v>1.06635</v>
      </c>
    </row>
    <row r="10686">
      <c r="A10686" s="926" t="n">
        <v>45717</v>
      </c>
      <c r="B10686" t="n">
        <v>7.7795</v>
      </c>
      <c r="C10686" t="n">
        <v>1.06645</v>
      </c>
    </row>
    <row r="10687">
      <c r="A10687" s="926" t="n">
        <v>45719</v>
      </c>
      <c r="B10687" t="n">
        <v>7.779</v>
      </c>
      <c r="C10687" t="n">
        <v>1.06545</v>
      </c>
    </row>
    <row r="10688">
      <c r="A10688" s="926" t="n">
        <v>45720</v>
      </c>
      <c r="B10688" t="n">
        <v>7.778</v>
      </c>
      <c r="C10688" t="n">
        <v>1.06705</v>
      </c>
    </row>
    <row r="10689">
      <c r="A10689" s="926" t="n">
        <v>45721</v>
      </c>
      <c r="B10689" t="n">
        <v>7.774</v>
      </c>
      <c r="C10689" t="n">
        <v>1.0702</v>
      </c>
    </row>
    <row r="10690">
      <c r="A10690" s="926" t="n">
        <v>45722</v>
      </c>
      <c r="B10690" t="n">
        <v>7.773</v>
      </c>
      <c r="C10690" t="n">
        <v>1.07315</v>
      </c>
    </row>
    <row r="10691">
      <c r="A10691" s="926" t="n">
        <v>45723</v>
      </c>
      <c r="B10691" t="n">
        <v>7.774</v>
      </c>
      <c r="C10691" t="n">
        <v>1.0725</v>
      </c>
    </row>
    <row r="10692">
      <c r="A10692" s="926" t="n">
        <v>45724</v>
      </c>
      <c r="B10692" t="n">
        <v>7.7715</v>
      </c>
      <c r="C10692" t="n">
        <v>1.0727</v>
      </c>
    </row>
    <row r="10693">
      <c r="A10693" s="926" t="n">
        <v>45726</v>
      </c>
      <c r="B10693" t="n">
        <v>7.77</v>
      </c>
      <c r="C10693" t="n">
        <v>1.06985</v>
      </c>
    </row>
    <row r="10694">
      <c r="A10694" s="926" t="n">
        <v>45727</v>
      </c>
      <c r="B10694" t="n">
        <v>7.77</v>
      </c>
      <c r="C10694" t="n">
        <v>1.0728</v>
      </c>
    </row>
    <row r="10695">
      <c r="A10695" s="926" t="n">
        <v>45728</v>
      </c>
      <c r="B10695" t="n">
        <v>7.772</v>
      </c>
      <c r="C10695" t="n">
        <v>1.0724</v>
      </c>
    </row>
    <row r="10696">
      <c r="A10696" s="926" t="n">
        <v>45729</v>
      </c>
      <c r="B10696" t="n">
        <v>7.7725</v>
      </c>
      <c r="C10696" t="n">
        <v>1.07345</v>
      </c>
    </row>
    <row r="10697">
      <c r="A10697" s="926" t="n">
        <v>45730</v>
      </c>
      <c r="B10697" t="n">
        <v>7.773</v>
      </c>
      <c r="C10697" t="n">
        <v>1.07395</v>
      </c>
    </row>
    <row r="10698">
      <c r="A10698" s="926" t="n">
        <v>45731</v>
      </c>
      <c r="B10698" t="n">
        <v>7.7745</v>
      </c>
      <c r="C10698" t="n">
        <v>1.07425</v>
      </c>
    </row>
    <row r="10699">
      <c r="A10699" s="926" t="n">
        <v>45733</v>
      </c>
      <c r="B10699" t="n">
        <v>7.772</v>
      </c>
      <c r="C10699" t="n">
        <v>1.0733</v>
      </c>
    </row>
    <row r="10700">
      <c r="A10700" s="926" t="n">
        <v>45734</v>
      </c>
      <c r="B10700" t="n">
        <v>7.771</v>
      </c>
      <c r="C10700" t="n">
        <v>1.0743</v>
      </c>
    </row>
    <row r="10701">
      <c r="A10701" s="926" t="n">
        <v>45735</v>
      </c>
      <c r="B10701" t="n">
        <v>7.772</v>
      </c>
      <c r="C10701" t="n">
        <v>1.07405</v>
      </c>
    </row>
    <row r="10702">
      <c r="A10702" s="926" t="n">
        <v>45736</v>
      </c>
      <c r="B10702" t="n">
        <v>7.7715</v>
      </c>
      <c r="C10702" t="n">
        <v>1.0736</v>
      </c>
    </row>
    <row r="10703">
      <c r="A10703" s="926" t="n">
        <v>45737</v>
      </c>
      <c r="B10703" t="n">
        <v>7.7735</v>
      </c>
      <c r="C10703" t="n">
        <v>1.0718</v>
      </c>
    </row>
    <row r="10704">
      <c r="A10704" s="926" t="n">
        <v>45738</v>
      </c>
      <c r="B10704" t="n">
        <v>7.7745</v>
      </c>
      <c r="C10704" t="n">
        <v>1.0715</v>
      </c>
    </row>
    <row r="10705">
      <c r="A10705" s="926" t="n">
        <v>45740</v>
      </c>
      <c r="B10705" t="n">
        <v>7.775</v>
      </c>
      <c r="C10705" t="n">
        <v>1.07075</v>
      </c>
    </row>
    <row r="10706">
      <c r="A10706" s="926" t="n">
        <v>45741</v>
      </c>
      <c r="B10706" t="n">
        <v>7.776</v>
      </c>
      <c r="C10706" t="n">
        <v>1.07005</v>
      </c>
    </row>
    <row r="10707">
      <c r="A10707" s="926" t="n">
        <v>45742</v>
      </c>
      <c r="B10707" t="n">
        <v>7.776</v>
      </c>
      <c r="C10707" t="n">
        <v>1.06935</v>
      </c>
    </row>
    <row r="10708">
      <c r="A10708" s="926" t="n">
        <v>45743</v>
      </c>
      <c r="B10708" t="n">
        <v>7.777</v>
      </c>
      <c r="C10708" t="n">
        <v>1.06955</v>
      </c>
    </row>
    <row r="10709">
      <c r="A10709" s="926" t="n">
        <v>45744</v>
      </c>
      <c r="B10709" t="n">
        <v>7.779</v>
      </c>
      <c r="C10709" t="n">
        <v>1.0695</v>
      </c>
    </row>
    <row r="10710">
      <c r="A10710" s="926" t="n">
        <v>45745</v>
      </c>
      <c r="B10710" t="n">
        <v>7.7795</v>
      </c>
      <c r="C10710" t="n">
        <v>1.07015</v>
      </c>
    </row>
    <row r="10711">
      <c r="A10711" s="926" t="n">
        <v>45747</v>
      </c>
      <c r="B10711" t="n">
        <v>7.78</v>
      </c>
      <c r="C10711" t="n">
        <v>1.07225</v>
      </c>
    </row>
    <row r="10712">
      <c r="A10712" s="926" t="n">
        <v>45748</v>
      </c>
      <c r="B10712" t="n">
        <v>7.783</v>
      </c>
      <c r="C10712" t="n">
        <v>1.06925</v>
      </c>
    </row>
    <row r="10713">
      <c r="A10713" s="926" t="n">
        <v>45749</v>
      </c>
      <c r="B10713" t="n">
        <v>7.782</v>
      </c>
      <c r="C10713" t="n">
        <v>1.06925</v>
      </c>
    </row>
    <row r="10714">
      <c r="A10714" s="926" t="n">
        <v>45750</v>
      </c>
      <c r="B10714" t="n">
        <v>7.781</v>
      </c>
      <c r="C10714" t="n">
        <v>1.06445</v>
      </c>
    </row>
    <row r="10715">
      <c r="A10715" s="926" t="n">
        <v>45752</v>
      </c>
      <c r="B10715" t="n">
        <v>7.7755</v>
      </c>
      <c r="C10715" t="n">
        <v>1.06595</v>
      </c>
    </row>
    <row r="10716">
      <c r="A10716" s="926" t="n">
        <v>45754</v>
      </c>
      <c r="B10716" t="n">
        <v>7.77</v>
      </c>
      <c r="C10716" t="n">
        <v>1.0622</v>
      </c>
    </row>
    <row r="10717">
      <c r="A10717" s="926" t="n">
        <v>45755</v>
      </c>
      <c r="B10717" t="n">
        <v>7.772</v>
      </c>
      <c r="C10717" t="n">
        <v>1.058</v>
      </c>
    </row>
    <row r="10718">
      <c r="A10718" s="926" t="n">
        <v>45756</v>
      </c>
      <c r="B10718" t="n">
        <v>7.761</v>
      </c>
      <c r="C10718" t="n">
        <v>1.05185</v>
      </c>
    </row>
    <row r="10719">
      <c r="A10719" s="926" t="n">
        <v>45757</v>
      </c>
      <c r="B10719" t="n">
        <v>7.765</v>
      </c>
      <c r="C10719" t="n">
        <v>1.056</v>
      </c>
    </row>
    <row r="10720">
      <c r="A10720" s="926" t="n">
        <v>45758</v>
      </c>
      <c r="B10720" t="n">
        <v>7.758</v>
      </c>
      <c r="C10720" t="n">
        <v>1.05895</v>
      </c>
    </row>
    <row r="10721">
      <c r="A10721" s="926" t="n">
        <v>45759</v>
      </c>
      <c r="B10721" t="n">
        <v>7.7565</v>
      </c>
      <c r="C10721" t="n">
        <v>1.06435</v>
      </c>
    </row>
    <row r="10722">
      <c r="A10722" s="926" t="n">
        <v>45761</v>
      </c>
      <c r="B10722" t="n">
        <v>7.758</v>
      </c>
      <c r="C10722" t="n">
        <v>1.06185</v>
      </c>
    </row>
    <row r="10723">
      <c r="A10723" s="926" t="n">
        <v>45762</v>
      </c>
      <c r="B10723" t="n">
        <v>7.758</v>
      </c>
      <c r="C10723" t="n">
        <v>1.0605</v>
      </c>
    </row>
    <row r="10724">
      <c r="A10724" s="926" t="n">
        <v>45763</v>
      </c>
      <c r="B10724" t="n">
        <v>7.758</v>
      </c>
      <c r="C10724" t="n">
        <v>1.0589</v>
      </c>
    </row>
    <row r="10725">
      <c r="A10725" s="926" t="n">
        <v>45764</v>
      </c>
      <c r="B10725" t="n">
        <v>7.763</v>
      </c>
      <c r="C10725" t="n">
        <v>1.06215</v>
      </c>
    </row>
    <row r="10726">
      <c r="A10726" s="926" t="n">
        <v>45769</v>
      </c>
      <c r="B10726" t="n">
        <v>7.759</v>
      </c>
      <c r="C10726" t="n">
        <v>1.0607</v>
      </c>
    </row>
    <row r="10727">
      <c r="A10727" s="926" t="n">
        <v>45770</v>
      </c>
      <c r="B10727" t="n">
        <v>7.762</v>
      </c>
      <c r="C10727" t="n">
        <v>1.0639</v>
      </c>
    </row>
    <row r="10728">
      <c r="A10728" s="926" t="n">
        <v>45771</v>
      </c>
      <c r="B10728" t="n">
        <v>7.76</v>
      </c>
      <c r="C10728" t="n">
        <v>1.06345</v>
      </c>
    </row>
    <row r="10729">
      <c r="A10729" s="926" t="n">
        <v>45772</v>
      </c>
      <c r="B10729" t="n">
        <v>7.759</v>
      </c>
      <c r="C10729" t="n">
        <v>1.0651</v>
      </c>
    </row>
    <row r="10730">
      <c r="A10730" s="926" t="n">
        <v>45773</v>
      </c>
      <c r="B10730" t="n">
        <v>7.7595</v>
      </c>
      <c r="C10730" t="n">
        <v>1.06485</v>
      </c>
    </row>
    <row r="10731">
      <c r="A10731" s="926" t="n">
        <v>45775</v>
      </c>
      <c r="B10731" t="n">
        <v>7.759</v>
      </c>
      <c r="C10731" t="n">
        <v>1.0625</v>
      </c>
    </row>
    <row r="10732">
      <c r="A10732" s="926" t="n">
        <v>45776</v>
      </c>
      <c r="B10732" t="n">
        <v>7.759</v>
      </c>
      <c r="C10732" t="n">
        <v>1.06745</v>
      </c>
    </row>
    <row r="10733">
      <c r="A10733" s="926" t="n">
        <v>45777</v>
      </c>
      <c r="B10733" t="n">
        <v>7.757</v>
      </c>
      <c r="C10733" t="n">
        <v>1.06735</v>
      </c>
    </row>
    <row r="10734">
      <c r="A10734" s="926" t="n">
        <v>45779</v>
      </c>
      <c r="B10734" t="n">
        <v>7.757</v>
      </c>
      <c r="C10734" t="n">
        <v>1.0705</v>
      </c>
    </row>
    <row r="10735">
      <c r="A10735" s="926" t="n">
        <v>45780</v>
      </c>
      <c r="B10735" t="n">
        <v>7.7515</v>
      </c>
      <c r="C10735" t="n">
        <v>1.07505</v>
      </c>
    </row>
    <row r="10736">
      <c r="A10736" s="926" t="n">
        <v>45783</v>
      </c>
      <c r="B10736" t="n">
        <v>7.751</v>
      </c>
      <c r="C10736" t="n">
        <v>1.07485</v>
      </c>
    </row>
    <row r="10737">
      <c r="A10737" s="926" t="n">
        <v>45784</v>
      </c>
      <c r="B10737" t="n">
        <v>7.759</v>
      </c>
      <c r="C10737" t="n">
        <v>1.07375</v>
      </c>
    </row>
    <row r="10738">
      <c r="A10738" s="926" t="n">
        <v>45785</v>
      </c>
      <c r="B10738" t="n">
        <v>7.7745</v>
      </c>
      <c r="C10738" t="n">
        <v>1.0736</v>
      </c>
    </row>
    <row r="10739">
      <c r="A10739" s="926" t="n">
        <v>45786</v>
      </c>
      <c r="B10739" t="n">
        <v>7.777</v>
      </c>
      <c r="C10739" t="n">
        <v>1.07335</v>
      </c>
    </row>
    <row r="10740">
      <c r="A10740" s="926" t="n">
        <v>45787</v>
      </c>
      <c r="B10740" t="n">
        <v>7.7795</v>
      </c>
      <c r="C10740" t="n">
        <v>1.07475</v>
      </c>
    </row>
    <row r="10741">
      <c r="A10741" s="926" t="n">
        <v>45789</v>
      </c>
      <c r="B10741" t="n">
        <v>7.794</v>
      </c>
      <c r="C10741" t="n">
        <v>1.08025</v>
      </c>
    </row>
    <row r="10742">
      <c r="A10742" s="926" t="n">
        <v>45790</v>
      </c>
      <c r="B10742" t="n">
        <v>7.796</v>
      </c>
      <c r="C10742" t="n">
        <v>1.08475</v>
      </c>
    </row>
    <row r="10743">
      <c r="A10743" s="926" t="n">
        <v>45791</v>
      </c>
      <c r="B10743" t="n">
        <v>7.805</v>
      </c>
      <c r="C10743" t="n">
        <v>1.08235</v>
      </c>
    </row>
    <row r="10744">
      <c r="A10744" s="926" t="n">
        <v>45792</v>
      </c>
      <c r="B10744" t="n">
        <v>7.81</v>
      </c>
      <c r="C10744" t="n">
        <v>1.0836</v>
      </c>
    </row>
    <row r="10745">
      <c r="A10745" s="926" t="n">
        <v>45793</v>
      </c>
      <c r="B10745" t="n">
        <v>7.814</v>
      </c>
      <c r="C10745" t="n">
        <v>1.08525</v>
      </c>
    </row>
    <row r="10746">
      <c r="A10746" s="926" t="n">
        <v>45794</v>
      </c>
      <c r="B10746" t="n">
        <v>7.8155</v>
      </c>
      <c r="C10746" t="n">
        <v>1.08395</v>
      </c>
    </row>
    <row r="10747">
      <c r="A10747" s="926" t="n">
        <v>45796</v>
      </c>
      <c r="B10747" t="n">
        <v>7.821</v>
      </c>
      <c r="C10747" t="n">
        <v>1.08405</v>
      </c>
    </row>
    <row r="10748">
      <c r="A10748" s="926" t="n">
        <v>45797</v>
      </c>
      <c r="B10748" t="n">
        <v>7.827</v>
      </c>
      <c r="C10748" t="n">
        <v>1.08375</v>
      </c>
    </row>
    <row r="10749">
      <c r="A10749" s="926" t="n">
        <v>45798</v>
      </c>
      <c r="B10749" t="n">
        <v>7.83</v>
      </c>
      <c r="C10749" t="n">
        <v>1.08685</v>
      </c>
    </row>
    <row r="10750">
      <c r="A10750" s="926" t="n">
        <v>45799</v>
      </c>
      <c r="B10750" t="n">
        <v>7.8295</v>
      </c>
      <c r="C10750" t="n">
        <v>1.0868</v>
      </c>
    </row>
    <row r="10751">
      <c r="A10751" s="926" t="n">
        <v>45800</v>
      </c>
      <c r="B10751" t="n">
        <v>7.8345</v>
      </c>
      <c r="C10751" t="n">
        <v>1.08885</v>
      </c>
    </row>
    <row r="10752">
      <c r="A10752" s="926" t="n">
        <v>45801</v>
      </c>
      <c r="B10752" t="n">
        <v>7.8335</v>
      </c>
      <c r="C10752" t="n">
        <v>1.09215</v>
      </c>
    </row>
    <row r="10753">
      <c r="A10753" s="926" t="n">
        <v>45803</v>
      </c>
      <c r="B10753" t="n">
        <v>7.839</v>
      </c>
      <c r="C10753" t="n">
        <v>1.0935</v>
      </c>
    </row>
    <row r="10754">
      <c r="A10754" s="926" t="n">
        <v>45804</v>
      </c>
      <c r="B10754" t="n">
        <v>7.84</v>
      </c>
      <c r="C10754" t="n">
        <v>1.09055</v>
      </c>
    </row>
    <row r="10755">
      <c r="A10755" s="926" t="n">
        <v>45805</v>
      </c>
      <c r="B10755" t="n">
        <v>7.839</v>
      </c>
      <c r="C10755" t="n">
        <v>1.0897</v>
      </c>
    </row>
    <row r="10756">
      <c r="A10756" s="926" t="n">
        <v>45806</v>
      </c>
      <c r="B10756" t="n">
        <v>7.84</v>
      </c>
      <c r="C10756" t="n">
        <v>1.09005</v>
      </c>
    </row>
    <row r="10757">
      <c r="A10757" s="926" t="n">
        <v>45807</v>
      </c>
      <c r="B10757" t="n">
        <v>7.844</v>
      </c>
      <c r="C10757" t="n">
        <v>1.09085</v>
      </c>
    </row>
    <row r="10758">
      <c r="A10758" s="926" t="n">
        <v>45810</v>
      </c>
      <c r="B10758" t="n">
        <v>7.844</v>
      </c>
      <c r="C10758" t="n">
        <v>1.08805</v>
      </c>
    </row>
    <row r="10759">
      <c r="A10759" s="926" t="n">
        <v>45811</v>
      </c>
      <c r="B10759" t="n">
        <v>7.8445</v>
      </c>
      <c r="C10759" t="n">
        <v>1.09025</v>
      </c>
    </row>
    <row r="10760">
      <c r="A10760" s="926" t="n">
        <v>45812</v>
      </c>
      <c r="B10760" t="n">
        <v>7.848</v>
      </c>
      <c r="C10760" t="n">
        <v>1.09115</v>
      </c>
    </row>
    <row r="10761">
      <c r="A10761" s="926" t="n">
        <v>45813</v>
      </c>
      <c r="B10761" t="n">
        <v>7.849</v>
      </c>
      <c r="C10761" t="n">
        <v>1.0931</v>
      </c>
    </row>
    <row r="10762">
      <c r="A10762" s="926" t="n">
        <v>45814</v>
      </c>
      <c r="B10762" t="n">
        <v>7.849</v>
      </c>
      <c r="C10762" t="n">
        <v>1.0923</v>
      </c>
    </row>
    <row r="10763">
      <c r="A10763" s="926" t="n">
        <v>45815</v>
      </c>
      <c r="B10763" t="n">
        <v>7.8475</v>
      </c>
      <c r="C10763" t="n">
        <v>1.0921</v>
      </c>
    </row>
    <row r="10764">
      <c r="A10764" s="926" t="n">
        <v>45817</v>
      </c>
      <c r="B10764" t="n">
        <v>7.849</v>
      </c>
      <c r="C10764" t="n">
        <v>1.0925</v>
      </c>
    </row>
    <row r="10765">
      <c r="A10765" s="926" t="n">
        <v>45818</v>
      </c>
      <c r="B10765" t="n">
        <v>7.8495</v>
      </c>
      <c r="C10765" t="n">
        <v>1.09195</v>
      </c>
    </row>
    <row r="10766">
      <c r="A10766" s="926" t="n">
        <v>45819</v>
      </c>
      <c r="B10766" t="n">
        <v>7.85</v>
      </c>
      <c r="C10766" t="n">
        <v>1.0922</v>
      </c>
    </row>
    <row r="10767">
      <c r="A10767" s="926" t="n">
        <v>45820</v>
      </c>
      <c r="B10767" t="n">
        <v>7.851</v>
      </c>
      <c r="C10767" t="n">
        <v>1.0929</v>
      </c>
    </row>
    <row r="10768">
      <c r="A10768" s="926" t="n">
        <v>45821</v>
      </c>
      <c r="B10768" t="n">
        <v>7.8515</v>
      </c>
      <c r="C10768" t="n">
        <v>1.093</v>
      </c>
    </row>
    <row r="10769">
      <c r="A10769" s="926" t="n">
        <v>45822</v>
      </c>
      <c r="B10769" t="n">
        <v>7.8505</v>
      </c>
      <c r="C10769" t="n">
        <v>1.092</v>
      </c>
    </row>
    <row r="10770">
      <c r="A10770" s="926" t="n">
        <v>45824</v>
      </c>
      <c r="B10770" t="n">
        <v>7.851</v>
      </c>
      <c r="C10770" t="n">
        <v>1.0932</v>
      </c>
    </row>
    <row r="10771">
      <c r="A10771" s="926" t="n">
        <v>45825</v>
      </c>
      <c r="B10771" t="n">
        <v>7.8515</v>
      </c>
      <c r="C10771" t="n">
        <v>1.09325</v>
      </c>
    </row>
    <row r="10772">
      <c r="A10772" s="926" t="n">
        <v>45826</v>
      </c>
      <c r="B10772" t="n">
        <v>7.8515</v>
      </c>
      <c r="C10772" t="n">
        <v>1.0923</v>
      </c>
    </row>
    <row r="10773">
      <c r="A10773" s="926" t="n">
        <v>45827</v>
      </c>
      <c r="B10773" t="n">
        <v>7.852</v>
      </c>
      <c r="C10773" t="n">
        <v>1.0915</v>
      </c>
    </row>
    <row r="10774">
      <c r="A10774" s="926" t="n">
        <v>45828</v>
      </c>
      <c r="B10774" t="n">
        <v>7.852</v>
      </c>
      <c r="C10774" t="n">
        <v>1.0926</v>
      </c>
    </row>
    <row r="10775">
      <c r="A10775" s="926" t="n">
        <v>45829</v>
      </c>
      <c r="B10775" t="n">
        <v>7.8515</v>
      </c>
      <c r="C10775" t="n">
        <v>1.09395</v>
      </c>
    </row>
    <row r="10776">
      <c r="A10776" s="926" t="n">
        <v>45831</v>
      </c>
      <c r="B10776" t="n">
        <v>7.851</v>
      </c>
      <c r="C10776" t="n">
        <v>1.0926</v>
      </c>
    </row>
    <row r="10777">
      <c r="A10777" s="926" t="n">
        <v>45832</v>
      </c>
      <c r="B10777" t="n">
        <v>7.851</v>
      </c>
      <c r="C10777" t="n">
        <v>1.09405</v>
      </c>
    </row>
    <row r="10778">
      <c r="A10778" s="926" t="n">
        <v>45833</v>
      </c>
      <c r="B10778" t="n">
        <v>7.851</v>
      </c>
      <c r="C10778" t="n">
        <v>1.0949</v>
      </c>
    </row>
    <row r="10779">
      <c r="A10779" s="926" t="n">
        <v>45834</v>
      </c>
      <c r="B10779" t="n">
        <v>7.852</v>
      </c>
      <c r="C10779" t="n">
        <v>1.0959</v>
      </c>
    </row>
    <row r="10780">
      <c r="A10780" s="926" t="n">
        <v>45835</v>
      </c>
      <c r="B10780" t="n">
        <v>7.852</v>
      </c>
      <c r="C10780" t="n">
        <v>1.0955</v>
      </c>
    </row>
    <row r="10781">
      <c r="A10781" s="926" t="n">
        <v>45836</v>
      </c>
      <c r="B10781" t="n">
        <v>7.8515</v>
      </c>
      <c r="C10781" t="n">
        <v>1.09465</v>
      </c>
    </row>
    <row r="10782">
      <c r="A10782" s="926" t="n">
        <v>45838</v>
      </c>
      <c r="B10782" t="n">
        <v>7.8515</v>
      </c>
      <c r="C10782" t="n">
        <v>1.09675</v>
      </c>
    </row>
    <row r="10783">
      <c r="A10783" s="926" t="n">
        <v>45840</v>
      </c>
      <c r="B10783" t="n">
        <v>7.8525</v>
      </c>
      <c r="C10783" t="n">
        <v>1.0959</v>
      </c>
    </row>
    <row r="10784">
      <c r="A10784" s="926" t="n">
        <v>45841</v>
      </c>
      <c r="B10784" t="n">
        <v>7.852</v>
      </c>
      <c r="C10784" t="n">
        <v>1.0965</v>
      </c>
    </row>
    <row r="10785">
      <c r="A10785" s="926" t="n">
        <v>45842</v>
      </c>
      <c r="B10785" t="n">
        <v>7.852</v>
      </c>
      <c r="C10785" t="n">
        <v>1.0963</v>
      </c>
    </row>
    <row r="10786">
      <c r="A10786" s="926" t="n">
        <v>45843</v>
      </c>
      <c r="B10786" t="n">
        <v>7.8515</v>
      </c>
      <c r="C10786" t="n">
        <v>1.09605</v>
      </c>
    </row>
    <row r="10787">
      <c r="A10787" s="926" t="n">
        <v>45845</v>
      </c>
      <c r="B10787" t="n">
        <v>7.851</v>
      </c>
      <c r="C10787" t="n">
        <v>1.09435</v>
      </c>
    </row>
    <row r="10788">
      <c r="A10788" s="926" t="n">
        <v>45846</v>
      </c>
      <c r="B10788" t="n">
        <v>7.851</v>
      </c>
      <c r="C10788" t="n">
        <v>1.0946</v>
      </c>
    </row>
    <row r="10789">
      <c r="A10789" s="926" t="n">
        <v>45847</v>
      </c>
      <c r="B10789" t="n">
        <v>7.851</v>
      </c>
      <c r="C10789" t="n">
        <v>1.09315</v>
      </c>
    </row>
    <row r="10790">
      <c r="A10790" s="926" t="n">
        <v>45848</v>
      </c>
      <c r="B10790" t="n">
        <v>7.852</v>
      </c>
      <c r="C10790" t="n">
        <v>1.0936</v>
      </c>
    </row>
    <row r="10791">
      <c r="A10791" s="926" t="n">
        <v>45849</v>
      </c>
      <c r="B10791" t="n">
        <v>7.852</v>
      </c>
      <c r="C10791" t="n">
        <v>1.0949</v>
      </c>
    </row>
    <row r="10792">
      <c r="A10792" s="926" t="n">
        <v>45850</v>
      </c>
      <c r="B10792" t="n">
        <v>7.8515</v>
      </c>
      <c r="C10792" t="n">
        <v>1.09475</v>
      </c>
    </row>
    <row r="10793">
      <c r="A10793" s="926" t="n">
        <v>45852</v>
      </c>
      <c r="B10793" t="n">
        <v>7.851</v>
      </c>
      <c r="C10793" t="n">
        <v>1.095</v>
      </c>
    </row>
    <row r="10794">
      <c r="A10794" s="926" t="n">
        <v>45853</v>
      </c>
      <c r="B10794" t="n">
        <v>7.851</v>
      </c>
      <c r="C10794" t="n">
        <v>1.094</v>
      </c>
    </row>
    <row r="10795">
      <c r="A10795" s="926" t="n">
        <v>45854</v>
      </c>
      <c r="B10795" t="n">
        <v>7.851</v>
      </c>
      <c r="C10795" t="n">
        <v>1.0934</v>
      </c>
    </row>
    <row r="10796">
      <c r="A10796" s="926" t="n">
        <v>45855</v>
      </c>
      <c r="B10796" t="n">
        <v>7.852</v>
      </c>
      <c r="C10796" t="n">
        <v>1.09255</v>
      </c>
    </row>
    <row r="10797">
      <c r="A10797" s="926" t="n">
        <v>45856</v>
      </c>
      <c r="B10797" t="n">
        <v>7.851</v>
      </c>
      <c r="C10797" t="n">
        <v>1.09305</v>
      </c>
    </row>
    <row r="10798">
      <c r="A10798" s="926" t="n">
        <v>45857</v>
      </c>
      <c r="B10798" t="n">
        <v>7.8485</v>
      </c>
      <c r="C10798" t="n">
        <v>1.09325</v>
      </c>
    </row>
    <row r="10799">
      <c r="A10799" s="926" t="n">
        <v>45859</v>
      </c>
      <c r="B10799" t="n">
        <v>7.8505</v>
      </c>
      <c r="C10799" t="n">
        <v>1.0936</v>
      </c>
    </row>
    <row r="10800">
      <c r="A10800" s="926" t="n">
        <v>45860</v>
      </c>
      <c r="B10800" t="n">
        <v>7.851</v>
      </c>
      <c r="C10800" t="n">
        <v>1.094</v>
      </c>
    </row>
    <row r="10801">
      <c r="A10801" s="926" t="n">
        <v>45861</v>
      </c>
      <c r="B10801" t="n">
        <v>7.851</v>
      </c>
      <c r="C10801" t="n">
        <v>1.0959</v>
      </c>
    </row>
    <row r="10802">
      <c r="A10802" s="926" t="n">
        <v>45862</v>
      </c>
      <c r="B10802" t="n">
        <v>7.852</v>
      </c>
      <c r="C10802" t="n">
        <v>1.0982</v>
      </c>
    </row>
    <row r="10803">
      <c r="A10803" s="926" t="n">
        <v>45863</v>
      </c>
      <c r="B10803" t="n">
        <v>7.851</v>
      </c>
      <c r="C10803" t="n">
        <v>1.09535</v>
      </c>
    </row>
    <row r="10804">
      <c r="A10804" s="926" t="n">
        <v>45864</v>
      </c>
      <c r="B10804" t="n">
        <v>7.8515</v>
      </c>
      <c r="C10804" t="n">
        <v>1.09545</v>
      </c>
    </row>
    <row r="10805">
      <c r="A10805" s="926" t="n">
        <v>45866</v>
      </c>
      <c r="B10805" t="n">
        <v>7.8505</v>
      </c>
      <c r="C10805" t="n">
        <v>1.0948</v>
      </c>
    </row>
    <row r="10806">
      <c r="A10806" s="926" t="n">
        <v>45867</v>
      </c>
      <c r="B10806" t="n">
        <v>7.851</v>
      </c>
      <c r="C10806" t="n">
        <v>1.09345</v>
      </c>
    </row>
    <row r="10807">
      <c r="A10807" s="926" t="n">
        <v>45868</v>
      </c>
      <c r="B10807" t="n">
        <v>7.851</v>
      </c>
      <c r="C10807" t="n">
        <v>1.09365</v>
      </c>
    </row>
    <row r="10808">
      <c r="A10808" s="926" t="n">
        <v>45869</v>
      </c>
      <c r="B10808" t="n">
        <v>7.852</v>
      </c>
      <c r="C10808" t="n">
        <v>1.09085</v>
      </c>
    </row>
    <row r="10809">
      <c r="A10809" s="926" t="n">
        <v>45870</v>
      </c>
      <c r="B10809" t="n">
        <v>7.852</v>
      </c>
      <c r="C10809" t="n">
        <v>1.08775</v>
      </c>
    </row>
    <row r="10810">
      <c r="A10810" s="926" t="n">
        <v>45871</v>
      </c>
      <c r="B10810" t="n">
        <v>7.8505</v>
      </c>
      <c r="C10810" t="n">
        <v>1.0922</v>
      </c>
    </row>
    <row r="10811">
      <c r="A10811" s="926" t="n">
        <v>45873</v>
      </c>
      <c r="B10811" t="n">
        <v>7.851</v>
      </c>
      <c r="C10811" t="n">
        <v>1.0936</v>
      </c>
    </row>
    <row r="10812">
      <c r="A10812" s="926" t="n">
        <v>45875</v>
      </c>
      <c r="B10812" t="n">
        <v>7.851</v>
      </c>
      <c r="C10812" t="n">
        <v>1.0914</v>
      </c>
    </row>
    <row r="10813">
      <c r="A10813" s="926" t="n">
        <v>45876</v>
      </c>
      <c r="B10813" t="n">
        <v>7.852</v>
      </c>
      <c r="C10813" t="n">
        <v>1.0934</v>
      </c>
    </row>
    <row r="10814">
      <c r="A10814" s="926" t="n">
        <v>45877</v>
      </c>
      <c r="B10814" t="n">
        <v>7.852</v>
      </c>
      <c r="C10814" t="n">
        <v>1.0928</v>
      </c>
    </row>
    <row r="10815">
      <c r="A10815" s="926" t="n">
        <v>45878</v>
      </c>
      <c r="B10815" t="n">
        <v>7.8515</v>
      </c>
      <c r="C10815" t="n">
        <v>1.09215</v>
      </c>
    </row>
    <row r="10816">
      <c r="A10816" s="926" t="n">
        <v>45880</v>
      </c>
      <c r="B10816" t="n">
        <v>7.851</v>
      </c>
      <c r="C10816" t="n">
        <v>1.0924</v>
      </c>
    </row>
    <row r="10817">
      <c r="A10817" s="926" t="n">
        <v>45881</v>
      </c>
      <c r="B10817" t="n">
        <v>7.851</v>
      </c>
      <c r="C10817" t="n">
        <v>1.0911</v>
      </c>
    </row>
    <row r="10818">
      <c r="A10818" s="926" t="n">
        <v>45882</v>
      </c>
      <c r="B10818" t="n">
        <v>7.851</v>
      </c>
      <c r="C10818" t="n">
        <v>1.0937</v>
      </c>
    </row>
    <row r="10819">
      <c r="A10819" s="926" t="n">
        <v>45883</v>
      </c>
      <c r="B10819" t="n">
        <v>7.85</v>
      </c>
      <c r="C10819" t="n">
        <v>1.09405</v>
      </c>
    </row>
    <row r="10820">
      <c r="A10820" s="926" t="n">
        <v>45884</v>
      </c>
      <c r="B10820" t="n">
        <v>7.823</v>
      </c>
      <c r="C10820" t="n">
        <v>1.08815</v>
      </c>
    </row>
    <row r="10821">
      <c r="A10821" s="926" t="n">
        <v>45885</v>
      </c>
      <c r="B10821" t="n">
        <v>7.8265</v>
      </c>
      <c r="C10821" t="n">
        <v>1.0887</v>
      </c>
    </row>
    <row r="10822">
      <c r="A10822" s="926" t="n">
        <v>45887</v>
      </c>
      <c r="B10822" t="n">
        <v>7.8195</v>
      </c>
      <c r="C10822" t="n">
        <v>1.08845</v>
      </c>
    </row>
    <row r="10823">
      <c r="A10823" s="926" t="n">
        <v>45888</v>
      </c>
      <c r="B10823" t="n">
        <v>7.797</v>
      </c>
      <c r="C10823" t="n">
        <v>1.08515</v>
      </c>
    </row>
    <row r="10824">
      <c r="A10824" s="926" t="n">
        <v>45889</v>
      </c>
      <c r="B10824" t="n">
        <v>7.809</v>
      </c>
      <c r="C10824" t="n">
        <v>1.087</v>
      </c>
    </row>
    <row r="10825">
      <c r="A10825" s="926" t="n">
        <v>45890</v>
      </c>
      <c r="B10825" t="n">
        <v>7.814</v>
      </c>
      <c r="C10825" t="n">
        <v>1.08785</v>
      </c>
    </row>
    <row r="10826">
      <c r="A10826" s="926" t="n">
        <v>45891</v>
      </c>
      <c r="B10826" t="n">
        <v>7.817</v>
      </c>
      <c r="C10826" t="n">
        <v>1.08785</v>
      </c>
    </row>
    <row r="10827">
      <c r="A10827" s="926" t="n">
        <v>45892</v>
      </c>
      <c r="B10827" t="n">
        <v>7.8155</v>
      </c>
      <c r="C10827" t="n">
        <v>1.09005</v>
      </c>
    </row>
    <row r="10828">
      <c r="A10828" s="926" t="n">
        <v>45894</v>
      </c>
      <c r="B10828" t="n">
        <v>7.81</v>
      </c>
      <c r="C10828" t="n">
        <v>1.09185</v>
      </c>
    </row>
    <row r="10829">
      <c r="A10829" s="926" t="n">
        <v>45895</v>
      </c>
      <c r="B10829" t="n">
        <v>7.809</v>
      </c>
      <c r="C10829" t="n">
        <v>1.09065</v>
      </c>
    </row>
    <row r="10830">
      <c r="A10830" s="926" t="n">
        <v>45896</v>
      </c>
      <c r="B10830" t="n">
        <v>7.78</v>
      </c>
      <c r="C10830" t="n">
        <v>1.08655</v>
      </c>
    </row>
    <row r="10831">
      <c r="A10831" s="926" t="n">
        <v>45897</v>
      </c>
      <c r="B10831" t="n">
        <v>7.797</v>
      </c>
      <c r="C10831" t="n">
        <v>1.0921</v>
      </c>
    </row>
    <row r="10832">
      <c r="A10832" s="926" t="n">
        <v>45898</v>
      </c>
      <c r="B10832" t="n">
        <v>7.7925</v>
      </c>
      <c r="C10832" t="n">
        <v>1.09295</v>
      </c>
    </row>
    <row r="10833">
      <c r="A10833" s="926" t="n">
        <v>45899</v>
      </c>
      <c r="B10833" t="n">
        <v>7.7965</v>
      </c>
      <c r="C10833" t="n">
        <v>1.0947</v>
      </c>
    </row>
    <row r="10834">
      <c r="A10834" s="926" t="n">
        <v>45901</v>
      </c>
      <c r="B10834" t="n">
        <v>7.7945</v>
      </c>
      <c r="C10834" t="n">
        <v>1.0935</v>
      </c>
    </row>
    <row r="10835">
      <c r="A10835" s="926" t="n">
        <v>45902</v>
      </c>
      <c r="B10835" t="n">
        <v>7.806</v>
      </c>
      <c r="C10835" t="n">
        <v>1.0932</v>
      </c>
    </row>
    <row r="10836">
      <c r="A10836" s="926" t="n">
        <v>45903</v>
      </c>
      <c r="B10836" t="n">
        <v>7.807</v>
      </c>
      <c r="C10836" t="n">
        <v>1.0925</v>
      </c>
    </row>
    <row r="10837">
      <c r="A10837" s="926" t="n">
        <v>45904</v>
      </c>
      <c r="B10837" t="n">
        <v>7.799</v>
      </c>
      <c r="C10837" t="n">
        <v>1.09215</v>
      </c>
    </row>
    <row r="10838">
      <c r="A10838" s="926" t="n">
        <v>45905</v>
      </c>
      <c r="B10838" t="n">
        <v>7.802</v>
      </c>
      <c r="C10838" t="n">
        <v>1.09345</v>
      </c>
    </row>
    <row r="10839">
      <c r="A10839" s="926" t="n">
        <v>45906</v>
      </c>
      <c r="B10839" t="n">
        <v>7.798</v>
      </c>
      <c r="C10839" t="n">
        <v>1.0943</v>
      </c>
    </row>
    <row r="10840">
      <c r="A10840" s="926" t="n">
        <v>45908</v>
      </c>
      <c r="B10840" t="n">
        <v>7.794</v>
      </c>
      <c r="C10840" t="n">
        <v>1.0934</v>
      </c>
    </row>
    <row r="10841">
      <c r="A10841" s="926" t="n">
        <v>45909</v>
      </c>
      <c r="B10841" t="n">
        <v>7.791</v>
      </c>
      <c r="C10841" t="n">
        <v>1.0939</v>
      </c>
    </row>
    <row r="10842">
      <c r="A10842" s="926" t="n">
        <v>45910</v>
      </c>
      <c r="B10842" t="n">
        <v>7.789</v>
      </c>
      <c r="C10842" t="n">
        <v>1.0941</v>
      </c>
    </row>
    <row r="10843">
      <c r="A10843" s="926" t="n">
        <v>45911</v>
      </c>
      <c r="B10843" t="n">
        <v>7.7885</v>
      </c>
      <c r="C10843" t="n">
        <v>1.09375</v>
      </c>
    </row>
    <row r="10844">
      <c r="A10844" s="926" t="n">
        <v>45912</v>
      </c>
      <c r="B10844" t="n">
        <v>7.784</v>
      </c>
      <c r="C10844" t="n">
        <v>1.09345</v>
      </c>
    </row>
    <row r="10845">
      <c r="A10845" s="926" t="n">
        <v>45913</v>
      </c>
      <c r="B10845" t="n">
        <v>7.7815</v>
      </c>
      <c r="C10845" t="n">
        <v>1.09225</v>
      </c>
    </row>
    <row r="10846">
      <c r="A10846" s="926" t="n">
        <v>45915</v>
      </c>
      <c r="B10846" t="n">
        <v>7.7765</v>
      </c>
      <c r="C10846" t="n">
        <v>1.0915</v>
      </c>
    </row>
    <row r="10847">
      <c r="A10847" s="926" t="n">
        <v>45916</v>
      </c>
      <c r="B10847" t="n">
        <v>7.782</v>
      </c>
      <c r="C10847" t="n">
        <v>1.0942</v>
      </c>
    </row>
    <row r="10848">
      <c r="A10848" s="926" t="n">
        <v>45917</v>
      </c>
      <c r="B10848" t="n">
        <v>7.78</v>
      </c>
      <c r="C10848" t="n">
        <v>1.0949</v>
      </c>
    </row>
    <row r="10849">
      <c r="A10849" s="926" t="n">
        <v>45918</v>
      </c>
      <c r="B10849" t="n">
        <v>7.778</v>
      </c>
      <c r="C10849" t="n">
        <v>1.09465</v>
      </c>
    </row>
    <row r="10850">
      <c r="A10850" s="926" t="n">
        <v>45919</v>
      </c>
      <c r="B10850" t="n">
        <v>7.779</v>
      </c>
      <c r="C10850" t="n">
        <v>1.09355</v>
      </c>
    </row>
    <row r="10851">
      <c r="A10851" s="926" t="n">
        <v>45920</v>
      </c>
      <c r="B10851" t="n">
        <v>7.7755</v>
      </c>
      <c r="C10851" t="n">
        <v>1.0922</v>
      </c>
    </row>
    <row r="10852">
      <c r="A10852" s="926" t="n">
        <v>45922</v>
      </c>
      <c r="B10852" t="n">
        <v>7.769</v>
      </c>
      <c r="C10852" t="n">
        <v>1.0917</v>
      </c>
    </row>
    <row r="10853">
      <c r="A10853" s="926" t="n">
        <v>45923</v>
      </c>
      <c r="B10853" t="n">
        <v>7.775</v>
      </c>
      <c r="C10853" t="n">
        <v>1.0926</v>
      </c>
    </row>
    <row r="10854">
      <c r="A10854" s="926" t="n">
        <v>45925</v>
      </c>
      <c r="B10854" t="n">
        <v>7.777</v>
      </c>
      <c r="C10854" t="n">
        <v>1.0906</v>
      </c>
    </row>
    <row r="10855">
      <c r="A10855" s="926" t="n">
        <v>45926</v>
      </c>
      <c r="B10855" t="n">
        <v>7.78</v>
      </c>
      <c r="C10855" t="n">
        <v>1.089</v>
      </c>
    </row>
    <row r="10856">
      <c r="A10856" s="926" t="n">
        <v>45927</v>
      </c>
      <c r="B10856" t="n">
        <v>7.7805</v>
      </c>
      <c r="C10856" t="n">
        <v>1.08955</v>
      </c>
    </row>
    <row r="10857">
      <c r="A10857" s="926" t="n">
        <v>45929</v>
      </c>
      <c r="B10857" t="n">
        <v>7.7815</v>
      </c>
      <c r="C10857" t="n">
        <v>1.09225</v>
      </c>
    </row>
    <row r="10858">
      <c r="A10858" s="926" t="n">
        <v>45930</v>
      </c>
      <c r="B10858" t="n">
        <v>7.782</v>
      </c>
      <c r="C10858" t="n">
        <v>1.09135</v>
      </c>
    </row>
    <row r="10859">
      <c r="A10859" s="926" t="n">
        <v>45932</v>
      </c>
      <c r="B10859" t="n">
        <v>7.781</v>
      </c>
      <c r="C10859" t="n">
        <v>1.0906</v>
      </c>
    </row>
    <row r="10860">
      <c r="A10860" s="926" t="n">
        <v>45933</v>
      </c>
      <c r="B10860" t="n">
        <v>7.782</v>
      </c>
      <c r="C10860" t="n">
        <v>1.09045</v>
      </c>
    </row>
    <row r="10861">
      <c r="A10861" s="926" t="n">
        <v>45934</v>
      </c>
      <c r="B10861" t="n">
        <v>7.7825</v>
      </c>
      <c r="C10861" t="n">
        <v>1.0906</v>
      </c>
    </row>
    <row r="10862">
      <c r="A10862" s="926" t="n">
        <v>45936</v>
      </c>
      <c r="B10862" t="n">
        <v>7.783</v>
      </c>
      <c r="C10862" t="n">
        <v>1.08885</v>
      </c>
    </row>
    <row r="10863">
      <c r="A10863" s="926" t="n">
        <v>45938</v>
      </c>
      <c r="B10863" t="n">
        <v>7.785</v>
      </c>
      <c r="C10863" t="n">
        <v>1.08885</v>
      </c>
    </row>
    <row r="10864">
      <c r="A10864" s="926" t="n">
        <v>45939</v>
      </c>
      <c r="B10864" t="n">
        <v>7.782</v>
      </c>
      <c r="C10864" t="n">
        <v>1.0906</v>
      </c>
    </row>
    <row r="10865">
      <c r="A10865" s="926" t="n">
        <v>45940</v>
      </c>
      <c r="B10865" t="n">
        <v>7.7825</v>
      </c>
      <c r="C10865" t="n">
        <v>1.0915</v>
      </c>
    </row>
    <row r="10866">
      <c r="A10866" s="926" t="n">
        <v>45941</v>
      </c>
      <c r="B10866" t="n">
        <v>7.7845</v>
      </c>
      <c r="C10866" t="n">
        <v>1.08945</v>
      </c>
    </row>
    <row r="10867">
      <c r="A10867" s="926" t="n">
        <v>45943</v>
      </c>
      <c r="B10867" t="n">
        <v>7.778</v>
      </c>
      <c r="C10867" t="n">
        <v>1.08975</v>
      </c>
    </row>
    <row r="10868">
      <c r="A10868" s="926" t="n">
        <v>45944</v>
      </c>
      <c r="B10868" t="n">
        <v>7.778</v>
      </c>
      <c r="C10868" t="n">
        <v>1.0886</v>
      </c>
    </row>
    <row r="10869">
      <c r="A10869" s="926" t="n">
        <v>45945</v>
      </c>
      <c r="B10869" t="n">
        <v>7.779</v>
      </c>
      <c r="C10869" t="n">
        <v>1.0916</v>
      </c>
    </row>
    <row r="10870">
      <c r="A10870" s="926" t="n">
        <v>45946</v>
      </c>
      <c r="B10870" t="n">
        <v>7.773</v>
      </c>
      <c r="C10870" t="n">
        <v>1.09035</v>
      </c>
    </row>
    <row r="10871">
      <c r="A10871" s="926" t="n">
        <v>45947</v>
      </c>
      <c r="B10871" t="n">
        <v>7.77</v>
      </c>
      <c r="C10871" t="n">
        <v>1.08965</v>
      </c>
    </row>
    <row r="10872">
      <c r="A10872" s="926" t="n">
        <v>45948</v>
      </c>
      <c r="B10872" t="n">
        <v>7.7695</v>
      </c>
      <c r="C10872" t="n">
        <v>1.09025</v>
      </c>
    </row>
    <row r="10873">
      <c r="A10873" s="926" t="n">
        <v>45950</v>
      </c>
      <c r="B10873" t="n">
        <v>7.769</v>
      </c>
      <c r="C10873" t="n">
        <v>1.0904</v>
      </c>
    </row>
    <row r="10874">
      <c r="A10874" s="926" t="n">
        <v>45951</v>
      </c>
      <c r="B10874" t="n">
        <v>7.768</v>
      </c>
      <c r="C10874" t="n">
        <v>1.091</v>
      </c>
    </row>
    <row r="10875">
      <c r="A10875" s="926" t="n">
        <v>45952</v>
      </c>
      <c r="B10875" t="n">
        <v>7.772</v>
      </c>
      <c r="C10875" t="n">
        <v>1.0905</v>
      </c>
    </row>
    <row r="10876">
      <c r="A10876" s="926" t="n">
        <v>45953</v>
      </c>
      <c r="B10876" t="n">
        <v>7.773</v>
      </c>
      <c r="C10876" t="n">
        <v>1.09085</v>
      </c>
    </row>
    <row r="10877">
      <c r="A10877" s="926" t="n">
        <v>45954</v>
      </c>
      <c r="B10877" t="n">
        <v>7.772</v>
      </c>
      <c r="C10877" t="n">
        <v>1.0905</v>
      </c>
    </row>
    <row r="10878">
      <c r="A10878" s="926" t="n">
        <v>45955</v>
      </c>
      <c r="B10878" t="n">
        <v>7.7705</v>
      </c>
      <c r="C10878" t="n">
        <v>1.0906</v>
      </c>
    </row>
    <row r="10879">
      <c r="A10879" s="926" t="n">
        <v>45957</v>
      </c>
      <c r="B10879" t="n">
        <v>7.77</v>
      </c>
      <c r="C10879" t="n">
        <v>1.0923</v>
      </c>
    </row>
    <row r="10880">
      <c r="A10880" s="926" t="n">
        <v>45958</v>
      </c>
      <c r="B10880" t="n">
        <v>7.769</v>
      </c>
      <c r="C10880" t="n">
        <v>1.0941</v>
      </c>
    </row>
    <row r="10881">
      <c r="A10881" s="926" t="n">
        <v>45960</v>
      </c>
      <c r="B10881" t="n">
        <v>7.771</v>
      </c>
      <c r="C10881" t="n">
        <v>1.0938</v>
      </c>
    </row>
    <row r="10882">
      <c r="A10882" s="926" t="n">
        <v>45961</v>
      </c>
      <c r="B10882" t="n">
        <v>7.771</v>
      </c>
      <c r="C10882" t="n">
        <v>1.09195</v>
      </c>
    </row>
    <row r="10883">
      <c r="A10883" s="926" t="n">
        <v>45962</v>
      </c>
      <c r="B10883" t="n">
        <v>7.7715</v>
      </c>
      <c r="C10883" t="n">
        <v>1.09155</v>
      </c>
    </row>
    <row r="10884">
      <c r="A10884" s="926" t="n">
        <v>45964</v>
      </c>
      <c r="B10884" t="n">
        <v>7.774</v>
      </c>
      <c r="C10884" t="n">
        <v>1.0922</v>
      </c>
    </row>
    <row r="10885">
      <c r="A10885" s="926" t="n">
        <v>45965</v>
      </c>
      <c r="B10885" t="n">
        <v>7.774</v>
      </c>
      <c r="C10885" t="n">
        <v>1.09075</v>
      </c>
    </row>
    <row r="10886">
      <c r="A10886" s="926" t="n">
        <v>45966</v>
      </c>
      <c r="B10886" t="n">
        <v>7.775</v>
      </c>
      <c r="C10886" t="n">
        <v>1.0901</v>
      </c>
    </row>
    <row r="10887">
      <c r="A10887" s="926" t="n">
        <v>45967</v>
      </c>
      <c r="B10887" t="n">
        <v>7.775</v>
      </c>
      <c r="C10887" t="n">
        <v>1.09085</v>
      </c>
    </row>
    <row r="10888">
      <c r="A10888" s="926" t="n">
        <v>45968</v>
      </c>
      <c r="B10888" t="n">
        <v>7.776</v>
      </c>
      <c r="C10888" t="n">
        <v>1.09095</v>
      </c>
    </row>
    <row r="10889">
      <c r="A10889" s="926" t="n">
        <v>45969</v>
      </c>
      <c r="B10889" t="n">
        <v>7.7785</v>
      </c>
      <c r="C10889" t="n">
        <v>1.09155</v>
      </c>
    </row>
    <row r="10890">
      <c r="A10890" s="926" t="n">
        <v>45971</v>
      </c>
      <c r="B10890" t="n">
        <v>7.776</v>
      </c>
      <c r="C10890" t="n">
        <v>1.0919</v>
      </c>
    </row>
    <row r="10891">
      <c r="A10891" s="926" t="n">
        <v>45972</v>
      </c>
      <c r="B10891" t="n">
        <v>7.774</v>
      </c>
      <c r="C10891" t="n">
        <v>1.0911</v>
      </c>
    </row>
    <row r="10892">
      <c r="A10892" s="926" t="n">
        <v>45973</v>
      </c>
      <c r="B10892" t="n">
        <v>7.7715</v>
      </c>
      <c r="C10892" t="n">
        <v>1.0914</v>
      </c>
    </row>
    <row r="10893">
      <c r="A10893" s="926" t="n">
        <v>45974</v>
      </c>
      <c r="B10893" t="n">
        <v>7.771</v>
      </c>
      <c r="C10893" t="n">
        <v>1.09365</v>
      </c>
    </row>
    <row r="10894">
      <c r="A10894" s="926" t="n">
        <v>45975</v>
      </c>
      <c r="B10894" t="n">
        <v>7.771</v>
      </c>
      <c r="C10894" t="n">
        <v>1.09425</v>
      </c>
    </row>
    <row r="10895">
      <c r="A10895" s="926" t="n">
        <v>45976</v>
      </c>
      <c r="B10895" t="n">
        <v>7.774</v>
      </c>
      <c r="C10895" t="n">
        <v>1.095</v>
      </c>
    </row>
    <row r="10896">
      <c r="A10896" s="926" t="n">
        <v>45978</v>
      </c>
      <c r="B10896" t="n">
        <v>7.774</v>
      </c>
      <c r="C10896" t="n">
        <v>1.094</v>
      </c>
    </row>
    <row r="10897">
      <c r="A10897" s="926" t="n">
        <v>45979</v>
      </c>
      <c r="B10897" t="n">
        <v>7.783</v>
      </c>
      <c r="C10897" t="n">
        <v>1.0939</v>
      </c>
    </row>
    <row r="10898">
      <c r="A10898" s="926" t="n">
        <v>45980</v>
      </c>
      <c r="B10898" t="n">
        <v>7.79</v>
      </c>
      <c r="C10898" t="n">
        <v>1.0954</v>
      </c>
    </row>
    <row r="10899">
      <c r="A10899" s="926" t="n">
        <v>45981</v>
      </c>
      <c r="B10899" t="n">
        <v>7.783</v>
      </c>
      <c r="C10899" t="n">
        <v>1.0936</v>
      </c>
    </row>
    <row r="10900">
      <c r="A10900" s="926" t="n">
        <v>45982</v>
      </c>
      <c r="B10900" t="n">
        <v>7.786</v>
      </c>
      <c r="C10900" t="n">
        <v>1.09415</v>
      </c>
    </row>
    <row r="10901">
      <c r="A10901" s="926" t="n">
        <v>45983</v>
      </c>
      <c r="B10901" t="n">
        <v>7.7835</v>
      </c>
      <c r="C10901" t="n">
        <v>1.0958</v>
      </c>
    </row>
    <row r="10902">
      <c r="A10902" s="926" t="n">
        <v>45985</v>
      </c>
      <c r="B10902" t="n">
        <v>7.785</v>
      </c>
      <c r="C10902" t="n">
        <v>1.0952</v>
      </c>
    </row>
    <row r="10903">
      <c r="A10903" s="926" t="n">
        <v>45986</v>
      </c>
      <c r="B10903" t="n">
        <v>7.775</v>
      </c>
      <c r="C10903" t="n">
        <v>1.0957</v>
      </c>
    </row>
    <row r="10904">
      <c r="A10904" s="926" t="n">
        <v>45987</v>
      </c>
      <c r="B10904" t="n">
        <v>7.778</v>
      </c>
      <c r="C10904" t="n">
        <v>1.09855</v>
      </c>
    </row>
    <row r="10905">
      <c r="A10905" s="926" t="n">
        <v>45988</v>
      </c>
      <c r="B10905" t="n">
        <v>7.779</v>
      </c>
      <c r="C10905" t="n">
        <v>1.09885</v>
      </c>
    </row>
    <row r="10906">
      <c r="A10906" s="926" t="n">
        <v>45989</v>
      </c>
      <c r="B10906" t="n">
        <v>7.785</v>
      </c>
      <c r="C10906" t="n">
        <v>1.10025</v>
      </c>
    </row>
    <row r="10907">
      <c r="A10907" s="926" t="n">
        <v>45990</v>
      </c>
      <c r="B10907" t="n">
        <v>7.787</v>
      </c>
      <c r="C10907" t="n">
        <v>1.10105</v>
      </c>
    </row>
    <row r="10908">
      <c r="A10908" s="926" t="n">
        <v>45992</v>
      </c>
      <c r="B10908" t="n">
        <v>7.79</v>
      </c>
      <c r="C10908" t="n">
        <v>1.1018</v>
      </c>
    </row>
    <row r="10909">
      <c r="A10909" s="926" t="n">
        <v>45993</v>
      </c>
      <c r="B10909" t="n">
        <v>7.79</v>
      </c>
      <c r="C10909" t="n">
        <v>1.1019</v>
      </c>
    </row>
    <row r="10910">
      <c r="A10910" s="926" t="n">
        <v>45994</v>
      </c>
      <c r="B10910" t="n">
        <v>7.7835</v>
      </c>
      <c r="C10910" t="n">
        <v>1.10265</v>
      </c>
    </row>
    <row r="10911">
      <c r="A10911" s="926" t="n">
        <v>45995</v>
      </c>
      <c r="B10911" t="n">
        <v>7.785</v>
      </c>
      <c r="C10911" t="n">
        <v>1.10205</v>
      </c>
    </row>
    <row r="10912">
      <c r="A10912" s="926" t="n">
        <v>45996</v>
      </c>
      <c r="B10912" t="n">
        <v>7.786</v>
      </c>
      <c r="C10912" t="n">
        <v>1.10175</v>
      </c>
    </row>
    <row r="10913">
      <c r="A10913" s="926" t="n">
        <v>45997</v>
      </c>
      <c r="B10913" t="n">
        <v>7.784</v>
      </c>
      <c r="C10913" t="n">
        <v>1.10105</v>
      </c>
    </row>
    <row r="10914">
      <c r="A10914" s="926" t="n">
        <v>45999</v>
      </c>
      <c r="B10914" t="n">
        <v>7.782</v>
      </c>
      <c r="C10914" t="n">
        <v>1.10125</v>
      </c>
    </row>
    <row r="10915">
      <c r="A10915" s="926" t="n">
        <v>46000</v>
      </c>
      <c r="B10915" t="n">
        <v>7.781</v>
      </c>
      <c r="C10915" t="n">
        <v>1.1007</v>
      </c>
    </row>
    <row r="10916">
      <c r="A10916" s="926" t="n">
        <v>46001</v>
      </c>
      <c r="B10916" t="n">
        <v>7.783</v>
      </c>
      <c r="C10916" t="n">
        <v>1.1025</v>
      </c>
    </row>
    <row r="10917">
      <c r="A10917" s="926" t="n">
        <v>46002</v>
      </c>
      <c r="B10917" t="n">
        <v>7.781</v>
      </c>
      <c r="C10917" t="n">
        <v>1.1019</v>
      </c>
    </row>
    <row r="10918">
      <c r="A10918" s="926" t="n">
        <v>46003</v>
      </c>
      <c r="B10918" t="n">
        <v>7.785</v>
      </c>
      <c r="C10918" t="n">
        <v>1.1041</v>
      </c>
    </row>
    <row r="10919">
      <c r="A10919" s="926" t="n">
        <v>46004</v>
      </c>
      <c r="B10919" t="n">
        <v>7.7855</v>
      </c>
      <c r="C10919" t="n">
        <v>1.104</v>
      </c>
    </row>
    <row r="10920">
      <c r="A10920" s="926" t="n">
        <v>46006</v>
      </c>
      <c r="B10920" t="n">
        <v>7.783</v>
      </c>
      <c r="C10920" t="n">
        <v>1.1046</v>
      </c>
    </row>
    <row r="10921">
      <c r="A10921" s="926" t="n">
        <v>46007</v>
      </c>
      <c r="B10921" t="n">
        <v>7.78</v>
      </c>
      <c r="C10921" t="n">
        <v>1.10535</v>
      </c>
    </row>
    <row r="10922">
      <c r="A10922" s="926" t="n">
        <v>46008</v>
      </c>
      <c r="B10922" t="n">
        <v>7.78</v>
      </c>
      <c r="C10922" t="n">
        <v>1.1048</v>
      </c>
    </row>
    <row r="10923">
      <c r="A10923" s="926" t="n">
        <v>46009</v>
      </c>
      <c r="B10923" t="n">
        <v>7.781</v>
      </c>
      <c r="C10923" t="n">
        <v>1.10595</v>
      </c>
    </row>
    <row r="10924">
      <c r="A10924" s="926" t="n">
        <v>46010</v>
      </c>
      <c r="B10924" t="n">
        <v>7.782</v>
      </c>
      <c r="C10924" t="n">
        <v>1.10595</v>
      </c>
    </row>
    <row r="10925">
      <c r="A10925" s="926" t="n">
        <v>46011</v>
      </c>
      <c r="B10925" t="n">
        <v>7.782</v>
      </c>
      <c r="C10925" t="n">
        <v>1.1067</v>
      </c>
    </row>
    <row r="10926">
      <c r="A10926" s="926" t="n">
        <v>46013</v>
      </c>
      <c r="B10926" t="n">
        <v>7.781</v>
      </c>
      <c r="C10926" t="n">
        <v>1.1061</v>
      </c>
    </row>
    <row r="10927">
      <c r="A10927" s="926" t="n">
        <v>46014</v>
      </c>
      <c r="B10927" t="n">
        <v>7.778</v>
      </c>
      <c r="C10927" t="n">
        <v>1.10795</v>
      </c>
    </row>
    <row r="10928">
      <c r="A10928" s="926" t="n">
        <v>46015</v>
      </c>
      <c r="B10928" t="n">
        <v>7.776</v>
      </c>
      <c r="C10928" t="n">
        <v>1.10975</v>
      </c>
    </row>
    <row r="10929">
      <c r="A10929" s="926" t="n">
        <v>46018</v>
      </c>
      <c r="B10929" t="n">
        <v>7.7725</v>
      </c>
      <c r="C10929" t="n">
        <v>1.10975</v>
      </c>
    </row>
    <row r="10930">
      <c r="A10930" s="926" t="n">
        <v>46020</v>
      </c>
      <c r="B10930" t="n">
        <v>7.7775</v>
      </c>
      <c r="C10930" t="n">
        <v>1.1104</v>
      </c>
    </row>
    <row r="10931">
      <c r="A10931" s="926" t="n">
        <v>46021</v>
      </c>
      <c r="B10931" t="n">
        <v>7.779</v>
      </c>
      <c r="C10931" t="n">
        <v>1.11335</v>
      </c>
    </row>
    <row r="10932">
      <c r="A10932" s="926" t="n">
        <v>46022</v>
      </c>
      <c r="B10932" t="n">
        <v>7.784</v>
      </c>
      <c r="C10932" t="n">
        <v>1.1144</v>
      </c>
    </row>
    <row r="10933">
      <c r="A10933" s="926" t="n">
        <v>46024</v>
      </c>
      <c r="B10933" t="n">
        <v>7.792</v>
      </c>
      <c r="C10933" t="n">
        <v>1.11785</v>
      </c>
    </row>
    <row r="10934">
      <c r="A10934" s="926" t="n">
        <v>46025</v>
      </c>
      <c r="B10934" t="n">
        <v>7.7915</v>
      </c>
      <c r="C10934" t="n">
        <v>1.1182</v>
      </c>
    </row>
    <row r="10935">
      <c r="A10935" s="926" t="n">
        <v>46027</v>
      </c>
      <c r="B10935" t="n">
        <v>7.789</v>
      </c>
      <c r="C10935" t="n">
        <v>1.1168</v>
      </c>
    </row>
    <row r="10936">
      <c r="A10936" s="926" t="n">
        <v>46028</v>
      </c>
      <c r="B10936" t="n">
        <v>7.789</v>
      </c>
      <c r="C10936" t="n">
        <v>1.11625</v>
      </c>
    </row>
    <row r="10937">
      <c r="A10937" s="926" t="n">
        <v>46029</v>
      </c>
      <c r="B10937" t="n">
        <v>7.79</v>
      </c>
      <c r="C10937" t="n">
        <v>1.1153</v>
      </c>
    </row>
    <row r="10938">
      <c r="A10938" s="926" t="n">
        <v>46030</v>
      </c>
      <c r="B10938" t="n">
        <v>7.7905</v>
      </c>
      <c r="C10938" t="n">
        <v>1.11605</v>
      </c>
    </row>
    <row r="10939">
      <c r="A10939" s="926" t="n">
        <v>46031</v>
      </c>
      <c r="B10939" t="n">
        <v>7.796</v>
      </c>
      <c r="C10939" t="n">
        <v>1.11695</v>
      </c>
    </row>
    <row r="10940">
      <c r="A10940" s="926" t="n">
        <v>46032</v>
      </c>
      <c r="B10940" t="n">
        <v>7.7955</v>
      </c>
      <c r="C10940" t="n">
        <v>1.1175</v>
      </c>
    </row>
    <row r="10941">
      <c r="A10941" s="926" t="n">
        <v>46034</v>
      </c>
      <c r="B10941" t="n">
        <v>7.796</v>
      </c>
      <c r="C10941" t="n">
        <v>1.1182</v>
      </c>
    </row>
    <row r="10942">
      <c r="A10942" s="926" t="n">
        <v>46035</v>
      </c>
      <c r="B10942" t="n">
        <v>7.801</v>
      </c>
      <c r="C10942" t="n">
        <v>1.1186</v>
      </c>
    </row>
    <row r="10943">
      <c r="A10943" s="926" t="n">
        <v>46036</v>
      </c>
      <c r="B10943" t="n">
        <v>7.798</v>
      </c>
      <c r="C10943" t="n">
        <v>1.1186</v>
      </c>
    </row>
    <row r="10944">
      <c r="A10944" s="926" t="n">
        <v>46037</v>
      </c>
      <c r="B10944" t="n">
        <v>7.799</v>
      </c>
      <c r="C10944" t="n">
        <v>1.1188</v>
      </c>
    </row>
    <row r="10945">
      <c r="A10945" s="926" t="n">
        <v>46038</v>
      </c>
      <c r="B10945" t="n">
        <v>7.801</v>
      </c>
      <c r="C10945" t="n">
        <v>1.1194</v>
      </c>
    </row>
    <row r="10946">
      <c r="A10946" s="926" t="n">
        <v>46039</v>
      </c>
      <c r="B10946" t="n">
        <v>7.7975</v>
      </c>
      <c r="C10946" t="n">
        <v>1.1193</v>
      </c>
    </row>
    <row r="10947">
      <c r="A10947" s="926" t="n">
        <v>46041</v>
      </c>
      <c r="B10947" t="n">
        <v>7.798</v>
      </c>
      <c r="C10947" t="n">
        <v>1.12065</v>
      </c>
    </row>
    <row r="10948">
      <c r="A10948" s="926" t="n">
        <v>46042</v>
      </c>
      <c r="B10948" t="n">
        <v>7.799</v>
      </c>
      <c r="C10948" t="n">
        <v>1.1213</v>
      </c>
    </row>
    <row r="10949">
      <c r="A10949" s="926" t="n">
        <v>46043</v>
      </c>
      <c r="B10949" t="n">
        <v>7.799</v>
      </c>
      <c r="C10949" t="n">
        <v>1.12045</v>
      </c>
    </row>
    <row r="10950">
      <c r="A10950" s="926" t="n">
        <v>46044</v>
      </c>
      <c r="B10950" t="n">
        <v>7.798</v>
      </c>
      <c r="C10950" t="n">
        <v>1.1204</v>
      </c>
    </row>
    <row r="10951">
      <c r="A10951" s="926" t="n">
        <v>46045</v>
      </c>
      <c r="B10951" t="n">
        <v>7.799</v>
      </c>
      <c r="C10951" t="n">
        <v>1.12035</v>
      </c>
    </row>
    <row r="10952">
      <c r="A10952" s="926" t="n">
        <v>46046</v>
      </c>
      <c r="B10952" t="n">
        <v>7.797</v>
      </c>
      <c r="C10952" t="n">
        <v>1.12195</v>
      </c>
    </row>
    <row r="10953">
      <c r="A10953" s="926" t="n">
        <v>46048</v>
      </c>
      <c r="B10953" t="n">
        <v>7.797</v>
      </c>
      <c r="C10953" t="n">
        <v>1.1209</v>
      </c>
    </row>
    <row r="10954">
      <c r="A10954" s="926" t="n">
        <v>46049</v>
      </c>
      <c r="B10954" t="n">
        <v>7.8</v>
      </c>
      <c r="C10954" t="n">
        <v>1.12145</v>
      </c>
    </row>
    <row r="10955">
      <c r="A10955" s="926" t="n">
        <v>46050</v>
      </c>
      <c r="B10955" t="n">
        <v>7.803</v>
      </c>
      <c r="C10955" t="n">
        <v>1.12425</v>
      </c>
    </row>
    <row r="10956">
      <c r="A10956" s="926" t="n">
        <v>46051</v>
      </c>
      <c r="B10956" t="n">
        <v>7.804</v>
      </c>
      <c r="C10956" t="n">
        <v>1.12405</v>
      </c>
    </row>
    <row r="10957">
      <c r="A10957" s="926" t="n">
        <v>46052</v>
      </c>
      <c r="B10957" t="n">
        <v>7.809</v>
      </c>
      <c r="C10957" t="n">
        <v>1.12365</v>
      </c>
    </row>
    <row r="10958">
      <c r="A10958" s="926" t="n">
        <v>46053</v>
      </c>
      <c r="B10958" t="n">
        <v>7.8135</v>
      </c>
      <c r="C10958" t="n">
        <v>1.12325</v>
      </c>
    </row>
    <row r="10959">
      <c r="A10959" s="926" t="n">
        <v>46055</v>
      </c>
      <c r="B10959" t="n">
        <v>7.81</v>
      </c>
      <c r="C10959" t="n">
        <v>1.1239</v>
      </c>
    </row>
    <row r="10960">
      <c r="A10960" s="926" t="n">
        <v>46056</v>
      </c>
      <c r="B10960" t="n">
        <v>7.814</v>
      </c>
      <c r="C10960" t="n">
        <v>1.1268</v>
      </c>
    </row>
    <row r="10961">
      <c r="A10961" s="926" t="n">
        <v>46057</v>
      </c>
      <c r="B10961" t="n">
        <v>7.814</v>
      </c>
      <c r="C10961" t="n">
        <v>1.127</v>
      </c>
    </row>
    <row r="10962">
      <c r="A10962" s="926" t="n">
        <v>46058</v>
      </c>
      <c r="B10962" t="n">
        <v>7.811</v>
      </c>
      <c r="C10962" t="n">
        <v>1.12535</v>
      </c>
    </row>
    <row r="10963">
      <c r="A10963" s="926" t="n">
        <v>46059</v>
      </c>
      <c r="B10963" t="n">
        <v>7.812</v>
      </c>
      <c r="C10963" t="n">
        <v>1.12575</v>
      </c>
    </row>
    <row r="10964">
      <c r="A10964" s="926" t="n">
        <v>46060</v>
      </c>
      <c r="B10964" t="n">
        <v>7.8155</v>
      </c>
      <c r="C10964" t="n">
        <v>1.12775</v>
      </c>
    </row>
    <row r="10965">
      <c r="A10965" s="926" t="n">
        <v>46062</v>
      </c>
      <c r="B10965" t="n">
        <v>7.818</v>
      </c>
      <c r="C10965" t="n">
        <v>1.1288</v>
      </c>
    </row>
    <row r="10966">
      <c r="A10966" s="926" t="n">
        <v>46063</v>
      </c>
      <c r="B10966" t="n">
        <v>7.8185</v>
      </c>
      <c r="C10966" t="n">
        <v>1.1315</v>
      </c>
    </row>
    <row r="10967">
      <c r="A10967" s="926" t="n">
        <v>46064</v>
      </c>
      <c r="B10967" t="n">
        <v>7.817</v>
      </c>
      <c r="C10967" t="n">
        <v>1.1311</v>
      </c>
    </row>
    <row r="10968">
      <c r="A10968" s="926" t="n">
        <v>46065</v>
      </c>
      <c r="B10968" t="n">
        <v>7.819</v>
      </c>
      <c r="C10968" t="n">
        <v>1.1328</v>
      </c>
    </row>
    <row r="10969">
      <c r="A10969" s="926" t="n">
        <v>46066</v>
      </c>
      <c r="B10969" t="n">
        <v>7.817</v>
      </c>
      <c r="C10969" t="n">
        <v>1.1311</v>
      </c>
    </row>
    <row r="10970">
      <c r="A10970" s="926" t="n">
        <v>46067</v>
      </c>
      <c r="B10970" t="n">
        <v>7.8175</v>
      </c>
      <c r="C10970" t="n">
        <v>1.1331</v>
      </c>
    </row>
    <row r="10971">
      <c r="A10971" s="926" t="n">
        <v>46069</v>
      </c>
      <c r="B10971" t="n">
        <v>7.817</v>
      </c>
      <c r="C10971" t="n">
        <v>1.1352</v>
      </c>
    </row>
    <row r="10972">
      <c r="A10972" s="926" t="n">
        <v>46073</v>
      </c>
      <c r="B10972" t="n">
        <v>7.816</v>
      </c>
      <c r="C10972" t="n">
        <v>1.1328</v>
      </c>
    </row>
    <row r="10973">
      <c r="A10973" s="926" t="n">
        <v>46074</v>
      </c>
      <c r="B10973" t="n">
        <v>7.8155</v>
      </c>
      <c r="C10973" t="n">
        <v>1.1331</v>
      </c>
    </row>
    <row r="10974">
      <c r="A10974" s="926" t="n">
        <v>46076</v>
      </c>
      <c r="B10974" t="n">
        <v>7.819</v>
      </c>
      <c r="C10974" t="n">
        <v>1.13525</v>
      </c>
    </row>
    <row r="10975">
      <c r="A10975" s="926" t="n">
        <v>46077</v>
      </c>
      <c r="B10975" t="n">
        <v>7.823</v>
      </c>
      <c r="C10975" t="n">
        <v>1.13555</v>
      </c>
    </row>
    <row r="10976">
      <c r="A10976" s="926" t="n">
        <v>46078</v>
      </c>
      <c r="B10976" t="n">
        <v>7.822</v>
      </c>
      <c r="C10976" t="n">
        <v>1.13945</v>
      </c>
    </row>
    <row r="10977">
      <c r="A10977" s="926" t="n">
        <v>46079</v>
      </c>
      <c r="B10977" t="n">
        <v>7.825</v>
      </c>
      <c r="C10977" t="n">
        <v>1.14465</v>
      </c>
    </row>
    <row r="10978">
      <c r="A10978" s="926" t="n">
        <v>46080</v>
      </c>
      <c r="B10978" t="n">
        <v>7.825</v>
      </c>
      <c r="C10978" t="n">
        <v>1.1417</v>
      </c>
    </row>
    <row r="10979">
      <c r="A10979" s="926" t="n">
        <v>46081</v>
      </c>
      <c r="B10979" t="n">
        <v>7.8245</v>
      </c>
      <c r="C10979" t="n">
        <v>1.14015</v>
      </c>
    </row>
    <row r="10980">
      <c r="A10980" s="926" t="n">
        <v>46083</v>
      </c>
      <c r="B10980" t="n">
        <v>7.824</v>
      </c>
      <c r="C10980" t="n">
        <v>1.137</v>
      </c>
    </row>
    <row r="10981">
      <c r="A10981" s="926" t="n">
        <v>46084</v>
      </c>
      <c r="B10981" t="n">
        <v>7.811</v>
      </c>
      <c r="C10981" t="n">
        <v>1.1331</v>
      </c>
    </row>
    <row r="10982">
      <c r="A10982" s="926" t="n">
        <v>46085</v>
      </c>
      <c r="B10982" t="n">
        <v>7.8145</v>
      </c>
      <c r="C10982" t="n">
        <v>1.129</v>
      </c>
    </row>
    <row r="10983">
      <c r="A10983" s="926" t="n">
        <v>46086</v>
      </c>
      <c r="B10983" t="n">
        <v>7.82</v>
      </c>
      <c r="C10983" t="n">
        <v>1.134</v>
      </c>
    </row>
    <row r="10984">
      <c r="A10984" s="926" t="n">
        <v>46087</v>
      </c>
      <c r="B10984" t="n">
        <v>7.823</v>
      </c>
      <c r="C10984" t="n">
        <v>1.13325</v>
      </c>
    </row>
    <row r="10985">
      <c r="A10985" s="926" t="n">
        <v>46088</v>
      </c>
      <c r="B10985" t="n">
        <v>7.8235</v>
      </c>
      <c r="C10985" t="n">
        <v>1.1331</v>
      </c>
    </row>
    <row r="10986">
      <c r="A10986" s="926" t="n">
        <v>46090</v>
      </c>
      <c r="B10986" t="n">
        <v>7.816</v>
      </c>
      <c r="C10986" t="n">
        <v>1.1293</v>
      </c>
    </row>
    <row r="10987">
      <c r="A10987" s="926" t="n">
        <v>46091</v>
      </c>
      <c r="B10987" t="n">
        <v>7.826</v>
      </c>
      <c r="C10987" t="n">
        <v>1.137</v>
      </c>
    </row>
    <row r="10988">
      <c r="A10988" s="926" t="n">
        <v>46092</v>
      </c>
      <c r="B10988" t="n">
        <v>7.829</v>
      </c>
      <c r="C10988" t="n">
        <v>1.14085</v>
      </c>
    </row>
    <row r="10989">
      <c r="A10989" s="926" t="n">
        <v>46093</v>
      </c>
      <c r="B10989" t="n">
        <v>7.827</v>
      </c>
      <c r="C10989" t="n">
        <v>1.1379</v>
      </c>
    </row>
    <row r="10990">
      <c r="A10990" s="926" t="n">
        <v>46094</v>
      </c>
      <c r="B10990" t="n">
        <v>7.8305</v>
      </c>
      <c r="C10990" t="n">
        <v>1.1357</v>
      </c>
    </row>
    <row r="10991">
      <c r="A10991" s="926" t="n">
        <v>46095</v>
      </c>
      <c r="B10991" t="n">
        <v>7.8275</v>
      </c>
      <c r="C10991" t="n">
        <v>1.1338</v>
      </c>
    </row>
    <row r="10992">
      <c r="A10992" s="926" t="n">
        <v>46097</v>
      </c>
      <c r="B10992" t="n">
        <v>7.831</v>
      </c>
      <c r="C10992" t="n">
        <v>1.1346</v>
      </c>
    </row>
    <row r="10993">
      <c r="A10993" s="926" t="n">
        <v>46098</v>
      </c>
      <c r="B10993" t="n">
        <v>7.836</v>
      </c>
      <c r="C10993" t="n">
        <v>1.1371</v>
      </c>
    </row>
    <row r="10994">
      <c r="A10994" s="926" t="n">
        <v>46099</v>
      </c>
      <c r="B10994" t="n">
        <v>7.839</v>
      </c>
      <c r="C10994" t="n">
        <v>1.1402</v>
      </c>
    </row>
    <row r="10995">
      <c r="A10995" s="926" t="n">
        <v>46100</v>
      </c>
      <c r="B10995" t="n">
        <v>7.838</v>
      </c>
      <c r="C10995" t="n">
        <v>1.1355</v>
      </c>
    </row>
    <row r="10996">
      <c r="A10996" s="926" t="n">
        <v>46101</v>
      </c>
      <c r="B10996" t="n">
        <v>7.836</v>
      </c>
      <c r="C10996" t="n">
        <v>1.13635</v>
      </c>
    </row>
    <row r="10997">
      <c r="A10997" s="926" t="n">
        <v>46102</v>
      </c>
      <c r="B10997" t="n">
        <v>7.8325</v>
      </c>
      <c r="C10997" t="n">
        <v>1.1345</v>
      </c>
    </row>
    <row r="10998">
      <c r="A10998" s="926" t="n">
        <v>46104</v>
      </c>
      <c r="B10998" t="n">
        <v>7.829</v>
      </c>
      <c r="C10998" t="n">
        <v>1.1326</v>
      </c>
    </row>
    <row r="10999">
      <c r="A10999" s="926" t="n">
        <v>46105</v>
      </c>
      <c r="B10999" t="n">
        <v>7.838</v>
      </c>
      <c r="C10999" t="n">
        <v>1.1374</v>
      </c>
    </row>
    <row r="11000">
      <c r="A11000" s="926" t="n">
        <v>46106</v>
      </c>
      <c r="B11000" t="n">
        <v>7.825</v>
      </c>
      <c r="C11000" t="n">
        <v>1.13405</v>
      </c>
    </row>
    <row r="11001">
      <c r="A11001" s="926" t="n">
        <v>46107</v>
      </c>
      <c r="B11001" t="n">
        <v>7.816</v>
      </c>
      <c r="C11001" t="n">
        <v>1.13185</v>
      </c>
    </row>
    <row r="11002">
      <c r="A11002" s="926" t="n">
        <v>46108</v>
      </c>
      <c r="B11002" t="n">
        <v>7.834</v>
      </c>
      <c r="C11002" t="n">
        <v>1.1321</v>
      </c>
    </row>
    <row r="11003">
      <c r="A11003" s="926" t="n">
        <v>46109</v>
      </c>
      <c r="B11003" t="n">
        <v>7.834</v>
      </c>
      <c r="C11003" t="n">
        <v>1.13255</v>
      </c>
    </row>
    <row r="11004">
      <c r="A11004" s="926" t="n">
        <v>46111</v>
      </c>
      <c r="B11004" t="n">
        <v>7.835</v>
      </c>
      <c r="C11004" t="n">
        <v>1.1335</v>
      </c>
    </row>
    <row r="11005">
      <c r="A11005" s="926" t="n">
        <v>46112</v>
      </c>
      <c r="B11005" t="n">
        <v>7.839</v>
      </c>
      <c r="C11005" t="n">
        <v>1.1343</v>
      </c>
    </row>
    <row r="11006">
      <c r="A11006" s="926" t="n">
        <v>46113</v>
      </c>
      <c r="B11006" t="n">
        <v>7.838</v>
      </c>
      <c r="C11006" t="n">
        <v>1.14</v>
      </c>
    </row>
    <row r="11007">
      <c r="A11007" s="926" t="n">
        <v>46114</v>
      </c>
      <c r="B11007" t="n">
        <v>7.838</v>
      </c>
      <c r="C11007" t="n">
        <v>1.1374</v>
      </c>
    </row>
    <row r="11008">
      <c r="A11008" s="926" t="n">
        <v>46120</v>
      </c>
      <c r="B11008" t="n">
        <v>7.8305</v>
      </c>
      <c r="C11008" t="n">
        <v>1.14775</v>
      </c>
    </row>
    <row r="11009">
      <c r="A11009" s="926" t="n">
        <v>46121</v>
      </c>
      <c r="B11009" t="n">
        <v>7.835</v>
      </c>
      <c r="C11009" t="n">
        <v>1.14665</v>
      </c>
    </row>
    <row r="11010">
      <c r="A11010" s="926" t="n">
        <v>46122</v>
      </c>
      <c r="B11010" t="n">
        <v>7.834</v>
      </c>
      <c r="C11010" t="n">
        <v>1.14645</v>
      </c>
    </row>
    <row r="11011">
      <c r="A11011" s="926" t="n">
        <v>46123</v>
      </c>
      <c r="B11011" t="n">
        <v>7.8325</v>
      </c>
      <c r="C11011" t="n">
        <v>1.14745</v>
      </c>
    </row>
    <row r="11012">
      <c r="A11012" s="926" t="n">
        <v>46125</v>
      </c>
      <c r="B11012" t="n">
        <v>7.833</v>
      </c>
      <c r="C11012" t="n">
        <v>1.14665</v>
      </c>
    </row>
    <row r="11013">
      <c r="A11013" s="926" t="n">
        <v>46126</v>
      </c>
      <c r="B11013" t="n">
        <v>7.835</v>
      </c>
      <c r="C11013" t="n">
        <v>1.14995</v>
      </c>
    </row>
    <row r="11014">
      <c r="A11014" s="926" t="n">
        <v>46127</v>
      </c>
      <c r="B11014" t="n">
        <v>7.838</v>
      </c>
      <c r="C11014" t="n">
        <v>1.15005</v>
      </c>
    </row>
    <row r="11015">
      <c r="A11015" s="926" t="n">
        <v>46128</v>
      </c>
      <c r="B11015" t="n">
        <v>7.83</v>
      </c>
      <c r="C11015" t="n">
        <v>1.1487</v>
      </c>
    </row>
    <row r="11016">
      <c r="A11016" s="926" t="n">
        <v>46129</v>
      </c>
      <c r="B11016" t="n">
        <v>7.828</v>
      </c>
      <c r="C11016" t="n">
        <v>1.14665</v>
      </c>
    </row>
    <row r="11017">
      <c r="A11017" s="926" t="n">
        <v>46130</v>
      </c>
      <c r="B11017" t="n">
        <v>7.8325</v>
      </c>
      <c r="C11017" t="n">
        <v>1.14915</v>
      </c>
    </row>
    <row r="11018">
      <c r="A11018" s="926" t="n">
        <v>46132</v>
      </c>
      <c r="B11018" t="n">
        <v>7.833</v>
      </c>
      <c r="C11018" t="n">
        <v>1.14875</v>
      </c>
    </row>
    <row r="11019">
      <c r="A11019" s="926" t="n">
        <v>46133</v>
      </c>
      <c r="B11019" t="n">
        <v>7.832</v>
      </c>
      <c r="C11019" t="n">
        <v>1.14945</v>
      </c>
    </row>
    <row r="11020">
      <c r="A11020" s="926" t="n">
        <v>46134</v>
      </c>
      <c r="B11020" t="n">
        <v>7.832</v>
      </c>
      <c r="C11020" t="n">
        <v>1.14765</v>
      </c>
    </row>
    <row r="11021">
      <c r="A11021" s="926" t="n">
        <v>46135</v>
      </c>
      <c r="B11021" t="n">
        <v>7.833</v>
      </c>
      <c r="C11021" t="n">
        <v>1.1461</v>
      </c>
    </row>
    <row r="11022">
      <c r="A11022" s="926" t="n">
        <v>46136</v>
      </c>
      <c r="B11022" t="n">
        <v>7.837</v>
      </c>
      <c r="C11022" t="n">
        <v>1.14565</v>
      </c>
    </row>
    <row r="11023">
      <c r="A11023" s="926" t="n">
        <v>46137</v>
      </c>
      <c r="B11023" t="n">
        <v>7.8365</v>
      </c>
      <c r="C11023" t="n">
        <v>1.14675</v>
      </c>
    </row>
    <row r="11024">
      <c r="A11024" s="926" t="n">
        <v>46139</v>
      </c>
      <c r="B11024" t="n">
        <v>7.838</v>
      </c>
      <c r="C11024" t="n">
        <v>1.14785</v>
      </c>
    </row>
    <row r="11025">
      <c r="A11025" s="926" t="n">
        <v>46140</v>
      </c>
      <c r="B11025" t="n">
        <v>7.837</v>
      </c>
      <c r="C11025" t="n">
        <v>1.14635</v>
      </c>
    </row>
    <row r="11026">
      <c r="A11026" s="926" t="n">
        <v>46141</v>
      </c>
      <c r="B11026" t="n">
        <v>7.838</v>
      </c>
      <c r="C11026" t="n">
        <v>1.14705</v>
      </c>
    </row>
    <row r="11027">
      <c r="A11027" s="926" t="n">
        <v>46142</v>
      </c>
      <c r="B11027" t="n">
        <v>7.836</v>
      </c>
      <c r="C11027" t="n">
        <v>1.1451</v>
      </c>
    </row>
    <row r="11028">
      <c r="A11028" s="926" t="n">
        <v>46144</v>
      </c>
      <c r="B11028" t="n">
        <v>7.8355</v>
      </c>
      <c r="C11028" t="n">
        <v>1.1475</v>
      </c>
    </row>
    <row r="11029">
      <c r="A11029" s="926" t="n">
        <v>46146</v>
      </c>
      <c r="B11029" t="n">
        <v>7.834</v>
      </c>
      <c r="C11029" t="n">
        <v>1.14875</v>
      </c>
    </row>
    <row r="11030">
      <c r="A11030" s="926" t="n">
        <v>46147</v>
      </c>
      <c r="B11030" t="n">
        <v>7.837</v>
      </c>
      <c r="C11030" t="n">
        <v>1.14715</v>
      </c>
    </row>
    <row r="11031">
      <c r="A11031" s="926" t="n">
        <v>46148</v>
      </c>
      <c r="B11031" t="n">
        <v>7.837</v>
      </c>
      <c r="C11031" t="n">
        <v>1.14945</v>
      </c>
    </row>
    <row r="11032">
      <c r="A11032" s="926" t="n">
        <v>46149</v>
      </c>
      <c r="B11032" t="n">
        <v>7.833</v>
      </c>
      <c r="C11032" t="n">
        <v>1.15145</v>
      </c>
    </row>
    <row r="11033">
      <c r="A11033" s="926" t="n">
        <v>46150</v>
      </c>
      <c r="B11033" t="n">
        <v>7.83</v>
      </c>
      <c r="C11033" t="n">
        <v>1.15105</v>
      </c>
    </row>
    <row r="11034">
      <c r="A11034" s="926" t="n">
        <v>46151</v>
      </c>
      <c r="B11034" t="n">
        <v>7.8305</v>
      </c>
      <c r="C11034" t="n">
        <v>1.15215</v>
      </c>
    </row>
    <row r="11035">
      <c r="A11035" s="926" t="n">
        <v>46153</v>
      </c>
      <c r="B11035" t="n">
        <v>7.83</v>
      </c>
      <c r="C11035" t="n">
        <v>1.15265</v>
      </c>
    </row>
    <row r="11036">
      <c r="A11036" s="926" t="n">
        <v>46154</v>
      </c>
      <c r="B11036" t="n">
        <v>7.83</v>
      </c>
      <c r="C11036" t="n">
        <v>1.1523</v>
      </c>
    </row>
    <row r="11037">
      <c r="A11037" s="926" t="n">
        <v>46155</v>
      </c>
      <c r="B11037" t="n">
        <v>7.831</v>
      </c>
      <c r="C11037" t="n">
        <v>1.15315</v>
      </c>
    </row>
    <row r="11038">
      <c r="A11038" s="926" t="n">
        <v>46156</v>
      </c>
      <c r="B11038" t="n">
        <v>7.834</v>
      </c>
      <c r="C11038" t="n">
        <v>1.15455</v>
      </c>
    </row>
    <row r="11039">
      <c r="A11039" s="926" t="n">
        <v>46157</v>
      </c>
      <c r="B11039" t="n">
        <v>7.831</v>
      </c>
      <c r="C11039" t="n">
        <v>1.1505</v>
      </c>
    </row>
    <row r="11040">
      <c r="A11040" s="926" t="n">
        <v>46158</v>
      </c>
      <c r="B11040" t="n">
        <v>7.8315</v>
      </c>
      <c r="C11040" t="n">
        <v>1.14915</v>
      </c>
    </row>
    <row r="11041">
      <c r="A11041" s="926" t="n">
        <v>46160</v>
      </c>
      <c r="B11041" t="n">
        <v>7.831</v>
      </c>
      <c r="C11041" t="n">
        <v>1.15035</v>
      </c>
    </row>
    <row r="11042">
      <c r="A11042" s="926" t="n">
        <v>46161</v>
      </c>
      <c r="B11042" t="n">
        <v>7.8325</v>
      </c>
      <c r="C11042" t="n">
        <v>1.15115</v>
      </c>
    </row>
    <row r="11043">
      <c r="A11043" s="926" t="n">
        <v>46162</v>
      </c>
      <c r="B11043" t="n">
        <v>7.834</v>
      </c>
      <c r="C11043" t="n">
        <v>1.15005</v>
      </c>
    </row>
    <row r="11044">
      <c r="A11044" s="926" t="n">
        <v>46163</v>
      </c>
      <c r="B11044" t="n">
        <v>7.835</v>
      </c>
      <c r="C11044" t="n">
        <v>1.1508</v>
      </c>
    </row>
    <row r="11045">
      <c r="A11045" s="926" t="n">
        <v>46164</v>
      </c>
      <c r="B11045" t="n">
        <v>7.837</v>
      </c>
      <c r="C11045" t="n">
        <v>1.15235</v>
      </c>
    </row>
    <row r="11046">
      <c r="A11046" s="926" t="n">
        <v>46165</v>
      </c>
      <c r="B11046" t="n">
        <v>7.8355</v>
      </c>
      <c r="C11046" t="n">
        <v>1.15305</v>
      </c>
    </row>
    <row r="11047">
      <c r="A11047" s="926" t="n">
        <v>46168</v>
      </c>
      <c r="B11047" t="n">
        <v>7.837</v>
      </c>
      <c r="C11047" t="n">
        <v>1.15515</v>
      </c>
    </row>
    <row r="11048">
      <c r="A11048" s="926" t="n">
        <v>46169</v>
      </c>
      <c r="B11048" t="n">
        <v>7.836</v>
      </c>
      <c r="C11048" t="n">
        <v>1.1555</v>
      </c>
    </row>
    <row r="11049">
      <c r="A11049" s="926" t="n">
        <v>46170</v>
      </c>
      <c r="B11049" t="n">
        <v>7.833</v>
      </c>
      <c r="C11049" t="n">
        <v>1.15485</v>
      </c>
    </row>
    <row r="11050">
      <c r="A11050" s="926" t="n">
        <v>46171</v>
      </c>
      <c r="B11050" t="n">
        <v>7.836</v>
      </c>
      <c r="C11050" t="n">
        <v>1.15745</v>
      </c>
    </row>
    <row r="11051">
      <c r="A11051" s="926" t="n">
        <v>46172</v>
      </c>
      <c r="B11051" t="n">
        <v>7.8385</v>
      </c>
      <c r="C11051" t="n">
        <v>1.15875</v>
      </c>
    </row>
    <row r="11052">
      <c r="A11052" s="926" t="n">
        <v>46174</v>
      </c>
      <c r="B11052" t="n">
        <v>7.8385</v>
      </c>
      <c r="C11052" t="n">
        <v>1.15855</v>
      </c>
    </row>
    <row r="11053">
      <c r="A11053" s="926" t="n">
        <v>46175</v>
      </c>
      <c r="B11053" t="n">
        <v>7.839</v>
      </c>
      <c r="C11053" t="n">
        <v>1.1599</v>
      </c>
    </row>
    <row r="11054">
      <c r="A11054" s="926" t="n">
        <v>46176</v>
      </c>
      <c r="B11054" t="n">
        <v>7.837</v>
      </c>
      <c r="C11054" t="n">
        <v>1.1572</v>
      </c>
    </row>
    <row r="11055">
      <c r="A11055" s="926" t="n">
        <v>46177</v>
      </c>
      <c r="B11055" t="n">
        <v>7.837</v>
      </c>
      <c r="C11055" t="n">
        <v>1.15665</v>
      </c>
    </row>
    <row r="11056">
      <c r="A11056" s="926" t="n">
        <v>46178</v>
      </c>
      <c r="B11056" t="n">
        <v>7.835</v>
      </c>
      <c r="C11056" t="n">
        <v>1.15635</v>
      </c>
    </row>
    <row r="11057">
      <c r="A11057" s="926" t="n">
        <v>46179</v>
      </c>
      <c r="B11057" t="n">
        <v>7.8355</v>
      </c>
      <c r="C11057" t="n">
        <v>1.1539</v>
      </c>
    </row>
    <row r="11058">
      <c r="A11058" s="926" t="n">
        <v>46181</v>
      </c>
      <c r="B11058" t="n">
        <v>7.836</v>
      </c>
      <c r="C11058" t="n">
        <v>1.1542</v>
      </c>
    </row>
    <row r="11059">
      <c r="A11059" s="926" t="n">
        <v>46182</v>
      </c>
      <c r="B11059" t="n">
        <v>7.8375</v>
      </c>
      <c r="C11059" t="n">
        <v>1.1575</v>
      </c>
    </row>
    <row r="11060">
      <c r="A11060" s="926" t="n">
        <v>46183</v>
      </c>
      <c r="B11060" t="n">
        <v>7.837</v>
      </c>
      <c r="C11060" t="n">
        <v>1.1564</v>
      </c>
    </row>
    <row r="11061">
      <c r="A11061" s="926" t="n">
        <v>46184</v>
      </c>
      <c r="B11061" t="n">
        <v>7.8375</v>
      </c>
      <c r="C11061" t="n">
        <v>1.15615</v>
      </c>
    </row>
    <row r="11062">
      <c r="A11062" s="926" t="n">
        <v>46185</v>
      </c>
      <c r="B11062" t="n">
        <v>7.837</v>
      </c>
      <c r="C11062" t="n">
        <v>1.15875</v>
      </c>
    </row>
    <row r="11063">
      <c r="A11063" s="926" t="n">
        <v>46186</v>
      </c>
      <c r="B11063" t="n">
        <v>7.8365</v>
      </c>
      <c r="C11063" t="n">
        <v>1.1586</v>
      </c>
    </row>
    <row r="11064">
      <c r="A11064" s="926" t="n">
        <v>46188</v>
      </c>
      <c r="B11064" t="n">
        <v>7.837</v>
      </c>
      <c r="C11064" t="n">
        <v>1.1596</v>
      </c>
    </row>
    <row r="11065">
      <c r="A11065" s="926" t="n">
        <v>46189</v>
      </c>
      <c r="B11065" t="n">
        <v>7.834</v>
      </c>
      <c r="C11065" t="n">
        <v>1.15895</v>
      </c>
    </row>
    <row r="11066">
      <c r="A11066" s="926" t="n">
        <v>46190</v>
      </c>
      <c r="B11066" t="n">
        <v>7.835</v>
      </c>
      <c r="C11066" t="n">
        <v>1.15945</v>
      </c>
    </row>
    <row r="11067">
      <c r="A11067" s="926" t="n">
        <v>46191</v>
      </c>
      <c r="B11067" t="n">
        <v>7.8385</v>
      </c>
      <c r="C11067" t="n">
        <v>1.1588</v>
      </c>
    </row>
    <row r="11068">
      <c r="A11068" s="926" t="n">
        <v>46193</v>
      </c>
      <c r="B11068" t="n">
        <v>7.8385</v>
      </c>
      <c r="C11068" t="n">
        <v>1.1553</v>
      </c>
    </row>
    <row r="11069">
      <c r="A11069" s="926" t="n">
        <v>46195</v>
      </c>
      <c r="B11069" t="n">
        <v>7.8405</v>
      </c>
      <c r="C11069" t="n">
        <v>1.1564</v>
      </c>
    </row>
    <row r="11070">
      <c r="A11070" s="926" t="n">
        <v>46196</v>
      </c>
      <c r="B11070" t="n">
        <v>7.841</v>
      </c>
      <c r="C11070" t="n">
        <v>1.15575</v>
      </c>
    </row>
    <row r="11071">
      <c r="A11071" s="926" t="n">
        <v>46197</v>
      </c>
      <c r="B11071" t="n">
        <v>7.8425</v>
      </c>
      <c r="C11071" t="n">
        <v>1.15195</v>
      </c>
    </row>
    <row r="11072">
      <c r="A11072" s="926" t="n">
        <v>46198</v>
      </c>
      <c r="B11072" t="n">
        <v>7.8415</v>
      </c>
      <c r="C11072" t="n">
        <v>1.1516</v>
      </c>
    </row>
    <row r="11073">
      <c r="A11073" s="926" t="n">
        <v>46199</v>
      </c>
      <c r="B11073" t="n">
        <v>7.842</v>
      </c>
      <c r="C11073" t="n">
        <v>1.15215</v>
      </c>
    </row>
    <row r="11074">
      <c r="A11074" s="926" t="n">
        <v>46200</v>
      </c>
      <c r="B11074" t="n">
        <v>7.8425</v>
      </c>
      <c r="C11074" t="n">
        <v>1.1525</v>
      </c>
    </row>
    <row r="11075">
      <c r="A11075" s="926" t="n">
        <v>46202</v>
      </c>
      <c r="B11075" t="n">
        <v>7.844</v>
      </c>
      <c r="C11075" t="n">
        <v>1.15415</v>
      </c>
    </row>
    <row r="11076">
      <c r="A11076" s="926" t="n">
        <v>46203</v>
      </c>
      <c r="B11076" t="n">
        <v>7.844</v>
      </c>
      <c r="C11076" t="n">
        <v>1.1549</v>
      </c>
    </row>
  </sheetData>
  <conditionalFormatting sqref="B10:C11076">
    <cfRule type="cellIs" priority="1" operator="lessThan" dxfId="3">
      <formula>0</formula>
    </cfRule>
    <cfRule type="cellIs" priority="2" operator="greaterThanOrEqual" dxfId="3">
      <formula>0</formula>
    </cfRule>
    <cfRule type="cellIs" priority="4" operator="lessThan" dxfId="2" stopIfTrue="1">
      <formula>0</formula>
    </cfRule>
    <cfRule type="cellIs" priority="5" operator="greaterThanOrEqual" dxfId="1" stopIfTrue="1">
      <formula>0</formula>
    </cfRule>
  </conditionalFormatting>
  <conditionalFormatting sqref="B11052:C11076">
    <cfRule type="expression" priority="3" dxfId="0" stopIfTrue="1">
      <formula>TRUE()</formula>
    </cfRule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17">
    <tabColor rgb="FFFFFF00"/>
    <outlinePr summaryBelow="1" summaryRight="1"/>
    <pageSetUpPr/>
  </sheetPr>
  <dimension ref="A1:AI12164"/>
  <sheetViews>
    <sheetView zoomScaleNormal="100" workbookViewId="0">
      <pane ySplit="7" topLeftCell="A12126" activePane="bottomLeft" state="frozen"/>
      <selection activeCell="LO179" sqref="LO179"/>
      <selection pane="bottomLeft" activeCell="A12164" sqref="A12164"/>
    </sheetView>
  </sheetViews>
  <sheetFormatPr baseColWidth="8" defaultColWidth="10.7109375" defaultRowHeight="14.25" outlineLevelRow="1"/>
  <cols>
    <col width="10.7109375" bestFit="1" customWidth="1" style="538" min="1" max="1"/>
    <col width="10.7109375" customWidth="1" style="538" min="2" max="5"/>
    <col width="3.7109375" customWidth="1" style="538" min="6" max="6"/>
    <col width="10.7109375" customWidth="1" style="538" min="7" max="8"/>
    <col width="10.7109375" customWidth="1" style="539" min="9" max="10"/>
    <col width="3.7109375" customWidth="1" style="538" min="11" max="11"/>
    <col width="10.7109375" customWidth="1" style="538" min="12" max="15"/>
    <col width="3.7109375" customWidth="1" style="538" min="16" max="16"/>
    <col width="10.7109375" customWidth="1" style="538" min="17" max="20"/>
    <col width="3.7109375" customWidth="1" style="538" min="21" max="21"/>
    <col width="10.7109375" customWidth="1" style="538" min="22" max="25"/>
    <col width="3.7109375" customWidth="1" style="538" min="26" max="26"/>
    <col width="10.7109375" customWidth="1" style="538" min="27" max="30"/>
    <col width="3.7109375" customWidth="1" style="538" min="31" max="31"/>
    <col width="10.7109375" customWidth="1" style="538" min="32" max="16384"/>
  </cols>
  <sheetData>
    <row r="1">
      <c r="A1" s="537" t="inlineStr">
        <is>
          <t>Cathay Pacific Fuel Price</t>
        </is>
      </c>
      <c r="G1" s="537" t="n"/>
      <c r="H1" s="537" t="n"/>
    </row>
    <row r="2">
      <c r="A2" s="540" t="inlineStr">
        <is>
          <t>Source: Refinitiv</t>
        </is>
      </c>
      <c r="G2" s="540" t="n"/>
      <c r="H2" s="540" t="n"/>
    </row>
    <row r="3"/>
    <row r="4"/>
    <row r="5"/>
    <row r="6" ht="12.75" customFormat="1" customHeight="1" s="541">
      <c r="G6" s="541" t="inlineStr">
        <is>
          <t>Quarterly</t>
        </is>
      </c>
      <c r="L6" s="541" t="inlineStr">
        <is>
          <t>Semi-Annual</t>
        </is>
      </c>
      <c r="Q6" s="541" t="inlineStr">
        <is>
          <t>Annual</t>
        </is>
      </c>
      <c r="V6" s="541" t="inlineStr">
        <is>
          <t>Quarterly (1-month lag)</t>
        </is>
      </c>
      <c r="AA6" s="541" t="inlineStr">
        <is>
          <t>Semi-Annual (1-month lag)</t>
        </is>
      </c>
      <c r="AF6" s="541" t="inlineStr">
        <is>
          <t>Annual (1-month lag)</t>
        </is>
      </c>
    </row>
    <row r="7" ht="38.25" customFormat="1" customHeight="1" s="542">
      <c r="B7" s="542" t="inlineStr">
        <is>
          <t>Brent Crude oil (US$/bbl)</t>
        </is>
      </c>
      <c r="C7" s="542" t="inlineStr">
        <is>
          <t>WTI Crude oil (US$/bbl)</t>
        </is>
      </c>
      <c r="D7" s="542" t="inlineStr">
        <is>
          <t>Dubai Crude oil (US$/bbl)</t>
        </is>
      </c>
      <c r="E7" s="542" t="inlineStr">
        <is>
          <t>Singapore Jet Fuel (US$/bbl)</t>
        </is>
      </c>
      <c r="G7" s="542" t="inlineStr">
        <is>
          <t>Quarter Ended</t>
        </is>
      </c>
      <c r="H7" s="543" t="inlineStr">
        <is>
          <t>Brent Crude (USD/bbl)</t>
        </is>
      </c>
      <c r="I7" s="543" t="inlineStr">
        <is>
          <t>Crack Spread (USD/bbl)</t>
        </is>
      </c>
      <c r="J7" s="543" t="inlineStr">
        <is>
          <t>Singapore Jet Fuel (USD/bbl)</t>
        </is>
      </c>
      <c r="L7" s="542" t="inlineStr">
        <is>
          <t>Interim Ended</t>
        </is>
      </c>
      <c r="M7" s="543" t="inlineStr">
        <is>
          <t>Brent Crude (USD/bbl)</t>
        </is>
      </c>
      <c r="N7" s="543" t="inlineStr">
        <is>
          <t>Crack Spread (USD/bbl)</t>
        </is>
      </c>
      <c r="O7" s="543" t="inlineStr">
        <is>
          <t>Singapore Jet Fuel (USD/bbl)</t>
        </is>
      </c>
      <c r="Q7" s="542" t="inlineStr">
        <is>
          <t>Year Ended</t>
        </is>
      </c>
      <c r="R7" s="543" t="inlineStr">
        <is>
          <t>Brent Crude (USD/bbl)</t>
        </is>
      </c>
      <c r="S7" s="543" t="inlineStr">
        <is>
          <t>Crack Spread (USD/bbl)</t>
        </is>
      </c>
      <c r="T7" s="543" t="inlineStr">
        <is>
          <t>Singapore Jet Fuel (USD/bbl)</t>
        </is>
      </c>
      <c r="V7" s="542" t="inlineStr">
        <is>
          <t>Quarter Ended</t>
        </is>
      </c>
      <c r="W7" s="543" t="inlineStr">
        <is>
          <t>Brent Crude (USD/bbl)</t>
        </is>
      </c>
      <c r="X7" s="543" t="inlineStr">
        <is>
          <t>Crack Spread (USD/bbl)</t>
        </is>
      </c>
      <c r="Y7" s="543" t="inlineStr">
        <is>
          <t>Singapore Jet Fuel (USD/bbl)</t>
        </is>
      </c>
      <c r="Z7" s="543" t="n"/>
      <c r="AA7" s="542" t="inlineStr">
        <is>
          <t>Interim Ended</t>
        </is>
      </c>
      <c r="AB7" s="543" t="inlineStr">
        <is>
          <t>Brent Crude (USD/bbl)</t>
        </is>
      </c>
      <c r="AC7" s="543" t="inlineStr">
        <is>
          <t>Crack Spread (USD/bbl)</t>
        </is>
      </c>
      <c r="AD7" s="543" t="inlineStr">
        <is>
          <t>Singapore Jet Fuel (USD/bbl)</t>
        </is>
      </c>
      <c r="AF7" s="542" t="inlineStr">
        <is>
          <t>Year Ended</t>
        </is>
      </c>
      <c r="AG7" s="543" t="inlineStr">
        <is>
          <t>Brent Crude (USD/bbl)</t>
        </is>
      </c>
      <c r="AH7" s="543" t="inlineStr">
        <is>
          <t>Crack Spread (USD/bbl)</t>
        </is>
      </c>
      <c r="AI7" s="543" t="inlineStr">
        <is>
          <t>Singapore Jet Fuel (USD/bbl)</t>
        </is>
      </c>
    </row>
    <row r="8" outlineLevel="1" ht="63.75" customFormat="1" customHeight="1" s="542">
      <c r="A8" s="542">
        <f>_xll.Thomson.Reuters.AFOSpreadSheetFormulas.DSGRID("EIAEBRT,EIARWTC,OLDUB1M,JETFSIN"," ","1/1/1980"," ","D","RowHeader=true;ColHeader=true;DispSeriesDescription=true;YearlyTSFormat=false;QuarterlyTSFormat=false;MonthlyTSFormat=false;AutoRefresh=false")</f>
        <v/>
      </c>
      <c r="B8" s="638" t="inlineStr">
        <is>
          <t>Europe Brent Spot FOB U$/BBL Daily</t>
        </is>
      </c>
      <c r="C8" s="638" t="inlineStr">
        <is>
          <t>Cushing OK WTI Spt Price FOB U$/BBL</t>
        </is>
      </c>
      <c r="D8" s="638" t="inlineStr">
        <is>
          <t>Crude Oil Dubai 1Mth FOB Asia U$/BBL</t>
        </is>
      </c>
      <c r="E8" s="638" t="inlineStr">
        <is>
          <t>Jet Kerosene FOB Singapore U$/BBL</t>
        </is>
      </c>
      <c r="H8" s="543" t="n"/>
      <c r="I8" s="543" t="n"/>
      <c r="J8" s="543" t="n"/>
      <c r="M8" s="543" t="n"/>
      <c r="N8" s="543" t="n"/>
      <c r="O8" s="543" t="n"/>
      <c r="R8" s="543" t="n"/>
      <c r="S8" s="543" t="n"/>
      <c r="T8" s="543" t="n"/>
    </row>
    <row r="9">
      <c r="A9" s="544" t="n">
        <v>29221</v>
      </c>
      <c r="B9" s="637" t="n"/>
      <c r="C9" s="637" t="n"/>
      <c r="D9" s="637" t="n"/>
      <c r="E9" s="637" t="n"/>
      <c r="G9" s="1357" t="n">
        <v>31958</v>
      </c>
      <c r="H9" s="546">
        <f>AVERAGEIFS($B:$B,$A:$A,"&gt;"&amp;EOMONTH($G9,-3),$A:$A,"&lt;="&amp;EOMONTH($G9,0))</f>
        <v/>
      </c>
      <c r="I9" s="546">
        <f>J9-H9</f>
        <v/>
      </c>
      <c r="J9" s="546">
        <f>AVERAGEIFS($E:$E,$A:$A,"&gt;"&amp;EOMONTH($G9,-3),$A:$A,"&lt;="&amp;EOMONTH($G9,0))</f>
        <v/>
      </c>
      <c r="L9" s="1357" t="n">
        <v>31958</v>
      </c>
      <c r="M9" s="546">
        <f>AVERAGEIFS($B:$B,$A:$A,"&gt;"&amp;EOMONTH($L9,-6),$A:$A,"&lt;="&amp;EOMONTH($L9,0))</f>
        <v/>
      </c>
      <c r="N9" s="546">
        <f>O9-M9</f>
        <v/>
      </c>
      <c r="O9" s="546">
        <f>AVERAGEIFS($E:$E,$A:$A,"&gt;"&amp;EOMONTH($L9,-6),$A:$A,"&lt;="&amp;EOMONTH($L9,0))</f>
        <v/>
      </c>
      <c r="Q9" s="1357" t="n">
        <v>32142</v>
      </c>
      <c r="R9" s="546">
        <f>AVERAGEIFS($B:$B,$A:$A,"&gt;"&amp;EOMONTH($Q9,-12),$A:$A,"&lt;="&amp;EOMONTH($Q9,0))</f>
        <v/>
      </c>
      <c r="S9" s="546">
        <f>T9-R9</f>
        <v/>
      </c>
      <c r="T9" s="546">
        <f>AVERAGEIFS($E:$E,$A:$A,"&gt;"&amp;EOMONTH($Q9,-12),$A:$A,"&lt;="&amp;EOMONTH($Q9,0))</f>
        <v/>
      </c>
      <c r="V9" s="1357" t="n">
        <v>31958</v>
      </c>
      <c r="W9" s="1358">
        <f>AVERAGEIFS($B:$B,$A:$A,"&gt;"&amp;EOMONTH($V9,-4),$A:$A,"&lt;="&amp;EOMONTH($V9,-1))</f>
        <v/>
      </c>
      <c r="X9" s="1358">
        <f>Y9-W9</f>
        <v/>
      </c>
      <c r="Y9" s="1358">
        <f>AVERAGEIFS($E:$E,$A:$A,"&gt;"&amp;EOMONTH($V9,-4),$A:$A,"&lt;="&amp;EOMONTH($V9,-1))</f>
        <v/>
      </c>
      <c r="Z9" s="1358" t="n"/>
      <c r="AA9" s="1357" t="n">
        <v>31958</v>
      </c>
      <c r="AB9" s="1358">
        <f>AVERAGEIFS($B:$B,$A:$A,"&gt;"&amp;EOMONTH($AA9,-7),$A:$A,"&lt;="&amp;EOMONTH($AA9,-1))</f>
        <v/>
      </c>
      <c r="AC9" s="1358">
        <f>AD9-AB9</f>
        <v/>
      </c>
      <c r="AD9" s="1358">
        <f>AVERAGEIFS($E:$E,$A:$A,"&gt;"&amp;EOMONTH($AA9,-7),$A:$A,"&lt;="&amp;EOMONTH($AA9,-1))</f>
        <v/>
      </c>
      <c r="AF9" s="1357" t="n">
        <v>32142</v>
      </c>
      <c r="AG9" s="1358">
        <f>AVERAGEIFS($B:$B,$A:$A,"&gt;"&amp;EOMONTH($AF9,-13),$A:$A,"&lt;="&amp;EOMONTH($AF9,-1))</f>
        <v/>
      </c>
      <c r="AH9" s="1358">
        <f>AI9-AG9</f>
        <v/>
      </c>
      <c r="AI9" s="1358">
        <f>AVERAGEIFS($E:$E,$A:$A,"&gt;"&amp;EOMONTH($AF9,-13),$A:$A,"&lt;="&amp;EOMONTH($AF9,-1))</f>
        <v/>
      </c>
    </row>
    <row r="10">
      <c r="A10" s="544" t="n">
        <v>29222</v>
      </c>
      <c r="B10" s="637" t="n"/>
      <c r="C10" s="637" t="n"/>
      <c r="D10" s="637" t="n"/>
      <c r="E10" s="637" t="n"/>
      <c r="G10" s="1357">
        <f>EOMONTH(G9,3)</f>
        <v/>
      </c>
      <c r="H10" s="546">
        <f>AVERAGEIFS($B:$B,$A:$A,"&gt;"&amp;EOMONTH($G10,-3),$A:$A,"&lt;="&amp;EOMONTH($G10,0))</f>
        <v/>
      </c>
      <c r="I10" s="546">
        <f>J10-H10</f>
        <v/>
      </c>
      <c r="J10" s="546">
        <f>AVERAGEIFS($E:$E,$A:$A,"&gt;"&amp;EOMONTH($G10,-3),$A:$A,"&lt;="&amp;EOMONTH($G10,0))</f>
        <v/>
      </c>
      <c r="L10" s="1357">
        <f>EOMONTH(L9,6)</f>
        <v/>
      </c>
      <c r="M10" s="546">
        <f>AVERAGEIFS($B:$B,$A:$A,"&gt;"&amp;EOMONTH($L10,-6),$A:$A,"&lt;="&amp;EOMONTH($L10,0))</f>
        <v/>
      </c>
      <c r="N10" s="546">
        <f>O10-M10</f>
        <v/>
      </c>
      <c r="O10" s="546">
        <f>AVERAGEIFS($E:$E,$A:$A,"&gt;"&amp;EOMONTH($L10,-6),$A:$A,"&lt;="&amp;EOMONTH($L10,0))</f>
        <v/>
      </c>
      <c r="Q10" s="1357">
        <f>EOMONTH(Q9,12)</f>
        <v/>
      </c>
      <c r="R10" s="546">
        <f>AVERAGEIFS($B:$B,$A:$A,"&gt;"&amp;EOMONTH($Q10,-12),$A:$A,"&lt;="&amp;EOMONTH($Q10,0))</f>
        <v/>
      </c>
      <c r="S10" s="546">
        <f>T10-R10</f>
        <v/>
      </c>
      <c r="T10" s="546">
        <f>AVERAGEIFS($E:$E,$A:$A,"&gt;"&amp;EOMONTH($Q10,-12),$A:$A,"&lt;="&amp;EOMONTH($Q10,0))</f>
        <v/>
      </c>
      <c r="V10" s="1357">
        <f>EOMONTH(V9,3)</f>
        <v/>
      </c>
      <c r="W10" s="1358">
        <f>AVERAGEIFS(B:B,$A:$A,"&gt;"&amp;EOMONTH($V10,-4),$A:$A,"&lt;="&amp;EOMONTH($V10,-1))</f>
        <v/>
      </c>
      <c r="X10" s="1358">
        <f>Y10-W10</f>
        <v/>
      </c>
      <c r="Y10" s="1358">
        <f>AVERAGEIFS(E:E,$A:$A,"&gt;"&amp;EOMONTH($V10,-4),$A:$A,"&lt;="&amp;EOMONTH($V10,-1))</f>
        <v/>
      </c>
      <c r="AA10" s="1357">
        <f>EOMONTH(AA9,6)</f>
        <v/>
      </c>
      <c r="AB10" s="1358">
        <f>AVERAGEIFS($B:$B,$A:$A,"&gt;"&amp;EOMONTH($AA10,-7),$A:$A,"&lt;="&amp;EOMONTH($AA10,-1))</f>
        <v/>
      </c>
      <c r="AC10" s="1358">
        <f>AD10-AB10</f>
        <v/>
      </c>
      <c r="AD10" s="1358">
        <f>AVERAGEIFS($E:$E,$A:$A,"&gt;"&amp;EOMONTH($AA10,-7),$A:$A,"&lt;="&amp;EOMONTH($AA10,-1))</f>
        <v/>
      </c>
      <c r="AF10" s="1357">
        <f>EOMONTH(AF9,12)</f>
        <v/>
      </c>
      <c r="AG10" s="1358">
        <f>AVERAGEIFS($B:$B,$A:$A,"&gt;"&amp;EOMONTH($AF10,-13),$A:$A,"&lt;="&amp;EOMONTH($AF10,-1))</f>
        <v/>
      </c>
      <c r="AH10" s="1358">
        <f>AI10-AG10</f>
        <v/>
      </c>
      <c r="AI10" s="1358">
        <f>AVERAGEIFS($E:$E,$A:$A,"&gt;"&amp;EOMONTH($AF10,-13),$A:$A,"&lt;="&amp;EOMONTH($AF10,-1))</f>
        <v/>
      </c>
    </row>
    <row r="11">
      <c r="A11" s="544" t="n">
        <v>29223</v>
      </c>
      <c r="B11" s="637" t="n"/>
      <c r="C11" s="637" t="n"/>
      <c r="D11" s="637" t="n"/>
      <c r="E11" s="637" t="n"/>
      <c r="G11" s="1357">
        <f>EOMONTH(G10,3)</f>
        <v/>
      </c>
      <c r="H11" s="546">
        <f>AVERAGEIFS($B:$B,$A:$A,"&gt;"&amp;EOMONTH($G11,-3),$A:$A,"&lt;="&amp;EOMONTH($G11,0))</f>
        <v/>
      </c>
      <c r="I11" s="546">
        <f>J11-H11</f>
        <v/>
      </c>
      <c r="J11" s="546">
        <f>AVERAGEIFS($E:$E,$A:$A,"&gt;"&amp;EOMONTH($G11,-3),$A:$A,"&lt;="&amp;EOMONTH($G11,0))</f>
        <v/>
      </c>
      <c r="L11" s="1357">
        <f>EOMONTH(L10,6)</f>
        <v/>
      </c>
      <c r="M11" s="546">
        <f>AVERAGEIFS($B:$B,$A:$A,"&gt;"&amp;EOMONTH($L11,-6),$A:$A,"&lt;="&amp;EOMONTH($L11,0))</f>
        <v/>
      </c>
      <c r="N11" s="546">
        <f>O11-M11</f>
        <v/>
      </c>
      <c r="O11" s="546">
        <f>AVERAGEIFS($E:$E,$A:$A,"&gt;"&amp;EOMONTH($L11,-6),$A:$A,"&lt;="&amp;EOMONTH($L11,0))</f>
        <v/>
      </c>
      <c r="Q11" s="1357">
        <f>EOMONTH(Q10,12)</f>
        <v/>
      </c>
      <c r="R11" s="546">
        <f>AVERAGEIFS($B:$B,$A:$A,"&gt;"&amp;EOMONTH($Q11,-12),$A:$A,"&lt;="&amp;EOMONTH($Q11,0))</f>
        <v/>
      </c>
      <c r="S11" s="546">
        <f>T11-R11</f>
        <v/>
      </c>
      <c r="T11" s="546">
        <f>AVERAGEIFS($E:$E,$A:$A,"&gt;"&amp;EOMONTH($Q11,-12),$A:$A,"&lt;="&amp;EOMONTH($Q11,0))</f>
        <v/>
      </c>
      <c r="V11" s="1357">
        <f>EOMONTH(V10,3)</f>
        <v/>
      </c>
      <c r="W11" s="1358">
        <f>AVERAGEIFS(B:B,$A:$A,"&gt;"&amp;EOMONTH($V11,-4),$A:$A,"&lt;="&amp;EOMONTH($V11,-1))</f>
        <v/>
      </c>
      <c r="X11" s="1358">
        <f>Y11-W11</f>
        <v/>
      </c>
      <c r="Y11" s="1358">
        <f>AVERAGEIFS(E:E,$A:$A,"&gt;"&amp;EOMONTH($V11,-4),$A:$A,"&lt;="&amp;EOMONTH($V11,-1))</f>
        <v/>
      </c>
      <c r="AA11" s="1357">
        <f>EOMONTH(AA10,6)</f>
        <v/>
      </c>
      <c r="AB11" s="1358">
        <f>AVERAGEIFS($B:$B,$A:$A,"&gt;"&amp;EOMONTH($AA11,-7),$A:$A,"&lt;="&amp;EOMONTH($AA11,-1))</f>
        <v/>
      </c>
      <c r="AC11" s="1358">
        <f>AD11-AB11</f>
        <v/>
      </c>
      <c r="AD11" s="1358">
        <f>AVERAGEIFS($E:$E,$A:$A,"&gt;"&amp;EOMONTH($AA11,-7),$A:$A,"&lt;="&amp;EOMONTH($AA11,-1))</f>
        <v/>
      </c>
      <c r="AF11" s="1357">
        <f>EOMONTH(AF10,12)</f>
        <v/>
      </c>
      <c r="AG11" s="1358">
        <f>AVERAGEIFS($B:$B,$A:$A,"&gt;"&amp;EOMONTH($AF11,-13),$A:$A,"&lt;="&amp;EOMONTH($AF11,-1))</f>
        <v/>
      </c>
      <c r="AH11" s="1358">
        <f>AI11-AG11</f>
        <v/>
      </c>
      <c r="AI11" s="1358">
        <f>AVERAGEIFS($E:$E,$A:$A,"&gt;"&amp;EOMONTH($AF11,-13),$A:$A,"&lt;="&amp;EOMONTH($AF11,-1))</f>
        <v/>
      </c>
    </row>
    <row r="12">
      <c r="A12" s="544" t="n">
        <v>29224</v>
      </c>
      <c r="B12" s="637" t="n"/>
      <c r="C12" s="637" t="n"/>
      <c r="D12" s="637" t="n"/>
      <c r="E12" s="637" t="n"/>
      <c r="G12" s="1357">
        <f>EOMONTH(G11,3)</f>
        <v/>
      </c>
      <c r="H12" s="546">
        <f>AVERAGEIFS($B:$B,$A:$A,"&gt;"&amp;EOMONTH($G12,-3),$A:$A,"&lt;="&amp;EOMONTH($G12,0))</f>
        <v/>
      </c>
      <c r="I12" s="546">
        <f>J12-H12</f>
        <v/>
      </c>
      <c r="J12" s="546">
        <f>AVERAGEIFS($E:$E,$A:$A,"&gt;"&amp;EOMONTH($G12,-3),$A:$A,"&lt;="&amp;EOMONTH($G12,0))</f>
        <v/>
      </c>
      <c r="L12" s="1357">
        <f>EOMONTH(L11,6)</f>
        <v/>
      </c>
      <c r="M12" s="546">
        <f>AVERAGEIFS($B:$B,$A:$A,"&gt;"&amp;EOMONTH($L12,-6),$A:$A,"&lt;="&amp;EOMONTH($L12,0))</f>
        <v/>
      </c>
      <c r="N12" s="546">
        <f>O12-M12</f>
        <v/>
      </c>
      <c r="O12" s="546">
        <f>AVERAGEIFS($E:$E,$A:$A,"&gt;"&amp;EOMONTH($L12,-6),$A:$A,"&lt;="&amp;EOMONTH($L12,0))</f>
        <v/>
      </c>
      <c r="Q12" s="1357">
        <f>EOMONTH(Q11,12)</f>
        <v/>
      </c>
      <c r="R12" s="546">
        <f>AVERAGEIFS($B:$B,$A:$A,"&gt;"&amp;EOMONTH($Q12,-12),$A:$A,"&lt;="&amp;EOMONTH($Q12,0))</f>
        <v/>
      </c>
      <c r="S12" s="546">
        <f>T12-R12</f>
        <v/>
      </c>
      <c r="T12" s="546">
        <f>AVERAGEIFS($E:$E,$A:$A,"&gt;"&amp;EOMONTH($Q12,-12),$A:$A,"&lt;="&amp;EOMONTH($Q12,0))</f>
        <v/>
      </c>
      <c r="V12" s="1357">
        <f>EOMONTH(V11,3)</f>
        <v/>
      </c>
      <c r="W12" s="1358">
        <f>AVERAGEIFS(B:B,$A:$A,"&gt;"&amp;EOMONTH($V12,-4),$A:$A,"&lt;="&amp;EOMONTH($V12,-1))</f>
        <v/>
      </c>
      <c r="X12" s="1358">
        <f>Y12-W12</f>
        <v/>
      </c>
      <c r="Y12" s="1358">
        <f>AVERAGEIFS(E:E,$A:$A,"&gt;"&amp;EOMONTH($V12,-4),$A:$A,"&lt;="&amp;EOMONTH($V12,-1))</f>
        <v/>
      </c>
      <c r="AA12" s="1357">
        <f>EOMONTH(AA11,6)</f>
        <v/>
      </c>
      <c r="AB12" s="1358">
        <f>AVERAGEIFS($B:$B,$A:$A,"&gt;"&amp;EOMONTH($AA12,-7),$A:$A,"&lt;="&amp;EOMONTH($AA12,-1))</f>
        <v/>
      </c>
      <c r="AC12" s="1358">
        <f>AD12-AB12</f>
        <v/>
      </c>
      <c r="AD12" s="1358">
        <f>AVERAGEIFS($E:$E,$A:$A,"&gt;"&amp;EOMONTH($AA12,-7),$A:$A,"&lt;="&amp;EOMONTH($AA12,-1))</f>
        <v/>
      </c>
      <c r="AF12" s="1357">
        <f>EOMONTH(AF11,12)</f>
        <v/>
      </c>
      <c r="AG12" s="1358">
        <f>AVERAGEIFS($B:$B,$A:$A,"&gt;"&amp;EOMONTH($AF12,-13),$A:$A,"&lt;="&amp;EOMONTH($AF12,-1))</f>
        <v/>
      </c>
      <c r="AH12" s="1358">
        <f>AI12-AG12</f>
        <v/>
      </c>
      <c r="AI12" s="1358">
        <f>AVERAGEIFS($E:$E,$A:$A,"&gt;"&amp;EOMONTH($AF12,-13),$A:$A,"&lt;="&amp;EOMONTH($AF12,-1))</f>
        <v/>
      </c>
    </row>
    <row r="13">
      <c r="A13" s="544" t="n">
        <v>29227</v>
      </c>
      <c r="B13" s="637" t="n"/>
      <c r="C13" s="637" t="n"/>
      <c r="D13" s="637" t="n"/>
      <c r="E13" s="637" t="n"/>
      <c r="G13" s="1357">
        <f>EOMONTH(G12,3)</f>
        <v/>
      </c>
      <c r="H13" s="546">
        <f>AVERAGEIFS($B:$B,$A:$A,"&gt;"&amp;EOMONTH($G13,-3),$A:$A,"&lt;="&amp;EOMONTH($G13,0))</f>
        <v/>
      </c>
      <c r="I13" s="546">
        <f>J13-H13</f>
        <v/>
      </c>
      <c r="J13" s="546">
        <f>AVERAGEIFS($E:$E,$A:$A,"&gt;"&amp;EOMONTH($G13,-3),$A:$A,"&lt;="&amp;EOMONTH($G13,0))</f>
        <v/>
      </c>
      <c r="L13" s="1357">
        <f>EOMONTH(L12,6)</f>
        <v/>
      </c>
      <c r="M13" s="546">
        <f>AVERAGEIFS($B:$B,$A:$A,"&gt;"&amp;EOMONTH($L13,-6),$A:$A,"&lt;="&amp;EOMONTH($L13,0))</f>
        <v/>
      </c>
      <c r="N13" s="546">
        <f>O13-M13</f>
        <v/>
      </c>
      <c r="O13" s="546">
        <f>AVERAGEIFS($E:$E,$A:$A,"&gt;"&amp;EOMONTH($L13,-6),$A:$A,"&lt;="&amp;EOMONTH($L13,0))</f>
        <v/>
      </c>
      <c r="Q13" s="1357">
        <f>EOMONTH(Q12,12)</f>
        <v/>
      </c>
      <c r="R13" s="546">
        <f>AVERAGEIFS($B:$B,$A:$A,"&gt;"&amp;EOMONTH($Q13,-12),$A:$A,"&lt;="&amp;EOMONTH($Q13,0))</f>
        <v/>
      </c>
      <c r="S13" s="546">
        <f>T13-R13</f>
        <v/>
      </c>
      <c r="T13" s="546">
        <f>AVERAGEIFS($E:$E,$A:$A,"&gt;"&amp;EOMONTH($Q13,-12),$A:$A,"&lt;="&amp;EOMONTH($Q13,0))</f>
        <v/>
      </c>
      <c r="V13" s="1357">
        <f>EOMONTH(V12,3)</f>
        <v/>
      </c>
      <c r="W13" s="1358">
        <f>AVERAGEIFS(B:B,$A:$A,"&gt;"&amp;EOMONTH($V13,-4),$A:$A,"&lt;="&amp;EOMONTH($V13,-1))</f>
        <v/>
      </c>
      <c r="X13" s="1358">
        <f>Y13-W13</f>
        <v/>
      </c>
      <c r="Y13" s="1358">
        <f>AVERAGEIFS(E:E,$A:$A,"&gt;"&amp;EOMONTH($V13,-4),$A:$A,"&lt;="&amp;EOMONTH($V13,-1))</f>
        <v/>
      </c>
      <c r="AA13" s="1357">
        <f>EOMONTH(AA12,6)</f>
        <v/>
      </c>
      <c r="AB13" s="1358">
        <f>AVERAGEIFS($B:$B,$A:$A,"&gt;"&amp;EOMONTH($AA13,-7),$A:$A,"&lt;="&amp;EOMONTH($AA13,-1))</f>
        <v/>
      </c>
      <c r="AC13" s="1358">
        <f>AD13-AB13</f>
        <v/>
      </c>
      <c r="AD13" s="1358">
        <f>AVERAGEIFS($E:$E,$A:$A,"&gt;"&amp;EOMONTH($AA13,-7),$A:$A,"&lt;="&amp;EOMONTH($AA13,-1))</f>
        <v/>
      </c>
      <c r="AF13" s="1357">
        <f>EOMONTH(AF12,12)</f>
        <v/>
      </c>
      <c r="AG13" s="1358">
        <f>AVERAGEIFS($B:$B,$A:$A,"&gt;"&amp;EOMONTH($AF13,-13),$A:$A,"&lt;="&amp;EOMONTH($AF13,-1))</f>
        <v/>
      </c>
      <c r="AH13" s="1358">
        <f>AI13-AG13</f>
        <v/>
      </c>
      <c r="AI13" s="1358">
        <f>AVERAGEIFS($E:$E,$A:$A,"&gt;"&amp;EOMONTH($AF13,-13),$A:$A,"&lt;="&amp;EOMONTH($AF13,-1))</f>
        <v/>
      </c>
    </row>
    <row r="14">
      <c r="A14" s="544" t="n">
        <v>29228</v>
      </c>
      <c r="B14" s="637" t="n"/>
      <c r="C14" s="637" t="n"/>
      <c r="D14" s="637" t="n"/>
      <c r="E14" s="637" t="n"/>
      <c r="G14" s="1357">
        <f>EOMONTH(G13,3)</f>
        <v/>
      </c>
      <c r="H14" s="546">
        <f>AVERAGEIFS($B:$B,$A:$A,"&gt;"&amp;EOMONTH($G14,-3),$A:$A,"&lt;="&amp;EOMONTH($G14,0))</f>
        <v/>
      </c>
      <c r="I14" s="546">
        <f>J14-H14</f>
        <v/>
      </c>
      <c r="J14" s="546">
        <f>AVERAGEIFS($E:$E,$A:$A,"&gt;"&amp;EOMONTH($G14,-3),$A:$A,"&lt;="&amp;EOMONTH($G14,0))</f>
        <v/>
      </c>
      <c r="L14" s="1357">
        <f>EOMONTH(L13,6)</f>
        <v/>
      </c>
      <c r="M14" s="546">
        <f>AVERAGEIFS($B:$B,$A:$A,"&gt;"&amp;EOMONTH($L14,-6),$A:$A,"&lt;="&amp;EOMONTH($L14,0))</f>
        <v/>
      </c>
      <c r="N14" s="546">
        <f>O14-M14</f>
        <v/>
      </c>
      <c r="O14" s="546">
        <f>AVERAGEIFS($E:$E,$A:$A,"&gt;"&amp;EOMONTH($L14,-6),$A:$A,"&lt;="&amp;EOMONTH($L14,0))</f>
        <v/>
      </c>
      <c r="Q14" s="1357">
        <f>EOMONTH(Q13,12)</f>
        <v/>
      </c>
      <c r="R14" s="546">
        <f>AVERAGEIFS($B:$B,$A:$A,"&gt;"&amp;EOMONTH($Q14,-12),$A:$A,"&lt;="&amp;EOMONTH($Q14,0))</f>
        <v/>
      </c>
      <c r="S14" s="546">
        <f>T14-R14</f>
        <v/>
      </c>
      <c r="T14" s="546">
        <f>AVERAGEIFS($E:$E,$A:$A,"&gt;"&amp;EOMONTH($Q14,-12),$A:$A,"&lt;="&amp;EOMONTH($Q14,0))</f>
        <v/>
      </c>
      <c r="V14" s="1357">
        <f>EOMONTH(V13,3)</f>
        <v/>
      </c>
      <c r="W14" s="1358">
        <f>AVERAGEIFS(B:B,$A:$A,"&gt;"&amp;EOMONTH($V14,-4),$A:$A,"&lt;="&amp;EOMONTH($V14,-1))</f>
        <v/>
      </c>
      <c r="X14" s="1358">
        <f>Y14-W14</f>
        <v/>
      </c>
      <c r="Y14" s="1358">
        <f>AVERAGEIFS(E:E,$A:$A,"&gt;"&amp;EOMONTH($V14,-4),$A:$A,"&lt;="&amp;EOMONTH($V14,-1))</f>
        <v/>
      </c>
      <c r="AA14" s="1357">
        <f>EOMONTH(AA13,6)</f>
        <v/>
      </c>
      <c r="AB14" s="1358">
        <f>AVERAGEIFS($B:$B,$A:$A,"&gt;"&amp;EOMONTH($AA14,-7),$A:$A,"&lt;="&amp;EOMONTH($AA14,-1))</f>
        <v/>
      </c>
      <c r="AC14" s="1358">
        <f>AD14-AB14</f>
        <v/>
      </c>
      <c r="AD14" s="1358">
        <f>AVERAGEIFS($E:$E,$A:$A,"&gt;"&amp;EOMONTH($AA14,-7),$A:$A,"&lt;="&amp;EOMONTH($AA14,-1))</f>
        <v/>
      </c>
      <c r="AF14" s="1357">
        <f>EOMONTH(AF13,12)</f>
        <v/>
      </c>
      <c r="AG14" s="1358">
        <f>AVERAGEIFS($B:$B,$A:$A,"&gt;"&amp;EOMONTH($AF14,-13),$A:$A,"&lt;="&amp;EOMONTH($AF14,-1))</f>
        <v/>
      </c>
      <c r="AH14" s="1358">
        <f>AI14-AG14</f>
        <v/>
      </c>
      <c r="AI14" s="1358">
        <f>AVERAGEIFS($E:$E,$A:$A,"&gt;"&amp;EOMONTH($AF14,-13),$A:$A,"&lt;="&amp;EOMONTH($AF14,-1))</f>
        <v/>
      </c>
    </row>
    <row r="15">
      <c r="A15" s="544" t="n">
        <v>29229</v>
      </c>
      <c r="B15" s="637" t="n"/>
      <c r="C15" s="637" t="n"/>
      <c r="D15" s="637" t="n"/>
      <c r="E15" s="637" t="n"/>
      <c r="G15" s="1357">
        <f>EOMONTH(G14,3)</f>
        <v/>
      </c>
      <c r="H15" s="546">
        <f>AVERAGEIFS($B:$B,$A:$A,"&gt;"&amp;EOMONTH($G15,-3),$A:$A,"&lt;="&amp;EOMONTH($G15,0))</f>
        <v/>
      </c>
      <c r="I15" s="546">
        <f>J15-H15</f>
        <v/>
      </c>
      <c r="J15" s="546">
        <f>AVERAGEIFS($E:$E,$A:$A,"&gt;"&amp;EOMONTH($G15,-3),$A:$A,"&lt;="&amp;EOMONTH($G15,0))</f>
        <v/>
      </c>
      <c r="L15" s="1357">
        <f>EOMONTH(L14,6)</f>
        <v/>
      </c>
      <c r="M15" s="546">
        <f>AVERAGEIFS($B:$B,$A:$A,"&gt;"&amp;EOMONTH($L15,-6),$A:$A,"&lt;="&amp;EOMONTH($L15,0))</f>
        <v/>
      </c>
      <c r="N15" s="546">
        <f>O15-M15</f>
        <v/>
      </c>
      <c r="O15" s="546">
        <f>AVERAGEIFS($E:$E,$A:$A,"&gt;"&amp;EOMONTH($L15,-6),$A:$A,"&lt;="&amp;EOMONTH($L15,0))</f>
        <v/>
      </c>
      <c r="Q15" s="1357">
        <f>EOMONTH(Q14,12)</f>
        <v/>
      </c>
      <c r="R15" s="546">
        <f>AVERAGEIFS($B:$B,$A:$A,"&gt;"&amp;EOMONTH($Q15,-12),$A:$A,"&lt;="&amp;EOMONTH($Q15,0))</f>
        <v/>
      </c>
      <c r="S15" s="546">
        <f>T15-R15</f>
        <v/>
      </c>
      <c r="T15" s="546">
        <f>AVERAGEIFS($E:$E,$A:$A,"&gt;"&amp;EOMONTH($Q15,-12),$A:$A,"&lt;="&amp;EOMONTH($Q15,0))</f>
        <v/>
      </c>
      <c r="V15" s="1357">
        <f>EOMONTH(V14,3)</f>
        <v/>
      </c>
      <c r="W15" s="1358">
        <f>AVERAGEIFS(B:B,$A:$A,"&gt;"&amp;EOMONTH($V15,-4),$A:$A,"&lt;="&amp;EOMONTH($V15,-1))</f>
        <v/>
      </c>
      <c r="X15" s="1358">
        <f>Y15-W15</f>
        <v/>
      </c>
      <c r="Y15" s="1358">
        <f>AVERAGEIFS(E:E,$A:$A,"&gt;"&amp;EOMONTH($V15,-4),$A:$A,"&lt;="&amp;EOMONTH($V15,-1))</f>
        <v/>
      </c>
      <c r="AA15" s="1357">
        <f>EOMONTH(AA14,6)</f>
        <v/>
      </c>
      <c r="AB15" s="1358">
        <f>AVERAGEIFS($B:$B,$A:$A,"&gt;"&amp;EOMONTH($AA15,-7),$A:$A,"&lt;="&amp;EOMONTH($AA15,-1))</f>
        <v/>
      </c>
      <c r="AC15" s="1358">
        <f>AD15-AB15</f>
        <v/>
      </c>
      <c r="AD15" s="1358">
        <f>AVERAGEIFS($E:$E,$A:$A,"&gt;"&amp;EOMONTH($AA15,-7),$A:$A,"&lt;="&amp;EOMONTH($AA15,-1))</f>
        <v/>
      </c>
      <c r="AF15" s="1357">
        <f>EOMONTH(AF14,12)</f>
        <v/>
      </c>
      <c r="AG15" s="1358">
        <f>AVERAGEIFS($B:$B,$A:$A,"&gt;"&amp;EOMONTH($AF15,-13),$A:$A,"&lt;="&amp;EOMONTH($AF15,-1))</f>
        <v/>
      </c>
      <c r="AH15" s="1358">
        <f>AI15-AG15</f>
        <v/>
      </c>
      <c r="AI15" s="1358">
        <f>AVERAGEIFS($E:$E,$A:$A,"&gt;"&amp;EOMONTH($AF15,-13),$A:$A,"&lt;="&amp;EOMONTH($AF15,-1))</f>
        <v/>
      </c>
    </row>
    <row r="16">
      <c r="A16" s="544" t="n">
        <v>29230</v>
      </c>
      <c r="B16" s="637" t="n"/>
      <c r="C16" s="637" t="n"/>
      <c r="D16" s="637" t="n"/>
      <c r="E16" s="637" t="n"/>
      <c r="G16" s="1357">
        <f>EOMONTH(G15,3)</f>
        <v/>
      </c>
      <c r="H16" s="546">
        <f>AVERAGEIFS($B:$B,$A:$A,"&gt;"&amp;EOMONTH($G16,-3),$A:$A,"&lt;="&amp;EOMONTH($G16,0))</f>
        <v/>
      </c>
      <c r="I16" s="546">
        <f>J16-H16</f>
        <v/>
      </c>
      <c r="J16" s="546">
        <f>AVERAGEIFS($E:$E,$A:$A,"&gt;"&amp;EOMONTH($G16,-3),$A:$A,"&lt;="&amp;EOMONTH($G16,0))</f>
        <v/>
      </c>
      <c r="L16" s="1357">
        <f>EOMONTH(L15,6)</f>
        <v/>
      </c>
      <c r="M16" s="546">
        <f>AVERAGEIFS($B:$B,$A:$A,"&gt;"&amp;EOMONTH($L16,-6),$A:$A,"&lt;="&amp;EOMONTH($L16,0))</f>
        <v/>
      </c>
      <c r="N16" s="546">
        <f>O16-M16</f>
        <v/>
      </c>
      <c r="O16" s="546">
        <f>AVERAGEIFS($E:$E,$A:$A,"&gt;"&amp;EOMONTH($L16,-6),$A:$A,"&lt;="&amp;EOMONTH($L16,0))</f>
        <v/>
      </c>
      <c r="Q16" s="1357">
        <f>EOMONTH(Q15,12)</f>
        <v/>
      </c>
      <c r="R16" s="546">
        <f>AVERAGEIFS($B:$B,$A:$A,"&gt;"&amp;EOMONTH($Q16,-12),$A:$A,"&lt;="&amp;EOMONTH($Q16,0))</f>
        <v/>
      </c>
      <c r="S16" s="546">
        <f>T16-R16</f>
        <v/>
      </c>
      <c r="T16" s="546">
        <f>AVERAGEIFS($E:$E,$A:$A,"&gt;"&amp;EOMONTH($Q16,-12),$A:$A,"&lt;="&amp;EOMONTH($Q16,0))</f>
        <v/>
      </c>
      <c r="V16" s="1357">
        <f>EOMONTH(V15,3)</f>
        <v/>
      </c>
      <c r="W16" s="1358">
        <f>AVERAGEIFS(B:B,$A:$A,"&gt;"&amp;EOMONTH($V16,-4),$A:$A,"&lt;="&amp;EOMONTH($V16,-1))</f>
        <v/>
      </c>
      <c r="X16" s="1358">
        <f>Y16-W16</f>
        <v/>
      </c>
      <c r="Y16" s="1358">
        <f>AVERAGEIFS(E:E,$A:$A,"&gt;"&amp;EOMONTH($V16,-4),$A:$A,"&lt;="&amp;EOMONTH($V16,-1))</f>
        <v/>
      </c>
      <c r="AA16" s="1357">
        <f>EOMONTH(AA15,6)</f>
        <v/>
      </c>
      <c r="AB16" s="1358">
        <f>AVERAGEIFS($B:$B,$A:$A,"&gt;"&amp;EOMONTH($AA16,-7),$A:$A,"&lt;="&amp;EOMONTH($AA16,-1))</f>
        <v/>
      </c>
      <c r="AC16" s="1358">
        <f>AD16-AB16</f>
        <v/>
      </c>
      <c r="AD16" s="1358">
        <f>AVERAGEIFS($E:$E,$A:$A,"&gt;"&amp;EOMONTH($AA16,-7),$A:$A,"&lt;="&amp;EOMONTH($AA16,-1))</f>
        <v/>
      </c>
      <c r="AF16" s="1357">
        <f>EOMONTH(AF15,12)</f>
        <v/>
      </c>
      <c r="AG16" s="1358">
        <f>AVERAGEIFS($B:$B,$A:$A,"&gt;"&amp;EOMONTH($AF16,-13),$A:$A,"&lt;="&amp;EOMONTH($AF16,-1))</f>
        <v/>
      </c>
      <c r="AH16" s="1358">
        <f>AI16-AG16</f>
        <v/>
      </c>
      <c r="AI16" s="1358">
        <f>AVERAGEIFS($E:$E,$A:$A,"&gt;"&amp;EOMONTH($AF16,-13),$A:$A,"&lt;="&amp;EOMONTH($AF16,-1))</f>
        <v/>
      </c>
    </row>
    <row r="17">
      <c r="A17" s="544" t="n">
        <v>29231</v>
      </c>
      <c r="B17" s="637" t="n"/>
      <c r="C17" s="637" t="n"/>
      <c r="D17" s="637" t="n"/>
      <c r="E17" s="637" t="n"/>
      <c r="G17" s="1357">
        <f>EOMONTH(G16,3)</f>
        <v/>
      </c>
      <c r="H17" s="546">
        <f>AVERAGEIFS($B:$B,$A:$A,"&gt;"&amp;EOMONTH($G17,-3),$A:$A,"&lt;="&amp;EOMONTH($G17,0))</f>
        <v/>
      </c>
      <c r="I17" s="546">
        <f>J17-H17</f>
        <v/>
      </c>
      <c r="J17" s="546">
        <f>AVERAGEIFS($E:$E,$A:$A,"&gt;"&amp;EOMONTH($G17,-3),$A:$A,"&lt;="&amp;EOMONTH($G17,0))</f>
        <v/>
      </c>
      <c r="L17" s="1357">
        <f>EOMONTH(L16,6)</f>
        <v/>
      </c>
      <c r="M17" s="546">
        <f>AVERAGEIFS($B:$B,$A:$A,"&gt;"&amp;EOMONTH($L17,-6),$A:$A,"&lt;="&amp;EOMONTH($L17,0))</f>
        <v/>
      </c>
      <c r="N17" s="546">
        <f>O17-M17</f>
        <v/>
      </c>
      <c r="O17" s="546">
        <f>AVERAGEIFS($E:$E,$A:$A,"&gt;"&amp;EOMONTH($L17,-6),$A:$A,"&lt;="&amp;EOMONTH($L17,0))</f>
        <v/>
      </c>
      <c r="Q17" s="1357">
        <f>EOMONTH(Q16,12)</f>
        <v/>
      </c>
      <c r="R17" s="546">
        <f>AVERAGEIFS($B:$B,$A:$A,"&gt;"&amp;EOMONTH($Q17,-12),$A:$A,"&lt;="&amp;EOMONTH($Q17,0))</f>
        <v/>
      </c>
      <c r="S17" s="546">
        <f>T17-R17</f>
        <v/>
      </c>
      <c r="T17" s="546">
        <f>AVERAGEIFS($E:$E,$A:$A,"&gt;"&amp;EOMONTH($Q17,-12),$A:$A,"&lt;="&amp;EOMONTH($Q17,0))</f>
        <v/>
      </c>
      <c r="V17" s="1357">
        <f>EOMONTH(V16,3)</f>
        <v/>
      </c>
      <c r="W17" s="1358">
        <f>AVERAGEIFS(B:B,$A:$A,"&gt;"&amp;EOMONTH($V17,-4),$A:$A,"&lt;="&amp;EOMONTH($V17,-1))</f>
        <v/>
      </c>
      <c r="X17" s="1358">
        <f>Y17-W17</f>
        <v/>
      </c>
      <c r="Y17" s="1358">
        <f>AVERAGEIFS(E:E,$A:$A,"&gt;"&amp;EOMONTH($V17,-4),$A:$A,"&lt;="&amp;EOMONTH($V17,-1))</f>
        <v/>
      </c>
      <c r="AA17" s="1357">
        <f>EOMONTH(AA16,6)</f>
        <v/>
      </c>
      <c r="AB17" s="1358">
        <f>AVERAGEIFS($B:$B,$A:$A,"&gt;"&amp;EOMONTH($AA17,-7),$A:$A,"&lt;="&amp;EOMONTH($AA17,-1))</f>
        <v/>
      </c>
      <c r="AC17" s="1358">
        <f>AD17-AB17</f>
        <v/>
      </c>
      <c r="AD17" s="1358">
        <f>AVERAGEIFS($E:$E,$A:$A,"&gt;"&amp;EOMONTH($AA17,-7),$A:$A,"&lt;="&amp;EOMONTH($AA17,-1))</f>
        <v/>
      </c>
      <c r="AF17" s="1357">
        <f>EOMONTH(AF16,12)</f>
        <v/>
      </c>
      <c r="AG17" s="1358">
        <f>AVERAGEIFS($B:$B,$A:$A,"&gt;"&amp;EOMONTH($AF17,-13),$A:$A,"&lt;="&amp;EOMONTH($AF17,-1))</f>
        <v/>
      </c>
      <c r="AH17" s="1358">
        <f>AI17-AG17</f>
        <v/>
      </c>
      <c r="AI17" s="1358">
        <f>AVERAGEIFS($E:$E,$A:$A,"&gt;"&amp;EOMONTH($AF17,-13),$A:$A,"&lt;="&amp;EOMONTH($AF17,-1))</f>
        <v/>
      </c>
    </row>
    <row r="18">
      <c r="A18" s="544" t="n">
        <v>29234</v>
      </c>
      <c r="B18" s="637" t="n"/>
      <c r="C18" s="637" t="n"/>
      <c r="D18" s="637" t="n"/>
      <c r="E18" s="637" t="n"/>
      <c r="G18" s="1357">
        <f>EOMONTH(G17,3)</f>
        <v/>
      </c>
      <c r="H18" s="546">
        <f>AVERAGEIFS($B:$B,$A:$A,"&gt;"&amp;EOMONTH($G18,-3),$A:$A,"&lt;="&amp;EOMONTH($G18,0))</f>
        <v/>
      </c>
      <c r="I18" s="546">
        <f>J18-H18</f>
        <v/>
      </c>
      <c r="J18" s="546">
        <f>AVERAGEIFS($E:$E,$A:$A,"&gt;"&amp;EOMONTH($G18,-3),$A:$A,"&lt;="&amp;EOMONTH($G18,0))</f>
        <v/>
      </c>
      <c r="L18" s="1357">
        <f>EOMONTH(L17,6)</f>
        <v/>
      </c>
      <c r="M18" s="546">
        <f>AVERAGEIFS($B:$B,$A:$A,"&gt;"&amp;EOMONTH($L18,-6),$A:$A,"&lt;="&amp;EOMONTH($L18,0))</f>
        <v/>
      </c>
      <c r="N18" s="546">
        <f>O18-M18</f>
        <v/>
      </c>
      <c r="O18" s="546">
        <f>AVERAGEIFS($E:$E,$A:$A,"&gt;"&amp;EOMONTH($L18,-6),$A:$A,"&lt;="&amp;EOMONTH($L18,0))</f>
        <v/>
      </c>
      <c r="Q18" s="1357">
        <f>EOMONTH(Q17,12)</f>
        <v/>
      </c>
      <c r="R18" s="546">
        <f>AVERAGEIFS($B:$B,$A:$A,"&gt;"&amp;EOMONTH($Q18,-12),$A:$A,"&lt;="&amp;EOMONTH($Q18,0))</f>
        <v/>
      </c>
      <c r="S18" s="546">
        <f>T18-R18</f>
        <v/>
      </c>
      <c r="T18" s="546">
        <f>AVERAGEIFS($E:$E,$A:$A,"&gt;"&amp;EOMONTH($Q18,-12),$A:$A,"&lt;="&amp;EOMONTH($Q18,0))</f>
        <v/>
      </c>
      <c r="V18" s="1357">
        <f>EOMONTH(V17,3)</f>
        <v/>
      </c>
      <c r="W18" s="1358">
        <f>AVERAGEIFS(B:B,$A:$A,"&gt;"&amp;EOMONTH($V18,-4),$A:$A,"&lt;="&amp;EOMONTH($V18,-1))</f>
        <v/>
      </c>
      <c r="X18" s="1358">
        <f>Y18-W18</f>
        <v/>
      </c>
      <c r="Y18" s="1358">
        <f>AVERAGEIFS(E:E,$A:$A,"&gt;"&amp;EOMONTH($V18,-4),$A:$A,"&lt;="&amp;EOMONTH($V18,-1))</f>
        <v/>
      </c>
      <c r="AA18" s="1357">
        <f>EOMONTH(AA17,6)</f>
        <v/>
      </c>
      <c r="AB18" s="1358">
        <f>AVERAGEIFS($B:$B,$A:$A,"&gt;"&amp;EOMONTH($AA18,-7),$A:$A,"&lt;="&amp;EOMONTH($AA18,-1))</f>
        <v/>
      </c>
      <c r="AC18" s="1358">
        <f>AD18-AB18</f>
        <v/>
      </c>
      <c r="AD18" s="1358">
        <f>AVERAGEIFS($E:$E,$A:$A,"&gt;"&amp;EOMONTH($AA18,-7),$A:$A,"&lt;="&amp;EOMONTH($AA18,-1))</f>
        <v/>
      </c>
      <c r="AF18" s="1357">
        <f>EOMONTH(AF17,12)</f>
        <v/>
      </c>
      <c r="AG18" s="1358">
        <f>AVERAGEIFS($B:$B,$A:$A,"&gt;"&amp;EOMONTH($AF18,-13),$A:$A,"&lt;="&amp;EOMONTH($AF18,-1))</f>
        <v/>
      </c>
      <c r="AH18" s="1358">
        <f>AI18-AG18</f>
        <v/>
      </c>
      <c r="AI18" s="1358">
        <f>AVERAGEIFS($E:$E,$A:$A,"&gt;"&amp;EOMONTH($AF18,-13),$A:$A,"&lt;="&amp;EOMONTH($AF18,-1))</f>
        <v/>
      </c>
    </row>
    <row r="19">
      <c r="A19" s="544" t="n">
        <v>29235</v>
      </c>
      <c r="B19" s="637" t="n"/>
      <c r="C19" s="637" t="n"/>
      <c r="D19" s="637" t="n"/>
      <c r="E19" s="637" t="n"/>
      <c r="G19" s="1357">
        <f>EOMONTH(G18,3)</f>
        <v/>
      </c>
      <c r="H19" s="546">
        <f>AVERAGEIFS($B:$B,$A:$A,"&gt;"&amp;EOMONTH($G19,-3),$A:$A,"&lt;="&amp;EOMONTH($G19,0))</f>
        <v/>
      </c>
      <c r="I19" s="546">
        <f>J19-H19</f>
        <v/>
      </c>
      <c r="J19" s="546">
        <f>AVERAGEIFS($E:$E,$A:$A,"&gt;"&amp;EOMONTH($G19,-3),$A:$A,"&lt;="&amp;EOMONTH($G19,0))</f>
        <v/>
      </c>
      <c r="L19" s="1357">
        <f>EOMONTH(L18,6)</f>
        <v/>
      </c>
      <c r="M19" s="546">
        <f>AVERAGEIFS($B:$B,$A:$A,"&gt;"&amp;EOMONTH($L19,-6),$A:$A,"&lt;="&amp;EOMONTH($L19,0))</f>
        <v/>
      </c>
      <c r="N19" s="546">
        <f>O19-M19</f>
        <v/>
      </c>
      <c r="O19" s="546">
        <f>AVERAGEIFS($E:$E,$A:$A,"&gt;"&amp;EOMONTH($L19,-6),$A:$A,"&lt;="&amp;EOMONTH($L19,0))</f>
        <v/>
      </c>
      <c r="Q19" s="1357">
        <f>EOMONTH(Q18,12)</f>
        <v/>
      </c>
      <c r="R19" s="546">
        <f>AVERAGEIFS($B:$B,$A:$A,"&gt;"&amp;EOMONTH($Q19,-12),$A:$A,"&lt;="&amp;EOMONTH($Q19,0))</f>
        <v/>
      </c>
      <c r="S19" s="546">
        <f>T19-R19</f>
        <v/>
      </c>
      <c r="T19" s="546">
        <f>AVERAGEIFS($E:$E,$A:$A,"&gt;"&amp;EOMONTH($Q19,-12),$A:$A,"&lt;="&amp;EOMONTH($Q19,0))</f>
        <v/>
      </c>
      <c r="V19" s="1357">
        <f>EOMONTH(V18,3)</f>
        <v/>
      </c>
      <c r="W19" s="1358">
        <f>AVERAGEIFS(B:B,$A:$A,"&gt;"&amp;EOMONTH($V19,-4),$A:$A,"&lt;="&amp;EOMONTH($V19,-1))</f>
        <v/>
      </c>
      <c r="X19" s="1358">
        <f>Y19-W19</f>
        <v/>
      </c>
      <c r="Y19" s="1358">
        <f>AVERAGEIFS(E:E,$A:$A,"&gt;"&amp;EOMONTH($V19,-4),$A:$A,"&lt;="&amp;EOMONTH($V19,-1))</f>
        <v/>
      </c>
      <c r="AA19" s="1357">
        <f>EOMONTH(AA18,6)</f>
        <v/>
      </c>
      <c r="AB19" s="1358">
        <f>AVERAGEIFS($B:$B,$A:$A,"&gt;"&amp;EOMONTH($AA19,-7),$A:$A,"&lt;="&amp;EOMONTH($AA19,-1))</f>
        <v/>
      </c>
      <c r="AC19" s="1358">
        <f>AD19-AB19</f>
        <v/>
      </c>
      <c r="AD19" s="1358">
        <f>AVERAGEIFS($E:$E,$A:$A,"&gt;"&amp;EOMONTH($AA19,-7),$A:$A,"&lt;="&amp;EOMONTH($AA19,-1))</f>
        <v/>
      </c>
      <c r="AF19" s="1357">
        <f>EOMONTH(AF18,12)</f>
        <v/>
      </c>
      <c r="AG19" s="1358">
        <f>AVERAGEIFS($B:$B,$A:$A,"&gt;"&amp;EOMONTH($AF19,-13),$A:$A,"&lt;="&amp;EOMONTH($AF19,-1))</f>
        <v/>
      </c>
      <c r="AH19" s="1358">
        <f>AI19-AG19</f>
        <v/>
      </c>
      <c r="AI19" s="1358">
        <f>AVERAGEIFS($E:$E,$A:$A,"&gt;"&amp;EOMONTH($AF19,-13),$A:$A,"&lt;="&amp;EOMONTH($AF19,-1))</f>
        <v/>
      </c>
    </row>
    <row r="20">
      <c r="A20" s="544" t="n">
        <v>29236</v>
      </c>
      <c r="B20" s="637" t="n"/>
      <c r="C20" s="637" t="n"/>
      <c r="D20" s="637" t="n"/>
      <c r="E20" s="637" t="n"/>
      <c r="G20" s="1357">
        <f>EOMONTH(G19,3)</f>
        <v/>
      </c>
      <c r="H20" s="546">
        <f>AVERAGEIFS($B:$B,$A:$A,"&gt;"&amp;EOMONTH($G20,-3),$A:$A,"&lt;="&amp;EOMONTH($G20,0))</f>
        <v/>
      </c>
      <c r="I20" s="546">
        <f>J20-H20</f>
        <v/>
      </c>
      <c r="J20" s="546">
        <f>AVERAGEIFS($E:$E,$A:$A,"&gt;"&amp;EOMONTH($G20,-3),$A:$A,"&lt;="&amp;EOMONTH($G20,0))</f>
        <v/>
      </c>
      <c r="L20" s="1357">
        <f>EOMONTH(L19,6)</f>
        <v/>
      </c>
      <c r="M20" s="546">
        <f>AVERAGEIFS($B:$B,$A:$A,"&gt;"&amp;EOMONTH($L20,-6),$A:$A,"&lt;="&amp;EOMONTH($L20,0))</f>
        <v/>
      </c>
      <c r="N20" s="546">
        <f>O20-M20</f>
        <v/>
      </c>
      <c r="O20" s="546">
        <f>AVERAGEIFS($E:$E,$A:$A,"&gt;"&amp;EOMONTH($L20,-6),$A:$A,"&lt;="&amp;EOMONTH($L20,0))</f>
        <v/>
      </c>
      <c r="Q20" s="1357">
        <f>EOMONTH(Q19,12)</f>
        <v/>
      </c>
      <c r="R20" s="546">
        <f>AVERAGEIFS($B:$B,$A:$A,"&gt;"&amp;EOMONTH($Q20,-12),$A:$A,"&lt;="&amp;EOMONTH($Q20,0))</f>
        <v/>
      </c>
      <c r="S20" s="546">
        <f>T20-R20</f>
        <v/>
      </c>
      <c r="T20" s="546">
        <f>AVERAGEIFS($E:$E,$A:$A,"&gt;"&amp;EOMONTH($Q20,-12),$A:$A,"&lt;="&amp;EOMONTH($Q20,0))</f>
        <v/>
      </c>
      <c r="V20" s="1357">
        <f>EOMONTH(V19,3)</f>
        <v/>
      </c>
      <c r="W20" s="1358">
        <f>AVERAGEIFS(B:B,$A:$A,"&gt;"&amp;EOMONTH($V20,-4),$A:$A,"&lt;="&amp;EOMONTH($V20,-1))</f>
        <v/>
      </c>
      <c r="X20" s="1358">
        <f>Y20-W20</f>
        <v/>
      </c>
      <c r="Y20" s="1358">
        <f>AVERAGEIFS(E:E,$A:$A,"&gt;"&amp;EOMONTH($V20,-4),$A:$A,"&lt;="&amp;EOMONTH($V20,-1))</f>
        <v/>
      </c>
      <c r="AA20" s="1357">
        <f>EOMONTH(AA19,6)</f>
        <v/>
      </c>
      <c r="AB20" s="1358">
        <f>AVERAGEIFS($B:$B,$A:$A,"&gt;"&amp;EOMONTH($AA20,-7),$A:$A,"&lt;="&amp;EOMONTH($AA20,-1))</f>
        <v/>
      </c>
      <c r="AC20" s="1358">
        <f>AD20-AB20</f>
        <v/>
      </c>
      <c r="AD20" s="1358">
        <f>AVERAGEIFS($E:$E,$A:$A,"&gt;"&amp;EOMONTH($AA20,-7),$A:$A,"&lt;="&amp;EOMONTH($AA20,-1))</f>
        <v/>
      </c>
      <c r="AF20" s="1357">
        <f>EOMONTH(AF19,12)</f>
        <v/>
      </c>
      <c r="AG20" s="1358">
        <f>AVERAGEIFS($B:$B,$A:$A,"&gt;"&amp;EOMONTH($AF20,-13),$A:$A,"&lt;="&amp;EOMONTH($AF20,-1))</f>
        <v/>
      </c>
      <c r="AH20" s="1358">
        <f>AI20-AG20</f>
        <v/>
      </c>
      <c r="AI20" s="1358">
        <f>AVERAGEIFS($E:$E,$A:$A,"&gt;"&amp;EOMONTH($AF20,-13),$A:$A,"&lt;="&amp;EOMONTH($AF20,-1))</f>
        <v/>
      </c>
    </row>
    <row r="21">
      <c r="A21" s="544" t="n">
        <v>29237</v>
      </c>
      <c r="B21" s="637" t="n"/>
      <c r="C21" s="637" t="n"/>
      <c r="D21" s="637" t="n"/>
      <c r="E21" s="637" t="n"/>
      <c r="G21" s="1357">
        <f>EOMONTH(G20,3)</f>
        <v/>
      </c>
      <c r="H21" s="546">
        <f>AVERAGEIFS($B:$B,$A:$A,"&gt;"&amp;EOMONTH($G21,-3),$A:$A,"&lt;="&amp;EOMONTH($G21,0))</f>
        <v/>
      </c>
      <c r="I21" s="546">
        <f>J21-H21</f>
        <v/>
      </c>
      <c r="J21" s="546">
        <f>AVERAGEIFS($E:$E,$A:$A,"&gt;"&amp;EOMONTH($G21,-3),$A:$A,"&lt;="&amp;EOMONTH($G21,0))</f>
        <v/>
      </c>
      <c r="L21" s="1357">
        <f>EOMONTH(L20,6)</f>
        <v/>
      </c>
      <c r="M21" s="546">
        <f>AVERAGEIFS($B:$B,$A:$A,"&gt;"&amp;EOMONTH($L21,-6),$A:$A,"&lt;="&amp;EOMONTH($L21,0))</f>
        <v/>
      </c>
      <c r="N21" s="546">
        <f>O21-M21</f>
        <v/>
      </c>
      <c r="O21" s="546">
        <f>AVERAGEIFS($E:$E,$A:$A,"&gt;"&amp;EOMONTH($L21,-6),$A:$A,"&lt;="&amp;EOMONTH($L21,0))</f>
        <v/>
      </c>
      <c r="Q21" s="1357">
        <f>EOMONTH(Q20,12)</f>
        <v/>
      </c>
      <c r="R21" s="546">
        <f>AVERAGEIFS($B:$B,$A:$A,"&gt;"&amp;EOMONTH($Q21,-12),$A:$A,"&lt;="&amp;EOMONTH($Q21,0))</f>
        <v/>
      </c>
      <c r="S21" s="546">
        <f>T21-R21</f>
        <v/>
      </c>
      <c r="T21" s="546">
        <f>AVERAGEIFS($E:$E,$A:$A,"&gt;"&amp;EOMONTH($Q21,-12),$A:$A,"&lt;="&amp;EOMONTH($Q21,0))</f>
        <v/>
      </c>
      <c r="V21" s="1357">
        <f>EOMONTH(V20,3)</f>
        <v/>
      </c>
      <c r="W21" s="1358">
        <f>AVERAGEIFS(B:B,$A:$A,"&gt;"&amp;EOMONTH($V21,-4),$A:$A,"&lt;="&amp;EOMONTH($V21,-1))</f>
        <v/>
      </c>
      <c r="X21" s="1358">
        <f>Y21-W21</f>
        <v/>
      </c>
      <c r="Y21" s="1358">
        <f>AVERAGEIFS(E:E,$A:$A,"&gt;"&amp;EOMONTH($V21,-4),$A:$A,"&lt;="&amp;EOMONTH($V21,-1))</f>
        <v/>
      </c>
      <c r="AA21" s="1357">
        <f>EOMONTH(AA20,6)</f>
        <v/>
      </c>
      <c r="AB21" s="1358">
        <f>AVERAGEIFS($B:$B,$A:$A,"&gt;"&amp;EOMONTH($AA21,-7),$A:$A,"&lt;="&amp;EOMONTH($AA21,-1))</f>
        <v/>
      </c>
      <c r="AC21" s="1358">
        <f>AD21-AB21</f>
        <v/>
      </c>
      <c r="AD21" s="1358">
        <f>AVERAGEIFS($E:$E,$A:$A,"&gt;"&amp;EOMONTH($AA21,-7),$A:$A,"&lt;="&amp;EOMONTH($AA21,-1))</f>
        <v/>
      </c>
      <c r="AF21" s="1357">
        <f>EOMONTH(AF20,12)</f>
        <v/>
      </c>
      <c r="AG21" s="1358">
        <f>AVERAGEIFS($B:$B,$A:$A,"&gt;"&amp;EOMONTH($AF21,-13),$A:$A,"&lt;="&amp;EOMONTH($AF21,-1))</f>
        <v/>
      </c>
      <c r="AH21" s="1358">
        <f>AI21-AG21</f>
        <v/>
      </c>
      <c r="AI21" s="1358">
        <f>AVERAGEIFS($E:$E,$A:$A,"&gt;"&amp;EOMONTH($AF21,-13),$A:$A,"&lt;="&amp;EOMONTH($AF21,-1))</f>
        <v/>
      </c>
    </row>
    <row r="22">
      <c r="A22" s="544" t="n">
        <v>29238</v>
      </c>
      <c r="B22" s="637" t="n"/>
      <c r="C22" s="637" t="n"/>
      <c r="D22" s="637" t="n"/>
      <c r="E22" s="637" t="n"/>
      <c r="G22" s="1357">
        <f>EOMONTH(G21,3)</f>
        <v/>
      </c>
      <c r="H22" s="546">
        <f>AVERAGEIFS($B:$B,$A:$A,"&gt;"&amp;EOMONTH($G22,-3),$A:$A,"&lt;="&amp;EOMONTH($G22,0))</f>
        <v/>
      </c>
      <c r="I22" s="546">
        <f>J22-H22</f>
        <v/>
      </c>
      <c r="J22" s="546">
        <f>AVERAGEIFS($E:$E,$A:$A,"&gt;"&amp;EOMONTH($G22,-3),$A:$A,"&lt;="&amp;EOMONTH($G22,0))</f>
        <v/>
      </c>
      <c r="L22" s="1357">
        <f>EOMONTH(L21,6)</f>
        <v/>
      </c>
      <c r="M22" s="546">
        <f>AVERAGEIFS($B:$B,$A:$A,"&gt;"&amp;EOMONTH($L22,-6),$A:$A,"&lt;="&amp;EOMONTH($L22,0))</f>
        <v/>
      </c>
      <c r="N22" s="546">
        <f>O22-M22</f>
        <v/>
      </c>
      <c r="O22" s="546">
        <f>AVERAGEIFS($E:$E,$A:$A,"&gt;"&amp;EOMONTH($L22,-6),$A:$A,"&lt;="&amp;EOMONTH($L22,0))</f>
        <v/>
      </c>
      <c r="Q22" s="1357">
        <f>EOMONTH(Q21,12)</f>
        <v/>
      </c>
      <c r="R22" s="546">
        <f>AVERAGEIFS($B:$B,$A:$A,"&gt;"&amp;EOMONTH($Q22,-12),$A:$A,"&lt;="&amp;EOMONTH($Q22,0))</f>
        <v/>
      </c>
      <c r="S22" s="546">
        <f>T22-R22</f>
        <v/>
      </c>
      <c r="T22" s="546">
        <f>AVERAGEIFS($E:$E,$A:$A,"&gt;"&amp;EOMONTH($Q22,-12),$A:$A,"&lt;="&amp;EOMONTH($Q22,0))</f>
        <v/>
      </c>
      <c r="V22" s="1357">
        <f>EOMONTH(V21,3)</f>
        <v/>
      </c>
      <c r="W22" s="1358">
        <f>AVERAGEIFS(B:B,$A:$A,"&gt;"&amp;EOMONTH($V22,-4),$A:$A,"&lt;="&amp;EOMONTH($V22,-1))</f>
        <v/>
      </c>
      <c r="X22" s="1358">
        <f>Y22-W22</f>
        <v/>
      </c>
      <c r="Y22" s="1358">
        <f>AVERAGEIFS(E:E,$A:$A,"&gt;"&amp;EOMONTH($V22,-4),$A:$A,"&lt;="&amp;EOMONTH($V22,-1))</f>
        <v/>
      </c>
      <c r="AA22" s="1357">
        <f>EOMONTH(AA21,6)</f>
        <v/>
      </c>
      <c r="AB22" s="1358">
        <f>AVERAGEIFS($B:$B,$A:$A,"&gt;"&amp;EOMONTH($AA22,-7),$A:$A,"&lt;="&amp;EOMONTH($AA22,-1))</f>
        <v/>
      </c>
      <c r="AC22" s="1358">
        <f>AD22-AB22</f>
        <v/>
      </c>
      <c r="AD22" s="1358">
        <f>AVERAGEIFS($E:$E,$A:$A,"&gt;"&amp;EOMONTH($AA22,-7),$A:$A,"&lt;="&amp;EOMONTH($AA22,-1))</f>
        <v/>
      </c>
      <c r="AF22" s="1357">
        <f>EOMONTH(AF21,12)</f>
        <v/>
      </c>
      <c r="AG22" s="1358">
        <f>AVERAGEIFS($B:$B,$A:$A,"&gt;"&amp;EOMONTH($AF22,-13),$A:$A,"&lt;="&amp;EOMONTH($AF22,-1))</f>
        <v/>
      </c>
      <c r="AH22" s="1358">
        <f>AI22-AG22</f>
        <v/>
      </c>
      <c r="AI22" s="1358">
        <f>AVERAGEIFS($E:$E,$A:$A,"&gt;"&amp;EOMONTH($AF22,-13),$A:$A,"&lt;="&amp;EOMONTH($AF22,-1))</f>
        <v/>
      </c>
    </row>
    <row r="23">
      <c r="A23" s="544" t="n">
        <v>29241</v>
      </c>
      <c r="B23" s="637" t="n"/>
      <c r="C23" s="637" t="n"/>
      <c r="D23" s="637" t="n"/>
      <c r="E23" s="637" t="n"/>
      <c r="G23" s="1357">
        <f>EOMONTH(G22,3)</f>
        <v/>
      </c>
      <c r="H23" s="546">
        <f>AVERAGEIFS($B:$B,$A:$A,"&gt;"&amp;EOMONTH($G23,-3),$A:$A,"&lt;="&amp;EOMONTH($G23,0))</f>
        <v/>
      </c>
      <c r="I23" s="546">
        <f>J23-H23</f>
        <v/>
      </c>
      <c r="J23" s="546">
        <f>AVERAGEIFS($E:$E,$A:$A,"&gt;"&amp;EOMONTH($G23,-3),$A:$A,"&lt;="&amp;EOMONTH($G23,0))</f>
        <v/>
      </c>
      <c r="L23" s="1357">
        <f>EOMONTH(L22,6)</f>
        <v/>
      </c>
      <c r="M23" s="546">
        <f>AVERAGEIFS($B:$B,$A:$A,"&gt;"&amp;EOMONTH($L23,-6),$A:$A,"&lt;="&amp;EOMONTH($L23,0))</f>
        <v/>
      </c>
      <c r="N23" s="546">
        <f>O23-M23</f>
        <v/>
      </c>
      <c r="O23" s="546">
        <f>AVERAGEIFS($E:$E,$A:$A,"&gt;"&amp;EOMONTH($L23,-6),$A:$A,"&lt;="&amp;EOMONTH($L23,0))</f>
        <v/>
      </c>
      <c r="Q23" s="1357">
        <f>EOMONTH(Q22,12)</f>
        <v/>
      </c>
      <c r="R23" s="546">
        <f>AVERAGEIFS($B:$B,$A:$A,"&gt;"&amp;EOMONTH($Q23,-12),$A:$A,"&lt;="&amp;EOMONTH($Q23,0))</f>
        <v/>
      </c>
      <c r="S23" s="546">
        <f>T23-R23</f>
        <v/>
      </c>
      <c r="T23" s="546">
        <f>AVERAGEIFS($E:$E,$A:$A,"&gt;"&amp;EOMONTH($Q23,-12),$A:$A,"&lt;="&amp;EOMONTH($Q23,0))</f>
        <v/>
      </c>
      <c r="V23" s="1357">
        <f>EOMONTH(V22,3)</f>
        <v/>
      </c>
      <c r="W23" s="1358">
        <f>AVERAGEIFS(B:B,$A:$A,"&gt;"&amp;EOMONTH($V23,-4),$A:$A,"&lt;="&amp;EOMONTH($V23,-1))</f>
        <v/>
      </c>
      <c r="X23" s="1358">
        <f>Y23-W23</f>
        <v/>
      </c>
      <c r="Y23" s="1358">
        <f>AVERAGEIFS(E:E,$A:$A,"&gt;"&amp;EOMONTH($V23,-4),$A:$A,"&lt;="&amp;EOMONTH($V23,-1))</f>
        <v/>
      </c>
      <c r="AA23" s="1357">
        <f>EOMONTH(AA22,6)</f>
        <v/>
      </c>
      <c r="AB23" s="1358">
        <f>AVERAGEIFS($B:$B,$A:$A,"&gt;"&amp;EOMONTH($AA23,-7),$A:$A,"&lt;="&amp;EOMONTH($AA23,-1))</f>
        <v/>
      </c>
      <c r="AC23" s="1358">
        <f>AD23-AB23</f>
        <v/>
      </c>
      <c r="AD23" s="1358">
        <f>AVERAGEIFS($E:$E,$A:$A,"&gt;"&amp;EOMONTH($AA23,-7),$A:$A,"&lt;="&amp;EOMONTH($AA23,-1))</f>
        <v/>
      </c>
      <c r="AF23" s="1357">
        <f>EOMONTH(AF22,12)</f>
        <v/>
      </c>
      <c r="AG23" s="1358">
        <f>AVERAGEIFS($B:$B,$A:$A,"&gt;"&amp;EOMONTH($AF23,-13),$A:$A,"&lt;="&amp;EOMONTH($AF23,-1))</f>
        <v/>
      </c>
      <c r="AH23" s="1358">
        <f>AI23-AG23</f>
        <v/>
      </c>
      <c r="AI23" s="1358">
        <f>AVERAGEIFS($E:$E,$A:$A,"&gt;"&amp;EOMONTH($AF23,-13),$A:$A,"&lt;="&amp;EOMONTH($AF23,-1))</f>
        <v/>
      </c>
    </row>
    <row r="24">
      <c r="A24" s="544" t="n">
        <v>29242</v>
      </c>
      <c r="B24" s="637" t="n"/>
      <c r="C24" s="637" t="n"/>
      <c r="D24" s="637" t="n"/>
      <c r="E24" s="637" t="n"/>
      <c r="G24" s="1357">
        <f>EOMONTH(G23,3)</f>
        <v/>
      </c>
      <c r="H24" s="546">
        <f>AVERAGEIFS($B:$B,$A:$A,"&gt;"&amp;EOMONTH($G24,-3),$A:$A,"&lt;="&amp;EOMONTH($G24,0))</f>
        <v/>
      </c>
      <c r="I24" s="546">
        <f>J24-H24</f>
        <v/>
      </c>
      <c r="J24" s="546">
        <f>AVERAGEIFS($E:$E,$A:$A,"&gt;"&amp;EOMONTH($G24,-3),$A:$A,"&lt;="&amp;EOMONTH($G24,0))</f>
        <v/>
      </c>
      <c r="L24" s="1357">
        <f>EOMONTH(L23,6)</f>
        <v/>
      </c>
      <c r="M24" s="546">
        <f>AVERAGEIFS($B:$B,$A:$A,"&gt;"&amp;EOMONTH($L24,-6),$A:$A,"&lt;="&amp;EOMONTH($L24,0))</f>
        <v/>
      </c>
      <c r="N24" s="546">
        <f>O24-M24</f>
        <v/>
      </c>
      <c r="O24" s="546">
        <f>AVERAGEIFS($E:$E,$A:$A,"&gt;"&amp;EOMONTH($L24,-6),$A:$A,"&lt;="&amp;EOMONTH($L24,0))</f>
        <v/>
      </c>
      <c r="Q24" s="1357">
        <f>EOMONTH(Q23,12)</f>
        <v/>
      </c>
      <c r="R24" s="546">
        <f>AVERAGEIFS($B:$B,$A:$A,"&gt;"&amp;EOMONTH($Q24,-12),$A:$A,"&lt;="&amp;EOMONTH($Q24,0))</f>
        <v/>
      </c>
      <c r="S24" s="546">
        <f>T24-R24</f>
        <v/>
      </c>
      <c r="T24" s="546">
        <f>AVERAGEIFS($E:$E,$A:$A,"&gt;"&amp;EOMONTH($Q24,-12),$A:$A,"&lt;="&amp;EOMONTH($Q24,0))</f>
        <v/>
      </c>
      <c r="V24" s="1357">
        <f>EOMONTH(V23,3)</f>
        <v/>
      </c>
      <c r="W24" s="1358">
        <f>AVERAGEIFS(B:B,$A:$A,"&gt;"&amp;EOMONTH($V24,-4),$A:$A,"&lt;="&amp;EOMONTH($V24,-1))</f>
        <v/>
      </c>
      <c r="X24" s="1358">
        <f>Y24-W24</f>
        <v/>
      </c>
      <c r="Y24" s="1358">
        <f>AVERAGEIFS(E:E,$A:$A,"&gt;"&amp;EOMONTH($V24,-4),$A:$A,"&lt;="&amp;EOMONTH($V24,-1))</f>
        <v/>
      </c>
      <c r="AA24" s="1357">
        <f>EOMONTH(AA23,6)</f>
        <v/>
      </c>
      <c r="AB24" s="1358">
        <f>AVERAGEIFS($B:$B,$A:$A,"&gt;"&amp;EOMONTH($AA24,-7),$A:$A,"&lt;="&amp;EOMONTH($AA24,-1))</f>
        <v/>
      </c>
      <c r="AC24" s="1358">
        <f>AD24-AB24</f>
        <v/>
      </c>
      <c r="AD24" s="1358">
        <f>AVERAGEIFS($E:$E,$A:$A,"&gt;"&amp;EOMONTH($AA24,-7),$A:$A,"&lt;="&amp;EOMONTH($AA24,-1))</f>
        <v/>
      </c>
      <c r="AF24" s="1357">
        <f>EOMONTH(AF23,12)</f>
        <v/>
      </c>
      <c r="AG24" s="1358">
        <f>AVERAGEIFS($B:$B,$A:$A,"&gt;"&amp;EOMONTH($AF24,-13),$A:$A,"&lt;="&amp;EOMONTH($AF24,-1))</f>
        <v/>
      </c>
      <c r="AH24" s="1358">
        <f>AI24-AG24</f>
        <v/>
      </c>
      <c r="AI24" s="1358">
        <f>AVERAGEIFS($E:$E,$A:$A,"&gt;"&amp;EOMONTH($AF24,-13),$A:$A,"&lt;="&amp;EOMONTH($AF24,-1))</f>
        <v/>
      </c>
    </row>
    <row r="25">
      <c r="A25" s="544" t="n">
        <v>29243</v>
      </c>
      <c r="B25" s="637" t="n"/>
      <c r="C25" s="637" t="n"/>
      <c r="D25" s="637" t="n"/>
      <c r="E25" s="637" t="n"/>
      <c r="G25" s="1357">
        <f>EOMONTH(G24,3)</f>
        <v/>
      </c>
      <c r="H25" s="546">
        <f>AVERAGEIFS($B:$B,$A:$A,"&gt;"&amp;EOMONTH($G25,-3),$A:$A,"&lt;="&amp;EOMONTH($G25,0))</f>
        <v/>
      </c>
      <c r="I25" s="546">
        <f>J25-H25</f>
        <v/>
      </c>
      <c r="J25" s="546">
        <f>AVERAGEIFS($E:$E,$A:$A,"&gt;"&amp;EOMONTH($G25,-3),$A:$A,"&lt;="&amp;EOMONTH($G25,0))</f>
        <v/>
      </c>
      <c r="L25" s="1357">
        <f>EOMONTH(L24,6)</f>
        <v/>
      </c>
      <c r="M25" s="546">
        <f>AVERAGEIFS($B:$B,$A:$A,"&gt;"&amp;EOMONTH($L25,-6),$A:$A,"&lt;="&amp;EOMONTH($L25,0))</f>
        <v/>
      </c>
      <c r="N25" s="546">
        <f>O25-M25</f>
        <v/>
      </c>
      <c r="O25" s="546">
        <f>AVERAGEIFS($E:$E,$A:$A,"&gt;"&amp;EOMONTH($L25,-6),$A:$A,"&lt;="&amp;EOMONTH($L25,0))</f>
        <v/>
      </c>
      <c r="Q25" s="1357">
        <f>EOMONTH(Q24,12)</f>
        <v/>
      </c>
      <c r="R25" s="546">
        <f>AVERAGEIFS($B:$B,$A:$A,"&gt;"&amp;EOMONTH($Q25,-12),$A:$A,"&lt;="&amp;EOMONTH($Q25,0))</f>
        <v/>
      </c>
      <c r="S25" s="546">
        <f>T25-R25</f>
        <v/>
      </c>
      <c r="T25" s="546">
        <f>AVERAGEIFS($E:$E,$A:$A,"&gt;"&amp;EOMONTH($Q25,-12),$A:$A,"&lt;="&amp;EOMONTH($Q25,0))</f>
        <v/>
      </c>
      <c r="V25" s="1357">
        <f>EOMONTH(V24,3)</f>
        <v/>
      </c>
      <c r="W25" s="1358">
        <f>AVERAGEIFS(B:B,$A:$A,"&gt;"&amp;EOMONTH($V25,-4),$A:$A,"&lt;="&amp;EOMONTH($V25,-1))</f>
        <v/>
      </c>
      <c r="X25" s="1358">
        <f>Y25-W25</f>
        <v/>
      </c>
      <c r="Y25" s="1358">
        <f>AVERAGEIFS(E:E,$A:$A,"&gt;"&amp;EOMONTH($V25,-4),$A:$A,"&lt;="&amp;EOMONTH($V25,-1))</f>
        <v/>
      </c>
      <c r="AA25" s="1357">
        <f>EOMONTH(AA24,6)</f>
        <v/>
      </c>
      <c r="AB25" s="1358">
        <f>AVERAGEIFS($B:$B,$A:$A,"&gt;"&amp;EOMONTH($AA25,-7),$A:$A,"&lt;="&amp;EOMONTH($AA25,-1))</f>
        <v/>
      </c>
      <c r="AC25" s="1358">
        <f>AD25-AB25</f>
        <v/>
      </c>
      <c r="AD25" s="1358">
        <f>AVERAGEIFS($E:$E,$A:$A,"&gt;"&amp;EOMONTH($AA25,-7),$A:$A,"&lt;="&amp;EOMONTH($AA25,-1))</f>
        <v/>
      </c>
      <c r="AF25" s="1357">
        <f>EOMONTH(AF24,12)</f>
        <v/>
      </c>
      <c r="AG25" s="1358">
        <f>AVERAGEIFS($B:$B,$A:$A,"&gt;"&amp;EOMONTH($AF25,-13),$A:$A,"&lt;="&amp;EOMONTH($AF25,-1))</f>
        <v/>
      </c>
      <c r="AH25" s="1358">
        <f>AI25-AG25</f>
        <v/>
      </c>
      <c r="AI25" s="1358">
        <f>AVERAGEIFS($E:$E,$A:$A,"&gt;"&amp;EOMONTH($AF25,-13),$A:$A,"&lt;="&amp;EOMONTH($AF25,-1))</f>
        <v/>
      </c>
    </row>
    <row r="26">
      <c r="A26" s="544" t="n">
        <v>29244</v>
      </c>
      <c r="B26" s="637" t="n"/>
      <c r="C26" s="637" t="n"/>
      <c r="D26" s="637" t="n"/>
      <c r="E26" s="637" t="n"/>
      <c r="G26" s="1357">
        <f>EOMONTH(G25,3)</f>
        <v/>
      </c>
      <c r="H26" s="546">
        <f>AVERAGEIFS($B:$B,$A:$A,"&gt;"&amp;EOMONTH($G26,-3),$A:$A,"&lt;="&amp;EOMONTH($G26,0))</f>
        <v/>
      </c>
      <c r="I26" s="546">
        <f>J26-H26</f>
        <v/>
      </c>
      <c r="J26" s="546">
        <f>AVERAGEIFS($E:$E,$A:$A,"&gt;"&amp;EOMONTH($G26,-3),$A:$A,"&lt;="&amp;EOMONTH($G26,0))</f>
        <v/>
      </c>
      <c r="L26" s="1357">
        <f>EOMONTH(L25,6)</f>
        <v/>
      </c>
      <c r="M26" s="546">
        <f>AVERAGEIFS($B:$B,$A:$A,"&gt;"&amp;EOMONTH($L26,-6),$A:$A,"&lt;="&amp;EOMONTH($L26,0))</f>
        <v/>
      </c>
      <c r="N26" s="546">
        <f>O26-M26</f>
        <v/>
      </c>
      <c r="O26" s="546">
        <f>AVERAGEIFS($E:$E,$A:$A,"&gt;"&amp;EOMONTH($L26,-6),$A:$A,"&lt;="&amp;EOMONTH($L26,0))</f>
        <v/>
      </c>
      <c r="Q26" s="1357">
        <f>EOMONTH(Q25,12)</f>
        <v/>
      </c>
      <c r="R26" s="546">
        <f>AVERAGEIFS($B:$B,$A:$A,"&gt;"&amp;EOMONTH($Q26,-12),$A:$A,"&lt;="&amp;EOMONTH($Q26,0))</f>
        <v/>
      </c>
      <c r="S26" s="546">
        <f>T26-R26</f>
        <v/>
      </c>
      <c r="T26" s="546">
        <f>AVERAGEIFS($E:$E,$A:$A,"&gt;"&amp;EOMONTH($Q26,-12),$A:$A,"&lt;="&amp;EOMONTH($Q26,0))</f>
        <v/>
      </c>
      <c r="V26" s="1357">
        <f>EOMONTH(V25,3)</f>
        <v/>
      </c>
      <c r="W26" s="1358">
        <f>AVERAGEIFS(B:B,$A:$A,"&gt;"&amp;EOMONTH($V26,-4),$A:$A,"&lt;="&amp;EOMONTH($V26,-1))</f>
        <v/>
      </c>
      <c r="X26" s="1358">
        <f>Y26-W26</f>
        <v/>
      </c>
      <c r="Y26" s="1358">
        <f>AVERAGEIFS(E:E,$A:$A,"&gt;"&amp;EOMONTH($V26,-4),$A:$A,"&lt;="&amp;EOMONTH($V26,-1))</f>
        <v/>
      </c>
      <c r="AA26" s="1357">
        <f>EOMONTH(AA25,6)</f>
        <v/>
      </c>
      <c r="AB26" s="1358">
        <f>AVERAGEIFS($B:$B,$A:$A,"&gt;"&amp;EOMONTH($AA26,-7),$A:$A,"&lt;="&amp;EOMONTH($AA26,-1))</f>
        <v/>
      </c>
      <c r="AC26" s="1358">
        <f>AD26-AB26</f>
        <v/>
      </c>
      <c r="AD26" s="1358">
        <f>AVERAGEIFS($E:$E,$A:$A,"&gt;"&amp;EOMONTH($AA26,-7),$A:$A,"&lt;="&amp;EOMONTH($AA26,-1))</f>
        <v/>
      </c>
      <c r="AF26" s="1357">
        <f>EOMONTH(AF25,12)</f>
        <v/>
      </c>
      <c r="AG26" s="1358">
        <f>AVERAGEIFS($B:$B,$A:$A,"&gt;"&amp;EOMONTH($AF26,-13),$A:$A,"&lt;="&amp;EOMONTH($AF26,-1))</f>
        <v/>
      </c>
      <c r="AH26" s="1358">
        <f>AI26-AG26</f>
        <v/>
      </c>
      <c r="AI26" s="1358">
        <f>AVERAGEIFS($E:$E,$A:$A,"&gt;"&amp;EOMONTH($AF26,-13),$A:$A,"&lt;="&amp;EOMONTH($AF26,-1))</f>
        <v/>
      </c>
    </row>
    <row r="27">
      <c r="A27" s="544" t="n">
        <v>29245</v>
      </c>
      <c r="B27" s="637" t="n"/>
      <c r="C27" s="637" t="n"/>
      <c r="D27" s="637" t="n"/>
      <c r="E27" s="637" t="n"/>
      <c r="G27" s="1357">
        <f>EOMONTH(G26,3)</f>
        <v/>
      </c>
      <c r="H27" s="546">
        <f>AVERAGEIFS($B:$B,$A:$A,"&gt;"&amp;EOMONTH($G27,-3),$A:$A,"&lt;="&amp;EOMONTH($G27,0))</f>
        <v/>
      </c>
      <c r="I27" s="546">
        <f>J27-H27</f>
        <v/>
      </c>
      <c r="J27" s="546">
        <f>AVERAGEIFS($E:$E,$A:$A,"&gt;"&amp;EOMONTH($G27,-3),$A:$A,"&lt;="&amp;EOMONTH($G27,0))</f>
        <v/>
      </c>
      <c r="L27" s="1357">
        <f>EOMONTH(L26,6)</f>
        <v/>
      </c>
      <c r="M27" s="546">
        <f>AVERAGEIFS($B:$B,$A:$A,"&gt;"&amp;EOMONTH($L27,-6),$A:$A,"&lt;="&amp;EOMONTH($L27,0))</f>
        <v/>
      </c>
      <c r="N27" s="546">
        <f>O27-M27</f>
        <v/>
      </c>
      <c r="O27" s="546">
        <f>AVERAGEIFS($E:$E,$A:$A,"&gt;"&amp;EOMONTH($L27,-6),$A:$A,"&lt;="&amp;EOMONTH($L27,0))</f>
        <v/>
      </c>
      <c r="Q27" s="1357">
        <f>EOMONTH(Q26,12)</f>
        <v/>
      </c>
      <c r="R27" s="546">
        <f>AVERAGEIFS($B:$B,$A:$A,"&gt;"&amp;EOMONTH($Q27,-12),$A:$A,"&lt;="&amp;EOMONTH($Q27,0))</f>
        <v/>
      </c>
      <c r="S27" s="546">
        <f>T27-R27</f>
        <v/>
      </c>
      <c r="T27" s="546">
        <f>AVERAGEIFS($E:$E,$A:$A,"&gt;"&amp;EOMONTH($Q27,-12),$A:$A,"&lt;="&amp;EOMONTH($Q27,0))</f>
        <v/>
      </c>
      <c r="V27" s="1357">
        <f>EOMONTH(V26,3)</f>
        <v/>
      </c>
      <c r="W27" s="1358">
        <f>AVERAGEIFS(B:B,$A:$A,"&gt;"&amp;EOMONTH($V27,-4),$A:$A,"&lt;="&amp;EOMONTH($V27,-1))</f>
        <v/>
      </c>
      <c r="X27" s="1358">
        <f>Y27-W27</f>
        <v/>
      </c>
      <c r="Y27" s="1358">
        <f>AVERAGEIFS(E:E,$A:$A,"&gt;"&amp;EOMONTH($V27,-4),$A:$A,"&lt;="&amp;EOMONTH($V27,-1))</f>
        <v/>
      </c>
      <c r="AA27" s="1357">
        <f>EOMONTH(AA26,6)</f>
        <v/>
      </c>
      <c r="AB27" s="1358">
        <f>AVERAGEIFS($B:$B,$A:$A,"&gt;"&amp;EOMONTH($AA27,-7),$A:$A,"&lt;="&amp;EOMONTH($AA27,-1))</f>
        <v/>
      </c>
      <c r="AC27" s="1358">
        <f>AD27-AB27</f>
        <v/>
      </c>
      <c r="AD27" s="1358">
        <f>AVERAGEIFS($E:$E,$A:$A,"&gt;"&amp;EOMONTH($AA27,-7),$A:$A,"&lt;="&amp;EOMONTH($AA27,-1))</f>
        <v/>
      </c>
      <c r="AF27" s="1357">
        <f>EOMONTH(AF26,12)</f>
        <v/>
      </c>
      <c r="AG27" s="1358">
        <f>AVERAGEIFS($B:$B,$A:$A,"&gt;"&amp;EOMONTH($AF27,-13),$A:$A,"&lt;="&amp;EOMONTH($AF27,-1))</f>
        <v/>
      </c>
      <c r="AH27" s="1358">
        <f>AI27-AG27</f>
        <v/>
      </c>
      <c r="AI27" s="1358">
        <f>AVERAGEIFS($E:$E,$A:$A,"&gt;"&amp;EOMONTH($AF27,-13),$A:$A,"&lt;="&amp;EOMONTH($AF27,-1))</f>
        <v/>
      </c>
    </row>
    <row r="28">
      <c r="A28" s="544" t="n">
        <v>29248</v>
      </c>
      <c r="B28" s="637" t="n"/>
      <c r="C28" s="637" t="n"/>
      <c r="D28" s="637" t="n"/>
      <c r="E28" s="637" t="n"/>
      <c r="G28" s="1357">
        <f>EOMONTH(G27,3)</f>
        <v/>
      </c>
      <c r="H28" s="546">
        <f>AVERAGEIFS($B:$B,$A:$A,"&gt;"&amp;EOMONTH($G28,-3),$A:$A,"&lt;="&amp;EOMONTH($G28,0))</f>
        <v/>
      </c>
      <c r="I28" s="546">
        <f>J28-H28</f>
        <v/>
      </c>
      <c r="J28" s="546">
        <f>AVERAGEIFS($E:$E,$A:$A,"&gt;"&amp;EOMONTH($G28,-3),$A:$A,"&lt;="&amp;EOMONTH($G28,0))</f>
        <v/>
      </c>
      <c r="L28" s="1357">
        <f>EOMONTH(L27,6)</f>
        <v/>
      </c>
      <c r="M28" s="546">
        <f>AVERAGEIFS($B:$B,$A:$A,"&gt;"&amp;EOMONTH($L28,-6),$A:$A,"&lt;="&amp;EOMONTH($L28,0))</f>
        <v/>
      </c>
      <c r="N28" s="546">
        <f>O28-M28</f>
        <v/>
      </c>
      <c r="O28" s="546">
        <f>AVERAGEIFS($E:$E,$A:$A,"&gt;"&amp;EOMONTH($L28,-6),$A:$A,"&lt;="&amp;EOMONTH($L28,0))</f>
        <v/>
      </c>
      <c r="Q28" s="1357">
        <f>EOMONTH(Q27,12)</f>
        <v/>
      </c>
      <c r="R28" s="546">
        <f>AVERAGEIFS($B:$B,$A:$A,"&gt;"&amp;EOMONTH($Q28,-12),$A:$A,"&lt;="&amp;EOMONTH($Q28,0))</f>
        <v/>
      </c>
      <c r="S28" s="546">
        <f>T28-R28</f>
        <v/>
      </c>
      <c r="T28" s="546">
        <f>AVERAGEIFS($E:$E,$A:$A,"&gt;"&amp;EOMONTH($Q28,-12),$A:$A,"&lt;="&amp;EOMONTH($Q28,0))</f>
        <v/>
      </c>
      <c r="V28" s="1357">
        <f>EOMONTH(V27,3)</f>
        <v/>
      </c>
      <c r="W28" s="1358">
        <f>AVERAGEIFS(B:B,$A:$A,"&gt;"&amp;EOMONTH($V28,-4),$A:$A,"&lt;="&amp;EOMONTH($V28,-1))</f>
        <v/>
      </c>
      <c r="X28" s="1358">
        <f>Y28-W28</f>
        <v/>
      </c>
      <c r="Y28" s="1358">
        <f>AVERAGEIFS(E:E,$A:$A,"&gt;"&amp;EOMONTH($V28,-4),$A:$A,"&lt;="&amp;EOMONTH($V28,-1))</f>
        <v/>
      </c>
      <c r="AA28" s="1357">
        <f>EOMONTH(AA27,6)</f>
        <v/>
      </c>
      <c r="AB28" s="1358">
        <f>AVERAGEIFS($B:$B,$A:$A,"&gt;"&amp;EOMONTH($AA28,-7),$A:$A,"&lt;="&amp;EOMONTH($AA28,-1))</f>
        <v/>
      </c>
      <c r="AC28" s="1358">
        <f>AD28-AB28</f>
        <v/>
      </c>
      <c r="AD28" s="1358">
        <f>AVERAGEIFS($E:$E,$A:$A,"&gt;"&amp;EOMONTH($AA28,-7),$A:$A,"&lt;="&amp;EOMONTH($AA28,-1))</f>
        <v/>
      </c>
      <c r="AF28" s="1357">
        <f>EOMONTH(AF27,12)</f>
        <v/>
      </c>
      <c r="AG28" s="1358">
        <f>AVERAGEIFS($B:$B,$A:$A,"&gt;"&amp;EOMONTH($AF28,-13),$A:$A,"&lt;="&amp;EOMONTH($AF28,-1))</f>
        <v/>
      </c>
      <c r="AH28" s="1358">
        <f>AI28-AG28</f>
        <v/>
      </c>
      <c r="AI28" s="1358">
        <f>AVERAGEIFS($E:$E,$A:$A,"&gt;"&amp;EOMONTH($AF28,-13),$A:$A,"&lt;="&amp;EOMONTH($AF28,-1))</f>
        <v/>
      </c>
    </row>
    <row r="29">
      <c r="A29" s="544" t="n">
        <v>29249</v>
      </c>
      <c r="B29" s="637" t="n"/>
      <c r="C29" s="637" t="n"/>
      <c r="D29" s="637" t="n"/>
      <c r="E29" s="637" t="n"/>
      <c r="G29" s="1357">
        <f>EOMONTH(G28,3)</f>
        <v/>
      </c>
      <c r="H29" s="546">
        <f>AVERAGEIFS($B:$B,$A:$A,"&gt;"&amp;EOMONTH($G29,-3),$A:$A,"&lt;="&amp;EOMONTH($G29,0))</f>
        <v/>
      </c>
      <c r="I29" s="546">
        <f>J29-H29</f>
        <v/>
      </c>
      <c r="J29" s="546">
        <f>AVERAGEIFS($E:$E,$A:$A,"&gt;"&amp;EOMONTH($G29,-3),$A:$A,"&lt;="&amp;EOMONTH($G29,0))</f>
        <v/>
      </c>
      <c r="L29" s="1357">
        <f>EOMONTH(L28,6)</f>
        <v/>
      </c>
      <c r="M29" s="546">
        <f>AVERAGEIFS($B:$B,$A:$A,"&gt;"&amp;EOMONTH($L29,-6),$A:$A,"&lt;="&amp;EOMONTH($L29,0))</f>
        <v/>
      </c>
      <c r="N29" s="546">
        <f>O29-M29</f>
        <v/>
      </c>
      <c r="O29" s="546">
        <f>AVERAGEIFS($E:$E,$A:$A,"&gt;"&amp;EOMONTH($L29,-6),$A:$A,"&lt;="&amp;EOMONTH($L29,0))</f>
        <v/>
      </c>
      <c r="Q29" s="1357">
        <f>EOMONTH(Q28,12)</f>
        <v/>
      </c>
      <c r="R29" s="546">
        <f>AVERAGEIFS($B:$B,$A:$A,"&gt;"&amp;EOMONTH($Q29,-12),$A:$A,"&lt;="&amp;EOMONTH($Q29,0))</f>
        <v/>
      </c>
      <c r="S29" s="546">
        <f>T29-R29</f>
        <v/>
      </c>
      <c r="T29" s="546">
        <f>AVERAGEIFS($E:$E,$A:$A,"&gt;"&amp;EOMONTH($Q29,-12),$A:$A,"&lt;="&amp;EOMONTH($Q29,0))</f>
        <v/>
      </c>
      <c r="V29" s="1357">
        <f>EOMONTH(V28,3)</f>
        <v/>
      </c>
      <c r="W29" s="1358">
        <f>AVERAGEIFS(B:B,$A:$A,"&gt;"&amp;EOMONTH($V29,-4),$A:$A,"&lt;="&amp;EOMONTH($V29,-1))</f>
        <v/>
      </c>
      <c r="X29" s="1358">
        <f>Y29-W29</f>
        <v/>
      </c>
      <c r="Y29" s="1358">
        <f>AVERAGEIFS(E:E,$A:$A,"&gt;"&amp;EOMONTH($V29,-4),$A:$A,"&lt;="&amp;EOMONTH($V29,-1))</f>
        <v/>
      </c>
      <c r="AA29" s="1357">
        <f>EOMONTH(AA28,6)</f>
        <v/>
      </c>
      <c r="AB29" s="1358">
        <f>AVERAGEIFS($B:$B,$A:$A,"&gt;"&amp;EOMONTH($AA29,-7),$A:$A,"&lt;="&amp;EOMONTH($AA29,-1))</f>
        <v/>
      </c>
      <c r="AC29" s="1358">
        <f>AD29-AB29</f>
        <v/>
      </c>
      <c r="AD29" s="1358">
        <f>AVERAGEIFS($E:$E,$A:$A,"&gt;"&amp;EOMONTH($AA29,-7),$A:$A,"&lt;="&amp;EOMONTH($AA29,-1))</f>
        <v/>
      </c>
      <c r="AF29" s="1357">
        <f>EOMONTH(AF28,12)</f>
        <v/>
      </c>
      <c r="AG29" s="1358">
        <f>AVERAGEIFS($B:$B,$A:$A,"&gt;"&amp;EOMONTH($AF29,-13),$A:$A,"&lt;="&amp;EOMONTH($AF29,-1))</f>
        <v/>
      </c>
      <c r="AH29" s="1358">
        <f>AI29-AG29</f>
        <v/>
      </c>
      <c r="AI29" s="1358">
        <f>AVERAGEIFS($E:$E,$A:$A,"&gt;"&amp;EOMONTH($AF29,-13),$A:$A,"&lt;="&amp;EOMONTH($AF29,-1))</f>
        <v/>
      </c>
    </row>
    <row r="30">
      <c r="A30" s="544" t="n">
        <v>29250</v>
      </c>
      <c r="B30" s="637" t="n"/>
      <c r="C30" s="637" t="n"/>
      <c r="D30" s="637" t="n"/>
      <c r="E30" s="637" t="n"/>
      <c r="G30" s="1357">
        <f>EOMONTH(G29,3)</f>
        <v/>
      </c>
      <c r="H30" s="546">
        <f>AVERAGEIFS($B:$B,$A:$A,"&gt;"&amp;EOMONTH($G30,-3),$A:$A,"&lt;="&amp;EOMONTH($G30,0))</f>
        <v/>
      </c>
      <c r="I30" s="546">
        <f>J30-H30</f>
        <v/>
      </c>
      <c r="J30" s="546">
        <f>AVERAGEIFS($E:$E,$A:$A,"&gt;"&amp;EOMONTH($G30,-3),$A:$A,"&lt;="&amp;EOMONTH($G30,0))</f>
        <v/>
      </c>
      <c r="L30" s="1357">
        <f>EOMONTH(L29,6)</f>
        <v/>
      </c>
      <c r="M30" s="546">
        <f>AVERAGEIFS($B:$B,$A:$A,"&gt;"&amp;EOMONTH($L30,-6),$A:$A,"&lt;="&amp;EOMONTH($L30,0))</f>
        <v/>
      </c>
      <c r="N30" s="546">
        <f>O30-M30</f>
        <v/>
      </c>
      <c r="O30" s="546">
        <f>AVERAGEIFS($E:$E,$A:$A,"&gt;"&amp;EOMONTH($L30,-6),$A:$A,"&lt;="&amp;EOMONTH($L30,0))</f>
        <v/>
      </c>
      <c r="Q30" s="1357">
        <f>EOMONTH(Q29,12)</f>
        <v/>
      </c>
      <c r="R30" s="546">
        <f>AVERAGEIFS($B:$B,$A:$A,"&gt;"&amp;EOMONTH($Q30,-12),$A:$A,"&lt;="&amp;EOMONTH($Q30,0))</f>
        <v/>
      </c>
      <c r="S30" s="546">
        <f>T30-R30</f>
        <v/>
      </c>
      <c r="T30" s="546">
        <f>AVERAGEIFS($E:$E,$A:$A,"&gt;"&amp;EOMONTH($Q30,-12),$A:$A,"&lt;="&amp;EOMONTH($Q30,0))</f>
        <v/>
      </c>
      <c r="V30" s="1357">
        <f>EOMONTH(V29,3)</f>
        <v/>
      </c>
      <c r="W30" s="1358">
        <f>AVERAGEIFS(B:B,$A:$A,"&gt;"&amp;EOMONTH($V30,-4),$A:$A,"&lt;="&amp;EOMONTH($V30,-1))</f>
        <v/>
      </c>
      <c r="X30" s="1358">
        <f>Y30-W30</f>
        <v/>
      </c>
      <c r="Y30" s="1358">
        <f>AVERAGEIFS(E:E,$A:$A,"&gt;"&amp;EOMONTH($V30,-4),$A:$A,"&lt;="&amp;EOMONTH($V30,-1))</f>
        <v/>
      </c>
      <c r="AA30" s="1357">
        <f>EOMONTH(AA29,6)</f>
        <v/>
      </c>
      <c r="AB30" s="1358">
        <f>AVERAGEIFS($B:$B,$A:$A,"&gt;"&amp;EOMONTH($AA30,-7),$A:$A,"&lt;="&amp;EOMONTH($AA30,-1))</f>
        <v/>
      </c>
      <c r="AC30" s="1358">
        <f>AD30-AB30</f>
        <v/>
      </c>
      <c r="AD30" s="1358">
        <f>AVERAGEIFS($E:$E,$A:$A,"&gt;"&amp;EOMONTH($AA30,-7),$A:$A,"&lt;="&amp;EOMONTH($AA30,-1))</f>
        <v/>
      </c>
      <c r="AF30" s="1357">
        <f>EOMONTH(AF29,12)</f>
        <v/>
      </c>
      <c r="AG30" s="1358">
        <f>AVERAGEIFS($B:$B,$A:$A,"&gt;"&amp;EOMONTH($AF30,-13),$A:$A,"&lt;="&amp;EOMONTH($AF30,-1))</f>
        <v/>
      </c>
      <c r="AH30" s="1358">
        <f>AI30-AG30</f>
        <v/>
      </c>
      <c r="AI30" s="1358">
        <f>AVERAGEIFS($E:$E,$A:$A,"&gt;"&amp;EOMONTH($AF30,-13),$A:$A,"&lt;="&amp;EOMONTH($AF30,-1))</f>
        <v/>
      </c>
    </row>
    <row r="31">
      <c r="A31" s="544" t="n">
        <v>29251</v>
      </c>
      <c r="B31" s="637" t="n"/>
      <c r="C31" s="637" t="n"/>
      <c r="D31" s="637" t="n"/>
      <c r="E31" s="637" t="n"/>
      <c r="G31" s="1357">
        <f>EOMONTH(G30,3)</f>
        <v/>
      </c>
      <c r="H31" s="546">
        <f>AVERAGEIFS($B:$B,$A:$A,"&gt;"&amp;EOMONTH($G31,-3),$A:$A,"&lt;="&amp;EOMONTH($G31,0))</f>
        <v/>
      </c>
      <c r="I31" s="546">
        <f>J31-H31</f>
        <v/>
      </c>
      <c r="J31" s="546">
        <f>AVERAGEIFS($E:$E,$A:$A,"&gt;"&amp;EOMONTH($G31,-3),$A:$A,"&lt;="&amp;EOMONTH($G31,0))</f>
        <v/>
      </c>
      <c r="L31" s="1357">
        <f>EOMONTH(L30,6)</f>
        <v/>
      </c>
      <c r="M31" s="546">
        <f>AVERAGEIFS($B:$B,$A:$A,"&gt;"&amp;EOMONTH($L31,-6),$A:$A,"&lt;="&amp;EOMONTH($L31,0))</f>
        <v/>
      </c>
      <c r="N31" s="546">
        <f>O31-M31</f>
        <v/>
      </c>
      <c r="O31" s="546">
        <f>AVERAGEIFS($E:$E,$A:$A,"&gt;"&amp;EOMONTH($L31,-6),$A:$A,"&lt;="&amp;EOMONTH($L31,0))</f>
        <v/>
      </c>
      <c r="Q31" s="1357">
        <f>EOMONTH(Q30,12)</f>
        <v/>
      </c>
      <c r="R31" s="546">
        <f>AVERAGEIFS($B:$B,$A:$A,"&gt;"&amp;EOMONTH($Q31,-12),$A:$A,"&lt;="&amp;EOMONTH($Q31,0))</f>
        <v/>
      </c>
      <c r="S31" s="546">
        <f>T31-R31</f>
        <v/>
      </c>
      <c r="T31" s="546">
        <f>AVERAGEIFS($E:$E,$A:$A,"&gt;"&amp;EOMONTH($Q31,-12),$A:$A,"&lt;="&amp;EOMONTH($Q31,0))</f>
        <v/>
      </c>
      <c r="V31" s="1357">
        <f>EOMONTH(V30,3)</f>
        <v/>
      </c>
      <c r="W31" s="1358">
        <f>AVERAGEIFS(B:B,$A:$A,"&gt;"&amp;EOMONTH($V31,-4),$A:$A,"&lt;="&amp;EOMONTH($V31,-1))</f>
        <v/>
      </c>
      <c r="X31" s="1358">
        <f>Y31-W31</f>
        <v/>
      </c>
      <c r="Y31" s="1358">
        <f>AVERAGEIFS(E:E,$A:$A,"&gt;"&amp;EOMONTH($V31,-4),$A:$A,"&lt;="&amp;EOMONTH($V31,-1))</f>
        <v/>
      </c>
      <c r="AA31" s="1357">
        <f>EOMONTH(AA30,6)</f>
        <v/>
      </c>
      <c r="AB31" s="1358">
        <f>AVERAGEIFS($B:$B,$A:$A,"&gt;"&amp;EOMONTH($AA31,-7),$A:$A,"&lt;="&amp;EOMONTH($AA31,-1))</f>
        <v/>
      </c>
      <c r="AC31" s="1358">
        <f>AD31-AB31</f>
        <v/>
      </c>
      <c r="AD31" s="1358">
        <f>AVERAGEIFS($E:$E,$A:$A,"&gt;"&amp;EOMONTH($AA31,-7),$A:$A,"&lt;="&amp;EOMONTH($AA31,-1))</f>
        <v/>
      </c>
      <c r="AF31" s="1357">
        <f>EOMONTH(AF30,12)</f>
        <v/>
      </c>
      <c r="AG31" s="1358">
        <f>AVERAGEIFS($B:$B,$A:$A,"&gt;"&amp;EOMONTH($AF31,-13),$A:$A,"&lt;="&amp;EOMONTH($AF31,-1))</f>
        <v/>
      </c>
      <c r="AH31" s="1358">
        <f>AI31-AG31</f>
        <v/>
      </c>
      <c r="AI31" s="1358">
        <f>AVERAGEIFS($E:$E,$A:$A,"&gt;"&amp;EOMONTH($AF31,-13),$A:$A,"&lt;="&amp;EOMONTH($AF31,-1))</f>
        <v/>
      </c>
    </row>
    <row r="32">
      <c r="A32" s="544" t="n">
        <v>29252</v>
      </c>
      <c r="B32" s="637" t="n"/>
      <c r="C32" s="637" t="n"/>
      <c r="D32" s="637" t="n"/>
      <c r="E32" s="637" t="n"/>
      <c r="G32" s="1357">
        <f>EOMONTH(G31,3)</f>
        <v/>
      </c>
      <c r="H32" s="546">
        <f>AVERAGEIFS($B:$B,$A:$A,"&gt;"&amp;EOMONTH($G32,-3),$A:$A,"&lt;="&amp;EOMONTH($G32,0))</f>
        <v/>
      </c>
      <c r="I32" s="546">
        <f>J32-H32</f>
        <v/>
      </c>
      <c r="J32" s="546">
        <f>AVERAGEIFS($E:$E,$A:$A,"&gt;"&amp;EOMONTH($G32,-3),$A:$A,"&lt;="&amp;EOMONTH($G32,0))</f>
        <v/>
      </c>
      <c r="L32" s="1357">
        <f>EOMONTH(L31,6)</f>
        <v/>
      </c>
      <c r="M32" s="546">
        <f>AVERAGEIFS($B:$B,$A:$A,"&gt;"&amp;EOMONTH($L32,-6),$A:$A,"&lt;="&amp;EOMONTH($L32,0))</f>
        <v/>
      </c>
      <c r="N32" s="546">
        <f>O32-M32</f>
        <v/>
      </c>
      <c r="O32" s="546">
        <f>AVERAGEIFS($E:$E,$A:$A,"&gt;"&amp;EOMONTH($L32,-6),$A:$A,"&lt;="&amp;EOMONTH($L32,0))</f>
        <v/>
      </c>
      <c r="Q32" s="1357">
        <f>EOMONTH(Q31,12)</f>
        <v/>
      </c>
      <c r="R32" s="546">
        <f>AVERAGEIFS($B:$B,$A:$A,"&gt;"&amp;EOMONTH($Q32,-12),$A:$A,"&lt;="&amp;EOMONTH($Q32,0))</f>
        <v/>
      </c>
      <c r="S32" s="546">
        <f>T32-R32</f>
        <v/>
      </c>
      <c r="T32" s="546">
        <f>AVERAGEIFS($E:$E,$A:$A,"&gt;"&amp;EOMONTH($Q32,-12),$A:$A,"&lt;="&amp;EOMONTH($Q32,0))</f>
        <v/>
      </c>
      <c r="V32" s="1357">
        <f>EOMONTH(V31,3)</f>
        <v/>
      </c>
      <c r="W32" s="1358">
        <f>AVERAGEIFS(B:B,$A:$A,"&gt;"&amp;EOMONTH($V32,-4),$A:$A,"&lt;="&amp;EOMONTH($V32,-1))</f>
        <v/>
      </c>
      <c r="X32" s="1358">
        <f>Y32-W32</f>
        <v/>
      </c>
      <c r="Y32" s="1358">
        <f>AVERAGEIFS(E:E,$A:$A,"&gt;"&amp;EOMONTH($V32,-4),$A:$A,"&lt;="&amp;EOMONTH($V32,-1))</f>
        <v/>
      </c>
      <c r="AA32" s="1357">
        <f>EOMONTH(AA31,6)</f>
        <v/>
      </c>
      <c r="AB32" s="1358">
        <f>AVERAGEIFS($B:$B,$A:$A,"&gt;"&amp;EOMONTH($AA32,-7),$A:$A,"&lt;="&amp;EOMONTH($AA32,-1))</f>
        <v/>
      </c>
      <c r="AC32" s="1358">
        <f>AD32-AB32</f>
        <v/>
      </c>
      <c r="AD32" s="1358">
        <f>AVERAGEIFS($E:$E,$A:$A,"&gt;"&amp;EOMONTH($AA32,-7),$A:$A,"&lt;="&amp;EOMONTH($AA32,-1))</f>
        <v/>
      </c>
      <c r="AF32" s="1357">
        <f>EOMONTH(AF31,12)</f>
        <v/>
      </c>
      <c r="AG32" s="1358">
        <f>AVERAGEIFS($B:$B,$A:$A,"&gt;"&amp;EOMONTH($AF32,-13),$A:$A,"&lt;="&amp;EOMONTH($AF32,-1))</f>
        <v/>
      </c>
      <c r="AH32" s="1358">
        <f>AI32-AG32</f>
        <v/>
      </c>
      <c r="AI32" s="1358">
        <f>AVERAGEIFS($E:$E,$A:$A,"&gt;"&amp;EOMONTH($AF32,-13),$A:$A,"&lt;="&amp;EOMONTH($AF32,-1))</f>
        <v/>
      </c>
    </row>
    <row r="33">
      <c r="A33" s="544" t="n">
        <v>29255</v>
      </c>
      <c r="B33" s="637" t="n"/>
      <c r="C33" s="637" t="n"/>
      <c r="D33" s="637" t="n"/>
      <c r="E33" s="637" t="n"/>
      <c r="G33" s="1357">
        <f>EOMONTH(G32,3)</f>
        <v/>
      </c>
      <c r="H33" s="546">
        <f>AVERAGEIFS($B:$B,$A:$A,"&gt;"&amp;EOMONTH($G33,-3),$A:$A,"&lt;="&amp;EOMONTH($G33,0))</f>
        <v/>
      </c>
      <c r="I33" s="546">
        <f>J33-H33</f>
        <v/>
      </c>
      <c r="J33" s="546">
        <f>AVERAGEIFS($E:$E,$A:$A,"&gt;"&amp;EOMONTH($G33,-3),$A:$A,"&lt;="&amp;EOMONTH($G33,0))</f>
        <v/>
      </c>
      <c r="L33" s="1357">
        <f>EOMONTH(L32,6)</f>
        <v/>
      </c>
      <c r="M33" s="546">
        <f>AVERAGEIFS($B:$B,$A:$A,"&gt;"&amp;EOMONTH($L33,-6),$A:$A,"&lt;="&amp;EOMONTH($L33,0))</f>
        <v/>
      </c>
      <c r="N33" s="546">
        <f>O33-M33</f>
        <v/>
      </c>
      <c r="O33" s="546">
        <f>AVERAGEIFS($E:$E,$A:$A,"&gt;"&amp;EOMONTH($L33,-6),$A:$A,"&lt;="&amp;EOMONTH($L33,0))</f>
        <v/>
      </c>
      <c r="Q33" s="1357">
        <f>EOMONTH(Q32,12)</f>
        <v/>
      </c>
      <c r="R33" s="546">
        <f>AVERAGEIFS($B:$B,$A:$A,"&gt;"&amp;EOMONTH($Q33,-12),$A:$A,"&lt;="&amp;EOMONTH($Q33,0))</f>
        <v/>
      </c>
      <c r="S33" s="546">
        <f>T33-R33</f>
        <v/>
      </c>
      <c r="T33" s="546">
        <f>AVERAGEIFS($E:$E,$A:$A,"&gt;"&amp;EOMONTH($Q33,-12),$A:$A,"&lt;="&amp;EOMONTH($Q33,0))</f>
        <v/>
      </c>
      <c r="V33" s="1357">
        <f>EOMONTH(V32,3)</f>
        <v/>
      </c>
      <c r="W33" s="1358">
        <f>AVERAGEIFS(B:B,$A:$A,"&gt;"&amp;EOMONTH($V33,-4),$A:$A,"&lt;="&amp;EOMONTH($V33,-1))</f>
        <v/>
      </c>
      <c r="X33" s="1358">
        <f>Y33-W33</f>
        <v/>
      </c>
      <c r="Y33" s="1358">
        <f>AVERAGEIFS(E:E,$A:$A,"&gt;"&amp;EOMONTH($V33,-4),$A:$A,"&lt;="&amp;EOMONTH($V33,-1))</f>
        <v/>
      </c>
      <c r="AA33" s="1357">
        <f>EOMONTH(AA32,6)</f>
        <v/>
      </c>
      <c r="AB33" s="1358">
        <f>AVERAGEIFS($B:$B,$A:$A,"&gt;"&amp;EOMONTH($AA33,-7),$A:$A,"&lt;="&amp;EOMONTH($AA33,-1))</f>
        <v/>
      </c>
      <c r="AC33" s="1358">
        <f>AD33-AB33</f>
        <v/>
      </c>
      <c r="AD33" s="1358">
        <f>AVERAGEIFS($E:$E,$A:$A,"&gt;"&amp;EOMONTH($AA33,-7),$A:$A,"&lt;="&amp;EOMONTH($AA33,-1))</f>
        <v/>
      </c>
      <c r="AF33" s="1357">
        <f>EOMONTH(AF32,12)</f>
        <v/>
      </c>
      <c r="AG33" s="1358">
        <f>AVERAGEIFS($B:$B,$A:$A,"&gt;"&amp;EOMONTH($AF33,-13),$A:$A,"&lt;="&amp;EOMONTH($AF33,-1))</f>
        <v/>
      </c>
      <c r="AH33" s="1358">
        <f>AI33-AG33</f>
        <v/>
      </c>
      <c r="AI33" s="1358">
        <f>AVERAGEIFS($E:$E,$A:$A,"&gt;"&amp;EOMONTH($AF33,-13),$A:$A,"&lt;="&amp;EOMONTH($AF33,-1))</f>
        <v/>
      </c>
    </row>
    <row r="34">
      <c r="A34" s="544" t="n">
        <v>29256</v>
      </c>
      <c r="B34" s="637" t="n"/>
      <c r="C34" s="637" t="n"/>
      <c r="D34" s="637" t="n"/>
      <c r="E34" s="637" t="n"/>
      <c r="G34" s="1357">
        <f>EOMONTH(G33,3)</f>
        <v/>
      </c>
      <c r="H34" s="546">
        <f>AVERAGEIFS($B:$B,$A:$A,"&gt;"&amp;EOMONTH($G34,-3),$A:$A,"&lt;="&amp;EOMONTH($G34,0))</f>
        <v/>
      </c>
      <c r="I34" s="546">
        <f>J34-H34</f>
        <v/>
      </c>
      <c r="J34" s="546">
        <f>AVERAGEIFS($E:$E,$A:$A,"&gt;"&amp;EOMONTH($G34,-3),$A:$A,"&lt;="&amp;EOMONTH($G34,0))</f>
        <v/>
      </c>
      <c r="L34" s="1357">
        <f>EOMONTH(L33,6)</f>
        <v/>
      </c>
      <c r="M34" s="546">
        <f>AVERAGEIFS($B:$B,$A:$A,"&gt;"&amp;EOMONTH($L34,-6),$A:$A,"&lt;="&amp;EOMONTH($L34,0))</f>
        <v/>
      </c>
      <c r="N34" s="546">
        <f>O34-M34</f>
        <v/>
      </c>
      <c r="O34" s="546">
        <f>AVERAGEIFS($E:$E,$A:$A,"&gt;"&amp;EOMONTH($L34,-6),$A:$A,"&lt;="&amp;EOMONTH($L34,0))</f>
        <v/>
      </c>
      <c r="Q34" s="1357">
        <f>EOMONTH(Q33,12)</f>
        <v/>
      </c>
      <c r="R34" s="546">
        <f>AVERAGEIFS($B:$B,$A:$A,"&gt;"&amp;EOMONTH($Q34,-12),$A:$A,"&lt;="&amp;EOMONTH($Q34,0))</f>
        <v/>
      </c>
      <c r="S34" s="546">
        <f>T34-R34</f>
        <v/>
      </c>
      <c r="T34" s="546">
        <f>AVERAGEIFS($E:$E,$A:$A,"&gt;"&amp;EOMONTH($Q34,-12),$A:$A,"&lt;="&amp;EOMONTH($Q34,0))</f>
        <v/>
      </c>
      <c r="V34" s="1357">
        <f>EOMONTH(V33,3)</f>
        <v/>
      </c>
      <c r="W34" s="1358">
        <f>AVERAGEIFS(B:B,$A:$A,"&gt;"&amp;EOMONTH($V34,-4),$A:$A,"&lt;="&amp;EOMONTH($V34,-1))</f>
        <v/>
      </c>
      <c r="X34" s="1358">
        <f>Y34-W34</f>
        <v/>
      </c>
      <c r="Y34" s="1358">
        <f>AVERAGEIFS(E:E,$A:$A,"&gt;"&amp;EOMONTH($V34,-4),$A:$A,"&lt;="&amp;EOMONTH($V34,-1))</f>
        <v/>
      </c>
      <c r="AA34" s="1357">
        <f>EOMONTH(AA33,6)</f>
        <v/>
      </c>
      <c r="AB34" s="1358">
        <f>AVERAGEIFS($B:$B,$A:$A,"&gt;"&amp;EOMONTH($AA34,-7),$A:$A,"&lt;="&amp;EOMONTH($AA34,-1))</f>
        <v/>
      </c>
      <c r="AC34" s="1358">
        <f>AD34-AB34</f>
        <v/>
      </c>
      <c r="AD34" s="1358">
        <f>AVERAGEIFS($E:$E,$A:$A,"&gt;"&amp;EOMONTH($AA34,-7),$A:$A,"&lt;="&amp;EOMONTH($AA34,-1))</f>
        <v/>
      </c>
      <c r="AF34" s="1357">
        <f>EOMONTH(AF33,12)</f>
        <v/>
      </c>
      <c r="AG34" s="1358">
        <f>AVERAGEIFS($B:$B,$A:$A,"&gt;"&amp;EOMONTH($AF34,-13),$A:$A,"&lt;="&amp;EOMONTH($AF34,-1))</f>
        <v/>
      </c>
      <c r="AH34" s="1358">
        <f>AI34-AG34</f>
        <v/>
      </c>
      <c r="AI34" s="1358">
        <f>AVERAGEIFS($E:$E,$A:$A,"&gt;"&amp;EOMONTH($AF34,-13),$A:$A,"&lt;="&amp;EOMONTH($AF34,-1))</f>
        <v/>
      </c>
    </row>
    <row r="35">
      <c r="A35" s="544" t="n">
        <v>29257</v>
      </c>
      <c r="B35" s="637" t="n"/>
      <c r="C35" s="637" t="n"/>
      <c r="D35" s="637" t="n"/>
      <c r="E35" s="637" t="n"/>
      <c r="G35" s="1357">
        <f>EOMONTH(G34,3)</f>
        <v/>
      </c>
      <c r="H35" s="546">
        <f>AVERAGEIFS($B:$B,$A:$A,"&gt;"&amp;EOMONTH($G35,-3),$A:$A,"&lt;="&amp;EOMONTH($G35,0))</f>
        <v/>
      </c>
      <c r="I35" s="546">
        <f>J35-H35</f>
        <v/>
      </c>
      <c r="J35" s="546">
        <f>AVERAGEIFS($E:$E,$A:$A,"&gt;"&amp;EOMONTH($G35,-3),$A:$A,"&lt;="&amp;EOMONTH($G35,0))</f>
        <v/>
      </c>
      <c r="L35" s="1357">
        <f>EOMONTH(L34,6)</f>
        <v/>
      </c>
      <c r="M35" s="546">
        <f>AVERAGEIFS($B:$B,$A:$A,"&gt;"&amp;EOMONTH($L35,-6),$A:$A,"&lt;="&amp;EOMONTH($L35,0))</f>
        <v/>
      </c>
      <c r="N35" s="546">
        <f>O35-M35</f>
        <v/>
      </c>
      <c r="O35" s="546">
        <f>AVERAGEIFS($E:$E,$A:$A,"&gt;"&amp;EOMONTH($L35,-6),$A:$A,"&lt;="&amp;EOMONTH($L35,0))</f>
        <v/>
      </c>
      <c r="Q35" s="1357">
        <f>EOMONTH(Q34,12)</f>
        <v/>
      </c>
      <c r="R35" s="546">
        <f>AVERAGEIFS($B:$B,$A:$A,"&gt;"&amp;EOMONTH($Q35,-12),$A:$A,"&lt;="&amp;EOMONTH($Q35,0))</f>
        <v/>
      </c>
      <c r="S35" s="546">
        <f>T35-R35</f>
        <v/>
      </c>
      <c r="T35" s="546">
        <f>AVERAGEIFS($E:$E,$A:$A,"&gt;"&amp;EOMONTH($Q35,-12),$A:$A,"&lt;="&amp;EOMONTH($Q35,0))</f>
        <v/>
      </c>
      <c r="V35" s="1357">
        <f>EOMONTH(V34,3)</f>
        <v/>
      </c>
      <c r="W35" s="1358">
        <f>AVERAGEIFS(B:B,$A:$A,"&gt;"&amp;EOMONTH($V35,-4),$A:$A,"&lt;="&amp;EOMONTH($V35,-1))</f>
        <v/>
      </c>
      <c r="X35" s="1358">
        <f>Y35-W35</f>
        <v/>
      </c>
      <c r="Y35" s="1358">
        <f>AVERAGEIFS(E:E,$A:$A,"&gt;"&amp;EOMONTH($V35,-4),$A:$A,"&lt;="&amp;EOMONTH($V35,-1))</f>
        <v/>
      </c>
      <c r="AA35" s="1357">
        <f>EOMONTH(AA34,6)</f>
        <v/>
      </c>
      <c r="AB35" s="1358">
        <f>AVERAGEIFS($B:$B,$A:$A,"&gt;"&amp;EOMONTH($AA35,-7),$A:$A,"&lt;="&amp;EOMONTH($AA35,-1))</f>
        <v/>
      </c>
      <c r="AC35" s="1358">
        <f>AD35-AB35</f>
        <v/>
      </c>
      <c r="AD35" s="1358">
        <f>AVERAGEIFS($E:$E,$A:$A,"&gt;"&amp;EOMONTH($AA35,-7),$A:$A,"&lt;="&amp;EOMONTH($AA35,-1))</f>
        <v/>
      </c>
      <c r="AF35" s="1357">
        <f>EOMONTH(AF34,12)</f>
        <v/>
      </c>
      <c r="AG35" s="1358">
        <f>AVERAGEIFS($B:$B,$A:$A,"&gt;"&amp;EOMONTH($AF35,-13),$A:$A,"&lt;="&amp;EOMONTH($AF35,-1))</f>
        <v/>
      </c>
      <c r="AH35" s="1358">
        <f>AI35-AG35</f>
        <v/>
      </c>
      <c r="AI35" s="1358">
        <f>AVERAGEIFS($E:$E,$A:$A,"&gt;"&amp;EOMONTH($AF35,-13),$A:$A,"&lt;="&amp;EOMONTH($AF35,-1))</f>
        <v/>
      </c>
    </row>
    <row r="36">
      <c r="A36" s="544" t="n">
        <v>29258</v>
      </c>
      <c r="B36" s="637" t="n"/>
      <c r="C36" s="637" t="n"/>
      <c r="D36" s="637" t="n"/>
      <c r="E36" s="637" t="n"/>
      <c r="G36" s="1357">
        <f>EOMONTH(G35,3)</f>
        <v/>
      </c>
      <c r="H36" s="546">
        <f>AVERAGEIFS($B:$B,$A:$A,"&gt;"&amp;EOMONTH($G36,-3),$A:$A,"&lt;="&amp;EOMONTH($G36,0))</f>
        <v/>
      </c>
      <c r="I36" s="546">
        <f>J36-H36</f>
        <v/>
      </c>
      <c r="J36" s="546">
        <f>AVERAGEIFS($E:$E,$A:$A,"&gt;"&amp;EOMONTH($G36,-3),$A:$A,"&lt;="&amp;EOMONTH($G36,0))</f>
        <v/>
      </c>
      <c r="L36" s="1357">
        <f>EOMONTH(L35,6)</f>
        <v/>
      </c>
      <c r="M36" s="546">
        <f>AVERAGEIFS($B:$B,$A:$A,"&gt;"&amp;EOMONTH($L36,-6),$A:$A,"&lt;="&amp;EOMONTH($L36,0))</f>
        <v/>
      </c>
      <c r="N36" s="546">
        <f>O36-M36</f>
        <v/>
      </c>
      <c r="O36" s="546">
        <f>AVERAGEIFS($E:$E,$A:$A,"&gt;"&amp;EOMONTH($L36,-6),$A:$A,"&lt;="&amp;EOMONTH($L36,0))</f>
        <v/>
      </c>
      <c r="Q36" s="1357">
        <f>EOMONTH(Q35,12)</f>
        <v/>
      </c>
      <c r="R36" s="546">
        <f>AVERAGEIFS($B:$B,$A:$A,"&gt;"&amp;EOMONTH($Q36,-12),$A:$A,"&lt;="&amp;EOMONTH($Q36,0))</f>
        <v/>
      </c>
      <c r="S36" s="546">
        <f>T36-R36</f>
        <v/>
      </c>
      <c r="T36" s="546">
        <f>AVERAGEIFS($E:$E,$A:$A,"&gt;"&amp;EOMONTH($Q36,-12),$A:$A,"&lt;="&amp;EOMONTH($Q36,0))</f>
        <v/>
      </c>
      <c r="V36" s="1357">
        <f>EOMONTH(V35,3)</f>
        <v/>
      </c>
      <c r="W36" s="1358">
        <f>AVERAGEIFS(B:B,$A:$A,"&gt;"&amp;EOMONTH($V36,-4),$A:$A,"&lt;="&amp;EOMONTH($V36,-1))</f>
        <v/>
      </c>
      <c r="X36" s="1358">
        <f>Y36-W36</f>
        <v/>
      </c>
      <c r="Y36" s="1358">
        <f>AVERAGEIFS(E:E,$A:$A,"&gt;"&amp;EOMONTH($V36,-4),$A:$A,"&lt;="&amp;EOMONTH($V36,-1))</f>
        <v/>
      </c>
      <c r="AA36" s="1357">
        <f>EOMONTH(AA35,6)</f>
        <v/>
      </c>
      <c r="AB36" s="1358">
        <f>AVERAGEIFS($B:$B,$A:$A,"&gt;"&amp;EOMONTH($AA36,-7),$A:$A,"&lt;="&amp;EOMONTH($AA36,-1))</f>
        <v/>
      </c>
      <c r="AC36" s="1358">
        <f>AD36-AB36</f>
        <v/>
      </c>
      <c r="AD36" s="1358">
        <f>AVERAGEIFS($E:$E,$A:$A,"&gt;"&amp;EOMONTH($AA36,-7),$A:$A,"&lt;="&amp;EOMONTH($AA36,-1))</f>
        <v/>
      </c>
      <c r="AF36" s="1357">
        <f>EOMONTH(AF35,12)</f>
        <v/>
      </c>
      <c r="AG36" s="1358">
        <f>AVERAGEIFS($B:$B,$A:$A,"&gt;"&amp;EOMONTH($AF36,-13),$A:$A,"&lt;="&amp;EOMONTH($AF36,-1))</f>
        <v/>
      </c>
      <c r="AH36" s="1358">
        <f>AI36-AG36</f>
        <v/>
      </c>
      <c r="AI36" s="1358">
        <f>AVERAGEIFS($E:$E,$A:$A,"&gt;"&amp;EOMONTH($AF36,-13),$A:$A,"&lt;="&amp;EOMONTH($AF36,-1))</f>
        <v/>
      </c>
    </row>
    <row r="37">
      <c r="A37" s="544" t="n">
        <v>29259</v>
      </c>
      <c r="B37" s="637" t="n"/>
      <c r="C37" s="637" t="n"/>
      <c r="D37" s="637" t="n"/>
      <c r="E37" s="637" t="n"/>
      <c r="G37" s="1357">
        <f>EOMONTH(G36,3)</f>
        <v/>
      </c>
      <c r="H37" s="546">
        <f>AVERAGEIFS($B:$B,$A:$A,"&gt;"&amp;EOMONTH($G37,-3),$A:$A,"&lt;="&amp;EOMONTH($G37,0))</f>
        <v/>
      </c>
      <c r="I37" s="546">
        <f>J37-H37</f>
        <v/>
      </c>
      <c r="J37" s="546">
        <f>AVERAGEIFS($E:$E,$A:$A,"&gt;"&amp;EOMONTH($G37,-3),$A:$A,"&lt;="&amp;EOMONTH($G37,0))</f>
        <v/>
      </c>
      <c r="L37" s="1357">
        <f>EOMONTH(L36,6)</f>
        <v/>
      </c>
      <c r="M37" s="546">
        <f>AVERAGEIFS($B:$B,$A:$A,"&gt;"&amp;EOMONTH($L37,-6),$A:$A,"&lt;="&amp;EOMONTH($L37,0))</f>
        <v/>
      </c>
      <c r="N37" s="546">
        <f>O37-M37</f>
        <v/>
      </c>
      <c r="O37" s="546">
        <f>AVERAGEIFS($E:$E,$A:$A,"&gt;"&amp;EOMONTH($L37,-6),$A:$A,"&lt;="&amp;EOMONTH($L37,0))</f>
        <v/>
      </c>
      <c r="Q37" s="1357">
        <f>EOMONTH(Q36,12)</f>
        <v/>
      </c>
      <c r="R37" s="546">
        <f>AVERAGEIFS($B:$B,$A:$A,"&gt;"&amp;EOMONTH($Q37,-12),$A:$A,"&lt;="&amp;EOMONTH($Q37,0))</f>
        <v/>
      </c>
      <c r="S37" s="546">
        <f>T37-R37</f>
        <v/>
      </c>
      <c r="T37" s="546">
        <f>AVERAGEIFS($E:$E,$A:$A,"&gt;"&amp;EOMONTH($Q37,-12),$A:$A,"&lt;="&amp;EOMONTH($Q37,0))</f>
        <v/>
      </c>
      <c r="V37" s="1357">
        <f>EOMONTH(V36,3)</f>
        <v/>
      </c>
      <c r="W37" s="1358">
        <f>AVERAGEIFS(B:B,$A:$A,"&gt;"&amp;EOMONTH($V37,-4),$A:$A,"&lt;="&amp;EOMONTH($V37,-1))</f>
        <v/>
      </c>
      <c r="X37" s="1358">
        <f>Y37-W37</f>
        <v/>
      </c>
      <c r="Y37" s="1358">
        <f>AVERAGEIFS(E:E,$A:$A,"&gt;"&amp;EOMONTH($V37,-4),$A:$A,"&lt;="&amp;EOMONTH($V37,-1))</f>
        <v/>
      </c>
      <c r="AA37" s="1357">
        <f>EOMONTH(AA36,6)</f>
        <v/>
      </c>
      <c r="AB37" s="1358">
        <f>AVERAGEIFS($B:$B,$A:$A,"&gt;"&amp;EOMONTH($AA37,-7),$A:$A,"&lt;="&amp;EOMONTH($AA37,-1))</f>
        <v/>
      </c>
      <c r="AC37" s="1358">
        <f>AD37-AB37</f>
        <v/>
      </c>
      <c r="AD37" s="1358">
        <f>AVERAGEIFS($E:$E,$A:$A,"&gt;"&amp;EOMONTH($AA37,-7),$A:$A,"&lt;="&amp;EOMONTH($AA37,-1))</f>
        <v/>
      </c>
      <c r="AF37" s="1357">
        <f>EOMONTH(AF36,12)</f>
        <v/>
      </c>
      <c r="AG37" s="1358">
        <f>AVERAGEIFS($B:$B,$A:$A,"&gt;"&amp;EOMONTH($AF37,-13),$A:$A,"&lt;="&amp;EOMONTH($AF37,-1))</f>
        <v/>
      </c>
      <c r="AH37" s="1358">
        <f>AI37-AG37</f>
        <v/>
      </c>
      <c r="AI37" s="1358">
        <f>AVERAGEIFS($E:$E,$A:$A,"&gt;"&amp;EOMONTH($AF37,-13),$A:$A,"&lt;="&amp;EOMONTH($AF37,-1))</f>
        <v/>
      </c>
    </row>
    <row r="38">
      <c r="A38" s="544" t="n">
        <v>29262</v>
      </c>
      <c r="B38" s="637" t="n"/>
      <c r="C38" s="637" t="n"/>
      <c r="D38" s="637" t="n"/>
      <c r="E38" s="637" t="n"/>
      <c r="G38" s="1357">
        <f>EOMONTH(G37,3)</f>
        <v/>
      </c>
      <c r="H38" s="546">
        <f>AVERAGEIFS($B:$B,$A:$A,"&gt;"&amp;EOMONTH($G38,-3),$A:$A,"&lt;="&amp;EOMONTH($G38,0))</f>
        <v/>
      </c>
      <c r="I38" s="546">
        <f>J38-H38</f>
        <v/>
      </c>
      <c r="J38" s="546">
        <f>AVERAGEIFS($E:$E,$A:$A,"&gt;"&amp;EOMONTH($G38,-3),$A:$A,"&lt;="&amp;EOMONTH($G38,0))</f>
        <v/>
      </c>
      <c r="L38" s="1357">
        <f>EOMONTH(L37,6)</f>
        <v/>
      </c>
      <c r="M38" s="546">
        <f>AVERAGEIFS($B:$B,$A:$A,"&gt;"&amp;EOMONTH($L38,-6),$A:$A,"&lt;="&amp;EOMONTH($L38,0))</f>
        <v/>
      </c>
      <c r="N38" s="546">
        <f>O38-M38</f>
        <v/>
      </c>
      <c r="O38" s="546">
        <f>AVERAGEIFS($E:$E,$A:$A,"&gt;"&amp;EOMONTH($L38,-6),$A:$A,"&lt;="&amp;EOMONTH($L38,0))</f>
        <v/>
      </c>
      <c r="Q38" s="1357">
        <f>EOMONTH(Q37,12)</f>
        <v/>
      </c>
      <c r="R38" s="546">
        <f>AVERAGEIFS($B:$B,$A:$A,"&gt;"&amp;EOMONTH($Q38,-12),$A:$A,"&lt;="&amp;EOMONTH($Q38,0))</f>
        <v/>
      </c>
      <c r="S38" s="546">
        <f>T38-R38</f>
        <v/>
      </c>
      <c r="T38" s="546">
        <f>AVERAGEIFS($E:$E,$A:$A,"&gt;"&amp;EOMONTH($Q38,-12),$A:$A,"&lt;="&amp;EOMONTH($Q38,0))</f>
        <v/>
      </c>
      <c r="V38" s="1357">
        <f>EOMONTH(V37,3)</f>
        <v/>
      </c>
      <c r="W38" s="1358">
        <f>AVERAGEIFS(B:B,$A:$A,"&gt;"&amp;EOMONTH($V38,-4),$A:$A,"&lt;="&amp;EOMONTH($V38,-1))</f>
        <v/>
      </c>
      <c r="X38" s="1358">
        <f>Y38-W38</f>
        <v/>
      </c>
      <c r="Y38" s="1358">
        <f>AVERAGEIFS(E:E,$A:$A,"&gt;"&amp;EOMONTH($V38,-4),$A:$A,"&lt;="&amp;EOMONTH($V38,-1))</f>
        <v/>
      </c>
      <c r="AA38" s="1357">
        <f>EOMONTH(AA37,6)</f>
        <v/>
      </c>
      <c r="AB38" s="1358">
        <f>AVERAGEIFS($B:$B,$A:$A,"&gt;"&amp;EOMONTH($AA38,-7),$A:$A,"&lt;="&amp;EOMONTH($AA38,-1))</f>
        <v/>
      </c>
      <c r="AC38" s="1358">
        <f>AD38-AB38</f>
        <v/>
      </c>
      <c r="AD38" s="1358">
        <f>AVERAGEIFS($E:$E,$A:$A,"&gt;"&amp;EOMONTH($AA38,-7),$A:$A,"&lt;="&amp;EOMONTH($AA38,-1))</f>
        <v/>
      </c>
      <c r="AF38" s="1357">
        <f>EOMONTH(AF37,12)</f>
        <v/>
      </c>
      <c r="AG38" s="1358">
        <f>AVERAGEIFS($B:$B,$A:$A,"&gt;"&amp;EOMONTH($AF38,-13),$A:$A,"&lt;="&amp;EOMONTH($AF38,-1))</f>
        <v/>
      </c>
      <c r="AH38" s="1358">
        <f>AI38-AG38</f>
        <v/>
      </c>
      <c r="AI38" s="1358">
        <f>AVERAGEIFS($E:$E,$A:$A,"&gt;"&amp;EOMONTH($AF38,-13),$A:$A,"&lt;="&amp;EOMONTH($AF38,-1))</f>
        <v/>
      </c>
    </row>
    <row r="39">
      <c r="A39" s="544" t="n">
        <v>29263</v>
      </c>
      <c r="B39" s="637" t="n"/>
      <c r="C39" s="637" t="n"/>
      <c r="D39" s="637" t="n"/>
      <c r="E39" s="637" t="n"/>
      <c r="G39" s="1357">
        <f>EOMONTH(G38,3)</f>
        <v/>
      </c>
      <c r="H39" s="546">
        <f>AVERAGEIFS($B:$B,$A:$A,"&gt;"&amp;EOMONTH($G39,-3),$A:$A,"&lt;="&amp;EOMONTH($G39,0))</f>
        <v/>
      </c>
      <c r="I39" s="546">
        <f>J39-H39</f>
        <v/>
      </c>
      <c r="J39" s="546">
        <f>AVERAGEIFS($E:$E,$A:$A,"&gt;"&amp;EOMONTH($G39,-3),$A:$A,"&lt;="&amp;EOMONTH($G39,0))</f>
        <v/>
      </c>
      <c r="L39" s="1357">
        <f>EOMONTH(L38,6)</f>
        <v/>
      </c>
      <c r="M39" s="546">
        <f>AVERAGEIFS($B:$B,$A:$A,"&gt;"&amp;EOMONTH($L39,-6),$A:$A,"&lt;="&amp;EOMONTH($L39,0))</f>
        <v/>
      </c>
      <c r="N39" s="546">
        <f>O39-M39</f>
        <v/>
      </c>
      <c r="O39" s="546">
        <f>AVERAGEIFS($E:$E,$A:$A,"&gt;"&amp;EOMONTH($L39,-6),$A:$A,"&lt;="&amp;EOMONTH($L39,0))</f>
        <v/>
      </c>
      <c r="Q39" s="1357">
        <f>EOMONTH(Q38,12)</f>
        <v/>
      </c>
      <c r="R39" s="546">
        <f>AVERAGEIFS($B:$B,$A:$A,"&gt;"&amp;EOMONTH($Q39,-12),$A:$A,"&lt;="&amp;EOMONTH($Q39,0))</f>
        <v/>
      </c>
      <c r="S39" s="546">
        <f>T39-R39</f>
        <v/>
      </c>
      <c r="T39" s="546">
        <f>AVERAGEIFS($E:$E,$A:$A,"&gt;"&amp;EOMONTH($Q39,-12),$A:$A,"&lt;="&amp;EOMONTH($Q39,0))</f>
        <v/>
      </c>
      <c r="V39" s="1357">
        <f>EOMONTH(V38,3)</f>
        <v/>
      </c>
      <c r="W39" s="1358">
        <f>AVERAGEIFS(B:B,$A:$A,"&gt;"&amp;EOMONTH($V39,-4),$A:$A,"&lt;="&amp;EOMONTH($V39,-1))</f>
        <v/>
      </c>
      <c r="X39" s="1358">
        <f>Y39-W39</f>
        <v/>
      </c>
      <c r="Y39" s="1358">
        <f>AVERAGEIFS(E:E,$A:$A,"&gt;"&amp;EOMONTH($V39,-4),$A:$A,"&lt;="&amp;EOMONTH($V39,-1))</f>
        <v/>
      </c>
      <c r="AA39" s="1357">
        <f>EOMONTH(AA38,6)</f>
        <v/>
      </c>
      <c r="AB39" s="1358">
        <f>AVERAGEIFS($B:$B,$A:$A,"&gt;"&amp;EOMONTH($AA39,-7),$A:$A,"&lt;="&amp;EOMONTH($AA39,-1))</f>
        <v/>
      </c>
      <c r="AC39" s="1358">
        <f>AD39-AB39</f>
        <v/>
      </c>
      <c r="AD39" s="1358">
        <f>AVERAGEIFS($E:$E,$A:$A,"&gt;"&amp;EOMONTH($AA39,-7),$A:$A,"&lt;="&amp;EOMONTH($AA39,-1))</f>
        <v/>
      </c>
      <c r="AF39" s="1357">
        <f>EOMONTH(AF38,12)</f>
        <v/>
      </c>
      <c r="AG39" s="1358">
        <f>AVERAGEIFS($B:$B,$A:$A,"&gt;"&amp;EOMONTH($AF39,-13),$A:$A,"&lt;="&amp;EOMONTH($AF39,-1))</f>
        <v/>
      </c>
      <c r="AH39" s="1358">
        <f>AI39-AG39</f>
        <v/>
      </c>
      <c r="AI39" s="1358">
        <f>AVERAGEIFS($E:$E,$A:$A,"&gt;"&amp;EOMONTH($AF39,-13),$A:$A,"&lt;="&amp;EOMONTH($AF39,-1))</f>
        <v/>
      </c>
    </row>
    <row r="40">
      <c r="A40" s="544" t="n">
        <v>29264</v>
      </c>
      <c r="B40" s="637" t="n"/>
      <c r="C40" s="637" t="n"/>
      <c r="D40" s="637" t="n"/>
      <c r="E40" s="637" t="n"/>
      <c r="G40" s="1357">
        <f>EOMONTH(G39,3)</f>
        <v/>
      </c>
      <c r="H40" s="546">
        <f>AVERAGEIFS($B:$B,$A:$A,"&gt;"&amp;EOMONTH($G40,-3),$A:$A,"&lt;="&amp;EOMONTH($G40,0))</f>
        <v/>
      </c>
      <c r="I40" s="546">
        <f>J40-H40</f>
        <v/>
      </c>
      <c r="J40" s="546">
        <f>AVERAGEIFS($E:$E,$A:$A,"&gt;"&amp;EOMONTH($G40,-3),$A:$A,"&lt;="&amp;EOMONTH($G40,0))</f>
        <v/>
      </c>
      <c r="L40" s="1357">
        <f>EOMONTH(L39,6)</f>
        <v/>
      </c>
      <c r="M40" s="546">
        <f>AVERAGEIFS($B:$B,$A:$A,"&gt;"&amp;EOMONTH($L40,-6),$A:$A,"&lt;="&amp;EOMONTH($L40,0))</f>
        <v/>
      </c>
      <c r="N40" s="546">
        <f>O40-M40</f>
        <v/>
      </c>
      <c r="O40" s="546">
        <f>AVERAGEIFS($E:$E,$A:$A,"&gt;"&amp;EOMONTH($L40,-6),$A:$A,"&lt;="&amp;EOMONTH($L40,0))</f>
        <v/>
      </c>
      <c r="Q40" s="1357">
        <f>EOMONTH(Q39,12)</f>
        <v/>
      </c>
      <c r="R40" s="546">
        <f>AVERAGEIFS($B:$B,$A:$A,"&gt;"&amp;EOMONTH($Q40,-12),$A:$A,"&lt;="&amp;EOMONTH($Q40,0))</f>
        <v/>
      </c>
      <c r="S40" s="546">
        <f>T40-R40</f>
        <v/>
      </c>
      <c r="T40" s="546">
        <f>AVERAGEIFS($E:$E,$A:$A,"&gt;"&amp;EOMONTH($Q40,-12),$A:$A,"&lt;="&amp;EOMONTH($Q40,0))</f>
        <v/>
      </c>
      <c r="V40" s="1357">
        <f>EOMONTH(V39,3)</f>
        <v/>
      </c>
      <c r="W40" s="1358">
        <f>AVERAGEIFS(B:B,$A:$A,"&gt;"&amp;EOMONTH($V40,-4),$A:$A,"&lt;="&amp;EOMONTH($V40,-1))</f>
        <v/>
      </c>
      <c r="X40" s="1358">
        <f>Y40-W40</f>
        <v/>
      </c>
      <c r="Y40" s="1358">
        <f>AVERAGEIFS(E:E,$A:$A,"&gt;"&amp;EOMONTH($V40,-4),$A:$A,"&lt;="&amp;EOMONTH($V40,-1))</f>
        <v/>
      </c>
      <c r="AA40" s="1357">
        <f>EOMONTH(AA39,6)</f>
        <v/>
      </c>
      <c r="AB40" s="1358">
        <f>AVERAGEIFS($B:$B,$A:$A,"&gt;"&amp;EOMONTH($AA40,-7),$A:$A,"&lt;="&amp;EOMONTH($AA40,-1))</f>
        <v/>
      </c>
      <c r="AC40" s="1358">
        <f>AD40-AB40</f>
        <v/>
      </c>
      <c r="AD40" s="1358">
        <f>AVERAGEIFS($E:$E,$A:$A,"&gt;"&amp;EOMONTH($AA40,-7),$A:$A,"&lt;="&amp;EOMONTH($AA40,-1))</f>
        <v/>
      </c>
      <c r="AF40" s="1357">
        <f>EOMONTH(AF39,12)</f>
        <v/>
      </c>
      <c r="AG40" s="1358">
        <f>AVERAGEIFS($B:$B,$A:$A,"&gt;"&amp;EOMONTH($AF40,-13),$A:$A,"&lt;="&amp;EOMONTH($AF40,-1))</f>
        <v/>
      </c>
      <c r="AH40" s="1358">
        <f>AI40-AG40</f>
        <v/>
      </c>
      <c r="AI40" s="1358">
        <f>AVERAGEIFS($E:$E,$A:$A,"&gt;"&amp;EOMONTH($AF40,-13),$A:$A,"&lt;="&amp;EOMONTH($AF40,-1))</f>
        <v/>
      </c>
    </row>
    <row r="41">
      <c r="A41" s="544" t="n">
        <v>29265</v>
      </c>
      <c r="B41" s="637" t="n"/>
      <c r="C41" s="637" t="n"/>
      <c r="D41" s="637" t="n"/>
      <c r="E41" s="637" t="n"/>
      <c r="G41" s="1357">
        <f>EOMONTH(G40,3)</f>
        <v/>
      </c>
      <c r="H41" s="546">
        <f>AVERAGEIFS($B:$B,$A:$A,"&gt;"&amp;EOMONTH($G41,-3),$A:$A,"&lt;="&amp;EOMONTH($G41,0))</f>
        <v/>
      </c>
      <c r="I41" s="546">
        <f>J41-H41</f>
        <v/>
      </c>
      <c r="J41" s="546">
        <f>AVERAGEIFS($E:$E,$A:$A,"&gt;"&amp;EOMONTH($G41,-3),$A:$A,"&lt;="&amp;EOMONTH($G41,0))</f>
        <v/>
      </c>
      <c r="L41" s="1357">
        <f>EOMONTH(L40,6)</f>
        <v/>
      </c>
      <c r="M41" s="546">
        <f>AVERAGEIFS($B:$B,$A:$A,"&gt;"&amp;EOMONTH($L41,-6),$A:$A,"&lt;="&amp;EOMONTH($L41,0))</f>
        <v/>
      </c>
      <c r="N41" s="546">
        <f>O41-M41</f>
        <v/>
      </c>
      <c r="O41" s="546">
        <f>AVERAGEIFS($E:$E,$A:$A,"&gt;"&amp;EOMONTH($L41,-6),$A:$A,"&lt;="&amp;EOMONTH($L41,0))</f>
        <v/>
      </c>
      <c r="Q41" s="1357">
        <f>EOMONTH(Q40,12)</f>
        <v/>
      </c>
      <c r="R41" s="546">
        <f>AVERAGEIFS($B:$B,$A:$A,"&gt;"&amp;EOMONTH($Q41,-12),$A:$A,"&lt;="&amp;EOMONTH($Q41,0))</f>
        <v/>
      </c>
      <c r="S41" s="546">
        <f>T41-R41</f>
        <v/>
      </c>
      <c r="T41" s="546">
        <f>AVERAGEIFS($E:$E,$A:$A,"&gt;"&amp;EOMONTH($Q41,-12),$A:$A,"&lt;="&amp;EOMONTH($Q41,0))</f>
        <v/>
      </c>
      <c r="V41" s="1357">
        <f>EOMONTH(V40,3)</f>
        <v/>
      </c>
      <c r="W41" s="1358">
        <f>AVERAGEIFS(B:B,$A:$A,"&gt;"&amp;EOMONTH($V41,-4),$A:$A,"&lt;="&amp;EOMONTH($V41,-1))</f>
        <v/>
      </c>
      <c r="X41" s="1358">
        <f>Y41-W41</f>
        <v/>
      </c>
      <c r="Y41" s="1358">
        <f>AVERAGEIFS(E:E,$A:$A,"&gt;"&amp;EOMONTH($V41,-4),$A:$A,"&lt;="&amp;EOMONTH($V41,-1))</f>
        <v/>
      </c>
      <c r="AA41" s="1357">
        <f>EOMONTH(AA40,6)</f>
        <v/>
      </c>
      <c r="AB41" s="1358">
        <f>AVERAGEIFS($B:$B,$A:$A,"&gt;"&amp;EOMONTH($AA41,-7),$A:$A,"&lt;="&amp;EOMONTH($AA41,-1))</f>
        <v/>
      </c>
      <c r="AC41" s="1358">
        <f>AD41-AB41</f>
        <v/>
      </c>
      <c r="AD41" s="1358">
        <f>AVERAGEIFS($E:$E,$A:$A,"&gt;"&amp;EOMONTH($AA41,-7),$A:$A,"&lt;="&amp;EOMONTH($AA41,-1))</f>
        <v/>
      </c>
      <c r="AF41" s="1357">
        <f>EOMONTH(AF40,12)</f>
        <v/>
      </c>
      <c r="AG41" s="1358">
        <f>AVERAGEIFS($B:$B,$A:$A,"&gt;"&amp;EOMONTH($AF41,-13),$A:$A,"&lt;="&amp;EOMONTH($AF41,-1))</f>
        <v/>
      </c>
      <c r="AH41" s="1358">
        <f>AI41-AG41</f>
        <v/>
      </c>
      <c r="AI41" s="1358">
        <f>AVERAGEIFS($E:$E,$A:$A,"&gt;"&amp;EOMONTH($AF41,-13),$A:$A,"&lt;="&amp;EOMONTH($AF41,-1))</f>
        <v/>
      </c>
    </row>
    <row r="42">
      <c r="A42" s="544" t="n">
        <v>29266</v>
      </c>
      <c r="B42" s="637" t="n"/>
      <c r="C42" s="637" t="n"/>
      <c r="D42" s="637" t="n"/>
      <c r="E42" s="637" t="n"/>
      <c r="G42" s="1357">
        <f>EOMONTH(G41,3)</f>
        <v/>
      </c>
      <c r="H42" s="546">
        <f>AVERAGEIFS($B:$B,$A:$A,"&gt;"&amp;EOMONTH($G42,-3),$A:$A,"&lt;="&amp;EOMONTH($G42,0))</f>
        <v/>
      </c>
      <c r="I42" s="546">
        <f>J42-H42</f>
        <v/>
      </c>
      <c r="J42" s="546">
        <f>AVERAGEIFS($E:$E,$A:$A,"&gt;"&amp;EOMONTH($G42,-3),$A:$A,"&lt;="&amp;EOMONTH($G42,0))</f>
        <v/>
      </c>
      <c r="L42" s="1357">
        <f>EOMONTH(L41,6)</f>
        <v/>
      </c>
      <c r="M42" s="546">
        <f>AVERAGEIFS($B:$B,$A:$A,"&gt;"&amp;EOMONTH($L42,-6),$A:$A,"&lt;="&amp;EOMONTH($L42,0))</f>
        <v/>
      </c>
      <c r="N42" s="546">
        <f>O42-M42</f>
        <v/>
      </c>
      <c r="O42" s="546">
        <f>AVERAGEIFS($E:$E,$A:$A,"&gt;"&amp;EOMONTH($L42,-6),$A:$A,"&lt;="&amp;EOMONTH($L42,0))</f>
        <v/>
      </c>
      <c r="Q42" s="1357">
        <f>EOMONTH(Q41,12)</f>
        <v/>
      </c>
      <c r="R42" s="546">
        <f>AVERAGEIFS($B:$B,$A:$A,"&gt;"&amp;EOMONTH($Q42,-12),$A:$A,"&lt;="&amp;EOMONTH($Q42,0))</f>
        <v/>
      </c>
      <c r="S42" s="546">
        <f>T42-R42</f>
        <v/>
      </c>
      <c r="T42" s="546">
        <f>AVERAGEIFS($E:$E,$A:$A,"&gt;"&amp;EOMONTH($Q42,-12),$A:$A,"&lt;="&amp;EOMONTH($Q42,0))</f>
        <v/>
      </c>
      <c r="V42" s="1357">
        <f>EOMONTH(V41,3)</f>
        <v/>
      </c>
      <c r="W42" s="1358">
        <f>AVERAGEIFS(B:B,$A:$A,"&gt;"&amp;EOMONTH($V42,-4),$A:$A,"&lt;="&amp;EOMONTH($V42,-1))</f>
        <v/>
      </c>
      <c r="X42" s="1358">
        <f>Y42-W42</f>
        <v/>
      </c>
      <c r="Y42" s="1358">
        <f>AVERAGEIFS(E:E,$A:$A,"&gt;"&amp;EOMONTH($V42,-4),$A:$A,"&lt;="&amp;EOMONTH($V42,-1))</f>
        <v/>
      </c>
      <c r="AA42" s="1357">
        <f>EOMONTH(AA41,6)</f>
        <v/>
      </c>
      <c r="AB42" s="1358">
        <f>AVERAGEIFS($B:$B,$A:$A,"&gt;"&amp;EOMONTH($AA42,-7),$A:$A,"&lt;="&amp;EOMONTH($AA42,-1))</f>
        <v/>
      </c>
      <c r="AC42" s="1358">
        <f>AD42-AB42</f>
        <v/>
      </c>
      <c r="AD42" s="1358">
        <f>AVERAGEIFS($E:$E,$A:$A,"&gt;"&amp;EOMONTH($AA42,-7),$A:$A,"&lt;="&amp;EOMONTH($AA42,-1))</f>
        <v/>
      </c>
      <c r="AF42" s="1357">
        <f>EOMONTH(AF41,12)</f>
        <v/>
      </c>
      <c r="AG42" s="1358">
        <f>AVERAGEIFS($B:$B,$A:$A,"&gt;"&amp;EOMONTH($AF42,-13),$A:$A,"&lt;="&amp;EOMONTH($AF42,-1))</f>
        <v/>
      </c>
      <c r="AH42" s="1358">
        <f>AI42-AG42</f>
        <v/>
      </c>
      <c r="AI42" s="1358">
        <f>AVERAGEIFS($E:$E,$A:$A,"&gt;"&amp;EOMONTH($AF42,-13),$A:$A,"&lt;="&amp;EOMONTH($AF42,-1))</f>
        <v/>
      </c>
    </row>
    <row r="43">
      <c r="A43" s="544" t="n">
        <v>29269</v>
      </c>
      <c r="B43" s="637" t="n"/>
      <c r="C43" s="637" t="n"/>
      <c r="D43" s="637" t="n"/>
      <c r="E43" s="637" t="n"/>
      <c r="G43" s="1357">
        <f>EOMONTH(G42,3)</f>
        <v/>
      </c>
      <c r="H43" s="546">
        <f>AVERAGEIFS($B:$B,$A:$A,"&gt;"&amp;EOMONTH($G43,-3),$A:$A,"&lt;="&amp;EOMONTH($G43,0))</f>
        <v/>
      </c>
      <c r="I43" s="546">
        <f>J43-H43</f>
        <v/>
      </c>
      <c r="J43" s="546">
        <f>AVERAGEIFS($E:$E,$A:$A,"&gt;"&amp;EOMONTH($G43,-3),$A:$A,"&lt;="&amp;EOMONTH($G43,0))</f>
        <v/>
      </c>
      <c r="L43" s="1357">
        <f>EOMONTH(L42,6)</f>
        <v/>
      </c>
      <c r="M43" s="546">
        <f>AVERAGEIFS($B:$B,$A:$A,"&gt;"&amp;EOMONTH($L43,-6),$A:$A,"&lt;="&amp;EOMONTH($L43,0))</f>
        <v/>
      </c>
      <c r="N43" s="546">
        <f>O43-M43</f>
        <v/>
      </c>
      <c r="O43" s="546">
        <f>AVERAGEIFS($E:$E,$A:$A,"&gt;"&amp;EOMONTH($L43,-6),$A:$A,"&lt;="&amp;EOMONTH($L43,0))</f>
        <v/>
      </c>
      <c r="Q43" s="1357">
        <f>EOMONTH(Q42,12)</f>
        <v/>
      </c>
      <c r="R43" s="546">
        <f>AVERAGEIFS($B:$B,$A:$A,"&gt;"&amp;EOMONTH($Q43,-12),$A:$A,"&lt;="&amp;EOMONTH($Q43,0))</f>
        <v/>
      </c>
      <c r="S43" s="546">
        <f>T43-R43</f>
        <v/>
      </c>
      <c r="T43" s="546">
        <f>AVERAGEIFS($E:$E,$A:$A,"&gt;"&amp;EOMONTH($Q43,-12),$A:$A,"&lt;="&amp;EOMONTH($Q43,0))</f>
        <v/>
      </c>
      <c r="V43" s="1357">
        <f>EOMONTH(V42,3)</f>
        <v/>
      </c>
      <c r="W43" s="1358">
        <f>AVERAGEIFS(B:B,$A:$A,"&gt;"&amp;EOMONTH($V43,-4),$A:$A,"&lt;="&amp;EOMONTH($V43,-1))</f>
        <v/>
      </c>
      <c r="X43" s="1358">
        <f>Y43-W43</f>
        <v/>
      </c>
      <c r="Y43" s="1358">
        <f>AVERAGEIFS(E:E,$A:$A,"&gt;"&amp;EOMONTH($V43,-4),$A:$A,"&lt;="&amp;EOMONTH($V43,-1))</f>
        <v/>
      </c>
      <c r="AA43" s="1357">
        <f>EOMONTH(AA42,6)</f>
        <v/>
      </c>
      <c r="AB43" s="1358">
        <f>AVERAGEIFS($B:$B,$A:$A,"&gt;"&amp;EOMONTH($AA43,-7),$A:$A,"&lt;="&amp;EOMONTH($AA43,-1))</f>
        <v/>
      </c>
      <c r="AC43" s="1358">
        <f>AD43-AB43</f>
        <v/>
      </c>
      <c r="AD43" s="1358">
        <f>AVERAGEIFS($E:$E,$A:$A,"&gt;"&amp;EOMONTH($AA43,-7),$A:$A,"&lt;="&amp;EOMONTH($AA43,-1))</f>
        <v/>
      </c>
      <c r="AF43" s="1357">
        <f>EOMONTH(AF42,12)</f>
        <v/>
      </c>
      <c r="AG43" s="1358">
        <f>AVERAGEIFS($B:$B,$A:$A,"&gt;"&amp;EOMONTH($AF43,-13),$A:$A,"&lt;="&amp;EOMONTH($AF43,-1))</f>
        <v/>
      </c>
      <c r="AH43" s="1358">
        <f>AI43-AG43</f>
        <v/>
      </c>
      <c r="AI43" s="1358">
        <f>AVERAGEIFS($E:$E,$A:$A,"&gt;"&amp;EOMONTH($AF43,-13),$A:$A,"&lt;="&amp;EOMONTH($AF43,-1))</f>
        <v/>
      </c>
    </row>
    <row r="44">
      <c r="A44" s="544" t="n">
        <v>29270</v>
      </c>
      <c r="B44" s="637" t="n"/>
      <c r="C44" s="637" t="n"/>
      <c r="D44" s="637" t="n"/>
      <c r="E44" s="637" t="n"/>
      <c r="G44" s="1357">
        <f>EOMONTH(G43,3)</f>
        <v/>
      </c>
      <c r="H44" s="546">
        <f>AVERAGEIFS($B:$B,$A:$A,"&gt;"&amp;EOMONTH($G44,-3),$A:$A,"&lt;="&amp;EOMONTH($G44,0))</f>
        <v/>
      </c>
      <c r="I44" s="546">
        <f>J44-H44</f>
        <v/>
      </c>
      <c r="J44" s="546">
        <f>AVERAGEIFS($E:$E,$A:$A,"&gt;"&amp;EOMONTH($G44,-3),$A:$A,"&lt;="&amp;EOMONTH($G44,0))</f>
        <v/>
      </c>
      <c r="L44" s="1357">
        <f>EOMONTH(L43,6)</f>
        <v/>
      </c>
      <c r="M44" s="546">
        <f>AVERAGEIFS($B:$B,$A:$A,"&gt;"&amp;EOMONTH($L44,-6),$A:$A,"&lt;="&amp;EOMONTH($L44,0))</f>
        <v/>
      </c>
      <c r="N44" s="546">
        <f>O44-M44</f>
        <v/>
      </c>
      <c r="O44" s="546">
        <f>AVERAGEIFS($E:$E,$A:$A,"&gt;"&amp;EOMONTH($L44,-6),$A:$A,"&lt;="&amp;EOMONTH($L44,0))</f>
        <v/>
      </c>
      <c r="Q44" s="1357">
        <f>EOMONTH(Q43,12)</f>
        <v/>
      </c>
      <c r="R44" s="546">
        <f>AVERAGEIFS($B:$B,$A:$A,"&gt;"&amp;EOMONTH($Q44,-12),$A:$A,"&lt;="&amp;EOMONTH($Q44,0))</f>
        <v/>
      </c>
      <c r="S44" s="546">
        <f>T44-R44</f>
        <v/>
      </c>
      <c r="T44" s="546">
        <f>AVERAGEIFS($E:$E,$A:$A,"&gt;"&amp;EOMONTH($Q44,-12),$A:$A,"&lt;="&amp;EOMONTH($Q44,0))</f>
        <v/>
      </c>
      <c r="V44" s="1357">
        <f>EOMONTH(V43,3)</f>
        <v/>
      </c>
      <c r="W44" s="1358">
        <f>AVERAGEIFS(B:B,$A:$A,"&gt;"&amp;EOMONTH($V44,-4),$A:$A,"&lt;="&amp;EOMONTH($V44,-1))</f>
        <v/>
      </c>
      <c r="X44" s="1358">
        <f>Y44-W44</f>
        <v/>
      </c>
      <c r="Y44" s="1358">
        <f>AVERAGEIFS(E:E,$A:$A,"&gt;"&amp;EOMONTH($V44,-4),$A:$A,"&lt;="&amp;EOMONTH($V44,-1))</f>
        <v/>
      </c>
      <c r="AA44" s="1357">
        <f>EOMONTH(AA43,6)</f>
        <v/>
      </c>
      <c r="AB44" s="1358">
        <f>AVERAGEIFS($B:$B,$A:$A,"&gt;"&amp;EOMONTH($AA44,-7),$A:$A,"&lt;="&amp;EOMONTH($AA44,-1))</f>
        <v/>
      </c>
      <c r="AC44" s="1358">
        <f>AD44-AB44</f>
        <v/>
      </c>
      <c r="AD44" s="1358">
        <f>AVERAGEIFS($E:$E,$A:$A,"&gt;"&amp;EOMONTH($AA44,-7),$A:$A,"&lt;="&amp;EOMONTH($AA44,-1))</f>
        <v/>
      </c>
      <c r="AF44" s="1357">
        <f>EOMONTH(AF43,12)</f>
        <v/>
      </c>
      <c r="AG44" s="1358">
        <f>AVERAGEIFS($B:$B,$A:$A,"&gt;"&amp;EOMONTH($AF44,-13),$A:$A,"&lt;="&amp;EOMONTH($AF44,-1))</f>
        <v/>
      </c>
      <c r="AH44" s="1358">
        <f>AI44-AG44</f>
        <v/>
      </c>
      <c r="AI44" s="1358">
        <f>AVERAGEIFS($E:$E,$A:$A,"&gt;"&amp;EOMONTH($AF44,-13),$A:$A,"&lt;="&amp;EOMONTH($AF44,-1))</f>
        <v/>
      </c>
    </row>
    <row r="45">
      <c r="A45" s="544" t="n">
        <v>29271</v>
      </c>
      <c r="B45" s="637" t="n"/>
      <c r="C45" s="637" t="n"/>
      <c r="D45" s="637" t="n"/>
      <c r="E45" s="637" t="n"/>
      <c r="G45" s="1357">
        <f>EOMONTH(G44,3)</f>
        <v/>
      </c>
      <c r="H45" s="546">
        <f>AVERAGEIFS($B:$B,$A:$A,"&gt;"&amp;EOMONTH($G45,-3),$A:$A,"&lt;="&amp;EOMONTH($G45,0))</f>
        <v/>
      </c>
      <c r="I45" s="546">
        <f>J45-H45</f>
        <v/>
      </c>
      <c r="J45" s="546">
        <f>AVERAGEIFS($E:$E,$A:$A,"&gt;"&amp;EOMONTH($G45,-3),$A:$A,"&lt;="&amp;EOMONTH($G45,0))</f>
        <v/>
      </c>
      <c r="L45" s="1357">
        <f>EOMONTH(L44,6)</f>
        <v/>
      </c>
      <c r="M45" s="546">
        <f>AVERAGEIFS($B:$B,$A:$A,"&gt;"&amp;EOMONTH($L45,-6),$A:$A,"&lt;="&amp;EOMONTH($L45,0))</f>
        <v/>
      </c>
      <c r="N45" s="546">
        <f>O45-M45</f>
        <v/>
      </c>
      <c r="O45" s="546">
        <f>AVERAGEIFS($E:$E,$A:$A,"&gt;"&amp;EOMONTH($L45,-6),$A:$A,"&lt;="&amp;EOMONTH($L45,0))</f>
        <v/>
      </c>
      <c r="Q45" s="1357">
        <f>EOMONTH(Q44,12)</f>
        <v/>
      </c>
      <c r="R45" s="546">
        <f>AVERAGEIFS($B:$B,$A:$A,"&gt;"&amp;EOMONTH($Q45,-12),$A:$A,"&lt;="&amp;EOMONTH($Q45,0))</f>
        <v/>
      </c>
      <c r="S45" s="546">
        <f>T45-R45</f>
        <v/>
      </c>
      <c r="T45" s="546">
        <f>AVERAGEIFS($E:$E,$A:$A,"&gt;"&amp;EOMONTH($Q45,-12),$A:$A,"&lt;="&amp;EOMONTH($Q45,0))</f>
        <v/>
      </c>
      <c r="V45" s="1357">
        <f>EOMONTH(V44,3)</f>
        <v/>
      </c>
      <c r="W45" s="1358">
        <f>AVERAGEIFS(B:B,$A:$A,"&gt;"&amp;EOMONTH($V45,-4),$A:$A,"&lt;="&amp;EOMONTH($V45,-1))</f>
        <v/>
      </c>
      <c r="X45" s="1358">
        <f>Y45-W45</f>
        <v/>
      </c>
      <c r="Y45" s="1358">
        <f>AVERAGEIFS(E:E,$A:$A,"&gt;"&amp;EOMONTH($V45,-4),$A:$A,"&lt;="&amp;EOMONTH($V45,-1))</f>
        <v/>
      </c>
      <c r="AA45" s="1357">
        <f>EOMONTH(AA44,6)</f>
        <v/>
      </c>
      <c r="AB45" s="1358">
        <f>AVERAGEIFS($B:$B,$A:$A,"&gt;"&amp;EOMONTH($AA45,-7),$A:$A,"&lt;="&amp;EOMONTH($AA45,-1))</f>
        <v/>
      </c>
      <c r="AC45" s="1358">
        <f>AD45-AB45</f>
        <v/>
      </c>
      <c r="AD45" s="1358">
        <f>AVERAGEIFS($E:$E,$A:$A,"&gt;"&amp;EOMONTH($AA45,-7),$A:$A,"&lt;="&amp;EOMONTH($AA45,-1))</f>
        <v/>
      </c>
      <c r="AF45" s="1357">
        <f>EOMONTH(AF44,12)</f>
        <v/>
      </c>
      <c r="AG45" s="1358">
        <f>AVERAGEIFS($B:$B,$A:$A,"&gt;"&amp;EOMONTH($AF45,-13),$A:$A,"&lt;="&amp;EOMONTH($AF45,-1))</f>
        <v/>
      </c>
      <c r="AH45" s="1358">
        <f>AI45-AG45</f>
        <v/>
      </c>
      <c r="AI45" s="1358">
        <f>AVERAGEIFS($E:$E,$A:$A,"&gt;"&amp;EOMONTH($AF45,-13),$A:$A,"&lt;="&amp;EOMONTH($AF45,-1))</f>
        <v/>
      </c>
    </row>
    <row r="46">
      <c r="A46" s="544" t="n">
        <v>29272</v>
      </c>
      <c r="B46" s="637" t="n"/>
      <c r="C46" s="637" t="n"/>
      <c r="D46" s="637" t="n"/>
      <c r="E46" s="637" t="n"/>
      <c r="G46" s="1357">
        <f>EOMONTH(G45,3)</f>
        <v/>
      </c>
      <c r="H46" s="546">
        <f>AVERAGEIFS($B:$B,$A:$A,"&gt;"&amp;EOMONTH($G46,-3),$A:$A,"&lt;="&amp;EOMONTH($G46,0))</f>
        <v/>
      </c>
      <c r="I46" s="546">
        <f>J46-H46</f>
        <v/>
      </c>
      <c r="J46" s="546">
        <f>AVERAGEIFS($E:$E,$A:$A,"&gt;"&amp;EOMONTH($G46,-3),$A:$A,"&lt;="&amp;EOMONTH($G46,0))</f>
        <v/>
      </c>
      <c r="L46" s="1357">
        <f>EOMONTH(L45,6)</f>
        <v/>
      </c>
      <c r="M46" s="546">
        <f>AVERAGEIFS($B:$B,$A:$A,"&gt;"&amp;EOMONTH($L46,-6),$A:$A,"&lt;="&amp;EOMONTH($L46,0))</f>
        <v/>
      </c>
      <c r="N46" s="546">
        <f>O46-M46</f>
        <v/>
      </c>
      <c r="O46" s="546">
        <f>AVERAGEIFS($E:$E,$A:$A,"&gt;"&amp;EOMONTH($L46,-6),$A:$A,"&lt;="&amp;EOMONTH($L46,0))</f>
        <v/>
      </c>
      <c r="Q46" s="1357">
        <f>EOMONTH(Q45,12)</f>
        <v/>
      </c>
      <c r="R46" s="546">
        <f>AVERAGEIFS($B:$B,$A:$A,"&gt;"&amp;EOMONTH($Q46,-12),$A:$A,"&lt;="&amp;EOMONTH($Q46,0))</f>
        <v/>
      </c>
      <c r="S46" s="546">
        <f>T46-R46</f>
        <v/>
      </c>
      <c r="T46" s="546">
        <f>AVERAGEIFS($E:$E,$A:$A,"&gt;"&amp;EOMONTH($Q46,-12),$A:$A,"&lt;="&amp;EOMONTH($Q46,0))</f>
        <v/>
      </c>
      <c r="V46" s="1357">
        <f>EOMONTH(V45,3)</f>
        <v/>
      </c>
      <c r="W46" s="1358">
        <f>AVERAGEIFS(B:B,$A:$A,"&gt;"&amp;EOMONTH($V46,-4),$A:$A,"&lt;="&amp;EOMONTH($V46,-1))</f>
        <v/>
      </c>
      <c r="X46" s="1358">
        <f>Y46-W46</f>
        <v/>
      </c>
      <c r="Y46" s="1358">
        <f>AVERAGEIFS(E:E,$A:$A,"&gt;"&amp;EOMONTH($V46,-4),$A:$A,"&lt;="&amp;EOMONTH($V46,-1))</f>
        <v/>
      </c>
      <c r="AA46" s="1357">
        <f>EOMONTH(AA45,6)</f>
        <v/>
      </c>
      <c r="AB46" s="1358">
        <f>AVERAGEIFS($B:$B,$A:$A,"&gt;"&amp;EOMONTH($AA46,-7),$A:$A,"&lt;="&amp;EOMONTH($AA46,-1))</f>
        <v/>
      </c>
      <c r="AC46" s="1358">
        <f>AD46-AB46</f>
        <v/>
      </c>
      <c r="AD46" s="1358">
        <f>AVERAGEIFS($E:$E,$A:$A,"&gt;"&amp;EOMONTH($AA46,-7),$A:$A,"&lt;="&amp;EOMONTH($AA46,-1))</f>
        <v/>
      </c>
      <c r="AF46" s="1357">
        <f>EOMONTH(AF45,12)</f>
        <v/>
      </c>
      <c r="AG46" s="1358">
        <f>AVERAGEIFS($B:$B,$A:$A,"&gt;"&amp;EOMONTH($AF46,-13),$A:$A,"&lt;="&amp;EOMONTH($AF46,-1))</f>
        <v/>
      </c>
      <c r="AH46" s="1358">
        <f>AI46-AG46</f>
        <v/>
      </c>
      <c r="AI46" s="1358">
        <f>AVERAGEIFS($E:$E,$A:$A,"&gt;"&amp;EOMONTH($AF46,-13),$A:$A,"&lt;="&amp;EOMONTH($AF46,-1))</f>
        <v/>
      </c>
    </row>
    <row r="47">
      <c r="A47" s="544" t="n">
        <v>29273</v>
      </c>
      <c r="B47" s="637" t="n"/>
      <c r="C47" s="637" t="n"/>
      <c r="D47" s="637" t="n"/>
      <c r="E47" s="637" t="n"/>
      <c r="G47" s="1357">
        <f>EOMONTH(G46,3)</f>
        <v/>
      </c>
      <c r="H47" s="546">
        <f>AVERAGEIFS($B:$B,$A:$A,"&gt;"&amp;EOMONTH($G47,-3),$A:$A,"&lt;="&amp;EOMONTH($G47,0))</f>
        <v/>
      </c>
      <c r="I47" s="546">
        <f>J47-H47</f>
        <v/>
      </c>
      <c r="J47" s="546">
        <f>AVERAGEIFS($E:$E,$A:$A,"&gt;"&amp;EOMONTH($G47,-3),$A:$A,"&lt;="&amp;EOMONTH($G47,0))</f>
        <v/>
      </c>
      <c r="L47" s="1357">
        <f>EOMONTH(L46,6)</f>
        <v/>
      </c>
      <c r="M47" s="546">
        <f>AVERAGEIFS($B:$B,$A:$A,"&gt;"&amp;EOMONTH($L47,-6),$A:$A,"&lt;="&amp;EOMONTH($L47,0))</f>
        <v/>
      </c>
      <c r="N47" s="546">
        <f>O47-M47</f>
        <v/>
      </c>
      <c r="O47" s="546">
        <f>AVERAGEIFS($E:$E,$A:$A,"&gt;"&amp;EOMONTH($L47,-6),$A:$A,"&lt;="&amp;EOMONTH($L47,0))</f>
        <v/>
      </c>
      <c r="Q47" s="1357">
        <f>EOMONTH(Q46,12)</f>
        <v/>
      </c>
      <c r="R47" s="546">
        <f>AVERAGEIFS($B:$B,$A:$A,"&gt;"&amp;EOMONTH($Q47,-12),$A:$A,"&lt;="&amp;EOMONTH($Q47,0))</f>
        <v/>
      </c>
      <c r="S47" s="546">
        <f>T47-R47</f>
        <v/>
      </c>
      <c r="T47" s="546">
        <f>AVERAGEIFS($E:$E,$A:$A,"&gt;"&amp;EOMONTH($Q47,-12),$A:$A,"&lt;="&amp;EOMONTH($Q47,0))</f>
        <v/>
      </c>
      <c r="V47" s="1357">
        <f>EOMONTH(V46,3)</f>
        <v/>
      </c>
      <c r="W47" s="1358">
        <f>AVERAGEIFS(B:B,$A:$A,"&gt;"&amp;EOMONTH($V47,-4),$A:$A,"&lt;="&amp;EOMONTH($V47,-1))</f>
        <v/>
      </c>
      <c r="X47" s="1358">
        <f>Y47-W47</f>
        <v/>
      </c>
      <c r="Y47" s="1358">
        <f>AVERAGEIFS(E:E,$A:$A,"&gt;"&amp;EOMONTH($V47,-4),$A:$A,"&lt;="&amp;EOMONTH($V47,-1))</f>
        <v/>
      </c>
      <c r="AA47" s="1357">
        <f>EOMONTH(AA46,6)</f>
        <v/>
      </c>
      <c r="AB47" s="1358">
        <f>AVERAGEIFS($B:$B,$A:$A,"&gt;"&amp;EOMONTH($AA47,-7),$A:$A,"&lt;="&amp;EOMONTH($AA47,-1))</f>
        <v/>
      </c>
      <c r="AC47" s="1358">
        <f>AD47-AB47</f>
        <v/>
      </c>
      <c r="AD47" s="1358">
        <f>AVERAGEIFS($E:$E,$A:$A,"&gt;"&amp;EOMONTH($AA47,-7),$A:$A,"&lt;="&amp;EOMONTH($AA47,-1))</f>
        <v/>
      </c>
      <c r="AF47" s="1357">
        <f>EOMONTH(AF46,12)</f>
        <v/>
      </c>
      <c r="AG47" s="1358">
        <f>AVERAGEIFS($B:$B,$A:$A,"&gt;"&amp;EOMONTH($AF47,-13),$A:$A,"&lt;="&amp;EOMONTH($AF47,-1))</f>
        <v/>
      </c>
      <c r="AH47" s="1358">
        <f>AI47-AG47</f>
        <v/>
      </c>
      <c r="AI47" s="1358">
        <f>AVERAGEIFS($E:$E,$A:$A,"&gt;"&amp;EOMONTH($AF47,-13),$A:$A,"&lt;="&amp;EOMONTH($AF47,-1))</f>
        <v/>
      </c>
    </row>
    <row r="48">
      <c r="A48" s="544" t="n">
        <v>29276</v>
      </c>
      <c r="B48" s="637" t="n"/>
      <c r="C48" s="637" t="n"/>
      <c r="D48" s="637" t="n"/>
      <c r="E48" s="637" t="n"/>
      <c r="G48" s="1357">
        <f>EOMONTH(G47,3)</f>
        <v/>
      </c>
      <c r="H48" s="546">
        <f>AVERAGEIFS($B:$B,$A:$A,"&gt;"&amp;EOMONTH($G48,-3),$A:$A,"&lt;="&amp;EOMONTH($G48,0))</f>
        <v/>
      </c>
      <c r="I48" s="546">
        <f>J48-H48</f>
        <v/>
      </c>
      <c r="J48" s="546">
        <f>AVERAGEIFS($E:$E,$A:$A,"&gt;"&amp;EOMONTH($G48,-3),$A:$A,"&lt;="&amp;EOMONTH($G48,0))</f>
        <v/>
      </c>
      <c r="L48" s="1357">
        <f>EOMONTH(L47,6)</f>
        <v/>
      </c>
      <c r="M48" s="546">
        <f>AVERAGEIFS($B:$B,$A:$A,"&gt;"&amp;EOMONTH($L48,-6),$A:$A,"&lt;="&amp;EOMONTH($L48,0))</f>
        <v/>
      </c>
      <c r="N48" s="546">
        <f>O48-M48</f>
        <v/>
      </c>
      <c r="O48" s="546">
        <f>AVERAGEIFS($E:$E,$A:$A,"&gt;"&amp;EOMONTH($L48,-6),$A:$A,"&lt;="&amp;EOMONTH($L48,0))</f>
        <v/>
      </c>
      <c r="Q48" s="1357">
        <f>EOMONTH(Q47,12)</f>
        <v/>
      </c>
      <c r="R48" s="546">
        <f>AVERAGEIFS($B:$B,$A:$A,"&gt;"&amp;EOMONTH($Q48,-12),$A:$A,"&lt;="&amp;EOMONTH($Q48,0))</f>
        <v/>
      </c>
      <c r="S48" s="546">
        <f>T48-R48</f>
        <v/>
      </c>
      <c r="T48" s="546">
        <f>AVERAGEIFS($E:$E,$A:$A,"&gt;"&amp;EOMONTH($Q48,-12),$A:$A,"&lt;="&amp;EOMONTH($Q48,0))</f>
        <v/>
      </c>
      <c r="V48" s="1357">
        <f>EOMONTH(V47,3)</f>
        <v/>
      </c>
      <c r="W48" s="1358">
        <f>AVERAGEIFS(B:B,$A:$A,"&gt;"&amp;EOMONTH($V48,-4),$A:$A,"&lt;="&amp;EOMONTH($V48,-1))</f>
        <v/>
      </c>
      <c r="X48" s="1358">
        <f>Y48-W48</f>
        <v/>
      </c>
      <c r="Y48" s="1358">
        <f>AVERAGEIFS(E:E,$A:$A,"&gt;"&amp;EOMONTH($V48,-4),$A:$A,"&lt;="&amp;EOMONTH($V48,-1))</f>
        <v/>
      </c>
      <c r="AA48" s="1357">
        <f>EOMONTH(AA47,6)</f>
        <v/>
      </c>
      <c r="AB48" s="1358">
        <f>AVERAGEIFS($B:$B,$A:$A,"&gt;"&amp;EOMONTH($AA48,-7),$A:$A,"&lt;="&amp;EOMONTH($AA48,-1))</f>
        <v/>
      </c>
      <c r="AC48" s="1358">
        <f>AD48-AB48</f>
        <v/>
      </c>
      <c r="AD48" s="1358">
        <f>AVERAGEIFS($E:$E,$A:$A,"&gt;"&amp;EOMONTH($AA48,-7),$A:$A,"&lt;="&amp;EOMONTH($AA48,-1))</f>
        <v/>
      </c>
      <c r="AF48" s="1357">
        <f>EOMONTH(AF47,12)</f>
        <v/>
      </c>
      <c r="AG48" s="1358">
        <f>AVERAGEIFS($B:$B,$A:$A,"&gt;"&amp;EOMONTH($AF48,-13),$A:$A,"&lt;="&amp;EOMONTH($AF48,-1))</f>
        <v/>
      </c>
      <c r="AH48" s="1358">
        <f>AI48-AG48</f>
        <v/>
      </c>
      <c r="AI48" s="1358">
        <f>AVERAGEIFS($E:$E,$A:$A,"&gt;"&amp;EOMONTH($AF48,-13),$A:$A,"&lt;="&amp;EOMONTH($AF48,-1))</f>
        <v/>
      </c>
    </row>
    <row r="49">
      <c r="A49" s="544" t="n">
        <v>29277</v>
      </c>
      <c r="B49" s="637" t="n"/>
      <c r="C49" s="637" t="n"/>
      <c r="D49" s="637" t="n"/>
      <c r="E49" s="637" t="n"/>
      <c r="G49" s="1357">
        <f>EOMONTH(G48,3)</f>
        <v/>
      </c>
      <c r="H49" s="546">
        <f>AVERAGEIFS($B:$B,$A:$A,"&gt;"&amp;EOMONTH($G49,-3),$A:$A,"&lt;="&amp;EOMONTH($G49,0))</f>
        <v/>
      </c>
      <c r="I49" s="546">
        <f>J49-H49</f>
        <v/>
      </c>
      <c r="J49" s="546">
        <f>AVERAGEIFS($E:$E,$A:$A,"&gt;"&amp;EOMONTH($G49,-3),$A:$A,"&lt;="&amp;EOMONTH($G49,0))</f>
        <v/>
      </c>
      <c r="L49" s="1357">
        <f>EOMONTH(L48,6)</f>
        <v/>
      </c>
      <c r="M49" s="546">
        <f>AVERAGEIFS($B:$B,$A:$A,"&gt;"&amp;EOMONTH($L49,-6),$A:$A,"&lt;="&amp;EOMONTH($L49,0))</f>
        <v/>
      </c>
      <c r="N49" s="546">
        <f>O49-M49</f>
        <v/>
      </c>
      <c r="O49" s="546">
        <f>AVERAGEIFS($E:$E,$A:$A,"&gt;"&amp;EOMONTH($L49,-6),$A:$A,"&lt;="&amp;EOMONTH($L49,0))</f>
        <v/>
      </c>
      <c r="Q49" s="1357" t="n"/>
      <c r="R49" s="546" t="n"/>
      <c r="S49" s="546" t="n"/>
      <c r="T49" s="546" t="n"/>
      <c r="V49" s="1357">
        <f>EOMONTH(V48,3)</f>
        <v/>
      </c>
      <c r="W49" s="1358">
        <f>AVERAGEIFS(B:B,$A:$A,"&gt;"&amp;EOMONTH($V49,-4),$A:$A,"&lt;="&amp;EOMONTH($V49,-1))</f>
        <v/>
      </c>
      <c r="X49" s="1358">
        <f>Y49-W49</f>
        <v/>
      </c>
      <c r="Y49" s="1358">
        <f>AVERAGEIFS(E:E,$A:$A,"&gt;"&amp;EOMONTH($V49,-4),$A:$A,"&lt;="&amp;EOMONTH($V49,-1))</f>
        <v/>
      </c>
      <c r="AA49" s="1357">
        <f>EOMONTH(AA48,6)</f>
        <v/>
      </c>
      <c r="AB49" s="1358">
        <f>AVERAGEIFS($B:$B,$A:$A,"&gt;"&amp;EOMONTH($AA49,-7),$A:$A,"&lt;="&amp;EOMONTH($AA49,-1))</f>
        <v/>
      </c>
      <c r="AC49" s="1358">
        <f>AD49-AB49</f>
        <v/>
      </c>
      <c r="AD49" s="1358">
        <f>AVERAGEIFS($E:$E,$A:$A,"&gt;"&amp;EOMONTH($AA49,-7),$A:$A,"&lt;="&amp;EOMONTH($AA49,-1))</f>
        <v/>
      </c>
      <c r="AF49" s="1357" t="n"/>
      <c r="AG49" s="1358" t="n"/>
      <c r="AH49" s="1358" t="n"/>
      <c r="AI49" s="1358" t="n"/>
    </row>
    <row r="50">
      <c r="A50" s="544" t="n">
        <v>29278</v>
      </c>
      <c r="B50" s="637" t="n"/>
      <c r="C50" s="637" t="n"/>
      <c r="D50" s="637" t="n"/>
      <c r="E50" s="637" t="n"/>
      <c r="G50" s="1357">
        <f>EOMONTH(G49,3)</f>
        <v/>
      </c>
      <c r="H50" s="546">
        <f>AVERAGEIFS($B:$B,$A:$A,"&gt;"&amp;EOMONTH($G50,-3),$A:$A,"&lt;="&amp;EOMONTH($G50,0))</f>
        <v/>
      </c>
      <c r="I50" s="546">
        <f>J50-H50</f>
        <v/>
      </c>
      <c r="J50" s="546">
        <f>AVERAGEIFS($E:$E,$A:$A,"&gt;"&amp;EOMONTH($G50,-3),$A:$A,"&lt;="&amp;EOMONTH($G50,0))</f>
        <v/>
      </c>
      <c r="L50" s="1357">
        <f>EOMONTH(L49,6)</f>
        <v/>
      </c>
      <c r="M50" s="546">
        <f>AVERAGEIFS($B:$B,$A:$A,"&gt;"&amp;EOMONTH($L50,-6),$A:$A,"&lt;="&amp;EOMONTH($L50,0))</f>
        <v/>
      </c>
      <c r="N50" s="546">
        <f>O50-M50</f>
        <v/>
      </c>
      <c r="O50" s="546">
        <f>AVERAGEIFS($E:$E,$A:$A,"&gt;"&amp;EOMONTH($L50,-6),$A:$A,"&lt;="&amp;EOMONTH($L50,0))</f>
        <v/>
      </c>
      <c r="Q50" s="1357" t="n"/>
      <c r="R50" s="546" t="n"/>
      <c r="S50" s="546" t="n"/>
      <c r="T50" s="546" t="n"/>
      <c r="V50" s="1357">
        <f>EOMONTH(V49,3)</f>
        <v/>
      </c>
      <c r="W50" s="1358">
        <f>AVERAGEIFS(B:B,$A:$A,"&gt;"&amp;EOMONTH($V50,-4),$A:$A,"&lt;="&amp;EOMONTH($V50,-1))</f>
        <v/>
      </c>
      <c r="X50" s="1358">
        <f>Y50-W50</f>
        <v/>
      </c>
      <c r="Y50" s="1358">
        <f>AVERAGEIFS(E:E,$A:$A,"&gt;"&amp;EOMONTH($V50,-4),$A:$A,"&lt;="&amp;EOMONTH($V50,-1))</f>
        <v/>
      </c>
      <c r="AA50" s="1357">
        <f>EOMONTH(AA49,6)</f>
        <v/>
      </c>
      <c r="AB50" s="1358">
        <f>AVERAGEIFS($B:$B,$A:$A,"&gt;"&amp;EOMONTH($AA50,-7),$A:$A,"&lt;="&amp;EOMONTH($AA50,-1))</f>
        <v/>
      </c>
      <c r="AC50" s="1358">
        <f>AD50-AB50</f>
        <v/>
      </c>
      <c r="AD50" s="1358">
        <f>AVERAGEIFS($E:$E,$A:$A,"&gt;"&amp;EOMONTH($AA50,-7),$A:$A,"&lt;="&amp;EOMONTH($AA50,-1))</f>
        <v/>
      </c>
      <c r="AF50" s="1357" t="n"/>
      <c r="AG50" s="1358" t="n"/>
      <c r="AH50" s="1358" t="n"/>
      <c r="AI50" s="1358" t="n"/>
    </row>
    <row r="51">
      <c r="A51" s="544" t="n">
        <v>29279</v>
      </c>
      <c r="B51" s="637" t="n"/>
      <c r="C51" s="637" t="n"/>
      <c r="D51" s="637" t="n"/>
      <c r="E51" s="637" t="n"/>
      <c r="G51" s="1357">
        <f>EOMONTH(G50,3)</f>
        <v/>
      </c>
      <c r="H51" s="546">
        <f>AVERAGEIFS($B:$B,$A:$A,"&gt;"&amp;EOMONTH($G51,-3),$A:$A,"&lt;="&amp;EOMONTH($G51,0))</f>
        <v/>
      </c>
      <c r="I51" s="546">
        <f>J51-H51</f>
        <v/>
      </c>
      <c r="J51" s="546">
        <f>AVERAGEIFS($E:$E,$A:$A,"&gt;"&amp;EOMONTH($G51,-3),$A:$A,"&lt;="&amp;EOMONTH($G51,0))</f>
        <v/>
      </c>
      <c r="L51" s="1357">
        <f>EOMONTH(L50,6)</f>
        <v/>
      </c>
      <c r="M51" s="546">
        <f>AVERAGEIFS($B:$B,$A:$A,"&gt;"&amp;EOMONTH($L51,-6),$A:$A,"&lt;="&amp;EOMONTH($L51,0))</f>
        <v/>
      </c>
      <c r="N51" s="546">
        <f>O51-M51</f>
        <v/>
      </c>
      <c r="O51" s="546">
        <f>AVERAGEIFS($E:$E,$A:$A,"&gt;"&amp;EOMONTH($L51,-6),$A:$A,"&lt;="&amp;EOMONTH($L51,0))</f>
        <v/>
      </c>
      <c r="Q51" s="1357" t="n"/>
      <c r="R51" s="546" t="n"/>
      <c r="S51" s="546" t="n"/>
      <c r="T51" s="546" t="n"/>
      <c r="V51" s="1357">
        <f>EOMONTH(V50,3)</f>
        <v/>
      </c>
      <c r="W51" s="1358">
        <f>AVERAGEIFS(B:B,$A:$A,"&gt;"&amp;EOMONTH($V51,-4),$A:$A,"&lt;="&amp;EOMONTH($V51,-1))</f>
        <v/>
      </c>
      <c r="X51" s="1358">
        <f>Y51-W51</f>
        <v/>
      </c>
      <c r="Y51" s="1358">
        <f>AVERAGEIFS(E:E,$A:$A,"&gt;"&amp;EOMONTH($V51,-4),$A:$A,"&lt;="&amp;EOMONTH($V51,-1))</f>
        <v/>
      </c>
      <c r="AA51" s="1357">
        <f>EOMONTH(AA50,6)</f>
        <v/>
      </c>
      <c r="AB51" s="1358">
        <f>AVERAGEIFS($B:$B,$A:$A,"&gt;"&amp;EOMONTH($AA51,-7),$A:$A,"&lt;="&amp;EOMONTH($AA51,-1))</f>
        <v/>
      </c>
      <c r="AC51" s="1358">
        <f>AD51-AB51</f>
        <v/>
      </c>
      <c r="AD51" s="1358">
        <f>AVERAGEIFS($E:$E,$A:$A,"&gt;"&amp;EOMONTH($AA51,-7),$A:$A,"&lt;="&amp;EOMONTH($AA51,-1))</f>
        <v/>
      </c>
      <c r="AF51" s="1357" t="n"/>
      <c r="AG51" s="1358" t="n"/>
      <c r="AH51" s="1358" t="n"/>
      <c r="AI51" s="1358" t="n"/>
    </row>
    <row r="52">
      <c r="A52" s="544" t="n">
        <v>29280</v>
      </c>
      <c r="B52" s="637" t="n"/>
      <c r="C52" s="637" t="n"/>
      <c r="D52" s="637" t="n"/>
      <c r="E52" s="637" t="n"/>
      <c r="G52" s="1357">
        <f>EOMONTH(G51,3)</f>
        <v/>
      </c>
      <c r="H52" s="546">
        <f>AVERAGEIFS($B:$B,$A:$A,"&gt;"&amp;EOMONTH($G52,-3),$A:$A,"&lt;="&amp;EOMONTH($G52,0))</f>
        <v/>
      </c>
      <c r="I52" s="546">
        <f>J52-H52</f>
        <v/>
      </c>
      <c r="J52" s="546">
        <f>AVERAGEIFS($E:$E,$A:$A,"&gt;"&amp;EOMONTH($G52,-3),$A:$A,"&lt;="&amp;EOMONTH($G52,0))</f>
        <v/>
      </c>
      <c r="L52" s="1357">
        <f>EOMONTH(L51,6)</f>
        <v/>
      </c>
      <c r="M52" s="546">
        <f>AVERAGEIFS($B:$B,$A:$A,"&gt;"&amp;EOMONTH($L52,-6),$A:$A,"&lt;="&amp;EOMONTH($L52,0))</f>
        <v/>
      </c>
      <c r="N52" s="546">
        <f>O52-M52</f>
        <v/>
      </c>
      <c r="O52" s="546">
        <f>AVERAGEIFS($E:$E,$A:$A,"&gt;"&amp;EOMONTH($L52,-6),$A:$A,"&lt;="&amp;EOMONTH($L52,0))</f>
        <v/>
      </c>
      <c r="Q52" s="1357" t="n"/>
      <c r="R52" s="546" t="n"/>
      <c r="S52" s="546" t="n"/>
      <c r="T52" s="546" t="n"/>
      <c r="V52" s="1357">
        <f>EOMONTH(V51,3)</f>
        <v/>
      </c>
      <c r="W52" s="1358">
        <f>AVERAGEIFS(B:B,$A:$A,"&gt;"&amp;EOMONTH($V52,-4),$A:$A,"&lt;="&amp;EOMONTH($V52,-1))</f>
        <v/>
      </c>
      <c r="X52" s="1358">
        <f>Y52-W52</f>
        <v/>
      </c>
      <c r="Y52" s="1358">
        <f>AVERAGEIFS(E:E,$A:$A,"&gt;"&amp;EOMONTH($V52,-4),$A:$A,"&lt;="&amp;EOMONTH($V52,-1))</f>
        <v/>
      </c>
      <c r="AA52" s="1357">
        <f>EOMONTH(AA51,6)</f>
        <v/>
      </c>
      <c r="AB52" s="1358">
        <f>AVERAGEIFS($B:$B,$A:$A,"&gt;"&amp;EOMONTH($AA52,-7),$A:$A,"&lt;="&amp;EOMONTH($AA52,-1))</f>
        <v/>
      </c>
      <c r="AC52" s="1358">
        <f>AD52-AB52</f>
        <v/>
      </c>
      <c r="AD52" s="1358">
        <f>AVERAGEIFS($E:$E,$A:$A,"&gt;"&amp;EOMONTH($AA52,-7),$A:$A,"&lt;="&amp;EOMONTH($AA52,-1))</f>
        <v/>
      </c>
      <c r="AF52" s="1357" t="n"/>
      <c r="AG52" s="1358" t="n"/>
      <c r="AH52" s="1358" t="n"/>
      <c r="AI52" s="1358" t="n"/>
    </row>
    <row r="53">
      <c r="A53" s="544" t="n">
        <v>29283</v>
      </c>
      <c r="B53" s="637" t="n"/>
      <c r="C53" s="637" t="n"/>
      <c r="D53" s="637" t="n"/>
      <c r="E53" s="637" t="n"/>
      <c r="G53" s="1357">
        <f>EOMONTH(G52,3)</f>
        <v/>
      </c>
      <c r="H53" s="546">
        <f>AVERAGEIFS($B:$B,$A:$A,"&gt;"&amp;EOMONTH($G53,-3),$A:$A,"&lt;="&amp;EOMONTH($G53,0))</f>
        <v/>
      </c>
      <c r="I53" s="546">
        <f>J53-H53</f>
        <v/>
      </c>
      <c r="J53" s="546">
        <f>AVERAGEIFS($E:$E,$A:$A,"&gt;"&amp;EOMONTH($G53,-3),$A:$A,"&lt;="&amp;EOMONTH($G53,0))</f>
        <v/>
      </c>
      <c r="L53" s="1357">
        <f>EOMONTH(L52,6)</f>
        <v/>
      </c>
      <c r="M53" s="546">
        <f>AVERAGEIFS($B:$B,$A:$A,"&gt;"&amp;EOMONTH($L53,-6),$A:$A,"&lt;="&amp;EOMONTH($L53,0))</f>
        <v/>
      </c>
      <c r="N53" s="546">
        <f>O53-M53</f>
        <v/>
      </c>
      <c r="O53" s="546">
        <f>AVERAGEIFS($E:$E,$A:$A,"&gt;"&amp;EOMONTH($L53,-6),$A:$A,"&lt;="&amp;EOMONTH($L53,0))</f>
        <v/>
      </c>
      <c r="Q53" s="1357" t="n"/>
      <c r="R53" s="546" t="n"/>
      <c r="S53" s="546" t="n"/>
      <c r="T53" s="546" t="n"/>
      <c r="V53" s="1357">
        <f>EOMONTH(V52,3)</f>
        <v/>
      </c>
      <c r="W53" s="1358">
        <f>AVERAGEIFS(B:B,$A:$A,"&gt;"&amp;EOMONTH($V53,-4),$A:$A,"&lt;="&amp;EOMONTH($V53,-1))</f>
        <v/>
      </c>
      <c r="X53" s="1358">
        <f>Y53-W53</f>
        <v/>
      </c>
      <c r="Y53" s="1358">
        <f>AVERAGEIFS(E:E,$A:$A,"&gt;"&amp;EOMONTH($V53,-4),$A:$A,"&lt;="&amp;EOMONTH($V53,-1))</f>
        <v/>
      </c>
      <c r="AA53" s="1357">
        <f>EOMONTH(AA52,6)</f>
        <v/>
      </c>
      <c r="AB53" s="1358">
        <f>AVERAGEIFS($B:$B,$A:$A,"&gt;"&amp;EOMONTH($AA53,-7),$A:$A,"&lt;="&amp;EOMONTH($AA53,-1))</f>
        <v/>
      </c>
      <c r="AC53" s="1358">
        <f>AD53-AB53</f>
        <v/>
      </c>
      <c r="AD53" s="1358">
        <f>AVERAGEIFS($E:$E,$A:$A,"&gt;"&amp;EOMONTH($AA53,-7),$A:$A,"&lt;="&amp;EOMONTH($AA53,-1))</f>
        <v/>
      </c>
      <c r="AF53" s="1357" t="n"/>
      <c r="AG53" s="1358" t="n"/>
      <c r="AH53" s="1358" t="n"/>
      <c r="AI53" s="1358" t="n"/>
    </row>
    <row r="54">
      <c r="A54" s="544" t="n">
        <v>29284</v>
      </c>
      <c r="B54" s="637" t="n"/>
      <c r="C54" s="637" t="n"/>
      <c r="D54" s="637" t="n"/>
      <c r="E54" s="637" t="n"/>
      <c r="G54" s="1357">
        <f>EOMONTH(G53,3)</f>
        <v/>
      </c>
      <c r="H54" s="546">
        <f>AVERAGEIFS($B:$B,$A:$A,"&gt;"&amp;EOMONTH($G54,-3),$A:$A,"&lt;="&amp;EOMONTH($G54,0))</f>
        <v/>
      </c>
      <c r="I54" s="546">
        <f>J54-H54</f>
        <v/>
      </c>
      <c r="J54" s="546">
        <f>AVERAGEIFS($E:$E,$A:$A,"&gt;"&amp;EOMONTH($G54,-3),$A:$A,"&lt;="&amp;EOMONTH($G54,0))</f>
        <v/>
      </c>
      <c r="L54" s="1357">
        <f>EOMONTH(L53,6)</f>
        <v/>
      </c>
      <c r="M54" s="546">
        <f>AVERAGEIFS($B:$B,$A:$A,"&gt;"&amp;EOMONTH($L54,-6),$A:$A,"&lt;="&amp;EOMONTH($L54,0))</f>
        <v/>
      </c>
      <c r="N54" s="546">
        <f>O54-M54</f>
        <v/>
      </c>
      <c r="O54" s="546">
        <f>AVERAGEIFS($E:$E,$A:$A,"&gt;"&amp;EOMONTH($L54,-6),$A:$A,"&lt;="&amp;EOMONTH($L54,0))</f>
        <v/>
      </c>
      <c r="Q54" s="1357" t="n"/>
      <c r="R54" s="546" t="n"/>
      <c r="S54" s="546" t="n"/>
      <c r="T54" s="546" t="n"/>
      <c r="V54" s="1357">
        <f>EOMONTH(V53,3)</f>
        <v/>
      </c>
      <c r="W54" s="1358">
        <f>AVERAGEIFS(B:B,$A:$A,"&gt;"&amp;EOMONTH($V54,-4),$A:$A,"&lt;="&amp;EOMONTH($V54,-1))</f>
        <v/>
      </c>
      <c r="X54" s="1358">
        <f>Y54-W54</f>
        <v/>
      </c>
      <c r="Y54" s="1358">
        <f>AVERAGEIFS(E:E,$A:$A,"&gt;"&amp;EOMONTH($V54,-4),$A:$A,"&lt;="&amp;EOMONTH($V54,-1))</f>
        <v/>
      </c>
      <c r="AA54" s="1357">
        <f>EOMONTH(AA53,6)</f>
        <v/>
      </c>
      <c r="AB54" s="1358">
        <f>AVERAGEIFS($B:$B,$A:$A,"&gt;"&amp;EOMONTH($AA54,-7),$A:$A,"&lt;="&amp;EOMONTH($AA54,-1))</f>
        <v/>
      </c>
      <c r="AC54" s="1358">
        <f>AD54-AB54</f>
        <v/>
      </c>
      <c r="AD54" s="1358">
        <f>AVERAGEIFS($E:$E,$A:$A,"&gt;"&amp;EOMONTH($AA54,-7),$A:$A,"&lt;="&amp;EOMONTH($AA54,-1))</f>
        <v/>
      </c>
      <c r="AF54" s="1357" t="n"/>
      <c r="AG54" s="1358" t="n"/>
      <c r="AH54" s="1358" t="n"/>
      <c r="AI54" s="1358" t="n"/>
    </row>
    <row r="55">
      <c r="A55" s="544" t="n">
        <v>29285</v>
      </c>
      <c r="B55" s="637" t="n"/>
      <c r="C55" s="637" t="n"/>
      <c r="D55" s="637" t="n"/>
      <c r="E55" s="637" t="n"/>
      <c r="G55" s="1357">
        <f>EOMONTH(G54,3)</f>
        <v/>
      </c>
      <c r="H55" s="546">
        <f>AVERAGEIFS($B:$B,$A:$A,"&gt;"&amp;EOMONTH($G55,-3),$A:$A,"&lt;="&amp;EOMONTH($G55,0))</f>
        <v/>
      </c>
      <c r="I55" s="546">
        <f>J55-H55</f>
        <v/>
      </c>
      <c r="J55" s="546">
        <f>AVERAGEIFS($E:$E,$A:$A,"&gt;"&amp;EOMONTH($G55,-3),$A:$A,"&lt;="&amp;EOMONTH($G55,0))</f>
        <v/>
      </c>
      <c r="L55" s="1357">
        <f>EOMONTH(L54,6)</f>
        <v/>
      </c>
      <c r="M55" s="546">
        <f>AVERAGEIFS($B:$B,$A:$A,"&gt;"&amp;EOMONTH($L55,-6),$A:$A,"&lt;="&amp;EOMONTH($L55,0))</f>
        <v/>
      </c>
      <c r="N55" s="546">
        <f>O55-M55</f>
        <v/>
      </c>
      <c r="O55" s="546">
        <f>AVERAGEIFS($E:$E,$A:$A,"&gt;"&amp;EOMONTH($L55,-6),$A:$A,"&lt;="&amp;EOMONTH($L55,0))</f>
        <v/>
      </c>
      <c r="Q55" s="1357" t="n"/>
      <c r="R55" s="546" t="n"/>
      <c r="S55" s="546" t="n"/>
      <c r="T55" s="546" t="n"/>
      <c r="V55" s="1357">
        <f>EOMONTH(V54,3)</f>
        <v/>
      </c>
      <c r="W55" s="1358">
        <f>AVERAGEIFS(B:B,$A:$A,"&gt;"&amp;EOMONTH($V55,-4),$A:$A,"&lt;="&amp;EOMONTH($V55,-1))</f>
        <v/>
      </c>
      <c r="X55" s="1358">
        <f>Y55-W55</f>
        <v/>
      </c>
      <c r="Y55" s="1358">
        <f>AVERAGEIFS(E:E,$A:$A,"&gt;"&amp;EOMONTH($V55,-4),$A:$A,"&lt;="&amp;EOMONTH($V55,-1))</f>
        <v/>
      </c>
      <c r="AA55" s="1357">
        <f>EOMONTH(AA54,6)</f>
        <v/>
      </c>
      <c r="AB55" s="1358">
        <f>AVERAGEIFS($B:$B,$A:$A,"&gt;"&amp;EOMONTH($AA55,-7),$A:$A,"&lt;="&amp;EOMONTH($AA55,-1))</f>
        <v/>
      </c>
      <c r="AC55" s="1358">
        <f>AD55-AB55</f>
        <v/>
      </c>
      <c r="AD55" s="1358">
        <f>AVERAGEIFS($E:$E,$A:$A,"&gt;"&amp;EOMONTH($AA55,-7),$A:$A,"&lt;="&amp;EOMONTH($AA55,-1))</f>
        <v/>
      </c>
      <c r="AF55" s="1357" t="n"/>
      <c r="AG55" s="1358" t="n"/>
      <c r="AH55" s="1358" t="n"/>
      <c r="AI55" s="1358" t="n"/>
    </row>
    <row r="56">
      <c r="A56" s="544" t="n">
        <v>29286</v>
      </c>
      <c r="B56" s="637" t="n"/>
      <c r="C56" s="637" t="n"/>
      <c r="D56" s="637" t="n"/>
      <c r="E56" s="637" t="n"/>
      <c r="G56" s="1357">
        <f>EOMONTH(G55,3)</f>
        <v/>
      </c>
      <c r="H56" s="546">
        <f>AVERAGEIFS($B:$B,$A:$A,"&gt;"&amp;EOMONTH($G56,-3),$A:$A,"&lt;="&amp;EOMONTH($G56,0))</f>
        <v/>
      </c>
      <c r="I56" s="546">
        <f>J56-H56</f>
        <v/>
      </c>
      <c r="J56" s="546">
        <f>AVERAGEIFS($E:$E,$A:$A,"&gt;"&amp;EOMONTH($G56,-3),$A:$A,"&lt;="&amp;EOMONTH($G56,0))</f>
        <v/>
      </c>
      <c r="L56" s="1357">
        <f>EOMONTH(L55,6)</f>
        <v/>
      </c>
      <c r="M56" s="546">
        <f>AVERAGEIFS($B:$B,$A:$A,"&gt;"&amp;EOMONTH($L56,-6),$A:$A,"&lt;="&amp;EOMONTH($L56,0))</f>
        <v/>
      </c>
      <c r="N56" s="546">
        <f>O56-M56</f>
        <v/>
      </c>
      <c r="O56" s="546">
        <f>AVERAGEIFS($E:$E,$A:$A,"&gt;"&amp;EOMONTH($L56,-6),$A:$A,"&lt;="&amp;EOMONTH($L56,0))</f>
        <v/>
      </c>
      <c r="Q56" s="1357" t="n"/>
      <c r="R56" s="546" t="n"/>
      <c r="S56" s="546" t="n"/>
      <c r="T56" s="546" t="n"/>
      <c r="V56" s="1357">
        <f>EOMONTH(V55,3)</f>
        <v/>
      </c>
      <c r="W56" s="1358">
        <f>AVERAGEIFS(B:B,$A:$A,"&gt;"&amp;EOMONTH($V56,-4),$A:$A,"&lt;="&amp;EOMONTH($V56,-1))</f>
        <v/>
      </c>
      <c r="X56" s="1358">
        <f>Y56-W56</f>
        <v/>
      </c>
      <c r="Y56" s="1358">
        <f>AVERAGEIFS(E:E,$A:$A,"&gt;"&amp;EOMONTH($V56,-4),$A:$A,"&lt;="&amp;EOMONTH($V56,-1))</f>
        <v/>
      </c>
      <c r="AA56" s="1357">
        <f>EOMONTH(AA55,6)</f>
        <v/>
      </c>
      <c r="AB56" s="1358">
        <f>AVERAGEIFS($B:$B,$A:$A,"&gt;"&amp;EOMONTH($AA56,-7),$A:$A,"&lt;="&amp;EOMONTH($AA56,-1))</f>
        <v/>
      </c>
      <c r="AC56" s="1358">
        <f>AD56-AB56</f>
        <v/>
      </c>
      <c r="AD56" s="1358">
        <f>AVERAGEIFS($E:$E,$A:$A,"&gt;"&amp;EOMONTH($AA56,-7),$A:$A,"&lt;="&amp;EOMONTH($AA56,-1))</f>
        <v/>
      </c>
      <c r="AF56" s="1357" t="n"/>
      <c r="AG56" s="1358" t="n"/>
      <c r="AH56" s="1358" t="n"/>
      <c r="AI56" s="1358" t="n"/>
    </row>
    <row r="57">
      <c r="A57" s="544" t="n">
        <v>29287</v>
      </c>
      <c r="B57" s="637" t="n"/>
      <c r="C57" s="637" t="n"/>
      <c r="D57" s="637" t="n"/>
      <c r="E57" s="637" t="n"/>
      <c r="G57" s="1357">
        <f>EOMONTH(G56,3)</f>
        <v/>
      </c>
      <c r="H57" s="546">
        <f>AVERAGEIFS($B:$B,$A:$A,"&gt;"&amp;EOMONTH($G57,-3),$A:$A,"&lt;="&amp;EOMONTH($G57,0))</f>
        <v/>
      </c>
      <c r="I57" s="546">
        <f>J57-H57</f>
        <v/>
      </c>
      <c r="J57" s="546">
        <f>AVERAGEIFS($E:$E,$A:$A,"&gt;"&amp;EOMONTH($G57,-3),$A:$A,"&lt;="&amp;EOMONTH($G57,0))</f>
        <v/>
      </c>
      <c r="L57" s="1357">
        <f>EOMONTH(L56,6)</f>
        <v/>
      </c>
      <c r="M57" s="546">
        <f>AVERAGEIFS($B:$B,$A:$A,"&gt;"&amp;EOMONTH($L57,-6),$A:$A,"&lt;="&amp;EOMONTH($L57,0))</f>
        <v/>
      </c>
      <c r="N57" s="546">
        <f>O57-M57</f>
        <v/>
      </c>
      <c r="O57" s="546">
        <f>AVERAGEIFS($E:$E,$A:$A,"&gt;"&amp;EOMONTH($L57,-6),$A:$A,"&lt;="&amp;EOMONTH($L57,0))</f>
        <v/>
      </c>
      <c r="Q57" s="1357" t="n"/>
      <c r="R57" s="546" t="n"/>
      <c r="S57" s="546" t="n"/>
      <c r="T57" s="546" t="n"/>
      <c r="V57" s="1357">
        <f>EOMONTH(V56,3)</f>
        <v/>
      </c>
      <c r="W57" s="1358">
        <f>AVERAGEIFS(B:B,$A:$A,"&gt;"&amp;EOMONTH($V57,-4),$A:$A,"&lt;="&amp;EOMONTH($V57,-1))</f>
        <v/>
      </c>
      <c r="X57" s="1358">
        <f>Y57-W57</f>
        <v/>
      </c>
      <c r="Y57" s="1358">
        <f>AVERAGEIFS(E:E,$A:$A,"&gt;"&amp;EOMONTH($V57,-4),$A:$A,"&lt;="&amp;EOMONTH($V57,-1))</f>
        <v/>
      </c>
      <c r="AA57" s="1357">
        <f>EOMONTH(AA56,6)</f>
        <v/>
      </c>
      <c r="AB57" s="1358">
        <f>AVERAGEIFS($B:$B,$A:$A,"&gt;"&amp;EOMONTH($AA57,-7),$A:$A,"&lt;="&amp;EOMONTH($AA57,-1))</f>
        <v/>
      </c>
      <c r="AC57" s="1358">
        <f>AD57-AB57</f>
        <v/>
      </c>
      <c r="AD57" s="1358">
        <f>AVERAGEIFS($E:$E,$A:$A,"&gt;"&amp;EOMONTH($AA57,-7),$A:$A,"&lt;="&amp;EOMONTH($AA57,-1))</f>
        <v/>
      </c>
      <c r="AF57" s="1357" t="n"/>
      <c r="AG57" s="1358" t="n"/>
      <c r="AH57" s="1358" t="n"/>
      <c r="AI57" s="1358" t="n"/>
    </row>
    <row r="58">
      <c r="A58" s="544" t="n">
        <v>29290</v>
      </c>
      <c r="B58" s="637" t="n"/>
      <c r="C58" s="637" t="n"/>
      <c r="D58" s="637" t="n"/>
      <c r="E58" s="637" t="n"/>
      <c r="G58" s="1357">
        <f>EOMONTH(G57,3)</f>
        <v/>
      </c>
      <c r="H58" s="546">
        <f>AVERAGEIFS($B:$B,$A:$A,"&gt;"&amp;EOMONTH($G58,-3),$A:$A,"&lt;="&amp;EOMONTH($G58,0))</f>
        <v/>
      </c>
      <c r="I58" s="546">
        <f>J58-H58</f>
        <v/>
      </c>
      <c r="J58" s="546">
        <f>AVERAGEIFS($E:$E,$A:$A,"&gt;"&amp;EOMONTH($G58,-3),$A:$A,"&lt;="&amp;EOMONTH($G58,0))</f>
        <v/>
      </c>
      <c r="L58" s="1357">
        <f>EOMONTH(L57,6)</f>
        <v/>
      </c>
      <c r="M58" s="546">
        <f>AVERAGEIFS($B:$B,$A:$A,"&gt;"&amp;EOMONTH($L58,-6),$A:$A,"&lt;="&amp;EOMONTH($L58,0))</f>
        <v/>
      </c>
      <c r="N58" s="546">
        <f>O58-M58</f>
        <v/>
      </c>
      <c r="O58" s="546">
        <f>AVERAGEIFS($E:$E,$A:$A,"&gt;"&amp;EOMONTH($L58,-6),$A:$A,"&lt;="&amp;EOMONTH($L58,0))</f>
        <v/>
      </c>
      <c r="Q58" s="1357" t="n"/>
      <c r="R58" s="546" t="n"/>
      <c r="S58" s="546" t="n"/>
      <c r="T58" s="546" t="n"/>
      <c r="V58" s="1357">
        <f>EOMONTH(V57,3)</f>
        <v/>
      </c>
      <c r="W58" s="1358">
        <f>AVERAGEIFS(B:B,$A:$A,"&gt;"&amp;EOMONTH($V58,-4),$A:$A,"&lt;="&amp;EOMONTH($V58,-1))</f>
        <v/>
      </c>
      <c r="X58" s="1358">
        <f>Y58-W58</f>
        <v/>
      </c>
      <c r="Y58" s="1358">
        <f>AVERAGEIFS(E:E,$A:$A,"&gt;"&amp;EOMONTH($V58,-4),$A:$A,"&lt;="&amp;EOMONTH($V58,-1))</f>
        <v/>
      </c>
      <c r="AA58" s="1357">
        <f>EOMONTH(AA57,6)</f>
        <v/>
      </c>
      <c r="AB58" s="1358">
        <f>AVERAGEIFS($B:$B,$A:$A,"&gt;"&amp;EOMONTH($AA58,-7),$A:$A,"&lt;="&amp;EOMONTH($AA58,-1))</f>
        <v/>
      </c>
      <c r="AC58" s="1358">
        <f>AD58-AB58</f>
        <v/>
      </c>
      <c r="AD58" s="1358">
        <f>AVERAGEIFS($E:$E,$A:$A,"&gt;"&amp;EOMONTH($AA58,-7),$A:$A,"&lt;="&amp;EOMONTH($AA58,-1))</f>
        <v/>
      </c>
      <c r="AF58" s="1357" t="n"/>
      <c r="AG58" s="1358" t="n"/>
      <c r="AH58" s="1358" t="n"/>
      <c r="AI58" s="1358" t="n"/>
    </row>
    <row r="59">
      <c r="A59" s="544" t="n">
        <v>29291</v>
      </c>
      <c r="B59" s="637" t="n"/>
      <c r="C59" s="637" t="n"/>
      <c r="D59" s="637" t="n"/>
      <c r="E59" s="637" t="n"/>
      <c r="G59" s="1357">
        <f>EOMONTH(G58,3)</f>
        <v/>
      </c>
      <c r="H59" s="546">
        <f>AVERAGEIFS($B:$B,$A:$A,"&gt;"&amp;EOMONTH($G59,-3),$A:$A,"&lt;="&amp;EOMONTH($G59,0))</f>
        <v/>
      </c>
      <c r="I59" s="546">
        <f>J59-H59</f>
        <v/>
      </c>
      <c r="J59" s="546">
        <f>AVERAGEIFS($E:$E,$A:$A,"&gt;"&amp;EOMONTH($G59,-3),$A:$A,"&lt;="&amp;EOMONTH($G59,0))</f>
        <v/>
      </c>
      <c r="L59" s="1357">
        <f>EOMONTH(L58,6)</f>
        <v/>
      </c>
      <c r="M59" s="546">
        <f>AVERAGEIFS($B:$B,$A:$A,"&gt;"&amp;EOMONTH($L59,-6),$A:$A,"&lt;="&amp;EOMONTH($L59,0))</f>
        <v/>
      </c>
      <c r="N59" s="546">
        <f>O59-M59</f>
        <v/>
      </c>
      <c r="O59" s="546">
        <f>AVERAGEIFS($E:$E,$A:$A,"&gt;"&amp;EOMONTH($L59,-6),$A:$A,"&lt;="&amp;EOMONTH($L59,0))</f>
        <v/>
      </c>
      <c r="V59" s="1357">
        <f>EOMONTH(V58,3)</f>
        <v/>
      </c>
      <c r="W59" s="1358">
        <f>AVERAGEIFS(B:B,$A:$A,"&gt;"&amp;EOMONTH($V59,-4),$A:$A,"&lt;="&amp;EOMONTH($V59,-1))</f>
        <v/>
      </c>
      <c r="X59" s="1358">
        <f>Y59-W59</f>
        <v/>
      </c>
      <c r="Y59" s="1358">
        <f>AVERAGEIFS(E:E,$A:$A,"&gt;"&amp;EOMONTH($V59,-4),$A:$A,"&lt;="&amp;EOMONTH($V59,-1))</f>
        <v/>
      </c>
      <c r="AA59" s="1357">
        <f>EOMONTH(AA58,6)</f>
        <v/>
      </c>
      <c r="AB59" s="1358">
        <f>AVERAGEIFS($B:$B,$A:$A,"&gt;"&amp;EOMONTH($AA59,-7),$A:$A,"&lt;="&amp;EOMONTH($AA59,-1))</f>
        <v/>
      </c>
      <c r="AC59" s="1358">
        <f>AD59-AB59</f>
        <v/>
      </c>
      <c r="AD59" s="1358">
        <f>AVERAGEIFS($E:$E,$A:$A,"&gt;"&amp;EOMONTH($AA59,-7),$A:$A,"&lt;="&amp;EOMONTH($AA59,-1))</f>
        <v/>
      </c>
      <c r="AF59" s="1357" t="n"/>
      <c r="AG59" s="1358" t="n"/>
      <c r="AH59" s="1358" t="n"/>
      <c r="AI59" s="1358" t="n"/>
    </row>
    <row r="60">
      <c r="A60" s="544" t="n">
        <v>29292</v>
      </c>
      <c r="B60" s="637" t="n"/>
      <c r="C60" s="637" t="n"/>
      <c r="D60" s="637" t="n"/>
      <c r="E60" s="637" t="n"/>
      <c r="G60" s="1357">
        <f>EOMONTH(G59,3)</f>
        <v/>
      </c>
      <c r="H60" s="546">
        <f>AVERAGEIFS($B:$B,$A:$A,"&gt;"&amp;EOMONTH($G60,-3),$A:$A,"&lt;="&amp;EOMONTH($G60,0))</f>
        <v/>
      </c>
      <c r="I60" s="546">
        <f>J60-H60</f>
        <v/>
      </c>
      <c r="J60" s="546">
        <f>AVERAGEIFS($E:$E,$A:$A,"&gt;"&amp;EOMONTH($G60,-3),$A:$A,"&lt;="&amp;EOMONTH($G60,0))</f>
        <v/>
      </c>
      <c r="L60" s="1357">
        <f>EOMONTH(L59,6)</f>
        <v/>
      </c>
      <c r="M60" s="546">
        <f>AVERAGEIFS($B:$B,$A:$A,"&gt;"&amp;EOMONTH($L60,-6),$A:$A,"&lt;="&amp;EOMONTH($L60,0))</f>
        <v/>
      </c>
      <c r="N60" s="546">
        <f>O60-M60</f>
        <v/>
      </c>
      <c r="O60" s="546">
        <f>AVERAGEIFS($E:$E,$A:$A,"&gt;"&amp;EOMONTH($L60,-6),$A:$A,"&lt;="&amp;EOMONTH($L60,0))</f>
        <v/>
      </c>
      <c r="V60" s="1357">
        <f>EOMONTH(V59,3)</f>
        <v/>
      </c>
      <c r="W60" s="1358">
        <f>AVERAGEIFS(B:B,$A:$A,"&gt;"&amp;EOMONTH($V60,-4),$A:$A,"&lt;="&amp;EOMONTH($V60,-1))</f>
        <v/>
      </c>
      <c r="X60" s="1358">
        <f>Y60-W60</f>
        <v/>
      </c>
      <c r="Y60" s="1358">
        <f>AVERAGEIFS(E:E,$A:$A,"&gt;"&amp;EOMONTH($V60,-4),$A:$A,"&lt;="&amp;EOMONTH($V60,-1))</f>
        <v/>
      </c>
      <c r="AA60" s="1357">
        <f>EOMONTH(AA59,6)</f>
        <v/>
      </c>
      <c r="AB60" s="1358">
        <f>AVERAGEIFS($B:$B,$A:$A,"&gt;"&amp;EOMONTH($AA60,-7),$A:$A,"&lt;="&amp;EOMONTH($AA60,-1))</f>
        <v/>
      </c>
      <c r="AC60" s="1358">
        <f>AD60-AB60</f>
        <v/>
      </c>
      <c r="AD60" s="1358">
        <f>AVERAGEIFS($E:$E,$A:$A,"&gt;"&amp;EOMONTH($AA60,-7),$A:$A,"&lt;="&amp;EOMONTH($AA60,-1))</f>
        <v/>
      </c>
      <c r="AF60" s="1357" t="n"/>
      <c r="AG60" s="1358" t="n"/>
      <c r="AH60" s="1358" t="n"/>
      <c r="AI60" s="1358" t="n"/>
    </row>
    <row r="61">
      <c r="A61" s="544" t="n">
        <v>29293</v>
      </c>
      <c r="B61" s="637" t="n"/>
      <c r="C61" s="637" t="n"/>
      <c r="D61" s="637" t="n"/>
      <c r="E61" s="637" t="n"/>
      <c r="G61" s="1357">
        <f>EOMONTH(G60,3)</f>
        <v/>
      </c>
      <c r="H61" s="546">
        <f>AVERAGEIFS($B:$B,$A:$A,"&gt;"&amp;EOMONTH($G61,-3),$A:$A,"&lt;="&amp;EOMONTH($G61,0))</f>
        <v/>
      </c>
      <c r="I61" s="546">
        <f>J61-H61</f>
        <v/>
      </c>
      <c r="J61" s="546">
        <f>AVERAGEIFS($E:$E,$A:$A,"&gt;"&amp;EOMONTH($G61,-3),$A:$A,"&lt;="&amp;EOMONTH($G61,0))</f>
        <v/>
      </c>
      <c r="L61" s="1357">
        <f>EOMONTH(L60,6)</f>
        <v/>
      </c>
      <c r="M61" s="546">
        <f>AVERAGEIFS($B:$B,$A:$A,"&gt;"&amp;EOMONTH($L61,-6),$A:$A,"&lt;="&amp;EOMONTH($L61,0))</f>
        <v/>
      </c>
      <c r="N61" s="546">
        <f>O61-M61</f>
        <v/>
      </c>
      <c r="O61" s="546">
        <f>AVERAGEIFS($E:$E,$A:$A,"&gt;"&amp;EOMONTH($L61,-6),$A:$A,"&lt;="&amp;EOMONTH($L61,0))</f>
        <v/>
      </c>
      <c r="V61" s="1357">
        <f>EOMONTH(V60,3)</f>
        <v/>
      </c>
      <c r="W61" s="1358">
        <f>AVERAGEIFS(B:B,$A:$A,"&gt;"&amp;EOMONTH($V61,-4),$A:$A,"&lt;="&amp;EOMONTH($V61,-1))</f>
        <v/>
      </c>
      <c r="X61" s="1358">
        <f>Y61-W61</f>
        <v/>
      </c>
      <c r="Y61" s="1358">
        <f>AVERAGEIFS(E:E,$A:$A,"&gt;"&amp;EOMONTH($V61,-4),$A:$A,"&lt;="&amp;EOMONTH($V61,-1))</f>
        <v/>
      </c>
      <c r="AA61" s="1357">
        <f>EOMONTH(AA60,6)</f>
        <v/>
      </c>
      <c r="AB61" s="1358">
        <f>AVERAGEIFS($B:$B,$A:$A,"&gt;"&amp;EOMONTH($AA61,-7),$A:$A,"&lt;="&amp;EOMONTH($AA61,-1))</f>
        <v/>
      </c>
      <c r="AC61" s="1358">
        <f>AD61-AB61</f>
        <v/>
      </c>
      <c r="AD61" s="1358">
        <f>AVERAGEIFS($E:$E,$A:$A,"&gt;"&amp;EOMONTH($AA61,-7),$A:$A,"&lt;="&amp;EOMONTH($AA61,-1))</f>
        <v/>
      </c>
      <c r="AF61" s="1357" t="n"/>
      <c r="AG61" s="1358" t="n"/>
      <c r="AH61" s="1358" t="n"/>
      <c r="AI61" s="1358" t="n"/>
    </row>
    <row r="62">
      <c r="A62" s="544" t="n">
        <v>29294</v>
      </c>
      <c r="B62" s="637" t="n"/>
      <c r="C62" s="637" t="n"/>
      <c r="D62" s="637" t="n"/>
      <c r="E62" s="637" t="n"/>
      <c r="G62" s="1357">
        <f>EOMONTH(G61,3)</f>
        <v/>
      </c>
      <c r="H62" s="546">
        <f>AVERAGEIFS($B:$B,$A:$A,"&gt;"&amp;EOMONTH($G62,-3),$A:$A,"&lt;="&amp;EOMONTH($G62,0))</f>
        <v/>
      </c>
      <c r="I62" s="546">
        <f>J62-H62</f>
        <v/>
      </c>
      <c r="J62" s="546">
        <f>AVERAGEIFS($E:$E,$A:$A,"&gt;"&amp;EOMONTH($G62,-3),$A:$A,"&lt;="&amp;EOMONTH($G62,0))</f>
        <v/>
      </c>
      <c r="L62" s="1357">
        <f>EOMONTH(L61,6)</f>
        <v/>
      </c>
      <c r="M62" s="546">
        <f>AVERAGEIFS($B:$B,$A:$A,"&gt;"&amp;EOMONTH($L62,-6),$A:$A,"&lt;="&amp;EOMONTH($L62,0))</f>
        <v/>
      </c>
      <c r="N62" s="546">
        <f>O62-M62</f>
        <v/>
      </c>
      <c r="O62" s="546">
        <f>AVERAGEIFS($E:$E,$A:$A,"&gt;"&amp;EOMONTH($L62,-6),$A:$A,"&lt;="&amp;EOMONTH($L62,0))</f>
        <v/>
      </c>
      <c r="V62" s="1357">
        <f>EOMONTH(V61,3)</f>
        <v/>
      </c>
      <c r="W62" s="1358">
        <f>AVERAGEIFS(B:B,$A:$A,"&gt;"&amp;EOMONTH($V62,-4),$A:$A,"&lt;="&amp;EOMONTH($V62,-1))</f>
        <v/>
      </c>
      <c r="X62" s="1358">
        <f>Y62-W62</f>
        <v/>
      </c>
      <c r="Y62" s="1358">
        <f>AVERAGEIFS(E:E,$A:$A,"&gt;"&amp;EOMONTH($V62,-4),$A:$A,"&lt;="&amp;EOMONTH($V62,-1))</f>
        <v/>
      </c>
      <c r="AA62" s="1357">
        <f>EOMONTH(AA61,6)</f>
        <v/>
      </c>
      <c r="AB62" s="1358">
        <f>AVERAGEIFS($B:$B,$A:$A,"&gt;"&amp;EOMONTH($AA62,-7),$A:$A,"&lt;="&amp;EOMONTH($AA62,-1))</f>
        <v/>
      </c>
      <c r="AC62" s="1358">
        <f>AD62-AB62</f>
        <v/>
      </c>
      <c r="AD62" s="1358">
        <f>AVERAGEIFS($E:$E,$A:$A,"&gt;"&amp;EOMONTH($AA62,-7),$A:$A,"&lt;="&amp;EOMONTH($AA62,-1))</f>
        <v/>
      </c>
      <c r="AF62" s="1357" t="n"/>
      <c r="AG62" s="1358" t="n"/>
      <c r="AH62" s="1358" t="n"/>
      <c r="AI62" s="1358" t="n"/>
    </row>
    <row r="63">
      <c r="A63" s="544" t="n">
        <v>29297</v>
      </c>
      <c r="B63" s="637" t="n"/>
      <c r="C63" s="637" t="n"/>
      <c r="D63" s="637" t="n"/>
      <c r="E63" s="637" t="n"/>
      <c r="G63" s="1357">
        <f>EOMONTH(G62,3)</f>
        <v/>
      </c>
      <c r="H63" s="546">
        <f>AVERAGEIFS($B:$B,$A:$A,"&gt;"&amp;EOMONTH($G63,-3),$A:$A,"&lt;="&amp;EOMONTH($G63,0))</f>
        <v/>
      </c>
      <c r="I63" s="546">
        <f>J63-H63</f>
        <v/>
      </c>
      <c r="J63" s="546">
        <f>AVERAGEIFS($E:$E,$A:$A,"&gt;"&amp;EOMONTH($G63,-3),$A:$A,"&lt;="&amp;EOMONTH($G63,0))</f>
        <v/>
      </c>
      <c r="L63" s="1357">
        <f>EOMONTH(L62,6)</f>
        <v/>
      </c>
      <c r="M63" s="546">
        <f>AVERAGEIFS($B:$B,$A:$A,"&gt;"&amp;EOMONTH($L63,-6),$A:$A,"&lt;="&amp;EOMONTH($L63,0))</f>
        <v/>
      </c>
      <c r="N63" s="546">
        <f>O63-M63</f>
        <v/>
      </c>
      <c r="O63" s="546">
        <f>AVERAGEIFS($E:$E,$A:$A,"&gt;"&amp;EOMONTH($L63,-6),$A:$A,"&lt;="&amp;EOMONTH($L63,0))</f>
        <v/>
      </c>
      <c r="V63" s="1357">
        <f>EOMONTH(V62,3)</f>
        <v/>
      </c>
      <c r="W63" s="1358">
        <f>AVERAGEIFS(B:B,$A:$A,"&gt;"&amp;EOMONTH($V63,-4),$A:$A,"&lt;="&amp;EOMONTH($V63,-1))</f>
        <v/>
      </c>
      <c r="X63" s="1358">
        <f>Y63-W63</f>
        <v/>
      </c>
      <c r="Y63" s="1358">
        <f>AVERAGEIFS(E:E,$A:$A,"&gt;"&amp;EOMONTH($V63,-4),$A:$A,"&lt;="&amp;EOMONTH($V63,-1))</f>
        <v/>
      </c>
      <c r="AA63" s="1357">
        <f>EOMONTH(AA62,6)</f>
        <v/>
      </c>
      <c r="AB63" s="1358">
        <f>AVERAGEIFS($B:$B,$A:$A,"&gt;"&amp;EOMONTH($AA63,-7),$A:$A,"&lt;="&amp;EOMONTH($AA63,-1))</f>
        <v/>
      </c>
      <c r="AC63" s="1358">
        <f>AD63-AB63</f>
        <v/>
      </c>
      <c r="AD63" s="1358">
        <f>AVERAGEIFS($E:$E,$A:$A,"&gt;"&amp;EOMONTH($AA63,-7),$A:$A,"&lt;="&amp;EOMONTH($AA63,-1))</f>
        <v/>
      </c>
      <c r="AF63" s="1357" t="n"/>
      <c r="AG63" s="1358" t="n"/>
      <c r="AH63" s="1358" t="n"/>
      <c r="AI63" s="1358" t="n"/>
    </row>
    <row r="64">
      <c r="A64" s="544" t="n">
        <v>29298</v>
      </c>
      <c r="B64" s="637" t="n"/>
      <c r="C64" s="637" t="n"/>
      <c r="D64" s="637" t="n"/>
      <c r="E64" s="637" t="n"/>
      <c r="G64" s="1357">
        <f>EOMONTH(G63,3)</f>
        <v/>
      </c>
      <c r="H64" s="546">
        <f>AVERAGEIFS($B:$B,$A:$A,"&gt;"&amp;EOMONTH($G64,-3),$A:$A,"&lt;="&amp;EOMONTH($G64,0))</f>
        <v/>
      </c>
      <c r="I64" s="546">
        <f>J64-H64</f>
        <v/>
      </c>
      <c r="J64" s="546">
        <f>AVERAGEIFS($E:$E,$A:$A,"&gt;"&amp;EOMONTH($G64,-3),$A:$A,"&lt;="&amp;EOMONTH($G64,0))</f>
        <v/>
      </c>
      <c r="L64" s="1357">
        <f>EOMONTH(L63,6)</f>
        <v/>
      </c>
      <c r="M64" s="546">
        <f>AVERAGEIFS($B:$B,$A:$A,"&gt;"&amp;EOMONTH($L64,-6),$A:$A,"&lt;="&amp;EOMONTH($L64,0))</f>
        <v/>
      </c>
      <c r="N64" s="546">
        <f>O64-M64</f>
        <v/>
      </c>
      <c r="O64" s="546">
        <f>AVERAGEIFS($E:$E,$A:$A,"&gt;"&amp;EOMONTH($L64,-6),$A:$A,"&lt;="&amp;EOMONTH($L64,0))</f>
        <v/>
      </c>
      <c r="V64" s="1357">
        <f>EOMONTH(V63,3)</f>
        <v/>
      </c>
      <c r="W64" s="1358">
        <f>AVERAGEIFS(B:B,$A:$A,"&gt;"&amp;EOMONTH($V64,-4),$A:$A,"&lt;="&amp;EOMONTH($V64,-1))</f>
        <v/>
      </c>
      <c r="X64" s="1358">
        <f>Y64-W64</f>
        <v/>
      </c>
      <c r="Y64" s="1358">
        <f>AVERAGEIFS(E:E,$A:$A,"&gt;"&amp;EOMONTH($V64,-4),$A:$A,"&lt;="&amp;EOMONTH($V64,-1))</f>
        <v/>
      </c>
      <c r="AA64" s="1357">
        <f>EOMONTH(AA63,6)</f>
        <v/>
      </c>
      <c r="AB64" s="1358">
        <f>AVERAGEIFS($B:$B,$A:$A,"&gt;"&amp;EOMONTH($AA64,-7),$A:$A,"&lt;="&amp;EOMONTH($AA64,-1))</f>
        <v/>
      </c>
      <c r="AC64" s="1358">
        <f>AD64-AB64</f>
        <v/>
      </c>
      <c r="AD64" s="1358">
        <f>AVERAGEIFS($E:$E,$A:$A,"&gt;"&amp;EOMONTH($AA64,-7),$A:$A,"&lt;="&amp;EOMONTH($AA64,-1))</f>
        <v/>
      </c>
      <c r="AF64" s="1357" t="n"/>
      <c r="AG64" s="1358" t="n"/>
      <c r="AH64" s="1358" t="n"/>
      <c r="AI64" s="1358" t="n"/>
    </row>
    <row r="65">
      <c r="A65" s="544" t="n">
        <v>29299</v>
      </c>
      <c r="B65" s="637" t="n"/>
      <c r="C65" s="637" t="n"/>
      <c r="D65" s="637" t="n"/>
      <c r="E65" s="637" t="n"/>
      <c r="G65" s="1357">
        <f>EOMONTH(G64,3)</f>
        <v/>
      </c>
      <c r="H65" s="546">
        <f>AVERAGEIFS($B:$B,$A:$A,"&gt;"&amp;EOMONTH($G65,-3),$A:$A,"&lt;="&amp;EOMONTH($G65,0))</f>
        <v/>
      </c>
      <c r="I65" s="546">
        <f>J65-H65</f>
        <v/>
      </c>
      <c r="J65" s="546">
        <f>AVERAGEIFS($E:$E,$A:$A,"&gt;"&amp;EOMONTH($G65,-3),$A:$A,"&lt;="&amp;EOMONTH($G65,0))</f>
        <v/>
      </c>
      <c r="L65" s="1357">
        <f>EOMONTH(L64,6)</f>
        <v/>
      </c>
      <c r="M65" s="546">
        <f>AVERAGEIFS($B:$B,$A:$A,"&gt;"&amp;EOMONTH($L65,-6),$A:$A,"&lt;="&amp;EOMONTH($L65,0))</f>
        <v/>
      </c>
      <c r="N65" s="546">
        <f>O65-M65</f>
        <v/>
      </c>
      <c r="O65" s="546">
        <f>AVERAGEIFS($E:$E,$A:$A,"&gt;"&amp;EOMONTH($L65,-6),$A:$A,"&lt;="&amp;EOMONTH($L65,0))</f>
        <v/>
      </c>
      <c r="V65" s="1357">
        <f>EOMONTH(V64,3)</f>
        <v/>
      </c>
      <c r="W65" s="1358">
        <f>AVERAGEIFS(B:B,$A:$A,"&gt;"&amp;EOMONTH($V65,-4),$A:$A,"&lt;="&amp;EOMONTH($V65,-1))</f>
        <v/>
      </c>
      <c r="X65" s="1358">
        <f>Y65-W65</f>
        <v/>
      </c>
      <c r="Y65" s="1358">
        <f>AVERAGEIFS(E:E,$A:$A,"&gt;"&amp;EOMONTH($V65,-4),$A:$A,"&lt;="&amp;EOMONTH($V65,-1))</f>
        <v/>
      </c>
      <c r="AA65" s="1357">
        <f>EOMONTH(AA64,6)</f>
        <v/>
      </c>
      <c r="AB65" s="1358">
        <f>AVERAGEIFS($B:$B,$A:$A,"&gt;"&amp;EOMONTH($AA65,-7),$A:$A,"&lt;="&amp;EOMONTH($AA65,-1))</f>
        <v/>
      </c>
      <c r="AC65" s="1358">
        <f>AD65-AB65</f>
        <v/>
      </c>
      <c r="AD65" s="1358">
        <f>AVERAGEIFS($E:$E,$A:$A,"&gt;"&amp;EOMONTH($AA65,-7),$A:$A,"&lt;="&amp;EOMONTH($AA65,-1))</f>
        <v/>
      </c>
      <c r="AF65" s="1357" t="n"/>
      <c r="AG65" s="1358" t="n"/>
      <c r="AH65" s="1358" t="n"/>
      <c r="AI65" s="1358" t="n"/>
    </row>
    <row r="66">
      <c r="A66" s="544" t="n">
        <v>29300</v>
      </c>
      <c r="B66" s="637" t="n"/>
      <c r="C66" s="637" t="n"/>
      <c r="D66" s="637" t="n"/>
      <c r="E66" s="637" t="n"/>
      <c r="G66" s="1357">
        <f>EOMONTH(G65,3)</f>
        <v/>
      </c>
      <c r="H66" s="546">
        <f>AVERAGEIFS($B:$B,$A:$A,"&gt;"&amp;EOMONTH($G66,-3),$A:$A,"&lt;="&amp;EOMONTH($G66,0))</f>
        <v/>
      </c>
      <c r="I66" s="546">
        <f>J66-H66</f>
        <v/>
      </c>
      <c r="J66" s="546">
        <f>AVERAGEIFS($E:$E,$A:$A,"&gt;"&amp;EOMONTH($G66,-3),$A:$A,"&lt;="&amp;EOMONTH($G66,0))</f>
        <v/>
      </c>
      <c r="L66" s="1357">
        <f>EOMONTH(L65,6)</f>
        <v/>
      </c>
      <c r="M66" s="546">
        <f>AVERAGEIFS($B:$B,$A:$A,"&gt;"&amp;EOMONTH($L66,-6),$A:$A,"&lt;="&amp;EOMONTH($L66,0))</f>
        <v/>
      </c>
      <c r="N66" s="546">
        <f>O66-M66</f>
        <v/>
      </c>
      <c r="O66" s="546">
        <f>AVERAGEIFS($E:$E,$A:$A,"&gt;"&amp;EOMONTH($L66,-6),$A:$A,"&lt;="&amp;EOMONTH($L66,0))</f>
        <v/>
      </c>
      <c r="V66" s="1357">
        <f>EOMONTH(V65,3)</f>
        <v/>
      </c>
      <c r="W66" s="1358">
        <f>AVERAGEIFS(B:B,$A:$A,"&gt;"&amp;EOMONTH($V66,-4),$A:$A,"&lt;="&amp;EOMONTH($V66,-1))</f>
        <v/>
      </c>
      <c r="X66" s="1358">
        <f>Y66-W66</f>
        <v/>
      </c>
      <c r="Y66" s="1358">
        <f>AVERAGEIFS(E:E,$A:$A,"&gt;"&amp;EOMONTH($V66,-4),$A:$A,"&lt;="&amp;EOMONTH($V66,-1))</f>
        <v/>
      </c>
      <c r="AA66" s="1357">
        <f>EOMONTH(AA65,6)</f>
        <v/>
      </c>
      <c r="AB66" s="1358">
        <f>AVERAGEIFS($B:$B,$A:$A,"&gt;"&amp;EOMONTH($AA66,-7),$A:$A,"&lt;="&amp;EOMONTH($AA66,-1))</f>
        <v/>
      </c>
      <c r="AC66" s="1358">
        <f>AD66-AB66</f>
        <v/>
      </c>
      <c r="AD66" s="1358">
        <f>AVERAGEIFS($E:$E,$A:$A,"&gt;"&amp;EOMONTH($AA66,-7),$A:$A,"&lt;="&amp;EOMONTH($AA66,-1))</f>
        <v/>
      </c>
      <c r="AF66" s="1357" t="n"/>
      <c r="AG66" s="1358" t="n"/>
      <c r="AH66" s="1358" t="n"/>
      <c r="AI66" s="1358" t="n"/>
    </row>
    <row r="67">
      <c r="A67" s="544" t="n">
        <v>29301</v>
      </c>
      <c r="B67" s="637" t="n"/>
      <c r="C67" s="637" t="n"/>
      <c r="D67" s="637" t="n"/>
      <c r="E67" s="637" t="n"/>
      <c r="G67" s="1357">
        <f>EOMONTH(G66,3)</f>
        <v/>
      </c>
      <c r="H67" s="546">
        <f>AVERAGEIFS($B:$B,$A:$A,"&gt;"&amp;EOMONTH($G67,-3),$A:$A,"&lt;="&amp;EOMONTH($G67,0))</f>
        <v/>
      </c>
      <c r="I67" s="546">
        <f>J67-H67</f>
        <v/>
      </c>
      <c r="J67" s="546">
        <f>AVERAGEIFS($E:$E,$A:$A,"&gt;"&amp;EOMONTH($G67,-3),$A:$A,"&lt;="&amp;EOMONTH($G67,0))</f>
        <v/>
      </c>
      <c r="L67" s="1357">
        <f>EOMONTH(L66,6)</f>
        <v/>
      </c>
      <c r="M67" s="546">
        <f>AVERAGEIFS($B:$B,$A:$A,"&gt;"&amp;EOMONTH($L67,-6),$A:$A,"&lt;="&amp;EOMONTH($L67,0))</f>
        <v/>
      </c>
      <c r="N67" s="546">
        <f>O67-M67</f>
        <v/>
      </c>
      <c r="O67" s="546">
        <f>AVERAGEIFS($E:$E,$A:$A,"&gt;"&amp;EOMONTH($L67,-6),$A:$A,"&lt;="&amp;EOMONTH($L67,0))</f>
        <v/>
      </c>
      <c r="V67" s="1357">
        <f>EOMONTH(V66,3)</f>
        <v/>
      </c>
      <c r="W67" s="1358">
        <f>AVERAGEIFS(B:B,$A:$A,"&gt;"&amp;EOMONTH($V67,-4),$A:$A,"&lt;="&amp;EOMONTH($V67,-1))</f>
        <v/>
      </c>
      <c r="X67" s="1358">
        <f>Y67-W67</f>
        <v/>
      </c>
      <c r="Y67" s="1358">
        <f>AVERAGEIFS(E:E,$A:$A,"&gt;"&amp;EOMONTH($V67,-4),$A:$A,"&lt;="&amp;EOMONTH($V67,-1))</f>
        <v/>
      </c>
      <c r="AA67" s="1357">
        <f>EOMONTH(AA66,6)</f>
        <v/>
      </c>
      <c r="AB67" s="1358">
        <f>AVERAGEIFS($B:$B,$A:$A,"&gt;"&amp;EOMONTH($AA67,-7),$A:$A,"&lt;="&amp;EOMONTH($AA67,-1))</f>
        <v/>
      </c>
      <c r="AC67" s="1358">
        <f>AD67-AB67</f>
        <v/>
      </c>
      <c r="AD67" s="1358">
        <f>AVERAGEIFS($E:$E,$A:$A,"&gt;"&amp;EOMONTH($AA67,-7),$A:$A,"&lt;="&amp;EOMONTH($AA67,-1))</f>
        <v/>
      </c>
      <c r="AF67" s="1357" t="n"/>
      <c r="AG67" s="1358" t="n"/>
      <c r="AH67" s="1358" t="n"/>
      <c r="AI67" s="1358" t="n"/>
    </row>
    <row r="68">
      <c r="A68" s="544" t="n">
        <v>29304</v>
      </c>
      <c r="B68" s="637" t="n"/>
      <c r="C68" s="637" t="n"/>
      <c r="D68" s="637" t="n"/>
      <c r="E68" s="637" t="n"/>
      <c r="G68" s="1357">
        <f>EOMONTH(G67,3)</f>
        <v/>
      </c>
      <c r="H68" s="546">
        <f>AVERAGEIFS($B:$B,$A:$A,"&gt;"&amp;EOMONTH($G68,-3),$A:$A,"&lt;="&amp;EOMONTH($G68,0))</f>
        <v/>
      </c>
      <c r="I68" s="546">
        <f>J68-H68</f>
        <v/>
      </c>
      <c r="J68" s="546">
        <f>AVERAGEIFS($E:$E,$A:$A,"&gt;"&amp;EOMONTH($G68,-3),$A:$A,"&lt;="&amp;EOMONTH($G68,0))</f>
        <v/>
      </c>
      <c r="L68" s="1357">
        <f>EOMONTH(L67,6)</f>
        <v/>
      </c>
      <c r="M68" s="546">
        <f>AVERAGEIFS($B:$B,$A:$A,"&gt;"&amp;EOMONTH($L68,-6),$A:$A,"&lt;="&amp;EOMONTH($L68,0))</f>
        <v/>
      </c>
      <c r="N68" s="546">
        <f>O68-M68</f>
        <v/>
      </c>
      <c r="O68" s="546">
        <f>AVERAGEIFS($E:$E,$A:$A,"&gt;"&amp;EOMONTH($L68,-6),$A:$A,"&lt;="&amp;EOMONTH($L68,0))</f>
        <v/>
      </c>
      <c r="V68" s="1357">
        <f>EOMONTH(V67,3)</f>
        <v/>
      </c>
      <c r="W68" s="1358">
        <f>AVERAGEIFS(B:B,$A:$A,"&gt;"&amp;EOMONTH($V68,-4),$A:$A,"&lt;="&amp;EOMONTH($V68,-1))</f>
        <v/>
      </c>
      <c r="X68" s="1358">
        <f>Y68-W68</f>
        <v/>
      </c>
      <c r="Y68" s="1358">
        <f>AVERAGEIFS(E:E,$A:$A,"&gt;"&amp;EOMONTH($V68,-4),$A:$A,"&lt;="&amp;EOMONTH($V68,-1))</f>
        <v/>
      </c>
      <c r="AA68" s="1357">
        <f>EOMONTH(AA67,6)</f>
        <v/>
      </c>
      <c r="AB68" s="1358">
        <f>AVERAGEIFS($B:$B,$A:$A,"&gt;"&amp;EOMONTH($AA68,-7),$A:$A,"&lt;="&amp;EOMONTH($AA68,-1))</f>
        <v/>
      </c>
      <c r="AC68" s="1358">
        <f>AD68-AB68</f>
        <v/>
      </c>
      <c r="AD68" s="1358">
        <f>AVERAGEIFS($E:$E,$A:$A,"&gt;"&amp;EOMONTH($AA68,-7),$A:$A,"&lt;="&amp;EOMONTH($AA68,-1))</f>
        <v/>
      </c>
      <c r="AF68" s="1357" t="n"/>
      <c r="AG68" s="1358" t="n"/>
      <c r="AH68" s="1358" t="n"/>
      <c r="AI68" s="1358" t="n"/>
    </row>
    <row r="69">
      <c r="A69" s="544" t="n">
        <v>29305</v>
      </c>
      <c r="B69" s="637" t="n"/>
      <c r="C69" s="637" t="n"/>
      <c r="D69" s="637" t="n"/>
      <c r="E69" s="637" t="n"/>
      <c r="G69" s="1357">
        <f>EOMONTH(G68,3)</f>
        <v/>
      </c>
      <c r="H69" s="546">
        <f>AVERAGEIFS($B:$B,$A:$A,"&gt;"&amp;EOMONTH($G69,-3),$A:$A,"&lt;="&amp;EOMONTH($G69,0))</f>
        <v/>
      </c>
      <c r="I69" s="546">
        <f>J69-H69</f>
        <v/>
      </c>
      <c r="J69" s="546">
        <f>AVERAGEIFS($E:$E,$A:$A,"&gt;"&amp;EOMONTH($G69,-3),$A:$A,"&lt;="&amp;EOMONTH($G69,0))</f>
        <v/>
      </c>
      <c r="L69" s="1357">
        <f>EOMONTH(L68,6)</f>
        <v/>
      </c>
      <c r="M69" s="546">
        <f>AVERAGEIFS($B:$B,$A:$A,"&gt;"&amp;EOMONTH($L69,-6),$A:$A,"&lt;="&amp;EOMONTH($L69,0))</f>
        <v/>
      </c>
      <c r="N69" s="546">
        <f>O69-M69</f>
        <v/>
      </c>
      <c r="O69" s="546">
        <f>AVERAGEIFS($E:$E,$A:$A,"&gt;"&amp;EOMONTH($L69,-6),$A:$A,"&lt;="&amp;EOMONTH($L69,0))</f>
        <v/>
      </c>
      <c r="V69" s="1357">
        <f>EOMONTH(V68,3)</f>
        <v/>
      </c>
      <c r="W69" s="1358">
        <f>AVERAGEIFS(B:B,$A:$A,"&gt;"&amp;EOMONTH($V69,-4),$A:$A,"&lt;="&amp;EOMONTH($V69,-1))</f>
        <v/>
      </c>
      <c r="X69" s="1358">
        <f>Y69-W69</f>
        <v/>
      </c>
      <c r="Y69" s="1358">
        <f>AVERAGEIFS(E:E,$A:$A,"&gt;"&amp;EOMONTH($V69,-4),$A:$A,"&lt;="&amp;EOMONTH($V69,-1))</f>
        <v/>
      </c>
      <c r="AA69" s="1357">
        <f>EOMONTH(AA68,6)</f>
        <v/>
      </c>
      <c r="AB69" s="1358">
        <f>AVERAGEIFS($B:$B,$A:$A,"&gt;"&amp;EOMONTH($AA69,-7),$A:$A,"&lt;="&amp;EOMONTH($AA69,-1))</f>
        <v/>
      </c>
      <c r="AC69" s="1358">
        <f>AD69-AB69</f>
        <v/>
      </c>
      <c r="AD69" s="1358">
        <f>AVERAGEIFS($E:$E,$A:$A,"&gt;"&amp;EOMONTH($AA69,-7),$A:$A,"&lt;="&amp;EOMONTH($AA69,-1))</f>
        <v/>
      </c>
      <c r="AF69" s="1357" t="n"/>
      <c r="AG69" s="1358" t="n"/>
      <c r="AH69" s="1358" t="n"/>
      <c r="AI69" s="1358" t="n"/>
    </row>
    <row r="70">
      <c r="A70" s="544" t="n">
        <v>29306</v>
      </c>
      <c r="B70" s="637" t="n"/>
      <c r="C70" s="637" t="n"/>
      <c r="D70" s="637" t="n"/>
      <c r="E70" s="637" t="n"/>
      <c r="G70" s="1357">
        <f>EOMONTH(G69,3)</f>
        <v/>
      </c>
      <c r="H70" s="546">
        <f>AVERAGEIFS($B:$B,$A:$A,"&gt;"&amp;EOMONTH($G70,-3),$A:$A,"&lt;="&amp;EOMONTH($G70,0))</f>
        <v/>
      </c>
      <c r="I70" s="546">
        <f>J70-H70</f>
        <v/>
      </c>
      <c r="J70" s="546">
        <f>AVERAGEIFS($E:$E,$A:$A,"&gt;"&amp;EOMONTH($G70,-3),$A:$A,"&lt;="&amp;EOMONTH($G70,0))</f>
        <v/>
      </c>
      <c r="L70" s="1357">
        <f>EOMONTH(L69,6)</f>
        <v/>
      </c>
      <c r="M70" s="546">
        <f>AVERAGEIFS($B:$B,$A:$A,"&gt;"&amp;EOMONTH($L70,-6),$A:$A,"&lt;="&amp;EOMONTH($L70,0))</f>
        <v/>
      </c>
      <c r="N70" s="546">
        <f>O70-M70</f>
        <v/>
      </c>
      <c r="O70" s="546">
        <f>AVERAGEIFS($E:$E,$A:$A,"&gt;"&amp;EOMONTH($L70,-6),$A:$A,"&lt;="&amp;EOMONTH($L70,0))</f>
        <v/>
      </c>
      <c r="V70" s="1357">
        <f>EOMONTH(V69,3)</f>
        <v/>
      </c>
      <c r="W70" s="1358">
        <f>AVERAGEIFS(B:B,$A:$A,"&gt;"&amp;EOMONTH($V70,-4),$A:$A,"&lt;="&amp;EOMONTH($V70,-1))</f>
        <v/>
      </c>
      <c r="X70" s="1358">
        <f>Y70-W70</f>
        <v/>
      </c>
      <c r="Y70" s="1358">
        <f>AVERAGEIFS(E:E,$A:$A,"&gt;"&amp;EOMONTH($V70,-4),$A:$A,"&lt;="&amp;EOMONTH($V70,-1))</f>
        <v/>
      </c>
      <c r="AA70" s="1357">
        <f>EOMONTH(AA69,6)</f>
        <v/>
      </c>
      <c r="AB70" s="1358">
        <f>AVERAGEIFS($B:$B,$A:$A,"&gt;"&amp;EOMONTH($AA70,-7),$A:$A,"&lt;="&amp;EOMONTH($AA70,-1))</f>
        <v/>
      </c>
      <c r="AC70" s="1358">
        <f>AD70-AB70</f>
        <v/>
      </c>
      <c r="AD70" s="1358">
        <f>AVERAGEIFS($E:$E,$A:$A,"&gt;"&amp;EOMONTH($AA70,-7),$A:$A,"&lt;="&amp;EOMONTH($AA70,-1))</f>
        <v/>
      </c>
      <c r="AF70" s="1357" t="n"/>
      <c r="AG70" s="1358" t="n"/>
      <c r="AH70" s="1358" t="n"/>
      <c r="AI70" s="1358" t="n"/>
    </row>
    <row r="71">
      <c r="A71" s="544" t="n">
        <v>29307</v>
      </c>
      <c r="B71" s="637" t="n"/>
      <c r="C71" s="637" t="n"/>
      <c r="D71" s="637" t="n"/>
      <c r="E71" s="637" t="n"/>
      <c r="G71" s="1357">
        <f>EOMONTH(G70,3)</f>
        <v/>
      </c>
      <c r="H71" s="546">
        <f>AVERAGEIFS($B:$B,$A:$A,"&gt;"&amp;EOMONTH($G71,-3),$A:$A,"&lt;="&amp;EOMONTH($G71,0))</f>
        <v/>
      </c>
      <c r="I71" s="546">
        <f>J71-H71</f>
        <v/>
      </c>
      <c r="J71" s="546">
        <f>AVERAGEIFS($E:$E,$A:$A,"&gt;"&amp;EOMONTH($G71,-3),$A:$A,"&lt;="&amp;EOMONTH($G71,0))</f>
        <v/>
      </c>
      <c r="L71" s="1357">
        <f>EOMONTH(L70,6)</f>
        <v/>
      </c>
      <c r="M71" s="546">
        <f>AVERAGEIFS($B:$B,$A:$A,"&gt;"&amp;EOMONTH($L71,-6),$A:$A,"&lt;="&amp;EOMONTH($L71,0))</f>
        <v/>
      </c>
      <c r="N71" s="546">
        <f>O71-M71</f>
        <v/>
      </c>
      <c r="O71" s="546">
        <f>AVERAGEIFS($E:$E,$A:$A,"&gt;"&amp;EOMONTH($L71,-6),$A:$A,"&lt;="&amp;EOMONTH($L71,0))</f>
        <v/>
      </c>
      <c r="V71" s="1357">
        <f>EOMONTH(V70,3)</f>
        <v/>
      </c>
      <c r="W71" s="1358">
        <f>AVERAGEIFS(B:B,$A:$A,"&gt;"&amp;EOMONTH($V71,-4),$A:$A,"&lt;="&amp;EOMONTH($V71,-1))</f>
        <v/>
      </c>
      <c r="X71" s="1358">
        <f>Y71-W71</f>
        <v/>
      </c>
      <c r="Y71" s="1358">
        <f>AVERAGEIFS(E:E,$A:$A,"&gt;"&amp;EOMONTH($V71,-4),$A:$A,"&lt;="&amp;EOMONTH($V71,-1))</f>
        <v/>
      </c>
      <c r="AA71" s="1357">
        <f>EOMONTH(AA70,6)</f>
        <v/>
      </c>
      <c r="AB71" s="1358">
        <f>AVERAGEIFS($B:$B,$A:$A,"&gt;"&amp;EOMONTH($AA71,-7),$A:$A,"&lt;="&amp;EOMONTH($AA71,-1))</f>
        <v/>
      </c>
      <c r="AC71" s="1358">
        <f>AD71-AB71</f>
        <v/>
      </c>
      <c r="AD71" s="1358">
        <f>AVERAGEIFS($E:$E,$A:$A,"&gt;"&amp;EOMONTH($AA71,-7),$A:$A,"&lt;="&amp;EOMONTH($AA71,-1))</f>
        <v/>
      </c>
      <c r="AF71" s="1357" t="n"/>
      <c r="AG71" s="1358" t="n"/>
      <c r="AH71" s="1358" t="n"/>
      <c r="AI71" s="1358" t="n"/>
    </row>
    <row r="72">
      <c r="A72" s="544" t="n">
        <v>29308</v>
      </c>
      <c r="B72" s="637" t="n"/>
      <c r="C72" s="637" t="n"/>
      <c r="D72" s="637" t="n"/>
      <c r="E72" s="637" t="n"/>
      <c r="G72" s="1357">
        <f>EOMONTH(G71,3)</f>
        <v/>
      </c>
      <c r="H72" s="546">
        <f>AVERAGEIFS($B:$B,$A:$A,"&gt;"&amp;EOMONTH($G72,-3),$A:$A,"&lt;="&amp;EOMONTH($G72,0))</f>
        <v/>
      </c>
      <c r="I72" s="546">
        <f>J72-H72</f>
        <v/>
      </c>
      <c r="J72" s="546">
        <f>AVERAGEIFS($E:$E,$A:$A,"&gt;"&amp;EOMONTH($G72,-3),$A:$A,"&lt;="&amp;EOMONTH($G72,0))</f>
        <v/>
      </c>
      <c r="L72" s="1357">
        <f>EOMONTH(L71,6)</f>
        <v/>
      </c>
      <c r="M72" s="546">
        <f>AVERAGEIFS($B:$B,$A:$A,"&gt;"&amp;EOMONTH($L72,-6),$A:$A,"&lt;="&amp;EOMONTH($L72,0))</f>
        <v/>
      </c>
      <c r="N72" s="546">
        <f>O72-M72</f>
        <v/>
      </c>
      <c r="O72" s="546">
        <f>AVERAGEIFS($E:$E,$A:$A,"&gt;"&amp;EOMONTH($L72,-6),$A:$A,"&lt;="&amp;EOMONTH($L72,0))</f>
        <v/>
      </c>
      <c r="V72" s="1357">
        <f>EOMONTH(V71,3)</f>
        <v/>
      </c>
      <c r="W72" s="1358">
        <f>AVERAGEIFS(B:B,$A:$A,"&gt;"&amp;EOMONTH($V72,-4),$A:$A,"&lt;="&amp;EOMONTH($V72,-1))</f>
        <v/>
      </c>
      <c r="X72" s="1358">
        <f>Y72-W72</f>
        <v/>
      </c>
      <c r="Y72" s="1358">
        <f>AVERAGEIFS(E:E,$A:$A,"&gt;"&amp;EOMONTH($V72,-4),$A:$A,"&lt;="&amp;EOMONTH($V72,-1))</f>
        <v/>
      </c>
      <c r="AA72" s="1357">
        <f>EOMONTH(AA71,6)</f>
        <v/>
      </c>
      <c r="AB72" s="1358">
        <f>AVERAGEIFS($B:$B,$A:$A,"&gt;"&amp;EOMONTH($AA72,-7),$A:$A,"&lt;="&amp;EOMONTH($AA72,-1))</f>
        <v/>
      </c>
      <c r="AC72" s="1358">
        <f>AD72-AB72</f>
        <v/>
      </c>
      <c r="AD72" s="1358">
        <f>AVERAGEIFS($E:$E,$A:$A,"&gt;"&amp;EOMONTH($AA72,-7),$A:$A,"&lt;="&amp;EOMONTH($AA72,-1))</f>
        <v/>
      </c>
      <c r="AF72" s="1357" t="n"/>
      <c r="AG72" s="1358" t="n"/>
      <c r="AH72" s="1358" t="n"/>
      <c r="AI72" s="1358" t="n"/>
    </row>
    <row r="73">
      <c r="A73" s="544" t="n">
        <v>29311</v>
      </c>
      <c r="B73" s="637" t="n"/>
      <c r="C73" s="637" t="n"/>
      <c r="D73" s="637" t="n"/>
      <c r="E73" s="637" t="n"/>
      <c r="G73" s="1357">
        <f>EOMONTH(G72,3)</f>
        <v/>
      </c>
      <c r="H73" s="546">
        <f>AVERAGEIFS($B:$B,$A:$A,"&gt;"&amp;EOMONTH($G73,-3),$A:$A,"&lt;="&amp;EOMONTH($G73,0))</f>
        <v/>
      </c>
      <c r="I73" s="546">
        <f>J73-H73</f>
        <v/>
      </c>
      <c r="J73" s="546">
        <f>AVERAGEIFS($E:$E,$A:$A,"&gt;"&amp;EOMONTH($G73,-3),$A:$A,"&lt;="&amp;EOMONTH($G73,0))</f>
        <v/>
      </c>
      <c r="L73" s="1357">
        <f>EOMONTH(L72,6)</f>
        <v/>
      </c>
      <c r="M73" s="546">
        <f>AVERAGEIFS($B:$B,$A:$A,"&gt;"&amp;EOMONTH($L73,-6),$A:$A,"&lt;="&amp;EOMONTH($L73,0))</f>
        <v/>
      </c>
      <c r="N73" s="546">
        <f>O73-M73</f>
        <v/>
      </c>
      <c r="O73" s="546">
        <f>AVERAGEIFS($E:$E,$A:$A,"&gt;"&amp;EOMONTH($L73,-6),$A:$A,"&lt;="&amp;EOMONTH($L73,0))</f>
        <v/>
      </c>
      <c r="V73" s="1357">
        <f>EOMONTH(V72,3)</f>
        <v/>
      </c>
      <c r="W73" s="1358">
        <f>AVERAGEIFS(B:B,$A:$A,"&gt;"&amp;EOMONTH($V73,-4),$A:$A,"&lt;="&amp;EOMONTH($V73,-1))</f>
        <v/>
      </c>
      <c r="X73" s="1358">
        <f>Y73-W73</f>
        <v/>
      </c>
      <c r="Y73" s="1358">
        <f>AVERAGEIFS(E:E,$A:$A,"&gt;"&amp;EOMONTH($V73,-4),$A:$A,"&lt;="&amp;EOMONTH($V73,-1))</f>
        <v/>
      </c>
      <c r="AA73" s="1357">
        <f>EOMONTH(AA72,6)</f>
        <v/>
      </c>
      <c r="AB73" s="1358">
        <f>AVERAGEIFS($B:$B,$A:$A,"&gt;"&amp;EOMONTH($AA73,-7),$A:$A,"&lt;="&amp;EOMONTH($AA73,-1))</f>
        <v/>
      </c>
      <c r="AC73" s="1358">
        <f>AD73-AB73</f>
        <v/>
      </c>
      <c r="AD73" s="1358">
        <f>AVERAGEIFS($E:$E,$A:$A,"&gt;"&amp;EOMONTH($AA73,-7),$A:$A,"&lt;="&amp;EOMONTH($AA73,-1))</f>
        <v/>
      </c>
      <c r="AF73" s="1357" t="n"/>
      <c r="AG73" s="1358" t="n"/>
      <c r="AH73" s="1358" t="n"/>
      <c r="AI73" s="1358" t="n"/>
    </row>
    <row r="74">
      <c r="A74" s="544" t="n">
        <v>29312</v>
      </c>
      <c r="B74" s="637" t="n"/>
      <c r="C74" s="637" t="n"/>
      <c r="D74" s="637" t="n"/>
      <c r="E74" s="637" t="n"/>
      <c r="G74" s="1357">
        <f>EOMONTH(G73,3)</f>
        <v/>
      </c>
      <c r="H74" s="546">
        <f>AVERAGEIFS($B:$B,$A:$A,"&gt;"&amp;EOMONTH($G74,-3),$A:$A,"&lt;="&amp;EOMONTH($G74,0))</f>
        <v/>
      </c>
      <c r="I74" s="546">
        <f>J74-H74</f>
        <v/>
      </c>
      <c r="J74" s="546">
        <f>AVERAGEIFS($E:$E,$A:$A,"&gt;"&amp;EOMONTH($G74,-3),$A:$A,"&lt;="&amp;EOMONTH($G74,0))</f>
        <v/>
      </c>
      <c r="L74" s="1357">
        <f>EOMONTH(L73,6)</f>
        <v/>
      </c>
      <c r="M74" s="546">
        <f>AVERAGEIFS($B:$B,$A:$A,"&gt;"&amp;EOMONTH($L74,-6),$A:$A,"&lt;="&amp;EOMONTH($L74,0))</f>
        <v/>
      </c>
      <c r="N74" s="546">
        <f>O74-M74</f>
        <v/>
      </c>
      <c r="O74" s="546">
        <f>AVERAGEIFS($E:$E,$A:$A,"&gt;"&amp;EOMONTH($L74,-6),$A:$A,"&lt;="&amp;EOMONTH($L74,0))</f>
        <v/>
      </c>
      <c r="V74" s="1357">
        <f>EOMONTH(V73,3)</f>
        <v/>
      </c>
      <c r="W74" s="1358">
        <f>AVERAGEIFS(B:B,$A:$A,"&gt;"&amp;EOMONTH($V74,-4),$A:$A,"&lt;="&amp;EOMONTH($V74,-1))</f>
        <v/>
      </c>
      <c r="X74" s="1358">
        <f>Y74-W74</f>
        <v/>
      </c>
      <c r="Y74" s="1358">
        <f>AVERAGEIFS(E:E,$A:$A,"&gt;"&amp;EOMONTH($V74,-4),$A:$A,"&lt;="&amp;EOMONTH($V74,-1))</f>
        <v/>
      </c>
      <c r="AA74" s="1357">
        <f>EOMONTH(AA73,6)</f>
        <v/>
      </c>
      <c r="AB74" s="1358">
        <f>AVERAGEIFS($B:$B,$A:$A,"&gt;"&amp;EOMONTH($AA74,-7),$A:$A,"&lt;="&amp;EOMONTH($AA74,-1))</f>
        <v/>
      </c>
      <c r="AC74" s="1358">
        <f>AD74-AB74</f>
        <v/>
      </c>
      <c r="AD74" s="1358">
        <f>AVERAGEIFS($E:$E,$A:$A,"&gt;"&amp;EOMONTH($AA74,-7),$A:$A,"&lt;="&amp;EOMONTH($AA74,-1))</f>
        <v/>
      </c>
      <c r="AF74" s="1357" t="n"/>
      <c r="AG74" s="1358" t="n"/>
      <c r="AH74" s="1358" t="n"/>
      <c r="AI74" s="1358" t="n"/>
    </row>
    <row r="75">
      <c r="A75" s="544" t="n">
        <v>29313</v>
      </c>
      <c r="B75" s="637" t="n"/>
      <c r="C75" s="637" t="n"/>
      <c r="D75" s="637" t="n"/>
      <c r="E75" s="637" t="n"/>
      <c r="G75" s="1357">
        <f>EOMONTH(G74,3)</f>
        <v/>
      </c>
      <c r="H75" s="546">
        <f>AVERAGEIFS($B:$B,$A:$A,"&gt;"&amp;EOMONTH($G75,-3),$A:$A,"&lt;="&amp;EOMONTH($G75,0))</f>
        <v/>
      </c>
      <c r="I75" s="546">
        <f>J75-H75</f>
        <v/>
      </c>
      <c r="J75" s="546">
        <f>AVERAGEIFS($E:$E,$A:$A,"&gt;"&amp;EOMONTH($G75,-3),$A:$A,"&lt;="&amp;EOMONTH($G75,0))</f>
        <v/>
      </c>
      <c r="L75" s="1357">
        <f>EOMONTH(L74,6)</f>
        <v/>
      </c>
      <c r="M75" s="546">
        <f>AVERAGEIFS($B:$B,$A:$A,"&gt;"&amp;EOMONTH($L75,-6),$A:$A,"&lt;="&amp;EOMONTH($L75,0))</f>
        <v/>
      </c>
      <c r="N75" s="546">
        <f>O75-M75</f>
        <v/>
      </c>
      <c r="O75" s="546">
        <f>AVERAGEIFS($E:$E,$A:$A,"&gt;"&amp;EOMONTH($L75,-6),$A:$A,"&lt;="&amp;EOMONTH($L75,0))</f>
        <v/>
      </c>
      <c r="V75" s="1357">
        <f>EOMONTH(V74,3)</f>
        <v/>
      </c>
      <c r="W75" s="1358">
        <f>AVERAGEIFS(B:B,$A:$A,"&gt;"&amp;EOMONTH($V75,-4),$A:$A,"&lt;="&amp;EOMONTH($V75,-1))</f>
        <v/>
      </c>
      <c r="X75" s="1358">
        <f>Y75-W75</f>
        <v/>
      </c>
      <c r="Y75" s="1358">
        <f>AVERAGEIFS(E:E,$A:$A,"&gt;"&amp;EOMONTH($V75,-4),$A:$A,"&lt;="&amp;EOMONTH($V75,-1))</f>
        <v/>
      </c>
      <c r="AA75" s="1357">
        <f>EOMONTH(AA74,6)</f>
        <v/>
      </c>
      <c r="AB75" s="1358">
        <f>AVERAGEIFS($B:$B,$A:$A,"&gt;"&amp;EOMONTH($AA75,-7),$A:$A,"&lt;="&amp;EOMONTH($AA75,-1))</f>
        <v/>
      </c>
      <c r="AC75" s="1358">
        <f>AD75-AB75</f>
        <v/>
      </c>
      <c r="AD75" s="1358">
        <f>AVERAGEIFS($E:$E,$A:$A,"&gt;"&amp;EOMONTH($AA75,-7),$A:$A,"&lt;="&amp;EOMONTH($AA75,-1))</f>
        <v/>
      </c>
      <c r="AF75" s="1357" t="n"/>
      <c r="AG75" s="1358" t="n"/>
      <c r="AH75" s="1358" t="n"/>
      <c r="AI75" s="1358" t="n"/>
    </row>
    <row r="76">
      <c r="A76" s="544" t="n">
        <v>29314</v>
      </c>
      <c r="B76" s="637" t="n"/>
      <c r="C76" s="637" t="n"/>
      <c r="D76" s="637" t="n"/>
      <c r="E76" s="637" t="n"/>
      <c r="G76" s="1357">
        <f>EOMONTH(G75,3)</f>
        <v/>
      </c>
      <c r="H76" s="546">
        <f>AVERAGEIFS($B:$B,$A:$A,"&gt;"&amp;EOMONTH($G76,-3),$A:$A,"&lt;="&amp;EOMONTH($G76,0))</f>
        <v/>
      </c>
      <c r="I76" s="546">
        <f>J76-H76</f>
        <v/>
      </c>
      <c r="J76" s="546">
        <f>AVERAGEIFS($E:$E,$A:$A,"&gt;"&amp;EOMONTH($G76,-3),$A:$A,"&lt;="&amp;EOMONTH($G76,0))</f>
        <v/>
      </c>
      <c r="L76" s="1357">
        <f>EOMONTH(L75,6)</f>
        <v/>
      </c>
      <c r="M76" s="546">
        <f>AVERAGEIFS($B:$B,$A:$A,"&gt;"&amp;EOMONTH($L76,-6),$A:$A,"&lt;="&amp;EOMONTH($L76,0))</f>
        <v/>
      </c>
      <c r="N76" s="546">
        <f>O76-M76</f>
        <v/>
      </c>
      <c r="O76" s="546">
        <f>AVERAGEIFS($E:$E,$A:$A,"&gt;"&amp;EOMONTH($L76,-6),$A:$A,"&lt;="&amp;EOMONTH($L76,0))</f>
        <v/>
      </c>
      <c r="V76" s="1357">
        <f>EOMONTH(V75,3)</f>
        <v/>
      </c>
      <c r="W76" s="1358">
        <f>AVERAGEIFS(B:B,$A:$A,"&gt;"&amp;EOMONTH($V76,-4),$A:$A,"&lt;="&amp;EOMONTH($V76,-1))</f>
        <v/>
      </c>
      <c r="X76" s="1358">
        <f>Y76-W76</f>
        <v/>
      </c>
      <c r="Y76" s="1358">
        <f>AVERAGEIFS(E:E,$A:$A,"&gt;"&amp;EOMONTH($V76,-4),$A:$A,"&lt;="&amp;EOMONTH($V76,-1))</f>
        <v/>
      </c>
      <c r="AA76" s="1357">
        <f>EOMONTH(AA75,6)</f>
        <v/>
      </c>
      <c r="AB76" s="1358">
        <f>AVERAGEIFS($B:$B,$A:$A,"&gt;"&amp;EOMONTH($AA76,-7),$A:$A,"&lt;="&amp;EOMONTH($AA76,-1))</f>
        <v/>
      </c>
      <c r="AC76" s="1358">
        <f>AD76-AB76</f>
        <v/>
      </c>
      <c r="AD76" s="1358">
        <f>AVERAGEIFS($E:$E,$A:$A,"&gt;"&amp;EOMONTH($AA76,-7),$A:$A,"&lt;="&amp;EOMONTH($AA76,-1))</f>
        <v/>
      </c>
      <c r="AF76" s="1357" t="n"/>
      <c r="AG76" s="1358" t="n"/>
      <c r="AH76" s="1358" t="n"/>
      <c r="AI76" s="1358" t="n"/>
    </row>
    <row r="77">
      <c r="A77" s="544" t="n">
        <v>29315</v>
      </c>
      <c r="B77" s="637" t="n"/>
      <c r="C77" s="637" t="n"/>
      <c r="D77" s="637" t="n"/>
      <c r="E77" s="637" t="n"/>
      <c r="G77" s="1357">
        <f>EOMONTH(G76,3)</f>
        <v/>
      </c>
      <c r="H77" s="546">
        <f>AVERAGEIFS($B:$B,$A:$A,"&gt;"&amp;EOMONTH($G77,-3),$A:$A,"&lt;="&amp;EOMONTH($G77,0))</f>
        <v/>
      </c>
      <c r="I77" s="546">
        <f>J77-H77</f>
        <v/>
      </c>
      <c r="J77" s="546">
        <f>AVERAGEIFS($E:$E,$A:$A,"&gt;"&amp;EOMONTH($G77,-3),$A:$A,"&lt;="&amp;EOMONTH($G77,0))</f>
        <v/>
      </c>
      <c r="L77" s="1357">
        <f>EOMONTH(L76,6)</f>
        <v/>
      </c>
      <c r="M77" s="546">
        <f>AVERAGEIFS($B:$B,$A:$A,"&gt;"&amp;EOMONTH($L77,-6),$A:$A,"&lt;="&amp;EOMONTH($L77,0))</f>
        <v/>
      </c>
      <c r="N77" s="546">
        <f>O77-M77</f>
        <v/>
      </c>
      <c r="O77" s="546">
        <f>AVERAGEIFS($E:$E,$A:$A,"&gt;"&amp;EOMONTH($L77,-6),$A:$A,"&lt;="&amp;EOMONTH($L77,0))</f>
        <v/>
      </c>
      <c r="V77" s="1357">
        <f>EOMONTH(V76,3)</f>
        <v/>
      </c>
      <c r="W77" s="1358">
        <f>AVERAGEIFS(B:B,$A:$A,"&gt;"&amp;EOMONTH($V77,-4),$A:$A,"&lt;="&amp;EOMONTH($V77,-1))</f>
        <v/>
      </c>
      <c r="X77" s="1358">
        <f>Y77-W77</f>
        <v/>
      </c>
      <c r="Y77" s="1358">
        <f>AVERAGEIFS(E:E,$A:$A,"&gt;"&amp;EOMONTH($V77,-4),$A:$A,"&lt;="&amp;EOMONTH($V77,-1))</f>
        <v/>
      </c>
      <c r="AA77" s="1357">
        <f>EOMONTH(AA76,6)</f>
        <v/>
      </c>
      <c r="AB77" s="1358">
        <f>AVERAGEIFS($B:$B,$A:$A,"&gt;"&amp;EOMONTH($AA77,-7),$A:$A,"&lt;="&amp;EOMONTH($AA77,-1))</f>
        <v/>
      </c>
      <c r="AC77" s="1358">
        <f>AD77-AB77</f>
        <v/>
      </c>
      <c r="AD77" s="1358">
        <f>AVERAGEIFS($E:$E,$A:$A,"&gt;"&amp;EOMONTH($AA77,-7),$A:$A,"&lt;="&amp;EOMONTH($AA77,-1))</f>
        <v/>
      </c>
      <c r="AF77" s="1357" t="n"/>
      <c r="AG77" s="1358" t="n"/>
      <c r="AH77" s="1358" t="n"/>
      <c r="AI77" s="1358" t="n"/>
    </row>
    <row r="78">
      <c r="A78" s="544" t="n">
        <v>29318</v>
      </c>
      <c r="B78" s="637" t="n"/>
      <c r="C78" s="637" t="n"/>
      <c r="D78" s="637" t="n"/>
      <c r="E78" s="637" t="n"/>
      <c r="G78" s="1357">
        <f>EOMONTH(G77,3)</f>
        <v/>
      </c>
      <c r="H78" s="546">
        <f>AVERAGEIFS($B:$B,$A:$A,"&gt;"&amp;EOMONTH($G78,-3),$A:$A,"&lt;="&amp;EOMONTH($G78,0))</f>
        <v/>
      </c>
      <c r="I78" s="546">
        <f>J78-H78</f>
        <v/>
      </c>
      <c r="J78" s="546">
        <f>AVERAGEIFS($E:$E,$A:$A,"&gt;"&amp;EOMONTH($G78,-3),$A:$A,"&lt;="&amp;EOMONTH($G78,0))</f>
        <v/>
      </c>
      <c r="L78" s="1357">
        <f>EOMONTH(L77,6)</f>
        <v/>
      </c>
      <c r="M78" s="546">
        <f>AVERAGEIFS($B:$B,$A:$A,"&gt;"&amp;EOMONTH($L78,-6),$A:$A,"&lt;="&amp;EOMONTH($L78,0))</f>
        <v/>
      </c>
      <c r="N78" s="546">
        <f>O78-M78</f>
        <v/>
      </c>
      <c r="O78" s="546">
        <f>AVERAGEIFS($E:$E,$A:$A,"&gt;"&amp;EOMONTH($L78,-6),$A:$A,"&lt;="&amp;EOMONTH($L78,0))</f>
        <v/>
      </c>
      <c r="V78" s="1357">
        <f>EOMONTH(V77,3)</f>
        <v/>
      </c>
      <c r="W78" s="1358">
        <f>AVERAGEIFS(B:B,$A:$A,"&gt;"&amp;EOMONTH($V78,-4),$A:$A,"&lt;="&amp;EOMONTH($V78,-1))</f>
        <v/>
      </c>
      <c r="X78" s="1358">
        <f>Y78-W78</f>
        <v/>
      </c>
      <c r="Y78" s="1358">
        <f>AVERAGEIFS(E:E,$A:$A,"&gt;"&amp;EOMONTH($V78,-4),$A:$A,"&lt;="&amp;EOMONTH($V78,-1))</f>
        <v/>
      </c>
      <c r="AA78" s="1357">
        <f>EOMONTH(AA77,6)</f>
        <v/>
      </c>
      <c r="AB78" s="1358">
        <f>AVERAGEIFS($B:$B,$A:$A,"&gt;"&amp;EOMONTH($AA78,-7),$A:$A,"&lt;="&amp;EOMONTH($AA78,-1))</f>
        <v/>
      </c>
      <c r="AC78" s="1358">
        <f>AD78-AB78</f>
        <v/>
      </c>
      <c r="AD78" s="1358">
        <f>AVERAGEIFS($E:$E,$A:$A,"&gt;"&amp;EOMONTH($AA78,-7),$A:$A,"&lt;="&amp;EOMONTH($AA78,-1))</f>
        <v/>
      </c>
      <c r="AF78" s="1357" t="n"/>
      <c r="AG78" s="1358" t="n"/>
      <c r="AH78" s="1358" t="n"/>
      <c r="AI78" s="1358" t="n"/>
    </row>
    <row r="79">
      <c r="A79" s="544" t="n">
        <v>29319</v>
      </c>
      <c r="B79" s="637" t="n"/>
      <c r="C79" s="637" t="n"/>
      <c r="D79" s="637" t="n"/>
      <c r="E79" s="637" t="n"/>
      <c r="G79" s="1357">
        <f>EOMONTH(G78,3)</f>
        <v/>
      </c>
      <c r="H79" s="546">
        <f>AVERAGEIFS($B:$B,$A:$A,"&gt;"&amp;EOMONTH($G79,-3),$A:$A,"&lt;="&amp;EOMONTH($G79,0))</f>
        <v/>
      </c>
      <c r="I79" s="546">
        <f>J79-H79</f>
        <v/>
      </c>
      <c r="J79" s="546">
        <f>AVERAGEIFS($E:$E,$A:$A,"&gt;"&amp;EOMONTH($G79,-3),$A:$A,"&lt;="&amp;EOMONTH($G79,0))</f>
        <v/>
      </c>
      <c r="L79" s="1357">
        <f>EOMONTH(L78,6)</f>
        <v/>
      </c>
      <c r="M79" s="546">
        <f>AVERAGEIFS($B:$B,$A:$A,"&gt;"&amp;EOMONTH($L79,-6),$A:$A,"&lt;="&amp;EOMONTH($L79,0))</f>
        <v/>
      </c>
      <c r="N79" s="546">
        <f>O79-M79</f>
        <v/>
      </c>
      <c r="O79" s="546">
        <f>AVERAGEIFS($E:$E,$A:$A,"&gt;"&amp;EOMONTH($L79,-6),$A:$A,"&lt;="&amp;EOMONTH($L79,0))</f>
        <v/>
      </c>
      <c r="V79" s="1357">
        <f>EOMONTH(V78,3)</f>
        <v/>
      </c>
      <c r="W79" s="1358">
        <f>AVERAGEIFS(B:B,$A:$A,"&gt;"&amp;EOMONTH($V79,-4),$A:$A,"&lt;="&amp;EOMONTH($V79,-1))</f>
        <v/>
      </c>
      <c r="X79" s="1358">
        <f>Y79-W79</f>
        <v/>
      </c>
      <c r="Y79" s="1358">
        <f>AVERAGEIFS(E:E,$A:$A,"&gt;"&amp;EOMONTH($V79,-4),$A:$A,"&lt;="&amp;EOMONTH($V79,-1))</f>
        <v/>
      </c>
      <c r="AA79" s="1357">
        <f>EOMONTH(AA78,6)</f>
        <v/>
      </c>
      <c r="AB79" s="1358">
        <f>AVERAGEIFS($B:$B,$A:$A,"&gt;"&amp;EOMONTH($AA79,-7),$A:$A,"&lt;="&amp;EOMONTH($AA79,-1))</f>
        <v/>
      </c>
      <c r="AC79" s="1358">
        <f>AD79-AB79</f>
        <v/>
      </c>
      <c r="AD79" s="1358">
        <f>AVERAGEIFS($E:$E,$A:$A,"&gt;"&amp;EOMONTH($AA79,-7),$A:$A,"&lt;="&amp;EOMONTH($AA79,-1))</f>
        <v/>
      </c>
      <c r="AF79" s="1357" t="n"/>
      <c r="AG79" s="1358" t="n"/>
      <c r="AH79" s="1358" t="n"/>
      <c r="AI79" s="1358" t="n"/>
    </row>
    <row r="80">
      <c r="A80" s="544" t="n">
        <v>29320</v>
      </c>
      <c r="B80" s="637" t="n"/>
      <c r="C80" s="637" t="n"/>
      <c r="D80" s="637" t="n"/>
      <c r="E80" s="637" t="n"/>
      <c r="G80" s="1357">
        <f>EOMONTH(G79,3)</f>
        <v/>
      </c>
      <c r="H80" s="546">
        <f>AVERAGEIFS($B:$B,$A:$A,"&gt;"&amp;EOMONTH($G80,-3),$A:$A,"&lt;="&amp;EOMONTH($G80,0))</f>
        <v/>
      </c>
      <c r="I80" s="546">
        <f>J80-H80</f>
        <v/>
      </c>
      <c r="J80" s="546">
        <f>AVERAGEIFS($E:$E,$A:$A,"&gt;"&amp;EOMONTH($G80,-3),$A:$A,"&lt;="&amp;EOMONTH($G80,0))</f>
        <v/>
      </c>
      <c r="L80" s="1357">
        <f>EOMONTH(L79,6)</f>
        <v/>
      </c>
      <c r="M80" s="546">
        <f>AVERAGEIFS($B:$B,$A:$A,"&gt;"&amp;EOMONTH($L80,-6),$A:$A,"&lt;="&amp;EOMONTH($L80,0))</f>
        <v/>
      </c>
      <c r="N80" s="546">
        <f>O80-M80</f>
        <v/>
      </c>
      <c r="O80" s="546">
        <f>AVERAGEIFS($E:$E,$A:$A,"&gt;"&amp;EOMONTH($L80,-6),$A:$A,"&lt;="&amp;EOMONTH($L80,0))</f>
        <v/>
      </c>
      <c r="V80" s="1357">
        <f>EOMONTH(V79,3)</f>
        <v/>
      </c>
      <c r="W80" s="1358">
        <f>AVERAGEIFS(B:B,$A:$A,"&gt;"&amp;EOMONTH($V80,-4),$A:$A,"&lt;="&amp;EOMONTH($V80,-1))</f>
        <v/>
      </c>
      <c r="X80" s="1358">
        <f>Y80-W80</f>
        <v/>
      </c>
      <c r="Y80" s="1358">
        <f>AVERAGEIFS(E:E,$A:$A,"&gt;"&amp;EOMONTH($V80,-4),$A:$A,"&lt;="&amp;EOMONTH($V80,-1))</f>
        <v/>
      </c>
      <c r="AA80" s="1357">
        <f>EOMONTH(AA79,6)</f>
        <v/>
      </c>
      <c r="AB80" s="1358">
        <f>AVERAGEIFS($B:$B,$A:$A,"&gt;"&amp;EOMONTH($AA80,-7),$A:$A,"&lt;="&amp;EOMONTH($AA80,-1))</f>
        <v/>
      </c>
      <c r="AC80" s="1358">
        <f>AD80-AB80</f>
        <v/>
      </c>
      <c r="AD80" s="1358">
        <f>AVERAGEIFS($E:$E,$A:$A,"&gt;"&amp;EOMONTH($AA80,-7),$A:$A,"&lt;="&amp;EOMONTH($AA80,-1))</f>
        <v/>
      </c>
      <c r="AF80" s="1357" t="n"/>
      <c r="AG80" s="1358" t="n"/>
      <c r="AH80" s="1358" t="n"/>
      <c r="AI80" s="1358" t="n"/>
    </row>
    <row r="81">
      <c r="A81" s="544" t="n">
        <v>29321</v>
      </c>
      <c r="B81" s="637" t="n"/>
      <c r="C81" s="637" t="n"/>
      <c r="D81" s="637" t="n"/>
      <c r="E81" s="637" t="n"/>
      <c r="G81" s="1357">
        <f>EOMONTH(G80,3)</f>
        <v/>
      </c>
      <c r="H81" s="546">
        <f>AVERAGEIFS($B:$B,$A:$A,"&gt;"&amp;EOMONTH($G81,-3),$A:$A,"&lt;="&amp;EOMONTH($G81,0))</f>
        <v/>
      </c>
      <c r="I81" s="546">
        <f>J81-H81</f>
        <v/>
      </c>
      <c r="J81" s="546">
        <f>AVERAGEIFS($E:$E,$A:$A,"&gt;"&amp;EOMONTH($G81,-3),$A:$A,"&lt;="&amp;EOMONTH($G81,0))</f>
        <v/>
      </c>
      <c r="L81" s="1357">
        <f>EOMONTH(L80,6)</f>
        <v/>
      </c>
      <c r="M81" s="546">
        <f>AVERAGEIFS($B:$B,$A:$A,"&gt;"&amp;EOMONTH($L81,-6),$A:$A,"&lt;="&amp;EOMONTH($L81,0))</f>
        <v/>
      </c>
      <c r="N81" s="546">
        <f>O81-M81</f>
        <v/>
      </c>
      <c r="O81" s="546">
        <f>AVERAGEIFS($E:$E,$A:$A,"&gt;"&amp;EOMONTH($L81,-6),$A:$A,"&lt;="&amp;EOMONTH($L81,0))</f>
        <v/>
      </c>
      <c r="V81" s="1357">
        <f>EOMONTH(V80,3)</f>
        <v/>
      </c>
      <c r="W81" s="1358">
        <f>AVERAGEIFS(B:B,$A:$A,"&gt;"&amp;EOMONTH($V81,-4),$A:$A,"&lt;="&amp;EOMONTH($V81,-1))</f>
        <v/>
      </c>
      <c r="X81" s="1358">
        <f>Y81-W81</f>
        <v/>
      </c>
      <c r="Y81" s="1358">
        <f>AVERAGEIFS(E:E,$A:$A,"&gt;"&amp;EOMONTH($V81,-4),$A:$A,"&lt;="&amp;EOMONTH($V81,-1))</f>
        <v/>
      </c>
      <c r="AA81" s="1357">
        <f>EOMONTH(AA80,6)</f>
        <v/>
      </c>
      <c r="AB81" s="1358">
        <f>AVERAGEIFS($B:$B,$A:$A,"&gt;"&amp;EOMONTH($AA81,-7),$A:$A,"&lt;="&amp;EOMONTH($AA81,-1))</f>
        <v/>
      </c>
      <c r="AC81" s="1358">
        <f>AD81-AB81</f>
        <v/>
      </c>
      <c r="AD81" s="1358">
        <f>AVERAGEIFS($E:$E,$A:$A,"&gt;"&amp;EOMONTH($AA81,-7),$A:$A,"&lt;="&amp;EOMONTH($AA81,-1))</f>
        <v/>
      </c>
      <c r="AF81" s="1357" t="n"/>
      <c r="AG81" s="1358" t="n"/>
      <c r="AH81" s="1358" t="n"/>
      <c r="AI81" s="1358" t="n"/>
    </row>
    <row r="82">
      <c r="A82" s="544" t="n">
        <v>29322</v>
      </c>
      <c r="B82" s="637" t="n"/>
      <c r="C82" s="637" t="n"/>
      <c r="D82" s="637" t="n"/>
      <c r="E82" s="637" t="n"/>
      <c r="G82" s="1357">
        <f>EOMONTH(G81,3)</f>
        <v/>
      </c>
      <c r="H82" s="546">
        <f>AVERAGEIFS($B:$B,$A:$A,"&gt;"&amp;EOMONTH($G82,-3),$A:$A,"&lt;="&amp;EOMONTH($G82,0))</f>
        <v/>
      </c>
      <c r="I82" s="546">
        <f>J82-H82</f>
        <v/>
      </c>
      <c r="J82" s="546">
        <f>AVERAGEIFS($E:$E,$A:$A,"&gt;"&amp;EOMONTH($G82,-3),$A:$A,"&lt;="&amp;EOMONTH($G82,0))</f>
        <v/>
      </c>
      <c r="L82" s="1357">
        <f>EOMONTH(L81,6)</f>
        <v/>
      </c>
      <c r="M82" s="546">
        <f>AVERAGEIFS($B:$B,$A:$A,"&gt;"&amp;EOMONTH($L82,-6),$A:$A,"&lt;="&amp;EOMONTH($L82,0))</f>
        <v/>
      </c>
      <c r="N82" s="546">
        <f>O82-M82</f>
        <v/>
      </c>
      <c r="O82" s="546">
        <f>AVERAGEIFS($E:$E,$A:$A,"&gt;"&amp;EOMONTH($L82,-6),$A:$A,"&lt;="&amp;EOMONTH($L82,0))</f>
        <v/>
      </c>
      <c r="V82" s="1357">
        <f>EOMONTH(V81,3)</f>
        <v/>
      </c>
      <c r="W82" s="1358">
        <f>AVERAGEIFS(B:B,$A:$A,"&gt;"&amp;EOMONTH($V82,-4),$A:$A,"&lt;="&amp;EOMONTH($V82,-1))</f>
        <v/>
      </c>
      <c r="X82" s="1358">
        <f>Y82-W82</f>
        <v/>
      </c>
      <c r="Y82" s="1358">
        <f>AVERAGEIFS(E:E,$A:$A,"&gt;"&amp;EOMONTH($V82,-4),$A:$A,"&lt;="&amp;EOMONTH($V82,-1))</f>
        <v/>
      </c>
      <c r="AA82" s="1357">
        <f>EOMONTH(AA81,6)</f>
        <v/>
      </c>
      <c r="AB82" s="1358">
        <f>AVERAGEIFS($B:$B,$A:$A,"&gt;"&amp;EOMONTH($AA82,-7),$A:$A,"&lt;="&amp;EOMONTH($AA82,-1))</f>
        <v/>
      </c>
      <c r="AC82" s="1358">
        <f>AD82-AB82</f>
        <v/>
      </c>
      <c r="AD82" s="1358">
        <f>AVERAGEIFS($E:$E,$A:$A,"&gt;"&amp;EOMONTH($AA82,-7),$A:$A,"&lt;="&amp;EOMONTH($AA82,-1))</f>
        <v/>
      </c>
      <c r="AF82" s="1357" t="n"/>
      <c r="AG82" s="1358" t="n"/>
      <c r="AH82" s="1358" t="n"/>
      <c r="AI82" s="1358" t="n"/>
    </row>
    <row r="83">
      <c r="A83" s="544" t="n">
        <v>29325</v>
      </c>
      <c r="B83" s="637" t="n"/>
      <c r="C83" s="637" t="n"/>
      <c r="D83" s="637" t="n"/>
      <c r="E83" s="637" t="n"/>
      <c r="G83" s="1357">
        <f>EOMONTH(G82,3)</f>
        <v/>
      </c>
      <c r="H83" s="546">
        <f>AVERAGEIFS($B:$B,$A:$A,"&gt;"&amp;EOMONTH($G83,-3),$A:$A,"&lt;="&amp;EOMONTH($G83,0))</f>
        <v/>
      </c>
      <c r="I83" s="546">
        <f>J83-H83</f>
        <v/>
      </c>
      <c r="J83" s="546">
        <f>AVERAGEIFS($E:$E,$A:$A,"&gt;"&amp;EOMONTH($G83,-3),$A:$A,"&lt;="&amp;EOMONTH($G83,0))</f>
        <v/>
      </c>
      <c r="L83" s="1357">
        <f>EOMONTH(L82,6)</f>
        <v/>
      </c>
      <c r="M83" s="546">
        <f>AVERAGEIFS($B:$B,$A:$A,"&gt;"&amp;EOMONTH($L83,-6),$A:$A,"&lt;="&amp;EOMONTH($L83,0))</f>
        <v/>
      </c>
      <c r="N83" s="546">
        <f>O83-M83</f>
        <v/>
      </c>
      <c r="O83" s="546">
        <f>AVERAGEIFS($E:$E,$A:$A,"&gt;"&amp;EOMONTH($L83,-6),$A:$A,"&lt;="&amp;EOMONTH($L83,0))</f>
        <v/>
      </c>
      <c r="V83" s="1357">
        <f>EOMONTH(V82,3)</f>
        <v/>
      </c>
      <c r="W83" s="1358">
        <f>AVERAGEIFS(B:B,$A:$A,"&gt;"&amp;EOMONTH($V83,-4),$A:$A,"&lt;="&amp;EOMONTH($V83,-1))</f>
        <v/>
      </c>
      <c r="X83" s="1358">
        <f>Y83-W83</f>
        <v/>
      </c>
      <c r="Y83" s="1358">
        <f>AVERAGEIFS(E:E,$A:$A,"&gt;"&amp;EOMONTH($V83,-4),$A:$A,"&lt;="&amp;EOMONTH($V83,-1))</f>
        <v/>
      </c>
      <c r="AA83" s="1357">
        <f>EOMONTH(AA82,6)</f>
        <v/>
      </c>
      <c r="AB83" s="1358">
        <f>AVERAGEIFS($B:$B,$A:$A,"&gt;"&amp;EOMONTH($AA83,-7),$A:$A,"&lt;="&amp;EOMONTH($AA83,-1))</f>
        <v/>
      </c>
      <c r="AC83" s="1358">
        <f>AD83-AB83</f>
        <v/>
      </c>
      <c r="AD83" s="1358">
        <f>AVERAGEIFS($E:$E,$A:$A,"&gt;"&amp;EOMONTH($AA83,-7),$A:$A,"&lt;="&amp;EOMONTH($AA83,-1))</f>
        <v/>
      </c>
      <c r="AF83" s="1357" t="n"/>
      <c r="AG83" s="1358" t="n"/>
      <c r="AH83" s="1358" t="n"/>
      <c r="AI83" s="1358" t="n"/>
    </row>
    <row r="84">
      <c r="A84" s="544" t="n">
        <v>29326</v>
      </c>
      <c r="B84" s="637" t="n"/>
      <c r="C84" s="637" t="n"/>
      <c r="D84" s="637" t="n"/>
      <c r="E84" s="637" t="n"/>
      <c r="G84" s="1357">
        <f>EOMONTH(G83,3)</f>
        <v/>
      </c>
      <c r="H84" s="546">
        <f>AVERAGEIFS($B:$B,$A:$A,"&gt;"&amp;EOMONTH($G84,-3),$A:$A,"&lt;="&amp;EOMONTH($G84,0))</f>
        <v/>
      </c>
      <c r="I84" s="546">
        <f>J84-H84</f>
        <v/>
      </c>
      <c r="J84" s="546">
        <f>AVERAGEIFS($E:$E,$A:$A,"&gt;"&amp;EOMONTH($G84,-3),$A:$A,"&lt;="&amp;EOMONTH($G84,0))</f>
        <v/>
      </c>
      <c r="L84" s="1357">
        <f>EOMONTH(L83,6)</f>
        <v/>
      </c>
      <c r="M84" s="546">
        <f>AVERAGEIFS($B:$B,$A:$A,"&gt;"&amp;EOMONTH($L84,-6),$A:$A,"&lt;="&amp;EOMONTH($L84,0))</f>
        <v/>
      </c>
      <c r="N84" s="546">
        <f>O84-M84</f>
        <v/>
      </c>
      <c r="O84" s="546">
        <f>AVERAGEIFS($E:$E,$A:$A,"&gt;"&amp;EOMONTH($L84,-6),$A:$A,"&lt;="&amp;EOMONTH($L84,0))</f>
        <v/>
      </c>
      <c r="V84" s="1357">
        <f>EOMONTH(V83,3)</f>
        <v/>
      </c>
      <c r="W84" s="1358">
        <f>AVERAGEIFS(B:B,$A:$A,"&gt;"&amp;EOMONTH($V84,-4),$A:$A,"&lt;="&amp;EOMONTH($V84,-1))</f>
        <v/>
      </c>
      <c r="X84" s="1358">
        <f>Y84-W84</f>
        <v/>
      </c>
      <c r="Y84" s="1358">
        <f>AVERAGEIFS(E:E,$A:$A,"&gt;"&amp;EOMONTH($V84,-4),$A:$A,"&lt;="&amp;EOMONTH($V84,-1))</f>
        <v/>
      </c>
      <c r="AA84" s="1357">
        <f>EOMONTH(AA83,6)</f>
        <v/>
      </c>
      <c r="AB84" s="1358">
        <f>AVERAGEIFS($B:$B,$A:$A,"&gt;"&amp;EOMONTH($AA84,-7),$A:$A,"&lt;="&amp;EOMONTH($AA84,-1))</f>
        <v/>
      </c>
      <c r="AC84" s="1358">
        <f>AD84-AB84</f>
        <v/>
      </c>
      <c r="AD84" s="1358">
        <f>AVERAGEIFS($E:$E,$A:$A,"&gt;"&amp;EOMONTH($AA84,-7),$A:$A,"&lt;="&amp;EOMONTH($AA84,-1))</f>
        <v/>
      </c>
      <c r="AF84" s="1357" t="n"/>
      <c r="AG84" s="1358" t="n"/>
      <c r="AH84" s="1358" t="n"/>
      <c r="AI84" s="1358" t="n"/>
    </row>
    <row r="85">
      <c r="A85" s="544" t="n">
        <v>29327</v>
      </c>
      <c r="B85" s="637" t="n"/>
      <c r="C85" s="637" t="n"/>
      <c r="D85" s="637" t="n"/>
      <c r="E85" s="637" t="n"/>
      <c r="G85" s="1357">
        <f>EOMONTH(G84,3)</f>
        <v/>
      </c>
      <c r="H85" s="546">
        <f>AVERAGEIFS($B:$B,$A:$A,"&gt;"&amp;EOMONTH($G85,-3),$A:$A,"&lt;="&amp;EOMONTH($G85,0))</f>
        <v/>
      </c>
      <c r="I85" s="546">
        <f>J85-H85</f>
        <v/>
      </c>
      <c r="J85" s="546">
        <f>AVERAGEIFS($E:$E,$A:$A,"&gt;"&amp;EOMONTH($G85,-3),$A:$A,"&lt;="&amp;EOMONTH($G85,0))</f>
        <v/>
      </c>
      <c r="L85" s="1357">
        <f>EOMONTH(L84,6)</f>
        <v/>
      </c>
      <c r="M85" s="546">
        <f>AVERAGEIFS($B:$B,$A:$A,"&gt;"&amp;EOMONTH($L85,-6),$A:$A,"&lt;="&amp;EOMONTH($L85,0))</f>
        <v/>
      </c>
      <c r="N85" s="546">
        <f>O85-M85</f>
        <v/>
      </c>
      <c r="O85" s="546">
        <f>AVERAGEIFS($E:$E,$A:$A,"&gt;"&amp;EOMONTH($L85,-6),$A:$A,"&lt;="&amp;EOMONTH($L85,0))</f>
        <v/>
      </c>
      <c r="V85" s="1357">
        <f>EOMONTH(V84,3)</f>
        <v/>
      </c>
      <c r="W85" s="1358">
        <f>AVERAGEIFS(B:B,$A:$A,"&gt;"&amp;EOMONTH($V85,-4),$A:$A,"&lt;="&amp;EOMONTH($V85,-1))</f>
        <v/>
      </c>
      <c r="X85" s="1358">
        <f>Y85-W85</f>
        <v/>
      </c>
      <c r="Y85" s="1358">
        <f>AVERAGEIFS(E:E,$A:$A,"&gt;"&amp;EOMONTH($V85,-4),$A:$A,"&lt;="&amp;EOMONTH($V85,-1))</f>
        <v/>
      </c>
      <c r="AA85" s="1357">
        <f>EOMONTH(AA84,6)</f>
        <v/>
      </c>
      <c r="AB85" s="1358">
        <f>AVERAGEIFS($B:$B,$A:$A,"&gt;"&amp;EOMONTH($AA85,-7),$A:$A,"&lt;="&amp;EOMONTH($AA85,-1))</f>
        <v/>
      </c>
      <c r="AC85" s="1358">
        <f>AD85-AB85</f>
        <v/>
      </c>
      <c r="AD85" s="1358">
        <f>AVERAGEIFS($E:$E,$A:$A,"&gt;"&amp;EOMONTH($AA85,-7),$A:$A,"&lt;="&amp;EOMONTH($AA85,-1))</f>
        <v/>
      </c>
      <c r="AF85" s="1357" t="n"/>
      <c r="AG85" s="1358" t="n"/>
      <c r="AH85" s="1358" t="n"/>
      <c r="AI85" s="1358" t="n"/>
    </row>
    <row r="86">
      <c r="A86" s="544" t="n">
        <v>29328</v>
      </c>
      <c r="B86" s="637" t="n"/>
      <c r="C86" s="637" t="n"/>
      <c r="D86" s="637" t="n"/>
      <c r="E86" s="637" t="n"/>
      <c r="G86" s="1357">
        <f>EOMONTH(G85,3)</f>
        <v/>
      </c>
      <c r="H86" s="546">
        <f>AVERAGEIFS($B:$B,$A:$A,"&gt;"&amp;EOMONTH($G86,-3),$A:$A,"&lt;="&amp;EOMONTH($G86,0))</f>
        <v/>
      </c>
      <c r="I86" s="546">
        <f>J86-H86</f>
        <v/>
      </c>
      <c r="J86" s="546">
        <f>AVERAGEIFS($E:$E,$A:$A,"&gt;"&amp;EOMONTH($G86,-3),$A:$A,"&lt;="&amp;EOMONTH($G86,0))</f>
        <v/>
      </c>
      <c r="L86" s="1357">
        <f>EOMONTH(L85,6)</f>
        <v/>
      </c>
      <c r="M86" s="546">
        <f>AVERAGEIFS($B:$B,$A:$A,"&gt;"&amp;EOMONTH($L86,-6),$A:$A,"&lt;="&amp;EOMONTH($L86,0))</f>
        <v/>
      </c>
      <c r="N86" s="546">
        <f>O86-M86</f>
        <v/>
      </c>
      <c r="O86" s="546">
        <f>AVERAGEIFS($E:$E,$A:$A,"&gt;"&amp;EOMONTH($L86,-6),$A:$A,"&lt;="&amp;EOMONTH($L86,0))</f>
        <v/>
      </c>
      <c r="V86" s="1357">
        <f>EOMONTH(V85,3)</f>
        <v/>
      </c>
      <c r="W86" s="1358">
        <f>AVERAGEIFS(B:B,$A:$A,"&gt;"&amp;EOMONTH($V86,-4),$A:$A,"&lt;="&amp;EOMONTH($V86,-1))</f>
        <v/>
      </c>
      <c r="X86" s="1358">
        <f>Y86-W86</f>
        <v/>
      </c>
      <c r="Y86" s="1358">
        <f>AVERAGEIFS(E:E,$A:$A,"&gt;"&amp;EOMONTH($V86,-4),$A:$A,"&lt;="&amp;EOMONTH($V86,-1))</f>
        <v/>
      </c>
      <c r="AA86" s="1357">
        <f>EOMONTH(AA85,6)</f>
        <v/>
      </c>
      <c r="AB86" s="1358">
        <f>AVERAGEIFS($B:$B,$A:$A,"&gt;"&amp;EOMONTH($AA86,-7),$A:$A,"&lt;="&amp;EOMONTH($AA86,-1))</f>
        <v/>
      </c>
      <c r="AC86" s="1358">
        <f>AD86-AB86</f>
        <v/>
      </c>
      <c r="AD86" s="1358">
        <f>AVERAGEIFS($E:$E,$A:$A,"&gt;"&amp;EOMONTH($AA86,-7),$A:$A,"&lt;="&amp;EOMONTH($AA86,-1))</f>
        <v/>
      </c>
      <c r="AF86" s="1357" t="n"/>
      <c r="AG86" s="1358" t="n"/>
      <c r="AH86" s="1358" t="n"/>
      <c r="AI86" s="1358" t="n"/>
    </row>
    <row r="87">
      <c r="A87" s="544" t="n">
        <v>29329</v>
      </c>
      <c r="B87" s="637" t="n"/>
      <c r="C87" s="637" t="n"/>
      <c r="D87" s="637" t="n"/>
      <c r="E87" s="637" t="n"/>
      <c r="G87" s="1357">
        <f>EOMONTH(G86,3)</f>
        <v/>
      </c>
      <c r="H87" s="546">
        <f>AVERAGEIFS($B:$B,$A:$A,"&gt;"&amp;EOMONTH($G87,-3),$A:$A,"&lt;="&amp;EOMONTH($G87,0))</f>
        <v/>
      </c>
      <c r="I87" s="546">
        <f>J87-H87</f>
        <v/>
      </c>
      <c r="J87" s="546">
        <f>AVERAGEIFS($E:$E,$A:$A,"&gt;"&amp;EOMONTH($G87,-3),$A:$A,"&lt;="&amp;EOMONTH($G87,0))</f>
        <v/>
      </c>
      <c r="L87" s="1357">
        <f>EOMONTH(L86,6)</f>
        <v/>
      </c>
      <c r="M87" s="546">
        <f>AVERAGEIFS($B:$B,$A:$A,"&gt;"&amp;EOMONTH($L87,-6),$A:$A,"&lt;="&amp;EOMONTH($L87,0))</f>
        <v/>
      </c>
      <c r="N87" s="546">
        <f>O87-M87</f>
        <v/>
      </c>
      <c r="O87" s="546">
        <f>AVERAGEIFS($E:$E,$A:$A,"&gt;"&amp;EOMONTH($L87,-6),$A:$A,"&lt;="&amp;EOMONTH($L87,0))</f>
        <v/>
      </c>
      <c r="V87" s="1357">
        <f>EOMONTH(V86,3)</f>
        <v/>
      </c>
      <c r="W87" s="1358">
        <f>AVERAGEIFS(B:B,$A:$A,"&gt;"&amp;EOMONTH($V87,-4),$A:$A,"&lt;="&amp;EOMONTH($V87,-1))</f>
        <v/>
      </c>
      <c r="X87" s="1358">
        <f>Y87-W87</f>
        <v/>
      </c>
      <c r="Y87" s="1358">
        <f>AVERAGEIFS(E:E,$A:$A,"&gt;"&amp;EOMONTH($V87,-4),$A:$A,"&lt;="&amp;EOMONTH($V87,-1))</f>
        <v/>
      </c>
      <c r="AA87" s="1357">
        <f>EOMONTH(AA86,6)</f>
        <v/>
      </c>
      <c r="AB87" s="1358">
        <f>AVERAGEIFS($B:$B,$A:$A,"&gt;"&amp;EOMONTH($AA87,-7),$A:$A,"&lt;="&amp;EOMONTH($AA87,-1))</f>
        <v/>
      </c>
      <c r="AC87" s="1358">
        <f>AD87-AB87</f>
        <v/>
      </c>
      <c r="AD87" s="1358">
        <f>AVERAGEIFS($E:$E,$A:$A,"&gt;"&amp;EOMONTH($AA87,-7),$A:$A,"&lt;="&amp;EOMONTH($AA87,-1))</f>
        <v/>
      </c>
      <c r="AF87" s="866" t="n"/>
      <c r="AG87" s="1358" t="n"/>
      <c r="AH87" s="1358" t="n"/>
      <c r="AI87" s="1358" t="n"/>
    </row>
    <row r="88">
      <c r="A88" s="544" t="n">
        <v>29332</v>
      </c>
      <c r="B88" s="637" t="n"/>
      <c r="C88" s="637" t="n"/>
      <c r="D88" s="637" t="n"/>
      <c r="E88" s="637" t="n"/>
      <c r="G88" s="1357">
        <f>EOMONTH(G87,3)</f>
        <v/>
      </c>
      <c r="H88" s="546">
        <f>AVERAGEIFS($B:$B,$A:$A,"&gt;"&amp;EOMONTH($G88,-3),$A:$A,"&lt;="&amp;EOMONTH($G88,0))</f>
        <v/>
      </c>
      <c r="I88" s="546">
        <f>J88-H88</f>
        <v/>
      </c>
      <c r="J88" s="546">
        <f>AVERAGEIFS($E:$E,$A:$A,"&gt;"&amp;EOMONTH($G88,-3),$A:$A,"&lt;="&amp;EOMONTH($G88,0))</f>
        <v/>
      </c>
      <c r="L88" s="1357">
        <f>EOMONTH(L87,6)</f>
        <v/>
      </c>
      <c r="M88" s="546">
        <f>AVERAGEIFS($B:$B,$A:$A,"&gt;"&amp;EOMONTH($L88,-6),$A:$A,"&lt;="&amp;EOMONTH($L88,0))</f>
        <v/>
      </c>
      <c r="N88" s="546">
        <f>O88-M88</f>
        <v/>
      </c>
      <c r="O88" s="546">
        <f>AVERAGEIFS($E:$E,$A:$A,"&gt;"&amp;EOMONTH($L88,-6),$A:$A,"&lt;="&amp;EOMONTH($L88,0))</f>
        <v/>
      </c>
      <c r="V88" s="1357">
        <f>EOMONTH(V87,3)</f>
        <v/>
      </c>
      <c r="W88" s="1358">
        <f>AVERAGEIFS(B:B,$A:$A,"&gt;"&amp;EOMONTH($V88,-4),$A:$A,"&lt;="&amp;EOMONTH($V88,-1))</f>
        <v/>
      </c>
      <c r="X88" s="1358">
        <f>Y88-W88</f>
        <v/>
      </c>
      <c r="Y88" s="1358">
        <f>AVERAGEIFS(E:E,$A:$A,"&gt;"&amp;EOMONTH($V88,-4),$A:$A,"&lt;="&amp;EOMONTH($V88,-1))</f>
        <v/>
      </c>
      <c r="AA88" s="1357">
        <f>EOMONTH(AA87,6)</f>
        <v/>
      </c>
      <c r="AB88" s="1358">
        <f>AVERAGEIFS($B:$B,$A:$A,"&gt;"&amp;EOMONTH($AA88,-7),$A:$A,"&lt;="&amp;EOMONTH($AA88,-1))</f>
        <v/>
      </c>
      <c r="AC88" s="1358">
        <f>AD88-AB88</f>
        <v/>
      </c>
      <c r="AD88" s="1358">
        <f>AVERAGEIFS($E:$E,$A:$A,"&gt;"&amp;EOMONTH($AA88,-7),$A:$A,"&lt;="&amp;EOMONTH($AA88,-1))</f>
        <v/>
      </c>
      <c r="AF88" s="1357" t="n"/>
      <c r="AG88" s="1358" t="n"/>
      <c r="AH88" s="1358" t="n"/>
      <c r="AI88" s="1358" t="n"/>
    </row>
    <row r="89">
      <c r="A89" s="544" t="n">
        <v>29333</v>
      </c>
      <c r="B89" s="637" t="n"/>
      <c r="C89" s="637" t="n"/>
      <c r="D89" s="637" t="n"/>
      <c r="E89" s="637" t="n"/>
      <c r="G89" s="1357">
        <f>EOMONTH(G88,3)</f>
        <v/>
      </c>
      <c r="H89" s="546">
        <f>AVERAGEIFS($B:$B,$A:$A,"&gt;"&amp;EOMONTH($G89,-3),$A:$A,"&lt;="&amp;EOMONTH($G89,0))</f>
        <v/>
      </c>
      <c r="I89" s="546">
        <f>J89-H89</f>
        <v/>
      </c>
      <c r="J89" s="546">
        <f>AVERAGEIFS($E:$E,$A:$A,"&gt;"&amp;EOMONTH($G89,-3),$A:$A,"&lt;="&amp;EOMONTH($G89,0))</f>
        <v/>
      </c>
      <c r="V89" s="1357">
        <f>EOMONTH(V88,3)</f>
        <v/>
      </c>
      <c r="W89" s="1358">
        <f>AVERAGEIFS(B:B,$A:$A,"&gt;"&amp;EOMONTH($V89,-4),$A:$A,"&lt;="&amp;EOMONTH($V89,-1))</f>
        <v/>
      </c>
      <c r="X89" s="1358">
        <f>Y89-W89</f>
        <v/>
      </c>
      <c r="Y89" s="1358">
        <f>AVERAGEIFS(E:E,$A:$A,"&gt;"&amp;EOMONTH($V89,-4),$A:$A,"&lt;="&amp;EOMONTH($V89,-1))</f>
        <v/>
      </c>
      <c r="AA89" s="1357" t="n"/>
      <c r="AB89" s="1358" t="n"/>
      <c r="AC89" s="1358" t="n"/>
      <c r="AD89" s="865" t="n"/>
      <c r="AF89" s="1357" t="n"/>
      <c r="AG89" s="1358" t="n"/>
      <c r="AH89" s="1358" t="n"/>
      <c r="AI89" s="1358" t="n"/>
    </row>
    <row r="90">
      <c r="A90" s="544" t="n">
        <v>29334</v>
      </c>
      <c r="B90" s="637" t="n"/>
      <c r="C90" s="637" t="n"/>
      <c r="D90" s="637" t="n"/>
      <c r="E90" s="637" t="n"/>
      <c r="G90" s="1357">
        <f>EOMONTH(G89,3)</f>
        <v/>
      </c>
      <c r="H90" s="546">
        <f>AVERAGEIFS($B:$B,$A:$A,"&gt;"&amp;EOMONTH($G90,-3),$A:$A,"&lt;="&amp;EOMONTH($G90,0))</f>
        <v/>
      </c>
      <c r="I90" s="546">
        <f>J90-H90</f>
        <v/>
      </c>
      <c r="J90" s="546">
        <f>AVERAGEIFS($E:$E,$A:$A,"&gt;"&amp;EOMONTH($G90,-3),$A:$A,"&lt;="&amp;EOMONTH($G90,0))</f>
        <v/>
      </c>
      <c r="V90" s="1357">
        <f>EOMONTH(V89,3)</f>
        <v/>
      </c>
      <c r="W90" s="1358">
        <f>AVERAGEIFS(B:B,$A:$A,"&gt;"&amp;EOMONTH($V90,-4),$A:$A,"&lt;="&amp;EOMONTH($V90,-1))</f>
        <v/>
      </c>
      <c r="X90" s="1358">
        <f>Y90-W90</f>
        <v/>
      </c>
      <c r="Y90" s="1358">
        <f>AVERAGEIFS(E:E,$A:$A,"&gt;"&amp;EOMONTH($V90,-4),$A:$A,"&lt;="&amp;EOMONTH($V90,-1))</f>
        <v/>
      </c>
      <c r="AA90" s="1357" t="n"/>
      <c r="AB90" s="1358" t="n"/>
      <c r="AC90" s="1358" t="n"/>
      <c r="AD90" s="1358" t="n"/>
      <c r="AF90" s="1357" t="n"/>
      <c r="AG90" s="1358" t="n"/>
      <c r="AH90" s="1358" t="n"/>
      <c r="AI90" s="1358" t="n"/>
    </row>
    <row r="91">
      <c r="A91" s="544" t="n">
        <v>29335</v>
      </c>
      <c r="B91" s="637" t="n"/>
      <c r="C91" s="637" t="n"/>
      <c r="D91" s="637" t="n"/>
      <c r="E91" s="637" t="n"/>
      <c r="G91" s="1357">
        <f>EOMONTH(G90,3)</f>
        <v/>
      </c>
      <c r="H91" s="546">
        <f>AVERAGEIFS($B:$B,$A:$A,"&gt;"&amp;EOMONTH($G91,-3),$A:$A,"&lt;="&amp;EOMONTH($G91,0))</f>
        <v/>
      </c>
      <c r="I91" s="546">
        <f>J91-H91</f>
        <v/>
      </c>
      <c r="J91" s="546">
        <f>AVERAGEIFS($E:$E,$A:$A,"&gt;"&amp;EOMONTH($G91,-3),$A:$A,"&lt;="&amp;EOMONTH($G91,0))</f>
        <v/>
      </c>
      <c r="V91" s="1357">
        <f>EOMONTH(V90,3)</f>
        <v/>
      </c>
      <c r="W91" s="1358">
        <f>AVERAGEIFS(B:B,$A:$A,"&gt;"&amp;EOMONTH($V91,-4),$A:$A,"&lt;="&amp;EOMONTH($V91,-1))</f>
        <v/>
      </c>
      <c r="X91" s="1358">
        <f>Y91-W91</f>
        <v/>
      </c>
      <c r="Y91" s="1358">
        <f>AVERAGEIFS(E:E,$A:$A,"&gt;"&amp;EOMONTH($V91,-4),$A:$A,"&lt;="&amp;EOMONTH($V91,-1))</f>
        <v/>
      </c>
      <c r="AA91" s="1357" t="n"/>
      <c r="AB91" s="1358" t="n"/>
      <c r="AC91" s="1358" t="n"/>
      <c r="AD91" s="1358" t="n"/>
      <c r="AF91" s="1357" t="n"/>
      <c r="AG91" s="1358" t="n"/>
      <c r="AH91" s="1358" t="n"/>
      <c r="AI91" s="1358" t="n"/>
    </row>
    <row r="92">
      <c r="A92" s="544" t="n">
        <v>29336</v>
      </c>
      <c r="B92" s="637" t="n"/>
      <c r="C92" s="637" t="n"/>
      <c r="D92" s="637" t="n"/>
      <c r="E92" s="637" t="n"/>
      <c r="G92" s="1357">
        <f>EOMONTH(G91,3)</f>
        <v/>
      </c>
      <c r="H92" s="546">
        <f>AVERAGEIFS($B:$B,$A:$A,"&gt;"&amp;EOMONTH($G92,-3),$A:$A,"&lt;="&amp;EOMONTH($G92,0))</f>
        <v/>
      </c>
      <c r="I92" s="546">
        <f>J92-H92</f>
        <v/>
      </c>
      <c r="J92" s="546">
        <f>AVERAGEIFS($E:$E,$A:$A,"&gt;"&amp;EOMONTH($G92,-3),$A:$A,"&lt;="&amp;EOMONTH($G92,0))</f>
        <v/>
      </c>
      <c r="V92" s="1357">
        <f>EOMONTH(V91,3)</f>
        <v/>
      </c>
      <c r="W92" s="1358">
        <f>AVERAGEIFS(B:B,$A:$A,"&gt;"&amp;EOMONTH($V92,-4),$A:$A,"&lt;="&amp;EOMONTH($V92,-1))</f>
        <v/>
      </c>
      <c r="X92" s="1358">
        <f>Y92-W92</f>
        <v/>
      </c>
      <c r="Y92" s="1358">
        <f>AVERAGEIFS(E:E,$A:$A,"&gt;"&amp;EOMONTH($V92,-4),$A:$A,"&lt;="&amp;EOMONTH($V92,-1))</f>
        <v/>
      </c>
      <c r="AA92" s="1357" t="n"/>
      <c r="AB92" s="1358" t="n"/>
      <c r="AC92" s="1358" t="n"/>
      <c r="AD92" s="1358" t="n"/>
      <c r="AF92" s="1357" t="n"/>
      <c r="AG92" s="1358" t="n"/>
      <c r="AH92" s="1358" t="n"/>
      <c r="AI92" s="1358" t="n"/>
    </row>
    <row r="93">
      <c r="A93" s="544" t="n">
        <v>29339</v>
      </c>
      <c r="B93" s="637" t="n"/>
      <c r="C93" s="637" t="n"/>
      <c r="D93" s="637" t="n"/>
      <c r="E93" s="637" t="n"/>
      <c r="G93" s="1357">
        <f>EOMONTH(G92,3)</f>
        <v/>
      </c>
      <c r="H93" s="546">
        <f>AVERAGEIFS($B:$B,$A:$A,"&gt;"&amp;EOMONTH($G93,-3),$A:$A,"&lt;="&amp;EOMONTH($G93,0))</f>
        <v/>
      </c>
      <c r="I93" s="546">
        <f>J93-H93</f>
        <v/>
      </c>
      <c r="J93" s="546">
        <f>AVERAGEIFS($E:$E,$A:$A,"&gt;"&amp;EOMONTH($G93,-3),$A:$A,"&lt;="&amp;EOMONTH($G93,0))</f>
        <v/>
      </c>
      <c r="V93" s="1357">
        <f>EOMONTH(V92,3)</f>
        <v/>
      </c>
      <c r="W93" s="1358">
        <f>AVERAGEIFS(B:B,$A:$A,"&gt;"&amp;EOMONTH($V93,-4),$A:$A,"&lt;="&amp;EOMONTH($V93,-1))</f>
        <v/>
      </c>
      <c r="X93" s="1358">
        <f>Y93-W93</f>
        <v/>
      </c>
      <c r="Y93" s="1358">
        <f>AVERAGEIFS(E:E,$A:$A,"&gt;"&amp;EOMONTH($V93,-4),$A:$A,"&lt;="&amp;EOMONTH($V93,-1))</f>
        <v/>
      </c>
      <c r="AA93" s="1357" t="n"/>
      <c r="AB93" s="1358" t="n"/>
      <c r="AC93" s="1358" t="n"/>
      <c r="AD93" s="1358" t="n"/>
      <c r="AF93" s="1357" t="n"/>
      <c r="AG93" s="1358" t="n"/>
      <c r="AH93" s="1358" t="n"/>
      <c r="AI93" s="1358" t="n"/>
    </row>
    <row r="94">
      <c r="A94" s="544" t="n">
        <v>29340</v>
      </c>
      <c r="B94" s="637" t="n"/>
      <c r="C94" s="637" t="n"/>
      <c r="D94" s="637" t="n"/>
      <c r="E94" s="637" t="n"/>
      <c r="G94" s="1357">
        <f>EOMONTH(G93,3)</f>
        <v/>
      </c>
      <c r="H94" s="546">
        <f>AVERAGEIFS($B:$B,$A:$A,"&gt;"&amp;EOMONTH($G94,-3),$A:$A,"&lt;="&amp;EOMONTH($G94,0))</f>
        <v/>
      </c>
      <c r="I94" s="546">
        <f>J94-H94</f>
        <v/>
      </c>
      <c r="J94" s="546">
        <f>AVERAGEIFS($E:$E,$A:$A,"&gt;"&amp;EOMONTH($G94,-3),$A:$A,"&lt;="&amp;EOMONTH($G94,0))</f>
        <v/>
      </c>
      <c r="V94" s="1357">
        <f>EOMONTH(V93,3)</f>
        <v/>
      </c>
      <c r="W94" s="1358">
        <f>AVERAGEIFS(B:B,$A:$A,"&gt;"&amp;EOMONTH($V94,-4),$A:$A,"&lt;="&amp;EOMONTH($V94,-1))</f>
        <v/>
      </c>
      <c r="X94" s="1358">
        <f>Y94-W94</f>
        <v/>
      </c>
      <c r="Y94" s="1358">
        <f>AVERAGEIFS(E:E,$A:$A,"&gt;"&amp;EOMONTH($V94,-4),$A:$A,"&lt;="&amp;EOMONTH($V94,-1))</f>
        <v/>
      </c>
      <c r="AA94" s="1357" t="n"/>
      <c r="AB94" s="1358" t="n"/>
      <c r="AC94" s="1358" t="n"/>
      <c r="AD94" s="1358" t="n"/>
      <c r="AF94" s="1357" t="n"/>
      <c r="AG94" s="1358" t="n"/>
      <c r="AH94" s="1358" t="n"/>
      <c r="AI94" s="1358" t="n"/>
    </row>
    <row r="95">
      <c r="A95" s="544" t="n">
        <v>29341</v>
      </c>
      <c r="B95" s="637" t="n"/>
      <c r="C95" s="637" t="n"/>
      <c r="D95" s="637" t="n"/>
      <c r="E95" s="637" t="n"/>
      <c r="G95" s="1357">
        <f>EOMONTH(G94,3)</f>
        <v/>
      </c>
      <c r="H95" s="546">
        <f>AVERAGEIFS($B:$B,$A:$A,"&gt;"&amp;EOMONTH($G95,-3),$A:$A,"&lt;="&amp;EOMONTH($G95,0))</f>
        <v/>
      </c>
      <c r="I95" s="546">
        <f>J95-H95</f>
        <v/>
      </c>
      <c r="J95" s="546">
        <f>AVERAGEIFS($E:$E,$A:$A,"&gt;"&amp;EOMONTH($G95,-3),$A:$A,"&lt;="&amp;EOMONTH($G95,0))</f>
        <v/>
      </c>
      <c r="V95" s="1357">
        <f>EOMONTH(V94,3)</f>
        <v/>
      </c>
      <c r="W95" s="1358">
        <f>AVERAGEIFS(B:B,$A:$A,"&gt;"&amp;EOMONTH($V95,-4),$A:$A,"&lt;="&amp;EOMONTH($V95,-1))</f>
        <v/>
      </c>
      <c r="X95" s="1358">
        <f>Y95-W95</f>
        <v/>
      </c>
      <c r="Y95" s="1358">
        <f>AVERAGEIFS(E:E,$A:$A,"&gt;"&amp;EOMONTH($V95,-4),$A:$A,"&lt;="&amp;EOMONTH($V95,-1))</f>
        <v/>
      </c>
      <c r="AA95" s="1357" t="n"/>
      <c r="AB95" s="1358" t="n"/>
      <c r="AC95" s="1358" t="n"/>
      <c r="AD95" s="1358" t="n"/>
      <c r="AF95" s="1357" t="n"/>
      <c r="AG95" s="1358" t="n"/>
      <c r="AH95" s="1358" t="n"/>
      <c r="AI95" s="1358" t="n"/>
    </row>
    <row r="96">
      <c r="A96" s="544" t="n">
        <v>29342</v>
      </c>
      <c r="B96" s="637" t="n"/>
      <c r="C96" s="637" t="n"/>
      <c r="D96" s="637" t="n"/>
      <c r="E96" s="637" t="n"/>
      <c r="G96" s="1357">
        <f>EOMONTH(G95,3)</f>
        <v/>
      </c>
      <c r="H96" s="546">
        <f>AVERAGEIFS($B:$B,$A:$A,"&gt;"&amp;EOMONTH($G96,-3),$A:$A,"&lt;="&amp;EOMONTH($G96,0))</f>
        <v/>
      </c>
      <c r="I96" s="546">
        <f>J96-H96</f>
        <v/>
      </c>
      <c r="J96" s="546">
        <f>AVERAGEIFS($E:$E,$A:$A,"&gt;"&amp;EOMONTH($G96,-3),$A:$A,"&lt;="&amp;EOMONTH($G96,0))</f>
        <v/>
      </c>
      <c r="V96" s="1357">
        <f>EOMONTH(V95,3)</f>
        <v/>
      </c>
      <c r="W96" s="1358">
        <f>AVERAGEIFS(B:B,$A:$A,"&gt;"&amp;EOMONTH($V96,-4),$A:$A,"&lt;="&amp;EOMONTH($V96,-1))</f>
        <v/>
      </c>
      <c r="X96" s="1358">
        <f>Y96-W96</f>
        <v/>
      </c>
      <c r="Y96" s="1358">
        <f>AVERAGEIFS(E:E,$A:$A,"&gt;"&amp;EOMONTH($V96,-4),$A:$A,"&lt;="&amp;EOMONTH($V96,-1))</f>
        <v/>
      </c>
      <c r="AA96" s="1357" t="n"/>
      <c r="AB96" s="1358" t="n"/>
      <c r="AC96" s="1358" t="n"/>
      <c r="AD96" s="1358" t="n"/>
      <c r="AF96" s="1357" t="n"/>
      <c r="AG96" s="1358" t="n"/>
      <c r="AH96" s="1358" t="n"/>
      <c r="AI96" s="1358" t="n"/>
    </row>
    <row r="97">
      <c r="A97" s="544" t="n">
        <v>29343</v>
      </c>
      <c r="B97" s="637" t="n"/>
      <c r="C97" s="637" t="n"/>
      <c r="D97" s="637" t="n"/>
      <c r="E97" s="637" t="n"/>
      <c r="G97" s="1357">
        <f>EOMONTH(G96,3)</f>
        <v/>
      </c>
      <c r="H97" s="546">
        <f>AVERAGEIFS($B:$B,$A:$A,"&gt;"&amp;EOMONTH($G97,-3),$A:$A,"&lt;="&amp;EOMONTH($G97,0))</f>
        <v/>
      </c>
      <c r="I97" s="546">
        <f>J97-H97</f>
        <v/>
      </c>
      <c r="J97" s="546">
        <f>AVERAGEIFS($E:$E,$A:$A,"&gt;"&amp;EOMONTH($G97,-3),$A:$A,"&lt;="&amp;EOMONTH($G97,0))</f>
        <v/>
      </c>
      <c r="V97" s="1357">
        <f>EOMONTH(V96,3)</f>
        <v/>
      </c>
      <c r="W97" s="1358">
        <f>AVERAGEIFS(B:B,$A:$A,"&gt;"&amp;EOMONTH($V97,-4),$A:$A,"&lt;="&amp;EOMONTH($V97,-1))</f>
        <v/>
      </c>
      <c r="X97" s="1358">
        <f>Y97-W97</f>
        <v/>
      </c>
      <c r="Y97" s="1358">
        <f>AVERAGEIFS(E:E,$A:$A,"&gt;"&amp;EOMONTH($V97,-4),$A:$A,"&lt;="&amp;EOMONTH($V97,-1))</f>
        <v/>
      </c>
      <c r="AA97" s="1357" t="n"/>
      <c r="AB97" s="1358" t="n"/>
      <c r="AC97" s="1358" t="n"/>
      <c r="AD97" s="1358" t="n"/>
      <c r="AF97" s="1357" t="n"/>
      <c r="AG97" s="1358" t="n"/>
      <c r="AH97" s="1358" t="n"/>
      <c r="AI97" s="1358" t="n"/>
    </row>
    <row r="98">
      <c r="A98" s="544" t="n">
        <v>29346</v>
      </c>
      <c r="B98" s="637" t="n"/>
      <c r="C98" s="637" t="n"/>
      <c r="D98" s="637" t="n"/>
      <c r="E98" s="637" t="n"/>
      <c r="G98" s="1357">
        <f>EOMONTH(G97,3)</f>
        <v/>
      </c>
      <c r="H98" s="546">
        <f>AVERAGEIFS($B:$B,$A:$A,"&gt;"&amp;EOMONTH($G98,-3),$A:$A,"&lt;="&amp;EOMONTH($G98,0))</f>
        <v/>
      </c>
      <c r="I98" s="546">
        <f>J98-H98</f>
        <v/>
      </c>
      <c r="J98" s="546">
        <f>AVERAGEIFS($E:$E,$A:$A,"&gt;"&amp;EOMONTH($G98,-3),$A:$A,"&lt;="&amp;EOMONTH($G98,0))</f>
        <v/>
      </c>
      <c r="V98" s="1357">
        <f>EOMONTH(V97,3)</f>
        <v/>
      </c>
      <c r="W98" s="1358">
        <f>AVERAGEIFS(B:B,$A:$A,"&gt;"&amp;EOMONTH($V98,-4),$A:$A,"&lt;="&amp;EOMONTH($V98,-1))</f>
        <v/>
      </c>
      <c r="X98" s="1358">
        <f>Y98-W98</f>
        <v/>
      </c>
      <c r="Y98" s="1358">
        <f>AVERAGEIFS(E:E,$A:$A,"&gt;"&amp;EOMONTH($V98,-4),$A:$A,"&lt;="&amp;EOMONTH($V98,-1))</f>
        <v/>
      </c>
      <c r="AA98" s="1357" t="n"/>
      <c r="AB98" s="1358" t="n"/>
      <c r="AC98" s="1358" t="n"/>
      <c r="AD98" s="1358" t="n"/>
      <c r="AF98" s="1357" t="n"/>
      <c r="AG98" s="1358" t="n"/>
      <c r="AH98" s="1358" t="n"/>
      <c r="AI98" s="1358" t="n"/>
    </row>
    <row r="99">
      <c r="A99" s="544" t="n">
        <v>29347</v>
      </c>
      <c r="B99" s="637" t="n"/>
      <c r="C99" s="637" t="n"/>
      <c r="D99" s="637" t="n"/>
      <c r="E99" s="637" t="n"/>
      <c r="G99" s="1357">
        <f>EOMONTH(G98,3)</f>
        <v/>
      </c>
      <c r="H99" s="546">
        <f>AVERAGEIFS($B:$B,$A:$A,"&gt;"&amp;EOMONTH($G99,-3),$A:$A,"&lt;="&amp;EOMONTH($G99,0))</f>
        <v/>
      </c>
      <c r="I99" s="546">
        <f>J99-H99</f>
        <v/>
      </c>
      <c r="J99" s="546">
        <f>AVERAGEIFS($E:$E,$A:$A,"&gt;"&amp;EOMONTH($G99,-3),$A:$A,"&lt;="&amp;EOMONTH($G99,0))</f>
        <v/>
      </c>
      <c r="V99" s="1357">
        <f>EOMONTH(V98,3)</f>
        <v/>
      </c>
      <c r="W99" s="1358">
        <f>AVERAGEIFS(B:B,$A:$A,"&gt;"&amp;EOMONTH($V99,-4),$A:$A,"&lt;="&amp;EOMONTH($V99,-1))</f>
        <v/>
      </c>
      <c r="X99" s="1358">
        <f>Y99-W99</f>
        <v/>
      </c>
      <c r="Y99" s="1358">
        <f>AVERAGEIFS(E:E,$A:$A,"&gt;"&amp;EOMONTH($V99,-4),$A:$A,"&lt;="&amp;EOMONTH($V99,-1))</f>
        <v/>
      </c>
      <c r="AA99" s="1357" t="n"/>
      <c r="AF99" s="1357" t="n"/>
      <c r="AG99" s="1358" t="n"/>
      <c r="AH99" s="1358" t="n"/>
      <c r="AI99" s="1358" t="n"/>
    </row>
    <row r="100">
      <c r="A100" s="544" t="n">
        <v>29348</v>
      </c>
      <c r="B100" s="637" t="n"/>
      <c r="C100" s="637" t="n"/>
      <c r="D100" s="637" t="n"/>
      <c r="E100" s="637" t="n"/>
      <c r="G100" s="1357">
        <f>EOMONTH(G99,3)</f>
        <v/>
      </c>
      <c r="H100" s="546">
        <f>AVERAGEIFS($B:$B,$A:$A,"&gt;"&amp;EOMONTH($G100,-3),$A:$A,"&lt;="&amp;EOMONTH($G100,0))</f>
        <v/>
      </c>
      <c r="I100" s="546">
        <f>J100-H100</f>
        <v/>
      </c>
      <c r="J100" s="546">
        <f>AVERAGEIFS($E:$E,$A:$A,"&gt;"&amp;EOMONTH($G100,-3),$A:$A,"&lt;="&amp;EOMONTH($G100,0))</f>
        <v/>
      </c>
      <c r="V100" s="1357">
        <f>EOMONTH(V99,3)</f>
        <v/>
      </c>
      <c r="W100" s="1358">
        <f>AVERAGEIFS(B:B,$A:$A,"&gt;"&amp;EOMONTH($V100,-4),$A:$A,"&lt;="&amp;EOMONTH($V100,-1))</f>
        <v/>
      </c>
      <c r="X100" s="1358">
        <f>Y100-W100</f>
        <v/>
      </c>
      <c r="Y100" s="1358">
        <f>AVERAGEIFS(E:E,$A:$A,"&gt;"&amp;EOMONTH($V100,-4),$A:$A,"&lt;="&amp;EOMONTH($V100,-1))</f>
        <v/>
      </c>
      <c r="AA100" s="1357" t="n"/>
      <c r="AF100" s="1357" t="n"/>
      <c r="AG100" s="1358" t="n"/>
      <c r="AH100" s="1358" t="n"/>
      <c r="AI100" s="1358" t="n"/>
    </row>
    <row r="101">
      <c r="A101" s="544" t="n">
        <v>29349</v>
      </c>
      <c r="B101" s="637" t="n"/>
      <c r="C101" s="637" t="n"/>
      <c r="D101" s="637" t="n"/>
      <c r="E101" s="637" t="n"/>
      <c r="G101" s="1357">
        <f>EOMONTH(G100,3)</f>
        <v/>
      </c>
      <c r="H101" s="546">
        <f>AVERAGEIFS($B:$B,$A:$A,"&gt;"&amp;EOMONTH($G101,-3),$A:$A,"&lt;="&amp;EOMONTH($G101,0))</f>
        <v/>
      </c>
      <c r="I101" s="546">
        <f>J101-H101</f>
        <v/>
      </c>
      <c r="J101" s="546">
        <f>AVERAGEIFS($E:$E,$A:$A,"&gt;"&amp;EOMONTH($G101,-3),$A:$A,"&lt;="&amp;EOMONTH($G101,0))</f>
        <v/>
      </c>
      <c r="V101" s="1357">
        <f>EOMONTH(V100,3)</f>
        <v/>
      </c>
      <c r="W101" s="1358">
        <f>AVERAGEIFS(B:B,$A:$A,"&gt;"&amp;EOMONTH($V101,-4),$A:$A,"&lt;="&amp;EOMONTH($V101,-1))</f>
        <v/>
      </c>
      <c r="X101" s="1358">
        <f>Y101-W101</f>
        <v/>
      </c>
      <c r="Y101" s="1358">
        <f>AVERAGEIFS(E:E,$A:$A,"&gt;"&amp;EOMONTH($V101,-4),$A:$A,"&lt;="&amp;EOMONTH($V101,-1))</f>
        <v/>
      </c>
      <c r="AA101" s="1357" t="n"/>
      <c r="AF101" s="1357" t="n"/>
      <c r="AG101" s="1358" t="n"/>
      <c r="AH101" s="1358" t="n"/>
      <c r="AI101" s="1358" t="n"/>
    </row>
    <row r="102">
      <c r="A102" s="544" t="n">
        <v>29350</v>
      </c>
      <c r="B102" s="637" t="n"/>
      <c r="C102" s="637" t="n"/>
      <c r="D102" s="637" t="n"/>
      <c r="E102" s="637" t="n"/>
      <c r="G102" s="1357">
        <f>EOMONTH(G101,3)</f>
        <v/>
      </c>
      <c r="H102" s="546">
        <f>AVERAGEIFS($B:$B,$A:$A,"&gt;"&amp;EOMONTH($G102,-3),$A:$A,"&lt;="&amp;EOMONTH($G102,0))</f>
        <v/>
      </c>
      <c r="I102" s="546">
        <f>J102-H102</f>
        <v/>
      </c>
      <c r="J102" s="546">
        <f>AVERAGEIFS($E:$E,$A:$A,"&gt;"&amp;EOMONTH($G102,-3),$A:$A,"&lt;="&amp;EOMONTH($G102,0))</f>
        <v/>
      </c>
      <c r="V102" s="1357">
        <f>EOMONTH(V101,3)</f>
        <v/>
      </c>
      <c r="W102" s="1358">
        <f>AVERAGEIFS(B:B,$A:$A,"&gt;"&amp;EOMONTH($V102,-4),$A:$A,"&lt;="&amp;EOMONTH($V102,-1))</f>
        <v/>
      </c>
      <c r="X102" s="1358">
        <f>Y102-W102</f>
        <v/>
      </c>
      <c r="Y102" s="1358">
        <f>AVERAGEIFS(E:E,$A:$A,"&gt;"&amp;EOMONTH($V102,-4),$A:$A,"&lt;="&amp;EOMONTH($V102,-1))</f>
        <v/>
      </c>
      <c r="AA102" s="1357" t="n"/>
      <c r="AF102" s="1357" t="n"/>
      <c r="AG102" s="1358" t="n"/>
      <c r="AH102" s="1358" t="n"/>
      <c r="AI102" s="1358" t="n"/>
    </row>
    <row r="103">
      <c r="A103" s="544" t="n">
        <v>29353</v>
      </c>
      <c r="B103" s="637" t="n"/>
      <c r="C103" s="637" t="n"/>
      <c r="D103" s="637" t="n"/>
      <c r="E103" s="637" t="n"/>
      <c r="G103" s="1357">
        <f>EOMONTH(G102,3)</f>
        <v/>
      </c>
      <c r="H103" s="546">
        <f>AVERAGEIFS($B:$B,$A:$A,"&gt;"&amp;EOMONTH($G103,-3),$A:$A,"&lt;="&amp;EOMONTH($G103,0))</f>
        <v/>
      </c>
      <c r="I103" s="546">
        <f>J103-H103</f>
        <v/>
      </c>
      <c r="J103" s="546">
        <f>AVERAGEIFS($E:$E,$A:$A,"&gt;"&amp;EOMONTH($G103,-3),$A:$A,"&lt;="&amp;EOMONTH($G103,0))</f>
        <v/>
      </c>
      <c r="V103" s="1357">
        <f>EOMONTH(V102,3)</f>
        <v/>
      </c>
      <c r="W103" s="1358">
        <f>AVERAGEIFS(B:B,$A:$A,"&gt;"&amp;EOMONTH($V103,-4),$A:$A,"&lt;="&amp;EOMONTH($V103,-1))</f>
        <v/>
      </c>
      <c r="X103" s="1358">
        <f>Y103-W103</f>
        <v/>
      </c>
      <c r="Y103" s="1358">
        <f>AVERAGEIFS(E:E,$A:$A,"&gt;"&amp;EOMONTH($V103,-4),$A:$A,"&lt;="&amp;EOMONTH($V103,-1))</f>
        <v/>
      </c>
      <c r="AA103" s="1357" t="n"/>
      <c r="AF103" s="1357" t="n"/>
      <c r="AG103" s="1358" t="n"/>
      <c r="AH103" s="1358" t="n"/>
      <c r="AI103" s="1358" t="n"/>
    </row>
    <row r="104">
      <c r="A104" s="544" t="n">
        <v>29354</v>
      </c>
      <c r="B104" s="637" t="n"/>
      <c r="C104" s="637" t="n"/>
      <c r="D104" s="637" t="n"/>
      <c r="E104" s="637" t="n"/>
      <c r="G104" s="1357">
        <f>EOMONTH(G103,3)</f>
        <v/>
      </c>
      <c r="H104" s="546">
        <f>AVERAGEIFS($B:$B,$A:$A,"&gt;"&amp;EOMONTH($G104,-3),$A:$A,"&lt;="&amp;EOMONTH($G104,0))</f>
        <v/>
      </c>
      <c r="I104" s="546">
        <f>J104-H104</f>
        <v/>
      </c>
      <c r="J104" s="546">
        <f>AVERAGEIFS($E:$E,$A:$A,"&gt;"&amp;EOMONTH($G104,-3),$A:$A,"&lt;="&amp;EOMONTH($G104,0))</f>
        <v/>
      </c>
      <c r="V104" s="1357">
        <f>EOMONTH(V103,3)</f>
        <v/>
      </c>
      <c r="W104" s="1358">
        <f>AVERAGEIFS(B:B,$A:$A,"&gt;"&amp;EOMONTH($V104,-4),$A:$A,"&lt;="&amp;EOMONTH($V104,-1))</f>
        <v/>
      </c>
      <c r="X104" s="1358">
        <f>Y104-W104</f>
        <v/>
      </c>
      <c r="Y104" s="1358">
        <f>AVERAGEIFS(E:E,$A:$A,"&gt;"&amp;EOMONTH($V104,-4),$A:$A,"&lt;="&amp;EOMONTH($V104,-1))</f>
        <v/>
      </c>
      <c r="AA104" s="1357" t="n"/>
      <c r="AF104" s="1357" t="n"/>
      <c r="AG104" s="1358" t="n"/>
      <c r="AH104" s="1358" t="n"/>
      <c r="AI104" s="1358" t="n"/>
    </row>
    <row r="105">
      <c r="A105" s="544" t="n">
        <v>29355</v>
      </c>
      <c r="B105" s="637" t="n"/>
      <c r="C105" s="637" t="n"/>
      <c r="D105" s="637" t="n"/>
      <c r="E105" s="637" t="n"/>
      <c r="G105" s="1357">
        <f>EOMONTH(G104,3)</f>
        <v/>
      </c>
      <c r="H105" s="546">
        <f>AVERAGEIFS($B:$B,$A:$A,"&gt;"&amp;EOMONTH($G105,-3),$A:$A,"&lt;="&amp;EOMONTH($G105,0))</f>
        <v/>
      </c>
      <c r="I105" s="546">
        <f>J105-H105</f>
        <v/>
      </c>
      <c r="J105" s="546">
        <f>AVERAGEIFS($E:$E,$A:$A,"&gt;"&amp;EOMONTH($G105,-3),$A:$A,"&lt;="&amp;EOMONTH($G105,0))</f>
        <v/>
      </c>
      <c r="V105" s="1357">
        <f>EOMONTH(V104,3)</f>
        <v/>
      </c>
      <c r="W105" s="1358">
        <f>AVERAGEIFS(B:B,$A:$A,"&gt;"&amp;EOMONTH($V105,-4),$A:$A,"&lt;="&amp;EOMONTH($V105,-1))</f>
        <v/>
      </c>
      <c r="X105" s="1358">
        <f>Y105-W105</f>
        <v/>
      </c>
      <c r="Y105" s="1358">
        <f>AVERAGEIFS(E:E,$A:$A,"&gt;"&amp;EOMONTH($V105,-4),$A:$A,"&lt;="&amp;EOMONTH($V105,-1))</f>
        <v/>
      </c>
      <c r="AA105" s="1357" t="n"/>
      <c r="AF105" s="1357" t="n"/>
      <c r="AG105" s="1358" t="n"/>
      <c r="AH105" s="1358" t="n"/>
      <c r="AI105" s="1358" t="n"/>
    </row>
    <row r="106">
      <c r="A106" s="544" t="n">
        <v>29356</v>
      </c>
      <c r="B106" s="637" t="n"/>
      <c r="C106" s="637" t="n"/>
      <c r="D106" s="637" t="n"/>
      <c r="E106" s="637" t="n"/>
      <c r="G106" s="1357">
        <f>EOMONTH(G105,3)</f>
        <v/>
      </c>
      <c r="H106" s="546">
        <f>AVERAGEIFS($B:$B,$A:$A,"&gt;"&amp;EOMONTH($G106,-3),$A:$A,"&lt;="&amp;EOMONTH($G106,0))</f>
        <v/>
      </c>
      <c r="I106" s="546">
        <f>J106-H106</f>
        <v/>
      </c>
      <c r="J106" s="546">
        <f>AVERAGEIFS($E:$E,$A:$A,"&gt;"&amp;EOMONTH($G106,-3),$A:$A,"&lt;="&amp;EOMONTH($G106,0))</f>
        <v/>
      </c>
      <c r="V106" s="1357">
        <f>EOMONTH(V105,3)</f>
        <v/>
      </c>
      <c r="W106" s="1358">
        <f>AVERAGEIFS(B:B,$A:$A,"&gt;"&amp;EOMONTH($V106,-4),$A:$A,"&lt;="&amp;EOMONTH($V106,-1))</f>
        <v/>
      </c>
      <c r="X106" s="1358">
        <f>Y106-W106</f>
        <v/>
      </c>
      <c r="Y106" s="1358">
        <f>AVERAGEIFS(E:E,$A:$A,"&gt;"&amp;EOMONTH($V106,-4),$A:$A,"&lt;="&amp;EOMONTH($V106,-1))</f>
        <v/>
      </c>
      <c r="AA106" s="1357" t="n"/>
      <c r="AF106" s="1357" t="n"/>
      <c r="AG106" s="1358" t="n"/>
      <c r="AH106" s="1358" t="n"/>
      <c r="AI106" s="1358" t="n"/>
    </row>
    <row r="107">
      <c r="A107" s="544" t="n">
        <v>29357</v>
      </c>
      <c r="B107" s="637" t="n"/>
      <c r="C107" s="637" t="n"/>
      <c r="D107" s="637" t="n"/>
      <c r="E107" s="637" t="n"/>
      <c r="G107" s="1357">
        <f>EOMONTH(G106,3)</f>
        <v/>
      </c>
      <c r="H107" s="546">
        <f>AVERAGEIFS($B:$B,$A:$A,"&gt;"&amp;EOMONTH($G107,-3),$A:$A,"&lt;="&amp;EOMONTH($G107,0))</f>
        <v/>
      </c>
      <c r="I107" s="546">
        <f>J107-H107</f>
        <v/>
      </c>
      <c r="J107" s="546">
        <f>AVERAGEIFS($E:$E,$A:$A,"&gt;"&amp;EOMONTH($G107,-3),$A:$A,"&lt;="&amp;EOMONTH($G107,0))</f>
        <v/>
      </c>
      <c r="V107" s="1357">
        <f>EOMONTH(V106,3)</f>
        <v/>
      </c>
      <c r="W107" s="1358">
        <f>AVERAGEIFS(B:B,$A:$A,"&gt;"&amp;EOMONTH($V107,-4),$A:$A,"&lt;="&amp;EOMONTH($V107,-1))</f>
        <v/>
      </c>
      <c r="X107" s="1358">
        <f>Y107-W107</f>
        <v/>
      </c>
      <c r="Y107" s="1358">
        <f>AVERAGEIFS(E:E,$A:$A,"&gt;"&amp;EOMONTH($V107,-4),$A:$A,"&lt;="&amp;EOMONTH($V107,-1))</f>
        <v/>
      </c>
      <c r="AA107" s="1357" t="n"/>
      <c r="AF107" s="1357" t="n"/>
      <c r="AG107" s="1358" t="n"/>
      <c r="AH107" s="1358" t="n"/>
      <c r="AI107" s="1358" t="n"/>
    </row>
    <row r="108">
      <c r="A108" s="544" t="n">
        <v>29360</v>
      </c>
      <c r="B108" s="637" t="n"/>
      <c r="C108" s="637" t="n"/>
      <c r="D108" s="637" t="n"/>
      <c r="E108" s="637" t="n"/>
      <c r="G108" s="1357">
        <f>EOMONTH(G107,3)</f>
        <v/>
      </c>
      <c r="H108" s="546">
        <f>AVERAGEIFS($B:$B,$A:$A,"&gt;"&amp;EOMONTH($G108,-3),$A:$A,"&lt;="&amp;EOMONTH($G108,0))</f>
        <v/>
      </c>
      <c r="I108" s="546">
        <f>J108-H108</f>
        <v/>
      </c>
      <c r="J108" s="546">
        <f>AVERAGEIFS($E:$E,$A:$A,"&gt;"&amp;EOMONTH($G108,-3),$A:$A,"&lt;="&amp;EOMONTH($G108,0))</f>
        <v/>
      </c>
      <c r="V108" s="1357">
        <f>EOMONTH(V107,3)</f>
        <v/>
      </c>
      <c r="W108" s="1358">
        <f>AVERAGEIFS(B:B,$A:$A,"&gt;"&amp;EOMONTH($V108,-4),$A:$A,"&lt;="&amp;EOMONTH($V108,-1))</f>
        <v/>
      </c>
      <c r="X108" s="1358">
        <f>Y108-W108</f>
        <v/>
      </c>
      <c r="Y108" s="1358">
        <f>AVERAGEIFS(E:E,$A:$A,"&gt;"&amp;EOMONTH($V108,-4),$A:$A,"&lt;="&amp;EOMONTH($V108,-1))</f>
        <v/>
      </c>
      <c r="AA108" s="1357" t="n"/>
      <c r="AF108" s="1357" t="n"/>
      <c r="AG108" s="1358" t="n"/>
      <c r="AH108" s="1358" t="n"/>
      <c r="AI108" s="1358" t="n"/>
    </row>
    <row r="109">
      <c r="A109" s="544" t="n">
        <v>29361</v>
      </c>
      <c r="B109" s="637" t="n"/>
      <c r="C109" s="637" t="n"/>
      <c r="D109" s="637" t="n"/>
      <c r="E109" s="637" t="n"/>
      <c r="G109" s="1357">
        <f>EOMONTH(G108,3)</f>
        <v/>
      </c>
      <c r="H109" s="546">
        <f>AVERAGEIFS($B:$B,$A:$A,"&gt;"&amp;EOMONTH($G109,-3),$A:$A,"&lt;="&amp;EOMONTH($G109,0))</f>
        <v/>
      </c>
      <c r="I109" s="546">
        <f>J109-H109</f>
        <v/>
      </c>
      <c r="J109" s="546">
        <f>AVERAGEIFS($E:$E,$A:$A,"&gt;"&amp;EOMONTH($G109,-3),$A:$A,"&lt;="&amp;EOMONTH($G109,0))</f>
        <v/>
      </c>
      <c r="V109" s="1357">
        <f>EOMONTH(V108,3)</f>
        <v/>
      </c>
      <c r="W109" s="1358">
        <f>AVERAGEIFS(B:B,$A:$A,"&gt;"&amp;EOMONTH($V109,-4),$A:$A,"&lt;="&amp;EOMONTH($V109,-1))</f>
        <v/>
      </c>
      <c r="X109" s="1358">
        <f>Y109-W109</f>
        <v/>
      </c>
      <c r="Y109" s="1358">
        <f>AVERAGEIFS(E:E,$A:$A,"&gt;"&amp;EOMONTH($V109,-4),$A:$A,"&lt;="&amp;EOMONTH($V109,-1))</f>
        <v/>
      </c>
      <c r="AA109" s="1357" t="n"/>
    </row>
    <row r="110">
      <c r="A110" s="544" t="n">
        <v>29362</v>
      </c>
      <c r="B110" s="637" t="n"/>
      <c r="C110" s="637" t="n"/>
      <c r="D110" s="637" t="n"/>
      <c r="E110" s="637" t="n"/>
      <c r="G110" s="1357">
        <f>EOMONTH(G109,3)</f>
        <v/>
      </c>
      <c r="H110" s="546">
        <f>AVERAGEIFS($B:$B,$A:$A,"&gt;"&amp;EOMONTH($G110,-3),$A:$A,"&lt;="&amp;EOMONTH($G110,0))</f>
        <v/>
      </c>
      <c r="I110" s="546">
        <f>J110-H110</f>
        <v/>
      </c>
      <c r="J110" s="546">
        <f>AVERAGEIFS($E:$E,$A:$A,"&gt;"&amp;EOMONTH($G110,-3),$A:$A,"&lt;="&amp;EOMONTH($G110,0))</f>
        <v/>
      </c>
      <c r="V110" s="1357">
        <f>EOMONTH(V109,3)</f>
        <v/>
      </c>
      <c r="W110" s="1358">
        <f>AVERAGEIFS(B:B,$A:$A,"&gt;"&amp;EOMONTH($V110,-4),$A:$A,"&lt;="&amp;EOMONTH($V110,-1))</f>
        <v/>
      </c>
      <c r="X110" s="1358">
        <f>Y110-W110</f>
        <v/>
      </c>
      <c r="Y110" s="1358">
        <f>AVERAGEIFS(E:E,$A:$A,"&gt;"&amp;EOMONTH($V110,-4),$A:$A,"&lt;="&amp;EOMONTH($V110,-1))</f>
        <v/>
      </c>
      <c r="AA110" s="1357" t="n"/>
    </row>
    <row r="111">
      <c r="A111" s="544" t="n">
        <v>29363</v>
      </c>
      <c r="B111" s="637" t="n"/>
      <c r="C111" s="637" t="n"/>
      <c r="D111" s="637" t="n"/>
      <c r="E111" s="637" t="n"/>
      <c r="G111" s="1357">
        <f>EOMONTH(G110,3)</f>
        <v/>
      </c>
      <c r="H111" s="546">
        <f>AVERAGEIFS($B:$B,$A:$A,"&gt;"&amp;EOMONTH($G111,-3),$A:$A,"&lt;="&amp;EOMONTH($G111,0))</f>
        <v/>
      </c>
      <c r="I111" s="546">
        <f>J111-H111</f>
        <v/>
      </c>
      <c r="J111" s="546">
        <f>AVERAGEIFS($E:$E,$A:$A,"&gt;"&amp;EOMONTH($G111,-3),$A:$A,"&lt;="&amp;EOMONTH($G111,0))</f>
        <v/>
      </c>
      <c r="V111" s="1357">
        <f>EOMONTH(V110,3)</f>
        <v/>
      </c>
      <c r="W111" s="1358">
        <f>AVERAGEIFS(B:B,$A:$A,"&gt;"&amp;EOMONTH($V111,-4),$A:$A,"&lt;="&amp;EOMONTH($V111,-1))</f>
        <v/>
      </c>
      <c r="X111" s="1358">
        <f>Y111-W111</f>
        <v/>
      </c>
      <c r="Y111" s="1358">
        <f>AVERAGEIFS(E:E,$A:$A,"&gt;"&amp;EOMONTH($V111,-4),$A:$A,"&lt;="&amp;EOMONTH($V111,-1))</f>
        <v/>
      </c>
      <c r="AA111" s="1357" t="n"/>
    </row>
    <row r="112">
      <c r="A112" s="544" t="n">
        <v>29364</v>
      </c>
      <c r="B112" s="637" t="n"/>
      <c r="C112" s="637" t="n"/>
      <c r="D112" s="637" t="n"/>
      <c r="E112" s="637" t="n"/>
      <c r="G112" s="1357">
        <f>EOMONTH(G111,3)</f>
        <v/>
      </c>
      <c r="H112" s="546">
        <f>AVERAGEIFS($B:$B,$A:$A,"&gt;"&amp;EOMONTH($G112,-3),$A:$A,"&lt;="&amp;EOMONTH($G112,0))</f>
        <v/>
      </c>
      <c r="I112" s="546">
        <f>J112-H112</f>
        <v/>
      </c>
      <c r="J112" s="546">
        <f>AVERAGEIFS($E:$E,$A:$A,"&gt;"&amp;EOMONTH($G112,-3),$A:$A,"&lt;="&amp;EOMONTH($G112,0))</f>
        <v/>
      </c>
      <c r="V112" s="1357">
        <f>EOMONTH(V111,3)</f>
        <v/>
      </c>
      <c r="W112" s="1358">
        <f>AVERAGEIFS(B:B,$A:$A,"&gt;"&amp;EOMONTH($V112,-4),$A:$A,"&lt;="&amp;EOMONTH($V112,-1))</f>
        <v/>
      </c>
      <c r="X112" s="1358">
        <f>Y112-W112</f>
        <v/>
      </c>
      <c r="Y112" s="1358">
        <f>AVERAGEIFS(E:E,$A:$A,"&gt;"&amp;EOMONTH($V112,-4),$A:$A,"&lt;="&amp;EOMONTH($V112,-1))</f>
        <v/>
      </c>
      <c r="AA112" s="1357" t="n"/>
    </row>
    <row r="113">
      <c r="A113" s="544" t="n">
        <v>29367</v>
      </c>
      <c r="B113" s="637" t="n"/>
      <c r="C113" s="637" t="n"/>
      <c r="D113" s="637" t="n"/>
      <c r="E113" s="637" t="n"/>
      <c r="G113" s="1357">
        <f>EOMONTH(G112,3)</f>
        <v/>
      </c>
      <c r="H113" s="546">
        <f>AVERAGEIFS($B:$B,$A:$A,"&gt;"&amp;EOMONTH($G113,-3),$A:$A,"&lt;="&amp;EOMONTH($G113,0))</f>
        <v/>
      </c>
      <c r="I113" s="546">
        <f>J113-H113</f>
        <v/>
      </c>
      <c r="J113" s="546">
        <f>AVERAGEIFS($E:$E,$A:$A,"&gt;"&amp;EOMONTH($G113,-3),$A:$A,"&lt;="&amp;EOMONTH($G113,0))</f>
        <v/>
      </c>
      <c r="V113" s="1357">
        <f>EOMONTH(V112,3)</f>
        <v/>
      </c>
      <c r="W113" s="1358">
        <f>AVERAGEIFS(B:B,$A:$A,"&gt;"&amp;EOMONTH($V113,-4),$A:$A,"&lt;="&amp;EOMONTH($V113,-1))</f>
        <v/>
      </c>
      <c r="X113" s="1358">
        <f>Y113-W113</f>
        <v/>
      </c>
      <c r="Y113" s="1358">
        <f>AVERAGEIFS(E:E,$A:$A,"&gt;"&amp;EOMONTH($V113,-4),$A:$A,"&lt;="&amp;EOMONTH($V113,-1))</f>
        <v/>
      </c>
      <c r="AA113" s="1357" t="n"/>
    </row>
    <row r="114">
      <c r="A114" s="544" t="n">
        <v>29368</v>
      </c>
      <c r="B114" s="637" t="n"/>
      <c r="C114" s="637" t="n"/>
      <c r="D114" s="637" t="n"/>
      <c r="E114" s="637" t="n"/>
      <c r="G114" s="1357">
        <f>EOMONTH(G113,3)</f>
        <v/>
      </c>
      <c r="H114" s="546">
        <f>AVERAGEIFS($B:$B,$A:$A,"&gt;"&amp;EOMONTH($G114,-3),$A:$A,"&lt;="&amp;EOMONTH($G114,0))</f>
        <v/>
      </c>
      <c r="I114" s="546">
        <f>J114-H114</f>
        <v/>
      </c>
      <c r="J114" s="546">
        <f>AVERAGEIFS($E:$E,$A:$A,"&gt;"&amp;EOMONTH($G114,-3),$A:$A,"&lt;="&amp;EOMONTH($G114,0))</f>
        <v/>
      </c>
      <c r="V114" s="1357">
        <f>EOMONTH(V113,3)</f>
        <v/>
      </c>
      <c r="W114" s="1358">
        <f>AVERAGEIFS(B:B,$A:$A,"&gt;"&amp;EOMONTH($V114,-4),$A:$A,"&lt;="&amp;EOMONTH($V114,-1))</f>
        <v/>
      </c>
      <c r="X114" s="1358">
        <f>Y114-W114</f>
        <v/>
      </c>
      <c r="Y114" s="1358">
        <f>AVERAGEIFS(E:E,$A:$A,"&gt;"&amp;EOMONTH($V114,-4),$A:$A,"&lt;="&amp;EOMONTH($V114,-1))</f>
        <v/>
      </c>
      <c r="AA114" s="1357" t="n"/>
    </row>
    <row r="115">
      <c r="A115" s="544" t="n">
        <v>29369</v>
      </c>
      <c r="B115" s="637" t="n"/>
      <c r="C115" s="637" t="n"/>
      <c r="D115" s="637" t="n"/>
      <c r="E115" s="637" t="n"/>
      <c r="G115" s="1357">
        <f>EOMONTH(G114,3)</f>
        <v/>
      </c>
      <c r="H115" s="546">
        <f>AVERAGEIFS($B:$B,$A:$A,"&gt;"&amp;EOMONTH($G115,-3),$A:$A,"&lt;="&amp;EOMONTH($G115,0))</f>
        <v/>
      </c>
      <c r="I115" s="546">
        <f>J115-H115</f>
        <v/>
      </c>
      <c r="J115" s="546">
        <f>AVERAGEIFS($E:$E,$A:$A,"&gt;"&amp;EOMONTH($G115,-3),$A:$A,"&lt;="&amp;EOMONTH($G115,0))</f>
        <v/>
      </c>
      <c r="V115" s="1357">
        <f>EOMONTH(V114,3)</f>
        <v/>
      </c>
      <c r="W115" s="1358">
        <f>AVERAGEIFS(B:B,$A:$A,"&gt;"&amp;EOMONTH($V115,-4),$A:$A,"&lt;="&amp;EOMONTH($V115,-1))</f>
        <v/>
      </c>
      <c r="X115" s="1358">
        <f>Y115-W115</f>
        <v/>
      </c>
      <c r="Y115" s="1358">
        <f>AVERAGEIFS(E:E,$A:$A,"&gt;"&amp;EOMONTH($V115,-4),$A:$A,"&lt;="&amp;EOMONTH($V115,-1))</f>
        <v/>
      </c>
      <c r="AA115" s="1357" t="n"/>
    </row>
    <row r="116">
      <c r="A116" s="544" t="n">
        <v>29370</v>
      </c>
      <c r="B116" s="637" t="n"/>
      <c r="C116" s="637" t="n"/>
      <c r="D116" s="637" t="n"/>
      <c r="E116" s="637" t="n"/>
      <c r="G116" s="1357">
        <f>EOMONTH(G115,3)</f>
        <v/>
      </c>
      <c r="H116" s="546">
        <f>AVERAGEIFS($B:$B,$A:$A,"&gt;"&amp;EOMONTH($G116,-3),$A:$A,"&lt;="&amp;EOMONTH($G116,0))</f>
        <v/>
      </c>
      <c r="I116" s="546">
        <f>J116-H116</f>
        <v/>
      </c>
      <c r="J116" s="546">
        <f>AVERAGEIFS($E:$E,$A:$A,"&gt;"&amp;EOMONTH($G116,-3),$A:$A,"&lt;="&amp;EOMONTH($G116,0))</f>
        <v/>
      </c>
      <c r="V116" s="1357">
        <f>EOMONTH(V115,3)</f>
        <v/>
      </c>
      <c r="W116" s="1358">
        <f>AVERAGEIFS(B:B,$A:$A,"&gt;"&amp;EOMONTH($V116,-4),$A:$A,"&lt;="&amp;EOMONTH($V116,-1))</f>
        <v/>
      </c>
      <c r="X116" s="1358">
        <f>Y116-W116</f>
        <v/>
      </c>
      <c r="Y116" s="1358">
        <f>AVERAGEIFS(E:E,$A:$A,"&gt;"&amp;EOMONTH($V116,-4),$A:$A,"&lt;="&amp;EOMONTH($V116,-1))</f>
        <v/>
      </c>
      <c r="AA116" s="1357" t="n"/>
    </row>
    <row r="117">
      <c r="A117" s="544" t="n">
        <v>29371</v>
      </c>
      <c r="B117" s="637" t="n"/>
      <c r="C117" s="637" t="n"/>
      <c r="D117" s="637" t="n"/>
      <c r="E117" s="637" t="n"/>
      <c r="G117" s="1357">
        <f>EOMONTH(G116,3)</f>
        <v/>
      </c>
      <c r="H117" s="546">
        <f>AVERAGEIFS($B:$B,$A:$A,"&gt;"&amp;EOMONTH($G117,-3),$A:$A,"&lt;="&amp;EOMONTH($G117,0))</f>
        <v/>
      </c>
      <c r="I117" s="546">
        <f>J117-H117</f>
        <v/>
      </c>
      <c r="J117" s="546">
        <f>AVERAGEIFS($E:$E,$A:$A,"&gt;"&amp;EOMONTH($G117,-3),$A:$A,"&lt;="&amp;EOMONTH($G117,0))</f>
        <v/>
      </c>
      <c r="V117" s="1357">
        <f>EOMONTH(V116,3)</f>
        <v/>
      </c>
      <c r="W117" s="1358">
        <f>AVERAGEIFS(B:B,$A:$A,"&gt;"&amp;EOMONTH($V117,-4),$A:$A,"&lt;="&amp;EOMONTH($V117,-1))</f>
        <v/>
      </c>
      <c r="X117" s="1358">
        <f>Y117-W117</f>
        <v/>
      </c>
      <c r="Y117" s="1358">
        <f>AVERAGEIFS(E:E,$A:$A,"&gt;"&amp;EOMONTH($V117,-4),$A:$A,"&lt;="&amp;EOMONTH($V117,-1))</f>
        <v/>
      </c>
      <c r="AA117" s="1357" t="n"/>
    </row>
    <row r="118">
      <c r="A118" s="544" t="n">
        <v>29374</v>
      </c>
      <c r="B118" s="637" t="n"/>
      <c r="C118" s="637" t="n"/>
      <c r="D118" s="637" t="n"/>
      <c r="E118" s="637" t="n"/>
      <c r="G118" s="1357">
        <f>EOMONTH(G117,3)</f>
        <v/>
      </c>
      <c r="H118" s="546">
        <f>AVERAGEIFS($B:$B,$A:$A,"&gt;"&amp;EOMONTH($G118,-3),$A:$A,"&lt;="&amp;EOMONTH($G118,0))</f>
        <v/>
      </c>
      <c r="I118" s="546">
        <f>J118-H118</f>
        <v/>
      </c>
      <c r="J118" s="546">
        <f>AVERAGEIFS($E:$E,$A:$A,"&gt;"&amp;EOMONTH($G118,-3),$A:$A,"&lt;="&amp;EOMONTH($G118,0))</f>
        <v/>
      </c>
      <c r="V118" s="1357">
        <f>EOMONTH(V117,3)</f>
        <v/>
      </c>
      <c r="W118" s="1358">
        <f>AVERAGEIFS(B:B,$A:$A,"&gt;"&amp;EOMONTH($V118,-4),$A:$A,"&lt;="&amp;EOMONTH($V118,-1))</f>
        <v/>
      </c>
      <c r="X118" s="1358">
        <f>Y118-W118</f>
        <v/>
      </c>
      <c r="Y118" s="1358">
        <f>AVERAGEIFS(E:E,$A:$A,"&gt;"&amp;EOMONTH($V118,-4),$A:$A,"&lt;="&amp;EOMONTH($V118,-1))</f>
        <v/>
      </c>
      <c r="AA118" s="1357" t="n"/>
    </row>
    <row r="119">
      <c r="A119" s="544" t="n">
        <v>29375</v>
      </c>
      <c r="B119" s="637" t="n"/>
      <c r="C119" s="637" t="n"/>
      <c r="D119" s="637" t="n"/>
      <c r="E119" s="637" t="n"/>
      <c r="G119" s="1357">
        <f>EOMONTH(G118,3)</f>
        <v/>
      </c>
      <c r="H119" s="546">
        <f>AVERAGEIFS($B:$B,$A:$A,"&gt;"&amp;EOMONTH($G119,-3),$A:$A,"&lt;="&amp;EOMONTH($G119,0))</f>
        <v/>
      </c>
      <c r="I119" s="546">
        <f>J119-H119</f>
        <v/>
      </c>
      <c r="J119" s="546">
        <f>AVERAGEIFS($E:$E,$A:$A,"&gt;"&amp;EOMONTH($G119,-3),$A:$A,"&lt;="&amp;EOMONTH($G119,0))</f>
        <v/>
      </c>
      <c r="V119" s="1357">
        <f>EOMONTH(V118,3)</f>
        <v/>
      </c>
      <c r="W119" s="1358">
        <f>AVERAGEIFS(B:B,$A:$A,"&gt;"&amp;EOMONTH($V119,-4),$A:$A,"&lt;="&amp;EOMONTH($V119,-1))</f>
        <v/>
      </c>
      <c r="X119" s="1358">
        <f>Y119-W119</f>
        <v/>
      </c>
      <c r="Y119" s="1358">
        <f>AVERAGEIFS(E:E,$A:$A,"&gt;"&amp;EOMONTH($V119,-4),$A:$A,"&lt;="&amp;EOMONTH($V119,-1))</f>
        <v/>
      </c>
      <c r="AA119" s="1357" t="n"/>
    </row>
    <row r="120">
      <c r="A120" s="544" t="n">
        <v>29376</v>
      </c>
      <c r="B120" s="637" t="n"/>
      <c r="C120" s="637" t="n"/>
      <c r="D120" s="637" t="n"/>
      <c r="E120" s="637" t="n"/>
      <c r="G120" s="1357">
        <f>EOMONTH(G119,3)</f>
        <v/>
      </c>
      <c r="H120" s="546">
        <f>AVERAGEIFS($B:$B,$A:$A,"&gt;"&amp;EOMONTH($G120,-3),$A:$A,"&lt;="&amp;EOMONTH($G120,0))</f>
        <v/>
      </c>
      <c r="I120" s="546">
        <f>J120-H120</f>
        <v/>
      </c>
      <c r="J120" s="546">
        <f>AVERAGEIFS($E:$E,$A:$A,"&gt;"&amp;EOMONTH($G120,-3),$A:$A,"&lt;="&amp;EOMONTH($G120,0))</f>
        <v/>
      </c>
      <c r="V120" s="1357">
        <f>EOMONTH(V119,3)</f>
        <v/>
      </c>
      <c r="W120" s="1358">
        <f>AVERAGEIFS(B:B,$A:$A,"&gt;"&amp;EOMONTH($V120,-4),$A:$A,"&lt;="&amp;EOMONTH($V120,-1))</f>
        <v/>
      </c>
      <c r="X120" s="1358">
        <f>Y120-W120</f>
        <v/>
      </c>
      <c r="Y120" s="1358">
        <f>AVERAGEIFS(E:E,$A:$A,"&gt;"&amp;EOMONTH($V120,-4),$A:$A,"&lt;="&amp;EOMONTH($V120,-1))</f>
        <v/>
      </c>
      <c r="AA120" s="1357" t="n"/>
    </row>
    <row r="121">
      <c r="A121" s="544" t="n">
        <v>29377</v>
      </c>
      <c r="B121" s="637" t="n"/>
      <c r="C121" s="637" t="n"/>
      <c r="D121" s="637" t="n"/>
      <c r="E121" s="637" t="n"/>
      <c r="G121" s="1357">
        <f>EOMONTH(G120,3)</f>
        <v/>
      </c>
      <c r="H121" s="546">
        <f>AVERAGEIFS($B:$B,$A:$A,"&gt;"&amp;EOMONTH($G121,-3),$A:$A,"&lt;="&amp;EOMONTH($G121,0))</f>
        <v/>
      </c>
      <c r="I121" s="546">
        <f>J121-H121</f>
        <v/>
      </c>
      <c r="J121" s="546">
        <f>AVERAGEIFS($E:$E,$A:$A,"&gt;"&amp;EOMONTH($G121,-3),$A:$A,"&lt;="&amp;EOMONTH($G121,0))</f>
        <v/>
      </c>
      <c r="V121" s="1357">
        <f>EOMONTH(V120,3)</f>
        <v/>
      </c>
      <c r="W121" s="1358">
        <f>AVERAGEIFS(B:B,$A:$A,"&gt;"&amp;EOMONTH($V121,-4),$A:$A,"&lt;="&amp;EOMONTH($V121,-1))</f>
        <v/>
      </c>
      <c r="X121" s="1358">
        <f>Y121-W121</f>
        <v/>
      </c>
      <c r="Y121" s="1358">
        <f>AVERAGEIFS(E:E,$A:$A,"&gt;"&amp;EOMONTH($V121,-4),$A:$A,"&lt;="&amp;EOMONTH($V121,-1))</f>
        <v/>
      </c>
      <c r="AA121" s="1357" t="n"/>
    </row>
    <row r="122">
      <c r="A122" s="544" t="n">
        <v>29378</v>
      </c>
      <c r="B122" s="637" t="n"/>
      <c r="C122" s="637" t="n"/>
      <c r="D122" s="637" t="n"/>
      <c r="E122" s="637" t="n"/>
      <c r="G122" s="1357">
        <f>EOMONTH(G121,3)</f>
        <v/>
      </c>
      <c r="H122" s="546">
        <f>AVERAGEIFS($B:$B,$A:$A,"&gt;"&amp;EOMONTH($G122,-3),$A:$A,"&lt;="&amp;EOMONTH($G122,0))</f>
        <v/>
      </c>
      <c r="I122" s="546">
        <f>J122-H122</f>
        <v/>
      </c>
      <c r="J122" s="546">
        <f>AVERAGEIFS($E:$E,$A:$A,"&gt;"&amp;EOMONTH($G122,-3),$A:$A,"&lt;="&amp;EOMONTH($G122,0))</f>
        <v/>
      </c>
      <c r="V122" s="1357">
        <f>EOMONTH(V121,3)</f>
        <v/>
      </c>
      <c r="W122" s="1358">
        <f>AVERAGEIFS(B:B,$A:$A,"&gt;"&amp;EOMONTH($V122,-4),$A:$A,"&lt;="&amp;EOMONTH($V122,-1))</f>
        <v/>
      </c>
      <c r="X122" s="1358">
        <f>Y122-W122</f>
        <v/>
      </c>
      <c r="Y122" s="1358">
        <f>AVERAGEIFS(E:E,$A:$A,"&gt;"&amp;EOMONTH($V122,-4),$A:$A,"&lt;="&amp;EOMONTH($V122,-1))</f>
        <v/>
      </c>
      <c r="AA122" s="1357" t="n"/>
    </row>
    <row r="123">
      <c r="A123" s="544" t="n">
        <v>29381</v>
      </c>
      <c r="B123" s="637" t="n"/>
      <c r="C123" s="637" t="n"/>
      <c r="D123" s="637" t="n"/>
      <c r="E123" s="637" t="n"/>
      <c r="G123" s="1357">
        <f>EOMONTH(G122,3)</f>
        <v/>
      </c>
      <c r="H123" s="546">
        <f>AVERAGEIFS($B:$B,$A:$A,"&gt;"&amp;EOMONTH($G123,-3),$A:$A,"&lt;="&amp;EOMONTH($G123,0))</f>
        <v/>
      </c>
      <c r="I123" s="546">
        <f>J123-H123</f>
        <v/>
      </c>
      <c r="J123" s="546">
        <f>AVERAGEIFS($E:$E,$A:$A,"&gt;"&amp;EOMONTH($G123,-3),$A:$A,"&lt;="&amp;EOMONTH($G123,0))</f>
        <v/>
      </c>
      <c r="V123" s="1357">
        <f>EOMONTH(V122,3)</f>
        <v/>
      </c>
      <c r="W123" s="1358">
        <f>AVERAGEIFS(B:B,$A:$A,"&gt;"&amp;EOMONTH($V123,-4),$A:$A,"&lt;="&amp;EOMONTH($V123,-1))</f>
        <v/>
      </c>
      <c r="X123" s="1358">
        <f>Y123-W123</f>
        <v/>
      </c>
      <c r="Y123" s="1358">
        <f>AVERAGEIFS(E:E,$A:$A,"&gt;"&amp;EOMONTH($V123,-4),$A:$A,"&lt;="&amp;EOMONTH($V123,-1))</f>
        <v/>
      </c>
      <c r="AA123" s="1357" t="n"/>
    </row>
    <row r="124">
      <c r="A124" s="544" t="n">
        <v>29382</v>
      </c>
      <c r="B124" s="637" t="n"/>
      <c r="C124" s="637" t="n"/>
      <c r="D124" s="637" t="n"/>
      <c r="E124" s="637" t="n"/>
      <c r="G124" s="1357">
        <f>EOMONTH(G123,3)</f>
        <v/>
      </c>
      <c r="H124" s="546">
        <f>AVERAGEIFS($B:$B,$A:$A,"&gt;"&amp;EOMONTH($G124,-3),$A:$A,"&lt;="&amp;EOMONTH($G124,0))</f>
        <v/>
      </c>
      <c r="I124" s="546">
        <f>J124-H124</f>
        <v/>
      </c>
      <c r="J124" s="546">
        <f>AVERAGEIFS($E:$E,$A:$A,"&gt;"&amp;EOMONTH($G124,-3),$A:$A,"&lt;="&amp;EOMONTH($G124,0))</f>
        <v/>
      </c>
      <c r="V124" s="1357">
        <f>EOMONTH(V123,3)</f>
        <v/>
      </c>
      <c r="W124" s="1358">
        <f>AVERAGEIFS(B:B,$A:$A,"&gt;"&amp;EOMONTH($V124,-4),$A:$A,"&lt;="&amp;EOMONTH($V124,-1))</f>
        <v/>
      </c>
      <c r="X124" s="1358">
        <f>Y124-W124</f>
        <v/>
      </c>
      <c r="Y124" s="1358">
        <f>AVERAGEIFS(E:E,$A:$A,"&gt;"&amp;EOMONTH($V124,-4),$A:$A,"&lt;="&amp;EOMONTH($V124,-1))</f>
        <v/>
      </c>
      <c r="AA124" s="1357" t="n"/>
    </row>
    <row r="125">
      <c r="A125" s="544" t="n">
        <v>29383</v>
      </c>
      <c r="B125" s="637" t="n"/>
      <c r="C125" s="637" t="n"/>
      <c r="D125" s="637" t="n"/>
      <c r="E125" s="637" t="n"/>
      <c r="G125" s="1357">
        <f>EOMONTH(G124,3)</f>
        <v/>
      </c>
      <c r="H125" s="546">
        <f>AVERAGEIFS($B:$B,$A:$A,"&gt;"&amp;EOMONTH($G125,-3),$A:$A,"&lt;="&amp;EOMONTH($G125,0))</f>
        <v/>
      </c>
      <c r="I125" s="546">
        <f>J125-H125</f>
        <v/>
      </c>
      <c r="J125" s="546">
        <f>AVERAGEIFS($E:$E,$A:$A,"&gt;"&amp;EOMONTH($G125,-3),$A:$A,"&lt;="&amp;EOMONTH($G125,0))</f>
        <v/>
      </c>
      <c r="V125" s="1357">
        <f>EOMONTH(V124,3)</f>
        <v/>
      </c>
      <c r="W125" s="1358">
        <f>AVERAGEIFS(B:B,$A:$A,"&gt;"&amp;EOMONTH($V125,-4),$A:$A,"&lt;="&amp;EOMONTH($V125,-1))</f>
        <v/>
      </c>
      <c r="X125" s="1358">
        <f>Y125-W125</f>
        <v/>
      </c>
      <c r="Y125" s="1358">
        <f>AVERAGEIFS(E:E,$A:$A,"&gt;"&amp;EOMONTH($V125,-4),$A:$A,"&lt;="&amp;EOMONTH($V125,-1))</f>
        <v/>
      </c>
      <c r="AA125" s="1357" t="n"/>
    </row>
    <row r="126">
      <c r="A126" s="544" t="n">
        <v>29384</v>
      </c>
      <c r="B126" s="637" t="n"/>
      <c r="C126" s="637" t="n"/>
      <c r="D126" s="637" t="n"/>
      <c r="E126" s="637" t="n"/>
      <c r="G126" s="1357">
        <f>EOMONTH(G125,3)</f>
        <v/>
      </c>
      <c r="H126" s="546">
        <f>AVERAGEIFS($B:$B,$A:$A,"&gt;"&amp;EOMONTH($G126,-3),$A:$A,"&lt;="&amp;EOMONTH($G126,0))</f>
        <v/>
      </c>
      <c r="I126" s="546">
        <f>J126-H126</f>
        <v/>
      </c>
      <c r="J126" s="546">
        <f>AVERAGEIFS($E:$E,$A:$A,"&gt;"&amp;EOMONTH($G126,-3),$A:$A,"&lt;="&amp;EOMONTH($G126,0))</f>
        <v/>
      </c>
      <c r="V126" s="1357">
        <f>EOMONTH(V125,3)</f>
        <v/>
      </c>
      <c r="W126" s="1358">
        <f>AVERAGEIFS(B:B,$A:$A,"&gt;"&amp;EOMONTH($V126,-4),$A:$A,"&lt;="&amp;EOMONTH($V126,-1))</f>
        <v/>
      </c>
      <c r="X126" s="1358">
        <f>Y126-W126</f>
        <v/>
      </c>
      <c r="Y126" s="1358">
        <f>AVERAGEIFS(E:E,$A:$A,"&gt;"&amp;EOMONTH($V126,-4),$A:$A,"&lt;="&amp;EOMONTH($V126,-1))</f>
        <v/>
      </c>
      <c r="AA126" s="1357" t="n"/>
    </row>
    <row r="127">
      <c r="A127" s="544" t="n">
        <v>29385</v>
      </c>
      <c r="B127" s="637" t="n"/>
      <c r="C127" s="637" t="n"/>
      <c r="D127" s="637" t="n"/>
      <c r="E127" s="637" t="n"/>
      <c r="G127" s="1357">
        <f>EOMONTH(G126,3)</f>
        <v/>
      </c>
      <c r="H127" s="546">
        <f>AVERAGEIFS($B:$B,$A:$A,"&gt;"&amp;EOMONTH($G127,-3),$A:$A,"&lt;="&amp;EOMONTH($G127,0))</f>
        <v/>
      </c>
      <c r="I127" s="546">
        <f>J127-H127</f>
        <v/>
      </c>
      <c r="J127" s="546">
        <f>AVERAGEIFS($E:$E,$A:$A,"&gt;"&amp;EOMONTH($G127,-3),$A:$A,"&lt;="&amp;EOMONTH($G127,0))</f>
        <v/>
      </c>
      <c r="V127" s="1357">
        <f>EOMONTH(V126,3)</f>
        <v/>
      </c>
      <c r="W127" s="1358">
        <f>AVERAGEIFS(B:B,$A:$A,"&gt;"&amp;EOMONTH($V127,-4),$A:$A,"&lt;="&amp;EOMONTH($V127,-1))</f>
        <v/>
      </c>
      <c r="X127" s="1358">
        <f>Y127-W127</f>
        <v/>
      </c>
      <c r="Y127" s="1358">
        <f>AVERAGEIFS(E:E,$A:$A,"&gt;"&amp;EOMONTH($V127,-4),$A:$A,"&lt;="&amp;EOMONTH($V127,-1))</f>
        <v/>
      </c>
      <c r="AA127" s="1357" t="n"/>
    </row>
    <row r="128">
      <c r="A128" s="544" t="n">
        <v>29388</v>
      </c>
      <c r="B128" s="637" t="n"/>
      <c r="C128" s="637" t="n"/>
      <c r="D128" s="637" t="n"/>
      <c r="E128" s="637" t="n"/>
      <c r="G128" s="1357">
        <f>EOMONTH(G127,3)</f>
        <v/>
      </c>
      <c r="H128" s="546">
        <f>AVERAGEIFS($B:$B,$A:$A,"&gt;"&amp;EOMONTH($G128,-3),$A:$A,"&lt;="&amp;EOMONTH($G128,0))</f>
        <v/>
      </c>
      <c r="I128" s="546">
        <f>J128-H128</f>
        <v/>
      </c>
      <c r="J128" s="546">
        <f>AVERAGEIFS($E:$E,$A:$A,"&gt;"&amp;EOMONTH($G128,-3),$A:$A,"&lt;="&amp;EOMONTH($G128,0))</f>
        <v/>
      </c>
      <c r="V128" s="1357">
        <f>EOMONTH(V127,3)</f>
        <v/>
      </c>
      <c r="W128" s="1358">
        <f>AVERAGEIFS(B:B,$A:$A,"&gt;"&amp;EOMONTH($V128,-4),$A:$A,"&lt;="&amp;EOMONTH($V128,-1))</f>
        <v/>
      </c>
      <c r="X128" s="1358">
        <f>Y128-W128</f>
        <v/>
      </c>
      <c r="Y128" s="1358">
        <f>AVERAGEIFS(E:E,$A:$A,"&gt;"&amp;EOMONTH($V128,-4),$A:$A,"&lt;="&amp;EOMONTH($V128,-1))</f>
        <v/>
      </c>
      <c r="AA128" s="1357" t="n"/>
    </row>
    <row r="129">
      <c r="A129" s="544" t="n">
        <v>29389</v>
      </c>
      <c r="B129" s="637" t="n"/>
      <c r="C129" s="637" t="n"/>
      <c r="D129" s="637" t="n"/>
      <c r="E129" s="637" t="n"/>
      <c r="G129" s="1357">
        <f>EOMONTH(G128,3)</f>
        <v/>
      </c>
      <c r="H129" s="546">
        <f>AVERAGEIFS($B:$B,$A:$A,"&gt;"&amp;EOMONTH($G129,-3),$A:$A,"&lt;="&amp;EOMONTH($G129,0))</f>
        <v/>
      </c>
      <c r="I129" s="546">
        <f>J129-H129</f>
        <v/>
      </c>
      <c r="J129" s="546">
        <f>AVERAGEIFS($E:$E,$A:$A,"&gt;"&amp;EOMONTH($G129,-3),$A:$A,"&lt;="&amp;EOMONTH($G129,0))</f>
        <v/>
      </c>
      <c r="V129" s="1357">
        <f>EOMONTH(V128,3)</f>
        <v/>
      </c>
      <c r="W129" s="1358">
        <f>AVERAGEIFS(B:B,$A:$A,"&gt;"&amp;EOMONTH($V129,-4),$A:$A,"&lt;="&amp;EOMONTH($V129,-1))</f>
        <v/>
      </c>
      <c r="X129" s="1358">
        <f>Y129-W129</f>
        <v/>
      </c>
      <c r="Y129" s="1358">
        <f>AVERAGEIFS(E:E,$A:$A,"&gt;"&amp;EOMONTH($V129,-4),$A:$A,"&lt;="&amp;EOMONTH($V129,-1))</f>
        <v/>
      </c>
      <c r="AA129" s="1357" t="n"/>
    </row>
    <row r="130">
      <c r="A130" s="544" t="n">
        <v>29390</v>
      </c>
      <c r="B130" s="637" t="n"/>
      <c r="C130" s="637" t="n"/>
      <c r="D130" s="637" t="n"/>
      <c r="E130" s="637" t="n"/>
      <c r="G130" s="1357">
        <f>EOMONTH(G129,3)</f>
        <v/>
      </c>
      <c r="H130" s="546">
        <f>AVERAGEIFS($B:$B,$A:$A,"&gt;"&amp;EOMONTH($G130,-3),$A:$A,"&lt;="&amp;EOMONTH($G130,0))</f>
        <v/>
      </c>
      <c r="I130" s="546">
        <f>J130-H130</f>
        <v/>
      </c>
      <c r="J130" s="546">
        <f>AVERAGEIFS($E:$E,$A:$A,"&gt;"&amp;EOMONTH($G130,-3),$A:$A,"&lt;="&amp;EOMONTH($G130,0))</f>
        <v/>
      </c>
      <c r="V130" s="1357">
        <f>EOMONTH(V129,3)</f>
        <v/>
      </c>
      <c r="W130" s="1358">
        <f>AVERAGEIFS(B:B,$A:$A,"&gt;"&amp;EOMONTH($V130,-4),$A:$A,"&lt;="&amp;EOMONTH($V130,-1))</f>
        <v/>
      </c>
      <c r="X130" s="1358">
        <f>Y130-W130</f>
        <v/>
      </c>
      <c r="Y130" s="1358">
        <f>AVERAGEIFS(E:E,$A:$A,"&gt;"&amp;EOMONTH($V130,-4),$A:$A,"&lt;="&amp;EOMONTH($V130,-1))</f>
        <v/>
      </c>
      <c r="AA130" s="1357" t="n"/>
    </row>
    <row r="131">
      <c r="A131" s="544" t="n">
        <v>29391</v>
      </c>
      <c r="B131" s="637" t="n"/>
      <c r="C131" s="637" t="n"/>
      <c r="D131" s="637" t="n"/>
      <c r="E131" s="637" t="n"/>
      <c r="G131" s="1357">
        <f>EOMONTH(G130,3)</f>
        <v/>
      </c>
      <c r="H131" s="546">
        <f>AVERAGEIFS($B:$B,$A:$A,"&gt;"&amp;EOMONTH($G131,-3),$A:$A,"&lt;="&amp;EOMONTH($G131,0))</f>
        <v/>
      </c>
      <c r="I131" s="546">
        <f>J131-H131</f>
        <v/>
      </c>
      <c r="J131" s="546">
        <f>AVERAGEIFS($E:$E,$A:$A,"&gt;"&amp;EOMONTH($G131,-3),$A:$A,"&lt;="&amp;EOMONTH($G131,0))</f>
        <v/>
      </c>
      <c r="V131" s="1357">
        <f>EOMONTH(V130,3)</f>
        <v/>
      </c>
      <c r="W131" s="1358">
        <f>AVERAGEIFS(B:B,$A:$A,"&gt;"&amp;EOMONTH($V131,-4),$A:$A,"&lt;="&amp;EOMONTH($V131,-1))</f>
        <v/>
      </c>
      <c r="X131" s="1358">
        <f>Y131-W131</f>
        <v/>
      </c>
      <c r="Y131" s="1358">
        <f>AVERAGEIFS(E:E,$A:$A,"&gt;"&amp;EOMONTH($V131,-4),$A:$A,"&lt;="&amp;EOMONTH($V131,-1))</f>
        <v/>
      </c>
      <c r="AA131" s="1357" t="n"/>
    </row>
    <row r="132">
      <c r="A132" s="544" t="n">
        <v>29392</v>
      </c>
      <c r="B132" s="637" t="n"/>
      <c r="C132" s="637" t="n"/>
      <c r="D132" s="637" t="n"/>
      <c r="E132" s="637" t="n"/>
      <c r="G132" s="1357">
        <f>EOMONTH(G131,3)</f>
        <v/>
      </c>
      <c r="H132" s="546">
        <f>AVERAGEIFS($B:$B,$A:$A,"&gt;"&amp;EOMONTH($G132,-3),$A:$A,"&lt;="&amp;EOMONTH($G132,0))</f>
        <v/>
      </c>
      <c r="I132" s="546">
        <f>J132-H132</f>
        <v/>
      </c>
      <c r="J132" s="546">
        <f>AVERAGEIFS($E:$E,$A:$A,"&gt;"&amp;EOMONTH($G132,-3),$A:$A,"&lt;="&amp;EOMONTH($G132,0))</f>
        <v/>
      </c>
      <c r="V132" s="1357">
        <f>EOMONTH(V131,3)</f>
        <v/>
      </c>
      <c r="W132" s="1358">
        <f>AVERAGEIFS(B:B,$A:$A,"&gt;"&amp;EOMONTH($V132,-4),$A:$A,"&lt;="&amp;EOMONTH($V132,-1))</f>
        <v/>
      </c>
      <c r="X132" s="1358">
        <f>Y132-W132</f>
        <v/>
      </c>
      <c r="Y132" s="1358">
        <f>AVERAGEIFS(E:E,$A:$A,"&gt;"&amp;EOMONTH($V132,-4),$A:$A,"&lt;="&amp;EOMONTH($V132,-1))</f>
        <v/>
      </c>
      <c r="AA132" s="1357" t="n"/>
    </row>
    <row r="133">
      <c r="A133" s="544" t="n">
        <v>29395</v>
      </c>
      <c r="B133" s="637" t="n"/>
      <c r="C133" s="637" t="n"/>
      <c r="D133" s="637" t="n"/>
      <c r="E133" s="637" t="n"/>
      <c r="G133" s="1357">
        <f>EOMONTH(G132,3)</f>
        <v/>
      </c>
      <c r="H133" s="546">
        <f>AVERAGEIFS($B:$B,$A:$A,"&gt;"&amp;EOMONTH($G133,-3),$A:$A,"&lt;="&amp;EOMONTH($G133,0))</f>
        <v/>
      </c>
      <c r="I133" s="546">
        <f>J133-H133</f>
        <v/>
      </c>
      <c r="J133" s="546">
        <f>AVERAGEIFS($E:$E,$A:$A,"&gt;"&amp;EOMONTH($G133,-3),$A:$A,"&lt;="&amp;EOMONTH($G133,0))</f>
        <v/>
      </c>
      <c r="V133" s="1357">
        <f>EOMONTH(V132,3)</f>
        <v/>
      </c>
      <c r="W133" s="1358">
        <f>AVERAGEIFS(B:B,$A:$A,"&gt;"&amp;EOMONTH($V133,-4),$A:$A,"&lt;="&amp;EOMONTH($V133,-1))</f>
        <v/>
      </c>
      <c r="X133" s="1358">
        <f>Y133-W133</f>
        <v/>
      </c>
      <c r="Y133" s="1358">
        <f>AVERAGEIFS(E:E,$A:$A,"&gt;"&amp;EOMONTH($V133,-4),$A:$A,"&lt;="&amp;EOMONTH($V133,-1))</f>
        <v/>
      </c>
      <c r="AA133" s="1357" t="n"/>
    </row>
    <row r="134">
      <c r="A134" s="544" t="n">
        <v>29396</v>
      </c>
      <c r="B134" s="637" t="n"/>
      <c r="C134" s="637" t="n"/>
      <c r="D134" s="637" t="n"/>
      <c r="E134" s="637" t="n"/>
      <c r="G134" s="1357">
        <f>EOMONTH(G133,3)</f>
        <v/>
      </c>
      <c r="H134" s="546">
        <f>AVERAGEIFS($B:$B,$A:$A,"&gt;"&amp;EOMONTH($G134,-3),$A:$A,"&lt;="&amp;EOMONTH($G134,0))</f>
        <v/>
      </c>
      <c r="I134" s="546">
        <f>J134-H134</f>
        <v/>
      </c>
      <c r="J134" s="546">
        <f>AVERAGEIFS($E:$E,$A:$A,"&gt;"&amp;EOMONTH($G134,-3),$A:$A,"&lt;="&amp;EOMONTH($G134,0))</f>
        <v/>
      </c>
      <c r="V134" s="1357">
        <f>EOMONTH(V133,3)</f>
        <v/>
      </c>
      <c r="W134" s="1358">
        <f>AVERAGEIFS(B:B,$A:$A,"&gt;"&amp;EOMONTH($V134,-4),$A:$A,"&lt;="&amp;EOMONTH($V134,-1))</f>
        <v/>
      </c>
      <c r="X134" s="1358">
        <f>Y134-W134</f>
        <v/>
      </c>
      <c r="Y134" s="1358">
        <f>AVERAGEIFS(E:E,$A:$A,"&gt;"&amp;EOMONTH($V134,-4),$A:$A,"&lt;="&amp;EOMONTH($V134,-1))</f>
        <v/>
      </c>
      <c r="AA134" s="1357" t="n"/>
    </row>
    <row r="135">
      <c r="A135" s="544" t="n">
        <v>29397</v>
      </c>
      <c r="B135" s="637" t="n"/>
      <c r="C135" s="637" t="n"/>
      <c r="D135" s="637" t="n"/>
      <c r="E135" s="637" t="n"/>
      <c r="G135" s="1357">
        <f>EOMONTH(G134,3)</f>
        <v/>
      </c>
      <c r="H135" s="546">
        <f>AVERAGEIFS($B:$B,$A:$A,"&gt;"&amp;EOMONTH($G135,-3),$A:$A,"&lt;="&amp;EOMONTH($G135,0))</f>
        <v/>
      </c>
      <c r="I135" s="546">
        <f>J135-H135</f>
        <v/>
      </c>
      <c r="J135" s="546">
        <f>AVERAGEIFS($E:$E,$A:$A,"&gt;"&amp;EOMONTH($G135,-3),$A:$A,"&lt;="&amp;EOMONTH($G135,0))</f>
        <v/>
      </c>
      <c r="V135" s="1357">
        <f>EOMONTH(V134,3)</f>
        <v/>
      </c>
      <c r="W135" s="1358">
        <f>AVERAGEIFS(B:B,$A:$A,"&gt;"&amp;EOMONTH($V135,-4),$A:$A,"&lt;="&amp;EOMONTH($V135,-1))</f>
        <v/>
      </c>
      <c r="X135" s="1358">
        <f>Y135-W135</f>
        <v/>
      </c>
      <c r="Y135" s="1358">
        <f>AVERAGEIFS(E:E,$A:$A,"&gt;"&amp;EOMONTH($V135,-4),$A:$A,"&lt;="&amp;EOMONTH($V135,-1))</f>
        <v/>
      </c>
      <c r="AA135" s="1357" t="n"/>
    </row>
    <row r="136">
      <c r="A136" s="544" t="n">
        <v>29398</v>
      </c>
      <c r="B136" s="637" t="n"/>
      <c r="C136" s="637" t="n"/>
      <c r="D136" s="637" t="n"/>
      <c r="E136" s="637" t="n"/>
      <c r="G136" s="1357">
        <f>EOMONTH(G135,3)</f>
        <v/>
      </c>
      <c r="H136" s="546">
        <f>AVERAGEIFS($B:$B,$A:$A,"&gt;"&amp;EOMONTH($G136,-3),$A:$A,"&lt;="&amp;EOMONTH($G136,0))</f>
        <v/>
      </c>
      <c r="I136" s="546">
        <f>J136-H136</f>
        <v/>
      </c>
      <c r="J136" s="546">
        <f>AVERAGEIFS($E:$E,$A:$A,"&gt;"&amp;EOMONTH($G136,-3),$A:$A,"&lt;="&amp;EOMONTH($G136,0))</f>
        <v/>
      </c>
      <c r="V136" s="1357">
        <f>EOMONTH(V135,3)</f>
        <v/>
      </c>
      <c r="W136" s="1358">
        <f>AVERAGEIFS(B:B,$A:$A,"&gt;"&amp;EOMONTH($V136,-4),$A:$A,"&lt;="&amp;EOMONTH($V136,-1))</f>
        <v/>
      </c>
      <c r="X136" s="1358">
        <f>Y136-W136</f>
        <v/>
      </c>
      <c r="Y136" s="1358">
        <f>AVERAGEIFS(E:E,$A:$A,"&gt;"&amp;EOMONTH($V136,-4),$A:$A,"&lt;="&amp;EOMONTH($V136,-1))</f>
        <v/>
      </c>
      <c r="AA136" s="1357" t="n"/>
    </row>
    <row r="137">
      <c r="A137" s="544" t="n">
        <v>29399</v>
      </c>
      <c r="B137" s="637" t="n"/>
      <c r="C137" s="637" t="n"/>
      <c r="D137" s="637" t="n"/>
      <c r="E137" s="637" t="n"/>
      <c r="G137" s="1357">
        <f>EOMONTH(G136,3)</f>
        <v/>
      </c>
      <c r="H137" s="546">
        <f>AVERAGEIFS($B:$B,$A:$A,"&gt;"&amp;EOMONTH($G137,-3),$A:$A,"&lt;="&amp;EOMONTH($G137,0))</f>
        <v/>
      </c>
      <c r="I137" s="546">
        <f>J137-H137</f>
        <v/>
      </c>
      <c r="J137" s="546">
        <f>AVERAGEIFS($E:$E,$A:$A,"&gt;"&amp;EOMONTH($G137,-3),$A:$A,"&lt;="&amp;EOMONTH($G137,0))</f>
        <v/>
      </c>
      <c r="V137" s="1357">
        <f>EOMONTH(V136,3)</f>
        <v/>
      </c>
      <c r="W137" s="1358">
        <f>AVERAGEIFS(B:B,$A:$A,"&gt;"&amp;EOMONTH($V137,-4),$A:$A,"&lt;="&amp;EOMONTH($V137,-1))</f>
        <v/>
      </c>
      <c r="X137" s="1358">
        <f>Y137-W137</f>
        <v/>
      </c>
      <c r="Y137" s="1358">
        <f>AVERAGEIFS(E:E,$A:$A,"&gt;"&amp;EOMONTH($V137,-4),$A:$A,"&lt;="&amp;EOMONTH($V137,-1))</f>
        <v/>
      </c>
      <c r="AA137" s="1357" t="n"/>
    </row>
    <row r="138">
      <c r="A138" s="544" t="n">
        <v>29402</v>
      </c>
      <c r="B138" s="637" t="n"/>
      <c r="C138" s="637" t="n"/>
      <c r="D138" s="637" t="n"/>
      <c r="E138" s="637" t="n"/>
      <c r="G138" s="1357">
        <f>EOMONTH(G137,3)</f>
        <v/>
      </c>
      <c r="H138" s="546">
        <f>AVERAGEIFS($B:$B,$A:$A,"&gt;"&amp;EOMONTH($G138,-3),$A:$A,"&lt;="&amp;EOMONTH($G138,0))</f>
        <v/>
      </c>
      <c r="I138" s="546">
        <f>J138-H138</f>
        <v/>
      </c>
      <c r="J138" s="546">
        <f>AVERAGEIFS($E:$E,$A:$A,"&gt;"&amp;EOMONTH($G138,-3),$A:$A,"&lt;="&amp;EOMONTH($G138,0))</f>
        <v/>
      </c>
      <c r="V138" s="1357">
        <f>EOMONTH(V137,3)</f>
        <v/>
      </c>
      <c r="W138" s="1358">
        <f>AVERAGEIFS(B:B,$A:$A,"&gt;"&amp;EOMONTH($V138,-4),$A:$A,"&lt;="&amp;EOMONTH($V138,-1))</f>
        <v/>
      </c>
      <c r="X138" s="1358">
        <f>Y138-W138</f>
        <v/>
      </c>
      <c r="Y138" s="1358">
        <f>AVERAGEIFS(E:E,$A:$A,"&gt;"&amp;EOMONTH($V138,-4),$A:$A,"&lt;="&amp;EOMONTH($V138,-1))</f>
        <v/>
      </c>
      <c r="AA138" s="1357" t="n"/>
    </row>
    <row r="139">
      <c r="A139" s="544" t="n">
        <v>29403</v>
      </c>
      <c r="B139" s="637" t="n"/>
      <c r="C139" s="637" t="n"/>
      <c r="D139" s="637" t="n"/>
      <c r="E139" s="637" t="n"/>
      <c r="G139" s="1357">
        <f>EOMONTH(G138,3)</f>
        <v/>
      </c>
      <c r="H139" s="546">
        <f>AVERAGEIFS($B:$B,$A:$A,"&gt;"&amp;EOMONTH($G139,-3),$A:$A,"&lt;="&amp;EOMONTH($G139,0))</f>
        <v/>
      </c>
      <c r="I139" s="546">
        <f>J139-H139</f>
        <v/>
      </c>
      <c r="J139" s="546">
        <f>AVERAGEIFS($E:$E,$A:$A,"&gt;"&amp;EOMONTH($G139,-3),$A:$A,"&lt;="&amp;EOMONTH($G139,0))</f>
        <v/>
      </c>
      <c r="V139" s="1357">
        <f>EOMONTH(V138,3)</f>
        <v/>
      </c>
      <c r="W139" s="1358">
        <f>AVERAGEIFS(B:B,$A:$A,"&gt;"&amp;EOMONTH($V139,-4),$A:$A,"&lt;="&amp;EOMONTH($V139,-1))</f>
        <v/>
      </c>
      <c r="X139" s="1358">
        <f>Y139-W139</f>
        <v/>
      </c>
      <c r="Y139" s="1358">
        <f>AVERAGEIFS(E:E,$A:$A,"&gt;"&amp;EOMONTH($V139,-4),$A:$A,"&lt;="&amp;EOMONTH($V139,-1))</f>
        <v/>
      </c>
      <c r="AA139" s="1357" t="n"/>
    </row>
    <row r="140">
      <c r="A140" s="544" t="n">
        <v>29404</v>
      </c>
      <c r="B140" s="637" t="n"/>
      <c r="C140" s="637" t="n"/>
      <c r="D140" s="637" t="n"/>
      <c r="E140" s="637" t="n"/>
      <c r="G140" s="1357">
        <f>EOMONTH(G139,3)</f>
        <v/>
      </c>
      <c r="H140" s="546">
        <f>AVERAGEIFS($B:$B,$A:$A,"&gt;"&amp;EOMONTH($G140,-3),$A:$A,"&lt;="&amp;EOMONTH($G140,0))</f>
        <v/>
      </c>
      <c r="I140" s="546">
        <f>J140-H140</f>
        <v/>
      </c>
      <c r="J140" s="546">
        <f>AVERAGEIFS($E:$E,$A:$A,"&gt;"&amp;EOMONTH($G140,-3),$A:$A,"&lt;="&amp;EOMONTH($G140,0))</f>
        <v/>
      </c>
      <c r="V140" s="1357">
        <f>EOMONTH(V139,3)</f>
        <v/>
      </c>
      <c r="W140" s="1358">
        <f>AVERAGEIFS(B:B,$A:$A,"&gt;"&amp;EOMONTH($V140,-4),$A:$A,"&lt;="&amp;EOMONTH($V140,-1))</f>
        <v/>
      </c>
      <c r="X140" s="1358">
        <f>Y140-W140</f>
        <v/>
      </c>
      <c r="Y140" s="1358">
        <f>AVERAGEIFS(E:E,$A:$A,"&gt;"&amp;EOMONTH($V140,-4),$A:$A,"&lt;="&amp;EOMONTH($V140,-1))</f>
        <v/>
      </c>
    </row>
    <row r="141">
      <c r="A141" s="544" t="n">
        <v>29405</v>
      </c>
      <c r="B141" s="637" t="n"/>
      <c r="C141" s="637" t="n"/>
      <c r="D141" s="637" t="n"/>
      <c r="E141" s="637" t="n"/>
      <c r="G141" s="1357">
        <f>EOMONTH(G140,3)</f>
        <v/>
      </c>
      <c r="H141" s="546">
        <f>AVERAGEIFS($B:$B,$A:$A,"&gt;"&amp;EOMONTH($G141,-3),$A:$A,"&lt;="&amp;EOMONTH($G141,0))</f>
        <v/>
      </c>
      <c r="I141" s="546">
        <f>J141-H141</f>
        <v/>
      </c>
      <c r="J141" s="546">
        <f>AVERAGEIFS($E:$E,$A:$A,"&gt;"&amp;EOMONTH($G141,-3),$A:$A,"&lt;="&amp;EOMONTH($G141,0))</f>
        <v/>
      </c>
      <c r="V141" s="1357">
        <f>EOMONTH(V140,3)</f>
        <v/>
      </c>
      <c r="W141" s="1358">
        <f>AVERAGEIFS(B:B,$A:$A,"&gt;"&amp;EOMONTH($V141,-4),$A:$A,"&lt;="&amp;EOMONTH($V141,-1))</f>
        <v/>
      </c>
      <c r="X141" s="1358">
        <f>Y141-W141</f>
        <v/>
      </c>
      <c r="Y141" s="1358">
        <f>AVERAGEIFS(E:E,$A:$A,"&gt;"&amp;EOMONTH($V141,-4),$A:$A,"&lt;="&amp;EOMONTH($V141,-1))</f>
        <v/>
      </c>
    </row>
    <row r="142">
      <c r="A142" s="544" t="n">
        <v>29406</v>
      </c>
      <c r="B142" s="637" t="n"/>
      <c r="C142" s="637" t="n"/>
      <c r="D142" s="637" t="n"/>
      <c r="E142" s="637" t="n"/>
      <c r="G142" s="1357">
        <f>EOMONTH(G141,3)</f>
        <v/>
      </c>
      <c r="H142" s="546">
        <f>AVERAGEIFS($B:$B,$A:$A,"&gt;"&amp;EOMONTH($G142,-3),$A:$A,"&lt;="&amp;EOMONTH($G142,0))</f>
        <v/>
      </c>
      <c r="I142" s="546">
        <f>J142-H142</f>
        <v/>
      </c>
      <c r="J142" s="546">
        <f>AVERAGEIFS($E:$E,$A:$A,"&gt;"&amp;EOMONTH($G142,-3),$A:$A,"&lt;="&amp;EOMONTH($G142,0))</f>
        <v/>
      </c>
      <c r="V142" s="1357">
        <f>EOMONTH(V141,3)</f>
        <v/>
      </c>
      <c r="W142" s="1358">
        <f>AVERAGEIFS(B:B,$A:$A,"&gt;"&amp;EOMONTH($V142,-4),$A:$A,"&lt;="&amp;EOMONTH($V142,-1))</f>
        <v/>
      </c>
      <c r="X142" s="1358">
        <f>Y142-W142</f>
        <v/>
      </c>
      <c r="Y142" s="1358">
        <f>AVERAGEIFS(E:E,$A:$A,"&gt;"&amp;EOMONTH($V142,-4),$A:$A,"&lt;="&amp;EOMONTH($V142,-1))</f>
        <v/>
      </c>
    </row>
    <row r="143">
      <c r="A143" s="544" t="n">
        <v>29409</v>
      </c>
      <c r="B143" s="637" t="n"/>
      <c r="C143" s="637" t="n"/>
      <c r="D143" s="637" t="n"/>
      <c r="E143" s="637" t="n"/>
      <c r="G143" s="1357">
        <f>EOMONTH(G142,3)</f>
        <v/>
      </c>
      <c r="H143" s="546">
        <f>AVERAGEIFS($B:$B,$A:$A,"&gt;"&amp;EOMONTH($G143,-3),$A:$A,"&lt;="&amp;EOMONTH($G143,0))</f>
        <v/>
      </c>
      <c r="I143" s="546">
        <f>J143-H143</f>
        <v/>
      </c>
      <c r="J143" s="546">
        <f>AVERAGEIFS($E:$E,$A:$A,"&gt;"&amp;EOMONTH($G143,-3),$A:$A,"&lt;="&amp;EOMONTH($G143,0))</f>
        <v/>
      </c>
      <c r="V143" s="1357">
        <f>EOMONTH(V142,3)</f>
        <v/>
      </c>
      <c r="W143" s="1358">
        <f>AVERAGEIFS(B:B,$A:$A,"&gt;"&amp;EOMONTH($V143,-4),$A:$A,"&lt;="&amp;EOMONTH($V143,-1))</f>
        <v/>
      </c>
      <c r="X143" s="1358">
        <f>Y143-W143</f>
        <v/>
      </c>
      <c r="Y143" s="1358">
        <f>AVERAGEIFS(E:E,$A:$A,"&gt;"&amp;EOMONTH($V143,-4),$A:$A,"&lt;="&amp;EOMONTH($V143,-1))</f>
        <v/>
      </c>
    </row>
    <row r="144">
      <c r="A144" s="544" t="n">
        <v>29410</v>
      </c>
      <c r="B144" s="637" t="n"/>
      <c r="C144" s="637" t="n"/>
      <c r="D144" s="637" t="n"/>
      <c r="E144" s="637" t="n"/>
      <c r="G144" s="1357">
        <f>EOMONTH(G143,3)</f>
        <v/>
      </c>
      <c r="H144" s="546">
        <f>AVERAGEIFS($B:$B,$A:$A,"&gt;"&amp;EOMONTH($G144,-3),$A:$A,"&lt;="&amp;EOMONTH($G144,0))</f>
        <v/>
      </c>
      <c r="I144" s="546">
        <f>J144-H144</f>
        <v/>
      </c>
      <c r="J144" s="546">
        <f>AVERAGEIFS($E:$E,$A:$A,"&gt;"&amp;EOMONTH($G144,-3),$A:$A,"&lt;="&amp;EOMONTH($G144,0))</f>
        <v/>
      </c>
      <c r="V144" s="1357">
        <f>EOMONTH(V143,3)</f>
        <v/>
      </c>
      <c r="W144" s="1358">
        <f>AVERAGEIFS(B:B,$A:$A,"&gt;"&amp;EOMONTH($V144,-4),$A:$A,"&lt;="&amp;EOMONTH($V144,-1))</f>
        <v/>
      </c>
      <c r="X144" s="1358">
        <f>Y144-W144</f>
        <v/>
      </c>
      <c r="Y144" s="1358">
        <f>AVERAGEIFS(E:E,$A:$A,"&gt;"&amp;EOMONTH($V144,-4),$A:$A,"&lt;="&amp;EOMONTH($V144,-1))</f>
        <v/>
      </c>
    </row>
    <row r="145">
      <c r="A145" s="544" t="n">
        <v>29411</v>
      </c>
      <c r="B145" s="637" t="n"/>
      <c r="C145" s="637" t="n"/>
      <c r="D145" s="637" t="n"/>
      <c r="E145" s="637" t="n"/>
      <c r="G145" s="1357">
        <f>EOMONTH(G144,3)</f>
        <v/>
      </c>
      <c r="H145" s="546">
        <f>AVERAGEIFS($B:$B,$A:$A,"&gt;"&amp;EOMONTH($G145,-3),$A:$A,"&lt;="&amp;EOMONTH($G145,0))</f>
        <v/>
      </c>
      <c r="I145" s="546">
        <f>J145-H145</f>
        <v/>
      </c>
      <c r="J145" s="546">
        <f>AVERAGEIFS($E:$E,$A:$A,"&gt;"&amp;EOMONTH($G145,-3),$A:$A,"&lt;="&amp;EOMONTH($G145,0))</f>
        <v/>
      </c>
      <c r="V145" s="1357">
        <f>EOMONTH(V144,3)</f>
        <v/>
      </c>
      <c r="W145" s="1358">
        <f>AVERAGEIFS(B:B,$A:$A,"&gt;"&amp;EOMONTH($V145,-4),$A:$A,"&lt;="&amp;EOMONTH($V145,-1))</f>
        <v/>
      </c>
      <c r="X145" s="1358">
        <f>Y145-W145</f>
        <v/>
      </c>
      <c r="Y145" s="1358">
        <f>AVERAGEIFS(E:E,$A:$A,"&gt;"&amp;EOMONTH($V145,-4),$A:$A,"&lt;="&amp;EOMONTH($V145,-1))</f>
        <v/>
      </c>
    </row>
    <row r="146">
      <c r="A146" s="544" t="n">
        <v>29412</v>
      </c>
      <c r="B146" s="637" t="n"/>
      <c r="C146" s="637" t="n"/>
      <c r="D146" s="637" t="n"/>
      <c r="E146" s="637" t="n"/>
      <c r="G146" s="1357">
        <f>EOMONTH(G145,3)</f>
        <v/>
      </c>
      <c r="H146" s="546">
        <f>AVERAGEIFS($B:$B,$A:$A,"&gt;"&amp;EOMONTH($G146,-3),$A:$A,"&lt;="&amp;EOMONTH($G146,0))</f>
        <v/>
      </c>
      <c r="I146" s="546">
        <f>J146-H146</f>
        <v/>
      </c>
      <c r="J146" s="546">
        <f>AVERAGEIFS($E:$E,$A:$A,"&gt;"&amp;EOMONTH($G146,-3),$A:$A,"&lt;="&amp;EOMONTH($G146,0))</f>
        <v/>
      </c>
      <c r="V146" s="1357">
        <f>EOMONTH(V145,3)</f>
        <v/>
      </c>
      <c r="W146" s="1358">
        <f>AVERAGEIFS(B:B,$A:$A,"&gt;"&amp;EOMONTH($V146,-4),$A:$A,"&lt;="&amp;EOMONTH($V146,-1))</f>
        <v/>
      </c>
      <c r="X146" s="1358">
        <f>Y146-W146</f>
        <v/>
      </c>
      <c r="Y146" s="1358">
        <f>AVERAGEIFS(E:E,$A:$A,"&gt;"&amp;EOMONTH($V146,-4),$A:$A,"&lt;="&amp;EOMONTH($V146,-1))</f>
        <v/>
      </c>
    </row>
    <row r="147">
      <c r="A147" s="544" t="n">
        <v>29413</v>
      </c>
      <c r="B147" s="637" t="n"/>
      <c r="C147" s="637" t="n"/>
      <c r="D147" s="637" t="n"/>
      <c r="E147" s="637" t="n"/>
      <c r="G147" s="1357">
        <f>EOMONTH(G146,3)</f>
        <v/>
      </c>
      <c r="H147" s="546">
        <f>AVERAGEIFS($B:$B,$A:$A,"&gt;"&amp;EOMONTH($G147,-3),$A:$A,"&lt;="&amp;EOMONTH($G147,0))</f>
        <v/>
      </c>
      <c r="I147" s="546">
        <f>J147-H147</f>
        <v/>
      </c>
      <c r="J147" s="546">
        <f>AVERAGEIFS($E:$E,$A:$A,"&gt;"&amp;EOMONTH($G147,-3),$A:$A,"&lt;="&amp;EOMONTH($G147,0))</f>
        <v/>
      </c>
      <c r="V147" s="1357">
        <f>EOMONTH(V146,3)</f>
        <v/>
      </c>
      <c r="W147" s="1358">
        <f>AVERAGEIFS(B:B,$A:$A,"&gt;"&amp;EOMONTH($V147,-4),$A:$A,"&lt;="&amp;EOMONTH($V147,-1))</f>
        <v/>
      </c>
      <c r="X147" s="1358">
        <f>Y147-W147</f>
        <v/>
      </c>
      <c r="Y147" s="1358">
        <f>AVERAGEIFS(E:E,$A:$A,"&gt;"&amp;EOMONTH($V147,-4),$A:$A,"&lt;="&amp;EOMONTH($V147,-1))</f>
        <v/>
      </c>
    </row>
    <row r="148">
      <c r="A148" s="544" t="n">
        <v>29416</v>
      </c>
      <c r="B148" s="637" t="n"/>
      <c r="C148" s="637" t="n"/>
      <c r="D148" s="637" t="n"/>
      <c r="E148" s="637" t="n"/>
      <c r="G148" s="1357">
        <f>EOMONTH(G147,3)</f>
        <v/>
      </c>
      <c r="H148" s="546">
        <f>AVERAGEIFS($B:$B,$A:$A,"&gt;"&amp;EOMONTH($G148,-3),$A:$A,"&lt;="&amp;EOMONTH($G148,0))</f>
        <v/>
      </c>
      <c r="I148" s="546">
        <f>J148-H148</f>
        <v/>
      </c>
      <c r="J148" s="546">
        <f>AVERAGEIFS($E:$E,$A:$A,"&gt;"&amp;EOMONTH($G148,-3),$A:$A,"&lt;="&amp;EOMONTH($G148,0))</f>
        <v/>
      </c>
      <c r="V148" s="1357">
        <f>EOMONTH(V147,3)</f>
        <v/>
      </c>
      <c r="W148" s="1358">
        <f>AVERAGEIFS(B:B,$A:$A,"&gt;"&amp;EOMONTH($V148,-4),$A:$A,"&lt;="&amp;EOMONTH($V148,-1))</f>
        <v/>
      </c>
      <c r="X148" s="1358">
        <f>Y148-W148</f>
        <v/>
      </c>
      <c r="Y148" s="1358">
        <f>AVERAGEIFS(E:E,$A:$A,"&gt;"&amp;EOMONTH($V148,-4),$A:$A,"&lt;="&amp;EOMONTH($V148,-1))</f>
        <v/>
      </c>
    </row>
    <row r="149">
      <c r="A149" s="544" t="n">
        <v>29417</v>
      </c>
      <c r="B149" s="637" t="n"/>
      <c r="C149" s="637" t="n"/>
      <c r="D149" s="637" t="n"/>
      <c r="E149" s="637" t="n"/>
      <c r="G149" s="1357">
        <f>EOMONTH(G148,3)</f>
        <v/>
      </c>
      <c r="H149" s="546">
        <f>AVERAGEIFS($B:$B,$A:$A,"&gt;"&amp;EOMONTH($G149,-3),$A:$A,"&lt;="&amp;EOMONTH($G149,0))</f>
        <v/>
      </c>
      <c r="I149" s="546">
        <f>J149-H149</f>
        <v/>
      </c>
      <c r="J149" s="546">
        <f>AVERAGEIFS($E:$E,$A:$A,"&gt;"&amp;EOMONTH($G149,-3),$A:$A,"&lt;="&amp;EOMONTH($G149,0))</f>
        <v/>
      </c>
      <c r="V149" s="1357">
        <f>EOMONTH(V148,3)</f>
        <v/>
      </c>
      <c r="W149" s="1358">
        <f>AVERAGEIFS(B:B,$A:$A,"&gt;"&amp;EOMONTH($V149,-4),$A:$A,"&lt;="&amp;EOMONTH($V149,-1))</f>
        <v/>
      </c>
      <c r="X149" s="1358">
        <f>Y149-W149</f>
        <v/>
      </c>
      <c r="Y149" s="1358">
        <f>AVERAGEIFS(E:E,$A:$A,"&gt;"&amp;EOMONTH($V149,-4),$A:$A,"&lt;="&amp;EOMONTH($V149,-1))</f>
        <v/>
      </c>
    </row>
    <row r="150">
      <c r="A150" s="544" t="n">
        <v>29418</v>
      </c>
      <c r="B150" s="637" t="n"/>
      <c r="C150" s="637" t="n"/>
      <c r="D150" s="637" t="n"/>
      <c r="E150" s="637" t="n"/>
      <c r="G150" s="1357">
        <f>EOMONTH(G149,3)</f>
        <v/>
      </c>
      <c r="H150" s="546">
        <f>AVERAGEIFS($B:$B,$A:$A,"&gt;"&amp;EOMONTH($G150,-3),$A:$A,"&lt;="&amp;EOMONTH($G150,0))</f>
        <v/>
      </c>
      <c r="I150" s="546">
        <f>J150-H150</f>
        <v/>
      </c>
      <c r="J150" s="546">
        <f>AVERAGEIFS($E:$E,$A:$A,"&gt;"&amp;EOMONTH($G150,-3),$A:$A,"&lt;="&amp;EOMONTH($G150,0))</f>
        <v/>
      </c>
      <c r="V150" s="1357">
        <f>EOMONTH(V149,3)</f>
        <v/>
      </c>
      <c r="W150" s="1358">
        <f>AVERAGEIFS(B:B,$A:$A,"&gt;"&amp;EOMONTH($V150,-4),$A:$A,"&lt;="&amp;EOMONTH($V150,-1))</f>
        <v/>
      </c>
      <c r="X150" s="1358">
        <f>Y150-W150</f>
        <v/>
      </c>
      <c r="Y150" s="1358">
        <f>AVERAGEIFS(E:E,$A:$A,"&gt;"&amp;EOMONTH($V150,-4),$A:$A,"&lt;="&amp;EOMONTH($V150,-1))</f>
        <v/>
      </c>
    </row>
    <row r="151">
      <c r="A151" s="544" t="n">
        <v>29419</v>
      </c>
      <c r="B151" s="637" t="n"/>
      <c r="C151" s="637" t="n"/>
      <c r="D151" s="637" t="n"/>
      <c r="E151" s="637" t="n"/>
      <c r="G151" s="1357">
        <f>EOMONTH(G150,3)</f>
        <v/>
      </c>
      <c r="H151" s="546">
        <f>AVERAGEIFS($B:$B,$A:$A,"&gt;"&amp;EOMONTH($G151,-3),$A:$A,"&lt;="&amp;EOMONTH($G151,0))</f>
        <v/>
      </c>
      <c r="I151" s="546">
        <f>J151-H151</f>
        <v/>
      </c>
      <c r="J151" s="546">
        <f>AVERAGEIFS($E:$E,$A:$A,"&gt;"&amp;EOMONTH($G151,-3),$A:$A,"&lt;="&amp;EOMONTH($G151,0))</f>
        <v/>
      </c>
      <c r="V151" s="1357">
        <f>EOMONTH(V150,3)</f>
        <v/>
      </c>
      <c r="W151" s="1358">
        <f>AVERAGEIFS(B:B,$A:$A,"&gt;"&amp;EOMONTH($V151,-4),$A:$A,"&lt;="&amp;EOMONTH($V151,-1))</f>
        <v/>
      </c>
      <c r="X151" s="1358">
        <f>Y151-W151</f>
        <v/>
      </c>
      <c r="Y151" s="1358">
        <f>AVERAGEIFS(E:E,$A:$A,"&gt;"&amp;EOMONTH($V151,-4),$A:$A,"&lt;="&amp;EOMONTH($V151,-1))</f>
        <v/>
      </c>
    </row>
    <row r="152">
      <c r="A152" s="544" t="n">
        <v>29420</v>
      </c>
      <c r="B152" s="637" t="n"/>
      <c r="C152" s="637" t="n"/>
      <c r="D152" s="637" t="n"/>
      <c r="E152" s="637" t="n"/>
      <c r="G152" s="1357">
        <f>EOMONTH(G151,3)</f>
        <v/>
      </c>
      <c r="H152" s="546">
        <f>AVERAGEIFS($B:$B,$A:$A,"&gt;"&amp;EOMONTH($G152,-3),$A:$A,"&lt;="&amp;EOMONTH($G152,0))</f>
        <v/>
      </c>
      <c r="I152" s="546">
        <f>J152-H152</f>
        <v/>
      </c>
      <c r="J152" s="546">
        <f>AVERAGEIFS($E:$E,$A:$A,"&gt;"&amp;EOMONTH($G152,-3),$A:$A,"&lt;="&amp;EOMONTH($G152,0))</f>
        <v/>
      </c>
      <c r="V152" s="1357">
        <f>EOMONTH(V151,3)</f>
        <v/>
      </c>
      <c r="W152" s="1358">
        <f>AVERAGEIFS(B:B,$A:$A,"&gt;"&amp;EOMONTH($V152,-4),$A:$A,"&lt;="&amp;EOMONTH($V152,-1))</f>
        <v/>
      </c>
      <c r="X152" s="1358">
        <f>Y152-W152</f>
        <v/>
      </c>
      <c r="Y152" s="1358">
        <f>AVERAGEIFS(E:E,$A:$A,"&gt;"&amp;EOMONTH($V152,-4),$A:$A,"&lt;="&amp;EOMONTH($V152,-1))</f>
        <v/>
      </c>
    </row>
    <row r="153">
      <c r="A153" s="544" t="n">
        <v>29423</v>
      </c>
      <c r="B153" s="637" t="n"/>
      <c r="C153" s="637" t="n"/>
      <c r="D153" s="637" t="n"/>
      <c r="E153" s="637" t="n"/>
      <c r="G153" s="1357">
        <f>EOMONTH(G152,3)</f>
        <v/>
      </c>
      <c r="H153" s="546">
        <f>AVERAGEIFS($B:$B,$A:$A,"&gt;"&amp;EOMONTH($G153,-3),$A:$A,"&lt;="&amp;EOMONTH($G153,0))</f>
        <v/>
      </c>
      <c r="I153" s="546">
        <f>J153-H153</f>
        <v/>
      </c>
      <c r="J153" s="546">
        <f>AVERAGEIFS($E:$E,$A:$A,"&gt;"&amp;EOMONTH($G153,-3),$A:$A,"&lt;="&amp;EOMONTH($G153,0))</f>
        <v/>
      </c>
      <c r="V153" s="1357">
        <f>EOMONTH(V152,3)</f>
        <v/>
      </c>
      <c r="W153" s="1358">
        <f>AVERAGEIFS(B:B,$A:$A,"&gt;"&amp;EOMONTH($V153,-4),$A:$A,"&lt;="&amp;EOMONTH($V153,-1))</f>
        <v/>
      </c>
      <c r="X153" s="1358">
        <f>Y153-W153</f>
        <v/>
      </c>
      <c r="Y153" s="1358">
        <f>AVERAGEIFS(E:E,$A:$A,"&gt;"&amp;EOMONTH($V153,-4),$A:$A,"&lt;="&amp;EOMONTH($V153,-1))</f>
        <v/>
      </c>
    </row>
    <row r="154">
      <c r="A154" s="544" t="n">
        <v>29424</v>
      </c>
      <c r="B154" s="637" t="n"/>
      <c r="C154" s="637" t="n"/>
      <c r="D154" s="637" t="n"/>
      <c r="E154" s="637" t="n"/>
      <c r="G154" s="1357">
        <f>EOMONTH(G153,3)</f>
        <v/>
      </c>
      <c r="H154" s="546">
        <f>AVERAGEIFS($B:$B,$A:$A,"&gt;"&amp;EOMONTH($G154,-3),$A:$A,"&lt;="&amp;EOMONTH($G154,0))</f>
        <v/>
      </c>
      <c r="I154" s="546">
        <f>J154-H154</f>
        <v/>
      </c>
      <c r="J154" s="546">
        <f>AVERAGEIFS($E:$E,$A:$A,"&gt;"&amp;EOMONTH($G154,-3),$A:$A,"&lt;="&amp;EOMONTH($G154,0))</f>
        <v/>
      </c>
      <c r="V154" s="1357">
        <f>EOMONTH(V153,3)</f>
        <v/>
      </c>
      <c r="W154" s="1358">
        <f>AVERAGEIFS(B:B,$A:$A,"&gt;"&amp;EOMONTH($V154,-4),$A:$A,"&lt;="&amp;EOMONTH($V154,-1))</f>
        <v/>
      </c>
      <c r="X154" s="1358">
        <f>Y154-W154</f>
        <v/>
      </c>
      <c r="Y154" s="1358">
        <f>AVERAGEIFS(E:E,$A:$A,"&gt;"&amp;EOMONTH($V154,-4),$A:$A,"&lt;="&amp;EOMONTH($V154,-1))</f>
        <v/>
      </c>
    </row>
    <row r="155">
      <c r="A155" s="544" t="n">
        <v>29425</v>
      </c>
      <c r="B155" s="637" t="n"/>
      <c r="C155" s="637" t="n"/>
      <c r="D155" s="637" t="n"/>
      <c r="E155" s="637" t="n"/>
      <c r="G155" s="1357">
        <f>EOMONTH(G154,3)</f>
        <v/>
      </c>
      <c r="H155" s="546">
        <f>AVERAGEIFS($B:$B,$A:$A,"&gt;"&amp;EOMONTH($G155,-3),$A:$A,"&lt;="&amp;EOMONTH($G155,0))</f>
        <v/>
      </c>
      <c r="I155" s="546">
        <f>J155-H155</f>
        <v/>
      </c>
      <c r="J155" s="546">
        <f>AVERAGEIFS($E:$E,$A:$A,"&gt;"&amp;EOMONTH($G155,-3),$A:$A,"&lt;="&amp;EOMONTH($G155,0))</f>
        <v/>
      </c>
      <c r="V155" s="1357">
        <f>EOMONTH(V154,3)</f>
        <v/>
      </c>
      <c r="W155" s="1358">
        <f>AVERAGEIFS(B:B,$A:$A,"&gt;"&amp;EOMONTH($V155,-4),$A:$A,"&lt;="&amp;EOMONTH($V155,-1))</f>
        <v/>
      </c>
      <c r="X155" s="1358">
        <f>Y155-W155</f>
        <v/>
      </c>
      <c r="Y155" s="1358">
        <f>AVERAGEIFS(E:E,$A:$A,"&gt;"&amp;EOMONTH($V155,-4),$A:$A,"&lt;="&amp;EOMONTH($V155,-1))</f>
        <v/>
      </c>
    </row>
    <row r="156">
      <c r="A156" s="544" t="n">
        <v>29426</v>
      </c>
      <c r="B156" s="637" t="n"/>
      <c r="C156" s="637" t="n"/>
      <c r="D156" s="637" t="n"/>
      <c r="E156" s="637" t="n"/>
      <c r="G156" s="1357">
        <f>EOMONTH(G155,3)</f>
        <v/>
      </c>
      <c r="H156" s="546">
        <f>AVERAGEIFS($B:$B,$A:$A,"&gt;"&amp;EOMONTH($G156,-3),$A:$A,"&lt;="&amp;EOMONTH($G156,0))</f>
        <v/>
      </c>
      <c r="I156" s="546">
        <f>J156-H156</f>
        <v/>
      </c>
      <c r="J156" s="546">
        <f>AVERAGEIFS($E:$E,$A:$A,"&gt;"&amp;EOMONTH($G156,-3),$A:$A,"&lt;="&amp;EOMONTH($G156,0))</f>
        <v/>
      </c>
      <c r="V156" s="1357">
        <f>EOMONTH(V155,3)</f>
        <v/>
      </c>
      <c r="W156" s="1358">
        <f>AVERAGEIFS(B:B,$A:$A,"&gt;"&amp;EOMONTH($V156,-4),$A:$A,"&lt;="&amp;EOMONTH($V156,-1))</f>
        <v/>
      </c>
      <c r="X156" s="1358">
        <f>Y156-W156</f>
        <v/>
      </c>
      <c r="Y156" s="1358">
        <f>AVERAGEIFS(E:E,$A:$A,"&gt;"&amp;EOMONTH($V156,-4),$A:$A,"&lt;="&amp;EOMONTH($V156,-1))</f>
        <v/>
      </c>
    </row>
    <row r="157">
      <c r="A157" s="544" t="n">
        <v>29427</v>
      </c>
      <c r="B157" s="637" t="n"/>
      <c r="C157" s="637" t="n"/>
      <c r="D157" s="637" t="n"/>
      <c r="E157" s="637" t="n"/>
      <c r="G157" s="1357">
        <f>EOMONTH(G156,3)</f>
        <v/>
      </c>
      <c r="H157" s="546">
        <f>AVERAGEIFS($B:$B,$A:$A,"&gt;"&amp;EOMONTH($G157,-3),$A:$A,"&lt;="&amp;EOMONTH($G157,0))</f>
        <v/>
      </c>
      <c r="I157" s="546">
        <f>J157-H157</f>
        <v/>
      </c>
      <c r="J157" s="546">
        <f>AVERAGEIFS($E:$E,$A:$A,"&gt;"&amp;EOMONTH($G157,-3),$A:$A,"&lt;="&amp;EOMONTH($G157,0))</f>
        <v/>
      </c>
      <c r="V157" s="1357">
        <f>EOMONTH(V156,3)</f>
        <v/>
      </c>
      <c r="W157" s="1358">
        <f>AVERAGEIFS(B:B,$A:$A,"&gt;"&amp;EOMONTH($V157,-4),$A:$A,"&lt;="&amp;EOMONTH($V157,-1))</f>
        <v/>
      </c>
      <c r="X157" s="1358">
        <f>Y157-W157</f>
        <v/>
      </c>
      <c r="Y157" s="1358">
        <f>AVERAGEIFS(E:E,$A:$A,"&gt;"&amp;EOMONTH($V157,-4),$A:$A,"&lt;="&amp;EOMONTH($V157,-1))</f>
        <v/>
      </c>
    </row>
    <row r="158">
      <c r="A158" s="544" t="n">
        <v>29430</v>
      </c>
      <c r="B158" s="637" t="n"/>
      <c r="C158" s="637" t="n"/>
      <c r="D158" s="637" t="n"/>
      <c r="E158" s="637" t="n"/>
      <c r="G158" s="1357">
        <f>EOMONTH(G157,3)</f>
        <v/>
      </c>
      <c r="H158" s="546">
        <f>AVERAGEIFS($B:$B,$A:$A,"&gt;"&amp;EOMONTH($G158,-3),$A:$A,"&lt;="&amp;EOMONTH($G158,0))</f>
        <v/>
      </c>
      <c r="I158" s="546">
        <f>J158-H158</f>
        <v/>
      </c>
      <c r="J158" s="546">
        <f>AVERAGEIFS($E:$E,$A:$A,"&gt;"&amp;EOMONTH($G158,-3),$A:$A,"&lt;="&amp;EOMONTH($G158,0))</f>
        <v/>
      </c>
      <c r="V158" s="1357">
        <f>EOMONTH(V157,3)</f>
        <v/>
      </c>
      <c r="W158" s="1358">
        <f>AVERAGEIFS(B:B,$A:$A,"&gt;"&amp;EOMONTH($V158,-4),$A:$A,"&lt;="&amp;EOMONTH($V158,-1))</f>
        <v/>
      </c>
      <c r="X158" s="1358">
        <f>Y158-W158</f>
        <v/>
      </c>
      <c r="Y158" s="1358">
        <f>AVERAGEIFS(E:E,$A:$A,"&gt;"&amp;EOMONTH($V158,-4),$A:$A,"&lt;="&amp;EOMONTH($V158,-1))</f>
        <v/>
      </c>
    </row>
    <row r="159">
      <c r="A159" s="544" t="n">
        <v>29431</v>
      </c>
      <c r="B159" s="637" t="n"/>
      <c r="C159" s="637" t="n"/>
      <c r="D159" s="637" t="n"/>
      <c r="E159" s="637" t="n"/>
      <c r="G159" s="1357">
        <f>EOMONTH(G158,3)</f>
        <v/>
      </c>
      <c r="H159" s="546">
        <f>AVERAGEIFS($B:$B,$A:$A,"&gt;"&amp;EOMONTH($G159,-3),$A:$A,"&lt;="&amp;EOMONTH($G159,0))</f>
        <v/>
      </c>
      <c r="I159" s="546">
        <f>J159-H159</f>
        <v/>
      </c>
      <c r="J159" s="546">
        <f>AVERAGEIFS($E:$E,$A:$A,"&gt;"&amp;EOMONTH($G159,-3),$A:$A,"&lt;="&amp;EOMONTH($G159,0))</f>
        <v/>
      </c>
      <c r="V159" s="1357">
        <f>EOMONTH(V158,3)</f>
        <v/>
      </c>
      <c r="W159" s="1358">
        <f>AVERAGEIFS(B:B,$A:$A,"&gt;"&amp;EOMONTH($V159,-4),$A:$A,"&lt;="&amp;EOMONTH($V159,-1))</f>
        <v/>
      </c>
      <c r="X159" s="1358">
        <f>Y159-W159</f>
        <v/>
      </c>
      <c r="Y159" s="1358">
        <f>AVERAGEIFS(E:E,$A:$A,"&gt;"&amp;EOMONTH($V159,-4),$A:$A,"&lt;="&amp;EOMONTH($V159,-1))</f>
        <v/>
      </c>
    </row>
    <row r="160">
      <c r="A160" s="544" t="n">
        <v>29432</v>
      </c>
      <c r="B160" s="637" t="n"/>
      <c r="C160" s="637" t="n"/>
      <c r="D160" s="637" t="n"/>
      <c r="E160" s="637" t="n"/>
      <c r="G160" s="1357">
        <f>EOMONTH(G159,3)</f>
        <v/>
      </c>
      <c r="H160" s="546">
        <f>AVERAGEIFS($B:$B,$A:$A,"&gt;"&amp;EOMONTH($G160,-3),$A:$A,"&lt;="&amp;EOMONTH($G160,0))</f>
        <v/>
      </c>
      <c r="I160" s="546">
        <f>J160-H160</f>
        <v/>
      </c>
      <c r="J160" s="546">
        <f>AVERAGEIFS($E:$E,$A:$A,"&gt;"&amp;EOMONTH($G160,-3),$A:$A,"&lt;="&amp;EOMONTH($G160,0))</f>
        <v/>
      </c>
      <c r="V160" s="1357">
        <f>EOMONTH(V159,3)</f>
        <v/>
      </c>
      <c r="W160" s="1358">
        <f>AVERAGEIFS(B:B,$A:$A,"&gt;"&amp;EOMONTH($V160,-4),$A:$A,"&lt;="&amp;EOMONTH($V160,-1))</f>
        <v/>
      </c>
      <c r="X160" s="1358">
        <f>Y160-W160</f>
        <v/>
      </c>
      <c r="Y160" s="1358">
        <f>AVERAGEIFS(E:E,$A:$A,"&gt;"&amp;EOMONTH($V160,-4),$A:$A,"&lt;="&amp;EOMONTH($V160,-1))</f>
        <v/>
      </c>
    </row>
    <row r="161">
      <c r="A161" s="544" t="n">
        <v>29433</v>
      </c>
      <c r="B161" s="637" t="n"/>
      <c r="C161" s="637" t="n"/>
      <c r="D161" s="637" t="n"/>
      <c r="E161" s="637" t="n"/>
      <c r="G161" s="1357">
        <f>EOMONTH(G160,3)</f>
        <v/>
      </c>
      <c r="H161" s="546">
        <f>AVERAGEIFS($B:$B,$A:$A,"&gt;"&amp;EOMONTH($G161,-3),$A:$A,"&lt;="&amp;EOMONTH($G161,0))</f>
        <v/>
      </c>
      <c r="I161" s="546">
        <f>J161-H161</f>
        <v/>
      </c>
      <c r="J161" s="546">
        <f>AVERAGEIFS($E:$E,$A:$A,"&gt;"&amp;EOMONTH($G161,-3),$A:$A,"&lt;="&amp;EOMONTH($G161,0))</f>
        <v/>
      </c>
      <c r="V161" s="1357">
        <f>EOMONTH(V160,3)</f>
        <v/>
      </c>
      <c r="W161" s="1358">
        <f>AVERAGEIFS(B:B,$A:$A,"&gt;"&amp;EOMONTH($V161,-4),$A:$A,"&lt;="&amp;EOMONTH($V161,-1))</f>
        <v/>
      </c>
      <c r="X161" s="1358">
        <f>Y161-W161</f>
        <v/>
      </c>
      <c r="Y161" s="1358">
        <f>AVERAGEIFS(E:E,$A:$A,"&gt;"&amp;EOMONTH($V161,-4),$A:$A,"&lt;="&amp;EOMONTH($V161,-1))</f>
        <v/>
      </c>
    </row>
    <row r="162">
      <c r="A162" s="544" t="n">
        <v>29434</v>
      </c>
      <c r="B162" s="637" t="n"/>
      <c r="C162" s="637" t="n"/>
      <c r="D162" s="637" t="n"/>
      <c r="E162" s="637" t="n"/>
      <c r="G162" s="1357">
        <f>EOMONTH(G161,3)</f>
        <v/>
      </c>
      <c r="H162" s="546">
        <f>AVERAGEIFS($B:$B,$A:$A,"&gt;"&amp;EOMONTH($G162,-3),$A:$A,"&lt;="&amp;EOMONTH($G162,0))</f>
        <v/>
      </c>
      <c r="I162" s="546">
        <f>J162-H162</f>
        <v/>
      </c>
      <c r="J162" s="546">
        <f>AVERAGEIFS($E:$E,$A:$A,"&gt;"&amp;EOMONTH($G162,-3),$A:$A,"&lt;="&amp;EOMONTH($G162,0))</f>
        <v/>
      </c>
      <c r="V162" s="1357">
        <f>EOMONTH(V161,3)</f>
        <v/>
      </c>
      <c r="W162" s="1358">
        <f>AVERAGEIFS(B:B,$A:$A,"&gt;"&amp;EOMONTH($V162,-4),$A:$A,"&lt;="&amp;EOMONTH($V162,-1))</f>
        <v/>
      </c>
      <c r="X162" s="1358">
        <f>Y162-W162</f>
        <v/>
      </c>
      <c r="Y162" s="1358">
        <f>AVERAGEIFS(E:E,$A:$A,"&gt;"&amp;EOMONTH($V162,-4),$A:$A,"&lt;="&amp;EOMONTH($V162,-1))</f>
        <v/>
      </c>
    </row>
    <row r="163">
      <c r="A163" s="544" t="n">
        <v>29437</v>
      </c>
      <c r="B163" s="637" t="n"/>
      <c r="C163" s="637" t="n"/>
      <c r="D163" s="637" t="n"/>
      <c r="E163" s="637" t="n"/>
      <c r="G163" s="1357">
        <f>EOMONTH(G162,3)</f>
        <v/>
      </c>
      <c r="H163" s="546">
        <f>AVERAGEIFS($B:$B,$A:$A,"&gt;"&amp;EOMONTH($G163,-3),$A:$A,"&lt;="&amp;EOMONTH($G163,0))</f>
        <v/>
      </c>
      <c r="I163" s="546">
        <f>J163-H163</f>
        <v/>
      </c>
      <c r="J163" s="546">
        <f>AVERAGEIFS($E:$E,$A:$A,"&gt;"&amp;EOMONTH($G163,-3),$A:$A,"&lt;="&amp;EOMONTH($G163,0))</f>
        <v/>
      </c>
      <c r="V163" s="1357">
        <f>EOMONTH(V162,3)</f>
        <v/>
      </c>
      <c r="W163" s="1358">
        <f>AVERAGEIFS(B:B,$A:$A,"&gt;"&amp;EOMONTH($V163,-4),$A:$A,"&lt;="&amp;EOMONTH($V163,-1))</f>
        <v/>
      </c>
      <c r="X163" s="1358">
        <f>Y163-W163</f>
        <v/>
      </c>
      <c r="Y163" s="1358">
        <f>AVERAGEIFS(E:E,$A:$A,"&gt;"&amp;EOMONTH($V163,-4),$A:$A,"&lt;="&amp;EOMONTH($V163,-1))</f>
        <v/>
      </c>
    </row>
    <row r="164">
      <c r="A164" s="544" t="n">
        <v>29438</v>
      </c>
      <c r="B164" s="637" t="n"/>
      <c r="C164" s="637" t="n"/>
      <c r="D164" s="637" t="n"/>
      <c r="E164" s="637" t="n"/>
      <c r="G164" s="1357">
        <f>EOMONTH(G163,3)</f>
        <v/>
      </c>
      <c r="H164" s="546">
        <f>AVERAGEIFS($B:$B,$A:$A,"&gt;"&amp;EOMONTH($G164,-3),$A:$A,"&lt;="&amp;EOMONTH($G164,0))</f>
        <v/>
      </c>
      <c r="I164" s="546">
        <f>J164-H164</f>
        <v/>
      </c>
      <c r="J164" s="546">
        <f>AVERAGEIFS($E:$E,$A:$A,"&gt;"&amp;EOMONTH($G164,-3),$A:$A,"&lt;="&amp;EOMONTH($G164,0))</f>
        <v/>
      </c>
      <c r="V164" s="1357">
        <f>EOMONTH(V163,3)</f>
        <v/>
      </c>
      <c r="W164" s="1358">
        <f>AVERAGEIFS(B:B,$A:$A,"&gt;"&amp;EOMONTH($V164,-4),$A:$A,"&lt;="&amp;EOMONTH($V164,-1))</f>
        <v/>
      </c>
      <c r="X164" s="1358">
        <f>Y164-W164</f>
        <v/>
      </c>
      <c r="Y164" s="1358">
        <f>AVERAGEIFS(E:E,$A:$A,"&gt;"&amp;EOMONTH($V164,-4),$A:$A,"&lt;="&amp;EOMONTH($V164,-1))</f>
        <v/>
      </c>
    </row>
    <row r="165">
      <c r="A165" s="544" t="n">
        <v>29439</v>
      </c>
      <c r="B165" s="637" t="n"/>
      <c r="C165" s="637" t="n"/>
      <c r="D165" s="637" t="n"/>
      <c r="E165" s="637" t="n"/>
      <c r="G165" s="1357">
        <f>EOMONTH(G164,3)</f>
        <v/>
      </c>
      <c r="H165" s="546">
        <f>AVERAGEIFS($B:$B,$A:$A,"&gt;"&amp;EOMONTH($G165,-3),$A:$A,"&lt;="&amp;EOMONTH($G165,0))</f>
        <v/>
      </c>
      <c r="I165" s="546">
        <f>J165-H165</f>
        <v/>
      </c>
      <c r="J165" s="546">
        <f>AVERAGEIFS($E:$E,$A:$A,"&gt;"&amp;EOMONTH($G165,-3),$A:$A,"&lt;="&amp;EOMONTH($G165,0))</f>
        <v/>
      </c>
      <c r="V165" s="1357">
        <f>EOMONTH(V164,3)</f>
        <v/>
      </c>
      <c r="W165" s="1358">
        <f>AVERAGEIFS(B:B,$A:$A,"&gt;"&amp;EOMONTH($V165,-4),$A:$A,"&lt;="&amp;EOMONTH($V165,-1))</f>
        <v/>
      </c>
      <c r="X165" s="1358">
        <f>Y165-W165</f>
        <v/>
      </c>
      <c r="Y165" s="1358">
        <f>AVERAGEIFS(E:E,$A:$A,"&gt;"&amp;EOMONTH($V165,-4),$A:$A,"&lt;="&amp;EOMONTH($V165,-1))</f>
        <v/>
      </c>
      <c r="AA165" s="865" t="n"/>
    </row>
    <row r="166">
      <c r="A166" s="544" t="n">
        <v>29440</v>
      </c>
      <c r="B166" s="637" t="n"/>
      <c r="C166" s="637" t="n"/>
      <c r="D166" s="637" t="n"/>
      <c r="E166" s="637" t="n"/>
      <c r="G166" s="1357">
        <f>EOMONTH(G165,3)</f>
        <v/>
      </c>
      <c r="H166" s="546">
        <f>AVERAGEIFS($B:$B,$A:$A,"&gt;"&amp;EOMONTH($G166,-3),$A:$A,"&lt;="&amp;EOMONTH($G166,0))</f>
        <v/>
      </c>
      <c r="I166" s="546">
        <f>J166-H166</f>
        <v/>
      </c>
      <c r="J166" s="546">
        <f>AVERAGEIFS($E:$E,$A:$A,"&gt;"&amp;EOMONTH($G166,-3),$A:$A,"&lt;="&amp;EOMONTH($G166,0))</f>
        <v/>
      </c>
      <c r="V166" s="1357">
        <f>EOMONTH(V165,3)</f>
        <v/>
      </c>
      <c r="W166" s="1358">
        <f>AVERAGEIFS(B:B,$A:$A,"&gt;"&amp;EOMONTH($V166,-4),$A:$A,"&lt;="&amp;EOMONTH($V166,-1))</f>
        <v/>
      </c>
      <c r="X166" s="1358">
        <f>Y166-W166</f>
        <v/>
      </c>
      <c r="Y166" s="1358">
        <f>AVERAGEIFS(E:E,$A:$A,"&gt;"&amp;EOMONTH($V166,-4),$A:$A,"&lt;="&amp;EOMONTH($V166,-1))</f>
        <v/>
      </c>
    </row>
    <row r="167">
      <c r="A167" s="544" t="n">
        <v>29441</v>
      </c>
      <c r="B167" s="637" t="n"/>
      <c r="C167" s="637" t="n"/>
      <c r="D167" s="637" t="n"/>
      <c r="E167" s="637" t="n"/>
      <c r="V167" s="1357" t="n"/>
      <c r="W167" s="1358" t="n"/>
      <c r="X167" s="1358" t="n"/>
      <c r="Y167" s="1358" t="n"/>
    </row>
    <row r="168">
      <c r="A168" s="544" t="n">
        <v>29444</v>
      </c>
      <c r="B168" s="637" t="n"/>
      <c r="C168" s="637" t="n"/>
      <c r="D168" s="637" t="n"/>
      <c r="E168" s="637" t="n"/>
      <c r="V168" s="1357" t="n"/>
      <c r="W168" s="1358" t="n"/>
      <c r="X168" s="1358" t="n"/>
      <c r="Y168" s="1358" t="n"/>
    </row>
    <row r="169">
      <c r="A169" s="544" t="n">
        <v>29445</v>
      </c>
      <c r="B169" s="637" t="n"/>
      <c r="C169" s="637" t="n"/>
      <c r="D169" s="637" t="n"/>
      <c r="E169" s="637" t="n"/>
      <c r="V169" s="1357" t="n"/>
      <c r="W169" s="1358" t="n"/>
      <c r="X169" s="1358" t="n"/>
      <c r="Y169" s="1358" t="n"/>
    </row>
    <row r="170">
      <c r="A170" s="544" t="n">
        <v>29446</v>
      </c>
      <c r="B170" s="637" t="n"/>
      <c r="C170" s="637" t="n"/>
      <c r="D170" s="637" t="n"/>
      <c r="E170" s="637" t="n"/>
      <c r="V170" s="1357" t="n"/>
      <c r="W170" s="1358" t="n"/>
      <c r="X170" s="1358" t="n"/>
      <c r="Y170" s="1358" t="n"/>
    </row>
    <row r="171">
      <c r="A171" s="544" t="n">
        <v>29447</v>
      </c>
      <c r="B171" s="637" t="n"/>
      <c r="C171" s="637" t="n"/>
      <c r="D171" s="637" t="n"/>
      <c r="E171" s="637" t="n"/>
      <c r="V171" s="1357" t="n"/>
      <c r="W171" s="1358" t="n"/>
      <c r="X171" s="1358" t="n"/>
      <c r="Y171" s="1358" t="n"/>
    </row>
    <row r="172">
      <c r="A172" s="544" t="n">
        <v>29448</v>
      </c>
      <c r="B172" s="637" t="n"/>
      <c r="C172" s="637" t="n"/>
      <c r="D172" s="637" t="n"/>
      <c r="E172" s="637" t="n"/>
      <c r="V172" s="1357" t="n"/>
      <c r="W172" s="1358" t="n"/>
      <c r="X172" s="1358" t="n"/>
      <c r="Y172" s="1358" t="n"/>
    </row>
    <row r="173">
      <c r="A173" s="544" t="n">
        <v>29451</v>
      </c>
      <c r="B173" s="637" t="n"/>
      <c r="C173" s="637" t="n"/>
      <c r="D173" s="637" t="n"/>
      <c r="E173" s="637" t="n"/>
      <c r="V173" s="1357" t="n"/>
      <c r="W173" s="1358" t="n"/>
      <c r="X173" s="1358" t="n"/>
      <c r="Y173" s="1358" t="n"/>
    </row>
    <row r="174">
      <c r="A174" s="544" t="n">
        <v>29452</v>
      </c>
      <c r="B174" s="637" t="n"/>
      <c r="C174" s="637" t="n"/>
      <c r="D174" s="637" t="n"/>
      <c r="E174" s="637" t="n"/>
      <c r="V174" s="1357" t="n"/>
      <c r="W174" s="1358" t="n"/>
      <c r="X174" s="1358" t="n"/>
      <c r="Y174" s="1358" t="n"/>
    </row>
    <row r="175">
      <c r="A175" s="544" t="n">
        <v>29453</v>
      </c>
      <c r="B175" s="637" t="n"/>
      <c r="C175" s="637" t="n"/>
      <c r="D175" s="637" t="n"/>
      <c r="E175" s="637" t="n"/>
      <c r="V175" s="1357" t="n"/>
      <c r="W175" s="1358" t="n"/>
      <c r="X175" s="1358" t="n"/>
      <c r="Y175" s="1358" t="n"/>
    </row>
    <row r="176">
      <c r="A176" s="544" t="n">
        <v>29454</v>
      </c>
      <c r="B176" s="637" t="n"/>
      <c r="C176" s="637" t="n"/>
      <c r="D176" s="637" t="n"/>
      <c r="E176" s="637" t="n"/>
      <c r="V176" s="1357" t="n"/>
      <c r="W176" s="1358" t="n"/>
      <c r="X176" s="1358" t="n"/>
      <c r="Y176" s="1358" t="n"/>
    </row>
    <row r="177">
      <c r="A177" s="544" t="n">
        <v>29455</v>
      </c>
      <c r="B177" s="637" t="n"/>
      <c r="C177" s="637" t="n"/>
      <c r="D177" s="637" t="n"/>
      <c r="E177" s="637" t="n"/>
      <c r="V177" s="1357" t="n"/>
      <c r="W177" s="1358" t="n"/>
      <c r="X177" s="1358" t="n"/>
      <c r="Y177" s="1358" t="n"/>
    </row>
    <row r="178">
      <c r="A178" s="544" t="n">
        <v>29458</v>
      </c>
      <c r="B178" s="637" t="n"/>
      <c r="C178" s="637" t="n"/>
      <c r="D178" s="637" t="n"/>
      <c r="E178" s="637" t="n"/>
      <c r="V178" s="1357" t="n"/>
      <c r="W178" s="1358" t="n"/>
      <c r="X178" s="1358" t="n"/>
      <c r="Y178" s="1358" t="n"/>
    </row>
    <row r="179">
      <c r="A179" s="544" t="n">
        <v>29459</v>
      </c>
      <c r="B179" s="637" t="n"/>
      <c r="C179" s="637" t="n"/>
      <c r="D179" s="637" t="n"/>
      <c r="E179" s="637" t="n"/>
      <c r="V179" s="1357" t="n"/>
      <c r="W179" s="1358" t="n"/>
      <c r="X179" s="1358" t="n"/>
      <c r="Y179" s="1358" t="n"/>
    </row>
    <row r="180">
      <c r="A180" s="544" t="n">
        <v>29460</v>
      </c>
      <c r="B180" s="637" t="n"/>
      <c r="C180" s="637" t="n"/>
      <c r="D180" s="637" t="n"/>
      <c r="E180" s="637" t="n"/>
      <c r="V180" s="1357" t="n"/>
      <c r="W180" s="1358" t="n"/>
      <c r="X180" s="1358" t="n"/>
      <c r="Y180" s="1358" t="n"/>
    </row>
    <row r="181">
      <c r="A181" s="544" t="n">
        <v>29461</v>
      </c>
      <c r="B181" s="637" t="n"/>
      <c r="C181" s="637" t="n"/>
      <c r="D181" s="637" t="n"/>
      <c r="E181" s="637" t="n"/>
      <c r="V181" s="1357" t="n"/>
      <c r="W181" s="1358" t="n"/>
      <c r="X181" s="1358" t="n"/>
      <c r="Y181" s="1358" t="n"/>
    </row>
    <row r="182">
      <c r="A182" s="544" t="n">
        <v>29462</v>
      </c>
      <c r="B182" s="637" t="n"/>
      <c r="C182" s="637" t="n"/>
      <c r="D182" s="637" t="n"/>
      <c r="E182" s="637" t="n"/>
      <c r="V182" s="1357" t="n"/>
      <c r="W182" s="1358" t="n"/>
      <c r="X182" s="1358" t="n"/>
      <c r="Y182" s="1358" t="n"/>
    </row>
    <row r="183">
      <c r="A183" s="544" t="n">
        <v>29465</v>
      </c>
      <c r="B183" s="637" t="n"/>
      <c r="C183" s="637" t="n"/>
      <c r="D183" s="637" t="n"/>
      <c r="E183" s="637" t="n"/>
      <c r="V183" s="1357" t="n"/>
      <c r="W183" s="1358" t="n"/>
      <c r="X183" s="1358" t="n"/>
      <c r="Y183" s="1358" t="n"/>
    </row>
    <row r="184">
      <c r="A184" s="544" t="n">
        <v>29466</v>
      </c>
      <c r="B184" s="637" t="n"/>
      <c r="C184" s="637" t="n"/>
      <c r="D184" s="637" t="n"/>
      <c r="E184" s="637" t="n"/>
      <c r="V184" s="1357" t="n"/>
      <c r="W184" s="1358" t="n"/>
      <c r="X184" s="1358" t="n"/>
      <c r="Y184" s="1358" t="n"/>
    </row>
    <row r="185">
      <c r="A185" s="544" t="n">
        <v>29467</v>
      </c>
      <c r="B185" s="637" t="n"/>
      <c r="C185" s="637" t="n"/>
      <c r="D185" s="637" t="n"/>
      <c r="E185" s="637" t="n"/>
      <c r="V185" s="1357" t="n"/>
      <c r="W185" s="1358" t="n"/>
      <c r="X185" s="1358" t="n"/>
      <c r="Y185" s="1358" t="n"/>
    </row>
    <row r="186">
      <c r="A186" s="544" t="n">
        <v>29468</v>
      </c>
      <c r="B186" s="637" t="n"/>
      <c r="C186" s="637" t="n"/>
      <c r="D186" s="637" t="n"/>
      <c r="E186" s="637" t="n"/>
      <c r="V186" s="1357" t="n"/>
      <c r="W186" s="1358" t="n"/>
      <c r="X186" s="1358" t="n"/>
      <c r="Y186" s="1358" t="n"/>
    </row>
    <row r="187">
      <c r="A187" s="544" t="n">
        <v>29469</v>
      </c>
      <c r="B187" s="637" t="n"/>
      <c r="C187" s="637" t="n"/>
      <c r="D187" s="637" t="n"/>
      <c r="E187" s="637" t="n"/>
      <c r="V187" s="1357" t="n"/>
      <c r="W187" s="1358" t="n"/>
      <c r="X187" s="1358" t="n"/>
      <c r="Y187" s="1358" t="n"/>
    </row>
    <row r="188">
      <c r="A188" s="544" t="n">
        <v>29472</v>
      </c>
      <c r="B188" s="637" t="n"/>
      <c r="C188" s="637" t="n"/>
      <c r="D188" s="637" t="n"/>
      <c r="E188" s="637" t="n"/>
      <c r="V188" s="1357" t="n"/>
      <c r="W188" s="1358" t="n"/>
      <c r="X188" s="1358" t="n"/>
      <c r="Y188" s="1358" t="n"/>
    </row>
    <row r="189">
      <c r="A189" s="544" t="n">
        <v>29473</v>
      </c>
      <c r="B189" s="637" t="n"/>
      <c r="C189" s="637" t="n"/>
      <c r="D189" s="637" t="n"/>
      <c r="E189" s="637" t="n"/>
      <c r="V189" s="1357" t="n"/>
      <c r="W189" s="1358" t="n"/>
      <c r="X189" s="1358" t="n"/>
      <c r="Y189" s="1358" t="n"/>
    </row>
    <row r="190">
      <c r="A190" s="544" t="n">
        <v>29474</v>
      </c>
      <c r="B190" s="637" t="n"/>
      <c r="C190" s="637" t="n"/>
      <c r="D190" s="637" t="n"/>
      <c r="E190" s="637" t="n"/>
      <c r="V190" s="1357" t="n"/>
      <c r="W190" s="1358" t="n"/>
      <c r="X190" s="1358" t="n"/>
      <c r="Y190" s="1358" t="n"/>
    </row>
    <row r="191">
      <c r="A191" s="544" t="n">
        <v>29475</v>
      </c>
      <c r="B191" s="637" t="n"/>
      <c r="C191" s="637" t="n"/>
      <c r="D191" s="637" t="n"/>
      <c r="E191" s="637" t="n"/>
      <c r="V191" s="1357" t="n"/>
      <c r="W191" s="1358" t="n"/>
      <c r="X191" s="1358" t="n"/>
      <c r="Y191" s="1358" t="n"/>
    </row>
    <row r="192">
      <c r="A192" s="544" t="n">
        <v>29476</v>
      </c>
      <c r="B192" s="637" t="n"/>
      <c r="C192" s="637" t="n"/>
      <c r="D192" s="637" t="n"/>
      <c r="E192" s="637" t="n"/>
      <c r="V192" s="1357" t="n"/>
      <c r="W192" s="1358" t="n"/>
      <c r="X192" s="1358" t="n"/>
      <c r="Y192" s="1358" t="n"/>
    </row>
    <row r="193">
      <c r="A193" s="544" t="n">
        <v>29479</v>
      </c>
      <c r="B193" s="637" t="n"/>
      <c r="C193" s="637" t="n"/>
      <c r="D193" s="637" t="n"/>
      <c r="E193" s="637" t="n"/>
      <c r="V193" s="1357" t="n"/>
      <c r="W193" s="1358" t="n"/>
      <c r="X193" s="1358" t="n"/>
      <c r="Y193" s="1358" t="n"/>
    </row>
    <row r="194">
      <c r="A194" s="544" t="n">
        <v>29480</v>
      </c>
      <c r="B194" s="637" t="n"/>
      <c r="C194" s="637" t="n"/>
      <c r="D194" s="637" t="n"/>
      <c r="E194" s="637" t="n"/>
      <c r="V194" s="1357" t="n"/>
      <c r="W194" s="1358" t="n"/>
      <c r="X194" s="1358" t="n"/>
      <c r="Y194" s="1358" t="n"/>
    </row>
    <row r="195">
      <c r="A195" s="544" t="n">
        <v>29481</v>
      </c>
      <c r="B195" s="637" t="n"/>
      <c r="C195" s="637" t="n"/>
      <c r="D195" s="637" t="n"/>
      <c r="E195" s="637" t="n"/>
      <c r="V195" s="1357" t="n"/>
      <c r="W195" s="1358" t="n"/>
      <c r="X195" s="1358" t="n"/>
      <c r="Y195" s="1358" t="n"/>
    </row>
    <row r="196">
      <c r="A196" s="544" t="n">
        <v>29482</v>
      </c>
      <c r="B196" s="637" t="n"/>
      <c r="C196" s="637" t="n"/>
      <c r="D196" s="637" t="n"/>
      <c r="E196" s="637" t="n"/>
      <c r="V196" s="1357" t="n"/>
      <c r="W196" s="1358" t="n"/>
      <c r="X196" s="1358" t="n"/>
      <c r="Y196" s="1358" t="n"/>
    </row>
    <row r="197">
      <c r="A197" s="544" t="n">
        <v>29483</v>
      </c>
      <c r="B197" s="637" t="n"/>
      <c r="C197" s="637" t="n"/>
      <c r="D197" s="637" t="n"/>
      <c r="E197" s="637" t="n"/>
      <c r="V197" s="1357" t="n"/>
      <c r="W197" s="1358" t="n"/>
      <c r="X197" s="1358" t="n"/>
      <c r="Y197" s="1358" t="n"/>
    </row>
    <row r="198">
      <c r="A198" s="544" t="n">
        <v>29486</v>
      </c>
      <c r="B198" s="637" t="n"/>
      <c r="C198" s="637" t="n"/>
      <c r="D198" s="637" t="n"/>
      <c r="E198" s="637" t="n"/>
      <c r="V198" s="1357" t="n"/>
      <c r="W198" s="1358" t="n"/>
      <c r="X198" s="1358" t="n"/>
      <c r="Y198" s="1358" t="n"/>
    </row>
    <row r="199">
      <c r="A199" s="544" t="n">
        <v>29487</v>
      </c>
      <c r="B199" s="637" t="n"/>
      <c r="C199" s="637" t="n"/>
      <c r="D199" s="637" t="n"/>
      <c r="E199" s="637" t="n"/>
      <c r="V199" s="1357" t="n"/>
      <c r="W199" s="1358" t="n"/>
      <c r="X199" s="1358" t="n"/>
      <c r="Y199" s="1358" t="n"/>
    </row>
    <row r="200">
      <c r="A200" s="544" t="n">
        <v>29488</v>
      </c>
      <c r="B200" s="637" t="n"/>
      <c r="C200" s="637" t="n"/>
      <c r="D200" s="637" t="n"/>
      <c r="E200" s="637" t="n"/>
      <c r="V200" s="1357" t="n"/>
      <c r="W200" s="1358" t="n"/>
      <c r="X200" s="1358" t="n"/>
      <c r="Y200" s="1358" t="n"/>
    </row>
    <row r="201">
      <c r="A201" s="544" t="n">
        <v>29489</v>
      </c>
      <c r="B201" s="637" t="n"/>
      <c r="C201" s="637" t="n"/>
      <c r="D201" s="637" t="n"/>
      <c r="E201" s="637" t="n"/>
      <c r="V201" s="1357" t="n"/>
      <c r="W201" s="1358" t="n"/>
      <c r="X201" s="1358" t="n"/>
      <c r="Y201" s="1358" t="n"/>
    </row>
    <row r="202">
      <c r="A202" s="544" t="n">
        <v>29490</v>
      </c>
      <c r="B202" s="637" t="n"/>
      <c r="C202" s="637" t="n"/>
      <c r="D202" s="637" t="n"/>
      <c r="E202" s="637" t="n"/>
      <c r="V202" s="1357" t="n"/>
      <c r="W202" s="1358" t="n"/>
      <c r="X202" s="1358" t="n"/>
      <c r="Y202" s="1358" t="n"/>
    </row>
    <row r="203">
      <c r="A203" s="544" t="n">
        <v>29493</v>
      </c>
      <c r="B203" s="637" t="n"/>
      <c r="C203" s="637" t="n"/>
      <c r="D203" s="637" t="n"/>
      <c r="E203" s="637" t="n"/>
      <c r="V203" s="1357" t="n"/>
      <c r="W203" s="1358" t="n"/>
      <c r="X203" s="1358" t="n"/>
      <c r="Y203" s="1358" t="n"/>
    </row>
    <row r="204">
      <c r="A204" s="544" t="n">
        <v>29494</v>
      </c>
      <c r="B204" s="637" t="n"/>
      <c r="C204" s="637" t="n"/>
      <c r="D204" s="637" t="n"/>
      <c r="E204" s="637" t="n"/>
      <c r="V204" s="1357" t="n"/>
      <c r="W204" s="1358" t="n"/>
      <c r="X204" s="1358" t="n"/>
      <c r="Y204" s="1358" t="n"/>
    </row>
    <row r="205">
      <c r="A205" s="544" t="n">
        <v>29495</v>
      </c>
      <c r="B205" s="637" t="n"/>
      <c r="C205" s="637" t="n"/>
      <c r="D205" s="637" t="n"/>
      <c r="E205" s="637" t="n"/>
      <c r="V205" s="1357" t="n"/>
      <c r="W205" s="1358" t="n"/>
      <c r="X205" s="1358" t="n"/>
      <c r="Y205" s="1358" t="n"/>
    </row>
    <row r="206">
      <c r="A206" s="544" t="n">
        <v>29496</v>
      </c>
      <c r="B206" s="637" t="n"/>
      <c r="C206" s="637" t="n"/>
      <c r="D206" s="637" t="n"/>
      <c r="E206" s="637" t="n"/>
      <c r="V206" s="1357" t="n"/>
      <c r="W206" s="1358" t="n"/>
      <c r="X206" s="1358" t="n"/>
      <c r="Y206" s="1358" t="n"/>
    </row>
    <row r="207">
      <c r="A207" s="544" t="n">
        <v>29497</v>
      </c>
      <c r="B207" s="637" t="n"/>
      <c r="C207" s="637" t="n"/>
      <c r="D207" s="637" t="n"/>
      <c r="E207" s="637" t="n"/>
      <c r="V207" s="1357" t="n"/>
      <c r="W207" s="1358" t="n"/>
      <c r="X207" s="1358" t="n"/>
      <c r="Y207" s="1358" t="n"/>
    </row>
    <row r="208">
      <c r="A208" s="544" t="n">
        <v>29500</v>
      </c>
      <c r="B208" s="637" t="n"/>
      <c r="C208" s="637" t="n"/>
      <c r="D208" s="637" t="n"/>
      <c r="E208" s="637" t="n"/>
      <c r="V208" s="1357" t="n"/>
      <c r="W208" s="1358" t="n"/>
      <c r="X208" s="1358" t="n"/>
      <c r="Y208" s="1358" t="n"/>
    </row>
    <row r="209">
      <c r="A209" s="544" t="n">
        <v>29501</v>
      </c>
      <c r="B209" s="637" t="n"/>
      <c r="C209" s="637" t="n"/>
      <c r="D209" s="637" t="n"/>
      <c r="E209" s="637" t="n"/>
      <c r="V209" s="1357" t="n"/>
      <c r="W209" s="1358" t="n"/>
      <c r="X209" s="1358" t="n"/>
      <c r="Y209" s="1358" t="n"/>
    </row>
    <row r="210">
      <c r="A210" s="544" t="n">
        <v>29502</v>
      </c>
      <c r="B210" s="637" t="n"/>
      <c r="C210" s="637" t="n"/>
      <c r="D210" s="637" t="n"/>
      <c r="E210" s="637" t="n"/>
      <c r="V210" s="1357" t="n"/>
      <c r="W210" s="1358" t="n"/>
      <c r="X210" s="1358" t="n"/>
      <c r="Y210" s="1358" t="n"/>
    </row>
    <row r="211">
      <c r="A211" s="544" t="n">
        <v>29503</v>
      </c>
      <c r="B211" s="637" t="n"/>
      <c r="C211" s="637" t="n"/>
      <c r="D211" s="637" t="n"/>
      <c r="E211" s="637" t="n"/>
      <c r="V211" s="1357" t="n"/>
      <c r="W211" s="1358" t="n"/>
      <c r="X211" s="1358" t="n"/>
      <c r="Y211" s="1358" t="n"/>
    </row>
    <row r="212">
      <c r="A212" s="544" t="n">
        <v>29504</v>
      </c>
      <c r="B212" s="637" t="n"/>
      <c r="C212" s="637" t="n"/>
      <c r="D212" s="637" t="n"/>
      <c r="E212" s="637" t="n"/>
      <c r="V212" s="1357" t="n"/>
      <c r="W212" s="1358" t="n"/>
      <c r="X212" s="1358" t="n"/>
      <c r="Y212" s="1358" t="n"/>
    </row>
    <row r="213">
      <c r="A213" s="544" t="n">
        <v>29507</v>
      </c>
      <c r="B213" s="637" t="n"/>
      <c r="C213" s="637" t="n"/>
      <c r="D213" s="637" t="n"/>
      <c r="E213" s="637" t="n"/>
      <c r="V213" s="1357" t="n"/>
      <c r="W213" s="1358" t="n"/>
      <c r="X213" s="1358" t="n"/>
      <c r="Y213" s="1358" t="n"/>
    </row>
    <row r="214">
      <c r="A214" s="544" t="n">
        <v>29508</v>
      </c>
      <c r="B214" s="637" t="n"/>
      <c r="C214" s="637" t="n"/>
      <c r="D214" s="637" t="n"/>
      <c r="E214" s="637" t="n"/>
      <c r="V214" s="1357" t="n"/>
      <c r="W214" s="1358" t="n"/>
      <c r="X214" s="1358" t="n"/>
      <c r="Y214" s="1358" t="n"/>
    </row>
    <row r="215">
      <c r="A215" s="544" t="n">
        <v>29509</v>
      </c>
      <c r="B215" s="637" t="n"/>
      <c r="C215" s="637" t="n"/>
      <c r="D215" s="637" t="n"/>
      <c r="E215" s="637" t="n"/>
      <c r="V215" s="1357" t="n"/>
      <c r="W215" s="1358" t="n"/>
      <c r="X215" s="1358" t="n"/>
      <c r="Y215" s="1358" t="n"/>
    </row>
    <row r="216">
      <c r="A216" s="544" t="n">
        <v>29510</v>
      </c>
      <c r="B216" s="637" t="n"/>
      <c r="C216" s="637" t="n"/>
      <c r="D216" s="637" t="n"/>
      <c r="E216" s="637" t="n"/>
      <c r="V216" s="1357" t="n"/>
      <c r="W216" s="1358" t="n"/>
      <c r="X216" s="1358" t="n"/>
      <c r="Y216" s="1358" t="n"/>
    </row>
    <row r="217">
      <c r="A217" s="544" t="n">
        <v>29511</v>
      </c>
      <c r="B217" s="637" t="n"/>
      <c r="C217" s="637" t="n"/>
      <c r="D217" s="637" t="n"/>
      <c r="E217" s="637" t="n"/>
      <c r="V217" s="1357" t="n"/>
      <c r="W217" s="1358" t="n"/>
      <c r="X217" s="1358" t="n"/>
      <c r="Y217" s="1358" t="n"/>
    </row>
    <row r="218">
      <c r="A218" s="544" t="n">
        <v>29514</v>
      </c>
      <c r="B218" s="637" t="n"/>
      <c r="C218" s="637" t="n"/>
      <c r="D218" s="637" t="n"/>
      <c r="E218" s="637" t="n"/>
      <c r="V218" s="1357" t="n"/>
      <c r="W218" s="1358" t="n"/>
      <c r="X218" s="1358" t="n"/>
      <c r="Y218" s="1358" t="n"/>
    </row>
    <row r="219">
      <c r="A219" s="544" t="n">
        <v>29515</v>
      </c>
      <c r="B219" s="637" t="n"/>
      <c r="C219" s="637" t="n"/>
      <c r="D219" s="637" t="n"/>
      <c r="E219" s="637" t="n"/>
      <c r="V219" s="1357" t="n"/>
      <c r="W219" s="1358" t="n"/>
      <c r="X219" s="1358" t="n"/>
      <c r="Y219" s="1358" t="n"/>
    </row>
    <row r="220">
      <c r="A220" s="544" t="n">
        <v>29516</v>
      </c>
      <c r="B220" s="637" t="n"/>
      <c r="C220" s="637" t="n"/>
      <c r="D220" s="637" t="n"/>
      <c r="E220" s="637" t="n"/>
      <c r="V220" s="1357" t="n"/>
      <c r="W220" s="1358" t="n"/>
      <c r="X220" s="1358" t="n"/>
      <c r="Y220" s="1358" t="n"/>
    </row>
    <row r="221">
      <c r="A221" s="544" t="n">
        <v>29517</v>
      </c>
      <c r="B221" s="637" t="n"/>
      <c r="C221" s="637" t="n"/>
      <c r="D221" s="637" t="n"/>
      <c r="E221" s="637" t="n"/>
      <c r="V221" s="1357" t="n"/>
      <c r="W221" s="1358" t="n"/>
      <c r="X221" s="1358" t="n"/>
      <c r="Y221" s="1358" t="n"/>
    </row>
    <row r="222">
      <c r="A222" s="544" t="n">
        <v>29518</v>
      </c>
      <c r="B222" s="637" t="n"/>
      <c r="C222" s="637" t="n"/>
      <c r="D222" s="637" t="n"/>
      <c r="E222" s="637" t="n"/>
      <c r="V222" s="1357" t="n"/>
      <c r="W222" s="1358" t="n"/>
      <c r="X222" s="1358" t="n"/>
      <c r="Y222" s="1358" t="n"/>
    </row>
    <row r="223">
      <c r="A223" s="544" t="n">
        <v>29521</v>
      </c>
      <c r="B223" s="637" t="n"/>
      <c r="C223" s="637" t="n"/>
      <c r="D223" s="637" t="n"/>
      <c r="E223" s="637" t="n"/>
      <c r="V223" s="1357" t="n"/>
      <c r="W223" s="1358" t="n"/>
      <c r="X223" s="1358" t="n"/>
      <c r="Y223" s="1358" t="n"/>
    </row>
    <row r="224">
      <c r="A224" s="544" t="n">
        <v>29522</v>
      </c>
      <c r="B224" s="637" t="n"/>
      <c r="C224" s="637" t="n"/>
      <c r="D224" s="637" t="n"/>
      <c r="E224" s="637" t="n"/>
      <c r="V224" s="1357" t="n"/>
      <c r="W224" s="1358" t="n"/>
      <c r="X224" s="1358" t="n"/>
      <c r="Y224" s="1358" t="n"/>
    </row>
    <row r="225">
      <c r="A225" s="544" t="n">
        <v>29523</v>
      </c>
      <c r="B225" s="637" t="n"/>
      <c r="C225" s="637" t="n"/>
      <c r="D225" s="637" t="n"/>
      <c r="E225" s="637" t="n"/>
      <c r="V225" s="1357" t="n"/>
      <c r="W225" s="1358" t="n"/>
      <c r="X225" s="1358" t="n"/>
      <c r="Y225" s="1358" t="n"/>
    </row>
    <row r="226">
      <c r="A226" s="544" t="n">
        <v>29524</v>
      </c>
      <c r="B226" s="637" t="n"/>
      <c r="C226" s="637" t="n"/>
      <c r="D226" s="637" t="n"/>
      <c r="E226" s="637" t="n"/>
      <c r="V226" s="1357" t="n"/>
      <c r="W226" s="1358" t="n"/>
      <c r="X226" s="1358" t="n"/>
      <c r="Y226" s="1358" t="n"/>
    </row>
    <row r="227">
      <c r="A227" s="544" t="n">
        <v>29525</v>
      </c>
      <c r="B227" s="637" t="n"/>
      <c r="C227" s="637" t="n"/>
      <c r="D227" s="637" t="n"/>
      <c r="E227" s="637" t="n"/>
      <c r="V227" s="1357" t="n"/>
      <c r="W227" s="1358" t="n"/>
      <c r="X227" s="1358" t="n"/>
      <c r="Y227" s="1358" t="n"/>
    </row>
    <row r="228">
      <c r="A228" s="544" t="n">
        <v>29528</v>
      </c>
      <c r="B228" s="637" t="n"/>
      <c r="C228" s="637" t="n"/>
      <c r="D228" s="637" t="n"/>
      <c r="E228" s="637" t="n"/>
      <c r="V228" s="1357" t="n"/>
      <c r="W228" s="1358" t="n"/>
      <c r="X228" s="1358" t="n"/>
      <c r="Y228" s="1358" t="n"/>
    </row>
    <row r="229">
      <c r="A229" s="544" t="n">
        <v>29529</v>
      </c>
      <c r="B229" s="637" t="n"/>
      <c r="C229" s="637" t="n"/>
      <c r="D229" s="637" t="n"/>
      <c r="E229" s="637" t="n"/>
      <c r="V229" s="1357" t="n"/>
      <c r="W229" s="1358" t="n"/>
      <c r="X229" s="1358" t="n"/>
      <c r="Y229" s="1358" t="n"/>
    </row>
    <row r="230">
      <c r="A230" s="544" t="n">
        <v>29530</v>
      </c>
      <c r="B230" s="637" t="n"/>
      <c r="C230" s="637" t="n"/>
      <c r="D230" s="637" t="n"/>
      <c r="E230" s="637" t="n"/>
      <c r="V230" s="1357" t="n"/>
      <c r="W230" s="1358" t="n"/>
      <c r="X230" s="1358" t="n"/>
      <c r="Y230" s="1358" t="n"/>
    </row>
    <row r="231">
      <c r="A231" s="544" t="n">
        <v>29531</v>
      </c>
      <c r="B231" s="637" t="n"/>
      <c r="C231" s="637" t="n"/>
      <c r="D231" s="637" t="n"/>
      <c r="E231" s="637" t="n"/>
      <c r="V231" s="1357" t="n"/>
      <c r="W231" s="1358" t="n"/>
      <c r="X231" s="1358" t="n"/>
      <c r="Y231" s="1358" t="n"/>
    </row>
    <row r="232">
      <c r="A232" s="544" t="n">
        <v>29532</v>
      </c>
      <c r="B232" s="637" t="n"/>
      <c r="C232" s="637" t="n"/>
      <c r="D232" s="637" t="n"/>
      <c r="E232" s="637" t="n"/>
      <c r="V232" s="1357" t="n"/>
      <c r="W232" s="1358" t="n"/>
      <c r="X232" s="1358" t="n"/>
      <c r="Y232" s="1358" t="n"/>
    </row>
    <row r="233">
      <c r="A233" s="544" t="n">
        <v>29535</v>
      </c>
      <c r="B233" s="637" t="n"/>
      <c r="C233" s="637" t="n"/>
      <c r="D233" s="637" t="n"/>
      <c r="E233" s="637" t="n"/>
      <c r="V233" s="1357" t="n"/>
      <c r="W233" s="1358" t="n"/>
      <c r="X233" s="1358" t="n"/>
      <c r="Y233" s="1358" t="n"/>
    </row>
    <row r="234">
      <c r="A234" s="544" t="n">
        <v>29536</v>
      </c>
      <c r="B234" s="637" t="n"/>
      <c r="C234" s="637" t="n"/>
      <c r="D234" s="637" t="n"/>
      <c r="E234" s="637" t="n"/>
      <c r="V234" s="1357" t="n"/>
      <c r="W234" s="1358" t="n"/>
      <c r="X234" s="1358" t="n"/>
      <c r="Y234" s="1358" t="n"/>
    </row>
    <row r="235">
      <c r="A235" s="544" t="n">
        <v>29537</v>
      </c>
      <c r="B235" s="637" t="n"/>
      <c r="C235" s="637" t="n"/>
      <c r="D235" s="637" t="n"/>
      <c r="E235" s="637" t="n"/>
      <c r="V235" s="1357" t="n"/>
      <c r="W235" s="1358" t="n"/>
      <c r="X235" s="1358" t="n"/>
      <c r="Y235" s="1358" t="n"/>
    </row>
    <row r="236">
      <c r="A236" s="544" t="n">
        <v>29538</v>
      </c>
      <c r="B236" s="637" t="n"/>
      <c r="C236" s="637" t="n"/>
      <c r="D236" s="637" t="n"/>
      <c r="E236" s="637" t="n"/>
      <c r="V236" s="1357" t="n"/>
      <c r="W236" s="1358" t="n"/>
      <c r="X236" s="1358" t="n"/>
      <c r="Y236" s="1358" t="n"/>
    </row>
    <row r="237">
      <c r="A237" s="544" t="n">
        <v>29539</v>
      </c>
      <c r="B237" s="637" t="n"/>
      <c r="C237" s="637" t="n"/>
      <c r="D237" s="637" t="n"/>
      <c r="E237" s="637" t="n"/>
      <c r="V237" s="1357" t="n"/>
      <c r="W237" s="1358" t="n"/>
      <c r="X237" s="1358" t="n"/>
      <c r="Y237" s="1358" t="n"/>
    </row>
    <row r="238">
      <c r="A238" s="544" t="n">
        <v>29542</v>
      </c>
      <c r="B238" s="637" t="n"/>
      <c r="C238" s="637" t="n"/>
      <c r="D238" s="637" t="n"/>
      <c r="E238" s="637" t="n"/>
      <c r="V238" s="1357" t="n"/>
      <c r="W238" s="1358" t="n"/>
      <c r="X238" s="1358" t="n"/>
      <c r="Y238" s="1358" t="n"/>
    </row>
    <row r="239">
      <c r="A239" s="544" t="n">
        <v>29543</v>
      </c>
      <c r="B239" s="637" t="n"/>
      <c r="C239" s="637" t="n"/>
      <c r="D239" s="637" t="n"/>
      <c r="E239" s="637" t="n"/>
      <c r="V239" s="1357" t="n"/>
      <c r="W239" s="1358" t="n"/>
      <c r="X239" s="1358" t="n"/>
      <c r="Y239" s="1358" t="n"/>
    </row>
    <row r="240">
      <c r="A240" s="544" t="n">
        <v>29544</v>
      </c>
      <c r="B240" s="637" t="n"/>
      <c r="C240" s="637" t="n"/>
      <c r="D240" s="637" t="n"/>
      <c r="E240" s="637" t="n"/>
      <c r="V240" s="1357" t="n"/>
      <c r="W240" s="1358" t="n"/>
      <c r="X240" s="1358" t="n"/>
      <c r="Y240" s="1358" t="n"/>
    </row>
    <row r="241">
      <c r="A241" s="544" t="n">
        <v>29545</v>
      </c>
      <c r="B241" s="637" t="n"/>
      <c r="C241" s="637" t="n"/>
      <c r="D241" s="637" t="n"/>
      <c r="E241" s="637" t="n"/>
      <c r="V241" s="1357" t="n"/>
      <c r="W241" s="1358" t="n"/>
      <c r="X241" s="1358" t="n"/>
      <c r="Y241" s="1358" t="n"/>
    </row>
    <row r="242">
      <c r="A242" s="544" t="n">
        <v>29546</v>
      </c>
      <c r="B242" s="637" t="n"/>
      <c r="C242" s="637" t="n"/>
      <c r="D242" s="637" t="n"/>
      <c r="E242" s="637" t="n"/>
      <c r="V242" s="1357" t="n"/>
      <c r="W242" s="1358" t="n"/>
      <c r="X242" s="1358" t="n"/>
      <c r="Y242" s="1358" t="n"/>
    </row>
    <row r="243">
      <c r="A243" s="544" t="n">
        <v>29549</v>
      </c>
      <c r="B243" s="637" t="n"/>
      <c r="C243" s="637" t="n"/>
      <c r="D243" s="637" t="n"/>
      <c r="E243" s="637" t="n"/>
      <c r="V243" s="1357" t="n"/>
      <c r="W243" s="1358" t="n"/>
      <c r="X243" s="1358" t="n"/>
      <c r="Y243" s="1358" t="n"/>
    </row>
    <row r="244">
      <c r="A244" s="544" t="n">
        <v>29550</v>
      </c>
      <c r="B244" s="637" t="n"/>
      <c r="C244" s="637" t="n"/>
      <c r="D244" s="637" t="n"/>
      <c r="E244" s="637" t="n"/>
      <c r="V244" s="1357" t="n"/>
      <c r="W244" s="1358" t="n"/>
      <c r="X244" s="1358" t="n"/>
      <c r="Y244" s="1358" t="n"/>
    </row>
    <row r="245">
      <c r="A245" s="544" t="n">
        <v>29551</v>
      </c>
      <c r="B245" s="637" t="n"/>
      <c r="C245" s="637" t="n"/>
      <c r="D245" s="637" t="n"/>
      <c r="E245" s="637" t="n"/>
      <c r="V245" s="1357" t="n"/>
      <c r="W245" s="1358" t="n"/>
      <c r="X245" s="1358" t="n"/>
      <c r="Y245" s="1358" t="n"/>
    </row>
    <row r="246">
      <c r="A246" s="544" t="n">
        <v>29552</v>
      </c>
      <c r="B246" s="637" t="n"/>
      <c r="C246" s="637" t="n"/>
      <c r="D246" s="637" t="n"/>
      <c r="E246" s="637" t="n"/>
      <c r="V246" s="1357" t="n"/>
      <c r="W246" s="1358" t="n"/>
      <c r="X246" s="1358" t="n"/>
      <c r="Y246" s="1358" t="n"/>
    </row>
    <row r="247">
      <c r="A247" s="544" t="n">
        <v>29553</v>
      </c>
      <c r="B247" s="637" t="n"/>
      <c r="C247" s="637" t="n"/>
      <c r="D247" s="637" t="n"/>
      <c r="E247" s="637" t="n"/>
      <c r="V247" s="1357" t="n"/>
      <c r="W247" s="1358" t="n"/>
      <c r="X247" s="1358" t="n"/>
      <c r="Y247" s="1358" t="n"/>
    </row>
    <row r="248">
      <c r="A248" s="544" t="n">
        <v>29556</v>
      </c>
      <c r="B248" s="637" t="n"/>
      <c r="C248" s="637" t="n"/>
      <c r="D248" s="637" t="n"/>
      <c r="E248" s="637" t="n"/>
      <c r="V248" s="1357" t="n"/>
      <c r="W248" s="1358" t="n"/>
      <c r="X248" s="1358" t="n"/>
      <c r="Y248" s="1358" t="n"/>
    </row>
    <row r="249">
      <c r="A249" s="544" t="n">
        <v>29557</v>
      </c>
      <c r="B249" s="637" t="n"/>
      <c r="C249" s="637" t="n"/>
      <c r="D249" s="637" t="n"/>
      <c r="E249" s="637" t="n"/>
      <c r="V249" s="1357" t="n"/>
      <c r="W249" s="1358" t="n"/>
      <c r="X249" s="1358" t="n"/>
      <c r="Y249" s="1358" t="n"/>
    </row>
    <row r="250">
      <c r="A250" s="544" t="n">
        <v>29558</v>
      </c>
      <c r="B250" s="637" t="n"/>
      <c r="C250" s="637" t="n"/>
      <c r="D250" s="637" t="n"/>
      <c r="E250" s="637" t="n"/>
      <c r="V250" s="1357" t="n"/>
      <c r="W250" s="1358" t="n"/>
      <c r="X250" s="1358" t="n"/>
      <c r="Y250" s="1358" t="n"/>
    </row>
    <row r="251">
      <c r="A251" s="544" t="n">
        <v>29559</v>
      </c>
      <c r="B251" s="637" t="n"/>
      <c r="C251" s="637" t="n"/>
      <c r="D251" s="637" t="n"/>
      <c r="E251" s="637" t="n"/>
      <c r="V251" s="1357" t="n"/>
      <c r="W251" s="1358" t="n"/>
      <c r="X251" s="1358" t="n"/>
      <c r="Y251" s="1358" t="n"/>
    </row>
    <row r="252">
      <c r="A252" s="544" t="n">
        <v>29560</v>
      </c>
      <c r="B252" s="637" t="n"/>
      <c r="C252" s="637" t="n"/>
      <c r="D252" s="637" t="n"/>
      <c r="E252" s="637" t="n"/>
      <c r="V252" s="1357" t="n"/>
      <c r="W252" s="1358" t="n"/>
      <c r="X252" s="1358" t="n"/>
      <c r="Y252" s="1358" t="n"/>
    </row>
    <row r="253">
      <c r="A253" s="544" t="n">
        <v>29563</v>
      </c>
      <c r="B253" s="637" t="n"/>
      <c r="C253" s="637" t="n"/>
      <c r="D253" s="637" t="n"/>
      <c r="E253" s="637" t="n"/>
      <c r="V253" s="1357" t="n"/>
      <c r="W253" s="1358" t="n"/>
      <c r="X253" s="1358" t="n"/>
      <c r="Y253" s="1358" t="n"/>
    </row>
    <row r="254">
      <c r="A254" s="544" t="n">
        <v>29564</v>
      </c>
      <c r="B254" s="637" t="n"/>
      <c r="C254" s="637" t="n"/>
      <c r="D254" s="637" t="n"/>
      <c r="E254" s="637" t="n"/>
      <c r="V254" s="1357" t="n"/>
      <c r="W254" s="1358" t="n"/>
      <c r="X254" s="1358" t="n"/>
      <c r="Y254" s="1358" t="n"/>
    </row>
    <row r="255">
      <c r="A255" s="544" t="n">
        <v>29565</v>
      </c>
      <c r="B255" s="637" t="n"/>
      <c r="C255" s="637" t="n"/>
      <c r="D255" s="637" t="n"/>
      <c r="E255" s="637" t="n"/>
      <c r="V255" s="1357" t="n"/>
      <c r="W255" s="1358" t="n"/>
      <c r="X255" s="1358" t="n"/>
      <c r="Y255" s="1358" t="n"/>
    </row>
    <row r="256">
      <c r="A256" s="544" t="n">
        <v>29566</v>
      </c>
      <c r="B256" s="637" t="n"/>
      <c r="C256" s="637" t="n"/>
      <c r="D256" s="637" t="n"/>
      <c r="E256" s="637" t="n"/>
      <c r="V256" s="1357" t="n"/>
      <c r="W256" s="1358" t="n"/>
      <c r="X256" s="1358" t="n"/>
      <c r="Y256" s="1358" t="n"/>
    </row>
    <row r="257">
      <c r="A257" s="544" t="n">
        <v>29567</v>
      </c>
      <c r="B257" s="637" t="n"/>
      <c r="C257" s="637" t="n"/>
      <c r="D257" s="637" t="n"/>
      <c r="E257" s="637" t="n"/>
      <c r="V257" s="1357" t="n"/>
      <c r="W257" s="1358" t="n"/>
      <c r="X257" s="1358" t="n"/>
      <c r="Y257" s="1358" t="n"/>
    </row>
    <row r="258">
      <c r="A258" s="544" t="n">
        <v>29570</v>
      </c>
      <c r="B258" s="637" t="n"/>
      <c r="C258" s="637" t="n"/>
      <c r="D258" s="637" t="n"/>
      <c r="E258" s="637" t="n"/>
      <c r="V258" s="1357" t="n"/>
      <c r="W258" s="1358" t="n"/>
      <c r="X258" s="1358" t="n"/>
      <c r="Y258" s="1358" t="n"/>
    </row>
    <row r="259">
      <c r="A259" s="544" t="n">
        <v>29571</v>
      </c>
      <c r="B259" s="637" t="n"/>
      <c r="C259" s="637" t="n"/>
      <c r="D259" s="637" t="n"/>
      <c r="E259" s="637" t="n"/>
      <c r="V259" s="1357" t="n"/>
      <c r="W259" s="1358" t="n"/>
      <c r="X259" s="1358" t="n"/>
      <c r="Y259" s="1358" t="n"/>
    </row>
    <row r="260">
      <c r="A260" s="544" t="n">
        <v>29572</v>
      </c>
      <c r="B260" s="637" t="n"/>
      <c r="C260" s="637" t="n"/>
      <c r="D260" s="637" t="n"/>
      <c r="E260" s="637" t="n"/>
    </row>
    <row r="261">
      <c r="A261" s="544" t="n">
        <v>29573</v>
      </c>
      <c r="B261" s="637" t="n"/>
      <c r="C261" s="637" t="n"/>
      <c r="D261" s="637" t="n"/>
      <c r="E261" s="637" t="n"/>
    </row>
    <row r="262">
      <c r="A262" s="544" t="n">
        <v>29574</v>
      </c>
      <c r="B262" s="637" t="n"/>
      <c r="C262" s="637" t="n"/>
      <c r="D262" s="637" t="n"/>
      <c r="E262" s="637" t="n"/>
    </row>
    <row r="263">
      <c r="A263" s="544" t="n">
        <v>29577</v>
      </c>
      <c r="B263" s="637" t="n"/>
      <c r="C263" s="637" t="n"/>
      <c r="D263" s="637" t="n"/>
      <c r="E263" s="637" t="n"/>
    </row>
    <row r="264">
      <c r="A264" s="544" t="n">
        <v>29578</v>
      </c>
      <c r="B264" s="637" t="n"/>
      <c r="C264" s="637" t="n"/>
      <c r="D264" s="637" t="n"/>
      <c r="E264" s="637" t="n"/>
    </row>
    <row r="265">
      <c r="A265" s="544" t="n">
        <v>29579</v>
      </c>
      <c r="B265" s="637" t="n"/>
      <c r="C265" s="637" t="n"/>
      <c r="D265" s="637" t="n"/>
      <c r="E265" s="637" t="n"/>
    </row>
    <row r="266">
      <c r="A266" s="544" t="n">
        <v>29580</v>
      </c>
      <c r="B266" s="637" t="n"/>
      <c r="C266" s="637" t="n"/>
      <c r="D266" s="637" t="n"/>
      <c r="E266" s="637" t="n"/>
    </row>
    <row r="267">
      <c r="A267" s="544" t="n">
        <v>29581</v>
      </c>
      <c r="B267" s="637" t="n"/>
      <c r="C267" s="637" t="n"/>
      <c r="D267" s="637" t="n"/>
      <c r="E267" s="637" t="n"/>
    </row>
    <row r="268">
      <c r="A268" s="544" t="n">
        <v>29584</v>
      </c>
      <c r="B268" s="637" t="n"/>
      <c r="C268" s="637" t="n"/>
      <c r="D268" s="637" t="n"/>
      <c r="E268" s="637" t="n"/>
    </row>
    <row r="269">
      <c r="A269" s="544" t="n">
        <v>29585</v>
      </c>
      <c r="B269" s="637" t="n"/>
      <c r="C269" s="637" t="n"/>
      <c r="D269" s="637" t="n"/>
      <c r="E269" s="637" t="n"/>
    </row>
    <row r="270">
      <c r="A270" s="544" t="n">
        <v>29586</v>
      </c>
      <c r="B270" s="637" t="n"/>
      <c r="C270" s="637" t="n"/>
      <c r="D270" s="637" t="n"/>
      <c r="E270" s="637" t="n"/>
    </row>
    <row r="271">
      <c r="A271" s="544" t="n">
        <v>29587</v>
      </c>
      <c r="B271" s="637" t="n"/>
      <c r="C271" s="637" t="n"/>
      <c r="D271" s="637" t="n"/>
      <c r="E271" s="637" t="n"/>
    </row>
    <row r="272">
      <c r="A272" s="544" t="n">
        <v>29588</v>
      </c>
      <c r="B272" s="637" t="n"/>
      <c r="C272" s="637" t="n"/>
      <c r="D272" s="637" t="n"/>
      <c r="E272" s="637" t="n"/>
    </row>
    <row r="273">
      <c r="A273" s="544" t="n">
        <v>29591</v>
      </c>
      <c r="B273" s="637" t="n"/>
      <c r="C273" s="637" t="n"/>
      <c r="D273" s="637" t="n"/>
      <c r="E273" s="637" t="n"/>
    </row>
    <row r="274">
      <c r="A274" s="544" t="n">
        <v>29592</v>
      </c>
      <c r="B274" s="637" t="n"/>
      <c r="C274" s="637" t="n"/>
      <c r="D274" s="637" t="n"/>
      <c r="E274" s="637" t="n"/>
    </row>
    <row r="275">
      <c r="A275" s="544" t="n">
        <v>29593</v>
      </c>
      <c r="B275" s="637" t="n"/>
      <c r="C275" s="637" t="n"/>
      <c r="D275" s="637" t="n"/>
      <c r="E275" s="637" t="n"/>
    </row>
    <row r="276">
      <c r="A276" s="544" t="n">
        <v>29594</v>
      </c>
      <c r="B276" s="637" t="n"/>
      <c r="C276" s="637" t="n"/>
      <c r="D276" s="637" t="n"/>
      <c r="E276" s="637" t="n"/>
    </row>
    <row r="277">
      <c r="A277" s="544" t="n">
        <v>29595</v>
      </c>
      <c r="B277" s="637" t="n"/>
      <c r="C277" s="637" t="n"/>
      <c r="D277" s="637" t="n"/>
      <c r="E277" s="637" t="n"/>
    </row>
    <row r="278">
      <c r="A278" s="544" t="n">
        <v>29598</v>
      </c>
      <c r="B278" s="637" t="n"/>
      <c r="C278" s="637" t="n"/>
      <c r="D278" s="637" t="n"/>
      <c r="E278" s="637" t="n"/>
    </row>
    <row r="279">
      <c r="A279" s="544" t="n">
        <v>29599</v>
      </c>
      <c r="B279" s="637" t="n"/>
      <c r="C279" s="637" t="n"/>
      <c r="D279" s="637" t="n"/>
      <c r="E279" s="637" t="n"/>
    </row>
    <row r="280">
      <c r="A280" s="544" t="n">
        <v>29600</v>
      </c>
      <c r="B280" s="637" t="n"/>
      <c r="C280" s="637" t="n"/>
      <c r="D280" s="637" t="n"/>
      <c r="E280" s="637" t="n"/>
    </row>
    <row r="281">
      <c r="A281" s="544" t="n">
        <v>29601</v>
      </c>
      <c r="B281" s="637" t="n"/>
      <c r="C281" s="637" t="n"/>
      <c r="D281" s="637" t="n"/>
      <c r="E281" s="637" t="n"/>
    </row>
    <row r="282">
      <c r="A282" s="544" t="n">
        <v>29602</v>
      </c>
      <c r="B282" s="637" t="n"/>
      <c r="C282" s="637" t="n"/>
      <c r="D282" s="637" t="n"/>
      <c r="E282" s="637" t="n"/>
    </row>
    <row r="283">
      <c r="A283" s="544" t="n">
        <v>29605</v>
      </c>
      <c r="B283" s="637" t="n"/>
      <c r="C283" s="637" t="n"/>
      <c r="D283" s="637" t="n"/>
      <c r="E283" s="637" t="n"/>
    </row>
    <row r="284">
      <c r="A284" s="544" t="n">
        <v>29606</v>
      </c>
      <c r="B284" s="637" t="n"/>
      <c r="C284" s="637" t="n"/>
      <c r="D284" s="637" t="n"/>
      <c r="E284" s="637" t="n"/>
    </row>
    <row r="285">
      <c r="A285" s="544" t="n">
        <v>29607</v>
      </c>
      <c r="B285" s="637" t="n"/>
      <c r="C285" s="637" t="n"/>
      <c r="D285" s="637" t="n"/>
      <c r="E285" s="637" t="n"/>
    </row>
    <row r="286">
      <c r="A286" s="544" t="n">
        <v>29608</v>
      </c>
      <c r="B286" s="637" t="n"/>
      <c r="C286" s="637" t="n"/>
      <c r="D286" s="637" t="n"/>
      <c r="E286" s="637" t="n"/>
    </row>
    <row r="287">
      <c r="A287" s="544" t="n">
        <v>29609</v>
      </c>
      <c r="B287" s="637" t="n"/>
      <c r="C287" s="637" t="n"/>
      <c r="D287" s="637" t="n"/>
      <c r="E287" s="637" t="n"/>
    </row>
    <row r="288">
      <c r="A288" s="544" t="n">
        <v>29612</v>
      </c>
      <c r="B288" s="637" t="n"/>
      <c r="C288" s="637" t="n"/>
      <c r="D288" s="637" t="n"/>
      <c r="E288" s="637" t="n"/>
    </row>
    <row r="289">
      <c r="A289" s="544" t="n">
        <v>29613</v>
      </c>
      <c r="B289" s="637" t="n"/>
      <c r="C289" s="637" t="n"/>
      <c r="D289" s="637" t="n"/>
      <c r="E289" s="637" t="n"/>
    </row>
    <row r="290">
      <c r="A290" s="544" t="n">
        <v>29614</v>
      </c>
      <c r="B290" s="637" t="n"/>
      <c r="C290" s="637" t="n"/>
      <c r="D290" s="637" t="n"/>
      <c r="E290" s="637" t="n"/>
    </row>
    <row r="291">
      <c r="A291" s="544" t="n">
        <v>29615</v>
      </c>
      <c r="B291" s="637" t="n"/>
      <c r="C291" s="637" t="n"/>
      <c r="D291" s="637" t="n"/>
      <c r="E291" s="637" t="n"/>
    </row>
    <row r="292">
      <c r="A292" s="544" t="n">
        <v>29616</v>
      </c>
      <c r="B292" s="637" t="n"/>
      <c r="C292" s="637" t="n"/>
      <c r="D292" s="637" t="n"/>
      <c r="E292" s="637" t="n"/>
    </row>
    <row r="293">
      <c r="A293" s="544" t="n">
        <v>29619</v>
      </c>
      <c r="B293" s="637" t="n"/>
      <c r="C293" s="637" t="n"/>
      <c r="D293" s="637" t="n"/>
      <c r="E293" s="637" t="n"/>
    </row>
    <row r="294">
      <c r="A294" s="544" t="n">
        <v>29620</v>
      </c>
      <c r="B294" s="637" t="n"/>
      <c r="C294" s="637" t="n"/>
      <c r="D294" s="637" t="n"/>
      <c r="E294" s="637" t="n"/>
    </row>
    <row r="295">
      <c r="A295" s="544" t="n">
        <v>29621</v>
      </c>
      <c r="B295" s="637" t="n"/>
      <c r="C295" s="637" t="n"/>
      <c r="D295" s="637" t="n"/>
      <c r="E295" s="637" t="n"/>
    </row>
    <row r="296">
      <c r="A296" s="544" t="n">
        <v>29622</v>
      </c>
      <c r="B296" s="637" t="n"/>
      <c r="C296" s="637" t="n"/>
      <c r="D296" s="637" t="n"/>
      <c r="E296" s="637" t="n"/>
    </row>
    <row r="297">
      <c r="A297" s="544" t="n">
        <v>29623</v>
      </c>
      <c r="B297" s="637" t="n"/>
      <c r="C297" s="637" t="n"/>
      <c r="D297" s="637" t="n"/>
      <c r="E297" s="637" t="n"/>
    </row>
    <row r="298">
      <c r="A298" s="544" t="n">
        <v>29626</v>
      </c>
      <c r="B298" s="637" t="n"/>
      <c r="C298" s="637" t="n"/>
      <c r="D298" s="637" t="n"/>
      <c r="E298" s="637" t="n"/>
    </row>
    <row r="299">
      <c r="A299" s="544" t="n">
        <v>29627</v>
      </c>
      <c r="B299" s="637" t="n"/>
      <c r="C299" s="637" t="n"/>
      <c r="D299" s="637" t="n"/>
      <c r="E299" s="637" t="n"/>
    </row>
    <row r="300">
      <c r="A300" s="544" t="n">
        <v>29628</v>
      </c>
      <c r="B300" s="637" t="n"/>
      <c r="C300" s="637" t="n"/>
      <c r="D300" s="637" t="n"/>
      <c r="E300" s="637" t="n"/>
    </row>
    <row r="301">
      <c r="A301" s="544" t="n">
        <v>29629</v>
      </c>
      <c r="B301" s="637" t="n"/>
      <c r="C301" s="637" t="n"/>
      <c r="D301" s="637" t="n"/>
      <c r="E301" s="637" t="n"/>
    </row>
    <row r="302">
      <c r="A302" s="544" t="n">
        <v>29630</v>
      </c>
      <c r="B302" s="637" t="n"/>
      <c r="C302" s="637" t="n"/>
      <c r="D302" s="637" t="n"/>
      <c r="E302" s="637" t="n"/>
    </row>
    <row r="303">
      <c r="A303" s="544" t="n">
        <v>29633</v>
      </c>
      <c r="B303" s="637" t="n"/>
      <c r="C303" s="637" t="n"/>
      <c r="D303" s="637" t="n"/>
      <c r="E303" s="637" t="n"/>
    </row>
    <row r="304">
      <c r="A304" s="544" t="n">
        <v>29634</v>
      </c>
      <c r="B304" s="637" t="n"/>
      <c r="C304" s="637" t="n"/>
      <c r="D304" s="637" t="n"/>
      <c r="E304" s="637" t="n"/>
    </row>
    <row r="305">
      <c r="A305" s="544" t="n">
        <v>29635</v>
      </c>
      <c r="B305" s="637" t="n"/>
      <c r="C305" s="637" t="n"/>
      <c r="D305" s="637" t="n"/>
      <c r="E305" s="637" t="n"/>
    </row>
    <row r="306">
      <c r="A306" s="544" t="n">
        <v>29636</v>
      </c>
      <c r="B306" s="637" t="n"/>
      <c r="C306" s="637" t="n"/>
      <c r="D306" s="637" t="n"/>
      <c r="E306" s="637" t="n"/>
    </row>
    <row r="307">
      <c r="A307" s="544" t="n">
        <v>29637</v>
      </c>
      <c r="B307" s="637" t="n"/>
      <c r="C307" s="637" t="n"/>
      <c r="D307" s="637" t="n"/>
      <c r="E307" s="637" t="n"/>
    </row>
    <row r="308">
      <c r="A308" s="544" t="n">
        <v>29640</v>
      </c>
      <c r="B308" s="637" t="n"/>
      <c r="C308" s="637" t="n"/>
      <c r="D308" s="637" t="n"/>
      <c r="E308" s="637" t="n"/>
    </row>
    <row r="309">
      <c r="A309" s="544" t="n">
        <v>29641</v>
      </c>
      <c r="B309" s="637" t="n"/>
      <c r="C309" s="637" t="n"/>
      <c r="D309" s="637" t="n"/>
      <c r="E309" s="637" t="n"/>
    </row>
    <row r="310">
      <c r="A310" s="544" t="n">
        <v>29642</v>
      </c>
      <c r="B310" s="637" t="n"/>
      <c r="C310" s="637" t="n"/>
      <c r="D310" s="637" t="n"/>
      <c r="E310" s="637" t="n"/>
    </row>
    <row r="311">
      <c r="A311" s="544" t="n">
        <v>29643</v>
      </c>
      <c r="B311" s="637" t="n"/>
      <c r="C311" s="637" t="n"/>
      <c r="D311" s="637" t="n"/>
      <c r="E311" s="637" t="n"/>
    </row>
    <row r="312">
      <c r="A312" s="544" t="n">
        <v>29644</v>
      </c>
      <c r="B312" s="637" t="n"/>
      <c r="C312" s="637" t="n"/>
      <c r="D312" s="637" t="n"/>
      <c r="E312" s="637" t="n"/>
    </row>
    <row r="313">
      <c r="A313" s="544" t="n">
        <v>29647</v>
      </c>
      <c r="B313" s="637" t="n"/>
      <c r="C313" s="637" t="n"/>
      <c r="D313" s="637" t="n"/>
      <c r="E313" s="637" t="n"/>
    </row>
    <row r="314">
      <c r="A314" s="544" t="n">
        <v>29648</v>
      </c>
      <c r="B314" s="637" t="n"/>
      <c r="C314" s="637" t="n"/>
      <c r="D314" s="637" t="n"/>
      <c r="E314" s="637" t="n"/>
    </row>
    <row r="315">
      <c r="A315" s="544" t="n">
        <v>29649</v>
      </c>
      <c r="B315" s="637" t="n"/>
      <c r="C315" s="637" t="n"/>
      <c r="D315" s="637" t="n"/>
      <c r="E315" s="637" t="n"/>
    </row>
    <row r="316">
      <c r="A316" s="544" t="n">
        <v>29650</v>
      </c>
      <c r="B316" s="637" t="n"/>
      <c r="C316" s="637" t="n"/>
      <c r="D316" s="637" t="n"/>
      <c r="E316" s="637" t="n"/>
    </row>
    <row r="317">
      <c r="A317" s="544" t="n">
        <v>29651</v>
      </c>
      <c r="B317" s="637" t="n"/>
      <c r="C317" s="637" t="n"/>
      <c r="D317" s="637" t="n"/>
      <c r="E317" s="637" t="n"/>
    </row>
    <row r="318">
      <c r="A318" s="544" t="n">
        <v>29654</v>
      </c>
      <c r="B318" s="637" t="n"/>
      <c r="C318" s="637" t="n"/>
      <c r="D318" s="637" t="n"/>
      <c r="E318" s="637" t="n"/>
    </row>
    <row r="319">
      <c r="A319" s="544" t="n">
        <v>29655</v>
      </c>
      <c r="B319" s="637" t="n"/>
      <c r="C319" s="637" t="n"/>
      <c r="D319" s="637" t="n"/>
      <c r="E319" s="637" t="n"/>
    </row>
    <row r="320">
      <c r="A320" s="544" t="n">
        <v>29656</v>
      </c>
      <c r="B320" s="637" t="n"/>
      <c r="C320" s="637" t="n"/>
      <c r="D320" s="637" t="n"/>
      <c r="E320" s="637" t="n"/>
    </row>
    <row r="321">
      <c r="A321" s="544" t="n">
        <v>29657</v>
      </c>
      <c r="B321" s="637" t="n"/>
      <c r="C321" s="637" t="n"/>
      <c r="D321" s="637" t="n"/>
      <c r="E321" s="637" t="n"/>
    </row>
    <row r="322">
      <c r="A322" s="544" t="n">
        <v>29658</v>
      </c>
      <c r="B322" s="637" t="n"/>
      <c r="C322" s="637" t="n"/>
      <c r="D322" s="637" t="n"/>
      <c r="E322" s="637" t="n"/>
    </row>
    <row r="323">
      <c r="A323" s="544" t="n">
        <v>29661</v>
      </c>
      <c r="B323" s="637" t="n"/>
      <c r="C323" s="637" t="n"/>
      <c r="D323" s="637" t="n"/>
      <c r="E323" s="637" t="n"/>
    </row>
    <row r="324">
      <c r="A324" s="544" t="n">
        <v>29662</v>
      </c>
      <c r="B324" s="637" t="n"/>
      <c r="C324" s="637" t="n"/>
      <c r="D324" s="637" t="n"/>
      <c r="E324" s="637" t="n"/>
    </row>
    <row r="325">
      <c r="A325" s="544" t="n">
        <v>29663</v>
      </c>
      <c r="B325" s="637" t="n"/>
      <c r="C325" s="637" t="n"/>
      <c r="D325" s="637" t="n"/>
      <c r="E325" s="637" t="n"/>
    </row>
    <row r="326">
      <c r="A326" s="544" t="n">
        <v>29664</v>
      </c>
      <c r="B326" s="637" t="n"/>
      <c r="C326" s="637" t="n"/>
      <c r="D326" s="637" t="n"/>
      <c r="E326" s="637" t="n"/>
    </row>
    <row r="327">
      <c r="A327" s="544" t="n">
        <v>29665</v>
      </c>
      <c r="B327" s="637" t="n"/>
      <c r="C327" s="637" t="n"/>
      <c r="D327" s="637" t="n"/>
      <c r="E327" s="637" t="n"/>
    </row>
    <row r="328">
      <c r="A328" s="544" t="n">
        <v>29668</v>
      </c>
      <c r="B328" s="637" t="n"/>
      <c r="C328" s="637" t="n"/>
      <c r="D328" s="637" t="n"/>
      <c r="E328" s="637" t="n"/>
    </row>
    <row r="329">
      <c r="A329" s="544" t="n">
        <v>29669</v>
      </c>
      <c r="B329" s="637" t="n"/>
      <c r="C329" s="637" t="n"/>
      <c r="D329" s="637" t="n"/>
      <c r="E329" s="637" t="n"/>
    </row>
    <row r="330">
      <c r="A330" s="544" t="n">
        <v>29670</v>
      </c>
      <c r="B330" s="637" t="n"/>
      <c r="C330" s="637" t="n"/>
      <c r="D330" s="637" t="n"/>
      <c r="E330" s="637" t="n"/>
    </row>
    <row r="331">
      <c r="A331" s="544" t="n">
        <v>29671</v>
      </c>
      <c r="B331" s="637" t="n"/>
      <c r="C331" s="637" t="n"/>
      <c r="D331" s="637" t="n"/>
      <c r="E331" s="637" t="n"/>
    </row>
    <row r="332">
      <c r="A332" s="544" t="n">
        <v>29672</v>
      </c>
      <c r="B332" s="637" t="n"/>
      <c r="C332" s="637" t="n"/>
      <c r="D332" s="637" t="n"/>
      <c r="E332" s="637" t="n"/>
    </row>
    <row r="333">
      <c r="A333" s="544" t="n">
        <v>29675</v>
      </c>
      <c r="B333" s="637" t="n"/>
      <c r="C333" s="637" t="n"/>
      <c r="D333" s="637" t="n"/>
      <c r="E333" s="637" t="n"/>
    </row>
    <row r="334">
      <c r="A334" s="544" t="n">
        <v>29676</v>
      </c>
      <c r="B334" s="637" t="n"/>
      <c r="C334" s="637" t="n"/>
      <c r="D334" s="637" t="n"/>
      <c r="E334" s="637" t="n"/>
    </row>
    <row r="335">
      <c r="A335" s="544" t="n">
        <v>29677</v>
      </c>
      <c r="B335" s="637" t="n"/>
      <c r="C335" s="637" t="n"/>
      <c r="D335" s="637" t="n"/>
      <c r="E335" s="637" t="n"/>
    </row>
    <row r="336">
      <c r="A336" s="544" t="n">
        <v>29678</v>
      </c>
      <c r="B336" s="637" t="n"/>
      <c r="C336" s="637" t="n"/>
      <c r="D336" s="637" t="n"/>
      <c r="E336" s="637" t="n"/>
    </row>
    <row r="337">
      <c r="A337" s="544" t="n">
        <v>29679</v>
      </c>
      <c r="B337" s="637" t="n"/>
      <c r="C337" s="637" t="n"/>
      <c r="D337" s="637" t="n"/>
      <c r="E337" s="637" t="n"/>
    </row>
    <row r="338">
      <c r="A338" s="544" t="n">
        <v>29682</v>
      </c>
      <c r="B338" s="637" t="n"/>
      <c r="C338" s="637" t="n"/>
      <c r="D338" s="637" t="n"/>
      <c r="E338" s="637" t="n"/>
    </row>
    <row r="339">
      <c r="A339" s="544" t="n">
        <v>29683</v>
      </c>
      <c r="B339" s="637" t="n"/>
      <c r="C339" s="637" t="n"/>
      <c r="D339" s="637" t="n"/>
      <c r="E339" s="637" t="n"/>
    </row>
    <row r="340">
      <c r="A340" s="544" t="n">
        <v>29684</v>
      </c>
      <c r="B340" s="637" t="n"/>
      <c r="C340" s="637" t="n"/>
      <c r="D340" s="637" t="n"/>
      <c r="E340" s="637" t="n"/>
    </row>
    <row r="341">
      <c r="A341" s="544" t="n">
        <v>29685</v>
      </c>
      <c r="B341" s="637" t="n"/>
      <c r="C341" s="637" t="n"/>
      <c r="D341" s="637" t="n"/>
      <c r="E341" s="637" t="n"/>
    </row>
    <row r="342">
      <c r="A342" s="544" t="n">
        <v>29686</v>
      </c>
      <c r="B342" s="637" t="n"/>
      <c r="C342" s="637" t="n"/>
      <c r="D342" s="637" t="n"/>
      <c r="E342" s="637" t="n"/>
    </row>
    <row r="343">
      <c r="A343" s="544" t="n">
        <v>29689</v>
      </c>
      <c r="B343" s="637" t="n"/>
      <c r="C343" s="637" t="n"/>
      <c r="D343" s="637" t="n"/>
      <c r="E343" s="637" t="n"/>
    </row>
    <row r="344">
      <c r="A344" s="544" t="n">
        <v>29690</v>
      </c>
      <c r="B344" s="637" t="n"/>
      <c r="C344" s="637" t="n"/>
      <c r="D344" s="637" t="n"/>
      <c r="E344" s="637" t="n"/>
    </row>
    <row r="345">
      <c r="A345" s="544" t="n">
        <v>29691</v>
      </c>
      <c r="B345" s="637" t="n"/>
      <c r="C345" s="637" t="n"/>
      <c r="D345" s="637" t="n"/>
      <c r="E345" s="637" t="n"/>
    </row>
    <row r="346">
      <c r="A346" s="544" t="n">
        <v>29692</v>
      </c>
      <c r="B346" s="637" t="n"/>
      <c r="C346" s="637" t="n"/>
      <c r="D346" s="637" t="n"/>
      <c r="E346" s="637" t="n"/>
    </row>
    <row r="347">
      <c r="A347" s="544" t="n">
        <v>29693</v>
      </c>
      <c r="B347" s="637" t="n"/>
      <c r="C347" s="637" t="n"/>
      <c r="D347" s="637" t="n"/>
      <c r="E347" s="637" t="n"/>
    </row>
    <row r="348">
      <c r="A348" s="544" t="n">
        <v>29696</v>
      </c>
      <c r="B348" s="637" t="n"/>
      <c r="C348" s="637" t="n"/>
      <c r="D348" s="637" t="n"/>
      <c r="E348" s="637" t="n"/>
    </row>
    <row r="349">
      <c r="A349" s="544" t="n">
        <v>29697</v>
      </c>
      <c r="B349" s="637" t="n"/>
      <c r="C349" s="637" t="n"/>
      <c r="D349" s="637" t="n"/>
      <c r="E349" s="637" t="n"/>
    </row>
    <row r="350">
      <c r="A350" s="544" t="n">
        <v>29698</v>
      </c>
      <c r="B350" s="637" t="n"/>
      <c r="C350" s="637" t="n"/>
      <c r="D350" s="637" t="n"/>
      <c r="E350" s="637" t="n"/>
    </row>
    <row r="351">
      <c r="A351" s="544" t="n">
        <v>29699</v>
      </c>
      <c r="B351" s="637" t="n"/>
      <c r="C351" s="637" t="n"/>
      <c r="D351" s="637" t="n"/>
      <c r="E351" s="637" t="n"/>
    </row>
    <row r="352">
      <c r="A352" s="544" t="n">
        <v>29700</v>
      </c>
      <c r="B352" s="637" t="n"/>
      <c r="C352" s="637" t="n"/>
      <c r="D352" s="637" t="n"/>
      <c r="E352" s="637" t="n"/>
    </row>
    <row r="353">
      <c r="A353" s="544" t="n">
        <v>29703</v>
      </c>
      <c r="B353" s="637" t="n"/>
      <c r="C353" s="637" t="n"/>
      <c r="D353" s="637" t="n"/>
      <c r="E353" s="637" t="n"/>
    </row>
    <row r="354">
      <c r="A354" s="544" t="n">
        <v>29704</v>
      </c>
      <c r="B354" s="637" t="n"/>
      <c r="C354" s="637" t="n"/>
      <c r="D354" s="637" t="n"/>
      <c r="E354" s="637" t="n"/>
    </row>
    <row r="355">
      <c r="A355" s="544" t="n">
        <v>29705</v>
      </c>
      <c r="B355" s="637" t="n"/>
      <c r="C355" s="637" t="n"/>
      <c r="D355" s="637" t="n"/>
      <c r="E355" s="637" t="n"/>
    </row>
    <row r="356">
      <c r="A356" s="544" t="n">
        <v>29706</v>
      </c>
      <c r="B356" s="637" t="n"/>
      <c r="C356" s="637" t="n"/>
      <c r="D356" s="637" t="n"/>
      <c r="E356" s="637" t="n"/>
    </row>
    <row r="357">
      <c r="A357" s="544" t="n">
        <v>29707</v>
      </c>
      <c r="B357" s="637" t="n"/>
      <c r="C357" s="637" t="n"/>
      <c r="D357" s="637" t="n"/>
      <c r="E357" s="637" t="n"/>
    </row>
    <row r="358">
      <c r="A358" s="544" t="n">
        <v>29710</v>
      </c>
      <c r="B358" s="637" t="n"/>
      <c r="C358" s="637" t="n"/>
      <c r="D358" s="637" t="n"/>
      <c r="E358" s="637" t="n"/>
    </row>
    <row r="359">
      <c r="A359" s="544" t="n">
        <v>29711</v>
      </c>
      <c r="B359" s="637" t="n"/>
      <c r="C359" s="637" t="n"/>
      <c r="D359" s="637" t="n"/>
      <c r="E359" s="637" t="n"/>
    </row>
    <row r="360">
      <c r="A360" s="544" t="n">
        <v>29712</v>
      </c>
      <c r="B360" s="637" t="n"/>
      <c r="C360" s="637" t="n"/>
      <c r="D360" s="637" t="n"/>
      <c r="E360" s="637" t="n"/>
    </row>
    <row r="361">
      <c r="A361" s="544" t="n">
        <v>29713</v>
      </c>
      <c r="B361" s="637" t="n"/>
      <c r="C361" s="637" t="n"/>
      <c r="D361" s="637" t="n"/>
      <c r="E361" s="637" t="n"/>
    </row>
    <row r="362">
      <c r="A362" s="544" t="n">
        <v>29714</v>
      </c>
      <c r="B362" s="637" t="n"/>
      <c r="C362" s="637" t="n"/>
      <c r="D362" s="637" t="n"/>
      <c r="E362" s="637" t="n"/>
    </row>
    <row r="363">
      <c r="A363" s="544" t="n">
        <v>29717</v>
      </c>
      <c r="B363" s="637" t="n"/>
      <c r="C363" s="637" t="n"/>
      <c r="D363" s="637" t="n"/>
      <c r="E363" s="637" t="n"/>
    </row>
    <row r="364">
      <c r="A364" s="544" t="n">
        <v>29718</v>
      </c>
      <c r="B364" s="637" t="n"/>
      <c r="C364" s="637" t="n"/>
      <c r="D364" s="637" t="n"/>
      <c r="E364" s="637" t="n"/>
    </row>
    <row r="365">
      <c r="A365" s="544" t="n">
        <v>29719</v>
      </c>
      <c r="B365" s="637" t="n"/>
      <c r="C365" s="637" t="n"/>
      <c r="D365" s="637" t="n"/>
      <c r="E365" s="637" t="n"/>
    </row>
    <row r="366">
      <c r="A366" s="544" t="n">
        <v>29720</v>
      </c>
      <c r="B366" s="637" t="n"/>
      <c r="C366" s="637" t="n"/>
      <c r="D366" s="637" t="n"/>
      <c r="E366" s="637" t="n"/>
    </row>
    <row r="367">
      <c r="A367" s="544" t="n">
        <v>29721</v>
      </c>
      <c r="B367" s="637" t="n"/>
      <c r="C367" s="637" t="n"/>
      <c r="D367" s="637" t="n"/>
      <c r="E367" s="637" t="n"/>
    </row>
    <row r="368">
      <c r="A368" s="544" t="n">
        <v>29724</v>
      </c>
      <c r="B368" s="637" t="n"/>
      <c r="C368" s="637" t="n"/>
      <c r="D368" s="637" t="n"/>
      <c r="E368" s="637" t="n"/>
    </row>
    <row r="369">
      <c r="A369" s="544" t="n">
        <v>29725</v>
      </c>
      <c r="B369" s="637" t="n"/>
      <c r="C369" s="637" t="n"/>
      <c r="D369" s="637" t="n"/>
      <c r="E369" s="637" t="n"/>
    </row>
    <row r="370">
      <c r="A370" s="544" t="n">
        <v>29726</v>
      </c>
      <c r="B370" s="637" t="n"/>
      <c r="C370" s="637" t="n"/>
      <c r="D370" s="637" t="n"/>
      <c r="E370" s="637" t="n"/>
    </row>
    <row r="371">
      <c r="A371" s="544" t="n">
        <v>29727</v>
      </c>
      <c r="B371" s="637" t="n"/>
      <c r="C371" s="637" t="n"/>
      <c r="D371" s="637" t="n"/>
      <c r="E371" s="637" t="n"/>
    </row>
    <row r="372">
      <c r="A372" s="544" t="n">
        <v>29728</v>
      </c>
      <c r="B372" s="637" t="n"/>
      <c r="C372" s="637" t="n"/>
      <c r="D372" s="637" t="n"/>
      <c r="E372" s="637" t="n"/>
    </row>
    <row r="373">
      <c r="A373" s="544" t="n">
        <v>29731</v>
      </c>
      <c r="B373" s="637" t="n"/>
      <c r="C373" s="637" t="n"/>
      <c r="D373" s="637" t="n"/>
      <c r="E373" s="637" t="n"/>
    </row>
    <row r="374">
      <c r="A374" s="544" t="n">
        <v>29732</v>
      </c>
      <c r="B374" s="637" t="n"/>
      <c r="C374" s="637" t="n"/>
      <c r="D374" s="637" t="n"/>
      <c r="E374" s="637" t="n"/>
    </row>
    <row r="375">
      <c r="A375" s="544" t="n">
        <v>29733</v>
      </c>
      <c r="B375" s="637" t="n"/>
      <c r="C375" s="637" t="n"/>
      <c r="D375" s="637" t="n"/>
      <c r="E375" s="637" t="n"/>
    </row>
    <row r="376">
      <c r="A376" s="544" t="n">
        <v>29734</v>
      </c>
      <c r="B376" s="637" t="n"/>
      <c r="C376" s="637" t="n"/>
      <c r="D376" s="637" t="n"/>
      <c r="E376" s="637" t="n"/>
    </row>
    <row r="377">
      <c r="A377" s="544" t="n">
        <v>29735</v>
      </c>
      <c r="B377" s="637" t="n"/>
      <c r="C377" s="637" t="n"/>
      <c r="D377" s="637" t="n"/>
      <c r="E377" s="637" t="n"/>
    </row>
    <row r="378">
      <c r="A378" s="544" t="n">
        <v>29738</v>
      </c>
      <c r="B378" s="637" t="n"/>
      <c r="C378" s="637" t="n"/>
      <c r="D378" s="637" t="n"/>
      <c r="E378" s="637" t="n"/>
    </row>
    <row r="379">
      <c r="A379" s="544" t="n">
        <v>29739</v>
      </c>
      <c r="B379" s="637" t="n"/>
      <c r="C379" s="637" t="n"/>
      <c r="D379" s="637" t="n"/>
      <c r="E379" s="637" t="n"/>
    </row>
    <row r="380">
      <c r="A380" s="544" t="n">
        <v>29740</v>
      </c>
      <c r="B380" s="637" t="n"/>
      <c r="C380" s="637" t="n"/>
      <c r="D380" s="637" t="n"/>
      <c r="E380" s="637" t="n"/>
    </row>
    <row r="381">
      <c r="A381" s="544" t="n">
        <v>29741</v>
      </c>
      <c r="B381" s="637" t="n"/>
      <c r="C381" s="637" t="n"/>
      <c r="D381" s="637" t="n"/>
      <c r="E381" s="637" t="n"/>
    </row>
    <row r="382">
      <c r="A382" s="544" t="n">
        <v>29742</v>
      </c>
      <c r="B382" s="637" t="n"/>
      <c r="C382" s="637" t="n"/>
      <c r="D382" s="637" t="n"/>
      <c r="E382" s="637" t="n"/>
    </row>
    <row r="383">
      <c r="A383" s="544" t="n">
        <v>29745</v>
      </c>
      <c r="B383" s="637" t="n"/>
      <c r="C383" s="637" t="n"/>
      <c r="D383" s="637" t="n"/>
      <c r="E383" s="637" t="n"/>
    </row>
    <row r="384">
      <c r="A384" s="544" t="n">
        <v>29746</v>
      </c>
      <c r="B384" s="637" t="n"/>
      <c r="C384" s="637" t="n"/>
      <c r="D384" s="637" t="n"/>
      <c r="E384" s="637" t="n"/>
    </row>
    <row r="385">
      <c r="A385" s="544" t="n">
        <v>29747</v>
      </c>
      <c r="B385" s="637" t="n"/>
      <c r="C385" s="637" t="n"/>
      <c r="D385" s="637" t="n"/>
      <c r="E385" s="637" t="n"/>
    </row>
    <row r="386">
      <c r="A386" s="544" t="n">
        <v>29748</v>
      </c>
      <c r="B386" s="637" t="n"/>
      <c r="C386" s="637" t="n"/>
      <c r="D386" s="637" t="n"/>
      <c r="E386" s="637" t="n"/>
    </row>
    <row r="387">
      <c r="A387" s="544" t="n">
        <v>29749</v>
      </c>
      <c r="B387" s="637" t="n"/>
      <c r="C387" s="637" t="n"/>
      <c r="D387" s="637" t="n"/>
      <c r="E387" s="637" t="n"/>
    </row>
    <row r="388">
      <c r="A388" s="544" t="n">
        <v>29752</v>
      </c>
      <c r="B388" s="637" t="n"/>
      <c r="C388" s="637" t="n"/>
      <c r="D388" s="637" t="n"/>
      <c r="E388" s="637" t="n"/>
    </row>
    <row r="389">
      <c r="A389" s="544" t="n">
        <v>29753</v>
      </c>
      <c r="B389" s="637" t="n"/>
      <c r="C389" s="637" t="n"/>
      <c r="D389" s="637" t="n"/>
      <c r="E389" s="637" t="n"/>
    </row>
    <row r="390">
      <c r="A390" s="544" t="n">
        <v>29754</v>
      </c>
      <c r="B390" s="637" t="n"/>
      <c r="C390" s="637" t="n"/>
      <c r="D390" s="637" t="n"/>
      <c r="E390" s="637" t="n"/>
    </row>
    <row r="391">
      <c r="A391" s="544" t="n">
        <v>29755</v>
      </c>
      <c r="B391" s="637" t="n"/>
      <c r="C391" s="637" t="n"/>
      <c r="D391" s="637" t="n"/>
      <c r="E391" s="637" t="n"/>
    </row>
    <row r="392">
      <c r="A392" s="544" t="n">
        <v>29756</v>
      </c>
      <c r="B392" s="637" t="n"/>
      <c r="C392" s="637" t="n"/>
      <c r="D392" s="637" t="n"/>
      <c r="E392" s="637" t="n"/>
    </row>
    <row r="393">
      <c r="A393" s="544" t="n">
        <v>29759</v>
      </c>
      <c r="B393" s="637" t="n"/>
      <c r="C393" s="637" t="n"/>
      <c r="D393" s="637" t="n"/>
      <c r="E393" s="637" t="n"/>
    </row>
    <row r="394">
      <c r="A394" s="544" t="n">
        <v>29760</v>
      </c>
      <c r="B394" s="637" t="n"/>
      <c r="C394" s="637" t="n"/>
      <c r="D394" s="637" t="n"/>
      <c r="E394" s="637" t="n"/>
    </row>
    <row r="395">
      <c r="A395" s="544" t="n">
        <v>29761</v>
      </c>
      <c r="B395" s="637" t="n"/>
      <c r="C395" s="637" t="n"/>
      <c r="D395" s="637" t="n"/>
      <c r="E395" s="637" t="n"/>
    </row>
    <row r="396">
      <c r="A396" s="544" t="n">
        <v>29762</v>
      </c>
      <c r="B396" s="637" t="n"/>
      <c r="C396" s="637" t="n"/>
      <c r="D396" s="637" t="n"/>
      <c r="E396" s="637" t="n"/>
    </row>
    <row r="397">
      <c r="A397" s="544" t="n">
        <v>29763</v>
      </c>
      <c r="B397" s="637" t="n"/>
      <c r="C397" s="637" t="n"/>
      <c r="D397" s="637" t="n"/>
      <c r="E397" s="637" t="n"/>
    </row>
    <row r="398">
      <c r="A398" s="544" t="n">
        <v>29766</v>
      </c>
      <c r="B398" s="637" t="n"/>
      <c r="C398" s="637" t="n"/>
      <c r="D398" s="637" t="n"/>
      <c r="E398" s="637" t="n"/>
    </row>
    <row r="399">
      <c r="A399" s="544" t="n">
        <v>29767</v>
      </c>
      <c r="B399" s="637" t="n"/>
      <c r="C399" s="637" t="n"/>
      <c r="D399" s="637" t="n"/>
      <c r="E399" s="637" t="n"/>
    </row>
    <row r="400">
      <c r="A400" s="544" t="n">
        <v>29768</v>
      </c>
      <c r="B400" s="637" t="n"/>
      <c r="C400" s="637" t="n"/>
      <c r="D400" s="637" t="n"/>
      <c r="E400" s="637" t="n"/>
    </row>
    <row r="401">
      <c r="A401" s="544" t="n">
        <v>29769</v>
      </c>
      <c r="B401" s="637" t="n"/>
      <c r="C401" s="637" t="n"/>
      <c r="D401" s="637" t="n"/>
      <c r="E401" s="637" t="n"/>
    </row>
    <row r="402">
      <c r="A402" s="544" t="n">
        <v>29770</v>
      </c>
      <c r="B402" s="637" t="n"/>
      <c r="C402" s="637" t="n"/>
      <c r="D402" s="637" t="n"/>
      <c r="E402" s="637" t="n"/>
    </row>
    <row r="403">
      <c r="A403" s="544" t="n">
        <v>29773</v>
      </c>
      <c r="B403" s="637" t="n"/>
      <c r="C403" s="637" t="n"/>
      <c r="D403" s="637" t="n"/>
      <c r="E403" s="637" t="n"/>
    </row>
    <row r="404">
      <c r="A404" s="544" t="n">
        <v>29774</v>
      </c>
      <c r="B404" s="637" t="n"/>
      <c r="C404" s="637" t="n"/>
      <c r="D404" s="637" t="n"/>
      <c r="E404" s="637" t="n"/>
    </row>
    <row r="405">
      <c r="A405" s="544" t="n">
        <v>29775</v>
      </c>
      <c r="B405" s="637" t="n"/>
      <c r="C405" s="637" t="n"/>
      <c r="D405" s="637" t="n"/>
      <c r="E405" s="637" t="n"/>
    </row>
    <row r="406">
      <c r="A406" s="544" t="n">
        <v>29776</v>
      </c>
      <c r="B406" s="637" t="n"/>
      <c r="C406" s="637" t="n"/>
      <c r="D406" s="637" t="n"/>
      <c r="E406" s="637" t="n"/>
    </row>
    <row r="407">
      <c r="A407" s="544" t="n">
        <v>29777</v>
      </c>
      <c r="B407" s="637" t="n"/>
      <c r="C407" s="637" t="n"/>
      <c r="D407" s="637" t="n"/>
      <c r="E407" s="637" t="n"/>
    </row>
    <row r="408">
      <c r="A408" s="544" t="n">
        <v>29780</v>
      </c>
      <c r="B408" s="637" t="n"/>
      <c r="C408" s="637" t="n"/>
      <c r="D408" s="637" t="n"/>
      <c r="E408" s="637" t="n"/>
    </row>
    <row r="409">
      <c r="A409" s="544" t="n">
        <v>29781</v>
      </c>
      <c r="B409" s="637" t="n"/>
      <c r="C409" s="637" t="n"/>
      <c r="D409" s="637" t="n"/>
      <c r="E409" s="637" t="n"/>
    </row>
    <row r="410">
      <c r="A410" s="544" t="n">
        <v>29782</v>
      </c>
      <c r="B410" s="637" t="n"/>
      <c r="C410" s="637" t="n"/>
      <c r="D410" s="637" t="n"/>
      <c r="E410" s="637" t="n"/>
    </row>
    <row r="411">
      <c r="A411" s="544" t="n">
        <v>29783</v>
      </c>
      <c r="B411" s="637" t="n"/>
      <c r="C411" s="637" t="n"/>
      <c r="D411" s="637" t="n"/>
      <c r="E411" s="637" t="n"/>
    </row>
    <row r="412">
      <c r="A412" s="544" t="n">
        <v>29784</v>
      </c>
      <c r="B412" s="637" t="n"/>
      <c r="C412" s="637" t="n"/>
      <c r="D412" s="637" t="n"/>
      <c r="E412" s="637" t="n"/>
    </row>
    <row r="413">
      <c r="A413" s="544" t="n">
        <v>29787</v>
      </c>
      <c r="B413" s="637" t="n"/>
      <c r="C413" s="637" t="n"/>
      <c r="D413" s="637" t="n"/>
      <c r="E413" s="637" t="n"/>
    </row>
    <row r="414">
      <c r="A414" s="544" t="n">
        <v>29788</v>
      </c>
      <c r="B414" s="637" t="n"/>
      <c r="C414" s="637" t="n"/>
      <c r="D414" s="637" t="n"/>
      <c r="E414" s="637" t="n"/>
    </row>
    <row r="415">
      <c r="A415" s="544" t="n">
        <v>29789</v>
      </c>
      <c r="B415" s="637" t="n"/>
      <c r="C415" s="637" t="n"/>
      <c r="D415" s="637" t="n"/>
      <c r="E415" s="637" t="n"/>
    </row>
    <row r="416">
      <c r="A416" s="544" t="n">
        <v>29790</v>
      </c>
      <c r="B416" s="637" t="n"/>
      <c r="C416" s="637" t="n"/>
      <c r="D416" s="637" t="n"/>
      <c r="E416" s="637" t="n"/>
    </row>
    <row r="417">
      <c r="A417" s="544" t="n">
        <v>29791</v>
      </c>
      <c r="B417" s="637" t="n"/>
      <c r="C417" s="637" t="n"/>
      <c r="D417" s="637" t="n"/>
      <c r="E417" s="637" t="n"/>
    </row>
    <row r="418">
      <c r="A418" s="544" t="n">
        <v>29794</v>
      </c>
      <c r="B418" s="637" t="n"/>
      <c r="C418" s="637" t="n"/>
      <c r="D418" s="637" t="n"/>
      <c r="E418" s="637" t="n"/>
    </row>
    <row r="419">
      <c r="A419" s="544" t="n">
        <v>29795</v>
      </c>
      <c r="B419" s="637" t="n"/>
      <c r="C419" s="637" t="n"/>
      <c r="D419" s="637" t="n"/>
      <c r="E419" s="637" t="n"/>
    </row>
    <row r="420">
      <c r="A420" s="544" t="n">
        <v>29796</v>
      </c>
      <c r="B420" s="637" t="n"/>
      <c r="C420" s="637" t="n"/>
      <c r="D420" s="637" t="n"/>
      <c r="E420" s="637" t="n"/>
    </row>
    <row r="421">
      <c r="A421" s="544" t="n">
        <v>29797</v>
      </c>
      <c r="B421" s="637" t="n"/>
      <c r="C421" s="637" t="n"/>
      <c r="D421" s="637" t="n"/>
      <c r="E421" s="637" t="n"/>
    </row>
    <row r="422">
      <c r="A422" s="544" t="n">
        <v>29798</v>
      </c>
      <c r="B422" s="637" t="n"/>
      <c r="C422" s="637" t="n"/>
      <c r="D422" s="637" t="n"/>
      <c r="E422" s="637" t="n"/>
    </row>
    <row r="423">
      <c r="A423" s="544" t="n">
        <v>29801</v>
      </c>
      <c r="B423" s="637" t="n"/>
      <c r="C423" s="637" t="n"/>
      <c r="D423" s="637" t="n"/>
      <c r="E423" s="637" t="n"/>
    </row>
    <row r="424">
      <c r="A424" s="544" t="n">
        <v>29802</v>
      </c>
      <c r="B424" s="637" t="n"/>
      <c r="C424" s="637" t="n"/>
      <c r="D424" s="637" t="n"/>
      <c r="E424" s="637" t="n"/>
    </row>
    <row r="425">
      <c r="A425" s="544" t="n">
        <v>29803</v>
      </c>
      <c r="B425" s="637" t="n"/>
      <c r="C425" s="637" t="n"/>
      <c r="D425" s="637" t="n"/>
      <c r="E425" s="637" t="n"/>
    </row>
    <row r="426">
      <c r="A426" s="544" t="n">
        <v>29804</v>
      </c>
      <c r="B426" s="637" t="n"/>
      <c r="C426" s="637" t="n"/>
      <c r="D426" s="637" t="n"/>
      <c r="E426" s="637" t="n"/>
    </row>
    <row r="427">
      <c r="A427" s="544" t="n">
        <v>29805</v>
      </c>
      <c r="B427" s="637" t="n"/>
      <c r="C427" s="637" t="n"/>
      <c r="D427" s="637" t="n"/>
      <c r="E427" s="637" t="n"/>
    </row>
    <row r="428">
      <c r="A428" s="544" t="n">
        <v>29808</v>
      </c>
      <c r="B428" s="637" t="n"/>
      <c r="C428" s="637" t="n"/>
      <c r="D428" s="637" t="n"/>
      <c r="E428" s="637" t="n"/>
    </row>
    <row r="429">
      <c r="A429" s="544" t="n">
        <v>29809</v>
      </c>
      <c r="B429" s="637" t="n"/>
      <c r="C429" s="637" t="n"/>
      <c r="D429" s="637" t="n"/>
      <c r="E429" s="637" t="n"/>
    </row>
    <row r="430">
      <c r="A430" s="544" t="n">
        <v>29810</v>
      </c>
      <c r="B430" s="637" t="n"/>
      <c r="C430" s="637" t="n"/>
      <c r="D430" s="637" t="n"/>
      <c r="E430" s="637" t="n"/>
    </row>
    <row r="431">
      <c r="A431" s="544" t="n">
        <v>29811</v>
      </c>
      <c r="B431" s="637" t="n"/>
      <c r="C431" s="637" t="n"/>
      <c r="D431" s="637" t="n"/>
      <c r="E431" s="637" t="n"/>
    </row>
    <row r="432">
      <c r="A432" s="544" t="n">
        <v>29812</v>
      </c>
      <c r="B432" s="637" t="n"/>
      <c r="C432" s="637" t="n"/>
      <c r="D432" s="637" t="n"/>
      <c r="E432" s="637" t="n"/>
    </row>
    <row r="433">
      <c r="A433" s="544" t="n">
        <v>29815</v>
      </c>
      <c r="B433" s="637" t="n"/>
      <c r="C433" s="637" t="n"/>
      <c r="D433" s="637" t="n"/>
      <c r="E433" s="637" t="n"/>
    </row>
    <row r="434">
      <c r="A434" s="544" t="n">
        <v>29816</v>
      </c>
      <c r="B434" s="637" t="n"/>
      <c r="C434" s="637" t="n"/>
      <c r="D434" s="637" t="n"/>
      <c r="E434" s="637" t="n"/>
    </row>
    <row r="435">
      <c r="A435" s="544" t="n">
        <v>29817</v>
      </c>
      <c r="B435" s="637" t="n"/>
      <c r="C435" s="637" t="n"/>
      <c r="D435" s="637" t="n"/>
      <c r="E435" s="637" t="n"/>
    </row>
    <row r="436">
      <c r="A436" s="544" t="n">
        <v>29818</v>
      </c>
      <c r="B436" s="637" t="n"/>
      <c r="C436" s="637" t="n"/>
      <c r="D436" s="637" t="n"/>
      <c r="E436" s="637" t="n"/>
    </row>
    <row r="437">
      <c r="A437" s="544" t="n">
        <v>29819</v>
      </c>
      <c r="B437" s="637" t="n"/>
      <c r="C437" s="637" t="n"/>
      <c r="D437" s="637" t="n"/>
      <c r="E437" s="637" t="n"/>
    </row>
    <row r="438">
      <c r="A438" s="544" t="n">
        <v>29822</v>
      </c>
      <c r="B438" s="637" t="n"/>
      <c r="C438" s="637" t="n"/>
      <c r="D438" s="637" t="n"/>
      <c r="E438" s="637" t="n"/>
    </row>
    <row r="439">
      <c r="A439" s="544" t="n">
        <v>29823</v>
      </c>
      <c r="B439" s="637" t="n"/>
      <c r="C439" s="637" t="n"/>
      <c r="D439" s="637" t="n"/>
      <c r="E439" s="637" t="n"/>
    </row>
    <row r="440">
      <c r="A440" s="544" t="n">
        <v>29824</v>
      </c>
      <c r="B440" s="637" t="n"/>
      <c r="C440" s="637" t="n"/>
      <c r="D440" s="637" t="n"/>
      <c r="E440" s="637" t="n"/>
    </row>
    <row r="441">
      <c r="A441" s="544" t="n">
        <v>29825</v>
      </c>
      <c r="B441" s="637" t="n"/>
      <c r="C441" s="637" t="n"/>
      <c r="D441" s="637" t="n"/>
      <c r="E441" s="637" t="n"/>
    </row>
    <row r="442">
      <c r="A442" s="544" t="n">
        <v>29826</v>
      </c>
      <c r="B442" s="637" t="n"/>
      <c r="C442" s="637" t="n"/>
      <c r="D442" s="637" t="n"/>
      <c r="E442" s="637" t="n"/>
    </row>
    <row r="443">
      <c r="A443" s="544" t="n">
        <v>29829</v>
      </c>
      <c r="B443" s="637" t="n"/>
      <c r="C443" s="637" t="n"/>
      <c r="D443" s="637" t="n"/>
      <c r="E443" s="637" t="n"/>
    </row>
    <row r="444">
      <c r="A444" s="544" t="n">
        <v>29830</v>
      </c>
      <c r="B444" s="637" t="n"/>
      <c r="C444" s="637" t="n"/>
      <c r="D444" s="637" t="n"/>
      <c r="E444" s="637" t="n"/>
    </row>
    <row r="445">
      <c r="A445" s="544" t="n">
        <v>29831</v>
      </c>
      <c r="B445" s="637" t="n"/>
      <c r="C445" s="637" t="n"/>
      <c r="D445" s="637" t="n"/>
      <c r="E445" s="637" t="n"/>
    </row>
    <row r="446">
      <c r="A446" s="544" t="n">
        <v>29832</v>
      </c>
      <c r="B446" s="637" t="n"/>
      <c r="C446" s="637" t="n"/>
      <c r="D446" s="637" t="n"/>
      <c r="E446" s="637" t="n"/>
    </row>
    <row r="447">
      <c r="A447" s="544" t="n">
        <v>29833</v>
      </c>
      <c r="B447" s="637" t="n"/>
      <c r="C447" s="637" t="n"/>
      <c r="D447" s="637" t="n"/>
      <c r="E447" s="637" t="n"/>
    </row>
    <row r="448">
      <c r="A448" s="544" t="n">
        <v>29836</v>
      </c>
      <c r="B448" s="637" t="n"/>
      <c r="C448" s="637" t="n"/>
      <c r="D448" s="637" t="n"/>
      <c r="E448" s="637" t="n"/>
    </row>
    <row r="449">
      <c r="A449" s="544" t="n">
        <v>29837</v>
      </c>
      <c r="B449" s="637" t="n"/>
      <c r="C449" s="637" t="n"/>
      <c r="D449" s="637" t="n"/>
      <c r="E449" s="637" t="n"/>
    </row>
    <row r="450">
      <c r="A450" s="544" t="n">
        <v>29838</v>
      </c>
      <c r="B450" s="637" t="n"/>
      <c r="C450" s="637" t="n"/>
      <c r="D450" s="637" t="n"/>
      <c r="E450" s="637" t="n"/>
    </row>
    <row r="451">
      <c r="A451" s="544" t="n">
        <v>29839</v>
      </c>
      <c r="B451" s="637" t="n"/>
      <c r="C451" s="637" t="n"/>
      <c r="D451" s="637" t="n"/>
      <c r="E451" s="637" t="n"/>
    </row>
    <row r="452">
      <c r="A452" s="544" t="n">
        <v>29840</v>
      </c>
      <c r="B452" s="637" t="n"/>
      <c r="C452" s="637" t="n"/>
      <c r="D452" s="637" t="n"/>
      <c r="E452" s="637" t="n"/>
    </row>
    <row r="453">
      <c r="A453" s="544" t="n">
        <v>29843</v>
      </c>
      <c r="B453" s="637" t="n"/>
      <c r="C453" s="637" t="n"/>
      <c r="D453" s="637" t="n"/>
      <c r="E453" s="637" t="n"/>
    </row>
    <row r="454">
      <c r="A454" s="544" t="n">
        <v>29844</v>
      </c>
      <c r="B454" s="637" t="n"/>
      <c r="C454" s="637" t="n"/>
      <c r="D454" s="637" t="n"/>
      <c r="E454" s="637" t="n"/>
    </row>
    <row r="455">
      <c r="A455" s="544" t="n">
        <v>29845</v>
      </c>
      <c r="B455" s="637" t="n"/>
      <c r="C455" s="637" t="n"/>
      <c r="D455" s="637" t="n"/>
      <c r="E455" s="637" t="n"/>
    </row>
    <row r="456">
      <c r="A456" s="544" t="n">
        <v>29846</v>
      </c>
      <c r="B456" s="637" t="n"/>
      <c r="C456" s="637" t="n"/>
      <c r="D456" s="637" t="n"/>
      <c r="E456" s="637" t="n"/>
    </row>
    <row r="457">
      <c r="A457" s="544" t="n">
        <v>29847</v>
      </c>
      <c r="B457" s="637" t="n"/>
      <c r="C457" s="637" t="n"/>
      <c r="D457" s="637" t="n"/>
      <c r="E457" s="637" t="n"/>
    </row>
    <row r="458">
      <c r="A458" s="544" t="n">
        <v>29850</v>
      </c>
      <c r="B458" s="637" t="n"/>
      <c r="C458" s="637" t="n"/>
      <c r="D458" s="637" t="n"/>
      <c r="E458" s="637" t="n"/>
    </row>
    <row r="459">
      <c r="A459" s="544" t="n">
        <v>29851</v>
      </c>
      <c r="B459" s="637" t="n"/>
      <c r="C459" s="637" t="n"/>
      <c r="D459" s="637" t="n"/>
      <c r="E459" s="637" t="n"/>
    </row>
    <row r="460">
      <c r="A460" s="544" t="n">
        <v>29852</v>
      </c>
      <c r="B460" s="637" t="n"/>
      <c r="C460" s="637" t="n"/>
      <c r="D460" s="637" t="n"/>
      <c r="E460" s="637" t="n"/>
    </row>
    <row r="461">
      <c r="A461" s="544" t="n">
        <v>29853</v>
      </c>
      <c r="B461" s="637" t="n"/>
      <c r="C461" s="637" t="n"/>
      <c r="D461" s="637" t="n"/>
      <c r="E461" s="637" t="n"/>
    </row>
    <row r="462">
      <c r="A462" s="544" t="n">
        <v>29854</v>
      </c>
      <c r="B462" s="637" t="n"/>
      <c r="C462" s="637" t="n"/>
      <c r="D462" s="637" t="n"/>
      <c r="E462" s="637" t="n"/>
    </row>
    <row r="463">
      <c r="A463" s="544" t="n">
        <v>29857</v>
      </c>
      <c r="B463" s="637" t="n"/>
      <c r="C463" s="637" t="n"/>
      <c r="D463" s="637" t="n"/>
      <c r="E463" s="637" t="n"/>
    </row>
    <row r="464">
      <c r="A464" s="544" t="n">
        <v>29858</v>
      </c>
      <c r="B464" s="637" t="n"/>
      <c r="C464" s="637" t="n"/>
      <c r="D464" s="637" t="n"/>
      <c r="E464" s="637" t="n"/>
    </row>
    <row r="465">
      <c r="A465" s="544" t="n">
        <v>29859</v>
      </c>
      <c r="B465" s="637" t="n"/>
      <c r="C465" s="637" t="n"/>
      <c r="D465" s="637" t="n"/>
      <c r="E465" s="637" t="n"/>
    </row>
    <row r="466">
      <c r="A466" s="544" t="n">
        <v>29860</v>
      </c>
      <c r="B466" s="637" t="n"/>
      <c r="C466" s="637" t="n"/>
      <c r="D466" s="637" t="n"/>
      <c r="E466" s="637" t="n"/>
    </row>
    <row r="467">
      <c r="A467" s="544" t="n">
        <v>29861</v>
      </c>
      <c r="B467" s="637" t="n"/>
      <c r="C467" s="637" t="n"/>
      <c r="D467" s="637" t="n"/>
      <c r="E467" s="637" t="n"/>
    </row>
    <row r="468">
      <c r="A468" s="544" t="n">
        <v>29864</v>
      </c>
      <c r="B468" s="637" t="n"/>
      <c r="C468" s="637" t="n"/>
      <c r="D468" s="637" t="n"/>
      <c r="E468" s="637" t="n"/>
    </row>
    <row r="469">
      <c r="A469" s="544" t="n">
        <v>29865</v>
      </c>
      <c r="B469" s="637" t="n"/>
      <c r="C469" s="637" t="n"/>
      <c r="D469" s="637" t="n"/>
      <c r="E469" s="637" t="n"/>
    </row>
    <row r="470">
      <c r="A470" s="544" t="n">
        <v>29866</v>
      </c>
      <c r="B470" s="637" t="n"/>
      <c r="C470" s="637" t="n"/>
      <c r="D470" s="637" t="n"/>
      <c r="E470" s="637" t="n"/>
    </row>
    <row r="471">
      <c r="A471" s="544" t="n">
        <v>29867</v>
      </c>
      <c r="B471" s="637" t="n"/>
      <c r="C471" s="637" t="n"/>
      <c r="D471" s="637" t="n"/>
      <c r="E471" s="637" t="n"/>
    </row>
    <row r="472">
      <c r="A472" s="544" t="n">
        <v>29868</v>
      </c>
      <c r="B472" s="637" t="n"/>
      <c r="C472" s="637" t="n"/>
      <c r="D472" s="637" t="n"/>
      <c r="E472" s="637" t="n"/>
    </row>
    <row r="473">
      <c r="A473" s="544" t="n">
        <v>29871</v>
      </c>
      <c r="B473" s="637" t="n"/>
      <c r="C473" s="637" t="n"/>
      <c r="D473" s="637" t="n"/>
      <c r="E473" s="637" t="n"/>
    </row>
    <row r="474">
      <c r="A474" s="544" t="n">
        <v>29872</v>
      </c>
      <c r="B474" s="637" t="n"/>
      <c r="C474" s="637" t="n"/>
      <c r="D474" s="637" t="n"/>
      <c r="E474" s="637" t="n"/>
    </row>
    <row r="475">
      <c r="A475" s="544" t="n">
        <v>29873</v>
      </c>
      <c r="B475" s="637" t="n"/>
      <c r="C475" s="637" t="n"/>
      <c r="D475" s="637" t="n"/>
      <c r="E475" s="637" t="n"/>
    </row>
    <row r="476">
      <c r="A476" s="544" t="n">
        <v>29874</v>
      </c>
      <c r="B476" s="637" t="n"/>
      <c r="C476" s="637" t="n"/>
      <c r="D476" s="637" t="n"/>
      <c r="E476" s="637" t="n"/>
    </row>
    <row r="477">
      <c r="A477" s="544" t="n">
        <v>29875</v>
      </c>
      <c r="B477" s="637" t="n"/>
      <c r="C477" s="637" t="n"/>
      <c r="D477" s="637" t="n"/>
      <c r="E477" s="637" t="n"/>
    </row>
    <row r="478">
      <c r="A478" s="544" t="n">
        <v>29878</v>
      </c>
      <c r="B478" s="637" t="n"/>
      <c r="C478" s="637" t="n"/>
      <c r="D478" s="637" t="n"/>
      <c r="E478" s="637" t="n"/>
    </row>
    <row r="479">
      <c r="A479" s="544" t="n">
        <v>29879</v>
      </c>
      <c r="B479" s="637" t="n"/>
      <c r="C479" s="637" t="n"/>
      <c r="D479" s="637" t="n"/>
      <c r="E479" s="637" t="n"/>
    </row>
    <row r="480">
      <c r="A480" s="544" t="n">
        <v>29880</v>
      </c>
      <c r="B480" s="637" t="n"/>
      <c r="C480" s="637" t="n"/>
      <c r="D480" s="637" t="n"/>
      <c r="E480" s="637" t="n"/>
    </row>
    <row r="481">
      <c r="A481" s="544" t="n">
        <v>29881</v>
      </c>
      <c r="B481" s="637" t="n"/>
      <c r="C481" s="637" t="n"/>
      <c r="D481" s="637" t="n"/>
      <c r="E481" s="637" t="n"/>
    </row>
    <row r="482">
      <c r="A482" s="544" t="n">
        <v>29882</v>
      </c>
      <c r="B482" s="637" t="n"/>
      <c r="C482" s="637" t="n"/>
      <c r="D482" s="637" t="n"/>
      <c r="E482" s="637" t="n"/>
    </row>
    <row r="483">
      <c r="A483" s="544" t="n">
        <v>29885</v>
      </c>
      <c r="B483" s="637" t="n"/>
      <c r="C483" s="637" t="n"/>
      <c r="D483" s="637" t="n"/>
      <c r="E483" s="637" t="n"/>
    </row>
    <row r="484">
      <c r="A484" s="544" t="n">
        <v>29886</v>
      </c>
      <c r="B484" s="637" t="n"/>
      <c r="C484" s="637" t="n"/>
      <c r="D484" s="637" t="n"/>
      <c r="E484" s="637" t="n"/>
    </row>
    <row r="485">
      <c r="A485" s="544" t="n">
        <v>29887</v>
      </c>
      <c r="B485" s="637" t="n"/>
      <c r="C485" s="637" t="n"/>
      <c r="D485" s="637" t="n"/>
      <c r="E485" s="637" t="n"/>
    </row>
    <row r="486">
      <c r="A486" s="544" t="n">
        <v>29888</v>
      </c>
      <c r="B486" s="637" t="n"/>
      <c r="C486" s="637" t="n"/>
      <c r="D486" s="637" t="n"/>
      <c r="E486" s="637" t="n"/>
    </row>
    <row r="487">
      <c r="A487" s="544" t="n">
        <v>29889</v>
      </c>
      <c r="B487" s="637" t="n"/>
      <c r="C487" s="637" t="n"/>
      <c r="D487" s="637" t="n"/>
      <c r="E487" s="637" t="n"/>
    </row>
    <row r="488">
      <c r="A488" s="544" t="n">
        <v>29892</v>
      </c>
      <c r="B488" s="637" t="n"/>
      <c r="C488" s="637" t="n"/>
      <c r="D488" s="637" t="n"/>
      <c r="E488" s="637" t="n"/>
    </row>
    <row r="489">
      <c r="A489" s="544" t="n">
        <v>29893</v>
      </c>
      <c r="B489" s="637" t="n"/>
      <c r="C489" s="637" t="n"/>
      <c r="D489" s="637" t="n"/>
      <c r="E489" s="637" t="n"/>
    </row>
    <row r="490">
      <c r="A490" s="544" t="n">
        <v>29894</v>
      </c>
      <c r="B490" s="637" t="n"/>
      <c r="C490" s="637" t="n"/>
      <c r="D490" s="637" t="n"/>
      <c r="E490" s="637" t="n"/>
    </row>
    <row r="491">
      <c r="A491" s="544" t="n">
        <v>29895</v>
      </c>
      <c r="B491" s="637" t="n"/>
      <c r="C491" s="637" t="n"/>
      <c r="D491" s="637" t="n"/>
      <c r="E491" s="637" t="n"/>
    </row>
    <row r="492">
      <c r="A492" s="544" t="n">
        <v>29896</v>
      </c>
      <c r="B492" s="637" t="n"/>
      <c r="C492" s="637" t="n"/>
      <c r="D492" s="637" t="n"/>
      <c r="E492" s="637" t="n"/>
    </row>
    <row r="493">
      <c r="A493" s="544" t="n">
        <v>29899</v>
      </c>
      <c r="B493" s="637" t="n"/>
      <c r="C493" s="637" t="n"/>
      <c r="D493" s="637" t="n"/>
      <c r="E493" s="637" t="n"/>
    </row>
    <row r="494">
      <c r="A494" s="544" t="n">
        <v>29900</v>
      </c>
      <c r="B494" s="637" t="n"/>
      <c r="C494" s="637" t="n"/>
      <c r="D494" s="637" t="n"/>
      <c r="E494" s="637" t="n"/>
    </row>
    <row r="495">
      <c r="A495" s="544" t="n">
        <v>29901</v>
      </c>
      <c r="B495" s="637" t="n"/>
      <c r="C495" s="637" t="n"/>
      <c r="D495" s="637" t="n"/>
      <c r="E495" s="637" t="n"/>
    </row>
    <row r="496">
      <c r="A496" s="544" t="n">
        <v>29902</v>
      </c>
      <c r="B496" s="637" t="n"/>
      <c r="C496" s="637" t="n"/>
      <c r="D496" s="637" t="n"/>
      <c r="E496" s="637" t="n"/>
    </row>
    <row r="497">
      <c r="A497" s="544" t="n">
        <v>29903</v>
      </c>
      <c r="B497" s="637" t="n"/>
      <c r="C497" s="637" t="n"/>
      <c r="D497" s="637" t="n"/>
      <c r="E497" s="637" t="n"/>
    </row>
    <row r="498">
      <c r="A498" s="544" t="n">
        <v>29906</v>
      </c>
      <c r="B498" s="637" t="n"/>
      <c r="C498" s="637" t="n"/>
      <c r="D498" s="637" t="n"/>
      <c r="E498" s="637" t="n"/>
    </row>
    <row r="499">
      <c r="A499" s="544" t="n">
        <v>29907</v>
      </c>
      <c r="B499" s="637" t="n"/>
      <c r="C499" s="637" t="n"/>
      <c r="D499" s="637" t="n"/>
      <c r="E499" s="637" t="n"/>
    </row>
    <row r="500">
      <c r="A500" s="544" t="n">
        <v>29908</v>
      </c>
      <c r="B500" s="637" t="n"/>
      <c r="C500" s="637" t="n"/>
      <c r="D500" s="637" t="n"/>
      <c r="E500" s="637" t="n"/>
    </row>
    <row r="501">
      <c r="A501" s="544" t="n">
        <v>29909</v>
      </c>
      <c r="B501" s="637" t="n"/>
      <c r="C501" s="637" t="n"/>
      <c r="D501" s="637" t="n"/>
      <c r="E501" s="637" t="n"/>
    </row>
    <row r="502">
      <c r="A502" s="544" t="n">
        <v>29910</v>
      </c>
      <c r="B502" s="637" t="n"/>
      <c r="C502" s="637" t="n"/>
      <c r="D502" s="637" t="n"/>
      <c r="E502" s="637" t="n"/>
    </row>
    <row r="503">
      <c r="A503" s="544" t="n">
        <v>29913</v>
      </c>
      <c r="B503" s="637" t="n"/>
      <c r="C503" s="637" t="n"/>
      <c r="D503" s="637" t="n"/>
      <c r="E503" s="637" t="n"/>
    </row>
    <row r="504">
      <c r="A504" s="544" t="n">
        <v>29914</v>
      </c>
      <c r="B504" s="637" t="n"/>
      <c r="C504" s="637" t="n"/>
      <c r="D504" s="637" t="n"/>
      <c r="E504" s="637" t="n"/>
    </row>
    <row r="505">
      <c r="A505" s="544" t="n">
        <v>29915</v>
      </c>
      <c r="B505" s="637" t="n"/>
      <c r="C505" s="637" t="n"/>
      <c r="D505" s="637" t="n"/>
      <c r="E505" s="637" t="n"/>
    </row>
    <row r="506">
      <c r="A506" s="544" t="n">
        <v>29916</v>
      </c>
      <c r="B506" s="637" t="n"/>
      <c r="C506" s="637" t="n"/>
      <c r="D506" s="637" t="n"/>
      <c r="E506" s="637" t="n"/>
    </row>
    <row r="507">
      <c r="A507" s="544" t="n">
        <v>29917</v>
      </c>
      <c r="B507" s="637" t="n"/>
      <c r="C507" s="637" t="n"/>
      <c r="D507" s="637" t="n"/>
      <c r="E507" s="637" t="n"/>
    </row>
    <row r="508">
      <c r="A508" s="544" t="n">
        <v>29920</v>
      </c>
      <c r="B508" s="637" t="n"/>
      <c r="C508" s="637" t="n"/>
      <c r="D508" s="637" t="n"/>
      <c r="E508" s="637" t="n"/>
    </row>
    <row r="509">
      <c r="A509" s="544" t="n">
        <v>29921</v>
      </c>
      <c r="B509" s="637" t="n"/>
      <c r="C509" s="637" t="n"/>
      <c r="D509" s="637" t="n"/>
      <c r="E509" s="637" t="n"/>
    </row>
    <row r="510">
      <c r="A510" s="544" t="n">
        <v>29922</v>
      </c>
      <c r="B510" s="637" t="n"/>
      <c r="C510" s="637" t="n"/>
      <c r="D510" s="637" t="n"/>
      <c r="E510" s="637" t="n"/>
    </row>
    <row r="511">
      <c r="A511" s="544" t="n">
        <v>29923</v>
      </c>
      <c r="B511" s="637" t="n"/>
      <c r="C511" s="637" t="n"/>
      <c r="D511" s="637" t="n"/>
      <c r="E511" s="637" t="n"/>
    </row>
    <row r="512">
      <c r="A512" s="544" t="n">
        <v>29924</v>
      </c>
      <c r="B512" s="637" t="n"/>
      <c r="C512" s="637" t="n"/>
      <c r="D512" s="637" t="n"/>
      <c r="E512" s="637" t="n"/>
    </row>
    <row r="513">
      <c r="A513" s="544" t="n">
        <v>29927</v>
      </c>
      <c r="B513" s="637" t="n"/>
      <c r="C513" s="637" t="n"/>
      <c r="D513" s="637" t="n"/>
      <c r="E513" s="637" t="n"/>
    </row>
    <row r="514">
      <c r="A514" s="544" t="n">
        <v>29928</v>
      </c>
      <c r="B514" s="637" t="n"/>
      <c r="C514" s="637" t="n"/>
      <c r="D514" s="637" t="n"/>
      <c r="E514" s="637" t="n"/>
    </row>
    <row r="515">
      <c r="A515" s="544" t="n">
        <v>29929</v>
      </c>
      <c r="B515" s="637" t="n"/>
      <c r="C515" s="637" t="n"/>
      <c r="D515" s="637" t="n"/>
      <c r="E515" s="637" t="n"/>
    </row>
    <row r="516">
      <c r="A516" s="544" t="n">
        <v>29930</v>
      </c>
      <c r="B516" s="637" t="n"/>
      <c r="C516" s="637" t="n"/>
      <c r="D516" s="637" t="n"/>
      <c r="E516" s="637" t="n"/>
    </row>
    <row r="517">
      <c r="A517" s="544" t="n">
        <v>29931</v>
      </c>
      <c r="B517" s="637" t="n"/>
      <c r="C517" s="637" t="n"/>
      <c r="D517" s="637" t="n"/>
      <c r="E517" s="637" t="n"/>
    </row>
    <row r="518">
      <c r="A518" s="544" t="n">
        <v>29934</v>
      </c>
      <c r="B518" s="637" t="n"/>
      <c r="C518" s="637" t="n"/>
      <c r="D518" s="637" t="n"/>
      <c r="E518" s="637" t="n"/>
    </row>
    <row r="519">
      <c r="A519" s="544" t="n">
        <v>29935</v>
      </c>
      <c r="B519" s="637" t="n"/>
      <c r="C519" s="637" t="n"/>
      <c r="D519" s="637" t="n"/>
      <c r="E519" s="637" t="n"/>
    </row>
    <row r="520">
      <c r="A520" s="544" t="n">
        <v>29936</v>
      </c>
      <c r="B520" s="637" t="n"/>
      <c r="C520" s="637" t="n"/>
      <c r="D520" s="637" t="n"/>
      <c r="E520" s="637" t="n"/>
    </row>
    <row r="521">
      <c r="A521" s="544" t="n">
        <v>29937</v>
      </c>
      <c r="B521" s="637" t="n"/>
      <c r="C521" s="637" t="n"/>
      <c r="D521" s="637" t="n"/>
      <c r="E521" s="637" t="n"/>
    </row>
    <row r="522">
      <c r="A522" s="544" t="n">
        <v>29938</v>
      </c>
      <c r="B522" s="637" t="n"/>
      <c r="C522" s="637" t="n"/>
      <c r="D522" s="637" t="n"/>
      <c r="E522" s="637" t="n"/>
    </row>
    <row r="523">
      <c r="A523" s="544" t="n">
        <v>29941</v>
      </c>
      <c r="B523" s="637" t="n"/>
      <c r="C523" s="637" t="n"/>
      <c r="D523" s="637" t="n"/>
      <c r="E523" s="637" t="n"/>
    </row>
    <row r="524">
      <c r="A524" s="544" t="n">
        <v>29942</v>
      </c>
      <c r="B524" s="637" t="n"/>
      <c r="C524" s="637" t="n"/>
      <c r="D524" s="637" t="n"/>
      <c r="E524" s="637" t="n"/>
    </row>
    <row r="525">
      <c r="A525" s="544" t="n">
        <v>29943</v>
      </c>
      <c r="B525" s="637" t="n"/>
      <c r="C525" s="637" t="n"/>
      <c r="D525" s="637" t="n"/>
      <c r="E525" s="637" t="n"/>
    </row>
    <row r="526">
      <c r="A526" s="544" t="n">
        <v>29944</v>
      </c>
      <c r="B526" s="637" t="n"/>
      <c r="C526" s="637" t="n"/>
      <c r="D526" s="637" t="n"/>
      <c r="E526" s="637" t="n"/>
    </row>
    <row r="527">
      <c r="A527" s="544" t="n">
        <v>29945</v>
      </c>
      <c r="B527" s="637" t="n"/>
      <c r="C527" s="637" t="n"/>
      <c r="D527" s="637" t="n"/>
      <c r="E527" s="637" t="n"/>
    </row>
    <row r="528">
      <c r="A528" s="544" t="n">
        <v>29948</v>
      </c>
      <c r="B528" s="637" t="n"/>
      <c r="C528" s="637" t="n"/>
      <c r="D528" s="637" t="n"/>
      <c r="E528" s="637" t="n"/>
    </row>
    <row r="529">
      <c r="A529" s="544" t="n">
        <v>29949</v>
      </c>
      <c r="B529" s="637" t="n"/>
      <c r="C529" s="637" t="n"/>
      <c r="D529" s="637" t="n"/>
      <c r="E529" s="637" t="n"/>
    </row>
    <row r="530">
      <c r="A530" s="544" t="n">
        <v>29950</v>
      </c>
      <c r="B530" s="637" t="n"/>
      <c r="C530" s="637" t="n"/>
      <c r="D530" s="637" t="n"/>
      <c r="E530" s="637" t="n"/>
    </row>
    <row r="531">
      <c r="A531" s="544" t="n">
        <v>29951</v>
      </c>
      <c r="B531" s="637" t="n"/>
      <c r="C531" s="637" t="n"/>
      <c r="D531" s="637" t="n"/>
      <c r="E531" s="637" t="n"/>
    </row>
    <row r="532">
      <c r="A532" s="544" t="n">
        <v>29952</v>
      </c>
      <c r="B532" s="637" t="n"/>
      <c r="C532" s="637" t="n"/>
      <c r="D532" s="637" t="n"/>
      <c r="E532" s="637" t="n"/>
    </row>
    <row r="533">
      <c r="A533" s="544" t="n">
        <v>29955</v>
      </c>
      <c r="B533" s="637" t="n"/>
      <c r="C533" s="637" t="n"/>
      <c r="D533" s="637" t="n"/>
      <c r="E533" s="637" t="n"/>
    </row>
    <row r="534">
      <c r="A534" s="544" t="n">
        <v>29956</v>
      </c>
      <c r="B534" s="637" t="n"/>
      <c r="C534" s="637" t="n"/>
      <c r="D534" s="637" t="n"/>
      <c r="E534" s="637" t="n"/>
    </row>
    <row r="535">
      <c r="A535" s="544" t="n">
        <v>29957</v>
      </c>
      <c r="B535" s="637" t="n"/>
      <c r="C535" s="637" t="n"/>
      <c r="D535" s="637" t="n"/>
      <c r="E535" s="637" t="n"/>
    </row>
    <row r="536">
      <c r="A536" s="544" t="n">
        <v>29958</v>
      </c>
      <c r="B536" s="637" t="n"/>
      <c r="C536" s="637" t="n"/>
      <c r="D536" s="637" t="n"/>
      <c r="E536" s="637" t="n"/>
    </row>
    <row r="537">
      <c r="A537" s="544" t="n">
        <v>29959</v>
      </c>
      <c r="B537" s="637" t="n"/>
      <c r="C537" s="637" t="n"/>
      <c r="D537" s="637" t="n"/>
      <c r="E537" s="637" t="n"/>
    </row>
    <row r="538">
      <c r="A538" s="544" t="n">
        <v>29962</v>
      </c>
      <c r="B538" s="637" t="n"/>
      <c r="C538" s="637" t="n"/>
      <c r="D538" s="637" t="n"/>
      <c r="E538" s="637" t="n"/>
    </row>
    <row r="539">
      <c r="A539" s="544" t="n">
        <v>29963</v>
      </c>
      <c r="B539" s="637" t="n"/>
      <c r="C539" s="637" t="n"/>
      <c r="D539" s="637" t="n"/>
      <c r="E539" s="637" t="n"/>
    </row>
    <row r="540">
      <c r="A540" s="544" t="n">
        <v>29964</v>
      </c>
      <c r="B540" s="637" t="n"/>
      <c r="C540" s="637" t="n"/>
      <c r="D540" s="637" t="n"/>
      <c r="E540" s="637" t="n"/>
    </row>
    <row r="541">
      <c r="A541" s="544" t="n">
        <v>29965</v>
      </c>
      <c r="B541" s="637" t="n"/>
      <c r="C541" s="637" t="n"/>
      <c r="D541" s="637" t="n"/>
      <c r="E541" s="637" t="n"/>
    </row>
    <row r="542">
      <c r="A542" s="544" t="n">
        <v>29966</v>
      </c>
      <c r="B542" s="637" t="n"/>
      <c r="C542" s="637" t="n"/>
      <c r="D542" s="637" t="n"/>
      <c r="E542" s="637" t="n"/>
    </row>
    <row r="543">
      <c r="A543" s="544" t="n">
        <v>29969</v>
      </c>
      <c r="B543" s="637" t="n"/>
      <c r="C543" s="637" t="n"/>
      <c r="D543" s="637" t="n"/>
      <c r="E543" s="637" t="n"/>
    </row>
    <row r="544">
      <c r="A544" s="544" t="n">
        <v>29970</v>
      </c>
      <c r="B544" s="637" t="n"/>
      <c r="C544" s="637" t="n"/>
      <c r="D544" s="637" t="n"/>
      <c r="E544" s="637" t="n"/>
    </row>
    <row r="545">
      <c r="A545" s="544" t="n">
        <v>29971</v>
      </c>
      <c r="B545" s="637" t="n"/>
      <c r="C545" s="637" t="n"/>
      <c r="D545" s="637" t="n"/>
      <c r="E545" s="637" t="n"/>
    </row>
    <row r="546">
      <c r="A546" s="544" t="n">
        <v>29972</v>
      </c>
      <c r="B546" s="637" t="n"/>
      <c r="C546" s="637" t="n"/>
      <c r="D546" s="637" t="n"/>
      <c r="E546" s="637" t="n"/>
    </row>
    <row r="547">
      <c r="A547" s="544" t="n">
        <v>29973</v>
      </c>
      <c r="B547" s="637" t="n"/>
      <c r="C547" s="637" t="n"/>
      <c r="D547" s="637" t="n"/>
      <c r="E547" s="637" t="n"/>
    </row>
    <row r="548">
      <c r="A548" s="544" t="n">
        <v>29976</v>
      </c>
      <c r="B548" s="637" t="n"/>
      <c r="C548" s="637" t="n"/>
      <c r="D548" s="637" t="n"/>
      <c r="E548" s="637" t="n"/>
    </row>
    <row r="549">
      <c r="A549" s="544" t="n">
        <v>29977</v>
      </c>
      <c r="B549" s="637" t="n"/>
      <c r="C549" s="637" t="n"/>
      <c r="D549" s="637" t="n"/>
      <c r="E549" s="637" t="n"/>
    </row>
    <row r="550">
      <c r="A550" s="544" t="n">
        <v>29978</v>
      </c>
      <c r="B550" s="637" t="n"/>
      <c r="C550" s="637" t="n"/>
      <c r="D550" s="637" t="n"/>
      <c r="E550" s="637" t="n"/>
    </row>
    <row r="551">
      <c r="A551" s="544" t="n">
        <v>29979</v>
      </c>
      <c r="B551" s="637" t="n"/>
      <c r="C551" s="637" t="n"/>
      <c r="D551" s="637" t="n"/>
      <c r="E551" s="637" t="n"/>
    </row>
    <row r="552">
      <c r="A552" s="544" t="n">
        <v>29980</v>
      </c>
      <c r="B552" s="637" t="n"/>
      <c r="C552" s="637" t="n"/>
      <c r="D552" s="637" t="n"/>
      <c r="E552" s="637" t="n"/>
    </row>
    <row r="553">
      <c r="A553" s="544" t="n">
        <v>29983</v>
      </c>
      <c r="B553" s="637" t="n"/>
      <c r="C553" s="637" t="n"/>
      <c r="D553" s="637" t="n"/>
      <c r="E553" s="637" t="n"/>
    </row>
    <row r="554">
      <c r="A554" s="544" t="n">
        <v>29984</v>
      </c>
      <c r="B554" s="637" t="n"/>
      <c r="C554" s="637" t="n"/>
      <c r="D554" s="637" t="n"/>
      <c r="E554" s="637" t="n"/>
    </row>
    <row r="555">
      <c r="A555" s="544" t="n">
        <v>29985</v>
      </c>
      <c r="B555" s="637" t="n"/>
      <c r="C555" s="637" t="n"/>
      <c r="D555" s="637" t="n"/>
      <c r="E555" s="637" t="n"/>
    </row>
    <row r="556">
      <c r="A556" s="544" t="n">
        <v>29986</v>
      </c>
      <c r="B556" s="637" t="n"/>
      <c r="C556" s="637" t="n"/>
      <c r="D556" s="637" t="n"/>
      <c r="E556" s="637" t="n"/>
    </row>
    <row r="557">
      <c r="A557" s="544" t="n">
        <v>29987</v>
      </c>
      <c r="B557" s="637" t="n"/>
      <c r="C557" s="637" t="n"/>
      <c r="D557" s="637" t="n"/>
      <c r="E557" s="637" t="n"/>
    </row>
    <row r="558">
      <c r="A558" s="544" t="n">
        <v>29990</v>
      </c>
      <c r="B558" s="637" t="n"/>
      <c r="C558" s="637" t="n"/>
      <c r="D558" s="637" t="n"/>
      <c r="E558" s="637" t="n"/>
    </row>
    <row r="559">
      <c r="A559" s="544" t="n">
        <v>29991</v>
      </c>
      <c r="B559" s="637" t="n"/>
      <c r="C559" s="637" t="n"/>
      <c r="D559" s="637" t="n"/>
      <c r="E559" s="637" t="n"/>
    </row>
    <row r="560">
      <c r="A560" s="544" t="n">
        <v>29992</v>
      </c>
      <c r="B560" s="637" t="n"/>
      <c r="C560" s="637" t="n"/>
      <c r="D560" s="637" t="n"/>
      <c r="E560" s="637" t="n"/>
    </row>
    <row r="561">
      <c r="A561" s="544" t="n">
        <v>29993</v>
      </c>
      <c r="B561" s="637" t="n"/>
      <c r="C561" s="637" t="n"/>
      <c r="D561" s="637" t="n"/>
      <c r="E561" s="637" t="n"/>
    </row>
    <row r="562">
      <c r="A562" s="544" t="n">
        <v>29994</v>
      </c>
      <c r="B562" s="637" t="n"/>
      <c r="C562" s="637" t="n"/>
      <c r="D562" s="637" t="n"/>
      <c r="E562" s="637" t="n"/>
    </row>
    <row r="563">
      <c r="A563" s="544" t="n">
        <v>29997</v>
      </c>
      <c r="B563" s="637" t="n"/>
      <c r="C563" s="637" t="n"/>
      <c r="D563" s="637" t="n"/>
      <c r="E563" s="637" t="n"/>
    </row>
    <row r="564">
      <c r="A564" s="544" t="n">
        <v>29998</v>
      </c>
      <c r="B564" s="637" t="n"/>
      <c r="C564" s="637" t="n"/>
      <c r="D564" s="637" t="n"/>
      <c r="E564" s="637" t="n"/>
    </row>
    <row r="565">
      <c r="A565" s="544" t="n">
        <v>29999</v>
      </c>
      <c r="B565" s="637" t="n"/>
      <c r="C565" s="637" t="n"/>
      <c r="D565" s="637" t="n"/>
      <c r="E565" s="637" t="n"/>
    </row>
    <row r="566">
      <c r="A566" s="544" t="n">
        <v>30000</v>
      </c>
      <c r="B566" s="637" t="n"/>
      <c r="C566" s="637" t="n"/>
      <c r="D566" s="637" t="n"/>
      <c r="E566" s="637" t="n"/>
    </row>
    <row r="567">
      <c r="A567" s="544" t="n">
        <v>30001</v>
      </c>
      <c r="B567" s="637" t="n"/>
      <c r="C567" s="637" t="n"/>
      <c r="D567" s="637" t="n"/>
      <c r="E567" s="637" t="n"/>
    </row>
    <row r="568">
      <c r="A568" s="544" t="n">
        <v>30004</v>
      </c>
      <c r="B568" s="637" t="n"/>
      <c r="C568" s="637" t="n"/>
      <c r="D568" s="637" t="n"/>
      <c r="E568" s="637" t="n"/>
    </row>
    <row r="569">
      <c r="A569" s="544" t="n">
        <v>30005</v>
      </c>
      <c r="B569" s="637" t="n"/>
      <c r="C569" s="637" t="n"/>
      <c r="D569" s="637" t="n"/>
      <c r="E569" s="637" t="n"/>
    </row>
    <row r="570">
      <c r="A570" s="544" t="n">
        <v>30006</v>
      </c>
      <c r="B570" s="637" t="n"/>
      <c r="C570" s="637" t="n"/>
      <c r="D570" s="637" t="n"/>
      <c r="E570" s="637" t="n"/>
    </row>
    <row r="571">
      <c r="A571" s="544" t="n">
        <v>30007</v>
      </c>
      <c r="B571" s="637" t="n"/>
      <c r="C571" s="637" t="n"/>
      <c r="D571" s="637" t="n"/>
      <c r="E571" s="637" t="n"/>
    </row>
    <row r="572">
      <c r="A572" s="544" t="n">
        <v>30008</v>
      </c>
      <c r="B572" s="637" t="n"/>
      <c r="C572" s="637" t="n"/>
      <c r="D572" s="637" t="n"/>
      <c r="E572" s="637" t="n"/>
    </row>
    <row r="573">
      <c r="A573" s="544" t="n">
        <v>30011</v>
      </c>
      <c r="B573" s="637" t="n"/>
      <c r="C573" s="637" t="n"/>
      <c r="D573" s="637" t="n"/>
      <c r="E573" s="637" t="n"/>
    </row>
    <row r="574">
      <c r="A574" s="544" t="n">
        <v>30012</v>
      </c>
      <c r="B574" s="637" t="n"/>
      <c r="C574" s="637" t="n"/>
      <c r="D574" s="637" t="n"/>
      <c r="E574" s="637" t="n"/>
    </row>
    <row r="575">
      <c r="A575" s="544" t="n">
        <v>30013</v>
      </c>
      <c r="B575" s="637" t="n"/>
      <c r="C575" s="637" t="n"/>
      <c r="D575" s="637" t="n"/>
      <c r="E575" s="637" t="n"/>
    </row>
    <row r="576">
      <c r="A576" s="544" t="n">
        <v>30014</v>
      </c>
      <c r="B576" s="637" t="n"/>
      <c r="C576" s="637" t="n"/>
      <c r="D576" s="637" t="n"/>
      <c r="E576" s="637" t="n"/>
    </row>
    <row r="577">
      <c r="A577" s="544" t="n">
        <v>30015</v>
      </c>
      <c r="B577" s="637" t="n"/>
      <c r="C577" s="637" t="n"/>
      <c r="D577" s="637" t="n"/>
      <c r="E577" s="637" t="n"/>
    </row>
    <row r="578">
      <c r="A578" s="544" t="n">
        <v>30018</v>
      </c>
      <c r="B578" s="637" t="n"/>
      <c r="C578" s="637" t="n"/>
      <c r="D578" s="637" t="n"/>
      <c r="E578" s="637" t="n"/>
    </row>
    <row r="579">
      <c r="A579" s="544" t="n">
        <v>30019</v>
      </c>
      <c r="B579" s="637" t="n"/>
      <c r="C579" s="637" t="n"/>
      <c r="D579" s="637" t="n"/>
      <c r="E579" s="637" t="n"/>
    </row>
    <row r="580">
      <c r="A580" s="544" t="n">
        <v>30020</v>
      </c>
      <c r="B580" s="637" t="n"/>
      <c r="C580" s="637" t="n"/>
      <c r="D580" s="637" t="n"/>
      <c r="E580" s="637" t="n"/>
    </row>
    <row r="581">
      <c r="A581" s="544" t="n">
        <v>30021</v>
      </c>
      <c r="B581" s="637" t="n"/>
      <c r="C581" s="637" t="n"/>
      <c r="D581" s="637" t="n"/>
      <c r="E581" s="637" t="n"/>
    </row>
    <row r="582">
      <c r="A582" s="544" t="n">
        <v>30022</v>
      </c>
      <c r="B582" s="637" t="n"/>
      <c r="C582" s="637" t="n"/>
      <c r="D582" s="637" t="n"/>
      <c r="E582" s="637" t="n"/>
    </row>
    <row r="583">
      <c r="A583" s="544" t="n">
        <v>30025</v>
      </c>
      <c r="B583" s="637" t="n"/>
      <c r="C583" s="637" t="n"/>
      <c r="D583" s="637" t="n"/>
      <c r="E583" s="637" t="n"/>
    </row>
    <row r="584">
      <c r="A584" s="544" t="n">
        <v>30026</v>
      </c>
      <c r="B584" s="637" t="n"/>
      <c r="C584" s="637" t="n"/>
      <c r="D584" s="637" t="n"/>
      <c r="E584" s="637" t="n"/>
    </row>
    <row r="585">
      <c r="A585" s="544" t="n">
        <v>30027</v>
      </c>
      <c r="B585" s="637" t="n"/>
      <c r="C585" s="637" t="n"/>
      <c r="D585" s="637" t="n"/>
      <c r="E585" s="637" t="n"/>
    </row>
    <row r="586">
      <c r="A586" s="544" t="n">
        <v>30028</v>
      </c>
      <c r="B586" s="637" t="n"/>
      <c r="C586" s="637" t="n"/>
      <c r="D586" s="637" t="n"/>
      <c r="E586" s="637" t="n"/>
    </row>
    <row r="587">
      <c r="A587" s="544" t="n">
        <v>30029</v>
      </c>
      <c r="B587" s="637" t="n"/>
      <c r="C587" s="637" t="n"/>
      <c r="D587" s="637" t="n"/>
      <c r="E587" s="637" t="n"/>
    </row>
    <row r="588">
      <c r="A588" s="544" t="n">
        <v>30032</v>
      </c>
      <c r="B588" s="637" t="n"/>
      <c r="C588" s="637" t="n"/>
      <c r="D588" s="637" t="n"/>
      <c r="E588" s="637" t="n"/>
    </row>
    <row r="589">
      <c r="A589" s="544" t="n">
        <v>30033</v>
      </c>
      <c r="B589" s="637" t="n"/>
      <c r="C589" s="637" t="n"/>
      <c r="D589" s="637" t="n"/>
      <c r="E589" s="637" t="n"/>
    </row>
    <row r="590">
      <c r="A590" s="544" t="n">
        <v>30034</v>
      </c>
      <c r="B590" s="637" t="n"/>
      <c r="C590" s="637" t="n"/>
      <c r="D590" s="637" t="n"/>
      <c r="E590" s="637" t="n"/>
    </row>
    <row r="591">
      <c r="A591" s="544" t="n">
        <v>30035</v>
      </c>
      <c r="B591" s="637" t="n"/>
      <c r="C591" s="637" t="n"/>
      <c r="D591" s="637" t="n"/>
      <c r="E591" s="637" t="n"/>
    </row>
    <row r="592">
      <c r="A592" s="544" t="n">
        <v>30036</v>
      </c>
      <c r="B592" s="637" t="n"/>
      <c r="C592" s="637" t="n"/>
      <c r="D592" s="637" t="n"/>
      <c r="E592" s="637" t="n"/>
    </row>
    <row r="593">
      <c r="A593" s="544" t="n">
        <v>30039</v>
      </c>
      <c r="B593" s="637" t="n"/>
      <c r="C593" s="637" t="n"/>
      <c r="D593" s="637" t="n"/>
      <c r="E593" s="637" t="n"/>
    </row>
    <row r="594">
      <c r="A594" s="544" t="n">
        <v>30040</v>
      </c>
      <c r="B594" s="637" t="n"/>
      <c r="C594" s="637" t="n"/>
      <c r="D594" s="637" t="n"/>
      <c r="E594" s="637" t="n"/>
    </row>
    <row r="595">
      <c r="A595" s="544" t="n">
        <v>30041</v>
      </c>
      <c r="B595" s="637" t="n"/>
      <c r="C595" s="637" t="n"/>
      <c r="D595" s="637" t="n"/>
      <c r="E595" s="637" t="n"/>
    </row>
    <row r="596">
      <c r="A596" s="544" t="n">
        <v>30042</v>
      </c>
      <c r="B596" s="637" t="n"/>
      <c r="C596" s="637" t="n"/>
      <c r="D596" s="637" t="n"/>
      <c r="E596" s="637" t="n"/>
    </row>
    <row r="597">
      <c r="A597" s="544" t="n">
        <v>30043</v>
      </c>
      <c r="B597" s="637" t="n"/>
      <c r="C597" s="637" t="n"/>
      <c r="D597" s="637" t="n"/>
      <c r="E597" s="637" t="n"/>
    </row>
    <row r="598">
      <c r="A598" s="544" t="n">
        <v>30046</v>
      </c>
      <c r="B598" s="637" t="n"/>
      <c r="C598" s="637" t="n"/>
      <c r="D598" s="637" t="n"/>
      <c r="E598" s="637" t="n"/>
    </row>
    <row r="599">
      <c r="A599" s="544" t="n">
        <v>30047</v>
      </c>
      <c r="B599" s="637" t="n"/>
      <c r="C599" s="637" t="n"/>
      <c r="D599" s="637" t="n"/>
      <c r="E599" s="637" t="n"/>
    </row>
    <row r="600">
      <c r="A600" s="544" t="n">
        <v>30048</v>
      </c>
      <c r="B600" s="637" t="n"/>
      <c r="C600" s="637" t="n"/>
      <c r="D600" s="637" t="n"/>
      <c r="E600" s="637" t="n"/>
    </row>
    <row r="601">
      <c r="A601" s="544" t="n">
        <v>30049</v>
      </c>
      <c r="B601" s="637" t="n"/>
      <c r="C601" s="637" t="n"/>
      <c r="D601" s="637" t="n"/>
      <c r="E601" s="637" t="n"/>
    </row>
    <row r="602">
      <c r="A602" s="544" t="n">
        <v>30050</v>
      </c>
      <c r="B602" s="637" t="n"/>
      <c r="C602" s="637" t="n"/>
      <c r="D602" s="637" t="n"/>
      <c r="E602" s="637" t="n"/>
    </row>
    <row r="603">
      <c r="A603" s="544" t="n">
        <v>30053</v>
      </c>
      <c r="B603" s="637" t="n"/>
      <c r="C603" s="637" t="n"/>
      <c r="D603" s="637" t="n"/>
      <c r="E603" s="637" t="n"/>
    </row>
    <row r="604">
      <c r="A604" s="544" t="n">
        <v>30054</v>
      </c>
      <c r="B604" s="637" t="n"/>
      <c r="C604" s="637" t="n"/>
      <c r="D604" s="637" t="n"/>
      <c r="E604" s="637" t="n"/>
    </row>
    <row r="605">
      <c r="A605" s="544" t="n">
        <v>30055</v>
      </c>
      <c r="B605" s="637" t="n"/>
      <c r="C605" s="637" t="n"/>
      <c r="D605" s="637" t="n"/>
      <c r="E605" s="637" t="n"/>
    </row>
    <row r="606">
      <c r="A606" s="544" t="n">
        <v>30056</v>
      </c>
      <c r="B606" s="637" t="n"/>
      <c r="C606" s="637" t="n"/>
      <c r="D606" s="637" t="n"/>
      <c r="E606" s="637" t="n"/>
    </row>
    <row r="607">
      <c r="A607" s="544" t="n">
        <v>30057</v>
      </c>
      <c r="B607" s="637" t="n"/>
      <c r="C607" s="637" t="n"/>
      <c r="D607" s="637" t="n"/>
      <c r="E607" s="637" t="n"/>
    </row>
    <row r="608">
      <c r="A608" s="544" t="n">
        <v>30060</v>
      </c>
      <c r="B608" s="637" t="n"/>
      <c r="C608" s="637" t="n"/>
      <c r="D608" s="637" t="n"/>
      <c r="E608" s="637" t="n"/>
    </row>
    <row r="609">
      <c r="A609" s="544" t="n">
        <v>30061</v>
      </c>
      <c r="B609" s="637" t="n"/>
      <c r="C609" s="637" t="n"/>
      <c r="D609" s="637" t="n"/>
      <c r="E609" s="637" t="n"/>
    </row>
    <row r="610">
      <c r="A610" s="544" t="n">
        <v>30062</v>
      </c>
      <c r="B610" s="637" t="n"/>
      <c r="C610" s="637" t="n"/>
      <c r="D610" s="637" t="n"/>
      <c r="E610" s="637" t="n"/>
    </row>
    <row r="611">
      <c r="A611" s="544" t="n">
        <v>30063</v>
      </c>
      <c r="B611" s="637" t="n"/>
      <c r="C611" s="637" t="n"/>
      <c r="D611" s="637" t="n"/>
      <c r="E611" s="637" t="n"/>
    </row>
    <row r="612">
      <c r="A612" s="544" t="n">
        <v>30064</v>
      </c>
      <c r="B612" s="637" t="n"/>
      <c r="C612" s="637" t="n"/>
      <c r="D612" s="637" t="n"/>
      <c r="E612" s="637" t="n"/>
    </row>
    <row r="613">
      <c r="A613" s="544" t="n">
        <v>30067</v>
      </c>
      <c r="B613" s="637" t="n"/>
      <c r="C613" s="637" t="n"/>
      <c r="D613" s="637" t="n"/>
      <c r="E613" s="637" t="n"/>
    </row>
    <row r="614">
      <c r="A614" s="544" t="n">
        <v>30068</v>
      </c>
      <c r="B614" s="637" t="n"/>
      <c r="C614" s="637" t="n"/>
      <c r="D614" s="637" t="n"/>
      <c r="E614" s="637" t="n"/>
    </row>
    <row r="615">
      <c r="A615" s="544" t="n">
        <v>30069</v>
      </c>
      <c r="B615" s="637" t="n"/>
      <c r="C615" s="637" t="n"/>
      <c r="D615" s="637" t="n"/>
      <c r="E615" s="637" t="n"/>
    </row>
    <row r="616">
      <c r="A616" s="544" t="n">
        <v>30070</v>
      </c>
      <c r="B616" s="637" t="n"/>
      <c r="C616" s="637" t="n"/>
      <c r="D616" s="637" t="n"/>
      <c r="E616" s="637" t="n"/>
    </row>
    <row r="617">
      <c r="A617" s="544" t="n">
        <v>30071</v>
      </c>
      <c r="B617" s="637" t="n"/>
      <c r="C617" s="637" t="n"/>
      <c r="D617" s="637" t="n"/>
      <c r="E617" s="637" t="n"/>
    </row>
    <row r="618">
      <c r="A618" s="544" t="n">
        <v>30074</v>
      </c>
      <c r="B618" s="637" t="n"/>
      <c r="C618" s="637" t="n"/>
      <c r="D618" s="637" t="n"/>
      <c r="E618" s="637" t="n"/>
    </row>
    <row r="619">
      <c r="A619" s="544" t="n">
        <v>30075</v>
      </c>
      <c r="B619" s="637" t="n"/>
      <c r="C619" s="637" t="n"/>
      <c r="D619" s="637" t="n"/>
      <c r="E619" s="637" t="n"/>
    </row>
    <row r="620">
      <c r="A620" s="544" t="n">
        <v>30076</v>
      </c>
      <c r="B620" s="637" t="n"/>
      <c r="C620" s="637" t="n"/>
      <c r="D620" s="637" t="n"/>
      <c r="E620" s="637" t="n"/>
    </row>
    <row r="621">
      <c r="A621" s="544" t="n">
        <v>30077</v>
      </c>
      <c r="B621" s="637" t="n"/>
      <c r="C621" s="637" t="n"/>
      <c r="D621" s="637" t="n"/>
      <c r="E621" s="637" t="n"/>
    </row>
    <row r="622">
      <c r="A622" s="544" t="n">
        <v>30078</v>
      </c>
      <c r="B622" s="637" t="n"/>
      <c r="C622" s="637" t="n"/>
      <c r="D622" s="637" t="n"/>
      <c r="E622" s="637" t="n"/>
    </row>
    <row r="623">
      <c r="A623" s="544" t="n">
        <v>30081</v>
      </c>
      <c r="B623" s="637" t="n"/>
      <c r="C623" s="637" t="n"/>
      <c r="D623" s="637" t="n"/>
      <c r="E623" s="637" t="n"/>
    </row>
    <row r="624">
      <c r="A624" s="544" t="n">
        <v>30082</v>
      </c>
      <c r="B624" s="637" t="n"/>
      <c r="C624" s="637" t="n"/>
      <c r="D624" s="637" t="n"/>
      <c r="E624" s="637" t="n"/>
    </row>
    <row r="625">
      <c r="A625" s="544" t="n">
        <v>30083</v>
      </c>
      <c r="B625" s="637" t="n"/>
      <c r="C625" s="637" t="n"/>
      <c r="D625" s="637" t="n"/>
      <c r="E625" s="637" t="n"/>
    </row>
    <row r="626">
      <c r="A626" s="544" t="n">
        <v>30084</v>
      </c>
      <c r="B626" s="637" t="n"/>
      <c r="C626" s="637" t="n"/>
      <c r="D626" s="637" t="n"/>
      <c r="E626" s="637" t="n"/>
    </row>
    <row r="627">
      <c r="A627" s="544" t="n">
        <v>30085</v>
      </c>
      <c r="B627" s="637" t="n"/>
      <c r="C627" s="637" t="n"/>
      <c r="D627" s="637" t="n"/>
      <c r="E627" s="637" t="n"/>
    </row>
    <row r="628">
      <c r="A628" s="544" t="n">
        <v>30088</v>
      </c>
      <c r="B628" s="637" t="n"/>
      <c r="C628" s="637" t="n"/>
      <c r="D628" s="637" t="n"/>
      <c r="E628" s="637" t="n"/>
    </row>
    <row r="629">
      <c r="A629" s="544" t="n">
        <v>30089</v>
      </c>
      <c r="B629" s="637" t="n"/>
      <c r="C629" s="637" t="n"/>
      <c r="D629" s="637" t="n"/>
      <c r="E629" s="637" t="n"/>
    </row>
    <row r="630">
      <c r="A630" s="544" t="n">
        <v>30090</v>
      </c>
      <c r="B630" s="637" t="n"/>
      <c r="C630" s="637" t="n"/>
      <c r="D630" s="637" t="n"/>
      <c r="E630" s="637" t="n"/>
    </row>
    <row r="631">
      <c r="A631" s="544" t="n">
        <v>30091</v>
      </c>
      <c r="B631" s="637" t="n"/>
      <c r="C631" s="637" t="n"/>
      <c r="D631" s="637" t="n"/>
      <c r="E631" s="637" t="n"/>
    </row>
    <row r="632">
      <c r="A632" s="544" t="n">
        <v>30092</v>
      </c>
      <c r="B632" s="637" t="n"/>
      <c r="C632" s="637" t="n"/>
      <c r="D632" s="637" t="n"/>
      <c r="E632" s="637" t="n"/>
    </row>
    <row r="633">
      <c r="A633" s="544" t="n">
        <v>30095</v>
      </c>
      <c r="B633" s="637" t="n"/>
      <c r="C633" s="637" t="n"/>
      <c r="D633" s="637" t="n"/>
      <c r="E633" s="637" t="n"/>
    </row>
    <row r="634">
      <c r="A634" s="544" t="n">
        <v>30096</v>
      </c>
      <c r="B634" s="637" t="n"/>
      <c r="C634" s="637" t="n"/>
      <c r="D634" s="637" t="n"/>
      <c r="E634" s="637" t="n"/>
    </row>
    <row r="635">
      <c r="A635" s="544" t="n">
        <v>30097</v>
      </c>
      <c r="B635" s="637" t="n"/>
      <c r="C635" s="637" t="n"/>
      <c r="D635" s="637" t="n"/>
      <c r="E635" s="637" t="n"/>
    </row>
    <row r="636">
      <c r="A636" s="544" t="n">
        <v>30098</v>
      </c>
      <c r="B636" s="637" t="n"/>
      <c r="C636" s="637" t="n"/>
      <c r="D636" s="637" t="n"/>
      <c r="E636" s="637" t="n"/>
    </row>
    <row r="637">
      <c r="A637" s="544" t="n">
        <v>30099</v>
      </c>
      <c r="B637" s="637" t="n"/>
      <c r="C637" s="637" t="n"/>
      <c r="D637" s="637" t="n"/>
      <c r="E637" s="637" t="n"/>
    </row>
    <row r="638">
      <c r="A638" s="544" t="n">
        <v>30102</v>
      </c>
      <c r="B638" s="637" t="n"/>
      <c r="C638" s="637" t="n"/>
      <c r="D638" s="637" t="n"/>
      <c r="E638" s="637" t="n"/>
    </row>
    <row r="639">
      <c r="A639" s="544" t="n">
        <v>30103</v>
      </c>
      <c r="B639" s="637" t="n"/>
      <c r="C639" s="637" t="n"/>
      <c r="D639" s="637" t="n"/>
      <c r="E639" s="637" t="n"/>
    </row>
    <row r="640">
      <c r="A640" s="544" t="n">
        <v>30104</v>
      </c>
      <c r="B640" s="637" t="n"/>
      <c r="C640" s="637" t="n"/>
      <c r="D640" s="637" t="n"/>
      <c r="E640" s="637" t="n"/>
    </row>
    <row r="641">
      <c r="A641" s="544" t="n">
        <v>30105</v>
      </c>
      <c r="B641" s="637" t="n"/>
      <c r="C641" s="637" t="n"/>
      <c r="D641" s="637" t="n"/>
      <c r="E641" s="637" t="n"/>
    </row>
    <row r="642">
      <c r="A642" s="544" t="n">
        <v>30106</v>
      </c>
      <c r="B642" s="637" t="n"/>
      <c r="C642" s="637" t="n"/>
      <c r="D642" s="637" t="n"/>
      <c r="E642" s="637" t="n"/>
    </row>
    <row r="643">
      <c r="A643" s="544" t="n">
        <v>30109</v>
      </c>
      <c r="B643" s="637" t="n"/>
      <c r="C643" s="637" t="n"/>
      <c r="D643" s="637" t="n"/>
      <c r="E643" s="637" t="n"/>
    </row>
    <row r="644">
      <c r="A644" s="544" t="n">
        <v>30110</v>
      </c>
      <c r="B644" s="637" t="n"/>
      <c r="C644" s="637" t="n"/>
      <c r="D644" s="637" t="n"/>
      <c r="E644" s="637" t="n"/>
    </row>
    <row r="645">
      <c r="A645" s="544" t="n">
        <v>30111</v>
      </c>
      <c r="B645" s="637" t="n"/>
      <c r="C645" s="637" t="n"/>
      <c r="D645" s="637" t="n"/>
      <c r="E645" s="637" t="n"/>
    </row>
    <row r="646">
      <c r="A646" s="544" t="n">
        <v>30112</v>
      </c>
      <c r="B646" s="637" t="n"/>
      <c r="C646" s="637" t="n"/>
      <c r="D646" s="637" t="n"/>
      <c r="E646" s="637" t="n"/>
    </row>
    <row r="647">
      <c r="A647" s="544" t="n">
        <v>30113</v>
      </c>
      <c r="B647" s="637" t="n"/>
      <c r="C647" s="637" t="n"/>
      <c r="D647" s="637" t="n"/>
      <c r="E647" s="637" t="n"/>
    </row>
    <row r="648">
      <c r="A648" s="544" t="n">
        <v>30116</v>
      </c>
      <c r="B648" s="637" t="n"/>
      <c r="C648" s="637" t="n"/>
      <c r="D648" s="637" t="n"/>
      <c r="E648" s="637" t="n"/>
    </row>
    <row r="649">
      <c r="A649" s="544" t="n">
        <v>30117</v>
      </c>
      <c r="B649" s="637" t="n"/>
      <c r="C649" s="637" t="n"/>
      <c r="D649" s="637" t="n"/>
      <c r="E649" s="637" t="n"/>
    </row>
    <row r="650">
      <c r="A650" s="544" t="n">
        <v>30118</v>
      </c>
      <c r="B650" s="637" t="n"/>
      <c r="C650" s="637" t="n"/>
      <c r="D650" s="637" t="n"/>
      <c r="E650" s="637" t="n"/>
    </row>
    <row r="651">
      <c r="A651" s="544" t="n">
        <v>30119</v>
      </c>
      <c r="B651" s="637" t="n"/>
      <c r="C651" s="637" t="n"/>
      <c r="D651" s="637" t="n"/>
      <c r="E651" s="637" t="n"/>
    </row>
    <row r="652">
      <c r="A652" s="544" t="n">
        <v>30120</v>
      </c>
      <c r="B652" s="637" t="n"/>
      <c r="C652" s="637" t="n"/>
      <c r="D652" s="637" t="n"/>
      <c r="E652" s="637" t="n"/>
    </row>
    <row r="653">
      <c r="A653" s="544" t="n">
        <v>30123</v>
      </c>
      <c r="B653" s="637" t="n"/>
      <c r="C653" s="637" t="n"/>
      <c r="D653" s="637" t="n"/>
      <c r="E653" s="637" t="n"/>
    </row>
    <row r="654">
      <c r="A654" s="544" t="n">
        <v>30124</v>
      </c>
      <c r="B654" s="637" t="n"/>
      <c r="C654" s="637" t="n"/>
      <c r="D654" s="637" t="n"/>
      <c r="E654" s="637" t="n"/>
    </row>
    <row r="655">
      <c r="A655" s="544" t="n">
        <v>30125</v>
      </c>
      <c r="B655" s="637" t="n"/>
      <c r="C655" s="637" t="n"/>
      <c r="D655" s="637" t="n"/>
      <c r="E655" s="637" t="n"/>
    </row>
    <row r="656">
      <c r="A656" s="544" t="n">
        <v>30126</v>
      </c>
      <c r="B656" s="637" t="n"/>
      <c r="C656" s="637" t="n"/>
      <c r="D656" s="637" t="n"/>
      <c r="E656" s="637" t="n"/>
    </row>
    <row r="657">
      <c r="A657" s="544" t="n">
        <v>30127</v>
      </c>
      <c r="B657" s="637" t="n"/>
      <c r="C657" s="637" t="n"/>
      <c r="D657" s="637" t="n"/>
      <c r="E657" s="637" t="n"/>
    </row>
    <row r="658">
      <c r="A658" s="544" t="n">
        <v>30130</v>
      </c>
      <c r="B658" s="637" t="n"/>
      <c r="C658" s="637" t="n"/>
      <c r="D658" s="637" t="n"/>
      <c r="E658" s="637" t="n"/>
    </row>
    <row r="659">
      <c r="A659" s="544" t="n">
        <v>30131</v>
      </c>
      <c r="B659" s="637" t="n"/>
      <c r="C659" s="637" t="n"/>
      <c r="D659" s="637" t="n"/>
      <c r="E659" s="637" t="n"/>
    </row>
    <row r="660">
      <c r="A660" s="544" t="n">
        <v>30132</v>
      </c>
      <c r="B660" s="637" t="n"/>
      <c r="C660" s="637" t="n"/>
      <c r="D660" s="637" t="n"/>
      <c r="E660" s="637" t="n"/>
    </row>
    <row r="661">
      <c r="A661" s="544" t="n">
        <v>30133</v>
      </c>
      <c r="B661" s="637" t="n"/>
      <c r="C661" s="637" t="n"/>
      <c r="D661" s="637" t="n"/>
      <c r="E661" s="637" t="n"/>
    </row>
    <row r="662">
      <c r="A662" s="544" t="n">
        <v>30134</v>
      </c>
      <c r="B662" s="637" t="n"/>
      <c r="C662" s="637" t="n"/>
      <c r="D662" s="637" t="n"/>
      <c r="E662" s="637" t="n"/>
    </row>
    <row r="663">
      <c r="A663" s="544" t="n">
        <v>30137</v>
      </c>
      <c r="B663" s="637" t="n"/>
      <c r="C663" s="637" t="n"/>
      <c r="D663" s="637" t="n"/>
      <c r="E663" s="637" t="n"/>
    </row>
    <row r="664">
      <c r="A664" s="544" t="n">
        <v>30138</v>
      </c>
      <c r="B664" s="637" t="n"/>
      <c r="C664" s="637" t="n"/>
      <c r="D664" s="637" t="n"/>
      <c r="E664" s="637" t="n"/>
    </row>
    <row r="665">
      <c r="A665" s="544" t="n">
        <v>30139</v>
      </c>
      <c r="B665" s="637" t="n"/>
      <c r="C665" s="637" t="n"/>
      <c r="D665" s="637" t="n"/>
      <c r="E665" s="637" t="n"/>
    </row>
    <row r="666">
      <c r="A666" s="544" t="n">
        <v>30140</v>
      </c>
      <c r="B666" s="637" t="n"/>
      <c r="C666" s="637" t="n"/>
      <c r="D666" s="637" t="n"/>
      <c r="E666" s="637" t="n"/>
    </row>
    <row r="667">
      <c r="A667" s="544" t="n">
        <v>30141</v>
      </c>
      <c r="B667" s="637" t="n"/>
      <c r="C667" s="637" t="n"/>
      <c r="D667" s="637" t="n"/>
      <c r="E667" s="637" t="n"/>
    </row>
    <row r="668">
      <c r="A668" s="544" t="n">
        <v>30144</v>
      </c>
      <c r="B668" s="637" t="n"/>
      <c r="C668" s="637" t="n"/>
      <c r="D668" s="637" t="n"/>
      <c r="E668" s="637" t="n"/>
    </row>
    <row r="669">
      <c r="A669" s="544" t="n">
        <v>30145</v>
      </c>
      <c r="B669" s="637" t="n"/>
      <c r="C669" s="637" t="n"/>
      <c r="D669" s="637" t="n"/>
      <c r="E669" s="637" t="n"/>
    </row>
    <row r="670">
      <c r="A670" s="544" t="n">
        <v>30146</v>
      </c>
      <c r="B670" s="637" t="n"/>
      <c r="C670" s="637" t="n"/>
      <c r="D670" s="637" t="n"/>
      <c r="E670" s="637" t="n"/>
    </row>
    <row r="671">
      <c r="A671" s="544" t="n">
        <v>30147</v>
      </c>
      <c r="B671" s="637" t="n"/>
      <c r="C671" s="637" t="n"/>
      <c r="D671" s="637" t="n"/>
      <c r="E671" s="637" t="n"/>
    </row>
    <row r="672">
      <c r="A672" s="544" t="n">
        <v>30148</v>
      </c>
      <c r="B672" s="637" t="n"/>
      <c r="C672" s="637" t="n"/>
      <c r="D672" s="637" t="n"/>
      <c r="E672" s="637" t="n"/>
    </row>
    <row r="673">
      <c r="A673" s="544" t="n">
        <v>30151</v>
      </c>
      <c r="B673" s="637" t="n"/>
      <c r="C673" s="637" t="n"/>
      <c r="D673" s="637" t="n"/>
      <c r="E673" s="637" t="n"/>
    </row>
    <row r="674">
      <c r="A674" s="544" t="n">
        <v>30152</v>
      </c>
      <c r="B674" s="637" t="n"/>
      <c r="C674" s="637" t="n"/>
      <c r="D674" s="637" t="n"/>
      <c r="E674" s="637" t="n"/>
    </row>
    <row r="675">
      <c r="A675" s="544" t="n">
        <v>30153</v>
      </c>
      <c r="B675" s="637" t="n"/>
      <c r="C675" s="637" t="n"/>
      <c r="D675" s="637" t="n"/>
      <c r="E675" s="637" t="n"/>
    </row>
    <row r="676">
      <c r="A676" s="544" t="n">
        <v>30154</v>
      </c>
      <c r="B676" s="637" t="n"/>
      <c r="C676" s="637" t="n"/>
      <c r="D676" s="637" t="n"/>
      <c r="E676" s="637" t="n"/>
    </row>
    <row r="677">
      <c r="A677" s="544" t="n">
        <v>30155</v>
      </c>
      <c r="B677" s="637" t="n"/>
      <c r="C677" s="637" t="n"/>
      <c r="D677" s="637" t="n"/>
      <c r="E677" s="637" t="n"/>
    </row>
    <row r="678">
      <c r="A678" s="544" t="n">
        <v>30158</v>
      </c>
      <c r="B678" s="637" t="n"/>
      <c r="C678" s="637" t="n"/>
      <c r="D678" s="637" t="n"/>
      <c r="E678" s="637" t="n"/>
    </row>
    <row r="679">
      <c r="A679" s="544" t="n">
        <v>30159</v>
      </c>
      <c r="B679" s="637" t="n"/>
      <c r="C679" s="637" t="n"/>
      <c r="D679" s="637" t="n"/>
      <c r="E679" s="637" t="n"/>
    </row>
    <row r="680">
      <c r="A680" s="544" t="n">
        <v>30160</v>
      </c>
      <c r="B680" s="637" t="n"/>
      <c r="C680" s="637" t="n"/>
      <c r="D680" s="637" t="n"/>
      <c r="E680" s="637" t="n"/>
    </row>
    <row r="681">
      <c r="A681" s="544" t="n">
        <v>30161</v>
      </c>
      <c r="B681" s="637" t="n"/>
      <c r="C681" s="637" t="n"/>
      <c r="D681" s="637" t="n"/>
      <c r="E681" s="637" t="n"/>
    </row>
    <row r="682">
      <c r="A682" s="544" t="n">
        <v>30162</v>
      </c>
      <c r="B682" s="637" t="n"/>
      <c r="C682" s="637" t="n"/>
      <c r="D682" s="637" t="n"/>
      <c r="E682" s="637" t="n"/>
    </row>
    <row r="683">
      <c r="A683" s="544" t="n">
        <v>30165</v>
      </c>
      <c r="B683" s="637" t="n"/>
      <c r="C683" s="637" t="n"/>
      <c r="D683" s="637" t="n"/>
      <c r="E683" s="637" t="n"/>
    </row>
    <row r="684">
      <c r="A684" s="544" t="n">
        <v>30166</v>
      </c>
      <c r="B684" s="637" t="n"/>
      <c r="C684" s="637" t="n"/>
      <c r="D684" s="637" t="n"/>
      <c r="E684" s="637" t="n"/>
    </row>
    <row r="685">
      <c r="A685" s="544" t="n">
        <v>30167</v>
      </c>
      <c r="B685" s="637" t="n"/>
      <c r="C685" s="637" t="n"/>
      <c r="D685" s="637" t="n"/>
      <c r="E685" s="637" t="n"/>
    </row>
    <row r="686">
      <c r="A686" s="544" t="n">
        <v>30168</v>
      </c>
      <c r="B686" s="637" t="n"/>
      <c r="C686" s="637" t="n"/>
      <c r="D686" s="637" t="n"/>
      <c r="E686" s="637" t="n"/>
    </row>
    <row r="687">
      <c r="A687" s="544" t="n">
        <v>30169</v>
      </c>
      <c r="B687" s="637" t="n"/>
      <c r="C687" s="637" t="n"/>
      <c r="D687" s="637" t="n"/>
      <c r="E687" s="637" t="n"/>
    </row>
    <row r="688">
      <c r="A688" s="544" t="n">
        <v>30172</v>
      </c>
      <c r="B688" s="637" t="n"/>
      <c r="C688" s="637" t="n"/>
      <c r="D688" s="637" t="n"/>
      <c r="E688" s="637" t="n"/>
    </row>
    <row r="689">
      <c r="A689" s="544" t="n">
        <v>30173</v>
      </c>
      <c r="B689" s="637" t="n"/>
      <c r="C689" s="637" t="n"/>
      <c r="D689" s="637" t="n"/>
      <c r="E689" s="637" t="n"/>
    </row>
    <row r="690">
      <c r="A690" s="544" t="n">
        <v>30174</v>
      </c>
      <c r="B690" s="637" t="n"/>
      <c r="C690" s="637" t="n"/>
      <c r="D690" s="637" t="n"/>
      <c r="E690" s="637" t="n"/>
    </row>
    <row r="691">
      <c r="A691" s="544" t="n">
        <v>30175</v>
      </c>
      <c r="B691" s="637" t="n"/>
      <c r="C691" s="637" t="n"/>
      <c r="D691" s="637" t="n"/>
      <c r="E691" s="637" t="n"/>
    </row>
    <row r="692">
      <c r="A692" s="544" t="n">
        <v>30176</v>
      </c>
      <c r="B692" s="637" t="n"/>
      <c r="C692" s="637" t="n"/>
      <c r="D692" s="637" t="n"/>
      <c r="E692" s="637" t="n"/>
    </row>
    <row r="693">
      <c r="A693" s="544" t="n">
        <v>30179</v>
      </c>
      <c r="B693" s="637" t="n"/>
      <c r="C693" s="637" t="n"/>
      <c r="D693" s="637" t="n"/>
      <c r="E693" s="637" t="n"/>
    </row>
    <row r="694">
      <c r="A694" s="544" t="n">
        <v>30180</v>
      </c>
      <c r="B694" s="637" t="n"/>
      <c r="C694" s="637" t="n"/>
      <c r="D694" s="637" t="n"/>
      <c r="E694" s="637" t="n"/>
    </row>
    <row r="695">
      <c r="A695" s="544" t="n">
        <v>30181</v>
      </c>
      <c r="B695" s="637" t="n"/>
      <c r="C695" s="637" t="n"/>
      <c r="D695" s="637" t="n"/>
      <c r="E695" s="637" t="n"/>
    </row>
    <row r="696">
      <c r="A696" s="544" t="n">
        <v>30182</v>
      </c>
      <c r="B696" s="637" t="n"/>
      <c r="C696" s="637" t="n"/>
      <c r="D696" s="637" t="n"/>
      <c r="E696" s="637" t="n"/>
    </row>
    <row r="697">
      <c r="A697" s="544" t="n">
        <v>30183</v>
      </c>
      <c r="B697" s="637" t="n"/>
      <c r="C697" s="637" t="n"/>
      <c r="D697" s="637" t="n"/>
      <c r="E697" s="637" t="n"/>
    </row>
    <row r="698">
      <c r="A698" s="544" t="n">
        <v>30186</v>
      </c>
      <c r="B698" s="637" t="n"/>
      <c r="C698" s="637" t="n"/>
      <c r="D698" s="637" t="n"/>
      <c r="E698" s="637" t="n"/>
    </row>
    <row r="699">
      <c r="A699" s="544" t="n">
        <v>30187</v>
      </c>
      <c r="B699" s="637" t="n"/>
      <c r="C699" s="637" t="n"/>
      <c r="D699" s="637" t="n"/>
      <c r="E699" s="637" t="n"/>
    </row>
    <row r="700">
      <c r="A700" s="544" t="n">
        <v>30188</v>
      </c>
      <c r="B700" s="637" t="n"/>
      <c r="C700" s="637" t="n"/>
      <c r="D700" s="637" t="n"/>
      <c r="E700" s="637" t="n"/>
    </row>
    <row r="701">
      <c r="A701" s="544" t="n">
        <v>30189</v>
      </c>
      <c r="B701" s="637" t="n"/>
      <c r="C701" s="637" t="n"/>
      <c r="D701" s="637" t="n"/>
      <c r="E701" s="637" t="n"/>
    </row>
    <row r="702">
      <c r="A702" s="544" t="n">
        <v>30190</v>
      </c>
      <c r="B702" s="637" t="n"/>
      <c r="C702" s="637" t="n"/>
      <c r="D702" s="637" t="n"/>
      <c r="E702" s="637" t="n"/>
    </row>
    <row r="703">
      <c r="A703" s="544" t="n">
        <v>30193</v>
      </c>
      <c r="B703" s="637" t="n"/>
      <c r="C703" s="637" t="n"/>
      <c r="D703" s="637" t="n"/>
      <c r="E703" s="637" t="n"/>
    </row>
    <row r="704">
      <c r="A704" s="544" t="n">
        <v>30194</v>
      </c>
      <c r="B704" s="637" t="n"/>
      <c r="C704" s="637" t="n"/>
      <c r="D704" s="637" t="n"/>
      <c r="E704" s="637" t="n"/>
    </row>
    <row r="705">
      <c r="A705" s="544" t="n">
        <v>30195</v>
      </c>
      <c r="B705" s="637" t="n"/>
      <c r="C705" s="637" t="n"/>
      <c r="D705" s="637" t="n"/>
      <c r="E705" s="637" t="n"/>
    </row>
    <row r="706">
      <c r="A706" s="544" t="n">
        <v>30196</v>
      </c>
      <c r="B706" s="637" t="n"/>
      <c r="C706" s="637" t="n"/>
      <c r="D706" s="637" t="n"/>
      <c r="E706" s="637" t="n"/>
    </row>
    <row r="707">
      <c r="A707" s="544" t="n">
        <v>30197</v>
      </c>
      <c r="B707" s="637" t="n"/>
      <c r="C707" s="637" t="n"/>
      <c r="D707" s="637" t="n"/>
      <c r="E707" s="637" t="n"/>
    </row>
    <row r="708">
      <c r="A708" s="544" t="n">
        <v>30200</v>
      </c>
      <c r="B708" s="637" t="n"/>
      <c r="C708" s="637" t="n"/>
      <c r="D708" s="637" t="n"/>
      <c r="E708" s="637" t="n"/>
    </row>
    <row r="709">
      <c r="A709" s="544" t="n">
        <v>30201</v>
      </c>
      <c r="B709" s="637" t="n"/>
      <c r="C709" s="637" t="n"/>
      <c r="D709" s="637" t="n"/>
      <c r="E709" s="637" t="n"/>
    </row>
    <row r="710">
      <c r="A710" s="544" t="n">
        <v>30202</v>
      </c>
      <c r="B710" s="637" t="n"/>
      <c r="C710" s="637" t="n"/>
      <c r="D710" s="637" t="n"/>
      <c r="E710" s="637" t="n"/>
    </row>
    <row r="711">
      <c r="A711" s="544" t="n">
        <v>30203</v>
      </c>
      <c r="B711" s="637" t="n"/>
      <c r="C711" s="637" t="n"/>
      <c r="D711" s="637" t="n"/>
      <c r="E711" s="637" t="n"/>
    </row>
    <row r="712">
      <c r="A712" s="544" t="n">
        <v>30204</v>
      </c>
      <c r="B712" s="637" t="n"/>
      <c r="C712" s="637" t="n"/>
      <c r="D712" s="637" t="n"/>
      <c r="E712" s="637" t="n"/>
    </row>
    <row r="713">
      <c r="A713" s="544" t="n">
        <v>30207</v>
      </c>
      <c r="B713" s="637" t="n"/>
      <c r="C713" s="637" t="n"/>
      <c r="D713" s="637" t="n"/>
      <c r="E713" s="637" t="n"/>
    </row>
    <row r="714">
      <c r="A714" s="544" t="n">
        <v>30208</v>
      </c>
      <c r="B714" s="637" t="n"/>
      <c r="C714" s="637" t="n"/>
      <c r="D714" s="637" t="n"/>
      <c r="E714" s="637" t="n"/>
    </row>
    <row r="715">
      <c r="A715" s="544" t="n">
        <v>30209</v>
      </c>
      <c r="B715" s="637" t="n"/>
      <c r="C715" s="637" t="n"/>
      <c r="D715" s="637" t="n"/>
      <c r="E715" s="637" t="n"/>
    </row>
    <row r="716">
      <c r="A716" s="544" t="n">
        <v>30210</v>
      </c>
      <c r="B716" s="637" t="n"/>
      <c r="C716" s="637" t="n"/>
      <c r="D716" s="637" t="n"/>
      <c r="E716" s="637" t="n"/>
    </row>
    <row r="717">
      <c r="A717" s="544" t="n">
        <v>30211</v>
      </c>
      <c r="B717" s="637" t="n"/>
      <c r="C717" s="637" t="n"/>
      <c r="D717" s="637" t="n"/>
      <c r="E717" s="637" t="n"/>
    </row>
    <row r="718">
      <c r="A718" s="544" t="n">
        <v>30214</v>
      </c>
      <c r="B718" s="637" t="n"/>
      <c r="C718" s="637" t="n"/>
      <c r="D718" s="637" t="n"/>
      <c r="E718" s="637" t="n"/>
    </row>
    <row r="719">
      <c r="A719" s="544" t="n">
        <v>30215</v>
      </c>
      <c r="B719" s="637" t="n"/>
      <c r="C719" s="637" t="n"/>
      <c r="D719" s="637" t="n"/>
      <c r="E719" s="637" t="n"/>
    </row>
    <row r="720">
      <c r="A720" s="544" t="n">
        <v>30216</v>
      </c>
      <c r="B720" s="637" t="n"/>
      <c r="C720" s="637" t="n"/>
      <c r="D720" s="637" t="n"/>
      <c r="E720" s="637" t="n"/>
    </row>
    <row r="721">
      <c r="A721" s="544" t="n">
        <v>30217</v>
      </c>
      <c r="B721" s="637" t="n"/>
      <c r="C721" s="637" t="n"/>
      <c r="D721" s="637" t="n"/>
      <c r="E721" s="637" t="n"/>
    </row>
    <row r="722">
      <c r="A722" s="544" t="n">
        <v>30218</v>
      </c>
      <c r="B722" s="637" t="n"/>
      <c r="C722" s="637" t="n"/>
      <c r="D722" s="637" t="n"/>
      <c r="E722" s="637" t="n"/>
    </row>
    <row r="723">
      <c r="A723" s="544" t="n">
        <v>30221</v>
      </c>
      <c r="B723" s="637" t="n"/>
      <c r="C723" s="637" t="n"/>
      <c r="D723" s="637" t="n"/>
      <c r="E723" s="637" t="n"/>
    </row>
    <row r="724">
      <c r="A724" s="544" t="n">
        <v>30222</v>
      </c>
      <c r="B724" s="637" t="n"/>
      <c r="C724" s="637" t="n"/>
      <c r="D724" s="637" t="n"/>
      <c r="E724" s="637" t="n"/>
    </row>
    <row r="725">
      <c r="A725" s="544" t="n">
        <v>30223</v>
      </c>
      <c r="B725" s="637" t="n"/>
      <c r="C725" s="637" t="n"/>
      <c r="D725" s="637" t="n"/>
      <c r="E725" s="637" t="n"/>
    </row>
    <row r="726">
      <c r="A726" s="544" t="n">
        <v>30224</v>
      </c>
      <c r="B726" s="637" t="n"/>
      <c r="C726" s="637" t="n"/>
      <c r="D726" s="637" t="n"/>
      <c r="E726" s="637" t="n"/>
    </row>
    <row r="727">
      <c r="A727" s="544" t="n">
        <v>30225</v>
      </c>
      <c r="B727" s="637" t="n"/>
      <c r="C727" s="637" t="n"/>
      <c r="D727" s="637" t="n"/>
      <c r="E727" s="637" t="n"/>
    </row>
    <row r="728">
      <c r="A728" s="544" t="n">
        <v>30228</v>
      </c>
      <c r="B728" s="637" t="n"/>
      <c r="C728" s="637" t="n"/>
      <c r="D728" s="637" t="n"/>
      <c r="E728" s="637" t="n"/>
    </row>
    <row r="729">
      <c r="A729" s="544" t="n">
        <v>30229</v>
      </c>
      <c r="B729" s="637" t="n"/>
      <c r="C729" s="637" t="n"/>
      <c r="D729" s="637" t="n"/>
      <c r="E729" s="637" t="n"/>
    </row>
    <row r="730">
      <c r="A730" s="544" t="n">
        <v>30230</v>
      </c>
      <c r="B730" s="637" t="n"/>
      <c r="C730" s="637" t="n"/>
      <c r="D730" s="637" t="n"/>
      <c r="E730" s="637" t="n"/>
    </row>
    <row r="731">
      <c r="A731" s="544" t="n">
        <v>30231</v>
      </c>
      <c r="B731" s="637" t="n"/>
      <c r="C731" s="637" t="n"/>
      <c r="D731" s="637" t="n"/>
      <c r="E731" s="637" t="n"/>
    </row>
    <row r="732">
      <c r="A732" s="544" t="n">
        <v>30232</v>
      </c>
      <c r="B732" s="637" t="n"/>
      <c r="C732" s="637" t="n"/>
      <c r="D732" s="637" t="n"/>
      <c r="E732" s="637" t="n"/>
    </row>
    <row r="733">
      <c r="A733" s="544" t="n">
        <v>30235</v>
      </c>
      <c r="B733" s="637" t="n"/>
      <c r="C733" s="637" t="n"/>
      <c r="D733" s="637" t="n"/>
      <c r="E733" s="637" t="n"/>
    </row>
    <row r="734">
      <c r="A734" s="544" t="n">
        <v>30236</v>
      </c>
      <c r="B734" s="637" t="n"/>
      <c r="C734" s="637" t="n"/>
      <c r="D734" s="637" t="n"/>
      <c r="E734" s="637" t="n"/>
    </row>
    <row r="735">
      <c r="A735" s="544" t="n">
        <v>30237</v>
      </c>
      <c r="B735" s="637" t="n"/>
      <c r="C735" s="637" t="n"/>
      <c r="D735" s="637" t="n"/>
      <c r="E735" s="637" t="n"/>
    </row>
    <row r="736">
      <c r="A736" s="544" t="n">
        <v>30238</v>
      </c>
      <c r="B736" s="637" t="n"/>
      <c r="C736" s="637" t="n"/>
      <c r="D736" s="637" t="n"/>
      <c r="E736" s="637" t="n"/>
    </row>
    <row r="737">
      <c r="A737" s="544" t="n">
        <v>30239</v>
      </c>
      <c r="B737" s="637" t="n"/>
      <c r="C737" s="637" t="n"/>
      <c r="D737" s="637" t="n"/>
      <c r="E737" s="637" t="n"/>
    </row>
    <row r="738">
      <c r="A738" s="544" t="n">
        <v>30242</v>
      </c>
      <c r="B738" s="637" t="n"/>
      <c r="C738" s="637" t="n"/>
      <c r="D738" s="637" t="n"/>
      <c r="E738" s="637" t="n"/>
    </row>
    <row r="739">
      <c r="A739" s="544" t="n">
        <v>30243</v>
      </c>
      <c r="B739" s="637" t="n"/>
      <c r="C739" s="637" t="n"/>
      <c r="D739" s="637" t="n"/>
      <c r="E739" s="637" t="n"/>
    </row>
    <row r="740">
      <c r="A740" s="544" t="n">
        <v>30244</v>
      </c>
      <c r="B740" s="637" t="n"/>
      <c r="C740" s="637" t="n"/>
      <c r="D740" s="637" t="n"/>
      <c r="E740" s="637" t="n"/>
    </row>
    <row r="741">
      <c r="A741" s="544" t="n">
        <v>30245</v>
      </c>
      <c r="B741" s="637" t="n"/>
      <c r="C741" s="637" t="n"/>
      <c r="D741" s="637" t="n"/>
      <c r="E741" s="637" t="n"/>
    </row>
    <row r="742">
      <c r="A742" s="544" t="n">
        <v>30246</v>
      </c>
      <c r="B742" s="637" t="n"/>
      <c r="C742" s="637" t="n"/>
      <c r="D742" s="637" t="n"/>
      <c r="E742" s="637" t="n"/>
    </row>
    <row r="743">
      <c r="A743" s="544" t="n">
        <v>30249</v>
      </c>
      <c r="B743" s="637" t="n"/>
      <c r="C743" s="637" t="n"/>
      <c r="D743" s="637" t="n"/>
      <c r="E743" s="637" t="n"/>
    </row>
    <row r="744">
      <c r="A744" s="544" t="n">
        <v>30250</v>
      </c>
      <c r="B744" s="637" t="n"/>
      <c r="C744" s="637" t="n"/>
      <c r="D744" s="637" t="n"/>
      <c r="E744" s="637" t="n"/>
    </row>
    <row r="745">
      <c r="A745" s="544" t="n">
        <v>30251</v>
      </c>
      <c r="B745" s="637" t="n"/>
      <c r="C745" s="637" t="n"/>
      <c r="D745" s="637" t="n"/>
      <c r="E745" s="637" t="n"/>
    </row>
    <row r="746">
      <c r="A746" s="544" t="n">
        <v>30252</v>
      </c>
      <c r="B746" s="637" t="n"/>
      <c r="C746" s="637" t="n"/>
      <c r="D746" s="637" t="n"/>
      <c r="E746" s="637" t="n"/>
    </row>
    <row r="747">
      <c r="A747" s="544" t="n">
        <v>30253</v>
      </c>
      <c r="B747" s="637" t="n"/>
      <c r="C747" s="637" t="n"/>
      <c r="D747" s="637" t="n"/>
      <c r="E747" s="637" t="n"/>
    </row>
    <row r="748">
      <c r="A748" s="544" t="n">
        <v>30256</v>
      </c>
      <c r="B748" s="637" t="n"/>
      <c r="C748" s="637" t="n"/>
      <c r="D748" s="637" t="n"/>
      <c r="E748" s="637" t="n"/>
    </row>
    <row r="749">
      <c r="A749" s="544" t="n">
        <v>30257</v>
      </c>
      <c r="B749" s="637" t="n"/>
      <c r="C749" s="637" t="n"/>
      <c r="D749" s="637" t="n"/>
      <c r="E749" s="637" t="n"/>
    </row>
    <row r="750">
      <c r="A750" s="544" t="n">
        <v>30258</v>
      </c>
      <c r="B750" s="637" t="n"/>
      <c r="C750" s="637" t="n"/>
      <c r="D750" s="637" t="n"/>
      <c r="E750" s="637" t="n"/>
    </row>
    <row r="751">
      <c r="A751" s="544" t="n">
        <v>30259</v>
      </c>
      <c r="B751" s="637" t="n"/>
      <c r="C751" s="637" t="n"/>
      <c r="D751" s="637" t="n"/>
      <c r="E751" s="637" t="n"/>
    </row>
    <row r="752">
      <c r="A752" s="544" t="n">
        <v>30260</v>
      </c>
      <c r="B752" s="637" t="n"/>
      <c r="C752" s="637" t="n"/>
      <c r="D752" s="637" t="n"/>
      <c r="E752" s="637" t="n"/>
    </row>
    <row r="753">
      <c r="A753" s="544" t="n">
        <v>30263</v>
      </c>
      <c r="B753" s="637" t="n"/>
      <c r="C753" s="637" t="n"/>
      <c r="D753" s="637" t="n"/>
      <c r="E753" s="637" t="n"/>
    </row>
    <row r="754">
      <c r="A754" s="544" t="n">
        <v>30264</v>
      </c>
      <c r="B754" s="637" t="n"/>
      <c r="C754" s="637" t="n"/>
      <c r="D754" s="637" t="n"/>
      <c r="E754" s="637" t="n"/>
    </row>
    <row r="755">
      <c r="A755" s="544" t="n">
        <v>30265</v>
      </c>
      <c r="B755" s="637" t="n"/>
      <c r="C755" s="637" t="n"/>
      <c r="D755" s="637" t="n"/>
      <c r="E755" s="637" t="n"/>
    </row>
    <row r="756">
      <c r="A756" s="544" t="n">
        <v>30266</v>
      </c>
      <c r="B756" s="637" t="n"/>
      <c r="C756" s="637" t="n"/>
      <c r="D756" s="637" t="n"/>
      <c r="E756" s="637" t="n"/>
    </row>
    <row r="757">
      <c r="A757" s="544" t="n">
        <v>30267</v>
      </c>
      <c r="B757" s="637" t="n"/>
      <c r="C757" s="637" t="n"/>
      <c r="D757" s="637" t="n"/>
      <c r="E757" s="637" t="n"/>
    </row>
    <row r="758">
      <c r="A758" s="544" t="n">
        <v>30270</v>
      </c>
      <c r="B758" s="637" t="n"/>
      <c r="C758" s="637" t="n"/>
      <c r="D758" s="637" t="n"/>
      <c r="E758" s="637" t="n"/>
    </row>
    <row r="759">
      <c r="A759" s="544" t="n">
        <v>30271</v>
      </c>
      <c r="B759" s="637" t="n"/>
      <c r="C759" s="637" t="n"/>
      <c r="D759" s="637" t="n"/>
      <c r="E759" s="637" t="n"/>
    </row>
    <row r="760">
      <c r="A760" s="544" t="n">
        <v>30272</v>
      </c>
      <c r="B760" s="637" t="n"/>
      <c r="C760" s="637" t="n"/>
      <c r="D760" s="637" t="n"/>
      <c r="E760" s="637" t="n"/>
    </row>
    <row r="761">
      <c r="A761" s="544" t="n">
        <v>30273</v>
      </c>
      <c r="B761" s="637" t="n"/>
      <c r="C761" s="637" t="n"/>
      <c r="D761" s="637" t="n"/>
      <c r="E761" s="637" t="n"/>
    </row>
    <row r="762">
      <c r="A762" s="544" t="n">
        <v>30274</v>
      </c>
      <c r="B762" s="637" t="n"/>
      <c r="C762" s="637" t="n"/>
      <c r="D762" s="637" t="n"/>
      <c r="E762" s="637" t="n"/>
    </row>
    <row r="763">
      <c r="A763" s="544" t="n">
        <v>30277</v>
      </c>
      <c r="B763" s="637" t="n"/>
      <c r="C763" s="637" t="n"/>
      <c r="D763" s="637" t="n"/>
      <c r="E763" s="637" t="n"/>
    </row>
    <row r="764">
      <c r="A764" s="544" t="n">
        <v>30278</v>
      </c>
      <c r="B764" s="637" t="n"/>
      <c r="C764" s="637" t="n"/>
      <c r="D764" s="637" t="n"/>
      <c r="E764" s="637" t="n"/>
    </row>
    <row r="765">
      <c r="A765" s="544" t="n">
        <v>30279</v>
      </c>
      <c r="B765" s="637" t="n"/>
      <c r="C765" s="637" t="n"/>
      <c r="D765" s="637" t="n"/>
      <c r="E765" s="637" t="n"/>
    </row>
    <row r="766">
      <c r="A766" s="544" t="n">
        <v>30280</v>
      </c>
      <c r="B766" s="637" t="n"/>
      <c r="C766" s="637" t="n"/>
      <c r="D766" s="637" t="n"/>
      <c r="E766" s="637" t="n"/>
    </row>
    <row r="767">
      <c r="A767" s="544" t="n">
        <v>30281</v>
      </c>
      <c r="B767" s="637" t="n"/>
      <c r="C767" s="637" t="n"/>
      <c r="D767" s="637" t="n"/>
      <c r="E767" s="637" t="n"/>
    </row>
    <row r="768">
      <c r="A768" s="544" t="n">
        <v>30284</v>
      </c>
      <c r="B768" s="637" t="n"/>
      <c r="C768" s="637" t="n"/>
      <c r="D768" s="637" t="n"/>
      <c r="E768" s="637" t="n"/>
    </row>
    <row r="769">
      <c r="A769" s="544" t="n">
        <v>30285</v>
      </c>
      <c r="B769" s="637" t="n"/>
      <c r="C769" s="637" t="n"/>
      <c r="D769" s="637" t="n"/>
      <c r="E769" s="637" t="n"/>
    </row>
    <row r="770">
      <c r="A770" s="544" t="n">
        <v>30286</v>
      </c>
      <c r="B770" s="637" t="n"/>
      <c r="C770" s="637" t="n"/>
      <c r="D770" s="637" t="n"/>
      <c r="E770" s="637" t="n"/>
    </row>
    <row r="771">
      <c r="A771" s="544" t="n">
        <v>30287</v>
      </c>
      <c r="B771" s="637" t="n"/>
      <c r="C771" s="637" t="n"/>
      <c r="D771" s="637" t="n"/>
      <c r="E771" s="637" t="n"/>
    </row>
    <row r="772">
      <c r="A772" s="544" t="n">
        <v>30288</v>
      </c>
      <c r="B772" s="637" t="n"/>
      <c r="C772" s="637" t="n"/>
      <c r="D772" s="637" t="n"/>
      <c r="E772" s="637" t="n"/>
    </row>
    <row r="773">
      <c r="A773" s="544" t="n">
        <v>30291</v>
      </c>
      <c r="B773" s="637" t="n"/>
      <c r="C773" s="637" t="n"/>
      <c r="D773" s="637" t="n"/>
      <c r="E773" s="637" t="n"/>
    </row>
    <row r="774">
      <c r="A774" s="544" t="n">
        <v>30292</v>
      </c>
      <c r="B774" s="637" t="n"/>
      <c r="C774" s="637" t="n"/>
      <c r="D774" s="637" t="n"/>
      <c r="E774" s="637" t="n"/>
    </row>
    <row r="775">
      <c r="A775" s="544" t="n">
        <v>30293</v>
      </c>
      <c r="B775" s="637" t="n"/>
      <c r="C775" s="637" t="n"/>
      <c r="D775" s="637" t="n"/>
      <c r="E775" s="637" t="n"/>
    </row>
    <row r="776">
      <c r="A776" s="544" t="n">
        <v>30294</v>
      </c>
      <c r="B776" s="637" t="n"/>
      <c r="C776" s="637" t="n"/>
      <c r="D776" s="637" t="n"/>
      <c r="E776" s="637" t="n"/>
    </row>
    <row r="777">
      <c r="A777" s="544" t="n">
        <v>30295</v>
      </c>
      <c r="B777" s="637" t="n"/>
      <c r="C777" s="637" t="n"/>
      <c r="D777" s="637" t="n"/>
      <c r="E777" s="637" t="n"/>
    </row>
    <row r="778">
      <c r="A778" s="544" t="n">
        <v>30298</v>
      </c>
      <c r="B778" s="637" t="n"/>
      <c r="C778" s="637" t="n"/>
      <c r="D778" s="637" t="n"/>
      <c r="E778" s="637" t="n"/>
    </row>
    <row r="779">
      <c r="A779" s="544" t="n">
        <v>30299</v>
      </c>
      <c r="B779" s="637" t="n"/>
      <c r="C779" s="637" t="n"/>
      <c r="D779" s="637" t="n"/>
      <c r="E779" s="637" t="n"/>
    </row>
    <row r="780">
      <c r="A780" s="544" t="n">
        <v>30300</v>
      </c>
      <c r="B780" s="637" t="n"/>
      <c r="C780" s="637" t="n"/>
      <c r="D780" s="637" t="n"/>
      <c r="E780" s="637" t="n"/>
    </row>
    <row r="781">
      <c r="A781" s="544" t="n">
        <v>30301</v>
      </c>
      <c r="B781" s="637" t="n"/>
      <c r="C781" s="637" t="n"/>
      <c r="D781" s="637" t="n"/>
      <c r="E781" s="637" t="n"/>
    </row>
    <row r="782">
      <c r="A782" s="544" t="n">
        <v>30302</v>
      </c>
      <c r="B782" s="637" t="n"/>
      <c r="C782" s="637" t="n"/>
      <c r="D782" s="637" t="n"/>
      <c r="E782" s="637" t="n"/>
    </row>
    <row r="783">
      <c r="A783" s="544" t="n">
        <v>30305</v>
      </c>
      <c r="B783" s="637" t="n"/>
      <c r="C783" s="637" t="n"/>
      <c r="D783" s="637" t="n"/>
      <c r="E783" s="637" t="n"/>
    </row>
    <row r="784">
      <c r="A784" s="544" t="n">
        <v>30306</v>
      </c>
      <c r="B784" s="637" t="n"/>
      <c r="C784" s="637" t="n"/>
      <c r="D784" s="637" t="n"/>
      <c r="E784" s="637" t="n"/>
    </row>
    <row r="785">
      <c r="A785" s="544" t="n">
        <v>30307</v>
      </c>
      <c r="B785" s="637" t="n"/>
      <c r="C785" s="637" t="n"/>
      <c r="D785" s="637" t="n"/>
      <c r="E785" s="637" t="n"/>
    </row>
    <row r="786">
      <c r="A786" s="544" t="n">
        <v>30308</v>
      </c>
      <c r="B786" s="637" t="n"/>
      <c r="C786" s="637" t="n"/>
      <c r="D786" s="637" t="n"/>
      <c r="E786" s="637" t="n"/>
    </row>
    <row r="787">
      <c r="A787" s="544" t="n">
        <v>30309</v>
      </c>
      <c r="B787" s="637" t="n"/>
      <c r="C787" s="637" t="n"/>
      <c r="D787" s="637" t="n"/>
      <c r="E787" s="637" t="n"/>
    </row>
    <row r="788">
      <c r="A788" s="544" t="n">
        <v>30312</v>
      </c>
      <c r="B788" s="637" t="n"/>
      <c r="C788" s="637" t="n"/>
      <c r="D788" s="637" t="n"/>
      <c r="E788" s="637" t="n"/>
    </row>
    <row r="789">
      <c r="A789" s="544" t="n">
        <v>30313</v>
      </c>
      <c r="B789" s="637" t="n"/>
      <c r="C789" s="637" t="n"/>
      <c r="D789" s="637" t="n"/>
      <c r="E789" s="637" t="n"/>
    </row>
    <row r="790">
      <c r="A790" s="544" t="n">
        <v>30314</v>
      </c>
      <c r="B790" s="637" t="n"/>
      <c r="C790" s="637" t="n"/>
      <c r="D790" s="637" t="n"/>
      <c r="E790" s="637" t="n"/>
    </row>
    <row r="791">
      <c r="A791" s="544" t="n">
        <v>30315</v>
      </c>
      <c r="B791" s="637" t="n"/>
      <c r="C791" s="637" t="n"/>
      <c r="D791" s="637" t="n"/>
      <c r="E791" s="637" t="n"/>
    </row>
    <row r="792">
      <c r="A792" s="544" t="n">
        <v>30316</v>
      </c>
      <c r="B792" s="637" t="n"/>
      <c r="C792" s="637" t="n"/>
      <c r="D792" s="637" t="n"/>
      <c r="E792" s="637" t="n"/>
    </row>
    <row r="793">
      <c r="A793" s="544" t="n">
        <v>30319</v>
      </c>
      <c r="B793" s="637" t="n"/>
      <c r="C793" s="637" t="n"/>
      <c r="D793" s="637" t="n"/>
      <c r="E793" s="637" t="n"/>
    </row>
    <row r="794">
      <c r="A794" s="544" t="n">
        <v>30320</v>
      </c>
      <c r="B794" s="637" t="n"/>
      <c r="C794" s="637" t="n"/>
      <c r="D794" s="637" t="n"/>
      <c r="E794" s="637" t="n"/>
    </row>
    <row r="795">
      <c r="A795" s="544" t="n">
        <v>30321</v>
      </c>
      <c r="B795" s="637" t="n"/>
      <c r="C795" s="637" t="n"/>
      <c r="D795" s="637" t="n"/>
      <c r="E795" s="637" t="n"/>
    </row>
    <row r="796">
      <c r="A796" s="544" t="n">
        <v>30322</v>
      </c>
      <c r="B796" s="637" t="n"/>
      <c r="C796" s="637" t="n"/>
      <c r="D796" s="637" t="n"/>
      <c r="E796" s="637" t="n"/>
    </row>
    <row r="797">
      <c r="A797" s="544" t="n">
        <v>30323</v>
      </c>
      <c r="B797" s="637" t="n"/>
      <c r="C797" s="637" t="n"/>
      <c r="D797" s="637" t="n"/>
      <c r="E797" s="637" t="n"/>
    </row>
    <row r="798">
      <c r="A798" s="544" t="n">
        <v>30326</v>
      </c>
      <c r="B798" s="637" t="n"/>
      <c r="C798" s="637" t="n"/>
      <c r="D798" s="637" t="n"/>
      <c r="E798" s="637" t="n"/>
    </row>
    <row r="799">
      <c r="A799" s="544" t="n">
        <v>30327</v>
      </c>
      <c r="B799" s="637" t="n"/>
      <c r="C799" s="637" t="n"/>
      <c r="D799" s="637" t="n"/>
      <c r="E799" s="637" t="n"/>
    </row>
    <row r="800">
      <c r="A800" s="544" t="n">
        <v>30328</v>
      </c>
      <c r="B800" s="637" t="n"/>
      <c r="C800" s="637" t="n"/>
      <c r="D800" s="637" t="n"/>
      <c r="E800" s="637" t="n"/>
    </row>
    <row r="801">
      <c r="A801" s="544" t="n">
        <v>30329</v>
      </c>
      <c r="B801" s="637" t="n"/>
      <c r="C801" s="637" t="n"/>
      <c r="D801" s="637" t="n"/>
      <c r="E801" s="637" t="n"/>
    </row>
    <row r="802">
      <c r="A802" s="544" t="n">
        <v>30330</v>
      </c>
      <c r="B802" s="637" t="n"/>
      <c r="C802" s="637" t="n"/>
      <c r="D802" s="637" t="n"/>
      <c r="E802" s="637" t="n"/>
    </row>
    <row r="803">
      <c r="A803" s="544" t="n">
        <v>30333</v>
      </c>
      <c r="B803" s="637" t="n"/>
      <c r="C803" s="637" t="n"/>
      <c r="D803" s="637" t="n"/>
      <c r="E803" s="637" t="n"/>
    </row>
    <row r="804">
      <c r="A804" s="544" t="n">
        <v>30334</v>
      </c>
      <c r="B804" s="637" t="n"/>
      <c r="C804" s="637" t="n"/>
      <c r="D804" s="637" t="n"/>
      <c r="E804" s="637" t="n"/>
    </row>
    <row r="805">
      <c r="A805" s="544" t="n">
        <v>30335</v>
      </c>
      <c r="B805" s="637" t="n"/>
      <c r="C805" s="637" t="n"/>
      <c r="D805" s="637" t="n"/>
      <c r="E805" s="637" t="n"/>
    </row>
    <row r="806">
      <c r="A806" s="544" t="n">
        <v>30336</v>
      </c>
      <c r="B806" s="637" t="n"/>
      <c r="C806" s="637" t="n"/>
      <c r="D806" s="637" t="n"/>
      <c r="E806" s="637" t="n"/>
    </row>
    <row r="807">
      <c r="A807" s="544" t="n">
        <v>30337</v>
      </c>
      <c r="B807" s="637" t="n"/>
      <c r="C807" s="637" t="n"/>
      <c r="D807" s="637" t="n"/>
      <c r="E807" s="637" t="n"/>
    </row>
    <row r="808">
      <c r="A808" s="544" t="n">
        <v>30340</v>
      </c>
      <c r="B808" s="637" t="n"/>
      <c r="C808" s="637" t="n"/>
      <c r="D808" s="637" t="n"/>
      <c r="E808" s="637" t="n"/>
    </row>
    <row r="809">
      <c r="A809" s="544" t="n">
        <v>30341</v>
      </c>
      <c r="B809" s="637" t="n"/>
      <c r="C809" s="637" t="n"/>
      <c r="D809" s="637" t="n"/>
      <c r="E809" s="637" t="n"/>
    </row>
    <row r="810">
      <c r="A810" s="544" t="n">
        <v>30342</v>
      </c>
      <c r="B810" s="637" t="n"/>
      <c r="C810" s="637" t="n"/>
      <c r="D810" s="637" t="n"/>
      <c r="E810" s="637" t="n"/>
    </row>
    <row r="811">
      <c r="A811" s="544" t="n">
        <v>30343</v>
      </c>
      <c r="B811" s="637" t="n"/>
      <c r="C811" s="637" t="n"/>
      <c r="D811" s="637" t="n"/>
      <c r="E811" s="637" t="n"/>
    </row>
    <row r="812">
      <c r="A812" s="544" t="n">
        <v>30344</v>
      </c>
      <c r="B812" s="637" t="n"/>
      <c r="C812" s="637" t="n"/>
      <c r="D812" s="637" t="n"/>
      <c r="E812" s="637" t="n"/>
    </row>
    <row r="813">
      <c r="A813" s="544" t="n">
        <v>30347</v>
      </c>
      <c r="B813" s="637" t="n"/>
      <c r="C813" s="637" t="n"/>
      <c r="D813" s="637" t="n"/>
      <c r="E813" s="637" t="n"/>
    </row>
    <row r="814">
      <c r="A814" s="544" t="n">
        <v>30348</v>
      </c>
      <c r="B814" s="637" t="n"/>
      <c r="C814" s="637" t="n"/>
      <c r="D814" s="637" t="n"/>
      <c r="E814" s="637" t="n"/>
    </row>
    <row r="815">
      <c r="A815" s="544" t="n">
        <v>30349</v>
      </c>
      <c r="B815" s="637" t="n"/>
      <c r="C815" s="637" t="n"/>
      <c r="D815" s="637" t="n"/>
      <c r="E815" s="637" t="n"/>
    </row>
    <row r="816">
      <c r="A816" s="544" t="n">
        <v>30350</v>
      </c>
      <c r="B816" s="637" t="n"/>
      <c r="C816" s="637" t="n"/>
      <c r="D816" s="637" t="n"/>
      <c r="E816" s="637" t="n"/>
    </row>
    <row r="817">
      <c r="A817" s="544" t="n">
        <v>30351</v>
      </c>
      <c r="B817" s="637" t="n"/>
      <c r="C817" s="637" t="n"/>
      <c r="D817" s="637" t="n"/>
      <c r="E817" s="637" t="n"/>
    </row>
    <row r="818">
      <c r="A818" s="544" t="n">
        <v>30354</v>
      </c>
      <c r="B818" s="637" t="n"/>
      <c r="C818" s="637" t="n"/>
      <c r="D818" s="637" t="n"/>
      <c r="E818" s="637" t="n"/>
    </row>
    <row r="819">
      <c r="A819" s="544" t="n">
        <v>30355</v>
      </c>
      <c r="B819" s="637" t="n"/>
      <c r="C819" s="637" t="n"/>
      <c r="D819" s="637" t="n"/>
      <c r="E819" s="637" t="n"/>
    </row>
    <row r="820">
      <c r="A820" s="544" t="n">
        <v>30356</v>
      </c>
      <c r="B820" s="637" t="n"/>
      <c r="C820" s="637" t="n"/>
      <c r="D820" s="637" t="n"/>
      <c r="E820" s="637" t="n"/>
    </row>
    <row r="821">
      <c r="A821" s="544" t="n">
        <v>30357</v>
      </c>
      <c r="B821" s="637" t="n"/>
      <c r="C821" s="637" t="n"/>
      <c r="D821" s="637" t="n"/>
      <c r="E821" s="637" t="n"/>
    </row>
    <row r="822">
      <c r="A822" s="544" t="n">
        <v>30358</v>
      </c>
      <c r="B822" s="637" t="n"/>
      <c r="C822" s="637" t="n"/>
      <c r="D822" s="637" t="n"/>
      <c r="E822" s="637" t="n"/>
    </row>
    <row r="823">
      <c r="A823" s="544" t="n">
        <v>30361</v>
      </c>
      <c r="B823" s="637" t="n"/>
      <c r="C823" s="637" t="n"/>
      <c r="D823" s="637" t="n"/>
      <c r="E823" s="637" t="n"/>
    </row>
    <row r="824">
      <c r="A824" s="544" t="n">
        <v>30362</v>
      </c>
      <c r="B824" s="637" t="n"/>
      <c r="C824" s="637" t="n"/>
      <c r="D824" s="637" t="n"/>
      <c r="E824" s="637" t="n"/>
    </row>
    <row r="825">
      <c r="A825" s="544" t="n">
        <v>30363</v>
      </c>
      <c r="B825" s="637" t="n"/>
      <c r="C825" s="637" t="n"/>
      <c r="D825" s="637" t="n"/>
      <c r="E825" s="637" t="n"/>
    </row>
    <row r="826">
      <c r="A826" s="544" t="n">
        <v>30364</v>
      </c>
      <c r="B826" s="637" t="n"/>
      <c r="C826" s="637" t="n"/>
      <c r="D826" s="637" t="n"/>
      <c r="E826" s="637" t="n"/>
    </row>
    <row r="827">
      <c r="A827" s="544" t="n">
        <v>30365</v>
      </c>
      <c r="B827" s="637" t="n"/>
      <c r="C827" s="637" t="n"/>
      <c r="D827" s="637" t="n"/>
      <c r="E827" s="637" t="n"/>
    </row>
    <row r="828">
      <c r="A828" s="544" t="n">
        <v>30368</v>
      </c>
      <c r="B828" s="637" t="n"/>
      <c r="C828" s="637" t="n"/>
      <c r="D828" s="637" t="n"/>
      <c r="E828" s="637" t="n"/>
    </row>
    <row r="829">
      <c r="A829" s="544" t="n">
        <v>30369</v>
      </c>
      <c r="B829" s="637" t="n"/>
      <c r="C829" s="637" t="n"/>
      <c r="D829" s="637" t="n"/>
      <c r="E829" s="637" t="n"/>
    </row>
    <row r="830">
      <c r="A830" s="544" t="n">
        <v>30370</v>
      </c>
      <c r="B830" s="637" t="n"/>
      <c r="C830" s="637" t="n"/>
      <c r="D830" s="637" t="n"/>
      <c r="E830" s="637" t="n"/>
    </row>
    <row r="831">
      <c r="A831" s="544" t="n">
        <v>30371</v>
      </c>
      <c r="B831" s="637" t="n"/>
      <c r="C831" s="637" t="n"/>
      <c r="D831" s="637" t="n"/>
      <c r="E831" s="637" t="n"/>
    </row>
    <row r="832">
      <c r="A832" s="544" t="n">
        <v>30372</v>
      </c>
      <c r="B832" s="637" t="n"/>
      <c r="C832" s="637" t="n"/>
      <c r="D832" s="637" t="n"/>
      <c r="E832" s="637" t="n"/>
    </row>
    <row r="833">
      <c r="A833" s="544" t="n">
        <v>30375</v>
      </c>
      <c r="B833" s="637" t="n"/>
      <c r="C833" s="637" t="n"/>
      <c r="D833" s="637" t="n"/>
      <c r="E833" s="637" t="n"/>
    </row>
    <row r="834">
      <c r="A834" s="544" t="n">
        <v>30376</v>
      </c>
      <c r="B834" s="637" t="n"/>
      <c r="C834" s="637" t="n"/>
      <c r="D834" s="637" t="n"/>
      <c r="E834" s="637" t="n"/>
    </row>
    <row r="835">
      <c r="A835" s="544" t="n">
        <v>30377</v>
      </c>
      <c r="B835" s="637" t="n"/>
      <c r="C835" s="637" t="n"/>
      <c r="D835" s="637" t="n"/>
      <c r="E835" s="637" t="n"/>
    </row>
    <row r="836">
      <c r="A836" s="544" t="n">
        <v>30378</v>
      </c>
      <c r="B836" s="637" t="n"/>
      <c r="C836" s="637" t="n"/>
      <c r="D836" s="637" t="n"/>
      <c r="E836" s="637" t="n"/>
    </row>
    <row r="837">
      <c r="A837" s="544" t="n">
        <v>30379</v>
      </c>
      <c r="B837" s="637" t="n"/>
      <c r="C837" s="637" t="n"/>
      <c r="D837" s="637" t="n"/>
      <c r="E837" s="637" t="n"/>
    </row>
    <row r="838">
      <c r="A838" s="544" t="n">
        <v>30382</v>
      </c>
      <c r="B838" s="637" t="n"/>
      <c r="C838" s="637" t="n"/>
      <c r="D838" s="637" t="n"/>
      <c r="E838" s="637" t="n"/>
    </row>
    <row r="839">
      <c r="A839" s="544" t="n">
        <v>30383</v>
      </c>
      <c r="B839" s="637" t="n"/>
      <c r="C839" s="637" t="n"/>
      <c r="D839" s="637" t="n"/>
      <c r="E839" s="637" t="n"/>
    </row>
    <row r="840">
      <c r="A840" s="544" t="n">
        <v>30384</v>
      </c>
      <c r="B840" s="637" t="n"/>
      <c r="C840" s="637" t="n"/>
      <c r="D840" s="637" t="n"/>
      <c r="E840" s="637" t="n"/>
    </row>
    <row r="841">
      <c r="A841" s="544" t="n">
        <v>30385</v>
      </c>
      <c r="B841" s="637" t="n"/>
      <c r="C841" s="637" t="n"/>
      <c r="D841" s="637" t="n"/>
      <c r="E841" s="637" t="n"/>
    </row>
    <row r="842">
      <c r="A842" s="544" t="n">
        <v>30386</v>
      </c>
      <c r="B842" s="637" t="n"/>
      <c r="C842" s="637" t="n"/>
      <c r="D842" s="637" t="n"/>
      <c r="E842" s="637" t="n"/>
    </row>
    <row r="843">
      <c r="A843" s="544" t="n">
        <v>30389</v>
      </c>
      <c r="B843" s="637" t="n"/>
      <c r="C843" s="637" t="n"/>
      <c r="D843" s="637" t="n"/>
      <c r="E843" s="637" t="n"/>
    </row>
    <row r="844">
      <c r="A844" s="544" t="n">
        <v>30390</v>
      </c>
      <c r="B844" s="637" t="n"/>
      <c r="C844" s="637" t="n"/>
      <c r="D844" s="637" t="n"/>
      <c r="E844" s="637" t="n"/>
    </row>
    <row r="845">
      <c r="A845" s="544" t="n">
        <v>30391</v>
      </c>
      <c r="B845" s="637" t="n"/>
      <c r="C845" s="637" t="n"/>
      <c r="D845" s="637" t="n"/>
      <c r="E845" s="637" t="n"/>
    </row>
    <row r="846">
      <c r="A846" s="544" t="n">
        <v>30392</v>
      </c>
      <c r="B846" s="637" t="n"/>
      <c r="C846" s="637" t="n"/>
      <c r="D846" s="637" t="n"/>
      <c r="E846" s="637" t="n"/>
    </row>
    <row r="847">
      <c r="A847" s="544" t="n">
        <v>30393</v>
      </c>
      <c r="B847" s="637" t="n"/>
      <c r="C847" s="637" t="n"/>
      <c r="D847" s="637" t="n"/>
      <c r="E847" s="637" t="n"/>
    </row>
    <row r="848">
      <c r="A848" s="544" t="n">
        <v>30396</v>
      </c>
      <c r="B848" s="637" t="n"/>
      <c r="C848" s="637" t="n"/>
      <c r="D848" s="637" t="n"/>
      <c r="E848" s="637" t="n"/>
    </row>
    <row r="849">
      <c r="A849" s="544" t="n">
        <v>30397</v>
      </c>
      <c r="B849" s="637" t="n"/>
      <c r="C849" s="637" t="n"/>
      <c r="D849" s="637" t="n"/>
      <c r="E849" s="637" t="n"/>
    </row>
    <row r="850">
      <c r="A850" s="544" t="n">
        <v>30398</v>
      </c>
      <c r="B850" s="637" t="n"/>
      <c r="C850" s="637" t="n"/>
      <c r="D850" s="637" t="n"/>
      <c r="E850" s="637" t="n"/>
    </row>
    <row r="851">
      <c r="A851" s="544" t="n">
        <v>30399</v>
      </c>
      <c r="B851" s="637" t="n"/>
      <c r="C851" s="637" t="n"/>
      <c r="D851" s="637" t="n"/>
      <c r="E851" s="637" t="n"/>
    </row>
    <row r="852">
      <c r="A852" s="544" t="n">
        <v>30400</v>
      </c>
      <c r="B852" s="637" t="n"/>
      <c r="C852" s="637" t="n"/>
      <c r="D852" s="637" t="n"/>
      <c r="E852" s="637" t="n"/>
    </row>
    <row r="853">
      <c r="A853" s="544" t="n">
        <v>30403</v>
      </c>
      <c r="B853" s="637" t="n"/>
      <c r="C853" s="637" t="n"/>
      <c r="D853" s="637" t="n"/>
      <c r="E853" s="637" t="n"/>
    </row>
    <row r="854">
      <c r="A854" s="544" t="n">
        <v>30404</v>
      </c>
      <c r="B854" s="637" t="n"/>
      <c r="C854" s="637" t="n"/>
      <c r="D854" s="637" t="n"/>
      <c r="E854" s="637" t="n"/>
    </row>
    <row r="855">
      <c r="A855" s="544" t="n">
        <v>30405</v>
      </c>
      <c r="B855" s="637" t="n"/>
      <c r="C855" s="637" t="n"/>
      <c r="D855" s="637" t="n"/>
      <c r="E855" s="637" t="n"/>
    </row>
    <row r="856">
      <c r="A856" s="544" t="n">
        <v>30406</v>
      </c>
      <c r="B856" s="637" t="n"/>
      <c r="C856" s="637" t="n"/>
      <c r="D856" s="637" t="n"/>
      <c r="E856" s="637" t="n"/>
    </row>
    <row r="857">
      <c r="A857" s="544" t="n">
        <v>30407</v>
      </c>
      <c r="B857" s="637" t="n"/>
      <c r="C857" s="637" t="n"/>
      <c r="D857" s="637" t="n"/>
      <c r="E857" s="637" t="n"/>
    </row>
    <row r="858">
      <c r="A858" s="544" t="n">
        <v>30410</v>
      </c>
      <c r="B858" s="637" t="n"/>
      <c r="C858" s="637" t="n"/>
      <c r="D858" s="637" t="n"/>
      <c r="E858" s="637" t="n"/>
    </row>
    <row r="859">
      <c r="A859" s="544" t="n">
        <v>30411</v>
      </c>
      <c r="B859" s="637" t="n"/>
      <c r="C859" s="637" t="n"/>
      <c r="D859" s="637" t="n"/>
      <c r="E859" s="637" t="n"/>
    </row>
    <row r="860">
      <c r="A860" s="544" t="n">
        <v>30412</v>
      </c>
      <c r="B860" s="637" t="n"/>
      <c r="C860" s="637" t="n"/>
      <c r="D860" s="637" t="n"/>
      <c r="E860" s="637" t="n"/>
    </row>
    <row r="861">
      <c r="A861" s="544" t="n">
        <v>30413</v>
      </c>
      <c r="B861" s="637" t="n"/>
      <c r="C861" s="637" t="n"/>
      <c r="D861" s="637" t="n"/>
      <c r="E861" s="637" t="n"/>
    </row>
    <row r="862">
      <c r="A862" s="544" t="n">
        <v>30414</v>
      </c>
      <c r="B862" s="637" t="n"/>
      <c r="C862" s="637" t="n"/>
      <c r="D862" s="637" t="n"/>
      <c r="E862" s="637" t="n"/>
    </row>
    <row r="863">
      <c r="A863" s="544" t="n">
        <v>30417</v>
      </c>
      <c r="B863" s="637" t="n"/>
      <c r="C863" s="637" t="n"/>
      <c r="D863" s="637" t="n"/>
      <c r="E863" s="637" t="n"/>
    </row>
    <row r="864">
      <c r="A864" s="544" t="n">
        <v>30418</v>
      </c>
      <c r="B864" s="637" t="n"/>
      <c r="C864" s="637" t="n"/>
      <c r="D864" s="637" t="n"/>
      <c r="E864" s="637" t="n"/>
    </row>
    <row r="865">
      <c r="A865" s="544" t="n">
        <v>30419</v>
      </c>
      <c r="B865" s="637" t="n"/>
      <c r="C865" s="637" t="n"/>
      <c r="D865" s="637" t="n"/>
      <c r="E865" s="637" t="n"/>
    </row>
    <row r="866">
      <c r="A866" s="544" t="n">
        <v>30420</v>
      </c>
      <c r="B866" s="637" t="n"/>
      <c r="C866" s="637" t="n"/>
      <c r="D866" s="637" t="n"/>
      <c r="E866" s="637" t="n"/>
    </row>
    <row r="867">
      <c r="A867" s="544" t="n">
        <v>30421</v>
      </c>
      <c r="B867" s="637" t="n"/>
      <c r="C867" s="637" t="n"/>
      <c r="D867" s="637" t="n"/>
      <c r="E867" s="637" t="n"/>
    </row>
    <row r="868">
      <c r="A868" s="544" t="n">
        <v>30424</v>
      </c>
      <c r="B868" s="637" t="n"/>
      <c r="C868" s="637" t="n"/>
      <c r="D868" s="637" t="n"/>
      <c r="E868" s="637" t="n"/>
    </row>
    <row r="869">
      <c r="A869" s="544" t="n">
        <v>30425</v>
      </c>
      <c r="B869" s="637" t="n"/>
      <c r="C869" s="637" t="n"/>
      <c r="D869" s="637" t="n"/>
      <c r="E869" s="637" t="n"/>
    </row>
    <row r="870">
      <c r="A870" s="544" t="n">
        <v>30426</v>
      </c>
      <c r="B870" s="637" t="n"/>
      <c r="C870" s="637" t="n"/>
      <c r="D870" s="637" t="n"/>
      <c r="E870" s="637" t="n"/>
    </row>
    <row r="871">
      <c r="A871" s="544" t="n">
        <v>30427</v>
      </c>
      <c r="B871" s="637" t="n"/>
      <c r="C871" s="637" t="n"/>
      <c r="D871" s="637" t="n"/>
      <c r="E871" s="637" t="n"/>
    </row>
    <row r="872">
      <c r="A872" s="544" t="n">
        <v>30428</v>
      </c>
      <c r="B872" s="637" t="n"/>
      <c r="C872" s="637" t="n"/>
      <c r="D872" s="637" t="n"/>
      <c r="E872" s="637" t="n"/>
    </row>
    <row r="873">
      <c r="A873" s="544" t="n">
        <v>30431</v>
      </c>
      <c r="B873" s="637" t="n"/>
      <c r="C873" s="637" t="n"/>
      <c r="D873" s="637" t="n"/>
      <c r="E873" s="637" t="n"/>
    </row>
    <row r="874">
      <c r="A874" s="544" t="n">
        <v>30432</v>
      </c>
      <c r="B874" s="637" t="n"/>
      <c r="C874" s="637" t="n"/>
      <c r="D874" s="637" t="n"/>
      <c r="E874" s="637" t="n"/>
    </row>
    <row r="875">
      <c r="A875" s="544" t="n">
        <v>30433</v>
      </c>
      <c r="B875" s="637" t="n"/>
      <c r="C875" s="637" t="n"/>
      <c r="D875" s="637" t="n"/>
      <c r="E875" s="637" t="n"/>
    </row>
    <row r="876">
      <c r="A876" s="544" t="n">
        <v>30434</v>
      </c>
      <c r="B876" s="637" t="n"/>
      <c r="C876" s="637" t="n"/>
      <c r="D876" s="637" t="n"/>
      <c r="E876" s="637" t="n"/>
    </row>
    <row r="877">
      <c r="A877" s="544" t="n">
        <v>30435</v>
      </c>
      <c r="B877" s="637" t="n"/>
      <c r="C877" s="637" t="n"/>
      <c r="D877" s="637" t="n"/>
      <c r="E877" s="637" t="n"/>
    </row>
    <row r="878">
      <c r="A878" s="544" t="n">
        <v>30438</v>
      </c>
      <c r="B878" s="637" t="n"/>
      <c r="C878" s="637" t="n"/>
      <c r="D878" s="637" t="n"/>
      <c r="E878" s="637" t="n"/>
    </row>
    <row r="879">
      <c r="A879" s="544" t="n">
        <v>30439</v>
      </c>
      <c r="B879" s="637" t="n"/>
      <c r="C879" s="637" t="n"/>
      <c r="D879" s="637" t="n"/>
      <c r="E879" s="637" t="n"/>
    </row>
    <row r="880">
      <c r="A880" s="544" t="n">
        <v>30440</v>
      </c>
      <c r="B880" s="637" t="n"/>
      <c r="C880" s="637" t="n"/>
      <c r="D880" s="637" t="n"/>
      <c r="E880" s="637" t="n"/>
    </row>
    <row r="881">
      <c r="A881" s="544" t="n">
        <v>30441</v>
      </c>
      <c r="B881" s="637" t="n"/>
      <c r="C881" s="637" t="n"/>
      <c r="D881" s="637" t="n"/>
      <c r="E881" s="637" t="n"/>
    </row>
    <row r="882">
      <c r="A882" s="544" t="n">
        <v>30442</v>
      </c>
      <c r="B882" s="637" t="n"/>
      <c r="C882" s="637" t="n"/>
      <c r="D882" s="637" t="n"/>
      <c r="E882" s="637" t="n"/>
    </row>
    <row r="883">
      <c r="A883" s="544" t="n">
        <v>30445</v>
      </c>
      <c r="B883" s="637" t="n"/>
      <c r="C883" s="637" t="n"/>
      <c r="D883" s="637" t="n"/>
      <c r="E883" s="637" t="n"/>
    </row>
    <row r="884">
      <c r="A884" s="544" t="n">
        <v>30446</v>
      </c>
      <c r="B884" s="637" t="n"/>
      <c r="C884" s="637" t="n"/>
      <c r="D884" s="637" t="n"/>
      <c r="E884" s="637" t="n"/>
    </row>
    <row r="885">
      <c r="A885" s="544" t="n">
        <v>30447</v>
      </c>
      <c r="B885" s="637" t="n"/>
      <c r="C885" s="637" t="n"/>
      <c r="D885" s="637" t="n"/>
      <c r="E885" s="637" t="n"/>
    </row>
    <row r="886">
      <c r="A886" s="544" t="n">
        <v>30448</v>
      </c>
      <c r="B886" s="637" t="n"/>
      <c r="C886" s="637" t="n"/>
      <c r="D886" s="637" t="n"/>
      <c r="E886" s="637" t="n"/>
    </row>
    <row r="887">
      <c r="A887" s="544" t="n">
        <v>30449</v>
      </c>
      <c r="B887" s="637" t="n"/>
      <c r="C887" s="637" t="n"/>
      <c r="D887" s="637" t="n"/>
      <c r="E887" s="637" t="n"/>
    </row>
    <row r="888">
      <c r="A888" s="544" t="n">
        <v>30452</v>
      </c>
      <c r="B888" s="637" t="n"/>
      <c r="C888" s="637" t="n"/>
      <c r="D888" s="637" t="n"/>
      <c r="E888" s="637" t="n"/>
    </row>
    <row r="889">
      <c r="A889" s="544" t="n">
        <v>30453</v>
      </c>
      <c r="B889" s="637" t="n"/>
      <c r="C889" s="637" t="n"/>
      <c r="D889" s="637" t="n"/>
      <c r="E889" s="637" t="n"/>
    </row>
    <row r="890">
      <c r="A890" s="544" t="n">
        <v>30454</v>
      </c>
      <c r="B890" s="637" t="n"/>
      <c r="C890" s="637" t="n"/>
      <c r="D890" s="637" t="n"/>
      <c r="E890" s="637" t="n"/>
    </row>
    <row r="891">
      <c r="A891" s="544" t="n">
        <v>30455</v>
      </c>
      <c r="B891" s="637" t="n"/>
      <c r="C891" s="637" t="n"/>
      <c r="D891" s="637" t="n"/>
      <c r="E891" s="637" t="n"/>
    </row>
    <row r="892">
      <c r="A892" s="544" t="n">
        <v>30456</v>
      </c>
      <c r="B892" s="637" t="n"/>
      <c r="C892" s="637" t="n"/>
      <c r="D892" s="637" t="n"/>
      <c r="E892" s="637" t="n"/>
    </row>
    <row r="893">
      <c r="A893" s="544" t="n">
        <v>30459</v>
      </c>
      <c r="B893" s="637" t="n"/>
      <c r="C893" s="637" t="n"/>
      <c r="D893" s="637" t="n"/>
      <c r="E893" s="637" t="n"/>
    </row>
    <row r="894">
      <c r="A894" s="544" t="n">
        <v>30460</v>
      </c>
      <c r="B894" s="637" t="n"/>
      <c r="C894" s="637" t="n"/>
      <c r="D894" s="637" t="n"/>
      <c r="E894" s="637" t="n"/>
    </row>
    <row r="895">
      <c r="A895" s="544" t="n">
        <v>30461</v>
      </c>
      <c r="B895" s="637" t="n"/>
      <c r="C895" s="637" t="n"/>
      <c r="D895" s="637" t="n"/>
      <c r="E895" s="637" t="n"/>
    </row>
    <row r="896">
      <c r="A896" s="544" t="n">
        <v>30462</v>
      </c>
      <c r="B896" s="637" t="n"/>
      <c r="C896" s="637" t="n"/>
      <c r="D896" s="637" t="n"/>
      <c r="E896" s="637" t="n"/>
    </row>
    <row r="897">
      <c r="A897" s="544" t="n">
        <v>30463</v>
      </c>
      <c r="B897" s="637" t="n"/>
      <c r="C897" s="637" t="n"/>
      <c r="D897" s="637" t="n"/>
      <c r="E897" s="637" t="n"/>
    </row>
    <row r="898">
      <c r="A898" s="544" t="n">
        <v>30466</v>
      </c>
      <c r="B898" s="637" t="n"/>
      <c r="C898" s="637" t="n"/>
      <c r="D898" s="637" t="n"/>
      <c r="E898" s="637" t="n"/>
    </row>
    <row r="899">
      <c r="A899" s="544" t="n">
        <v>30467</v>
      </c>
      <c r="B899" s="637" t="n"/>
      <c r="C899" s="637" t="n"/>
      <c r="D899" s="637" t="n"/>
      <c r="E899" s="637" t="n"/>
    </row>
    <row r="900">
      <c r="A900" s="544" t="n">
        <v>30468</v>
      </c>
      <c r="B900" s="637" t="n"/>
      <c r="C900" s="637" t="n"/>
      <c r="D900" s="637" t="n"/>
      <c r="E900" s="637" t="n"/>
    </row>
    <row r="901">
      <c r="A901" s="544" t="n">
        <v>30469</v>
      </c>
      <c r="B901" s="637" t="n"/>
      <c r="C901" s="637" t="n"/>
      <c r="D901" s="637" t="n"/>
      <c r="E901" s="637" t="n"/>
    </row>
    <row r="902">
      <c r="A902" s="544" t="n">
        <v>30470</v>
      </c>
      <c r="B902" s="637" t="n"/>
      <c r="C902" s="637" t="n"/>
      <c r="D902" s="637" t="n"/>
      <c r="E902" s="637" t="n"/>
    </row>
    <row r="903">
      <c r="A903" s="544" t="n">
        <v>30473</v>
      </c>
      <c r="B903" s="637" t="n"/>
      <c r="C903" s="637" t="n"/>
      <c r="D903" s="637" t="n"/>
      <c r="E903" s="637" t="n"/>
    </row>
    <row r="904">
      <c r="A904" s="544" t="n">
        <v>30474</v>
      </c>
      <c r="B904" s="637" t="n"/>
      <c r="C904" s="637" t="n"/>
      <c r="D904" s="637" t="n"/>
      <c r="E904" s="637" t="n"/>
    </row>
    <row r="905">
      <c r="A905" s="544" t="n">
        <v>30475</v>
      </c>
      <c r="B905" s="637" t="n"/>
      <c r="C905" s="637" t="n"/>
      <c r="D905" s="637" t="n"/>
      <c r="E905" s="637" t="n"/>
    </row>
    <row r="906">
      <c r="A906" s="544" t="n">
        <v>30476</v>
      </c>
      <c r="B906" s="637" t="n"/>
      <c r="C906" s="637" t="n"/>
      <c r="D906" s="637" t="n"/>
      <c r="E906" s="637" t="n"/>
    </row>
    <row r="907">
      <c r="A907" s="544" t="n">
        <v>30477</v>
      </c>
      <c r="B907" s="637" t="n"/>
      <c r="C907" s="637" t="n"/>
      <c r="D907" s="637" t="n"/>
      <c r="E907" s="637" t="n"/>
    </row>
    <row r="908">
      <c r="A908" s="544" t="n">
        <v>30480</v>
      </c>
      <c r="B908" s="637" t="n"/>
      <c r="C908" s="637" t="n"/>
      <c r="D908" s="637" t="n"/>
      <c r="E908" s="637" t="n"/>
    </row>
    <row r="909">
      <c r="A909" s="544" t="n">
        <v>30481</v>
      </c>
      <c r="B909" s="637" t="n"/>
      <c r="C909" s="637" t="n"/>
      <c r="D909" s="637" t="n"/>
      <c r="E909" s="637" t="n"/>
    </row>
    <row r="910">
      <c r="A910" s="544" t="n">
        <v>30482</v>
      </c>
      <c r="B910" s="637" t="n"/>
      <c r="C910" s="637" t="n"/>
      <c r="D910" s="637" t="n"/>
      <c r="E910" s="637" t="n"/>
    </row>
    <row r="911">
      <c r="A911" s="544" t="n">
        <v>30483</v>
      </c>
      <c r="B911" s="637" t="n"/>
      <c r="C911" s="637" t="n"/>
      <c r="D911" s="637" t="n"/>
      <c r="E911" s="637" t="n"/>
    </row>
    <row r="912">
      <c r="A912" s="544" t="n">
        <v>30484</v>
      </c>
      <c r="B912" s="637" t="n"/>
      <c r="C912" s="637" t="n"/>
      <c r="D912" s="637" t="n"/>
      <c r="E912" s="637" t="n"/>
    </row>
    <row r="913">
      <c r="A913" s="544" t="n">
        <v>30487</v>
      </c>
      <c r="B913" s="637" t="n"/>
      <c r="C913" s="637" t="n"/>
      <c r="D913" s="637" t="n"/>
      <c r="E913" s="637" t="n"/>
    </row>
    <row r="914">
      <c r="A914" s="544" t="n">
        <v>30488</v>
      </c>
      <c r="B914" s="637" t="n"/>
      <c r="C914" s="637" t="n"/>
      <c r="D914" s="637" t="n"/>
      <c r="E914" s="637" t="n"/>
    </row>
    <row r="915">
      <c r="A915" s="544" t="n">
        <v>30489</v>
      </c>
      <c r="B915" s="637" t="n"/>
      <c r="C915" s="637" t="n"/>
      <c r="D915" s="637" t="n"/>
      <c r="E915" s="637" t="n"/>
    </row>
    <row r="916">
      <c r="A916" s="544" t="n">
        <v>30490</v>
      </c>
      <c r="B916" s="637" t="n"/>
      <c r="C916" s="637" t="n"/>
      <c r="D916" s="637" t="n"/>
      <c r="E916" s="637" t="n"/>
    </row>
    <row r="917">
      <c r="A917" s="544" t="n">
        <v>30491</v>
      </c>
      <c r="B917" s="637" t="n"/>
      <c r="C917" s="637" t="n"/>
      <c r="D917" s="637" t="n"/>
      <c r="E917" s="637" t="n"/>
    </row>
    <row r="918">
      <c r="A918" s="544" t="n">
        <v>30494</v>
      </c>
      <c r="B918" s="637" t="n"/>
      <c r="C918" s="637" t="n"/>
      <c r="D918" s="637" t="n"/>
      <c r="E918" s="637" t="n"/>
    </row>
    <row r="919">
      <c r="A919" s="544" t="n">
        <v>30495</v>
      </c>
      <c r="B919" s="637" t="n"/>
      <c r="C919" s="637" t="n"/>
      <c r="D919" s="637" t="n"/>
      <c r="E919" s="637" t="n"/>
    </row>
    <row r="920">
      <c r="A920" s="544" t="n">
        <v>30496</v>
      </c>
      <c r="B920" s="637" t="n"/>
      <c r="C920" s="637" t="n"/>
      <c r="D920" s="637" t="n"/>
      <c r="E920" s="637" t="n"/>
    </row>
    <row r="921">
      <c r="A921" s="544" t="n">
        <v>30497</v>
      </c>
      <c r="B921" s="637" t="n"/>
      <c r="C921" s="637" t="n"/>
      <c r="D921" s="637" t="n"/>
      <c r="E921" s="637" t="n"/>
    </row>
    <row r="922">
      <c r="A922" s="544" t="n">
        <v>30498</v>
      </c>
      <c r="B922" s="637" t="n"/>
      <c r="C922" s="637" t="n"/>
      <c r="D922" s="637" t="n"/>
      <c r="E922" s="637" t="n"/>
    </row>
    <row r="923">
      <c r="A923" s="544" t="n">
        <v>30501</v>
      </c>
      <c r="B923" s="637" t="n"/>
      <c r="C923" s="637" t="n"/>
      <c r="D923" s="637" t="n"/>
      <c r="E923" s="637" t="n"/>
    </row>
    <row r="924">
      <c r="A924" s="544" t="n">
        <v>30502</v>
      </c>
      <c r="B924" s="637" t="n"/>
      <c r="C924" s="637" t="n"/>
      <c r="D924" s="637" t="n"/>
      <c r="E924" s="637" t="n"/>
    </row>
    <row r="925">
      <c r="A925" s="544" t="n">
        <v>30503</v>
      </c>
      <c r="B925" s="637" t="n"/>
      <c r="C925" s="637" t="n"/>
      <c r="D925" s="637" t="n"/>
      <c r="E925" s="637" t="n"/>
    </row>
    <row r="926">
      <c r="A926" s="544" t="n">
        <v>30504</v>
      </c>
      <c r="B926" s="637" t="n"/>
      <c r="C926" s="637" t="n"/>
      <c r="D926" s="637" t="n"/>
      <c r="E926" s="637" t="n"/>
    </row>
    <row r="927">
      <c r="A927" s="544" t="n">
        <v>30505</v>
      </c>
      <c r="B927" s="637" t="n"/>
      <c r="C927" s="637" t="n"/>
      <c r="D927" s="637" t="n"/>
      <c r="E927" s="637" t="n"/>
    </row>
    <row r="928">
      <c r="A928" s="544" t="n">
        <v>30508</v>
      </c>
      <c r="B928" s="637" t="n"/>
      <c r="C928" s="637" t="n"/>
      <c r="D928" s="637" t="n"/>
      <c r="E928" s="637" t="n"/>
    </row>
    <row r="929">
      <c r="A929" s="544" t="n">
        <v>30509</v>
      </c>
      <c r="B929" s="637" t="n"/>
      <c r="C929" s="637" t="n"/>
      <c r="D929" s="637" t="n"/>
      <c r="E929" s="637" t="n"/>
    </row>
    <row r="930">
      <c r="A930" s="544" t="n">
        <v>30510</v>
      </c>
      <c r="B930" s="637" t="n"/>
      <c r="C930" s="637" t="n"/>
      <c r="D930" s="637" t="n"/>
      <c r="E930" s="637" t="n"/>
    </row>
    <row r="931">
      <c r="A931" s="544" t="n">
        <v>30511</v>
      </c>
      <c r="B931" s="637" t="n"/>
      <c r="C931" s="637" t="n"/>
      <c r="D931" s="637" t="n"/>
      <c r="E931" s="637" t="n"/>
    </row>
    <row r="932">
      <c r="A932" s="544" t="n">
        <v>30512</v>
      </c>
      <c r="B932" s="637" t="n"/>
      <c r="C932" s="637" t="n"/>
      <c r="D932" s="637" t="n"/>
      <c r="E932" s="637" t="n"/>
    </row>
    <row r="933">
      <c r="A933" s="544" t="n">
        <v>30515</v>
      </c>
      <c r="B933" s="637" t="n"/>
      <c r="C933" s="637" t="n"/>
      <c r="D933" s="637" t="n"/>
      <c r="E933" s="637" t="n"/>
    </row>
    <row r="934">
      <c r="A934" s="544" t="n">
        <v>30516</v>
      </c>
      <c r="B934" s="637" t="n"/>
      <c r="C934" s="637" t="n"/>
      <c r="D934" s="637" t="n"/>
      <c r="E934" s="637" t="n"/>
    </row>
    <row r="935">
      <c r="A935" s="544" t="n">
        <v>30517</v>
      </c>
      <c r="B935" s="637" t="n"/>
      <c r="C935" s="637" t="n"/>
      <c r="D935" s="637" t="n"/>
      <c r="E935" s="637" t="n"/>
    </row>
    <row r="936">
      <c r="A936" s="544" t="n">
        <v>30518</v>
      </c>
      <c r="B936" s="637" t="n"/>
      <c r="C936" s="637" t="n"/>
      <c r="D936" s="637" t="n"/>
      <c r="E936" s="637" t="n"/>
    </row>
    <row r="937">
      <c r="A937" s="544" t="n">
        <v>30519</v>
      </c>
      <c r="B937" s="637" t="n"/>
      <c r="C937" s="637" t="n"/>
      <c r="D937" s="637" t="n"/>
      <c r="E937" s="637" t="n"/>
    </row>
    <row r="938">
      <c r="A938" s="544" t="n">
        <v>30522</v>
      </c>
      <c r="B938" s="637" t="n"/>
      <c r="C938" s="637" t="n"/>
      <c r="D938" s="637" t="n"/>
      <c r="E938" s="637" t="n"/>
    </row>
    <row r="939">
      <c r="A939" s="544" t="n">
        <v>30523</v>
      </c>
      <c r="B939" s="637" t="n"/>
      <c r="C939" s="637" t="n"/>
      <c r="D939" s="637" t="n"/>
      <c r="E939" s="637" t="n"/>
    </row>
    <row r="940">
      <c r="A940" s="544" t="n">
        <v>30524</v>
      </c>
      <c r="B940" s="637" t="n"/>
      <c r="C940" s="637" t="n"/>
      <c r="D940" s="637" t="n"/>
      <c r="E940" s="637" t="n"/>
    </row>
    <row r="941">
      <c r="A941" s="544" t="n">
        <v>30525</v>
      </c>
      <c r="B941" s="637" t="n"/>
      <c r="C941" s="637" t="n"/>
      <c r="D941" s="637" t="n"/>
      <c r="E941" s="637" t="n"/>
    </row>
    <row r="942">
      <c r="A942" s="544" t="n">
        <v>30526</v>
      </c>
      <c r="B942" s="637" t="n"/>
      <c r="C942" s="637" t="n"/>
      <c r="D942" s="637" t="n"/>
      <c r="E942" s="637" t="n"/>
    </row>
    <row r="943">
      <c r="A943" s="544" t="n">
        <v>30529</v>
      </c>
      <c r="B943" s="637" t="n"/>
      <c r="C943" s="637" t="n"/>
      <c r="D943" s="637" t="n"/>
      <c r="E943" s="637" t="n"/>
    </row>
    <row r="944">
      <c r="A944" s="544" t="n">
        <v>30530</v>
      </c>
      <c r="B944" s="637" t="n"/>
      <c r="C944" s="637" t="n"/>
      <c r="D944" s="637" t="n"/>
      <c r="E944" s="637" t="n"/>
    </row>
    <row r="945">
      <c r="A945" s="544" t="n">
        <v>30531</v>
      </c>
      <c r="B945" s="637" t="n"/>
      <c r="C945" s="637" t="n"/>
      <c r="D945" s="637" t="n"/>
      <c r="E945" s="637" t="n"/>
    </row>
    <row r="946">
      <c r="A946" s="544" t="n">
        <v>30532</v>
      </c>
      <c r="B946" s="637" t="n"/>
      <c r="C946" s="637" t="n"/>
      <c r="D946" s="637" t="n"/>
      <c r="E946" s="637" t="n"/>
    </row>
    <row r="947">
      <c r="A947" s="544" t="n">
        <v>30533</v>
      </c>
      <c r="B947" s="637" t="n"/>
      <c r="C947" s="637" t="n"/>
      <c r="D947" s="637" t="n"/>
      <c r="E947" s="637" t="n"/>
    </row>
    <row r="948">
      <c r="A948" s="544" t="n">
        <v>30536</v>
      </c>
      <c r="B948" s="637" t="n"/>
      <c r="C948" s="637" t="n"/>
      <c r="D948" s="637" t="n"/>
      <c r="E948" s="637" t="n"/>
    </row>
    <row r="949">
      <c r="A949" s="544" t="n">
        <v>30537</v>
      </c>
      <c r="B949" s="637" t="n"/>
      <c r="C949" s="637" t="n"/>
      <c r="D949" s="637" t="n"/>
      <c r="E949" s="637" t="n"/>
    </row>
    <row r="950">
      <c r="A950" s="544" t="n">
        <v>30538</v>
      </c>
      <c r="B950" s="637" t="n"/>
      <c r="C950" s="637" t="n"/>
      <c r="D950" s="637" t="n"/>
      <c r="E950" s="637" t="n"/>
    </row>
    <row r="951">
      <c r="A951" s="544" t="n">
        <v>30539</v>
      </c>
      <c r="B951" s="637" t="n"/>
      <c r="C951" s="637" t="n"/>
      <c r="D951" s="637" t="n"/>
      <c r="E951" s="637" t="n"/>
    </row>
    <row r="952">
      <c r="A952" s="544" t="n">
        <v>30540</v>
      </c>
      <c r="B952" s="637" t="n"/>
      <c r="C952" s="637" t="n"/>
      <c r="D952" s="637" t="n"/>
      <c r="E952" s="637" t="n"/>
    </row>
    <row r="953">
      <c r="A953" s="544" t="n">
        <v>30543</v>
      </c>
      <c r="B953" s="637" t="n"/>
      <c r="C953" s="637" t="n"/>
      <c r="D953" s="637" t="n"/>
      <c r="E953" s="637" t="n"/>
    </row>
    <row r="954">
      <c r="A954" s="544" t="n">
        <v>30544</v>
      </c>
      <c r="B954" s="637" t="n"/>
      <c r="C954" s="637" t="n"/>
      <c r="D954" s="637" t="n"/>
      <c r="E954" s="637" t="n"/>
    </row>
    <row r="955">
      <c r="A955" s="544" t="n">
        <v>30545</v>
      </c>
      <c r="B955" s="637" t="n"/>
      <c r="C955" s="637" t="n"/>
      <c r="D955" s="637" t="n"/>
      <c r="E955" s="637" t="n"/>
    </row>
    <row r="956">
      <c r="A956" s="544" t="n">
        <v>30546</v>
      </c>
      <c r="B956" s="637" t="n"/>
      <c r="C956" s="637" t="n"/>
      <c r="D956" s="637" t="n"/>
      <c r="E956" s="637" t="n"/>
    </row>
    <row r="957">
      <c r="A957" s="544" t="n">
        <v>30547</v>
      </c>
      <c r="B957" s="637" t="n"/>
      <c r="C957" s="637" t="n"/>
      <c r="D957" s="637" t="n"/>
      <c r="E957" s="637" t="n"/>
    </row>
    <row r="958">
      <c r="A958" s="544" t="n">
        <v>30550</v>
      </c>
      <c r="B958" s="637" t="n"/>
      <c r="C958" s="637" t="n"/>
      <c r="D958" s="637" t="n"/>
      <c r="E958" s="637" t="n"/>
    </row>
    <row r="959">
      <c r="A959" s="544" t="n">
        <v>30551</v>
      </c>
      <c r="B959" s="637" t="n"/>
      <c r="C959" s="637" t="n"/>
      <c r="D959" s="637" t="n"/>
      <c r="E959" s="637" t="n"/>
    </row>
    <row r="960">
      <c r="A960" s="544" t="n">
        <v>30552</v>
      </c>
      <c r="B960" s="637" t="n"/>
      <c r="C960" s="637" t="n"/>
      <c r="D960" s="637" t="n"/>
      <c r="E960" s="637" t="n"/>
    </row>
    <row r="961">
      <c r="A961" s="544" t="n">
        <v>30553</v>
      </c>
      <c r="B961" s="637" t="n"/>
      <c r="C961" s="637" t="n"/>
      <c r="D961" s="637" t="n"/>
      <c r="E961" s="637" t="n"/>
    </row>
    <row r="962">
      <c r="A962" s="544" t="n">
        <v>30554</v>
      </c>
      <c r="B962" s="637" t="n"/>
      <c r="C962" s="637" t="n"/>
      <c r="D962" s="637" t="n"/>
      <c r="E962" s="637" t="n"/>
    </row>
    <row r="963">
      <c r="A963" s="544" t="n">
        <v>30557</v>
      </c>
      <c r="B963" s="637" t="n"/>
      <c r="C963" s="637" t="n"/>
      <c r="D963" s="637" t="n"/>
      <c r="E963" s="637" t="n"/>
    </row>
    <row r="964">
      <c r="A964" s="544" t="n">
        <v>30558</v>
      </c>
      <c r="B964" s="637" t="n"/>
      <c r="C964" s="637" t="n"/>
      <c r="D964" s="637" t="n"/>
      <c r="E964" s="637" t="n"/>
    </row>
    <row r="965">
      <c r="A965" s="544" t="n">
        <v>30559</v>
      </c>
      <c r="B965" s="637" t="n"/>
      <c r="C965" s="637" t="n"/>
      <c r="D965" s="637" t="n"/>
      <c r="E965" s="637" t="n"/>
    </row>
    <row r="966">
      <c r="A966" s="544" t="n">
        <v>30560</v>
      </c>
      <c r="B966" s="637" t="n"/>
      <c r="C966" s="637" t="n"/>
      <c r="D966" s="637" t="n"/>
      <c r="E966" s="637" t="n"/>
    </row>
    <row r="967">
      <c r="A967" s="544" t="n">
        <v>30561</v>
      </c>
      <c r="B967" s="637" t="n"/>
      <c r="C967" s="637" t="n"/>
      <c r="D967" s="637" t="n"/>
      <c r="E967" s="637" t="n"/>
    </row>
    <row r="968">
      <c r="A968" s="544" t="n">
        <v>30564</v>
      </c>
      <c r="B968" s="637" t="n"/>
      <c r="C968" s="637" t="n"/>
      <c r="D968" s="637" t="n"/>
      <c r="E968" s="637" t="n"/>
    </row>
    <row r="969">
      <c r="A969" s="544" t="n">
        <v>30565</v>
      </c>
      <c r="B969" s="637" t="n"/>
      <c r="C969" s="637" t="n"/>
      <c r="D969" s="637" t="n"/>
      <c r="E969" s="637" t="n"/>
    </row>
    <row r="970">
      <c r="A970" s="544" t="n">
        <v>30566</v>
      </c>
      <c r="B970" s="637" t="n"/>
      <c r="C970" s="637" t="n"/>
      <c r="D970" s="637" t="n"/>
      <c r="E970" s="637" t="n"/>
    </row>
    <row r="971">
      <c r="A971" s="544" t="n">
        <v>30567</v>
      </c>
      <c r="B971" s="637" t="n"/>
      <c r="C971" s="637" t="n"/>
      <c r="D971" s="637" t="n"/>
      <c r="E971" s="637" t="n"/>
    </row>
    <row r="972">
      <c r="A972" s="544" t="n">
        <v>30568</v>
      </c>
      <c r="B972" s="637" t="n"/>
      <c r="C972" s="637" t="n"/>
      <c r="D972" s="637" t="n"/>
      <c r="E972" s="637" t="n"/>
    </row>
    <row r="973">
      <c r="A973" s="544" t="n">
        <v>30571</v>
      </c>
      <c r="B973" s="637" t="n"/>
      <c r="C973" s="637" t="n"/>
      <c r="D973" s="637" t="n"/>
      <c r="E973" s="637" t="n"/>
    </row>
    <row r="974">
      <c r="A974" s="544" t="n">
        <v>30572</v>
      </c>
      <c r="B974" s="637" t="n"/>
      <c r="C974" s="637" t="n"/>
      <c r="D974" s="637" t="n"/>
      <c r="E974" s="637" t="n"/>
    </row>
    <row r="975">
      <c r="A975" s="544" t="n">
        <v>30573</v>
      </c>
      <c r="B975" s="637" t="n"/>
      <c r="C975" s="637" t="n"/>
      <c r="D975" s="637" t="n"/>
      <c r="E975" s="637" t="n"/>
    </row>
    <row r="976">
      <c r="A976" s="544" t="n">
        <v>30574</v>
      </c>
      <c r="B976" s="637" t="n"/>
      <c r="C976" s="637" t="n"/>
      <c r="D976" s="637" t="n"/>
      <c r="E976" s="637" t="n"/>
    </row>
    <row r="977">
      <c r="A977" s="544" t="n">
        <v>30575</v>
      </c>
      <c r="B977" s="637" t="n"/>
      <c r="C977" s="637" t="n"/>
      <c r="D977" s="637" t="n"/>
      <c r="E977" s="637" t="n"/>
    </row>
    <row r="978">
      <c r="A978" s="544" t="n">
        <v>30578</v>
      </c>
      <c r="B978" s="637" t="n"/>
      <c r="C978" s="637" t="n"/>
      <c r="D978" s="637" t="n"/>
      <c r="E978" s="637" t="n"/>
    </row>
    <row r="979">
      <c r="A979" s="544" t="n">
        <v>30579</v>
      </c>
      <c r="B979" s="637" t="n"/>
      <c r="C979" s="637" t="n"/>
      <c r="D979" s="637" t="n"/>
      <c r="E979" s="637" t="n"/>
    </row>
    <row r="980">
      <c r="A980" s="544" t="n">
        <v>30580</v>
      </c>
      <c r="B980" s="637" t="n"/>
      <c r="C980" s="637" t="n"/>
      <c r="D980" s="637" t="n"/>
      <c r="E980" s="637" t="n"/>
    </row>
    <row r="981">
      <c r="A981" s="544" t="n">
        <v>30581</v>
      </c>
      <c r="B981" s="637" t="n"/>
      <c r="C981" s="637" t="n"/>
      <c r="D981" s="637" t="n"/>
      <c r="E981" s="637" t="n"/>
    </row>
    <row r="982">
      <c r="A982" s="544" t="n">
        <v>30582</v>
      </c>
      <c r="B982" s="637" t="n"/>
      <c r="C982" s="637" t="n"/>
      <c r="D982" s="637" t="n"/>
      <c r="E982" s="637" t="n"/>
    </row>
    <row r="983">
      <c r="A983" s="544" t="n">
        <v>30585</v>
      </c>
      <c r="B983" s="637" t="n"/>
      <c r="C983" s="637" t="n"/>
      <c r="D983" s="637" t="n"/>
      <c r="E983" s="637" t="n"/>
    </row>
    <row r="984">
      <c r="A984" s="544" t="n">
        <v>30586</v>
      </c>
      <c r="B984" s="637" t="n"/>
      <c r="C984" s="637" t="n"/>
      <c r="D984" s="637" t="n"/>
      <c r="E984" s="637" t="n"/>
    </row>
    <row r="985">
      <c r="A985" s="544" t="n">
        <v>30587</v>
      </c>
      <c r="B985" s="637" t="n"/>
      <c r="C985" s="637" t="n"/>
      <c r="D985" s="637" t="n"/>
      <c r="E985" s="637" t="n"/>
    </row>
    <row r="986">
      <c r="A986" s="544" t="n">
        <v>30588</v>
      </c>
      <c r="B986" s="637" t="n"/>
      <c r="C986" s="637" t="n"/>
      <c r="D986" s="637" t="n"/>
      <c r="E986" s="637" t="n"/>
    </row>
    <row r="987">
      <c r="A987" s="544" t="n">
        <v>30589</v>
      </c>
      <c r="B987" s="637" t="n"/>
      <c r="C987" s="637" t="n"/>
      <c r="D987" s="637" t="n"/>
      <c r="E987" s="637" t="n"/>
    </row>
    <row r="988">
      <c r="A988" s="544" t="n">
        <v>30592</v>
      </c>
      <c r="B988" s="637" t="n"/>
      <c r="C988" s="637" t="n"/>
      <c r="D988" s="637" t="n"/>
      <c r="E988" s="637" t="n"/>
    </row>
    <row r="989">
      <c r="A989" s="544" t="n">
        <v>30593</v>
      </c>
      <c r="B989" s="637" t="n"/>
      <c r="C989" s="637" t="n"/>
      <c r="D989" s="637" t="n"/>
      <c r="E989" s="637" t="n"/>
    </row>
    <row r="990">
      <c r="A990" s="544" t="n">
        <v>30594</v>
      </c>
      <c r="B990" s="637" t="n"/>
      <c r="C990" s="637" t="n"/>
      <c r="D990" s="637" t="n"/>
      <c r="E990" s="637" t="n"/>
    </row>
    <row r="991">
      <c r="A991" s="544" t="n">
        <v>30595</v>
      </c>
      <c r="B991" s="637" t="n"/>
      <c r="C991" s="637" t="n"/>
      <c r="D991" s="637" t="n"/>
      <c r="E991" s="637" t="n"/>
    </row>
    <row r="992">
      <c r="A992" s="544" t="n">
        <v>30596</v>
      </c>
      <c r="B992" s="637" t="n"/>
      <c r="C992" s="637" t="n"/>
      <c r="D992" s="637" t="n"/>
      <c r="E992" s="637" t="n"/>
    </row>
    <row r="993">
      <c r="A993" s="544" t="n">
        <v>30599</v>
      </c>
      <c r="B993" s="637" t="n"/>
      <c r="C993" s="637" t="n"/>
      <c r="D993" s="637" t="n"/>
      <c r="E993" s="637" t="n"/>
    </row>
    <row r="994">
      <c r="A994" s="544" t="n">
        <v>30600</v>
      </c>
      <c r="B994" s="637" t="n"/>
      <c r="C994" s="637" t="n"/>
      <c r="D994" s="637" t="n"/>
      <c r="E994" s="637" t="n"/>
    </row>
    <row r="995">
      <c r="A995" s="544" t="n">
        <v>30601</v>
      </c>
      <c r="B995" s="637" t="n"/>
      <c r="C995" s="637" t="n"/>
      <c r="D995" s="637" t="n"/>
      <c r="E995" s="637" t="n"/>
    </row>
    <row r="996">
      <c r="A996" s="544" t="n">
        <v>30602</v>
      </c>
      <c r="B996" s="637" t="n"/>
      <c r="C996" s="637" t="n"/>
      <c r="D996" s="637" t="n"/>
      <c r="E996" s="637" t="n"/>
    </row>
    <row r="997">
      <c r="A997" s="544" t="n">
        <v>30603</v>
      </c>
      <c r="B997" s="637" t="n"/>
      <c r="C997" s="637" t="n"/>
      <c r="D997" s="637" t="n"/>
      <c r="E997" s="637" t="n"/>
    </row>
    <row r="998">
      <c r="A998" s="544" t="n">
        <v>30606</v>
      </c>
      <c r="B998" s="637" t="n"/>
      <c r="C998" s="637" t="n"/>
      <c r="D998" s="637" t="n"/>
      <c r="E998" s="637" t="n"/>
    </row>
    <row r="999">
      <c r="A999" s="544" t="n">
        <v>30607</v>
      </c>
      <c r="B999" s="637" t="n"/>
      <c r="C999" s="637" t="n"/>
      <c r="D999" s="637" t="n"/>
      <c r="E999" s="637" t="n"/>
    </row>
    <row r="1000">
      <c r="A1000" s="544" t="n">
        <v>30608</v>
      </c>
      <c r="B1000" s="637" t="n"/>
      <c r="C1000" s="637" t="n"/>
      <c r="D1000" s="637" t="n"/>
      <c r="E1000" s="637" t="n"/>
    </row>
    <row r="1001">
      <c r="A1001" s="544" t="n">
        <v>30609</v>
      </c>
      <c r="B1001" s="637" t="n"/>
      <c r="C1001" s="637" t="n"/>
      <c r="D1001" s="637" t="n"/>
      <c r="E1001" s="637" t="n"/>
    </row>
    <row r="1002">
      <c r="A1002" s="544" t="n">
        <v>30610</v>
      </c>
      <c r="B1002" s="637" t="n"/>
      <c r="C1002" s="637" t="n"/>
      <c r="D1002" s="637" t="n"/>
      <c r="E1002" s="637" t="n"/>
    </row>
    <row r="1003">
      <c r="A1003" s="544" t="n">
        <v>30613</v>
      </c>
      <c r="B1003" s="637" t="n"/>
      <c r="C1003" s="637" t="n"/>
      <c r="D1003" s="637" t="n"/>
      <c r="E1003" s="637" t="n"/>
    </row>
    <row r="1004">
      <c r="A1004" s="544" t="n">
        <v>30614</v>
      </c>
      <c r="B1004" s="637" t="n"/>
      <c r="C1004" s="637" t="n"/>
      <c r="D1004" s="637" t="n"/>
      <c r="E1004" s="637" t="n"/>
    </row>
    <row r="1005">
      <c r="A1005" s="544" t="n">
        <v>30615</v>
      </c>
      <c r="B1005" s="637" t="n"/>
      <c r="C1005" s="637" t="n"/>
      <c r="D1005" s="637" t="n"/>
      <c r="E1005" s="637" t="n"/>
    </row>
    <row r="1006">
      <c r="A1006" s="544" t="n">
        <v>30616</v>
      </c>
      <c r="B1006" s="637" t="n"/>
      <c r="C1006" s="637" t="n"/>
      <c r="D1006" s="637" t="n"/>
      <c r="E1006" s="637" t="n"/>
    </row>
    <row r="1007">
      <c r="A1007" s="544" t="n">
        <v>30617</v>
      </c>
      <c r="B1007" s="637" t="n"/>
      <c r="C1007" s="637" t="n"/>
      <c r="D1007" s="637" t="n"/>
      <c r="E1007" s="637" t="n"/>
    </row>
    <row r="1008">
      <c r="A1008" s="544" t="n">
        <v>30620</v>
      </c>
      <c r="B1008" s="637" t="n"/>
      <c r="C1008" s="637" t="n"/>
      <c r="D1008" s="637" t="n"/>
      <c r="E1008" s="637" t="n"/>
    </row>
    <row r="1009">
      <c r="A1009" s="544" t="n">
        <v>30621</v>
      </c>
      <c r="B1009" s="637" t="n"/>
      <c r="C1009" s="637" t="n"/>
      <c r="D1009" s="637" t="n"/>
      <c r="E1009" s="637" t="n"/>
    </row>
    <row r="1010">
      <c r="A1010" s="544" t="n">
        <v>30622</v>
      </c>
      <c r="B1010" s="637" t="n"/>
      <c r="C1010" s="637" t="n"/>
      <c r="D1010" s="637" t="n"/>
      <c r="E1010" s="637" t="n"/>
    </row>
    <row r="1011">
      <c r="A1011" s="544" t="n">
        <v>30623</v>
      </c>
      <c r="B1011" s="637" t="n"/>
      <c r="C1011" s="637" t="n"/>
      <c r="D1011" s="637" t="n"/>
      <c r="E1011" s="637" t="n"/>
    </row>
    <row r="1012">
      <c r="A1012" s="544" t="n">
        <v>30624</v>
      </c>
      <c r="B1012" s="637" t="n"/>
      <c r="C1012" s="637" t="n"/>
      <c r="D1012" s="637" t="n"/>
      <c r="E1012" s="637" t="n"/>
    </row>
    <row r="1013">
      <c r="A1013" s="544" t="n">
        <v>30627</v>
      </c>
      <c r="B1013" s="637" t="n"/>
      <c r="C1013" s="637" t="n"/>
      <c r="D1013" s="637" t="n"/>
      <c r="E1013" s="637" t="n"/>
    </row>
    <row r="1014">
      <c r="A1014" s="544" t="n">
        <v>30628</v>
      </c>
      <c r="B1014" s="637" t="n"/>
      <c r="C1014" s="637" t="n"/>
      <c r="D1014" s="637" t="n"/>
      <c r="E1014" s="637" t="n"/>
    </row>
    <row r="1015">
      <c r="A1015" s="544" t="n">
        <v>30629</v>
      </c>
      <c r="B1015" s="637" t="n"/>
      <c r="C1015" s="637" t="n"/>
      <c r="D1015" s="637" t="n"/>
      <c r="E1015" s="637" t="n"/>
    </row>
    <row r="1016">
      <c r="A1016" s="544" t="n">
        <v>30630</v>
      </c>
      <c r="B1016" s="637" t="n"/>
      <c r="C1016" s="637" t="n"/>
      <c r="D1016" s="637" t="n"/>
      <c r="E1016" s="637" t="n"/>
    </row>
    <row r="1017">
      <c r="A1017" s="544" t="n">
        <v>30631</v>
      </c>
      <c r="B1017" s="637" t="n"/>
      <c r="C1017" s="637" t="n"/>
      <c r="D1017" s="637" t="n"/>
      <c r="E1017" s="637" t="n"/>
    </row>
    <row r="1018">
      <c r="A1018" s="544" t="n">
        <v>30634</v>
      </c>
      <c r="B1018" s="637" t="n"/>
      <c r="C1018" s="637" t="n"/>
      <c r="D1018" s="637" t="n"/>
      <c r="E1018" s="637" t="n"/>
    </row>
    <row r="1019">
      <c r="A1019" s="544" t="n">
        <v>30635</v>
      </c>
      <c r="B1019" s="637" t="n"/>
      <c r="C1019" s="637" t="n"/>
      <c r="D1019" s="637" t="n"/>
      <c r="E1019" s="637" t="n"/>
    </row>
    <row r="1020">
      <c r="A1020" s="544" t="n">
        <v>30636</v>
      </c>
      <c r="B1020" s="637" t="n"/>
      <c r="C1020" s="637" t="n"/>
      <c r="D1020" s="637" t="n"/>
      <c r="E1020" s="637" t="n"/>
    </row>
    <row r="1021">
      <c r="A1021" s="544" t="n">
        <v>30637</v>
      </c>
      <c r="B1021" s="637" t="n"/>
      <c r="C1021" s="637" t="n"/>
      <c r="D1021" s="637" t="n"/>
      <c r="E1021" s="637" t="n"/>
    </row>
    <row r="1022">
      <c r="A1022" s="544" t="n">
        <v>30638</v>
      </c>
      <c r="B1022" s="637" t="n"/>
      <c r="C1022" s="637" t="n"/>
      <c r="D1022" s="637" t="n"/>
      <c r="E1022" s="637" t="n"/>
    </row>
    <row r="1023">
      <c r="A1023" s="544" t="n">
        <v>30641</v>
      </c>
      <c r="B1023" s="637" t="n"/>
      <c r="C1023" s="637" t="n"/>
      <c r="D1023" s="637" t="n"/>
      <c r="E1023" s="637" t="n"/>
    </row>
    <row r="1024">
      <c r="A1024" s="544" t="n">
        <v>30642</v>
      </c>
      <c r="B1024" s="637" t="n"/>
      <c r="C1024" s="637" t="n"/>
      <c r="D1024" s="637" t="n"/>
      <c r="E1024" s="637" t="n"/>
    </row>
    <row r="1025">
      <c r="A1025" s="544" t="n">
        <v>30643</v>
      </c>
      <c r="B1025" s="637" t="n"/>
      <c r="C1025" s="637" t="n"/>
      <c r="D1025" s="637" t="n"/>
      <c r="E1025" s="637" t="n"/>
    </row>
    <row r="1026">
      <c r="A1026" s="544" t="n">
        <v>30644</v>
      </c>
      <c r="B1026" s="637" t="n"/>
      <c r="C1026" s="637" t="n"/>
      <c r="D1026" s="637" t="n"/>
      <c r="E1026" s="637" t="n"/>
    </row>
    <row r="1027">
      <c r="A1027" s="544" t="n">
        <v>30645</v>
      </c>
      <c r="B1027" s="637" t="n"/>
      <c r="C1027" s="637" t="n"/>
      <c r="D1027" s="637" t="n"/>
      <c r="E1027" s="637" t="n"/>
    </row>
    <row r="1028">
      <c r="A1028" s="544" t="n">
        <v>30648</v>
      </c>
      <c r="B1028" s="637" t="n"/>
      <c r="C1028" s="637" t="n"/>
      <c r="D1028" s="637" t="n"/>
      <c r="E1028" s="637" t="n"/>
    </row>
    <row r="1029">
      <c r="A1029" s="544" t="n">
        <v>30649</v>
      </c>
      <c r="B1029" s="637" t="n"/>
      <c r="C1029" s="637" t="n"/>
      <c r="D1029" s="637" t="n"/>
      <c r="E1029" s="637" t="n"/>
    </row>
    <row r="1030">
      <c r="A1030" s="544" t="n">
        <v>30650</v>
      </c>
      <c r="B1030" s="637" t="n"/>
      <c r="C1030" s="637" t="n"/>
      <c r="D1030" s="637" t="n"/>
      <c r="E1030" s="637" t="n"/>
    </row>
    <row r="1031">
      <c r="A1031" s="544" t="n">
        <v>30651</v>
      </c>
      <c r="B1031" s="637" t="n"/>
      <c r="C1031" s="637" t="n"/>
      <c r="D1031" s="637" t="n"/>
      <c r="E1031" s="637" t="n"/>
    </row>
    <row r="1032">
      <c r="A1032" s="544" t="n">
        <v>30652</v>
      </c>
      <c r="B1032" s="637" t="n"/>
      <c r="C1032" s="637" t="n"/>
      <c r="D1032" s="637" t="n"/>
      <c r="E1032" s="637" t="n"/>
    </row>
    <row r="1033">
      <c r="A1033" s="544" t="n">
        <v>30655</v>
      </c>
      <c r="B1033" s="637" t="n"/>
      <c r="C1033" s="637" t="n"/>
      <c r="D1033" s="637" t="n"/>
      <c r="E1033" s="637" t="n"/>
    </row>
    <row r="1034">
      <c r="A1034" s="544" t="n">
        <v>30656</v>
      </c>
      <c r="B1034" s="637" t="n"/>
      <c r="C1034" s="637" t="n"/>
      <c r="D1034" s="637" t="n"/>
      <c r="E1034" s="637" t="n"/>
    </row>
    <row r="1035">
      <c r="A1035" s="544" t="n">
        <v>30657</v>
      </c>
      <c r="B1035" s="637" t="n"/>
      <c r="C1035" s="637" t="n"/>
      <c r="D1035" s="637" t="n"/>
      <c r="E1035" s="637" t="n"/>
    </row>
    <row r="1036">
      <c r="A1036" s="544" t="n">
        <v>30658</v>
      </c>
      <c r="B1036" s="637" t="n"/>
      <c r="C1036" s="637" t="n"/>
      <c r="D1036" s="637" t="n"/>
      <c r="E1036" s="637" t="n"/>
    </row>
    <row r="1037">
      <c r="A1037" s="544" t="n">
        <v>30659</v>
      </c>
      <c r="B1037" s="637" t="n"/>
      <c r="C1037" s="637" t="n"/>
      <c r="D1037" s="637" t="n"/>
      <c r="E1037" s="637" t="n"/>
    </row>
    <row r="1038">
      <c r="A1038" s="544" t="n">
        <v>30662</v>
      </c>
      <c r="B1038" s="637" t="n"/>
      <c r="C1038" s="637" t="n"/>
      <c r="D1038" s="637" t="n"/>
      <c r="E1038" s="637" t="n"/>
    </row>
    <row r="1039">
      <c r="A1039" s="544" t="n">
        <v>30663</v>
      </c>
      <c r="B1039" s="637" t="n"/>
      <c r="C1039" s="637" t="n"/>
      <c r="D1039" s="637" t="n"/>
      <c r="E1039" s="637" t="n"/>
    </row>
    <row r="1040">
      <c r="A1040" s="544" t="n">
        <v>30664</v>
      </c>
      <c r="B1040" s="637" t="n"/>
      <c r="C1040" s="637" t="n"/>
      <c r="D1040" s="637" t="n"/>
      <c r="E1040" s="637" t="n"/>
    </row>
    <row r="1041">
      <c r="A1041" s="544" t="n">
        <v>30665</v>
      </c>
      <c r="B1041" s="637" t="n"/>
      <c r="C1041" s="637" t="n"/>
      <c r="D1041" s="637" t="n"/>
      <c r="E1041" s="637" t="n"/>
    </row>
    <row r="1042">
      <c r="A1042" s="544" t="n">
        <v>30666</v>
      </c>
      <c r="B1042" s="637" t="n"/>
      <c r="C1042" s="637" t="n"/>
      <c r="D1042" s="637" t="n"/>
      <c r="E1042" s="637" t="n"/>
    </row>
    <row r="1043">
      <c r="A1043" s="544" t="n">
        <v>30669</v>
      </c>
      <c r="B1043" s="637" t="n"/>
      <c r="C1043" s="637" t="n"/>
      <c r="D1043" s="637" t="n"/>
      <c r="E1043" s="637" t="n"/>
    </row>
    <row r="1044">
      <c r="A1044" s="544" t="n">
        <v>30670</v>
      </c>
      <c r="B1044" s="637" t="n"/>
      <c r="C1044" s="637" t="n"/>
      <c r="D1044" s="637" t="n"/>
      <c r="E1044" s="637" t="n"/>
    </row>
    <row r="1045">
      <c r="A1045" s="544" t="n">
        <v>30671</v>
      </c>
      <c r="B1045" s="637" t="n"/>
      <c r="C1045" s="637" t="n"/>
      <c r="D1045" s="637" t="n"/>
      <c r="E1045" s="637" t="n"/>
    </row>
    <row r="1046">
      <c r="A1046" s="544" t="n">
        <v>30672</v>
      </c>
      <c r="B1046" s="637" t="n"/>
      <c r="C1046" s="637" t="n"/>
      <c r="D1046" s="637" t="n"/>
      <c r="E1046" s="637" t="n"/>
    </row>
    <row r="1047">
      <c r="A1047" s="544" t="n">
        <v>30673</v>
      </c>
      <c r="B1047" s="637" t="n"/>
      <c r="C1047" s="637" t="n"/>
      <c r="D1047" s="637" t="n"/>
      <c r="E1047" s="637" t="n"/>
    </row>
    <row r="1048">
      <c r="A1048" s="544" t="n">
        <v>30676</v>
      </c>
      <c r="B1048" s="637" t="n"/>
      <c r="C1048" s="637" t="n"/>
      <c r="D1048" s="637" t="n"/>
      <c r="E1048" s="637" t="n"/>
    </row>
    <row r="1049">
      <c r="A1049" s="544" t="n">
        <v>30677</v>
      </c>
      <c r="B1049" s="637" t="n"/>
      <c r="C1049" s="637" t="n"/>
      <c r="D1049" s="637" t="n"/>
      <c r="E1049" s="637" t="n"/>
    </row>
    <row r="1050">
      <c r="A1050" s="544" t="n">
        <v>30678</v>
      </c>
      <c r="B1050" s="637" t="n"/>
      <c r="C1050" s="637" t="n"/>
      <c r="D1050" s="637" t="n"/>
      <c r="E1050" s="637" t="n"/>
    </row>
    <row r="1051">
      <c r="A1051" s="544" t="n">
        <v>30679</v>
      </c>
      <c r="B1051" s="637" t="n"/>
      <c r="C1051" s="637" t="n"/>
      <c r="D1051" s="637" t="n"/>
      <c r="E1051" s="637" t="n"/>
    </row>
    <row r="1052">
      <c r="A1052" s="544" t="n">
        <v>30680</v>
      </c>
      <c r="B1052" s="637" t="n"/>
      <c r="C1052" s="637" t="n"/>
      <c r="D1052" s="637" t="n"/>
      <c r="E1052" s="637" t="n"/>
    </row>
    <row r="1053">
      <c r="A1053" s="544" t="n">
        <v>30683</v>
      </c>
      <c r="B1053" s="637" t="n"/>
      <c r="C1053" s="637" t="n"/>
      <c r="D1053" s="637" t="n"/>
      <c r="E1053" s="637" t="n"/>
    </row>
    <row r="1054">
      <c r="A1054" s="544" t="n">
        <v>30684</v>
      </c>
      <c r="B1054" s="637" t="n"/>
      <c r="C1054" s="637" t="n"/>
      <c r="D1054" s="637" t="n"/>
      <c r="E1054" s="637" t="n"/>
    </row>
    <row r="1055">
      <c r="A1055" s="544" t="n">
        <v>30685</v>
      </c>
      <c r="B1055" s="637" t="n"/>
      <c r="C1055" s="637" t="n"/>
      <c r="D1055" s="637" t="n"/>
      <c r="E1055" s="637" t="n"/>
    </row>
    <row r="1056">
      <c r="A1056" s="544" t="n">
        <v>30686</v>
      </c>
      <c r="B1056" s="637" t="n"/>
      <c r="C1056" s="637" t="n"/>
      <c r="D1056" s="637" t="n"/>
      <c r="E1056" s="637" t="n"/>
    </row>
    <row r="1057">
      <c r="A1057" s="544" t="n">
        <v>30687</v>
      </c>
      <c r="B1057" s="637" t="n"/>
      <c r="C1057" s="637" t="n"/>
      <c r="D1057" s="637" t="n"/>
      <c r="E1057" s="637" t="n"/>
    </row>
    <row r="1058">
      <c r="A1058" s="544" t="n">
        <v>30690</v>
      </c>
      <c r="B1058" s="637" t="n"/>
      <c r="C1058" s="637" t="n"/>
      <c r="D1058" s="637" t="n"/>
      <c r="E1058" s="637" t="n"/>
    </row>
    <row r="1059">
      <c r="A1059" s="544" t="n">
        <v>30691</v>
      </c>
      <c r="B1059" s="637" t="n"/>
      <c r="C1059" s="637" t="n"/>
      <c r="D1059" s="637" t="n"/>
      <c r="E1059" s="637" t="n"/>
    </row>
    <row r="1060">
      <c r="A1060" s="544" t="n">
        <v>30692</v>
      </c>
      <c r="B1060" s="637" t="n"/>
      <c r="C1060" s="637" t="n"/>
      <c r="D1060" s="637" t="n"/>
      <c r="E1060" s="637" t="n"/>
    </row>
    <row r="1061">
      <c r="A1061" s="544" t="n">
        <v>30693</v>
      </c>
      <c r="B1061" s="637" t="n"/>
      <c r="C1061" s="637" t="n"/>
      <c r="D1061" s="637" t="n"/>
      <c r="E1061" s="637" t="n"/>
    </row>
    <row r="1062">
      <c r="A1062" s="544" t="n">
        <v>30694</v>
      </c>
      <c r="B1062" s="637" t="n"/>
      <c r="C1062" s="637" t="n"/>
      <c r="D1062" s="637" t="n"/>
      <c r="E1062" s="637" t="n"/>
    </row>
    <row r="1063">
      <c r="A1063" s="544" t="n">
        <v>30697</v>
      </c>
      <c r="B1063" s="637" t="n"/>
      <c r="C1063" s="637" t="n"/>
      <c r="D1063" s="637" t="n"/>
      <c r="E1063" s="637" t="n"/>
    </row>
    <row r="1064">
      <c r="A1064" s="544" t="n">
        <v>30698</v>
      </c>
      <c r="B1064" s="637" t="n"/>
      <c r="C1064" s="637" t="n"/>
      <c r="D1064" s="637" t="n"/>
      <c r="E1064" s="637" t="n"/>
    </row>
    <row r="1065">
      <c r="A1065" s="544" t="n">
        <v>30699</v>
      </c>
      <c r="B1065" s="637" t="n"/>
      <c r="C1065" s="637" t="n"/>
      <c r="D1065" s="637" t="n"/>
      <c r="E1065" s="637" t="n"/>
    </row>
    <row r="1066">
      <c r="A1066" s="544" t="n">
        <v>30700</v>
      </c>
      <c r="B1066" s="637" t="n"/>
      <c r="C1066" s="637" t="n"/>
      <c r="D1066" s="637" t="n"/>
      <c r="E1066" s="637" t="n"/>
    </row>
    <row r="1067">
      <c r="A1067" s="544" t="n">
        <v>30701</v>
      </c>
      <c r="B1067" s="637" t="n"/>
      <c r="C1067" s="637" t="n"/>
      <c r="D1067" s="637" t="n"/>
      <c r="E1067" s="637" t="n"/>
    </row>
    <row r="1068">
      <c r="A1068" s="544" t="n">
        <v>30704</v>
      </c>
      <c r="B1068" s="637" t="n"/>
      <c r="C1068" s="637" t="n"/>
      <c r="D1068" s="637" t="n"/>
      <c r="E1068" s="637" t="n"/>
    </row>
    <row r="1069">
      <c r="A1069" s="544" t="n">
        <v>30705</v>
      </c>
      <c r="B1069" s="637" t="n"/>
      <c r="C1069" s="637" t="n"/>
      <c r="D1069" s="637" t="n"/>
      <c r="E1069" s="637" t="n"/>
    </row>
    <row r="1070">
      <c r="A1070" s="544" t="n">
        <v>30706</v>
      </c>
      <c r="B1070" s="637" t="n"/>
      <c r="C1070" s="637" t="n"/>
      <c r="D1070" s="637" t="n"/>
      <c r="E1070" s="637" t="n"/>
    </row>
    <row r="1071">
      <c r="A1071" s="544" t="n">
        <v>30707</v>
      </c>
      <c r="B1071" s="637" t="n"/>
      <c r="C1071" s="637" t="n"/>
      <c r="D1071" s="637" t="n"/>
      <c r="E1071" s="637" t="n"/>
    </row>
    <row r="1072">
      <c r="A1072" s="544" t="n">
        <v>30708</v>
      </c>
      <c r="B1072" s="637" t="n"/>
      <c r="C1072" s="637" t="n"/>
      <c r="D1072" s="637" t="n"/>
      <c r="E1072" s="637" t="n"/>
    </row>
    <row r="1073">
      <c r="A1073" s="544" t="n">
        <v>30711</v>
      </c>
      <c r="B1073" s="637" t="n"/>
      <c r="C1073" s="637" t="n"/>
      <c r="D1073" s="637" t="n"/>
      <c r="E1073" s="637" t="n"/>
    </row>
    <row r="1074">
      <c r="A1074" s="544" t="n">
        <v>30712</v>
      </c>
      <c r="B1074" s="637" t="n"/>
      <c r="C1074" s="637" t="n"/>
      <c r="D1074" s="637" t="n"/>
      <c r="E1074" s="637" t="n"/>
    </row>
    <row r="1075">
      <c r="A1075" s="544" t="n">
        <v>30713</v>
      </c>
      <c r="B1075" s="637" t="n"/>
      <c r="C1075" s="637" t="n"/>
      <c r="D1075" s="637" t="n"/>
      <c r="E1075" s="637" t="n"/>
    </row>
    <row r="1076">
      <c r="A1076" s="544" t="n">
        <v>30714</v>
      </c>
      <c r="B1076" s="637" t="n"/>
      <c r="C1076" s="637" t="n"/>
      <c r="D1076" s="637" t="n"/>
      <c r="E1076" s="637" t="n"/>
    </row>
    <row r="1077">
      <c r="A1077" s="544" t="n">
        <v>30715</v>
      </c>
      <c r="B1077" s="637" t="n"/>
      <c r="C1077" s="637" t="n"/>
      <c r="D1077" s="637" t="n"/>
      <c r="E1077" s="637" t="n"/>
    </row>
    <row r="1078">
      <c r="A1078" s="544" t="n">
        <v>30718</v>
      </c>
      <c r="B1078" s="637" t="n"/>
      <c r="C1078" s="637" t="n"/>
      <c r="D1078" s="637" t="n"/>
      <c r="E1078" s="637" t="n"/>
    </row>
    <row r="1079">
      <c r="A1079" s="544" t="n">
        <v>30719</v>
      </c>
      <c r="B1079" s="637" t="n"/>
      <c r="C1079" s="637" t="n"/>
      <c r="D1079" s="637" t="n"/>
      <c r="E1079" s="637" t="n"/>
    </row>
    <row r="1080">
      <c r="A1080" s="544" t="n">
        <v>30720</v>
      </c>
      <c r="B1080" s="637" t="n"/>
      <c r="C1080" s="637" t="n"/>
      <c r="D1080" s="637" t="n"/>
      <c r="E1080" s="637" t="n"/>
    </row>
    <row r="1081">
      <c r="A1081" s="544" t="n">
        <v>30721</v>
      </c>
      <c r="B1081" s="637" t="n"/>
      <c r="C1081" s="637" t="n"/>
      <c r="D1081" s="637" t="n"/>
      <c r="E1081" s="637" t="n"/>
    </row>
    <row r="1082">
      <c r="A1082" s="544" t="n">
        <v>30722</v>
      </c>
      <c r="B1082" s="637" t="n"/>
      <c r="C1082" s="637" t="n"/>
      <c r="D1082" s="637" t="n"/>
      <c r="E1082" s="637" t="n"/>
    </row>
    <row r="1083">
      <c r="A1083" s="544" t="n">
        <v>30725</v>
      </c>
      <c r="B1083" s="637" t="n"/>
      <c r="C1083" s="637" t="n"/>
      <c r="D1083" s="637" t="n"/>
      <c r="E1083" s="637" t="n"/>
    </row>
    <row r="1084">
      <c r="A1084" s="544" t="n">
        <v>30726</v>
      </c>
      <c r="B1084" s="637" t="n"/>
      <c r="C1084" s="637" t="n"/>
      <c r="D1084" s="637" t="n"/>
      <c r="E1084" s="637" t="n"/>
    </row>
    <row r="1085">
      <c r="A1085" s="544" t="n">
        <v>30727</v>
      </c>
      <c r="B1085" s="637" t="n"/>
      <c r="C1085" s="637" t="n"/>
      <c r="D1085" s="637" t="n"/>
      <c r="E1085" s="637" t="n"/>
    </row>
    <row r="1086">
      <c r="A1086" s="544" t="n">
        <v>30728</v>
      </c>
      <c r="B1086" s="637" t="n"/>
      <c r="C1086" s="637" t="n"/>
      <c r="D1086" s="637" t="n"/>
      <c r="E1086" s="637" t="n"/>
    </row>
    <row r="1087">
      <c r="A1087" s="544" t="n">
        <v>30729</v>
      </c>
      <c r="B1087" s="637" t="n"/>
      <c r="C1087" s="637" t="n"/>
      <c r="D1087" s="637" t="n"/>
      <c r="E1087" s="637" t="n"/>
    </row>
    <row r="1088">
      <c r="A1088" s="544" t="n">
        <v>30732</v>
      </c>
      <c r="B1088" s="637" t="n"/>
      <c r="C1088" s="637" t="n"/>
      <c r="D1088" s="637" t="n"/>
      <c r="E1088" s="637" t="n"/>
    </row>
    <row r="1089">
      <c r="A1089" s="544" t="n">
        <v>30733</v>
      </c>
      <c r="B1089" s="637" t="n"/>
      <c r="C1089" s="637" t="n"/>
      <c r="D1089" s="637" t="n"/>
      <c r="E1089" s="637" t="n"/>
    </row>
    <row r="1090">
      <c r="A1090" s="544" t="n">
        <v>30734</v>
      </c>
      <c r="B1090" s="637" t="n"/>
      <c r="C1090" s="637" t="n"/>
      <c r="D1090" s="637" t="n"/>
      <c r="E1090" s="637" t="n"/>
    </row>
    <row r="1091">
      <c r="A1091" s="544" t="n">
        <v>30735</v>
      </c>
      <c r="B1091" s="637" t="n"/>
      <c r="C1091" s="637" t="n"/>
      <c r="D1091" s="637" t="n"/>
      <c r="E1091" s="637" t="n"/>
    </row>
    <row r="1092">
      <c r="A1092" s="544" t="n">
        <v>30736</v>
      </c>
      <c r="B1092" s="637" t="n"/>
      <c r="C1092" s="637" t="n"/>
      <c r="D1092" s="637" t="n"/>
      <c r="E1092" s="637" t="n"/>
    </row>
    <row r="1093">
      <c r="A1093" s="544" t="n">
        <v>30739</v>
      </c>
      <c r="B1093" s="637" t="n"/>
      <c r="C1093" s="637" t="n"/>
      <c r="D1093" s="637" t="n"/>
      <c r="E1093" s="637" t="n"/>
    </row>
    <row r="1094">
      <c r="A1094" s="544" t="n">
        <v>30740</v>
      </c>
      <c r="B1094" s="637" t="n"/>
      <c r="C1094" s="637" t="n"/>
      <c r="D1094" s="637" t="n"/>
      <c r="E1094" s="637" t="n"/>
    </row>
    <row r="1095">
      <c r="A1095" s="544" t="n">
        <v>30741</v>
      </c>
      <c r="B1095" s="637" t="n"/>
      <c r="C1095" s="637" t="n"/>
      <c r="D1095" s="637" t="n"/>
      <c r="E1095" s="637" t="n"/>
    </row>
    <row r="1096">
      <c r="A1096" s="544" t="n">
        <v>30742</v>
      </c>
      <c r="B1096" s="637" t="n"/>
      <c r="C1096" s="637" t="n"/>
      <c r="D1096" s="637" t="n"/>
      <c r="E1096" s="637" t="n"/>
    </row>
    <row r="1097">
      <c r="A1097" s="544" t="n">
        <v>30743</v>
      </c>
      <c r="B1097" s="637" t="n"/>
      <c r="C1097" s="637" t="n"/>
      <c r="D1097" s="637" t="n"/>
      <c r="E1097" s="637" t="n"/>
    </row>
    <row r="1098">
      <c r="A1098" s="544" t="n">
        <v>30746</v>
      </c>
      <c r="B1098" s="637" t="n"/>
      <c r="C1098" s="637" t="n"/>
      <c r="D1098" s="637" t="n"/>
      <c r="E1098" s="637" t="n"/>
    </row>
    <row r="1099">
      <c r="A1099" s="544" t="n">
        <v>30747</v>
      </c>
      <c r="B1099" s="637" t="n"/>
      <c r="C1099" s="637" t="n"/>
      <c r="D1099" s="637" t="n"/>
      <c r="E1099" s="637" t="n"/>
    </row>
    <row r="1100">
      <c r="A1100" s="544" t="n">
        <v>30748</v>
      </c>
      <c r="B1100" s="637" t="n"/>
      <c r="C1100" s="637" t="n"/>
      <c r="D1100" s="637" t="n"/>
      <c r="E1100" s="637" t="n"/>
    </row>
    <row r="1101">
      <c r="A1101" s="544" t="n">
        <v>30749</v>
      </c>
      <c r="B1101" s="637" t="n"/>
      <c r="C1101" s="637" t="n"/>
      <c r="D1101" s="637" t="n"/>
      <c r="E1101" s="637" t="n"/>
    </row>
    <row r="1102">
      <c r="A1102" s="544" t="n">
        <v>30750</v>
      </c>
      <c r="B1102" s="637" t="n"/>
      <c r="C1102" s="637" t="n"/>
      <c r="D1102" s="637" t="n"/>
      <c r="E1102" s="637" t="n"/>
    </row>
    <row r="1103">
      <c r="A1103" s="544" t="n">
        <v>30753</v>
      </c>
      <c r="B1103" s="637" t="n"/>
      <c r="C1103" s="637" t="n"/>
      <c r="D1103" s="637" t="n"/>
      <c r="E1103" s="637" t="n"/>
    </row>
    <row r="1104">
      <c r="A1104" s="544" t="n">
        <v>30754</v>
      </c>
      <c r="B1104" s="637" t="n"/>
      <c r="C1104" s="637" t="n"/>
      <c r="D1104" s="637" t="n"/>
      <c r="E1104" s="637" t="n"/>
    </row>
    <row r="1105">
      <c r="A1105" s="544" t="n">
        <v>30755</v>
      </c>
      <c r="B1105" s="637" t="n"/>
      <c r="C1105" s="637" t="n"/>
      <c r="D1105" s="637" t="n"/>
      <c r="E1105" s="637" t="n"/>
    </row>
    <row r="1106">
      <c r="A1106" s="544" t="n">
        <v>30756</v>
      </c>
      <c r="B1106" s="637" t="n"/>
      <c r="C1106" s="637" t="n"/>
      <c r="D1106" s="637" t="n"/>
      <c r="E1106" s="637" t="n"/>
    </row>
    <row r="1107">
      <c r="A1107" s="544" t="n">
        <v>30757</v>
      </c>
      <c r="B1107" s="637" t="n"/>
      <c r="C1107" s="637" t="n"/>
      <c r="D1107" s="637" t="n"/>
      <c r="E1107" s="637" t="n"/>
    </row>
    <row r="1108">
      <c r="A1108" s="544" t="n">
        <v>30760</v>
      </c>
      <c r="B1108" s="637" t="n"/>
      <c r="C1108" s="637" t="n"/>
      <c r="D1108" s="637" t="n"/>
      <c r="E1108" s="637" t="n"/>
    </row>
    <row r="1109">
      <c r="A1109" s="544" t="n">
        <v>30761</v>
      </c>
      <c r="B1109" s="637" t="n"/>
      <c r="C1109" s="637" t="n"/>
      <c r="D1109" s="637" t="n"/>
      <c r="E1109" s="637" t="n"/>
    </row>
    <row r="1110">
      <c r="A1110" s="544" t="n">
        <v>30762</v>
      </c>
      <c r="B1110" s="637" t="n"/>
      <c r="C1110" s="637" t="n"/>
      <c r="D1110" s="637" t="n"/>
      <c r="E1110" s="637" t="n"/>
    </row>
    <row r="1111">
      <c r="A1111" s="544" t="n">
        <v>30763</v>
      </c>
      <c r="B1111" s="637" t="n"/>
      <c r="C1111" s="637" t="n"/>
      <c r="D1111" s="637" t="n"/>
      <c r="E1111" s="637" t="n"/>
    </row>
    <row r="1112">
      <c r="A1112" s="544" t="n">
        <v>30764</v>
      </c>
      <c r="B1112" s="637" t="n"/>
      <c r="C1112" s="637" t="n"/>
      <c r="D1112" s="637" t="n"/>
      <c r="E1112" s="637" t="n"/>
    </row>
    <row r="1113">
      <c r="A1113" s="544" t="n">
        <v>30767</v>
      </c>
      <c r="B1113" s="637" t="n"/>
      <c r="C1113" s="637" t="n"/>
      <c r="D1113" s="637" t="n"/>
      <c r="E1113" s="637" t="n"/>
    </row>
    <row r="1114">
      <c r="A1114" s="544" t="n">
        <v>30768</v>
      </c>
      <c r="B1114" s="637" t="n"/>
      <c r="C1114" s="637" t="n"/>
      <c r="D1114" s="637" t="n"/>
      <c r="E1114" s="637" t="n"/>
    </row>
    <row r="1115">
      <c r="A1115" s="544" t="n">
        <v>30769</v>
      </c>
      <c r="B1115" s="637" t="n"/>
      <c r="C1115" s="637" t="n"/>
      <c r="D1115" s="637" t="n"/>
      <c r="E1115" s="637" t="n"/>
    </row>
    <row r="1116">
      <c r="A1116" s="544" t="n">
        <v>30770</v>
      </c>
      <c r="B1116" s="637" t="n"/>
      <c r="C1116" s="637" t="n"/>
      <c r="D1116" s="637" t="n"/>
      <c r="E1116" s="637" t="n"/>
    </row>
    <row r="1117">
      <c r="A1117" s="544" t="n">
        <v>30771</v>
      </c>
      <c r="B1117" s="637" t="n"/>
      <c r="C1117" s="637" t="n"/>
      <c r="D1117" s="637" t="n"/>
      <c r="E1117" s="637" t="n"/>
    </row>
    <row r="1118">
      <c r="A1118" s="544" t="n">
        <v>30774</v>
      </c>
      <c r="B1118" s="637" t="n"/>
      <c r="C1118" s="637" t="n"/>
      <c r="D1118" s="637" t="n"/>
      <c r="E1118" s="637" t="n"/>
    </row>
    <row r="1119">
      <c r="A1119" s="544" t="n">
        <v>30775</v>
      </c>
      <c r="B1119" s="637" t="n"/>
      <c r="C1119" s="637" t="n"/>
      <c r="D1119" s="637" t="n"/>
      <c r="E1119" s="637" t="n"/>
    </row>
    <row r="1120">
      <c r="A1120" s="544" t="n">
        <v>30776</v>
      </c>
      <c r="B1120" s="637" t="n"/>
      <c r="C1120" s="637" t="n"/>
      <c r="D1120" s="637" t="n"/>
      <c r="E1120" s="637" t="n"/>
    </row>
    <row r="1121">
      <c r="A1121" s="544" t="n">
        <v>30777</v>
      </c>
      <c r="B1121" s="637" t="n"/>
      <c r="C1121" s="637" t="n"/>
      <c r="D1121" s="637" t="n"/>
      <c r="E1121" s="637" t="n"/>
    </row>
    <row r="1122">
      <c r="A1122" s="544" t="n">
        <v>30778</v>
      </c>
      <c r="B1122" s="637" t="n"/>
      <c r="C1122" s="637" t="n"/>
      <c r="D1122" s="637" t="n"/>
      <c r="E1122" s="637" t="n"/>
    </row>
    <row r="1123">
      <c r="A1123" s="544" t="n">
        <v>30781</v>
      </c>
      <c r="B1123" s="637" t="n"/>
      <c r="C1123" s="637" t="n"/>
      <c r="D1123" s="637" t="n"/>
      <c r="E1123" s="637" t="n"/>
    </row>
    <row r="1124">
      <c r="A1124" s="544" t="n">
        <v>30782</v>
      </c>
      <c r="B1124" s="637" t="n"/>
      <c r="C1124" s="637" t="n"/>
      <c r="D1124" s="637" t="n"/>
      <c r="E1124" s="637" t="n"/>
    </row>
    <row r="1125">
      <c r="A1125" s="544" t="n">
        <v>30783</v>
      </c>
      <c r="B1125" s="637" t="n"/>
      <c r="C1125" s="637" t="n"/>
      <c r="D1125" s="637" t="n"/>
      <c r="E1125" s="637" t="n"/>
    </row>
    <row r="1126">
      <c r="A1126" s="544" t="n">
        <v>30784</v>
      </c>
      <c r="B1126" s="637" t="n"/>
      <c r="C1126" s="637" t="n"/>
      <c r="D1126" s="637" t="n"/>
      <c r="E1126" s="637" t="n"/>
    </row>
    <row r="1127">
      <c r="A1127" s="544" t="n">
        <v>30785</v>
      </c>
      <c r="B1127" s="637" t="n"/>
      <c r="C1127" s="637" t="n"/>
      <c r="D1127" s="637" t="n"/>
      <c r="E1127" s="637" t="n"/>
    </row>
    <row r="1128">
      <c r="A1128" s="544" t="n">
        <v>30788</v>
      </c>
      <c r="B1128" s="637" t="n"/>
      <c r="C1128" s="637" t="n"/>
      <c r="D1128" s="637" t="n"/>
      <c r="E1128" s="637" t="n"/>
    </row>
    <row r="1129">
      <c r="A1129" s="544" t="n">
        <v>30789</v>
      </c>
      <c r="B1129" s="637" t="n"/>
      <c r="C1129" s="637" t="n"/>
      <c r="D1129" s="637" t="n"/>
      <c r="E1129" s="637" t="n"/>
    </row>
    <row r="1130">
      <c r="A1130" s="544" t="n">
        <v>30790</v>
      </c>
      <c r="B1130" s="637" t="n"/>
      <c r="C1130" s="637" t="n"/>
      <c r="D1130" s="637" t="n"/>
      <c r="E1130" s="637" t="n"/>
    </row>
    <row r="1131">
      <c r="A1131" s="544" t="n">
        <v>30791</v>
      </c>
      <c r="B1131" s="637" t="n"/>
      <c r="C1131" s="637" t="n"/>
      <c r="D1131" s="637" t="n"/>
      <c r="E1131" s="637" t="n"/>
    </row>
    <row r="1132">
      <c r="A1132" s="544" t="n">
        <v>30792</v>
      </c>
      <c r="B1132" s="637" t="n"/>
      <c r="C1132" s="637" t="n"/>
      <c r="D1132" s="637" t="n"/>
      <c r="E1132" s="637" t="n"/>
    </row>
    <row r="1133">
      <c r="A1133" s="544" t="n">
        <v>30795</v>
      </c>
      <c r="B1133" s="637" t="n"/>
      <c r="C1133" s="637" t="n"/>
      <c r="D1133" s="637" t="n"/>
      <c r="E1133" s="637" t="n"/>
    </row>
    <row r="1134">
      <c r="A1134" s="544" t="n">
        <v>30796</v>
      </c>
      <c r="B1134" s="637" t="n"/>
      <c r="C1134" s="637" t="n"/>
      <c r="D1134" s="637" t="n"/>
      <c r="E1134" s="637" t="n"/>
    </row>
    <row r="1135">
      <c r="A1135" s="544" t="n">
        <v>30797</v>
      </c>
      <c r="B1135" s="637" t="n"/>
      <c r="C1135" s="637" t="n"/>
      <c r="D1135" s="637" t="n"/>
      <c r="E1135" s="637" t="n"/>
    </row>
    <row r="1136">
      <c r="A1136" s="544" t="n">
        <v>30798</v>
      </c>
      <c r="B1136" s="637" t="n"/>
      <c r="C1136" s="637" t="n"/>
      <c r="D1136" s="637" t="n"/>
      <c r="E1136" s="637" t="n"/>
    </row>
    <row r="1137">
      <c r="A1137" s="544" t="n">
        <v>30799</v>
      </c>
      <c r="B1137" s="637" t="n"/>
      <c r="C1137" s="637" t="n"/>
      <c r="D1137" s="637" t="n"/>
      <c r="E1137" s="637" t="n"/>
    </row>
    <row r="1138">
      <c r="A1138" s="544" t="n">
        <v>30802</v>
      </c>
      <c r="B1138" s="637" t="n"/>
      <c r="C1138" s="637" t="n"/>
      <c r="D1138" s="637" t="n"/>
      <c r="E1138" s="637" t="n"/>
    </row>
    <row r="1139">
      <c r="A1139" s="544" t="n">
        <v>30803</v>
      </c>
      <c r="B1139" s="637" t="n"/>
      <c r="C1139" s="637" t="n"/>
      <c r="D1139" s="637" t="n"/>
      <c r="E1139" s="637" t="n"/>
    </row>
    <row r="1140">
      <c r="A1140" s="544" t="n">
        <v>30804</v>
      </c>
      <c r="B1140" s="637" t="n"/>
      <c r="C1140" s="637" t="n"/>
      <c r="D1140" s="637" t="n"/>
      <c r="E1140" s="637" t="n"/>
    </row>
    <row r="1141">
      <c r="A1141" s="544" t="n">
        <v>30805</v>
      </c>
      <c r="B1141" s="637" t="n"/>
      <c r="C1141" s="637" t="n"/>
      <c r="D1141" s="637" t="n"/>
      <c r="E1141" s="637" t="n"/>
    </row>
    <row r="1142">
      <c r="A1142" s="544" t="n">
        <v>30806</v>
      </c>
      <c r="B1142" s="637" t="n"/>
      <c r="C1142" s="637" t="n"/>
      <c r="D1142" s="637" t="n"/>
      <c r="E1142" s="637" t="n"/>
    </row>
    <row r="1143">
      <c r="A1143" s="544" t="n">
        <v>30809</v>
      </c>
      <c r="B1143" s="637" t="n"/>
      <c r="C1143" s="637" t="n"/>
      <c r="D1143" s="637" t="n"/>
      <c r="E1143" s="637" t="n"/>
    </row>
    <row r="1144">
      <c r="A1144" s="544" t="n">
        <v>30810</v>
      </c>
      <c r="B1144" s="637" t="n"/>
      <c r="C1144" s="637" t="n"/>
      <c r="D1144" s="637" t="n"/>
      <c r="E1144" s="637" t="n"/>
    </row>
    <row r="1145">
      <c r="A1145" s="544" t="n">
        <v>30811</v>
      </c>
      <c r="B1145" s="637" t="n"/>
      <c r="C1145" s="637" t="n"/>
      <c r="D1145" s="637" t="n"/>
      <c r="E1145" s="637" t="n"/>
    </row>
    <row r="1146">
      <c r="A1146" s="544" t="n">
        <v>30812</v>
      </c>
      <c r="B1146" s="637" t="n"/>
      <c r="C1146" s="637" t="n"/>
      <c r="D1146" s="637" t="n"/>
      <c r="E1146" s="637" t="n"/>
    </row>
    <row r="1147">
      <c r="A1147" s="544" t="n">
        <v>30813</v>
      </c>
      <c r="B1147" s="637" t="n"/>
      <c r="C1147" s="637" t="n"/>
      <c r="D1147" s="637" t="n"/>
      <c r="E1147" s="637" t="n"/>
    </row>
    <row r="1148">
      <c r="A1148" s="544" t="n">
        <v>30816</v>
      </c>
      <c r="B1148" s="637" t="n"/>
      <c r="C1148" s="637" t="n"/>
      <c r="D1148" s="637" t="n"/>
      <c r="E1148" s="637" t="n"/>
    </row>
    <row r="1149">
      <c r="A1149" s="544" t="n">
        <v>30817</v>
      </c>
      <c r="B1149" s="637" t="n"/>
      <c r="C1149" s="637" t="n"/>
      <c r="D1149" s="637" t="n"/>
      <c r="E1149" s="637" t="n"/>
    </row>
    <row r="1150">
      <c r="A1150" s="544" t="n">
        <v>30818</v>
      </c>
      <c r="B1150" s="637" t="n"/>
      <c r="C1150" s="637" t="n"/>
      <c r="D1150" s="637" t="n"/>
      <c r="E1150" s="637" t="n"/>
    </row>
    <row r="1151">
      <c r="A1151" s="544" t="n">
        <v>30819</v>
      </c>
      <c r="B1151" s="637" t="n"/>
      <c r="C1151" s="637" t="n"/>
      <c r="D1151" s="637" t="n"/>
      <c r="E1151" s="637" t="n"/>
    </row>
    <row r="1152">
      <c r="A1152" s="544" t="n">
        <v>30820</v>
      </c>
      <c r="B1152" s="637" t="n"/>
      <c r="C1152" s="637" t="n"/>
      <c r="D1152" s="637" t="n"/>
      <c r="E1152" s="637" t="n"/>
    </row>
    <row r="1153">
      <c r="A1153" s="544" t="n">
        <v>30823</v>
      </c>
      <c r="B1153" s="637" t="n"/>
      <c r="C1153" s="637" t="n"/>
      <c r="D1153" s="637" t="n"/>
      <c r="E1153" s="637" t="n"/>
    </row>
    <row r="1154">
      <c r="A1154" s="544" t="n">
        <v>30824</v>
      </c>
      <c r="B1154" s="637" t="n"/>
      <c r="C1154" s="637" t="n"/>
      <c r="D1154" s="637" t="n"/>
      <c r="E1154" s="637" t="n"/>
    </row>
    <row r="1155">
      <c r="A1155" s="544" t="n">
        <v>30825</v>
      </c>
      <c r="B1155" s="637" t="n"/>
      <c r="C1155" s="637" t="n"/>
      <c r="D1155" s="637" t="n"/>
      <c r="E1155" s="637" t="n"/>
    </row>
    <row r="1156">
      <c r="A1156" s="544" t="n">
        <v>30826</v>
      </c>
      <c r="B1156" s="637" t="n"/>
      <c r="C1156" s="637" t="n"/>
      <c r="D1156" s="637" t="n"/>
      <c r="E1156" s="637" t="n"/>
    </row>
    <row r="1157">
      <c r="A1157" s="544" t="n">
        <v>30827</v>
      </c>
      <c r="B1157" s="637" t="n"/>
      <c r="C1157" s="637" t="n"/>
      <c r="D1157" s="637" t="n"/>
      <c r="E1157" s="637" t="n"/>
    </row>
    <row r="1158">
      <c r="A1158" s="544" t="n">
        <v>30830</v>
      </c>
      <c r="B1158" s="637" t="n"/>
      <c r="C1158" s="637" t="n"/>
      <c r="D1158" s="637" t="n"/>
      <c r="E1158" s="637" t="n"/>
    </row>
    <row r="1159">
      <c r="A1159" s="544" t="n">
        <v>30831</v>
      </c>
      <c r="B1159" s="637" t="n"/>
      <c r="C1159" s="637" t="n"/>
      <c r="D1159" s="637" t="n"/>
      <c r="E1159" s="637" t="n"/>
    </row>
    <row r="1160">
      <c r="A1160" s="544" t="n">
        <v>30832</v>
      </c>
      <c r="B1160" s="637" t="n"/>
      <c r="C1160" s="637" t="n"/>
      <c r="D1160" s="637" t="n"/>
      <c r="E1160" s="637" t="n"/>
    </row>
    <row r="1161">
      <c r="A1161" s="544" t="n">
        <v>30833</v>
      </c>
      <c r="B1161" s="637" t="n"/>
      <c r="C1161" s="637" t="n"/>
      <c r="D1161" s="637" t="n"/>
      <c r="E1161" s="637" t="n"/>
    </row>
    <row r="1162">
      <c r="A1162" s="544" t="n">
        <v>30834</v>
      </c>
      <c r="B1162" s="637" t="n"/>
      <c r="C1162" s="637" t="n"/>
      <c r="D1162" s="637" t="n"/>
      <c r="E1162" s="637" t="n"/>
    </row>
    <row r="1163">
      <c r="A1163" s="544" t="n">
        <v>30837</v>
      </c>
      <c r="B1163" s="637" t="n"/>
      <c r="C1163" s="637" t="n"/>
      <c r="D1163" s="637" t="n"/>
      <c r="E1163" s="637" t="n"/>
    </row>
    <row r="1164">
      <c r="A1164" s="544" t="n">
        <v>30838</v>
      </c>
      <c r="B1164" s="637" t="n"/>
      <c r="C1164" s="637" t="n"/>
      <c r="D1164" s="637" t="n"/>
      <c r="E1164" s="637" t="n"/>
    </row>
    <row r="1165">
      <c r="A1165" s="544" t="n">
        <v>30839</v>
      </c>
      <c r="B1165" s="637" t="n"/>
      <c r="C1165" s="637" t="n"/>
      <c r="D1165" s="637" t="n"/>
      <c r="E1165" s="637" t="n"/>
    </row>
    <row r="1166">
      <c r="A1166" s="544" t="n">
        <v>30840</v>
      </c>
      <c r="B1166" s="637" t="n"/>
      <c r="C1166" s="637" t="n"/>
      <c r="D1166" s="637" t="n"/>
      <c r="E1166" s="637" t="n"/>
    </row>
    <row r="1167">
      <c r="A1167" s="544" t="n">
        <v>30841</v>
      </c>
      <c r="B1167" s="637" t="n"/>
      <c r="C1167" s="637" t="n"/>
      <c r="D1167" s="637" t="n"/>
      <c r="E1167" s="637" t="n"/>
    </row>
    <row r="1168">
      <c r="A1168" s="544" t="n">
        <v>30844</v>
      </c>
      <c r="B1168" s="637" t="n"/>
      <c r="C1168" s="637" t="n"/>
      <c r="D1168" s="637" t="n"/>
      <c r="E1168" s="637" t="n"/>
    </row>
    <row r="1169">
      <c r="A1169" s="544" t="n">
        <v>30845</v>
      </c>
      <c r="B1169" s="637" t="n"/>
      <c r="C1169" s="637" t="n"/>
      <c r="D1169" s="637" t="n"/>
      <c r="E1169" s="637" t="n"/>
    </row>
    <row r="1170">
      <c r="A1170" s="544" t="n">
        <v>30846</v>
      </c>
      <c r="B1170" s="637" t="n"/>
      <c r="C1170" s="637" t="n"/>
      <c r="D1170" s="637" t="n"/>
      <c r="E1170" s="637" t="n"/>
    </row>
    <row r="1171">
      <c r="A1171" s="544" t="n">
        <v>30847</v>
      </c>
      <c r="B1171" s="637" t="n"/>
      <c r="C1171" s="637" t="n"/>
      <c r="D1171" s="637" t="n"/>
      <c r="E1171" s="637" t="n"/>
    </row>
    <row r="1172">
      <c r="A1172" s="544" t="n">
        <v>30848</v>
      </c>
      <c r="B1172" s="637" t="n"/>
      <c r="C1172" s="637" t="n"/>
      <c r="D1172" s="637" t="n"/>
      <c r="E1172" s="637" t="n"/>
    </row>
    <row r="1173">
      <c r="A1173" s="544" t="n">
        <v>30851</v>
      </c>
      <c r="B1173" s="637" t="n"/>
      <c r="C1173" s="637" t="n"/>
      <c r="D1173" s="637" t="n"/>
      <c r="E1173" s="637" t="n"/>
    </row>
    <row r="1174">
      <c r="A1174" s="544" t="n">
        <v>30852</v>
      </c>
      <c r="B1174" s="637" t="n"/>
      <c r="C1174" s="637" t="n"/>
      <c r="D1174" s="637" t="n"/>
      <c r="E1174" s="637" t="n"/>
    </row>
    <row r="1175">
      <c r="A1175" s="544" t="n">
        <v>30853</v>
      </c>
      <c r="B1175" s="637" t="n"/>
      <c r="C1175" s="637" t="n"/>
      <c r="D1175" s="637" t="n"/>
      <c r="E1175" s="637" t="n"/>
    </row>
    <row r="1176">
      <c r="A1176" s="544" t="n">
        <v>30854</v>
      </c>
      <c r="B1176" s="637" t="n"/>
      <c r="C1176" s="637" t="n"/>
      <c r="D1176" s="637" t="n"/>
      <c r="E1176" s="637" t="n"/>
    </row>
    <row r="1177">
      <c r="A1177" s="544" t="n">
        <v>30855</v>
      </c>
      <c r="B1177" s="637" t="n"/>
      <c r="C1177" s="637" t="n"/>
      <c r="D1177" s="637" t="n"/>
      <c r="E1177" s="637" t="n"/>
    </row>
    <row r="1178">
      <c r="A1178" s="544" t="n">
        <v>30858</v>
      </c>
      <c r="B1178" s="637" t="n"/>
      <c r="C1178" s="637" t="n"/>
      <c r="D1178" s="637" t="n"/>
      <c r="E1178" s="637" t="n"/>
    </row>
    <row r="1179">
      <c r="A1179" s="544" t="n">
        <v>30859</v>
      </c>
      <c r="B1179" s="637" t="n"/>
      <c r="C1179" s="637" t="n"/>
      <c r="D1179" s="637" t="n"/>
      <c r="E1179" s="637" t="n"/>
    </row>
    <row r="1180">
      <c r="A1180" s="544" t="n">
        <v>30860</v>
      </c>
      <c r="B1180" s="637" t="n"/>
      <c r="C1180" s="637" t="n"/>
      <c r="D1180" s="637" t="n"/>
      <c r="E1180" s="637" t="n"/>
    </row>
    <row r="1181">
      <c r="A1181" s="544" t="n">
        <v>30861</v>
      </c>
      <c r="B1181" s="637" t="n"/>
      <c r="C1181" s="637" t="n"/>
      <c r="D1181" s="637" t="n"/>
      <c r="E1181" s="637" t="n"/>
    </row>
    <row r="1182">
      <c r="A1182" s="544" t="n">
        <v>30862</v>
      </c>
      <c r="B1182" s="637" t="n"/>
      <c r="C1182" s="637" t="n"/>
      <c r="D1182" s="637" t="n"/>
      <c r="E1182" s="637" t="n"/>
    </row>
    <row r="1183">
      <c r="A1183" s="544" t="n">
        <v>30865</v>
      </c>
      <c r="B1183" s="637" t="n"/>
      <c r="C1183" s="637" t="n"/>
      <c r="D1183" s="637" t="n"/>
      <c r="E1183" s="637" t="n"/>
    </row>
    <row r="1184">
      <c r="A1184" s="544" t="n">
        <v>30866</v>
      </c>
      <c r="B1184" s="637" t="n"/>
      <c r="C1184" s="637" t="n"/>
      <c r="D1184" s="637" t="n"/>
      <c r="E1184" s="637" t="n"/>
    </row>
    <row r="1185">
      <c r="A1185" s="544" t="n">
        <v>30867</v>
      </c>
      <c r="B1185" s="637" t="n"/>
      <c r="C1185" s="637" t="n"/>
      <c r="D1185" s="637" t="n"/>
      <c r="E1185" s="637" t="n"/>
    </row>
    <row r="1186">
      <c r="A1186" s="544" t="n">
        <v>30868</v>
      </c>
      <c r="B1186" s="637" t="n"/>
      <c r="C1186" s="637" t="n"/>
      <c r="D1186" s="637" t="n"/>
      <c r="E1186" s="637" t="n"/>
    </row>
    <row r="1187">
      <c r="A1187" s="544" t="n">
        <v>30869</v>
      </c>
      <c r="B1187" s="637" t="n"/>
      <c r="C1187" s="637" t="n"/>
      <c r="D1187" s="637" t="n"/>
      <c r="E1187" s="637" t="n"/>
    </row>
    <row r="1188">
      <c r="A1188" s="544" t="n">
        <v>30872</v>
      </c>
      <c r="B1188" s="637" t="n"/>
      <c r="C1188" s="637" t="n"/>
      <c r="D1188" s="637" t="n"/>
      <c r="E1188" s="637" t="n"/>
    </row>
    <row r="1189">
      <c r="A1189" s="544" t="n">
        <v>30873</v>
      </c>
      <c r="B1189" s="637" t="n"/>
      <c r="C1189" s="637" t="n"/>
      <c r="D1189" s="637" t="n"/>
      <c r="E1189" s="637" t="n"/>
    </row>
    <row r="1190">
      <c r="A1190" s="544" t="n">
        <v>30874</v>
      </c>
      <c r="B1190" s="637" t="n"/>
      <c r="C1190" s="637" t="n"/>
      <c r="D1190" s="637" t="n"/>
      <c r="E1190" s="637" t="n"/>
    </row>
    <row r="1191">
      <c r="A1191" s="544" t="n">
        <v>30875</v>
      </c>
      <c r="B1191" s="637" t="n"/>
      <c r="C1191" s="637" t="n"/>
      <c r="D1191" s="637" t="n"/>
      <c r="E1191" s="637" t="n"/>
    </row>
    <row r="1192">
      <c r="A1192" s="544" t="n">
        <v>30876</v>
      </c>
      <c r="B1192" s="637" t="n"/>
      <c r="C1192" s="637" t="n"/>
      <c r="D1192" s="637" t="n"/>
      <c r="E1192" s="637" t="n"/>
    </row>
    <row r="1193">
      <c r="A1193" s="544" t="n">
        <v>30879</v>
      </c>
      <c r="B1193" s="637" t="n"/>
      <c r="C1193" s="637" t="n"/>
      <c r="D1193" s="637" t="n"/>
      <c r="E1193" s="637" t="n"/>
    </row>
    <row r="1194">
      <c r="A1194" s="544" t="n">
        <v>30880</v>
      </c>
      <c r="B1194" s="637" t="n"/>
      <c r="C1194" s="637" t="n"/>
      <c r="D1194" s="637" t="n"/>
      <c r="E1194" s="637" t="n"/>
    </row>
    <row r="1195">
      <c r="A1195" s="544" t="n">
        <v>30881</v>
      </c>
      <c r="B1195" s="637" t="n"/>
      <c r="C1195" s="637" t="n"/>
      <c r="D1195" s="637" t="n"/>
      <c r="E1195" s="637" t="n"/>
    </row>
    <row r="1196">
      <c r="A1196" s="544" t="n">
        <v>30882</v>
      </c>
      <c r="B1196" s="637" t="n"/>
      <c r="C1196" s="637" t="n"/>
      <c r="D1196" s="637" t="n"/>
      <c r="E1196" s="637" t="n"/>
    </row>
    <row r="1197">
      <c r="A1197" s="544" t="n">
        <v>30883</v>
      </c>
      <c r="B1197" s="637" t="n"/>
      <c r="C1197" s="637" t="n"/>
      <c r="D1197" s="637" t="n"/>
      <c r="E1197" s="637" t="n"/>
    </row>
    <row r="1198">
      <c r="A1198" s="544" t="n">
        <v>30886</v>
      </c>
      <c r="B1198" s="637" t="n"/>
      <c r="C1198" s="637" t="n"/>
      <c r="D1198" s="637" t="n"/>
      <c r="E1198" s="637" t="n"/>
    </row>
    <row r="1199">
      <c r="A1199" s="544" t="n">
        <v>30887</v>
      </c>
      <c r="B1199" s="637" t="n"/>
      <c r="C1199" s="637" t="n"/>
      <c r="D1199" s="637" t="n"/>
      <c r="E1199" s="637" t="n"/>
    </row>
    <row r="1200">
      <c r="A1200" s="544" t="n">
        <v>30888</v>
      </c>
      <c r="B1200" s="637" t="n"/>
      <c r="C1200" s="637" t="n"/>
      <c r="D1200" s="637" t="n"/>
      <c r="E1200" s="637" t="n"/>
    </row>
    <row r="1201">
      <c r="A1201" s="544" t="n">
        <v>30889</v>
      </c>
      <c r="B1201" s="637" t="n"/>
      <c r="C1201" s="637" t="n"/>
      <c r="D1201" s="637" t="n"/>
      <c r="E1201" s="637" t="n"/>
    </row>
    <row r="1202">
      <c r="A1202" s="544" t="n">
        <v>30890</v>
      </c>
      <c r="B1202" s="637" t="n"/>
      <c r="C1202" s="637" t="n"/>
      <c r="D1202" s="637" t="n"/>
      <c r="E1202" s="637" t="n"/>
    </row>
    <row r="1203">
      <c r="A1203" s="544" t="n">
        <v>30893</v>
      </c>
      <c r="B1203" s="637" t="n"/>
      <c r="C1203" s="637" t="n"/>
      <c r="D1203" s="637" t="n"/>
      <c r="E1203" s="637" t="n"/>
    </row>
    <row r="1204">
      <c r="A1204" s="544" t="n">
        <v>30894</v>
      </c>
      <c r="B1204" s="637" t="n"/>
      <c r="C1204" s="637" t="n"/>
      <c r="D1204" s="637" t="n"/>
      <c r="E1204" s="637" t="n"/>
    </row>
    <row r="1205">
      <c r="A1205" s="544" t="n">
        <v>30895</v>
      </c>
      <c r="B1205" s="637" t="n"/>
      <c r="C1205" s="637" t="n"/>
      <c r="D1205" s="637" t="n"/>
      <c r="E1205" s="637" t="n"/>
    </row>
    <row r="1206">
      <c r="A1206" s="544" t="n">
        <v>30896</v>
      </c>
      <c r="B1206" s="637" t="n"/>
      <c r="C1206" s="637" t="n"/>
      <c r="D1206" s="637" t="n"/>
      <c r="E1206" s="637" t="n"/>
    </row>
    <row r="1207">
      <c r="A1207" s="544" t="n">
        <v>30897</v>
      </c>
      <c r="B1207" s="637" t="n"/>
      <c r="C1207" s="637" t="n"/>
      <c r="D1207" s="637" t="n"/>
      <c r="E1207" s="637" t="n"/>
    </row>
    <row r="1208">
      <c r="A1208" s="544" t="n">
        <v>30900</v>
      </c>
      <c r="B1208" s="637" t="n"/>
      <c r="C1208" s="637" t="n"/>
      <c r="D1208" s="637" t="n"/>
      <c r="E1208" s="637" t="n"/>
    </row>
    <row r="1209">
      <c r="A1209" s="544" t="n">
        <v>30901</v>
      </c>
      <c r="B1209" s="637" t="n"/>
      <c r="C1209" s="637" t="n"/>
      <c r="D1209" s="637" t="n"/>
      <c r="E1209" s="637" t="n"/>
    </row>
    <row r="1210">
      <c r="A1210" s="544" t="n">
        <v>30902</v>
      </c>
      <c r="B1210" s="637" t="n"/>
      <c r="C1210" s="637" t="n"/>
      <c r="D1210" s="637" t="n"/>
      <c r="E1210" s="637" t="n"/>
    </row>
    <row r="1211">
      <c r="A1211" s="544" t="n">
        <v>30903</v>
      </c>
      <c r="B1211" s="637" t="n"/>
      <c r="C1211" s="637" t="n"/>
      <c r="D1211" s="637" t="n"/>
      <c r="E1211" s="637" t="n"/>
    </row>
    <row r="1212">
      <c r="A1212" s="544" t="n">
        <v>30904</v>
      </c>
      <c r="B1212" s="637" t="n"/>
      <c r="C1212" s="637" t="n"/>
      <c r="D1212" s="637" t="n"/>
      <c r="E1212" s="637" t="n"/>
    </row>
    <row r="1213">
      <c r="A1213" s="544" t="n">
        <v>30907</v>
      </c>
      <c r="B1213" s="637" t="n"/>
      <c r="C1213" s="637" t="n"/>
      <c r="D1213" s="637" t="n"/>
      <c r="E1213" s="637" t="n"/>
    </row>
    <row r="1214">
      <c r="A1214" s="544" t="n">
        <v>30908</v>
      </c>
      <c r="B1214" s="637" t="n"/>
      <c r="C1214" s="637" t="n"/>
      <c r="D1214" s="637" t="n"/>
      <c r="E1214" s="637" t="n"/>
    </row>
    <row r="1215">
      <c r="A1215" s="544" t="n">
        <v>30909</v>
      </c>
      <c r="B1215" s="637" t="n"/>
      <c r="C1215" s="637" t="n"/>
      <c r="D1215" s="637" t="n"/>
      <c r="E1215" s="637" t="n"/>
    </row>
    <row r="1216">
      <c r="A1216" s="544" t="n">
        <v>30910</v>
      </c>
      <c r="B1216" s="637" t="n"/>
      <c r="C1216" s="637" t="n"/>
      <c r="D1216" s="637" t="n"/>
      <c r="E1216" s="637" t="n"/>
    </row>
    <row r="1217">
      <c r="A1217" s="544" t="n">
        <v>30911</v>
      </c>
      <c r="B1217" s="637" t="n"/>
      <c r="C1217" s="637" t="n"/>
      <c r="D1217" s="637" t="n"/>
      <c r="E1217" s="637" t="n"/>
    </row>
    <row r="1218">
      <c r="A1218" s="544" t="n">
        <v>30914</v>
      </c>
      <c r="B1218" s="637" t="n"/>
      <c r="C1218" s="637" t="n"/>
      <c r="D1218" s="637" t="n"/>
      <c r="E1218" s="637" t="n"/>
    </row>
    <row r="1219">
      <c r="A1219" s="544" t="n">
        <v>30915</v>
      </c>
      <c r="B1219" s="637" t="n"/>
      <c r="C1219" s="637" t="n"/>
      <c r="D1219" s="637" t="n"/>
      <c r="E1219" s="637" t="n"/>
    </row>
    <row r="1220">
      <c r="A1220" s="544" t="n">
        <v>30916</v>
      </c>
      <c r="B1220" s="637" t="n"/>
      <c r="C1220" s="637" t="n"/>
      <c r="D1220" s="637" t="n"/>
      <c r="E1220" s="637" t="n"/>
    </row>
    <row r="1221">
      <c r="A1221" s="544" t="n">
        <v>30917</v>
      </c>
      <c r="B1221" s="637" t="n"/>
      <c r="C1221" s="637" t="n"/>
      <c r="D1221" s="637" t="n"/>
      <c r="E1221" s="637" t="n"/>
    </row>
    <row r="1222">
      <c r="A1222" s="544" t="n">
        <v>30918</v>
      </c>
      <c r="B1222" s="637" t="n"/>
      <c r="C1222" s="637" t="n"/>
      <c r="D1222" s="637" t="n"/>
      <c r="E1222" s="637" t="n"/>
    </row>
    <row r="1223">
      <c r="A1223" s="544" t="n">
        <v>30921</v>
      </c>
      <c r="B1223" s="637" t="n"/>
      <c r="C1223" s="637" t="n"/>
      <c r="D1223" s="637" t="n"/>
      <c r="E1223" s="637" t="n"/>
    </row>
    <row r="1224">
      <c r="A1224" s="544" t="n">
        <v>30922</v>
      </c>
      <c r="B1224" s="637" t="n"/>
      <c r="C1224" s="637" t="n"/>
      <c r="D1224" s="637" t="n"/>
      <c r="E1224" s="637" t="n"/>
    </row>
    <row r="1225">
      <c r="A1225" s="544" t="n">
        <v>30923</v>
      </c>
      <c r="B1225" s="637" t="n"/>
      <c r="C1225" s="637" t="n"/>
      <c r="D1225" s="637" t="n"/>
      <c r="E1225" s="637" t="n"/>
    </row>
    <row r="1226">
      <c r="A1226" s="544" t="n">
        <v>30924</v>
      </c>
      <c r="B1226" s="637" t="n"/>
      <c r="C1226" s="637" t="n"/>
      <c r="D1226" s="637" t="n"/>
      <c r="E1226" s="637" t="n"/>
    </row>
    <row r="1227">
      <c r="A1227" s="544" t="n">
        <v>30925</v>
      </c>
      <c r="B1227" s="637" t="n"/>
      <c r="C1227" s="637" t="n"/>
      <c r="D1227" s="637" t="n"/>
      <c r="E1227" s="637" t="n"/>
    </row>
    <row r="1228">
      <c r="A1228" s="544" t="n">
        <v>30928</v>
      </c>
      <c r="B1228" s="637" t="n"/>
      <c r="C1228" s="637" t="n"/>
      <c r="D1228" s="637" t="n"/>
      <c r="E1228" s="637" t="n"/>
    </row>
    <row r="1229">
      <c r="A1229" s="544" t="n">
        <v>30929</v>
      </c>
      <c r="B1229" s="637" t="n"/>
      <c r="C1229" s="637" t="n"/>
      <c r="D1229" s="637" t="n"/>
      <c r="E1229" s="637" t="n"/>
    </row>
    <row r="1230">
      <c r="A1230" s="544" t="n">
        <v>30930</v>
      </c>
      <c r="B1230" s="637" t="n"/>
      <c r="C1230" s="637" t="n"/>
      <c r="D1230" s="637" t="n"/>
      <c r="E1230" s="637" t="n"/>
    </row>
    <row r="1231">
      <c r="A1231" s="544" t="n">
        <v>30931</v>
      </c>
      <c r="B1231" s="637" t="n"/>
      <c r="C1231" s="637" t="n"/>
      <c r="D1231" s="637" t="n"/>
      <c r="E1231" s="637" t="n"/>
    </row>
    <row r="1232">
      <c r="A1232" s="544" t="n">
        <v>30932</v>
      </c>
      <c r="B1232" s="637" t="n"/>
      <c r="C1232" s="637" t="n"/>
      <c r="D1232" s="637" t="n"/>
      <c r="E1232" s="637" t="n"/>
    </row>
    <row r="1233">
      <c r="A1233" s="544" t="n">
        <v>30935</v>
      </c>
      <c r="B1233" s="637" t="n"/>
      <c r="C1233" s="637" t="n"/>
      <c r="D1233" s="637" t="n"/>
      <c r="E1233" s="637" t="n"/>
    </row>
    <row r="1234">
      <c r="A1234" s="544" t="n">
        <v>30936</v>
      </c>
      <c r="B1234" s="637" t="n"/>
      <c r="C1234" s="637" t="n"/>
      <c r="D1234" s="637" t="n"/>
      <c r="E1234" s="637" t="n"/>
    </row>
    <row r="1235">
      <c r="A1235" s="544" t="n">
        <v>30937</v>
      </c>
      <c r="B1235" s="637" t="n"/>
      <c r="C1235" s="637" t="n"/>
      <c r="D1235" s="637" t="n"/>
      <c r="E1235" s="637" t="n"/>
    </row>
    <row r="1236">
      <c r="A1236" s="544" t="n">
        <v>30938</v>
      </c>
      <c r="B1236" s="637" t="n"/>
      <c r="C1236" s="637" t="n"/>
      <c r="D1236" s="637" t="n"/>
      <c r="E1236" s="637" t="n"/>
    </row>
    <row r="1237">
      <c r="A1237" s="544" t="n">
        <v>30939</v>
      </c>
      <c r="B1237" s="637" t="n"/>
      <c r="C1237" s="637" t="n"/>
      <c r="D1237" s="637" t="n"/>
      <c r="E1237" s="637" t="n"/>
    </row>
    <row r="1238">
      <c r="A1238" s="544" t="n">
        <v>30942</v>
      </c>
      <c r="B1238" s="637" t="n"/>
      <c r="C1238" s="637" t="n"/>
      <c r="D1238" s="637" t="n"/>
      <c r="E1238" s="637" t="n"/>
    </row>
    <row r="1239">
      <c r="A1239" s="544" t="n">
        <v>30943</v>
      </c>
      <c r="B1239" s="637" t="n"/>
      <c r="C1239" s="637" t="n"/>
      <c r="D1239" s="637" t="n"/>
      <c r="E1239" s="637" t="n"/>
    </row>
    <row r="1240">
      <c r="A1240" s="544" t="n">
        <v>30944</v>
      </c>
      <c r="B1240" s="637" t="n"/>
      <c r="C1240" s="637" t="n"/>
      <c r="D1240" s="637" t="n"/>
      <c r="E1240" s="637" t="n"/>
    </row>
    <row r="1241">
      <c r="A1241" s="544" t="n">
        <v>30945</v>
      </c>
      <c r="B1241" s="637" t="n"/>
      <c r="C1241" s="637" t="n"/>
      <c r="D1241" s="637" t="n"/>
      <c r="E1241" s="637" t="n"/>
    </row>
    <row r="1242">
      <c r="A1242" s="544" t="n">
        <v>30946</v>
      </c>
      <c r="B1242" s="637" t="n"/>
      <c r="C1242" s="637" t="n"/>
      <c r="D1242" s="637" t="n"/>
      <c r="E1242" s="637" t="n"/>
    </row>
    <row r="1243">
      <c r="A1243" s="544" t="n">
        <v>30949</v>
      </c>
      <c r="B1243" s="637" t="n"/>
      <c r="C1243" s="637" t="n"/>
      <c r="D1243" s="637" t="n"/>
      <c r="E1243" s="637" t="n"/>
    </row>
    <row r="1244">
      <c r="A1244" s="544" t="n">
        <v>30950</v>
      </c>
      <c r="B1244" s="637" t="n"/>
      <c r="C1244" s="637" t="n"/>
      <c r="D1244" s="637" t="n"/>
      <c r="E1244" s="637" t="n"/>
    </row>
    <row r="1245">
      <c r="A1245" s="544" t="n">
        <v>30951</v>
      </c>
      <c r="B1245" s="637" t="n"/>
      <c r="C1245" s="637" t="n"/>
      <c r="D1245" s="637" t="n"/>
      <c r="E1245" s="637" t="n"/>
    </row>
    <row r="1246">
      <c r="A1246" s="544" t="n">
        <v>30952</v>
      </c>
      <c r="B1246" s="637" t="n"/>
      <c r="C1246" s="637" t="n"/>
      <c r="D1246" s="637" t="n"/>
      <c r="E1246" s="637" t="n"/>
    </row>
    <row r="1247">
      <c r="A1247" s="544" t="n">
        <v>30953</v>
      </c>
      <c r="B1247" s="637" t="n"/>
      <c r="C1247" s="637" t="n"/>
      <c r="D1247" s="637" t="n"/>
      <c r="E1247" s="637" t="n"/>
    </row>
    <row r="1248">
      <c r="A1248" s="544" t="n">
        <v>30956</v>
      </c>
      <c r="B1248" s="637" t="n"/>
      <c r="C1248" s="637" t="n"/>
      <c r="D1248" s="637" t="n"/>
      <c r="E1248" s="637" t="n"/>
    </row>
    <row r="1249">
      <c r="A1249" s="544" t="n">
        <v>30957</v>
      </c>
      <c r="B1249" s="637" t="n"/>
      <c r="C1249" s="637" t="n"/>
      <c r="D1249" s="637" t="n"/>
      <c r="E1249" s="637" t="n"/>
    </row>
    <row r="1250">
      <c r="A1250" s="544" t="n">
        <v>30958</v>
      </c>
      <c r="B1250" s="637" t="n"/>
      <c r="C1250" s="637" t="n"/>
      <c r="D1250" s="637" t="n"/>
      <c r="E1250" s="637" t="n"/>
    </row>
    <row r="1251">
      <c r="A1251" s="544" t="n">
        <v>30959</v>
      </c>
      <c r="B1251" s="637" t="n"/>
      <c r="C1251" s="637" t="n"/>
      <c r="D1251" s="637" t="n"/>
      <c r="E1251" s="637" t="n"/>
    </row>
    <row r="1252">
      <c r="A1252" s="544" t="n">
        <v>30960</v>
      </c>
      <c r="B1252" s="637" t="n"/>
      <c r="C1252" s="637" t="n"/>
      <c r="D1252" s="637" t="n"/>
      <c r="E1252" s="637" t="n"/>
    </row>
    <row r="1253">
      <c r="A1253" s="544" t="n">
        <v>30963</v>
      </c>
      <c r="B1253" s="637" t="n"/>
      <c r="C1253" s="637" t="n"/>
      <c r="D1253" s="637" t="n"/>
      <c r="E1253" s="637" t="n"/>
    </row>
    <row r="1254">
      <c r="A1254" s="544" t="n">
        <v>30964</v>
      </c>
      <c r="B1254" s="637" t="n"/>
      <c r="C1254" s="637" t="n"/>
      <c r="D1254" s="637" t="n"/>
      <c r="E1254" s="637" t="n"/>
    </row>
    <row r="1255">
      <c r="A1255" s="544" t="n">
        <v>30965</v>
      </c>
      <c r="B1255" s="637" t="n"/>
      <c r="C1255" s="637" t="n"/>
      <c r="D1255" s="637" t="n"/>
      <c r="E1255" s="637" t="n"/>
    </row>
    <row r="1256">
      <c r="A1256" s="544" t="n">
        <v>30966</v>
      </c>
      <c r="B1256" s="637" t="n"/>
      <c r="C1256" s="637" t="n"/>
      <c r="D1256" s="637" t="n"/>
      <c r="E1256" s="637" t="n"/>
    </row>
    <row r="1257">
      <c r="A1257" s="544" t="n">
        <v>30967</v>
      </c>
      <c r="B1257" s="637" t="n"/>
      <c r="C1257" s="637" t="n"/>
      <c r="D1257" s="637" t="n"/>
      <c r="E1257" s="637" t="n"/>
    </row>
    <row r="1258">
      <c r="A1258" s="544" t="n">
        <v>30970</v>
      </c>
      <c r="B1258" s="637" t="n"/>
      <c r="C1258" s="637" t="n"/>
      <c r="D1258" s="637" t="n"/>
      <c r="E1258" s="637" t="n"/>
    </row>
    <row r="1259">
      <c r="A1259" s="544" t="n">
        <v>30971</v>
      </c>
      <c r="B1259" s="637" t="n"/>
      <c r="C1259" s="637" t="n"/>
      <c r="D1259" s="637" t="n"/>
      <c r="E1259" s="637" t="n"/>
    </row>
    <row r="1260">
      <c r="A1260" s="544" t="n">
        <v>30972</v>
      </c>
      <c r="B1260" s="637" t="n"/>
      <c r="C1260" s="637" t="n"/>
      <c r="D1260" s="637" t="n"/>
      <c r="E1260" s="637" t="n"/>
    </row>
    <row r="1261">
      <c r="A1261" s="544" t="n">
        <v>30973</v>
      </c>
      <c r="B1261" s="637" t="n"/>
      <c r="C1261" s="637" t="n"/>
      <c r="D1261" s="637" t="n"/>
      <c r="E1261" s="637" t="n"/>
    </row>
    <row r="1262">
      <c r="A1262" s="544" t="n">
        <v>30974</v>
      </c>
      <c r="B1262" s="637" t="n"/>
      <c r="C1262" s="637" t="n"/>
      <c r="D1262" s="637" t="n"/>
      <c r="E1262" s="637" t="n"/>
    </row>
    <row r="1263">
      <c r="A1263" s="544" t="n">
        <v>30977</v>
      </c>
      <c r="B1263" s="637" t="n"/>
      <c r="C1263" s="637" t="n"/>
      <c r="D1263" s="637" t="n"/>
      <c r="E1263" s="637" t="n"/>
    </row>
    <row r="1264">
      <c r="A1264" s="544" t="n">
        <v>30978</v>
      </c>
      <c r="B1264" s="637" t="n"/>
      <c r="C1264" s="637" t="n"/>
      <c r="D1264" s="637" t="n"/>
      <c r="E1264" s="637" t="n"/>
    </row>
    <row r="1265">
      <c r="A1265" s="544" t="n">
        <v>30979</v>
      </c>
      <c r="B1265" s="637" t="n"/>
      <c r="C1265" s="637" t="n"/>
      <c r="D1265" s="637" t="n"/>
      <c r="E1265" s="637" t="n"/>
    </row>
    <row r="1266">
      <c r="A1266" s="544" t="n">
        <v>30980</v>
      </c>
      <c r="B1266" s="637" t="n"/>
      <c r="C1266" s="637" t="n"/>
      <c r="D1266" s="637" t="n"/>
      <c r="E1266" s="637" t="n"/>
    </row>
    <row r="1267">
      <c r="A1267" s="544" t="n">
        <v>30981</v>
      </c>
      <c r="B1267" s="637" t="n"/>
      <c r="C1267" s="637" t="n"/>
      <c r="D1267" s="637" t="n"/>
      <c r="E1267" s="637" t="n"/>
    </row>
    <row r="1268">
      <c r="A1268" s="544" t="n">
        <v>30984</v>
      </c>
      <c r="B1268" s="637" t="n"/>
      <c r="C1268" s="637" t="n"/>
      <c r="D1268" s="637" t="n"/>
      <c r="E1268" s="637" t="n"/>
    </row>
    <row r="1269">
      <c r="A1269" s="544" t="n">
        <v>30985</v>
      </c>
      <c r="B1269" s="637" t="n"/>
      <c r="C1269" s="637" t="n"/>
      <c r="D1269" s="637" t="n"/>
      <c r="E1269" s="637" t="n"/>
    </row>
    <row r="1270">
      <c r="A1270" s="544" t="n">
        <v>30986</v>
      </c>
      <c r="B1270" s="637" t="n"/>
      <c r="C1270" s="637" t="n"/>
      <c r="D1270" s="637" t="n"/>
      <c r="E1270" s="637" t="n"/>
    </row>
    <row r="1271">
      <c r="A1271" s="544" t="n">
        <v>30987</v>
      </c>
      <c r="B1271" s="637" t="n"/>
      <c r="C1271" s="637" t="n"/>
      <c r="D1271" s="637" t="n"/>
      <c r="E1271" s="637" t="n"/>
    </row>
    <row r="1272">
      <c r="A1272" s="544" t="n">
        <v>30988</v>
      </c>
      <c r="B1272" s="637" t="n"/>
      <c r="C1272" s="637" t="n"/>
      <c r="D1272" s="637" t="n"/>
      <c r="E1272" s="637" t="n"/>
    </row>
    <row r="1273">
      <c r="A1273" s="544" t="n">
        <v>30991</v>
      </c>
      <c r="B1273" s="637" t="n"/>
      <c r="C1273" s="637" t="n"/>
      <c r="D1273" s="637" t="n"/>
      <c r="E1273" s="637" t="n"/>
    </row>
    <row r="1274">
      <c r="A1274" s="544" t="n">
        <v>30992</v>
      </c>
      <c r="B1274" s="637" t="n"/>
      <c r="C1274" s="637" t="n"/>
      <c r="D1274" s="637" t="n"/>
      <c r="E1274" s="637" t="n"/>
    </row>
    <row r="1275">
      <c r="A1275" s="544" t="n">
        <v>30993</v>
      </c>
      <c r="B1275" s="637" t="n"/>
      <c r="C1275" s="637" t="n"/>
      <c r="D1275" s="637" t="n"/>
      <c r="E1275" s="637" t="n"/>
    </row>
    <row r="1276">
      <c r="A1276" s="544" t="n">
        <v>30994</v>
      </c>
      <c r="B1276" s="637" t="n"/>
      <c r="C1276" s="637" t="n"/>
      <c r="D1276" s="637" t="n"/>
      <c r="E1276" s="637" t="n"/>
    </row>
    <row r="1277">
      <c r="A1277" s="544" t="n">
        <v>30995</v>
      </c>
      <c r="B1277" s="637" t="n"/>
      <c r="C1277" s="637" t="n"/>
      <c r="D1277" s="637" t="n"/>
      <c r="E1277" s="637" t="n"/>
    </row>
    <row r="1278">
      <c r="A1278" s="544" t="n">
        <v>30998</v>
      </c>
      <c r="B1278" s="637" t="n"/>
      <c r="C1278" s="637" t="n"/>
      <c r="D1278" s="637" t="n"/>
      <c r="E1278" s="637" t="n"/>
    </row>
    <row r="1279">
      <c r="A1279" s="544" t="n">
        <v>30999</v>
      </c>
      <c r="B1279" s="637" t="n"/>
      <c r="C1279" s="637" t="n"/>
      <c r="D1279" s="637" t="n"/>
      <c r="E1279" s="637" t="n"/>
    </row>
    <row r="1280">
      <c r="A1280" s="544" t="n">
        <v>31000</v>
      </c>
      <c r="B1280" s="637" t="n"/>
      <c r="C1280" s="637" t="n"/>
      <c r="D1280" s="637" t="n"/>
      <c r="E1280" s="637" t="n"/>
    </row>
    <row r="1281">
      <c r="A1281" s="544" t="n">
        <v>31001</v>
      </c>
      <c r="B1281" s="637" t="n"/>
      <c r="C1281" s="637" t="n"/>
      <c r="D1281" s="637" t="n"/>
      <c r="E1281" s="637" t="n"/>
    </row>
    <row r="1282">
      <c r="A1282" s="544" t="n">
        <v>31002</v>
      </c>
      <c r="B1282" s="637" t="n"/>
      <c r="C1282" s="637" t="n"/>
      <c r="D1282" s="637" t="n"/>
      <c r="E1282" s="637" t="n"/>
    </row>
    <row r="1283">
      <c r="A1283" s="544" t="n">
        <v>31005</v>
      </c>
      <c r="B1283" s="637" t="n"/>
      <c r="C1283" s="637" t="n"/>
      <c r="D1283" s="637" t="n"/>
      <c r="E1283" s="637" t="n"/>
    </row>
    <row r="1284">
      <c r="A1284" s="544" t="n">
        <v>31006</v>
      </c>
      <c r="B1284" s="637" t="n"/>
      <c r="C1284" s="637" t="n"/>
      <c r="D1284" s="637" t="n"/>
      <c r="E1284" s="637" t="n"/>
    </row>
    <row r="1285">
      <c r="A1285" s="544" t="n">
        <v>31007</v>
      </c>
      <c r="B1285" s="637" t="n"/>
      <c r="C1285" s="637" t="n"/>
      <c r="D1285" s="637" t="n"/>
      <c r="E1285" s="637" t="n"/>
    </row>
    <row r="1286">
      <c r="A1286" s="544" t="n">
        <v>31008</v>
      </c>
      <c r="B1286" s="637" t="n"/>
      <c r="C1286" s="637" t="n"/>
      <c r="D1286" s="637" t="n"/>
      <c r="E1286" s="637" t="n"/>
    </row>
    <row r="1287">
      <c r="A1287" s="544" t="n">
        <v>31009</v>
      </c>
      <c r="B1287" s="637" t="n"/>
      <c r="C1287" s="637" t="n"/>
      <c r="D1287" s="637" t="n"/>
      <c r="E1287" s="637" t="n"/>
    </row>
    <row r="1288">
      <c r="A1288" s="544" t="n">
        <v>31012</v>
      </c>
      <c r="B1288" s="637" t="n"/>
      <c r="C1288" s="637" t="n"/>
      <c r="D1288" s="637" t="n"/>
      <c r="E1288" s="637" t="n"/>
    </row>
    <row r="1289">
      <c r="A1289" s="544" t="n">
        <v>31013</v>
      </c>
      <c r="B1289" s="637" t="n"/>
      <c r="C1289" s="637" t="n"/>
      <c r="D1289" s="637" t="n"/>
      <c r="E1289" s="637" t="n"/>
    </row>
    <row r="1290">
      <c r="A1290" s="544" t="n">
        <v>31014</v>
      </c>
      <c r="B1290" s="637" t="n"/>
      <c r="C1290" s="637" t="n"/>
      <c r="D1290" s="637" t="n"/>
      <c r="E1290" s="637" t="n"/>
    </row>
    <row r="1291">
      <c r="A1291" s="544" t="n">
        <v>31015</v>
      </c>
      <c r="B1291" s="637" t="n"/>
      <c r="C1291" s="637" t="n"/>
      <c r="D1291" s="637" t="n"/>
      <c r="E1291" s="637" t="n"/>
    </row>
    <row r="1292">
      <c r="A1292" s="544" t="n">
        <v>31016</v>
      </c>
      <c r="B1292" s="637" t="n"/>
      <c r="C1292" s="637" t="n"/>
      <c r="D1292" s="637" t="n"/>
      <c r="E1292" s="637" t="n"/>
    </row>
    <row r="1293">
      <c r="A1293" s="544" t="n">
        <v>31019</v>
      </c>
      <c r="B1293" s="637" t="n"/>
      <c r="C1293" s="637" t="n"/>
      <c r="D1293" s="637" t="n"/>
      <c r="E1293" s="637" t="n"/>
    </row>
    <row r="1294">
      <c r="A1294" s="544" t="n">
        <v>31020</v>
      </c>
      <c r="B1294" s="637" t="n"/>
      <c r="C1294" s="637" t="n"/>
      <c r="D1294" s="637" t="n"/>
      <c r="E1294" s="637" t="n"/>
    </row>
    <row r="1295">
      <c r="A1295" s="544" t="n">
        <v>31021</v>
      </c>
      <c r="B1295" s="637" t="n"/>
      <c r="C1295" s="637" t="n"/>
      <c r="D1295" s="637" t="n"/>
      <c r="E1295" s="637" t="n"/>
    </row>
    <row r="1296">
      <c r="A1296" s="544" t="n">
        <v>31022</v>
      </c>
      <c r="B1296" s="637" t="n"/>
      <c r="C1296" s="637" t="n"/>
      <c r="D1296" s="637" t="n"/>
      <c r="E1296" s="637" t="n"/>
    </row>
    <row r="1297">
      <c r="A1297" s="544" t="n">
        <v>31023</v>
      </c>
      <c r="B1297" s="637" t="n"/>
      <c r="C1297" s="637" t="n"/>
      <c r="D1297" s="637" t="n"/>
      <c r="E1297" s="637" t="n"/>
    </row>
    <row r="1298">
      <c r="A1298" s="544" t="n">
        <v>31026</v>
      </c>
      <c r="B1298" s="637" t="n"/>
      <c r="C1298" s="637" t="n"/>
      <c r="D1298" s="637" t="n"/>
      <c r="E1298" s="637" t="n"/>
    </row>
    <row r="1299">
      <c r="A1299" s="544" t="n">
        <v>31027</v>
      </c>
      <c r="B1299" s="637" t="n"/>
      <c r="C1299" s="637" t="n"/>
      <c r="D1299" s="637" t="n"/>
      <c r="E1299" s="637" t="n"/>
    </row>
    <row r="1300">
      <c r="A1300" s="544" t="n">
        <v>31028</v>
      </c>
      <c r="B1300" s="637" t="n"/>
      <c r="C1300" s="637" t="n"/>
      <c r="D1300" s="637" t="n"/>
      <c r="E1300" s="637" t="n"/>
    </row>
    <row r="1301">
      <c r="A1301" s="544" t="n">
        <v>31029</v>
      </c>
      <c r="B1301" s="637" t="n"/>
      <c r="C1301" s="637" t="n"/>
      <c r="D1301" s="637" t="n"/>
      <c r="E1301" s="637" t="n"/>
    </row>
    <row r="1302">
      <c r="A1302" s="544" t="n">
        <v>31030</v>
      </c>
      <c r="B1302" s="637" t="n"/>
      <c r="C1302" s="637" t="n"/>
      <c r="D1302" s="637" t="n"/>
      <c r="E1302" s="637" t="n"/>
    </row>
    <row r="1303">
      <c r="A1303" s="544" t="n">
        <v>31033</v>
      </c>
      <c r="B1303" s="637" t="n"/>
      <c r="C1303" s="637" t="n"/>
      <c r="D1303" s="637" t="n"/>
      <c r="E1303" s="637" t="n"/>
    </row>
    <row r="1304">
      <c r="A1304" s="544" t="n">
        <v>31034</v>
      </c>
      <c r="B1304" s="637" t="n"/>
      <c r="C1304" s="637" t="n"/>
      <c r="D1304" s="637" t="n"/>
      <c r="E1304" s="637" t="n"/>
    </row>
    <row r="1305">
      <c r="A1305" s="544" t="n">
        <v>31035</v>
      </c>
      <c r="B1305" s="637" t="n"/>
      <c r="C1305" s="637" t="n"/>
      <c r="D1305" s="637" t="n"/>
      <c r="E1305" s="637" t="n"/>
    </row>
    <row r="1306">
      <c r="A1306" s="544" t="n">
        <v>31036</v>
      </c>
      <c r="B1306" s="637" t="n"/>
      <c r="C1306" s="637" t="n"/>
      <c r="D1306" s="637" t="n"/>
      <c r="E1306" s="637" t="n"/>
    </row>
    <row r="1307">
      <c r="A1307" s="544" t="n">
        <v>31037</v>
      </c>
      <c r="B1307" s="637" t="n"/>
      <c r="C1307" s="637" t="n"/>
      <c r="D1307" s="637" t="n"/>
      <c r="E1307" s="637" t="n"/>
    </row>
    <row r="1308">
      <c r="A1308" s="544" t="n">
        <v>31040</v>
      </c>
      <c r="B1308" s="637" t="n"/>
      <c r="C1308" s="637" t="n"/>
      <c r="D1308" s="637" t="n"/>
      <c r="E1308" s="637" t="n"/>
    </row>
    <row r="1309">
      <c r="A1309" s="544" t="n">
        <v>31041</v>
      </c>
      <c r="B1309" s="637" t="n"/>
      <c r="C1309" s="637" t="n"/>
      <c r="D1309" s="637" t="n"/>
      <c r="E1309" s="637" t="n"/>
    </row>
    <row r="1310">
      <c r="A1310" s="544" t="n">
        <v>31042</v>
      </c>
      <c r="B1310" s="637" t="n"/>
      <c r="C1310" s="637" t="n"/>
      <c r="D1310" s="637" t="n"/>
      <c r="E1310" s="637" t="n"/>
    </row>
    <row r="1311">
      <c r="A1311" s="544" t="n">
        <v>31043</v>
      </c>
      <c r="B1311" s="637" t="n"/>
      <c r="C1311" s="637" t="n"/>
      <c r="D1311" s="637" t="n"/>
      <c r="E1311" s="637" t="n"/>
    </row>
    <row r="1312">
      <c r="A1312" s="544" t="n">
        <v>31044</v>
      </c>
      <c r="B1312" s="637" t="n"/>
      <c r="C1312" s="637" t="n"/>
      <c r="D1312" s="637" t="n"/>
      <c r="E1312" s="637" t="n"/>
    </row>
    <row r="1313">
      <c r="A1313" s="544" t="n">
        <v>31047</v>
      </c>
      <c r="B1313" s="637" t="n"/>
      <c r="C1313" s="637" t="n"/>
      <c r="D1313" s="637" t="n"/>
      <c r="E1313" s="637" t="n"/>
    </row>
    <row r="1314">
      <c r="A1314" s="544" t="n">
        <v>31048</v>
      </c>
      <c r="B1314" s="637" t="n"/>
      <c r="C1314" s="637" t="n"/>
      <c r="D1314" s="637" t="n"/>
      <c r="E1314" s="637" t="n"/>
    </row>
    <row r="1315">
      <c r="A1315" s="544" t="n">
        <v>31049</v>
      </c>
      <c r="B1315" s="637" t="n"/>
      <c r="C1315" s="637" t="n"/>
      <c r="D1315" s="637" t="n"/>
      <c r="E1315" s="637" t="n"/>
    </row>
    <row r="1316">
      <c r="A1316" s="544" t="n">
        <v>31050</v>
      </c>
      <c r="B1316" s="637" t="n"/>
      <c r="C1316" s="637" t="n"/>
      <c r="D1316" s="637" t="n"/>
      <c r="E1316" s="637" t="n"/>
    </row>
    <row r="1317">
      <c r="A1317" s="544" t="n">
        <v>31051</v>
      </c>
      <c r="B1317" s="637" t="n"/>
      <c r="C1317" s="637" t="n"/>
      <c r="D1317" s="637" t="n"/>
      <c r="E1317" s="637" t="n"/>
    </row>
    <row r="1318">
      <c r="A1318" s="544" t="n">
        <v>31054</v>
      </c>
      <c r="B1318" s="637" t="n"/>
      <c r="C1318" s="637" t="n"/>
      <c r="D1318" s="637" t="n"/>
      <c r="E1318" s="637" t="n"/>
    </row>
    <row r="1319">
      <c r="A1319" s="544" t="n">
        <v>31055</v>
      </c>
      <c r="B1319" s="637" t="n"/>
      <c r="C1319" s="637" t="n"/>
      <c r="D1319" s="637" t="n"/>
      <c r="E1319" s="637" t="n"/>
    </row>
    <row r="1320">
      <c r="A1320" s="544" t="n">
        <v>31056</v>
      </c>
      <c r="B1320" s="637" t="n"/>
      <c r="C1320" s="637" t="n"/>
      <c r="D1320" s="637" t="n"/>
      <c r="E1320" s="637" t="n"/>
    </row>
    <row r="1321">
      <c r="A1321" s="544" t="n">
        <v>31057</v>
      </c>
      <c r="B1321" s="637" t="n"/>
      <c r="C1321" s="637" t="n"/>
      <c r="D1321" s="637" t="n"/>
      <c r="E1321" s="637" t="n"/>
    </row>
    <row r="1322">
      <c r="A1322" s="544" t="n">
        <v>31058</v>
      </c>
      <c r="B1322" s="637" t="n"/>
      <c r="C1322" s="637" t="n"/>
      <c r="D1322" s="637" t="n"/>
      <c r="E1322" s="637" t="n"/>
    </row>
    <row r="1323">
      <c r="A1323" s="544" t="n">
        <v>31061</v>
      </c>
      <c r="B1323" s="637" t="n"/>
      <c r="C1323" s="637" t="n"/>
      <c r="D1323" s="637" t="n"/>
      <c r="E1323" s="637" t="n"/>
    </row>
    <row r="1324">
      <c r="A1324" s="544" t="n">
        <v>31062</v>
      </c>
      <c r="B1324" s="637" t="n"/>
      <c r="C1324" s="637" t="n"/>
      <c r="D1324" s="637" t="n"/>
      <c r="E1324" s="637" t="n"/>
    </row>
    <row r="1325">
      <c r="A1325" s="544" t="n">
        <v>31063</v>
      </c>
      <c r="B1325" s="637" t="n"/>
      <c r="C1325" s="637" t="n"/>
      <c r="D1325" s="637" t="n"/>
      <c r="E1325" s="637" t="n"/>
    </row>
    <row r="1326">
      <c r="A1326" s="544" t="n">
        <v>31064</v>
      </c>
      <c r="B1326" s="637" t="n"/>
      <c r="C1326" s="637" t="n"/>
      <c r="D1326" s="637" t="n"/>
      <c r="E1326" s="637" t="n"/>
    </row>
    <row r="1327">
      <c r="A1327" s="544" t="n">
        <v>31065</v>
      </c>
      <c r="B1327" s="637" t="n"/>
      <c r="C1327" s="637" t="n"/>
      <c r="D1327" s="637" t="n"/>
      <c r="E1327" s="637" t="n"/>
    </row>
    <row r="1328">
      <c r="A1328" s="544" t="n">
        <v>31068</v>
      </c>
      <c r="B1328" s="637" t="n"/>
      <c r="C1328" s="637" t="n"/>
      <c r="D1328" s="637" t="n"/>
      <c r="E1328" s="637" t="n"/>
    </row>
    <row r="1329">
      <c r="A1329" s="544" t="n">
        <v>31069</v>
      </c>
      <c r="B1329" s="637" t="n"/>
      <c r="C1329" s="637" t="n"/>
      <c r="D1329" s="637" t="n"/>
      <c r="E1329" s="637" t="n"/>
    </row>
    <row r="1330">
      <c r="A1330" s="544" t="n">
        <v>31070</v>
      </c>
      <c r="B1330" s="637" t="n"/>
      <c r="C1330" s="637" t="n"/>
      <c r="D1330" s="637" t="n"/>
      <c r="E1330" s="637" t="n"/>
    </row>
    <row r="1331">
      <c r="A1331" s="544" t="n">
        <v>31071</v>
      </c>
      <c r="B1331" s="637" t="n"/>
      <c r="C1331" s="637" t="n"/>
      <c r="D1331" s="637" t="n"/>
      <c r="E1331" s="637" t="n"/>
    </row>
    <row r="1332">
      <c r="A1332" s="544" t="n">
        <v>31072</v>
      </c>
      <c r="B1332" s="637" t="n"/>
      <c r="C1332" s="637" t="n"/>
      <c r="D1332" s="637" t="n"/>
      <c r="E1332" s="637" t="n"/>
    </row>
    <row r="1333">
      <c r="A1333" s="544" t="n">
        <v>31075</v>
      </c>
      <c r="B1333" s="637" t="n"/>
      <c r="C1333" s="637" t="n"/>
      <c r="D1333" s="637" t="n"/>
      <c r="E1333" s="637" t="n"/>
    </row>
    <row r="1334">
      <c r="A1334" s="544" t="n">
        <v>31076</v>
      </c>
      <c r="B1334" s="637" t="n"/>
      <c r="C1334" s="637" t="n"/>
      <c r="D1334" s="637" t="n"/>
      <c r="E1334" s="637" t="n"/>
    </row>
    <row r="1335">
      <c r="A1335" s="544" t="n">
        <v>31077</v>
      </c>
      <c r="B1335" s="637" t="n"/>
      <c r="C1335" s="637" t="n"/>
      <c r="D1335" s="637" t="n"/>
      <c r="E1335" s="637" t="n"/>
    </row>
    <row r="1336">
      <c r="A1336" s="544" t="n">
        <v>31078</v>
      </c>
      <c r="B1336" s="637" t="n"/>
      <c r="C1336" s="637" t="n"/>
      <c r="D1336" s="637" t="n"/>
      <c r="E1336" s="637" t="n"/>
    </row>
    <row r="1337">
      <c r="A1337" s="544" t="n">
        <v>31079</v>
      </c>
      <c r="B1337" s="637" t="n"/>
      <c r="C1337" s="637" t="n"/>
      <c r="D1337" s="637" t="n"/>
      <c r="E1337" s="637" t="n"/>
    </row>
    <row r="1338">
      <c r="A1338" s="544" t="n">
        <v>31082</v>
      </c>
      <c r="B1338" s="637" t="n"/>
      <c r="C1338" s="637" t="n"/>
      <c r="D1338" s="637" t="n"/>
      <c r="E1338" s="637" t="n"/>
    </row>
    <row r="1339">
      <c r="A1339" s="544" t="n">
        <v>31083</v>
      </c>
      <c r="B1339" s="637" t="n"/>
      <c r="C1339" s="637" t="n"/>
      <c r="D1339" s="637" t="n"/>
      <c r="E1339" s="637" t="n"/>
    </row>
    <row r="1340">
      <c r="A1340" s="544" t="n">
        <v>31084</v>
      </c>
      <c r="B1340" s="637" t="n"/>
      <c r="C1340" s="637" t="n"/>
      <c r="D1340" s="637" t="n"/>
      <c r="E1340" s="637" t="n"/>
    </row>
    <row r="1341">
      <c r="A1341" s="544" t="n">
        <v>31085</v>
      </c>
      <c r="B1341" s="637" t="n"/>
      <c r="C1341" s="637" t="n"/>
      <c r="D1341" s="637" t="n"/>
      <c r="E1341" s="637" t="n"/>
    </row>
    <row r="1342">
      <c r="A1342" s="544" t="n">
        <v>31086</v>
      </c>
      <c r="B1342" s="637" t="n"/>
      <c r="C1342" s="637" t="n"/>
      <c r="D1342" s="637" t="n"/>
      <c r="E1342" s="637" t="n"/>
    </row>
    <row r="1343">
      <c r="A1343" s="544" t="n">
        <v>31089</v>
      </c>
      <c r="B1343" s="637" t="n"/>
      <c r="C1343" s="637" t="n"/>
      <c r="D1343" s="637" t="n"/>
      <c r="E1343" s="637" t="n"/>
    </row>
    <row r="1344">
      <c r="A1344" s="544" t="n">
        <v>31090</v>
      </c>
      <c r="B1344" s="637" t="n"/>
      <c r="C1344" s="637" t="n"/>
      <c r="D1344" s="637" t="n"/>
      <c r="E1344" s="637" t="n"/>
    </row>
    <row r="1345">
      <c r="A1345" s="544" t="n">
        <v>31091</v>
      </c>
      <c r="B1345" s="637" t="n"/>
      <c r="C1345" s="637" t="n"/>
      <c r="D1345" s="637" t="n"/>
      <c r="E1345" s="637" t="n"/>
    </row>
    <row r="1346">
      <c r="A1346" s="544" t="n">
        <v>31092</v>
      </c>
      <c r="B1346" s="637" t="n"/>
      <c r="C1346" s="637" t="n"/>
      <c r="D1346" s="637" t="n"/>
      <c r="E1346" s="637" t="n"/>
    </row>
    <row r="1347">
      <c r="A1347" s="544" t="n">
        <v>31093</v>
      </c>
      <c r="B1347" s="637" t="n"/>
      <c r="C1347" s="637" t="n"/>
      <c r="D1347" s="637" t="n"/>
      <c r="E1347" s="637" t="n"/>
    </row>
    <row r="1348">
      <c r="A1348" s="544" t="n">
        <v>31096</v>
      </c>
      <c r="B1348" s="637" t="n"/>
      <c r="C1348" s="637" t="n"/>
      <c r="D1348" s="637" t="n"/>
      <c r="E1348" s="637" t="n"/>
    </row>
    <row r="1349">
      <c r="A1349" s="544" t="n">
        <v>31097</v>
      </c>
      <c r="B1349" s="637" t="n"/>
      <c r="C1349" s="637" t="n"/>
      <c r="D1349" s="637" t="n"/>
      <c r="E1349" s="637" t="n"/>
    </row>
    <row r="1350">
      <c r="A1350" s="544" t="n">
        <v>31098</v>
      </c>
      <c r="B1350" s="637" t="n"/>
      <c r="C1350" s="637" t="n"/>
      <c r="D1350" s="637" t="n"/>
      <c r="E1350" s="637" t="n"/>
    </row>
    <row r="1351">
      <c r="A1351" s="544" t="n">
        <v>31099</v>
      </c>
      <c r="B1351" s="637" t="n"/>
      <c r="C1351" s="637" t="n"/>
      <c r="D1351" s="637" t="n"/>
      <c r="E1351" s="637" t="n"/>
    </row>
    <row r="1352">
      <c r="A1352" s="544" t="n">
        <v>31100</v>
      </c>
      <c r="B1352" s="637" t="n"/>
      <c r="C1352" s="637" t="n"/>
      <c r="D1352" s="637" t="n"/>
      <c r="E1352" s="637" t="n"/>
    </row>
    <row r="1353">
      <c r="A1353" s="544" t="n">
        <v>31103</v>
      </c>
      <c r="B1353" s="637" t="n"/>
      <c r="C1353" s="637" t="n"/>
      <c r="D1353" s="637" t="n"/>
      <c r="E1353" s="637" t="n"/>
    </row>
    <row r="1354">
      <c r="A1354" s="544" t="n">
        <v>31104</v>
      </c>
      <c r="B1354" s="637" t="n"/>
      <c r="C1354" s="637" t="n"/>
      <c r="D1354" s="637" t="n"/>
      <c r="E1354" s="637" t="n"/>
    </row>
    <row r="1355">
      <c r="A1355" s="544" t="n">
        <v>31105</v>
      </c>
      <c r="B1355" s="637" t="n"/>
      <c r="C1355" s="637" t="n"/>
      <c r="D1355" s="637" t="n"/>
      <c r="E1355" s="637" t="n"/>
    </row>
    <row r="1356">
      <c r="A1356" s="544" t="n">
        <v>31106</v>
      </c>
      <c r="B1356" s="637" t="n"/>
      <c r="C1356" s="637" t="n"/>
      <c r="D1356" s="637" t="n"/>
      <c r="E1356" s="637" t="n"/>
    </row>
    <row r="1357">
      <c r="A1357" s="544" t="n">
        <v>31107</v>
      </c>
      <c r="B1357" s="637" t="n"/>
      <c r="C1357" s="637" t="n"/>
      <c r="D1357" s="637" t="n"/>
      <c r="E1357" s="637" t="n"/>
    </row>
    <row r="1358">
      <c r="A1358" s="544" t="n">
        <v>31110</v>
      </c>
      <c r="B1358" s="637" t="n"/>
      <c r="C1358" s="637" t="n"/>
      <c r="D1358" s="637" t="n"/>
      <c r="E1358" s="637" t="n"/>
    </row>
    <row r="1359">
      <c r="A1359" s="544" t="n">
        <v>31111</v>
      </c>
      <c r="B1359" s="637" t="n"/>
      <c r="C1359" s="637" t="n"/>
      <c r="D1359" s="637" t="n"/>
      <c r="E1359" s="637" t="n"/>
    </row>
    <row r="1360">
      <c r="A1360" s="544" t="n">
        <v>31112</v>
      </c>
      <c r="B1360" s="637" t="n"/>
      <c r="C1360" s="637" t="n"/>
      <c r="D1360" s="637" t="n"/>
      <c r="E1360" s="637" t="n"/>
    </row>
    <row r="1361">
      <c r="A1361" s="544" t="n">
        <v>31113</v>
      </c>
      <c r="B1361" s="637" t="n"/>
      <c r="C1361" s="637" t="n"/>
      <c r="D1361" s="637" t="n"/>
      <c r="E1361" s="637" t="n"/>
    </row>
    <row r="1362">
      <c r="A1362" s="544" t="n">
        <v>31114</v>
      </c>
      <c r="B1362" s="637" t="n"/>
      <c r="C1362" s="637" t="n"/>
      <c r="D1362" s="637" t="n"/>
      <c r="E1362" s="637" t="n"/>
    </row>
    <row r="1363">
      <c r="A1363" s="544" t="n">
        <v>31117</v>
      </c>
      <c r="B1363" s="637" t="n"/>
      <c r="C1363" s="637" t="n"/>
      <c r="D1363" s="637" t="n"/>
      <c r="E1363" s="637" t="n"/>
    </row>
    <row r="1364">
      <c r="A1364" s="544" t="n">
        <v>31118</v>
      </c>
      <c r="B1364" s="637" t="n"/>
      <c r="C1364" s="637" t="n"/>
      <c r="D1364" s="637" t="n"/>
      <c r="E1364" s="637" t="n"/>
    </row>
    <row r="1365">
      <c r="A1365" s="544" t="n">
        <v>31119</v>
      </c>
      <c r="B1365" s="637" t="n"/>
      <c r="C1365" s="637" t="n"/>
      <c r="D1365" s="637" t="n"/>
      <c r="E1365" s="637" t="n"/>
    </row>
    <row r="1366">
      <c r="A1366" s="544" t="n">
        <v>31120</v>
      </c>
      <c r="B1366" s="637" t="n"/>
      <c r="C1366" s="637" t="n"/>
      <c r="D1366" s="637" t="n"/>
      <c r="E1366" s="637" t="n"/>
    </row>
    <row r="1367">
      <c r="A1367" s="544" t="n">
        <v>31121</v>
      </c>
      <c r="B1367" s="637" t="n"/>
      <c r="C1367" s="637" t="n"/>
      <c r="D1367" s="637" t="n"/>
      <c r="E1367" s="637" t="n"/>
    </row>
    <row r="1368">
      <c r="A1368" s="544" t="n">
        <v>31124</v>
      </c>
      <c r="B1368" s="637" t="n"/>
      <c r="C1368" s="637" t="n"/>
      <c r="D1368" s="637" t="n"/>
      <c r="E1368" s="637" t="n"/>
    </row>
    <row r="1369">
      <c r="A1369" s="544" t="n">
        <v>31125</v>
      </c>
      <c r="B1369" s="637" t="n"/>
      <c r="C1369" s="637" t="n"/>
      <c r="D1369" s="637" t="n"/>
      <c r="E1369" s="637" t="n"/>
    </row>
    <row r="1370">
      <c r="A1370" s="544" t="n">
        <v>31126</v>
      </c>
      <c r="B1370" s="637" t="n"/>
      <c r="C1370" s="637" t="n"/>
      <c r="D1370" s="637" t="n"/>
      <c r="E1370" s="637" t="n"/>
    </row>
    <row r="1371">
      <c r="A1371" s="544" t="n">
        <v>31127</v>
      </c>
      <c r="B1371" s="637" t="n"/>
      <c r="C1371" s="637" t="n"/>
      <c r="D1371" s="637" t="n"/>
      <c r="E1371" s="637" t="n"/>
    </row>
    <row r="1372">
      <c r="A1372" s="544" t="n">
        <v>31128</v>
      </c>
      <c r="B1372" s="637" t="n"/>
      <c r="C1372" s="637" t="n"/>
      <c r="D1372" s="637" t="n"/>
      <c r="E1372" s="637" t="n"/>
    </row>
    <row r="1373">
      <c r="A1373" s="544" t="n">
        <v>31131</v>
      </c>
      <c r="B1373" s="637" t="n"/>
      <c r="C1373" s="637" t="n"/>
      <c r="D1373" s="637" t="n"/>
      <c r="E1373" s="637" t="n"/>
    </row>
    <row r="1374">
      <c r="A1374" s="544" t="n">
        <v>31132</v>
      </c>
      <c r="B1374" s="637" t="n"/>
      <c r="C1374" s="637" t="n"/>
      <c r="D1374" s="637" t="n"/>
      <c r="E1374" s="637" t="n"/>
    </row>
    <row r="1375">
      <c r="A1375" s="544" t="n">
        <v>31133</v>
      </c>
      <c r="B1375" s="637" t="n"/>
      <c r="C1375" s="637" t="n"/>
      <c r="D1375" s="637" t="n"/>
      <c r="E1375" s="637" t="n"/>
    </row>
    <row r="1376">
      <c r="A1376" s="544" t="n">
        <v>31134</v>
      </c>
      <c r="B1376" s="637" t="n"/>
      <c r="C1376" s="637" t="n"/>
      <c r="D1376" s="637" t="n"/>
      <c r="E1376" s="637" t="n"/>
    </row>
    <row r="1377">
      <c r="A1377" s="544" t="n">
        <v>31135</v>
      </c>
      <c r="B1377" s="637" t="n"/>
      <c r="C1377" s="637" t="n"/>
      <c r="D1377" s="637" t="n"/>
      <c r="E1377" s="637" t="n"/>
    </row>
    <row r="1378">
      <c r="A1378" s="544" t="n">
        <v>31138</v>
      </c>
      <c r="B1378" s="637" t="n"/>
      <c r="C1378" s="637" t="n"/>
      <c r="D1378" s="637" t="n"/>
      <c r="E1378" s="637" t="n"/>
    </row>
    <row r="1379">
      <c r="A1379" s="544" t="n">
        <v>31139</v>
      </c>
      <c r="B1379" s="637" t="n"/>
      <c r="C1379" s="637" t="n"/>
      <c r="D1379" s="637" t="n"/>
      <c r="E1379" s="637" t="n"/>
    </row>
    <row r="1380">
      <c r="A1380" s="544" t="n">
        <v>31140</v>
      </c>
      <c r="B1380" s="637" t="n"/>
      <c r="C1380" s="637" t="n"/>
      <c r="D1380" s="637" t="n"/>
      <c r="E1380" s="637" t="n"/>
    </row>
    <row r="1381">
      <c r="A1381" s="544" t="n">
        <v>31141</v>
      </c>
      <c r="B1381" s="637" t="n"/>
      <c r="C1381" s="637" t="n"/>
      <c r="D1381" s="637" t="n"/>
      <c r="E1381" s="637" t="n"/>
    </row>
    <row r="1382">
      <c r="A1382" s="544" t="n">
        <v>31142</v>
      </c>
      <c r="B1382" s="637" t="n"/>
      <c r="C1382" s="637" t="n"/>
      <c r="D1382" s="637" t="n"/>
      <c r="E1382" s="637" t="n"/>
    </row>
    <row r="1383">
      <c r="A1383" s="544" t="n">
        <v>31145</v>
      </c>
      <c r="B1383" s="637" t="n"/>
      <c r="C1383" s="637" t="n"/>
      <c r="D1383" s="637" t="n"/>
      <c r="E1383" s="637" t="n"/>
    </row>
    <row r="1384">
      <c r="A1384" s="544" t="n">
        <v>31146</v>
      </c>
      <c r="B1384" s="637" t="n"/>
      <c r="C1384" s="637" t="n"/>
      <c r="D1384" s="637" t="n"/>
      <c r="E1384" s="637" t="n"/>
    </row>
    <row r="1385">
      <c r="A1385" s="544" t="n">
        <v>31147</v>
      </c>
      <c r="B1385" s="637" t="n"/>
      <c r="C1385" s="637" t="n"/>
      <c r="D1385" s="637" t="n"/>
      <c r="E1385" s="637" t="n"/>
    </row>
    <row r="1386">
      <c r="A1386" s="544" t="n">
        <v>31148</v>
      </c>
      <c r="B1386" s="637" t="n"/>
      <c r="C1386" s="637" t="n"/>
      <c r="D1386" s="637" t="n"/>
      <c r="E1386" s="637" t="n"/>
    </row>
    <row r="1387">
      <c r="A1387" s="544" t="n">
        <v>31149</v>
      </c>
      <c r="B1387" s="637" t="n"/>
      <c r="C1387" s="637" t="n"/>
      <c r="D1387" s="637" t="n"/>
      <c r="E1387" s="637" t="n"/>
    </row>
    <row r="1388">
      <c r="A1388" s="544" t="n">
        <v>31152</v>
      </c>
      <c r="B1388" s="637" t="n"/>
      <c r="C1388" s="637" t="n"/>
      <c r="D1388" s="637" t="n"/>
      <c r="E1388" s="637" t="n"/>
    </row>
    <row r="1389">
      <c r="A1389" s="544" t="n">
        <v>31153</v>
      </c>
      <c r="B1389" s="637" t="n"/>
      <c r="C1389" s="637" t="n"/>
      <c r="D1389" s="637" t="n"/>
      <c r="E1389" s="637" t="n"/>
    </row>
    <row r="1390">
      <c r="A1390" s="544" t="n">
        <v>31154</v>
      </c>
      <c r="B1390" s="637" t="n"/>
      <c r="C1390" s="637" t="n"/>
      <c r="D1390" s="637" t="n"/>
      <c r="E1390" s="637" t="n"/>
    </row>
    <row r="1391">
      <c r="A1391" s="544" t="n">
        <v>31155</v>
      </c>
      <c r="B1391" s="637" t="n"/>
      <c r="C1391" s="637" t="n"/>
      <c r="D1391" s="637" t="n"/>
      <c r="E1391" s="637" t="n"/>
    </row>
    <row r="1392">
      <c r="A1392" s="544" t="n">
        <v>31156</v>
      </c>
      <c r="B1392" s="637" t="n"/>
      <c r="C1392" s="637" t="n"/>
      <c r="D1392" s="637" t="n"/>
      <c r="E1392" s="637" t="n"/>
    </row>
    <row r="1393">
      <c r="A1393" s="544" t="n">
        <v>31159</v>
      </c>
      <c r="B1393" s="637" t="n"/>
      <c r="C1393" s="637" t="n"/>
      <c r="D1393" s="637" t="n"/>
      <c r="E1393" s="637" t="n"/>
    </row>
    <row r="1394">
      <c r="A1394" s="544" t="n">
        <v>31160</v>
      </c>
      <c r="B1394" s="637" t="n"/>
      <c r="C1394" s="637" t="n"/>
      <c r="D1394" s="637" t="n"/>
      <c r="E1394" s="637" t="n"/>
    </row>
    <row r="1395">
      <c r="A1395" s="544" t="n">
        <v>31161</v>
      </c>
      <c r="B1395" s="637" t="n"/>
      <c r="C1395" s="637" t="n"/>
      <c r="D1395" s="637" t="n"/>
      <c r="E1395" s="637" t="n"/>
    </row>
    <row r="1396">
      <c r="A1396" s="544" t="n">
        <v>31162</v>
      </c>
      <c r="B1396" s="637" t="n"/>
      <c r="C1396" s="637" t="n"/>
      <c r="D1396" s="637" t="n"/>
      <c r="E1396" s="637" t="n"/>
    </row>
    <row r="1397">
      <c r="A1397" s="544" t="n">
        <v>31163</v>
      </c>
      <c r="B1397" s="637" t="n"/>
      <c r="C1397" s="637" t="n"/>
      <c r="D1397" s="637" t="n"/>
      <c r="E1397" s="637" t="n"/>
    </row>
    <row r="1398">
      <c r="A1398" s="544" t="n">
        <v>31166</v>
      </c>
      <c r="B1398" s="637" t="n"/>
      <c r="C1398" s="637" t="n"/>
      <c r="D1398" s="637" t="n"/>
      <c r="E1398" s="637" t="n"/>
    </row>
    <row r="1399">
      <c r="A1399" s="544" t="n">
        <v>31167</v>
      </c>
      <c r="B1399" s="637" t="n"/>
      <c r="C1399" s="637" t="n"/>
      <c r="D1399" s="637" t="n"/>
      <c r="E1399" s="637" t="n"/>
    </row>
    <row r="1400">
      <c r="A1400" s="544" t="n">
        <v>31168</v>
      </c>
      <c r="B1400" s="637" t="n"/>
      <c r="C1400" s="637" t="n"/>
      <c r="D1400" s="637" t="n"/>
      <c r="E1400" s="637" t="n"/>
    </row>
    <row r="1401">
      <c r="A1401" s="544" t="n">
        <v>31169</v>
      </c>
      <c r="B1401" s="637" t="n"/>
      <c r="C1401" s="637" t="n"/>
      <c r="D1401" s="637" t="n"/>
      <c r="E1401" s="637" t="n"/>
    </row>
    <row r="1402">
      <c r="A1402" s="544" t="n">
        <v>31170</v>
      </c>
      <c r="B1402" s="637" t="n"/>
      <c r="C1402" s="637" t="n"/>
      <c r="D1402" s="637" t="n"/>
      <c r="E1402" s="637" t="n"/>
    </row>
    <row r="1403">
      <c r="A1403" s="544" t="n">
        <v>31173</v>
      </c>
      <c r="B1403" s="637" t="n"/>
      <c r="C1403" s="637" t="n"/>
      <c r="D1403" s="637" t="n"/>
      <c r="E1403" s="637" t="n"/>
    </row>
    <row r="1404">
      <c r="A1404" s="544" t="n">
        <v>31174</v>
      </c>
      <c r="B1404" s="637" t="n"/>
      <c r="C1404" s="637" t="n"/>
      <c r="D1404" s="637" t="n"/>
      <c r="E1404" s="637" t="n"/>
    </row>
    <row r="1405">
      <c r="A1405" s="544" t="n">
        <v>31175</v>
      </c>
      <c r="B1405" s="637" t="n"/>
      <c r="C1405" s="637" t="n"/>
      <c r="D1405" s="637" t="n"/>
      <c r="E1405" s="637" t="n"/>
    </row>
    <row r="1406">
      <c r="A1406" s="544" t="n">
        <v>31176</v>
      </c>
      <c r="B1406" s="637" t="n"/>
      <c r="C1406" s="637" t="n"/>
      <c r="D1406" s="637" t="n"/>
      <c r="E1406" s="637" t="n"/>
    </row>
    <row r="1407">
      <c r="A1407" s="544" t="n">
        <v>31177</v>
      </c>
      <c r="B1407" s="637" t="n"/>
      <c r="C1407" s="637" t="n"/>
      <c r="D1407" s="637" t="n"/>
      <c r="E1407" s="637" t="n"/>
    </row>
    <row r="1408">
      <c r="A1408" s="544" t="n">
        <v>31180</v>
      </c>
      <c r="B1408" s="637" t="n"/>
      <c r="C1408" s="637" t="n"/>
      <c r="D1408" s="637" t="n"/>
      <c r="E1408" s="637" t="n"/>
    </row>
    <row r="1409">
      <c r="A1409" s="544" t="n">
        <v>31181</v>
      </c>
      <c r="B1409" s="637" t="n"/>
      <c r="C1409" s="637" t="n"/>
      <c r="D1409" s="637" t="n"/>
      <c r="E1409" s="637" t="n"/>
    </row>
    <row r="1410">
      <c r="A1410" s="544" t="n">
        <v>31182</v>
      </c>
      <c r="B1410" s="637" t="n"/>
      <c r="C1410" s="637" t="n"/>
      <c r="D1410" s="637" t="n"/>
      <c r="E1410" s="637" t="n"/>
    </row>
    <row r="1411">
      <c r="A1411" s="544" t="n">
        <v>31183</v>
      </c>
      <c r="B1411" s="637" t="n"/>
      <c r="C1411" s="637" t="n"/>
      <c r="D1411" s="637" t="n"/>
      <c r="E1411" s="637" t="n"/>
    </row>
    <row r="1412">
      <c r="A1412" s="544" t="n">
        <v>31184</v>
      </c>
      <c r="B1412" s="637" t="n"/>
      <c r="C1412" s="637" t="n"/>
      <c r="D1412" s="637" t="n"/>
      <c r="E1412" s="637" t="n"/>
    </row>
    <row r="1413">
      <c r="A1413" s="544" t="n">
        <v>31187</v>
      </c>
      <c r="B1413" s="637" t="n"/>
      <c r="C1413" s="637" t="n"/>
      <c r="D1413" s="637" t="n"/>
      <c r="E1413" s="637" t="n"/>
    </row>
    <row r="1414">
      <c r="A1414" s="544" t="n">
        <v>31188</v>
      </c>
      <c r="B1414" s="637" t="n"/>
      <c r="C1414" s="637" t="n"/>
      <c r="D1414" s="637" t="n"/>
      <c r="E1414" s="637" t="n"/>
    </row>
    <row r="1415">
      <c r="A1415" s="544" t="n">
        <v>31189</v>
      </c>
      <c r="B1415" s="637" t="n"/>
      <c r="C1415" s="637" t="n"/>
      <c r="D1415" s="637" t="n"/>
      <c r="E1415" s="637" t="n"/>
    </row>
    <row r="1416">
      <c r="A1416" s="544" t="n">
        <v>31190</v>
      </c>
      <c r="B1416" s="637" t="n"/>
      <c r="C1416" s="637" t="n"/>
      <c r="D1416" s="637" t="n"/>
      <c r="E1416" s="637" t="n"/>
    </row>
    <row r="1417">
      <c r="A1417" s="544" t="n">
        <v>31191</v>
      </c>
      <c r="B1417" s="637" t="n"/>
      <c r="C1417" s="637" t="n"/>
      <c r="D1417" s="637" t="n"/>
      <c r="E1417" s="637" t="n"/>
    </row>
    <row r="1418">
      <c r="A1418" s="544" t="n">
        <v>31194</v>
      </c>
      <c r="B1418" s="637" t="n"/>
      <c r="C1418" s="637" t="n"/>
      <c r="D1418" s="637" t="n"/>
      <c r="E1418" s="637" t="n"/>
    </row>
    <row r="1419">
      <c r="A1419" s="544" t="n">
        <v>31195</v>
      </c>
      <c r="B1419" s="637" t="n"/>
      <c r="C1419" s="637" t="n"/>
      <c r="D1419" s="637" t="n"/>
      <c r="E1419" s="637" t="n"/>
    </row>
    <row r="1420">
      <c r="A1420" s="544" t="n">
        <v>31196</v>
      </c>
      <c r="B1420" s="637" t="n"/>
      <c r="C1420" s="637" t="n"/>
      <c r="D1420" s="637" t="n"/>
      <c r="E1420" s="637" t="n"/>
    </row>
    <row r="1421">
      <c r="A1421" s="544" t="n">
        <v>31197</v>
      </c>
      <c r="B1421" s="637" t="n"/>
      <c r="C1421" s="637" t="n"/>
      <c r="D1421" s="637" t="n"/>
      <c r="E1421" s="637" t="n"/>
    </row>
    <row r="1422">
      <c r="A1422" s="544" t="n">
        <v>31198</v>
      </c>
      <c r="B1422" s="637" t="n"/>
      <c r="C1422" s="637" t="n"/>
      <c r="D1422" s="637" t="n"/>
      <c r="E1422" s="637" t="n"/>
    </row>
    <row r="1423">
      <c r="A1423" s="544" t="n">
        <v>31201</v>
      </c>
      <c r="B1423" s="637" t="n"/>
      <c r="C1423" s="637" t="n"/>
      <c r="D1423" s="637" t="n"/>
      <c r="E1423" s="637" t="n"/>
    </row>
    <row r="1424">
      <c r="A1424" s="544" t="n">
        <v>31202</v>
      </c>
      <c r="B1424" s="637" t="n"/>
      <c r="C1424" s="637" t="n"/>
      <c r="D1424" s="637" t="n"/>
      <c r="E1424" s="637" t="n"/>
    </row>
    <row r="1425">
      <c r="A1425" s="544" t="n">
        <v>31203</v>
      </c>
      <c r="B1425" s="637" t="n"/>
      <c r="C1425" s="637" t="n"/>
      <c r="D1425" s="637" t="n"/>
      <c r="E1425" s="637" t="n"/>
    </row>
    <row r="1426">
      <c r="A1426" s="544" t="n">
        <v>31204</v>
      </c>
      <c r="B1426" s="637" t="n"/>
      <c r="C1426" s="637" t="n"/>
      <c r="D1426" s="637" t="n"/>
      <c r="E1426" s="637" t="n"/>
    </row>
    <row r="1427">
      <c r="A1427" s="544" t="n">
        <v>31205</v>
      </c>
      <c r="B1427" s="637" t="n"/>
      <c r="C1427" s="637" t="n"/>
      <c r="D1427" s="637" t="n"/>
      <c r="E1427" s="637" t="n"/>
    </row>
    <row r="1428">
      <c r="A1428" s="544" t="n">
        <v>31208</v>
      </c>
      <c r="B1428" s="637" t="n"/>
      <c r="C1428" s="637" t="n"/>
      <c r="D1428" s="637" t="n"/>
      <c r="E1428" s="637" t="n"/>
    </row>
    <row r="1429">
      <c r="A1429" s="544" t="n">
        <v>31209</v>
      </c>
      <c r="B1429" s="637" t="n"/>
      <c r="C1429" s="637" t="n"/>
      <c r="D1429" s="637" t="n"/>
      <c r="E1429" s="637" t="n"/>
    </row>
    <row r="1430">
      <c r="A1430" s="544" t="n">
        <v>31210</v>
      </c>
      <c r="B1430" s="637" t="n"/>
      <c r="C1430" s="637" t="n"/>
      <c r="D1430" s="637" t="n"/>
      <c r="E1430" s="637" t="n"/>
    </row>
    <row r="1431">
      <c r="A1431" s="544" t="n">
        <v>31211</v>
      </c>
      <c r="B1431" s="637" t="n"/>
      <c r="C1431" s="637" t="n"/>
      <c r="D1431" s="637" t="n"/>
      <c r="E1431" s="637" t="n"/>
    </row>
    <row r="1432">
      <c r="A1432" s="544" t="n">
        <v>31212</v>
      </c>
      <c r="B1432" s="637" t="n"/>
      <c r="C1432" s="637" t="n"/>
      <c r="D1432" s="637" t="n"/>
      <c r="E1432" s="637" t="n"/>
    </row>
    <row r="1433">
      <c r="A1433" s="544" t="n">
        <v>31215</v>
      </c>
      <c r="B1433" s="637" t="n"/>
      <c r="C1433" s="637" t="n"/>
      <c r="D1433" s="637" t="n"/>
      <c r="E1433" s="637" t="n"/>
    </row>
    <row r="1434">
      <c r="A1434" s="544" t="n">
        <v>31216</v>
      </c>
      <c r="B1434" s="637" t="n"/>
      <c r="C1434" s="637" t="n"/>
      <c r="D1434" s="637" t="n"/>
      <c r="E1434" s="637" t="n"/>
    </row>
    <row r="1435">
      <c r="A1435" s="544" t="n">
        <v>31217</v>
      </c>
      <c r="B1435" s="637" t="n"/>
      <c r="C1435" s="637" t="n"/>
      <c r="D1435" s="637" t="n"/>
      <c r="E1435" s="637" t="n"/>
    </row>
    <row r="1436">
      <c r="A1436" s="544" t="n">
        <v>31218</v>
      </c>
      <c r="B1436" s="637" t="n"/>
      <c r="C1436" s="637" t="n"/>
      <c r="D1436" s="637" t="n"/>
      <c r="E1436" s="637" t="n"/>
    </row>
    <row r="1437">
      <c r="A1437" s="544" t="n">
        <v>31219</v>
      </c>
      <c r="B1437" s="637" t="n"/>
      <c r="C1437" s="637" t="n"/>
      <c r="D1437" s="637" t="n"/>
      <c r="E1437" s="637" t="n"/>
    </row>
    <row r="1438">
      <c r="A1438" s="544" t="n">
        <v>31222</v>
      </c>
      <c r="B1438" s="637" t="n"/>
      <c r="C1438" s="637" t="n"/>
      <c r="D1438" s="637" t="n"/>
      <c r="E1438" s="637" t="n"/>
    </row>
    <row r="1439">
      <c r="A1439" s="544" t="n">
        <v>31223</v>
      </c>
      <c r="B1439" s="637" t="n"/>
      <c r="C1439" s="637" t="n"/>
      <c r="D1439" s="637" t="n"/>
      <c r="E1439" s="637" t="n"/>
    </row>
    <row r="1440">
      <c r="A1440" s="544" t="n">
        <v>31224</v>
      </c>
      <c r="B1440" s="637" t="n"/>
      <c r="C1440" s="637" t="n"/>
      <c r="D1440" s="637" t="n"/>
      <c r="E1440" s="637" t="n"/>
    </row>
    <row r="1441">
      <c r="A1441" s="544" t="n">
        <v>31225</v>
      </c>
      <c r="B1441" s="637" t="n"/>
      <c r="C1441" s="637" t="n"/>
      <c r="D1441" s="637" t="n"/>
      <c r="E1441" s="637" t="n"/>
    </row>
    <row r="1442">
      <c r="A1442" s="544" t="n">
        <v>31226</v>
      </c>
      <c r="B1442" s="637" t="n"/>
      <c r="C1442" s="637" t="n"/>
      <c r="D1442" s="637" t="n"/>
      <c r="E1442" s="637" t="n"/>
    </row>
    <row r="1443">
      <c r="A1443" s="544" t="n">
        <v>31229</v>
      </c>
      <c r="B1443" s="637" t="n"/>
      <c r="C1443" s="637" t="n"/>
      <c r="D1443" s="637" t="n"/>
      <c r="E1443" s="637" t="n"/>
    </row>
    <row r="1444">
      <c r="A1444" s="544" t="n">
        <v>31230</v>
      </c>
      <c r="B1444" s="637" t="n"/>
      <c r="C1444" s="637" t="n"/>
      <c r="D1444" s="637" t="n"/>
      <c r="E1444" s="637" t="n"/>
    </row>
    <row r="1445">
      <c r="A1445" s="544" t="n">
        <v>31231</v>
      </c>
      <c r="B1445" s="637" t="n"/>
      <c r="C1445" s="637" t="n"/>
      <c r="D1445" s="637" t="n"/>
      <c r="E1445" s="637" t="n"/>
    </row>
    <row r="1446">
      <c r="A1446" s="544" t="n">
        <v>31232</v>
      </c>
      <c r="B1446" s="637" t="n"/>
      <c r="C1446" s="637" t="n"/>
      <c r="D1446" s="637" t="n"/>
      <c r="E1446" s="637" t="n"/>
    </row>
    <row r="1447">
      <c r="A1447" s="544" t="n">
        <v>31233</v>
      </c>
      <c r="B1447" s="637" t="n"/>
      <c r="C1447" s="637" t="n"/>
      <c r="D1447" s="637" t="n"/>
      <c r="E1447" s="637" t="n"/>
    </row>
    <row r="1448">
      <c r="A1448" s="544" t="n">
        <v>31236</v>
      </c>
      <c r="B1448" s="637" t="n"/>
      <c r="C1448" s="637" t="n"/>
      <c r="D1448" s="637" t="n"/>
      <c r="E1448" s="637" t="n"/>
    </row>
    <row r="1449">
      <c r="A1449" s="544" t="n">
        <v>31237</v>
      </c>
      <c r="B1449" s="637" t="n"/>
      <c r="C1449" s="637" t="n"/>
      <c r="D1449" s="637" t="n"/>
      <c r="E1449" s="637" t="n"/>
    </row>
    <row r="1450">
      <c r="A1450" s="544" t="n">
        <v>31238</v>
      </c>
      <c r="B1450" s="637" t="n"/>
      <c r="C1450" s="637" t="n"/>
      <c r="D1450" s="637" t="n"/>
      <c r="E1450" s="637" t="n"/>
    </row>
    <row r="1451">
      <c r="A1451" s="544" t="n">
        <v>31239</v>
      </c>
      <c r="B1451" s="637" t="n"/>
      <c r="C1451" s="637" t="n"/>
      <c r="D1451" s="637" t="n"/>
      <c r="E1451" s="637" t="n"/>
    </row>
    <row r="1452">
      <c r="A1452" s="544" t="n">
        <v>31240</v>
      </c>
      <c r="B1452" s="637" t="n"/>
      <c r="C1452" s="637" t="n"/>
      <c r="D1452" s="637" t="n"/>
      <c r="E1452" s="637" t="n"/>
    </row>
    <row r="1453">
      <c r="A1453" s="544" t="n">
        <v>31243</v>
      </c>
      <c r="B1453" s="637" t="n"/>
      <c r="C1453" s="637" t="n"/>
      <c r="D1453" s="637" t="n"/>
      <c r="E1453" s="637" t="n"/>
    </row>
    <row r="1454">
      <c r="A1454" s="544" t="n">
        <v>31244</v>
      </c>
      <c r="B1454" s="637" t="n"/>
      <c r="C1454" s="637" t="n"/>
      <c r="D1454" s="637" t="n"/>
      <c r="E1454" s="637" t="n"/>
    </row>
    <row r="1455">
      <c r="A1455" s="544" t="n">
        <v>31245</v>
      </c>
      <c r="B1455" s="637" t="n"/>
      <c r="C1455" s="637" t="n"/>
      <c r="D1455" s="637" t="n"/>
      <c r="E1455" s="637" t="n"/>
    </row>
    <row r="1456">
      <c r="A1456" s="544" t="n">
        <v>31246</v>
      </c>
      <c r="B1456" s="637" t="n"/>
      <c r="C1456" s="637" t="n"/>
      <c r="D1456" s="637" t="n"/>
      <c r="E1456" s="637" t="n"/>
    </row>
    <row r="1457">
      <c r="A1457" s="544" t="n">
        <v>31247</v>
      </c>
      <c r="B1457" s="637" t="n"/>
      <c r="C1457" s="637" t="n"/>
      <c r="D1457" s="637" t="n"/>
      <c r="E1457" s="637" t="n"/>
    </row>
    <row r="1458">
      <c r="A1458" s="544" t="n">
        <v>31250</v>
      </c>
      <c r="B1458" s="637" t="n"/>
      <c r="C1458" s="637" t="n"/>
      <c r="D1458" s="637" t="n"/>
      <c r="E1458" s="637" t="n"/>
    </row>
    <row r="1459">
      <c r="A1459" s="544" t="n">
        <v>31251</v>
      </c>
      <c r="B1459" s="637" t="n"/>
      <c r="C1459" s="637" t="n"/>
      <c r="D1459" s="637" t="n"/>
      <c r="E1459" s="637" t="n"/>
    </row>
    <row r="1460">
      <c r="A1460" s="544" t="n">
        <v>31252</v>
      </c>
      <c r="B1460" s="637" t="n"/>
      <c r="C1460" s="637" t="n"/>
      <c r="D1460" s="637" t="n"/>
      <c r="E1460" s="637" t="n"/>
    </row>
    <row r="1461">
      <c r="A1461" s="544" t="n">
        <v>31253</v>
      </c>
      <c r="B1461" s="637" t="n"/>
      <c r="C1461" s="637" t="n"/>
      <c r="D1461" s="637" t="n"/>
      <c r="E1461" s="637" t="n"/>
    </row>
    <row r="1462">
      <c r="A1462" s="544" t="n">
        <v>31254</v>
      </c>
      <c r="B1462" s="637" t="n"/>
      <c r="C1462" s="637" t="n"/>
      <c r="D1462" s="637" t="n"/>
      <c r="E1462" s="637" t="n"/>
    </row>
    <row r="1463">
      <c r="A1463" s="544" t="n">
        <v>31257</v>
      </c>
      <c r="B1463" s="637" t="n"/>
      <c r="C1463" s="637" t="n"/>
      <c r="D1463" s="637" t="n"/>
      <c r="E1463" s="637" t="n"/>
    </row>
    <row r="1464">
      <c r="A1464" s="544" t="n">
        <v>31258</v>
      </c>
      <c r="B1464" s="637" t="n"/>
      <c r="C1464" s="637" t="n"/>
      <c r="D1464" s="637" t="n"/>
      <c r="E1464" s="637" t="n"/>
    </row>
    <row r="1465">
      <c r="A1465" s="544" t="n">
        <v>31259</v>
      </c>
      <c r="B1465" s="637" t="n"/>
      <c r="C1465" s="637" t="n"/>
      <c r="D1465" s="637" t="n"/>
      <c r="E1465" s="637" t="n"/>
    </row>
    <row r="1466">
      <c r="A1466" s="544" t="n">
        <v>31260</v>
      </c>
      <c r="B1466" s="637" t="n"/>
      <c r="C1466" s="637" t="n"/>
      <c r="D1466" s="637" t="n"/>
      <c r="E1466" s="637" t="n"/>
    </row>
    <row r="1467">
      <c r="A1467" s="544" t="n">
        <v>31261</v>
      </c>
      <c r="B1467" s="637" t="n"/>
      <c r="C1467" s="637" t="n"/>
      <c r="D1467" s="637" t="n"/>
      <c r="E1467" s="637" t="n"/>
    </row>
    <row r="1468">
      <c r="A1468" s="544" t="n">
        <v>31264</v>
      </c>
      <c r="B1468" s="637" t="n"/>
      <c r="C1468" s="637" t="n"/>
      <c r="D1468" s="637" t="n"/>
      <c r="E1468" s="637" t="n"/>
    </row>
    <row r="1469">
      <c r="A1469" s="544" t="n">
        <v>31265</v>
      </c>
      <c r="B1469" s="637" t="n"/>
      <c r="C1469" s="637" t="n"/>
      <c r="D1469" s="637" t="n"/>
      <c r="E1469" s="637" t="n"/>
    </row>
    <row r="1470">
      <c r="A1470" s="544" t="n">
        <v>31266</v>
      </c>
      <c r="B1470" s="637" t="n"/>
      <c r="C1470" s="637" t="n"/>
      <c r="D1470" s="637" t="n"/>
      <c r="E1470" s="637" t="n"/>
    </row>
    <row r="1471">
      <c r="A1471" s="544" t="n">
        <v>31267</v>
      </c>
      <c r="B1471" s="637" t="n"/>
      <c r="C1471" s="637" t="n"/>
      <c r="D1471" s="637" t="n"/>
      <c r="E1471" s="637" t="n"/>
    </row>
    <row r="1472">
      <c r="A1472" s="544" t="n">
        <v>31268</v>
      </c>
      <c r="B1472" s="637" t="n"/>
      <c r="C1472" s="637" t="n"/>
      <c r="D1472" s="637" t="n"/>
      <c r="E1472" s="637" t="n"/>
    </row>
    <row r="1473">
      <c r="A1473" s="544" t="n">
        <v>31271</v>
      </c>
      <c r="B1473" s="637" t="n"/>
      <c r="C1473" s="637" t="n"/>
      <c r="D1473" s="637" t="n"/>
      <c r="E1473" s="637" t="n"/>
    </row>
    <row r="1474">
      <c r="A1474" s="544" t="n">
        <v>31272</v>
      </c>
      <c r="B1474" s="637" t="n"/>
      <c r="C1474" s="637" t="n"/>
      <c r="D1474" s="637" t="n"/>
      <c r="E1474" s="637" t="n"/>
    </row>
    <row r="1475">
      <c r="A1475" s="544" t="n">
        <v>31273</v>
      </c>
      <c r="B1475" s="637" t="n"/>
      <c r="C1475" s="637" t="n"/>
      <c r="D1475" s="637" t="n"/>
      <c r="E1475" s="637" t="n"/>
    </row>
    <row r="1476">
      <c r="A1476" s="544" t="n">
        <v>31274</v>
      </c>
      <c r="B1476" s="637" t="n"/>
      <c r="C1476" s="637" t="n"/>
      <c r="D1476" s="637" t="n"/>
      <c r="E1476" s="637" t="n"/>
    </row>
    <row r="1477">
      <c r="A1477" s="544" t="n">
        <v>31275</v>
      </c>
      <c r="B1477" s="637" t="n"/>
      <c r="C1477" s="637" t="n"/>
      <c r="D1477" s="637" t="n"/>
      <c r="E1477" s="637" t="n"/>
    </row>
    <row r="1478">
      <c r="A1478" s="544" t="n">
        <v>31278</v>
      </c>
      <c r="B1478" s="637" t="n"/>
      <c r="C1478" s="637" t="n"/>
      <c r="D1478" s="637" t="n"/>
      <c r="E1478" s="637" t="n"/>
    </row>
    <row r="1479">
      <c r="A1479" s="544" t="n">
        <v>31279</v>
      </c>
      <c r="B1479" s="637" t="n"/>
      <c r="C1479" s="637" t="n"/>
      <c r="D1479" s="637" t="n"/>
      <c r="E1479" s="637" t="n"/>
    </row>
    <row r="1480">
      <c r="A1480" s="544" t="n">
        <v>31280</v>
      </c>
      <c r="B1480" s="637" t="n"/>
      <c r="C1480" s="637" t="n"/>
      <c r="D1480" s="637" t="n"/>
      <c r="E1480" s="637" t="n"/>
    </row>
    <row r="1481">
      <c r="A1481" s="544" t="n">
        <v>31281</v>
      </c>
      <c r="B1481" s="637" t="n"/>
      <c r="C1481" s="637" t="n"/>
      <c r="D1481" s="637" t="n"/>
      <c r="E1481" s="637" t="n"/>
    </row>
    <row r="1482">
      <c r="A1482" s="544" t="n">
        <v>31282</v>
      </c>
      <c r="B1482" s="637" t="n"/>
      <c r="C1482" s="637" t="n"/>
      <c r="D1482" s="637" t="n"/>
      <c r="E1482" s="637" t="n"/>
    </row>
    <row r="1483">
      <c r="A1483" s="544" t="n">
        <v>31285</v>
      </c>
      <c r="B1483" s="637" t="n"/>
      <c r="C1483" s="637" t="n"/>
      <c r="D1483" s="637" t="n"/>
      <c r="E1483" s="637" t="n"/>
    </row>
    <row r="1484">
      <c r="A1484" s="544" t="n">
        <v>31286</v>
      </c>
      <c r="B1484" s="637" t="n"/>
      <c r="C1484" s="637" t="n"/>
      <c r="D1484" s="637" t="n"/>
      <c r="E1484" s="637" t="n"/>
    </row>
    <row r="1485">
      <c r="A1485" s="544" t="n">
        <v>31287</v>
      </c>
      <c r="B1485" s="637" t="n"/>
      <c r="C1485" s="637" t="n"/>
      <c r="D1485" s="637" t="n"/>
      <c r="E1485" s="637" t="n"/>
    </row>
    <row r="1486">
      <c r="A1486" s="544" t="n">
        <v>31288</v>
      </c>
      <c r="B1486" s="637" t="n"/>
      <c r="C1486" s="637" t="n"/>
      <c r="D1486" s="637" t="n"/>
      <c r="E1486" s="637" t="n"/>
    </row>
    <row r="1487">
      <c r="A1487" s="544" t="n">
        <v>31289</v>
      </c>
      <c r="B1487" s="637" t="n"/>
      <c r="C1487" s="637" t="n"/>
      <c r="D1487" s="637" t="n"/>
      <c r="E1487" s="637" t="n"/>
    </row>
    <row r="1488">
      <c r="A1488" s="544" t="n">
        <v>31292</v>
      </c>
      <c r="B1488" s="637" t="n"/>
      <c r="C1488" s="637" t="n"/>
      <c r="D1488" s="637" t="n"/>
      <c r="E1488" s="637" t="n"/>
    </row>
    <row r="1489">
      <c r="A1489" s="544" t="n">
        <v>31293</v>
      </c>
      <c r="B1489" s="637" t="n"/>
      <c r="C1489" s="637" t="n"/>
      <c r="D1489" s="637" t="n"/>
      <c r="E1489" s="637" t="n"/>
    </row>
    <row r="1490">
      <c r="A1490" s="544" t="n">
        <v>31294</v>
      </c>
      <c r="B1490" s="637" t="n"/>
      <c r="C1490" s="637" t="n"/>
      <c r="D1490" s="637" t="n"/>
      <c r="E1490" s="637" t="n"/>
    </row>
    <row r="1491">
      <c r="A1491" s="544" t="n">
        <v>31295</v>
      </c>
      <c r="B1491" s="637" t="n"/>
      <c r="C1491" s="637" t="n"/>
      <c r="D1491" s="637" t="n"/>
      <c r="E1491" s="637" t="n"/>
    </row>
    <row r="1492">
      <c r="A1492" s="544" t="n">
        <v>31296</v>
      </c>
      <c r="B1492" s="637" t="n"/>
      <c r="C1492" s="637" t="n"/>
      <c r="D1492" s="637" t="n"/>
      <c r="E1492" s="637" t="n"/>
    </row>
    <row r="1493">
      <c r="A1493" s="544" t="n">
        <v>31299</v>
      </c>
      <c r="B1493" s="637" t="n"/>
      <c r="C1493" s="637" t="n"/>
      <c r="D1493" s="637" t="n"/>
      <c r="E1493" s="637" t="n"/>
    </row>
    <row r="1494">
      <c r="A1494" s="544" t="n">
        <v>31300</v>
      </c>
      <c r="B1494" s="637" t="n"/>
      <c r="C1494" s="637" t="n"/>
      <c r="D1494" s="637" t="n"/>
      <c r="E1494" s="637" t="n"/>
    </row>
    <row r="1495">
      <c r="A1495" s="544" t="n">
        <v>31301</v>
      </c>
      <c r="B1495" s="637" t="n"/>
      <c r="C1495" s="637" t="n"/>
      <c r="D1495" s="637" t="n"/>
      <c r="E1495" s="637" t="n"/>
    </row>
    <row r="1496">
      <c r="A1496" s="544" t="n">
        <v>31302</v>
      </c>
      <c r="B1496" s="637" t="n"/>
      <c r="C1496" s="637" t="n"/>
      <c r="D1496" s="637" t="n"/>
      <c r="E1496" s="637" t="n"/>
    </row>
    <row r="1497">
      <c r="A1497" s="544" t="n">
        <v>31303</v>
      </c>
      <c r="B1497" s="637" t="n"/>
      <c r="C1497" s="637" t="n"/>
      <c r="D1497" s="637" t="n"/>
      <c r="E1497" s="637" t="n"/>
    </row>
    <row r="1498">
      <c r="A1498" s="544" t="n">
        <v>31306</v>
      </c>
      <c r="B1498" s="637" t="n"/>
      <c r="C1498" s="637" t="n"/>
      <c r="D1498" s="637" t="n"/>
      <c r="E1498" s="637" t="n"/>
    </row>
    <row r="1499">
      <c r="A1499" s="544" t="n">
        <v>31307</v>
      </c>
      <c r="B1499" s="637" t="n"/>
      <c r="C1499" s="637" t="n"/>
      <c r="D1499" s="637" t="n"/>
      <c r="E1499" s="637" t="n"/>
    </row>
    <row r="1500">
      <c r="A1500" s="544" t="n">
        <v>31308</v>
      </c>
      <c r="B1500" s="637" t="n"/>
      <c r="C1500" s="637" t="n"/>
      <c r="D1500" s="637" t="n"/>
      <c r="E1500" s="637" t="n"/>
    </row>
    <row r="1501">
      <c r="A1501" s="544" t="n">
        <v>31309</v>
      </c>
      <c r="B1501" s="637" t="n"/>
      <c r="C1501" s="637" t="n"/>
      <c r="D1501" s="637" t="n"/>
      <c r="E1501" s="637" t="n"/>
    </row>
    <row r="1502">
      <c r="A1502" s="544" t="n">
        <v>31310</v>
      </c>
      <c r="B1502" s="637" t="n"/>
      <c r="C1502" s="637" t="n"/>
      <c r="D1502" s="637" t="n"/>
      <c r="E1502" s="637" t="n"/>
    </row>
    <row r="1503">
      <c r="A1503" s="544" t="n">
        <v>31313</v>
      </c>
      <c r="B1503" s="637" t="n"/>
      <c r="C1503" s="637" t="n"/>
      <c r="D1503" s="637" t="n"/>
      <c r="E1503" s="637" t="n"/>
    </row>
    <row r="1504">
      <c r="A1504" s="544" t="n">
        <v>31314</v>
      </c>
      <c r="B1504" s="637" t="n"/>
      <c r="C1504" s="637" t="n"/>
      <c r="D1504" s="637" t="n"/>
      <c r="E1504" s="637" t="n"/>
    </row>
    <row r="1505">
      <c r="A1505" s="544" t="n">
        <v>31315</v>
      </c>
      <c r="B1505" s="637" t="n"/>
      <c r="C1505" s="637" t="n"/>
      <c r="D1505" s="637" t="n"/>
      <c r="E1505" s="637" t="n"/>
    </row>
    <row r="1506">
      <c r="A1506" s="544" t="n">
        <v>31316</v>
      </c>
      <c r="B1506" s="637" t="n"/>
      <c r="C1506" s="637" t="n"/>
      <c r="D1506" s="637" t="n"/>
      <c r="E1506" s="637" t="n"/>
    </row>
    <row r="1507">
      <c r="A1507" s="544" t="n">
        <v>31317</v>
      </c>
      <c r="B1507" s="637" t="n"/>
      <c r="C1507" s="637" t="n"/>
      <c r="D1507" s="637" t="n"/>
      <c r="E1507" s="637" t="n"/>
    </row>
    <row r="1508">
      <c r="A1508" s="544" t="n">
        <v>31320</v>
      </c>
      <c r="B1508" s="637" t="n"/>
      <c r="C1508" s="637" t="n"/>
      <c r="D1508" s="637" t="n"/>
      <c r="E1508" s="637" t="n"/>
    </row>
    <row r="1509">
      <c r="A1509" s="544" t="n">
        <v>31321</v>
      </c>
      <c r="B1509" s="637" t="n"/>
      <c r="C1509" s="637" t="n"/>
      <c r="D1509" s="637" t="n"/>
      <c r="E1509" s="637" t="n"/>
    </row>
    <row r="1510">
      <c r="A1510" s="544" t="n">
        <v>31322</v>
      </c>
      <c r="B1510" s="637" t="n"/>
      <c r="C1510" s="637" t="n"/>
      <c r="D1510" s="637" t="n"/>
      <c r="E1510" s="637" t="n"/>
    </row>
    <row r="1511">
      <c r="A1511" s="544" t="n">
        <v>31323</v>
      </c>
      <c r="B1511" s="637" t="n"/>
      <c r="C1511" s="637" t="n"/>
      <c r="D1511" s="637" t="n"/>
      <c r="E1511" s="637" t="n"/>
    </row>
    <row r="1512">
      <c r="A1512" s="544" t="n">
        <v>31324</v>
      </c>
      <c r="B1512" s="637" t="n"/>
      <c r="C1512" s="637" t="n"/>
      <c r="D1512" s="637" t="n"/>
      <c r="E1512" s="637" t="n"/>
    </row>
    <row r="1513">
      <c r="A1513" s="544" t="n">
        <v>31327</v>
      </c>
      <c r="B1513" s="637" t="n"/>
      <c r="C1513" s="637" t="n"/>
      <c r="D1513" s="637" t="n"/>
      <c r="E1513" s="637" t="n"/>
    </row>
    <row r="1514">
      <c r="A1514" s="544" t="n">
        <v>31328</v>
      </c>
      <c r="B1514" s="637" t="n"/>
      <c r="C1514" s="637" t="n"/>
      <c r="D1514" s="637" t="n"/>
      <c r="E1514" s="637" t="n"/>
    </row>
    <row r="1515">
      <c r="A1515" s="544" t="n">
        <v>31329</v>
      </c>
      <c r="B1515" s="637" t="n"/>
      <c r="C1515" s="637" t="n"/>
      <c r="D1515" s="637" t="n"/>
      <c r="E1515" s="637" t="n"/>
    </row>
    <row r="1516">
      <c r="A1516" s="544" t="n">
        <v>31330</v>
      </c>
      <c r="B1516" s="637" t="n"/>
      <c r="C1516" s="637" t="n"/>
      <c r="D1516" s="637" t="n"/>
      <c r="E1516" s="637" t="n"/>
    </row>
    <row r="1517">
      <c r="A1517" s="544" t="n">
        <v>31331</v>
      </c>
      <c r="B1517" s="637" t="n"/>
      <c r="C1517" s="637" t="n"/>
      <c r="D1517" s="637" t="n"/>
      <c r="E1517" s="637" t="n"/>
    </row>
    <row r="1518">
      <c r="A1518" s="544" t="n">
        <v>31334</v>
      </c>
      <c r="B1518" s="637" t="n"/>
      <c r="C1518" s="637" t="n"/>
      <c r="D1518" s="637" t="n"/>
      <c r="E1518" s="637" t="n"/>
    </row>
    <row r="1519">
      <c r="A1519" s="544" t="n">
        <v>31335</v>
      </c>
      <c r="B1519" s="637" t="n"/>
      <c r="C1519" s="637" t="n"/>
      <c r="D1519" s="637" t="n"/>
      <c r="E1519" s="637" t="n"/>
    </row>
    <row r="1520">
      <c r="A1520" s="544" t="n">
        <v>31336</v>
      </c>
      <c r="B1520" s="637" t="n"/>
      <c r="C1520" s="637" t="n"/>
      <c r="D1520" s="637" t="n"/>
      <c r="E1520" s="637" t="n"/>
    </row>
    <row r="1521">
      <c r="A1521" s="544" t="n">
        <v>31337</v>
      </c>
      <c r="B1521" s="637" t="n"/>
      <c r="C1521" s="637" t="n"/>
      <c r="D1521" s="637" t="n"/>
      <c r="E1521" s="637" t="n"/>
    </row>
    <row r="1522">
      <c r="A1522" s="544" t="n">
        <v>31338</v>
      </c>
      <c r="B1522" s="637" t="n"/>
      <c r="C1522" s="637" t="n"/>
      <c r="D1522" s="637" t="n"/>
      <c r="E1522" s="637" t="n"/>
    </row>
    <row r="1523">
      <c r="A1523" s="544" t="n">
        <v>31341</v>
      </c>
      <c r="B1523" s="637" t="n"/>
      <c r="C1523" s="637" t="n"/>
      <c r="D1523" s="637" t="n"/>
      <c r="E1523" s="637" t="n"/>
    </row>
    <row r="1524">
      <c r="A1524" s="544" t="n">
        <v>31342</v>
      </c>
      <c r="B1524" s="637" t="n"/>
      <c r="C1524" s="637" t="n"/>
      <c r="D1524" s="637" t="n"/>
      <c r="E1524" s="637" t="n"/>
    </row>
    <row r="1525">
      <c r="A1525" s="544" t="n">
        <v>31343</v>
      </c>
      <c r="B1525" s="637" t="n"/>
      <c r="C1525" s="637" t="n"/>
      <c r="D1525" s="637" t="n"/>
      <c r="E1525" s="637" t="n"/>
    </row>
    <row r="1526">
      <c r="A1526" s="544" t="n">
        <v>31344</v>
      </c>
      <c r="B1526" s="637" t="n"/>
      <c r="C1526" s="637" t="n"/>
      <c r="D1526" s="637" t="n"/>
      <c r="E1526" s="637" t="n"/>
    </row>
    <row r="1527">
      <c r="A1527" s="544" t="n">
        <v>31345</v>
      </c>
      <c r="B1527" s="637" t="n"/>
      <c r="C1527" s="637" t="n"/>
      <c r="D1527" s="637" t="n"/>
      <c r="E1527" s="637" t="n"/>
    </row>
    <row r="1528">
      <c r="A1528" s="544" t="n">
        <v>31348</v>
      </c>
      <c r="B1528" s="637" t="n"/>
      <c r="C1528" s="637" t="n"/>
      <c r="D1528" s="637" t="n"/>
      <c r="E1528" s="637" t="n"/>
    </row>
    <row r="1529">
      <c r="A1529" s="544" t="n">
        <v>31349</v>
      </c>
      <c r="B1529" s="637" t="n"/>
      <c r="C1529" s="637" t="n"/>
      <c r="D1529" s="637" t="n"/>
      <c r="E1529" s="637" t="n"/>
    </row>
    <row r="1530">
      <c r="A1530" s="544" t="n">
        <v>31350</v>
      </c>
      <c r="B1530" s="637" t="n"/>
      <c r="C1530" s="637" t="n"/>
      <c r="D1530" s="637" t="n"/>
      <c r="E1530" s="637" t="n"/>
    </row>
    <row r="1531">
      <c r="A1531" s="544" t="n">
        <v>31351</v>
      </c>
      <c r="B1531" s="637" t="n"/>
      <c r="C1531" s="637" t="n"/>
      <c r="D1531" s="637" t="n"/>
      <c r="E1531" s="637" t="n"/>
    </row>
    <row r="1532">
      <c r="A1532" s="544" t="n">
        <v>31352</v>
      </c>
      <c r="B1532" s="637" t="n"/>
      <c r="C1532" s="637" t="n"/>
      <c r="D1532" s="637" t="n"/>
      <c r="E1532" s="637" t="n"/>
    </row>
    <row r="1533">
      <c r="A1533" s="544" t="n">
        <v>31355</v>
      </c>
      <c r="B1533" s="637" t="n"/>
      <c r="C1533" s="637" t="n"/>
      <c r="D1533" s="637" t="n"/>
      <c r="E1533" s="637" t="n"/>
    </row>
    <row r="1534">
      <c r="A1534" s="544" t="n">
        <v>31356</v>
      </c>
      <c r="B1534" s="637" t="n"/>
      <c r="C1534" s="637" t="n"/>
      <c r="D1534" s="637" t="n"/>
      <c r="E1534" s="637" t="n"/>
    </row>
    <row r="1535">
      <c r="A1535" s="544" t="n">
        <v>31357</v>
      </c>
      <c r="B1535" s="637" t="n"/>
      <c r="C1535" s="637" t="n"/>
      <c r="D1535" s="637" t="n"/>
      <c r="E1535" s="637" t="n"/>
    </row>
    <row r="1536">
      <c r="A1536" s="544" t="n">
        <v>31358</v>
      </c>
      <c r="B1536" s="637" t="n"/>
      <c r="C1536" s="637" t="n"/>
      <c r="D1536" s="637" t="n"/>
      <c r="E1536" s="637" t="n"/>
    </row>
    <row r="1537">
      <c r="A1537" s="544" t="n">
        <v>31359</v>
      </c>
      <c r="B1537" s="637" t="n"/>
      <c r="C1537" s="637" t="n"/>
      <c r="D1537" s="637" t="n"/>
      <c r="E1537" s="637" t="n"/>
    </row>
    <row r="1538">
      <c r="A1538" s="544" t="n">
        <v>31362</v>
      </c>
      <c r="B1538" s="637" t="n"/>
      <c r="C1538" s="637" t="n"/>
      <c r="D1538" s="637" t="n"/>
      <c r="E1538" s="637" t="n"/>
    </row>
    <row r="1539">
      <c r="A1539" s="544" t="n">
        <v>31363</v>
      </c>
      <c r="B1539" s="637" t="n"/>
      <c r="C1539" s="637" t="n"/>
      <c r="D1539" s="637" t="n"/>
      <c r="E1539" s="637" t="n"/>
    </row>
    <row r="1540">
      <c r="A1540" s="544" t="n">
        <v>31364</v>
      </c>
      <c r="B1540" s="637" t="n"/>
      <c r="C1540" s="637" t="n"/>
      <c r="D1540" s="637" t="n"/>
      <c r="E1540" s="637" t="n"/>
    </row>
    <row r="1541">
      <c r="A1541" s="544" t="n">
        <v>31365</v>
      </c>
      <c r="B1541" s="637" t="n"/>
      <c r="C1541" s="637" t="n"/>
      <c r="D1541" s="637" t="n"/>
      <c r="E1541" s="637" t="n"/>
    </row>
    <row r="1542">
      <c r="A1542" s="544" t="n">
        <v>31366</v>
      </c>
      <c r="B1542" s="637" t="n"/>
      <c r="C1542" s="637" t="n"/>
      <c r="D1542" s="637" t="n"/>
      <c r="E1542" s="637" t="n"/>
    </row>
    <row r="1543">
      <c r="A1543" s="544" t="n">
        <v>31369</v>
      </c>
      <c r="B1543" s="637" t="n"/>
      <c r="C1543" s="637" t="n"/>
      <c r="D1543" s="637" t="n"/>
      <c r="E1543" s="637" t="n"/>
    </row>
    <row r="1544">
      <c r="A1544" s="544" t="n">
        <v>31370</v>
      </c>
      <c r="B1544" s="637" t="n"/>
      <c r="C1544" s="637" t="n"/>
      <c r="D1544" s="637" t="n"/>
      <c r="E1544" s="637" t="n"/>
    </row>
    <row r="1545">
      <c r="A1545" s="544" t="n">
        <v>31371</v>
      </c>
      <c r="B1545" s="637" t="n"/>
      <c r="C1545" s="637" t="n"/>
      <c r="D1545" s="637" t="n"/>
      <c r="E1545" s="637" t="n"/>
    </row>
    <row r="1546">
      <c r="A1546" s="544" t="n">
        <v>31372</v>
      </c>
      <c r="B1546" s="637" t="n"/>
      <c r="C1546" s="637" t="n"/>
      <c r="D1546" s="637" t="n"/>
      <c r="E1546" s="637" t="n"/>
    </row>
    <row r="1547">
      <c r="A1547" s="544" t="n">
        <v>31373</v>
      </c>
      <c r="B1547" s="637" t="n"/>
      <c r="C1547" s="637" t="n"/>
      <c r="D1547" s="637" t="n"/>
      <c r="E1547" s="637" t="n"/>
    </row>
    <row r="1548">
      <c r="A1548" s="544" t="n">
        <v>31376</v>
      </c>
      <c r="B1548" s="637" t="n"/>
      <c r="C1548" s="637" t="n"/>
      <c r="D1548" s="637" t="n"/>
      <c r="E1548" s="637" t="n"/>
    </row>
    <row r="1549">
      <c r="A1549" s="544" t="n">
        <v>31377</v>
      </c>
      <c r="B1549" s="637" t="n"/>
      <c r="C1549" s="637" t="n"/>
      <c r="D1549" s="637" t="n"/>
      <c r="E1549" s="637" t="n"/>
    </row>
    <row r="1550">
      <c r="A1550" s="544" t="n">
        <v>31378</v>
      </c>
      <c r="B1550" s="637" t="n"/>
      <c r="C1550" s="637" t="n"/>
      <c r="D1550" s="637" t="n"/>
      <c r="E1550" s="637" t="n"/>
    </row>
    <row r="1551">
      <c r="A1551" s="544" t="n">
        <v>31379</v>
      </c>
      <c r="B1551" s="637" t="n"/>
      <c r="C1551" s="637" t="n"/>
      <c r="D1551" s="637" t="n"/>
      <c r="E1551" s="637" t="n"/>
    </row>
    <row r="1552">
      <c r="A1552" s="544" t="n">
        <v>31380</v>
      </c>
      <c r="B1552" s="637" t="n"/>
      <c r="C1552" s="637" t="n"/>
      <c r="D1552" s="637" t="n"/>
      <c r="E1552" s="637" t="n"/>
    </row>
    <row r="1553">
      <c r="A1553" s="544" t="n">
        <v>31383</v>
      </c>
      <c r="B1553" s="637" t="n"/>
      <c r="C1553" s="637" t="n"/>
      <c r="D1553" s="637" t="n"/>
      <c r="E1553" s="637" t="n"/>
    </row>
    <row r="1554">
      <c r="A1554" s="544" t="n">
        <v>31384</v>
      </c>
      <c r="B1554" s="637" t="n"/>
      <c r="C1554" s="637" t="n"/>
      <c r="D1554" s="637" t="n"/>
      <c r="E1554" s="637" t="n"/>
    </row>
    <row r="1555">
      <c r="A1555" s="544" t="n">
        <v>31385</v>
      </c>
      <c r="B1555" s="637" t="n"/>
      <c r="C1555" s="637" t="n"/>
      <c r="D1555" s="637" t="n"/>
      <c r="E1555" s="637" t="n"/>
    </row>
    <row r="1556">
      <c r="A1556" s="544" t="n">
        <v>31386</v>
      </c>
      <c r="B1556" s="637" t="n"/>
      <c r="C1556" s="637" t="n"/>
      <c r="D1556" s="637" t="n"/>
      <c r="E1556" s="637" t="n"/>
    </row>
    <row r="1557">
      <c r="A1557" s="544" t="n">
        <v>31387</v>
      </c>
      <c r="B1557" s="637" t="n"/>
      <c r="C1557" s="637" t="n"/>
      <c r="D1557" s="637" t="n"/>
      <c r="E1557" s="637" t="n"/>
    </row>
    <row r="1558">
      <c r="A1558" s="544" t="n">
        <v>31390</v>
      </c>
      <c r="B1558" s="637" t="n"/>
      <c r="C1558" s="637" t="n"/>
      <c r="D1558" s="637" t="n"/>
      <c r="E1558" s="637" t="n"/>
    </row>
    <row r="1559">
      <c r="A1559" s="544" t="n">
        <v>31391</v>
      </c>
      <c r="B1559" s="637" t="n"/>
      <c r="C1559" s="637" t="n"/>
      <c r="D1559" s="637" t="n"/>
      <c r="E1559" s="637" t="n"/>
    </row>
    <row r="1560">
      <c r="A1560" s="544" t="n">
        <v>31392</v>
      </c>
      <c r="B1560" s="637" t="n"/>
      <c r="C1560" s="637" t="n"/>
      <c r="D1560" s="637" t="n"/>
      <c r="E1560" s="637" t="n"/>
    </row>
    <row r="1561">
      <c r="A1561" s="544" t="n">
        <v>31393</v>
      </c>
      <c r="B1561" s="637" t="n"/>
      <c r="C1561" s="637" t="n"/>
      <c r="D1561" s="637" t="n"/>
      <c r="E1561" s="637" t="n"/>
    </row>
    <row r="1562">
      <c r="A1562" s="544" t="n">
        <v>31394</v>
      </c>
      <c r="B1562" s="637" t="n"/>
      <c r="C1562" s="637" t="n"/>
      <c r="D1562" s="637" t="n"/>
      <c r="E1562" s="637" t="n"/>
    </row>
    <row r="1563">
      <c r="A1563" s="544" t="n">
        <v>31397</v>
      </c>
      <c r="B1563" s="637" t="n"/>
      <c r="C1563" s="637" t="n"/>
      <c r="D1563" s="637" t="n"/>
      <c r="E1563" s="637" t="n"/>
    </row>
    <row r="1564">
      <c r="A1564" s="544" t="n">
        <v>31398</v>
      </c>
      <c r="B1564" s="637" t="n"/>
      <c r="C1564" s="637" t="n"/>
      <c r="D1564" s="637" t="n"/>
      <c r="E1564" s="637" t="n"/>
    </row>
    <row r="1565">
      <c r="A1565" s="544" t="n">
        <v>31399</v>
      </c>
      <c r="B1565" s="637" t="n"/>
      <c r="C1565" s="637" t="n"/>
      <c r="D1565" s="637" t="n"/>
      <c r="E1565" s="637" t="n"/>
    </row>
    <row r="1566">
      <c r="A1566" s="544" t="n">
        <v>31400</v>
      </c>
      <c r="B1566" s="637" t="n"/>
      <c r="C1566" s="637" t="n"/>
      <c r="D1566" s="637" t="n"/>
      <c r="E1566" s="637" t="n"/>
    </row>
    <row r="1567">
      <c r="A1567" s="544" t="n">
        <v>31401</v>
      </c>
      <c r="B1567" s="637" t="n"/>
      <c r="C1567" s="637" t="n"/>
      <c r="D1567" s="637" t="n"/>
      <c r="E1567" s="637" t="n"/>
    </row>
    <row r="1568">
      <c r="A1568" s="544" t="n">
        <v>31404</v>
      </c>
      <c r="B1568" s="637" t="n"/>
      <c r="C1568" s="637" t="n"/>
      <c r="D1568" s="637" t="n"/>
      <c r="E1568" s="637" t="n"/>
    </row>
    <row r="1569">
      <c r="A1569" s="544" t="n">
        <v>31405</v>
      </c>
      <c r="B1569" s="637" t="n"/>
      <c r="C1569" s="637" t="n"/>
      <c r="D1569" s="637" t="n"/>
      <c r="E1569" s="637" t="n"/>
    </row>
    <row r="1570">
      <c r="A1570" s="544" t="n">
        <v>31406</v>
      </c>
      <c r="B1570" s="637" t="n"/>
      <c r="C1570" s="637" t="n"/>
      <c r="D1570" s="637" t="n"/>
      <c r="E1570" s="637" t="n"/>
    </row>
    <row r="1571">
      <c r="A1571" s="544" t="n">
        <v>31407</v>
      </c>
      <c r="B1571" s="637" t="n"/>
      <c r="C1571" s="637" t="n"/>
      <c r="D1571" s="637" t="n"/>
      <c r="E1571" s="637" t="n"/>
    </row>
    <row r="1572">
      <c r="A1572" s="544" t="n">
        <v>31408</v>
      </c>
      <c r="B1572" s="637" t="n"/>
      <c r="C1572" s="637" t="n"/>
      <c r="D1572" s="637" t="n"/>
      <c r="E1572" s="637" t="n"/>
    </row>
    <row r="1573">
      <c r="A1573" s="544" t="n">
        <v>31411</v>
      </c>
      <c r="B1573" s="637" t="n"/>
      <c r="C1573" s="637" t="n"/>
      <c r="D1573" s="637" t="n"/>
      <c r="E1573" s="637" t="n"/>
    </row>
    <row r="1574">
      <c r="A1574" s="544" t="n">
        <v>31412</v>
      </c>
      <c r="B1574" s="637" t="n"/>
      <c r="C1574" s="637" t="n"/>
      <c r="D1574" s="637" t="n"/>
      <c r="E1574" s="637" t="n"/>
    </row>
    <row r="1575">
      <c r="A1575" s="544" t="n">
        <v>31413</v>
      </c>
      <c r="B1575" s="637" t="n"/>
      <c r="C1575" s="637" t="n"/>
      <c r="D1575" s="637" t="n"/>
      <c r="E1575" s="637" t="n"/>
    </row>
    <row r="1576">
      <c r="A1576" s="544" t="n">
        <v>31414</v>
      </c>
      <c r="B1576" s="637" t="n"/>
      <c r="C1576" s="538" t="n">
        <v>25.56</v>
      </c>
      <c r="D1576" s="637" t="n"/>
      <c r="E1576" s="637" t="n"/>
    </row>
    <row r="1577">
      <c r="A1577" s="544" t="n">
        <v>31415</v>
      </c>
      <c r="B1577" s="637" t="n"/>
      <c r="C1577" s="538" t="n">
        <v>26</v>
      </c>
      <c r="D1577" s="637" t="n"/>
      <c r="E1577" s="637" t="n"/>
    </row>
    <row r="1578">
      <c r="A1578" s="544" t="n">
        <v>31418</v>
      </c>
      <c r="B1578" s="637" t="n"/>
      <c r="C1578" s="538" t="n">
        <v>26.53</v>
      </c>
      <c r="D1578" s="637" t="n"/>
      <c r="E1578" s="637" t="n"/>
    </row>
    <row r="1579">
      <c r="A1579" s="544" t="n">
        <v>31419</v>
      </c>
      <c r="B1579" s="637" t="n"/>
      <c r="C1579" s="538" t="n">
        <v>25.85</v>
      </c>
      <c r="D1579" s="637" t="n"/>
      <c r="E1579" s="637" t="n"/>
    </row>
    <row r="1580">
      <c r="A1580" s="544" t="n">
        <v>31420</v>
      </c>
      <c r="B1580" s="637" t="n"/>
      <c r="C1580" s="538" t="n">
        <v>25.87</v>
      </c>
      <c r="D1580" s="637" t="n"/>
      <c r="E1580" s="637" t="n"/>
    </row>
    <row r="1581">
      <c r="A1581" s="544" t="n">
        <v>31421</v>
      </c>
      <c r="B1581" s="637" t="n"/>
      <c r="C1581" s="538" t="n">
        <v>26.03</v>
      </c>
      <c r="D1581" s="637" t="n"/>
      <c r="E1581" s="637" t="n"/>
    </row>
    <row r="1582">
      <c r="A1582" s="544" t="n">
        <v>31422</v>
      </c>
      <c r="B1582" s="637" t="n"/>
      <c r="C1582" s="538" t="n">
        <v>25.65</v>
      </c>
      <c r="D1582" s="637" t="n"/>
      <c r="E1582" s="637" t="n"/>
    </row>
    <row r="1583">
      <c r="A1583" s="544" t="n">
        <v>31425</v>
      </c>
      <c r="B1583" s="637" t="n"/>
      <c r="C1583" s="538" t="n">
        <v>25.08</v>
      </c>
      <c r="D1583" s="637" t="n"/>
      <c r="E1583" s="637" t="n"/>
    </row>
    <row r="1584">
      <c r="A1584" s="544" t="n">
        <v>31426</v>
      </c>
      <c r="B1584" s="637" t="n"/>
      <c r="C1584" s="538" t="n">
        <v>24.97</v>
      </c>
      <c r="D1584" s="637" t="n"/>
      <c r="E1584" s="637" t="n"/>
    </row>
    <row r="1585">
      <c r="A1585" s="544" t="n">
        <v>31427</v>
      </c>
      <c r="B1585" s="637" t="n"/>
      <c r="C1585" s="538" t="n">
        <v>25.18</v>
      </c>
      <c r="D1585" s="637" t="n"/>
      <c r="E1585" s="637" t="n"/>
    </row>
    <row r="1586">
      <c r="A1586" s="544" t="n">
        <v>31428</v>
      </c>
      <c r="B1586" s="637" t="n"/>
      <c r="C1586" s="538" t="n">
        <v>23.98</v>
      </c>
      <c r="D1586" s="637" t="n"/>
      <c r="E1586" s="637" t="n"/>
    </row>
    <row r="1587">
      <c r="A1587" s="544" t="n">
        <v>31429</v>
      </c>
      <c r="B1587" s="637" t="n"/>
      <c r="C1587" s="538" t="n">
        <v>23.63</v>
      </c>
      <c r="D1587" s="637" t="n"/>
      <c r="E1587" s="637" t="n"/>
    </row>
    <row r="1588">
      <c r="A1588" s="544" t="n">
        <v>31432</v>
      </c>
      <c r="B1588" s="637" t="n"/>
      <c r="C1588" s="538" t="n">
        <v>21.33</v>
      </c>
      <c r="D1588" s="637" t="n"/>
      <c r="E1588" s="637" t="n"/>
    </row>
    <row r="1589">
      <c r="A1589" s="544" t="n">
        <v>31433</v>
      </c>
      <c r="B1589" s="637" t="n"/>
      <c r="C1589" s="538" t="n">
        <v>20.61</v>
      </c>
      <c r="D1589" s="637" t="n"/>
      <c r="E1589" s="637" t="n"/>
    </row>
    <row r="1590">
      <c r="A1590" s="544" t="n">
        <v>31434</v>
      </c>
      <c r="B1590" s="637" t="n"/>
      <c r="C1590" s="538" t="n">
        <v>20.25</v>
      </c>
      <c r="D1590" s="637" t="n"/>
      <c r="E1590" s="637" t="n"/>
    </row>
    <row r="1591">
      <c r="A1591" s="544" t="n">
        <v>31435</v>
      </c>
      <c r="B1591" s="637" t="n"/>
      <c r="C1591" s="538" t="n">
        <v>19.93</v>
      </c>
      <c r="D1591" s="637" t="n"/>
      <c r="E1591" s="637" t="n"/>
    </row>
    <row r="1592">
      <c r="A1592" s="544" t="n">
        <v>31436</v>
      </c>
      <c r="B1592" s="637" t="n"/>
      <c r="C1592" s="538" t="n">
        <v>19.45</v>
      </c>
      <c r="D1592" s="637" t="n"/>
      <c r="E1592" s="637" t="n"/>
    </row>
    <row r="1593">
      <c r="A1593" s="544" t="n">
        <v>31439</v>
      </c>
      <c r="B1593" s="637" t="n"/>
      <c r="C1593" s="538" t="n">
        <v>20.87</v>
      </c>
      <c r="D1593" s="637" t="n"/>
      <c r="E1593" s="637" t="n"/>
    </row>
    <row r="1594">
      <c r="A1594" s="544" t="n">
        <v>31440</v>
      </c>
      <c r="B1594" s="637" t="n"/>
      <c r="C1594" s="538" t="n">
        <v>19.45</v>
      </c>
      <c r="D1594" s="637" t="n"/>
      <c r="E1594" s="637" t="n"/>
    </row>
    <row r="1595">
      <c r="A1595" s="544" t="n">
        <v>31441</v>
      </c>
      <c r="B1595" s="637" t="n"/>
      <c r="C1595" s="538" t="n">
        <v>19.61</v>
      </c>
      <c r="D1595" s="637" t="n"/>
      <c r="E1595" s="637" t="n"/>
    </row>
    <row r="1596">
      <c r="A1596" s="544" t="n">
        <v>31442</v>
      </c>
      <c r="B1596" s="637" t="n"/>
      <c r="C1596" s="538" t="n">
        <v>19.58</v>
      </c>
      <c r="D1596" s="637" t="n"/>
      <c r="E1596" s="637" t="n"/>
    </row>
    <row r="1597">
      <c r="A1597" s="544" t="n">
        <v>31443</v>
      </c>
      <c r="B1597" s="637" t="n"/>
      <c r="C1597" s="538" t="n">
        <v>18.95</v>
      </c>
      <c r="D1597" s="637" t="n"/>
      <c r="E1597" s="637" t="n"/>
    </row>
    <row r="1598">
      <c r="A1598" s="544" t="n">
        <v>31446</v>
      </c>
      <c r="B1598" s="637" t="n"/>
      <c r="C1598" s="538" t="n">
        <v>17.42</v>
      </c>
      <c r="D1598" s="637" t="n"/>
      <c r="E1598" s="637" t="n"/>
    </row>
    <row r="1599">
      <c r="A1599" s="544" t="n">
        <v>31447</v>
      </c>
      <c r="B1599" s="637" t="n"/>
      <c r="C1599" s="538" t="n">
        <v>15.58</v>
      </c>
      <c r="D1599" s="637" t="n"/>
      <c r="E1599" s="637" t="n"/>
    </row>
    <row r="1600">
      <c r="A1600" s="544" t="n">
        <v>31448</v>
      </c>
      <c r="B1600" s="637" t="n"/>
      <c r="C1600" s="538" t="n">
        <v>16.28</v>
      </c>
      <c r="D1600" s="637" t="n"/>
      <c r="E1600" s="637" t="n"/>
    </row>
    <row r="1601">
      <c r="A1601" s="544" t="n">
        <v>31449</v>
      </c>
      <c r="B1601" s="637" t="n"/>
      <c r="C1601" s="538" t="n">
        <v>16.6</v>
      </c>
      <c r="D1601" s="637" t="n"/>
      <c r="E1601" s="637" t="n"/>
    </row>
    <row r="1602">
      <c r="A1602" s="544" t="n">
        <v>31450</v>
      </c>
      <c r="B1602" s="637" t="n"/>
      <c r="C1602" s="538" t="n">
        <v>17.7</v>
      </c>
      <c r="D1602" s="637" t="n"/>
      <c r="E1602" s="637" t="n"/>
    </row>
    <row r="1603">
      <c r="A1603" s="544" t="n">
        <v>31453</v>
      </c>
      <c r="B1603" s="637" t="n"/>
      <c r="C1603" s="538" t="n">
        <v>16.78</v>
      </c>
      <c r="D1603" s="637" t="n"/>
      <c r="E1603" s="637" t="n"/>
    </row>
    <row r="1604">
      <c r="A1604" s="544" t="n">
        <v>31454</v>
      </c>
      <c r="B1604" s="637" t="n"/>
      <c r="C1604" s="538" t="n">
        <v>16.28</v>
      </c>
      <c r="D1604" s="637" t="n"/>
      <c r="E1604" s="637" t="n"/>
    </row>
    <row r="1605">
      <c r="A1605" s="544" t="n">
        <v>31455</v>
      </c>
      <c r="B1605" s="637" t="n"/>
      <c r="C1605" s="538" t="n">
        <v>15.74</v>
      </c>
      <c r="D1605" s="637" t="n"/>
      <c r="E1605" s="637" t="n"/>
    </row>
    <row r="1606">
      <c r="A1606" s="544" t="n">
        <v>31456</v>
      </c>
      <c r="B1606" s="637" t="n"/>
      <c r="C1606" s="538" t="n">
        <v>16.43</v>
      </c>
      <c r="D1606" s="637" t="n"/>
      <c r="E1606" s="637" t="n"/>
    </row>
    <row r="1607">
      <c r="A1607" s="544" t="n">
        <v>31457</v>
      </c>
      <c r="B1607" s="637" t="n"/>
      <c r="C1607" s="538" t="n">
        <v>16.03</v>
      </c>
      <c r="D1607" s="637" t="n"/>
      <c r="E1607" s="637" t="n"/>
    </row>
    <row r="1608">
      <c r="A1608" s="544" t="n">
        <v>31460</v>
      </c>
      <c r="B1608" s="637" t="n"/>
      <c r="C1608" s="538" t="n">
        <v>16.03</v>
      </c>
      <c r="D1608" s="637" t="n"/>
      <c r="E1608" s="637" t="n"/>
    </row>
    <row r="1609">
      <c r="A1609" s="544" t="n">
        <v>31461</v>
      </c>
      <c r="B1609" s="637" t="n"/>
      <c r="C1609" s="538" t="n">
        <v>14.7</v>
      </c>
      <c r="D1609" s="637" t="n"/>
      <c r="E1609" s="637" t="n"/>
    </row>
    <row r="1610">
      <c r="A1610" s="544" t="n">
        <v>31462</v>
      </c>
      <c r="B1610" s="637" t="n"/>
      <c r="C1610" s="538" t="n">
        <v>15.08</v>
      </c>
      <c r="D1610" s="637" t="n"/>
      <c r="E1610" s="637" t="n"/>
    </row>
    <row r="1611">
      <c r="A1611" s="544" t="n">
        <v>31463</v>
      </c>
      <c r="B1611" s="637" t="n"/>
      <c r="C1611" s="538" t="n">
        <v>14.13</v>
      </c>
      <c r="D1611" s="637" t="n"/>
      <c r="E1611" s="637" t="n"/>
    </row>
    <row r="1612">
      <c r="A1612" s="544" t="n">
        <v>31464</v>
      </c>
      <c r="B1612" s="637" t="n"/>
      <c r="C1612" s="538" t="n">
        <v>13.63</v>
      </c>
      <c r="D1612" s="637" t="n"/>
      <c r="E1612" s="637" t="n"/>
    </row>
    <row r="1613">
      <c r="A1613" s="544" t="n">
        <v>31467</v>
      </c>
      <c r="B1613" s="637" t="n"/>
      <c r="C1613" s="538" t="n">
        <v>14.68</v>
      </c>
      <c r="D1613" s="637" t="n"/>
      <c r="E1613" s="637" t="n"/>
    </row>
    <row r="1614">
      <c r="A1614" s="544" t="n">
        <v>31468</v>
      </c>
      <c r="B1614" s="637" t="n"/>
      <c r="C1614" s="538" t="n">
        <v>14.68</v>
      </c>
      <c r="D1614" s="637" t="n"/>
      <c r="E1614" s="637" t="n"/>
    </row>
    <row r="1615">
      <c r="A1615" s="544" t="n">
        <v>31469</v>
      </c>
      <c r="B1615" s="637" t="n"/>
      <c r="C1615" s="538" t="n">
        <v>14.62</v>
      </c>
      <c r="D1615" s="637" t="n"/>
      <c r="E1615" s="637" t="n"/>
    </row>
    <row r="1616">
      <c r="A1616" s="544" t="n">
        <v>31470</v>
      </c>
      <c r="B1616" s="637" t="n"/>
      <c r="C1616" s="538" t="n">
        <v>14.05</v>
      </c>
      <c r="D1616" s="637" t="n"/>
      <c r="E1616" s="637" t="n"/>
    </row>
    <row r="1617">
      <c r="A1617" s="544" t="n">
        <v>31471</v>
      </c>
      <c r="B1617" s="637" t="n"/>
      <c r="C1617" s="538" t="n">
        <v>13.23</v>
      </c>
      <c r="D1617" s="637" t="n"/>
      <c r="E1617" s="637" t="n"/>
    </row>
    <row r="1618">
      <c r="A1618" s="544" t="n">
        <v>31474</v>
      </c>
      <c r="B1618" s="637" t="n"/>
      <c r="C1618" s="538" t="n">
        <v>11.98</v>
      </c>
      <c r="D1618" s="637" t="n"/>
      <c r="E1618" s="637" t="n"/>
    </row>
    <row r="1619">
      <c r="A1619" s="544" t="n">
        <v>31475</v>
      </c>
      <c r="B1619" s="637" t="n"/>
      <c r="C1619" s="538" t="n">
        <v>11.98</v>
      </c>
      <c r="D1619" s="637" t="n"/>
      <c r="E1619" s="637" t="n"/>
    </row>
    <row r="1620">
      <c r="A1620" s="544" t="n">
        <v>31476</v>
      </c>
      <c r="B1620" s="637" t="n"/>
      <c r="C1620" s="538" t="n">
        <v>12.03</v>
      </c>
      <c r="D1620" s="637" t="n"/>
      <c r="E1620" s="637" t="n"/>
    </row>
    <row r="1621">
      <c r="A1621" s="544" t="n">
        <v>31477</v>
      </c>
      <c r="B1621" s="637" t="n"/>
      <c r="C1621" s="538" t="n">
        <v>13.13</v>
      </c>
      <c r="D1621" s="637" t="n"/>
      <c r="E1621" s="637" t="n"/>
    </row>
    <row r="1622">
      <c r="A1622" s="544" t="n">
        <v>31478</v>
      </c>
      <c r="B1622" s="637" t="n"/>
      <c r="C1622" s="538" t="n">
        <v>12.24</v>
      </c>
      <c r="D1622" s="637" t="n"/>
      <c r="E1622" s="637" t="n"/>
    </row>
    <row r="1623">
      <c r="A1623" s="544" t="n">
        <v>31481</v>
      </c>
      <c r="B1623" s="637" t="n"/>
      <c r="C1623" s="538" t="n">
        <v>12.94</v>
      </c>
      <c r="D1623" s="637" t="n"/>
      <c r="E1623" s="637" t="n"/>
    </row>
    <row r="1624">
      <c r="A1624" s="544" t="n">
        <v>31482</v>
      </c>
      <c r="B1624" s="637" t="n"/>
      <c r="C1624" s="538" t="n">
        <v>13.23</v>
      </c>
      <c r="D1624" s="637" t="n"/>
      <c r="E1624" s="637" t="n"/>
    </row>
    <row r="1625">
      <c r="A1625" s="544" t="n">
        <v>31483</v>
      </c>
      <c r="B1625" s="637" t="n"/>
      <c r="C1625" s="538" t="n">
        <v>14.05</v>
      </c>
      <c r="D1625" s="637" t="n"/>
      <c r="E1625" s="637" t="n"/>
    </row>
    <row r="1626">
      <c r="A1626" s="544" t="n">
        <v>31484</v>
      </c>
      <c r="B1626" s="637" t="n"/>
      <c r="C1626" s="538" t="n">
        <v>12.6</v>
      </c>
      <c r="D1626" s="637" t="n"/>
      <c r="E1626" s="637" t="n"/>
    </row>
    <row r="1627">
      <c r="A1627" s="544" t="n">
        <v>31485</v>
      </c>
      <c r="B1627" s="637" t="n"/>
      <c r="C1627" s="538" t="n">
        <v>12.55</v>
      </c>
      <c r="D1627" s="637" t="n"/>
      <c r="E1627" s="637" t="n"/>
    </row>
    <row r="1628">
      <c r="A1628" s="544" t="n">
        <v>31488</v>
      </c>
      <c r="B1628" s="637" t="n"/>
      <c r="C1628" s="538" t="n">
        <v>13.28</v>
      </c>
      <c r="D1628" s="637" t="n"/>
      <c r="E1628" s="637" t="n"/>
    </row>
    <row r="1629">
      <c r="A1629" s="544" t="n">
        <v>31489</v>
      </c>
      <c r="B1629" s="637" t="n"/>
      <c r="C1629" s="538" t="n">
        <v>14.03</v>
      </c>
      <c r="D1629" s="637" t="n"/>
      <c r="E1629" s="637" t="n"/>
    </row>
    <row r="1630">
      <c r="A1630" s="544" t="n">
        <v>31490</v>
      </c>
      <c r="B1630" s="637" t="n"/>
      <c r="C1630" s="538" t="n">
        <v>13.25</v>
      </c>
      <c r="D1630" s="637" t="n"/>
      <c r="E1630" s="637" t="n"/>
    </row>
    <row r="1631">
      <c r="A1631" s="544" t="n">
        <v>31491</v>
      </c>
      <c r="B1631" s="637" t="n"/>
      <c r="C1631" s="538" t="n">
        <v>12.75</v>
      </c>
      <c r="D1631" s="637" t="n"/>
      <c r="E1631" s="637" t="n"/>
    </row>
    <row r="1632">
      <c r="A1632" s="544" t="n">
        <v>31492</v>
      </c>
      <c r="B1632" s="637" t="n"/>
      <c r="C1632" s="538" t="n">
        <v>13.95</v>
      </c>
      <c r="D1632" s="637" t="n"/>
      <c r="E1632" s="637" t="n"/>
    </row>
    <row r="1633">
      <c r="A1633" s="544" t="n">
        <v>31495</v>
      </c>
      <c r="B1633" s="637" t="n"/>
      <c r="C1633" s="538" t="n">
        <v>12.2</v>
      </c>
      <c r="D1633" s="637" t="n"/>
      <c r="E1633" s="637" t="n"/>
    </row>
    <row r="1634">
      <c r="A1634" s="544" t="n">
        <v>31496</v>
      </c>
      <c r="B1634" s="637" t="n"/>
      <c r="C1634" s="538" t="n">
        <v>12.43</v>
      </c>
      <c r="D1634" s="637" t="n"/>
      <c r="E1634" s="637" t="n"/>
    </row>
    <row r="1635">
      <c r="A1635" s="544" t="n">
        <v>31497</v>
      </c>
      <c r="B1635" s="637" t="n"/>
      <c r="C1635" s="538" t="n">
        <v>12.03</v>
      </c>
      <c r="D1635" s="637" t="n"/>
      <c r="E1635" s="637" t="n"/>
    </row>
    <row r="1636">
      <c r="A1636" s="544" t="n">
        <v>31498</v>
      </c>
      <c r="B1636" s="637" t="n"/>
      <c r="C1636" s="538" t="n">
        <v>11.35</v>
      </c>
      <c r="D1636" s="637" t="n"/>
      <c r="E1636" s="637" t="n"/>
    </row>
    <row r="1637">
      <c r="A1637" s="544" t="n">
        <v>31499</v>
      </c>
      <c r="B1637" s="637" t="n"/>
      <c r="C1637" s="538" t="n">
        <v>11.35</v>
      </c>
      <c r="D1637" s="637" t="n"/>
      <c r="E1637" s="637" t="n"/>
    </row>
    <row r="1638">
      <c r="A1638" s="544" t="n">
        <v>31502</v>
      </c>
      <c r="B1638" s="637" t="n"/>
      <c r="C1638" s="538" t="n">
        <v>10.25</v>
      </c>
      <c r="D1638" s="637" t="n"/>
      <c r="E1638" s="637" t="n"/>
    </row>
    <row r="1639">
      <c r="A1639" s="544" t="n">
        <v>31503</v>
      </c>
      <c r="B1639" s="637" t="n"/>
      <c r="C1639" s="538" t="n">
        <v>11.13</v>
      </c>
      <c r="D1639" s="637" t="n"/>
      <c r="E1639" s="637" t="n"/>
    </row>
    <row r="1640">
      <c r="A1640" s="544" t="n">
        <v>31504</v>
      </c>
      <c r="B1640" s="637" t="n"/>
      <c r="C1640" s="538" t="n">
        <v>11.35</v>
      </c>
      <c r="D1640" s="637" t="n"/>
      <c r="E1640" s="637" t="n"/>
    </row>
    <row r="1641">
      <c r="A1641" s="544" t="n">
        <v>31505</v>
      </c>
      <c r="B1641" s="637" t="n"/>
      <c r="C1641" s="538" t="n">
        <v>11.7</v>
      </c>
      <c r="D1641" s="637" t="n"/>
      <c r="E1641" s="637" t="n"/>
    </row>
    <row r="1642">
      <c r="A1642" s="544" t="n">
        <v>31506</v>
      </c>
      <c r="B1642" s="637" t="n"/>
      <c r="C1642" s="538" t="n">
        <v>12.75</v>
      </c>
      <c r="D1642" s="637" t="n"/>
      <c r="E1642" s="637" t="n"/>
    </row>
    <row r="1643">
      <c r="A1643" s="544" t="n">
        <v>31509</v>
      </c>
      <c r="B1643" s="637" t="n"/>
      <c r="C1643" s="538" t="n">
        <v>14.39</v>
      </c>
      <c r="D1643" s="637" t="n"/>
      <c r="E1643" s="637" t="n"/>
    </row>
    <row r="1644">
      <c r="A1644" s="544" t="n">
        <v>31510</v>
      </c>
      <c r="B1644" s="637" t="n"/>
      <c r="C1644" s="538" t="n">
        <v>12.83</v>
      </c>
      <c r="D1644" s="637" t="n"/>
      <c r="E1644" s="637" t="n"/>
    </row>
    <row r="1645">
      <c r="A1645" s="544" t="n">
        <v>31511</v>
      </c>
      <c r="B1645" s="637" t="n"/>
      <c r="C1645" s="538" t="n">
        <v>13</v>
      </c>
      <c r="D1645" s="637" t="n"/>
      <c r="E1645" s="637" t="n"/>
    </row>
    <row r="1646">
      <c r="A1646" s="544" t="n">
        <v>31512</v>
      </c>
      <c r="B1646" s="637" t="n"/>
      <c r="C1646" s="538" t="n">
        <v>13.45</v>
      </c>
      <c r="D1646" s="637" t="n"/>
      <c r="E1646" s="637" t="n"/>
    </row>
    <row r="1647">
      <c r="A1647" s="544" t="n">
        <v>31513</v>
      </c>
      <c r="B1647" s="637" t="n"/>
      <c r="C1647" s="538" t="n">
        <v>13.63</v>
      </c>
      <c r="D1647" s="637" t="n"/>
      <c r="E1647" s="637" t="n"/>
    </row>
    <row r="1648">
      <c r="A1648" s="544" t="n">
        <v>31516</v>
      </c>
      <c r="B1648" s="637" t="n"/>
      <c r="C1648" s="538" t="n">
        <v>12.94</v>
      </c>
      <c r="D1648" s="637" t="n"/>
      <c r="E1648" s="637" t="n"/>
    </row>
    <row r="1649">
      <c r="A1649" s="544" t="n">
        <v>31517</v>
      </c>
      <c r="B1649" s="637" t="n"/>
      <c r="C1649" s="538" t="n">
        <v>12.72</v>
      </c>
      <c r="D1649" s="637" t="n"/>
      <c r="E1649" s="637" t="n"/>
    </row>
    <row r="1650">
      <c r="A1650" s="544" t="n">
        <v>31518</v>
      </c>
      <c r="B1650" s="637" t="n"/>
      <c r="C1650" s="538" t="n">
        <v>11.5</v>
      </c>
      <c r="D1650" s="637" t="n"/>
      <c r="E1650" s="637" t="n"/>
    </row>
    <row r="1651">
      <c r="A1651" s="544" t="n">
        <v>31519</v>
      </c>
      <c r="B1651" s="637" t="n"/>
      <c r="C1651" s="538" t="n">
        <v>11.75</v>
      </c>
      <c r="D1651" s="637" t="n"/>
      <c r="E1651" s="637" t="n"/>
    </row>
    <row r="1652">
      <c r="A1652" s="544" t="n">
        <v>31520</v>
      </c>
      <c r="B1652" s="637" t="n"/>
      <c r="C1652" s="538" t="n">
        <v>11.88</v>
      </c>
      <c r="D1652" s="637" t="n"/>
      <c r="E1652" s="637" t="n"/>
    </row>
    <row r="1653">
      <c r="A1653" s="544" t="n">
        <v>31523</v>
      </c>
      <c r="B1653" s="637" t="n"/>
      <c r="C1653" s="538" t="n">
        <v>12.48</v>
      </c>
      <c r="D1653" s="637" t="n"/>
      <c r="E1653" s="637" t="n"/>
    </row>
    <row r="1654">
      <c r="A1654" s="544" t="n">
        <v>31524</v>
      </c>
      <c r="B1654" s="637" t="n"/>
      <c r="C1654" s="538" t="n">
        <v>13.13</v>
      </c>
      <c r="D1654" s="637" t="n"/>
      <c r="E1654" s="637" t="n"/>
    </row>
    <row r="1655">
      <c r="A1655" s="544" t="n">
        <v>31525</v>
      </c>
      <c r="B1655" s="637" t="n"/>
      <c r="C1655" s="538" t="n">
        <v>13.7</v>
      </c>
      <c r="D1655" s="637" t="n"/>
      <c r="E1655" s="637" t="n"/>
    </row>
    <row r="1656">
      <c r="A1656" s="544" t="n">
        <v>31526</v>
      </c>
      <c r="B1656" s="637" t="n"/>
      <c r="C1656" s="538" t="n">
        <v>13.65</v>
      </c>
      <c r="D1656" s="637" t="n"/>
      <c r="E1656" s="637" t="n"/>
    </row>
    <row r="1657">
      <c r="A1657" s="544" t="n">
        <v>31527</v>
      </c>
      <c r="B1657" s="637" t="n"/>
      <c r="C1657" s="538" t="n">
        <v>14.23</v>
      </c>
      <c r="D1657" s="637" t="n"/>
      <c r="E1657" s="637" t="n"/>
    </row>
    <row r="1658">
      <c r="A1658" s="544" t="n">
        <v>31530</v>
      </c>
      <c r="B1658" s="637" t="n"/>
      <c r="C1658" s="538" t="n">
        <v>13.34</v>
      </c>
      <c r="D1658" s="637" t="n"/>
      <c r="E1658" s="637" t="n"/>
    </row>
    <row r="1659">
      <c r="A1659" s="544" t="n">
        <v>31531</v>
      </c>
      <c r="B1659" s="637" t="n"/>
      <c r="C1659" s="538" t="n">
        <v>13.63</v>
      </c>
      <c r="D1659" s="637" t="n"/>
      <c r="E1659" s="637" t="n"/>
    </row>
    <row r="1660">
      <c r="A1660" s="544" t="n">
        <v>31532</v>
      </c>
      <c r="B1660" s="637" t="n"/>
      <c r="C1660" s="538" t="n">
        <v>13.38</v>
      </c>
      <c r="D1660" s="637" t="n"/>
      <c r="E1660" s="637" t="n"/>
    </row>
    <row r="1661">
      <c r="A1661" s="544" t="n">
        <v>31533</v>
      </c>
      <c r="B1661" s="637" t="n"/>
      <c r="C1661" s="538" t="n">
        <v>13.8</v>
      </c>
      <c r="D1661" s="637" t="n"/>
      <c r="E1661" s="637" t="n"/>
    </row>
    <row r="1662">
      <c r="A1662" s="544" t="n">
        <v>31534</v>
      </c>
      <c r="B1662" s="637" t="n"/>
      <c r="C1662" s="538" t="n">
        <v>14.65</v>
      </c>
      <c r="D1662" s="637" t="n"/>
      <c r="E1662" s="637" t="n"/>
    </row>
    <row r="1663">
      <c r="A1663" s="544" t="n">
        <v>31537</v>
      </c>
      <c r="B1663" s="637" t="n"/>
      <c r="C1663" s="538" t="n">
        <v>14.32</v>
      </c>
      <c r="D1663" s="637" t="n"/>
      <c r="E1663" s="637" t="n"/>
    </row>
    <row r="1664">
      <c r="A1664" s="544" t="n">
        <v>31538</v>
      </c>
      <c r="B1664" s="637" t="n"/>
      <c r="C1664" s="538" t="n">
        <v>14.43</v>
      </c>
      <c r="D1664" s="637" t="n"/>
      <c r="E1664" s="637" t="n"/>
    </row>
    <row r="1665">
      <c r="A1665" s="544" t="n">
        <v>31539</v>
      </c>
      <c r="B1665" s="637" t="n"/>
      <c r="C1665" s="538" t="n">
        <v>15.13</v>
      </c>
      <c r="D1665" s="637" t="n"/>
      <c r="E1665" s="637" t="n"/>
    </row>
    <row r="1666">
      <c r="A1666" s="544" t="n">
        <v>31540</v>
      </c>
      <c r="B1666" s="637" t="n"/>
      <c r="C1666" s="538" t="n">
        <v>15.7</v>
      </c>
      <c r="D1666" s="637" t="n"/>
      <c r="E1666" s="637" t="n"/>
    </row>
    <row r="1667">
      <c r="A1667" s="544" t="n">
        <v>31541</v>
      </c>
      <c r="B1667" s="637" t="n"/>
      <c r="C1667" s="538" t="n">
        <v>15.83</v>
      </c>
      <c r="D1667" s="637" t="n"/>
      <c r="E1667" s="637" t="n"/>
    </row>
    <row r="1668">
      <c r="A1668" s="544" t="n">
        <v>31544</v>
      </c>
      <c r="B1668" s="637" t="n"/>
      <c r="C1668" s="538" t="n">
        <v>15.75</v>
      </c>
      <c r="D1668" s="637" t="n"/>
      <c r="E1668" s="637" t="n"/>
    </row>
    <row r="1669">
      <c r="A1669" s="544" t="n">
        <v>31545</v>
      </c>
      <c r="B1669" s="637" t="n"/>
      <c r="C1669" s="538" t="n">
        <v>15.65</v>
      </c>
      <c r="D1669" s="637" t="n"/>
      <c r="E1669" s="637" t="n"/>
    </row>
    <row r="1670">
      <c r="A1670" s="544" t="n">
        <v>31546</v>
      </c>
      <c r="B1670" s="637" t="n"/>
      <c r="C1670" s="538" t="n">
        <v>15.53</v>
      </c>
      <c r="D1670" s="637" t="n"/>
      <c r="E1670" s="637" t="n"/>
    </row>
    <row r="1671">
      <c r="A1671" s="544" t="n">
        <v>31547</v>
      </c>
      <c r="B1671" s="637" t="n"/>
      <c r="C1671" s="538" t="n">
        <v>15.68</v>
      </c>
      <c r="D1671" s="637" t="n"/>
      <c r="E1671" s="637" t="n"/>
    </row>
    <row r="1672">
      <c r="A1672" s="544" t="n">
        <v>31548</v>
      </c>
      <c r="B1672" s="637" t="n"/>
      <c r="C1672" s="538" t="n">
        <v>16.08</v>
      </c>
      <c r="D1672" s="637" t="n"/>
      <c r="E1672" s="637" t="n"/>
    </row>
    <row r="1673">
      <c r="A1673" s="544" t="n">
        <v>31551</v>
      </c>
      <c r="B1673" s="637" t="n"/>
      <c r="C1673" s="538" t="n">
        <v>17.13</v>
      </c>
      <c r="D1673" s="637" t="n"/>
      <c r="E1673" s="637" t="n"/>
    </row>
    <row r="1674">
      <c r="A1674" s="544" t="n">
        <v>31552</v>
      </c>
      <c r="B1674" s="637" t="n"/>
      <c r="C1674" s="538" t="n">
        <v>16.18</v>
      </c>
      <c r="D1674" s="637" t="n"/>
      <c r="E1674" s="637" t="n"/>
    </row>
    <row r="1675">
      <c r="A1675" s="544" t="n">
        <v>31553</v>
      </c>
      <c r="B1675" s="637" t="n"/>
      <c r="C1675" s="538" t="n">
        <v>15.53</v>
      </c>
      <c r="D1675" s="637" t="n"/>
      <c r="E1675" s="637" t="n"/>
    </row>
    <row r="1676">
      <c r="A1676" s="544" t="n">
        <v>31554</v>
      </c>
      <c r="B1676" s="637" t="n"/>
      <c r="C1676" s="538" t="n">
        <v>16.04</v>
      </c>
      <c r="D1676" s="637" t="n"/>
      <c r="E1676" s="637" t="n"/>
    </row>
    <row r="1677">
      <c r="A1677" s="544" t="n">
        <v>31555</v>
      </c>
      <c r="B1677" s="637" t="n"/>
      <c r="C1677" s="538" t="n">
        <v>16.95</v>
      </c>
      <c r="D1677" s="637" t="n"/>
      <c r="E1677" s="637" t="n"/>
    </row>
    <row r="1678">
      <c r="A1678" s="544" t="n">
        <v>31558</v>
      </c>
      <c r="B1678" s="637" t="n"/>
      <c r="C1678" s="538" t="n">
        <v>16.95</v>
      </c>
      <c r="D1678" s="637" t="n"/>
      <c r="E1678" s="637" t="n"/>
    </row>
    <row r="1679">
      <c r="A1679" s="544" t="n">
        <v>31559</v>
      </c>
      <c r="B1679" s="637" t="n"/>
      <c r="C1679" s="538" t="n">
        <v>15.1</v>
      </c>
      <c r="D1679" s="637" t="n"/>
      <c r="E1679" s="637" t="n"/>
    </row>
    <row r="1680">
      <c r="A1680" s="544" t="n">
        <v>31560</v>
      </c>
      <c r="B1680" s="637" t="n"/>
      <c r="C1680" s="538" t="n">
        <v>14.65</v>
      </c>
      <c r="D1680" s="637" t="n"/>
      <c r="E1680" s="637" t="n"/>
    </row>
    <row r="1681">
      <c r="A1681" s="544" t="n">
        <v>31561</v>
      </c>
      <c r="B1681" s="637" t="n"/>
      <c r="C1681" s="538" t="n">
        <v>14.5</v>
      </c>
      <c r="D1681" s="637" t="n"/>
      <c r="E1681" s="637" t="n"/>
    </row>
    <row r="1682">
      <c r="A1682" s="544" t="n">
        <v>31562</v>
      </c>
      <c r="B1682" s="637" t="n"/>
      <c r="C1682" s="538" t="n">
        <v>14.3</v>
      </c>
      <c r="D1682" s="637" t="n"/>
      <c r="E1682" s="637" t="n"/>
    </row>
    <row r="1683">
      <c r="A1683" s="544" t="n">
        <v>31565</v>
      </c>
      <c r="B1683" s="637" t="n"/>
      <c r="C1683" s="538" t="n">
        <v>13.8</v>
      </c>
      <c r="D1683" s="637" t="n"/>
      <c r="E1683" s="538" t="n">
        <v>16.15</v>
      </c>
    </row>
    <row r="1684">
      <c r="A1684" s="544" t="n">
        <v>31566</v>
      </c>
      <c r="B1684" s="637" t="n"/>
      <c r="C1684" s="538" t="n">
        <v>13.35</v>
      </c>
      <c r="D1684" s="637" t="n"/>
      <c r="E1684" s="538" t="n">
        <v>16.3</v>
      </c>
    </row>
    <row r="1685">
      <c r="A1685" s="544" t="n">
        <v>31567</v>
      </c>
      <c r="B1685" s="637" t="n"/>
      <c r="C1685" s="538" t="n">
        <v>13.15</v>
      </c>
      <c r="D1685" s="637" t="n"/>
      <c r="E1685" s="538" t="n">
        <v>15.7</v>
      </c>
    </row>
    <row r="1686">
      <c r="A1686" s="544" t="n">
        <v>31568</v>
      </c>
      <c r="B1686" s="637" t="n"/>
      <c r="C1686" s="538" t="n">
        <v>13.21</v>
      </c>
      <c r="D1686" s="637" t="n"/>
      <c r="E1686" s="538" t="n">
        <v>15.45</v>
      </c>
    </row>
    <row r="1687">
      <c r="A1687" s="544" t="n">
        <v>31569</v>
      </c>
      <c r="B1687" s="637" t="n"/>
      <c r="C1687" s="538" t="n">
        <v>12.73</v>
      </c>
      <c r="D1687" s="637" t="n"/>
      <c r="E1687" s="538" t="n">
        <v>14.95</v>
      </c>
    </row>
    <row r="1688">
      <c r="A1688" s="544" t="n">
        <v>31572</v>
      </c>
      <c r="B1688" s="637" t="n"/>
      <c r="C1688" s="538" t="n">
        <v>12.61</v>
      </c>
      <c r="D1688" s="637" t="n"/>
      <c r="E1688" s="538" t="n">
        <v>14.95</v>
      </c>
    </row>
    <row r="1689">
      <c r="A1689" s="544" t="n">
        <v>31573</v>
      </c>
      <c r="B1689" s="637" t="n"/>
      <c r="C1689" s="538" t="n">
        <v>12.38</v>
      </c>
      <c r="D1689" s="637" t="n"/>
      <c r="E1689" s="538" t="n">
        <v>14.95</v>
      </c>
    </row>
    <row r="1690">
      <c r="A1690" s="544" t="n">
        <v>31574</v>
      </c>
      <c r="B1690" s="637" t="n"/>
      <c r="C1690" s="538" t="n">
        <v>13.52</v>
      </c>
      <c r="D1690" s="637" t="n"/>
      <c r="E1690" s="538" t="n">
        <v>14.95</v>
      </c>
    </row>
    <row r="1691">
      <c r="A1691" s="544" t="n">
        <v>31575</v>
      </c>
      <c r="B1691" s="637" t="n"/>
      <c r="C1691" s="538" t="n">
        <v>13.69</v>
      </c>
      <c r="D1691" s="637" t="n"/>
      <c r="E1691" s="538" t="n">
        <v>14.95</v>
      </c>
    </row>
    <row r="1692">
      <c r="A1692" s="544" t="n">
        <v>31576</v>
      </c>
      <c r="B1692" s="637" t="n"/>
      <c r="C1692" s="538" t="n">
        <v>13.83</v>
      </c>
      <c r="D1692" s="637" t="n"/>
      <c r="E1692" s="538" t="n">
        <v>14.75</v>
      </c>
    </row>
    <row r="1693">
      <c r="A1693" s="544" t="n">
        <v>31579</v>
      </c>
      <c r="B1693" s="637" t="n"/>
      <c r="C1693" s="538" t="n">
        <v>13.65</v>
      </c>
      <c r="D1693" s="637" t="n"/>
      <c r="E1693" s="538" t="n">
        <v>14.75</v>
      </c>
    </row>
    <row r="1694">
      <c r="A1694" s="544" t="n">
        <v>31580</v>
      </c>
      <c r="B1694" s="637" t="n"/>
      <c r="C1694" s="538" t="n">
        <v>13.65</v>
      </c>
      <c r="D1694" s="637" t="n"/>
      <c r="E1694" s="538" t="n">
        <v>14.55</v>
      </c>
    </row>
    <row r="1695">
      <c r="A1695" s="544" t="n">
        <v>31581</v>
      </c>
      <c r="B1695" s="637" t="n"/>
      <c r="C1695" s="538" t="n">
        <v>13.62</v>
      </c>
      <c r="D1695" s="637" t="n"/>
      <c r="E1695" s="538" t="n">
        <v>14.25</v>
      </c>
    </row>
    <row r="1696">
      <c r="A1696" s="544" t="n">
        <v>31582</v>
      </c>
      <c r="B1696" s="637" t="n"/>
      <c r="C1696" s="538" t="n">
        <v>13.73</v>
      </c>
      <c r="D1696" s="637" t="n"/>
      <c r="E1696" s="538" t="n">
        <v>14.25</v>
      </c>
    </row>
    <row r="1697">
      <c r="A1697" s="544" t="n">
        <v>31583</v>
      </c>
      <c r="B1697" s="637" t="n"/>
      <c r="C1697" s="538" t="n">
        <v>14.44</v>
      </c>
      <c r="D1697" s="637" t="n"/>
      <c r="E1697" s="538" t="n">
        <v>14.25</v>
      </c>
    </row>
    <row r="1698">
      <c r="A1698" s="544" t="n">
        <v>31586</v>
      </c>
      <c r="B1698" s="637" t="n"/>
      <c r="C1698" s="538" t="n">
        <v>14.05</v>
      </c>
      <c r="D1698" s="637" t="n"/>
      <c r="E1698" s="538" t="n">
        <v>14.15</v>
      </c>
    </row>
    <row r="1699">
      <c r="A1699" s="544" t="n">
        <v>31587</v>
      </c>
      <c r="B1699" s="637" t="n"/>
      <c r="C1699" s="538" t="n">
        <v>13.98</v>
      </c>
      <c r="D1699" s="637" t="n"/>
      <c r="E1699" s="538" t="n">
        <v>14.15</v>
      </c>
    </row>
    <row r="1700">
      <c r="A1700" s="544" t="n">
        <v>31588</v>
      </c>
      <c r="B1700" s="637" t="n"/>
      <c r="C1700" s="538" t="n">
        <v>13.23</v>
      </c>
      <c r="D1700" s="637" t="n"/>
      <c r="E1700" s="538" t="n">
        <v>14</v>
      </c>
    </row>
    <row r="1701">
      <c r="A1701" s="544" t="n">
        <v>31589</v>
      </c>
      <c r="B1701" s="637" t="n"/>
      <c r="C1701" s="538" t="n">
        <v>13.14</v>
      </c>
      <c r="D1701" s="637" t="n"/>
      <c r="E1701" s="538" t="n">
        <v>14</v>
      </c>
    </row>
    <row r="1702">
      <c r="A1702" s="544" t="n">
        <v>31590</v>
      </c>
      <c r="B1702" s="637" t="n"/>
      <c r="C1702" s="538" t="n">
        <v>13.38</v>
      </c>
      <c r="D1702" s="637" t="n"/>
      <c r="E1702" s="538" t="n">
        <v>13.75</v>
      </c>
    </row>
    <row r="1703">
      <c r="A1703" s="544" t="n">
        <v>31593</v>
      </c>
      <c r="B1703" s="637" t="n"/>
      <c r="C1703" s="538" t="n">
        <v>12.8</v>
      </c>
      <c r="D1703" s="637" t="n"/>
      <c r="E1703" s="538" t="n">
        <v>13.75</v>
      </c>
    </row>
    <row r="1704">
      <c r="A1704" s="544" t="n">
        <v>31594</v>
      </c>
      <c r="B1704" s="637" t="n"/>
      <c r="C1704" s="538" t="n">
        <v>12.39</v>
      </c>
      <c r="D1704" s="637" t="n"/>
      <c r="E1704" s="538" t="n">
        <v>13.75</v>
      </c>
    </row>
    <row r="1705">
      <c r="A1705" s="544" t="n">
        <v>31595</v>
      </c>
      <c r="B1705" s="637" t="n"/>
      <c r="C1705" s="538" t="n">
        <v>12.04</v>
      </c>
      <c r="D1705" s="637" t="n"/>
      <c r="E1705" s="538" t="n">
        <v>13.7</v>
      </c>
    </row>
    <row r="1706">
      <c r="A1706" s="544" t="n">
        <v>31596</v>
      </c>
      <c r="B1706" s="637" t="n"/>
      <c r="C1706" s="538" t="n">
        <v>11.7</v>
      </c>
      <c r="D1706" s="637" t="n"/>
      <c r="E1706" s="538" t="n">
        <v>13.7</v>
      </c>
    </row>
    <row r="1707">
      <c r="A1707" s="544" t="n">
        <v>31597</v>
      </c>
      <c r="B1707" s="637" t="n"/>
      <c r="C1707" s="538" t="n">
        <v>11.7</v>
      </c>
      <c r="D1707" s="637" t="n"/>
      <c r="E1707" s="538" t="n">
        <v>13.7</v>
      </c>
    </row>
    <row r="1708">
      <c r="A1708" s="544" t="n">
        <v>31600</v>
      </c>
      <c r="B1708" s="637" t="n"/>
      <c r="C1708" s="538" t="n">
        <v>11.18</v>
      </c>
      <c r="D1708" s="637" t="n"/>
      <c r="E1708" s="538" t="n">
        <v>12.9</v>
      </c>
    </row>
    <row r="1709">
      <c r="A1709" s="544" t="n">
        <v>31601</v>
      </c>
      <c r="B1709" s="637" t="n"/>
      <c r="C1709" s="538" t="n">
        <v>11.19</v>
      </c>
      <c r="D1709" s="637" t="n"/>
      <c r="E1709" s="538" t="n">
        <v>12.75</v>
      </c>
    </row>
    <row r="1710">
      <c r="A1710" s="544" t="n">
        <v>31602</v>
      </c>
      <c r="B1710" s="637" t="n"/>
      <c r="C1710" s="538" t="n">
        <v>11</v>
      </c>
      <c r="D1710" s="637" t="n"/>
      <c r="E1710" s="538" t="n">
        <v>12.65</v>
      </c>
    </row>
    <row r="1711">
      <c r="A1711" s="544" t="n">
        <v>31603</v>
      </c>
      <c r="B1711" s="637" t="n"/>
      <c r="C1711" s="538" t="n">
        <v>11.13</v>
      </c>
      <c r="D1711" s="637" t="n"/>
      <c r="E1711" s="538" t="n">
        <v>12.35</v>
      </c>
    </row>
    <row r="1712">
      <c r="A1712" s="544" t="n">
        <v>31604</v>
      </c>
      <c r="B1712" s="637" t="n"/>
      <c r="C1712" s="538" t="n">
        <v>11.13</v>
      </c>
      <c r="D1712" s="637" t="n"/>
      <c r="E1712" s="538" t="n">
        <v>12.15</v>
      </c>
    </row>
    <row r="1713">
      <c r="A1713" s="544" t="n">
        <v>31607</v>
      </c>
      <c r="B1713" s="637" t="n"/>
      <c r="C1713" s="538" t="n">
        <v>11.23</v>
      </c>
      <c r="D1713" s="637" t="n"/>
      <c r="E1713" s="538" t="n">
        <v>12.1</v>
      </c>
    </row>
    <row r="1714">
      <c r="A1714" s="544" t="n">
        <v>31608</v>
      </c>
      <c r="B1714" s="637" t="n"/>
      <c r="C1714" s="538" t="n">
        <v>11.85</v>
      </c>
      <c r="D1714" s="637" t="n"/>
      <c r="E1714" s="538" t="n">
        <v>11.9</v>
      </c>
    </row>
    <row r="1715">
      <c r="A1715" s="544" t="n">
        <v>31609</v>
      </c>
      <c r="B1715" s="637" t="n"/>
      <c r="C1715" s="538" t="n">
        <v>12.68</v>
      </c>
      <c r="D1715" s="637" t="n"/>
      <c r="E1715" s="538" t="n">
        <v>11.65</v>
      </c>
    </row>
    <row r="1716">
      <c r="A1716" s="544" t="n">
        <v>31610</v>
      </c>
      <c r="B1716" s="637" t="n"/>
      <c r="C1716" s="538" t="n">
        <v>12.3</v>
      </c>
      <c r="D1716" s="637" t="n"/>
      <c r="E1716" s="538" t="n">
        <v>11.25</v>
      </c>
    </row>
    <row r="1717">
      <c r="A1717" s="544" t="n">
        <v>31611</v>
      </c>
      <c r="B1717" s="637" t="n"/>
      <c r="C1717" s="538" t="n">
        <v>12.8</v>
      </c>
      <c r="D1717" s="637" t="n"/>
      <c r="E1717" s="538" t="n">
        <v>10.75</v>
      </c>
    </row>
    <row r="1718">
      <c r="A1718" s="544" t="n">
        <v>31614</v>
      </c>
      <c r="B1718" s="637" t="n"/>
      <c r="C1718" s="538" t="n">
        <v>13.07</v>
      </c>
      <c r="D1718" s="637" t="n"/>
      <c r="E1718" s="538" t="n">
        <v>10.75</v>
      </c>
    </row>
    <row r="1719">
      <c r="A1719" s="544" t="n">
        <v>31615</v>
      </c>
      <c r="B1719" s="637" t="n"/>
      <c r="C1719" s="538" t="n">
        <v>10.88</v>
      </c>
      <c r="D1719" s="637" t="n"/>
      <c r="E1719" s="538" t="n">
        <v>10.3</v>
      </c>
    </row>
    <row r="1720">
      <c r="A1720" s="544" t="n">
        <v>31616</v>
      </c>
      <c r="B1720" s="637" t="n"/>
      <c r="C1720" s="538" t="n">
        <v>10.83</v>
      </c>
      <c r="D1720" s="637" t="n"/>
      <c r="E1720" s="538" t="n">
        <v>10.3</v>
      </c>
    </row>
    <row r="1721">
      <c r="A1721" s="544" t="n">
        <v>31617</v>
      </c>
      <c r="B1721" s="637" t="n"/>
      <c r="C1721" s="538" t="n">
        <v>10.95</v>
      </c>
      <c r="D1721" s="637" t="n"/>
      <c r="E1721" s="538" t="n">
        <v>10.2</v>
      </c>
    </row>
    <row r="1722">
      <c r="A1722" s="544" t="n">
        <v>31618</v>
      </c>
      <c r="B1722" s="637" t="n"/>
      <c r="C1722" s="538" t="n">
        <v>10.83</v>
      </c>
      <c r="D1722" s="637" t="n"/>
      <c r="E1722" s="538" t="n">
        <v>9.949999999999999</v>
      </c>
    </row>
    <row r="1723">
      <c r="A1723" s="544" t="n">
        <v>31621</v>
      </c>
      <c r="B1723" s="637" t="n"/>
      <c r="C1723" s="538" t="n">
        <v>11.09</v>
      </c>
      <c r="D1723" s="637" t="n"/>
      <c r="E1723" s="538" t="n">
        <v>9.949999999999999</v>
      </c>
    </row>
    <row r="1724">
      <c r="A1724" s="544" t="n">
        <v>31622</v>
      </c>
      <c r="B1724" s="637" t="n"/>
      <c r="C1724" s="538" t="n">
        <v>11.63</v>
      </c>
      <c r="D1724" s="637" t="n"/>
      <c r="E1724" s="538" t="n">
        <v>9.300000000000001</v>
      </c>
    </row>
    <row r="1725">
      <c r="A1725" s="544" t="n">
        <v>31623</v>
      </c>
      <c r="B1725" s="637" t="n"/>
      <c r="C1725" s="538" t="n">
        <v>11.73</v>
      </c>
      <c r="D1725" s="637" t="n"/>
      <c r="E1725" s="538" t="n">
        <v>9.300000000000001</v>
      </c>
    </row>
    <row r="1726">
      <c r="A1726" s="544" t="n">
        <v>31624</v>
      </c>
      <c r="B1726" s="637" t="n"/>
      <c r="C1726" s="538" t="n">
        <v>11.23</v>
      </c>
      <c r="D1726" s="637" t="n"/>
      <c r="E1726" s="538" t="n">
        <v>9.300000000000001</v>
      </c>
    </row>
    <row r="1727">
      <c r="A1727" s="544" t="n">
        <v>31625</v>
      </c>
      <c r="B1727" s="637" t="n"/>
      <c r="C1727" s="538" t="n">
        <v>11.56</v>
      </c>
      <c r="D1727" s="637" t="n"/>
      <c r="E1727" s="538" t="n">
        <v>9.6</v>
      </c>
    </row>
    <row r="1728">
      <c r="A1728" s="544" t="n">
        <v>31628</v>
      </c>
      <c r="B1728" s="637" t="n"/>
      <c r="C1728" s="538" t="n">
        <v>14</v>
      </c>
      <c r="D1728" s="637" t="n"/>
      <c r="E1728" s="538" t="n">
        <v>9.75</v>
      </c>
    </row>
    <row r="1729">
      <c r="A1729" s="544" t="n">
        <v>31629</v>
      </c>
      <c r="B1729" s="637" t="n"/>
      <c r="C1729" s="538" t="n">
        <v>14.35</v>
      </c>
      <c r="D1729" s="637" t="n"/>
      <c r="E1729" s="538" t="n">
        <v>10.25</v>
      </c>
    </row>
    <row r="1730">
      <c r="A1730" s="544" t="n">
        <v>31630</v>
      </c>
      <c r="B1730" s="637" t="n"/>
      <c r="C1730" s="538" t="n">
        <v>14.8</v>
      </c>
      <c r="D1730" s="637" t="n"/>
      <c r="E1730" s="538" t="n">
        <v>11.05</v>
      </c>
    </row>
    <row r="1731">
      <c r="A1731" s="544" t="n">
        <v>31631</v>
      </c>
      <c r="B1731" s="637" t="n"/>
      <c r="C1731" s="538" t="n">
        <v>15.18</v>
      </c>
      <c r="D1731" s="637" t="n"/>
      <c r="E1731" s="538" t="n">
        <v>11.3</v>
      </c>
    </row>
    <row r="1732">
      <c r="A1732" s="544" t="n">
        <v>31632</v>
      </c>
      <c r="B1732" s="637" t="n"/>
      <c r="C1732" s="538" t="n">
        <v>14.83</v>
      </c>
      <c r="D1732" s="637" t="n"/>
      <c r="E1732" s="538" t="n">
        <v>12.25</v>
      </c>
    </row>
    <row r="1733">
      <c r="A1733" s="544" t="n">
        <v>31635</v>
      </c>
      <c r="B1733" s="637" t="n"/>
      <c r="C1733" s="538" t="n">
        <v>14.92</v>
      </c>
      <c r="D1733" s="637" t="n"/>
      <c r="E1733" s="538" t="n">
        <v>13.25</v>
      </c>
    </row>
    <row r="1734">
      <c r="A1734" s="544" t="n">
        <v>31636</v>
      </c>
      <c r="B1734" s="637" t="n"/>
      <c r="C1734" s="538" t="n">
        <v>15.5</v>
      </c>
      <c r="D1734" s="637" t="n"/>
      <c r="E1734" s="538" t="n">
        <v>13.25</v>
      </c>
    </row>
    <row r="1735">
      <c r="A1735" s="544" t="n">
        <v>31637</v>
      </c>
      <c r="B1735" s="637" t="n"/>
      <c r="C1735" s="538" t="n">
        <v>15.28</v>
      </c>
      <c r="D1735" s="637" t="n"/>
      <c r="E1735" s="538" t="n">
        <v>13.75</v>
      </c>
    </row>
    <row r="1736">
      <c r="A1736" s="544" t="n">
        <v>31638</v>
      </c>
      <c r="B1736" s="637" t="n"/>
      <c r="C1736" s="538" t="n">
        <v>15.43</v>
      </c>
      <c r="D1736" s="637" t="n"/>
      <c r="E1736" s="538" t="n">
        <v>14.25</v>
      </c>
    </row>
    <row r="1737">
      <c r="A1737" s="544" t="n">
        <v>31639</v>
      </c>
      <c r="B1737" s="637" t="n"/>
      <c r="C1737" s="538" t="n">
        <v>15.83</v>
      </c>
      <c r="D1737" s="637" t="n"/>
      <c r="E1737" s="538" t="n">
        <v>14.25</v>
      </c>
    </row>
    <row r="1738">
      <c r="A1738" s="544" t="n">
        <v>31642</v>
      </c>
      <c r="B1738" s="637" t="n"/>
      <c r="C1738" s="538" t="n">
        <v>15.58</v>
      </c>
      <c r="D1738" s="637" t="n"/>
      <c r="E1738" s="538" t="n">
        <v>14.75</v>
      </c>
    </row>
    <row r="1739">
      <c r="A1739" s="544" t="n">
        <v>31643</v>
      </c>
      <c r="B1739" s="637" t="n"/>
      <c r="C1739" s="538" t="n">
        <v>14.98</v>
      </c>
      <c r="D1739" s="637" t="n"/>
      <c r="E1739" s="538" t="n">
        <v>14.75</v>
      </c>
    </row>
    <row r="1740">
      <c r="A1740" s="544" t="n">
        <v>31644</v>
      </c>
      <c r="B1740" s="637" t="n"/>
      <c r="C1740" s="538" t="n">
        <v>15.23</v>
      </c>
      <c r="D1740" s="637" t="n"/>
      <c r="E1740" s="538" t="n">
        <v>15.25</v>
      </c>
    </row>
    <row r="1741">
      <c r="A1741" s="544" t="n">
        <v>31645</v>
      </c>
      <c r="B1741" s="637" t="n"/>
      <c r="C1741" s="538" t="n">
        <v>15.23</v>
      </c>
      <c r="D1741" s="637" t="n"/>
      <c r="E1741" s="538" t="n">
        <v>16.25</v>
      </c>
    </row>
    <row r="1742">
      <c r="A1742" s="544" t="n">
        <v>31646</v>
      </c>
      <c r="B1742" s="637" t="n"/>
      <c r="C1742" s="538" t="n">
        <v>15.48</v>
      </c>
      <c r="D1742" s="637" t="n"/>
      <c r="E1742" s="538" t="n">
        <v>16.25</v>
      </c>
    </row>
    <row r="1743">
      <c r="A1743" s="544" t="n">
        <v>31649</v>
      </c>
      <c r="B1743" s="637" t="n"/>
      <c r="C1743" s="538" t="n">
        <v>15.48</v>
      </c>
      <c r="D1743" s="637" t="n"/>
      <c r="E1743" s="538" t="n">
        <v>16.75</v>
      </c>
    </row>
    <row r="1744">
      <c r="A1744" s="544" t="n">
        <v>31650</v>
      </c>
      <c r="B1744" s="637" t="n"/>
      <c r="C1744" s="538" t="n">
        <v>15.78</v>
      </c>
      <c r="D1744" s="637" t="n"/>
      <c r="E1744" s="538" t="n">
        <v>16.75</v>
      </c>
    </row>
    <row r="1745">
      <c r="A1745" s="544" t="n">
        <v>31651</v>
      </c>
      <c r="B1745" s="637" t="n"/>
      <c r="C1745" s="538" t="n">
        <v>15.83</v>
      </c>
      <c r="D1745" s="637" t="n"/>
      <c r="E1745" s="538" t="n">
        <v>17.05</v>
      </c>
    </row>
    <row r="1746">
      <c r="A1746" s="544" t="n">
        <v>31652</v>
      </c>
      <c r="B1746" s="637" t="n"/>
      <c r="C1746" s="538" t="n">
        <v>15.83</v>
      </c>
      <c r="D1746" s="637" t="n"/>
      <c r="E1746" s="538" t="n">
        <v>17.25</v>
      </c>
    </row>
    <row r="1747">
      <c r="A1747" s="544" t="n">
        <v>31653</v>
      </c>
      <c r="B1747" s="637" t="n"/>
      <c r="C1747" s="538" t="n">
        <v>15.93</v>
      </c>
      <c r="D1747" s="637" t="n"/>
      <c r="E1747" s="538" t="n">
        <v>17.35</v>
      </c>
    </row>
    <row r="1748">
      <c r="A1748" s="544" t="n">
        <v>31656</v>
      </c>
      <c r="B1748" s="637" t="n"/>
      <c r="C1748" s="538" t="n">
        <v>15.93</v>
      </c>
      <c r="D1748" s="637" t="n"/>
      <c r="E1748" s="538" t="n">
        <v>17.35</v>
      </c>
    </row>
    <row r="1749">
      <c r="A1749" s="544" t="n">
        <v>31657</v>
      </c>
      <c r="B1749" s="637" t="n"/>
      <c r="C1749" s="538" t="n">
        <v>16.43</v>
      </c>
      <c r="D1749" s="637" t="n"/>
      <c r="E1749" s="538" t="n">
        <v>17.35</v>
      </c>
    </row>
    <row r="1750">
      <c r="A1750" s="544" t="n">
        <v>31658</v>
      </c>
      <c r="B1750" s="637" t="n"/>
      <c r="C1750" s="538" t="n">
        <v>16.03</v>
      </c>
      <c r="D1750" s="637" t="n"/>
      <c r="E1750" s="538" t="n">
        <v>17.35</v>
      </c>
    </row>
    <row r="1751">
      <c r="A1751" s="544" t="n">
        <v>31659</v>
      </c>
      <c r="B1751" s="637" t="n"/>
      <c r="C1751" s="538" t="n">
        <v>16.18</v>
      </c>
      <c r="D1751" s="637" t="n"/>
      <c r="E1751" s="538" t="n">
        <v>17.65</v>
      </c>
    </row>
    <row r="1752">
      <c r="A1752" s="544" t="n">
        <v>31660</v>
      </c>
      <c r="B1752" s="637" t="n"/>
      <c r="C1752" s="538" t="n">
        <v>15.63</v>
      </c>
      <c r="D1752" s="637" t="n"/>
      <c r="E1752" s="538" t="n">
        <v>17.8</v>
      </c>
    </row>
    <row r="1753">
      <c r="A1753" s="544" t="n">
        <v>31663</v>
      </c>
      <c r="B1753" s="637" t="n"/>
      <c r="C1753" s="538" t="n">
        <v>15.63</v>
      </c>
      <c r="D1753" s="637" t="n"/>
      <c r="E1753" s="538" t="n">
        <v>17.9</v>
      </c>
    </row>
    <row r="1754">
      <c r="A1754" s="544" t="n">
        <v>31664</v>
      </c>
      <c r="B1754" s="637" t="n"/>
      <c r="C1754" s="538" t="n">
        <v>15</v>
      </c>
      <c r="D1754" s="637" t="n"/>
      <c r="E1754" s="538" t="n">
        <v>18.25</v>
      </c>
    </row>
    <row r="1755">
      <c r="A1755" s="544" t="n">
        <v>31665</v>
      </c>
      <c r="B1755" s="637" t="n"/>
      <c r="C1755" s="538" t="n">
        <v>14.9</v>
      </c>
      <c r="D1755" s="637" t="n"/>
      <c r="E1755" s="538" t="n">
        <v>18.4</v>
      </c>
    </row>
    <row r="1756">
      <c r="A1756" s="544" t="n">
        <v>31666</v>
      </c>
      <c r="B1756" s="637" t="n"/>
      <c r="C1756" s="538" t="n">
        <v>15.05</v>
      </c>
      <c r="D1756" s="637" t="n"/>
      <c r="E1756" s="538" t="n">
        <v>18.7</v>
      </c>
    </row>
    <row r="1757">
      <c r="A1757" s="544" t="n">
        <v>31667</v>
      </c>
      <c r="B1757" s="637" t="n"/>
      <c r="C1757" s="538" t="n">
        <v>15.06</v>
      </c>
      <c r="D1757" s="637" t="n"/>
      <c r="E1757" s="538" t="n">
        <v>18.8</v>
      </c>
    </row>
    <row r="1758">
      <c r="A1758" s="544" t="n">
        <v>31670</v>
      </c>
      <c r="B1758" s="637" t="n"/>
      <c r="C1758" s="538" t="n">
        <v>14.31</v>
      </c>
      <c r="D1758" s="637" t="n"/>
      <c r="E1758" s="538" t="n">
        <v>18.8</v>
      </c>
    </row>
    <row r="1759">
      <c r="A1759" s="544" t="n">
        <v>31671</v>
      </c>
      <c r="B1759" s="637" t="n"/>
      <c r="C1759" s="538" t="n">
        <v>13.8</v>
      </c>
      <c r="D1759" s="637" t="n"/>
      <c r="E1759" s="538" t="n">
        <v>19.75</v>
      </c>
    </row>
    <row r="1760">
      <c r="A1760" s="544" t="n">
        <v>31672</v>
      </c>
      <c r="B1760" s="637" t="n"/>
      <c r="C1760" s="538" t="n">
        <v>14.03</v>
      </c>
      <c r="D1760" s="637" t="n"/>
      <c r="E1760" s="538" t="n">
        <v>19.75</v>
      </c>
    </row>
    <row r="1761">
      <c r="A1761" s="544" t="n">
        <v>31673</v>
      </c>
      <c r="B1761" s="637" t="n"/>
      <c r="C1761" s="538" t="n">
        <v>14.55</v>
      </c>
      <c r="D1761" s="637" t="n"/>
      <c r="E1761" s="538" t="n">
        <v>19.75</v>
      </c>
    </row>
    <row r="1762">
      <c r="A1762" s="544" t="n">
        <v>31674</v>
      </c>
      <c r="B1762" s="637" t="n"/>
      <c r="C1762" s="538" t="n">
        <v>14.47</v>
      </c>
      <c r="D1762" s="637" t="n"/>
      <c r="E1762" s="538" t="n">
        <v>19.75</v>
      </c>
    </row>
    <row r="1763">
      <c r="A1763" s="544" t="n">
        <v>31677</v>
      </c>
      <c r="B1763" s="637" t="n"/>
      <c r="C1763" s="538" t="n">
        <v>13.94</v>
      </c>
      <c r="D1763" s="637" t="n"/>
      <c r="E1763" s="538" t="n">
        <v>19.25</v>
      </c>
    </row>
    <row r="1764">
      <c r="A1764" s="544" t="n">
        <v>31678</v>
      </c>
      <c r="B1764" s="637" t="n"/>
      <c r="C1764" s="538" t="n">
        <v>14.3</v>
      </c>
      <c r="D1764" s="637" t="n"/>
      <c r="E1764" s="538" t="n">
        <v>18.75</v>
      </c>
    </row>
    <row r="1765">
      <c r="A1765" s="544" t="n">
        <v>31679</v>
      </c>
      <c r="B1765" s="637" t="n"/>
      <c r="C1765" s="538" t="n">
        <v>14.55</v>
      </c>
      <c r="D1765" s="637" t="n"/>
      <c r="E1765" s="538" t="n">
        <v>18.2</v>
      </c>
    </row>
    <row r="1766">
      <c r="A1766" s="544" t="n">
        <v>31680</v>
      </c>
      <c r="B1766" s="637" t="n"/>
      <c r="C1766" s="538" t="n">
        <v>14.28</v>
      </c>
      <c r="D1766" s="637" t="n"/>
      <c r="E1766" s="538" t="n">
        <v>18.2</v>
      </c>
    </row>
    <row r="1767">
      <c r="A1767" s="544" t="n">
        <v>31681</v>
      </c>
      <c r="B1767" s="637" t="n"/>
      <c r="C1767" s="538" t="n">
        <v>14.43</v>
      </c>
      <c r="D1767" s="637" t="n"/>
      <c r="E1767" s="538" t="n">
        <v>18.2</v>
      </c>
    </row>
    <row r="1768">
      <c r="A1768" s="544" t="n">
        <v>31684</v>
      </c>
      <c r="B1768" s="637" t="n"/>
      <c r="C1768" s="538" t="n">
        <v>14.93</v>
      </c>
      <c r="D1768" s="637" t="n"/>
      <c r="E1768" s="538" t="n">
        <v>18.2</v>
      </c>
    </row>
    <row r="1769">
      <c r="A1769" s="544" t="n">
        <v>31685</v>
      </c>
      <c r="B1769" s="637" t="n"/>
      <c r="C1769" s="538" t="n">
        <v>14.7</v>
      </c>
      <c r="D1769" s="637" t="n"/>
      <c r="E1769" s="538" t="n">
        <v>18.2</v>
      </c>
    </row>
    <row r="1770">
      <c r="A1770" s="544" t="n">
        <v>31686</v>
      </c>
      <c r="B1770" s="637" t="n"/>
      <c r="C1770" s="538" t="n">
        <v>15.23</v>
      </c>
      <c r="D1770" s="637" t="n"/>
      <c r="E1770" s="538" t="n">
        <v>18.2</v>
      </c>
    </row>
    <row r="1771">
      <c r="A1771" s="544" t="n">
        <v>31687</v>
      </c>
      <c r="B1771" s="637" t="n"/>
      <c r="C1771" s="538" t="n">
        <v>15.38</v>
      </c>
      <c r="D1771" s="637" t="n"/>
      <c r="E1771" s="538" t="n">
        <v>18.2</v>
      </c>
    </row>
    <row r="1772">
      <c r="A1772" s="544" t="n">
        <v>31688</v>
      </c>
      <c r="B1772" s="637" t="n"/>
      <c r="C1772" s="538" t="n">
        <v>14.86</v>
      </c>
      <c r="D1772" s="637" t="n"/>
      <c r="E1772" s="538" t="n">
        <v>18.2</v>
      </c>
    </row>
    <row r="1773">
      <c r="A1773" s="544" t="n">
        <v>31691</v>
      </c>
      <c r="B1773" s="637" t="n"/>
      <c r="C1773" s="538" t="n">
        <v>14.83</v>
      </c>
      <c r="D1773" s="637" t="n"/>
      <c r="E1773" s="538" t="n">
        <v>18</v>
      </c>
    </row>
    <row r="1774">
      <c r="A1774" s="544" t="n">
        <v>31692</v>
      </c>
      <c r="B1774" s="637" t="n"/>
      <c r="C1774" s="538" t="n">
        <v>15.6</v>
      </c>
      <c r="D1774" s="637" t="n"/>
      <c r="E1774" s="538" t="n">
        <v>18</v>
      </c>
    </row>
    <row r="1775">
      <c r="A1775" s="544" t="n">
        <v>31693</v>
      </c>
      <c r="B1775" s="637" t="n"/>
      <c r="C1775" s="538" t="n">
        <v>15.35</v>
      </c>
      <c r="D1775" s="637" t="n"/>
      <c r="E1775" s="538" t="n">
        <v>18</v>
      </c>
    </row>
    <row r="1776">
      <c r="A1776" s="544" t="n">
        <v>31694</v>
      </c>
      <c r="B1776" s="637" t="n"/>
      <c r="C1776" s="538" t="n">
        <v>15.05</v>
      </c>
      <c r="D1776" s="637" t="n"/>
      <c r="E1776" s="538" t="n">
        <v>18.15</v>
      </c>
    </row>
    <row r="1777">
      <c r="A1777" s="544" t="n">
        <v>31695</v>
      </c>
      <c r="B1777" s="637" t="n"/>
      <c r="C1777" s="538" t="n">
        <v>14.98</v>
      </c>
      <c r="D1777" s="637" t="n"/>
      <c r="E1777" s="538" t="n">
        <v>18.25</v>
      </c>
    </row>
    <row r="1778">
      <c r="A1778" s="544" t="n">
        <v>31698</v>
      </c>
      <c r="B1778" s="637" t="n"/>
      <c r="C1778" s="538" t="n">
        <v>14.98</v>
      </c>
      <c r="D1778" s="637" t="n"/>
      <c r="E1778" s="538" t="n">
        <v>18.25</v>
      </c>
    </row>
    <row r="1779">
      <c r="A1779" s="544" t="n">
        <v>31699</v>
      </c>
      <c r="B1779" s="637" t="n"/>
      <c r="C1779" s="538" t="n">
        <v>14.55</v>
      </c>
      <c r="D1779" s="637" t="n"/>
      <c r="E1779" s="538" t="n">
        <v>18.25</v>
      </c>
    </row>
    <row r="1780">
      <c r="A1780" s="544" t="n">
        <v>31700</v>
      </c>
      <c r="B1780" s="637" t="n"/>
      <c r="C1780" s="538" t="n">
        <v>14.83</v>
      </c>
      <c r="D1780" s="637" t="n"/>
      <c r="E1780" s="538" t="n">
        <v>18.35</v>
      </c>
    </row>
    <row r="1781">
      <c r="A1781" s="544" t="n">
        <v>31701</v>
      </c>
      <c r="B1781" s="637" t="n"/>
      <c r="C1781" s="538" t="n">
        <v>14.53</v>
      </c>
      <c r="D1781" s="637" t="n"/>
      <c r="E1781" s="538" t="n">
        <v>18.6</v>
      </c>
    </row>
    <row r="1782">
      <c r="A1782" s="544" t="n">
        <v>31702</v>
      </c>
      <c r="B1782" s="637" t="n"/>
      <c r="C1782" s="538" t="n">
        <v>14.85</v>
      </c>
      <c r="D1782" s="637" t="n"/>
      <c r="E1782" s="538" t="n">
        <v>18.75</v>
      </c>
    </row>
    <row r="1783">
      <c r="A1783" s="544" t="n">
        <v>31705</v>
      </c>
      <c r="B1783" s="637" t="n"/>
      <c r="C1783" s="538" t="n">
        <v>15.17</v>
      </c>
      <c r="D1783" s="637" t="n"/>
      <c r="E1783" s="538" t="n">
        <v>18.75</v>
      </c>
    </row>
    <row r="1784">
      <c r="A1784" s="544" t="n">
        <v>31706</v>
      </c>
      <c r="B1784" s="637" t="n"/>
      <c r="C1784" s="538" t="n">
        <v>15.22</v>
      </c>
      <c r="D1784" s="637" t="n"/>
      <c r="E1784" s="538" t="n">
        <v>18.75</v>
      </c>
    </row>
    <row r="1785">
      <c r="A1785" s="544" t="n">
        <v>31707</v>
      </c>
      <c r="B1785" s="637" t="n"/>
      <c r="C1785" s="538" t="n">
        <v>14.85</v>
      </c>
      <c r="D1785" s="637" t="n"/>
      <c r="E1785" s="538" t="n">
        <v>18.75</v>
      </c>
    </row>
    <row r="1786">
      <c r="A1786" s="544" t="n">
        <v>31708</v>
      </c>
      <c r="B1786" s="637" t="n"/>
      <c r="C1786" s="538" t="n">
        <v>14.88</v>
      </c>
      <c r="D1786" s="637" t="n"/>
      <c r="E1786" s="538" t="n">
        <v>18.85</v>
      </c>
    </row>
    <row r="1787">
      <c r="A1787" s="544" t="n">
        <v>31709</v>
      </c>
      <c r="B1787" s="637" t="n"/>
      <c r="C1787" s="538" t="n">
        <v>14.93</v>
      </c>
      <c r="D1787" s="637" t="n"/>
      <c r="E1787" s="538" t="n">
        <v>19</v>
      </c>
    </row>
    <row r="1788">
      <c r="A1788" s="544" t="n">
        <v>31712</v>
      </c>
      <c r="B1788" s="637" t="n"/>
      <c r="C1788" s="538" t="n">
        <v>14.4</v>
      </c>
      <c r="D1788" s="637" t="n"/>
      <c r="E1788" s="538" t="n">
        <v>19</v>
      </c>
    </row>
    <row r="1789">
      <c r="A1789" s="544" t="n">
        <v>31713</v>
      </c>
      <c r="B1789" s="637" t="n"/>
      <c r="C1789" s="538" t="n">
        <v>14.18</v>
      </c>
      <c r="D1789" s="637" t="n"/>
      <c r="E1789" s="538" t="n">
        <v>19.25</v>
      </c>
    </row>
    <row r="1790">
      <c r="A1790" s="544" t="n">
        <v>31714</v>
      </c>
      <c r="B1790" s="637" t="n"/>
      <c r="C1790" s="538" t="n">
        <v>13.73</v>
      </c>
      <c r="D1790" s="637" t="n"/>
      <c r="E1790" s="538" t="n">
        <v>19.25</v>
      </c>
    </row>
    <row r="1791">
      <c r="A1791" s="544" t="n">
        <v>31715</v>
      </c>
      <c r="B1791" s="637" t="n"/>
      <c r="C1791" s="538" t="n">
        <v>15.08</v>
      </c>
      <c r="D1791" s="637" t="n"/>
      <c r="E1791" s="538" t="n">
        <v>19.1</v>
      </c>
    </row>
    <row r="1792">
      <c r="A1792" s="544" t="n">
        <v>31716</v>
      </c>
      <c r="B1792" s="637" t="n"/>
      <c r="C1792" s="538" t="n">
        <v>15.25</v>
      </c>
      <c r="D1792" s="637" t="n"/>
      <c r="E1792" s="538" t="n">
        <v>19.1</v>
      </c>
    </row>
    <row r="1793">
      <c r="A1793" s="544" t="n">
        <v>31719</v>
      </c>
      <c r="B1793" s="637" t="n"/>
      <c r="C1793" s="538" t="n">
        <v>14.7</v>
      </c>
      <c r="D1793" s="637" t="n"/>
      <c r="E1793" s="538" t="n">
        <v>19.1</v>
      </c>
    </row>
    <row r="1794">
      <c r="A1794" s="544" t="n">
        <v>31720</v>
      </c>
      <c r="B1794" s="637" t="n"/>
      <c r="C1794" s="538" t="n">
        <v>15.05</v>
      </c>
      <c r="D1794" s="637" t="n"/>
      <c r="E1794" s="538" t="n">
        <v>19.35</v>
      </c>
    </row>
    <row r="1795">
      <c r="A1795" s="544" t="n">
        <v>31721</v>
      </c>
      <c r="B1795" s="637" t="n"/>
      <c r="C1795" s="538" t="n">
        <v>14.93</v>
      </c>
      <c r="D1795" s="637" t="n"/>
      <c r="E1795" s="538" t="n">
        <v>19.4</v>
      </c>
    </row>
    <row r="1796">
      <c r="A1796" s="544" t="n">
        <v>31722</v>
      </c>
      <c r="B1796" s="637" t="n"/>
      <c r="C1796" s="538" t="n">
        <v>15.08</v>
      </c>
      <c r="D1796" s="637" t="n"/>
      <c r="E1796" s="538" t="n">
        <v>19.4</v>
      </c>
    </row>
    <row r="1797">
      <c r="A1797" s="544" t="n">
        <v>31723</v>
      </c>
      <c r="B1797" s="637" t="n"/>
      <c r="C1797" s="538" t="n">
        <v>15.15</v>
      </c>
      <c r="D1797" s="637" t="n"/>
      <c r="E1797" s="538" t="n">
        <v>19.4</v>
      </c>
    </row>
    <row r="1798">
      <c r="A1798" s="544" t="n">
        <v>31726</v>
      </c>
      <c r="B1798" s="637" t="n"/>
      <c r="C1798" s="538" t="n">
        <v>15.3</v>
      </c>
      <c r="D1798" s="637" t="n"/>
      <c r="E1798" s="538" t="n">
        <v>19.4</v>
      </c>
    </row>
    <row r="1799">
      <c r="A1799" s="544" t="n">
        <v>31727</v>
      </c>
      <c r="B1799" s="637" t="n"/>
      <c r="C1799" s="538" t="n">
        <v>15.39</v>
      </c>
      <c r="D1799" s="637" t="n"/>
      <c r="E1799" s="538" t="n">
        <v>19.4</v>
      </c>
    </row>
    <row r="1800">
      <c r="A1800" s="544" t="n">
        <v>31728</v>
      </c>
      <c r="B1800" s="637" t="n"/>
      <c r="C1800" s="538" t="n">
        <v>15.33</v>
      </c>
      <c r="D1800" s="637" t="n"/>
      <c r="E1800" s="538" t="n">
        <v>19.4</v>
      </c>
    </row>
    <row r="1801">
      <c r="A1801" s="544" t="n">
        <v>31729</v>
      </c>
      <c r="B1801" s="637" t="n"/>
      <c r="C1801" s="538" t="n">
        <v>15.55</v>
      </c>
      <c r="D1801" s="637" t="n"/>
      <c r="E1801" s="538" t="n">
        <v>19.5</v>
      </c>
    </row>
    <row r="1802">
      <c r="A1802" s="544" t="n">
        <v>31730</v>
      </c>
      <c r="B1802" s="637" t="n"/>
      <c r="C1802" s="538" t="n">
        <v>15.68</v>
      </c>
      <c r="D1802" s="637" t="n"/>
      <c r="E1802" s="538" t="n">
        <v>19.5</v>
      </c>
    </row>
    <row r="1803">
      <c r="A1803" s="544" t="n">
        <v>31733</v>
      </c>
      <c r="B1803" s="637" t="n"/>
      <c r="C1803" s="538" t="n">
        <v>15.62</v>
      </c>
      <c r="D1803" s="637" t="n"/>
      <c r="E1803" s="538" t="n">
        <v>19.5</v>
      </c>
    </row>
    <row r="1804">
      <c r="A1804" s="544" t="n">
        <v>31734</v>
      </c>
      <c r="B1804" s="637" t="n"/>
      <c r="C1804" s="538" t="n">
        <v>15.65</v>
      </c>
      <c r="D1804" s="637" t="n"/>
      <c r="E1804" s="538" t="n">
        <v>19.5</v>
      </c>
    </row>
    <row r="1805">
      <c r="A1805" s="544" t="n">
        <v>31735</v>
      </c>
      <c r="B1805" s="637" t="n"/>
      <c r="C1805" s="538" t="n">
        <v>15.52</v>
      </c>
      <c r="D1805" s="637" t="n"/>
      <c r="E1805" s="538" t="n">
        <v>19.65</v>
      </c>
    </row>
    <row r="1806">
      <c r="A1806" s="544" t="n">
        <v>31736</v>
      </c>
      <c r="B1806" s="637" t="n"/>
      <c r="C1806" s="538" t="n">
        <v>15.1</v>
      </c>
      <c r="D1806" s="637" t="n"/>
      <c r="E1806" s="538" t="n">
        <v>19.8</v>
      </c>
    </row>
    <row r="1807">
      <c r="A1807" s="544" t="n">
        <v>31737</v>
      </c>
      <c r="B1807" s="637" t="n"/>
      <c r="C1807" s="538" t="n">
        <v>15.13</v>
      </c>
      <c r="D1807" s="637" t="n"/>
      <c r="E1807" s="538" t="n">
        <v>19.8</v>
      </c>
    </row>
    <row r="1808">
      <c r="A1808" s="544" t="n">
        <v>31740</v>
      </c>
      <c r="B1808" s="637" t="n"/>
      <c r="C1808" s="538" t="n">
        <v>14.98</v>
      </c>
      <c r="D1808" s="637" t="n"/>
      <c r="E1808" s="538" t="n">
        <v>19.95</v>
      </c>
    </row>
    <row r="1809">
      <c r="A1809" s="544" t="n">
        <v>31741</v>
      </c>
      <c r="B1809" s="637" t="n"/>
      <c r="C1809" s="538" t="n">
        <v>15.05</v>
      </c>
      <c r="D1809" s="637" t="n"/>
      <c r="E1809" s="538" t="n">
        <v>20.4</v>
      </c>
    </row>
    <row r="1810">
      <c r="A1810" s="544" t="n">
        <v>31742</v>
      </c>
      <c r="B1810" s="637" t="n"/>
      <c r="C1810" s="538" t="n">
        <v>15</v>
      </c>
      <c r="D1810" s="637" t="n"/>
      <c r="E1810" s="538" t="n">
        <v>20.4</v>
      </c>
    </row>
    <row r="1811">
      <c r="A1811" s="544" t="n">
        <v>31743</v>
      </c>
      <c r="B1811" s="637" t="n"/>
      <c r="C1811" s="538" t="n">
        <v>15</v>
      </c>
      <c r="D1811" s="637" t="n"/>
      <c r="E1811" s="538" t="n">
        <v>20.4</v>
      </c>
    </row>
    <row r="1812">
      <c r="A1812" s="544" t="n">
        <v>31744</v>
      </c>
      <c r="B1812" s="637" t="n"/>
      <c r="C1812" s="538" t="n">
        <v>15</v>
      </c>
      <c r="D1812" s="637" t="n"/>
      <c r="E1812" s="538" t="n">
        <v>20.75</v>
      </c>
    </row>
    <row r="1813">
      <c r="A1813" s="544" t="n">
        <v>31747</v>
      </c>
      <c r="B1813" s="637" t="n"/>
      <c r="C1813" s="538" t="n">
        <v>15.29</v>
      </c>
      <c r="D1813" s="637" t="n"/>
      <c r="E1813" s="538" t="n">
        <v>20.75</v>
      </c>
    </row>
    <row r="1814">
      <c r="A1814" s="544" t="n">
        <v>31748</v>
      </c>
      <c r="B1814" s="637" t="n"/>
      <c r="C1814" s="538" t="n">
        <v>15.22</v>
      </c>
      <c r="D1814" s="637" t="n"/>
      <c r="E1814" s="538" t="n">
        <v>20.75</v>
      </c>
    </row>
    <row r="1815">
      <c r="A1815" s="544" t="n">
        <v>31749</v>
      </c>
      <c r="B1815" s="637" t="n"/>
      <c r="C1815" s="538" t="n">
        <v>15.13</v>
      </c>
      <c r="D1815" s="637" t="n"/>
      <c r="E1815" s="538" t="n">
        <v>20.75</v>
      </c>
    </row>
    <row r="1816">
      <c r="A1816" s="544" t="n">
        <v>31750</v>
      </c>
      <c r="B1816" s="637" t="n"/>
      <c r="C1816" s="538" t="n">
        <v>15.2</v>
      </c>
      <c r="D1816" s="637" t="n"/>
      <c r="E1816" s="538" t="n">
        <v>21.05</v>
      </c>
    </row>
    <row r="1817">
      <c r="A1817" s="544" t="n">
        <v>31751</v>
      </c>
      <c r="B1817" s="637" t="n"/>
      <c r="C1817" s="538" t="n">
        <v>15.14</v>
      </c>
      <c r="D1817" s="637" t="n"/>
      <c r="E1817" s="538" t="n">
        <v>21.05</v>
      </c>
    </row>
    <row r="1818">
      <c r="A1818" s="544" t="n">
        <v>31754</v>
      </c>
      <c r="B1818" s="637" t="n"/>
      <c r="C1818" s="538" t="n">
        <v>15.01</v>
      </c>
      <c r="D1818" s="637" t="n"/>
      <c r="E1818" s="538" t="n">
        <v>21.4</v>
      </c>
    </row>
    <row r="1819">
      <c r="A1819" s="544" t="n">
        <v>31755</v>
      </c>
      <c r="B1819" s="637" t="n"/>
      <c r="C1819" s="538" t="n">
        <v>14.93</v>
      </c>
      <c r="D1819" s="637" t="n"/>
      <c r="E1819" s="538" t="n">
        <v>21.4</v>
      </c>
    </row>
    <row r="1820">
      <c r="A1820" s="544" t="n">
        <v>31756</v>
      </c>
      <c r="B1820" s="637" t="n"/>
      <c r="C1820" s="538" t="n">
        <v>15.12</v>
      </c>
      <c r="D1820" s="637" t="n"/>
      <c r="E1820" s="538" t="n">
        <v>21.5</v>
      </c>
    </row>
    <row r="1821">
      <c r="A1821" s="544" t="n">
        <v>31757</v>
      </c>
      <c r="B1821" s="637" t="n"/>
      <c r="C1821" s="538" t="n">
        <v>15.49</v>
      </c>
      <c r="D1821" s="637" t="n"/>
      <c r="E1821" s="538" t="n">
        <v>21.5</v>
      </c>
    </row>
    <row r="1822">
      <c r="A1822" s="544" t="n">
        <v>31758</v>
      </c>
      <c r="B1822" s="637" t="n"/>
      <c r="C1822" s="538" t="n">
        <v>16.13</v>
      </c>
      <c r="D1822" s="637" t="n"/>
      <c r="E1822" s="538" t="n">
        <v>21.5</v>
      </c>
    </row>
    <row r="1823">
      <c r="A1823" s="544" t="n">
        <v>31761</v>
      </c>
      <c r="B1823" s="637" t="n"/>
      <c r="C1823" s="538" t="n">
        <v>16.38</v>
      </c>
      <c r="D1823" s="637" t="n"/>
      <c r="E1823" s="538" t="n">
        <v>21.35</v>
      </c>
    </row>
    <row r="1824">
      <c r="A1824" s="544" t="n">
        <v>31762</v>
      </c>
      <c r="B1824" s="637" t="n"/>
      <c r="C1824" s="538" t="n">
        <v>16.11</v>
      </c>
      <c r="D1824" s="637" t="n"/>
      <c r="E1824" s="538" t="n">
        <v>21.35</v>
      </c>
    </row>
    <row r="1825">
      <c r="A1825" s="544" t="n">
        <v>31763</v>
      </c>
      <c r="B1825" s="637" t="n"/>
      <c r="C1825" s="538" t="n">
        <v>15.83</v>
      </c>
      <c r="D1825" s="637" t="n"/>
      <c r="E1825" s="538" t="n">
        <v>21.5</v>
      </c>
    </row>
    <row r="1826">
      <c r="A1826" s="544" t="n">
        <v>31764</v>
      </c>
      <c r="B1826" s="637" t="n"/>
      <c r="C1826" s="538" t="n">
        <v>16.28</v>
      </c>
      <c r="D1826" s="637" t="n"/>
      <c r="E1826" s="538" t="n">
        <v>21.5</v>
      </c>
    </row>
    <row r="1827">
      <c r="A1827" s="544" t="n">
        <v>31765</v>
      </c>
      <c r="B1827" s="637" t="n"/>
      <c r="C1827" s="538" t="n">
        <v>16.55</v>
      </c>
      <c r="D1827" s="637" t="n"/>
      <c r="E1827" s="538" t="n">
        <v>21.5</v>
      </c>
    </row>
    <row r="1828">
      <c r="A1828" s="544" t="n">
        <v>31768</v>
      </c>
      <c r="B1828" s="637" t="n"/>
      <c r="C1828" s="538" t="n">
        <v>16.95</v>
      </c>
      <c r="D1828" s="637" t="n"/>
      <c r="E1828" s="538" t="n">
        <v>21.5</v>
      </c>
    </row>
    <row r="1829">
      <c r="A1829" s="544" t="n">
        <v>31769</v>
      </c>
      <c r="B1829" s="637" t="n"/>
      <c r="C1829" s="538" t="n">
        <v>16.93</v>
      </c>
      <c r="D1829" s="637" t="n"/>
      <c r="E1829" s="538" t="n">
        <v>21.6</v>
      </c>
    </row>
    <row r="1830">
      <c r="A1830" s="544" t="n">
        <v>31770</v>
      </c>
      <c r="B1830" s="637" t="n"/>
      <c r="C1830" s="538" t="n">
        <v>17.26</v>
      </c>
      <c r="D1830" s="637" t="n"/>
      <c r="E1830" s="538" t="n">
        <v>21.75</v>
      </c>
    </row>
    <row r="1831">
      <c r="A1831" s="544" t="n">
        <v>31771</v>
      </c>
      <c r="B1831" s="637" t="n"/>
      <c r="C1831" s="538" t="n">
        <v>17.26</v>
      </c>
      <c r="D1831" s="637" t="n"/>
      <c r="E1831" s="538" t="n">
        <v>21.75</v>
      </c>
    </row>
    <row r="1832">
      <c r="A1832" s="544" t="n">
        <v>31772</v>
      </c>
      <c r="B1832" s="637" t="n"/>
      <c r="C1832" s="538" t="n">
        <v>17.26</v>
      </c>
      <c r="D1832" s="637" t="n"/>
      <c r="E1832" s="538" t="n">
        <v>21.75</v>
      </c>
    </row>
    <row r="1833">
      <c r="A1833" s="544" t="n">
        <v>31775</v>
      </c>
      <c r="B1833" s="637" t="n"/>
      <c r="C1833" s="538" t="n">
        <v>17.65</v>
      </c>
      <c r="D1833" s="637" t="n"/>
      <c r="E1833" s="538" t="n">
        <v>21.85</v>
      </c>
    </row>
    <row r="1834">
      <c r="A1834" s="544" t="n">
        <v>31776</v>
      </c>
      <c r="B1834" s="637" t="n"/>
      <c r="C1834" s="538" t="n">
        <v>17.73</v>
      </c>
      <c r="D1834" s="637" t="n"/>
      <c r="E1834" s="538" t="n">
        <v>21.85</v>
      </c>
    </row>
    <row r="1835">
      <c r="A1835" s="544" t="n">
        <v>31777</v>
      </c>
      <c r="B1835" s="637" t="n"/>
      <c r="C1835" s="538" t="n">
        <v>17.93</v>
      </c>
      <c r="D1835" s="637" t="n"/>
      <c r="E1835" s="538" t="n">
        <v>21.85</v>
      </c>
    </row>
    <row r="1836">
      <c r="A1836" s="544" t="n">
        <v>31778</v>
      </c>
      <c r="B1836" s="637" t="n"/>
      <c r="C1836" s="538" t="n">
        <v>17.93</v>
      </c>
      <c r="D1836" s="637" t="n"/>
      <c r="E1836" s="538" t="n">
        <v>21.85</v>
      </c>
    </row>
    <row r="1837">
      <c r="A1837" s="544" t="n">
        <v>31779</v>
      </c>
      <c r="B1837" s="637" t="n"/>
      <c r="C1837" s="538" t="n">
        <v>18.13</v>
      </c>
      <c r="D1837" s="637" t="n"/>
      <c r="E1837" s="538" t="n">
        <v>22.1</v>
      </c>
    </row>
    <row r="1838">
      <c r="A1838" s="544" t="n">
        <v>31782</v>
      </c>
      <c r="B1838" s="637" t="n"/>
      <c r="C1838" s="538" t="n">
        <v>17.98</v>
      </c>
      <c r="D1838" s="637" t="n"/>
      <c r="E1838" s="538" t="n">
        <v>22.5</v>
      </c>
    </row>
    <row r="1839">
      <c r="A1839" s="544" t="n">
        <v>31783</v>
      </c>
      <c r="B1839" s="637" t="n"/>
      <c r="C1839" s="538" t="n">
        <v>18.21</v>
      </c>
      <c r="D1839" s="637" t="n"/>
      <c r="E1839" s="538" t="n">
        <v>22.65</v>
      </c>
    </row>
    <row r="1840">
      <c r="A1840" s="544" t="n">
        <v>31784</v>
      </c>
      <c r="B1840" s="637" t="n"/>
      <c r="C1840" s="538" t="n">
        <v>18.28</v>
      </c>
      <c r="D1840" s="637" t="n"/>
      <c r="E1840" s="538" t="n">
        <v>22.75</v>
      </c>
    </row>
    <row r="1841">
      <c r="A1841" s="544" t="n">
        <v>31785</v>
      </c>
      <c r="B1841" s="637" t="n"/>
      <c r="C1841" s="538" t="n">
        <v>18.63</v>
      </c>
      <c r="D1841" s="637" t="n"/>
      <c r="E1841" s="538" t="n">
        <v>22.85</v>
      </c>
    </row>
    <row r="1842">
      <c r="A1842" s="544" t="n">
        <v>31786</v>
      </c>
      <c r="B1842" s="637" t="n"/>
      <c r="C1842" s="538" t="n">
        <v>18.78</v>
      </c>
      <c r="D1842" s="637" t="n"/>
      <c r="E1842" s="538" t="n">
        <v>22.85</v>
      </c>
    </row>
    <row r="1843">
      <c r="A1843" s="544" t="n">
        <v>31789</v>
      </c>
      <c r="B1843" s="637" t="n"/>
      <c r="C1843" s="538" t="n">
        <v>19</v>
      </c>
      <c r="D1843" s="637" t="n"/>
      <c r="E1843" s="538" t="n">
        <v>22.85</v>
      </c>
    </row>
    <row r="1844">
      <c r="A1844" s="544" t="n">
        <v>31790</v>
      </c>
      <c r="B1844" s="637" t="n"/>
      <c r="C1844" s="538" t="n">
        <v>18.86</v>
      </c>
      <c r="D1844" s="637" t="n"/>
      <c r="E1844" s="538" t="n">
        <v>22.65</v>
      </c>
    </row>
    <row r="1845">
      <c r="A1845" s="544" t="n">
        <v>31791</v>
      </c>
      <c r="B1845" s="637" t="n"/>
      <c r="C1845" s="538" t="n">
        <v>19.13</v>
      </c>
      <c r="D1845" s="637" t="n"/>
      <c r="E1845" s="538" t="n">
        <v>22.65</v>
      </c>
    </row>
    <row r="1846">
      <c r="A1846" s="544" t="n">
        <v>31792</v>
      </c>
      <c r="B1846" s="637" t="n"/>
      <c r="C1846" s="538" t="n">
        <v>19.09</v>
      </c>
      <c r="D1846" s="637" t="n"/>
      <c r="E1846" s="538" t="n">
        <v>23.25</v>
      </c>
    </row>
    <row r="1847">
      <c r="A1847" s="544" t="n">
        <v>31793</v>
      </c>
      <c r="B1847" s="637" t="n"/>
      <c r="C1847" s="538" t="n">
        <v>19.13</v>
      </c>
      <c r="D1847" s="637" t="n"/>
      <c r="E1847" s="538" t="n">
        <v>23.25</v>
      </c>
    </row>
    <row r="1848">
      <c r="A1848" s="544" t="n">
        <v>31796</v>
      </c>
      <c r="B1848" s="637" t="n"/>
      <c r="C1848" s="538" t="n">
        <v>18.7</v>
      </c>
      <c r="D1848" s="637" t="n"/>
      <c r="E1848" s="538" t="n">
        <v>23.75</v>
      </c>
    </row>
    <row r="1849">
      <c r="A1849" s="544" t="n">
        <v>31797</v>
      </c>
      <c r="B1849" s="637" t="n"/>
      <c r="C1849" s="538" t="n">
        <v>18.73</v>
      </c>
      <c r="D1849" s="637" t="n"/>
      <c r="E1849" s="538" t="n">
        <v>23.75</v>
      </c>
    </row>
    <row r="1850">
      <c r="A1850" s="544" t="n">
        <v>31798</v>
      </c>
      <c r="B1850" s="637" t="n"/>
      <c r="C1850" s="538" t="n">
        <v>18.6</v>
      </c>
      <c r="D1850" s="637" t="n"/>
      <c r="E1850" s="538" t="n">
        <v>23.75</v>
      </c>
    </row>
    <row r="1851">
      <c r="A1851" s="544" t="n">
        <v>31799</v>
      </c>
      <c r="B1851" s="637" t="n"/>
      <c r="C1851" s="538" t="n">
        <v>18.76</v>
      </c>
      <c r="D1851" s="637" t="n"/>
      <c r="E1851" s="538" t="n">
        <v>23.25</v>
      </c>
    </row>
    <row r="1852">
      <c r="A1852" s="544" t="n">
        <v>31800</v>
      </c>
      <c r="B1852" s="637" t="n"/>
      <c r="C1852" s="538" t="n">
        <v>18.59</v>
      </c>
      <c r="D1852" s="637" t="n"/>
      <c r="E1852" s="538" t="n">
        <v>22.3</v>
      </c>
    </row>
    <row r="1853">
      <c r="A1853" s="544" t="n">
        <v>31803</v>
      </c>
      <c r="B1853" s="637" t="n"/>
      <c r="C1853" s="538" t="n">
        <v>18.63</v>
      </c>
      <c r="D1853" s="637" t="n"/>
      <c r="E1853" s="538" t="n">
        <v>21.55</v>
      </c>
    </row>
    <row r="1854">
      <c r="A1854" s="544" t="n">
        <v>31804</v>
      </c>
      <c r="B1854" s="637" t="n"/>
      <c r="C1854" s="538" t="n">
        <v>18.48</v>
      </c>
      <c r="D1854" s="637" t="n"/>
      <c r="E1854" s="538" t="n">
        <v>21.55</v>
      </c>
    </row>
    <row r="1855">
      <c r="A1855" s="544" t="n">
        <v>31805</v>
      </c>
      <c r="B1855" s="637" t="n"/>
      <c r="C1855" s="538" t="n">
        <v>18.56</v>
      </c>
      <c r="D1855" s="637" t="n"/>
      <c r="E1855" s="538" t="n">
        <v>21.05</v>
      </c>
    </row>
    <row r="1856">
      <c r="A1856" s="544" t="n">
        <v>31806</v>
      </c>
      <c r="B1856" s="637" t="n"/>
      <c r="C1856" s="538" t="n">
        <v>18.68</v>
      </c>
      <c r="D1856" s="637" t="n"/>
      <c r="E1856" s="538" t="n">
        <v>21.05</v>
      </c>
    </row>
    <row r="1857">
      <c r="A1857" s="544" t="n">
        <v>31807</v>
      </c>
      <c r="B1857" s="637" t="n"/>
      <c r="C1857" s="538" t="n">
        <v>18.73</v>
      </c>
      <c r="D1857" s="637" t="n"/>
      <c r="E1857" s="538" t="n">
        <v>21.05</v>
      </c>
    </row>
    <row r="1858">
      <c r="A1858" s="544" t="n">
        <v>31810</v>
      </c>
      <c r="B1858" s="637" t="n"/>
      <c r="C1858" s="538" t="n">
        <v>18.59</v>
      </c>
      <c r="D1858" s="637" t="n"/>
      <c r="E1858" s="538" t="n">
        <v>20.85</v>
      </c>
    </row>
    <row r="1859">
      <c r="A1859" s="544" t="n">
        <v>31811</v>
      </c>
      <c r="B1859" s="637" t="n"/>
      <c r="C1859" s="538" t="n">
        <v>18.38</v>
      </c>
      <c r="D1859" s="637" t="n"/>
      <c r="E1859" s="538" t="n">
        <v>20.85</v>
      </c>
    </row>
    <row r="1860">
      <c r="A1860" s="544" t="n">
        <v>31812</v>
      </c>
      <c r="B1860" s="637" t="n"/>
      <c r="C1860" s="538" t="n">
        <v>18.26</v>
      </c>
      <c r="D1860" s="637" t="n"/>
      <c r="E1860" s="538" t="n">
        <v>20.85</v>
      </c>
    </row>
    <row r="1861">
      <c r="A1861" s="544" t="n">
        <v>31813</v>
      </c>
      <c r="B1861" s="637" t="n"/>
      <c r="C1861" s="538" t="n">
        <v>18.56</v>
      </c>
      <c r="D1861" s="637" t="n"/>
      <c r="E1861" s="538" t="n">
        <v>21</v>
      </c>
    </row>
    <row r="1862">
      <c r="A1862" s="544" t="n">
        <v>31814</v>
      </c>
      <c r="B1862" s="637" t="n"/>
      <c r="C1862" s="538" t="n">
        <v>18.44</v>
      </c>
      <c r="D1862" s="637" t="n"/>
      <c r="E1862" s="538" t="n">
        <v>21</v>
      </c>
    </row>
    <row r="1863">
      <c r="A1863" s="544" t="n">
        <v>31817</v>
      </c>
      <c r="B1863" s="637" t="n"/>
      <c r="C1863" s="538" t="n">
        <v>18.37</v>
      </c>
      <c r="D1863" s="637" t="n"/>
      <c r="E1863" s="538" t="n">
        <v>21</v>
      </c>
    </row>
    <row r="1864">
      <c r="A1864" s="544" t="n">
        <v>31818</v>
      </c>
      <c r="B1864" s="637" t="n"/>
      <c r="C1864" s="538" t="n">
        <v>18.43</v>
      </c>
      <c r="D1864" s="637" t="n"/>
      <c r="E1864" s="538" t="n">
        <v>21</v>
      </c>
    </row>
    <row r="1865">
      <c r="A1865" s="544" t="n">
        <v>31819</v>
      </c>
      <c r="B1865" s="637" t="n"/>
      <c r="C1865" s="538" t="n">
        <v>18.03</v>
      </c>
      <c r="D1865" s="637" t="n"/>
      <c r="E1865" s="538" t="n">
        <v>21</v>
      </c>
    </row>
    <row r="1866">
      <c r="A1866" s="544" t="n">
        <v>31820</v>
      </c>
      <c r="B1866" s="637" t="n"/>
      <c r="C1866" s="538" t="n">
        <v>18.05</v>
      </c>
      <c r="D1866" s="637" t="n"/>
      <c r="E1866" s="538" t="n">
        <v>21</v>
      </c>
    </row>
    <row r="1867">
      <c r="A1867" s="544" t="n">
        <v>31821</v>
      </c>
      <c r="B1867" s="637" t="n"/>
      <c r="C1867" s="538" t="n">
        <v>17.83</v>
      </c>
      <c r="D1867" s="637" t="n"/>
      <c r="E1867" s="538" t="n">
        <v>19.75</v>
      </c>
    </row>
    <row r="1868">
      <c r="A1868" s="544" t="n">
        <v>31824</v>
      </c>
      <c r="B1868" s="637" t="n"/>
      <c r="C1868" s="538" t="n">
        <v>17.83</v>
      </c>
      <c r="D1868" s="637" t="n"/>
      <c r="E1868" s="538" t="n">
        <v>20.25</v>
      </c>
    </row>
    <row r="1869">
      <c r="A1869" s="544" t="n">
        <v>31825</v>
      </c>
      <c r="B1869" s="637" t="n"/>
      <c r="C1869" s="538" t="n">
        <v>17.78</v>
      </c>
      <c r="D1869" s="637" t="n"/>
      <c r="E1869" s="538" t="n">
        <v>20.25</v>
      </c>
    </row>
    <row r="1870">
      <c r="A1870" s="544" t="n">
        <v>31826</v>
      </c>
      <c r="B1870" s="637" t="n"/>
      <c r="C1870" s="538" t="n">
        <v>17.44</v>
      </c>
      <c r="D1870" s="637" t="n"/>
      <c r="E1870" s="538" t="n">
        <v>19.75</v>
      </c>
    </row>
    <row r="1871">
      <c r="A1871" s="544" t="n">
        <v>31827</v>
      </c>
      <c r="B1871" s="637" t="n"/>
      <c r="C1871" s="538" t="n">
        <v>17.48</v>
      </c>
      <c r="D1871" s="637" t="n"/>
      <c r="E1871" s="538" t="n">
        <v>19.75</v>
      </c>
    </row>
    <row r="1872">
      <c r="A1872" s="544" t="n">
        <v>31828</v>
      </c>
      <c r="B1872" s="637" t="n"/>
      <c r="C1872" s="538" t="n">
        <v>17.83</v>
      </c>
      <c r="D1872" s="637" t="n"/>
      <c r="E1872" s="538" t="n">
        <v>19.75</v>
      </c>
    </row>
    <row r="1873">
      <c r="A1873" s="544" t="n">
        <v>31831</v>
      </c>
      <c r="B1873" s="637" t="n"/>
      <c r="C1873" s="538" t="n">
        <v>17.15</v>
      </c>
      <c r="D1873" s="637" t="n"/>
      <c r="E1873" s="538" t="n">
        <v>19.55</v>
      </c>
    </row>
    <row r="1874">
      <c r="A1874" s="544" t="n">
        <v>31832</v>
      </c>
      <c r="B1874" s="637" t="n"/>
      <c r="C1874" s="538" t="n">
        <v>16.75</v>
      </c>
      <c r="D1874" s="637" t="n"/>
      <c r="E1874" s="538" t="n">
        <v>19.4</v>
      </c>
    </row>
    <row r="1875">
      <c r="A1875" s="544" t="n">
        <v>31833</v>
      </c>
      <c r="B1875" s="637" t="n"/>
      <c r="C1875" s="538" t="n">
        <v>16.43</v>
      </c>
      <c r="D1875" s="637" t="n"/>
      <c r="E1875" s="538" t="n">
        <v>19.1</v>
      </c>
    </row>
    <row r="1876">
      <c r="A1876" s="544" t="n">
        <v>31834</v>
      </c>
      <c r="B1876" s="637" t="n"/>
      <c r="C1876" s="538" t="n">
        <v>16.98</v>
      </c>
      <c r="D1876" s="637" t="n"/>
      <c r="E1876" s="538" t="n">
        <v>19.1</v>
      </c>
    </row>
    <row r="1877">
      <c r="A1877" s="544" t="n">
        <v>31835</v>
      </c>
      <c r="B1877" s="637" t="n"/>
      <c r="C1877" s="538" t="n">
        <v>16.45</v>
      </c>
      <c r="D1877" s="637" t="n"/>
      <c r="E1877" s="538" t="n">
        <v>18.9</v>
      </c>
    </row>
    <row r="1878">
      <c r="A1878" s="544" t="n">
        <v>31838</v>
      </c>
      <c r="B1878" s="637" t="n"/>
      <c r="C1878" s="538" t="n">
        <v>16.43</v>
      </c>
      <c r="D1878" s="637" t="n"/>
      <c r="E1878" s="538" t="n">
        <v>18.9</v>
      </c>
    </row>
    <row r="1879">
      <c r="A1879" s="544" t="n">
        <v>31839</v>
      </c>
      <c r="B1879" s="637" t="n"/>
      <c r="C1879" s="538" t="n">
        <v>17.4</v>
      </c>
      <c r="D1879" s="637" t="n"/>
      <c r="E1879" s="538" t="n">
        <v>18.7</v>
      </c>
    </row>
    <row r="1880">
      <c r="A1880" s="544" t="n">
        <v>31840</v>
      </c>
      <c r="B1880" s="637" t="n"/>
      <c r="C1880" s="538" t="n">
        <v>17.4</v>
      </c>
      <c r="D1880" s="637" t="n"/>
      <c r="E1880" s="538" t="n">
        <v>18.7</v>
      </c>
    </row>
    <row r="1881">
      <c r="A1881" s="544" t="n">
        <v>31841</v>
      </c>
      <c r="B1881" s="637" t="n"/>
      <c r="C1881" s="538" t="n">
        <v>18</v>
      </c>
      <c r="D1881" s="637" t="n"/>
      <c r="E1881" s="538" t="n">
        <v>18.85</v>
      </c>
    </row>
    <row r="1882">
      <c r="A1882" s="544" t="n">
        <v>31842</v>
      </c>
      <c r="B1882" s="637" t="n"/>
      <c r="C1882" s="538" t="n">
        <v>18.13</v>
      </c>
      <c r="D1882" s="637" t="n"/>
      <c r="E1882" s="538" t="n">
        <v>19.15</v>
      </c>
    </row>
    <row r="1883">
      <c r="A1883" s="544" t="n">
        <v>31845</v>
      </c>
      <c r="B1883" s="637" t="n"/>
      <c r="C1883" s="538" t="n">
        <v>18.13</v>
      </c>
      <c r="D1883" s="637" t="n"/>
      <c r="E1883" s="538" t="n">
        <v>19.15</v>
      </c>
    </row>
    <row r="1884">
      <c r="A1884" s="544" t="n">
        <v>31846</v>
      </c>
      <c r="B1884" s="637" t="n"/>
      <c r="C1884" s="538" t="n">
        <v>18.27</v>
      </c>
      <c r="D1884" s="637" t="n"/>
      <c r="E1884" s="538" t="n">
        <v>19.75</v>
      </c>
    </row>
    <row r="1885">
      <c r="A1885" s="544" t="n">
        <v>31847</v>
      </c>
      <c r="B1885" s="637" t="n"/>
      <c r="C1885" s="538" t="n">
        <v>18.33</v>
      </c>
      <c r="D1885" s="637" t="n"/>
      <c r="E1885" s="538" t="n">
        <v>20.85</v>
      </c>
    </row>
    <row r="1886">
      <c r="A1886" s="544" t="n">
        <v>31848</v>
      </c>
      <c r="B1886" s="637" t="n"/>
      <c r="C1886" s="538" t="n">
        <v>18.42</v>
      </c>
      <c r="D1886" s="637" t="n"/>
      <c r="E1886" s="538" t="n">
        <v>21.25</v>
      </c>
    </row>
    <row r="1887">
      <c r="A1887" s="544" t="n">
        <v>31849</v>
      </c>
      <c r="B1887" s="637" t="n"/>
      <c r="C1887" s="538" t="n">
        <v>18.39</v>
      </c>
      <c r="D1887" s="637" t="n"/>
      <c r="E1887" s="538" t="n">
        <v>21.25</v>
      </c>
    </row>
    <row r="1888">
      <c r="A1888" s="544" t="n">
        <v>31852</v>
      </c>
      <c r="B1888" s="637" t="n"/>
      <c r="C1888" s="538" t="n">
        <v>18.61</v>
      </c>
      <c r="D1888" s="637" t="n"/>
      <c r="E1888" s="538" t="n">
        <v>21.25</v>
      </c>
    </row>
    <row r="1889">
      <c r="A1889" s="544" t="n">
        <v>31853</v>
      </c>
      <c r="B1889" s="637" t="n"/>
      <c r="C1889" s="538" t="n">
        <v>18.94</v>
      </c>
      <c r="D1889" s="637" t="n"/>
      <c r="E1889" s="538" t="n">
        <v>21.25</v>
      </c>
    </row>
    <row r="1890">
      <c r="A1890" s="544" t="n">
        <v>31854</v>
      </c>
      <c r="B1890" s="637" t="n"/>
      <c r="C1890" s="538" t="n">
        <v>18.75</v>
      </c>
      <c r="D1890" s="637" t="n"/>
      <c r="E1890" s="538" t="n">
        <v>21.25</v>
      </c>
    </row>
    <row r="1891">
      <c r="A1891" s="544" t="n">
        <v>31855</v>
      </c>
      <c r="B1891" s="637" t="n"/>
      <c r="C1891" s="538" t="n">
        <v>18.61</v>
      </c>
      <c r="D1891" s="637" t="n"/>
      <c r="E1891" s="538" t="n">
        <v>21.6</v>
      </c>
    </row>
    <row r="1892">
      <c r="A1892" s="544" t="n">
        <v>31856</v>
      </c>
      <c r="B1892" s="637" t="n"/>
      <c r="C1892" s="538" t="n">
        <v>18.7</v>
      </c>
      <c r="D1892" s="637" t="n"/>
      <c r="E1892" s="538" t="n">
        <v>21.6</v>
      </c>
    </row>
    <row r="1893">
      <c r="A1893" s="544" t="n">
        <v>31859</v>
      </c>
      <c r="B1893" s="637" t="n"/>
      <c r="C1893" s="538" t="n">
        <v>18.6</v>
      </c>
      <c r="D1893" s="637" t="n"/>
      <c r="E1893" s="538" t="n">
        <v>21.6</v>
      </c>
    </row>
    <row r="1894">
      <c r="A1894" s="544" t="n">
        <v>31860</v>
      </c>
      <c r="B1894" s="637" t="n"/>
      <c r="C1894" s="538" t="n">
        <v>18.6</v>
      </c>
      <c r="D1894" s="637" t="n"/>
      <c r="E1894" s="538" t="n">
        <v>21.6</v>
      </c>
    </row>
    <row r="1895">
      <c r="A1895" s="544" t="n">
        <v>31861</v>
      </c>
      <c r="B1895" s="637" t="n"/>
      <c r="C1895" s="538" t="n">
        <v>18.48</v>
      </c>
      <c r="D1895" s="637" t="n"/>
      <c r="E1895" s="538" t="n">
        <v>21.6</v>
      </c>
    </row>
    <row r="1896">
      <c r="A1896" s="544" t="n">
        <v>31862</v>
      </c>
      <c r="B1896" s="637" t="n"/>
      <c r="C1896" s="538" t="n">
        <v>18.63</v>
      </c>
      <c r="D1896" s="637" t="n"/>
      <c r="E1896" s="538" t="n">
        <v>21.6</v>
      </c>
    </row>
    <row r="1897">
      <c r="A1897" s="544" t="n">
        <v>31863</v>
      </c>
      <c r="B1897" s="637" t="n"/>
      <c r="C1897" s="538" t="n">
        <v>18.65</v>
      </c>
      <c r="D1897" s="637" t="n"/>
      <c r="E1897" s="538" t="n">
        <v>21.25</v>
      </c>
    </row>
    <row r="1898">
      <c r="A1898" s="544" t="n">
        <v>31866</v>
      </c>
      <c r="B1898" s="637" t="n"/>
      <c r="C1898" s="538" t="n">
        <v>18.67</v>
      </c>
      <c r="D1898" s="637" t="n"/>
      <c r="E1898" s="538" t="n">
        <v>20.85</v>
      </c>
    </row>
    <row r="1899">
      <c r="A1899" s="544" t="n">
        <v>31867</v>
      </c>
      <c r="B1899" s="637" t="n"/>
      <c r="C1899" s="538" t="n">
        <v>18.82</v>
      </c>
      <c r="D1899" s="637" t="n"/>
      <c r="E1899" s="538" t="n">
        <v>20.25</v>
      </c>
    </row>
    <row r="1900">
      <c r="A1900" s="544" t="n">
        <v>31868</v>
      </c>
      <c r="B1900" s="637" t="n"/>
      <c r="C1900" s="538" t="n">
        <v>18.78</v>
      </c>
      <c r="D1900" s="637" t="n"/>
      <c r="E1900" s="538" t="n">
        <v>20.25</v>
      </c>
    </row>
    <row r="1901">
      <c r="A1901" s="544" t="n">
        <v>31869</v>
      </c>
      <c r="B1901" s="637" t="n"/>
      <c r="C1901" s="538" t="n">
        <v>18.9</v>
      </c>
      <c r="D1901" s="637" t="n"/>
      <c r="E1901" s="538" t="n">
        <v>20.25</v>
      </c>
    </row>
    <row r="1902">
      <c r="A1902" s="544" t="n">
        <v>31870</v>
      </c>
      <c r="B1902" s="637" t="n"/>
      <c r="C1902" s="538" t="n">
        <v>18.68</v>
      </c>
      <c r="D1902" s="637" t="n"/>
      <c r="E1902" s="538" t="n">
        <v>19.75</v>
      </c>
    </row>
    <row r="1903">
      <c r="A1903" s="544" t="n">
        <v>31873</v>
      </c>
      <c r="B1903" s="637" t="n"/>
      <c r="C1903" s="538" t="n">
        <v>18.71</v>
      </c>
      <c r="D1903" s="637" t="n"/>
      <c r="E1903" s="538" t="n">
        <v>19.6</v>
      </c>
    </row>
    <row r="1904">
      <c r="A1904" s="544" t="n">
        <v>31874</v>
      </c>
      <c r="B1904" s="637" t="n"/>
      <c r="C1904" s="538" t="n">
        <v>18.69</v>
      </c>
      <c r="D1904" s="637" t="n"/>
      <c r="E1904" s="538" t="n">
        <v>19.55</v>
      </c>
    </row>
    <row r="1905">
      <c r="A1905" s="544" t="n">
        <v>31875</v>
      </c>
      <c r="B1905" s="637" t="n"/>
      <c r="C1905" s="538" t="n">
        <v>18.68</v>
      </c>
      <c r="D1905" s="637" t="n"/>
      <c r="E1905" s="538" t="n">
        <v>19.25</v>
      </c>
    </row>
    <row r="1906">
      <c r="A1906" s="544" t="n">
        <v>31876</v>
      </c>
      <c r="B1906" s="637" t="n"/>
      <c r="C1906" s="538" t="n">
        <v>18.64</v>
      </c>
      <c r="D1906" s="637" t="n"/>
      <c r="E1906" s="538" t="n">
        <v>19.25</v>
      </c>
    </row>
    <row r="1907">
      <c r="A1907" s="544" t="n">
        <v>31877</v>
      </c>
      <c r="B1907" s="637" t="n"/>
      <c r="C1907" s="538" t="n">
        <v>18.26</v>
      </c>
      <c r="D1907" s="637" t="n"/>
      <c r="E1907" s="538" t="n">
        <v>19.65</v>
      </c>
    </row>
    <row r="1908">
      <c r="A1908" s="544" t="n">
        <v>31880</v>
      </c>
      <c r="B1908" s="637" t="n"/>
      <c r="C1908" s="538" t="n">
        <v>18.07</v>
      </c>
      <c r="D1908" s="637" t="n"/>
      <c r="E1908" s="538" t="n">
        <v>19.65</v>
      </c>
    </row>
    <row r="1909">
      <c r="A1909" s="544" t="n">
        <v>31881</v>
      </c>
      <c r="B1909" s="637" t="n"/>
      <c r="C1909" s="538" t="n">
        <v>18.09</v>
      </c>
      <c r="D1909" s="637" t="n"/>
      <c r="E1909" s="538" t="n">
        <v>19.65</v>
      </c>
    </row>
    <row r="1910">
      <c r="A1910" s="544" t="n">
        <v>31882</v>
      </c>
      <c r="B1910" s="637" t="n"/>
      <c r="C1910" s="538" t="n">
        <v>18.46</v>
      </c>
      <c r="D1910" s="637" t="n"/>
      <c r="E1910" s="538" t="n">
        <v>19.5</v>
      </c>
    </row>
    <row r="1911">
      <c r="A1911" s="544" t="n">
        <v>31883</v>
      </c>
      <c r="B1911" s="637" t="n"/>
      <c r="C1911" s="538" t="n">
        <v>18.58</v>
      </c>
      <c r="D1911" s="637" t="n"/>
      <c r="E1911" s="538" t="n">
        <v>19.5</v>
      </c>
    </row>
    <row r="1912">
      <c r="A1912" s="544" t="n">
        <v>31884</v>
      </c>
      <c r="B1912" s="637" t="n"/>
      <c r="C1912" s="538" t="n">
        <v>18.58</v>
      </c>
      <c r="D1912" s="637" t="n"/>
      <c r="E1912" s="538" t="n">
        <v>19.5</v>
      </c>
    </row>
    <row r="1913">
      <c r="A1913" s="544" t="n">
        <v>31887</v>
      </c>
      <c r="B1913" s="637" t="n"/>
      <c r="C1913" s="538" t="n">
        <v>18.66</v>
      </c>
      <c r="D1913" s="637" t="n"/>
      <c r="E1913" s="538" t="n">
        <v>19.5</v>
      </c>
    </row>
    <row r="1914">
      <c r="A1914" s="544" t="n">
        <v>31888</v>
      </c>
      <c r="B1914" s="637" t="n"/>
      <c r="C1914" s="538" t="n">
        <v>18.97</v>
      </c>
      <c r="D1914" s="637" t="n"/>
      <c r="E1914" s="538" t="n">
        <v>19.5</v>
      </c>
    </row>
    <row r="1915">
      <c r="A1915" s="544" t="n">
        <v>31889</v>
      </c>
      <c r="B1915" s="637" t="n"/>
      <c r="C1915" s="538" t="n">
        <v>19.03</v>
      </c>
      <c r="D1915" s="637" t="n"/>
      <c r="E1915" s="538" t="n">
        <v>19.5</v>
      </c>
    </row>
    <row r="1916">
      <c r="A1916" s="544" t="n">
        <v>31890</v>
      </c>
      <c r="B1916" s="637" t="n"/>
      <c r="C1916" s="538" t="n">
        <v>19.03</v>
      </c>
      <c r="D1916" s="637" t="n"/>
      <c r="E1916" s="538" t="n">
        <v>19.5</v>
      </c>
    </row>
    <row r="1917">
      <c r="A1917" s="544" t="n">
        <v>31891</v>
      </c>
      <c r="B1917" s="637" t="n"/>
      <c r="C1917" s="538" t="n">
        <v>19.01</v>
      </c>
      <c r="D1917" s="637" t="n"/>
      <c r="E1917" s="538" t="n">
        <v>20.05</v>
      </c>
    </row>
    <row r="1918">
      <c r="A1918" s="544" t="n">
        <v>31894</v>
      </c>
      <c r="B1918" s="637" t="n"/>
      <c r="C1918" s="538" t="n">
        <v>18.83</v>
      </c>
      <c r="D1918" s="637" t="n"/>
      <c r="E1918" s="538" t="n">
        <v>20.35</v>
      </c>
    </row>
    <row r="1919">
      <c r="A1919" s="544" t="n">
        <v>31895</v>
      </c>
      <c r="B1919" s="637" t="n"/>
      <c r="C1919" s="538" t="n">
        <v>18.73</v>
      </c>
      <c r="D1919" s="637" t="n"/>
      <c r="E1919" s="538" t="n">
        <v>20.6</v>
      </c>
    </row>
    <row r="1920">
      <c r="A1920" s="544" t="n">
        <v>31896</v>
      </c>
      <c r="B1920" s="637" t="n"/>
      <c r="C1920" s="538" t="n">
        <v>18.66</v>
      </c>
      <c r="D1920" s="637" t="n"/>
      <c r="E1920" s="538" t="n">
        <v>20.75</v>
      </c>
    </row>
    <row r="1921">
      <c r="A1921" s="544" t="n">
        <v>31897</v>
      </c>
      <c r="B1921" s="637" t="n"/>
      <c r="C1921" s="538" t="n">
        <v>18.76</v>
      </c>
      <c r="D1921" s="637" t="n"/>
      <c r="E1921" s="538" t="n">
        <v>20.75</v>
      </c>
    </row>
    <row r="1922">
      <c r="A1922" s="544" t="n">
        <v>31898</v>
      </c>
      <c r="B1922" s="637" t="n"/>
      <c r="C1922" s="538" t="n">
        <v>18.84</v>
      </c>
      <c r="D1922" s="637" t="n"/>
      <c r="E1922" s="538" t="n">
        <v>20.75</v>
      </c>
    </row>
    <row r="1923">
      <c r="A1923" s="544" t="n">
        <v>31901</v>
      </c>
      <c r="B1923" s="637" t="n"/>
      <c r="C1923" s="538" t="n">
        <v>18.93</v>
      </c>
      <c r="D1923" s="637" t="n"/>
      <c r="E1923" s="538" t="n">
        <v>20.75</v>
      </c>
    </row>
    <row r="1924">
      <c r="A1924" s="544" t="n">
        <v>31902</v>
      </c>
      <c r="B1924" s="637" t="n"/>
      <c r="C1924" s="538" t="n">
        <v>19.18</v>
      </c>
      <c r="D1924" s="637" t="n"/>
      <c r="E1924" s="538" t="n">
        <v>20.75</v>
      </c>
    </row>
    <row r="1925">
      <c r="A1925" s="544" t="n">
        <v>31903</v>
      </c>
      <c r="B1925" s="637" t="n"/>
      <c r="C1925" s="538" t="n">
        <v>19.22</v>
      </c>
      <c r="D1925" s="637" t="n"/>
      <c r="E1925" s="538" t="n">
        <v>20.8</v>
      </c>
    </row>
    <row r="1926">
      <c r="A1926" s="544" t="n">
        <v>31904</v>
      </c>
      <c r="B1926" s="637" t="n"/>
      <c r="C1926" s="538" t="n">
        <v>19.08</v>
      </c>
      <c r="D1926" s="637" t="n"/>
      <c r="E1926" s="538" t="n">
        <v>20.8</v>
      </c>
    </row>
    <row r="1927">
      <c r="A1927" s="544" t="n">
        <v>31905</v>
      </c>
      <c r="B1927" s="637" t="n"/>
      <c r="C1927" s="538" t="n">
        <v>19.28</v>
      </c>
      <c r="D1927" s="637" t="n"/>
      <c r="E1927" s="538" t="n">
        <v>20.8</v>
      </c>
    </row>
    <row r="1928">
      <c r="A1928" s="544" t="n">
        <v>31908</v>
      </c>
      <c r="B1928" s="637" t="n"/>
      <c r="C1928" s="538" t="n">
        <v>19.43</v>
      </c>
      <c r="D1928" s="637" t="n"/>
      <c r="E1928" s="538" t="n">
        <v>20.65</v>
      </c>
    </row>
    <row r="1929">
      <c r="A1929" s="544" t="n">
        <v>31909</v>
      </c>
      <c r="B1929" s="637" t="n"/>
      <c r="C1929" s="538" t="n">
        <v>19.37</v>
      </c>
      <c r="D1929" s="637" t="n"/>
      <c r="E1929" s="538" t="n">
        <v>20.65</v>
      </c>
    </row>
    <row r="1930">
      <c r="A1930" s="544" t="n">
        <v>31910</v>
      </c>
      <c r="B1930" s="637" t="n"/>
      <c r="C1930" s="538" t="n">
        <v>19.39</v>
      </c>
      <c r="D1930" s="637" t="n"/>
      <c r="E1930" s="538" t="n">
        <v>20.65</v>
      </c>
    </row>
    <row r="1931">
      <c r="A1931" s="544" t="n">
        <v>31911</v>
      </c>
      <c r="B1931" s="637" t="n"/>
      <c r="C1931" s="538" t="n">
        <v>19.56</v>
      </c>
      <c r="D1931" s="637" t="n"/>
      <c r="E1931" s="538" t="n">
        <v>20.75</v>
      </c>
    </row>
    <row r="1932">
      <c r="A1932" s="544" t="n">
        <v>31912</v>
      </c>
      <c r="B1932" s="637" t="n"/>
      <c r="C1932" s="538" t="n">
        <v>19.84</v>
      </c>
      <c r="D1932" s="637" t="n"/>
      <c r="E1932" s="538" t="n">
        <v>20.75</v>
      </c>
    </row>
    <row r="1933">
      <c r="A1933" s="544" t="n">
        <v>31915</v>
      </c>
      <c r="B1933" s="637" t="n"/>
      <c r="C1933" s="538" t="n">
        <v>19.91</v>
      </c>
      <c r="D1933" s="637" t="n"/>
      <c r="E1933" s="538" t="n">
        <v>20.75</v>
      </c>
    </row>
    <row r="1934">
      <c r="A1934" s="544" t="n">
        <v>31916</v>
      </c>
      <c r="B1934" s="637" t="n"/>
      <c r="C1934" s="538" t="n">
        <v>19.97</v>
      </c>
      <c r="D1934" s="637" t="n"/>
      <c r="E1934" s="538" t="n">
        <v>20.75</v>
      </c>
    </row>
    <row r="1935">
      <c r="A1935" s="544" t="n">
        <v>31917</v>
      </c>
      <c r="B1935" s="538" t="n">
        <v>18.63</v>
      </c>
      <c r="C1935" s="538" t="n">
        <v>19.75</v>
      </c>
      <c r="D1935" s="637" t="n"/>
      <c r="E1935" s="538" t="n">
        <v>20.75</v>
      </c>
    </row>
    <row r="1936">
      <c r="A1936" s="544" t="n">
        <v>31918</v>
      </c>
      <c r="B1936" s="538" t="n">
        <v>18.45</v>
      </c>
      <c r="C1936" s="538" t="n">
        <v>19.95</v>
      </c>
      <c r="D1936" s="637" t="n"/>
      <c r="E1936" s="538" t="n">
        <v>20.75</v>
      </c>
    </row>
    <row r="1937">
      <c r="A1937" s="544" t="n">
        <v>31919</v>
      </c>
      <c r="B1937" s="538" t="n">
        <v>18.55</v>
      </c>
      <c r="C1937" s="538" t="n">
        <v>19.68</v>
      </c>
      <c r="D1937" s="637" t="n"/>
      <c r="E1937" s="538" t="n">
        <v>20.75</v>
      </c>
    </row>
    <row r="1938">
      <c r="A1938" s="544" t="n">
        <v>31922</v>
      </c>
      <c r="B1938" s="538" t="n">
        <v>18.6</v>
      </c>
      <c r="C1938" s="538" t="n">
        <v>19.68</v>
      </c>
      <c r="D1938" s="637" t="n"/>
      <c r="E1938" s="538" t="n">
        <v>20.75</v>
      </c>
    </row>
    <row r="1939">
      <c r="A1939" s="544" t="n">
        <v>31923</v>
      </c>
      <c r="B1939" s="538" t="n">
        <v>18.63</v>
      </c>
      <c r="C1939" s="538" t="n">
        <v>19.35</v>
      </c>
      <c r="D1939" s="637" t="n"/>
      <c r="E1939" s="538" t="n">
        <v>20.7</v>
      </c>
    </row>
    <row r="1940">
      <c r="A1940" s="544" t="n">
        <v>31924</v>
      </c>
      <c r="B1940" s="538" t="n">
        <v>18.6</v>
      </c>
      <c r="C1940" s="538" t="n">
        <v>19.38</v>
      </c>
      <c r="D1940" s="637" t="n"/>
      <c r="E1940" s="538" t="n">
        <v>20.75</v>
      </c>
    </row>
    <row r="1941">
      <c r="A1941" s="544" t="n">
        <v>31925</v>
      </c>
      <c r="B1941" s="538" t="n">
        <v>18.6</v>
      </c>
      <c r="C1941" s="538" t="n">
        <v>19.28</v>
      </c>
      <c r="D1941" s="637" t="n"/>
      <c r="E1941" s="538" t="n">
        <v>20.75</v>
      </c>
    </row>
    <row r="1942">
      <c r="A1942" s="544" t="n">
        <v>31926</v>
      </c>
      <c r="B1942" s="538" t="n">
        <v>18.58</v>
      </c>
      <c r="C1942" s="538" t="n">
        <v>19.36</v>
      </c>
      <c r="D1942" s="637" t="n"/>
      <c r="E1942" s="538" t="n">
        <v>20.75</v>
      </c>
    </row>
    <row r="1943">
      <c r="A1943" s="544" t="n">
        <v>31929</v>
      </c>
      <c r="B1943" s="538" t="n">
        <v>18.65</v>
      </c>
      <c r="C1943" s="538" t="n">
        <v>19.55</v>
      </c>
      <c r="D1943" s="637" t="n"/>
      <c r="E1943" s="538" t="n">
        <v>20.75</v>
      </c>
    </row>
    <row r="1944">
      <c r="A1944" s="544" t="n">
        <v>31930</v>
      </c>
      <c r="B1944" s="538" t="n">
        <v>18.68</v>
      </c>
      <c r="C1944" s="538" t="n">
        <v>19.7</v>
      </c>
      <c r="D1944" s="637" t="n"/>
      <c r="E1944" s="538" t="n">
        <v>21.2</v>
      </c>
    </row>
    <row r="1945">
      <c r="A1945" s="544" t="n">
        <v>31931</v>
      </c>
      <c r="B1945" s="538" t="n">
        <v>18.75</v>
      </c>
      <c r="C1945" s="538" t="n">
        <v>19.87</v>
      </c>
      <c r="D1945" s="637" t="n"/>
      <c r="E1945" s="538" t="n">
        <v>21.2</v>
      </c>
    </row>
    <row r="1946">
      <c r="A1946" s="544" t="n">
        <v>31932</v>
      </c>
      <c r="B1946" s="538" t="n">
        <v>18.78</v>
      </c>
      <c r="C1946" s="538" t="n">
        <v>19.75</v>
      </c>
      <c r="D1946" s="637" t="n"/>
      <c r="E1946" s="538" t="n">
        <v>21.2</v>
      </c>
    </row>
    <row r="1947">
      <c r="A1947" s="544" t="n">
        <v>31933</v>
      </c>
      <c r="B1947" s="538" t="n">
        <v>18.65</v>
      </c>
      <c r="C1947" s="538" t="n">
        <v>19.79</v>
      </c>
      <c r="D1947" s="637" t="n"/>
      <c r="E1947" s="538" t="n">
        <v>21.15</v>
      </c>
    </row>
    <row r="1948">
      <c r="A1948" s="544" t="n">
        <v>31936</v>
      </c>
      <c r="B1948" s="538" t="n">
        <v>18.75</v>
      </c>
      <c r="C1948" s="538" t="n">
        <v>19.94</v>
      </c>
      <c r="D1948" s="637" t="n"/>
      <c r="E1948" s="538" t="n">
        <v>21.05</v>
      </c>
    </row>
    <row r="1949">
      <c r="A1949" s="544" t="n">
        <v>31937</v>
      </c>
      <c r="B1949" s="538" t="n">
        <v>18.78</v>
      </c>
      <c r="C1949" s="538" t="n">
        <v>19.84</v>
      </c>
      <c r="D1949" s="637" t="n"/>
      <c r="E1949" s="538" t="n">
        <v>21.05</v>
      </c>
    </row>
    <row r="1950">
      <c r="A1950" s="544" t="n">
        <v>31938</v>
      </c>
      <c r="B1950" s="538" t="n">
        <v>18.78</v>
      </c>
      <c r="C1950" s="538" t="n">
        <v>19.83</v>
      </c>
      <c r="D1950" s="637" t="n"/>
      <c r="E1950" s="538" t="n">
        <v>21.05</v>
      </c>
    </row>
    <row r="1951">
      <c r="A1951" s="544" t="n">
        <v>31939</v>
      </c>
      <c r="B1951" s="538" t="n">
        <v>18.68</v>
      </c>
      <c r="C1951" s="538" t="n">
        <v>19.85</v>
      </c>
      <c r="D1951" s="637" t="n"/>
      <c r="E1951" s="538" t="n">
        <v>21.05</v>
      </c>
    </row>
    <row r="1952">
      <c r="A1952" s="544" t="n">
        <v>31940</v>
      </c>
      <c r="B1952" s="538" t="n">
        <v>18.78</v>
      </c>
      <c r="C1952" s="538" t="n">
        <v>19.93</v>
      </c>
      <c r="D1952" s="637" t="n"/>
      <c r="E1952" s="538" t="n">
        <v>21.05</v>
      </c>
    </row>
    <row r="1953">
      <c r="A1953" s="544" t="n">
        <v>31943</v>
      </c>
      <c r="B1953" s="538" t="n">
        <v>18.78</v>
      </c>
      <c r="C1953" s="538" t="n">
        <v>20.07</v>
      </c>
      <c r="D1953" s="637" t="n"/>
      <c r="E1953" s="538" t="n">
        <v>21.15</v>
      </c>
    </row>
    <row r="1954">
      <c r="A1954" s="544" t="n">
        <v>31944</v>
      </c>
      <c r="B1954" s="538" t="n">
        <v>18.9</v>
      </c>
      <c r="C1954" s="538" t="n">
        <v>20.27</v>
      </c>
      <c r="D1954" s="637" t="n"/>
      <c r="E1954" s="538" t="n">
        <v>21.15</v>
      </c>
    </row>
    <row r="1955">
      <c r="A1955" s="544" t="n">
        <v>31945</v>
      </c>
      <c r="B1955" s="538" t="n">
        <v>19.03</v>
      </c>
      <c r="C1955" s="538" t="n">
        <v>20.41</v>
      </c>
      <c r="D1955" s="637" t="n"/>
      <c r="E1955" s="538" t="n">
        <v>21.15</v>
      </c>
    </row>
    <row r="1956">
      <c r="A1956" s="544" t="n">
        <v>31946</v>
      </c>
      <c r="B1956" s="538" t="n">
        <v>19.05</v>
      </c>
      <c r="C1956" s="538" t="n">
        <v>20.5</v>
      </c>
      <c r="D1956" s="637" t="n"/>
      <c r="E1956" s="538" t="n">
        <v>21.15</v>
      </c>
    </row>
    <row r="1957">
      <c r="A1957" s="544" t="n">
        <v>31947</v>
      </c>
      <c r="B1957" s="538" t="n">
        <v>19.05</v>
      </c>
      <c r="C1957" s="538" t="n">
        <v>20.65</v>
      </c>
      <c r="D1957" s="637" t="n"/>
      <c r="E1957" s="538" t="n">
        <v>21.15</v>
      </c>
    </row>
    <row r="1958">
      <c r="A1958" s="544" t="n">
        <v>31950</v>
      </c>
      <c r="B1958" s="538" t="n">
        <v>19.1</v>
      </c>
      <c r="C1958" s="538" t="n">
        <v>20.49</v>
      </c>
      <c r="D1958" s="637" t="n"/>
      <c r="E1958" s="538" t="n">
        <v>21.15</v>
      </c>
    </row>
    <row r="1959">
      <c r="A1959" s="544" t="n">
        <v>31951</v>
      </c>
      <c r="B1959" s="538" t="n">
        <v>18.9</v>
      </c>
      <c r="C1959" s="538" t="n">
        <v>19.95</v>
      </c>
      <c r="D1959" s="637" t="n"/>
      <c r="E1959" s="538" t="n">
        <v>21.15</v>
      </c>
    </row>
    <row r="1960">
      <c r="A1960" s="544" t="n">
        <v>31952</v>
      </c>
      <c r="B1960" s="538" t="n">
        <v>18.75</v>
      </c>
      <c r="C1960" s="538" t="n">
        <v>20.13</v>
      </c>
      <c r="D1960" s="637" t="n"/>
      <c r="E1960" s="538" t="n">
        <v>21.15</v>
      </c>
    </row>
    <row r="1961">
      <c r="A1961" s="544" t="n">
        <v>31953</v>
      </c>
      <c r="B1961" s="538" t="n">
        <v>18.7</v>
      </c>
      <c r="C1961" s="538" t="n">
        <v>20.15</v>
      </c>
      <c r="D1961" s="637" t="n"/>
      <c r="E1961" s="538" t="n">
        <v>21</v>
      </c>
    </row>
    <row r="1962">
      <c r="A1962" s="544" t="n">
        <v>31954</v>
      </c>
      <c r="B1962" s="538" t="n">
        <v>19.08</v>
      </c>
      <c r="C1962" s="538" t="n">
        <v>20.34</v>
      </c>
      <c r="D1962" s="637" t="n"/>
      <c r="E1962" s="538" t="n">
        <v>21</v>
      </c>
    </row>
    <row r="1963">
      <c r="A1963" s="544" t="n">
        <v>31957</v>
      </c>
      <c r="B1963" s="538" t="n">
        <v>19.15</v>
      </c>
      <c r="C1963" s="538" t="n">
        <v>20.38</v>
      </c>
      <c r="D1963" s="637" t="n"/>
      <c r="E1963" s="538" t="n">
        <v>21</v>
      </c>
    </row>
    <row r="1964">
      <c r="A1964" s="544" t="n">
        <v>31958</v>
      </c>
      <c r="B1964" s="538" t="n">
        <v>19.08</v>
      </c>
      <c r="C1964" s="538" t="n">
        <v>20.22</v>
      </c>
      <c r="D1964" s="637" t="n"/>
      <c r="E1964" s="538" t="n">
        <v>21</v>
      </c>
    </row>
    <row r="1965">
      <c r="A1965" s="544" t="n">
        <v>31959</v>
      </c>
      <c r="B1965" s="538" t="n">
        <v>18.98</v>
      </c>
      <c r="C1965" s="538" t="n">
        <v>20.47</v>
      </c>
      <c r="D1965" s="637" t="n"/>
      <c r="E1965" s="538" t="n">
        <v>21.4</v>
      </c>
    </row>
    <row r="1966">
      <c r="A1966" s="544" t="n">
        <v>31960</v>
      </c>
      <c r="B1966" s="538" t="n">
        <v>19.25</v>
      </c>
      <c r="C1966" s="538" t="n">
        <v>20.61</v>
      </c>
      <c r="D1966" s="637" t="n"/>
      <c r="E1966" s="538" t="n">
        <v>21.45</v>
      </c>
    </row>
    <row r="1967">
      <c r="A1967" s="544" t="n">
        <v>31961</v>
      </c>
      <c r="B1967" s="538" t="n">
        <v>19.33</v>
      </c>
      <c r="C1967" s="538" t="n">
        <v>20.61</v>
      </c>
      <c r="D1967" s="637" t="n"/>
      <c r="E1967" s="538" t="n">
        <v>21.55</v>
      </c>
    </row>
    <row r="1968">
      <c r="A1968" s="544" t="n">
        <v>31964</v>
      </c>
      <c r="B1968" s="538" t="n">
        <v>19.48</v>
      </c>
      <c r="C1968" s="538" t="n">
        <v>20.92</v>
      </c>
      <c r="D1968" s="637" t="n"/>
      <c r="E1968" s="538" t="n">
        <v>21.8</v>
      </c>
    </row>
    <row r="1969">
      <c r="A1969" s="544" t="n">
        <v>31965</v>
      </c>
      <c r="B1969" s="538" t="n">
        <v>19.5</v>
      </c>
      <c r="C1969" s="538" t="n">
        <v>20.76</v>
      </c>
      <c r="D1969" s="637" t="n"/>
      <c r="E1969" s="538" t="n">
        <v>21.95</v>
      </c>
    </row>
    <row r="1970">
      <c r="A1970" s="544" t="n">
        <v>31966</v>
      </c>
      <c r="B1970" s="538" t="n">
        <v>19.48</v>
      </c>
      <c r="C1970" s="538" t="n">
        <v>20.94</v>
      </c>
      <c r="D1970" s="637" t="n"/>
      <c r="E1970" s="538" t="n">
        <v>22</v>
      </c>
    </row>
    <row r="1971">
      <c r="A1971" s="544" t="n">
        <v>31967</v>
      </c>
      <c r="B1971" s="538" t="n">
        <v>19.68</v>
      </c>
      <c r="C1971" s="538" t="n">
        <v>21.32</v>
      </c>
      <c r="D1971" s="637" t="n"/>
      <c r="E1971" s="538" t="n">
        <v>22.15</v>
      </c>
    </row>
    <row r="1972">
      <c r="A1972" s="544" t="n">
        <v>31968</v>
      </c>
      <c r="B1972" s="538" t="n">
        <v>19.73</v>
      </c>
      <c r="C1972" s="538" t="n">
        <v>21.34</v>
      </c>
      <c r="D1972" s="637" t="n"/>
      <c r="E1972" s="538" t="n">
        <v>22.45</v>
      </c>
    </row>
    <row r="1973">
      <c r="A1973" s="544" t="n">
        <v>31971</v>
      </c>
      <c r="B1973" s="538" t="n">
        <v>19.83</v>
      </c>
      <c r="C1973" s="538" t="n">
        <v>21.38</v>
      </c>
      <c r="D1973" s="637" t="n"/>
      <c r="E1973" s="538" t="n">
        <v>22.65</v>
      </c>
    </row>
    <row r="1974">
      <c r="A1974" s="544" t="n">
        <v>31972</v>
      </c>
      <c r="B1974" s="538" t="n">
        <v>19.88</v>
      </c>
      <c r="C1974" s="538" t="n">
        <v>21.65</v>
      </c>
      <c r="D1974" s="637" t="n"/>
      <c r="E1974" s="538" t="n">
        <v>22.65</v>
      </c>
    </row>
    <row r="1975">
      <c r="A1975" s="544" t="n">
        <v>31973</v>
      </c>
      <c r="B1975" s="538" t="n">
        <v>20.28</v>
      </c>
      <c r="C1975" s="538" t="n">
        <v>22.23</v>
      </c>
      <c r="D1975" s="637" t="n"/>
      <c r="E1975" s="538" t="n">
        <v>22.7</v>
      </c>
    </row>
    <row r="1976">
      <c r="A1976" s="544" t="n">
        <v>31974</v>
      </c>
      <c r="B1976" s="538" t="n">
        <v>20.4</v>
      </c>
      <c r="C1976" s="538" t="n">
        <v>22.44</v>
      </c>
      <c r="D1976" s="637" t="n"/>
      <c r="E1976" s="538" t="n">
        <v>23.05</v>
      </c>
    </row>
    <row r="1977">
      <c r="A1977" s="544" t="n">
        <v>31975</v>
      </c>
      <c r="B1977" s="538" t="n">
        <v>20.63</v>
      </c>
      <c r="C1977" s="538" t="n">
        <v>22.44</v>
      </c>
      <c r="D1977" s="637" t="n"/>
      <c r="E1977" s="538" t="n">
        <v>23.25</v>
      </c>
    </row>
    <row r="1978">
      <c r="A1978" s="544" t="n">
        <v>31978</v>
      </c>
      <c r="B1978" s="538" t="n">
        <v>20.55</v>
      </c>
      <c r="C1978" s="538" t="n">
        <v>22.23</v>
      </c>
      <c r="D1978" s="637" t="n"/>
      <c r="E1978" s="538" t="n">
        <v>23.4</v>
      </c>
    </row>
    <row r="1979">
      <c r="A1979" s="544" t="n">
        <v>31979</v>
      </c>
      <c r="B1979" s="538" t="n">
        <v>20.35</v>
      </c>
      <c r="C1979" s="538" t="n">
        <v>21.75</v>
      </c>
      <c r="D1979" s="637" t="n"/>
      <c r="E1979" s="538" t="n">
        <v>23.55</v>
      </c>
    </row>
    <row r="1980">
      <c r="A1980" s="544" t="n">
        <v>31980</v>
      </c>
      <c r="B1980" s="538" t="n">
        <v>20.33</v>
      </c>
      <c r="C1980" s="538" t="n">
        <v>21.73</v>
      </c>
      <c r="D1980" s="637" t="n"/>
      <c r="E1980" s="538" t="n">
        <v>23.6</v>
      </c>
    </row>
    <row r="1981">
      <c r="A1981" s="544" t="n">
        <v>31981</v>
      </c>
      <c r="B1981" s="538" t="n">
        <v>20.15</v>
      </c>
      <c r="C1981" s="538" t="n">
        <v>21.23</v>
      </c>
      <c r="D1981" s="637" t="n"/>
      <c r="E1981" s="538" t="n">
        <v>23.7</v>
      </c>
    </row>
    <row r="1982">
      <c r="A1982" s="544" t="n">
        <v>31982</v>
      </c>
      <c r="B1982" s="538" t="n">
        <v>19.58</v>
      </c>
      <c r="C1982" s="538" t="n">
        <v>20.58</v>
      </c>
      <c r="D1982" s="637" t="n"/>
      <c r="E1982" s="538" t="n">
        <v>23.65</v>
      </c>
    </row>
    <row r="1983">
      <c r="A1983" s="544" t="n">
        <v>31985</v>
      </c>
      <c r="B1983" s="538" t="n">
        <v>19.3</v>
      </c>
      <c r="C1983" s="538" t="n">
        <v>20.5</v>
      </c>
      <c r="D1983" s="637" t="n"/>
      <c r="E1983" s="538" t="n">
        <v>23.55</v>
      </c>
    </row>
    <row r="1984">
      <c r="A1984" s="544" t="n">
        <v>31986</v>
      </c>
      <c r="B1984" s="538" t="n">
        <v>19.78</v>
      </c>
      <c r="C1984" s="538" t="n">
        <v>21.35</v>
      </c>
      <c r="D1984" s="637" t="n"/>
      <c r="E1984" s="538" t="n">
        <v>23.4</v>
      </c>
    </row>
    <row r="1985">
      <c r="A1985" s="544" t="n">
        <v>31987</v>
      </c>
      <c r="B1985" s="538" t="n">
        <v>19.98</v>
      </c>
      <c r="C1985" s="538" t="n">
        <v>21.49</v>
      </c>
      <c r="D1985" s="637" t="n"/>
      <c r="E1985" s="538" t="n">
        <v>23.6</v>
      </c>
    </row>
    <row r="1986">
      <c r="A1986" s="544" t="n">
        <v>31988</v>
      </c>
      <c r="B1986" s="538" t="n">
        <v>20.2</v>
      </c>
      <c r="C1986" s="538" t="n">
        <v>21.47</v>
      </c>
      <c r="D1986" s="637" t="n"/>
      <c r="E1986" s="538" t="n">
        <v>23.3</v>
      </c>
    </row>
    <row r="1987">
      <c r="A1987" s="544" t="n">
        <v>31989</v>
      </c>
      <c r="B1987" s="538" t="n">
        <v>20.03</v>
      </c>
      <c r="C1987" s="538" t="n">
        <v>21.43</v>
      </c>
      <c r="D1987" s="637" t="n"/>
      <c r="E1987" s="538" t="n">
        <v>23.45</v>
      </c>
    </row>
    <row r="1988">
      <c r="A1988" s="544" t="n">
        <v>31992</v>
      </c>
      <c r="B1988" s="538" t="n">
        <v>20.95</v>
      </c>
      <c r="C1988" s="538" t="n">
        <v>22.21</v>
      </c>
      <c r="D1988" s="637" t="n"/>
      <c r="E1988" s="538" t="n">
        <v>23.55</v>
      </c>
    </row>
    <row r="1989">
      <c r="A1989" s="544" t="n">
        <v>31993</v>
      </c>
      <c r="B1989" s="538" t="n">
        <v>20.65</v>
      </c>
      <c r="C1989" s="538" t="n">
        <v>21.82</v>
      </c>
      <c r="D1989" s="637" t="n"/>
      <c r="E1989" s="538" t="n">
        <v>23.75</v>
      </c>
    </row>
    <row r="1990">
      <c r="A1990" s="544" t="n">
        <v>31994</v>
      </c>
      <c r="B1990" s="538" t="n">
        <v>19.8</v>
      </c>
      <c r="C1990" s="538" t="n">
        <v>21.37</v>
      </c>
      <c r="D1990" s="637" t="n"/>
      <c r="E1990" s="538" t="n">
        <v>23.75</v>
      </c>
    </row>
    <row r="1991">
      <c r="A1991" s="544" t="n">
        <v>31995</v>
      </c>
      <c r="B1991" s="538" t="n">
        <v>19.75</v>
      </c>
      <c r="C1991" s="538" t="n">
        <v>21.17</v>
      </c>
      <c r="D1991" s="637" t="n"/>
      <c r="E1991" s="538" t="n">
        <v>24</v>
      </c>
    </row>
    <row r="1992">
      <c r="A1992" s="544" t="n">
        <v>31996</v>
      </c>
      <c r="B1992" s="538" t="n">
        <v>19.65</v>
      </c>
      <c r="C1992" s="538" t="n">
        <v>21.01</v>
      </c>
      <c r="D1992" s="637" t="n"/>
      <c r="E1992" s="538" t="n">
        <v>24.1</v>
      </c>
    </row>
    <row r="1993">
      <c r="A1993" s="544" t="n">
        <v>31999</v>
      </c>
      <c r="B1993" s="538" t="n">
        <v>19.43</v>
      </c>
      <c r="C1993" s="538" t="n">
        <v>20.7</v>
      </c>
      <c r="D1993" s="637" t="n"/>
      <c r="E1993" s="538" t="n">
        <v>24.1</v>
      </c>
    </row>
    <row r="1994">
      <c r="A1994" s="544" t="n">
        <v>32000</v>
      </c>
      <c r="B1994" s="538" t="n">
        <v>19.45</v>
      </c>
      <c r="C1994" s="538" t="n">
        <v>21.07</v>
      </c>
      <c r="D1994" s="637" t="n"/>
      <c r="E1994" s="538" t="n">
        <v>24.1</v>
      </c>
    </row>
    <row r="1995">
      <c r="A1995" s="544" t="n">
        <v>32001</v>
      </c>
      <c r="B1995" s="538" t="n">
        <v>19.5</v>
      </c>
      <c r="C1995" s="538" t="n">
        <v>20.96</v>
      </c>
      <c r="D1995" s="637" t="n"/>
      <c r="E1995" s="538" t="n">
        <v>24.1</v>
      </c>
    </row>
    <row r="1996">
      <c r="A1996" s="544" t="n">
        <v>32002</v>
      </c>
      <c r="B1996" s="538" t="n">
        <v>19.4</v>
      </c>
      <c r="C1996" s="538" t="n">
        <v>20.76</v>
      </c>
      <c r="D1996" s="637" t="n"/>
      <c r="E1996" s="538" t="n">
        <v>23.8</v>
      </c>
    </row>
    <row r="1997">
      <c r="A1997" s="544" t="n">
        <v>32003</v>
      </c>
      <c r="B1997" s="538" t="n">
        <v>19.25</v>
      </c>
      <c r="C1997" s="538" t="n">
        <v>20.53</v>
      </c>
      <c r="D1997" s="637" t="n"/>
      <c r="E1997" s="538" t="n">
        <v>23.75</v>
      </c>
    </row>
    <row r="1998">
      <c r="A1998" s="544" t="n">
        <v>32006</v>
      </c>
      <c r="B1998" s="538" t="n">
        <v>18.85</v>
      </c>
      <c r="C1998" s="538" t="n">
        <v>19.85</v>
      </c>
      <c r="D1998" s="637" t="n"/>
      <c r="E1998" s="538" t="n">
        <v>23.2</v>
      </c>
    </row>
    <row r="1999">
      <c r="A1999" s="544" t="n">
        <v>32007</v>
      </c>
      <c r="B1999" s="538" t="n">
        <v>18.75</v>
      </c>
      <c r="C1999" s="538" t="n">
        <v>19.84</v>
      </c>
      <c r="D1999" s="637" t="n"/>
      <c r="E1999" s="538" t="n">
        <v>23</v>
      </c>
    </row>
    <row r="2000">
      <c r="A2000" s="544" t="n">
        <v>32008</v>
      </c>
      <c r="B2000" s="538" t="n">
        <v>18.5</v>
      </c>
      <c r="C2000" s="538" t="n">
        <v>19.71</v>
      </c>
      <c r="D2000" s="637" t="n"/>
      <c r="E2000" s="538" t="n">
        <v>22.5</v>
      </c>
    </row>
    <row r="2001">
      <c r="A2001" s="544" t="n">
        <v>32009</v>
      </c>
      <c r="B2001" s="538" t="n">
        <v>18.3</v>
      </c>
      <c r="C2001" s="538" t="n">
        <v>19.47</v>
      </c>
      <c r="D2001" s="637" t="n"/>
      <c r="E2001" s="538" t="n">
        <v>22.5</v>
      </c>
    </row>
    <row r="2002">
      <c r="A2002" s="544" t="n">
        <v>32010</v>
      </c>
      <c r="B2002" s="538" t="n">
        <v>18.1</v>
      </c>
      <c r="C2002" s="538" t="n">
        <v>19.2</v>
      </c>
      <c r="D2002" s="637" t="n"/>
      <c r="E2002" s="538" t="n">
        <v>22.5</v>
      </c>
    </row>
    <row r="2003">
      <c r="A2003" s="544" t="n">
        <v>32013</v>
      </c>
      <c r="B2003" s="538" t="n">
        <v>17.48</v>
      </c>
      <c r="C2003" s="538" t="n">
        <v>19.18</v>
      </c>
      <c r="D2003" s="637" t="n"/>
      <c r="E2003" s="538" t="n">
        <v>22.65</v>
      </c>
    </row>
    <row r="2004">
      <c r="A2004" s="544" t="n">
        <v>32014</v>
      </c>
      <c r="B2004" s="538" t="n">
        <v>17.55</v>
      </c>
      <c r="C2004" s="538" t="n">
        <v>19.3</v>
      </c>
      <c r="D2004" s="637" t="n"/>
      <c r="E2004" s="538" t="n">
        <v>22.8</v>
      </c>
    </row>
    <row r="2005">
      <c r="A2005" s="544" t="n">
        <v>32015</v>
      </c>
      <c r="B2005" s="538" t="n">
        <v>18.1</v>
      </c>
      <c r="C2005" s="538" t="n">
        <v>19.49</v>
      </c>
      <c r="D2005" s="637" t="n"/>
      <c r="E2005" s="538" t="n">
        <v>22.85</v>
      </c>
    </row>
    <row r="2006">
      <c r="A2006" s="544" t="n">
        <v>32016</v>
      </c>
      <c r="B2006" s="538" t="n">
        <v>18.28</v>
      </c>
      <c r="C2006" s="538" t="n">
        <v>19.69</v>
      </c>
      <c r="D2006" s="637" t="n"/>
      <c r="E2006" s="538" t="n">
        <v>23</v>
      </c>
    </row>
    <row r="2007">
      <c r="A2007" s="544" t="n">
        <v>32017</v>
      </c>
      <c r="B2007" s="538" t="n">
        <v>18.2</v>
      </c>
      <c r="C2007" s="538" t="n">
        <v>19.44</v>
      </c>
      <c r="D2007" s="637" t="n"/>
      <c r="E2007" s="538" t="n">
        <v>22.25</v>
      </c>
    </row>
    <row r="2008">
      <c r="A2008" s="544" t="n">
        <v>32020</v>
      </c>
      <c r="B2008" s="538" t="n">
        <v>18.63</v>
      </c>
      <c r="C2008" s="538" t="n">
        <v>19.76</v>
      </c>
      <c r="D2008" s="637" t="n"/>
      <c r="E2008" s="538" t="n">
        <v>22.6</v>
      </c>
    </row>
    <row r="2009">
      <c r="A2009" s="544" t="n">
        <v>32021</v>
      </c>
      <c r="B2009" s="538" t="n">
        <v>18.43</v>
      </c>
      <c r="C2009" s="538" t="n">
        <v>19.61</v>
      </c>
      <c r="D2009" s="637" t="n"/>
      <c r="E2009" s="538" t="n">
        <v>23.8</v>
      </c>
    </row>
    <row r="2010">
      <c r="A2010" s="544" t="n">
        <v>32022</v>
      </c>
      <c r="B2010" s="538" t="n">
        <v>18.4</v>
      </c>
      <c r="C2010" s="538" t="n">
        <v>19.62</v>
      </c>
      <c r="D2010" s="637" t="n"/>
      <c r="E2010" s="538" t="n">
        <v>24.05</v>
      </c>
    </row>
    <row r="2011">
      <c r="A2011" s="544" t="n">
        <v>32023</v>
      </c>
      <c r="B2011" s="538" t="n">
        <v>18.18</v>
      </c>
      <c r="C2011" s="538" t="n">
        <v>19.48</v>
      </c>
      <c r="D2011" s="637" t="n"/>
      <c r="E2011" s="538" t="n">
        <v>24.05</v>
      </c>
    </row>
    <row r="2012">
      <c r="A2012" s="544" t="n">
        <v>32024</v>
      </c>
      <c r="B2012" s="538" t="n">
        <v>18.13</v>
      </c>
      <c r="C2012" s="538" t="n">
        <v>19.34</v>
      </c>
      <c r="D2012" s="637" t="n"/>
      <c r="E2012" s="538" t="n">
        <v>24.05</v>
      </c>
    </row>
    <row r="2013">
      <c r="A2013" s="544" t="n">
        <v>32027</v>
      </c>
      <c r="B2013" s="538" t="n">
        <v>17.6</v>
      </c>
      <c r="C2013" s="538" t="n">
        <v>19.34</v>
      </c>
      <c r="D2013" s="637" t="n"/>
      <c r="E2013" s="538" t="n">
        <v>23.9</v>
      </c>
    </row>
    <row r="2014">
      <c r="A2014" s="544" t="n">
        <v>32028</v>
      </c>
      <c r="B2014" s="538" t="n">
        <v>17.68</v>
      </c>
      <c r="C2014" s="538" t="n">
        <v>18.99</v>
      </c>
      <c r="D2014" s="637" t="n"/>
      <c r="E2014" s="538" t="n">
        <v>23.75</v>
      </c>
    </row>
    <row r="2015">
      <c r="A2015" s="544" t="n">
        <v>32029</v>
      </c>
      <c r="B2015" s="538" t="n">
        <v>17.9</v>
      </c>
      <c r="C2015" s="538" t="n">
        <v>19.43</v>
      </c>
      <c r="D2015" s="637" t="n"/>
      <c r="E2015" s="538" t="n">
        <v>23.6</v>
      </c>
    </row>
    <row r="2016">
      <c r="A2016" s="544" t="n">
        <v>32030</v>
      </c>
      <c r="B2016" s="538" t="n">
        <v>18.3</v>
      </c>
      <c r="C2016" s="538" t="n">
        <v>19.72</v>
      </c>
      <c r="D2016" s="637" t="n"/>
      <c r="E2016" s="538" t="n">
        <v>23.6</v>
      </c>
    </row>
    <row r="2017">
      <c r="A2017" s="544" t="n">
        <v>32031</v>
      </c>
      <c r="B2017" s="538" t="n">
        <v>18.18</v>
      </c>
      <c r="C2017" s="538" t="n">
        <v>19.42</v>
      </c>
      <c r="D2017" s="637" t="n"/>
      <c r="E2017" s="538" t="n">
        <v>23.35</v>
      </c>
    </row>
    <row r="2018">
      <c r="A2018" s="544" t="n">
        <v>32034</v>
      </c>
      <c r="B2018" s="538" t="n">
        <v>18.15</v>
      </c>
      <c r="C2018" s="538" t="n">
        <v>19.64</v>
      </c>
      <c r="D2018" s="637" t="n"/>
      <c r="E2018" s="538" t="n">
        <v>23.15</v>
      </c>
    </row>
    <row r="2019">
      <c r="A2019" s="544" t="n">
        <v>32035</v>
      </c>
      <c r="B2019" s="538" t="n">
        <v>18.53</v>
      </c>
      <c r="C2019" s="538" t="n">
        <v>19.66</v>
      </c>
      <c r="D2019" s="637" t="n"/>
      <c r="E2019" s="538" t="n">
        <v>23</v>
      </c>
    </row>
    <row r="2020">
      <c r="A2020" s="544" t="n">
        <v>32036</v>
      </c>
      <c r="B2020" s="538" t="n">
        <v>18.53</v>
      </c>
      <c r="C2020" s="538" t="n">
        <v>19.71</v>
      </c>
      <c r="D2020" s="637" t="n"/>
      <c r="E2020" s="538" t="n">
        <v>22.9</v>
      </c>
    </row>
    <row r="2021">
      <c r="A2021" s="544" t="n">
        <v>32037</v>
      </c>
      <c r="B2021" s="538" t="n">
        <v>18.43</v>
      </c>
      <c r="C2021" s="538" t="n">
        <v>19.58</v>
      </c>
      <c r="D2021" s="637" t="n"/>
      <c r="E2021" s="538" t="n">
        <v>22.9</v>
      </c>
    </row>
    <row r="2022">
      <c r="A2022" s="544" t="n">
        <v>32038</v>
      </c>
      <c r="B2022" s="538" t="n">
        <v>18.3</v>
      </c>
      <c r="C2022" s="538" t="n">
        <v>19.58</v>
      </c>
      <c r="D2022" s="637" t="n"/>
      <c r="E2022" s="538" t="n">
        <v>22.9</v>
      </c>
    </row>
    <row r="2023">
      <c r="A2023" s="544" t="n">
        <v>32041</v>
      </c>
      <c r="B2023" s="538" t="n">
        <v>18.28</v>
      </c>
      <c r="C2023" s="538" t="n">
        <v>19.77</v>
      </c>
      <c r="D2023" s="637" t="n"/>
      <c r="E2023" s="538" t="n">
        <v>22.9</v>
      </c>
    </row>
    <row r="2024">
      <c r="A2024" s="544" t="n">
        <v>32042</v>
      </c>
      <c r="B2024" s="538" t="n">
        <v>18.48</v>
      </c>
      <c r="C2024" s="538" t="n">
        <v>19.35</v>
      </c>
      <c r="D2024" s="637" t="n"/>
      <c r="E2024" s="538" t="n">
        <v>23.05</v>
      </c>
    </row>
    <row r="2025">
      <c r="A2025" s="544" t="n">
        <v>32043</v>
      </c>
      <c r="B2025" s="538" t="n">
        <v>18.48</v>
      </c>
      <c r="C2025" s="538" t="n">
        <v>19.66</v>
      </c>
      <c r="D2025" s="637" t="n"/>
      <c r="E2025" s="538" t="n">
        <v>23.05</v>
      </c>
    </row>
    <row r="2026">
      <c r="A2026" s="544" t="n">
        <v>32044</v>
      </c>
      <c r="B2026" s="538" t="n">
        <v>18.68</v>
      </c>
      <c r="C2026" s="538" t="n">
        <v>19.61</v>
      </c>
      <c r="D2026" s="637" t="n"/>
      <c r="E2026" s="538" t="n">
        <v>23.05</v>
      </c>
    </row>
    <row r="2027">
      <c r="A2027" s="544" t="n">
        <v>32045</v>
      </c>
      <c r="B2027" s="538" t="n">
        <v>18.6</v>
      </c>
      <c r="C2027" s="538" t="n">
        <v>19.47</v>
      </c>
      <c r="D2027" s="637" t="n"/>
      <c r="E2027" s="538" t="n">
        <v>23.35</v>
      </c>
    </row>
    <row r="2028">
      <c r="A2028" s="544" t="n">
        <v>32048</v>
      </c>
      <c r="B2028" s="538" t="n">
        <v>18.65</v>
      </c>
      <c r="C2028" s="538" t="n">
        <v>19.48</v>
      </c>
      <c r="D2028" s="637" t="n"/>
      <c r="E2028" s="538" t="n">
        <v>23.45</v>
      </c>
    </row>
    <row r="2029">
      <c r="A2029" s="544" t="n">
        <v>32049</v>
      </c>
      <c r="B2029" s="538" t="n">
        <v>18.5</v>
      </c>
      <c r="C2029" s="538" t="n">
        <v>19.58</v>
      </c>
      <c r="D2029" s="637" t="n"/>
      <c r="E2029" s="538" t="n">
        <v>23.45</v>
      </c>
    </row>
    <row r="2030">
      <c r="A2030" s="544" t="n">
        <v>32050</v>
      </c>
      <c r="B2030" s="538" t="n">
        <v>18.48</v>
      </c>
      <c r="C2030" s="538" t="n">
        <v>19.62</v>
      </c>
      <c r="D2030" s="637" t="n"/>
      <c r="E2030" s="538" t="n">
        <v>23.45</v>
      </c>
    </row>
    <row r="2031">
      <c r="A2031" s="544" t="n">
        <v>32051</v>
      </c>
      <c r="B2031" s="538" t="n">
        <v>18.5</v>
      </c>
      <c r="C2031" s="538" t="n">
        <v>19.62</v>
      </c>
      <c r="D2031" s="637" t="n"/>
      <c r="E2031" s="538" t="n">
        <v>23.6</v>
      </c>
    </row>
    <row r="2032">
      <c r="A2032" s="544" t="n">
        <v>32052</v>
      </c>
      <c r="B2032" s="538" t="n">
        <v>18.65</v>
      </c>
      <c r="C2032" s="538" t="n">
        <v>19.88</v>
      </c>
      <c r="D2032" s="637" t="n"/>
      <c r="E2032" s="538" t="n">
        <v>23.6</v>
      </c>
    </row>
    <row r="2033">
      <c r="A2033" s="544" t="n">
        <v>32055</v>
      </c>
      <c r="B2033" s="538" t="n">
        <v>18.78</v>
      </c>
      <c r="C2033" s="538" t="n">
        <v>19.81</v>
      </c>
      <c r="D2033" s="637" t="n"/>
      <c r="E2033" s="538" t="n">
        <v>23.6</v>
      </c>
    </row>
    <row r="2034">
      <c r="A2034" s="544" t="n">
        <v>32056</v>
      </c>
      <c r="B2034" s="538" t="n">
        <v>18.6</v>
      </c>
      <c r="C2034" s="538" t="n">
        <v>19.33</v>
      </c>
      <c r="D2034" s="637" t="n"/>
      <c r="E2034" s="538" t="n">
        <v>23.6</v>
      </c>
    </row>
    <row r="2035">
      <c r="A2035" s="544" t="n">
        <v>32057</v>
      </c>
      <c r="B2035" s="538" t="n">
        <v>18.58</v>
      </c>
      <c r="C2035" s="538" t="n">
        <v>19.68</v>
      </c>
      <c r="D2035" s="637" t="n"/>
      <c r="E2035" s="538" t="n">
        <v>23.7</v>
      </c>
    </row>
    <row r="2036">
      <c r="A2036" s="544" t="n">
        <v>32058</v>
      </c>
      <c r="B2036" s="538" t="n">
        <v>18.63</v>
      </c>
      <c r="C2036" s="538" t="n">
        <v>19.77</v>
      </c>
      <c r="D2036" s="637" t="n"/>
      <c r="E2036" s="538" t="n">
        <v>23.75</v>
      </c>
    </row>
    <row r="2037">
      <c r="A2037" s="544" t="n">
        <v>32059</v>
      </c>
      <c r="B2037" s="538" t="n">
        <v>18.6</v>
      </c>
      <c r="C2037" s="538" t="n">
        <v>19.67</v>
      </c>
      <c r="D2037" s="637" t="n"/>
      <c r="E2037" s="538" t="n">
        <v>23.85</v>
      </c>
    </row>
    <row r="2038">
      <c r="A2038" s="544" t="n">
        <v>32062</v>
      </c>
      <c r="B2038" s="538" t="n">
        <v>18.55</v>
      </c>
      <c r="C2038" s="538" t="n">
        <v>19.67</v>
      </c>
      <c r="D2038" s="637" t="n"/>
      <c r="E2038" s="538" t="n">
        <v>23.85</v>
      </c>
    </row>
    <row r="2039">
      <c r="A2039" s="544" t="n">
        <v>32063</v>
      </c>
      <c r="B2039" s="538" t="n">
        <v>18.55</v>
      </c>
      <c r="C2039" s="538" t="n">
        <v>19.66</v>
      </c>
      <c r="D2039" s="637" t="n"/>
      <c r="E2039" s="538" t="n">
        <v>23.65</v>
      </c>
    </row>
    <row r="2040">
      <c r="A2040" s="544" t="n">
        <v>32064</v>
      </c>
      <c r="B2040" s="538" t="n">
        <v>18.68</v>
      </c>
      <c r="C2040" s="538" t="n">
        <v>19.79</v>
      </c>
      <c r="D2040" s="637" t="n"/>
      <c r="E2040" s="538" t="n">
        <v>23.65</v>
      </c>
    </row>
    <row r="2041">
      <c r="A2041" s="544" t="n">
        <v>32065</v>
      </c>
      <c r="B2041" s="538" t="n">
        <v>18.68</v>
      </c>
      <c r="C2041" s="538" t="n">
        <v>19.77</v>
      </c>
      <c r="D2041" s="637" t="n"/>
      <c r="E2041" s="538" t="n">
        <v>23.65</v>
      </c>
    </row>
    <row r="2042">
      <c r="A2042" s="544" t="n">
        <v>32066</v>
      </c>
      <c r="B2042" s="538" t="n">
        <v>19</v>
      </c>
      <c r="C2042" s="538" t="n">
        <v>20.23</v>
      </c>
      <c r="D2042" s="637" t="n"/>
      <c r="E2042" s="538" t="n">
        <v>23.65</v>
      </c>
    </row>
    <row r="2043">
      <c r="A2043" s="544" t="n">
        <v>32069</v>
      </c>
      <c r="B2043" s="538" t="n">
        <v>19.1</v>
      </c>
      <c r="C2043" s="538" t="n">
        <v>19.79</v>
      </c>
      <c r="D2043" s="637" t="n"/>
      <c r="E2043" s="538" t="n">
        <v>23.65</v>
      </c>
    </row>
    <row r="2044">
      <c r="A2044" s="544" t="n">
        <v>32070</v>
      </c>
      <c r="B2044" s="538" t="n">
        <v>18.78</v>
      </c>
      <c r="C2044" s="538" t="n">
        <v>19.79</v>
      </c>
      <c r="D2044" s="637" t="n"/>
      <c r="E2044" s="538" t="n">
        <v>23.65</v>
      </c>
    </row>
    <row r="2045">
      <c r="A2045" s="544" t="n">
        <v>32071</v>
      </c>
      <c r="B2045" s="538" t="n">
        <v>18.93</v>
      </c>
      <c r="C2045" s="538" t="n">
        <v>19.93</v>
      </c>
      <c r="D2045" s="637" t="n"/>
      <c r="E2045" s="538" t="n">
        <v>23.65</v>
      </c>
    </row>
    <row r="2046">
      <c r="A2046" s="544" t="n">
        <v>32072</v>
      </c>
      <c r="B2046" s="538" t="n">
        <v>19.13</v>
      </c>
      <c r="C2046" s="538" t="n">
        <v>20.19</v>
      </c>
      <c r="D2046" s="637" t="n"/>
      <c r="E2046" s="538" t="n">
        <v>23.65</v>
      </c>
    </row>
    <row r="2047">
      <c r="A2047" s="544" t="n">
        <v>32073</v>
      </c>
      <c r="B2047" s="538" t="n">
        <v>18.98</v>
      </c>
      <c r="C2047" s="538" t="n">
        <v>20.18</v>
      </c>
      <c r="D2047" s="637" t="n"/>
      <c r="E2047" s="538" t="n">
        <v>23.65</v>
      </c>
    </row>
    <row r="2048">
      <c r="A2048" s="544" t="n">
        <v>32076</v>
      </c>
      <c r="B2048" s="538" t="n">
        <v>18.75</v>
      </c>
      <c r="C2048" s="538" t="n">
        <v>20</v>
      </c>
      <c r="D2048" s="637" t="n"/>
      <c r="E2048" s="538" t="n">
        <v>23.5</v>
      </c>
    </row>
    <row r="2049">
      <c r="A2049" s="544" t="n">
        <v>32077</v>
      </c>
      <c r="B2049" s="538" t="n">
        <v>18.8</v>
      </c>
      <c r="C2049" s="538" t="n">
        <v>20.15</v>
      </c>
      <c r="D2049" s="637" t="n"/>
      <c r="E2049" s="538" t="n">
        <v>23.5</v>
      </c>
    </row>
    <row r="2050">
      <c r="A2050" s="544" t="n">
        <v>32078</v>
      </c>
      <c r="B2050" s="538" t="n">
        <v>18.85</v>
      </c>
      <c r="C2050" s="538" t="n">
        <v>20.1</v>
      </c>
      <c r="D2050" s="637" t="n"/>
      <c r="E2050" s="538" t="n">
        <v>23.5</v>
      </c>
    </row>
    <row r="2051">
      <c r="A2051" s="544" t="n">
        <v>32079</v>
      </c>
      <c r="B2051" s="538" t="n">
        <v>18.75</v>
      </c>
      <c r="C2051" s="538" t="n">
        <v>19.93</v>
      </c>
      <c r="D2051" s="637" t="n"/>
      <c r="E2051" s="538" t="n">
        <v>23.45</v>
      </c>
    </row>
    <row r="2052">
      <c r="A2052" s="544" t="n">
        <v>32080</v>
      </c>
      <c r="B2052" s="538" t="n">
        <v>18.8</v>
      </c>
      <c r="C2052" s="538" t="n">
        <v>19.96</v>
      </c>
      <c r="D2052" s="637" t="n"/>
      <c r="E2052" s="538" t="n">
        <v>23.45</v>
      </c>
    </row>
    <row r="2053">
      <c r="A2053" s="544" t="n">
        <v>32083</v>
      </c>
      <c r="B2053" s="538" t="n">
        <v>18.63</v>
      </c>
      <c r="C2053" s="538" t="n">
        <v>19.64</v>
      </c>
      <c r="D2053" s="637" t="n"/>
      <c r="E2053" s="538" t="n">
        <v>23.45</v>
      </c>
    </row>
    <row r="2054">
      <c r="A2054" s="544" t="n">
        <v>32084</v>
      </c>
      <c r="B2054" s="538" t="n">
        <v>18.38</v>
      </c>
      <c r="C2054" s="538" t="n">
        <v>19.39</v>
      </c>
      <c r="D2054" s="637" t="n"/>
      <c r="E2054" s="538" t="n">
        <v>23.45</v>
      </c>
    </row>
    <row r="2055">
      <c r="A2055" s="544" t="n">
        <v>32085</v>
      </c>
      <c r="B2055" s="538" t="n">
        <v>17.93</v>
      </c>
      <c r="C2055" s="538" t="n">
        <v>19.09</v>
      </c>
      <c r="D2055" s="637" t="n"/>
      <c r="E2055" s="538" t="n">
        <v>23.45</v>
      </c>
    </row>
    <row r="2056">
      <c r="A2056" s="544" t="n">
        <v>32086</v>
      </c>
      <c r="B2056" s="538" t="n">
        <v>17.85</v>
      </c>
      <c r="C2056" s="538" t="n">
        <v>19.02</v>
      </c>
      <c r="D2056" s="637" t="n"/>
      <c r="E2056" s="538" t="n">
        <v>23.45</v>
      </c>
    </row>
    <row r="2057">
      <c r="A2057" s="544" t="n">
        <v>32087</v>
      </c>
      <c r="B2057" s="538" t="n">
        <v>17.95</v>
      </c>
      <c r="C2057" s="538" t="n">
        <v>18.73</v>
      </c>
      <c r="D2057" s="637" t="n"/>
      <c r="E2057" s="538" t="n">
        <v>23.45</v>
      </c>
    </row>
    <row r="2058">
      <c r="A2058" s="544" t="n">
        <v>32090</v>
      </c>
      <c r="B2058" s="538" t="n">
        <v>17.5</v>
      </c>
      <c r="C2058" s="538" t="n">
        <v>18.66</v>
      </c>
      <c r="D2058" s="637" t="n"/>
      <c r="E2058" s="538" t="n">
        <v>23.6</v>
      </c>
    </row>
    <row r="2059">
      <c r="A2059" s="544" t="n">
        <v>32091</v>
      </c>
      <c r="B2059" s="538" t="n">
        <v>17.75</v>
      </c>
      <c r="C2059" s="538" t="n">
        <v>18.98</v>
      </c>
      <c r="D2059" s="637" t="n"/>
      <c r="E2059" s="538" t="n">
        <v>23.7</v>
      </c>
    </row>
    <row r="2060">
      <c r="A2060" s="544" t="n">
        <v>32092</v>
      </c>
      <c r="B2060" s="538" t="n">
        <v>17.8</v>
      </c>
      <c r="C2060" s="538" t="n">
        <v>18.92</v>
      </c>
      <c r="D2060" s="637" t="n"/>
      <c r="E2060" s="538" t="n">
        <v>23.7</v>
      </c>
    </row>
    <row r="2061">
      <c r="A2061" s="544" t="n">
        <v>32093</v>
      </c>
      <c r="B2061" s="538" t="n">
        <v>17.85</v>
      </c>
      <c r="C2061" s="538" t="n">
        <v>18.93</v>
      </c>
      <c r="D2061" s="637" t="n"/>
      <c r="E2061" s="538" t="n">
        <v>23.7</v>
      </c>
    </row>
    <row r="2062">
      <c r="A2062" s="544" t="n">
        <v>32094</v>
      </c>
      <c r="B2062" s="538" t="n">
        <v>17.8</v>
      </c>
      <c r="C2062" s="538" t="n">
        <v>18.89</v>
      </c>
      <c r="D2062" s="637" t="n"/>
      <c r="E2062" s="538" t="n">
        <v>23.85</v>
      </c>
    </row>
    <row r="2063">
      <c r="A2063" s="544" t="n">
        <v>32097</v>
      </c>
      <c r="B2063" s="538" t="n">
        <v>17.68</v>
      </c>
      <c r="C2063" s="538" t="n">
        <v>18.69</v>
      </c>
      <c r="D2063" s="637" t="n"/>
      <c r="E2063" s="538" t="n">
        <v>23.95</v>
      </c>
    </row>
    <row r="2064">
      <c r="A2064" s="544" t="n">
        <v>32098</v>
      </c>
      <c r="B2064" s="538" t="n">
        <v>17.4</v>
      </c>
      <c r="C2064" s="538" t="n">
        <v>18.28</v>
      </c>
      <c r="D2064" s="637" t="n"/>
      <c r="E2064" s="538" t="n">
        <v>23.95</v>
      </c>
    </row>
    <row r="2065">
      <c r="A2065" s="544" t="n">
        <v>32099</v>
      </c>
      <c r="B2065" s="538" t="n">
        <v>17.18</v>
      </c>
      <c r="C2065" s="538" t="n">
        <v>18.62</v>
      </c>
      <c r="D2065" s="637" t="n"/>
      <c r="E2065" s="538" t="n">
        <v>23.85</v>
      </c>
    </row>
    <row r="2066">
      <c r="A2066" s="544" t="n">
        <v>32100</v>
      </c>
      <c r="B2066" s="538" t="n">
        <v>17.48</v>
      </c>
      <c r="C2066" s="538" t="n">
        <v>18.55</v>
      </c>
      <c r="D2066" s="637" t="n"/>
      <c r="E2066" s="538" t="n">
        <v>23.65</v>
      </c>
    </row>
    <row r="2067">
      <c r="A2067" s="544" t="n">
        <v>32101</v>
      </c>
      <c r="B2067" s="538" t="n">
        <v>17.6</v>
      </c>
      <c r="C2067" s="538" t="n">
        <v>18.87</v>
      </c>
      <c r="D2067" s="637" t="n"/>
      <c r="E2067" s="538" t="n">
        <v>23.2</v>
      </c>
    </row>
    <row r="2068">
      <c r="A2068" s="544" t="n">
        <v>32104</v>
      </c>
      <c r="B2068" s="538" t="n">
        <v>17.9</v>
      </c>
      <c r="C2068" s="538" t="n">
        <v>19.31</v>
      </c>
      <c r="D2068" s="637" t="n"/>
      <c r="E2068" s="538" t="n">
        <v>23.2</v>
      </c>
    </row>
    <row r="2069">
      <c r="A2069" s="544" t="n">
        <v>32105</v>
      </c>
      <c r="B2069" s="538" t="n">
        <v>17.83</v>
      </c>
      <c r="C2069" s="538" t="n">
        <v>18.73</v>
      </c>
      <c r="D2069" s="637" t="n"/>
      <c r="E2069" s="538" t="n">
        <v>23.25</v>
      </c>
    </row>
    <row r="2070">
      <c r="A2070" s="544" t="n">
        <v>32106</v>
      </c>
      <c r="B2070" s="538" t="n">
        <v>17.68</v>
      </c>
      <c r="C2070" s="538" t="n">
        <v>18.63</v>
      </c>
      <c r="D2070" s="637" t="n"/>
      <c r="E2070" s="538" t="n">
        <v>23.3</v>
      </c>
    </row>
    <row r="2071">
      <c r="A2071" s="544" t="n">
        <v>32107</v>
      </c>
      <c r="B2071" s="538" t="n">
        <v>17.73</v>
      </c>
      <c r="C2071" s="538" t="n">
        <v>18.63</v>
      </c>
      <c r="D2071" s="637" t="n"/>
      <c r="E2071" s="538" t="n">
        <v>23.35</v>
      </c>
    </row>
    <row r="2072">
      <c r="A2072" s="544" t="n">
        <v>32108</v>
      </c>
      <c r="B2072" s="538" t="n">
        <v>17.78</v>
      </c>
      <c r="C2072" s="538" t="n">
        <v>18.63</v>
      </c>
      <c r="D2072" s="637" t="n"/>
      <c r="E2072" s="538" t="n">
        <v>23.45</v>
      </c>
    </row>
    <row r="2073">
      <c r="A2073" s="544" t="n">
        <v>32111</v>
      </c>
      <c r="B2073" s="538" t="n">
        <v>17.7</v>
      </c>
      <c r="C2073" s="538" t="n">
        <v>18.52</v>
      </c>
      <c r="D2073" s="637" t="n"/>
      <c r="E2073" s="538" t="n">
        <v>23.65</v>
      </c>
    </row>
    <row r="2074">
      <c r="A2074" s="544" t="n">
        <v>32112</v>
      </c>
      <c r="B2074" s="538" t="n">
        <v>17.65</v>
      </c>
      <c r="C2074" s="538" t="n">
        <v>18.44</v>
      </c>
      <c r="D2074" s="637" t="n"/>
      <c r="E2074" s="538" t="n">
        <v>23.7</v>
      </c>
    </row>
    <row r="2075">
      <c r="A2075" s="544" t="n">
        <v>32113</v>
      </c>
      <c r="B2075" s="538" t="n">
        <v>17.7</v>
      </c>
      <c r="C2075" s="538" t="n">
        <v>18.59</v>
      </c>
      <c r="D2075" s="637" t="n"/>
      <c r="E2075" s="538" t="n">
        <v>23.7</v>
      </c>
    </row>
    <row r="2076">
      <c r="A2076" s="544" t="n">
        <v>32114</v>
      </c>
      <c r="B2076" s="538" t="n">
        <v>17.93</v>
      </c>
      <c r="C2076" s="538" t="n">
        <v>18.87</v>
      </c>
      <c r="D2076" s="637" t="n"/>
      <c r="E2076" s="538" t="n">
        <v>23.8</v>
      </c>
    </row>
    <row r="2077">
      <c r="A2077" s="544" t="n">
        <v>32115</v>
      </c>
      <c r="B2077" s="538" t="n">
        <v>18</v>
      </c>
      <c r="C2077" s="538" t="n">
        <v>18.68</v>
      </c>
      <c r="D2077" s="637" t="n"/>
      <c r="E2077" s="538" t="n">
        <v>23.8</v>
      </c>
    </row>
    <row r="2078">
      <c r="A2078" s="544" t="n">
        <v>32118</v>
      </c>
      <c r="B2078" s="538" t="n">
        <v>17.78</v>
      </c>
      <c r="C2078" s="538" t="n">
        <v>18.3</v>
      </c>
      <c r="D2078" s="637" t="n"/>
      <c r="E2078" s="538" t="n">
        <v>24</v>
      </c>
    </row>
    <row r="2079">
      <c r="A2079" s="544" t="n">
        <v>32119</v>
      </c>
      <c r="B2079" s="538" t="n">
        <v>17.58</v>
      </c>
      <c r="C2079" s="538" t="n">
        <v>18.06</v>
      </c>
      <c r="D2079" s="637" t="n"/>
      <c r="E2079" s="538" t="n">
        <v>24.05</v>
      </c>
    </row>
    <row r="2080">
      <c r="A2080" s="544" t="n">
        <v>32120</v>
      </c>
      <c r="B2080" s="538" t="n">
        <v>17.43</v>
      </c>
      <c r="C2080" s="538" t="n">
        <v>18.53</v>
      </c>
      <c r="D2080" s="637" t="n"/>
      <c r="E2080" s="538" t="n">
        <v>24.05</v>
      </c>
    </row>
    <row r="2081">
      <c r="A2081" s="544" t="n">
        <v>32121</v>
      </c>
      <c r="B2081" s="538" t="n">
        <v>17.55</v>
      </c>
      <c r="C2081" s="538" t="n">
        <v>18.51</v>
      </c>
      <c r="D2081" s="637" t="n"/>
      <c r="E2081" s="538" t="n">
        <v>24.05</v>
      </c>
    </row>
    <row r="2082">
      <c r="A2082" s="544" t="n">
        <v>32122</v>
      </c>
      <c r="B2082" s="538" t="n">
        <v>17.73</v>
      </c>
      <c r="C2082" s="538" t="n">
        <v>18.31</v>
      </c>
      <c r="D2082" s="637" t="n"/>
      <c r="E2082" s="538" t="n">
        <v>24.05</v>
      </c>
    </row>
    <row r="2083">
      <c r="A2083" s="544" t="n">
        <v>32125</v>
      </c>
      <c r="B2083" s="538" t="n">
        <v>16.8</v>
      </c>
      <c r="C2083" s="538" t="n">
        <v>17.47</v>
      </c>
      <c r="D2083" s="637" t="n"/>
      <c r="E2083" s="538" t="n">
        <v>23.95</v>
      </c>
    </row>
    <row r="2084">
      <c r="A2084" s="544" t="n">
        <v>32126</v>
      </c>
      <c r="B2084" s="538" t="n">
        <v>16.2</v>
      </c>
      <c r="C2084" s="538" t="n">
        <v>16.75</v>
      </c>
      <c r="D2084" s="637" t="n"/>
      <c r="E2084" s="538" t="n">
        <v>23.75</v>
      </c>
    </row>
    <row r="2085">
      <c r="A2085" s="544" t="n">
        <v>32127</v>
      </c>
      <c r="B2085" s="538" t="n">
        <v>15.93</v>
      </c>
      <c r="C2085" s="538" t="n">
        <v>15.97</v>
      </c>
      <c r="D2085" s="637" t="n"/>
      <c r="E2085" s="538" t="n">
        <v>23.55</v>
      </c>
    </row>
    <row r="2086">
      <c r="A2086" s="544" t="n">
        <v>32128</v>
      </c>
      <c r="B2086" s="538" t="n">
        <v>15.03</v>
      </c>
      <c r="C2086" s="538" t="n">
        <v>15.97</v>
      </c>
      <c r="D2086" s="637" t="n"/>
      <c r="E2086" s="538" t="n">
        <v>23.2</v>
      </c>
    </row>
    <row r="2087">
      <c r="A2087" s="544" t="n">
        <v>32129</v>
      </c>
      <c r="B2087" s="538" t="n">
        <v>15.6</v>
      </c>
      <c r="C2087" s="538" t="n">
        <v>15.57</v>
      </c>
      <c r="D2087" s="637" t="n"/>
      <c r="E2087" s="538" t="n">
        <v>22.05</v>
      </c>
    </row>
    <row r="2088">
      <c r="A2088" s="544" t="n">
        <v>32132</v>
      </c>
      <c r="B2088" s="538" t="n">
        <v>15.4</v>
      </c>
      <c r="C2088" s="538" t="n">
        <v>15.12</v>
      </c>
      <c r="D2088" s="637" t="n"/>
      <c r="E2088" s="538" t="n">
        <v>22.05</v>
      </c>
    </row>
    <row r="2089">
      <c r="A2089" s="544" t="n">
        <v>32133</v>
      </c>
      <c r="B2089" s="538" t="n">
        <v>16.7</v>
      </c>
      <c r="C2089" s="538" t="n">
        <v>16.6</v>
      </c>
      <c r="D2089" s="637" t="n"/>
      <c r="E2089" s="538" t="n">
        <v>22.05</v>
      </c>
    </row>
    <row r="2090">
      <c r="A2090" s="544" t="n">
        <v>32134</v>
      </c>
      <c r="B2090" s="538" t="n">
        <v>17.25</v>
      </c>
      <c r="C2090" s="538" t="n">
        <v>16.64</v>
      </c>
      <c r="D2090" s="637" t="n"/>
      <c r="E2090" s="538" t="n">
        <v>22.25</v>
      </c>
    </row>
    <row r="2091">
      <c r="A2091" s="544" t="n">
        <v>32135</v>
      </c>
      <c r="B2091" s="538" t="n">
        <v>17.1</v>
      </c>
      <c r="C2091" s="538" t="n">
        <v>16.54</v>
      </c>
      <c r="D2091" s="637" t="n"/>
      <c r="E2091" s="538" t="n">
        <v>22.25</v>
      </c>
    </row>
    <row r="2092">
      <c r="A2092" s="544" t="n">
        <v>32136</v>
      </c>
      <c r="B2092" s="538" t="n">
        <v>17.1</v>
      </c>
      <c r="C2092" s="538" t="n">
        <v>16.54</v>
      </c>
      <c r="D2092" s="637" t="n"/>
      <c r="E2092" s="538" t="n">
        <v>22.25</v>
      </c>
    </row>
    <row r="2093">
      <c r="A2093" s="544" t="n">
        <v>32139</v>
      </c>
      <c r="B2093" s="538" t="n">
        <v>17</v>
      </c>
      <c r="C2093" s="538" t="n">
        <v>16.46</v>
      </c>
      <c r="D2093" s="637" t="n"/>
      <c r="E2093" s="538" t="n">
        <v>22.6</v>
      </c>
    </row>
    <row r="2094">
      <c r="A2094" s="544" t="n">
        <v>32140</v>
      </c>
      <c r="B2094" s="538" t="n">
        <v>17.38</v>
      </c>
      <c r="C2094" s="538" t="n">
        <v>16.95</v>
      </c>
      <c r="D2094" s="637" t="n"/>
      <c r="E2094" s="538" t="n">
        <v>22.75</v>
      </c>
    </row>
    <row r="2095">
      <c r="A2095" s="544" t="n">
        <v>32141</v>
      </c>
      <c r="B2095" s="538" t="n">
        <v>17.85</v>
      </c>
      <c r="C2095" s="538" t="n">
        <v>16.97</v>
      </c>
      <c r="D2095" s="637" t="n"/>
      <c r="E2095" s="538" t="n">
        <v>22.8</v>
      </c>
    </row>
    <row r="2096">
      <c r="A2096" s="544" t="n">
        <v>32142</v>
      </c>
      <c r="B2096" s="538" t="n">
        <v>17.6</v>
      </c>
      <c r="C2096" s="538" t="n">
        <v>16.74</v>
      </c>
      <c r="D2096" s="637" t="n"/>
      <c r="E2096" s="538" t="n">
        <v>22.8</v>
      </c>
    </row>
    <row r="2097">
      <c r="A2097" s="544" t="n">
        <v>32143</v>
      </c>
      <c r="B2097" s="538" t="n">
        <v>17.6</v>
      </c>
      <c r="C2097" s="538" t="n">
        <v>16.74</v>
      </c>
      <c r="D2097" s="637" t="n"/>
      <c r="E2097" s="538" t="n">
        <v>22.8</v>
      </c>
    </row>
    <row r="2098">
      <c r="A2098" s="544" t="n">
        <v>32146</v>
      </c>
      <c r="B2098" s="538" t="n">
        <v>17.95</v>
      </c>
      <c r="C2098" s="538" t="n">
        <v>17.77</v>
      </c>
      <c r="D2098" s="637" t="n"/>
      <c r="E2098" s="538" t="n">
        <v>22.85</v>
      </c>
    </row>
    <row r="2099">
      <c r="A2099" s="544" t="n">
        <v>32147</v>
      </c>
      <c r="B2099" s="538" t="n">
        <v>17.08</v>
      </c>
      <c r="C2099" s="538" t="n">
        <v>17.89</v>
      </c>
      <c r="D2099" s="637" t="n"/>
      <c r="E2099" s="538" t="n">
        <v>23.15</v>
      </c>
    </row>
    <row r="2100">
      <c r="A2100" s="544" t="n">
        <v>32148</v>
      </c>
      <c r="B2100" s="538" t="n">
        <v>17.9</v>
      </c>
      <c r="C2100" s="538" t="n">
        <v>17.73</v>
      </c>
      <c r="D2100" s="637" t="n"/>
      <c r="E2100" s="538" t="n">
        <v>23.85</v>
      </c>
    </row>
    <row r="2101">
      <c r="A2101" s="544" t="n">
        <v>32149</v>
      </c>
      <c r="B2101" s="538" t="n">
        <v>17.9</v>
      </c>
      <c r="C2101" s="538" t="n">
        <v>17.3</v>
      </c>
      <c r="D2101" s="637" t="n"/>
      <c r="E2101" s="538" t="n">
        <v>23.85</v>
      </c>
    </row>
    <row r="2102">
      <c r="A2102" s="544" t="n">
        <v>32150</v>
      </c>
      <c r="B2102" s="538" t="n">
        <v>16.88</v>
      </c>
      <c r="C2102" s="538" t="n">
        <v>17.33</v>
      </c>
      <c r="D2102" s="637" t="n"/>
      <c r="E2102" s="538" t="n">
        <v>24</v>
      </c>
    </row>
    <row r="2103">
      <c r="A2103" s="544" t="n">
        <v>32153</v>
      </c>
      <c r="B2103" s="538" t="n">
        <v>16.65</v>
      </c>
      <c r="C2103" s="538" t="n">
        <v>16.63</v>
      </c>
      <c r="D2103" s="637" t="n"/>
      <c r="E2103" s="538" t="n">
        <v>24.15</v>
      </c>
    </row>
    <row r="2104">
      <c r="A2104" s="544" t="n">
        <v>32154</v>
      </c>
      <c r="B2104" s="538" t="n">
        <v>15.95</v>
      </c>
      <c r="C2104" s="538" t="n">
        <v>16.76</v>
      </c>
      <c r="D2104" s="637" t="n"/>
      <c r="E2104" s="538" t="n">
        <v>24.2</v>
      </c>
    </row>
    <row r="2105">
      <c r="A2105" s="544" t="n">
        <v>32155</v>
      </c>
      <c r="B2105" s="538" t="n">
        <v>16.38</v>
      </c>
      <c r="C2105" s="538" t="n">
        <v>16.56</v>
      </c>
      <c r="D2105" s="637" t="n"/>
      <c r="E2105" s="538" t="n">
        <v>24.3</v>
      </c>
    </row>
    <row r="2106">
      <c r="A2106" s="544" t="n">
        <v>32156</v>
      </c>
      <c r="B2106" s="538" t="n">
        <v>16.55</v>
      </c>
      <c r="C2106" s="538" t="n">
        <v>17.1</v>
      </c>
      <c r="D2106" s="637" t="n"/>
      <c r="E2106" s="538" t="n">
        <v>24.3</v>
      </c>
    </row>
    <row r="2107">
      <c r="A2107" s="544" t="n">
        <v>32157</v>
      </c>
      <c r="B2107" s="538" t="n">
        <v>16.65</v>
      </c>
      <c r="C2107" s="538" t="n">
        <v>16.92</v>
      </c>
      <c r="D2107" s="637" t="n"/>
      <c r="E2107" s="538" t="n">
        <v>24.3</v>
      </c>
    </row>
    <row r="2108">
      <c r="A2108" s="544" t="n">
        <v>32160</v>
      </c>
      <c r="B2108" s="538" t="n">
        <v>16.83</v>
      </c>
      <c r="C2108" s="538" t="n">
        <v>17.28</v>
      </c>
      <c r="D2108" s="637" t="n"/>
      <c r="E2108" s="538" t="n">
        <v>24.15</v>
      </c>
    </row>
    <row r="2109">
      <c r="A2109" s="544" t="n">
        <v>32161</v>
      </c>
      <c r="B2109" s="538" t="n">
        <v>17.1</v>
      </c>
      <c r="C2109" s="538" t="n">
        <v>17.3</v>
      </c>
      <c r="D2109" s="637" t="n"/>
      <c r="E2109" s="538" t="n">
        <v>24.15</v>
      </c>
    </row>
    <row r="2110">
      <c r="A2110" s="544" t="n">
        <v>32162</v>
      </c>
      <c r="B2110" s="538" t="n">
        <v>16.83</v>
      </c>
      <c r="C2110" s="538" t="n">
        <v>17.2</v>
      </c>
      <c r="D2110" s="637" t="n"/>
      <c r="E2110" s="538" t="n">
        <v>24.15</v>
      </c>
    </row>
    <row r="2111">
      <c r="A2111" s="544" t="n">
        <v>32163</v>
      </c>
      <c r="B2111" s="538" t="n">
        <v>17.08</v>
      </c>
      <c r="C2111" s="538" t="n">
        <v>17.21</v>
      </c>
      <c r="D2111" s="637" t="n"/>
      <c r="E2111" s="538" t="n">
        <v>24</v>
      </c>
    </row>
    <row r="2112">
      <c r="A2112" s="544" t="n">
        <v>32164</v>
      </c>
      <c r="B2112" s="538" t="n">
        <v>16.7</v>
      </c>
      <c r="C2112" s="538" t="n">
        <v>16.99</v>
      </c>
      <c r="D2112" s="637" t="n"/>
      <c r="E2112" s="538" t="n">
        <v>23.95</v>
      </c>
    </row>
    <row r="2113">
      <c r="A2113" s="544" t="n">
        <v>32167</v>
      </c>
      <c r="B2113" s="538" t="n">
        <v>16.45</v>
      </c>
      <c r="C2113" s="538" t="n">
        <v>17.11</v>
      </c>
      <c r="D2113" s="637" t="n"/>
      <c r="E2113" s="538" t="n">
        <v>23.6</v>
      </c>
    </row>
    <row r="2114">
      <c r="A2114" s="544" t="n">
        <v>32168</v>
      </c>
      <c r="B2114" s="538" t="n">
        <v>16.45</v>
      </c>
      <c r="C2114" s="538" t="n">
        <v>16.96</v>
      </c>
      <c r="D2114" s="637" t="n"/>
      <c r="E2114" s="538" t="n">
        <v>23.45</v>
      </c>
    </row>
    <row r="2115">
      <c r="A2115" s="544" t="n">
        <v>32169</v>
      </c>
      <c r="B2115" s="538" t="n">
        <v>16.13</v>
      </c>
      <c r="C2115" s="538" t="n">
        <v>16.64</v>
      </c>
      <c r="D2115" s="637" t="n"/>
      <c r="E2115" s="538" t="n">
        <v>23.45</v>
      </c>
    </row>
    <row r="2116">
      <c r="A2116" s="544" t="n">
        <v>32170</v>
      </c>
      <c r="B2116" s="538" t="n">
        <v>16.1</v>
      </c>
      <c r="C2116" s="538" t="n">
        <v>16.94</v>
      </c>
      <c r="D2116" s="637" t="n"/>
      <c r="E2116" s="538" t="n">
        <v>23.05</v>
      </c>
    </row>
    <row r="2117">
      <c r="A2117" s="544" t="n">
        <v>32171</v>
      </c>
      <c r="B2117" s="538" t="n">
        <v>16.28</v>
      </c>
      <c r="C2117" s="538" t="n">
        <v>16.97</v>
      </c>
      <c r="D2117" s="637" t="n"/>
      <c r="E2117" s="538" t="n">
        <v>23.05</v>
      </c>
    </row>
    <row r="2118">
      <c r="A2118" s="544" t="n">
        <v>32174</v>
      </c>
      <c r="B2118" s="538" t="n">
        <v>16.1</v>
      </c>
      <c r="C2118" s="538" t="n">
        <v>16.83</v>
      </c>
      <c r="D2118" s="637" t="n"/>
      <c r="E2118" s="538" t="n">
        <v>22.75</v>
      </c>
    </row>
    <row r="2119">
      <c r="A2119" s="544" t="n">
        <v>32175</v>
      </c>
      <c r="B2119" s="538" t="n">
        <v>16.18</v>
      </c>
      <c r="C2119" s="538" t="n">
        <v>16.92</v>
      </c>
      <c r="D2119" s="637" t="n"/>
      <c r="E2119" s="538" t="n">
        <v>22.6</v>
      </c>
    </row>
    <row r="2120">
      <c r="A2120" s="544" t="n">
        <v>32176</v>
      </c>
      <c r="B2120" s="538" t="n">
        <v>16.15</v>
      </c>
      <c r="C2120" s="538" t="n">
        <v>17.12</v>
      </c>
      <c r="D2120" s="637" t="n"/>
      <c r="E2120" s="538" t="n">
        <v>22.6</v>
      </c>
    </row>
    <row r="2121">
      <c r="A2121" s="544" t="n">
        <v>32177</v>
      </c>
      <c r="B2121" s="538" t="n">
        <v>16.18</v>
      </c>
      <c r="C2121" s="538" t="n">
        <v>17.17</v>
      </c>
      <c r="D2121" s="637" t="n"/>
      <c r="E2121" s="538" t="n">
        <v>22.6</v>
      </c>
    </row>
    <row r="2122">
      <c r="A2122" s="544" t="n">
        <v>32178</v>
      </c>
      <c r="B2122" s="538" t="n">
        <v>16.1</v>
      </c>
      <c r="C2122" s="538" t="n">
        <v>17.34</v>
      </c>
      <c r="D2122" s="637" t="n"/>
      <c r="E2122" s="538" t="n">
        <v>22.35</v>
      </c>
    </row>
    <row r="2123">
      <c r="A2123" s="544" t="n">
        <v>32181</v>
      </c>
      <c r="B2123" s="538" t="n">
        <v>16.5</v>
      </c>
      <c r="C2123" s="538" t="n">
        <v>17.7</v>
      </c>
      <c r="D2123" s="637" t="n"/>
      <c r="E2123" s="538" t="n">
        <v>22.25</v>
      </c>
    </row>
    <row r="2124">
      <c r="A2124" s="544" t="n">
        <v>32182</v>
      </c>
      <c r="B2124" s="538" t="n">
        <v>16.4</v>
      </c>
      <c r="C2124" s="538" t="n">
        <v>17.38</v>
      </c>
      <c r="D2124" s="637" t="n"/>
      <c r="E2124" s="538" t="n">
        <v>22.2</v>
      </c>
    </row>
    <row r="2125">
      <c r="A2125" s="544" t="n">
        <v>32183</v>
      </c>
      <c r="B2125" s="538" t="n">
        <v>16.13</v>
      </c>
      <c r="C2125" s="538" t="n">
        <v>17.12</v>
      </c>
      <c r="D2125" s="637" t="n"/>
      <c r="E2125" s="538" t="n">
        <v>22.2</v>
      </c>
    </row>
    <row r="2126">
      <c r="A2126" s="544" t="n">
        <v>32184</v>
      </c>
      <c r="B2126" s="538" t="n">
        <v>16.1</v>
      </c>
      <c r="C2126" s="538" t="n">
        <v>17.17</v>
      </c>
      <c r="D2126" s="637" t="n"/>
      <c r="E2126" s="538" t="n">
        <v>22.2</v>
      </c>
    </row>
    <row r="2127">
      <c r="A2127" s="544" t="n">
        <v>32185</v>
      </c>
      <c r="B2127" s="538" t="n">
        <v>15.75</v>
      </c>
      <c r="C2127" s="538" t="n">
        <v>16.84</v>
      </c>
      <c r="D2127" s="637" t="n"/>
      <c r="E2127" s="538" t="n">
        <v>22.2</v>
      </c>
    </row>
    <row r="2128">
      <c r="A2128" s="544" t="n">
        <v>32188</v>
      </c>
      <c r="B2128" s="538" t="n">
        <v>15.68</v>
      </c>
      <c r="C2128" s="538" t="n">
        <v>16.84</v>
      </c>
      <c r="D2128" s="637" t="n"/>
      <c r="E2128" s="538" t="n">
        <v>22.2</v>
      </c>
    </row>
    <row r="2129">
      <c r="A2129" s="544" t="n">
        <v>32189</v>
      </c>
      <c r="B2129" s="538" t="n">
        <v>15.63</v>
      </c>
      <c r="C2129" s="538" t="n">
        <v>16.8</v>
      </c>
      <c r="D2129" s="637" t="n"/>
      <c r="E2129" s="538" t="n">
        <v>22.2</v>
      </c>
    </row>
    <row r="2130">
      <c r="A2130" s="544" t="n">
        <v>32190</v>
      </c>
      <c r="B2130" s="538" t="n">
        <v>15.85</v>
      </c>
      <c r="C2130" s="538" t="n">
        <v>16.62</v>
      </c>
      <c r="D2130" s="637" t="n"/>
      <c r="E2130" s="538" t="n">
        <v>22.2</v>
      </c>
    </row>
    <row r="2131">
      <c r="A2131" s="544" t="n">
        <v>32191</v>
      </c>
      <c r="B2131" s="538" t="n">
        <v>15.48</v>
      </c>
      <c r="C2131" s="538" t="n">
        <v>16.5</v>
      </c>
      <c r="D2131" s="637" t="n"/>
      <c r="E2131" s="538" t="n">
        <v>22.2</v>
      </c>
    </row>
    <row r="2132">
      <c r="A2132" s="544" t="n">
        <v>32192</v>
      </c>
      <c r="B2132" s="538" t="n">
        <v>15.55</v>
      </c>
      <c r="C2132" s="538" t="n">
        <v>16.73</v>
      </c>
      <c r="D2132" s="637" t="n"/>
      <c r="E2132" s="538" t="n">
        <v>22</v>
      </c>
    </row>
    <row r="2133">
      <c r="A2133" s="544" t="n">
        <v>32195</v>
      </c>
      <c r="B2133" s="538" t="n">
        <v>15.38</v>
      </c>
      <c r="C2133" s="538" t="n">
        <v>16.64</v>
      </c>
      <c r="D2133" s="637" t="n"/>
      <c r="E2133" s="538" t="n">
        <v>21.55</v>
      </c>
    </row>
    <row r="2134">
      <c r="A2134" s="544" t="n">
        <v>32196</v>
      </c>
      <c r="B2134" s="538" t="n">
        <v>15.58</v>
      </c>
      <c r="C2134" s="538" t="n">
        <v>16.8</v>
      </c>
      <c r="D2134" s="637" t="n"/>
      <c r="E2134" s="538" t="n">
        <v>21.55</v>
      </c>
    </row>
    <row r="2135">
      <c r="A2135" s="544" t="n">
        <v>32197</v>
      </c>
      <c r="B2135" s="538" t="n">
        <v>15.35</v>
      </c>
      <c r="C2135" s="538" t="n">
        <v>16.58</v>
      </c>
      <c r="D2135" s="637" t="n"/>
      <c r="E2135" s="538" t="n">
        <v>21.85</v>
      </c>
    </row>
    <row r="2136">
      <c r="A2136" s="544" t="n">
        <v>32198</v>
      </c>
      <c r="B2136" s="538" t="n">
        <v>14.85</v>
      </c>
      <c r="C2136" s="538" t="n">
        <v>15.86</v>
      </c>
      <c r="D2136" s="637" t="n"/>
      <c r="E2136" s="538" t="n">
        <v>21.85</v>
      </c>
    </row>
    <row r="2137">
      <c r="A2137" s="544" t="n">
        <v>32199</v>
      </c>
      <c r="B2137" s="538" t="n">
        <v>14.65</v>
      </c>
      <c r="C2137" s="538" t="n">
        <v>15.77</v>
      </c>
      <c r="D2137" s="637" t="n"/>
      <c r="E2137" s="538" t="n">
        <v>21.85</v>
      </c>
    </row>
    <row r="2138">
      <c r="A2138" s="544" t="n">
        <v>32202</v>
      </c>
      <c r="B2138" s="538" t="n">
        <v>14.73</v>
      </c>
      <c r="C2138" s="538" t="n">
        <v>15.98</v>
      </c>
      <c r="D2138" s="637" t="n"/>
      <c r="E2138" s="538" t="n">
        <v>21.85</v>
      </c>
    </row>
    <row r="2139">
      <c r="A2139" s="544" t="n">
        <v>32203</v>
      </c>
      <c r="B2139" s="538" t="n">
        <v>14.18</v>
      </c>
      <c r="C2139" s="538" t="n">
        <v>15.57</v>
      </c>
      <c r="D2139" s="637" t="n"/>
      <c r="E2139" s="538" t="n">
        <v>21.55</v>
      </c>
    </row>
    <row r="2140">
      <c r="A2140" s="544" t="n">
        <v>32204</v>
      </c>
      <c r="B2140" s="538" t="n">
        <v>13.8</v>
      </c>
      <c r="C2140" s="538" t="n">
        <v>15.69</v>
      </c>
      <c r="D2140" s="637" t="n"/>
      <c r="E2140" s="538" t="n">
        <v>21.5</v>
      </c>
    </row>
    <row r="2141">
      <c r="A2141" s="544" t="n">
        <v>32205</v>
      </c>
      <c r="B2141" s="538" t="n">
        <v>14</v>
      </c>
      <c r="C2141" s="538" t="n">
        <v>15.35</v>
      </c>
      <c r="D2141" s="637" t="n"/>
      <c r="E2141" s="538" t="n">
        <v>21.4</v>
      </c>
    </row>
    <row r="2142">
      <c r="A2142" s="544" t="n">
        <v>32206</v>
      </c>
      <c r="B2142" s="538" t="n">
        <v>14</v>
      </c>
      <c r="C2142" s="538" t="n">
        <v>15.63</v>
      </c>
      <c r="D2142" s="637" t="n"/>
      <c r="E2142" s="538" t="n">
        <v>21.3</v>
      </c>
    </row>
    <row r="2143">
      <c r="A2143" s="544" t="n">
        <v>32209</v>
      </c>
      <c r="B2143" s="538" t="n">
        <v>13.9</v>
      </c>
      <c r="C2143" s="538" t="n">
        <v>15.35</v>
      </c>
      <c r="D2143" s="637" t="n"/>
      <c r="E2143" s="538" t="n">
        <v>20.95</v>
      </c>
    </row>
    <row r="2144">
      <c r="A2144" s="544" t="n">
        <v>32210</v>
      </c>
      <c r="B2144" s="538" t="n">
        <v>13.8</v>
      </c>
      <c r="C2144" s="538" t="n">
        <v>15.58</v>
      </c>
      <c r="D2144" s="637" t="n"/>
      <c r="E2144" s="538" t="n">
        <v>20.8</v>
      </c>
    </row>
    <row r="2145">
      <c r="A2145" s="544" t="n">
        <v>32211</v>
      </c>
      <c r="B2145" s="538" t="n">
        <v>13.98</v>
      </c>
      <c r="C2145" s="538" t="n">
        <v>15.52</v>
      </c>
      <c r="D2145" s="637" t="n"/>
      <c r="E2145" s="538" t="n">
        <v>20.75</v>
      </c>
    </row>
    <row r="2146">
      <c r="A2146" s="544" t="n">
        <v>32212</v>
      </c>
      <c r="B2146" s="538" t="n">
        <v>14.48</v>
      </c>
      <c r="C2146" s="538" t="n">
        <v>16.04</v>
      </c>
      <c r="D2146" s="637" t="n"/>
      <c r="E2146" s="538" t="n">
        <v>20.65</v>
      </c>
    </row>
    <row r="2147">
      <c r="A2147" s="544" t="n">
        <v>32213</v>
      </c>
      <c r="B2147" s="538" t="n">
        <v>14.88</v>
      </c>
      <c r="C2147" s="538" t="n">
        <v>16.2</v>
      </c>
      <c r="D2147" s="637" t="n"/>
      <c r="E2147" s="538" t="n">
        <v>20.55</v>
      </c>
    </row>
    <row r="2148">
      <c r="A2148" s="544" t="n">
        <v>32216</v>
      </c>
      <c r="B2148" s="538" t="n">
        <v>14.28</v>
      </c>
      <c r="C2148" s="538" t="n">
        <v>15.57</v>
      </c>
      <c r="D2148" s="637" t="n"/>
      <c r="E2148" s="538" t="n">
        <v>20.25</v>
      </c>
    </row>
    <row r="2149">
      <c r="A2149" s="544" t="n">
        <v>32217</v>
      </c>
      <c r="B2149" s="538" t="n">
        <v>14.3</v>
      </c>
      <c r="C2149" s="538" t="n">
        <v>15.81</v>
      </c>
      <c r="D2149" s="637" t="n"/>
      <c r="E2149" s="538" t="n">
        <v>20.25</v>
      </c>
    </row>
    <row r="2150">
      <c r="A2150" s="544" t="n">
        <v>32218</v>
      </c>
      <c r="B2150" s="538" t="n">
        <v>14.45</v>
      </c>
      <c r="C2150" s="538" t="n">
        <v>16.03</v>
      </c>
      <c r="D2150" s="637" t="n"/>
      <c r="E2150" s="538" t="n">
        <v>20.25</v>
      </c>
    </row>
    <row r="2151">
      <c r="A2151" s="544" t="n">
        <v>32219</v>
      </c>
      <c r="B2151" s="538" t="n">
        <v>14.43</v>
      </c>
      <c r="C2151" s="538" t="n">
        <v>16.39</v>
      </c>
      <c r="D2151" s="637" t="n"/>
      <c r="E2151" s="538" t="n">
        <v>19.8</v>
      </c>
    </row>
    <row r="2152">
      <c r="A2152" s="544" t="n">
        <v>32220</v>
      </c>
      <c r="B2152" s="538" t="n">
        <v>14.93</v>
      </c>
      <c r="C2152" s="538" t="n">
        <v>16.61</v>
      </c>
      <c r="D2152" s="637" t="n"/>
      <c r="E2152" s="538" t="n">
        <v>19.7</v>
      </c>
    </row>
    <row r="2153">
      <c r="A2153" s="544" t="n">
        <v>32223</v>
      </c>
      <c r="B2153" s="538" t="n">
        <v>15.38</v>
      </c>
      <c r="C2153" s="538" t="n">
        <v>16.52</v>
      </c>
      <c r="D2153" s="637" t="n"/>
      <c r="E2153" s="538" t="n">
        <v>19.7</v>
      </c>
    </row>
    <row r="2154">
      <c r="A2154" s="544" t="n">
        <v>32224</v>
      </c>
      <c r="B2154" s="538" t="n">
        <v>15.03</v>
      </c>
      <c r="C2154" s="538" t="n">
        <v>16.02</v>
      </c>
      <c r="D2154" s="637" t="n"/>
      <c r="E2154" s="538" t="n">
        <v>19.7</v>
      </c>
    </row>
    <row r="2155">
      <c r="A2155" s="544" t="n">
        <v>32225</v>
      </c>
      <c r="B2155" s="538" t="n">
        <v>15.4</v>
      </c>
      <c r="C2155" s="538" t="n">
        <v>16.58</v>
      </c>
      <c r="D2155" s="637" t="n"/>
      <c r="E2155" s="538" t="n">
        <v>19.7</v>
      </c>
    </row>
    <row r="2156">
      <c r="A2156" s="544" t="n">
        <v>32226</v>
      </c>
      <c r="B2156" s="538" t="n">
        <v>15.65</v>
      </c>
      <c r="C2156" s="538" t="n">
        <v>16.73</v>
      </c>
      <c r="D2156" s="637" t="n"/>
      <c r="E2156" s="538" t="n">
        <v>19.7</v>
      </c>
    </row>
    <row r="2157">
      <c r="A2157" s="544" t="n">
        <v>32227</v>
      </c>
      <c r="B2157" s="538" t="n">
        <v>15.45</v>
      </c>
      <c r="C2157" s="538" t="n">
        <v>17.07</v>
      </c>
      <c r="D2157" s="637" t="n"/>
      <c r="E2157" s="538" t="n">
        <v>19.7</v>
      </c>
    </row>
    <row r="2158">
      <c r="A2158" s="544" t="n">
        <v>32230</v>
      </c>
      <c r="B2158" s="538" t="n">
        <v>15.55</v>
      </c>
      <c r="C2158" s="538" t="n">
        <v>17.05</v>
      </c>
      <c r="D2158" s="637" t="n"/>
      <c r="E2158" s="538" t="n">
        <v>20.25</v>
      </c>
    </row>
    <row r="2159">
      <c r="A2159" s="544" t="n">
        <v>32231</v>
      </c>
      <c r="B2159" s="538" t="n">
        <v>15.6</v>
      </c>
      <c r="C2159" s="538" t="n">
        <v>17.08</v>
      </c>
      <c r="D2159" s="637" t="n"/>
      <c r="E2159" s="538" t="n">
        <v>20.25</v>
      </c>
    </row>
    <row r="2160">
      <c r="A2160" s="544" t="n">
        <v>32232</v>
      </c>
      <c r="B2160" s="538" t="n">
        <v>15.7</v>
      </c>
      <c r="C2160" s="538" t="n">
        <v>17.06</v>
      </c>
      <c r="D2160" s="637" t="n"/>
      <c r="E2160" s="538" t="n">
        <v>20.05</v>
      </c>
    </row>
    <row r="2161">
      <c r="A2161" s="544" t="n">
        <v>32233</v>
      </c>
      <c r="B2161" s="538" t="n">
        <v>15.65</v>
      </c>
      <c r="C2161" s="538" t="n">
        <v>17.09</v>
      </c>
      <c r="D2161" s="637" t="n"/>
      <c r="E2161" s="538" t="n">
        <v>20.15</v>
      </c>
    </row>
    <row r="2162">
      <c r="A2162" s="544" t="n">
        <v>32234</v>
      </c>
      <c r="B2162" s="538" t="n">
        <v>15.65</v>
      </c>
      <c r="C2162" s="538" t="n">
        <v>17.09</v>
      </c>
      <c r="D2162" s="637" t="n"/>
      <c r="E2162" s="538" t="n">
        <v>20.15</v>
      </c>
    </row>
    <row r="2163">
      <c r="A2163" s="544" t="n">
        <v>32237</v>
      </c>
      <c r="B2163" s="538" t="n">
        <v>15.65</v>
      </c>
      <c r="C2163" s="538" t="n">
        <v>16.99</v>
      </c>
      <c r="D2163" s="637" t="n"/>
      <c r="E2163" s="538" t="n">
        <v>20.4</v>
      </c>
    </row>
    <row r="2164">
      <c r="A2164" s="544" t="n">
        <v>32238</v>
      </c>
      <c r="B2164" s="538" t="n">
        <v>15.5</v>
      </c>
      <c r="C2164" s="538" t="n">
        <v>16.72</v>
      </c>
      <c r="D2164" s="637" t="n"/>
      <c r="E2164" s="538" t="n">
        <v>20.4</v>
      </c>
    </row>
    <row r="2165">
      <c r="A2165" s="544" t="n">
        <v>32239</v>
      </c>
      <c r="B2165" s="538" t="n">
        <v>15.38</v>
      </c>
      <c r="C2165" s="538" t="n">
        <v>16.8</v>
      </c>
      <c r="D2165" s="637" t="n"/>
      <c r="E2165" s="538" t="n">
        <v>20.4</v>
      </c>
    </row>
    <row r="2166">
      <c r="A2166" s="544" t="n">
        <v>32240</v>
      </c>
      <c r="B2166" s="538" t="n">
        <v>15.53</v>
      </c>
      <c r="C2166" s="538" t="n">
        <v>17.05</v>
      </c>
      <c r="D2166" s="637" t="n"/>
      <c r="E2166" s="538" t="n">
        <v>20.35</v>
      </c>
    </row>
    <row r="2167">
      <c r="A2167" s="544" t="n">
        <v>32241</v>
      </c>
      <c r="B2167" s="538" t="n">
        <v>15.55</v>
      </c>
      <c r="C2167" s="538" t="n">
        <v>16.87</v>
      </c>
      <c r="D2167" s="637" t="n"/>
      <c r="E2167" s="538" t="n">
        <v>20.3</v>
      </c>
    </row>
    <row r="2168">
      <c r="A2168" s="544" t="n">
        <v>32244</v>
      </c>
      <c r="B2168" s="538" t="n">
        <v>16.2</v>
      </c>
      <c r="C2168" s="538" t="n">
        <v>17.87</v>
      </c>
      <c r="D2168" s="637" t="n"/>
      <c r="E2168" s="538" t="n">
        <v>20.65</v>
      </c>
    </row>
    <row r="2169">
      <c r="A2169" s="544" t="n">
        <v>32245</v>
      </c>
      <c r="B2169" s="538" t="n">
        <v>16.48</v>
      </c>
      <c r="C2169" s="538" t="n">
        <v>18.06</v>
      </c>
      <c r="D2169" s="637" t="n"/>
      <c r="E2169" s="538" t="n">
        <v>20.9</v>
      </c>
    </row>
    <row r="2170">
      <c r="A2170" s="544" t="n">
        <v>32246</v>
      </c>
      <c r="B2170" s="538" t="n">
        <v>16.55</v>
      </c>
      <c r="C2170" s="538" t="n">
        <v>18.12</v>
      </c>
      <c r="D2170" s="637" t="n"/>
      <c r="E2170" s="538" t="n">
        <v>21.15</v>
      </c>
    </row>
    <row r="2171">
      <c r="A2171" s="544" t="n">
        <v>32247</v>
      </c>
      <c r="B2171" s="538" t="n">
        <v>16.65</v>
      </c>
      <c r="C2171" s="538" t="n">
        <v>18.4</v>
      </c>
      <c r="D2171" s="637" t="n"/>
      <c r="E2171" s="538" t="n">
        <v>21.3</v>
      </c>
    </row>
    <row r="2172">
      <c r="A2172" s="544" t="n">
        <v>32248</v>
      </c>
      <c r="B2172" s="538" t="n">
        <v>16.85</v>
      </c>
      <c r="C2172" s="538" t="n">
        <v>18.32</v>
      </c>
      <c r="D2172" s="637" t="n"/>
      <c r="E2172" s="538" t="n">
        <v>21.35</v>
      </c>
    </row>
    <row r="2173">
      <c r="A2173" s="544" t="n">
        <v>32251</v>
      </c>
      <c r="B2173" s="538" t="n">
        <v>17.45</v>
      </c>
      <c r="C2173" s="538" t="n">
        <v>18.5</v>
      </c>
      <c r="D2173" s="637" t="n"/>
      <c r="E2173" s="538" t="n">
        <v>21.35</v>
      </c>
    </row>
    <row r="2174">
      <c r="A2174" s="544" t="n">
        <v>32252</v>
      </c>
      <c r="B2174" s="538" t="n">
        <v>17.05</v>
      </c>
      <c r="C2174" s="538" t="n">
        <v>17.92</v>
      </c>
      <c r="D2174" s="637" t="n"/>
      <c r="E2174" s="538" t="n">
        <v>21.6</v>
      </c>
    </row>
    <row r="2175">
      <c r="A2175" s="544" t="n">
        <v>32253</v>
      </c>
      <c r="B2175" s="538" t="n">
        <v>16.78</v>
      </c>
      <c r="C2175" s="538" t="n">
        <v>17.93</v>
      </c>
      <c r="D2175" s="637" t="n"/>
      <c r="E2175" s="538" t="n">
        <v>21.6</v>
      </c>
    </row>
    <row r="2176">
      <c r="A2176" s="544" t="n">
        <v>32254</v>
      </c>
      <c r="B2176" s="538" t="n">
        <v>17</v>
      </c>
      <c r="C2176" s="538" t="n">
        <v>18.34</v>
      </c>
      <c r="D2176" s="637" t="n"/>
      <c r="E2176" s="538" t="n">
        <v>21.45</v>
      </c>
    </row>
    <row r="2177">
      <c r="A2177" s="544" t="n">
        <v>32255</v>
      </c>
      <c r="B2177" s="538" t="n">
        <v>17.15</v>
      </c>
      <c r="C2177" s="538" t="n">
        <v>18.13</v>
      </c>
      <c r="D2177" s="637" t="n"/>
      <c r="E2177" s="538" t="n">
        <v>21.55</v>
      </c>
    </row>
    <row r="2178">
      <c r="A2178" s="544" t="n">
        <v>32258</v>
      </c>
      <c r="B2178" s="538" t="n">
        <v>17.13</v>
      </c>
      <c r="C2178" s="538" t="n">
        <v>18.36</v>
      </c>
      <c r="D2178" s="637" t="n"/>
      <c r="E2178" s="538" t="n">
        <v>21.55</v>
      </c>
    </row>
    <row r="2179">
      <c r="A2179" s="544" t="n">
        <v>32259</v>
      </c>
      <c r="B2179" s="538" t="n">
        <v>17.18</v>
      </c>
      <c r="C2179" s="538" t="n">
        <v>18.54</v>
      </c>
      <c r="D2179" s="637" t="n"/>
      <c r="E2179" s="538" t="n">
        <v>21.55</v>
      </c>
    </row>
    <row r="2180">
      <c r="A2180" s="544" t="n">
        <v>32260</v>
      </c>
      <c r="B2180" s="538" t="n">
        <v>17.4</v>
      </c>
      <c r="C2180" s="538" t="n">
        <v>18.32</v>
      </c>
      <c r="D2180" s="637" t="n"/>
      <c r="E2180" s="538" t="n">
        <v>21.4</v>
      </c>
    </row>
    <row r="2181">
      <c r="A2181" s="544" t="n">
        <v>32261</v>
      </c>
      <c r="B2181" s="538" t="n">
        <v>16.88</v>
      </c>
      <c r="C2181" s="538" t="n">
        <v>17.91</v>
      </c>
      <c r="D2181" s="637" t="n"/>
      <c r="E2181" s="538" t="n">
        <v>21.4</v>
      </c>
    </row>
    <row r="2182">
      <c r="A2182" s="544" t="n">
        <v>32262</v>
      </c>
      <c r="B2182" s="538" t="n">
        <v>16.6</v>
      </c>
      <c r="C2182" s="538" t="n">
        <v>18.1</v>
      </c>
      <c r="D2182" s="637" t="n"/>
      <c r="E2182" s="538" t="n">
        <v>21.2</v>
      </c>
    </row>
    <row r="2183">
      <c r="A2183" s="544" t="n">
        <v>32265</v>
      </c>
      <c r="B2183" s="538" t="n">
        <v>15.95</v>
      </c>
      <c r="C2183" s="538" t="n">
        <v>17.12</v>
      </c>
      <c r="D2183" s="637" t="n"/>
      <c r="E2183" s="538" t="n">
        <v>21.2</v>
      </c>
    </row>
    <row r="2184">
      <c r="A2184" s="544" t="n">
        <v>32266</v>
      </c>
      <c r="B2184" s="538" t="n">
        <v>16.08</v>
      </c>
      <c r="C2184" s="538" t="n">
        <v>17.3</v>
      </c>
      <c r="D2184" s="637" t="n"/>
      <c r="E2184" s="538" t="n">
        <v>20.65</v>
      </c>
    </row>
    <row r="2185">
      <c r="A2185" s="544" t="n">
        <v>32267</v>
      </c>
      <c r="B2185" s="538" t="n">
        <v>16.15</v>
      </c>
      <c r="C2185" s="538" t="n">
        <v>17.23</v>
      </c>
      <c r="D2185" s="637" t="n"/>
      <c r="E2185" s="538" t="n">
        <v>20.65</v>
      </c>
    </row>
    <row r="2186">
      <c r="A2186" s="544" t="n">
        <v>32268</v>
      </c>
      <c r="B2186" s="538" t="n">
        <v>16.15</v>
      </c>
      <c r="C2186" s="538" t="n">
        <v>17.41</v>
      </c>
      <c r="D2186" s="637" t="n"/>
      <c r="E2186" s="538" t="n">
        <v>20.7</v>
      </c>
    </row>
    <row r="2187">
      <c r="A2187" s="544" t="n">
        <v>32269</v>
      </c>
      <c r="B2187" s="538" t="n">
        <v>16.45</v>
      </c>
      <c r="C2187" s="538" t="n">
        <v>17.63</v>
      </c>
      <c r="D2187" s="637" t="n"/>
      <c r="E2187" s="538" t="n">
        <v>20.7</v>
      </c>
    </row>
    <row r="2188">
      <c r="A2188" s="544" t="n">
        <v>32272</v>
      </c>
      <c r="B2188" s="538" t="n">
        <v>16.5</v>
      </c>
      <c r="C2188" s="538" t="n">
        <v>17.56</v>
      </c>
      <c r="D2188" s="637" t="n"/>
      <c r="E2188" s="538" t="n">
        <v>20.7</v>
      </c>
    </row>
    <row r="2189">
      <c r="A2189" s="544" t="n">
        <v>32273</v>
      </c>
      <c r="B2189" s="538" t="n">
        <v>16.38</v>
      </c>
      <c r="C2189" s="538" t="n">
        <v>17.5</v>
      </c>
      <c r="D2189" s="637" t="n"/>
      <c r="E2189" s="538" t="n">
        <v>20.7</v>
      </c>
    </row>
    <row r="2190">
      <c r="A2190" s="544" t="n">
        <v>32274</v>
      </c>
      <c r="B2190" s="538" t="n">
        <v>16.48</v>
      </c>
      <c r="C2190" s="538" t="n">
        <v>17.48</v>
      </c>
      <c r="D2190" s="637" t="n"/>
      <c r="E2190" s="538" t="n">
        <v>20.9</v>
      </c>
    </row>
    <row r="2191">
      <c r="A2191" s="544" t="n">
        <v>32275</v>
      </c>
      <c r="B2191" s="538" t="n">
        <v>16.4</v>
      </c>
      <c r="C2191" s="538" t="n">
        <v>17.49</v>
      </c>
      <c r="D2191" s="637" t="n"/>
      <c r="E2191" s="538" t="n">
        <v>21</v>
      </c>
    </row>
    <row r="2192">
      <c r="A2192" s="544" t="n">
        <v>32276</v>
      </c>
      <c r="B2192" s="538" t="n">
        <v>16.5</v>
      </c>
      <c r="C2192" s="538" t="n">
        <v>17.53</v>
      </c>
      <c r="D2192" s="637" t="n"/>
      <c r="E2192" s="538" t="n">
        <v>21.05</v>
      </c>
    </row>
    <row r="2193">
      <c r="A2193" s="544" t="n">
        <v>32279</v>
      </c>
      <c r="B2193" s="538" t="n">
        <v>16.6</v>
      </c>
      <c r="C2193" s="538" t="n">
        <v>17.7</v>
      </c>
      <c r="D2193" s="637" t="n"/>
      <c r="E2193" s="538" t="n">
        <v>21.15</v>
      </c>
    </row>
    <row r="2194">
      <c r="A2194" s="544" t="n">
        <v>32280</v>
      </c>
      <c r="B2194" s="538" t="n">
        <v>16.6</v>
      </c>
      <c r="C2194" s="538" t="n">
        <v>17.72</v>
      </c>
      <c r="D2194" s="637" t="n"/>
      <c r="E2194" s="538" t="n">
        <v>21.15</v>
      </c>
    </row>
    <row r="2195">
      <c r="A2195" s="544" t="n">
        <v>32281</v>
      </c>
      <c r="B2195" s="538" t="n">
        <v>16.4</v>
      </c>
      <c r="C2195" s="538" t="n">
        <v>17.39</v>
      </c>
      <c r="D2195" s="637" t="n"/>
      <c r="E2195" s="538" t="n">
        <v>21.15</v>
      </c>
    </row>
    <row r="2196">
      <c r="A2196" s="544" t="n">
        <v>32282</v>
      </c>
      <c r="B2196" s="538" t="n">
        <v>16.25</v>
      </c>
      <c r="C2196" s="538" t="n">
        <v>17.43</v>
      </c>
      <c r="D2196" s="637" t="n"/>
      <c r="E2196" s="538" t="n">
        <v>21.15</v>
      </c>
    </row>
    <row r="2197">
      <c r="A2197" s="544" t="n">
        <v>32283</v>
      </c>
      <c r="B2197" s="538" t="n">
        <v>16.45</v>
      </c>
      <c r="C2197" s="538" t="n">
        <v>17.41</v>
      </c>
      <c r="D2197" s="637" t="n"/>
      <c r="E2197" s="538" t="n">
        <v>21.15</v>
      </c>
    </row>
    <row r="2198">
      <c r="A2198" s="544" t="n">
        <v>32286</v>
      </c>
      <c r="B2198" s="538" t="n">
        <v>16.23</v>
      </c>
      <c r="C2198" s="538" t="n">
        <v>17.01</v>
      </c>
      <c r="D2198" s="637" t="n"/>
      <c r="E2198" s="538" t="n">
        <v>21.15</v>
      </c>
    </row>
    <row r="2199">
      <c r="A2199" s="544" t="n">
        <v>32287</v>
      </c>
      <c r="B2199" s="538" t="n">
        <v>16.3</v>
      </c>
      <c r="C2199" s="538" t="n">
        <v>17.04</v>
      </c>
      <c r="D2199" s="637" t="n"/>
      <c r="E2199" s="538" t="n">
        <v>21.15</v>
      </c>
    </row>
    <row r="2200">
      <c r="A2200" s="544" t="n">
        <v>32288</v>
      </c>
      <c r="B2200" s="538" t="n">
        <v>16.18</v>
      </c>
      <c r="C2200" s="538" t="n">
        <v>17.39</v>
      </c>
      <c r="D2200" s="637" t="n"/>
      <c r="E2200" s="538" t="n">
        <v>21.25</v>
      </c>
    </row>
    <row r="2201">
      <c r="A2201" s="544" t="n">
        <v>32289</v>
      </c>
      <c r="B2201" s="538" t="n">
        <v>16.18</v>
      </c>
      <c r="C2201" s="538" t="n">
        <v>17.54</v>
      </c>
      <c r="D2201" s="637" t="n"/>
      <c r="E2201" s="538" t="n">
        <v>21.25</v>
      </c>
    </row>
    <row r="2202">
      <c r="A2202" s="544" t="n">
        <v>32290</v>
      </c>
      <c r="B2202" s="538" t="n">
        <v>16.25</v>
      </c>
      <c r="C2202" s="538" t="n">
        <v>17.45</v>
      </c>
      <c r="D2202" s="637" t="n"/>
      <c r="E2202" s="538" t="n">
        <v>21.25</v>
      </c>
    </row>
    <row r="2203">
      <c r="A2203" s="544" t="n">
        <v>32293</v>
      </c>
      <c r="B2203" s="538" t="n">
        <v>16.23</v>
      </c>
      <c r="C2203" s="538" t="n">
        <v>17.45</v>
      </c>
      <c r="D2203" s="637" t="n"/>
      <c r="E2203" s="538" t="n">
        <v>21.25</v>
      </c>
    </row>
    <row r="2204">
      <c r="A2204" s="544" t="n">
        <v>32294</v>
      </c>
      <c r="B2204" s="538" t="n">
        <v>16.2</v>
      </c>
      <c r="C2204" s="538" t="n">
        <v>17.54</v>
      </c>
      <c r="D2204" s="637" t="n"/>
      <c r="E2204" s="538" t="n">
        <v>21.25</v>
      </c>
    </row>
    <row r="2205">
      <c r="A2205" s="544" t="n">
        <v>32295</v>
      </c>
      <c r="B2205" s="538" t="n">
        <v>16.33</v>
      </c>
      <c r="C2205" s="538" t="n">
        <v>17.6</v>
      </c>
      <c r="D2205" s="637" t="n"/>
      <c r="E2205" s="538" t="n">
        <v>21.25</v>
      </c>
    </row>
    <row r="2206">
      <c r="A2206" s="544" t="n">
        <v>32296</v>
      </c>
      <c r="B2206" s="538" t="n">
        <v>16.33</v>
      </c>
      <c r="C2206" s="538" t="n">
        <v>17.67</v>
      </c>
      <c r="D2206" s="637" t="n"/>
      <c r="E2206" s="538" t="n">
        <v>21.25</v>
      </c>
    </row>
    <row r="2207">
      <c r="A2207" s="544" t="n">
        <v>32297</v>
      </c>
      <c r="B2207" s="538" t="n">
        <v>16.45</v>
      </c>
      <c r="C2207" s="538" t="n">
        <v>17.51</v>
      </c>
      <c r="D2207" s="637" t="n"/>
      <c r="E2207" s="538" t="n">
        <v>21.4</v>
      </c>
    </row>
    <row r="2208">
      <c r="A2208" s="544" t="n">
        <v>32300</v>
      </c>
      <c r="B2208" s="538" t="n">
        <v>16.25</v>
      </c>
      <c r="C2208" s="538" t="n">
        <v>17.28</v>
      </c>
      <c r="D2208" s="637" t="n"/>
      <c r="E2208" s="538" t="n">
        <v>21.4</v>
      </c>
    </row>
    <row r="2209">
      <c r="A2209" s="544" t="n">
        <v>32301</v>
      </c>
      <c r="B2209" s="538" t="n">
        <v>16.23</v>
      </c>
      <c r="C2209" s="538" t="n">
        <v>17.32</v>
      </c>
      <c r="D2209" s="637" t="n"/>
      <c r="E2209" s="538" t="n">
        <v>21.4</v>
      </c>
    </row>
    <row r="2210">
      <c r="A2210" s="544" t="n">
        <v>32302</v>
      </c>
      <c r="B2210" s="538" t="n">
        <v>16.28</v>
      </c>
      <c r="C2210" s="538" t="n">
        <v>17.35</v>
      </c>
      <c r="D2210" s="637" t="n"/>
      <c r="E2210" s="538" t="n">
        <v>21.2</v>
      </c>
    </row>
    <row r="2211">
      <c r="A2211" s="544" t="n">
        <v>32303</v>
      </c>
      <c r="B2211" s="538" t="n">
        <v>16.3</v>
      </c>
      <c r="C2211" s="538" t="n">
        <v>17.09</v>
      </c>
      <c r="D2211" s="637" t="n"/>
      <c r="E2211" s="538" t="n">
        <v>20.85</v>
      </c>
    </row>
    <row r="2212">
      <c r="A2212" s="544" t="n">
        <v>32304</v>
      </c>
      <c r="B2212" s="538" t="n">
        <v>15.85</v>
      </c>
      <c r="C2212" s="538" t="n">
        <v>16.7</v>
      </c>
      <c r="D2212" s="637" t="n"/>
      <c r="E2212" s="538" t="n">
        <v>20.75</v>
      </c>
    </row>
    <row r="2213">
      <c r="A2213" s="544" t="n">
        <v>32307</v>
      </c>
      <c r="B2213" s="538" t="n">
        <v>15.53</v>
      </c>
      <c r="C2213" s="538" t="n">
        <v>16.43</v>
      </c>
      <c r="D2213" s="637" t="n"/>
      <c r="E2213" s="538" t="n">
        <v>20.2</v>
      </c>
    </row>
    <row r="2214">
      <c r="A2214" s="544" t="n">
        <v>32308</v>
      </c>
      <c r="B2214" s="538" t="n">
        <v>15.85</v>
      </c>
      <c r="C2214" s="538" t="n">
        <v>16.85</v>
      </c>
      <c r="D2214" s="637" t="n"/>
      <c r="E2214" s="538" t="n">
        <v>20.05</v>
      </c>
    </row>
    <row r="2215">
      <c r="A2215" s="544" t="n">
        <v>32309</v>
      </c>
      <c r="B2215" s="538" t="n">
        <v>15.7</v>
      </c>
      <c r="C2215" s="538" t="n">
        <v>16.56</v>
      </c>
      <c r="D2215" s="637" t="n"/>
      <c r="E2215" s="538" t="n">
        <v>19.7</v>
      </c>
    </row>
    <row r="2216">
      <c r="A2216" s="544" t="n">
        <v>32310</v>
      </c>
      <c r="B2216" s="538" t="n">
        <v>15.43</v>
      </c>
      <c r="C2216" s="538" t="n">
        <v>16.62</v>
      </c>
      <c r="D2216" s="637" t="n"/>
      <c r="E2216" s="538" t="n">
        <v>19.55</v>
      </c>
    </row>
    <row r="2217">
      <c r="A2217" s="544" t="n">
        <v>32311</v>
      </c>
      <c r="B2217" s="538" t="n">
        <v>15.48</v>
      </c>
      <c r="C2217" s="538" t="n">
        <v>16.43</v>
      </c>
      <c r="D2217" s="637" t="n"/>
      <c r="E2217" s="538" t="n">
        <v>19.35</v>
      </c>
    </row>
    <row r="2218">
      <c r="A2218" s="544" t="n">
        <v>32314</v>
      </c>
      <c r="B2218" s="538" t="n">
        <v>15</v>
      </c>
      <c r="C2218" s="538" t="n">
        <v>16.02</v>
      </c>
      <c r="D2218" s="637" t="n"/>
      <c r="E2218" s="538" t="n">
        <v>19.15</v>
      </c>
    </row>
    <row r="2219">
      <c r="A2219" s="544" t="n">
        <v>32315</v>
      </c>
      <c r="B2219" s="538" t="n">
        <v>15</v>
      </c>
      <c r="C2219" s="538" t="n">
        <v>15.82</v>
      </c>
      <c r="D2219" s="637" t="n"/>
      <c r="E2219" s="538" t="n">
        <v>18.65</v>
      </c>
    </row>
    <row r="2220">
      <c r="A2220" s="544" t="n">
        <v>32316</v>
      </c>
      <c r="B2220" s="538" t="n">
        <v>15.13</v>
      </c>
      <c r="C2220" s="538" t="n">
        <v>16.03</v>
      </c>
      <c r="D2220" s="637" t="n"/>
      <c r="E2220" s="538" t="n">
        <v>18.6</v>
      </c>
    </row>
    <row r="2221">
      <c r="A2221" s="544" t="n">
        <v>32317</v>
      </c>
      <c r="B2221" s="538" t="n">
        <v>15.18</v>
      </c>
      <c r="C2221" s="538" t="n">
        <v>15.86</v>
      </c>
      <c r="D2221" s="637" t="n"/>
      <c r="E2221" s="538" t="n">
        <v>18.45</v>
      </c>
    </row>
    <row r="2222">
      <c r="A2222" s="544" t="n">
        <v>32318</v>
      </c>
      <c r="B2222" s="538" t="n">
        <v>15.15</v>
      </c>
      <c r="C2222" s="538" t="n">
        <v>16.03</v>
      </c>
      <c r="D2222" s="637" t="n"/>
      <c r="E2222" s="538" t="n">
        <v>18.05</v>
      </c>
    </row>
    <row r="2223">
      <c r="A2223" s="544" t="n">
        <v>32321</v>
      </c>
      <c r="B2223" s="538" t="n">
        <v>14.93</v>
      </c>
      <c r="C2223" s="538" t="n">
        <v>15.86</v>
      </c>
      <c r="D2223" s="637" t="n"/>
      <c r="E2223" s="538" t="n">
        <v>18.05</v>
      </c>
    </row>
    <row r="2224">
      <c r="A2224" s="544" t="n">
        <v>32322</v>
      </c>
      <c r="B2224" s="538" t="n">
        <v>14.83</v>
      </c>
      <c r="C2224" s="538" t="n">
        <v>16.01</v>
      </c>
      <c r="D2224" s="637" t="n"/>
      <c r="E2224" s="538" t="n">
        <v>18</v>
      </c>
    </row>
    <row r="2225">
      <c r="A2225" s="544" t="n">
        <v>32323</v>
      </c>
      <c r="B2225" s="538" t="n">
        <v>14.55</v>
      </c>
      <c r="C2225" s="538" t="n">
        <v>15.37</v>
      </c>
      <c r="D2225" s="637" t="n"/>
      <c r="E2225" s="538" t="n">
        <v>17.65</v>
      </c>
    </row>
    <row r="2226">
      <c r="A2226" s="544" t="n">
        <v>32324</v>
      </c>
      <c r="B2226" s="538" t="n">
        <v>14.18</v>
      </c>
      <c r="C2226" s="538" t="n">
        <v>15.2</v>
      </c>
      <c r="D2226" s="637" t="n"/>
      <c r="E2226" s="538" t="n">
        <v>17.4</v>
      </c>
    </row>
    <row r="2227">
      <c r="A2227" s="544" t="n">
        <v>32325</v>
      </c>
      <c r="B2227" s="538" t="n">
        <v>13.95</v>
      </c>
      <c r="C2227" s="538" t="n">
        <v>14.92</v>
      </c>
      <c r="D2227" s="637" t="n"/>
      <c r="E2227" s="538" t="n">
        <v>17.4</v>
      </c>
    </row>
    <row r="2228">
      <c r="A2228" s="544" t="n">
        <v>32328</v>
      </c>
      <c r="B2228" s="538" t="n">
        <v>14.05</v>
      </c>
      <c r="C2228" s="538" t="n">
        <v>14.92</v>
      </c>
      <c r="D2228" s="637" t="n"/>
      <c r="E2228" s="538" t="n">
        <v>17.25</v>
      </c>
    </row>
    <row r="2229">
      <c r="A2229" s="544" t="n">
        <v>32329</v>
      </c>
      <c r="B2229" s="538" t="n">
        <v>13.98</v>
      </c>
      <c r="C2229" s="538" t="n">
        <v>15.11</v>
      </c>
      <c r="D2229" s="637" t="n"/>
      <c r="E2229" s="538" t="n">
        <v>17.25</v>
      </c>
    </row>
    <row r="2230">
      <c r="A2230" s="544" t="n">
        <v>32330</v>
      </c>
      <c r="B2230" s="538" t="n">
        <v>14.5</v>
      </c>
      <c r="C2230" s="538" t="n">
        <v>15.44</v>
      </c>
      <c r="D2230" s="637" t="n"/>
      <c r="E2230" s="538" t="n">
        <v>17.45</v>
      </c>
    </row>
    <row r="2231">
      <c r="A2231" s="544" t="n">
        <v>32331</v>
      </c>
      <c r="B2231" s="538" t="n">
        <v>15.5</v>
      </c>
      <c r="C2231" s="538" t="n">
        <v>15.83</v>
      </c>
      <c r="D2231" s="637" t="n"/>
      <c r="E2231" s="538" t="n">
        <v>17.5</v>
      </c>
    </row>
    <row r="2232">
      <c r="A2232" s="544" t="n">
        <v>32332</v>
      </c>
      <c r="B2232" s="538" t="n">
        <v>15.05</v>
      </c>
      <c r="C2232" s="538" t="n">
        <v>15.42</v>
      </c>
      <c r="D2232" s="637" t="n"/>
      <c r="E2232" s="538" t="n">
        <v>17.85</v>
      </c>
    </row>
    <row r="2233">
      <c r="A2233" s="544" t="n">
        <v>32335</v>
      </c>
      <c r="B2233" s="538" t="n">
        <v>14.63</v>
      </c>
      <c r="C2233" s="538" t="n">
        <v>14.56</v>
      </c>
      <c r="D2233" s="637" t="n"/>
      <c r="E2233" s="538" t="n">
        <v>17.7</v>
      </c>
    </row>
    <row r="2234">
      <c r="A2234" s="544" t="n">
        <v>32336</v>
      </c>
      <c r="B2234" s="538" t="n">
        <v>14</v>
      </c>
      <c r="C2234" s="538" t="n">
        <v>14.61</v>
      </c>
      <c r="D2234" s="637" t="n"/>
      <c r="E2234" s="538" t="n">
        <v>17.7</v>
      </c>
    </row>
    <row r="2235">
      <c r="A2235" s="544" t="n">
        <v>32337</v>
      </c>
      <c r="B2235" s="538" t="n">
        <v>14.1</v>
      </c>
      <c r="C2235" s="538" t="n">
        <v>14.35</v>
      </c>
      <c r="D2235" s="637" t="n"/>
      <c r="E2235" s="538" t="n">
        <v>17.45</v>
      </c>
    </row>
    <row r="2236">
      <c r="A2236" s="544" t="n">
        <v>32338</v>
      </c>
      <c r="B2236" s="538" t="n">
        <v>14.1</v>
      </c>
      <c r="C2236" s="538" t="n">
        <v>14.84</v>
      </c>
      <c r="D2236" s="637" t="n"/>
      <c r="E2236" s="538" t="n">
        <v>17.25</v>
      </c>
    </row>
    <row r="2237">
      <c r="A2237" s="544" t="n">
        <v>32339</v>
      </c>
      <c r="B2237" s="538" t="n">
        <v>14.25</v>
      </c>
      <c r="C2237" s="538" t="n">
        <v>14.85</v>
      </c>
      <c r="D2237" s="637" t="n"/>
      <c r="E2237" s="538" t="n">
        <v>17.4</v>
      </c>
    </row>
    <row r="2238">
      <c r="A2238" s="544" t="n">
        <v>32342</v>
      </c>
      <c r="B2238" s="538" t="n">
        <v>15</v>
      </c>
      <c r="C2238" s="538" t="n">
        <v>15.84</v>
      </c>
      <c r="D2238" s="637" t="n"/>
      <c r="E2238" s="538" t="n">
        <v>17.4</v>
      </c>
    </row>
    <row r="2239">
      <c r="A2239" s="544" t="n">
        <v>32343</v>
      </c>
      <c r="B2239" s="538" t="n">
        <v>14.93</v>
      </c>
      <c r="C2239" s="538" t="n">
        <v>15.16</v>
      </c>
      <c r="D2239" s="637" t="n"/>
      <c r="E2239" s="538" t="n">
        <v>17.8</v>
      </c>
    </row>
    <row r="2240">
      <c r="A2240" s="544" t="n">
        <v>32344</v>
      </c>
      <c r="B2240" s="538" t="n">
        <v>15.48</v>
      </c>
      <c r="C2240" s="538" t="n">
        <v>15.76</v>
      </c>
      <c r="D2240" s="637" t="n"/>
      <c r="E2240" s="538" t="n">
        <v>17.8</v>
      </c>
    </row>
    <row r="2241">
      <c r="A2241" s="544" t="n">
        <v>32345</v>
      </c>
      <c r="B2241" s="538" t="n">
        <v>15.63</v>
      </c>
      <c r="C2241" s="538" t="n">
        <v>16.28</v>
      </c>
      <c r="D2241" s="637" t="n"/>
      <c r="E2241" s="538" t="n">
        <v>18</v>
      </c>
    </row>
    <row r="2242">
      <c r="A2242" s="544" t="n">
        <v>32346</v>
      </c>
      <c r="B2242" s="538" t="n">
        <v>15.83</v>
      </c>
      <c r="C2242" s="538" t="n">
        <v>16.27</v>
      </c>
      <c r="D2242" s="637" t="n"/>
      <c r="E2242" s="538" t="n">
        <v>18.05</v>
      </c>
    </row>
    <row r="2243">
      <c r="A2243" s="544" t="n">
        <v>32349</v>
      </c>
      <c r="B2243" s="538" t="n">
        <v>15.8</v>
      </c>
      <c r="C2243" s="538" t="n">
        <v>16.09</v>
      </c>
      <c r="D2243" s="637" t="n"/>
      <c r="E2243" s="538" t="n">
        <v>18.05</v>
      </c>
    </row>
    <row r="2244">
      <c r="A2244" s="544" t="n">
        <v>32350</v>
      </c>
      <c r="B2244" s="538" t="n">
        <v>15.38</v>
      </c>
      <c r="C2244" s="538" t="n">
        <v>15.99</v>
      </c>
      <c r="D2244" s="637" t="n"/>
      <c r="E2244" s="538" t="n">
        <v>18.05</v>
      </c>
    </row>
    <row r="2245">
      <c r="A2245" s="544" t="n">
        <v>32351</v>
      </c>
      <c r="B2245" s="538" t="n">
        <v>15.45</v>
      </c>
      <c r="C2245" s="538" t="n">
        <v>16.18</v>
      </c>
      <c r="D2245" s="637" t="n"/>
      <c r="E2245" s="538" t="n">
        <v>18.15</v>
      </c>
    </row>
    <row r="2246">
      <c r="A2246" s="544" t="n">
        <v>32352</v>
      </c>
      <c r="B2246" s="538" t="n">
        <v>15.7</v>
      </c>
      <c r="C2246" s="538" t="n">
        <v>16.08</v>
      </c>
      <c r="D2246" s="637" t="n"/>
      <c r="E2246" s="538" t="n">
        <v>18.15</v>
      </c>
    </row>
    <row r="2247">
      <c r="A2247" s="544" t="n">
        <v>32353</v>
      </c>
      <c r="B2247" s="538" t="n">
        <v>15.75</v>
      </c>
      <c r="C2247" s="538" t="n">
        <v>16.37</v>
      </c>
      <c r="D2247" s="637" t="n"/>
      <c r="E2247" s="538" t="n">
        <v>18.15</v>
      </c>
    </row>
    <row r="2248">
      <c r="A2248" s="544" t="n">
        <v>32356</v>
      </c>
      <c r="B2248" s="538" t="n">
        <v>15.6</v>
      </c>
      <c r="C2248" s="538" t="n">
        <v>16.07</v>
      </c>
      <c r="D2248" s="637" t="n"/>
      <c r="E2248" s="538" t="n">
        <v>18.15</v>
      </c>
    </row>
    <row r="2249">
      <c r="A2249" s="544" t="n">
        <v>32357</v>
      </c>
      <c r="B2249" s="538" t="n">
        <v>15.35</v>
      </c>
      <c r="C2249" s="538" t="n">
        <v>15.57</v>
      </c>
      <c r="D2249" s="637" t="n"/>
      <c r="E2249" s="538" t="n">
        <v>18.25</v>
      </c>
    </row>
    <row r="2250">
      <c r="A2250" s="544" t="n">
        <v>32358</v>
      </c>
      <c r="B2250" s="538" t="n">
        <v>15</v>
      </c>
      <c r="C2250" s="538" t="n">
        <v>15.2</v>
      </c>
      <c r="D2250" s="637" t="n"/>
      <c r="E2250" s="538" t="n">
        <v>18.25</v>
      </c>
    </row>
    <row r="2251">
      <c r="A2251" s="544" t="n">
        <v>32359</v>
      </c>
      <c r="B2251" s="538" t="n">
        <v>14.5</v>
      </c>
      <c r="C2251" s="538" t="n">
        <v>15.12</v>
      </c>
      <c r="D2251" s="637" t="n"/>
      <c r="E2251" s="538" t="n">
        <v>18.05</v>
      </c>
    </row>
    <row r="2252">
      <c r="A2252" s="544" t="n">
        <v>32360</v>
      </c>
      <c r="B2252" s="538" t="n">
        <v>14.85</v>
      </c>
      <c r="C2252" s="538" t="n">
        <v>15.31</v>
      </c>
      <c r="D2252" s="637" t="n"/>
      <c r="E2252" s="538" t="n">
        <v>17.75</v>
      </c>
    </row>
    <row r="2253">
      <c r="A2253" s="544" t="n">
        <v>32363</v>
      </c>
      <c r="B2253" s="538" t="n">
        <v>15.48</v>
      </c>
      <c r="C2253" s="538" t="n">
        <v>15.84</v>
      </c>
      <c r="D2253" s="637" t="n"/>
      <c r="E2253" s="538" t="n">
        <v>18</v>
      </c>
    </row>
    <row r="2254">
      <c r="A2254" s="544" t="n">
        <v>32364</v>
      </c>
      <c r="B2254" s="538" t="n">
        <v>15.4</v>
      </c>
      <c r="C2254" s="538" t="n">
        <v>15.56</v>
      </c>
      <c r="D2254" s="637" t="n"/>
      <c r="E2254" s="538" t="n">
        <v>18</v>
      </c>
    </row>
    <row r="2255">
      <c r="A2255" s="544" t="n">
        <v>32365</v>
      </c>
      <c r="B2255" s="538" t="n">
        <v>15.1</v>
      </c>
      <c r="C2255" s="538" t="n">
        <v>15.65</v>
      </c>
      <c r="D2255" s="637" t="n"/>
      <c r="E2255" s="538" t="n">
        <v>18</v>
      </c>
    </row>
    <row r="2256">
      <c r="A2256" s="544" t="n">
        <v>32366</v>
      </c>
      <c r="B2256" s="538" t="n">
        <v>15.13</v>
      </c>
      <c r="C2256" s="538" t="n">
        <v>15.75</v>
      </c>
      <c r="D2256" s="637" t="n"/>
      <c r="E2256" s="538" t="n">
        <v>18.2</v>
      </c>
    </row>
    <row r="2257">
      <c r="A2257" s="544" t="n">
        <v>32367</v>
      </c>
      <c r="B2257" s="538" t="n">
        <v>14.98</v>
      </c>
      <c r="C2257" s="538" t="n">
        <v>15.54</v>
      </c>
      <c r="D2257" s="637" t="n"/>
      <c r="E2257" s="538" t="n">
        <v>18.35</v>
      </c>
    </row>
    <row r="2258">
      <c r="A2258" s="544" t="n">
        <v>32370</v>
      </c>
      <c r="B2258" s="538" t="n">
        <v>14.8</v>
      </c>
      <c r="C2258" s="538" t="n">
        <v>15.59</v>
      </c>
      <c r="D2258" s="637" t="n"/>
      <c r="E2258" s="538" t="n">
        <v>18.35</v>
      </c>
    </row>
    <row r="2259">
      <c r="A2259" s="544" t="n">
        <v>32371</v>
      </c>
      <c r="B2259" s="538" t="n">
        <v>14.85</v>
      </c>
      <c r="C2259" s="538" t="n">
        <v>15.51</v>
      </c>
      <c r="D2259" s="637" t="n"/>
      <c r="E2259" s="538" t="n">
        <v>18.35</v>
      </c>
    </row>
    <row r="2260">
      <c r="A2260" s="544" t="n">
        <v>32372</v>
      </c>
      <c r="B2260" s="538" t="n">
        <v>14.75</v>
      </c>
      <c r="C2260" s="538" t="n">
        <v>15.46</v>
      </c>
      <c r="D2260" s="637" t="n"/>
      <c r="E2260" s="538" t="n">
        <v>18.5</v>
      </c>
    </row>
    <row r="2261">
      <c r="A2261" s="544" t="n">
        <v>32373</v>
      </c>
      <c r="B2261" s="538" t="n">
        <v>14.78</v>
      </c>
      <c r="C2261" s="538" t="n">
        <v>15.59</v>
      </c>
      <c r="D2261" s="637" t="n"/>
      <c r="E2261" s="538" t="n">
        <v>18.6</v>
      </c>
    </row>
    <row r="2262">
      <c r="A2262" s="544" t="n">
        <v>32374</v>
      </c>
      <c r="B2262" s="538" t="n">
        <v>14.85</v>
      </c>
      <c r="C2262" s="538" t="n">
        <v>15.77</v>
      </c>
      <c r="D2262" s="637" t="n"/>
      <c r="E2262" s="538" t="n">
        <v>18.7</v>
      </c>
    </row>
    <row r="2263">
      <c r="A2263" s="544" t="n">
        <v>32377</v>
      </c>
      <c r="B2263" s="538" t="n">
        <v>15.03</v>
      </c>
      <c r="C2263" s="538" t="n">
        <v>15.75</v>
      </c>
      <c r="D2263" s="637" t="n"/>
      <c r="E2263" s="538" t="n">
        <v>18.7</v>
      </c>
    </row>
    <row r="2264">
      <c r="A2264" s="544" t="n">
        <v>32378</v>
      </c>
      <c r="B2264" s="538" t="n">
        <v>14.8</v>
      </c>
      <c r="C2264" s="538" t="n">
        <v>15.71</v>
      </c>
      <c r="D2264" s="637" t="n"/>
      <c r="E2264" s="538" t="n">
        <v>18.7</v>
      </c>
    </row>
    <row r="2265">
      <c r="A2265" s="544" t="n">
        <v>32379</v>
      </c>
      <c r="B2265" s="538" t="n">
        <v>14.85</v>
      </c>
      <c r="C2265" s="538" t="n">
        <v>15.55</v>
      </c>
      <c r="D2265" s="637" t="n"/>
      <c r="E2265" s="538" t="n">
        <v>18.65</v>
      </c>
    </row>
    <row r="2266">
      <c r="A2266" s="544" t="n">
        <v>32380</v>
      </c>
      <c r="B2266" s="538" t="n">
        <v>14.63</v>
      </c>
      <c r="C2266" s="538" t="n">
        <v>15.33</v>
      </c>
      <c r="D2266" s="637" t="n"/>
      <c r="E2266" s="538" t="n">
        <v>18.6</v>
      </c>
    </row>
    <row r="2267">
      <c r="A2267" s="544" t="n">
        <v>32381</v>
      </c>
      <c r="B2267" s="538" t="n">
        <v>14.5</v>
      </c>
      <c r="C2267" s="538" t="n">
        <v>15.35</v>
      </c>
      <c r="D2267" s="637" t="n"/>
      <c r="E2267" s="538" t="n">
        <v>18.55</v>
      </c>
    </row>
    <row r="2268">
      <c r="A2268" s="544" t="n">
        <v>32384</v>
      </c>
      <c r="B2268" s="538" t="n">
        <v>14.48</v>
      </c>
      <c r="C2268" s="538" t="n">
        <v>15.24</v>
      </c>
      <c r="D2268" s="637" t="n"/>
      <c r="E2268" s="538" t="n">
        <v>18.4</v>
      </c>
    </row>
    <row r="2269">
      <c r="A2269" s="544" t="n">
        <v>32385</v>
      </c>
      <c r="B2269" s="538" t="n">
        <v>14.45</v>
      </c>
      <c r="C2269" s="538" t="n">
        <v>15.39</v>
      </c>
      <c r="D2269" s="637" t="n"/>
      <c r="E2269" s="538" t="n">
        <v>18.35</v>
      </c>
    </row>
    <row r="2270">
      <c r="A2270" s="544" t="n">
        <v>32386</v>
      </c>
      <c r="B2270" s="538" t="n">
        <v>14.4</v>
      </c>
      <c r="C2270" s="538" t="n">
        <v>15.19</v>
      </c>
      <c r="D2270" s="637" t="n"/>
      <c r="E2270" s="538" t="n">
        <v>18.25</v>
      </c>
    </row>
    <row r="2271">
      <c r="A2271" s="544" t="n">
        <v>32387</v>
      </c>
      <c r="B2271" s="538" t="n">
        <v>14.15</v>
      </c>
      <c r="C2271" s="538" t="n">
        <v>15.05</v>
      </c>
      <c r="D2271" s="637" t="n"/>
      <c r="E2271" s="538" t="n">
        <v>18.2</v>
      </c>
    </row>
    <row r="2272">
      <c r="A2272" s="544" t="n">
        <v>32388</v>
      </c>
      <c r="B2272" s="538" t="n">
        <v>14</v>
      </c>
      <c r="C2272" s="538" t="n">
        <v>14.79</v>
      </c>
      <c r="D2272" s="637" t="n"/>
      <c r="E2272" s="538" t="n">
        <v>18.15</v>
      </c>
    </row>
    <row r="2273">
      <c r="A2273" s="544" t="n">
        <v>32391</v>
      </c>
      <c r="B2273" s="538" t="n">
        <v>13.68</v>
      </c>
      <c r="C2273" s="538" t="n">
        <v>14.79</v>
      </c>
      <c r="D2273" s="637" t="n"/>
      <c r="E2273" s="538" t="n">
        <v>17.85</v>
      </c>
    </row>
    <row r="2274">
      <c r="A2274" s="544" t="n">
        <v>32392</v>
      </c>
      <c r="B2274" s="538" t="n">
        <v>13.35</v>
      </c>
      <c r="C2274" s="538" t="n">
        <v>14.25</v>
      </c>
      <c r="D2274" s="637" t="n"/>
      <c r="E2274" s="538" t="n">
        <v>17.75</v>
      </c>
    </row>
    <row r="2275">
      <c r="A2275" s="544" t="n">
        <v>32393</v>
      </c>
      <c r="B2275" s="538" t="n">
        <v>13.18</v>
      </c>
      <c r="C2275" s="538" t="n">
        <v>14.29</v>
      </c>
      <c r="D2275" s="637" t="n"/>
      <c r="E2275" s="538" t="n">
        <v>17.5</v>
      </c>
    </row>
    <row r="2276">
      <c r="A2276" s="544" t="n">
        <v>32394</v>
      </c>
      <c r="B2276" s="538" t="n">
        <v>13.3</v>
      </c>
      <c r="C2276" s="538" t="n">
        <v>14.51</v>
      </c>
      <c r="D2276" s="637" t="n"/>
      <c r="E2276" s="538" t="n">
        <v>17.35</v>
      </c>
    </row>
    <row r="2277">
      <c r="A2277" s="544" t="n">
        <v>32395</v>
      </c>
      <c r="B2277" s="538" t="n">
        <v>13.25</v>
      </c>
      <c r="C2277" s="538" t="n">
        <v>14.14</v>
      </c>
      <c r="D2277" s="637" t="n"/>
      <c r="E2277" s="538" t="n">
        <v>17.2</v>
      </c>
    </row>
    <row r="2278">
      <c r="A2278" s="544" t="n">
        <v>32398</v>
      </c>
      <c r="B2278" s="538" t="n">
        <v>12.7</v>
      </c>
      <c r="C2278" s="538" t="n">
        <v>14.48</v>
      </c>
      <c r="D2278" s="637" t="n"/>
      <c r="E2278" s="538" t="n">
        <v>17</v>
      </c>
    </row>
    <row r="2279">
      <c r="A2279" s="544" t="n">
        <v>32399</v>
      </c>
      <c r="B2279" s="538" t="n">
        <v>13.4</v>
      </c>
      <c r="C2279" s="538" t="n">
        <v>14.55</v>
      </c>
      <c r="D2279" s="637" t="n"/>
      <c r="E2279" s="538" t="n">
        <v>16.85</v>
      </c>
    </row>
    <row r="2280">
      <c r="A2280" s="544" t="n">
        <v>32400</v>
      </c>
      <c r="B2280" s="538" t="n">
        <v>13.9</v>
      </c>
      <c r="C2280" s="538" t="n">
        <v>15.38</v>
      </c>
      <c r="D2280" s="637" t="n"/>
      <c r="E2280" s="538" t="n">
        <v>16.85</v>
      </c>
    </row>
    <row r="2281">
      <c r="A2281" s="544" t="n">
        <v>32401</v>
      </c>
      <c r="B2281" s="538" t="n">
        <v>13.5</v>
      </c>
      <c r="C2281" s="538" t="n">
        <v>14.86</v>
      </c>
      <c r="D2281" s="637" t="n"/>
      <c r="E2281" s="538" t="n">
        <v>16.95</v>
      </c>
    </row>
    <row r="2282">
      <c r="A2282" s="544" t="n">
        <v>32402</v>
      </c>
      <c r="B2282" s="538" t="n">
        <v>13.23</v>
      </c>
      <c r="C2282" s="538" t="n">
        <v>14.5</v>
      </c>
      <c r="D2282" s="637" t="n"/>
      <c r="E2282" s="538" t="n">
        <v>16.65</v>
      </c>
    </row>
    <row r="2283">
      <c r="A2283" s="544" t="n">
        <v>32405</v>
      </c>
      <c r="B2283" s="538" t="n">
        <v>12.85</v>
      </c>
      <c r="C2283" s="538" t="n">
        <v>14.72</v>
      </c>
      <c r="D2283" s="637" t="n"/>
      <c r="E2283" s="538" t="n">
        <v>16.65</v>
      </c>
    </row>
    <row r="2284">
      <c r="A2284" s="544" t="n">
        <v>32406</v>
      </c>
      <c r="B2284" s="538" t="n">
        <v>13.15</v>
      </c>
      <c r="C2284" s="538" t="n">
        <v>15.08</v>
      </c>
      <c r="D2284" s="637" t="n"/>
      <c r="E2284" s="538" t="n">
        <v>16.55</v>
      </c>
    </row>
    <row r="2285">
      <c r="A2285" s="544" t="n">
        <v>32407</v>
      </c>
      <c r="B2285" s="538" t="n">
        <v>13.05</v>
      </c>
      <c r="C2285" s="538" t="n">
        <v>15.19</v>
      </c>
      <c r="D2285" s="637" t="n"/>
      <c r="E2285" s="538" t="n">
        <v>16.55</v>
      </c>
    </row>
    <row r="2286">
      <c r="A2286" s="544" t="n">
        <v>32408</v>
      </c>
      <c r="B2286" s="538" t="n">
        <v>13.2</v>
      </c>
      <c r="C2286" s="538" t="n">
        <v>15.25</v>
      </c>
      <c r="D2286" s="637" t="n"/>
      <c r="E2286" s="538" t="n">
        <v>16.35</v>
      </c>
    </row>
    <row r="2287">
      <c r="A2287" s="544" t="n">
        <v>32409</v>
      </c>
      <c r="B2287" s="538" t="n">
        <v>13.2</v>
      </c>
      <c r="C2287" s="538" t="n">
        <v>14.26</v>
      </c>
      <c r="D2287" s="637" t="n"/>
      <c r="E2287" s="538" t="n">
        <v>16.35</v>
      </c>
    </row>
    <row r="2288">
      <c r="A2288" s="544" t="n">
        <v>32412</v>
      </c>
      <c r="B2288" s="538" t="n">
        <v>13.1</v>
      </c>
      <c r="C2288" s="538" t="n">
        <v>14.16</v>
      </c>
      <c r="D2288" s="637" t="n"/>
      <c r="E2288" s="538" t="n">
        <v>16.15</v>
      </c>
    </row>
    <row r="2289">
      <c r="A2289" s="544" t="n">
        <v>32413</v>
      </c>
      <c r="B2289" s="538" t="n">
        <v>12.58</v>
      </c>
      <c r="C2289" s="538" t="n">
        <v>14.22</v>
      </c>
      <c r="D2289" s="637" t="n"/>
      <c r="E2289" s="538" t="n">
        <v>16.05</v>
      </c>
    </row>
    <row r="2290">
      <c r="A2290" s="544" t="n">
        <v>32414</v>
      </c>
      <c r="B2290" s="538" t="n">
        <v>12.75</v>
      </c>
      <c r="C2290" s="538" t="n">
        <v>14.07</v>
      </c>
      <c r="D2290" s="637" t="n"/>
      <c r="E2290" s="538" t="n">
        <v>15.85</v>
      </c>
    </row>
    <row r="2291">
      <c r="A2291" s="544" t="n">
        <v>32415</v>
      </c>
      <c r="B2291" s="538" t="n">
        <v>12.5</v>
      </c>
      <c r="C2291" s="538" t="n">
        <v>13.91</v>
      </c>
      <c r="D2291" s="637" t="n"/>
      <c r="E2291" s="538" t="n">
        <v>15.85</v>
      </c>
    </row>
    <row r="2292">
      <c r="A2292" s="544" t="n">
        <v>32416</v>
      </c>
      <c r="B2292" s="538" t="n">
        <v>11.93</v>
      </c>
      <c r="C2292" s="538" t="n">
        <v>13.33</v>
      </c>
      <c r="D2292" s="637" t="n"/>
      <c r="E2292" s="538" t="n">
        <v>15.85</v>
      </c>
    </row>
    <row r="2293">
      <c r="A2293" s="544" t="n">
        <v>32419</v>
      </c>
      <c r="B2293" s="538" t="n">
        <v>11.6</v>
      </c>
      <c r="C2293" s="538" t="n">
        <v>13.03</v>
      </c>
      <c r="D2293" s="637" t="n"/>
      <c r="E2293" s="538" t="n">
        <v>15.55</v>
      </c>
    </row>
    <row r="2294">
      <c r="A2294" s="544" t="n">
        <v>32420</v>
      </c>
      <c r="B2294" s="538" t="n">
        <v>11.65</v>
      </c>
      <c r="C2294" s="538" t="n">
        <v>13.03</v>
      </c>
      <c r="D2294" s="637" t="n"/>
      <c r="E2294" s="538" t="n">
        <v>15.05</v>
      </c>
    </row>
    <row r="2295">
      <c r="A2295" s="544" t="n">
        <v>32421</v>
      </c>
      <c r="B2295" s="538" t="n">
        <v>11.2</v>
      </c>
      <c r="C2295" s="538" t="n">
        <v>12.58</v>
      </c>
      <c r="D2295" s="637" t="n"/>
      <c r="E2295" s="538" t="n">
        <v>14.55</v>
      </c>
    </row>
    <row r="2296">
      <c r="A2296" s="544" t="n">
        <v>32422</v>
      </c>
      <c r="B2296" s="538" t="n">
        <v>11.3</v>
      </c>
      <c r="C2296" s="538" t="n">
        <v>12.62</v>
      </c>
      <c r="D2296" s="637" t="n"/>
      <c r="E2296" s="538" t="n">
        <v>14.65</v>
      </c>
    </row>
    <row r="2297">
      <c r="A2297" s="544" t="n">
        <v>32423</v>
      </c>
      <c r="B2297" s="538" t="n">
        <v>11.35</v>
      </c>
      <c r="C2297" s="538" t="n">
        <v>12.99</v>
      </c>
      <c r="D2297" s="637" t="n"/>
      <c r="E2297" s="538" t="n">
        <v>14.55</v>
      </c>
    </row>
    <row r="2298">
      <c r="A2298" s="544" t="n">
        <v>32426</v>
      </c>
      <c r="B2298" s="538" t="n">
        <v>12.2</v>
      </c>
      <c r="C2298" s="538" t="n">
        <v>13.59</v>
      </c>
      <c r="D2298" s="637" t="n"/>
      <c r="E2298" s="538" t="n">
        <v>14.25</v>
      </c>
    </row>
    <row r="2299">
      <c r="A2299" s="544" t="n">
        <v>32427</v>
      </c>
      <c r="B2299" s="538" t="n">
        <v>12.35</v>
      </c>
      <c r="C2299" s="538" t="n">
        <v>13.63</v>
      </c>
      <c r="D2299" s="637" t="n"/>
      <c r="E2299" s="538" t="n">
        <v>14.5</v>
      </c>
    </row>
    <row r="2300">
      <c r="A2300" s="544" t="n">
        <v>32428</v>
      </c>
      <c r="B2300" s="538" t="n">
        <v>12.45</v>
      </c>
      <c r="C2300" s="538" t="n">
        <v>14.02</v>
      </c>
      <c r="D2300" s="637" t="n"/>
      <c r="E2300" s="538" t="n">
        <v>14.5</v>
      </c>
    </row>
    <row r="2301">
      <c r="A2301" s="544" t="n">
        <v>32429</v>
      </c>
      <c r="B2301" s="538" t="n">
        <v>12.55</v>
      </c>
      <c r="C2301" s="538" t="n">
        <v>14.26</v>
      </c>
      <c r="D2301" s="637" t="n"/>
      <c r="E2301" s="538" t="n">
        <v>14.65</v>
      </c>
    </row>
    <row r="2302">
      <c r="A2302" s="544" t="n">
        <v>32430</v>
      </c>
      <c r="B2302" s="538" t="n">
        <v>13.2</v>
      </c>
      <c r="C2302" s="538" t="n">
        <v>14.9</v>
      </c>
      <c r="D2302" s="637" t="n"/>
      <c r="E2302" s="538" t="n">
        <v>15.05</v>
      </c>
    </row>
    <row r="2303">
      <c r="A2303" s="544" t="n">
        <v>32433</v>
      </c>
      <c r="B2303" s="538" t="n">
        <v>13.55</v>
      </c>
      <c r="C2303" s="538" t="n">
        <v>15.16</v>
      </c>
      <c r="D2303" s="637" t="n"/>
      <c r="E2303" s="538" t="n">
        <v>16.15</v>
      </c>
    </row>
    <row r="2304">
      <c r="A2304" s="544" t="n">
        <v>32434</v>
      </c>
      <c r="B2304" s="538" t="n">
        <v>12.9</v>
      </c>
      <c r="C2304" s="538" t="n">
        <v>14.63</v>
      </c>
      <c r="D2304" s="637" t="n"/>
      <c r="E2304" s="538" t="n">
        <v>16.15</v>
      </c>
    </row>
    <row r="2305">
      <c r="A2305" s="544" t="n">
        <v>32435</v>
      </c>
      <c r="B2305" s="538" t="n">
        <v>13.35</v>
      </c>
      <c r="C2305" s="538" t="n">
        <v>15.33</v>
      </c>
      <c r="D2305" s="637" t="n"/>
      <c r="E2305" s="538" t="n">
        <v>16.15</v>
      </c>
    </row>
    <row r="2306">
      <c r="A2306" s="544" t="n">
        <v>32436</v>
      </c>
      <c r="B2306" s="538" t="n">
        <v>13.5</v>
      </c>
      <c r="C2306" s="538" t="n">
        <v>14.44</v>
      </c>
      <c r="D2306" s="637" t="n"/>
      <c r="E2306" s="538" t="n">
        <v>16.3</v>
      </c>
    </row>
    <row r="2307">
      <c r="A2307" s="544" t="n">
        <v>32437</v>
      </c>
      <c r="B2307" s="538" t="n">
        <v>13.48</v>
      </c>
      <c r="C2307" s="538" t="n">
        <v>14.22</v>
      </c>
      <c r="D2307" s="637" t="n"/>
      <c r="E2307" s="538" t="n">
        <v>16.45</v>
      </c>
    </row>
    <row r="2308">
      <c r="A2308" s="544" t="n">
        <v>32440</v>
      </c>
      <c r="B2308" s="538" t="n">
        <v>12.2</v>
      </c>
      <c r="C2308" s="538" t="n">
        <v>12.94</v>
      </c>
      <c r="D2308" s="637" t="n"/>
      <c r="E2308" s="538" t="n">
        <v>16.15</v>
      </c>
    </row>
    <row r="2309">
      <c r="A2309" s="544" t="n">
        <v>32441</v>
      </c>
      <c r="B2309" s="538" t="n">
        <v>12.08</v>
      </c>
      <c r="C2309" s="538" t="n">
        <v>13.36</v>
      </c>
      <c r="D2309" s="637" t="n"/>
      <c r="E2309" s="538" t="n">
        <v>16.15</v>
      </c>
    </row>
    <row r="2310">
      <c r="A2310" s="544" t="n">
        <v>32442</v>
      </c>
      <c r="B2310" s="538" t="n">
        <v>12.08</v>
      </c>
      <c r="C2310" s="538" t="n">
        <v>13.45</v>
      </c>
      <c r="D2310" s="637" t="n"/>
      <c r="E2310" s="538" t="n">
        <v>16.6</v>
      </c>
    </row>
    <row r="2311">
      <c r="A2311" s="544" t="n">
        <v>32443</v>
      </c>
      <c r="B2311" s="538" t="n">
        <v>12.33</v>
      </c>
      <c r="C2311" s="538" t="n">
        <v>13.67</v>
      </c>
      <c r="D2311" s="637" t="n"/>
      <c r="E2311" s="538" t="n">
        <v>16.75</v>
      </c>
    </row>
    <row r="2312">
      <c r="A2312" s="544" t="n">
        <v>32444</v>
      </c>
      <c r="B2312" s="538" t="n">
        <v>12.6</v>
      </c>
      <c r="C2312" s="538" t="n">
        <v>13.79</v>
      </c>
      <c r="D2312" s="637" t="n"/>
      <c r="E2312" s="538" t="n">
        <v>17.25</v>
      </c>
    </row>
    <row r="2313">
      <c r="A2313" s="544" t="n">
        <v>32447</v>
      </c>
      <c r="B2313" s="538" t="n">
        <v>12.6</v>
      </c>
      <c r="C2313" s="538" t="n">
        <v>13.54</v>
      </c>
      <c r="D2313" s="637" t="n"/>
      <c r="E2313" s="538" t="n">
        <v>17.75</v>
      </c>
    </row>
    <row r="2314">
      <c r="A2314" s="544" t="n">
        <v>32448</v>
      </c>
      <c r="B2314" s="538" t="n">
        <v>12.18</v>
      </c>
      <c r="C2314" s="538" t="n">
        <v>13.52</v>
      </c>
      <c r="D2314" s="637" t="n"/>
      <c r="E2314" s="538" t="n">
        <v>17.8</v>
      </c>
    </row>
    <row r="2315">
      <c r="A2315" s="544" t="n">
        <v>32449</v>
      </c>
      <c r="B2315" s="538" t="n">
        <v>12.35</v>
      </c>
      <c r="C2315" s="538" t="n">
        <v>13.78</v>
      </c>
      <c r="D2315" s="637" t="n"/>
      <c r="E2315" s="538" t="n">
        <v>18.05</v>
      </c>
    </row>
    <row r="2316">
      <c r="A2316" s="544" t="n">
        <v>32450</v>
      </c>
      <c r="B2316" s="538" t="n">
        <v>12.5</v>
      </c>
      <c r="C2316" s="538" t="n">
        <v>13.89</v>
      </c>
      <c r="D2316" s="637" t="n"/>
      <c r="E2316" s="538" t="n">
        <v>18.25</v>
      </c>
    </row>
    <row r="2317">
      <c r="A2317" s="544" t="n">
        <v>32451</v>
      </c>
      <c r="B2317" s="538" t="n">
        <v>12.75</v>
      </c>
      <c r="C2317" s="538" t="n">
        <v>14.04</v>
      </c>
      <c r="D2317" s="637" t="n"/>
      <c r="E2317" s="538" t="n">
        <v>18.5</v>
      </c>
    </row>
    <row r="2318">
      <c r="A2318" s="544" t="n">
        <v>32454</v>
      </c>
      <c r="B2318" s="538" t="n">
        <v>12.75</v>
      </c>
      <c r="C2318" s="538" t="n">
        <v>14.08</v>
      </c>
      <c r="D2318" s="637" t="n"/>
      <c r="E2318" s="538" t="n">
        <v>18.85</v>
      </c>
    </row>
    <row r="2319">
      <c r="A2319" s="544" t="n">
        <v>32455</v>
      </c>
      <c r="B2319" s="538" t="n">
        <v>12.6</v>
      </c>
      <c r="C2319" s="538" t="n">
        <v>13.7</v>
      </c>
      <c r="D2319" s="637" t="n"/>
      <c r="E2319" s="538" t="n">
        <v>18.85</v>
      </c>
    </row>
    <row r="2320">
      <c r="A2320" s="544" t="n">
        <v>32456</v>
      </c>
      <c r="B2320" s="538" t="n">
        <v>12.7</v>
      </c>
      <c r="C2320" s="538" t="n">
        <v>13.88</v>
      </c>
      <c r="D2320" s="637" t="n"/>
      <c r="E2320" s="538" t="n">
        <v>18.85</v>
      </c>
    </row>
    <row r="2321">
      <c r="A2321" s="544" t="n">
        <v>32457</v>
      </c>
      <c r="B2321" s="538" t="n">
        <v>13.03</v>
      </c>
      <c r="C2321" s="538" t="n">
        <v>13.99</v>
      </c>
      <c r="D2321" s="637" t="n"/>
      <c r="E2321" s="538" t="n">
        <v>19.05</v>
      </c>
    </row>
    <row r="2322">
      <c r="A2322" s="544" t="n">
        <v>32458</v>
      </c>
      <c r="B2322" s="538" t="n">
        <v>13.03</v>
      </c>
      <c r="C2322" s="538" t="n">
        <v>13.99</v>
      </c>
      <c r="D2322" s="637" t="n"/>
      <c r="E2322" s="538" t="n">
        <v>19.25</v>
      </c>
    </row>
    <row r="2323">
      <c r="A2323" s="544" t="n">
        <v>32461</v>
      </c>
      <c r="B2323" s="538" t="n">
        <v>13</v>
      </c>
      <c r="C2323" s="538" t="n">
        <v>14.25</v>
      </c>
      <c r="D2323" s="637" t="n"/>
      <c r="E2323" s="538" t="n">
        <v>19.25</v>
      </c>
    </row>
    <row r="2324">
      <c r="A2324" s="544" t="n">
        <v>32462</v>
      </c>
      <c r="B2324" s="538" t="n">
        <v>13</v>
      </c>
      <c r="C2324" s="538" t="n">
        <v>14.03</v>
      </c>
      <c r="D2324" s="637" t="n"/>
      <c r="E2324" s="538" t="n">
        <v>19.35</v>
      </c>
    </row>
    <row r="2325">
      <c r="A2325" s="544" t="n">
        <v>32463</v>
      </c>
      <c r="B2325" s="538" t="n">
        <v>12.7</v>
      </c>
      <c r="C2325" s="538" t="n">
        <v>13.68</v>
      </c>
      <c r="D2325" s="637" t="n"/>
      <c r="E2325" s="538" t="n">
        <v>19.65</v>
      </c>
    </row>
    <row r="2326">
      <c r="A2326" s="544" t="n">
        <v>32464</v>
      </c>
      <c r="B2326" s="538" t="n">
        <v>12.05</v>
      </c>
      <c r="C2326" s="538" t="n">
        <v>13.3</v>
      </c>
      <c r="D2326" s="637" t="n"/>
      <c r="E2326" s="538" t="n">
        <v>19.75</v>
      </c>
    </row>
    <row r="2327">
      <c r="A2327" s="544" t="n">
        <v>32465</v>
      </c>
      <c r="B2327" s="538" t="n">
        <v>12.08</v>
      </c>
      <c r="C2327" s="538" t="n">
        <v>13.47</v>
      </c>
      <c r="D2327" s="637" t="n"/>
      <c r="E2327" s="538" t="n">
        <v>19.85</v>
      </c>
    </row>
    <row r="2328">
      <c r="A2328" s="544" t="n">
        <v>32468</v>
      </c>
      <c r="B2328" s="538" t="n">
        <v>12.13</v>
      </c>
      <c r="C2328" s="538" t="n">
        <v>13.73</v>
      </c>
      <c r="D2328" s="637" t="n"/>
      <c r="E2328" s="538" t="n">
        <v>20.05</v>
      </c>
    </row>
    <row r="2329">
      <c r="A2329" s="544" t="n">
        <v>32469</v>
      </c>
      <c r="B2329" s="538" t="n">
        <v>13.35</v>
      </c>
      <c r="C2329" s="538" t="n">
        <v>14.78</v>
      </c>
      <c r="D2329" s="637" t="n"/>
      <c r="E2329" s="538" t="n">
        <v>20.15</v>
      </c>
    </row>
    <row r="2330">
      <c r="A2330" s="544" t="n">
        <v>32470</v>
      </c>
      <c r="B2330" s="538" t="n">
        <v>13.33</v>
      </c>
      <c r="C2330" s="538" t="n">
        <v>14.11</v>
      </c>
      <c r="D2330" s="637" t="n"/>
      <c r="E2330" s="538" t="n">
        <v>20.25</v>
      </c>
    </row>
    <row r="2331">
      <c r="A2331" s="544" t="n">
        <v>32471</v>
      </c>
      <c r="B2331" s="538" t="n">
        <v>12.98</v>
      </c>
      <c r="C2331" s="538" t="n">
        <v>14.11</v>
      </c>
      <c r="D2331" s="637" t="n"/>
      <c r="E2331" s="538" t="n">
        <v>20.6</v>
      </c>
    </row>
    <row r="2332">
      <c r="A2332" s="544" t="n">
        <v>32472</v>
      </c>
      <c r="B2332" s="538" t="n">
        <v>14.7</v>
      </c>
      <c r="C2332" s="538" t="n">
        <v>15.43</v>
      </c>
      <c r="D2332" s="637" t="n"/>
      <c r="E2332" s="538" t="n">
        <v>21.05</v>
      </c>
    </row>
    <row r="2333">
      <c r="A2333" s="544" t="n">
        <v>32475</v>
      </c>
      <c r="B2333" s="538" t="n">
        <v>14.73</v>
      </c>
      <c r="C2333" s="538" t="n">
        <v>14.93</v>
      </c>
      <c r="D2333" s="637" t="n"/>
      <c r="E2333" s="538" t="n">
        <v>21.45</v>
      </c>
    </row>
    <row r="2334">
      <c r="A2334" s="544" t="n">
        <v>32476</v>
      </c>
      <c r="B2334" s="538" t="n">
        <v>14.25</v>
      </c>
      <c r="C2334" s="538" t="n">
        <v>15</v>
      </c>
      <c r="D2334" s="637" t="n"/>
      <c r="E2334" s="538" t="n">
        <v>21.75</v>
      </c>
    </row>
    <row r="2335">
      <c r="A2335" s="544" t="n">
        <v>32477</v>
      </c>
      <c r="B2335" s="538" t="n">
        <v>14.35</v>
      </c>
      <c r="C2335" s="538" t="n">
        <v>15.42</v>
      </c>
      <c r="D2335" s="637" t="n"/>
      <c r="E2335" s="538" t="n">
        <v>22.25</v>
      </c>
    </row>
    <row r="2336">
      <c r="A2336" s="544" t="n">
        <v>32478</v>
      </c>
      <c r="B2336" s="538" t="n">
        <v>14.93</v>
      </c>
      <c r="C2336" s="538" t="n">
        <v>15.63</v>
      </c>
      <c r="D2336" s="637" t="n"/>
      <c r="E2336" s="538" t="n">
        <v>22.75</v>
      </c>
    </row>
    <row r="2337">
      <c r="A2337" s="544" t="n">
        <v>32479</v>
      </c>
      <c r="B2337" s="538" t="n">
        <v>14.8</v>
      </c>
      <c r="C2337" s="538" t="n">
        <v>15.69</v>
      </c>
      <c r="D2337" s="637" t="n"/>
      <c r="E2337" s="538" t="n">
        <v>23.75</v>
      </c>
    </row>
    <row r="2338">
      <c r="A2338" s="544" t="n">
        <v>32482</v>
      </c>
      <c r="B2338" s="538" t="n">
        <v>14.73</v>
      </c>
      <c r="C2338" s="538" t="n">
        <v>15.36</v>
      </c>
      <c r="D2338" s="637" t="n"/>
      <c r="E2338" s="538" t="n">
        <v>24.25</v>
      </c>
    </row>
    <row r="2339">
      <c r="A2339" s="544" t="n">
        <v>32483</v>
      </c>
      <c r="B2339" s="538" t="n">
        <v>14.4</v>
      </c>
      <c r="C2339" s="538" t="n">
        <v>15.51</v>
      </c>
      <c r="D2339" s="637" t="n"/>
      <c r="E2339" s="538" t="n">
        <v>24.25</v>
      </c>
    </row>
    <row r="2340">
      <c r="A2340" s="544" t="n">
        <v>32484</v>
      </c>
      <c r="B2340" s="538" t="n">
        <v>14.7</v>
      </c>
      <c r="C2340" s="538" t="n">
        <v>15.8</v>
      </c>
      <c r="D2340" s="637" t="n"/>
      <c r="E2340" s="538" t="n">
        <v>24.25</v>
      </c>
    </row>
    <row r="2341">
      <c r="A2341" s="544" t="n">
        <v>32485</v>
      </c>
      <c r="B2341" s="538" t="n">
        <v>15.05</v>
      </c>
      <c r="C2341" s="538" t="n">
        <v>15.48</v>
      </c>
      <c r="D2341" s="637" t="n"/>
      <c r="E2341" s="538" t="n">
        <v>23.95</v>
      </c>
    </row>
    <row r="2342">
      <c r="A2342" s="544" t="n">
        <v>32486</v>
      </c>
      <c r="B2342" s="538" t="n">
        <v>14.9</v>
      </c>
      <c r="C2342" s="538" t="n">
        <v>15.9</v>
      </c>
      <c r="D2342" s="637" t="n"/>
      <c r="E2342" s="538" t="n">
        <v>23.75</v>
      </c>
    </row>
    <row r="2343">
      <c r="A2343" s="544" t="n">
        <v>32489</v>
      </c>
      <c r="B2343" s="538" t="n">
        <v>15.2</v>
      </c>
      <c r="C2343" s="538" t="n">
        <v>16.08</v>
      </c>
      <c r="D2343" s="637" t="n"/>
      <c r="E2343" s="538" t="n">
        <v>23.75</v>
      </c>
    </row>
    <row r="2344">
      <c r="A2344" s="544" t="n">
        <v>32490</v>
      </c>
      <c r="B2344" s="538" t="n">
        <v>15.18</v>
      </c>
      <c r="C2344" s="538" t="n">
        <v>15.93</v>
      </c>
      <c r="D2344" s="637" t="n"/>
      <c r="E2344" s="538" t="n">
        <v>23.55</v>
      </c>
    </row>
    <row r="2345">
      <c r="A2345" s="544" t="n">
        <v>32491</v>
      </c>
      <c r="B2345" s="538" t="n">
        <v>15.35</v>
      </c>
      <c r="C2345" s="538" t="n">
        <v>16.33</v>
      </c>
      <c r="D2345" s="637" t="n"/>
      <c r="E2345" s="538" t="n">
        <v>23.55</v>
      </c>
    </row>
    <row r="2346">
      <c r="A2346" s="544" t="n">
        <v>32492</v>
      </c>
      <c r="B2346" s="538" t="n">
        <v>15.58</v>
      </c>
      <c r="C2346" s="538" t="n">
        <v>16.39</v>
      </c>
      <c r="D2346" s="637" t="n"/>
      <c r="E2346" s="538" t="n">
        <v>23.55</v>
      </c>
    </row>
    <row r="2347">
      <c r="A2347" s="544" t="n">
        <v>32493</v>
      </c>
      <c r="B2347" s="538" t="n">
        <v>15.6</v>
      </c>
      <c r="C2347" s="538" t="n">
        <v>16.81</v>
      </c>
      <c r="D2347" s="637" t="n"/>
      <c r="E2347" s="538" t="n">
        <v>23.55</v>
      </c>
    </row>
    <row r="2348">
      <c r="A2348" s="544" t="n">
        <v>32496</v>
      </c>
      <c r="B2348" s="538" t="n">
        <v>15.3</v>
      </c>
      <c r="C2348" s="538" t="n">
        <v>16.24</v>
      </c>
      <c r="D2348" s="637" t="n"/>
      <c r="E2348" s="538" t="n">
        <v>23.8</v>
      </c>
    </row>
    <row r="2349">
      <c r="A2349" s="544" t="n">
        <v>32497</v>
      </c>
      <c r="B2349" s="538" t="n">
        <v>15.28</v>
      </c>
      <c r="C2349" s="538" t="n">
        <v>17.68</v>
      </c>
      <c r="D2349" s="637" t="n"/>
      <c r="E2349" s="538" t="n">
        <v>24.1</v>
      </c>
    </row>
    <row r="2350">
      <c r="A2350" s="544" t="n">
        <v>32498</v>
      </c>
      <c r="B2350" s="538" t="n">
        <v>15.33</v>
      </c>
      <c r="C2350" s="538" t="n">
        <v>17.27</v>
      </c>
      <c r="D2350" s="637" t="n"/>
      <c r="E2350" s="538" t="n">
        <v>24.65</v>
      </c>
    </row>
    <row r="2351">
      <c r="A2351" s="544" t="n">
        <v>32499</v>
      </c>
      <c r="B2351" s="538" t="n">
        <v>15.25</v>
      </c>
      <c r="C2351" s="538" t="n">
        <v>17.36</v>
      </c>
      <c r="D2351" s="637" t="n"/>
      <c r="E2351" s="538" t="n">
        <v>24.95</v>
      </c>
    </row>
    <row r="2352">
      <c r="A2352" s="544" t="n">
        <v>32500</v>
      </c>
      <c r="B2352" s="538" t="n">
        <v>15.38</v>
      </c>
      <c r="C2352" s="538" t="n">
        <v>16.63</v>
      </c>
      <c r="D2352" s="637" t="n"/>
      <c r="E2352" s="538" t="n">
        <v>25.2</v>
      </c>
    </row>
    <row r="2353">
      <c r="A2353" s="544" t="n">
        <v>32503</v>
      </c>
      <c r="B2353" s="538" t="n">
        <v>15.38</v>
      </c>
      <c r="C2353" s="538" t="n">
        <v>16.63</v>
      </c>
      <c r="D2353" s="637" t="n"/>
      <c r="E2353" s="538" t="n">
        <v>25.2</v>
      </c>
    </row>
    <row r="2354">
      <c r="A2354" s="544" t="n">
        <v>32504</v>
      </c>
      <c r="B2354" s="538" t="n">
        <v>16.25</v>
      </c>
      <c r="C2354" s="538" t="n">
        <v>16.98</v>
      </c>
      <c r="D2354" s="637" t="n"/>
      <c r="E2354" s="538" t="n">
        <v>25.3</v>
      </c>
    </row>
    <row r="2355">
      <c r="A2355" s="544" t="n">
        <v>32505</v>
      </c>
      <c r="B2355" s="538" t="n">
        <v>16.1</v>
      </c>
      <c r="C2355" s="538" t="n">
        <v>17.03</v>
      </c>
      <c r="D2355" s="637" t="n"/>
      <c r="E2355" s="538" t="n">
        <v>25.75</v>
      </c>
    </row>
    <row r="2356">
      <c r="A2356" s="544" t="n">
        <v>32506</v>
      </c>
      <c r="B2356" s="538" t="n">
        <v>15.9</v>
      </c>
      <c r="C2356" s="538" t="n">
        <v>16.81</v>
      </c>
      <c r="D2356" s="637" t="n"/>
      <c r="E2356" s="538" t="n">
        <v>25.75</v>
      </c>
    </row>
    <row r="2357">
      <c r="A2357" s="544" t="n">
        <v>32507</v>
      </c>
      <c r="B2357" s="538" t="n">
        <v>16.23</v>
      </c>
      <c r="C2357" s="538" t="n">
        <v>17.12</v>
      </c>
      <c r="D2357" s="637" t="n"/>
      <c r="E2357" s="538" t="n">
        <v>26.05</v>
      </c>
    </row>
    <row r="2358">
      <c r="A2358" s="544" t="n">
        <v>32510</v>
      </c>
      <c r="B2358" s="538" t="n">
        <v>16.23</v>
      </c>
      <c r="C2358" s="538" t="n">
        <v>17.12</v>
      </c>
      <c r="D2358" s="637" t="n"/>
      <c r="E2358" s="538" t="n">
        <v>26.05</v>
      </c>
    </row>
    <row r="2359">
      <c r="A2359" s="544" t="n">
        <v>32511</v>
      </c>
      <c r="B2359" s="538" t="n">
        <v>16.4</v>
      </c>
      <c r="C2359" s="538" t="n">
        <v>17.38</v>
      </c>
      <c r="D2359" s="637" t="n"/>
      <c r="E2359" s="538" t="n">
        <v>26.25</v>
      </c>
    </row>
    <row r="2360">
      <c r="A2360" s="544" t="n">
        <v>32512</v>
      </c>
      <c r="B2360" s="538" t="n">
        <v>16.53</v>
      </c>
      <c r="C2360" s="538" t="n">
        <v>16.99</v>
      </c>
      <c r="D2360" s="637" t="n"/>
      <c r="E2360" s="538" t="n">
        <v>26.5</v>
      </c>
    </row>
    <row r="2361">
      <c r="A2361" s="544" t="n">
        <v>32513</v>
      </c>
      <c r="B2361" s="538" t="n">
        <v>16.58</v>
      </c>
      <c r="C2361" s="538" t="n">
        <v>17.45</v>
      </c>
      <c r="D2361" s="637" t="n"/>
      <c r="E2361" s="538" t="n">
        <v>26.85</v>
      </c>
    </row>
    <row r="2362">
      <c r="A2362" s="544" t="n">
        <v>32514</v>
      </c>
      <c r="B2362" s="538" t="n">
        <v>16.85</v>
      </c>
      <c r="C2362" s="538" t="n">
        <v>17.56</v>
      </c>
      <c r="D2362" s="637" t="n"/>
      <c r="E2362" s="538" t="n">
        <v>26.9</v>
      </c>
    </row>
    <row r="2363">
      <c r="A2363" s="544" t="n">
        <v>32517</v>
      </c>
      <c r="B2363" s="538" t="n">
        <v>17</v>
      </c>
      <c r="C2363" s="538" t="n">
        <v>17.74</v>
      </c>
      <c r="D2363" s="637" t="n"/>
      <c r="E2363" s="538" t="n">
        <v>26.9</v>
      </c>
    </row>
    <row r="2364">
      <c r="A2364" s="544" t="n">
        <v>32518</v>
      </c>
      <c r="B2364" s="538" t="n">
        <v>16.75</v>
      </c>
      <c r="C2364" s="538" t="n">
        <v>17.8</v>
      </c>
      <c r="D2364" s="637" t="n"/>
      <c r="E2364" s="538" t="n">
        <v>27.05</v>
      </c>
    </row>
    <row r="2365">
      <c r="A2365" s="544" t="n">
        <v>32519</v>
      </c>
      <c r="B2365" s="538" t="n">
        <v>16.9</v>
      </c>
      <c r="C2365" s="538" t="n">
        <v>18.16</v>
      </c>
      <c r="D2365" s="637" t="n"/>
      <c r="E2365" s="538" t="n">
        <v>27.05</v>
      </c>
    </row>
    <row r="2366">
      <c r="A2366" s="544" t="n">
        <v>32520</v>
      </c>
      <c r="B2366" s="538" t="n">
        <v>16.85</v>
      </c>
      <c r="C2366" s="538" t="n">
        <v>18.11</v>
      </c>
      <c r="D2366" s="637" t="n"/>
      <c r="E2366" s="538" t="n">
        <v>27.05</v>
      </c>
    </row>
    <row r="2367">
      <c r="A2367" s="544" t="n">
        <v>32521</v>
      </c>
      <c r="B2367" s="538" t="n">
        <v>17.4</v>
      </c>
      <c r="C2367" s="538" t="n">
        <v>18.49</v>
      </c>
      <c r="D2367" s="637" t="n"/>
      <c r="E2367" s="538" t="n">
        <v>26.7</v>
      </c>
    </row>
    <row r="2368">
      <c r="A2368" s="544" t="n">
        <v>32524</v>
      </c>
      <c r="B2368" s="538" t="n">
        <v>17.5</v>
      </c>
      <c r="C2368" s="538" t="n">
        <v>18.88</v>
      </c>
      <c r="D2368" s="637" t="n"/>
      <c r="E2368" s="538" t="n">
        <v>26.4</v>
      </c>
    </row>
    <row r="2369">
      <c r="A2369" s="544" t="n">
        <v>32525</v>
      </c>
      <c r="B2369" s="538" t="n">
        <v>17.78</v>
      </c>
      <c r="C2369" s="538" t="n">
        <v>19.03</v>
      </c>
      <c r="D2369" s="637" t="n"/>
      <c r="E2369" s="538" t="n">
        <v>26.25</v>
      </c>
    </row>
    <row r="2370">
      <c r="A2370" s="544" t="n">
        <v>32526</v>
      </c>
      <c r="B2370" s="538" t="n">
        <v>17.95</v>
      </c>
      <c r="C2370" s="538" t="n">
        <v>19.2</v>
      </c>
      <c r="D2370" s="637" t="n"/>
      <c r="E2370" s="538" t="n">
        <v>26.2</v>
      </c>
    </row>
    <row r="2371">
      <c r="A2371" s="544" t="n">
        <v>32527</v>
      </c>
      <c r="B2371" s="538" t="n">
        <v>18.1</v>
      </c>
      <c r="C2371" s="538" t="n">
        <v>19.28</v>
      </c>
      <c r="D2371" s="637" t="n"/>
      <c r="E2371" s="538" t="n">
        <v>25.9</v>
      </c>
    </row>
    <row r="2372">
      <c r="A2372" s="544" t="n">
        <v>32528</v>
      </c>
      <c r="B2372" s="538" t="n">
        <v>18.15</v>
      </c>
      <c r="C2372" s="538" t="n">
        <v>18.85</v>
      </c>
      <c r="D2372" s="637" t="n"/>
      <c r="E2372" s="538" t="n">
        <v>25.75</v>
      </c>
    </row>
    <row r="2373">
      <c r="A2373" s="544" t="n">
        <v>32531</v>
      </c>
      <c r="B2373" s="538" t="n">
        <v>16.98</v>
      </c>
      <c r="C2373" s="538" t="n">
        <v>17.66</v>
      </c>
      <c r="D2373" s="637" t="n"/>
      <c r="E2373" s="538" t="n">
        <v>25.25</v>
      </c>
    </row>
    <row r="2374">
      <c r="A2374" s="544" t="n">
        <v>32532</v>
      </c>
      <c r="B2374" s="538" t="n">
        <v>17.05</v>
      </c>
      <c r="C2374" s="538" t="n">
        <v>17.96</v>
      </c>
      <c r="D2374" s="637" t="n"/>
      <c r="E2374" s="538" t="n">
        <v>24.75</v>
      </c>
    </row>
    <row r="2375">
      <c r="A2375" s="544" t="n">
        <v>32533</v>
      </c>
      <c r="B2375" s="538" t="n">
        <v>17.7</v>
      </c>
      <c r="C2375" s="538" t="n">
        <v>18.23</v>
      </c>
      <c r="D2375" s="637" t="n"/>
      <c r="E2375" s="538" t="n">
        <v>23.75</v>
      </c>
    </row>
    <row r="2376">
      <c r="A2376" s="544" t="n">
        <v>32534</v>
      </c>
      <c r="B2376" s="538" t="n">
        <v>17.73</v>
      </c>
      <c r="C2376" s="538" t="n">
        <v>17.68</v>
      </c>
      <c r="D2376" s="637" t="n"/>
      <c r="E2376" s="538" t="n">
        <v>23.75</v>
      </c>
    </row>
    <row r="2377">
      <c r="A2377" s="544" t="n">
        <v>32535</v>
      </c>
      <c r="B2377" s="538" t="n">
        <v>17.18</v>
      </c>
      <c r="C2377" s="538" t="n">
        <v>17.74</v>
      </c>
      <c r="D2377" s="637" t="n"/>
      <c r="E2377" s="538" t="n">
        <v>23.25</v>
      </c>
    </row>
    <row r="2378">
      <c r="A2378" s="544" t="n">
        <v>32538</v>
      </c>
      <c r="B2378" s="538" t="n">
        <v>16.85</v>
      </c>
      <c r="C2378" s="538" t="n">
        <v>17.32</v>
      </c>
      <c r="D2378" s="637" t="n"/>
      <c r="E2378" s="538" t="n">
        <v>23.1</v>
      </c>
    </row>
    <row r="2379">
      <c r="A2379" s="544" t="n">
        <v>32539</v>
      </c>
      <c r="B2379" s="538" t="n">
        <v>16.38</v>
      </c>
      <c r="C2379" s="538" t="n">
        <v>17</v>
      </c>
      <c r="D2379" s="637" t="n"/>
      <c r="E2379" s="538" t="n">
        <v>23.1</v>
      </c>
    </row>
    <row r="2380">
      <c r="A2380" s="544" t="n">
        <v>32540</v>
      </c>
      <c r="B2380" s="538" t="n">
        <v>16.4</v>
      </c>
      <c r="C2380" s="538" t="n">
        <v>17.5</v>
      </c>
      <c r="D2380" s="637" t="n"/>
      <c r="E2380" s="538" t="n">
        <v>23.25</v>
      </c>
    </row>
    <row r="2381">
      <c r="A2381" s="544" t="n">
        <v>32541</v>
      </c>
      <c r="B2381" s="538" t="n">
        <v>16.95</v>
      </c>
      <c r="C2381" s="538" t="n">
        <v>17.72</v>
      </c>
      <c r="D2381" s="637" t="n"/>
      <c r="E2381" s="538" t="n">
        <v>23.25</v>
      </c>
    </row>
    <row r="2382">
      <c r="A2382" s="544" t="n">
        <v>32542</v>
      </c>
      <c r="B2382" s="538" t="n">
        <v>16.75</v>
      </c>
      <c r="C2382" s="538" t="n">
        <v>17.51</v>
      </c>
      <c r="D2382" s="637" t="n"/>
      <c r="E2382" s="538" t="n">
        <v>23.25</v>
      </c>
    </row>
    <row r="2383">
      <c r="A2383" s="544" t="n">
        <v>32545</v>
      </c>
      <c r="B2383" s="538" t="n">
        <v>16.5</v>
      </c>
      <c r="C2383" s="538" t="n">
        <v>17.38</v>
      </c>
      <c r="D2383" s="637" t="n"/>
      <c r="E2383" s="538" t="n">
        <v>23.25</v>
      </c>
    </row>
    <row r="2384">
      <c r="A2384" s="544" t="n">
        <v>32546</v>
      </c>
      <c r="B2384" s="538" t="n">
        <v>16.6</v>
      </c>
      <c r="C2384" s="538" t="n">
        <v>17.55</v>
      </c>
      <c r="D2384" s="637" t="n"/>
      <c r="E2384" s="538" t="n">
        <v>23.25</v>
      </c>
    </row>
    <row r="2385">
      <c r="A2385" s="544" t="n">
        <v>32547</v>
      </c>
      <c r="B2385" s="538" t="n">
        <v>16.75</v>
      </c>
      <c r="C2385" s="538" t="n">
        <v>17.49</v>
      </c>
      <c r="D2385" s="637" t="n"/>
      <c r="E2385" s="538" t="n">
        <v>23.05</v>
      </c>
    </row>
    <row r="2386">
      <c r="A2386" s="544" t="n">
        <v>32548</v>
      </c>
      <c r="B2386" s="538" t="n">
        <v>16.58</v>
      </c>
      <c r="C2386" s="538" t="n">
        <v>17.42</v>
      </c>
      <c r="D2386" s="637" t="n"/>
      <c r="E2386" s="538" t="n">
        <v>22.75</v>
      </c>
    </row>
    <row r="2387">
      <c r="A2387" s="544" t="n">
        <v>32549</v>
      </c>
      <c r="B2387" s="538" t="n">
        <v>16.4</v>
      </c>
      <c r="C2387" s="538" t="n">
        <v>17.11</v>
      </c>
      <c r="D2387" s="637" t="n"/>
      <c r="E2387" s="538" t="n">
        <v>22.25</v>
      </c>
    </row>
    <row r="2388">
      <c r="A2388" s="544" t="n">
        <v>32552</v>
      </c>
      <c r="B2388" s="538" t="n">
        <v>16.5</v>
      </c>
      <c r="C2388" s="538" t="n">
        <v>17.61</v>
      </c>
      <c r="D2388" s="637" t="n"/>
      <c r="E2388" s="538" t="n">
        <v>21.95</v>
      </c>
    </row>
    <row r="2389">
      <c r="A2389" s="544" t="n">
        <v>32553</v>
      </c>
      <c r="B2389" s="538" t="n">
        <v>16.83</v>
      </c>
      <c r="C2389" s="538" t="n">
        <v>17.6</v>
      </c>
      <c r="D2389" s="637" t="n"/>
      <c r="E2389" s="538" t="n">
        <v>21.75</v>
      </c>
    </row>
    <row r="2390">
      <c r="A2390" s="544" t="n">
        <v>32554</v>
      </c>
      <c r="B2390" s="538" t="n">
        <v>16.75</v>
      </c>
      <c r="C2390" s="538" t="n">
        <v>18.23</v>
      </c>
      <c r="D2390" s="637" t="n"/>
      <c r="E2390" s="538" t="n">
        <v>21.75</v>
      </c>
    </row>
    <row r="2391">
      <c r="A2391" s="544" t="n">
        <v>32555</v>
      </c>
      <c r="B2391" s="538" t="n">
        <v>17.15</v>
      </c>
      <c r="C2391" s="538" t="n">
        <v>18.35</v>
      </c>
      <c r="D2391" s="637" t="n"/>
      <c r="E2391" s="538" t="n">
        <v>21.25</v>
      </c>
    </row>
    <row r="2392">
      <c r="A2392" s="544" t="n">
        <v>32556</v>
      </c>
      <c r="B2392" s="538" t="n">
        <v>17.15</v>
      </c>
      <c r="C2392" s="538" t="n">
        <v>18.6</v>
      </c>
      <c r="D2392" s="637" t="n"/>
      <c r="E2392" s="538" t="n">
        <v>21.25</v>
      </c>
    </row>
    <row r="2393">
      <c r="A2393" s="544" t="n">
        <v>32559</v>
      </c>
      <c r="B2393" s="538" t="n">
        <v>17.38</v>
      </c>
      <c r="C2393" s="538" t="n">
        <v>18.6</v>
      </c>
      <c r="D2393" s="637" t="n"/>
      <c r="E2393" s="538" t="n">
        <v>21.25</v>
      </c>
    </row>
    <row r="2394">
      <c r="A2394" s="544" t="n">
        <v>32560</v>
      </c>
      <c r="B2394" s="538" t="n">
        <v>17.2</v>
      </c>
      <c r="C2394" s="538" t="n">
        <v>18.64</v>
      </c>
      <c r="D2394" s="637" t="n"/>
      <c r="E2394" s="538" t="n">
        <v>21.55</v>
      </c>
    </row>
    <row r="2395">
      <c r="A2395" s="544" t="n">
        <v>32561</v>
      </c>
      <c r="B2395" s="538" t="n">
        <v>16.95</v>
      </c>
      <c r="C2395" s="538" t="n">
        <v>18.5</v>
      </c>
      <c r="D2395" s="637" t="n"/>
      <c r="E2395" s="538" t="n">
        <v>21.75</v>
      </c>
    </row>
    <row r="2396">
      <c r="A2396" s="544" t="n">
        <v>32562</v>
      </c>
      <c r="B2396" s="538" t="n">
        <v>17.1</v>
      </c>
      <c r="C2396" s="538" t="n">
        <v>18.49</v>
      </c>
      <c r="D2396" s="637" t="n"/>
      <c r="E2396" s="538" t="n">
        <v>21.75</v>
      </c>
    </row>
    <row r="2397">
      <c r="A2397" s="544" t="n">
        <v>32563</v>
      </c>
      <c r="B2397" s="538" t="n">
        <v>17.05</v>
      </c>
      <c r="C2397" s="538" t="n">
        <v>18.06</v>
      </c>
      <c r="D2397" s="637" t="n"/>
      <c r="E2397" s="538" t="n">
        <v>21.95</v>
      </c>
    </row>
    <row r="2398">
      <c r="A2398" s="544" t="n">
        <v>32566</v>
      </c>
      <c r="B2398" s="538" t="n">
        <v>17.55</v>
      </c>
      <c r="C2398" s="538" t="n">
        <v>18.16</v>
      </c>
      <c r="D2398" s="637" t="n"/>
      <c r="E2398" s="538" t="n">
        <v>21.95</v>
      </c>
    </row>
    <row r="2399">
      <c r="A2399" s="544" t="n">
        <v>32567</v>
      </c>
      <c r="B2399" s="538" t="n">
        <v>17.23</v>
      </c>
      <c r="C2399" s="538" t="n">
        <v>18.21</v>
      </c>
      <c r="D2399" s="637" t="n"/>
      <c r="E2399" s="538" t="n">
        <v>21.95</v>
      </c>
    </row>
    <row r="2400">
      <c r="A2400" s="544" t="n">
        <v>32568</v>
      </c>
      <c r="B2400" s="538" t="n">
        <v>17.25</v>
      </c>
      <c r="C2400" s="538" t="n">
        <v>18.3</v>
      </c>
      <c r="D2400" s="637" t="n"/>
      <c r="E2400" s="538" t="n">
        <v>22.25</v>
      </c>
    </row>
    <row r="2401">
      <c r="A2401" s="544" t="n">
        <v>32569</v>
      </c>
      <c r="B2401" s="538" t="n">
        <v>17.45</v>
      </c>
      <c r="C2401" s="538" t="n">
        <v>18.68</v>
      </c>
      <c r="D2401" s="637" t="n"/>
      <c r="E2401" s="538" t="n">
        <v>22.25</v>
      </c>
    </row>
    <row r="2402">
      <c r="A2402" s="544" t="n">
        <v>32570</v>
      </c>
      <c r="B2402" s="538" t="n">
        <v>17.73</v>
      </c>
      <c r="C2402" s="538" t="n">
        <v>18.67</v>
      </c>
      <c r="D2402" s="637" t="n"/>
      <c r="E2402" s="538" t="n">
        <v>22.25</v>
      </c>
    </row>
    <row r="2403">
      <c r="A2403" s="544" t="n">
        <v>32573</v>
      </c>
      <c r="B2403" s="538" t="n">
        <v>17.73</v>
      </c>
      <c r="C2403" s="538" t="n">
        <v>18.73</v>
      </c>
      <c r="D2403" s="637" t="n"/>
      <c r="E2403" s="538" t="n">
        <v>22.4</v>
      </c>
    </row>
    <row r="2404">
      <c r="A2404" s="544" t="n">
        <v>32574</v>
      </c>
      <c r="B2404" s="538" t="n">
        <v>17.55</v>
      </c>
      <c r="C2404" s="538" t="n">
        <v>18.12</v>
      </c>
      <c r="D2404" s="637" t="n"/>
      <c r="E2404" s="538" t="n">
        <v>22.4</v>
      </c>
    </row>
    <row r="2405">
      <c r="A2405" s="544" t="n">
        <v>32575</v>
      </c>
      <c r="B2405" s="538" t="n">
        <v>17.55</v>
      </c>
      <c r="C2405" s="538" t="n">
        <v>18.57</v>
      </c>
      <c r="D2405" s="637" t="n"/>
      <c r="E2405" s="538" t="n">
        <v>22.65</v>
      </c>
    </row>
    <row r="2406">
      <c r="A2406" s="544" t="n">
        <v>32576</v>
      </c>
      <c r="B2406" s="538" t="n">
        <v>17.8</v>
      </c>
      <c r="C2406" s="538" t="n">
        <v>18.53</v>
      </c>
      <c r="D2406" s="637" t="n"/>
      <c r="E2406" s="538" t="n">
        <v>22.65</v>
      </c>
    </row>
    <row r="2407">
      <c r="A2407" s="544" t="n">
        <v>32577</v>
      </c>
      <c r="B2407" s="538" t="n">
        <v>17.63</v>
      </c>
      <c r="C2407" s="538" t="n">
        <v>18.53</v>
      </c>
      <c r="D2407" s="637" t="n"/>
      <c r="E2407" s="538" t="n">
        <v>22.65</v>
      </c>
    </row>
    <row r="2408">
      <c r="A2408" s="544" t="n">
        <v>32580</v>
      </c>
      <c r="B2408" s="538" t="n">
        <v>18.1</v>
      </c>
      <c r="C2408" s="538" t="n">
        <v>19.05</v>
      </c>
      <c r="D2408" s="637" t="n"/>
      <c r="E2408" s="538" t="n">
        <v>22.6</v>
      </c>
    </row>
    <row r="2409">
      <c r="A2409" s="544" t="n">
        <v>32581</v>
      </c>
      <c r="B2409" s="538" t="n">
        <v>18.63</v>
      </c>
      <c r="C2409" s="538" t="n">
        <v>19.47</v>
      </c>
      <c r="D2409" s="637" t="n"/>
      <c r="E2409" s="538" t="n">
        <v>22.45</v>
      </c>
    </row>
    <row r="2410">
      <c r="A2410" s="544" t="n">
        <v>32582</v>
      </c>
      <c r="B2410" s="538" t="n">
        <v>19.08</v>
      </c>
      <c r="C2410" s="538" t="n">
        <v>19.84</v>
      </c>
      <c r="D2410" s="637" t="n"/>
      <c r="E2410" s="538" t="n">
        <v>22.55</v>
      </c>
    </row>
    <row r="2411">
      <c r="A2411" s="544" t="n">
        <v>32583</v>
      </c>
      <c r="B2411" s="538" t="n">
        <v>18.95</v>
      </c>
      <c r="C2411" s="538" t="n">
        <v>19.86</v>
      </c>
      <c r="D2411" s="637" t="n"/>
      <c r="E2411" s="538" t="n">
        <v>22.55</v>
      </c>
    </row>
    <row r="2412">
      <c r="A2412" s="544" t="n">
        <v>32584</v>
      </c>
      <c r="B2412" s="538" t="n">
        <v>19.3</v>
      </c>
      <c r="C2412" s="538" t="n">
        <v>20.34</v>
      </c>
      <c r="D2412" s="637" t="n"/>
      <c r="E2412" s="538" t="n">
        <v>22.45</v>
      </c>
    </row>
    <row r="2413">
      <c r="A2413" s="544" t="n">
        <v>32587</v>
      </c>
      <c r="B2413" s="538" t="n">
        <v>19.18</v>
      </c>
      <c r="C2413" s="538" t="n">
        <v>19.53</v>
      </c>
      <c r="D2413" s="637" t="n"/>
      <c r="E2413" s="538" t="n">
        <v>22.45</v>
      </c>
    </row>
    <row r="2414">
      <c r="A2414" s="544" t="n">
        <v>32588</v>
      </c>
      <c r="B2414" s="538" t="n">
        <v>19.63</v>
      </c>
      <c r="C2414" s="538" t="n">
        <v>20.08</v>
      </c>
      <c r="D2414" s="637" t="n"/>
      <c r="E2414" s="538" t="n">
        <v>22.15</v>
      </c>
    </row>
    <row r="2415">
      <c r="A2415" s="544" t="n">
        <v>32589</v>
      </c>
      <c r="B2415" s="538" t="n">
        <v>19.6</v>
      </c>
      <c r="C2415" s="538" t="n">
        <v>20.21</v>
      </c>
      <c r="D2415" s="637" t="n"/>
      <c r="E2415" s="538" t="n">
        <v>22</v>
      </c>
    </row>
    <row r="2416">
      <c r="A2416" s="544" t="n">
        <v>32590</v>
      </c>
      <c r="B2416" s="538" t="n">
        <v>19.93</v>
      </c>
      <c r="C2416" s="538" t="n">
        <v>20.16</v>
      </c>
      <c r="D2416" s="637" t="n"/>
      <c r="E2416" s="538" t="n">
        <v>21.75</v>
      </c>
    </row>
    <row r="2417">
      <c r="A2417" s="544" t="n">
        <v>32591</v>
      </c>
      <c r="B2417" s="538" t="n">
        <v>19.93</v>
      </c>
      <c r="C2417" s="538" t="n">
        <v>20.16</v>
      </c>
      <c r="D2417" s="637" t="n"/>
      <c r="E2417" s="538" t="n">
        <v>21.75</v>
      </c>
    </row>
    <row r="2418">
      <c r="A2418" s="544" t="n">
        <v>32594</v>
      </c>
      <c r="B2418" s="538" t="n">
        <v>19.93</v>
      </c>
      <c r="C2418" s="538" t="n">
        <v>20.55</v>
      </c>
      <c r="D2418" s="637" t="n"/>
      <c r="E2418" s="538" t="n">
        <v>21.55</v>
      </c>
    </row>
    <row r="2419">
      <c r="A2419" s="544" t="n">
        <v>32595</v>
      </c>
      <c r="B2419" s="538" t="n">
        <v>19.73</v>
      </c>
      <c r="C2419" s="538" t="n">
        <v>19.93</v>
      </c>
      <c r="D2419" s="637" t="n"/>
      <c r="E2419" s="538" t="n">
        <v>21.8</v>
      </c>
    </row>
    <row r="2420">
      <c r="A2420" s="544" t="n">
        <v>32596</v>
      </c>
      <c r="B2420" s="538" t="n">
        <v>19.45</v>
      </c>
      <c r="C2420" s="538" t="n">
        <v>20.2</v>
      </c>
      <c r="D2420" s="637" t="n"/>
      <c r="E2420" s="538" t="n">
        <v>21.9</v>
      </c>
    </row>
    <row r="2421">
      <c r="A2421" s="544" t="n">
        <v>32597</v>
      </c>
      <c r="B2421" s="538" t="n">
        <v>20</v>
      </c>
      <c r="C2421" s="538" t="n">
        <v>21.03</v>
      </c>
      <c r="D2421" s="637" t="n"/>
      <c r="E2421" s="538" t="n">
        <v>22.2</v>
      </c>
    </row>
    <row r="2422">
      <c r="A2422" s="544" t="n">
        <v>32598</v>
      </c>
      <c r="B2422" s="538" t="n">
        <v>20.45</v>
      </c>
      <c r="C2422" s="538" t="n">
        <v>20.27</v>
      </c>
      <c r="D2422" s="637" t="n"/>
      <c r="E2422" s="538" t="n">
        <v>22.9</v>
      </c>
    </row>
    <row r="2423">
      <c r="A2423" s="544" t="n">
        <v>32601</v>
      </c>
      <c r="B2423" s="538" t="n">
        <v>19.65</v>
      </c>
      <c r="C2423" s="538" t="n">
        <v>20.03</v>
      </c>
      <c r="D2423" s="637" t="n"/>
      <c r="E2423" s="538" t="n">
        <v>22.9</v>
      </c>
    </row>
    <row r="2424">
      <c r="A2424" s="544" t="n">
        <v>32602</v>
      </c>
      <c r="B2424" s="538" t="n">
        <v>19.9</v>
      </c>
      <c r="C2424" s="538" t="n">
        <v>20.59</v>
      </c>
      <c r="D2424" s="637" t="n"/>
      <c r="E2424" s="538" t="n">
        <v>22.65</v>
      </c>
    </row>
    <row r="2425">
      <c r="A2425" s="544" t="n">
        <v>32603</v>
      </c>
      <c r="B2425" s="538" t="n">
        <v>19.75</v>
      </c>
      <c r="C2425" s="538" t="n">
        <v>20.07</v>
      </c>
      <c r="D2425" s="637" t="n"/>
      <c r="E2425" s="538" t="n">
        <v>22.65</v>
      </c>
    </row>
    <row r="2426">
      <c r="A2426" s="544" t="n">
        <v>32604</v>
      </c>
      <c r="B2426" s="538" t="n">
        <v>19.08</v>
      </c>
      <c r="C2426" s="538" t="n">
        <v>19.85</v>
      </c>
      <c r="D2426" s="637" t="n"/>
      <c r="E2426" s="538" t="n">
        <v>22.6</v>
      </c>
    </row>
    <row r="2427">
      <c r="A2427" s="544" t="n">
        <v>32605</v>
      </c>
      <c r="B2427" s="538" t="n">
        <v>19.4</v>
      </c>
      <c r="C2427" s="538" t="n">
        <v>20.03</v>
      </c>
      <c r="D2427" s="637" t="n"/>
      <c r="E2427" s="538" t="n">
        <v>22.6</v>
      </c>
    </row>
    <row r="2428">
      <c r="A2428" s="544" t="n">
        <v>32608</v>
      </c>
      <c r="B2428" s="538" t="n">
        <v>19.6</v>
      </c>
      <c r="C2428" s="538" t="n">
        <v>20.65</v>
      </c>
      <c r="D2428" s="637" t="n"/>
      <c r="E2428" s="538" t="n">
        <v>22.6</v>
      </c>
    </row>
    <row r="2429">
      <c r="A2429" s="544" t="n">
        <v>32609</v>
      </c>
      <c r="B2429" s="538" t="n">
        <v>19.95</v>
      </c>
      <c r="C2429" s="538" t="n">
        <v>20.56</v>
      </c>
      <c r="D2429" s="637" t="n"/>
      <c r="E2429" s="538" t="n">
        <v>22.75</v>
      </c>
    </row>
    <row r="2430">
      <c r="A2430" s="544" t="n">
        <v>32610</v>
      </c>
      <c r="B2430" s="538" t="n">
        <v>19.85</v>
      </c>
      <c r="C2430" s="538" t="n">
        <v>20.66</v>
      </c>
      <c r="D2430" s="637" t="n"/>
      <c r="E2430" s="538" t="n">
        <v>22.75</v>
      </c>
    </row>
    <row r="2431">
      <c r="A2431" s="544" t="n">
        <v>32611</v>
      </c>
      <c r="B2431" s="538" t="n">
        <v>19.95</v>
      </c>
      <c r="C2431" s="538" t="n">
        <v>20.26</v>
      </c>
      <c r="D2431" s="637" t="n"/>
      <c r="E2431" s="538" t="n">
        <v>22.75</v>
      </c>
    </row>
    <row r="2432">
      <c r="A2432" s="544" t="n">
        <v>32612</v>
      </c>
      <c r="B2432" s="538" t="n">
        <v>19.63</v>
      </c>
      <c r="C2432" s="538" t="n">
        <v>20.68</v>
      </c>
      <c r="D2432" s="637" t="n"/>
      <c r="E2432" s="538" t="n">
        <v>22.6</v>
      </c>
    </row>
    <row r="2433">
      <c r="A2433" s="544" t="n">
        <v>32615</v>
      </c>
      <c r="B2433" s="538" t="n">
        <v>19.88</v>
      </c>
      <c r="C2433" s="538" t="n">
        <v>21.23</v>
      </c>
      <c r="D2433" s="637" t="n"/>
      <c r="E2433" s="538" t="n">
        <v>22.35</v>
      </c>
    </row>
    <row r="2434">
      <c r="A2434" s="544" t="n">
        <v>32616</v>
      </c>
      <c r="B2434" s="538" t="n">
        <v>20.2</v>
      </c>
      <c r="C2434" s="538" t="n">
        <v>21.74</v>
      </c>
      <c r="D2434" s="637" t="n"/>
      <c r="E2434" s="538" t="n">
        <v>22.35</v>
      </c>
    </row>
    <row r="2435">
      <c r="A2435" s="544" t="n">
        <v>32617</v>
      </c>
      <c r="B2435" s="538" t="n">
        <v>21.5</v>
      </c>
      <c r="C2435" s="538" t="n">
        <v>22.66</v>
      </c>
      <c r="D2435" s="637" t="n"/>
      <c r="E2435" s="538" t="n">
        <v>22.35</v>
      </c>
    </row>
    <row r="2436">
      <c r="A2436" s="544" t="n">
        <v>32618</v>
      </c>
      <c r="B2436" s="538" t="n">
        <v>22.25</v>
      </c>
      <c r="C2436" s="538" t="n">
        <v>24.62</v>
      </c>
      <c r="D2436" s="637" t="n"/>
      <c r="E2436" s="538" t="n">
        <v>22.6</v>
      </c>
    </row>
    <row r="2437">
      <c r="A2437" s="544" t="n">
        <v>32619</v>
      </c>
      <c r="B2437" s="538" t="n">
        <v>21.6</v>
      </c>
      <c r="C2437" s="538" t="n">
        <v>23.38</v>
      </c>
      <c r="D2437" s="637" t="n"/>
      <c r="E2437" s="538" t="n">
        <v>23.2</v>
      </c>
    </row>
    <row r="2438">
      <c r="A2438" s="544" t="n">
        <v>32622</v>
      </c>
      <c r="B2438" s="538" t="n">
        <v>21.2</v>
      </c>
      <c r="C2438" s="538" t="n">
        <v>20.64</v>
      </c>
      <c r="D2438" s="637" t="n"/>
      <c r="E2438" s="538" t="n">
        <v>23.25</v>
      </c>
    </row>
    <row r="2439">
      <c r="A2439" s="544" t="n">
        <v>32623</v>
      </c>
      <c r="B2439" s="538" t="n">
        <v>21.15</v>
      </c>
      <c r="C2439" s="538" t="n">
        <v>21.32</v>
      </c>
      <c r="D2439" s="637" t="n"/>
      <c r="E2439" s="538" t="n">
        <v>23.25</v>
      </c>
    </row>
    <row r="2440">
      <c r="A2440" s="544" t="n">
        <v>32624</v>
      </c>
      <c r="B2440" s="538" t="n">
        <v>21.05</v>
      </c>
      <c r="C2440" s="538" t="n">
        <v>21.2</v>
      </c>
      <c r="D2440" s="637" t="n"/>
      <c r="E2440" s="538" t="n">
        <v>23.25</v>
      </c>
    </row>
    <row r="2441">
      <c r="A2441" s="544" t="n">
        <v>32625</v>
      </c>
      <c r="B2441" s="538" t="n">
        <v>20.65</v>
      </c>
      <c r="C2441" s="538" t="n">
        <v>20.83</v>
      </c>
      <c r="D2441" s="637" t="n"/>
      <c r="E2441" s="538" t="n">
        <v>23</v>
      </c>
    </row>
    <row r="2442">
      <c r="A2442" s="544" t="n">
        <v>32626</v>
      </c>
      <c r="B2442" s="538" t="n">
        <v>20.15</v>
      </c>
      <c r="C2442" s="538" t="n">
        <v>20.38</v>
      </c>
      <c r="D2442" s="637" t="n"/>
      <c r="E2442" s="538" t="n">
        <v>22.75</v>
      </c>
    </row>
    <row r="2443">
      <c r="A2443" s="544" t="n">
        <v>32629</v>
      </c>
      <c r="B2443" s="538" t="n">
        <v>20.15</v>
      </c>
      <c r="C2443" s="538" t="n">
        <v>20.66</v>
      </c>
      <c r="D2443" s="637" t="n"/>
      <c r="E2443" s="538" t="n">
        <v>22.75</v>
      </c>
    </row>
    <row r="2444">
      <c r="A2444" s="544" t="n">
        <v>32630</v>
      </c>
      <c r="B2444" s="538" t="n">
        <v>19.15</v>
      </c>
      <c r="C2444" s="538" t="n">
        <v>19.73</v>
      </c>
      <c r="D2444" s="637" t="n"/>
      <c r="E2444" s="538" t="n">
        <v>22.65</v>
      </c>
    </row>
    <row r="2445">
      <c r="A2445" s="544" t="n">
        <v>32631</v>
      </c>
      <c r="B2445" s="538" t="n">
        <v>18.88</v>
      </c>
      <c r="C2445" s="538" t="n">
        <v>20.13</v>
      </c>
      <c r="D2445" s="637" t="n"/>
      <c r="E2445" s="538" t="n">
        <v>22.45</v>
      </c>
    </row>
    <row r="2446">
      <c r="A2446" s="544" t="n">
        <v>32632</v>
      </c>
      <c r="B2446" s="538" t="n">
        <v>19.7</v>
      </c>
      <c r="C2446" s="538" t="n">
        <v>20.57</v>
      </c>
      <c r="D2446" s="637" t="n"/>
      <c r="E2446" s="538" t="n">
        <v>22.4</v>
      </c>
    </row>
    <row r="2447">
      <c r="A2447" s="544" t="n">
        <v>32633</v>
      </c>
      <c r="B2447" s="538" t="n">
        <v>19.4</v>
      </c>
      <c r="C2447" s="538" t="n">
        <v>20.08</v>
      </c>
      <c r="D2447" s="637" t="n"/>
      <c r="E2447" s="538" t="n">
        <v>22.35</v>
      </c>
    </row>
    <row r="2448">
      <c r="A2448" s="544" t="n">
        <v>32636</v>
      </c>
      <c r="B2448" s="538" t="n">
        <v>18.8</v>
      </c>
      <c r="C2448" s="538" t="n">
        <v>19.41</v>
      </c>
      <c r="D2448" s="637" t="n"/>
      <c r="E2448" s="538" t="n">
        <v>22.35</v>
      </c>
    </row>
    <row r="2449">
      <c r="A2449" s="544" t="n">
        <v>32637</v>
      </c>
      <c r="B2449" s="538" t="n">
        <v>19.03</v>
      </c>
      <c r="C2449" s="538" t="n">
        <v>19.54</v>
      </c>
      <c r="D2449" s="637" t="n"/>
      <c r="E2449" s="538" t="n">
        <v>22.15</v>
      </c>
    </row>
    <row r="2450">
      <c r="A2450" s="544" t="n">
        <v>32638</v>
      </c>
      <c r="B2450" s="538" t="n">
        <v>18.88</v>
      </c>
      <c r="C2450" s="538" t="n">
        <v>19.56</v>
      </c>
      <c r="D2450" s="637" t="n"/>
      <c r="E2450" s="538" t="n">
        <v>21.85</v>
      </c>
    </row>
    <row r="2451">
      <c r="A2451" s="544" t="n">
        <v>32639</v>
      </c>
      <c r="B2451" s="538" t="n">
        <v>19.3</v>
      </c>
      <c r="C2451" s="538" t="n">
        <v>20.13</v>
      </c>
      <c r="D2451" s="637" t="n"/>
      <c r="E2451" s="538" t="n">
        <v>21.7</v>
      </c>
    </row>
    <row r="2452">
      <c r="A2452" s="544" t="n">
        <v>32640</v>
      </c>
      <c r="B2452" s="538" t="n">
        <v>19.2</v>
      </c>
      <c r="C2452" s="538" t="n">
        <v>20.12</v>
      </c>
      <c r="D2452" s="637" t="n"/>
      <c r="E2452" s="538" t="n">
        <v>21.7</v>
      </c>
    </row>
    <row r="2453">
      <c r="A2453" s="544" t="n">
        <v>32643</v>
      </c>
      <c r="B2453" s="538" t="n">
        <v>19.2</v>
      </c>
      <c r="C2453" s="538" t="n">
        <v>20.53</v>
      </c>
      <c r="D2453" s="637" t="n"/>
      <c r="E2453" s="538" t="n">
        <v>21.45</v>
      </c>
    </row>
    <row r="2454">
      <c r="A2454" s="544" t="n">
        <v>32644</v>
      </c>
      <c r="B2454" s="538" t="n">
        <v>19.8</v>
      </c>
      <c r="C2454" s="538" t="n">
        <v>20.58</v>
      </c>
      <c r="D2454" s="637" t="n"/>
      <c r="E2454" s="538" t="n">
        <v>21.2</v>
      </c>
    </row>
    <row r="2455">
      <c r="A2455" s="544" t="n">
        <v>32645</v>
      </c>
      <c r="B2455" s="538" t="n">
        <v>18.58</v>
      </c>
      <c r="C2455" s="538" t="n">
        <v>20.15</v>
      </c>
      <c r="D2455" s="637" t="n"/>
      <c r="E2455" s="538" t="n">
        <v>21.1</v>
      </c>
    </row>
    <row r="2456">
      <c r="A2456" s="544" t="n">
        <v>32646</v>
      </c>
      <c r="B2456" s="538" t="n">
        <v>18.6</v>
      </c>
      <c r="C2456" s="538" t="n">
        <v>20.25</v>
      </c>
      <c r="D2456" s="637" t="n"/>
      <c r="E2456" s="538" t="n">
        <v>21</v>
      </c>
    </row>
    <row r="2457">
      <c r="A2457" s="544" t="n">
        <v>32647</v>
      </c>
      <c r="B2457" s="538" t="n">
        <v>18.3</v>
      </c>
      <c r="C2457" s="538" t="n">
        <v>20.58</v>
      </c>
      <c r="D2457" s="637" t="n"/>
      <c r="E2457" s="538" t="n">
        <v>21</v>
      </c>
    </row>
    <row r="2458">
      <c r="A2458" s="544" t="n">
        <v>32650</v>
      </c>
      <c r="B2458" s="538" t="n">
        <v>17.4</v>
      </c>
      <c r="C2458" s="538" t="n">
        <v>20.92</v>
      </c>
      <c r="D2458" s="637" t="n"/>
      <c r="E2458" s="538" t="n">
        <v>20.85</v>
      </c>
    </row>
    <row r="2459">
      <c r="A2459" s="544" t="n">
        <v>32651</v>
      </c>
      <c r="B2459" s="538" t="n">
        <v>17.7</v>
      </c>
      <c r="C2459" s="538" t="n">
        <v>21.77</v>
      </c>
      <c r="D2459" s="637" t="n"/>
      <c r="E2459" s="538" t="n">
        <v>20.15</v>
      </c>
    </row>
    <row r="2460">
      <c r="A2460" s="544" t="n">
        <v>32652</v>
      </c>
      <c r="B2460" s="538" t="n">
        <v>18.15</v>
      </c>
      <c r="C2460" s="538" t="n">
        <v>19.68</v>
      </c>
      <c r="D2460" s="637" t="n"/>
      <c r="E2460" s="538" t="n">
        <v>20.15</v>
      </c>
    </row>
    <row r="2461">
      <c r="A2461" s="544" t="n">
        <v>32653</v>
      </c>
      <c r="B2461" s="538" t="n">
        <v>18.2</v>
      </c>
      <c r="C2461" s="538" t="n">
        <v>19.46</v>
      </c>
      <c r="D2461" s="637" t="n"/>
      <c r="E2461" s="538" t="n">
        <v>19.95</v>
      </c>
    </row>
    <row r="2462">
      <c r="A2462" s="544" t="n">
        <v>32654</v>
      </c>
      <c r="B2462" s="538" t="n">
        <v>17.65</v>
      </c>
      <c r="C2462" s="538" t="n">
        <v>19.55</v>
      </c>
      <c r="D2462" s="637" t="n"/>
      <c r="E2462" s="538" t="n">
        <v>20.45</v>
      </c>
    </row>
    <row r="2463">
      <c r="A2463" s="544" t="n">
        <v>32657</v>
      </c>
      <c r="B2463" s="538" t="n">
        <v>17.73</v>
      </c>
      <c r="C2463" s="538" t="n">
        <v>19.55</v>
      </c>
      <c r="D2463" s="637" t="n"/>
      <c r="E2463" s="538" t="n">
        <v>20.65</v>
      </c>
    </row>
    <row r="2464">
      <c r="A2464" s="544" t="n">
        <v>32658</v>
      </c>
      <c r="B2464" s="538" t="n">
        <v>18.03</v>
      </c>
      <c r="C2464" s="538" t="n">
        <v>19.96</v>
      </c>
      <c r="D2464" s="637" t="n"/>
      <c r="E2464" s="538" t="n">
        <v>21</v>
      </c>
    </row>
    <row r="2465">
      <c r="A2465" s="544" t="n">
        <v>32659</v>
      </c>
      <c r="B2465" s="538" t="n">
        <v>18.25</v>
      </c>
      <c r="C2465" s="538" t="n">
        <v>19.93</v>
      </c>
      <c r="D2465" s="637" t="n"/>
      <c r="E2465" s="538" t="n">
        <v>21.05</v>
      </c>
    </row>
    <row r="2466">
      <c r="A2466" s="544" t="n">
        <v>32660</v>
      </c>
      <c r="B2466" s="538" t="n">
        <v>18.08</v>
      </c>
      <c r="C2466" s="538" t="n">
        <v>19.83</v>
      </c>
      <c r="D2466" s="637" t="n"/>
      <c r="E2466" s="538" t="n">
        <v>21.05</v>
      </c>
    </row>
    <row r="2467">
      <c r="A2467" s="544" t="n">
        <v>32661</v>
      </c>
      <c r="B2467" s="538" t="n">
        <v>18.15</v>
      </c>
      <c r="C2467" s="538" t="n">
        <v>20.18</v>
      </c>
      <c r="D2467" s="637" t="n"/>
      <c r="E2467" s="538" t="n">
        <v>21.1</v>
      </c>
    </row>
    <row r="2468">
      <c r="A2468" s="544" t="n">
        <v>32664</v>
      </c>
      <c r="B2468" s="538" t="n">
        <v>18.55</v>
      </c>
      <c r="C2468" s="538" t="n">
        <v>20.5</v>
      </c>
      <c r="D2468" s="637" t="n"/>
      <c r="E2468" s="538" t="n">
        <v>21.15</v>
      </c>
    </row>
    <row r="2469">
      <c r="A2469" s="544" t="n">
        <v>32665</v>
      </c>
      <c r="B2469" s="538" t="n">
        <v>18.5</v>
      </c>
      <c r="C2469" s="538" t="n">
        <v>20.38</v>
      </c>
      <c r="D2469" s="637" t="n"/>
      <c r="E2469" s="538" t="n">
        <v>21.55</v>
      </c>
    </row>
    <row r="2470">
      <c r="A2470" s="544" t="n">
        <v>32666</v>
      </c>
      <c r="B2470" s="538" t="n">
        <v>18.15</v>
      </c>
      <c r="C2470" s="538" t="n">
        <v>19.7</v>
      </c>
      <c r="D2470" s="637" t="n"/>
      <c r="E2470" s="538" t="n">
        <v>21.8</v>
      </c>
    </row>
    <row r="2471">
      <c r="A2471" s="544" t="n">
        <v>32667</v>
      </c>
      <c r="B2471" s="538" t="n">
        <v>17.8</v>
      </c>
      <c r="C2471" s="538" t="n">
        <v>19.94</v>
      </c>
      <c r="D2471" s="637" t="n"/>
      <c r="E2471" s="538" t="n">
        <v>21.5</v>
      </c>
    </row>
    <row r="2472">
      <c r="A2472" s="544" t="n">
        <v>32668</v>
      </c>
      <c r="B2472" s="538" t="n">
        <v>17.95</v>
      </c>
      <c r="C2472" s="538" t="n">
        <v>19.87</v>
      </c>
      <c r="D2472" s="637" t="n"/>
      <c r="E2472" s="538" t="n">
        <v>21.6</v>
      </c>
    </row>
    <row r="2473">
      <c r="A2473" s="544" t="n">
        <v>32671</v>
      </c>
      <c r="B2473" s="538" t="n">
        <v>17.18</v>
      </c>
      <c r="C2473" s="538" t="n">
        <v>19.3</v>
      </c>
      <c r="D2473" s="637" t="n"/>
      <c r="E2473" s="538" t="n">
        <v>21.35</v>
      </c>
    </row>
    <row r="2474">
      <c r="A2474" s="544" t="n">
        <v>32672</v>
      </c>
      <c r="B2474" s="538" t="n">
        <v>16.8</v>
      </c>
      <c r="C2474" s="538" t="n">
        <v>19.5</v>
      </c>
      <c r="D2474" s="637" t="n"/>
      <c r="E2474" s="538" t="n">
        <v>21.25</v>
      </c>
    </row>
    <row r="2475">
      <c r="A2475" s="544" t="n">
        <v>32673</v>
      </c>
      <c r="B2475" s="538" t="n">
        <v>16.9</v>
      </c>
      <c r="C2475" s="538" t="n">
        <v>20.37</v>
      </c>
      <c r="D2475" s="637" t="n"/>
      <c r="E2475" s="538" t="n">
        <v>20.95</v>
      </c>
    </row>
    <row r="2476">
      <c r="A2476" s="544" t="n">
        <v>32674</v>
      </c>
      <c r="B2476" s="538" t="n">
        <v>16.95</v>
      </c>
      <c r="C2476" s="538" t="n">
        <v>20.56</v>
      </c>
      <c r="D2476" s="637" t="n"/>
      <c r="E2476" s="538" t="n">
        <v>20.95</v>
      </c>
    </row>
    <row r="2477">
      <c r="A2477" s="544" t="n">
        <v>32675</v>
      </c>
      <c r="B2477" s="538" t="n">
        <v>16.65</v>
      </c>
      <c r="C2477" s="538" t="n">
        <v>19.98</v>
      </c>
      <c r="D2477" s="637" t="n"/>
      <c r="E2477" s="538" t="n">
        <v>20.5</v>
      </c>
    </row>
    <row r="2478">
      <c r="A2478" s="544" t="n">
        <v>32678</v>
      </c>
      <c r="B2478" s="538" t="n">
        <v>16.85</v>
      </c>
      <c r="C2478" s="538" t="n">
        <v>20.88</v>
      </c>
      <c r="D2478" s="637" t="n"/>
      <c r="E2478" s="538" t="n">
        <v>20.5</v>
      </c>
    </row>
    <row r="2479">
      <c r="A2479" s="544" t="n">
        <v>32679</v>
      </c>
      <c r="B2479" s="538" t="n">
        <v>16.88</v>
      </c>
      <c r="C2479" s="538" t="n">
        <v>19.88</v>
      </c>
      <c r="D2479" s="637" t="n"/>
      <c r="E2479" s="538" t="n">
        <v>20.5</v>
      </c>
    </row>
    <row r="2480">
      <c r="A2480" s="544" t="n">
        <v>32680</v>
      </c>
      <c r="B2480" s="538" t="n">
        <v>17.13</v>
      </c>
      <c r="C2480" s="538" t="n">
        <v>19.74</v>
      </c>
      <c r="D2480" s="637" t="n"/>
      <c r="E2480" s="538" t="n">
        <v>20.5</v>
      </c>
    </row>
    <row r="2481">
      <c r="A2481" s="544" t="n">
        <v>32681</v>
      </c>
      <c r="B2481" s="538" t="n">
        <v>17.3</v>
      </c>
      <c r="C2481" s="538" t="n">
        <v>19.53</v>
      </c>
      <c r="D2481" s="637" t="n"/>
      <c r="E2481" s="538" t="n">
        <v>20.4</v>
      </c>
    </row>
    <row r="2482">
      <c r="A2482" s="544" t="n">
        <v>32682</v>
      </c>
      <c r="B2482" s="538" t="n">
        <v>18.03</v>
      </c>
      <c r="C2482" s="538" t="n">
        <v>19.71</v>
      </c>
      <c r="D2482" s="637" t="n"/>
      <c r="E2482" s="538" t="n">
        <v>20.4</v>
      </c>
    </row>
    <row r="2483">
      <c r="A2483" s="544" t="n">
        <v>32685</v>
      </c>
      <c r="B2483" s="538" t="n">
        <v>18.23</v>
      </c>
      <c r="C2483" s="538" t="n">
        <v>20.28</v>
      </c>
      <c r="D2483" s="637" t="n"/>
      <c r="E2483" s="538" t="n">
        <v>20.6</v>
      </c>
    </row>
    <row r="2484">
      <c r="A2484" s="544" t="n">
        <v>32686</v>
      </c>
      <c r="B2484" s="538" t="n">
        <v>18.2</v>
      </c>
      <c r="C2484" s="538" t="n">
        <v>20.38</v>
      </c>
      <c r="D2484" s="637" t="n"/>
      <c r="E2484" s="538" t="n">
        <v>20.95</v>
      </c>
    </row>
    <row r="2485">
      <c r="A2485" s="544" t="n">
        <v>32687</v>
      </c>
      <c r="B2485" s="538" t="n">
        <v>18</v>
      </c>
      <c r="C2485" s="538" t="n">
        <v>20.04</v>
      </c>
      <c r="D2485" s="637" t="n"/>
      <c r="E2485" s="538" t="n">
        <v>21</v>
      </c>
    </row>
    <row r="2486">
      <c r="A2486" s="544" t="n">
        <v>32688</v>
      </c>
      <c r="B2486" s="538" t="n">
        <v>18.2</v>
      </c>
      <c r="C2486" s="538" t="n">
        <v>20.27</v>
      </c>
      <c r="D2486" s="637" t="n"/>
      <c r="E2486" s="538" t="n">
        <v>21.1</v>
      </c>
    </row>
    <row r="2487">
      <c r="A2487" s="544" t="n">
        <v>32689</v>
      </c>
      <c r="B2487" s="538" t="n">
        <v>18.28</v>
      </c>
      <c r="C2487" s="538" t="n">
        <v>20.29</v>
      </c>
      <c r="D2487" s="637" t="n"/>
      <c r="E2487" s="538" t="n">
        <v>21.15</v>
      </c>
    </row>
    <row r="2488">
      <c r="A2488" s="544" t="n">
        <v>32692</v>
      </c>
      <c r="B2488" s="538" t="n">
        <v>18.4</v>
      </c>
      <c r="C2488" s="538" t="n">
        <v>20.55</v>
      </c>
      <c r="D2488" s="637" t="n"/>
      <c r="E2488" s="538" t="n">
        <v>21.45</v>
      </c>
    </row>
    <row r="2489">
      <c r="A2489" s="544" t="n">
        <v>32693</v>
      </c>
      <c r="B2489" s="538" t="n">
        <v>18.6</v>
      </c>
      <c r="C2489" s="538" t="n">
        <v>20.29</v>
      </c>
      <c r="D2489" s="637" t="n"/>
      <c r="E2489" s="538" t="n">
        <v>21.55</v>
      </c>
    </row>
    <row r="2490">
      <c r="A2490" s="544" t="n">
        <v>32694</v>
      </c>
      <c r="B2490" s="538" t="n">
        <v>18.75</v>
      </c>
      <c r="C2490" s="538" t="n">
        <v>20.98</v>
      </c>
      <c r="D2490" s="637" t="n"/>
      <c r="E2490" s="538" t="n">
        <v>21.55</v>
      </c>
    </row>
    <row r="2491">
      <c r="A2491" s="544" t="n">
        <v>32695</v>
      </c>
      <c r="B2491" s="538" t="n">
        <v>18.3</v>
      </c>
      <c r="C2491" s="538" t="n">
        <v>20.35</v>
      </c>
      <c r="D2491" s="637" t="n"/>
      <c r="E2491" s="538" t="n">
        <v>21.65</v>
      </c>
    </row>
    <row r="2492">
      <c r="A2492" s="544" t="n">
        <v>32696</v>
      </c>
      <c r="B2492" s="538" t="n">
        <v>17.85</v>
      </c>
      <c r="C2492" s="538" t="n">
        <v>20.78</v>
      </c>
      <c r="D2492" s="637" t="n"/>
      <c r="E2492" s="538" t="n">
        <v>21.85</v>
      </c>
    </row>
    <row r="2493">
      <c r="A2493" s="544" t="n">
        <v>32699</v>
      </c>
      <c r="B2493" s="538" t="n">
        <v>17.83</v>
      </c>
      <c r="C2493" s="538" t="n">
        <v>20.38</v>
      </c>
      <c r="D2493" s="637" t="n"/>
      <c r="E2493" s="538" t="n">
        <v>21.95</v>
      </c>
    </row>
    <row r="2494">
      <c r="A2494" s="544" t="n">
        <v>32700</v>
      </c>
      <c r="B2494" s="538" t="n">
        <v>17.63</v>
      </c>
      <c r="C2494" s="538" t="n">
        <v>20.75</v>
      </c>
      <c r="D2494" s="637" t="n"/>
      <c r="E2494" s="538" t="n">
        <v>22.25</v>
      </c>
    </row>
    <row r="2495">
      <c r="A2495" s="544" t="n">
        <v>32701</v>
      </c>
      <c r="B2495" s="538" t="n">
        <v>17.65</v>
      </c>
      <c r="C2495" s="538" t="n">
        <v>20.2</v>
      </c>
      <c r="D2495" s="637" t="n"/>
      <c r="E2495" s="538" t="n">
        <v>22.35</v>
      </c>
    </row>
    <row r="2496">
      <c r="A2496" s="544" t="n">
        <v>32702</v>
      </c>
      <c r="B2496" s="538" t="n">
        <v>17.6</v>
      </c>
      <c r="C2496" s="538" t="n">
        <v>20.42</v>
      </c>
      <c r="D2496" s="637" t="n"/>
      <c r="E2496" s="538" t="n">
        <v>22.35</v>
      </c>
    </row>
    <row r="2497">
      <c r="A2497" s="544" t="n">
        <v>32703</v>
      </c>
      <c r="B2497" s="538" t="n">
        <v>17.9</v>
      </c>
      <c r="C2497" s="538" t="n">
        <v>20.36</v>
      </c>
      <c r="D2497" s="637" t="n"/>
      <c r="E2497" s="538" t="n">
        <v>22.35</v>
      </c>
    </row>
    <row r="2498">
      <c r="A2498" s="544" t="n">
        <v>32706</v>
      </c>
      <c r="B2498" s="538" t="n">
        <v>18.05</v>
      </c>
      <c r="C2498" s="538" t="n">
        <v>20.49</v>
      </c>
      <c r="D2498" s="637" t="n"/>
      <c r="E2498" s="538" t="n">
        <v>22.5</v>
      </c>
    </row>
    <row r="2499">
      <c r="A2499" s="544" t="n">
        <v>32707</v>
      </c>
      <c r="B2499" s="538" t="n">
        <v>18.05</v>
      </c>
      <c r="C2499" s="538" t="n">
        <v>20.21</v>
      </c>
      <c r="D2499" s="637" t="n"/>
      <c r="E2499" s="538" t="n">
        <v>22.4</v>
      </c>
    </row>
    <row r="2500">
      <c r="A2500" s="544" t="n">
        <v>32708</v>
      </c>
      <c r="B2500" s="538" t="n">
        <v>17.85</v>
      </c>
      <c r="C2500" s="538" t="n">
        <v>19.83</v>
      </c>
      <c r="D2500" s="637" t="n"/>
      <c r="E2500" s="538" t="n">
        <v>22.4</v>
      </c>
    </row>
    <row r="2501">
      <c r="A2501" s="544" t="n">
        <v>32709</v>
      </c>
      <c r="B2501" s="538" t="n">
        <v>17.98</v>
      </c>
      <c r="C2501" s="538" t="n">
        <v>19.92</v>
      </c>
      <c r="D2501" s="637" t="n"/>
      <c r="E2501" s="538" t="n">
        <v>22.4</v>
      </c>
    </row>
    <row r="2502">
      <c r="A2502" s="544" t="n">
        <v>32710</v>
      </c>
      <c r="B2502" s="538" t="n">
        <v>17.83</v>
      </c>
      <c r="C2502" s="538" t="n">
        <v>19.86</v>
      </c>
      <c r="D2502" s="637" t="n"/>
      <c r="E2502" s="538" t="n">
        <v>22.35</v>
      </c>
    </row>
    <row r="2503">
      <c r="A2503" s="544" t="n">
        <v>32713</v>
      </c>
      <c r="B2503" s="538" t="n">
        <v>17.3</v>
      </c>
      <c r="C2503" s="538" t="n">
        <v>18.76</v>
      </c>
      <c r="D2503" s="637" t="n"/>
      <c r="E2503" s="538" t="n">
        <v>22.3</v>
      </c>
    </row>
    <row r="2504">
      <c r="A2504" s="544" t="n">
        <v>32714</v>
      </c>
      <c r="B2504" s="538" t="n">
        <v>17.05</v>
      </c>
      <c r="C2504" s="538" t="n">
        <v>18.52</v>
      </c>
      <c r="D2504" s="637" t="n"/>
      <c r="E2504" s="538" t="n">
        <v>22.3</v>
      </c>
    </row>
    <row r="2505">
      <c r="A2505" s="544" t="n">
        <v>32715</v>
      </c>
      <c r="B2505" s="538" t="n">
        <v>16.5</v>
      </c>
      <c r="C2505" s="538" t="n">
        <v>18.32</v>
      </c>
      <c r="D2505" s="637" t="n"/>
      <c r="E2505" s="538" t="n">
        <v>22.2</v>
      </c>
    </row>
    <row r="2506">
      <c r="A2506" s="544" t="n">
        <v>32716</v>
      </c>
      <c r="B2506" s="538" t="n">
        <v>16.28</v>
      </c>
      <c r="C2506" s="538" t="n">
        <v>18.15</v>
      </c>
      <c r="D2506" s="637" t="n"/>
      <c r="E2506" s="538" t="n">
        <v>22.2</v>
      </c>
    </row>
    <row r="2507">
      <c r="A2507" s="544" t="n">
        <v>32717</v>
      </c>
      <c r="B2507" s="538" t="n">
        <v>16.38</v>
      </c>
      <c r="C2507" s="538" t="n">
        <v>17.96</v>
      </c>
      <c r="D2507" s="637" t="n"/>
      <c r="E2507" s="538" t="n">
        <v>22.35</v>
      </c>
    </row>
    <row r="2508">
      <c r="A2508" s="544" t="n">
        <v>32720</v>
      </c>
      <c r="B2508" s="538" t="n">
        <v>16.3</v>
      </c>
      <c r="C2508" s="538" t="n">
        <v>18.33</v>
      </c>
      <c r="D2508" s="637" t="n"/>
      <c r="E2508" s="538" t="n">
        <v>22.35</v>
      </c>
    </row>
    <row r="2509">
      <c r="A2509" s="544" t="n">
        <v>32721</v>
      </c>
      <c r="B2509" s="538" t="n">
        <v>16.23</v>
      </c>
      <c r="C2509" s="538" t="n">
        <v>17.91</v>
      </c>
      <c r="D2509" s="637" t="n"/>
      <c r="E2509" s="538" t="n">
        <v>22.35</v>
      </c>
    </row>
    <row r="2510">
      <c r="A2510" s="544" t="n">
        <v>32722</v>
      </c>
      <c r="B2510" s="538" t="n">
        <v>16.1</v>
      </c>
      <c r="C2510" s="538" t="n">
        <v>18.28</v>
      </c>
      <c r="D2510" s="637" t="n"/>
      <c r="E2510" s="538" t="n">
        <v>22.45</v>
      </c>
    </row>
    <row r="2511">
      <c r="A2511" s="544" t="n">
        <v>32723</v>
      </c>
      <c r="B2511" s="538" t="n">
        <v>16.4</v>
      </c>
      <c r="C2511" s="538" t="n">
        <v>18.18</v>
      </c>
      <c r="D2511" s="637" t="n"/>
      <c r="E2511" s="538" t="n">
        <v>22.85</v>
      </c>
    </row>
    <row r="2512">
      <c r="A2512" s="544" t="n">
        <v>32724</v>
      </c>
      <c r="B2512" s="538" t="n">
        <v>16.15</v>
      </c>
      <c r="C2512" s="538" t="n">
        <v>18.05</v>
      </c>
      <c r="D2512" s="637" t="n"/>
      <c r="E2512" s="538" t="n">
        <v>23</v>
      </c>
    </row>
    <row r="2513">
      <c r="A2513" s="544" t="n">
        <v>32727</v>
      </c>
      <c r="B2513" s="538" t="n">
        <v>16.05</v>
      </c>
      <c r="C2513" s="538" t="n">
        <v>17.91</v>
      </c>
      <c r="D2513" s="637" t="n"/>
      <c r="E2513" s="538" t="n">
        <v>23.1</v>
      </c>
    </row>
    <row r="2514">
      <c r="A2514" s="544" t="n">
        <v>32728</v>
      </c>
      <c r="B2514" s="538" t="n">
        <v>16.28</v>
      </c>
      <c r="C2514" s="538" t="n">
        <v>18.06</v>
      </c>
      <c r="D2514" s="637" t="n"/>
      <c r="E2514" s="538" t="n">
        <v>23.1</v>
      </c>
    </row>
    <row r="2515">
      <c r="A2515" s="544" t="n">
        <v>32729</v>
      </c>
      <c r="B2515" s="538" t="n">
        <v>16.45</v>
      </c>
      <c r="C2515" s="538" t="n">
        <v>18.23</v>
      </c>
      <c r="D2515" s="637" t="n"/>
      <c r="E2515" s="538" t="n">
        <v>23.1</v>
      </c>
    </row>
    <row r="2516">
      <c r="A2516" s="544" t="n">
        <v>32730</v>
      </c>
      <c r="B2516" s="538" t="n">
        <v>16.93</v>
      </c>
      <c r="C2516" s="538" t="n">
        <v>18.58</v>
      </c>
      <c r="D2516" s="637" t="n"/>
      <c r="E2516" s="538" t="n">
        <v>23.1</v>
      </c>
    </row>
    <row r="2517">
      <c r="A2517" s="544" t="n">
        <v>32731</v>
      </c>
      <c r="B2517" s="538" t="n">
        <v>17</v>
      </c>
      <c r="C2517" s="538" t="n">
        <v>18.46</v>
      </c>
      <c r="D2517" s="637" t="n"/>
      <c r="E2517" s="538" t="n">
        <v>23.55</v>
      </c>
    </row>
    <row r="2518">
      <c r="A2518" s="544" t="n">
        <v>32734</v>
      </c>
      <c r="B2518" s="538" t="n">
        <v>16.85</v>
      </c>
      <c r="C2518" s="538" t="n">
        <v>18.6</v>
      </c>
      <c r="D2518" s="637" t="n"/>
      <c r="E2518" s="538" t="n">
        <v>23.8</v>
      </c>
    </row>
    <row r="2519">
      <c r="A2519" s="544" t="n">
        <v>32735</v>
      </c>
      <c r="B2519" s="538" t="n">
        <v>17</v>
      </c>
      <c r="C2519" s="538" t="n">
        <v>18.78</v>
      </c>
      <c r="D2519" s="637" t="n"/>
      <c r="E2519" s="538" t="n">
        <v>23.95</v>
      </c>
    </row>
    <row r="2520">
      <c r="A2520" s="544" t="n">
        <v>32736</v>
      </c>
      <c r="B2520" s="538" t="n">
        <v>17</v>
      </c>
      <c r="C2520" s="538" t="n">
        <v>18.99</v>
      </c>
      <c r="D2520" s="637" t="n"/>
      <c r="E2520" s="538" t="n">
        <v>24.1</v>
      </c>
    </row>
    <row r="2521">
      <c r="A2521" s="544" t="n">
        <v>32737</v>
      </c>
      <c r="B2521" s="538" t="n">
        <v>16.95</v>
      </c>
      <c r="C2521" s="538" t="n">
        <v>18.67</v>
      </c>
      <c r="D2521" s="637" t="n"/>
      <c r="E2521" s="538" t="n">
        <v>24.3</v>
      </c>
    </row>
    <row r="2522">
      <c r="A2522" s="544" t="n">
        <v>32738</v>
      </c>
      <c r="B2522" s="538" t="n">
        <v>16.83</v>
      </c>
      <c r="C2522" s="538" t="n">
        <v>18.82</v>
      </c>
      <c r="D2522" s="637" t="n"/>
      <c r="E2522" s="538" t="n">
        <v>24.4</v>
      </c>
    </row>
    <row r="2523">
      <c r="A2523" s="544" t="n">
        <v>32741</v>
      </c>
      <c r="B2523" s="538" t="n">
        <v>16.9</v>
      </c>
      <c r="C2523" s="538" t="n">
        <v>19.1</v>
      </c>
      <c r="D2523" s="637" t="n"/>
      <c r="E2523" s="538" t="n">
        <v>24.6</v>
      </c>
    </row>
    <row r="2524">
      <c r="A2524" s="544" t="n">
        <v>32742</v>
      </c>
      <c r="B2524" s="538" t="n">
        <v>17.1</v>
      </c>
      <c r="C2524" s="538" t="n">
        <v>19.01</v>
      </c>
      <c r="D2524" s="637" t="n"/>
      <c r="E2524" s="538" t="n">
        <v>24.6</v>
      </c>
    </row>
    <row r="2525">
      <c r="A2525" s="544" t="n">
        <v>32743</v>
      </c>
      <c r="B2525" s="538" t="n">
        <v>17.08</v>
      </c>
      <c r="C2525" s="538" t="n">
        <v>19.15</v>
      </c>
      <c r="D2525" s="637" t="n"/>
      <c r="E2525" s="538" t="n">
        <v>24.6</v>
      </c>
    </row>
    <row r="2526">
      <c r="A2526" s="544" t="n">
        <v>32744</v>
      </c>
      <c r="B2526" s="538" t="n">
        <v>17.05</v>
      </c>
      <c r="C2526" s="538" t="n">
        <v>19.02</v>
      </c>
      <c r="D2526" s="637" t="n"/>
      <c r="E2526" s="538" t="n">
        <v>24.75</v>
      </c>
    </row>
    <row r="2527">
      <c r="A2527" s="544" t="n">
        <v>32745</v>
      </c>
      <c r="B2527" s="538" t="n">
        <v>16.95</v>
      </c>
      <c r="C2527" s="538" t="n">
        <v>18.53</v>
      </c>
      <c r="D2527" s="637" t="n"/>
      <c r="E2527" s="538" t="n">
        <v>24.7</v>
      </c>
    </row>
    <row r="2528">
      <c r="A2528" s="544" t="n">
        <v>32748</v>
      </c>
      <c r="B2528" s="538" t="n">
        <v>16.98</v>
      </c>
      <c r="C2528" s="538" t="n">
        <v>18.69</v>
      </c>
      <c r="D2528" s="637" t="n"/>
      <c r="E2528" s="538" t="n">
        <v>24.8</v>
      </c>
    </row>
    <row r="2529">
      <c r="A2529" s="544" t="n">
        <v>32749</v>
      </c>
      <c r="B2529" s="538" t="n">
        <v>17.1</v>
      </c>
      <c r="C2529" s="538" t="n">
        <v>18.59</v>
      </c>
      <c r="D2529" s="637" t="n"/>
      <c r="E2529" s="538" t="n">
        <v>24.85</v>
      </c>
    </row>
    <row r="2530">
      <c r="A2530" s="544" t="n">
        <v>32750</v>
      </c>
      <c r="B2530" s="538" t="n">
        <v>17.13</v>
      </c>
      <c r="C2530" s="538" t="n">
        <v>18.85</v>
      </c>
      <c r="D2530" s="637" t="n"/>
      <c r="E2530" s="538" t="n">
        <v>24.85</v>
      </c>
    </row>
    <row r="2531">
      <c r="A2531" s="544" t="n">
        <v>32751</v>
      </c>
      <c r="B2531" s="538" t="n">
        <v>17.2</v>
      </c>
      <c r="C2531" s="538" t="n">
        <v>18.83</v>
      </c>
      <c r="D2531" s="637" t="n"/>
      <c r="E2531" s="538" t="n">
        <v>24.85</v>
      </c>
    </row>
    <row r="2532">
      <c r="A2532" s="544" t="n">
        <v>32752</v>
      </c>
      <c r="B2532" s="538" t="n">
        <v>17.33</v>
      </c>
      <c r="C2532" s="538" t="n">
        <v>18.88</v>
      </c>
      <c r="D2532" s="637" t="n"/>
      <c r="E2532" s="538" t="n">
        <v>24.8</v>
      </c>
    </row>
    <row r="2533">
      <c r="A2533" s="544" t="n">
        <v>32755</v>
      </c>
      <c r="B2533" s="538" t="n">
        <v>17.43</v>
      </c>
      <c r="C2533" s="538" t="n">
        <v>18.88</v>
      </c>
      <c r="D2533" s="637" t="n"/>
      <c r="E2533" s="538" t="n">
        <v>24.75</v>
      </c>
    </row>
    <row r="2534">
      <c r="A2534" s="544" t="n">
        <v>32756</v>
      </c>
      <c r="B2534" s="538" t="n">
        <v>17.45</v>
      </c>
      <c r="C2534" s="538" t="n">
        <v>19.08</v>
      </c>
      <c r="D2534" s="637" t="n"/>
      <c r="E2534" s="538" t="n">
        <v>24.7</v>
      </c>
    </row>
    <row r="2535">
      <c r="A2535" s="544" t="n">
        <v>32757</v>
      </c>
      <c r="B2535" s="538" t="n">
        <v>17.8</v>
      </c>
      <c r="C2535" s="538" t="n">
        <v>19.41</v>
      </c>
      <c r="D2535" s="637" t="n"/>
      <c r="E2535" s="538" t="n">
        <v>24.8</v>
      </c>
    </row>
    <row r="2536">
      <c r="A2536" s="544" t="n">
        <v>32758</v>
      </c>
      <c r="B2536" s="538" t="n">
        <v>17.8</v>
      </c>
      <c r="C2536" s="538" t="n">
        <v>19.4</v>
      </c>
      <c r="D2536" s="637" t="n"/>
      <c r="E2536" s="538" t="n">
        <v>24.8</v>
      </c>
    </row>
    <row r="2537">
      <c r="A2537" s="544" t="n">
        <v>32759</v>
      </c>
      <c r="B2537" s="538" t="n">
        <v>17.83</v>
      </c>
      <c r="C2537" s="538" t="n">
        <v>19.77</v>
      </c>
      <c r="D2537" s="637" t="n"/>
      <c r="E2537" s="538" t="n">
        <v>24.8</v>
      </c>
    </row>
    <row r="2538">
      <c r="A2538" s="544" t="n">
        <v>32762</v>
      </c>
      <c r="B2538" s="538" t="n">
        <v>17.98</v>
      </c>
      <c r="C2538" s="538" t="n">
        <v>19.77</v>
      </c>
      <c r="D2538" s="637" t="n"/>
      <c r="E2538" s="538" t="n">
        <v>24.8</v>
      </c>
    </row>
    <row r="2539">
      <c r="A2539" s="544" t="n">
        <v>32763</v>
      </c>
      <c r="B2539" s="538" t="n">
        <v>17.9</v>
      </c>
      <c r="C2539" s="538" t="n">
        <v>19.68</v>
      </c>
      <c r="D2539" s="637" t="n"/>
      <c r="E2539" s="538" t="n">
        <v>24.75</v>
      </c>
    </row>
    <row r="2540">
      <c r="A2540" s="544" t="n">
        <v>32764</v>
      </c>
      <c r="B2540" s="538" t="n">
        <v>18.05</v>
      </c>
      <c r="C2540" s="538" t="n">
        <v>19.87</v>
      </c>
      <c r="D2540" s="637" t="n"/>
      <c r="E2540" s="538" t="n">
        <v>24.8</v>
      </c>
    </row>
    <row r="2541">
      <c r="A2541" s="544" t="n">
        <v>32765</v>
      </c>
      <c r="B2541" s="538" t="n">
        <v>17.9</v>
      </c>
      <c r="C2541" s="538" t="n">
        <v>19.73</v>
      </c>
      <c r="D2541" s="637" t="n"/>
      <c r="E2541" s="538" t="n">
        <v>24.9</v>
      </c>
    </row>
    <row r="2542">
      <c r="A2542" s="544" t="n">
        <v>32766</v>
      </c>
      <c r="B2542" s="538" t="n">
        <v>17.88</v>
      </c>
      <c r="C2542" s="538" t="n">
        <v>19.96</v>
      </c>
      <c r="D2542" s="637" t="n"/>
      <c r="E2542" s="538" t="n">
        <v>24.9</v>
      </c>
    </row>
    <row r="2543">
      <c r="A2543" s="544" t="n">
        <v>32769</v>
      </c>
      <c r="B2543" s="538" t="n">
        <v>18.05</v>
      </c>
      <c r="C2543" s="538" t="n">
        <v>19.87</v>
      </c>
      <c r="D2543" s="637" t="n"/>
      <c r="E2543" s="538" t="n">
        <v>25</v>
      </c>
    </row>
    <row r="2544">
      <c r="A2544" s="544" t="n">
        <v>32770</v>
      </c>
      <c r="B2544" s="538" t="n">
        <v>17.9</v>
      </c>
      <c r="C2544" s="538" t="n">
        <v>19.68</v>
      </c>
      <c r="D2544" s="637" t="n"/>
      <c r="E2544" s="538" t="n">
        <v>25.25</v>
      </c>
    </row>
    <row r="2545">
      <c r="A2545" s="544" t="n">
        <v>32771</v>
      </c>
      <c r="B2545" s="538" t="n">
        <v>17.8</v>
      </c>
      <c r="C2545" s="538" t="n">
        <v>19.68</v>
      </c>
      <c r="D2545" s="637" t="n"/>
      <c r="E2545" s="538" t="n">
        <v>25.25</v>
      </c>
    </row>
    <row r="2546">
      <c r="A2546" s="544" t="n">
        <v>32772</v>
      </c>
      <c r="B2546" s="538" t="n">
        <v>17.85</v>
      </c>
      <c r="C2546" s="538" t="n">
        <v>19.69</v>
      </c>
      <c r="D2546" s="637" t="n"/>
      <c r="E2546" s="538" t="n">
        <v>25.7</v>
      </c>
    </row>
    <row r="2547">
      <c r="A2547" s="544" t="n">
        <v>32773</v>
      </c>
      <c r="B2547" s="538" t="n">
        <v>17.53</v>
      </c>
      <c r="C2547" s="538" t="n">
        <v>19.21</v>
      </c>
      <c r="D2547" s="637" t="n"/>
      <c r="E2547" s="538" t="n">
        <v>25.9</v>
      </c>
    </row>
    <row r="2548">
      <c r="A2548" s="544" t="n">
        <v>32776</v>
      </c>
      <c r="B2548" s="538" t="n">
        <v>17.45</v>
      </c>
      <c r="C2548" s="538" t="n">
        <v>19.49</v>
      </c>
      <c r="D2548" s="637" t="n"/>
      <c r="E2548" s="538" t="n">
        <v>25.85</v>
      </c>
    </row>
    <row r="2549">
      <c r="A2549" s="544" t="n">
        <v>32777</v>
      </c>
      <c r="B2549" s="538" t="n">
        <v>17.45</v>
      </c>
      <c r="C2549" s="538" t="n">
        <v>19.62</v>
      </c>
      <c r="D2549" s="637" t="n"/>
      <c r="E2549" s="538" t="n">
        <v>25.85</v>
      </c>
    </row>
    <row r="2550">
      <c r="A2550" s="544" t="n">
        <v>32778</v>
      </c>
      <c r="B2550" s="538" t="n">
        <v>17.55</v>
      </c>
      <c r="C2550" s="538" t="n">
        <v>19.61</v>
      </c>
      <c r="D2550" s="637" t="n"/>
      <c r="E2550" s="538" t="n">
        <v>26</v>
      </c>
    </row>
    <row r="2551">
      <c r="A2551" s="544" t="n">
        <v>32779</v>
      </c>
      <c r="B2551" s="538" t="n">
        <v>17.93</v>
      </c>
      <c r="C2551" s="538" t="n">
        <v>19.99</v>
      </c>
      <c r="D2551" s="637" t="n"/>
      <c r="E2551" s="538" t="n">
        <v>26.05</v>
      </c>
    </row>
    <row r="2552">
      <c r="A2552" s="544" t="n">
        <v>32780</v>
      </c>
      <c r="B2552" s="538" t="n">
        <v>18.23</v>
      </c>
      <c r="C2552" s="538" t="n">
        <v>20.15</v>
      </c>
      <c r="D2552" s="637" t="n"/>
      <c r="E2552" s="538" t="n">
        <v>26.1</v>
      </c>
    </row>
    <row r="2553">
      <c r="A2553" s="544" t="n">
        <v>32783</v>
      </c>
      <c r="B2553" s="538" t="n">
        <v>18.58</v>
      </c>
      <c r="C2553" s="538" t="n">
        <v>19.99</v>
      </c>
      <c r="D2553" s="637" t="n"/>
      <c r="E2553" s="538" t="n">
        <v>26.1</v>
      </c>
    </row>
    <row r="2554">
      <c r="A2554" s="544" t="n">
        <v>32784</v>
      </c>
      <c r="B2554" s="538" t="n">
        <v>18.73</v>
      </c>
      <c r="C2554" s="538" t="n">
        <v>20.15</v>
      </c>
      <c r="D2554" s="637" t="n"/>
      <c r="E2554" s="538" t="n">
        <v>26.2</v>
      </c>
    </row>
    <row r="2555">
      <c r="A2555" s="544" t="n">
        <v>32785</v>
      </c>
      <c r="B2555" s="538" t="n">
        <v>18.78</v>
      </c>
      <c r="C2555" s="538" t="n">
        <v>20.17</v>
      </c>
      <c r="D2555" s="637" t="n"/>
      <c r="E2555" s="538" t="n">
        <v>26.45</v>
      </c>
    </row>
    <row r="2556">
      <c r="A2556" s="544" t="n">
        <v>32786</v>
      </c>
      <c r="B2556" s="538" t="n">
        <v>18.43</v>
      </c>
      <c r="C2556" s="538" t="n">
        <v>19.95</v>
      </c>
      <c r="D2556" s="637" t="n"/>
      <c r="E2556" s="538" t="n">
        <v>26.75</v>
      </c>
    </row>
    <row r="2557">
      <c r="A2557" s="544" t="n">
        <v>32787</v>
      </c>
      <c r="B2557" s="538" t="n">
        <v>18.45</v>
      </c>
      <c r="C2557" s="538" t="n">
        <v>19.89</v>
      </c>
      <c r="D2557" s="637" t="n"/>
      <c r="E2557" s="538" t="n">
        <v>26.85</v>
      </c>
    </row>
    <row r="2558">
      <c r="A2558" s="544" t="n">
        <v>32790</v>
      </c>
      <c r="B2558" s="538" t="n">
        <v>18.25</v>
      </c>
      <c r="C2558" s="538" t="n">
        <v>20.04</v>
      </c>
      <c r="D2558" s="637" t="n"/>
      <c r="E2558" s="538" t="n">
        <v>26.95</v>
      </c>
    </row>
    <row r="2559">
      <c r="A2559" s="544" t="n">
        <v>32791</v>
      </c>
      <c r="B2559" s="538" t="n">
        <v>18.55</v>
      </c>
      <c r="C2559" s="538" t="n">
        <v>20.21</v>
      </c>
      <c r="D2559" s="637" t="n"/>
      <c r="E2559" s="538" t="n">
        <v>26.95</v>
      </c>
    </row>
    <row r="2560">
      <c r="A2560" s="544" t="n">
        <v>32792</v>
      </c>
      <c r="B2560" s="538" t="n">
        <v>18.85</v>
      </c>
      <c r="C2560" s="538" t="n">
        <v>20.18</v>
      </c>
      <c r="D2560" s="637" t="n"/>
      <c r="E2560" s="538" t="n">
        <v>26.95</v>
      </c>
    </row>
    <row r="2561">
      <c r="A2561" s="544" t="n">
        <v>32793</v>
      </c>
      <c r="B2561" s="538" t="n">
        <v>19.23</v>
      </c>
      <c r="C2561" s="538" t="n">
        <v>20.49</v>
      </c>
      <c r="D2561" s="637" t="n"/>
      <c r="E2561" s="538" t="n">
        <v>27</v>
      </c>
    </row>
    <row r="2562">
      <c r="A2562" s="544" t="n">
        <v>32794</v>
      </c>
      <c r="B2562" s="538" t="n">
        <v>19.6</v>
      </c>
      <c r="C2562" s="538" t="n">
        <v>20.91</v>
      </c>
      <c r="D2562" s="637" t="n"/>
      <c r="E2562" s="538" t="n">
        <v>27.2</v>
      </c>
    </row>
    <row r="2563">
      <c r="A2563" s="544" t="n">
        <v>32797</v>
      </c>
      <c r="B2563" s="538" t="n">
        <v>19.38</v>
      </c>
      <c r="C2563" s="538" t="n">
        <v>20.64</v>
      </c>
      <c r="D2563" s="637" t="n"/>
      <c r="E2563" s="538" t="n">
        <v>27.2</v>
      </c>
    </row>
    <row r="2564">
      <c r="A2564" s="544" t="n">
        <v>32798</v>
      </c>
      <c r="B2564" s="538" t="n">
        <v>19.53</v>
      </c>
      <c r="C2564" s="538" t="n">
        <v>20.68</v>
      </c>
      <c r="D2564" s="637" t="n"/>
      <c r="E2564" s="538" t="n">
        <v>27.4</v>
      </c>
    </row>
    <row r="2565">
      <c r="A2565" s="544" t="n">
        <v>32799</v>
      </c>
      <c r="B2565" s="538" t="n">
        <v>19.43</v>
      </c>
      <c r="C2565" s="538" t="n">
        <v>20.58</v>
      </c>
      <c r="D2565" s="637" t="n"/>
      <c r="E2565" s="538" t="n">
        <v>28.05</v>
      </c>
    </row>
    <row r="2566">
      <c r="A2566" s="544" t="n">
        <v>32800</v>
      </c>
      <c r="B2566" s="538" t="n">
        <v>19.33</v>
      </c>
      <c r="C2566" s="538" t="n">
        <v>20.37</v>
      </c>
      <c r="D2566" s="637" t="n"/>
      <c r="E2566" s="538" t="n">
        <v>28.45</v>
      </c>
    </row>
    <row r="2567">
      <c r="A2567" s="544" t="n">
        <v>32801</v>
      </c>
      <c r="B2567" s="538" t="n">
        <v>19.2</v>
      </c>
      <c r="C2567" s="538" t="n">
        <v>20.04</v>
      </c>
      <c r="D2567" s="637" t="n"/>
      <c r="E2567" s="538" t="n">
        <v>28.45</v>
      </c>
    </row>
    <row r="2568">
      <c r="A2568" s="544" t="n">
        <v>32804</v>
      </c>
      <c r="B2568" s="538" t="n">
        <v>18.88</v>
      </c>
      <c r="C2568" s="538" t="n">
        <v>19.67</v>
      </c>
      <c r="D2568" s="637" t="n"/>
      <c r="E2568" s="538" t="n">
        <v>28.45</v>
      </c>
    </row>
    <row r="2569">
      <c r="A2569" s="544" t="n">
        <v>32805</v>
      </c>
      <c r="B2569" s="538" t="n">
        <v>18.8</v>
      </c>
      <c r="C2569" s="538" t="n">
        <v>19.7</v>
      </c>
      <c r="D2569" s="637" t="n"/>
      <c r="E2569" s="538" t="n">
        <v>28.2</v>
      </c>
    </row>
    <row r="2570">
      <c r="A2570" s="544" t="n">
        <v>32806</v>
      </c>
      <c r="B2570" s="538" t="n">
        <v>18.88</v>
      </c>
      <c r="C2570" s="538" t="n">
        <v>19.6</v>
      </c>
      <c r="D2570" s="637" t="n"/>
      <c r="E2570" s="538" t="n">
        <v>28.15</v>
      </c>
    </row>
    <row r="2571">
      <c r="A2571" s="544" t="n">
        <v>32807</v>
      </c>
      <c r="B2571" s="538" t="n">
        <v>18.48</v>
      </c>
      <c r="C2571" s="538" t="n">
        <v>19.48</v>
      </c>
      <c r="D2571" s="637" t="n"/>
      <c r="E2571" s="538" t="n">
        <v>28.15</v>
      </c>
    </row>
    <row r="2572">
      <c r="A2572" s="544" t="n">
        <v>32808</v>
      </c>
      <c r="B2572" s="538" t="n">
        <v>18.7</v>
      </c>
      <c r="C2572" s="538" t="n">
        <v>19.79</v>
      </c>
      <c r="D2572" s="637" t="n"/>
      <c r="E2572" s="538" t="n">
        <v>27.85</v>
      </c>
    </row>
    <row r="2573">
      <c r="A2573" s="544" t="n">
        <v>32811</v>
      </c>
      <c r="B2573" s="538" t="n">
        <v>18.98</v>
      </c>
      <c r="C2573" s="538" t="n">
        <v>19.74</v>
      </c>
      <c r="D2573" s="637" t="n"/>
      <c r="E2573" s="538" t="n">
        <v>27.8</v>
      </c>
    </row>
    <row r="2574">
      <c r="A2574" s="544" t="n">
        <v>32812</v>
      </c>
      <c r="B2574" s="538" t="n">
        <v>18.93</v>
      </c>
      <c r="C2574" s="538" t="n">
        <v>19.88</v>
      </c>
      <c r="D2574" s="637" t="n"/>
      <c r="E2574" s="538" t="n">
        <v>27.8</v>
      </c>
    </row>
    <row r="2575">
      <c r="A2575" s="544" t="n">
        <v>32813</v>
      </c>
      <c r="B2575" s="538" t="n">
        <v>19.23</v>
      </c>
      <c r="C2575" s="538" t="n">
        <v>20.09</v>
      </c>
      <c r="D2575" s="637" t="n"/>
      <c r="E2575" s="538" t="n">
        <v>28</v>
      </c>
    </row>
    <row r="2576">
      <c r="A2576" s="544" t="n">
        <v>32814</v>
      </c>
      <c r="B2576" s="538" t="n">
        <v>19.2</v>
      </c>
      <c r="C2576" s="538" t="n">
        <v>20.01</v>
      </c>
      <c r="D2576" s="637" t="n"/>
      <c r="E2576" s="538" t="n">
        <v>28</v>
      </c>
    </row>
    <row r="2577">
      <c r="A2577" s="544" t="n">
        <v>32815</v>
      </c>
      <c r="B2577" s="538" t="n">
        <v>19</v>
      </c>
      <c r="C2577" s="538" t="n">
        <v>20.23</v>
      </c>
      <c r="D2577" s="637" t="n"/>
      <c r="E2577" s="538" t="n">
        <v>28</v>
      </c>
    </row>
    <row r="2578">
      <c r="A2578" s="544" t="n">
        <v>32818</v>
      </c>
      <c r="B2578" s="538" t="n">
        <v>18.95</v>
      </c>
      <c r="C2578" s="538" t="n">
        <v>20.06</v>
      </c>
      <c r="D2578" s="637" t="n"/>
      <c r="E2578" s="538" t="n">
        <v>28</v>
      </c>
    </row>
    <row r="2579">
      <c r="A2579" s="544" t="n">
        <v>32819</v>
      </c>
      <c r="B2579" s="538" t="n">
        <v>18.9</v>
      </c>
      <c r="C2579" s="538" t="n">
        <v>19.97</v>
      </c>
      <c r="D2579" s="637" t="n"/>
      <c r="E2579" s="538" t="n">
        <v>28.05</v>
      </c>
    </row>
    <row r="2580">
      <c r="A2580" s="544" t="n">
        <v>32820</v>
      </c>
      <c r="B2580" s="538" t="n">
        <v>18.9</v>
      </c>
      <c r="C2580" s="538" t="n">
        <v>19.97</v>
      </c>
      <c r="D2580" s="637" t="n"/>
      <c r="E2580" s="538" t="n">
        <v>27.8</v>
      </c>
    </row>
    <row r="2581">
      <c r="A2581" s="544" t="n">
        <v>32821</v>
      </c>
      <c r="B2581" s="538" t="n">
        <v>18.85</v>
      </c>
      <c r="C2581" s="538" t="n">
        <v>19.62</v>
      </c>
      <c r="D2581" s="637" t="n"/>
      <c r="E2581" s="538" t="n">
        <v>27.35</v>
      </c>
    </row>
    <row r="2582">
      <c r="A2582" s="544" t="n">
        <v>32822</v>
      </c>
      <c r="B2582" s="538" t="n">
        <v>19.05</v>
      </c>
      <c r="C2582" s="538" t="n">
        <v>19.84</v>
      </c>
      <c r="D2582" s="637" t="n"/>
      <c r="E2582" s="538" t="n">
        <v>27.5</v>
      </c>
    </row>
    <row r="2583">
      <c r="A2583" s="544" t="n">
        <v>32825</v>
      </c>
      <c r="B2583" s="538" t="n">
        <v>18.85</v>
      </c>
      <c r="C2583" s="538" t="n">
        <v>19.62</v>
      </c>
      <c r="D2583" s="637" t="n"/>
      <c r="E2583" s="538" t="n">
        <v>27.35</v>
      </c>
    </row>
    <row r="2584">
      <c r="A2584" s="544" t="n">
        <v>32826</v>
      </c>
      <c r="B2584" s="538" t="n">
        <v>18.7</v>
      </c>
      <c r="C2584" s="538" t="n">
        <v>19.58</v>
      </c>
      <c r="D2584" s="637" t="n"/>
      <c r="E2584" s="538" t="n">
        <v>26.8</v>
      </c>
    </row>
    <row r="2585">
      <c r="A2585" s="544" t="n">
        <v>32827</v>
      </c>
      <c r="B2585" s="538" t="n">
        <v>18.65</v>
      </c>
      <c r="C2585" s="538" t="n">
        <v>19.69</v>
      </c>
      <c r="D2585" s="637" t="n"/>
      <c r="E2585" s="538" t="n">
        <v>26.6</v>
      </c>
    </row>
    <row r="2586">
      <c r="A2586" s="544" t="n">
        <v>32828</v>
      </c>
      <c r="B2586" s="538" t="n">
        <v>18.65</v>
      </c>
      <c r="C2586" s="538" t="n">
        <v>19.88</v>
      </c>
      <c r="D2586" s="637" t="n"/>
      <c r="E2586" s="538" t="n">
        <v>26.6</v>
      </c>
    </row>
    <row r="2587">
      <c r="A2587" s="544" t="n">
        <v>32829</v>
      </c>
      <c r="B2587" s="538" t="n">
        <v>18.75</v>
      </c>
      <c r="C2587" s="538" t="n">
        <v>19.93</v>
      </c>
      <c r="D2587" s="637" t="n"/>
      <c r="E2587" s="538" t="n">
        <v>26.85</v>
      </c>
    </row>
    <row r="2588">
      <c r="A2588" s="544" t="n">
        <v>32832</v>
      </c>
      <c r="B2588" s="538" t="n">
        <v>18.8</v>
      </c>
      <c r="C2588" s="538" t="n">
        <v>20.13</v>
      </c>
      <c r="D2588" s="637" t="n"/>
      <c r="E2588" s="538" t="n">
        <v>27.25</v>
      </c>
    </row>
    <row r="2589">
      <c r="A2589" s="544" t="n">
        <v>32833</v>
      </c>
      <c r="B2589" s="538" t="n">
        <v>18.68</v>
      </c>
      <c r="C2589" s="538" t="n">
        <v>20.52</v>
      </c>
      <c r="D2589" s="637" t="n"/>
      <c r="E2589" s="538" t="n">
        <v>27.35</v>
      </c>
    </row>
    <row r="2590">
      <c r="A2590" s="544" t="n">
        <v>32834</v>
      </c>
      <c r="B2590" s="538" t="n">
        <v>18.6</v>
      </c>
      <c r="C2590" s="538" t="n">
        <v>19.8</v>
      </c>
      <c r="D2590" s="637" t="n"/>
      <c r="E2590" s="538" t="n">
        <v>27.35</v>
      </c>
    </row>
    <row r="2591">
      <c r="A2591" s="544" t="n">
        <v>32835</v>
      </c>
      <c r="B2591" s="538" t="n">
        <v>18.4</v>
      </c>
      <c r="C2591" s="538" t="n">
        <v>19.8</v>
      </c>
      <c r="D2591" s="637" t="n"/>
      <c r="E2591" s="538" t="n">
        <v>27.45</v>
      </c>
    </row>
    <row r="2592">
      <c r="A2592" s="544" t="n">
        <v>32836</v>
      </c>
      <c r="B2592" s="538" t="n">
        <v>18.48</v>
      </c>
      <c r="C2592" s="538" t="n">
        <v>19.84</v>
      </c>
      <c r="D2592" s="637" t="n"/>
      <c r="E2592" s="538" t="n">
        <v>27.4</v>
      </c>
    </row>
    <row r="2593">
      <c r="A2593" s="544" t="n">
        <v>32839</v>
      </c>
      <c r="B2593" s="538" t="n">
        <v>18.5</v>
      </c>
      <c r="C2593" s="538" t="n">
        <v>19.65</v>
      </c>
      <c r="D2593" s="637" t="n"/>
      <c r="E2593" s="538" t="n">
        <v>27.4</v>
      </c>
    </row>
    <row r="2594">
      <c r="A2594" s="544" t="n">
        <v>32840</v>
      </c>
      <c r="B2594" s="538" t="n">
        <v>18.23</v>
      </c>
      <c r="C2594" s="538" t="n">
        <v>19.33</v>
      </c>
      <c r="D2594" s="637" t="n"/>
      <c r="E2594" s="538" t="n">
        <v>27.55</v>
      </c>
    </row>
    <row r="2595">
      <c r="A2595" s="544" t="n">
        <v>32841</v>
      </c>
      <c r="B2595" s="538" t="n">
        <v>18.15</v>
      </c>
      <c r="C2595" s="538" t="n">
        <v>19.4</v>
      </c>
      <c r="D2595" s="637" t="n"/>
      <c r="E2595" s="538" t="n">
        <v>27.55</v>
      </c>
    </row>
    <row r="2596">
      <c r="A2596" s="544" t="n">
        <v>32842</v>
      </c>
      <c r="B2596" s="538" t="n">
        <v>18.48</v>
      </c>
      <c r="C2596" s="538" t="n">
        <v>19.87</v>
      </c>
      <c r="D2596" s="637" t="n"/>
      <c r="E2596" s="538" t="n">
        <v>27.55</v>
      </c>
    </row>
    <row r="2597">
      <c r="A2597" s="544" t="n">
        <v>32843</v>
      </c>
      <c r="B2597" s="538" t="n">
        <v>18.68</v>
      </c>
      <c r="C2597" s="538" t="n">
        <v>20.26</v>
      </c>
      <c r="D2597" s="637" t="n"/>
      <c r="E2597" s="538" t="n">
        <v>27.55</v>
      </c>
    </row>
    <row r="2598">
      <c r="A2598" s="544" t="n">
        <v>32846</v>
      </c>
      <c r="B2598" s="538" t="n">
        <v>19.28</v>
      </c>
      <c r="C2598" s="538" t="n">
        <v>20.24</v>
      </c>
      <c r="D2598" s="637" t="n"/>
      <c r="E2598" s="538" t="n">
        <v>27.55</v>
      </c>
    </row>
    <row r="2599">
      <c r="A2599" s="544" t="n">
        <v>32847</v>
      </c>
      <c r="B2599" s="538" t="n">
        <v>19.18</v>
      </c>
      <c r="C2599" s="538" t="n">
        <v>20.22</v>
      </c>
      <c r="D2599" s="637" t="n"/>
      <c r="E2599" s="538" t="n">
        <v>27.55</v>
      </c>
    </row>
    <row r="2600">
      <c r="A2600" s="544" t="n">
        <v>32848</v>
      </c>
      <c r="B2600" s="538" t="n">
        <v>19.28</v>
      </c>
      <c r="C2600" s="538" t="n">
        <v>20.46</v>
      </c>
      <c r="D2600" s="637" t="n"/>
      <c r="E2600" s="538" t="n">
        <v>27.65</v>
      </c>
    </row>
    <row r="2601">
      <c r="A2601" s="544" t="n">
        <v>32849</v>
      </c>
      <c r="B2601" s="538" t="n">
        <v>19.33</v>
      </c>
      <c r="C2601" s="538" t="n">
        <v>20.45</v>
      </c>
      <c r="D2601" s="637" t="n"/>
      <c r="E2601" s="538" t="n">
        <v>27.65</v>
      </c>
    </row>
    <row r="2602">
      <c r="A2602" s="544" t="n">
        <v>32850</v>
      </c>
      <c r="B2602" s="538" t="n">
        <v>19.15</v>
      </c>
      <c r="C2602" s="538" t="n">
        <v>20.41</v>
      </c>
      <c r="D2602" s="637" t="n"/>
      <c r="E2602" s="538" t="n">
        <v>27.65</v>
      </c>
    </row>
    <row r="2603">
      <c r="A2603" s="544" t="n">
        <v>32853</v>
      </c>
      <c r="B2603" s="538" t="n">
        <v>19.45</v>
      </c>
      <c r="C2603" s="538" t="n">
        <v>20.69</v>
      </c>
      <c r="D2603" s="637" t="n"/>
      <c r="E2603" s="538" t="n">
        <v>27.65</v>
      </c>
    </row>
    <row r="2604">
      <c r="A2604" s="544" t="n">
        <v>32854</v>
      </c>
      <c r="B2604" s="538" t="n">
        <v>19.53</v>
      </c>
      <c r="C2604" s="538" t="n">
        <v>20.8</v>
      </c>
      <c r="D2604" s="637" t="n"/>
      <c r="E2604" s="538" t="n">
        <v>27.9</v>
      </c>
    </row>
    <row r="2605">
      <c r="A2605" s="544" t="n">
        <v>32855</v>
      </c>
      <c r="B2605" s="538" t="n">
        <v>19.78</v>
      </c>
      <c r="C2605" s="538" t="n">
        <v>20.75</v>
      </c>
      <c r="D2605" s="637" t="n"/>
      <c r="E2605" s="538" t="n">
        <v>27.9</v>
      </c>
    </row>
    <row r="2606">
      <c r="A2606" s="544" t="n">
        <v>32856</v>
      </c>
      <c r="B2606" s="538" t="n">
        <v>19.68</v>
      </c>
      <c r="C2606" s="538" t="n">
        <v>20.67</v>
      </c>
      <c r="D2606" s="637" t="n"/>
      <c r="E2606" s="538" t="n">
        <v>27.9</v>
      </c>
    </row>
    <row r="2607">
      <c r="A2607" s="544" t="n">
        <v>32857</v>
      </c>
      <c r="B2607" s="538" t="n">
        <v>19.68</v>
      </c>
      <c r="C2607" s="538" t="n">
        <v>21.13</v>
      </c>
      <c r="D2607" s="637" t="n"/>
      <c r="E2607" s="538" t="n">
        <v>27.8</v>
      </c>
    </row>
    <row r="2608">
      <c r="A2608" s="544" t="n">
        <v>32860</v>
      </c>
      <c r="B2608" s="538" t="n">
        <v>19.98</v>
      </c>
      <c r="C2608" s="538" t="n">
        <v>22.2</v>
      </c>
      <c r="D2608" s="637" t="n"/>
      <c r="E2608" s="538" t="n">
        <v>27.95</v>
      </c>
    </row>
    <row r="2609">
      <c r="A2609" s="544" t="n">
        <v>32861</v>
      </c>
      <c r="B2609" s="538" t="n">
        <v>20.28</v>
      </c>
      <c r="C2609" s="538" t="n">
        <v>22.17</v>
      </c>
      <c r="D2609" s="637" t="n"/>
      <c r="E2609" s="538" t="n">
        <v>28.05</v>
      </c>
    </row>
    <row r="2610">
      <c r="A2610" s="544" t="n">
        <v>32862</v>
      </c>
      <c r="B2610" s="538" t="n">
        <v>20.23</v>
      </c>
      <c r="C2610" s="538" t="n">
        <v>21.58</v>
      </c>
      <c r="D2610" s="637" t="n"/>
      <c r="E2610" s="538" t="n">
        <v>28.05</v>
      </c>
    </row>
    <row r="2611">
      <c r="A2611" s="544" t="n">
        <v>32863</v>
      </c>
      <c r="B2611" s="538" t="n">
        <v>20.13</v>
      </c>
      <c r="C2611" s="538" t="n">
        <v>21.53</v>
      </c>
      <c r="D2611" s="637" t="n"/>
      <c r="E2611" s="538" t="n">
        <v>27.85</v>
      </c>
    </row>
    <row r="2612">
      <c r="A2612" s="544" t="n">
        <v>32864</v>
      </c>
      <c r="B2612" s="538" t="n">
        <v>20.5</v>
      </c>
      <c r="C2612" s="538" t="n">
        <v>21.31</v>
      </c>
      <c r="D2612" s="637" t="n"/>
      <c r="E2612" s="538" t="n">
        <v>28</v>
      </c>
    </row>
    <row r="2613">
      <c r="A2613" s="544" t="n">
        <v>32867</v>
      </c>
      <c r="B2613" s="538" t="n">
        <v>20.5</v>
      </c>
      <c r="C2613" s="538" t="n">
        <v>21.31</v>
      </c>
      <c r="D2613" s="637" t="n"/>
      <c r="E2613" s="538" t="n">
        <v>28</v>
      </c>
    </row>
    <row r="2614">
      <c r="A2614" s="544" t="n">
        <v>32868</v>
      </c>
      <c r="B2614" s="538" t="n">
        <v>20.5</v>
      </c>
      <c r="C2614" s="538" t="n">
        <v>21.91</v>
      </c>
      <c r="D2614" s="637" t="n"/>
      <c r="E2614" s="538" t="n">
        <v>28</v>
      </c>
    </row>
    <row r="2615">
      <c r="A2615" s="544" t="n">
        <v>32869</v>
      </c>
      <c r="B2615" s="538" t="n">
        <v>20.9</v>
      </c>
      <c r="C2615" s="538" t="n">
        <v>21.78</v>
      </c>
      <c r="D2615" s="637" t="n"/>
      <c r="E2615" s="538" t="n">
        <v>28</v>
      </c>
    </row>
    <row r="2616">
      <c r="A2616" s="544" t="n">
        <v>32870</v>
      </c>
      <c r="B2616" s="538" t="n">
        <v>20.85</v>
      </c>
      <c r="C2616" s="538" t="n">
        <v>21.6</v>
      </c>
      <c r="D2616" s="637" t="n"/>
      <c r="E2616" s="538" t="n">
        <v>28.25</v>
      </c>
    </row>
    <row r="2617">
      <c r="A2617" s="544" t="n">
        <v>32871</v>
      </c>
      <c r="B2617" s="538" t="n">
        <v>21.05</v>
      </c>
      <c r="C2617" s="538" t="n">
        <v>21.84</v>
      </c>
      <c r="D2617" s="637" t="n"/>
      <c r="E2617" s="538" t="n">
        <v>28.25</v>
      </c>
    </row>
    <row r="2618">
      <c r="A2618" s="544" t="n">
        <v>32874</v>
      </c>
      <c r="B2618" s="538" t="n">
        <v>21.05</v>
      </c>
      <c r="C2618" s="538" t="n">
        <v>21.84</v>
      </c>
      <c r="D2618" s="637" t="n"/>
      <c r="E2618" s="538" t="n">
        <v>28.25</v>
      </c>
    </row>
    <row r="2619">
      <c r="A2619" s="544" t="n">
        <v>32875</v>
      </c>
      <c r="B2619" s="538" t="n">
        <v>21.2</v>
      </c>
      <c r="C2619" s="538" t="n">
        <v>22.88</v>
      </c>
      <c r="D2619" s="637" t="n"/>
      <c r="E2619" s="538" t="n">
        <v>36.75</v>
      </c>
    </row>
    <row r="2620">
      <c r="A2620" s="544" t="n">
        <v>32876</v>
      </c>
      <c r="B2620" s="538" t="n">
        <v>22.65</v>
      </c>
      <c r="C2620" s="538" t="n">
        <v>23.81</v>
      </c>
      <c r="D2620" s="637" t="n"/>
      <c r="E2620" s="538" t="n">
        <v>28.2</v>
      </c>
    </row>
    <row r="2621">
      <c r="A2621" s="544" t="n">
        <v>32877</v>
      </c>
      <c r="B2621" s="538" t="n">
        <v>22.5</v>
      </c>
      <c r="C2621" s="538" t="n">
        <v>23.41</v>
      </c>
      <c r="D2621" s="637" t="n"/>
      <c r="E2621" s="538" t="n">
        <v>28.65</v>
      </c>
    </row>
    <row r="2622">
      <c r="A2622" s="544" t="n">
        <v>32878</v>
      </c>
      <c r="B2622" s="538" t="n">
        <v>23.13</v>
      </c>
      <c r="C2622" s="538" t="n">
        <v>23.07</v>
      </c>
      <c r="D2622" s="637" t="n"/>
      <c r="E2622" s="538" t="n">
        <v>28.65</v>
      </c>
    </row>
    <row r="2623">
      <c r="A2623" s="544" t="n">
        <v>32881</v>
      </c>
      <c r="B2623" s="538" t="n">
        <v>21.38</v>
      </c>
      <c r="C2623" s="538" t="n">
        <v>21.64</v>
      </c>
      <c r="D2623" s="637" t="n"/>
      <c r="E2623" s="538" t="n">
        <v>28.4</v>
      </c>
    </row>
    <row r="2624">
      <c r="A2624" s="544" t="n">
        <v>32882</v>
      </c>
      <c r="B2624" s="538" t="n">
        <v>21.03</v>
      </c>
      <c r="C2624" s="538" t="n">
        <v>22.25</v>
      </c>
      <c r="D2624" s="637" t="n"/>
      <c r="E2624" s="538" t="n">
        <v>28.15</v>
      </c>
    </row>
    <row r="2625">
      <c r="A2625" s="544" t="n">
        <v>32883</v>
      </c>
      <c r="B2625" s="538" t="n">
        <v>21.95</v>
      </c>
      <c r="C2625" s="538" t="n">
        <v>22.9</v>
      </c>
      <c r="D2625" s="637" t="n"/>
      <c r="E2625" s="538" t="n">
        <v>28.05</v>
      </c>
    </row>
    <row r="2626">
      <c r="A2626" s="544" t="n">
        <v>32884</v>
      </c>
      <c r="B2626" s="538" t="n">
        <v>21.88</v>
      </c>
      <c r="C2626" s="538" t="n">
        <v>23.15</v>
      </c>
      <c r="D2626" s="637" t="n"/>
      <c r="E2626" s="538" t="n">
        <v>27.9</v>
      </c>
    </row>
    <row r="2627">
      <c r="A2627" s="544" t="n">
        <v>32885</v>
      </c>
      <c r="B2627" s="538" t="n">
        <v>22.13</v>
      </c>
      <c r="C2627" s="538" t="n">
        <v>23.17</v>
      </c>
      <c r="D2627" s="637" t="n"/>
      <c r="E2627" s="538" t="n">
        <v>27.85</v>
      </c>
    </row>
    <row r="2628">
      <c r="A2628" s="544" t="n">
        <v>32888</v>
      </c>
      <c r="B2628" s="538" t="n">
        <v>21.6</v>
      </c>
      <c r="C2628" s="538" t="n">
        <v>22.36</v>
      </c>
      <c r="D2628" s="637" t="n"/>
      <c r="E2628" s="538" t="n">
        <v>27.55</v>
      </c>
    </row>
    <row r="2629">
      <c r="A2629" s="544" t="n">
        <v>32889</v>
      </c>
      <c r="B2629" s="538" t="n">
        <v>21.15</v>
      </c>
      <c r="C2629" s="538" t="n">
        <v>22.61</v>
      </c>
      <c r="D2629" s="637" t="n"/>
      <c r="E2629" s="538" t="n">
        <v>27.05</v>
      </c>
    </row>
    <row r="2630">
      <c r="A2630" s="544" t="n">
        <v>32890</v>
      </c>
      <c r="B2630" s="538" t="n">
        <v>20.45</v>
      </c>
      <c r="C2630" s="538" t="n">
        <v>22.11</v>
      </c>
      <c r="D2630" s="637" t="n"/>
      <c r="E2630" s="538" t="n">
        <v>26.85</v>
      </c>
    </row>
    <row r="2631">
      <c r="A2631" s="544" t="n">
        <v>32891</v>
      </c>
      <c r="B2631" s="538" t="n">
        <v>20.78</v>
      </c>
      <c r="C2631" s="538" t="n">
        <v>22.78</v>
      </c>
      <c r="D2631" s="637" t="n"/>
      <c r="E2631" s="538" t="n">
        <v>26.25</v>
      </c>
    </row>
    <row r="2632">
      <c r="A2632" s="544" t="n">
        <v>32892</v>
      </c>
      <c r="B2632" s="538" t="n">
        <v>21.28</v>
      </c>
      <c r="C2632" s="538" t="n">
        <v>23.7</v>
      </c>
      <c r="D2632" s="637" t="n"/>
      <c r="E2632" s="538" t="n">
        <v>26.25</v>
      </c>
    </row>
    <row r="2633">
      <c r="A2633" s="544" t="n">
        <v>32895</v>
      </c>
      <c r="B2633" s="538" t="n">
        <v>20.88</v>
      </c>
      <c r="C2633" s="538" t="n">
        <v>22.57</v>
      </c>
      <c r="D2633" s="637" t="n"/>
      <c r="E2633" s="538" t="n">
        <v>26.25</v>
      </c>
    </row>
    <row r="2634">
      <c r="A2634" s="544" t="n">
        <v>32896</v>
      </c>
      <c r="B2634" s="538" t="n">
        <v>20.23</v>
      </c>
      <c r="C2634" s="538" t="n">
        <v>22.34</v>
      </c>
      <c r="D2634" s="637" t="n"/>
      <c r="E2634" s="538" t="n">
        <v>25.75</v>
      </c>
    </row>
    <row r="2635">
      <c r="A2635" s="544" t="n">
        <v>32897</v>
      </c>
      <c r="B2635" s="538" t="n">
        <v>20.18</v>
      </c>
      <c r="C2635" s="538" t="n">
        <v>23.43</v>
      </c>
      <c r="D2635" s="637" t="n"/>
      <c r="E2635" s="538" t="n">
        <v>25.25</v>
      </c>
    </row>
    <row r="2636">
      <c r="A2636" s="544" t="n">
        <v>32898</v>
      </c>
      <c r="B2636" s="538" t="n">
        <v>20.55</v>
      </c>
      <c r="C2636" s="538" t="n">
        <v>24.48</v>
      </c>
      <c r="D2636" s="637" t="n"/>
      <c r="E2636" s="538" t="n">
        <v>25.07</v>
      </c>
    </row>
    <row r="2637">
      <c r="A2637" s="544" t="n">
        <v>32899</v>
      </c>
      <c r="B2637" s="538" t="n">
        <v>20.63</v>
      </c>
      <c r="C2637" s="538" t="n">
        <v>22.56</v>
      </c>
      <c r="D2637" s="637" t="n"/>
      <c r="E2637" s="538" t="n">
        <v>24.75</v>
      </c>
    </row>
    <row r="2638">
      <c r="A2638" s="544" t="n">
        <v>32902</v>
      </c>
      <c r="B2638" s="538" t="n">
        <v>20.73</v>
      </c>
      <c r="C2638" s="538" t="n">
        <v>22.79</v>
      </c>
      <c r="D2638" s="637" t="n"/>
      <c r="E2638" s="538" t="n">
        <v>24.75</v>
      </c>
    </row>
    <row r="2639">
      <c r="A2639" s="544" t="n">
        <v>32903</v>
      </c>
      <c r="B2639" s="538" t="n">
        <v>20.73</v>
      </c>
      <c r="C2639" s="538" t="n">
        <v>22.29</v>
      </c>
      <c r="D2639" s="637" t="n"/>
      <c r="E2639" s="538" t="n">
        <v>24.25</v>
      </c>
    </row>
    <row r="2640">
      <c r="A2640" s="544" t="n">
        <v>32904</v>
      </c>
      <c r="B2640" s="538" t="n">
        <v>20.5</v>
      </c>
      <c r="C2640" s="538" t="n">
        <v>22.69</v>
      </c>
      <c r="D2640" s="637" t="n"/>
      <c r="E2640" s="538" t="n">
        <v>24.1</v>
      </c>
    </row>
    <row r="2641">
      <c r="A2641" s="544" t="n">
        <v>32905</v>
      </c>
      <c r="B2641" s="538" t="n">
        <v>20.58</v>
      </c>
      <c r="C2641" s="538" t="n">
        <v>22.71</v>
      </c>
      <c r="D2641" s="637" t="n"/>
      <c r="E2641" s="538" t="n">
        <v>23.75</v>
      </c>
    </row>
    <row r="2642">
      <c r="A2642" s="544" t="n">
        <v>32906</v>
      </c>
      <c r="B2642" s="538" t="n">
        <v>20.73</v>
      </c>
      <c r="C2642" s="538" t="n">
        <v>23.04</v>
      </c>
      <c r="D2642" s="637" t="n"/>
      <c r="E2642" s="538" t="n">
        <v>23.75</v>
      </c>
    </row>
    <row r="2643">
      <c r="A2643" s="544" t="n">
        <v>32909</v>
      </c>
      <c r="B2643" s="538" t="n">
        <v>20.73</v>
      </c>
      <c r="C2643" s="538" t="n">
        <v>22.44</v>
      </c>
      <c r="D2643" s="637" t="n"/>
      <c r="E2643" s="538" t="n">
        <v>23.85</v>
      </c>
    </row>
    <row r="2644">
      <c r="A2644" s="544" t="n">
        <v>32910</v>
      </c>
      <c r="B2644" s="538" t="n">
        <v>20.6</v>
      </c>
      <c r="C2644" s="538" t="n">
        <v>22.36</v>
      </c>
      <c r="D2644" s="637" t="n"/>
      <c r="E2644" s="538" t="n">
        <v>23.9</v>
      </c>
    </row>
    <row r="2645">
      <c r="A2645" s="544" t="n">
        <v>32911</v>
      </c>
      <c r="B2645" s="538" t="n">
        <v>20.15</v>
      </c>
      <c r="C2645" s="538" t="n">
        <v>22.4</v>
      </c>
      <c r="D2645" s="637" t="n"/>
      <c r="E2645" s="538" t="n">
        <v>24.05</v>
      </c>
    </row>
    <row r="2646">
      <c r="A2646" s="544" t="n">
        <v>32912</v>
      </c>
      <c r="B2646" s="538" t="n">
        <v>20.05</v>
      </c>
      <c r="C2646" s="538" t="n">
        <v>22.11</v>
      </c>
      <c r="D2646" s="637" t="n"/>
      <c r="E2646" s="538" t="n">
        <v>24.45</v>
      </c>
    </row>
    <row r="2647">
      <c r="A2647" s="544" t="n">
        <v>32913</v>
      </c>
      <c r="B2647" s="538" t="n">
        <v>19.75</v>
      </c>
      <c r="C2647" s="538" t="n">
        <v>21.82</v>
      </c>
      <c r="D2647" s="637" t="n"/>
      <c r="E2647" s="538" t="n">
        <v>24.55</v>
      </c>
    </row>
    <row r="2648">
      <c r="A2648" s="544" t="n">
        <v>32916</v>
      </c>
      <c r="B2648" s="538" t="n">
        <v>19.68</v>
      </c>
      <c r="C2648" s="538" t="n">
        <v>22.02</v>
      </c>
      <c r="D2648" s="637" t="n"/>
      <c r="E2648" s="538" t="n">
        <v>24.55</v>
      </c>
    </row>
    <row r="2649">
      <c r="A2649" s="544" t="n">
        <v>32917</v>
      </c>
      <c r="B2649" s="538" t="n">
        <v>20.03</v>
      </c>
      <c r="C2649" s="538" t="n">
        <v>21.88</v>
      </c>
      <c r="D2649" s="637" t="n"/>
      <c r="E2649" s="538" t="n">
        <v>24.55</v>
      </c>
    </row>
    <row r="2650">
      <c r="A2650" s="544" t="n">
        <v>32918</v>
      </c>
      <c r="B2650" s="538" t="n">
        <v>19.6</v>
      </c>
      <c r="C2650" s="538" t="n">
        <v>22.12</v>
      </c>
      <c r="D2650" s="637" t="n"/>
      <c r="E2650" s="538" t="n">
        <v>24.5</v>
      </c>
    </row>
    <row r="2651">
      <c r="A2651" s="544" t="n">
        <v>32919</v>
      </c>
      <c r="B2651" s="538" t="n">
        <v>19.9</v>
      </c>
      <c r="C2651" s="538" t="n">
        <v>22.86</v>
      </c>
      <c r="D2651" s="637" t="n"/>
      <c r="E2651" s="538" t="n">
        <v>24.6</v>
      </c>
    </row>
    <row r="2652">
      <c r="A2652" s="544" t="n">
        <v>32920</v>
      </c>
      <c r="B2652" s="538" t="n">
        <v>19.88</v>
      </c>
      <c r="C2652" s="538" t="n">
        <v>22.46</v>
      </c>
      <c r="D2652" s="637" t="n"/>
      <c r="E2652" s="538" t="n">
        <v>24.8</v>
      </c>
    </row>
    <row r="2653">
      <c r="A2653" s="544" t="n">
        <v>32923</v>
      </c>
      <c r="B2653" s="538" t="n">
        <v>19.95</v>
      </c>
      <c r="C2653" s="538" t="n">
        <v>22.46</v>
      </c>
      <c r="D2653" s="637" t="n"/>
      <c r="E2653" s="538" t="n">
        <v>24.6</v>
      </c>
    </row>
    <row r="2654">
      <c r="A2654" s="544" t="n">
        <v>32924</v>
      </c>
      <c r="B2654" s="538" t="n">
        <v>19.68</v>
      </c>
      <c r="C2654" s="538" t="n">
        <v>22.2</v>
      </c>
      <c r="D2654" s="637" t="n"/>
      <c r="E2654" s="538" t="n">
        <v>24.65</v>
      </c>
    </row>
    <row r="2655">
      <c r="A2655" s="544" t="n">
        <v>32925</v>
      </c>
      <c r="B2655" s="538" t="n">
        <v>19.5</v>
      </c>
      <c r="C2655" s="538" t="n">
        <v>21.87</v>
      </c>
      <c r="D2655" s="637" t="n"/>
      <c r="E2655" s="538" t="n">
        <v>24.35</v>
      </c>
    </row>
    <row r="2656">
      <c r="A2656" s="544" t="n">
        <v>32926</v>
      </c>
      <c r="B2656" s="538" t="n">
        <v>19.35</v>
      </c>
      <c r="C2656" s="538" t="n">
        <v>21.4</v>
      </c>
      <c r="D2656" s="637" t="n"/>
      <c r="E2656" s="538" t="n">
        <v>24.15</v>
      </c>
    </row>
    <row r="2657">
      <c r="A2657" s="544" t="n">
        <v>32927</v>
      </c>
      <c r="B2657" s="538" t="n">
        <v>18.78</v>
      </c>
      <c r="C2657" s="538" t="n">
        <v>21.13</v>
      </c>
      <c r="D2657" s="637" t="n"/>
      <c r="E2657" s="538" t="n">
        <v>24.25</v>
      </c>
    </row>
    <row r="2658">
      <c r="A2658" s="544" t="n">
        <v>32930</v>
      </c>
      <c r="B2658" s="538" t="n">
        <v>18.9</v>
      </c>
      <c r="C2658" s="538" t="n">
        <v>21.81</v>
      </c>
      <c r="D2658" s="637" t="n"/>
      <c r="E2658" s="538" t="n">
        <v>24.25</v>
      </c>
    </row>
    <row r="2659">
      <c r="A2659" s="544" t="n">
        <v>32931</v>
      </c>
      <c r="B2659" s="538" t="n">
        <v>19.23</v>
      </c>
      <c r="C2659" s="538" t="n">
        <v>21.62</v>
      </c>
      <c r="D2659" s="637" t="n"/>
      <c r="E2659" s="538" t="n">
        <v>23.95</v>
      </c>
    </row>
    <row r="2660">
      <c r="A2660" s="544" t="n">
        <v>32932</v>
      </c>
      <c r="B2660" s="538" t="n">
        <v>19.2</v>
      </c>
      <c r="C2660" s="538" t="n">
        <v>21.55</v>
      </c>
      <c r="D2660" s="637" t="n"/>
      <c r="E2660" s="538" t="n">
        <v>23.95</v>
      </c>
    </row>
    <row r="2661">
      <c r="A2661" s="544" t="n">
        <v>32933</v>
      </c>
      <c r="B2661" s="538" t="n">
        <v>19.33</v>
      </c>
      <c r="C2661" s="538" t="n">
        <v>21.19</v>
      </c>
      <c r="D2661" s="637" t="n"/>
      <c r="E2661" s="538" t="n">
        <v>23.65</v>
      </c>
    </row>
    <row r="2662">
      <c r="A2662" s="544" t="n">
        <v>32934</v>
      </c>
      <c r="B2662" s="538" t="n">
        <v>19.18</v>
      </c>
      <c r="C2662" s="538" t="n">
        <v>21.36</v>
      </c>
      <c r="D2662" s="637" t="n"/>
      <c r="E2662" s="538" t="n">
        <v>23.65</v>
      </c>
    </row>
    <row r="2663">
      <c r="A2663" s="544" t="n">
        <v>32937</v>
      </c>
      <c r="B2663" s="538" t="n">
        <v>19.15</v>
      </c>
      <c r="C2663" s="538" t="n">
        <v>21.62</v>
      </c>
      <c r="D2663" s="637" t="n"/>
      <c r="E2663" s="538" t="n">
        <v>23.5</v>
      </c>
    </row>
    <row r="2664">
      <c r="A2664" s="544" t="n">
        <v>32938</v>
      </c>
      <c r="B2664" s="538" t="n">
        <v>19.18</v>
      </c>
      <c r="C2664" s="538" t="n">
        <v>21.3</v>
      </c>
      <c r="D2664" s="637" t="n"/>
      <c r="E2664" s="538" t="n">
        <v>23.45</v>
      </c>
    </row>
    <row r="2665">
      <c r="A2665" s="544" t="n">
        <v>32939</v>
      </c>
      <c r="B2665" s="538" t="n">
        <v>18.95</v>
      </c>
      <c r="C2665" s="538" t="n">
        <v>20.93</v>
      </c>
      <c r="D2665" s="637" t="n"/>
      <c r="E2665" s="538" t="n">
        <v>23.45</v>
      </c>
    </row>
    <row r="2666">
      <c r="A2666" s="544" t="n">
        <v>32940</v>
      </c>
      <c r="B2666" s="538" t="n">
        <v>18.73</v>
      </c>
      <c r="C2666" s="538" t="n">
        <v>20.8</v>
      </c>
      <c r="D2666" s="637" t="n"/>
      <c r="E2666" s="538" t="n">
        <v>23.45</v>
      </c>
    </row>
    <row r="2667">
      <c r="A2667" s="544" t="n">
        <v>32941</v>
      </c>
      <c r="B2667" s="538" t="n">
        <v>18.68</v>
      </c>
      <c r="C2667" s="538" t="n">
        <v>20.42</v>
      </c>
      <c r="D2667" s="637" t="n"/>
      <c r="E2667" s="538" t="n">
        <v>23.55</v>
      </c>
    </row>
    <row r="2668">
      <c r="A2668" s="544" t="n">
        <v>32944</v>
      </c>
      <c r="B2668" s="538" t="n">
        <v>18.3</v>
      </c>
      <c r="C2668" s="538" t="n">
        <v>20.26</v>
      </c>
      <c r="D2668" s="637" t="n"/>
      <c r="E2668" s="538" t="n">
        <v>23.85</v>
      </c>
    </row>
    <row r="2669">
      <c r="A2669" s="544" t="n">
        <v>32945</v>
      </c>
      <c r="B2669" s="538" t="n">
        <v>18.53</v>
      </c>
      <c r="C2669" s="538" t="n">
        <v>20.15</v>
      </c>
      <c r="D2669" s="637" t="n"/>
      <c r="E2669" s="538" t="n">
        <v>23.77</v>
      </c>
    </row>
    <row r="2670">
      <c r="A2670" s="544" t="n">
        <v>32946</v>
      </c>
      <c r="B2670" s="538" t="n">
        <v>18.33</v>
      </c>
      <c r="C2670" s="538" t="n">
        <v>20.07</v>
      </c>
      <c r="D2670" s="637" t="n"/>
      <c r="E2670" s="538" t="n">
        <v>23.72</v>
      </c>
    </row>
    <row r="2671">
      <c r="A2671" s="544" t="n">
        <v>32947</v>
      </c>
      <c r="B2671" s="538" t="n">
        <v>18.48</v>
      </c>
      <c r="C2671" s="538" t="n">
        <v>20.38</v>
      </c>
      <c r="D2671" s="637" t="n"/>
      <c r="E2671" s="538" t="n">
        <v>23.72</v>
      </c>
    </row>
    <row r="2672">
      <c r="A2672" s="544" t="n">
        <v>32948</v>
      </c>
      <c r="B2672" s="538" t="n">
        <v>18.4</v>
      </c>
      <c r="C2672" s="538" t="n">
        <v>20.09</v>
      </c>
      <c r="D2672" s="637" t="n"/>
      <c r="E2672" s="538" t="n">
        <v>23.72</v>
      </c>
    </row>
    <row r="2673">
      <c r="A2673" s="544" t="n">
        <v>32951</v>
      </c>
      <c r="B2673" s="538" t="n">
        <v>17.83</v>
      </c>
      <c r="C2673" s="538" t="n">
        <v>19.6</v>
      </c>
      <c r="D2673" s="637" t="n"/>
      <c r="E2673" s="538" t="n">
        <v>23.72</v>
      </c>
    </row>
    <row r="2674">
      <c r="A2674" s="544" t="n">
        <v>32952</v>
      </c>
      <c r="B2674" s="538" t="n">
        <v>17.75</v>
      </c>
      <c r="C2674" s="538" t="n">
        <v>19.34</v>
      </c>
      <c r="D2674" s="637" t="n"/>
      <c r="E2674" s="538" t="n">
        <v>23.65</v>
      </c>
    </row>
    <row r="2675">
      <c r="A2675" s="544" t="n">
        <v>32953</v>
      </c>
      <c r="B2675" s="538" t="n">
        <v>17.78</v>
      </c>
      <c r="C2675" s="538" t="n">
        <v>19.59</v>
      </c>
      <c r="D2675" s="637" t="n"/>
      <c r="E2675" s="538" t="n">
        <v>23.65</v>
      </c>
    </row>
    <row r="2676">
      <c r="A2676" s="544" t="n">
        <v>32954</v>
      </c>
      <c r="B2676" s="538" t="n">
        <v>17.83</v>
      </c>
      <c r="C2676" s="538" t="n">
        <v>19.85</v>
      </c>
      <c r="D2676" s="637" t="n"/>
      <c r="E2676" s="538" t="n">
        <v>23.35</v>
      </c>
    </row>
    <row r="2677">
      <c r="A2677" s="544" t="n">
        <v>32955</v>
      </c>
      <c r="B2677" s="538" t="n">
        <v>17.88</v>
      </c>
      <c r="C2677" s="538" t="n">
        <v>20.28</v>
      </c>
      <c r="D2677" s="637" t="n"/>
      <c r="E2677" s="538" t="n">
        <v>22.95</v>
      </c>
    </row>
    <row r="2678">
      <c r="A2678" s="544" t="n">
        <v>32958</v>
      </c>
      <c r="B2678" s="538" t="n">
        <v>18.23</v>
      </c>
      <c r="C2678" s="538" t="n">
        <v>20.48</v>
      </c>
      <c r="D2678" s="637" t="n"/>
      <c r="E2678" s="538" t="n">
        <v>22.85</v>
      </c>
    </row>
    <row r="2679">
      <c r="A2679" s="544" t="n">
        <v>32959</v>
      </c>
      <c r="B2679" s="538" t="n">
        <v>18.1</v>
      </c>
      <c r="C2679" s="538" t="n">
        <v>20.36</v>
      </c>
      <c r="D2679" s="637" t="n"/>
      <c r="E2679" s="538" t="n">
        <v>22.8</v>
      </c>
    </row>
    <row r="2680">
      <c r="A2680" s="544" t="n">
        <v>32960</v>
      </c>
      <c r="B2680" s="538" t="n">
        <v>18.03</v>
      </c>
      <c r="C2680" s="538" t="n">
        <v>20.09</v>
      </c>
      <c r="D2680" s="637" t="n"/>
      <c r="E2680" s="538" t="n">
        <v>22.65</v>
      </c>
    </row>
    <row r="2681">
      <c r="A2681" s="544" t="n">
        <v>32961</v>
      </c>
      <c r="B2681" s="538" t="n">
        <v>17.9</v>
      </c>
      <c r="C2681" s="538" t="n">
        <v>20.03</v>
      </c>
      <c r="D2681" s="637" t="n"/>
      <c r="E2681" s="538" t="n">
        <v>22.6</v>
      </c>
    </row>
    <row r="2682">
      <c r="A2682" s="544" t="n">
        <v>32962</v>
      </c>
      <c r="B2682" s="538" t="n">
        <v>17.95</v>
      </c>
      <c r="C2682" s="538" t="n">
        <v>20.34</v>
      </c>
      <c r="D2682" s="637" t="n"/>
      <c r="E2682" s="538" t="n">
        <v>22.45</v>
      </c>
    </row>
    <row r="2683">
      <c r="A2683" s="544" t="n">
        <v>32965</v>
      </c>
      <c r="B2683" s="538" t="n">
        <v>18.18</v>
      </c>
      <c r="C2683" s="538" t="n">
        <v>20.51</v>
      </c>
      <c r="D2683" s="637" t="n"/>
      <c r="E2683" s="538" t="n">
        <v>22.2</v>
      </c>
    </row>
    <row r="2684">
      <c r="A2684" s="544" t="n">
        <v>32966</v>
      </c>
      <c r="B2684" s="538" t="n">
        <v>18.2</v>
      </c>
      <c r="C2684" s="538" t="n">
        <v>20.23</v>
      </c>
      <c r="D2684" s="637" t="n"/>
      <c r="E2684" s="538" t="n">
        <v>22.6</v>
      </c>
    </row>
    <row r="2685">
      <c r="A2685" s="544" t="n">
        <v>32967</v>
      </c>
      <c r="B2685" s="538" t="n">
        <v>17.95</v>
      </c>
      <c r="C2685" s="538" t="n">
        <v>19.78</v>
      </c>
      <c r="D2685" s="637" t="n"/>
      <c r="E2685" s="538" t="n">
        <v>22.6</v>
      </c>
    </row>
    <row r="2686">
      <c r="A2686" s="544" t="n">
        <v>32968</v>
      </c>
      <c r="B2686" s="538" t="n">
        <v>17.55</v>
      </c>
      <c r="C2686" s="538" t="n">
        <v>19.48</v>
      </c>
      <c r="D2686" s="637" t="n"/>
      <c r="E2686" s="538" t="n">
        <v>22.9</v>
      </c>
    </row>
    <row r="2687">
      <c r="A2687" s="544" t="n">
        <v>32969</v>
      </c>
      <c r="B2687" s="538" t="n">
        <v>17.1</v>
      </c>
      <c r="C2687" s="538" t="n">
        <v>19.15</v>
      </c>
      <c r="D2687" s="637" t="n"/>
      <c r="E2687" s="538" t="n">
        <v>22.75</v>
      </c>
    </row>
    <row r="2688">
      <c r="A2688" s="544" t="n">
        <v>32972</v>
      </c>
      <c r="B2688" s="538" t="n">
        <v>16.53</v>
      </c>
      <c r="C2688" s="538" t="n">
        <v>18.32</v>
      </c>
      <c r="D2688" s="637" t="n"/>
      <c r="E2688" s="538" t="n">
        <v>22.75</v>
      </c>
    </row>
    <row r="2689">
      <c r="A2689" s="544" t="n">
        <v>32973</v>
      </c>
      <c r="B2689" s="538" t="n">
        <v>15.93</v>
      </c>
      <c r="C2689" s="538" t="n">
        <v>17.56</v>
      </c>
      <c r="D2689" s="637" t="n"/>
      <c r="E2689" s="538" t="n">
        <v>22.4</v>
      </c>
    </row>
    <row r="2690">
      <c r="A2690" s="544" t="n">
        <v>32974</v>
      </c>
      <c r="B2690" s="538" t="n">
        <v>15.3</v>
      </c>
      <c r="C2690" s="538" t="n">
        <v>18.19</v>
      </c>
      <c r="D2690" s="637" t="n"/>
      <c r="E2690" s="538" t="n">
        <v>22.15</v>
      </c>
    </row>
    <row r="2691">
      <c r="A2691" s="544" t="n">
        <v>32975</v>
      </c>
      <c r="B2691" s="538" t="n">
        <v>15.8</v>
      </c>
      <c r="C2691" s="538" t="n">
        <v>17.76</v>
      </c>
      <c r="D2691" s="637" t="n"/>
      <c r="E2691" s="538" t="n">
        <v>22.15</v>
      </c>
    </row>
    <row r="2692">
      <c r="A2692" s="544" t="n">
        <v>32976</v>
      </c>
      <c r="B2692" s="538" t="n">
        <v>15.8</v>
      </c>
      <c r="C2692" s="538" t="n">
        <v>17.76</v>
      </c>
      <c r="D2692" s="637" t="n"/>
      <c r="E2692" s="538" t="n">
        <v>22.15</v>
      </c>
    </row>
    <row r="2693">
      <c r="A2693" s="544" t="n">
        <v>32979</v>
      </c>
      <c r="B2693" s="538" t="n">
        <v>15.8</v>
      </c>
      <c r="C2693" s="538" t="n">
        <v>17.87</v>
      </c>
      <c r="D2693" s="637" t="n"/>
      <c r="E2693" s="538" t="n">
        <v>22.15</v>
      </c>
    </row>
    <row r="2694">
      <c r="A2694" s="544" t="n">
        <v>32980</v>
      </c>
      <c r="B2694" s="538" t="n">
        <v>15.7</v>
      </c>
      <c r="C2694" s="538" t="n">
        <v>17.37</v>
      </c>
      <c r="D2694" s="637" t="n"/>
      <c r="E2694" s="538" t="n">
        <v>22.15</v>
      </c>
    </row>
    <row r="2695">
      <c r="A2695" s="544" t="n">
        <v>32981</v>
      </c>
      <c r="B2695" s="538" t="n">
        <v>15.33</v>
      </c>
      <c r="C2695" s="538" t="n">
        <v>16.95</v>
      </c>
      <c r="D2695" s="637" t="n"/>
      <c r="E2695" s="538" t="n">
        <v>21.8</v>
      </c>
    </row>
    <row r="2696">
      <c r="A2696" s="544" t="n">
        <v>32982</v>
      </c>
      <c r="B2696" s="538" t="n">
        <v>16.13</v>
      </c>
      <c r="C2696" s="538" t="n">
        <v>17.93</v>
      </c>
      <c r="D2696" s="637" t="n"/>
      <c r="E2696" s="538" t="n">
        <v>21.7</v>
      </c>
    </row>
    <row r="2697">
      <c r="A2697" s="544" t="n">
        <v>32983</v>
      </c>
      <c r="B2697" s="538" t="n">
        <v>16.35</v>
      </c>
      <c r="C2697" s="538" t="n">
        <v>17.9</v>
      </c>
      <c r="D2697" s="637" t="n"/>
      <c r="E2697" s="538" t="n">
        <v>21.85</v>
      </c>
    </row>
    <row r="2698">
      <c r="A2698" s="544" t="n">
        <v>32986</v>
      </c>
      <c r="B2698" s="538" t="n">
        <v>16.95</v>
      </c>
      <c r="C2698" s="538" t="n">
        <v>18.6</v>
      </c>
      <c r="D2698" s="637" t="n"/>
      <c r="E2698" s="538" t="n">
        <v>21.85</v>
      </c>
    </row>
    <row r="2699">
      <c r="A2699" s="544" t="n">
        <v>32987</v>
      </c>
      <c r="B2699" s="538" t="n">
        <v>16.75</v>
      </c>
      <c r="C2699" s="538" t="n">
        <v>17.85</v>
      </c>
      <c r="D2699" s="637" t="n"/>
      <c r="E2699" s="538" t="n">
        <v>21.85</v>
      </c>
    </row>
    <row r="2700">
      <c r="A2700" s="544" t="n">
        <v>32988</v>
      </c>
      <c r="B2700" s="538" t="n">
        <v>16.5</v>
      </c>
      <c r="C2700" s="538" t="n">
        <v>17.49</v>
      </c>
      <c r="D2700" s="637" t="n"/>
      <c r="E2700" s="538" t="n">
        <v>21.95</v>
      </c>
    </row>
    <row r="2701">
      <c r="A2701" s="544" t="n">
        <v>32989</v>
      </c>
      <c r="B2701" s="538" t="n">
        <v>16.6</v>
      </c>
      <c r="C2701" s="538" t="n">
        <v>18.5</v>
      </c>
      <c r="D2701" s="637" t="n"/>
      <c r="E2701" s="538" t="n">
        <v>21.95</v>
      </c>
    </row>
    <row r="2702">
      <c r="A2702" s="544" t="n">
        <v>32990</v>
      </c>
      <c r="B2702" s="538" t="n">
        <v>16.43</v>
      </c>
      <c r="C2702" s="538" t="n">
        <v>18.57</v>
      </c>
      <c r="D2702" s="637" t="n"/>
      <c r="E2702" s="538" t="n">
        <v>22.05</v>
      </c>
    </row>
    <row r="2703">
      <c r="A2703" s="544" t="n">
        <v>32993</v>
      </c>
      <c r="B2703" s="538" t="n">
        <v>16.35</v>
      </c>
      <c r="C2703" s="538" t="n">
        <v>18.5</v>
      </c>
      <c r="D2703" s="637" t="n"/>
      <c r="E2703" s="538" t="n">
        <v>22.15</v>
      </c>
    </row>
    <row r="2704">
      <c r="A2704" s="544" t="n">
        <v>32994</v>
      </c>
      <c r="B2704" s="538" t="n">
        <v>16.43</v>
      </c>
      <c r="C2704" s="538" t="n">
        <v>18.76</v>
      </c>
      <c r="D2704" s="637" t="n"/>
      <c r="E2704" s="538" t="n">
        <v>22.15</v>
      </c>
    </row>
    <row r="2705">
      <c r="A2705" s="544" t="n">
        <v>32995</v>
      </c>
      <c r="B2705" s="538" t="n">
        <v>16.58</v>
      </c>
      <c r="C2705" s="538" t="n">
        <v>18.63</v>
      </c>
      <c r="D2705" s="637" t="n"/>
      <c r="E2705" s="538" t="n">
        <v>22.3</v>
      </c>
    </row>
    <row r="2706">
      <c r="A2706" s="544" t="n">
        <v>32996</v>
      </c>
      <c r="B2706" s="538" t="n">
        <v>15.93</v>
      </c>
      <c r="C2706" s="538" t="n">
        <v>17.98</v>
      </c>
      <c r="D2706" s="637" t="n"/>
      <c r="E2706" s="538" t="n">
        <v>22.65</v>
      </c>
    </row>
    <row r="2707">
      <c r="A2707" s="544" t="n">
        <v>32997</v>
      </c>
      <c r="B2707" s="538" t="n">
        <v>15.58</v>
      </c>
      <c r="C2707" s="538" t="n">
        <v>17.98</v>
      </c>
      <c r="D2707" s="637" t="n"/>
      <c r="E2707" s="538" t="n">
        <v>22.45</v>
      </c>
    </row>
    <row r="2708">
      <c r="A2708" s="544" t="n">
        <v>33000</v>
      </c>
      <c r="B2708" s="538" t="n">
        <v>15.65</v>
      </c>
      <c r="C2708" s="538" t="n">
        <v>18.3</v>
      </c>
      <c r="D2708" s="637" t="n"/>
      <c r="E2708" s="538" t="n">
        <v>22.45</v>
      </c>
    </row>
    <row r="2709">
      <c r="A2709" s="544" t="n">
        <v>33001</v>
      </c>
      <c r="B2709" s="538" t="n">
        <v>16.18</v>
      </c>
      <c r="C2709" s="538" t="n">
        <v>18.26</v>
      </c>
      <c r="D2709" s="637" t="n"/>
      <c r="E2709" s="538" t="n">
        <v>22.45</v>
      </c>
    </row>
    <row r="2710">
      <c r="A2710" s="544" t="n">
        <v>33002</v>
      </c>
      <c r="B2710" s="538" t="n">
        <v>16.45</v>
      </c>
      <c r="C2710" s="538" t="n">
        <v>19.01</v>
      </c>
      <c r="D2710" s="637" t="n"/>
      <c r="E2710" s="538" t="n">
        <v>22.45</v>
      </c>
    </row>
    <row r="2711">
      <c r="A2711" s="544" t="n">
        <v>33003</v>
      </c>
      <c r="B2711" s="538" t="n">
        <v>16.7</v>
      </c>
      <c r="C2711" s="538" t="n">
        <v>19.03</v>
      </c>
      <c r="D2711" s="637" t="n"/>
      <c r="E2711" s="538" t="n">
        <v>22.45</v>
      </c>
    </row>
    <row r="2712">
      <c r="A2712" s="544" t="n">
        <v>33004</v>
      </c>
      <c r="B2712" s="538" t="n">
        <v>16.73</v>
      </c>
      <c r="C2712" s="538" t="n">
        <v>18.96</v>
      </c>
      <c r="D2712" s="637" t="n"/>
      <c r="E2712" s="538" t="n">
        <v>22.6</v>
      </c>
    </row>
    <row r="2713">
      <c r="A2713" s="544" t="n">
        <v>33007</v>
      </c>
      <c r="B2713" s="538" t="n">
        <v>17.4</v>
      </c>
      <c r="C2713" s="538" t="n">
        <v>19.73</v>
      </c>
      <c r="D2713" s="637" t="n"/>
      <c r="E2713" s="538" t="n">
        <v>22.45</v>
      </c>
    </row>
    <row r="2714">
      <c r="A2714" s="544" t="n">
        <v>33008</v>
      </c>
      <c r="B2714" s="538" t="n">
        <v>17.4</v>
      </c>
      <c r="C2714" s="538" t="n">
        <v>19.52</v>
      </c>
      <c r="D2714" s="637" t="n"/>
      <c r="E2714" s="538" t="n">
        <v>22.45</v>
      </c>
    </row>
    <row r="2715">
      <c r="A2715" s="544" t="n">
        <v>33009</v>
      </c>
      <c r="B2715" s="538" t="n">
        <v>17.25</v>
      </c>
      <c r="C2715" s="538" t="n">
        <v>19.05</v>
      </c>
      <c r="D2715" s="637" t="n"/>
      <c r="E2715" s="538" t="n">
        <v>22.45</v>
      </c>
    </row>
    <row r="2716">
      <c r="A2716" s="544" t="n">
        <v>33010</v>
      </c>
      <c r="B2716" s="538" t="n">
        <v>17.05</v>
      </c>
      <c r="C2716" s="538" t="n">
        <v>18.89</v>
      </c>
      <c r="D2716" s="637" t="n"/>
      <c r="E2716" s="538" t="n">
        <v>22.6</v>
      </c>
    </row>
    <row r="2717">
      <c r="A2717" s="544" t="n">
        <v>33011</v>
      </c>
      <c r="B2717" s="538" t="n">
        <v>17.08</v>
      </c>
      <c r="C2717" s="538" t="n">
        <v>18.78</v>
      </c>
      <c r="D2717" s="637" t="n"/>
      <c r="E2717" s="538" t="n">
        <v>22.6</v>
      </c>
    </row>
    <row r="2718">
      <c r="A2718" s="544" t="n">
        <v>33014</v>
      </c>
      <c r="B2718" s="538" t="n">
        <v>16.65</v>
      </c>
      <c r="C2718" s="538" t="n">
        <v>18.26</v>
      </c>
      <c r="D2718" s="637" t="n"/>
      <c r="E2718" s="538" t="n">
        <v>22.6</v>
      </c>
    </row>
    <row r="2719">
      <c r="A2719" s="544" t="n">
        <v>33015</v>
      </c>
      <c r="B2719" s="538" t="n">
        <v>16.48</v>
      </c>
      <c r="C2719" s="538" t="n">
        <v>17.51</v>
      </c>
      <c r="D2719" s="637" t="n"/>
      <c r="E2719" s="538" t="n">
        <v>22.6</v>
      </c>
    </row>
    <row r="2720">
      <c r="A2720" s="544" t="n">
        <v>33016</v>
      </c>
      <c r="B2720" s="538" t="n">
        <v>15.7</v>
      </c>
      <c r="C2720" s="538" t="n">
        <v>16.25</v>
      </c>
      <c r="D2720" s="637" t="n"/>
      <c r="E2720" s="538" t="n">
        <v>22.5</v>
      </c>
    </row>
    <row r="2721">
      <c r="A2721" s="544" t="n">
        <v>33017</v>
      </c>
      <c r="B2721" s="538" t="n">
        <v>15.8</v>
      </c>
      <c r="C2721" s="538" t="n">
        <v>16.02</v>
      </c>
      <c r="D2721" s="637" t="n"/>
      <c r="E2721" s="538" t="n">
        <v>22.2</v>
      </c>
    </row>
    <row r="2722">
      <c r="A2722" s="544" t="n">
        <v>33018</v>
      </c>
      <c r="B2722" s="538" t="n">
        <v>15.95</v>
      </c>
      <c r="C2722" s="538" t="n">
        <v>16.12</v>
      </c>
      <c r="D2722" s="637" t="n"/>
      <c r="E2722" s="538" t="n">
        <v>21.95</v>
      </c>
    </row>
    <row r="2723">
      <c r="A2723" s="544" t="n">
        <v>33021</v>
      </c>
      <c r="B2723" s="538" t="n">
        <v>15.95</v>
      </c>
      <c r="C2723" s="538" t="n">
        <v>16.12</v>
      </c>
      <c r="D2723" s="637" t="n"/>
      <c r="E2723" s="538" t="n">
        <v>21.95</v>
      </c>
    </row>
    <row r="2724">
      <c r="A2724" s="544" t="n">
        <v>33022</v>
      </c>
      <c r="B2724" s="538" t="n">
        <v>15.48</v>
      </c>
      <c r="C2724" s="538" t="n">
        <v>18</v>
      </c>
      <c r="D2724" s="637" t="n"/>
      <c r="E2724" s="538" t="n">
        <v>21.75</v>
      </c>
    </row>
    <row r="2725">
      <c r="A2725" s="544" t="n">
        <v>33023</v>
      </c>
      <c r="B2725" s="538" t="n">
        <v>15.98</v>
      </c>
      <c r="C2725" s="538" t="n">
        <v>17.88</v>
      </c>
      <c r="D2725" s="637" t="n"/>
      <c r="E2725" s="538" t="n">
        <v>21.75</v>
      </c>
    </row>
    <row r="2726">
      <c r="A2726" s="544" t="n">
        <v>33024</v>
      </c>
      <c r="B2726" s="538" t="n">
        <v>15.3</v>
      </c>
      <c r="C2726" s="538" t="n">
        <v>17.47</v>
      </c>
      <c r="D2726" s="637" t="n"/>
      <c r="E2726" s="538" t="n">
        <v>21.6</v>
      </c>
    </row>
    <row r="2727">
      <c r="A2727" s="544" t="n">
        <v>33025</v>
      </c>
      <c r="B2727" s="538" t="n">
        <v>15.43</v>
      </c>
      <c r="C2727" s="538" t="n">
        <v>17.51</v>
      </c>
      <c r="D2727" s="637" t="n"/>
      <c r="E2727" s="538" t="n">
        <v>21.45</v>
      </c>
    </row>
    <row r="2728">
      <c r="A2728" s="544" t="n">
        <v>33028</v>
      </c>
      <c r="B2728" s="538" t="n">
        <v>15.35</v>
      </c>
      <c r="C2728" s="538" t="n">
        <v>17.09</v>
      </c>
      <c r="D2728" s="637" t="n"/>
      <c r="E2728" s="538" t="n">
        <v>21.25</v>
      </c>
    </row>
    <row r="2729">
      <c r="A2729" s="544" t="n">
        <v>33029</v>
      </c>
      <c r="B2729" s="538" t="n">
        <v>14.78</v>
      </c>
      <c r="C2729" s="538" t="n">
        <v>16.41</v>
      </c>
      <c r="D2729" s="637" t="n"/>
      <c r="E2729" s="538" t="n">
        <v>20.8</v>
      </c>
    </row>
    <row r="2730">
      <c r="A2730" s="544" t="n">
        <v>33030</v>
      </c>
      <c r="B2730" s="538" t="n">
        <v>14.8</v>
      </c>
      <c r="C2730" s="538" t="n">
        <v>16.91</v>
      </c>
      <c r="D2730" s="637" t="n"/>
      <c r="E2730" s="538" t="n">
        <v>20.25</v>
      </c>
    </row>
    <row r="2731">
      <c r="A2731" s="544" t="n">
        <v>33031</v>
      </c>
      <c r="B2731" s="538" t="n">
        <v>15.03</v>
      </c>
      <c r="C2731" s="538" t="n">
        <v>16.65</v>
      </c>
      <c r="D2731" s="637" t="n"/>
      <c r="E2731" s="538" t="n">
        <v>20.55</v>
      </c>
    </row>
    <row r="2732">
      <c r="A2732" s="544" t="n">
        <v>33032</v>
      </c>
      <c r="B2732" s="538" t="n">
        <v>14.68</v>
      </c>
      <c r="C2732" s="538" t="n">
        <v>16.78</v>
      </c>
      <c r="D2732" s="637" t="n"/>
      <c r="E2732" s="538" t="n">
        <v>20.35</v>
      </c>
    </row>
    <row r="2733">
      <c r="A2733" s="544" t="n">
        <v>33035</v>
      </c>
      <c r="B2733" s="538" t="n">
        <v>14.73</v>
      </c>
      <c r="C2733" s="538" t="n">
        <v>16.82</v>
      </c>
      <c r="D2733" s="637" t="n"/>
      <c r="E2733" s="538" t="n">
        <v>20.35</v>
      </c>
    </row>
    <row r="2734">
      <c r="A2734" s="544" t="n">
        <v>33036</v>
      </c>
      <c r="B2734" s="538" t="n">
        <v>14.95</v>
      </c>
      <c r="C2734" s="538" t="n">
        <v>17.39</v>
      </c>
      <c r="D2734" s="637" t="n"/>
      <c r="E2734" s="538" t="n">
        <v>20.6</v>
      </c>
    </row>
    <row r="2735">
      <c r="A2735" s="544" t="n">
        <v>33037</v>
      </c>
      <c r="B2735" s="538" t="n">
        <v>14.9</v>
      </c>
      <c r="C2735" s="538" t="n">
        <v>17.6</v>
      </c>
      <c r="D2735" s="637" t="n"/>
      <c r="E2735" s="538" t="n">
        <v>20.7</v>
      </c>
    </row>
    <row r="2736">
      <c r="A2736" s="544" t="n">
        <v>33038</v>
      </c>
      <c r="B2736" s="538" t="n">
        <v>15.3</v>
      </c>
      <c r="C2736" s="538" t="n">
        <v>17.11</v>
      </c>
      <c r="D2736" s="637" t="n"/>
      <c r="E2736" s="538" t="n">
        <v>20.7</v>
      </c>
    </row>
    <row r="2737">
      <c r="A2737" s="544" t="n">
        <v>33039</v>
      </c>
      <c r="B2737" s="538" t="n">
        <v>15.15</v>
      </c>
      <c r="C2737" s="538" t="n">
        <v>16.64</v>
      </c>
      <c r="D2737" s="637" t="n"/>
      <c r="E2737" s="538" t="n">
        <v>20.7</v>
      </c>
    </row>
    <row r="2738">
      <c r="A2738" s="544" t="n">
        <v>33042</v>
      </c>
      <c r="B2738" s="538" t="n">
        <v>14.83</v>
      </c>
      <c r="C2738" s="538" t="n">
        <v>15.92</v>
      </c>
      <c r="D2738" s="637" t="n"/>
      <c r="E2738" s="538" t="n">
        <v>20.7</v>
      </c>
    </row>
    <row r="2739">
      <c r="A2739" s="544" t="n">
        <v>33043</v>
      </c>
      <c r="B2739" s="538" t="n">
        <v>14.75</v>
      </c>
      <c r="C2739" s="538" t="n">
        <v>15.55</v>
      </c>
      <c r="D2739" s="637" t="n"/>
      <c r="E2739" s="538" t="n">
        <v>20.55</v>
      </c>
    </row>
    <row r="2740">
      <c r="A2740" s="544" t="n">
        <v>33044</v>
      </c>
      <c r="B2740" s="538" t="n">
        <v>14.75</v>
      </c>
      <c r="C2740" s="538" t="n">
        <v>15.43</v>
      </c>
      <c r="D2740" s="637" t="n"/>
      <c r="E2740" s="538" t="n">
        <v>20.55</v>
      </c>
    </row>
    <row r="2741">
      <c r="A2741" s="544" t="n">
        <v>33045</v>
      </c>
      <c r="B2741" s="538" t="n">
        <v>14.75</v>
      </c>
      <c r="C2741" s="538" t="n">
        <v>16.09</v>
      </c>
      <c r="D2741" s="637" t="n"/>
      <c r="E2741" s="538" t="n">
        <v>20.55</v>
      </c>
    </row>
    <row r="2742">
      <c r="A2742" s="544" t="n">
        <v>33046</v>
      </c>
      <c r="B2742" s="538" t="n">
        <v>15.4</v>
      </c>
      <c r="C2742" s="538" t="n">
        <v>16.5</v>
      </c>
      <c r="D2742" s="637" t="n"/>
      <c r="E2742" s="538" t="n">
        <v>20.5</v>
      </c>
    </row>
    <row r="2743">
      <c r="A2743" s="544" t="n">
        <v>33049</v>
      </c>
      <c r="B2743" s="538" t="n">
        <v>15.58</v>
      </c>
      <c r="C2743" s="538" t="n">
        <v>16.15</v>
      </c>
      <c r="D2743" s="637" t="n"/>
      <c r="E2743" s="538" t="n">
        <v>20.7</v>
      </c>
    </row>
    <row r="2744">
      <c r="A2744" s="544" t="n">
        <v>33050</v>
      </c>
      <c r="B2744" s="538" t="n">
        <v>15.58</v>
      </c>
      <c r="C2744" s="538" t="n">
        <v>17.12</v>
      </c>
      <c r="D2744" s="637" t="n"/>
      <c r="E2744" s="538" t="n">
        <v>20.7</v>
      </c>
    </row>
    <row r="2745">
      <c r="A2745" s="544" t="n">
        <v>33051</v>
      </c>
      <c r="B2745" s="538" t="n">
        <v>15.33</v>
      </c>
      <c r="C2745" s="538" t="n">
        <v>16.7</v>
      </c>
      <c r="D2745" s="637" t="n"/>
      <c r="E2745" s="538" t="n">
        <v>20.6</v>
      </c>
    </row>
    <row r="2746">
      <c r="A2746" s="544" t="n">
        <v>33052</v>
      </c>
      <c r="B2746" s="538" t="n">
        <v>15.4</v>
      </c>
      <c r="C2746" s="538" t="n">
        <v>17.18</v>
      </c>
      <c r="D2746" s="637" t="n"/>
      <c r="E2746" s="538" t="n">
        <v>20.5</v>
      </c>
    </row>
    <row r="2747">
      <c r="A2747" s="544" t="n">
        <v>33053</v>
      </c>
      <c r="B2747" s="538" t="n">
        <v>15.73</v>
      </c>
      <c r="C2747" s="538" t="n">
        <v>17.05</v>
      </c>
      <c r="D2747" s="637" t="n"/>
      <c r="E2747" s="538" t="n">
        <v>20.5</v>
      </c>
    </row>
    <row r="2748">
      <c r="A2748" s="544" t="n">
        <v>33056</v>
      </c>
      <c r="B2748" s="538" t="n">
        <v>15.4</v>
      </c>
      <c r="C2748" s="538" t="n">
        <v>16.94</v>
      </c>
      <c r="D2748" s="637" t="n"/>
      <c r="E2748" s="538" t="n">
        <v>20.7</v>
      </c>
    </row>
    <row r="2749">
      <c r="A2749" s="544" t="n">
        <v>33057</v>
      </c>
      <c r="B2749" s="538" t="n">
        <v>15.48</v>
      </c>
      <c r="C2749" s="538" t="n">
        <v>16.73</v>
      </c>
      <c r="D2749" s="637" t="n"/>
      <c r="E2749" s="538" t="n">
        <v>20.7</v>
      </c>
    </row>
    <row r="2750">
      <c r="A2750" s="544" t="n">
        <v>33058</v>
      </c>
      <c r="B2750" s="538" t="n">
        <v>15.48</v>
      </c>
      <c r="C2750" s="538" t="n">
        <v>16.73</v>
      </c>
      <c r="D2750" s="637" t="n"/>
      <c r="E2750" s="538" t="n">
        <v>20.7</v>
      </c>
    </row>
    <row r="2751">
      <c r="A2751" s="544" t="n">
        <v>33059</v>
      </c>
      <c r="B2751" s="538" t="n">
        <v>15.23</v>
      </c>
      <c r="C2751" s="538" t="n">
        <v>16.5</v>
      </c>
      <c r="D2751" s="637" t="n"/>
      <c r="E2751" s="538" t="n">
        <v>21.1</v>
      </c>
    </row>
    <row r="2752">
      <c r="A2752" s="544" t="n">
        <v>33060</v>
      </c>
      <c r="B2752" s="538" t="n">
        <v>15.35</v>
      </c>
      <c r="C2752" s="538" t="n">
        <v>16.49</v>
      </c>
      <c r="D2752" s="637" t="n"/>
      <c r="E2752" s="538" t="n">
        <v>21.1</v>
      </c>
    </row>
    <row r="2753">
      <c r="A2753" s="544" t="n">
        <v>33063</v>
      </c>
      <c r="B2753" s="538" t="n">
        <v>14.98</v>
      </c>
      <c r="C2753" s="538" t="n">
        <v>16.63</v>
      </c>
      <c r="D2753" s="637" t="n"/>
      <c r="E2753" s="538" t="n">
        <v>21.25</v>
      </c>
    </row>
    <row r="2754">
      <c r="A2754" s="544" t="n">
        <v>33064</v>
      </c>
      <c r="B2754" s="538" t="n">
        <v>15.58</v>
      </c>
      <c r="C2754" s="538" t="n">
        <v>17.05</v>
      </c>
      <c r="D2754" s="637" t="n"/>
      <c r="E2754" s="538" t="n">
        <v>21.35</v>
      </c>
    </row>
    <row r="2755">
      <c r="A2755" s="544" t="n">
        <v>33065</v>
      </c>
      <c r="B2755" s="538" t="n">
        <v>15.7</v>
      </c>
      <c r="C2755" s="538" t="n">
        <v>17.45</v>
      </c>
      <c r="D2755" s="637" t="n"/>
      <c r="E2755" s="538" t="n">
        <v>21.5</v>
      </c>
    </row>
    <row r="2756">
      <c r="A2756" s="544" t="n">
        <v>33066</v>
      </c>
      <c r="B2756" s="538" t="n">
        <v>15.88</v>
      </c>
      <c r="C2756" s="538" t="n">
        <v>18.69</v>
      </c>
      <c r="D2756" s="637" t="n"/>
      <c r="E2756" s="538" t="n">
        <v>21.5</v>
      </c>
    </row>
    <row r="2757">
      <c r="A2757" s="544" t="n">
        <v>33067</v>
      </c>
      <c r="B2757" s="538" t="n">
        <v>17.03</v>
      </c>
      <c r="C2757" s="538" t="n">
        <v>18.37</v>
      </c>
      <c r="D2757" s="637" t="n"/>
      <c r="E2757" s="538" t="n">
        <v>21.8</v>
      </c>
    </row>
    <row r="2758">
      <c r="A2758" s="544" t="n">
        <v>33070</v>
      </c>
      <c r="B2758" s="538" t="n">
        <v>17.7</v>
      </c>
      <c r="C2758" s="538" t="n">
        <v>18.67</v>
      </c>
      <c r="D2758" s="637" t="n"/>
      <c r="E2758" s="538" t="n">
        <v>21.9</v>
      </c>
    </row>
    <row r="2759">
      <c r="A2759" s="544" t="n">
        <v>33071</v>
      </c>
      <c r="B2759" s="538" t="n">
        <v>17.58</v>
      </c>
      <c r="C2759" s="538" t="n">
        <v>18.23</v>
      </c>
      <c r="D2759" s="637" t="n"/>
      <c r="E2759" s="538" t="n">
        <v>22.35</v>
      </c>
    </row>
    <row r="2760">
      <c r="A2760" s="544" t="n">
        <v>33072</v>
      </c>
      <c r="B2760" s="538" t="n">
        <v>17.7</v>
      </c>
      <c r="C2760" s="538" t="n">
        <v>18.57</v>
      </c>
      <c r="D2760" s="637" t="n"/>
      <c r="E2760" s="538" t="n">
        <v>22.35</v>
      </c>
    </row>
    <row r="2761">
      <c r="A2761" s="544" t="n">
        <v>33073</v>
      </c>
      <c r="B2761" s="538" t="n">
        <v>17.85</v>
      </c>
      <c r="C2761" s="538" t="n">
        <v>19.07</v>
      </c>
      <c r="D2761" s="637" t="n"/>
      <c r="E2761" s="538" t="n">
        <v>22.55</v>
      </c>
    </row>
    <row r="2762">
      <c r="A2762" s="544" t="n">
        <v>33074</v>
      </c>
      <c r="B2762" s="538" t="n">
        <v>18</v>
      </c>
      <c r="C2762" s="538" t="n">
        <v>19.61</v>
      </c>
      <c r="D2762" s="637" t="n"/>
      <c r="E2762" s="538" t="n">
        <v>22.75</v>
      </c>
    </row>
    <row r="2763">
      <c r="A2763" s="544" t="n">
        <v>33077</v>
      </c>
      <c r="B2763" s="538" t="n">
        <v>18.73</v>
      </c>
      <c r="C2763" s="538" t="n">
        <v>19.88</v>
      </c>
      <c r="D2763" s="637" t="n"/>
      <c r="E2763" s="538" t="n">
        <v>22.75</v>
      </c>
    </row>
    <row r="2764">
      <c r="A2764" s="544" t="n">
        <v>33078</v>
      </c>
      <c r="B2764" s="538" t="n">
        <v>19.08</v>
      </c>
      <c r="C2764" s="538" t="n">
        <v>19.84</v>
      </c>
      <c r="D2764" s="637" t="n"/>
      <c r="E2764" s="538" t="n">
        <v>22.95</v>
      </c>
    </row>
    <row r="2765">
      <c r="A2765" s="544" t="n">
        <v>33079</v>
      </c>
      <c r="B2765" s="538" t="n">
        <v>19</v>
      </c>
      <c r="C2765" s="538" t="n">
        <v>19.33</v>
      </c>
      <c r="D2765" s="637" t="n"/>
      <c r="E2765" s="538" t="n">
        <v>22.95</v>
      </c>
    </row>
    <row r="2766">
      <c r="A2766" s="544" t="n">
        <v>33080</v>
      </c>
      <c r="B2766" s="538" t="n">
        <v>18.73</v>
      </c>
      <c r="C2766" s="538" t="n">
        <v>20.33</v>
      </c>
      <c r="D2766" s="637" t="n"/>
      <c r="E2766" s="538" t="n">
        <v>23.25</v>
      </c>
    </row>
    <row r="2767">
      <c r="A2767" s="544" t="n">
        <v>33081</v>
      </c>
      <c r="B2767" s="538" t="n">
        <v>19.03</v>
      </c>
      <c r="C2767" s="538" t="n">
        <v>20.07</v>
      </c>
      <c r="D2767" s="637" t="n"/>
      <c r="E2767" s="538" t="n">
        <v>23.3</v>
      </c>
    </row>
    <row r="2768">
      <c r="A2768" s="544" t="n">
        <v>33084</v>
      </c>
      <c r="B2768" s="538" t="n">
        <v>18.98</v>
      </c>
      <c r="C2768" s="538" t="n">
        <v>20.24</v>
      </c>
      <c r="D2768" s="637" t="n"/>
      <c r="E2768" s="538" t="n">
        <v>23.65</v>
      </c>
    </row>
    <row r="2769">
      <c r="A2769" s="544" t="n">
        <v>33085</v>
      </c>
      <c r="B2769" s="538" t="n">
        <v>19.23</v>
      </c>
      <c r="C2769" s="538" t="n">
        <v>20.57</v>
      </c>
      <c r="D2769" s="637" t="n"/>
      <c r="E2769" s="538" t="n">
        <v>24.15</v>
      </c>
    </row>
    <row r="2770">
      <c r="A2770" s="544" t="n">
        <v>33086</v>
      </c>
      <c r="B2770" s="538" t="n">
        <v>19.93</v>
      </c>
      <c r="C2770" s="538" t="n">
        <v>21.59</v>
      </c>
      <c r="D2770" s="637" t="n"/>
      <c r="E2770" s="538" t="n">
        <v>24.75</v>
      </c>
    </row>
    <row r="2771">
      <c r="A2771" s="544" t="n">
        <v>33087</v>
      </c>
      <c r="B2771" s="538" t="n">
        <v>22.25</v>
      </c>
      <c r="C2771" s="538" t="n">
        <v>23.71</v>
      </c>
      <c r="D2771" s="637" t="n"/>
      <c r="E2771" s="538" t="n">
        <v>27.75</v>
      </c>
    </row>
    <row r="2772">
      <c r="A2772" s="544" t="n">
        <v>33088</v>
      </c>
      <c r="B2772" s="538" t="n">
        <v>24.13</v>
      </c>
      <c r="C2772" s="538" t="n">
        <v>23.79</v>
      </c>
      <c r="D2772" s="637" t="n"/>
      <c r="E2772" s="538" t="n">
        <v>28.25</v>
      </c>
    </row>
    <row r="2773">
      <c r="A2773" s="544" t="n">
        <v>33091</v>
      </c>
      <c r="B2773" s="538" t="n">
        <v>27.28</v>
      </c>
      <c r="C2773" s="538" t="n">
        <v>28.73</v>
      </c>
      <c r="D2773" s="637" t="n"/>
      <c r="E2773" s="538" t="n">
        <v>32.25</v>
      </c>
    </row>
    <row r="2774">
      <c r="A2774" s="544" t="n">
        <v>33092</v>
      </c>
      <c r="B2774" s="538" t="n">
        <v>27.35</v>
      </c>
      <c r="C2774" s="538" t="n">
        <v>29.6</v>
      </c>
      <c r="D2774" s="637" t="n"/>
      <c r="E2774" s="538" t="n">
        <v>35.75</v>
      </c>
    </row>
    <row r="2775">
      <c r="A2775" s="544" t="n">
        <v>33093</v>
      </c>
      <c r="B2775" s="538" t="n">
        <v>25.15</v>
      </c>
      <c r="C2775" s="538" t="n">
        <v>26.19</v>
      </c>
      <c r="D2775" s="637" t="n"/>
      <c r="E2775" s="538" t="n">
        <v>33.5</v>
      </c>
    </row>
    <row r="2776">
      <c r="A2776" s="544" t="n">
        <v>33094</v>
      </c>
      <c r="B2776" s="538" t="n">
        <v>25.9</v>
      </c>
      <c r="C2776" s="538" t="n">
        <v>25.69</v>
      </c>
      <c r="D2776" s="637" t="n"/>
      <c r="E2776" s="538" t="n">
        <v>33.5</v>
      </c>
    </row>
    <row r="2777">
      <c r="A2777" s="544" t="n">
        <v>33095</v>
      </c>
      <c r="B2777" s="538" t="n">
        <v>26.3</v>
      </c>
      <c r="C2777" s="538" t="n">
        <v>26.38</v>
      </c>
      <c r="D2777" s="637" t="n"/>
      <c r="E2777" s="538" t="n">
        <v>32.75</v>
      </c>
    </row>
    <row r="2778">
      <c r="A2778" s="544" t="n">
        <v>33098</v>
      </c>
      <c r="B2778" s="538" t="n">
        <v>26.63</v>
      </c>
      <c r="C2778" s="538" t="n">
        <v>27.07</v>
      </c>
      <c r="D2778" s="637" t="n"/>
      <c r="E2778" s="538" t="n">
        <v>34.5</v>
      </c>
    </row>
    <row r="2779">
      <c r="A2779" s="544" t="n">
        <v>33099</v>
      </c>
      <c r="B2779" s="538" t="n">
        <v>27.1</v>
      </c>
      <c r="C2779" s="538" t="n">
        <v>26.7</v>
      </c>
      <c r="D2779" s="637" t="n"/>
      <c r="E2779" s="538" t="n">
        <v>36.25</v>
      </c>
    </row>
    <row r="2780">
      <c r="A2780" s="544" t="n">
        <v>33100</v>
      </c>
      <c r="B2780" s="538" t="n">
        <v>26.53</v>
      </c>
      <c r="C2780" s="538" t="n">
        <v>26.54</v>
      </c>
      <c r="D2780" s="637" t="n"/>
      <c r="E2780" s="538" t="n">
        <v>35.75</v>
      </c>
    </row>
    <row r="2781">
      <c r="A2781" s="544" t="n">
        <v>33101</v>
      </c>
      <c r="B2781" s="538" t="n">
        <v>27.2</v>
      </c>
      <c r="C2781" s="538" t="n">
        <v>27.4</v>
      </c>
      <c r="D2781" s="637" t="n"/>
      <c r="E2781" s="538" t="n">
        <v>35.75</v>
      </c>
    </row>
    <row r="2782">
      <c r="A2782" s="544" t="n">
        <v>33102</v>
      </c>
      <c r="B2782" s="538" t="n">
        <v>28.45</v>
      </c>
      <c r="C2782" s="538" t="n">
        <v>28.65</v>
      </c>
      <c r="D2782" s="637" t="n"/>
      <c r="E2782" s="538" t="n">
        <v>36.25</v>
      </c>
    </row>
    <row r="2783">
      <c r="A2783" s="544" t="n">
        <v>33105</v>
      </c>
      <c r="B2783" s="538" t="n">
        <v>28.9</v>
      </c>
      <c r="C2783" s="538" t="n">
        <v>28.63</v>
      </c>
      <c r="D2783" s="637" t="n"/>
      <c r="E2783" s="538" t="n">
        <v>37.5</v>
      </c>
    </row>
    <row r="2784">
      <c r="A2784" s="544" t="n">
        <v>33106</v>
      </c>
      <c r="B2784" s="538" t="n">
        <v>29.05</v>
      </c>
      <c r="C2784" s="538" t="n">
        <v>28.46</v>
      </c>
      <c r="D2784" s="637" t="n"/>
      <c r="E2784" s="538" t="n">
        <v>38.5</v>
      </c>
    </row>
    <row r="2785">
      <c r="A2785" s="544" t="n">
        <v>33107</v>
      </c>
      <c r="B2785" s="538" t="n">
        <v>30.45</v>
      </c>
      <c r="C2785" s="538" t="n">
        <v>30.52</v>
      </c>
      <c r="D2785" s="637" t="n"/>
      <c r="E2785" s="538" t="n">
        <v>42.75</v>
      </c>
    </row>
    <row r="2786">
      <c r="A2786" s="544" t="n">
        <v>33108</v>
      </c>
      <c r="B2786" s="538" t="n">
        <v>32.35</v>
      </c>
      <c r="C2786" s="538" t="n">
        <v>31.67</v>
      </c>
      <c r="D2786" s="637" t="n"/>
      <c r="E2786" s="538" t="n">
        <v>46.5</v>
      </c>
    </row>
    <row r="2787">
      <c r="A2787" s="544" t="n">
        <v>33109</v>
      </c>
      <c r="B2787" s="538" t="n">
        <v>31.65</v>
      </c>
      <c r="C2787" s="538" t="n">
        <v>31.1</v>
      </c>
      <c r="D2787" s="637" t="n"/>
      <c r="E2787" s="538" t="n">
        <v>46.75</v>
      </c>
    </row>
    <row r="2788">
      <c r="A2788" s="544" t="n">
        <v>33112</v>
      </c>
      <c r="B2788" s="538" t="n">
        <v>27.65</v>
      </c>
      <c r="C2788" s="538" t="n">
        <v>27.36</v>
      </c>
      <c r="D2788" s="637" t="n"/>
      <c r="E2788" s="538" t="n">
        <v>46.5</v>
      </c>
    </row>
    <row r="2789">
      <c r="A2789" s="544" t="n">
        <v>33113</v>
      </c>
      <c r="B2789" s="538" t="n">
        <v>27.65</v>
      </c>
      <c r="C2789" s="538" t="n">
        <v>27.73</v>
      </c>
      <c r="D2789" s="637" t="n"/>
      <c r="E2789" s="538" t="n">
        <v>42.5</v>
      </c>
    </row>
    <row r="2790">
      <c r="A2790" s="544" t="n">
        <v>33114</v>
      </c>
      <c r="B2790" s="538" t="n">
        <v>27.65</v>
      </c>
      <c r="C2790" s="538" t="n">
        <v>26.15</v>
      </c>
      <c r="D2790" s="637" t="n"/>
      <c r="E2790" s="538" t="n">
        <v>41.5</v>
      </c>
    </row>
    <row r="2791">
      <c r="A2791" s="544" t="n">
        <v>33115</v>
      </c>
      <c r="B2791" s="538" t="n">
        <v>27.5</v>
      </c>
      <c r="C2791" s="538" t="n">
        <v>26.96</v>
      </c>
      <c r="D2791" s="637" t="n"/>
      <c r="E2791" s="538" t="n">
        <v>39.25</v>
      </c>
    </row>
    <row r="2792">
      <c r="A2792" s="544" t="n">
        <v>33116</v>
      </c>
      <c r="B2792" s="538" t="n">
        <v>27.8</v>
      </c>
      <c r="C2792" s="538" t="n">
        <v>27.45</v>
      </c>
      <c r="D2792" s="637" t="n"/>
      <c r="E2792" s="538" t="n">
        <v>39.5</v>
      </c>
    </row>
    <row r="2793">
      <c r="A2793" s="544" t="n">
        <v>33119</v>
      </c>
      <c r="B2793" s="538" t="n">
        <v>30.53</v>
      </c>
      <c r="C2793" s="538" t="n">
        <v>27.45</v>
      </c>
      <c r="D2793" s="637" t="n"/>
      <c r="E2793" s="538" t="n">
        <v>39.5</v>
      </c>
    </row>
    <row r="2794">
      <c r="A2794" s="544" t="n">
        <v>33120</v>
      </c>
      <c r="B2794" s="538" t="n">
        <v>30.08</v>
      </c>
      <c r="C2794" s="538" t="n">
        <v>29.3</v>
      </c>
      <c r="D2794" s="637" t="n"/>
      <c r="E2794" s="538" t="n">
        <v>41.5</v>
      </c>
    </row>
    <row r="2795">
      <c r="A2795" s="544" t="n">
        <v>33121</v>
      </c>
      <c r="B2795" s="538" t="n">
        <v>31.23</v>
      </c>
      <c r="C2795" s="538" t="n">
        <v>30</v>
      </c>
      <c r="D2795" s="637" t="n"/>
      <c r="E2795" s="538" t="n">
        <v>42.5</v>
      </c>
    </row>
    <row r="2796">
      <c r="A2796" s="544" t="n">
        <v>33122</v>
      </c>
      <c r="B2796" s="538" t="n">
        <v>32.15</v>
      </c>
      <c r="C2796" s="538" t="n">
        <v>31.51</v>
      </c>
      <c r="D2796" s="637" t="n"/>
      <c r="E2796" s="538" t="n">
        <v>43.25</v>
      </c>
    </row>
    <row r="2797">
      <c r="A2797" s="544" t="n">
        <v>33123</v>
      </c>
      <c r="B2797" s="538" t="n">
        <v>31.45</v>
      </c>
      <c r="C2797" s="538" t="n">
        <v>30.09</v>
      </c>
      <c r="D2797" s="637" t="n"/>
      <c r="E2797" s="538" t="n">
        <v>44</v>
      </c>
    </row>
    <row r="2798">
      <c r="A2798" s="544" t="n">
        <v>33126</v>
      </c>
      <c r="B2798" s="538" t="n">
        <v>31.45</v>
      </c>
      <c r="C2798" s="538" t="n">
        <v>30.83</v>
      </c>
      <c r="D2798" s="637" t="n"/>
      <c r="E2798" s="538" t="n">
        <v>43</v>
      </c>
    </row>
    <row r="2799">
      <c r="A2799" s="544" t="n">
        <v>33127</v>
      </c>
      <c r="B2799" s="538" t="n">
        <v>32.1</v>
      </c>
      <c r="C2799" s="538" t="n">
        <v>30.29</v>
      </c>
      <c r="D2799" s="637" t="n"/>
      <c r="E2799" s="538" t="n">
        <v>43</v>
      </c>
    </row>
    <row r="2800">
      <c r="A2800" s="544" t="n">
        <v>33128</v>
      </c>
      <c r="B2800" s="538" t="n">
        <v>31.28</v>
      </c>
      <c r="C2800" s="538" t="n">
        <v>30.85</v>
      </c>
      <c r="D2800" s="637" t="n"/>
      <c r="E2800" s="538" t="n">
        <v>43</v>
      </c>
    </row>
    <row r="2801">
      <c r="A2801" s="544" t="n">
        <v>33129</v>
      </c>
      <c r="B2801" s="538" t="n">
        <v>31.88</v>
      </c>
      <c r="C2801" s="538" t="n">
        <v>31.2</v>
      </c>
      <c r="D2801" s="637" t="n"/>
      <c r="E2801" s="538" t="n">
        <v>43.95</v>
      </c>
    </row>
    <row r="2802">
      <c r="A2802" s="544" t="n">
        <v>33130</v>
      </c>
      <c r="B2802" s="538" t="n">
        <v>33.35</v>
      </c>
      <c r="C2802" s="538" t="n">
        <v>31.79</v>
      </c>
      <c r="D2802" s="637" t="n"/>
      <c r="E2802" s="538" t="n">
        <v>44.25</v>
      </c>
    </row>
    <row r="2803">
      <c r="A2803" s="544" t="n">
        <v>33133</v>
      </c>
      <c r="B2803" s="538" t="n">
        <v>34.9</v>
      </c>
      <c r="C2803" s="538" t="n">
        <v>33.73</v>
      </c>
      <c r="D2803" s="637" t="n"/>
      <c r="E2803" s="538" t="n">
        <v>45.5</v>
      </c>
    </row>
    <row r="2804">
      <c r="A2804" s="544" t="n">
        <v>33134</v>
      </c>
      <c r="B2804" s="538" t="n">
        <v>35.95</v>
      </c>
      <c r="C2804" s="538" t="n">
        <v>33.48</v>
      </c>
      <c r="D2804" s="637" t="n"/>
      <c r="E2804" s="538" t="n">
        <v>47</v>
      </c>
    </row>
    <row r="2805">
      <c r="A2805" s="544" t="n">
        <v>33135</v>
      </c>
      <c r="B2805" s="538" t="n">
        <v>35.08</v>
      </c>
      <c r="C2805" s="538" t="n">
        <v>33.18</v>
      </c>
      <c r="D2805" s="637" t="n"/>
      <c r="E2805" s="538" t="n">
        <v>47.25</v>
      </c>
    </row>
    <row r="2806">
      <c r="A2806" s="544" t="n">
        <v>33136</v>
      </c>
      <c r="B2806" s="538" t="n">
        <v>35.65</v>
      </c>
      <c r="C2806" s="538" t="n">
        <v>34.44</v>
      </c>
      <c r="D2806" s="637" t="n"/>
      <c r="E2806" s="538" t="n">
        <v>47.5</v>
      </c>
    </row>
    <row r="2807">
      <c r="A2807" s="544" t="n">
        <v>33137</v>
      </c>
      <c r="B2807" s="538" t="n">
        <v>36.95</v>
      </c>
      <c r="C2807" s="538" t="n">
        <v>36.21</v>
      </c>
      <c r="D2807" s="637" t="n"/>
      <c r="E2807" s="538" t="n">
        <v>50.5</v>
      </c>
    </row>
    <row r="2808">
      <c r="A2808" s="544" t="n">
        <v>33140</v>
      </c>
      <c r="B2808" s="538" t="n">
        <v>40.75</v>
      </c>
      <c r="C2808" s="538" t="n">
        <v>39.05</v>
      </c>
      <c r="D2808" s="637" t="n"/>
      <c r="E2808" s="538" t="n">
        <v>54.5</v>
      </c>
    </row>
    <row r="2809">
      <c r="A2809" s="544" t="n">
        <v>33141</v>
      </c>
      <c r="B2809" s="538" t="n">
        <v>39.9</v>
      </c>
      <c r="C2809" s="538" t="n">
        <v>38.33</v>
      </c>
      <c r="D2809" s="637" t="n"/>
      <c r="E2809" s="538" t="n">
        <v>60.5</v>
      </c>
    </row>
    <row r="2810">
      <c r="A2810" s="544" t="n">
        <v>33142</v>
      </c>
      <c r="B2810" s="538" t="n">
        <v>40.85</v>
      </c>
      <c r="C2810" s="538" t="n">
        <v>39.12</v>
      </c>
      <c r="D2810" s="637" t="n"/>
      <c r="E2810" s="538" t="n">
        <v>59.5</v>
      </c>
    </row>
    <row r="2811">
      <c r="A2811" s="544" t="n">
        <v>33143</v>
      </c>
      <c r="B2811" s="538" t="n">
        <v>41.45</v>
      </c>
      <c r="C2811" s="538" t="n">
        <v>39.77</v>
      </c>
      <c r="D2811" s="637" t="n"/>
      <c r="E2811" s="538" t="n">
        <v>59.5</v>
      </c>
    </row>
    <row r="2812">
      <c r="A2812" s="544" t="n">
        <v>33144</v>
      </c>
      <c r="B2812" s="538" t="n">
        <v>41</v>
      </c>
      <c r="C2812" s="538" t="n">
        <v>39.53</v>
      </c>
      <c r="D2812" s="637" t="n"/>
      <c r="E2812" s="538" t="n">
        <v>62</v>
      </c>
    </row>
    <row r="2813">
      <c r="A2813" s="544" t="n">
        <v>33147</v>
      </c>
      <c r="B2813" s="538" t="n">
        <v>38.95</v>
      </c>
      <c r="C2813" s="538" t="n">
        <v>37.08</v>
      </c>
      <c r="D2813" s="637" t="n"/>
      <c r="E2813" s="538" t="n">
        <v>62.5</v>
      </c>
    </row>
    <row r="2814">
      <c r="A2814" s="544" t="n">
        <v>33148</v>
      </c>
      <c r="B2814" s="538" t="n">
        <v>35.45</v>
      </c>
      <c r="C2814" s="538" t="n">
        <v>34.43</v>
      </c>
      <c r="D2814" s="637" t="n"/>
      <c r="E2814" s="538" t="n">
        <v>62.5</v>
      </c>
    </row>
    <row r="2815">
      <c r="A2815" s="544" t="n">
        <v>33149</v>
      </c>
      <c r="B2815" s="538" t="n">
        <v>37.55</v>
      </c>
      <c r="C2815" s="538" t="n">
        <v>37.04</v>
      </c>
      <c r="D2815" s="637" t="n"/>
      <c r="E2815" s="538" t="n">
        <v>62.5</v>
      </c>
    </row>
    <row r="2816">
      <c r="A2816" s="544" t="n">
        <v>33150</v>
      </c>
      <c r="B2816" s="538" t="n">
        <v>37.2</v>
      </c>
      <c r="C2816" s="538" t="n">
        <v>36.76</v>
      </c>
      <c r="D2816" s="637" t="n"/>
      <c r="E2816" s="538" t="n">
        <v>63.75</v>
      </c>
    </row>
    <row r="2817">
      <c r="A2817" s="544" t="n">
        <v>33151</v>
      </c>
      <c r="B2817" s="538" t="n">
        <v>39.05</v>
      </c>
      <c r="C2817" s="538" t="n">
        <v>37.87</v>
      </c>
      <c r="D2817" s="637" t="n"/>
      <c r="E2817" s="538" t="n">
        <v>63.75</v>
      </c>
    </row>
    <row r="2818">
      <c r="A2818" s="544" t="n">
        <v>33154</v>
      </c>
      <c r="B2818" s="538" t="n">
        <v>39.2</v>
      </c>
      <c r="C2818" s="538" t="n">
        <v>38.88</v>
      </c>
      <c r="D2818" s="637" t="n"/>
      <c r="E2818" s="538" t="n">
        <v>64.75</v>
      </c>
    </row>
    <row r="2819">
      <c r="A2819" s="544" t="n">
        <v>33155</v>
      </c>
      <c r="B2819" s="538" t="n">
        <v>40.9</v>
      </c>
      <c r="C2819" s="538" t="n">
        <v>40.73</v>
      </c>
      <c r="D2819" s="637" t="n"/>
      <c r="E2819" s="538" t="n">
        <v>66.5</v>
      </c>
    </row>
    <row r="2820">
      <c r="A2820" s="544" t="n">
        <v>33156</v>
      </c>
      <c r="B2820" s="538" t="n">
        <v>40.2</v>
      </c>
      <c r="C2820" s="538" t="n">
        <v>39.3</v>
      </c>
      <c r="D2820" s="637" t="n"/>
      <c r="E2820" s="538" t="n">
        <v>68.75</v>
      </c>
    </row>
    <row r="2821">
      <c r="A2821" s="544" t="n">
        <v>33157</v>
      </c>
      <c r="B2821" s="538" t="n">
        <v>41.15</v>
      </c>
      <c r="C2821" s="538" t="n">
        <v>41.07</v>
      </c>
      <c r="D2821" s="637" t="n"/>
      <c r="E2821" s="538" t="n">
        <v>69.75</v>
      </c>
    </row>
    <row r="2822">
      <c r="A2822" s="544" t="n">
        <v>33158</v>
      </c>
      <c r="B2822" s="538" t="n">
        <v>39.9</v>
      </c>
      <c r="C2822" s="538" t="n">
        <v>39.42</v>
      </c>
      <c r="D2822" s="637" t="n"/>
      <c r="E2822" s="538" t="n">
        <v>69.75</v>
      </c>
    </row>
    <row r="2823">
      <c r="A2823" s="544" t="n">
        <v>33161</v>
      </c>
      <c r="B2823" s="538" t="n">
        <v>38.28</v>
      </c>
      <c r="C2823" s="538" t="n">
        <v>38</v>
      </c>
      <c r="D2823" s="637" t="n"/>
      <c r="E2823" s="538" t="n">
        <v>70</v>
      </c>
    </row>
    <row r="2824">
      <c r="A2824" s="544" t="n">
        <v>33162</v>
      </c>
      <c r="B2824" s="538" t="n">
        <v>38.93</v>
      </c>
      <c r="C2824" s="538" t="n">
        <v>39.34</v>
      </c>
      <c r="D2824" s="637" t="n"/>
      <c r="E2824" s="538" t="n">
        <v>69.25</v>
      </c>
    </row>
    <row r="2825">
      <c r="A2825" s="544" t="n">
        <v>33163</v>
      </c>
      <c r="B2825" s="538" t="n">
        <v>35.33</v>
      </c>
      <c r="C2825" s="538" t="n">
        <v>36.03</v>
      </c>
      <c r="D2825" s="637" t="n"/>
      <c r="E2825" s="538" t="n">
        <v>69.25</v>
      </c>
    </row>
    <row r="2826">
      <c r="A2826" s="544" t="n">
        <v>33164</v>
      </c>
      <c r="B2826" s="538" t="n">
        <v>35.65</v>
      </c>
      <c r="C2826" s="538" t="n">
        <v>37.03</v>
      </c>
      <c r="D2826" s="637" t="n"/>
      <c r="E2826" s="538" t="n">
        <v>68</v>
      </c>
    </row>
    <row r="2827">
      <c r="A2827" s="544" t="n">
        <v>33165</v>
      </c>
      <c r="B2827" s="538" t="n">
        <v>33.2</v>
      </c>
      <c r="C2827" s="538" t="n">
        <v>33.82</v>
      </c>
      <c r="D2827" s="637" t="n"/>
      <c r="E2827" s="538" t="n">
        <v>65</v>
      </c>
    </row>
    <row r="2828">
      <c r="A2828" s="544" t="n">
        <v>33168</v>
      </c>
      <c r="B2828" s="538" t="n">
        <v>27.45</v>
      </c>
      <c r="C2828" s="538" t="n">
        <v>28.46</v>
      </c>
      <c r="D2828" s="637" t="n"/>
      <c r="E2828" s="538" t="n">
        <v>58.5</v>
      </c>
    </row>
    <row r="2829">
      <c r="A2829" s="544" t="n">
        <v>33169</v>
      </c>
      <c r="B2829" s="538" t="n">
        <v>28.95</v>
      </c>
      <c r="C2829" s="538" t="n">
        <v>29.95</v>
      </c>
      <c r="D2829" s="637" t="n"/>
      <c r="E2829" s="538" t="n">
        <v>56.5</v>
      </c>
    </row>
    <row r="2830">
      <c r="A2830" s="544" t="n">
        <v>33170</v>
      </c>
      <c r="B2830" s="538" t="n">
        <v>30.1</v>
      </c>
      <c r="C2830" s="538" t="n">
        <v>30.8</v>
      </c>
      <c r="D2830" s="637" t="n"/>
      <c r="E2830" s="538" t="n">
        <v>54.28</v>
      </c>
    </row>
    <row r="2831">
      <c r="A2831" s="544" t="n">
        <v>33171</v>
      </c>
      <c r="B2831" s="538" t="n">
        <v>32.9</v>
      </c>
      <c r="C2831" s="538" t="n">
        <v>34.35</v>
      </c>
      <c r="D2831" s="637" t="n"/>
      <c r="E2831" s="538" t="n">
        <v>54.27</v>
      </c>
    </row>
    <row r="2832">
      <c r="A2832" s="544" t="n">
        <v>33172</v>
      </c>
      <c r="B2832" s="538" t="n">
        <v>33.73</v>
      </c>
      <c r="C2832" s="538" t="n">
        <v>33.03</v>
      </c>
      <c r="D2832" s="637" t="n"/>
      <c r="E2832" s="538" t="n">
        <v>57.29</v>
      </c>
    </row>
    <row r="2833">
      <c r="A2833" s="544" t="n">
        <v>33175</v>
      </c>
      <c r="B2833" s="538" t="n">
        <v>34.65</v>
      </c>
      <c r="C2833" s="538" t="n">
        <v>35.28</v>
      </c>
      <c r="D2833" s="637" t="n"/>
      <c r="E2833" s="538" t="n">
        <v>58.75</v>
      </c>
    </row>
    <row r="2834">
      <c r="A2834" s="544" t="n">
        <v>33176</v>
      </c>
      <c r="B2834" s="538" t="n">
        <v>35.5</v>
      </c>
      <c r="C2834" s="538" t="n">
        <v>34.93</v>
      </c>
      <c r="D2834" s="637" t="n"/>
      <c r="E2834" s="538" t="n">
        <v>59.5</v>
      </c>
    </row>
    <row r="2835">
      <c r="A2835" s="544" t="n">
        <v>33177</v>
      </c>
      <c r="B2835" s="538" t="n">
        <v>34.3</v>
      </c>
      <c r="C2835" s="538" t="n">
        <v>35.31</v>
      </c>
      <c r="D2835" s="637" t="n"/>
      <c r="E2835" s="538" t="n">
        <v>57.75</v>
      </c>
    </row>
    <row r="2836">
      <c r="A2836" s="544" t="n">
        <v>33178</v>
      </c>
      <c r="B2836" s="538" t="n">
        <v>35.65</v>
      </c>
      <c r="C2836" s="538" t="n">
        <v>35.3</v>
      </c>
      <c r="D2836" s="637" t="n"/>
      <c r="E2836" s="538" t="n">
        <v>55.25</v>
      </c>
    </row>
    <row r="2837">
      <c r="A2837" s="544" t="n">
        <v>33179</v>
      </c>
      <c r="B2837" s="538" t="n">
        <v>35.05</v>
      </c>
      <c r="C2837" s="538" t="n">
        <v>33.95</v>
      </c>
      <c r="D2837" s="637" t="n"/>
      <c r="E2837" s="538" t="n">
        <v>53.25</v>
      </c>
    </row>
    <row r="2838">
      <c r="A2838" s="544" t="n">
        <v>33182</v>
      </c>
      <c r="B2838" s="538" t="n">
        <v>33.8</v>
      </c>
      <c r="C2838" s="538" t="n">
        <v>32.05</v>
      </c>
      <c r="D2838" s="637" t="n"/>
      <c r="E2838" s="538" t="n">
        <v>52.75</v>
      </c>
    </row>
    <row r="2839">
      <c r="A2839" s="544" t="n">
        <v>33183</v>
      </c>
      <c r="B2839" s="538" t="n">
        <v>33.2</v>
      </c>
      <c r="C2839" s="538" t="n">
        <v>32.41</v>
      </c>
      <c r="D2839" s="637" t="n"/>
      <c r="E2839" s="538" t="n">
        <v>52.75</v>
      </c>
    </row>
    <row r="2840">
      <c r="A2840" s="544" t="n">
        <v>33184</v>
      </c>
      <c r="B2840" s="538" t="n">
        <v>34.55</v>
      </c>
      <c r="C2840" s="538" t="n">
        <v>35.48</v>
      </c>
      <c r="D2840" s="637" t="n"/>
      <c r="E2840" s="538" t="n">
        <v>50.5</v>
      </c>
    </row>
    <row r="2841">
      <c r="A2841" s="544" t="n">
        <v>33185</v>
      </c>
      <c r="B2841" s="538" t="n">
        <v>34.85</v>
      </c>
      <c r="C2841" s="538" t="n">
        <v>35.61</v>
      </c>
      <c r="D2841" s="637" t="n"/>
      <c r="E2841" s="538" t="n">
        <v>50.75</v>
      </c>
    </row>
    <row r="2842">
      <c r="A2842" s="544" t="n">
        <v>33186</v>
      </c>
      <c r="B2842" s="538" t="n">
        <v>34.25</v>
      </c>
      <c r="C2842" s="538" t="n">
        <v>33.91</v>
      </c>
      <c r="D2842" s="637" t="n"/>
      <c r="E2842" s="538" t="n">
        <v>50.75</v>
      </c>
    </row>
    <row r="2843">
      <c r="A2843" s="544" t="n">
        <v>33189</v>
      </c>
      <c r="B2843" s="538" t="n">
        <v>32.85</v>
      </c>
      <c r="C2843" s="538" t="n">
        <v>32.08</v>
      </c>
      <c r="D2843" s="637" t="n"/>
      <c r="E2843" s="538" t="n">
        <v>49.25</v>
      </c>
    </row>
    <row r="2844">
      <c r="A2844" s="544" t="n">
        <v>33190</v>
      </c>
      <c r="B2844" s="538" t="n">
        <v>33.65</v>
      </c>
      <c r="C2844" s="538" t="n">
        <v>33.3</v>
      </c>
      <c r="D2844" s="637" t="n"/>
      <c r="E2844" s="538" t="n">
        <v>47.5</v>
      </c>
    </row>
    <row r="2845">
      <c r="A2845" s="544" t="n">
        <v>33191</v>
      </c>
      <c r="B2845" s="538" t="n">
        <v>31.95</v>
      </c>
      <c r="C2845" s="538" t="n">
        <v>31.18</v>
      </c>
      <c r="D2845" s="637" t="n"/>
      <c r="E2845" s="538" t="n">
        <v>47.5</v>
      </c>
    </row>
    <row r="2846">
      <c r="A2846" s="544" t="n">
        <v>33192</v>
      </c>
      <c r="B2846" s="538" t="n">
        <v>32.2</v>
      </c>
      <c r="C2846" s="538" t="n">
        <v>31.05</v>
      </c>
      <c r="D2846" s="637" t="n"/>
      <c r="E2846" s="538" t="n">
        <v>45.5</v>
      </c>
    </row>
    <row r="2847">
      <c r="A2847" s="544" t="n">
        <v>33193</v>
      </c>
      <c r="B2847" s="538" t="n">
        <v>30.55</v>
      </c>
      <c r="C2847" s="538" t="n">
        <v>29.91</v>
      </c>
      <c r="D2847" s="637" t="n"/>
      <c r="E2847" s="538" t="n">
        <v>45.5</v>
      </c>
    </row>
    <row r="2848">
      <c r="A2848" s="544" t="n">
        <v>33196</v>
      </c>
      <c r="B2848" s="538" t="n">
        <v>30.85</v>
      </c>
      <c r="C2848" s="538" t="n">
        <v>31.45</v>
      </c>
      <c r="D2848" s="637" t="n"/>
      <c r="E2848" s="538" t="n">
        <v>42.5</v>
      </c>
    </row>
    <row r="2849">
      <c r="A2849" s="544" t="n">
        <v>33197</v>
      </c>
      <c r="B2849" s="538" t="n">
        <v>30.1</v>
      </c>
      <c r="C2849" s="538" t="n">
        <v>29.5</v>
      </c>
      <c r="D2849" s="637" t="n"/>
      <c r="E2849" s="538" t="n">
        <v>41</v>
      </c>
    </row>
    <row r="2850">
      <c r="A2850" s="544" t="n">
        <v>33198</v>
      </c>
      <c r="B2850" s="538" t="n">
        <v>30.65</v>
      </c>
      <c r="C2850" s="538" t="n">
        <v>30.08</v>
      </c>
      <c r="D2850" s="637" t="n"/>
      <c r="E2850" s="538" t="n">
        <v>40</v>
      </c>
    </row>
    <row r="2851">
      <c r="A2851" s="544" t="n">
        <v>33199</v>
      </c>
      <c r="B2851" s="538" t="n">
        <v>31.4</v>
      </c>
      <c r="C2851" s="538" t="n">
        <v>30.08</v>
      </c>
      <c r="D2851" s="637" t="n"/>
      <c r="E2851" s="538" t="n">
        <v>39</v>
      </c>
    </row>
    <row r="2852">
      <c r="A2852" s="544" t="n">
        <v>33200</v>
      </c>
      <c r="B2852" s="538" t="n">
        <v>32.05</v>
      </c>
      <c r="C2852" s="538" t="n">
        <v>32.35</v>
      </c>
      <c r="D2852" s="637" t="n"/>
      <c r="E2852" s="538" t="n">
        <v>38.5</v>
      </c>
    </row>
    <row r="2853">
      <c r="A2853" s="544" t="n">
        <v>33203</v>
      </c>
      <c r="B2853" s="538" t="n">
        <v>35.1</v>
      </c>
      <c r="C2853" s="538" t="n">
        <v>33.28</v>
      </c>
      <c r="D2853" s="637" t="n"/>
      <c r="E2853" s="538" t="n">
        <v>40</v>
      </c>
    </row>
    <row r="2854">
      <c r="A2854" s="544" t="n">
        <v>33204</v>
      </c>
      <c r="B2854" s="538" t="n">
        <v>34.83</v>
      </c>
      <c r="C2854" s="538" t="n">
        <v>33.05</v>
      </c>
      <c r="D2854" s="637" t="n"/>
      <c r="E2854" s="538" t="n">
        <v>41.5</v>
      </c>
    </row>
    <row r="2855">
      <c r="A2855" s="544" t="n">
        <v>33205</v>
      </c>
      <c r="B2855" s="538" t="n">
        <v>34.1</v>
      </c>
      <c r="C2855" s="538" t="n">
        <v>33.28</v>
      </c>
      <c r="D2855" s="637" t="n"/>
      <c r="E2855" s="538" t="n">
        <v>42.5</v>
      </c>
    </row>
    <row r="2856">
      <c r="A2856" s="544" t="n">
        <v>33206</v>
      </c>
      <c r="B2856" s="538" t="n">
        <v>34.65</v>
      </c>
      <c r="C2856" s="538" t="n">
        <v>32.93</v>
      </c>
      <c r="D2856" s="637" t="n"/>
      <c r="E2856" s="538" t="n">
        <v>42.5</v>
      </c>
    </row>
    <row r="2857">
      <c r="A2857" s="544" t="n">
        <v>33207</v>
      </c>
      <c r="B2857" s="538" t="n">
        <v>31.2</v>
      </c>
      <c r="C2857" s="538" t="n">
        <v>29.08</v>
      </c>
      <c r="D2857" s="637" t="n"/>
      <c r="E2857" s="538" t="n">
        <v>42</v>
      </c>
    </row>
    <row r="2858">
      <c r="A2858" s="544" t="n">
        <v>33210</v>
      </c>
      <c r="B2858" s="538" t="n">
        <v>31.25</v>
      </c>
      <c r="C2858" s="538" t="n">
        <v>29.4</v>
      </c>
      <c r="D2858" s="637" t="n"/>
      <c r="E2858" s="538" t="n">
        <v>39.5</v>
      </c>
    </row>
    <row r="2859">
      <c r="A2859" s="544" t="n">
        <v>33211</v>
      </c>
      <c r="B2859" s="538" t="n">
        <v>31.5</v>
      </c>
      <c r="C2859" s="538" t="n">
        <v>29.05</v>
      </c>
      <c r="D2859" s="637" t="n"/>
      <c r="E2859" s="538" t="n">
        <v>40</v>
      </c>
    </row>
    <row r="2860">
      <c r="A2860" s="544" t="n">
        <v>33212</v>
      </c>
      <c r="B2860" s="538" t="n">
        <v>30.2</v>
      </c>
      <c r="C2860" s="538" t="n">
        <v>27.18</v>
      </c>
      <c r="D2860" s="637" t="n"/>
      <c r="E2860" s="538" t="n">
        <v>39.5</v>
      </c>
    </row>
    <row r="2861">
      <c r="A2861" s="544" t="n">
        <v>33213</v>
      </c>
      <c r="B2861" s="538" t="n">
        <v>27.35</v>
      </c>
      <c r="C2861" s="538" t="n">
        <v>26.35</v>
      </c>
      <c r="D2861" s="637" t="n"/>
      <c r="E2861" s="538" t="n">
        <v>38.5</v>
      </c>
    </row>
    <row r="2862">
      <c r="A2862" s="544" t="n">
        <v>33214</v>
      </c>
      <c r="B2862" s="538" t="n">
        <v>28.3</v>
      </c>
      <c r="C2862" s="538" t="n">
        <v>26.61</v>
      </c>
      <c r="D2862" s="637" t="n"/>
      <c r="E2862" s="538" t="n">
        <v>36</v>
      </c>
    </row>
    <row r="2863">
      <c r="A2863" s="544" t="n">
        <v>33217</v>
      </c>
      <c r="B2863" s="538" t="n">
        <v>28.75</v>
      </c>
      <c r="C2863" s="538" t="n">
        <v>27.08</v>
      </c>
      <c r="D2863" s="637" t="n"/>
      <c r="E2863" s="538" t="n">
        <v>38.5</v>
      </c>
    </row>
    <row r="2864">
      <c r="A2864" s="544" t="n">
        <v>33218</v>
      </c>
      <c r="B2864" s="538" t="n">
        <v>28.03</v>
      </c>
      <c r="C2864" s="538" t="n">
        <v>26.5</v>
      </c>
      <c r="D2864" s="637" t="n"/>
      <c r="E2864" s="538" t="n">
        <v>37</v>
      </c>
    </row>
    <row r="2865">
      <c r="A2865" s="544" t="n">
        <v>33219</v>
      </c>
      <c r="B2865" s="538" t="n">
        <v>27.28</v>
      </c>
      <c r="C2865" s="538" t="n">
        <v>25.3</v>
      </c>
      <c r="D2865" s="637" t="n"/>
      <c r="E2865" s="538" t="n">
        <v>35.75</v>
      </c>
    </row>
    <row r="2866">
      <c r="A2866" s="544" t="n">
        <v>33220</v>
      </c>
      <c r="B2866" s="538" t="n">
        <v>27.8</v>
      </c>
      <c r="C2866" s="538" t="n">
        <v>26.45</v>
      </c>
      <c r="D2866" s="637" t="n"/>
      <c r="E2866" s="538" t="n">
        <v>34.75</v>
      </c>
    </row>
    <row r="2867">
      <c r="A2867" s="544" t="n">
        <v>33221</v>
      </c>
      <c r="B2867" s="538" t="n">
        <v>28.45</v>
      </c>
      <c r="C2867" s="538" t="n">
        <v>26.6</v>
      </c>
      <c r="D2867" s="637" t="n"/>
      <c r="E2867" s="538" t="n">
        <v>34</v>
      </c>
    </row>
    <row r="2868">
      <c r="A2868" s="544" t="n">
        <v>33224</v>
      </c>
      <c r="B2868" s="538" t="n">
        <v>28.2</v>
      </c>
      <c r="C2868" s="538" t="n">
        <v>27.1</v>
      </c>
      <c r="D2868" s="637" t="n"/>
      <c r="E2868" s="538" t="n">
        <v>35</v>
      </c>
    </row>
    <row r="2869">
      <c r="A2869" s="544" t="n">
        <v>33225</v>
      </c>
      <c r="B2869" s="538" t="n">
        <v>27.55</v>
      </c>
      <c r="C2869" s="538" t="n">
        <v>27.85</v>
      </c>
      <c r="D2869" s="637" t="n"/>
      <c r="E2869" s="538" t="n">
        <v>34.25</v>
      </c>
    </row>
    <row r="2870">
      <c r="A2870" s="544" t="n">
        <v>33226</v>
      </c>
      <c r="B2870" s="538" t="n">
        <v>28.13</v>
      </c>
      <c r="C2870" s="538" t="n">
        <v>28.26</v>
      </c>
      <c r="D2870" s="637" t="n"/>
      <c r="E2870" s="538" t="n">
        <v>34</v>
      </c>
    </row>
    <row r="2871">
      <c r="A2871" s="544" t="n">
        <v>33227</v>
      </c>
      <c r="B2871" s="538" t="n">
        <v>27.55</v>
      </c>
      <c r="C2871" s="538" t="n">
        <v>27.5</v>
      </c>
      <c r="D2871" s="637" t="n"/>
      <c r="E2871" s="538" t="n">
        <v>34</v>
      </c>
    </row>
    <row r="2872">
      <c r="A2872" s="544" t="n">
        <v>33228</v>
      </c>
      <c r="B2872" s="538" t="n">
        <v>26.9</v>
      </c>
      <c r="C2872" s="538" t="n">
        <v>27.08</v>
      </c>
      <c r="D2872" s="637" t="n"/>
      <c r="E2872" s="538" t="n">
        <v>34</v>
      </c>
    </row>
    <row r="2873">
      <c r="A2873" s="544" t="n">
        <v>33231</v>
      </c>
      <c r="B2873" s="538" t="n">
        <v>27.7</v>
      </c>
      <c r="C2873" s="538" t="n">
        <v>26.95</v>
      </c>
      <c r="D2873" s="637" t="n"/>
      <c r="E2873" s="538" t="n">
        <v>34</v>
      </c>
    </row>
    <row r="2874">
      <c r="A2874" s="544" t="n">
        <v>33232</v>
      </c>
      <c r="B2874" s="538" t="n">
        <v>27.7</v>
      </c>
      <c r="C2874" s="538" t="n">
        <v>26.95</v>
      </c>
      <c r="D2874" s="637" t="n"/>
      <c r="E2874" s="538" t="n">
        <v>34</v>
      </c>
    </row>
    <row r="2875">
      <c r="A2875" s="544" t="n">
        <v>33233</v>
      </c>
      <c r="B2875" s="538" t="n">
        <v>27.7</v>
      </c>
      <c r="C2875" s="538" t="n">
        <v>27.35</v>
      </c>
      <c r="D2875" s="637" t="n"/>
      <c r="E2875" s="538" t="n">
        <v>34</v>
      </c>
    </row>
    <row r="2876">
      <c r="A2876" s="544" t="n">
        <v>33234</v>
      </c>
      <c r="B2876" s="538" t="n">
        <v>27.05</v>
      </c>
      <c r="C2876" s="538" t="n">
        <v>26.95</v>
      </c>
      <c r="D2876" s="637" t="n"/>
      <c r="E2876" s="538" t="n">
        <v>35.5</v>
      </c>
    </row>
    <row r="2877">
      <c r="A2877" s="544" t="n">
        <v>33235</v>
      </c>
      <c r="B2877" s="538" t="n">
        <v>27.43</v>
      </c>
      <c r="C2877" s="538" t="n">
        <v>27.58</v>
      </c>
      <c r="D2877" s="637" t="n"/>
      <c r="E2877" s="538" t="n">
        <v>35.75</v>
      </c>
    </row>
    <row r="2878">
      <c r="A2878" s="544" t="n">
        <v>33238</v>
      </c>
      <c r="B2878" s="538" t="n">
        <v>28.35</v>
      </c>
      <c r="C2878" s="538" t="n">
        <v>28.48</v>
      </c>
      <c r="D2878" s="637" t="n"/>
      <c r="E2878" s="538" t="n">
        <v>36.25</v>
      </c>
    </row>
    <row r="2879">
      <c r="A2879" s="544" t="n">
        <v>33239</v>
      </c>
      <c r="B2879" s="538" t="n">
        <v>28.35</v>
      </c>
      <c r="C2879" s="538" t="n">
        <v>28.48</v>
      </c>
      <c r="D2879" s="637" t="n"/>
      <c r="E2879" s="538" t="n">
        <v>36.25</v>
      </c>
    </row>
    <row r="2880">
      <c r="A2880" s="544" t="n">
        <v>33240</v>
      </c>
      <c r="B2880" s="538" t="n">
        <v>26.78</v>
      </c>
      <c r="C2880" s="538" t="n">
        <v>26.53</v>
      </c>
      <c r="D2880" s="637" t="n"/>
      <c r="E2880" s="538" t="n">
        <v>36.75</v>
      </c>
    </row>
    <row r="2881">
      <c r="A2881" s="544" t="n">
        <v>33241</v>
      </c>
      <c r="B2881" s="538" t="n">
        <v>25.05</v>
      </c>
      <c r="C2881" s="538" t="n">
        <v>25.61</v>
      </c>
      <c r="D2881" s="637" t="n"/>
      <c r="E2881" s="538" t="n">
        <v>35.75</v>
      </c>
    </row>
    <row r="2882">
      <c r="A2882" s="544" t="n">
        <v>33242</v>
      </c>
      <c r="B2882" s="538" t="n">
        <v>24.08</v>
      </c>
      <c r="C2882" s="538" t="n">
        <v>24.88</v>
      </c>
      <c r="D2882" s="637" t="n"/>
      <c r="E2882" s="538" t="n">
        <v>34.5</v>
      </c>
    </row>
    <row r="2883">
      <c r="A2883" s="544" t="n">
        <v>33245</v>
      </c>
      <c r="B2883" s="538" t="n">
        <v>25.93</v>
      </c>
      <c r="C2883" s="538" t="n">
        <v>27.25</v>
      </c>
      <c r="D2883" s="637" t="n"/>
      <c r="E2883" s="538" t="n">
        <v>34.95</v>
      </c>
    </row>
    <row r="2884">
      <c r="A2884" s="544" t="n">
        <v>33246</v>
      </c>
      <c r="B2884" s="538" t="n">
        <v>25.73</v>
      </c>
      <c r="C2884" s="538" t="n">
        <v>27.5</v>
      </c>
      <c r="D2884" s="637" t="n"/>
      <c r="E2884" s="538" t="n">
        <v>35.6</v>
      </c>
    </row>
    <row r="2885">
      <c r="A2885" s="544" t="n">
        <v>33247</v>
      </c>
      <c r="B2885" s="538" t="n">
        <v>22.35</v>
      </c>
      <c r="C2885" s="538" t="n">
        <v>28</v>
      </c>
      <c r="D2885" s="637" t="n"/>
      <c r="E2885" s="538" t="n">
        <v>35.6</v>
      </c>
    </row>
    <row r="2886">
      <c r="A2886" s="544" t="n">
        <v>33248</v>
      </c>
      <c r="B2886" s="538" t="n">
        <v>26.58</v>
      </c>
      <c r="C2886" s="538" t="n">
        <v>27.55</v>
      </c>
      <c r="D2886" s="637" t="n"/>
      <c r="E2886" s="538" t="n">
        <v>36.6</v>
      </c>
    </row>
    <row r="2887">
      <c r="A2887" s="544" t="n">
        <v>33249</v>
      </c>
      <c r="B2887" s="538" t="n">
        <v>26.05</v>
      </c>
      <c r="C2887" s="538" t="n">
        <v>27.43</v>
      </c>
      <c r="D2887" s="637" t="n"/>
      <c r="E2887" s="538" t="n">
        <v>36.4</v>
      </c>
    </row>
    <row r="2888">
      <c r="A2888" s="544" t="n">
        <v>33252</v>
      </c>
      <c r="B2888" s="538" t="n">
        <v>29.55</v>
      </c>
      <c r="C2888" s="538" t="n">
        <v>30.13</v>
      </c>
      <c r="D2888" s="637" t="n"/>
      <c r="E2888" s="538" t="n">
        <v>38.25</v>
      </c>
    </row>
    <row r="2889">
      <c r="A2889" s="544" t="n">
        <v>33253</v>
      </c>
      <c r="B2889" s="538" t="n">
        <v>29.25</v>
      </c>
      <c r="C2889" s="538" t="n">
        <v>30.35</v>
      </c>
      <c r="D2889" s="637" t="n"/>
      <c r="E2889" s="538" t="n">
        <v>42.45</v>
      </c>
    </row>
    <row r="2890">
      <c r="A2890" s="544" t="n">
        <v>33254</v>
      </c>
      <c r="B2890" s="538" t="n">
        <v>30.28</v>
      </c>
      <c r="C2890" s="538" t="n">
        <v>32.25</v>
      </c>
      <c r="D2890" s="637" t="n"/>
      <c r="E2890" s="538" t="n">
        <v>44.5</v>
      </c>
    </row>
    <row r="2891">
      <c r="A2891" s="544" t="n">
        <v>33255</v>
      </c>
      <c r="B2891" s="538" t="n">
        <v>21.1</v>
      </c>
      <c r="C2891" s="538" t="n">
        <v>21.48</v>
      </c>
      <c r="D2891" s="637" t="n"/>
      <c r="E2891" s="538" t="n">
        <v>38</v>
      </c>
    </row>
    <row r="2892">
      <c r="A2892" s="544" t="n">
        <v>33256</v>
      </c>
      <c r="B2892" s="538" t="n">
        <v>19.1</v>
      </c>
      <c r="C2892" s="538" t="n">
        <v>20.05</v>
      </c>
      <c r="D2892" s="637" t="n"/>
      <c r="E2892" s="538" t="n">
        <v>34.5</v>
      </c>
    </row>
    <row r="2893">
      <c r="A2893" s="544" t="n">
        <v>33259</v>
      </c>
      <c r="B2893" s="538" t="n">
        <v>19.25</v>
      </c>
      <c r="C2893" s="538" t="n">
        <v>21.63</v>
      </c>
      <c r="D2893" s="637" t="n"/>
      <c r="E2893" s="538" t="n">
        <v>36</v>
      </c>
    </row>
    <row r="2894">
      <c r="A2894" s="544" t="n">
        <v>33260</v>
      </c>
      <c r="B2894" s="538" t="n">
        <v>20.73</v>
      </c>
      <c r="C2894" s="538" t="n">
        <v>24.91</v>
      </c>
      <c r="D2894" s="637" t="n"/>
      <c r="E2894" s="538" t="n">
        <v>39</v>
      </c>
    </row>
    <row r="2895">
      <c r="A2895" s="544" t="n">
        <v>33261</v>
      </c>
      <c r="B2895" s="538" t="n">
        <v>22.15</v>
      </c>
      <c r="C2895" s="538" t="n">
        <v>24.08</v>
      </c>
      <c r="D2895" s="637" t="n"/>
      <c r="E2895" s="538" t="n">
        <v>40</v>
      </c>
    </row>
    <row r="2896">
      <c r="A2896" s="544" t="n">
        <v>33262</v>
      </c>
      <c r="B2896" s="538" t="n">
        <v>20.9</v>
      </c>
      <c r="C2896" s="538" t="n">
        <v>25.63</v>
      </c>
      <c r="D2896" s="637" t="n"/>
      <c r="E2896" s="538" t="n">
        <v>40.5</v>
      </c>
    </row>
    <row r="2897">
      <c r="A2897" s="544" t="n">
        <v>33263</v>
      </c>
      <c r="B2897" s="538" t="n">
        <v>20.8</v>
      </c>
      <c r="C2897" s="538" t="n">
        <v>24.15</v>
      </c>
      <c r="D2897" s="637" t="n"/>
      <c r="E2897" s="538" t="n">
        <v>41</v>
      </c>
    </row>
    <row r="2898">
      <c r="A2898" s="544" t="n">
        <v>33266</v>
      </c>
      <c r="B2898" s="538" t="n">
        <v>20.4</v>
      </c>
      <c r="C2898" s="538" t="n">
        <v>21.03</v>
      </c>
      <c r="D2898" s="637" t="n"/>
      <c r="E2898" s="538" t="n">
        <v>43.5</v>
      </c>
    </row>
    <row r="2899">
      <c r="A2899" s="544" t="n">
        <v>33267</v>
      </c>
      <c r="B2899" s="538" t="n">
        <v>20.75</v>
      </c>
      <c r="C2899" s="538" t="n">
        <v>21.73</v>
      </c>
      <c r="D2899" s="637" t="n"/>
      <c r="E2899" s="538" t="n">
        <v>44.5</v>
      </c>
    </row>
    <row r="2900">
      <c r="A2900" s="544" t="n">
        <v>33268</v>
      </c>
      <c r="B2900" s="538" t="n">
        <v>20.95</v>
      </c>
      <c r="C2900" s="538" t="n">
        <v>21.08</v>
      </c>
      <c r="D2900" s="637" t="n"/>
      <c r="E2900" s="538" t="n">
        <v>45.5</v>
      </c>
    </row>
    <row r="2901">
      <c r="A2901" s="544" t="n">
        <v>33269</v>
      </c>
      <c r="B2901" s="538" t="n">
        <v>20.7</v>
      </c>
      <c r="C2901" s="538" t="n">
        <v>21.9</v>
      </c>
      <c r="D2901" s="637" t="n"/>
      <c r="E2901" s="538" t="n">
        <v>45</v>
      </c>
    </row>
    <row r="2902">
      <c r="A2902" s="544" t="n">
        <v>33270</v>
      </c>
      <c r="B2902" s="538" t="n">
        <v>20.8</v>
      </c>
      <c r="C2902" s="538" t="n">
        <v>21.33</v>
      </c>
      <c r="D2902" s="637" t="n"/>
      <c r="E2902" s="538" t="n">
        <v>46</v>
      </c>
    </row>
    <row r="2903">
      <c r="A2903" s="544" t="n">
        <v>33273</v>
      </c>
      <c r="B2903" s="538" t="n">
        <v>20.45</v>
      </c>
      <c r="C2903" s="538" t="n">
        <v>21.23</v>
      </c>
      <c r="D2903" s="637" t="n"/>
      <c r="E2903" s="538" t="n">
        <v>45</v>
      </c>
    </row>
    <row r="2904">
      <c r="A2904" s="544" t="n">
        <v>33274</v>
      </c>
      <c r="B2904" s="538" t="n">
        <v>20.2</v>
      </c>
      <c r="C2904" s="538" t="n">
        <v>20.7</v>
      </c>
      <c r="D2904" s="637" t="n"/>
      <c r="E2904" s="538" t="n">
        <v>45</v>
      </c>
    </row>
    <row r="2905">
      <c r="A2905" s="544" t="n">
        <v>33275</v>
      </c>
      <c r="B2905" s="538" t="n">
        <v>20.93</v>
      </c>
      <c r="C2905" s="538" t="n">
        <v>21.48</v>
      </c>
      <c r="D2905" s="637" t="n"/>
      <c r="E2905" s="538" t="n">
        <v>45</v>
      </c>
    </row>
    <row r="2906">
      <c r="A2906" s="544" t="n">
        <v>33276</v>
      </c>
      <c r="B2906" s="538" t="n">
        <v>20.9</v>
      </c>
      <c r="C2906" s="538" t="n">
        <v>21.33</v>
      </c>
      <c r="D2906" s="637" t="n"/>
      <c r="E2906" s="538" t="n">
        <v>46.25</v>
      </c>
    </row>
    <row r="2907">
      <c r="A2907" s="544" t="n">
        <v>33277</v>
      </c>
      <c r="B2907" s="538" t="n">
        <v>20.65</v>
      </c>
      <c r="C2907" s="538" t="n">
        <v>21.78</v>
      </c>
      <c r="D2907" s="637" t="n"/>
      <c r="E2907" s="538" t="n">
        <v>45</v>
      </c>
    </row>
    <row r="2908">
      <c r="A2908" s="544" t="n">
        <v>33280</v>
      </c>
      <c r="B2908" s="538" t="n">
        <v>21.23</v>
      </c>
      <c r="C2908" s="538" t="n">
        <v>22.44</v>
      </c>
      <c r="D2908" s="637" t="n"/>
      <c r="E2908" s="538" t="n">
        <v>45.25</v>
      </c>
    </row>
    <row r="2909">
      <c r="A2909" s="544" t="n">
        <v>33281</v>
      </c>
      <c r="B2909" s="538" t="n">
        <v>21.1</v>
      </c>
      <c r="C2909" s="538" t="n">
        <v>22.78</v>
      </c>
      <c r="D2909" s="637" t="n"/>
      <c r="E2909" s="538" t="n">
        <v>45.25</v>
      </c>
    </row>
    <row r="2910">
      <c r="A2910" s="544" t="n">
        <v>33282</v>
      </c>
      <c r="B2910" s="538" t="n">
        <v>21</v>
      </c>
      <c r="C2910" s="538" t="n">
        <v>22.38</v>
      </c>
      <c r="D2910" s="637" t="n"/>
      <c r="E2910" s="538" t="n">
        <v>44.5</v>
      </c>
    </row>
    <row r="2911">
      <c r="A2911" s="544" t="n">
        <v>33283</v>
      </c>
      <c r="B2911" s="538" t="n">
        <v>20.5</v>
      </c>
      <c r="C2911" s="538" t="n">
        <v>22.25</v>
      </c>
      <c r="D2911" s="637" t="n"/>
      <c r="E2911" s="538" t="n">
        <v>45</v>
      </c>
    </row>
    <row r="2912">
      <c r="A2912" s="544" t="n">
        <v>33284</v>
      </c>
      <c r="B2912" s="538" t="n">
        <v>18.35</v>
      </c>
      <c r="C2912" s="538" t="n">
        <v>20.73</v>
      </c>
      <c r="D2912" s="637" t="n"/>
      <c r="E2912" s="538" t="n">
        <v>45</v>
      </c>
    </row>
    <row r="2913">
      <c r="A2913" s="544" t="n">
        <v>33287</v>
      </c>
      <c r="B2913" s="538" t="n">
        <v>17.68</v>
      </c>
      <c r="C2913" s="538" t="n">
        <v>20.73</v>
      </c>
      <c r="D2913" s="637" t="n"/>
      <c r="E2913" s="538" t="n">
        <v>44.5</v>
      </c>
    </row>
    <row r="2914">
      <c r="A2914" s="544" t="n">
        <v>33288</v>
      </c>
      <c r="B2914" s="538" t="n">
        <v>17.85</v>
      </c>
      <c r="C2914" s="538" t="n">
        <v>20.08</v>
      </c>
      <c r="D2914" s="637" t="n"/>
      <c r="E2914" s="538" t="n">
        <v>40</v>
      </c>
    </row>
    <row r="2915">
      <c r="A2915" s="544" t="n">
        <v>33289</v>
      </c>
      <c r="B2915" s="538" t="n">
        <v>18.75</v>
      </c>
      <c r="C2915" s="538" t="n">
        <v>20.18</v>
      </c>
      <c r="D2915" s="637" t="n"/>
      <c r="E2915" s="538" t="n">
        <v>37.5</v>
      </c>
    </row>
    <row r="2916">
      <c r="A2916" s="544" t="n">
        <v>33290</v>
      </c>
      <c r="B2916" s="538" t="n">
        <v>18.55</v>
      </c>
      <c r="C2916" s="538" t="n">
        <v>18.48</v>
      </c>
      <c r="D2916" s="637" t="n"/>
      <c r="E2916" s="538" t="n">
        <v>36.5</v>
      </c>
    </row>
    <row r="2917">
      <c r="A2917" s="544" t="n">
        <v>33291</v>
      </c>
      <c r="B2917" s="538" t="n">
        <v>17.8</v>
      </c>
      <c r="C2917" s="538" t="n">
        <v>17.43</v>
      </c>
      <c r="D2917" s="637" t="n"/>
      <c r="E2917" s="538" t="n">
        <v>35</v>
      </c>
    </row>
    <row r="2918">
      <c r="A2918" s="544" t="n">
        <v>33294</v>
      </c>
      <c r="B2918" s="538" t="n">
        <v>17.83</v>
      </c>
      <c r="C2918" s="538" t="n">
        <v>17.43</v>
      </c>
      <c r="D2918" s="637" t="n"/>
      <c r="E2918" s="538" t="n">
        <v>34.5</v>
      </c>
    </row>
    <row r="2919">
      <c r="A2919" s="544" t="n">
        <v>33295</v>
      </c>
      <c r="B2919" s="538" t="n">
        <v>18</v>
      </c>
      <c r="C2919" s="538" t="n">
        <v>18.48</v>
      </c>
      <c r="D2919" s="637" t="n"/>
      <c r="E2919" s="538" t="n">
        <v>32</v>
      </c>
    </row>
    <row r="2920">
      <c r="A2920" s="544" t="n">
        <v>33296</v>
      </c>
      <c r="B2920" s="538" t="n">
        <v>18.65</v>
      </c>
      <c r="C2920" s="538" t="n">
        <v>19.03</v>
      </c>
      <c r="D2920" s="637" t="n"/>
      <c r="E2920" s="538" t="n">
        <v>31.75</v>
      </c>
    </row>
    <row r="2921">
      <c r="A2921" s="544" t="n">
        <v>33297</v>
      </c>
      <c r="B2921" s="538" t="n">
        <v>19.5</v>
      </c>
      <c r="C2921" s="538" t="n">
        <v>19.28</v>
      </c>
      <c r="D2921" s="637" t="n"/>
      <c r="E2921" s="538" t="n">
        <v>29.5</v>
      </c>
    </row>
    <row r="2922">
      <c r="A2922" s="544" t="n">
        <v>33298</v>
      </c>
      <c r="B2922" s="538" t="n">
        <v>19.33</v>
      </c>
      <c r="C2922" s="538" t="n">
        <v>19.43</v>
      </c>
      <c r="D2922" s="637" t="n"/>
      <c r="E2922" s="538" t="n">
        <v>29.5</v>
      </c>
    </row>
    <row r="2923">
      <c r="A2923" s="544" t="n">
        <v>33301</v>
      </c>
      <c r="B2923" s="538" t="n">
        <v>20.2</v>
      </c>
      <c r="C2923" s="538" t="n">
        <v>20.33</v>
      </c>
      <c r="D2923" s="637" t="n"/>
      <c r="E2923" s="538" t="n">
        <v>29.5</v>
      </c>
    </row>
    <row r="2924">
      <c r="A2924" s="544" t="n">
        <v>33302</v>
      </c>
      <c r="B2924" s="538" t="n">
        <v>20.05</v>
      </c>
      <c r="C2924" s="538" t="n">
        <v>20.5</v>
      </c>
      <c r="D2924" s="637" t="n"/>
      <c r="E2924" s="538" t="n">
        <v>29.25</v>
      </c>
    </row>
    <row r="2925">
      <c r="A2925" s="544" t="n">
        <v>33303</v>
      </c>
      <c r="B2925" s="538" t="n">
        <v>19.85</v>
      </c>
      <c r="C2925" s="538" t="n">
        <v>19.78</v>
      </c>
      <c r="D2925" s="637" t="n"/>
      <c r="E2925" s="538" t="n">
        <v>28.75</v>
      </c>
    </row>
    <row r="2926">
      <c r="A2926" s="544" t="n">
        <v>33304</v>
      </c>
      <c r="B2926" s="538" t="n">
        <v>19.65</v>
      </c>
      <c r="C2926" s="538" t="n">
        <v>19.33</v>
      </c>
      <c r="D2926" s="637" t="n"/>
      <c r="E2926" s="538" t="n">
        <v>27.75</v>
      </c>
    </row>
    <row r="2927">
      <c r="A2927" s="544" t="n">
        <v>33305</v>
      </c>
      <c r="B2927" s="538" t="n">
        <v>19.1</v>
      </c>
      <c r="C2927" s="538" t="n">
        <v>19.34</v>
      </c>
      <c r="D2927" s="637" t="n"/>
      <c r="E2927" s="538" t="n">
        <v>26.5</v>
      </c>
    </row>
    <row r="2928">
      <c r="A2928" s="544" t="n">
        <v>33308</v>
      </c>
      <c r="B2928" s="538" t="n">
        <v>18.6</v>
      </c>
      <c r="C2928" s="538" t="n">
        <v>19</v>
      </c>
      <c r="D2928" s="637" t="n"/>
      <c r="E2928" s="538" t="n">
        <v>25.5</v>
      </c>
    </row>
    <row r="2929">
      <c r="A2929" s="544" t="n">
        <v>33309</v>
      </c>
      <c r="B2929" s="538" t="n">
        <v>18.43</v>
      </c>
      <c r="C2929" s="538" t="n">
        <v>20.06</v>
      </c>
      <c r="D2929" s="637" t="n"/>
      <c r="E2929" s="538" t="n">
        <v>23.5</v>
      </c>
    </row>
    <row r="2930">
      <c r="A2930" s="544" t="n">
        <v>33310</v>
      </c>
      <c r="B2930" s="538" t="n">
        <v>20.33</v>
      </c>
      <c r="C2930" s="538" t="n">
        <v>20.48</v>
      </c>
      <c r="D2930" s="637" t="n"/>
      <c r="E2930" s="538" t="n">
        <v>23.5</v>
      </c>
    </row>
    <row r="2931">
      <c r="A2931" s="544" t="n">
        <v>33311</v>
      </c>
      <c r="B2931" s="538" t="n">
        <v>19.98</v>
      </c>
      <c r="C2931" s="538" t="n">
        <v>20.05</v>
      </c>
      <c r="D2931" s="637" t="n"/>
      <c r="E2931" s="538" t="n">
        <v>23.5</v>
      </c>
    </row>
    <row r="2932">
      <c r="A2932" s="544" t="n">
        <v>33312</v>
      </c>
      <c r="B2932" s="538" t="n">
        <v>19.05</v>
      </c>
      <c r="C2932" s="538" t="n">
        <v>19.88</v>
      </c>
      <c r="D2932" s="637" t="n"/>
      <c r="E2932" s="538" t="n">
        <v>23.5</v>
      </c>
    </row>
    <row r="2933">
      <c r="A2933" s="544" t="n">
        <v>33315</v>
      </c>
      <c r="B2933" s="538" t="n">
        <v>18.3</v>
      </c>
      <c r="C2933" s="538" t="n">
        <v>19.78</v>
      </c>
      <c r="D2933" s="637" t="n"/>
      <c r="E2933" s="538" t="n">
        <v>24</v>
      </c>
    </row>
    <row r="2934">
      <c r="A2934" s="544" t="n">
        <v>33316</v>
      </c>
      <c r="B2934" s="538" t="n">
        <v>18.95</v>
      </c>
      <c r="C2934" s="538" t="n">
        <v>20.68</v>
      </c>
      <c r="D2934" s="637" t="n"/>
      <c r="E2934" s="538" t="n">
        <v>24.25</v>
      </c>
    </row>
    <row r="2935">
      <c r="A2935" s="544" t="n">
        <v>33317</v>
      </c>
      <c r="B2935" s="538" t="n">
        <v>18.98</v>
      </c>
      <c r="C2935" s="538" t="n">
        <v>20.4</v>
      </c>
      <c r="D2935" s="637" t="n"/>
      <c r="E2935" s="538" t="n">
        <v>24.55</v>
      </c>
    </row>
    <row r="2936">
      <c r="A2936" s="544" t="n">
        <v>33318</v>
      </c>
      <c r="B2936" s="538" t="n">
        <v>18.8</v>
      </c>
      <c r="C2936" s="538" t="n">
        <v>20.78</v>
      </c>
      <c r="D2936" s="637" t="n"/>
      <c r="E2936" s="538" t="n">
        <v>25.25</v>
      </c>
    </row>
    <row r="2937">
      <c r="A2937" s="544" t="n">
        <v>33319</v>
      </c>
      <c r="B2937" s="538" t="n">
        <v>18.95</v>
      </c>
      <c r="C2937" s="538" t="n">
        <v>19.88</v>
      </c>
      <c r="D2937" s="637" t="n"/>
      <c r="E2937" s="538" t="n">
        <v>24.75</v>
      </c>
    </row>
    <row r="2938">
      <c r="A2938" s="544" t="n">
        <v>33322</v>
      </c>
      <c r="B2938" s="538" t="n">
        <v>18.6</v>
      </c>
      <c r="C2938" s="538" t="n">
        <v>19.47</v>
      </c>
      <c r="D2938" s="637" t="n"/>
      <c r="E2938" s="538" t="n">
        <v>24.75</v>
      </c>
    </row>
    <row r="2939">
      <c r="A2939" s="544" t="n">
        <v>33323</v>
      </c>
      <c r="B2939" s="538" t="n">
        <v>18.35</v>
      </c>
      <c r="C2939" s="538" t="n">
        <v>19.78</v>
      </c>
      <c r="D2939" s="637" t="n"/>
      <c r="E2939" s="538" t="n">
        <v>24.5</v>
      </c>
    </row>
    <row r="2940">
      <c r="A2940" s="544" t="n">
        <v>33324</v>
      </c>
      <c r="B2940" s="538" t="n">
        <v>18.15</v>
      </c>
      <c r="C2940" s="538" t="n">
        <v>19.45</v>
      </c>
      <c r="D2940" s="637" t="n"/>
      <c r="E2940" s="538" t="n">
        <v>24.4</v>
      </c>
    </row>
    <row r="2941">
      <c r="A2941" s="544" t="n">
        <v>33325</v>
      </c>
      <c r="B2941" s="538" t="n">
        <v>18</v>
      </c>
      <c r="C2941" s="538" t="n">
        <v>19.63</v>
      </c>
      <c r="D2941" s="637" t="n"/>
      <c r="E2941" s="538" t="n">
        <v>24.38</v>
      </c>
    </row>
    <row r="2942">
      <c r="A2942" s="544" t="n">
        <v>33326</v>
      </c>
      <c r="B2942" s="538" t="n">
        <v>18</v>
      </c>
      <c r="C2942" s="538" t="n">
        <v>19.63</v>
      </c>
      <c r="D2942" s="637" t="n"/>
      <c r="E2942" s="538" t="n">
        <v>24.38</v>
      </c>
    </row>
    <row r="2943">
      <c r="A2943" s="544" t="n">
        <v>33329</v>
      </c>
      <c r="B2943" s="538" t="n">
        <v>18</v>
      </c>
      <c r="C2943" s="538" t="n">
        <v>19.28</v>
      </c>
      <c r="D2943" s="637" t="n"/>
      <c r="E2943" s="538" t="n">
        <v>23.95</v>
      </c>
    </row>
    <row r="2944">
      <c r="A2944" s="544" t="n">
        <v>33330</v>
      </c>
      <c r="B2944" s="538" t="n">
        <v>17.63</v>
      </c>
      <c r="C2944" s="538" t="n">
        <v>19.38</v>
      </c>
      <c r="D2944" s="637" t="n"/>
      <c r="E2944" s="538" t="n">
        <v>23.75</v>
      </c>
    </row>
    <row r="2945">
      <c r="A2945" s="544" t="n">
        <v>33331</v>
      </c>
      <c r="B2945" s="538" t="n">
        <v>17.75</v>
      </c>
      <c r="C2945" s="538" t="n">
        <v>19.48</v>
      </c>
      <c r="D2945" s="637" t="n"/>
      <c r="E2945" s="538" t="n">
        <v>23.25</v>
      </c>
    </row>
    <row r="2946">
      <c r="A2946" s="544" t="n">
        <v>33332</v>
      </c>
      <c r="B2946" s="538" t="n">
        <v>18</v>
      </c>
      <c r="C2946" s="538" t="n">
        <v>19.98</v>
      </c>
      <c r="D2946" s="637" t="n"/>
      <c r="E2946" s="538" t="n">
        <v>23.1</v>
      </c>
    </row>
    <row r="2947">
      <c r="A2947" s="544" t="n">
        <v>33333</v>
      </c>
      <c r="B2947" s="538" t="n">
        <v>18.35</v>
      </c>
      <c r="C2947" s="538" t="n">
        <v>20.03</v>
      </c>
      <c r="D2947" s="637" t="n"/>
      <c r="E2947" s="538" t="n">
        <v>23.05</v>
      </c>
    </row>
    <row r="2948">
      <c r="A2948" s="544" t="n">
        <v>33336</v>
      </c>
      <c r="B2948" s="538" t="n">
        <v>18.58</v>
      </c>
      <c r="C2948" s="538" t="n">
        <v>20.28</v>
      </c>
      <c r="D2948" s="637" t="n"/>
      <c r="E2948" s="538" t="n">
        <v>23.05</v>
      </c>
    </row>
    <row r="2949">
      <c r="A2949" s="544" t="n">
        <v>33337</v>
      </c>
      <c r="B2949" s="538" t="n">
        <v>18.6</v>
      </c>
      <c r="C2949" s="538" t="n">
        <v>20.58</v>
      </c>
      <c r="D2949" s="637" t="n"/>
      <c r="E2949" s="538" t="n">
        <v>23.15</v>
      </c>
    </row>
    <row r="2950">
      <c r="A2950" s="544" t="n">
        <v>33338</v>
      </c>
      <c r="B2950" s="538" t="n">
        <v>19.25</v>
      </c>
      <c r="C2950" s="538" t="n">
        <v>21.08</v>
      </c>
      <c r="D2950" s="637" t="n"/>
      <c r="E2950" s="538" t="n">
        <v>23.35</v>
      </c>
    </row>
    <row r="2951">
      <c r="A2951" s="544" t="n">
        <v>33339</v>
      </c>
      <c r="B2951" s="538" t="n">
        <v>19.5</v>
      </c>
      <c r="C2951" s="538" t="n">
        <v>20.98</v>
      </c>
      <c r="D2951" s="637" t="n"/>
      <c r="E2951" s="538" t="n">
        <v>23.45</v>
      </c>
    </row>
    <row r="2952">
      <c r="A2952" s="544" t="n">
        <v>33340</v>
      </c>
      <c r="B2952" s="538" t="n">
        <v>19.93</v>
      </c>
      <c r="C2952" s="538" t="n">
        <v>21.54</v>
      </c>
      <c r="D2952" s="637" t="n"/>
      <c r="E2952" s="538" t="n">
        <v>23.1</v>
      </c>
    </row>
    <row r="2953">
      <c r="A2953" s="544" t="n">
        <v>33343</v>
      </c>
      <c r="B2953" s="538" t="n">
        <v>20.23</v>
      </c>
      <c r="C2953" s="538" t="n">
        <v>21.85</v>
      </c>
      <c r="D2953" s="637" t="n"/>
      <c r="E2953" s="538" t="n">
        <v>23.1</v>
      </c>
    </row>
    <row r="2954">
      <c r="A2954" s="544" t="n">
        <v>33344</v>
      </c>
      <c r="B2954" s="538" t="n">
        <v>19.9</v>
      </c>
      <c r="C2954" s="538" t="n">
        <v>21.6</v>
      </c>
      <c r="D2954" s="637" t="n"/>
      <c r="E2954" s="538" t="n">
        <v>23.1</v>
      </c>
    </row>
    <row r="2955">
      <c r="A2955" s="544" t="n">
        <v>33345</v>
      </c>
      <c r="B2955" s="538" t="n">
        <v>19.85</v>
      </c>
      <c r="C2955" s="538" t="n">
        <v>21.73</v>
      </c>
      <c r="D2955" s="637" t="n"/>
      <c r="E2955" s="538" t="n">
        <v>23</v>
      </c>
    </row>
    <row r="2956">
      <c r="A2956" s="544" t="n">
        <v>33346</v>
      </c>
      <c r="B2956" s="538" t="n">
        <v>19.4</v>
      </c>
      <c r="C2956" s="538" t="n">
        <v>21.08</v>
      </c>
      <c r="D2956" s="637" t="n"/>
      <c r="E2956" s="538" t="n">
        <v>22.85</v>
      </c>
    </row>
    <row r="2957">
      <c r="A2957" s="544" t="n">
        <v>33347</v>
      </c>
      <c r="B2957" s="538" t="n">
        <v>19.18</v>
      </c>
      <c r="C2957" s="538" t="n">
        <v>21.16</v>
      </c>
      <c r="D2957" s="637" t="n"/>
      <c r="E2957" s="538" t="n">
        <v>22.55</v>
      </c>
    </row>
    <row r="2958">
      <c r="A2958" s="544" t="n">
        <v>33350</v>
      </c>
      <c r="B2958" s="538" t="n">
        <v>19.78</v>
      </c>
      <c r="C2958" s="538" t="n">
        <v>21.68</v>
      </c>
      <c r="D2958" s="637" t="n"/>
      <c r="E2958" s="538" t="n">
        <v>22.5</v>
      </c>
    </row>
    <row r="2959">
      <c r="A2959" s="544" t="n">
        <v>33351</v>
      </c>
      <c r="B2959" s="538" t="n">
        <v>19.6</v>
      </c>
      <c r="C2959" s="538" t="n">
        <v>21.03</v>
      </c>
      <c r="D2959" s="637" t="n"/>
      <c r="E2959" s="538" t="n">
        <v>22.95</v>
      </c>
    </row>
    <row r="2960">
      <c r="A2960" s="544" t="n">
        <v>33352</v>
      </c>
      <c r="B2960" s="538" t="n">
        <v>19.55</v>
      </c>
      <c r="C2960" s="538" t="n">
        <v>21</v>
      </c>
      <c r="D2960" s="637" t="n"/>
      <c r="E2960" s="538" t="n">
        <v>23.15</v>
      </c>
    </row>
    <row r="2961">
      <c r="A2961" s="544" t="n">
        <v>33353</v>
      </c>
      <c r="B2961" s="538" t="n">
        <v>19.6</v>
      </c>
      <c r="C2961" s="538" t="n">
        <v>20.95</v>
      </c>
      <c r="D2961" s="637" t="n"/>
      <c r="E2961" s="538" t="n">
        <v>23.15</v>
      </c>
    </row>
    <row r="2962">
      <c r="A2962" s="544" t="n">
        <v>33354</v>
      </c>
      <c r="B2962" s="538" t="n">
        <v>19.63</v>
      </c>
      <c r="C2962" s="538" t="n">
        <v>21.28</v>
      </c>
      <c r="D2962" s="637" t="n"/>
      <c r="E2962" s="538" t="n">
        <v>23.35</v>
      </c>
    </row>
    <row r="2963">
      <c r="A2963" s="544" t="n">
        <v>33357</v>
      </c>
      <c r="B2963" s="538" t="n">
        <v>19.95</v>
      </c>
      <c r="C2963" s="538" t="n">
        <v>21.3</v>
      </c>
      <c r="D2963" s="637" t="n"/>
      <c r="E2963" s="538" t="n">
        <v>23.35</v>
      </c>
    </row>
    <row r="2964">
      <c r="A2964" s="544" t="n">
        <v>33358</v>
      </c>
      <c r="B2964" s="538" t="n">
        <v>19.7</v>
      </c>
      <c r="C2964" s="538" t="n">
        <v>20.99</v>
      </c>
      <c r="D2964" s="637" t="n"/>
      <c r="E2964" s="538" t="n">
        <v>23.35</v>
      </c>
    </row>
    <row r="2965">
      <c r="A2965" s="544" t="n">
        <v>33359</v>
      </c>
      <c r="B2965" s="538" t="n">
        <v>19.7</v>
      </c>
      <c r="C2965" s="538" t="n">
        <v>21.28</v>
      </c>
      <c r="D2965" s="637" t="n"/>
      <c r="E2965" s="538" t="n">
        <v>23.35</v>
      </c>
    </row>
    <row r="2966">
      <c r="A2966" s="544" t="n">
        <v>33360</v>
      </c>
      <c r="B2966" s="538" t="n">
        <v>19.7</v>
      </c>
      <c r="C2966" s="538" t="n">
        <v>21.17</v>
      </c>
      <c r="D2966" s="637" t="n"/>
      <c r="E2966" s="538" t="n">
        <v>23.55</v>
      </c>
    </row>
    <row r="2967">
      <c r="A2967" s="544" t="n">
        <v>33361</v>
      </c>
      <c r="B2967" s="538" t="n">
        <v>19.55</v>
      </c>
      <c r="C2967" s="538" t="n">
        <v>21.43</v>
      </c>
      <c r="D2967" s="637" t="n"/>
      <c r="E2967" s="538" t="n">
        <v>23.8</v>
      </c>
    </row>
    <row r="2968">
      <c r="A2968" s="544" t="n">
        <v>33364</v>
      </c>
      <c r="B2968" s="538" t="n">
        <v>19.8</v>
      </c>
      <c r="C2968" s="538" t="n">
        <v>21.73</v>
      </c>
      <c r="D2968" s="637" t="n"/>
      <c r="E2968" s="538" t="n">
        <v>23.9</v>
      </c>
    </row>
    <row r="2969">
      <c r="A2969" s="544" t="n">
        <v>33365</v>
      </c>
      <c r="B2969" s="538" t="n">
        <v>19.85</v>
      </c>
      <c r="C2969" s="538" t="n">
        <v>21.72</v>
      </c>
      <c r="D2969" s="637" t="n"/>
      <c r="E2969" s="538" t="n">
        <v>24.4</v>
      </c>
    </row>
    <row r="2970">
      <c r="A2970" s="544" t="n">
        <v>33366</v>
      </c>
      <c r="B2970" s="538" t="n">
        <v>19.8</v>
      </c>
      <c r="C2970" s="538" t="n">
        <v>21.83</v>
      </c>
      <c r="D2970" s="637" t="n"/>
      <c r="E2970" s="538" t="n">
        <v>24.5</v>
      </c>
    </row>
    <row r="2971">
      <c r="A2971" s="544" t="n">
        <v>33367</v>
      </c>
      <c r="B2971" s="538" t="n">
        <v>20.08</v>
      </c>
      <c r="C2971" s="538" t="n">
        <v>21.92</v>
      </c>
      <c r="D2971" s="637" t="n"/>
      <c r="E2971" s="538" t="n">
        <v>24.5</v>
      </c>
    </row>
    <row r="2972">
      <c r="A2972" s="544" t="n">
        <v>33368</v>
      </c>
      <c r="B2972" s="538" t="n">
        <v>19.53</v>
      </c>
      <c r="C2972" s="538" t="n">
        <v>21.25</v>
      </c>
      <c r="D2972" s="637" t="n"/>
      <c r="E2972" s="538" t="n">
        <v>24.65</v>
      </c>
    </row>
    <row r="2973">
      <c r="A2973" s="544" t="n">
        <v>33371</v>
      </c>
      <c r="B2973" s="538" t="n">
        <v>19.25</v>
      </c>
      <c r="C2973" s="538" t="n">
        <v>20.89</v>
      </c>
      <c r="D2973" s="637" t="n"/>
      <c r="E2973" s="538" t="n">
        <v>24.75</v>
      </c>
    </row>
    <row r="2974">
      <c r="A2974" s="544" t="n">
        <v>33372</v>
      </c>
      <c r="B2974" s="538" t="n">
        <v>18.95</v>
      </c>
      <c r="C2974" s="538" t="n">
        <v>20.73</v>
      </c>
      <c r="D2974" s="637" t="n"/>
      <c r="E2974" s="538" t="n">
        <v>24.55</v>
      </c>
    </row>
    <row r="2975">
      <c r="A2975" s="544" t="n">
        <v>33373</v>
      </c>
      <c r="B2975" s="538" t="n">
        <v>18.8</v>
      </c>
      <c r="C2975" s="538" t="n">
        <v>21.04</v>
      </c>
      <c r="D2975" s="637" t="n"/>
      <c r="E2975" s="538" t="n">
        <v>24.6</v>
      </c>
    </row>
    <row r="2976">
      <c r="A2976" s="544" t="n">
        <v>33374</v>
      </c>
      <c r="B2976" s="538" t="n">
        <v>18.75</v>
      </c>
      <c r="C2976" s="538" t="n">
        <v>20.91</v>
      </c>
      <c r="D2976" s="637" t="n"/>
      <c r="E2976" s="538" t="n">
        <v>24.75</v>
      </c>
    </row>
    <row r="2977">
      <c r="A2977" s="544" t="n">
        <v>33375</v>
      </c>
      <c r="B2977" s="538" t="n">
        <v>18.75</v>
      </c>
      <c r="C2977" s="538" t="n">
        <v>21.19</v>
      </c>
      <c r="D2977" s="637" t="n"/>
      <c r="E2977" s="538" t="n">
        <v>24.75</v>
      </c>
    </row>
    <row r="2978">
      <c r="A2978" s="544" t="n">
        <v>33378</v>
      </c>
      <c r="B2978" s="538" t="n">
        <v>18.9</v>
      </c>
      <c r="C2978" s="538" t="n">
        <v>21.39</v>
      </c>
      <c r="D2978" s="637" t="n"/>
      <c r="E2978" s="538" t="n">
        <v>24.75</v>
      </c>
    </row>
    <row r="2979">
      <c r="A2979" s="544" t="n">
        <v>33379</v>
      </c>
      <c r="B2979" s="538" t="n">
        <v>19.03</v>
      </c>
      <c r="C2979" s="538" t="n">
        <v>20.95</v>
      </c>
      <c r="D2979" s="637" t="n"/>
      <c r="E2979" s="538" t="n">
        <v>24.8</v>
      </c>
    </row>
    <row r="2980">
      <c r="A2980" s="544" t="n">
        <v>33380</v>
      </c>
      <c r="B2980" s="538" t="n">
        <v>18.58</v>
      </c>
      <c r="C2980" s="538" t="n">
        <v>20.85</v>
      </c>
      <c r="D2980" s="637" t="n"/>
      <c r="E2980" s="538" t="n">
        <v>24.85</v>
      </c>
    </row>
    <row r="2981">
      <c r="A2981" s="544" t="n">
        <v>33381</v>
      </c>
      <c r="B2981" s="538" t="n">
        <v>18.78</v>
      </c>
      <c r="C2981" s="538" t="n">
        <v>20.95</v>
      </c>
      <c r="D2981" s="637" t="n"/>
      <c r="E2981" s="538" t="n">
        <v>24.85</v>
      </c>
    </row>
    <row r="2982">
      <c r="A2982" s="544" t="n">
        <v>33382</v>
      </c>
      <c r="B2982" s="538" t="n">
        <v>18.83</v>
      </c>
      <c r="C2982" s="538" t="n">
        <v>21.04</v>
      </c>
      <c r="D2982" s="637" t="n"/>
      <c r="E2982" s="538" t="n">
        <v>25.05</v>
      </c>
    </row>
    <row r="2983">
      <c r="A2983" s="544" t="n">
        <v>33385</v>
      </c>
      <c r="B2983" s="538" t="n">
        <v>18.83</v>
      </c>
      <c r="C2983" s="538" t="n">
        <v>21.04</v>
      </c>
      <c r="D2983" s="637" t="n"/>
      <c r="E2983" s="538" t="n">
        <v>25.05</v>
      </c>
    </row>
    <row r="2984">
      <c r="A2984" s="544" t="n">
        <v>33386</v>
      </c>
      <c r="B2984" s="538" t="n">
        <v>19</v>
      </c>
      <c r="C2984" s="538" t="n">
        <v>21.34</v>
      </c>
      <c r="D2984" s="637" t="n"/>
      <c r="E2984" s="538" t="n">
        <v>25.05</v>
      </c>
    </row>
    <row r="2985">
      <c r="A2985" s="544" t="n">
        <v>33387</v>
      </c>
      <c r="B2985" s="538" t="n">
        <v>18.75</v>
      </c>
      <c r="C2985" s="538" t="n">
        <v>21.04</v>
      </c>
      <c r="D2985" s="637" t="n"/>
      <c r="E2985" s="538" t="n">
        <v>25.05</v>
      </c>
    </row>
    <row r="2986">
      <c r="A2986" s="544" t="n">
        <v>33388</v>
      </c>
      <c r="B2986" s="538" t="n">
        <v>18.73</v>
      </c>
      <c r="C2986" s="538" t="n">
        <v>21.3</v>
      </c>
      <c r="D2986" s="637" t="n"/>
      <c r="E2986" s="538" t="n">
        <v>24.95</v>
      </c>
    </row>
    <row r="2987">
      <c r="A2987" s="544" t="n">
        <v>33389</v>
      </c>
      <c r="B2987" s="538" t="n">
        <v>19</v>
      </c>
      <c r="C2987" s="538" t="n">
        <v>21.16</v>
      </c>
      <c r="D2987" s="637" t="n"/>
      <c r="E2987" s="538" t="n">
        <v>25.05</v>
      </c>
    </row>
    <row r="2988">
      <c r="A2988" s="544" t="n">
        <v>33392</v>
      </c>
      <c r="B2988" s="538" t="n">
        <v>19</v>
      </c>
      <c r="C2988" s="538" t="n">
        <v>21.16</v>
      </c>
      <c r="D2988" s="637" t="n"/>
      <c r="E2988" s="538" t="n">
        <v>25.05</v>
      </c>
    </row>
    <row r="2989">
      <c r="A2989" s="544" t="n">
        <v>33393</v>
      </c>
      <c r="B2989" s="538" t="n">
        <v>18.83</v>
      </c>
      <c r="C2989" s="538" t="n">
        <v>20.9</v>
      </c>
      <c r="D2989" s="637" t="n"/>
      <c r="E2989" s="538" t="n">
        <v>25.2</v>
      </c>
    </row>
    <row r="2990">
      <c r="A2990" s="544" t="n">
        <v>33394</v>
      </c>
      <c r="B2990" s="538" t="n">
        <v>18.63</v>
      </c>
      <c r="C2990" s="538" t="n">
        <v>20.45</v>
      </c>
      <c r="D2990" s="637" t="n"/>
      <c r="E2990" s="538" t="n">
        <v>25.1</v>
      </c>
    </row>
    <row r="2991">
      <c r="A2991" s="544" t="n">
        <v>33395</v>
      </c>
      <c r="B2991" s="538" t="n">
        <v>18.03</v>
      </c>
      <c r="C2991" s="538" t="n">
        <v>20.38</v>
      </c>
      <c r="D2991" s="637" t="n"/>
      <c r="E2991" s="538" t="n">
        <v>25.1</v>
      </c>
    </row>
    <row r="2992">
      <c r="A2992" s="544" t="n">
        <v>33396</v>
      </c>
      <c r="B2992" s="538" t="n">
        <v>18.28</v>
      </c>
      <c r="C2992" s="538" t="n">
        <v>20.28</v>
      </c>
      <c r="D2992" s="637" t="n"/>
      <c r="E2992" s="538" t="n">
        <v>25.05</v>
      </c>
    </row>
    <row r="2993">
      <c r="A2993" s="544" t="n">
        <v>33399</v>
      </c>
      <c r="B2993" s="538" t="n">
        <v>18</v>
      </c>
      <c r="C2993" s="538" t="n">
        <v>19.84</v>
      </c>
      <c r="D2993" s="637" t="n"/>
      <c r="E2993" s="538" t="n">
        <v>25.35</v>
      </c>
    </row>
    <row r="2994">
      <c r="A2994" s="544" t="n">
        <v>33400</v>
      </c>
      <c r="B2994" s="538" t="n">
        <v>17.85</v>
      </c>
      <c r="C2994" s="538" t="n">
        <v>19.85</v>
      </c>
      <c r="D2994" s="637" t="n"/>
      <c r="E2994" s="538" t="n">
        <v>25.15</v>
      </c>
    </row>
    <row r="2995">
      <c r="A2995" s="544" t="n">
        <v>33401</v>
      </c>
      <c r="B2995" s="538" t="n">
        <v>17.73</v>
      </c>
      <c r="C2995" s="538" t="n">
        <v>20.08</v>
      </c>
      <c r="D2995" s="637" t="n"/>
      <c r="E2995" s="538" t="n">
        <v>25.1</v>
      </c>
    </row>
    <row r="2996">
      <c r="A2996" s="544" t="n">
        <v>33402</v>
      </c>
      <c r="B2996" s="538" t="n">
        <v>18</v>
      </c>
      <c r="C2996" s="538" t="n">
        <v>19.71</v>
      </c>
      <c r="D2996" s="637" t="n"/>
      <c r="E2996" s="538" t="n">
        <v>25.05</v>
      </c>
    </row>
    <row r="2997">
      <c r="A2997" s="544" t="n">
        <v>33403</v>
      </c>
      <c r="B2997" s="538" t="n">
        <v>17.7</v>
      </c>
      <c r="C2997" s="538" t="n">
        <v>19.7</v>
      </c>
      <c r="D2997" s="637" t="n"/>
      <c r="E2997" s="538" t="n">
        <v>24.9</v>
      </c>
    </row>
    <row r="2998">
      <c r="A2998" s="544" t="n">
        <v>33406</v>
      </c>
      <c r="B2998" s="538" t="n">
        <v>17.85</v>
      </c>
      <c r="C2998" s="538" t="n">
        <v>19.97</v>
      </c>
      <c r="D2998" s="637" t="n"/>
      <c r="E2998" s="538" t="n">
        <v>24.7</v>
      </c>
    </row>
    <row r="2999">
      <c r="A2999" s="544" t="n">
        <v>33407</v>
      </c>
      <c r="B2999" s="538" t="n">
        <v>18</v>
      </c>
      <c r="C2999" s="538" t="n">
        <v>20.11</v>
      </c>
      <c r="D2999" s="637" t="n"/>
      <c r="E2999" s="538" t="n">
        <v>24.7</v>
      </c>
    </row>
    <row r="3000">
      <c r="A3000" s="544" t="n">
        <v>33408</v>
      </c>
      <c r="B3000" s="538" t="n">
        <v>17.88</v>
      </c>
      <c r="C3000" s="538" t="n">
        <v>19.99</v>
      </c>
      <c r="D3000" s="637" t="n"/>
      <c r="E3000" s="538" t="n">
        <v>24.7</v>
      </c>
    </row>
    <row r="3001">
      <c r="A3001" s="544" t="n">
        <v>33409</v>
      </c>
      <c r="B3001" s="538" t="n">
        <v>18.15</v>
      </c>
      <c r="C3001" s="538" t="n">
        <v>20.22</v>
      </c>
      <c r="D3001" s="637" t="n"/>
      <c r="E3001" s="538" t="n">
        <v>24.7</v>
      </c>
    </row>
    <row r="3002">
      <c r="A3002" s="544" t="n">
        <v>33410</v>
      </c>
      <c r="B3002" s="538" t="n">
        <v>18.43</v>
      </c>
      <c r="C3002" s="538" t="n">
        <v>20.1</v>
      </c>
      <c r="D3002" s="637" t="n"/>
      <c r="E3002" s="538" t="n">
        <v>24.95</v>
      </c>
    </row>
    <row r="3003">
      <c r="A3003" s="544" t="n">
        <v>33413</v>
      </c>
      <c r="B3003" s="538" t="n">
        <v>18.18</v>
      </c>
      <c r="C3003" s="538" t="n">
        <v>19.92</v>
      </c>
      <c r="D3003" s="637" t="n"/>
      <c r="E3003" s="538" t="n">
        <v>24.95</v>
      </c>
    </row>
    <row r="3004">
      <c r="A3004" s="544" t="n">
        <v>33414</v>
      </c>
      <c r="B3004" s="538" t="n">
        <v>18.15</v>
      </c>
      <c r="C3004" s="538" t="n">
        <v>20.03</v>
      </c>
      <c r="D3004" s="637" t="n"/>
      <c r="E3004" s="538" t="n">
        <v>24.95</v>
      </c>
    </row>
    <row r="3005">
      <c r="A3005" s="544" t="n">
        <v>33415</v>
      </c>
      <c r="B3005" s="538" t="n">
        <v>18.1</v>
      </c>
      <c r="C3005" s="538" t="n">
        <v>20.12</v>
      </c>
      <c r="D3005" s="637" t="n"/>
      <c r="E3005" s="538" t="n">
        <v>24.85</v>
      </c>
    </row>
    <row r="3006">
      <c r="A3006" s="544" t="n">
        <v>33416</v>
      </c>
      <c r="B3006" s="538" t="n">
        <v>18.08</v>
      </c>
      <c r="C3006" s="538" t="n">
        <v>20.41</v>
      </c>
      <c r="D3006" s="637" t="n"/>
      <c r="E3006" s="538" t="n">
        <v>24.85</v>
      </c>
    </row>
    <row r="3007">
      <c r="A3007" s="544" t="n">
        <v>33417</v>
      </c>
      <c r="B3007" s="538" t="n">
        <v>18.48</v>
      </c>
      <c r="C3007" s="538" t="n">
        <v>20.56</v>
      </c>
      <c r="D3007" s="637" t="n"/>
      <c r="E3007" s="538" t="n">
        <v>24.95</v>
      </c>
    </row>
    <row r="3008">
      <c r="A3008" s="544" t="n">
        <v>33420</v>
      </c>
      <c r="B3008" s="538" t="n">
        <v>18.53</v>
      </c>
      <c r="C3008" s="538" t="n">
        <v>20.78</v>
      </c>
      <c r="D3008" s="637" t="n"/>
      <c r="E3008" s="538" t="n">
        <v>24.95</v>
      </c>
    </row>
    <row r="3009">
      <c r="A3009" s="544" t="n">
        <v>33421</v>
      </c>
      <c r="B3009" s="538" t="n">
        <v>18.55</v>
      </c>
      <c r="C3009" s="538" t="n">
        <v>20.92</v>
      </c>
      <c r="D3009" s="637" t="n"/>
      <c r="E3009" s="538" t="n">
        <v>24.95</v>
      </c>
    </row>
    <row r="3010">
      <c r="A3010" s="544" t="n">
        <v>33422</v>
      </c>
      <c r="B3010" s="538" t="n">
        <v>18.5</v>
      </c>
      <c r="C3010" s="538" t="n">
        <v>20.69</v>
      </c>
      <c r="D3010" s="637" t="n"/>
      <c r="E3010" s="538" t="n">
        <v>24.95</v>
      </c>
    </row>
    <row r="3011">
      <c r="A3011" s="544" t="n">
        <v>33423</v>
      </c>
      <c r="B3011" s="538" t="n">
        <v>18.48</v>
      </c>
      <c r="C3011" s="538" t="n">
        <v>20.69</v>
      </c>
      <c r="D3011" s="637" t="n"/>
      <c r="E3011" s="538" t="n">
        <v>24.85</v>
      </c>
    </row>
    <row r="3012">
      <c r="A3012" s="544" t="n">
        <v>33424</v>
      </c>
      <c r="B3012" s="538" t="n">
        <v>18.7</v>
      </c>
      <c r="C3012" s="538" t="n">
        <v>20.91</v>
      </c>
      <c r="D3012" s="637" t="n"/>
      <c r="E3012" s="538" t="n">
        <v>24.75</v>
      </c>
    </row>
    <row r="3013">
      <c r="A3013" s="544" t="n">
        <v>33427</v>
      </c>
      <c r="B3013" s="538" t="n">
        <v>18.98</v>
      </c>
      <c r="C3013" s="538" t="n">
        <v>21.29</v>
      </c>
      <c r="D3013" s="637" t="n"/>
      <c r="E3013" s="538" t="n">
        <v>24.6</v>
      </c>
    </row>
    <row r="3014">
      <c r="A3014" s="544" t="n">
        <v>33428</v>
      </c>
      <c r="B3014" s="538" t="n">
        <v>19.03</v>
      </c>
      <c r="C3014" s="538" t="n">
        <v>21.35</v>
      </c>
      <c r="D3014" s="637" t="n"/>
      <c r="E3014" s="538" t="n">
        <v>24.55</v>
      </c>
    </row>
    <row r="3015">
      <c r="A3015" s="544" t="n">
        <v>33429</v>
      </c>
      <c r="B3015" s="538" t="n">
        <v>19.23</v>
      </c>
      <c r="C3015" s="538" t="n">
        <v>21.43</v>
      </c>
      <c r="D3015" s="637" t="n"/>
      <c r="E3015" s="538" t="n">
        <v>24.55</v>
      </c>
    </row>
    <row r="3016">
      <c r="A3016" s="544" t="n">
        <v>33430</v>
      </c>
      <c r="B3016" s="538" t="n">
        <v>19.2</v>
      </c>
      <c r="C3016" s="538" t="n">
        <v>21.32</v>
      </c>
      <c r="D3016" s="637" t="n"/>
      <c r="E3016" s="538" t="n">
        <v>24.65</v>
      </c>
    </row>
    <row r="3017">
      <c r="A3017" s="544" t="n">
        <v>33431</v>
      </c>
      <c r="B3017" s="538" t="n">
        <v>19.78</v>
      </c>
      <c r="C3017" s="538" t="n">
        <v>21.74</v>
      </c>
      <c r="D3017" s="637" t="n"/>
      <c r="E3017" s="538" t="n">
        <v>24.5</v>
      </c>
    </row>
    <row r="3018">
      <c r="A3018" s="544" t="n">
        <v>33434</v>
      </c>
      <c r="B3018" s="538" t="n">
        <v>19.6</v>
      </c>
      <c r="C3018" s="538" t="n">
        <v>21.5</v>
      </c>
      <c r="D3018" s="637" t="n"/>
      <c r="E3018" s="538" t="n">
        <v>24.85</v>
      </c>
    </row>
    <row r="3019">
      <c r="A3019" s="544" t="n">
        <v>33435</v>
      </c>
      <c r="B3019" s="538" t="n">
        <v>19.83</v>
      </c>
      <c r="C3019" s="538" t="n">
        <v>21.7</v>
      </c>
      <c r="D3019" s="637" t="n"/>
      <c r="E3019" s="538" t="n">
        <v>24.95</v>
      </c>
    </row>
    <row r="3020">
      <c r="A3020" s="544" t="n">
        <v>33436</v>
      </c>
      <c r="B3020" s="538" t="n">
        <v>20.13</v>
      </c>
      <c r="C3020" s="538" t="n">
        <v>22.2</v>
      </c>
      <c r="D3020" s="637" t="n"/>
      <c r="E3020" s="538" t="n">
        <v>25.05</v>
      </c>
    </row>
    <row r="3021">
      <c r="A3021" s="544" t="n">
        <v>33437</v>
      </c>
      <c r="B3021" s="538" t="n">
        <v>20.28</v>
      </c>
      <c r="C3021" s="538" t="n">
        <v>21.97</v>
      </c>
      <c r="D3021" s="637" t="n"/>
      <c r="E3021" s="538" t="n">
        <v>25.15</v>
      </c>
    </row>
    <row r="3022">
      <c r="A3022" s="544" t="n">
        <v>33438</v>
      </c>
      <c r="B3022" s="538" t="n">
        <v>20.28</v>
      </c>
      <c r="C3022" s="538" t="n">
        <v>22.16</v>
      </c>
      <c r="D3022" s="637" t="n"/>
      <c r="E3022" s="538" t="n">
        <v>25.2</v>
      </c>
    </row>
    <row r="3023">
      <c r="A3023" s="544" t="n">
        <v>33441</v>
      </c>
      <c r="B3023" s="538" t="n">
        <v>20.08</v>
      </c>
      <c r="C3023" s="538" t="n">
        <v>21.74</v>
      </c>
      <c r="D3023" s="637" t="n"/>
      <c r="E3023" s="538" t="n">
        <v>25.3</v>
      </c>
    </row>
    <row r="3024">
      <c r="A3024" s="544" t="n">
        <v>33442</v>
      </c>
      <c r="B3024" s="538" t="n">
        <v>19.58</v>
      </c>
      <c r="C3024" s="538" t="n">
        <v>21.25</v>
      </c>
      <c r="D3024" s="637" t="n"/>
      <c r="E3024" s="538" t="n">
        <v>25.3</v>
      </c>
    </row>
    <row r="3025">
      <c r="A3025" s="544" t="n">
        <v>33443</v>
      </c>
      <c r="B3025" s="538" t="n">
        <v>19.33</v>
      </c>
      <c r="C3025" s="538" t="n">
        <v>21.41</v>
      </c>
      <c r="D3025" s="637" t="n"/>
      <c r="E3025" s="538" t="n">
        <v>25.2</v>
      </c>
    </row>
    <row r="3026">
      <c r="A3026" s="544" t="n">
        <v>33444</v>
      </c>
      <c r="B3026" s="538" t="n">
        <v>19.6</v>
      </c>
      <c r="C3026" s="538" t="n">
        <v>21.11</v>
      </c>
      <c r="D3026" s="637" t="n"/>
      <c r="E3026" s="538" t="n">
        <v>25.2</v>
      </c>
    </row>
    <row r="3027">
      <c r="A3027" s="544" t="n">
        <v>33445</v>
      </c>
      <c r="B3027" s="538" t="n">
        <v>19.73</v>
      </c>
      <c r="C3027" s="538" t="n">
        <v>21.48</v>
      </c>
      <c r="D3027" s="637" t="n"/>
      <c r="E3027" s="538" t="n">
        <v>25.2</v>
      </c>
    </row>
    <row r="3028">
      <c r="A3028" s="544" t="n">
        <v>33448</v>
      </c>
      <c r="B3028" s="538" t="n">
        <v>19.58</v>
      </c>
      <c r="C3028" s="538" t="n">
        <v>21.38</v>
      </c>
      <c r="D3028" s="637" t="n"/>
      <c r="E3028" s="538" t="n">
        <v>25.2</v>
      </c>
    </row>
    <row r="3029">
      <c r="A3029" s="544" t="n">
        <v>33449</v>
      </c>
      <c r="B3029" s="538" t="n">
        <v>19.48</v>
      </c>
      <c r="C3029" s="538" t="n">
        <v>21.55</v>
      </c>
      <c r="D3029" s="637" t="n"/>
      <c r="E3029" s="538" t="n">
        <v>25.2</v>
      </c>
    </row>
    <row r="3030">
      <c r="A3030" s="544" t="n">
        <v>33450</v>
      </c>
      <c r="B3030" s="538" t="n">
        <v>19.65</v>
      </c>
      <c r="C3030" s="538" t="n">
        <v>21.7</v>
      </c>
      <c r="D3030" s="637" t="n"/>
      <c r="E3030" s="538" t="n">
        <v>25.3</v>
      </c>
    </row>
    <row r="3031">
      <c r="A3031" s="544" t="n">
        <v>33451</v>
      </c>
      <c r="B3031" s="538" t="n">
        <v>19.73</v>
      </c>
      <c r="C3031" s="538" t="n">
        <v>21.33</v>
      </c>
      <c r="D3031" s="637" t="n"/>
      <c r="E3031" s="538" t="n">
        <v>25.3</v>
      </c>
    </row>
    <row r="3032">
      <c r="A3032" s="544" t="n">
        <v>33452</v>
      </c>
      <c r="B3032" s="538" t="n">
        <v>19.4</v>
      </c>
      <c r="C3032" s="538" t="n">
        <v>21.35</v>
      </c>
      <c r="D3032" s="637" t="n"/>
      <c r="E3032" s="538" t="n">
        <v>25.55</v>
      </c>
    </row>
    <row r="3033">
      <c r="A3033" s="544" t="n">
        <v>33455</v>
      </c>
      <c r="B3033" s="538" t="n">
        <v>19.5</v>
      </c>
      <c r="C3033" s="538" t="n">
        <v>21.5</v>
      </c>
      <c r="D3033" s="637" t="n"/>
      <c r="E3033" s="538" t="n">
        <v>25.6</v>
      </c>
    </row>
    <row r="3034">
      <c r="A3034" s="544" t="n">
        <v>33456</v>
      </c>
      <c r="B3034" s="538" t="n">
        <v>19.45</v>
      </c>
      <c r="C3034" s="538" t="n">
        <v>21.39</v>
      </c>
      <c r="D3034" s="637" t="n"/>
      <c r="E3034" s="538" t="n">
        <v>25.65</v>
      </c>
    </row>
    <row r="3035">
      <c r="A3035" s="544" t="n">
        <v>33457</v>
      </c>
      <c r="B3035" s="538" t="n">
        <v>19.35</v>
      </c>
      <c r="C3035" s="538" t="n">
        <v>21.38</v>
      </c>
      <c r="D3035" s="637" t="n"/>
      <c r="E3035" s="538" t="n">
        <v>25.7</v>
      </c>
    </row>
    <row r="3036">
      <c r="A3036" s="544" t="n">
        <v>33458</v>
      </c>
      <c r="B3036" s="538" t="n">
        <v>19.7</v>
      </c>
      <c r="C3036" s="538" t="n">
        <v>21.6</v>
      </c>
      <c r="D3036" s="637" t="n"/>
      <c r="E3036" s="538" t="n">
        <v>25.8</v>
      </c>
    </row>
    <row r="3037">
      <c r="A3037" s="544" t="n">
        <v>33459</v>
      </c>
      <c r="B3037" s="538" t="n">
        <v>19.58</v>
      </c>
      <c r="C3037" s="538" t="n">
        <v>21.64</v>
      </c>
      <c r="D3037" s="637" t="n"/>
      <c r="E3037" s="538" t="n">
        <v>25.8</v>
      </c>
    </row>
    <row r="3038">
      <c r="A3038" s="544" t="n">
        <v>33462</v>
      </c>
      <c r="B3038" s="538" t="n">
        <v>19.63</v>
      </c>
      <c r="C3038" s="538" t="n">
        <v>21.71</v>
      </c>
      <c r="D3038" s="637" t="n"/>
      <c r="E3038" s="538" t="n">
        <v>25.8</v>
      </c>
    </row>
    <row r="3039">
      <c r="A3039" s="544" t="n">
        <v>33463</v>
      </c>
      <c r="B3039" s="538" t="n">
        <v>19.5</v>
      </c>
      <c r="C3039" s="538" t="n">
        <v>21.52</v>
      </c>
      <c r="D3039" s="637" t="n"/>
      <c r="E3039" s="538" t="n">
        <v>25.9</v>
      </c>
    </row>
    <row r="3040">
      <c r="A3040" s="544" t="n">
        <v>33464</v>
      </c>
      <c r="B3040" s="538" t="n">
        <v>19.23</v>
      </c>
      <c r="C3040" s="538" t="n">
        <v>21.3</v>
      </c>
      <c r="D3040" s="637" t="n"/>
      <c r="E3040" s="538" t="n">
        <v>25.9</v>
      </c>
    </row>
    <row r="3041">
      <c r="A3041" s="544" t="n">
        <v>33465</v>
      </c>
      <c r="B3041" s="538" t="n">
        <v>19.25</v>
      </c>
      <c r="C3041" s="538" t="n">
        <v>21.39</v>
      </c>
      <c r="D3041" s="637" t="n"/>
      <c r="E3041" s="538" t="n">
        <v>26.2</v>
      </c>
    </row>
    <row r="3042">
      <c r="A3042" s="544" t="n">
        <v>33466</v>
      </c>
      <c r="B3042" s="538" t="n">
        <v>19.35</v>
      </c>
      <c r="C3042" s="538" t="n">
        <v>21.29</v>
      </c>
      <c r="D3042" s="637" t="n"/>
      <c r="E3042" s="538" t="n">
        <v>26.2</v>
      </c>
    </row>
    <row r="3043">
      <c r="A3043" s="544" t="n">
        <v>33469</v>
      </c>
      <c r="B3043" s="538" t="n">
        <v>20.55</v>
      </c>
      <c r="C3043" s="538" t="n">
        <v>22.5</v>
      </c>
      <c r="D3043" s="637" t="n"/>
      <c r="E3043" s="538" t="n">
        <v>27.25</v>
      </c>
    </row>
    <row r="3044">
      <c r="A3044" s="544" t="n">
        <v>33470</v>
      </c>
      <c r="B3044" s="538" t="n">
        <v>20.98</v>
      </c>
      <c r="C3044" s="538" t="n">
        <v>22.3</v>
      </c>
      <c r="D3044" s="637" t="n"/>
      <c r="E3044" s="538" t="n">
        <v>28.3</v>
      </c>
    </row>
    <row r="3045">
      <c r="A3045" s="544" t="n">
        <v>33471</v>
      </c>
      <c r="B3045" s="538" t="n">
        <v>19.55</v>
      </c>
      <c r="C3045" s="538" t="n">
        <v>21.44</v>
      </c>
      <c r="D3045" s="637" t="n"/>
      <c r="E3045" s="538" t="n">
        <v>27.85</v>
      </c>
    </row>
    <row r="3046">
      <c r="A3046" s="544" t="n">
        <v>33472</v>
      </c>
      <c r="B3046" s="538" t="n">
        <v>19.53</v>
      </c>
      <c r="C3046" s="538" t="n">
        <v>21.93</v>
      </c>
      <c r="D3046" s="637" t="n"/>
      <c r="E3046" s="538" t="n">
        <v>26.55</v>
      </c>
    </row>
    <row r="3047">
      <c r="A3047" s="544" t="n">
        <v>33473</v>
      </c>
      <c r="B3047" s="538" t="n">
        <v>19.85</v>
      </c>
      <c r="C3047" s="538" t="n">
        <v>21.78</v>
      </c>
      <c r="D3047" s="637" t="n"/>
      <c r="E3047" s="538" t="n">
        <v>26.7</v>
      </c>
    </row>
    <row r="3048">
      <c r="A3048" s="544" t="n">
        <v>33476</v>
      </c>
      <c r="B3048" s="538" t="n">
        <v>20.03</v>
      </c>
      <c r="C3048" s="538" t="n">
        <v>21.98</v>
      </c>
      <c r="D3048" s="637" t="n"/>
      <c r="E3048" s="538" t="n">
        <v>26.7</v>
      </c>
    </row>
    <row r="3049">
      <c r="A3049" s="544" t="n">
        <v>33477</v>
      </c>
      <c r="B3049" s="538" t="n">
        <v>20.03</v>
      </c>
      <c r="C3049" s="538" t="n">
        <v>21.86</v>
      </c>
      <c r="D3049" s="637" t="n"/>
      <c r="E3049" s="538" t="n">
        <v>26.85</v>
      </c>
    </row>
    <row r="3050">
      <c r="A3050" s="544" t="n">
        <v>33478</v>
      </c>
      <c r="B3050" s="538" t="n">
        <v>19.98</v>
      </c>
      <c r="C3050" s="538" t="n">
        <v>21.77</v>
      </c>
      <c r="D3050" s="637" t="n"/>
      <c r="E3050" s="538" t="n">
        <v>27.05</v>
      </c>
    </row>
    <row r="3051">
      <c r="A3051" s="544" t="n">
        <v>33479</v>
      </c>
      <c r="B3051" s="538" t="n">
        <v>20.3</v>
      </c>
      <c r="C3051" s="538" t="n">
        <v>22.02</v>
      </c>
      <c r="D3051" s="637" t="n"/>
      <c r="E3051" s="538" t="n">
        <v>27.3</v>
      </c>
    </row>
    <row r="3052">
      <c r="A3052" s="544" t="n">
        <v>33480</v>
      </c>
      <c r="B3052" s="538" t="n">
        <v>20.53</v>
      </c>
      <c r="C3052" s="538" t="n">
        <v>22.28</v>
      </c>
      <c r="D3052" s="637" t="n"/>
      <c r="E3052" s="538" t="n">
        <v>27.55</v>
      </c>
    </row>
    <row r="3053">
      <c r="A3053" s="544" t="n">
        <v>33483</v>
      </c>
      <c r="B3053" s="538" t="n">
        <v>20.65</v>
      </c>
      <c r="C3053" s="538" t="n">
        <v>22.28</v>
      </c>
      <c r="D3053" s="637" t="n"/>
      <c r="E3053" s="538" t="n">
        <v>27.85</v>
      </c>
    </row>
    <row r="3054">
      <c r="A3054" s="544" t="n">
        <v>33484</v>
      </c>
      <c r="B3054" s="538" t="n">
        <v>20.55</v>
      </c>
      <c r="C3054" s="538" t="n">
        <v>22.28</v>
      </c>
      <c r="D3054" s="637" t="n"/>
      <c r="E3054" s="538" t="n">
        <v>28</v>
      </c>
    </row>
    <row r="3055">
      <c r="A3055" s="544" t="n">
        <v>33485</v>
      </c>
      <c r="B3055" s="538" t="n">
        <v>20.25</v>
      </c>
      <c r="C3055" s="538" t="n">
        <v>21.76</v>
      </c>
      <c r="D3055" s="637" t="n"/>
      <c r="E3055" s="538" t="n">
        <v>27.75</v>
      </c>
    </row>
    <row r="3056">
      <c r="A3056" s="544" t="n">
        <v>33486</v>
      </c>
      <c r="B3056" s="538" t="n">
        <v>20.1</v>
      </c>
      <c r="C3056" s="538" t="n">
        <v>21.75</v>
      </c>
      <c r="D3056" s="637" t="n"/>
      <c r="E3056" s="538" t="n">
        <v>27.55</v>
      </c>
    </row>
    <row r="3057">
      <c r="A3057" s="544" t="n">
        <v>33487</v>
      </c>
      <c r="B3057" s="538" t="n">
        <v>20.13</v>
      </c>
      <c r="C3057" s="538" t="n">
        <v>21.56</v>
      </c>
      <c r="D3057" s="637" t="n"/>
      <c r="E3057" s="538" t="n">
        <v>27.55</v>
      </c>
    </row>
    <row r="3058">
      <c r="A3058" s="544" t="n">
        <v>33490</v>
      </c>
      <c r="B3058" s="538" t="n">
        <v>19.85</v>
      </c>
      <c r="C3058" s="538" t="n">
        <v>21.36</v>
      </c>
      <c r="D3058" s="637" t="n"/>
      <c r="E3058" s="538" t="n">
        <v>27.55</v>
      </c>
    </row>
    <row r="3059">
      <c r="A3059" s="544" t="n">
        <v>33491</v>
      </c>
      <c r="B3059" s="538" t="n">
        <v>19.93</v>
      </c>
      <c r="C3059" s="538" t="n">
        <v>21.44</v>
      </c>
      <c r="D3059" s="637" t="n"/>
      <c r="E3059" s="538" t="n">
        <v>27.45</v>
      </c>
    </row>
    <row r="3060">
      <c r="A3060" s="544" t="n">
        <v>33492</v>
      </c>
      <c r="B3060" s="538" t="n">
        <v>20</v>
      </c>
      <c r="C3060" s="538" t="n">
        <v>21.66</v>
      </c>
      <c r="D3060" s="637" t="n"/>
      <c r="E3060" s="538" t="n">
        <v>27.45</v>
      </c>
    </row>
    <row r="3061">
      <c r="A3061" s="544" t="n">
        <v>33493</v>
      </c>
      <c r="B3061" s="538" t="n">
        <v>20.25</v>
      </c>
      <c r="C3061" s="538" t="n">
        <v>21.51</v>
      </c>
      <c r="D3061" s="637" t="n"/>
      <c r="E3061" s="538" t="n">
        <v>27.2</v>
      </c>
    </row>
    <row r="3062">
      <c r="A3062" s="544" t="n">
        <v>33494</v>
      </c>
      <c r="B3062" s="538" t="n">
        <v>20.35</v>
      </c>
      <c r="C3062" s="538" t="n">
        <v>21.71</v>
      </c>
      <c r="D3062" s="637" t="n"/>
      <c r="E3062" s="538" t="n">
        <v>27.1</v>
      </c>
    </row>
    <row r="3063">
      <c r="A3063" s="544" t="n">
        <v>33497</v>
      </c>
      <c r="B3063" s="538" t="n">
        <v>20.53</v>
      </c>
      <c r="C3063" s="538" t="n">
        <v>21.84</v>
      </c>
      <c r="D3063" s="637" t="n"/>
      <c r="E3063" s="538" t="n">
        <v>26.95</v>
      </c>
    </row>
    <row r="3064">
      <c r="A3064" s="544" t="n">
        <v>33498</v>
      </c>
      <c r="B3064" s="538" t="n">
        <v>20.3</v>
      </c>
      <c r="C3064" s="538" t="n">
        <v>21.73</v>
      </c>
      <c r="D3064" s="637" t="n"/>
      <c r="E3064" s="538" t="n">
        <v>26.9</v>
      </c>
    </row>
    <row r="3065">
      <c r="A3065" s="544" t="n">
        <v>33499</v>
      </c>
      <c r="B3065" s="538" t="n">
        <v>20.53</v>
      </c>
      <c r="C3065" s="538" t="n">
        <v>21.87</v>
      </c>
      <c r="D3065" s="637" t="n"/>
      <c r="E3065" s="538" t="n">
        <v>26.9</v>
      </c>
    </row>
    <row r="3066">
      <c r="A3066" s="544" t="n">
        <v>33500</v>
      </c>
      <c r="B3066" s="538" t="n">
        <v>20.43</v>
      </c>
      <c r="C3066" s="538" t="n">
        <v>21.79</v>
      </c>
      <c r="D3066" s="637" t="n"/>
      <c r="E3066" s="538" t="n">
        <v>26.7</v>
      </c>
    </row>
    <row r="3067">
      <c r="A3067" s="544" t="n">
        <v>33501</v>
      </c>
      <c r="B3067" s="538" t="n">
        <v>20.55</v>
      </c>
      <c r="C3067" s="538" t="n">
        <v>22.02</v>
      </c>
      <c r="D3067" s="637" t="n"/>
      <c r="E3067" s="538" t="n">
        <v>26.5</v>
      </c>
    </row>
    <row r="3068">
      <c r="A3068" s="544" t="n">
        <v>33504</v>
      </c>
      <c r="B3068" s="538" t="n">
        <v>20.83</v>
      </c>
      <c r="C3068" s="538" t="n">
        <v>22.2</v>
      </c>
      <c r="D3068" s="637" t="n"/>
      <c r="E3068" s="538" t="n">
        <v>26.5</v>
      </c>
    </row>
    <row r="3069">
      <c r="A3069" s="544" t="n">
        <v>33505</v>
      </c>
      <c r="B3069" s="538" t="n">
        <v>20.75</v>
      </c>
      <c r="C3069" s="538" t="n">
        <v>22.24</v>
      </c>
      <c r="D3069" s="637" t="n"/>
      <c r="E3069" s="538" t="n">
        <v>26.5</v>
      </c>
    </row>
    <row r="3070">
      <c r="A3070" s="544" t="n">
        <v>33506</v>
      </c>
      <c r="B3070" s="538" t="n">
        <v>20.65</v>
      </c>
      <c r="C3070" s="538" t="n">
        <v>22.11</v>
      </c>
      <c r="D3070" s="637" t="n"/>
      <c r="E3070" s="538" t="n">
        <v>26.5</v>
      </c>
    </row>
    <row r="3071">
      <c r="A3071" s="544" t="n">
        <v>33507</v>
      </c>
      <c r="B3071" s="538" t="n">
        <v>21</v>
      </c>
      <c r="C3071" s="538" t="n">
        <v>22.23</v>
      </c>
      <c r="D3071" s="637" t="n"/>
      <c r="E3071" s="538" t="n">
        <v>26.65</v>
      </c>
    </row>
    <row r="3072">
      <c r="A3072" s="544" t="n">
        <v>33508</v>
      </c>
      <c r="B3072" s="538" t="n">
        <v>21.48</v>
      </c>
      <c r="C3072" s="538" t="n">
        <v>22.42</v>
      </c>
      <c r="D3072" s="637" t="n"/>
      <c r="E3072" s="538" t="n">
        <v>26.65</v>
      </c>
    </row>
    <row r="3073">
      <c r="A3073" s="544" t="n">
        <v>33511</v>
      </c>
      <c r="B3073" s="538" t="n">
        <v>21.43</v>
      </c>
      <c r="C3073" s="538" t="n">
        <v>22.25</v>
      </c>
      <c r="D3073" s="637" t="n"/>
      <c r="E3073" s="538" t="n">
        <v>26.8</v>
      </c>
    </row>
    <row r="3074">
      <c r="A3074" s="544" t="n">
        <v>33512</v>
      </c>
      <c r="B3074" s="538" t="n">
        <v>21.15</v>
      </c>
      <c r="C3074" s="538" t="n">
        <v>22.1</v>
      </c>
      <c r="D3074" s="637" t="n"/>
      <c r="E3074" s="538" t="n">
        <v>26.8</v>
      </c>
    </row>
    <row r="3075">
      <c r="A3075" s="544" t="n">
        <v>33513</v>
      </c>
      <c r="B3075" s="538" t="n">
        <v>21.3</v>
      </c>
      <c r="C3075" s="538" t="n">
        <v>22.34</v>
      </c>
      <c r="D3075" s="637" t="n"/>
      <c r="E3075" s="538" t="n">
        <v>26.8</v>
      </c>
    </row>
    <row r="3076">
      <c r="A3076" s="544" t="n">
        <v>33514</v>
      </c>
      <c r="B3076" s="538" t="n">
        <v>21.75</v>
      </c>
      <c r="C3076" s="538" t="n">
        <v>22.7</v>
      </c>
      <c r="D3076" s="637" t="n"/>
      <c r="E3076" s="538" t="n">
        <v>26.8</v>
      </c>
    </row>
    <row r="3077">
      <c r="A3077" s="544" t="n">
        <v>33515</v>
      </c>
      <c r="B3077" s="538" t="n">
        <v>21.83</v>
      </c>
      <c r="C3077" s="538" t="n">
        <v>22.64</v>
      </c>
      <c r="D3077" s="637" t="n"/>
      <c r="E3077" s="538" t="n">
        <v>26.8</v>
      </c>
    </row>
    <row r="3078">
      <c r="A3078" s="544" t="n">
        <v>33518</v>
      </c>
      <c r="B3078" s="538" t="n">
        <v>21.98</v>
      </c>
      <c r="C3078" s="538" t="n">
        <v>22.99</v>
      </c>
      <c r="D3078" s="637" t="n"/>
      <c r="E3078" s="538" t="n">
        <v>27</v>
      </c>
    </row>
    <row r="3079">
      <c r="A3079" s="544" t="n">
        <v>33519</v>
      </c>
      <c r="B3079" s="538" t="n">
        <v>21.95</v>
      </c>
      <c r="C3079" s="538" t="n">
        <v>23.02</v>
      </c>
      <c r="D3079" s="637" t="n"/>
      <c r="E3079" s="538" t="n">
        <v>27</v>
      </c>
    </row>
    <row r="3080">
      <c r="A3080" s="544" t="n">
        <v>33520</v>
      </c>
      <c r="B3080" s="538" t="n">
        <v>22.43</v>
      </c>
      <c r="C3080" s="538" t="n">
        <v>23.18</v>
      </c>
      <c r="D3080" s="637" t="n"/>
      <c r="E3080" s="538" t="n">
        <v>27.1</v>
      </c>
    </row>
    <row r="3081">
      <c r="A3081" s="544" t="n">
        <v>33521</v>
      </c>
      <c r="B3081" s="538" t="n">
        <v>22.13</v>
      </c>
      <c r="C3081" s="538" t="n">
        <v>23.01</v>
      </c>
      <c r="D3081" s="637" t="n"/>
      <c r="E3081" s="538" t="n">
        <v>27.1</v>
      </c>
    </row>
    <row r="3082">
      <c r="A3082" s="544" t="n">
        <v>33522</v>
      </c>
      <c r="B3082" s="538" t="n">
        <v>22.08</v>
      </c>
      <c r="C3082" s="538" t="n">
        <v>23.19</v>
      </c>
      <c r="D3082" s="637" t="n"/>
      <c r="E3082" s="538" t="n">
        <v>27.1</v>
      </c>
    </row>
    <row r="3083">
      <c r="A3083" s="544" t="n">
        <v>33525</v>
      </c>
      <c r="B3083" s="538" t="n">
        <v>22.6</v>
      </c>
      <c r="C3083" s="538" t="n">
        <v>23.48</v>
      </c>
      <c r="D3083" s="637" t="n"/>
      <c r="E3083" s="538" t="n">
        <v>27.3</v>
      </c>
    </row>
    <row r="3084">
      <c r="A3084" s="544" t="n">
        <v>33526</v>
      </c>
      <c r="B3084" s="538" t="n">
        <v>22.83</v>
      </c>
      <c r="C3084" s="538" t="n">
        <v>23.89</v>
      </c>
      <c r="D3084" s="637" t="n"/>
      <c r="E3084" s="538" t="n">
        <v>27.45</v>
      </c>
    </row>
    <row r="3085">
      <c r="A3085" s="544" t="n">
        <v>33527</v>
      </c>
      <c r="B3085" s="538" t="n">
        <v>22.6</v>
      </c>
      <c r="C3085" s="538" t="n">
        <v>23.67</v>
      </c>
      <c r="D3085" s="637" t="n"/>
      <c r="E3085" s="538" t="n">
        <v>27.75</v>
      </c>
    </row>
    <row r="3086">
      <c r="A3086" s="544" t="n">
        <v>33528</v>
      </c>
      <c r="B3086" s="538" t="n">
        <v>22.73</v>
      </c>
      <c r="C3086" s="538" t="n">
        <v>23.96</v>
      </c>
      <c r="D3086" s="637" t="n"/>
      <c r="E3086" s="538" t="n">
        <v>27.75</v>
      </c>
    </row>
    <row r="3087">
      <c r="A3087" s="544" t="n">
        <v>33529</v>
      </c>
      <c r="B3087" s="538" t="n">
        <v>23</v>
      </c>
      <c r="C3087" s="538" t="n">
        <v>24.12</v>
      </c>
      <c r="D3087" s="637" t="n"/>
      <c r="E3087" s="538" t="n">
        <v>27.95</v>
      </c>
    </row>
    <row r="3088">
      <c r="A3088" s="544" t="n">
        <v>33532</v>
      </c>
      <c r="B3088" s="538" t="n">
        <v>22.95</v>
      </c>
      <c r="C3088" s="538" t="n">
        <v>24.03</v>
      </c>
      <c r="D3088" s="637" t="n"/>
      <c r="E3088" s="538" t="n">
        <v>28.35</v>
      </c>
    </row>
    <row r="3089">
      <c r="A3089" s="544" t="n">
        <v>33533</v>
      </c>
      <c r="B3089" s="538" t="n">
        <v>22.65</v>
      </c>
      <c r="C3089" s="538" t="n">
        <v>23.47</v>
      </c>
      <c r="D3089" s="637" t="n"/>
      <c r="E3089" s="538" t="n">
        <v>28.55</v>
      </c>
    </row>
    <row r="3090">
      <c r="A3090" s="544" t="n">
        <v>33534</v>
      </c>
      <c r="B3090" s="538" t="n">
        <v>22.48</v>
      </c>
      <c r="C3090" s="538" t="n">
        <v>23.14</v>
      </c>
      <c r="D3090" s="637" t="n"/>
      <c r="E3090" s="538" t="n">
        <v>28.55</v>
      </c>
    </row>
    <row r="3091">
      <c r="A3091" s="544" t="n">
        <v>33535</v>
      </c>
      <c r="B3091" s="538" t="n">
        <v>22.25</v>
      </c>
      <c r="C3091" s="538" t="n">
        <v>23.47</v>
      </c>
      <c r="D3091" s="637" t="n"/>
      <c r="E3091" s="538" t="n">
        <v>28.55</v>
      </c>
    </row>
    <row r="3092">
      <c r="A3092" s="544" t="n">
        <v>33536</v>
      </c>
      <c r="B3092" s="538" t="n">
        <v>22.35</v>
      </c>
      <c r="C3092" s="538" t="n">
        <v>23.18</v>
      </c>
      <c r="D3092" s="637" t="n"/>
      <c r="E3092" s="538" t="n">
        <v>28.55</v>
      </c>
    </row>
    <row r="3093">
      <c r="A3093" s="544" t="n">
        <v>33539</v>
      </c>
      <c r="B3093" s="538" t="n">
        <v>21.9</v>
      </c>
      <c r="C3093" s="538" t="n">
        <v>23.24</v>
      </c>
      <c r="D3093" s="637" t="n"/>
      <c r="E3093" s="538" t="n">
        <v>28.55</v>
      </c>
    </row>
    <row r="3094">
      <c r="A3094" s="544" t="n">
        <v>33540</v>
      </c>
      <c r="B3094" s="538" t="n">
        <v>21.85</v>
      </c>
      <c r="C3094" s="538" t="n">
        <v>23.09</v>
      </c>
      <c r="D3094" s="637" t="n"/>
      <c r="E3094" s="538" t="n">
        <v>28.55</v>
      </c>
    </row>
    <row r="3095">
      <c r="A3095" s="544" t="n">
        <v>33541</v>
      </c>
      <c r="B3095" s="538" t="n">
        <v>21.95</v>
      </c>
      <c r="C3095" s="538" t="n">
        <v>23.11</v>
      </c>
      <c r="D3095" s="637" t="n"/>
      <c r="E3095" s="538" t="n">
        <v>28.55</v>
      </c>
    </row>
    <row r="3096">
      <c r="A3096" s="544" t="n">
        <v>33542</v>
      </c>
      <c r="B3096" s="538" t="n">
        <v>22</v>
      </c>
      <c r="C3096" s="538" t="n">
        <v>23.29</v>
      </c>
      <c r="D3096" s="637" t="n"/>
      <c r="E3096" s="538" t="n">
        <v>28.55</v>
      </c>
    </row>
    <row r="3097">
      <c r="A3097" s="544" t="n">
        <v>33543</v>
      </c>
      <c r="B3097" s="538" t="n">
        <v>22.53</v>
      </c>
      <c r="C3097" s="538" t="n">
        <v>23.85</v>
      </c>
      <c r="D3097" s="637" t="n"/>
      <c r="E3097" s="538" t="n">
        <v>28.75</v>
      </c>
    </row>
    <row r="3098">
      <c r="A3098" s="544" t="n">
        <v>33546</v>
      </c>
      <c r="B3098" s="538" t="n">
        <v>22.73</v>
      </c>
      <c r="C3098" s="538" t="n">
        <v>23.82</v>
      </c>
      <c r="D3098" s="637" t="n"/>
      <c r="E3098" s="538" t="n">
        <v>28.85</v>
      </c>
    </row>
    <row r="3099">
      <c r="A3099" s="544" t="n">
        <v>33547</v>
      </c>
      <c r="B3099" s="538" t="n">
        <v>22.53</v>
      </c>
      <c r="C3099" s="538" t="n">
        <v>23.78</v>
      </c>
      <c r="D3099" s="637" t="n"/>
      <c r="E3099" s="538" t="n">
        <v>28.85</v>
      </c>
    </row>
    <row r="3100">
      <c r="A3100" s="544" t="n">
        <v>33548</v>
      </c>
      <c r="B3100" s="538" t="n">
        <v>22</v>
      </c>
      <c r="C3100" s="538" t="n">
        <v>23.44</v>
      </c>
      <c r="D3100" s="637" t="n"/>
      <c r="E3100" s="538" t="n">
        <v>29.15</v>
      </c>
    </row>
    <row r="3101">
      <c r="A3101" s="544" t="n">
        <v>33549</v>
      </c>
      <c r="B3101" s="538" t="n">
        <v>21.85</v>
      </c>
      <c r="C3101" s="538" t="n">
        <v>23.29</v>
      </c>
      <c r="D3101" s="637" t="n"/>
      <c r="E3101" s="538" t="n">
        <v>29.35</v>
      </c>
    </row>
    <row r="3102">
      <c r="A3102" s="544" t="n">
        <v>33550</v>
      </c>
      <c r="B3102" s="538" t="n">
        <v>21.8</v>
      </c>
      <c r="C3102" s="538" t="n">
        <v>23</v>
      </c>
      <c r="D3102" s="637" t="n"/>
      <c r="E3102" s="538" t="n">
        <v>29.35</v>
      </c>
    </row>
    <row r="3103">
      <c r="A3103" s="544" t="n">
        <v>33553</v>
      </c>
      <c r="B3103" s="538" t="n">
        <v>21.45</v>
      </c>
      <c r="C3103" s="538" t="n">
        <v>22.66</v>
      </c>
      <c r="D3103" s="637" t="n"/>
      <c r="E3103" s="538" t="n">
        <v>29.35</v>
      </c>
    </row>
    <row r="3104">
      <c r="A3104" s="544" t="n">
        <v>33554</v>
      </c>
      <c r="B3104" s="538" t="n">
        <v>21.2</v>
      </c>
      <c r="C3104" s="538" t="n">
        <v>22.58</v>
      </c>
      <c r="D3104" s="637" t="n"/>
      <c r="E3104" s="538" t="n">
        <v>29.15</v>
      </c>
    </row>
    <row r="3105">
      <c r="A3105" s="544" t="n">
        <v>33555</v>
      </c>
      <c r="B3105" s="538" t="n">
        <v>21.5</v>
      </c>
      <c r="C3105" s="538" t="n">
        <v>22.28</v>
      </c>
      <c r="D3105" s="637" t="n"/>
      <c r="E3105" s="538" t="n">
        <v>28.9</v>
      </c>
    </row>
    <row r="3106">
      <c r="A3106" s="544" t="n">
        <v>33556</v>
      </c>
      <c r="B3106" s="538" t="n">
        <v>21</v>
      </c>
      <c r="C3106" s="538" t="n">
        <v>22.55</v>
      </c>
      <c r="D3106" s="637" t="n"/>
      <c r="E3106" s="538" t="n">
        <v>28.9</v>
      </c>
    </row>
    <row r="3107">
      <c r="A3107" s="544" t="n">
        <v>33557</v>
      </c>
      <c r="B3107" s="538" t="n">
        <v>21.63</v>
      </c>
      <c r="C3107" s="538" t="n">
        <v>22.79</v>
      </c>
      <c r="D3107" s="637" t="n"/>
      <c r="E3107" s="538" t="n">
        <v>28.9</v>
      </c>
    </row>
    <row r="3108">
      <c r="A3108" s="544" t="n">
        <v>33560</v>
      </c>
      <c r="B3108" s="538" t="n">
        <v>21.35</v>
      </c>
      <c r="C3108" s="538" t="n">
        <v>22.38</v>
      </c>
      <c r="D3108" s="637" t="n"/>
      <c r="E3108" s="538" t="n">
        <v>29.05</v>
      </c>
    </row>
    <row r="3109">
      <c r="A3109" s="544" t="n">
        <v>33561</v>
      </c>
      <c r="B3109" s="538" t="n">
        <v>21.08</v>
      </c>
      <c r="C3109" s="538" t="n">
        <v>21.88</v>
      </c>
      <c r="D3109" s="637" t="n"/>
      <c r="E3109" s="538" t="n">
        <v>28.85</v>
      </c>
    </row>
    <row r="3110">
      <c r="A3110" s="544" t="n">
        <v>33562</v>
      </c>
      <c r="B3110" s="538" t="n">
        <v>20.48</v>
      </c>
      <c r="C3110" s="538" t="n">
        <v>22.17</v>
      </c>
      <c r="D3110" s="637" t="n"/>
      <c r="E3110" s="538" t="n">
        <v>28.6</v>
      </c>
    </row>
    <row r="3111">
      <c r="A3111" s="544" t="n">
        <v>33563</v>
      </c>
      <c r="B3111" s="538" t="n">
        <v>20.73</v>
      </c>
      <c r="C3111" s="538" t="n">
        <v>21.93</v>
      </c>
      <c r="D3111" s="637" t="n"/>
      <c r="E3111" s="538" t="n">
        <v>28.65</v>
      </c>
    </row>
    <row r="3112">
      <c r="A3112" s="544" t="n">
        <v>33564</v>
      </c>
      <c r="B3112" s="538" t="n">
        <v>20.15</v>
      </c>
      <c r="C3112" s="538" t="n">
        <v>21.85</v>
      </c>
      <c r="D3112" s="637" t="n"/>
      <c r="E3112" s="538" t="n">
        <v>28.55</v>
      </c>
    </row>
    <row r="3113">
      <c r="A3113" s="544" t="n">
        <v>33567</v>
      </c>
      <c r="B3113" s="538" t="n">
        <v>19.78</v>
      </c>
      <c r="C3113" s="538" t="n">
        <v>22.15</v>
      </c>
      <c r="D3113" s="637" t="n"/>
      <c r="E3113" s="538" t="n">
        <v>28.45</v>
      </c>
    </row>
    <row r="3114">
      <c r="A3114" s="544" t="n">
        <v>33568</v>
      </c>
      <c r="B3114" s="538" t="n">
        <v>19.78</v>
      </c>
      <c r="C3114" s="538" t="n">
        <v>21.04</v>
      </c>
      <c r="D3114" s="637" t="n"/>
      <c r="E3114" s="538" t="n">
        <v>28.25</v>
      </c>
    </row>
    <row r="3115">
      <c r="A3115" s="544" t="n">
        <v>33569</v>
      </c>
      <c r="B3115" s="538" t="n">
        <v>19.65</v>
      </c>
      <c r="C3115" s="538" t="n">
        <v>21.38</v>
      </c>
      <c r="D3115" s="637" t="n"/>
      <c r="E3115" s="538" t="n">
        <v>27.85</v>
      </c>
    </row>
    <row r="3116">
      <c r="A3116" s="544" t="n">
        <v>33570</v>
      </c>
      <c r="B3116" s="538" t="n">
        <v>19.98</v>
      </c>
      <c r="C3116" s="538" t="n">
        <v>21.38</v>
      </c>
      <c r="D3116" s="637" t="n"/>
      <c r="E3116" s="538" t="n">
        <v>28.05</v>
      </c>
    </row>
    <row r="3117">
      <c r="A3117" s="544" t="n">
        <v>33571</v>
      </c>
      <c r="B3117" s="538" t="n">
        <v>20.08</v>
      </c>
      <c r="C3117" s="538" t="n">
        <v>21.48</v>
      </c>
      <c r="D3117" s="637" t="n"/>
      <c r="E3117" s="538" t="n">
        <v>28.2</v>
      </c>
    </row>
    <row r="3118">
      <c r="A3118" s="544" t="n">
        <v>33574</v>
      </c>
      <c r="B3118" s="538" t="n">
        <v>19.6</v>
      </c>
      <c r="C3118" s="538" t="n">
        <v>21.1</v>
      </c>
      <c r="D3118" s="637" t="n"/>
      <c r="E3118" s="538" t="n">
        <v>28.2</v>
      </c>
    </row>
    <row r="3119">
      <c r="A3119" s="544" t="n">
        <v>33575</v>
      </c>
      <c r="B3119" s="538" t="n">
        <v>19.2</v>
      </c>
      <c r="C3119" s="538" t="n">
        <v>20.61</v>
      </c>
      <c r="D3119" s="637" t="n"/>
      <c r="E3119" s="538" t="n">
        <v>28</v>
      </c>
    </row>
    <row r="3120">
      <c r="A3120" s="544" t="n">
        <v>33576</v>
      </c>
      <c r="B3120" s="538" t="n">
        <v>19.18</v>
      </c>
      <c r="C3120" s="538" t="n">
        <v>20.75</v>
      </c>
      <c r="D3120" s="637" t="n"/>
      <c r="E3120" s="538" t="n">
        <v>27.75</v>
      </c>
    </row>
    <row r="3121">
      <c r="A3121" s="544" t="n">
        <v>33577</v>
      </c>
      <c r="B3121" s="538" t="n">
        <v>19.15</v>
      </c>
      <c r="C3121" s="538" t="n">
        <v>20.42</v>
      </c>
      <c r="D3121" s="637" t="n"/>
      <c r="E3121" s="538" t="n">
        <v>27.75</v>
      </c>
    </row>
    <row r="3122">
      <c r="A3122" s="544" t="n">
        <v>33578</v>
      </c>
      <c r="B3122" s="538" t="n">
        <v>19.05</v>
      </c>
      <c r="C3122" s="538" t="n">
        <v>19.87</v>
      </c>
      <c r="D3122" s="637" t="n"/>
      <c r="E3122" s="538" t="n">
        <v>27.75</v>
      </c>
    </row>
    <row r="3123">
      <c r="A3123" s="544" t="n">
        <v>33581</v>
      </c>
      <c r="B3123" s="538" t="n">
        <v>18.25</v>
      </c>
      <c r="C3123" s="538" t="n">
        <v>19.39</v>
      </c>
      <c r="D3123" s="637" t="n"/>
      <c r="E3123" s="538" t="n">
        <v>27.3</v>
      </c>
    </row>
    <row r="3124">
      <c r="A3124" s="544" t="n">
        <v>33582</v>
      </c>
      <c r="B3124" s="538" t="n">
        <v>18.1</v>
      </c>
      <c r="C3124" s="538" t="n">
        <v>19.24</v>
      </c>
      <c r="D3124" s="637" t="n"/>
      <c r="E3124" s="538" t="n">
        <v>26.75</v>
      </c>
    </row>
    <row r="3125">
      <c r="A3125" s="544" t="n">
        <v>33583</v>
      </c>
      <c r="B3125" s="538" t="n">
        <v>18.28</v>
      </c>
      <c r="C3125" s="538" t="n">
        <v>19.54</v>
      </c>
      <c r="D3125" s="637" t="n"/>
      <c r="E3125" s="538" t="n">
        <v>26.25</v>
      </c>
    </row>
    <row r="3126">
      <c r="A3126" s="544" t="n">
        <v>33584</v>
      </c>
      <c r="B3126" s="538" t="n">
        <v>18.58</v>
      </c>
      <c r="C3126" s="538" t="n">
        <v>19.94</v>
      </c>
      <c r="D3126" s="637" t="n"/>
      <c r="E3126" s="538" t="n">
        <v>26.25</v>
      </c>
    </row>
    <row r="3127">
      <c r="A3127" s="544" t="n">
        <v>33585</v>
      </c>
      <c r="B3127" s="538" t="n">
        <v>19.05</v>
      </c>
      <c r="C3127" s="538" t="n">
        <v>20.09</v>
      </c>
      <c r="D3127" s="637" t="n"/>
      <c r="E3127" s="538" t="n">
        <v>26.1</v>
      </c>
    </row>
    <row r="3128">
      <c r="A3128" s="544" t="n">
        <v>33588</v>
      </c>
      <c r="B3128" s="538" t="n">
        <v>18.55</v>
      </c>
      <c r="C3128" s="538" t="n">
        <v>19.78</v>
      </c>
      <c r="D3128" s="637" t="n"/>
      <c r="E3128" s="538" t="n">
        <v>26.2</v>
      </c>
    </row>
    <row r="3129">
      <c r="A3129" s="544" t="n">
        <v>33589</v>
      </c>
      <c r="B3129" s="538" t="n">
        <v>18.13</v>
      </c>
      <c r="C3129" s="538" t="n">
        <v>19.45</v>
      </c>
      <c r="D3129" s="637" t="n"/>
      <c r="E3129" s="538" t="n">
        <v>25.95</v>
      </c>
    </row>
    <row r="3130">
      <c r="A3130" s="544" t="n">
        <v>33590</v>
      </c>
      <c r="B3130" s="538" t="n">
        <v>18.15</v>
      </c>
      <c r="C3130" s="538" t="n">
        <v>19.39</v>
      </c>
      <c r="D3130" s="637" t="n"/>
      <c r="E3130" s="538" t="n">
        <v>25.55</v>
      </c>
    </row>
    <row r="3131">
      <c r="A3131" s="544" t="n">
        <v>33591</v>
      </c>
      <c r="B3131" s="538" t="n">
        <v>18.15</v>
      </c>
      <c r="C3131" s="538" t="n">
        <v>19.12</v>
      </c>
      <c r="D3131" s="637" t="n"/>
      <c r="E3131" s="538" t="n">
        <v>25.15</v>
      </c>
    </row>
    <row r="3132">
      <c r="A3132" s="544" t="n">
        <v>33592</v>
      </c>
      <c r="B3132" s="538" t="n">
        <v>18.55</v>
      </c>
      <c r="C3132" s="538" t="n">
        <v>18.28</v>
      </c>
      <c r="D3132" s="637" t="n"/>
      <c r="E3132" s="538" t="n">
        <v>25.15</v>
      </c>
    </row>
    <row r="3133">
      <c r="A3133" s="544" t="n">
        <v>33595</v>
      </c>
      <c r="B3133" s="538" t="n">
        <v>17.6</v>
      </c>
      <c r="C3133" s="538" t="n">
        <v>18.58</v>
      </c>
      <c r="D3133" s="637" t="n"/>
      <c r="E3133" s="538" t="n">
        <v>24.95</v>
      </c>
    </row>
    <row r="3134">
      <c r="A3134" s="544" t="n">
        <v>33596</v>
      </c>
      <c r="B3134" s="538" t="n">
        <v>17.78</v>
      </c>
      <c r="C3134" s="538" t="n">
        <v>18.68</v>
      </c>
      <c r="D3134" s="637" t="n"/>
      <c r="E3134" s="538" t="n">
        <v>25.05</v>
      </c>
    </row>
    <row r="3135">
      <c r="A3135" s="544" t="n">
        <v>33597</v>
      </c>
      <c r="B3135" s="538" t="n">
        <v>17.78</v>
      </c>
      <c r="C3135" s="538" t="n">
        <v>18.68</v>
      </c>
      <c r="D3135" s="637" t="n"/>
      <c r="E3135" s="538" t="n">
        <v>25.05</v>
      </c>
    </row>
    <row r="3136">
      <c r="A3136" s="544" t="n">
        <v>33598</v>
      </c>
      <c r="B3136" s="538" t="n">
        <v>17.78</v>
      </c>
      <c r="C3136" s="538" t="n">
        <v>18.63</v>
      </c>
      <c r="D3136" s="637" t="n"/>
      <c r="E3136" s="538" t="n">
        <v>25.05</v>
      </c>
    </row>
    <row r="3137">
      <c r="A3137" s="544" t="n">
        <v>33599</v>
      </c>
      <c r="B3137" s="538" t="n">
        <v>17.75</v>
      </c>
      <c r="C3137" s="538" t="n">
        <v>18.82</v>
      </c>
      <c r="D3137" s="637" t="n"/>
      <c r="E3137" s="538" t="n">
        <v>25.05</v>
      </c>
    </row>
    <row r="3138">
      <c r="A3138" s="544" t="n">
        <v>33602</v>
      </c>
      <c r="B3138" s="538" t="n">
        <v>18</v>
      </c>
      <c r="C3138" s="538" t="n">
        <v>18.63</v>
      </c>
      <c r="D3138" s="637" t="n"/>
      <c r="E3138" s="538" t="n">
        <v>25.05</v>
      </c>
    </row>
    <row r="3139">
      <c r="A3139" s="544" t="n">
        <v>33603</v>
      </c>
      <c r="B3139" s="538" t="n">
        <v>17.75</v>
      </c>
      <c r="C3139" s="538" t="n">
        <v>19.15</v>
      </c>
      <c r="D3139" s="637" t="n"/>
      <c r="E3139" s="538" t="n">
        <v>25.05</v>
      </c>
    </row>
    <row r="3140">
      <c r="A3140" s="544" t="n">
        <v>33604</v>
      </c>
      <c r="B3140" s="538" t="n">
        <v>17.75</v>
      </c>
      <c r="C3140" s="538" t="n">
        <v>19.15</v>
      </c>
      <c r="D3140" s="637" t="n"/>
      <c r="E3140" s="538" t="n">
        <v>25.05</v>
      </c>
    </row>
    <row r="3141">
      <c r="A3141" s="544" t="n">
        <v>33605</v>
      </c>
      <c r="B3141" s="538" t="n">
        <v>18.45</v>
      </c>
      <c r="C3141" s="538" t="n">
        <v>19.43</v>
      </c>
      <c r="D3141" s="637" t="n"/>
      <c r="E3141" s="538" t="n">
        <v>25.05</v>
      </c>
    </row>
    <row r="3142">
      <c r="A3142" s="544" t="n">
        <v>33606</v>
      </c>
      <c r="B3142" s="538" t="n">
        <v>18.5</v>
      </c>
      <c r="C3142" s="538" t="n">
        <v>19.22</v>
      </c>
      <c r="D3142" s="637" t="n"/>
      <c r="E3142" s="538" t="n">
        <v>25.05</v>
      </c>
    </row>
    <row r="3143">
      <c r="A3143" s="544" t="n">
        <v>33609</v>
      </c>
      <c r="B3143" s="538" t="n">
        <v>18.75</v>
      </c>
      <c r="C3143" s="538" t="n">
        <v>19.24</v>
      </c>
      <c r="D3143" s="637" t="n"/>
      <c r="E3143" s="538" t="n">
        <v>25.05</v>
      </c>
    </row>
    <row r="3144">
      <c r="A3144" s="544" t="n">
        <v>33610</v>
      </c>
      <c r="B3144" s="538" t="n">
        <v>18.4</v>
      </c>
      <c r="C3144" s="538" t="n">
        <v>18.72</v>
      </c>
      <c r="D3144" s="637" t="n"/>
      <c r="E3144" s="538" t="n">
        <v>24.95</v>
      </c>
    </row>
    <row r="3145">
      <c r="A3145" s="544" t="n">
        <v>33611</v>
      </c>
      <c r="B3145" s="538" t="n">
        <v>17.3</v>
      </c>
      <c r="C3145" s="538" t="n">
        <v>17.95</v>
      </c>
      <c r="D3145" s="538" t="n">
        <v>14.38</v>
      </c>
      <c r="E3145" s="538" t="n">
        <v>24.95</v>
      </c>
    </row>
    <row r="3146">
      <c r="A3146" s="544" t="n">
        <v>33612</v>
      </c>
      <c r="B3146" s="538" t="n">
        <v>17.18</v>
      </c>
      <c r="C3146" s="538" t="n">
        <v>17.89</v>
      </c>
      <c r="D3146" s="538" t="n">
        <v>14.28</v>
      </c>
      <c r="E3146" s="538" t="n">
        <v>24.6</v>
      </c>
    </row>
    <row r="3147">
      <c r="A3147" s="544" t="n">
        <v>33613</v>
      </c>
      <c r="B3147" s="538" t="n">
        <v>17.23</v>
      </c>
      <c r="C3147" s="538" t="n">
        <v>18.26</v>
      </c>
      <c r="D3147" s="538" t="n">
        <v>14.7</v>
      </c>
      <c r="E3147" s="538" t="n">
        <v>24.6</v>
      </c>
    </row>
    <row r="3148">
      <c r="A3148" s="544" t="n">
        <v>33616</v>
      </c>
      <c r="B3148" s="538" t="n">
        <v>18.08</v>
      </c>
      <c r="C3148" s="538" t="n">
        <v>18.77</v>
      </c>
      <c r="D3148" s="538" t="n">
        <v>15.15</v>
      </c>
      <c r="E3148" s="538" t="n">
        <v>24.6</v>
      </c>
    </row>
    <row r="3149">
      <c r="A3149" s="544" t="n">
        <v>33617</v>
      </c>
      <c r="B3149" s="538" t="n">
        <v>18.23</v>
      </c>
      <c r="C3149" s="538" t="n">
        <v>18.4</v>
      </c>
      <c r="D3149" s="538" t="n">
        <v>14.85</v>
      </c>
      <c r="E3149" s="538" t="n">
        <v>24.9</v>
      </c>
    </row>
    <row r="3150">
      <c r="A3150" s="544" t="n">
        <v>33618</v>
      </c>
      <c r="B3150" s="538" t="n">
        <v>18.38</v>
      </c>
      <c r="C3150" s="538" t="n">
        <v>18.83</v>
      </c>
      <c r="D3150" s="538" t="n">
        <v>15.35</v>
      </c>
      <c r="E3150" s="538" t="n">
        <v>24.75</v>
      </c>
    </row>
    <row r="3151">
      <c r="A3151" s="544" t="n">
        <v>33619</v>
      </c>
      <c r="B3151" s="538" t="n">
        <v>18.68</v>
      </c>
      <c r="C3151" s="538" t="n">
        <v>18.94</v>
      </c>
      <c r="D3151" s="538" t="n">
        <v>15.4</v>
      </c>
      <c r="E3151" s="538" t="n">
        <v>24.45</v>
      </c>
    </row>
    <row r="3152">
      <c r="A3152" s="544" t="n">
        <v>33620</v>
      </c>
      <c r="B3152" s="538" t="n">
        <v>18.48</v>
      </c>
      <c r="C3152" s="538" t="n">
        <v>19.11</v>
      </c>
      <c r="D3152" s="538" t="n">
        <v>15.65</v>
      </c>
      <c r="E3152" s="538" t="n">
        <v>24.45</v>
      </c>
    </row>
    <row r="3153">
      <c r="A3153" s="544" t="n">
        <v>33623</v>
      </c>
      <c r="B3153" s="538" t="n">
        <v>18.45</v>
      </c>
      <c r="C3153" s="538" t="n">
        <v>18.92</v>
      </c>
      <c r="D3153" s="538" t="n">
        <v>15.35</v>
      </c>
      <c r="E3153" s="538" t="n">
        <v>24.55</v>
      </c>
    </row>
    <row r="3154">
      <c r="A3154" s="544" t="n">
        <v>33624</v>
      </c>
      <c r="B3154" s="538" t="n">
        <v>17.85</v>
      </c>
      <c r="C3154" s="538" t="n">
        <v>18.5</v>
      </c>
      <c r="D3154" s="538" t="n">
        <v>15.1</v>
      </c>
      <c r="E3154" s="538" t="n">
        <v>24.35</v>
      </c>
    </row>
    <row r="3155">
      <c r="A3155" s="544" t="n">
        <v>33625</v>
      </c>
      <c r="B3155" s="538" t="n">
        <v>17.83</v>
      </c>
      <c r="C3155" s="538" t="n">
        <v>18.73</v>
      </c>
      <c r="D3155" s="538" t="n">
        <v>15.5</v>
      </c>
      <c r="E3155" s="538" t="n">
        <v>24.15</v>
      </c>
    </row>
    <row r="3156">
      <c r="A3156" s="544" t="n">
        <v>33626</v>
      </c>
      <c r="B3156" s="538" t="n">
        <v>18.1</v>
      </c>
      <c r="C3156" s="538" t="n">
        <v>18.38</v>
      </c>
      <c r="D3156" s="538" t="n">
        <v>15.35</v>
      </c>
      <c r="E3156" s="538" t="n">
        <v>24.15</v>
      </c>
    </row>
    <row r="3157">
      <c r="A3157" s="544" t="n">
        <v>33627</v>
      </c>
      <c r="B3157" s="538" t="n">
        <v>18.33</v>
      </c>
      <c r="C3157" s="538" t="n">
        <v>18.75</v>
      </c>
      <c r="D3157" s="538" t="n">
        <v>15.65</v>
      </c>
      <c r="E3157" s="538" t="n">
        <v>24.15</v>
      </c>
    </row>
    <row r="3158">
      <c r="A3158" s="544" t="n">
        <v>33630</v>
      </c>
      <c r="B3158" s="538" t="n">
        <v>18.55</v>
      </c>
      <c r="C3158" s="538" t="n">
        <v>19.35</v>
      </c>
      <c r="D3158" s="538" t="n">
        <v>15.95</v>
      </c>
      <c r="E3158" s="538" t="n">
        <v>24.15</v>
      </c>
    </row>
    <row r="3159">
      <c r="A3159" s="544" t="n">
        <v>33631</v>
      </c>
      <c r="B3159" s="538" t="n">
        <v>18.43</v>
      </c>
      <c r="C3159" s="538" t="n">
        <v>19.09</v>
      </c>
      <c r="D3159" s="538" t="n">
        <v>15.65</v>
      </c>
      <c r="E3159" s="538" t="n">
        <v>24.15</v>
      </c>
    </row>
    <row r="3160">
      <c r="A3160" s="544" t="n">
        <v>33632</v>
      </c>
      <c r="B3160" s="538" t="n">
        <v>18.15</v>
      </c>
      <c r="C3160" s="538" t="n">
        <v>18.92</v>
      </c>
      <c r="D3160" s="538" t="n">
        <v>15.6</v>
      </c>
      <c r="E3160" s="538" t="n">
        <v>24.15</v>
      </c>
    </row>
    <row r="3161">
      <c r="A3161" s="544" t="n">
        <v>33633</v>
      </c>
      <c r="B3161" s="538" t="n">
        <v>18.1</v>
      </c>
      <c r="C3161" s="538" t="n">
        <v>18.95</v>
      </c>
      <c r="D3161" s="538" t="n">
        <v>15.6</v>
      </c>
      <c r="E3161" s="538" t="n">
        <v>24.05</v>
      </c>
    </row>
    <row r="3162">
      <c r="A3162" s="544" t="n">
        <v>33634</v>
      </c>
      <c r="B3162" s="538" t="n">
        <v>18.15</v>
      </c>
      <c r="C3162" s="538" t="n">
        <v>18.93</v>
      </c>
      <c r="D3162" s="538" t="n">
        <v>15.55</v>
      </c>
      <c r="E3162" s="538" t="n">
        <v>24</v>
      </c>
    </row>
    <row r="3163">
      <c r="A3163" s="544" t="n">
        <v>33637</v>
      </c>
      <c r="B3163" s="538" t="n">
        <v>18.35</v>
      </c>
      <c r="C3163" s="538" t="n">
        <v>18.97</v>
      </c>
      <c r="D3163" s="538" t="n">
        <v>15.25</v>
      </c>
      <c r="E3163" s="538" t="n">
        <v>24</v>
      </c>
    </row>
    <row r="3164">
      <c r="A3164" s="544" t="n">
        <v>33638</v>
      </c>
      <c r="B3164" s="538" t="n">
        <v>18.4</v>
      </c>
      <c r="C3164" s="538" t="n">
        <v>19.26</v>
      </c>
      <c r="D3164" s="538" t="n">
        <v>15.43</v>
      </c>
      <c r="E3164" s="538" t="n">
        <v>24</v>
      </c>
    </row>
    <row r="3165">
      <c r="A3165" s="544" t="n">
        <v>33639</v>
      </c>
      <c r="B3165" s="538" t="n">
        <v>18.48</v>
      </c>
      <c r="C3165" s="538" t="n">
        <v>19.5</v>
      </c>
      <c r="D3165" s="538" t="n">
        <v>15.48</v>
      </c>
      <c r="E3165" s="538" t="n">
        <v>24</v>
      </c>
    </row>
    <row r="3166">
      <c r="A3166" s="544" t="n">
        <v>33640</v>
      </c>
      <c r="B3166" s="538" t="n">
        <v>18.53</v>
      </c>
      <c r="C3166" s="538" t="n">
        <v>19.48</v>
      </c>
      <c r="D3166" s="538" t="n">
        <v>15.48</v>
      </c>
      <c r="E3166" s="538" t="n">
        <v>24</v>
      </c>
    </row>
    <row r="3167">
      <c r="A3167" s="544" t="n">
        <v>33641</v>
      </c>
      <c r="B3167" s="538" t="n">
        <v>18.58</v>
      </c>
      <c r="C3167" s="538" t="n">
        <v>19.91</v>
      </c>
      <c r="D3167" s="538" t="n">
        <v>15.95</v>
      </c>
      <c r="E3167" s="538" t="n">
        <v>24</v>
      </c>
    </row>
    <row r="3168">
      <c r="A3168" s="544" t="n">
        <v>33644</v>
      </c>
      <c r="B3168" s="538" t="n">
        <v>18.95</v>
      </c>
      <c r="C3168" s="538" t="n">
        <v>19.69</v>
      </c>
      <c r="D3168" s="538" t="n">
        <v>16.08</v>
      </c>
      <c r="E3168" s="538" t="n">
        <v>24</v>
      </c>
    </row>
    <row r="3169">
      <c r="A3169" s="544" t="n">
        <v>33645</v>
      </c>
      <c r="B3169" s="538" t="n">
        <v>18.48</v>
      </c>
      <c r="C3169" s="538" t="n">
        <v>19.36</v>
      </c>
      <c r="D3169" s="538" t="n">
        <v>15.93</v>
      </c>
      <c r="E3169" s="538" t="n">
        <v>24</v>
      </c>
    </row>
    <row r="3170">
      <c r="A3170" s="544" t="n">
        <v>33646</v>
      </c>
      <c r="B3170" s="538" t="n">
        <v>18.33</v>
      </c>
      <c r="C3170" s="538" t="n">
        <v>19.29</v>
      </c>
      <c r="D3170" s="538" t="n">
        <v>16.85</v>
      </c>
      <c r="E3170" s="538" t="n">
        <v>23.8</v>
      </c>
    </row>
    <row r="3171">
      <c r="A3171" s="544" t="n">
        <v>33647</v>
      </c>
      <c r="B3171" s="538" t="n">
        <v>18.53</v>
      </c>
      <c r="C3171" s="538" t="n">
        <v>19.7</v>
      </c>
      <c r="D3171" s="538" t="n">
        <v>16.25</v>
      </c>
      <c r="E3171" s="538" t="n">
        <v>23.5</v>
      </c>
    </row>
    <row r="3172">
      <c r="A3172" s="544" t="n">
        <v>33648</v>
      </c>
      <c r="B3172" s="538" t="n">
        <v>18.63</v>
      </c>
      <c r="C3172" s="538" t="n">
        <v>19.42</v>
      </c>
      <c r="D3172" s="538" t="n">
        <v>16.17</v>
      </c>
      <c r="E3172" s="538" t="n">
        <v>23.3</v>
      </c>
    </row>
    <row r="3173">
      <c r="A3173" s="544" t="n">
        <v>33651</v>
      </c>
      <c r="B3173" s="538" t="n">
        <v>17.65</v>
      </c>
      <c r="C3173" s="538" t="n">
        <v>19.42</v>
      </c>
      <c r="D3173" s="538" t="n">
        <v>16.17</v>
      </c>
      <c r="E3173" s="538" t="n">
        <v>22.9</v>
      </c>
    </row>
    <row r="3174">
      <c r="A3174" s="544" t="n">
        <v>33652</v>
      </c>
      <c r="B3174" s="538" t="n">
        <v>17.7</v>
      </c>
      <c r="C3174" s="538" t="n">
        <v>18.14</v>
      </c>
      <c r="D3174" s="538" t="n">
        <v>15.38</v>
      </c>
      <c r="E3174" s="538" t="n">
        <v>22.85</v>
      </c>
    </row>
    <row r="3175">
      <c r="A3175" s="544" t="n">
        <v>33653</v>
      </c>
      <c r="B3175" s="538" t="n">
        <v>17.5</v>
      </c>
      <c r="C3175" s="538" t="n">
        <v>18.42</v>
      </c>
      <c r="D3175" s="538" t="n">
        <v>15.8</v>
      </c>
      <c r="E3175" s="538" t="n">
        <v>22.7</v>
      </c>
    </row>
    <row r="3176">
      <c r="A3176" s="544" t="n">
        <v>33654</v>
      </c>
      <c r="B3176" s="538" t="n">
        <v>17.85</v>
      </c>
      <c r="C3176" s="538" t="n">
        <v>18.52</v>
      </c>
      <c r="D3176" s="538" t="n">
        <v>15.85</v>
      </c>
      <c r="E3176" s="538" t="n">
        <v>22.7</v>
      </c>
    </row>
    <row r="3177">
      <c r="A3177" s="544" t="n">
        <v>33655</v>
      </c>
      <c r="B3177" s="538" t="n">
        <v>18</v>
      </c>
      <c r="C3177" s="538" t="n">
        <v>18.6</v>
      </c>
      <c r="D3177" s="538" t="n">
        <v>15.78</v>
      </c>
      <c r="E3177" s="538" t="n">
        <v>22.7</v>
      </c>
    </row>
    <row r="3178">
      <c r="A3178" s="544" t="n">
        <v>33658</v>
      </c>
      <c r="B3178" s="538" t="n">
        <v>17.4</v>
      </c>
      <c r="C3178" s="538" t="n">
        <v>18.37</v>
      </c>
      <c r="D3178" s="538" t="n">
        <v>15.65</v>
      </c>
      <c r="E3178" s="538" t="n">
        <v>22.7</v>
      </c>
    </row>
    <row r="3179">
      <c r="A3179" s="544" t="n">
        <v>33659</v>
      </c>
      <c r="B3179" s="538" t="n">
        <v>17.43</v>
      </c>
      <c r="C3179" s="538" t="n">
        <v>18.3</v>
      </c>
      <c r="D3179" s="538" t="n">
        <v>15.75</v>
      </c>
      <c r="E3179" s="538" t="n">
        <v>22.4</v>
      </c>
    </row>
    <row r="3180">
      <c r="A3180" s="544" t="n">
        <v>33660</v>
      </c>
      <c r="B3180" s="538" t="n">
        <v>17.28</v>
      </c>
      <c r="C3180" s="538" t="n">
        <v>18.44</v>
      </c>
      <c r="D3180" s="538" t="n">
        <v>15.75</v>
      </c>
      <c r="E3180" s="538" t="n">
        <v>22.2</v>
      </c>
    </row>
    <row r="3181">
      <c r="A3181" s="544" t="n">
        <v>33661</v>
      </c>
      <c r="B3181" s="538" t="n">
        <v>17.55</v>
      </c>
      <c r="C3181" s="538" t="n">
        <v>18.77</v>
      </c>
      <c r="D3181" s="538" t="n">
        <v>15.98</v>
      </c>
      <c r="E3181" s="538" t="n">
        <v>22.05</v>
      </c>
    </row>
    <row r="3182">
      <c r="A3182" s="544" t="n">
        <v>33662</v>
      </c>
      <c r="B3182" s="538" t="n">
        <v>17.45</v>
      </c>
      <c r="C3182" s="538" t="n">
        <v>18.69</v>
      </c>
      <c r="D3182" s="538" t="n">
        <v>15.88</v>
      </c>
      <c r="E3182" s="538" t="n">
        <v>22.1</v>
      </c>
    </row>
    <row r="3183">
      <c r="A3183" s="544" t="n">
        <v>33665</v>
      </c>
      <c r="B3183" s="538" t="n">
        <v>17.35</v>
      </c>
      <c r="C3183" s="538" t="n">
        <v>18.36</v>
      </c>
      <c r="D3183" s="538" t="n">
        <v>15.13</v>
      </c>
      <c r="E3183" s="538" t="n">
        <v>22.1</v>
      </c>
    </row>
    <row r="3184">
      <c r="A3184" s="544" t="n">
        <v>33666</v>
      </c>
      <c r="B3184" s="538" t="n">
        <v>17.05</v>
      </c>
      <c r="C3184" s="538" t="n">
        <v>18.67</v>
      </c>
      <c r="D3184" s="538" t="n">
        <v>15.33</v>
      </c>
      <c r="E3184" s="538" t="n">
        <v>22.05</v>
      </c>
    </row>
    <row r="3185">
      <c r="A3185" s="544" t="n">
        <v>33667</v>
      </c>
      <c r="B3185" s="538" t="n">
        <v>17.28</v>
      </c>
      <c r="C3185" s="538" t="n">
        <v>18.62</v>
      </c>
      <c r="D3185" s="538" t="n">
        <v>15.3</v>
      </c>
      <c r="E3185" s="538" t="n">
        <v>22.1</v>
      </c>
    </row>
    <row r="3186">
      <c r="A3186" s="544" t="n">
        <v>33668</v>
      </c>
      <c r="B3186" s="538" t="n">
        <v>17.43</v>
      </c>
      <c r="C3186" s="538" t="n">
        <v>18.58</v>
      </c>
      <c r="D3186" s="538" t="n">
        <v>15.23</v>
      </c>
      <c r="E3186" s="538" t="n">
        <v>22.1</v>
      </c>
    </row>
    <row r="3187">
      <c r="A3187" s="544" t="n">
        <v>33669</v>
      </c>
      <c r="B3187" s="538" t="n">
        <v>17.3</v>
      </c>
      <c r="C3187" s="538" t="n">
        <v>18.53</v>
      </c>
      <c r="D3187" s="538" t="n">
        <v>15.35</v>
      </c>
      <c r="E3187" s="538" t="n">
        <v>22.15</v>
      </c>
    </row>
    <row r="3188">
      <c r="A3188" s="544" t="n">
        <v>33672</v>
      </c>
      <c r="B3188" s="538" t="n">
        <v>17.35</v>
      </c>
      <c r="C3188" s="538" t="n">
        <v>18.65</v>
      </c>
      <c r="D3188" s="538" t="n">
        <v>15.35</v>
      </c>
      <c r="E3188" s="538" t="n">
        <v>22.15</v>
      </c>
    </row>
    <row r="3189">
      <c r="A3189" s="544" t="n">
        <v>33673</v>
      </c>
      <c r="B3189" s="538" t="n">
        <v>17.35</v>
      </c>
      <c r="C3189" s="538" t="n">
        <v>18.62</v>
      </c>
      <c r="D3189" s="538" t="n">
        <v>15.18</v>
      </c>
      <c r="E3189" s="538" t="n">
        <v>22.25</v>
      </c>
    </row>
    <row r="3190">
      <c r="A3190" s="544" t="n">
        <v>33674</v>
      </c>
      <c r="B3190" s="538" t="n">
        <v>17.2</v>
      </c>
      <c r="C3190" s="538" t="n">
        <v>18.5</v>
      </c>
      <c r="D3190" s="538" t="n">
        <v>15.13</v>
      </c>
      <c r="E3190" s="538" t="n">
        <v>22.4</v>
      </c>
    </row>
    <row r="3191">
      <c r="A3191" s="544" t="n">
        <v>33675</v>
      </c>
      <c r="B3191" s="538" t="n">
        <v>17.35</v>
      </c>
      <c r="C3191" s="538" t="n">
        <v>18.86</v>
      </c>
      <c r="D3191" s="538" t="n">
        <v>15.55</v>
      </c>
      <c r="E3191" s="538" t="n">
        <v>22.4</v>
      </c>
    </row>
    <row r="3192">
      <c r="A3192" s="544" t="n">
        <v>33676</v>
      </c>
      <c r="B3192" s="538" t="n">
        <v>17.73</v>
      </c>
      <c r="C3192" s="538" t="n">
        <v>19.16</v>
      </c>
      <c r="D3192" s="538" t="n">
        <v>15.95</v>
      </c>
      <c r="E3192" s="538" t="n">
        <v>22.5</v>
      </c>
    </row>
    <row r="3193">
      <c r="A3193" s="544" t="n">
        <v>33679</v>
      </c>
      <c r="B3193" s="538" t="n">
        <v>17.73</v>
      </c>
      <c r="C3193" s="538" t="n">
        <v>19.15</v>
      </c>
      <c r="D3193" s="538" t="n">
        <v>15.85</v>
      </c>
      <c r="E3193" s="538" t="n">
        <v>22.63</v>
      </c>
    </row>
    <row r="3194">
      <c r="A3194" s="544" t="n">
        <v>33680</v>
      </c>
      <c r="B3194" s="538" t="n">
        <v>17.88</v>
      </c>
      <c r="C3194" s="538" t="n">
        <v>19.27</v>
      </c>
      <c r="D3194" s="538" t="n">
        <v>15.95</v>
      </c>
      <c r="E3194" s="538" t="n">
        <v>22.4</v>
      </c>
    </row>
    <row r="3195">
      <c r="A3195" s="544" t="n">
        <v>33681</v>
      </c>
      <c r="B3195" s="538" t="n">
        <v>17.65</v>
      </c>
      <c r="C3195" s="538" t="n">
        <v>19.05</v>
      </c>
      <c r="D3195" s="538" t="n">
        <v>15.85</v>
      </c>
      <c r="E3195" s="538" t="n">
        <v>22.5</v>
      </c>
    </row>
    <row r="3196">
      <c r="A3196" s="544" t="n">
        <v>33682</v>
      </c>
      <c r="B3196" s="538" t="n">
        <v>17.65</v>
      </c>
      <c r="C3196" s="538" t="n">
        <v>19.27</v>
      </c>
      <c r="D3196" s="538" t="n">
        <v>16.05</v>
      </c>
      <c r="E3196" s="538" t="n">
        <v>22.5</v>
      </c>
    </row>
    <row r="3197">
      <c r="A3197" s="544" t="n">
        <v>33683</v>
      </c>
      <c r="B3197" s="538" t="n">
        <v>17.75</v>
      </c>
      <c r="C3197" s="538" t="n">
        <v>18.78</v>
      </c>
      <c r="D3197" s="538" t="n">
        <v>15.78</v>
      </c>
      <c r="E3197" s="538" t="n">
        <v>22.6</v>
      </c>
    </row>
    <row r="3198">
      <c r="A3198" s="544" t="n">
        <v>33686</v>
      </c>
      <c r="B3198" s="538" t="n">
        <v>17.58</v>
      </c>
      <c r="C3198" s="538" t="n">
        <v>18.91</v>
      </c>
      <c r="D3198" s="538" t="n">
        <v>16.05</v>
      </c>
      <c r="E3198" s="538" t="n">
        <v>22.6</v>
      </c>
    </row>
    <row r="3199">
      <c r="A3199" s="544" t="n">
        <v>33687</v>
      </c>
      <c r="B3199" s="538" t="n">
        <v>17.65</v>
      </c>
      <c r="C3199" s="538" t="n">
        <v>19.06</v>
      </c>
      <c r="D3199" s="538" t="n">
        <v>16.17</v>
      </c>
      <c r="E3199" s="538" t="n">
        <v>22.6</v>
      </c>
    </row>
    <row r="3200">
      <c r="A3200" s="544" t="n">
        <v>33688</v>
      </c>
      <c r="B3200" s="538" t="n">
        <v>17.7</v>
      </c>
      <c r="C3200" s="538" t="n">
        <v>19</v>
      </c>
      <c r="D3200" s="538" t="n">
        <v>16.33</v>
      </c>
      <c r="E3200" s="538" t="n">
        <v>22.7</v>
      </c>
    </row>
    <row r="3201">
      <c r="A3201" s="544" t="n">
        <v>33689</v>
      </c>
      <c r="B3201" s="538" t="n">
        <v>17.98</v>
      </c>
      <c r="C3201" s="538" t="n">
        <v>19.31</v>
      </c>
      <c r="D3201" s="538" t="n">
        <v>16.4</v>
      </c>
      <c r="E3201" s="538" t="n">
        <v>22.7</v>
      </c>
    </row>
    <row r="3202">
      <c r="A3202" s="544" t="n">
        <v>33690</v>
      </c>
      <c r="B3202" s="538" t="n">
        <v>17.85</v>
      </c>
      <c r="C3202" s="538" t="n">
        <v>19.19</v>
      </c>
      <c r="D3202" s="538" t="n">
        <v>16.17</v>
      </c>
      <c r="E3202" s="538" t="n">
        <v>22.7</v>
      </c>
    </row>
    <row r="3203">
      <c r="A3203" s="544" t="n">
        <v>33693</v>
      </c>
      <c r="B3203" s="538" t="n">
        <v>17.98</v>
      </c>
      <c r="C3203" s="538" t="n">
        <v>19.25</v>
      </c>
      <c r="D3203" s="538" t="n">
        <v>16.38</v>
      </c>
      <c r="E3203" s="538" t="n">
        <v>22.7</v>
      </c>
    </row>
    <row r="3204">
      <c r="A3204" s="544" t="n">
        <v>33694</v>
      </c>
      <c r="B3204" s="538" t="n">
        <v>19.09</v>
      </c>
      <c r="C3204" s="538" t="n">
        <v>19.49</v>
      </c>
      <c r="D3204" s="538" t="n">
        <v>16.42</v>
      </c>
      <c r="E3204" s="538" t="n">
        <v>22.7</v>
      </c>
    </row>
    <row r="3205">
      <c r="A3205" s="544" t="n">
        <v>33695</v>
      </c>
      <c r="B3205" s="538" t="n">
        <v>18.38</v>
      </c>
      <c r="C3205" s="538" t="n">
        <v>19.85</v>
      </c>
      <c r="D3205" s="538" t="n">
        <v>16.45</v>
      </c>
      <c r="E3205" s="538" t="n">
        <v>22.75</v>
      </c>
    </row>
    <row r="3206">
      <c r="A3206" s="544" t="n">
        <v>33696</v>
      </c>
      <c r="B3206" s="538" t="n">
        <v>18.53</v>
      </c>
      <c r="C3206" s="538" t="n">
        <v>19.79</v>
      </c>
      <c r="D3206" s="538" t="n">
        <v>16.25</v>
      </c>
      <c r="E3206" s="538" t="n">
        <v>22.9</v>
      </c>
    </row>
    <row r="3207">
      <c r="A3207" s="544" t="n">
        <v>33697</v>
      </c>
      <c r="B3207" s="538" t="n">
        <v>18.63</v>
      </c>
      <c r="C3207" s="538" t="n">
        <v>20.25</v>
      </c>
      <c r="D3207" s="538" t="n">
        <v>16.67</v>
      </c>
      <c r="E3207" s="538" t="n">
        <v>23</v>
      </c>
    </row>
    <row r="3208">
      <c r="A3208" s="544" t="n">
        <v>33700</v>
      </c>
      <c r="B3208" s="538" t="n">
        <v>18.93</v>
      </c>
      <c r="C3208" s="538" t="n">
        <v>20.44</v>
      </c>
      <c r="D3208" s="538" t="n">
        <v>16.78</v>
      </c>
      <c r="E3208" s="538" t="n">
        <v>23</v>
      </c>
    </row>
    <row r="3209">
      <c r="A3209" s="544" t="n">
        <v>33701</v>
      </c>
      <c r="B3209" s="538" t="n">
        <v>18.93</v>
      </c>
      <c r="C3209" s="538" t="n">
        <v>20.29</v>
      </c>
      <c r="D3209" s="538" t="n">
        <v>16.7</v>
      </c>
      <c r="E3209" s="538" t="n">
        <v>23.6</v>
      </c>
    </row>
    <row r="3210">
      <c r="A3210" s="544" t="n">
        <v>33702</v>
      </c>
      <c r="B3210" s="538" t="n">
        <v>19.18</v>
      </c>
      <c r="C3210" s="538" t="n">
        <v>20.64</v>
      </c>
      <c r="D3210" s="538" t="n">
        <v>17.03</v>
      </c>
      <c r="E3210" s="538" t="n">
        <v>23.6</v>
      </c>
    </row>
    <row r="3211">
      <c r="A3211" s="544" t="n">
        <v>33703</v>
      </c>
      <c r="B3211" s="538" t="n">
        <v>18.95</v>
      </c>
      <c r="C3211" s="538" t="n">
        <v>20.33</v>
      </c>
      <c r="D3211" s="538" t="n">
        <v>16.73</v>
      </c>
      <c r="E3211" s="538" t="n">
        <v>23.9</v>
      </c>
    </row>
    <row r="3212">
      <c r="A3212" s="544" t="n">
        <v>33704</v>
      </c>
      <c r="B3212" s="538" t="n">
        <v>19.05</v>
      </c>
      <c r="C3212" s="538" t="n">
        <v>20.45</v>
      </c>
      <c r="D3212" s="538" t="n">
        <v>16.88</v>
      </c>
      <c r="E3212" s="538" t="n">
        <v>23.9</v>
      </c>
    </row>
    <row r="3213">
      <c r="A3213" s="544" t="n">
        <v>33707</v>
      </c>
      <c r="B3213" s="538" t="n">
        <v>19.03</v>
      </c>
      <c r="C3213" s="538" t="n">
        <v>20.24</v>
      </c>
      <c r="D3213" s="538" t="n">
        <v>16.67</v>
      </c>
      <c r="E3213" s="538" t="n">
        <v>24.15</v>
      </c>
    </row>
    <row r="3214">
      <c r="A3214" s="544" t="n">
        <v>33708</v>
      </c>
      <c r="B3214" s="538" t="n">
        <v>18.85</v>
      </c>
      <c r="C3214" s="538" t="n">
        <v>19.81</v>
      </c>
      <c r="D3214" s="538" t="n">
        <v>16.23</v>
      </c>
      <c r="E3214" s="538" t="n">
        <v>24.3</v>
      </c>
    </row>
    <row r="3215">
      <c r="A3215" s="544" t="n">
        <v>33709</v>
      </c>
      <c r="B3215" s="538" t="n">
        <v>18.6</v>
      </c>
      <c r="C3215" s="538" t="n">
        <v>19.93</v>
      </c>
      <c r="D3215" s="538" t="n">
        <v>16.48</v>
      </c>
      <c r="E3215" s="538" t="n">
        <v>24.4</v>
      </c>
    </row>
    <row r="3216">
      <c r="A3216" s="544" t="n">
        <v>33710</v>
      </c>
      <c r="B3216" s="538" t="n">
        <v>18.95</v>
      </c>
      <c r="C3216" s="538" t="n">
        <v>20.25</v>
      </c>
      <c r="D3216" s="538" t="n">
        <v>16.73</v>
      </c>
      <c r="E3216" s="538" t="n">
        <v>24.4</v>
      </c>
    </row>
    <row r="3217">
      <c r="A3217" s="544" t="n">
        <v>33711</v>
      </c>
      <c r="B3217" s="538" t="n">
        <v>18.95</v>
      </c>
      <c r="C3217" s="538" t="n">
        <v>20.25</v>
      </c>
      <c r="D3217" s="538" t="n">
        <v>16.73</v>
      </c>
      <c r="E3217" s="538" t="n">
        <v>24.4</v>
      </c>
    </row>
    <row r="3218">
      <c r="A3218" s="544" t="n">
        <v>33714</v>
      </c>
      <c r="B3218" s="538" t="n">
        <v>18.95</v>
      </c>
      <c r="C3218" s="538" t="n">
        <v>20.26</v>
      </c>
      <c r="D3218" s="538" t="n">
        <v>16.85</v>
      </c>
      <c r="E3218" s="538" t="n">
        <v>24.5</v>
      </c>
    </row>
    <row r="3219">
      <c r="A3219" s="544" t="n">
        <v>33715</v>
      </c>
      <c r="B3219" s="538" t="n">
        <v>19</v>
      </c>
      <c r="C3219" s="538" t="n">
        <v>20.17</v>
      </c>
      <c r="D3219" s="538" t="n">
        <v>16.67</v>
      </c>
      <c r="E3219" s="538" t="n">
        <v>24.5</v>
      </c>
    </row>
    <row r="3220">
      <c r="A3220" s="544" t="n">
        <v>33716</v>
      </c>
      <c r="B3220" s="538" t="n">
        <v>18.73</v>
      </c>
      <c r="C3220" s="538" t="n">
        <v>19.92</v>
      </c>
      <c r="D3220" s="538" t="n">
        <v>16.45</v>
      </c>
      <c r="E3220" s="538" t="n">
        <v>24.5</v>
      </c>
    </row>
    <row r="3221">
      <c r="A3221" s="544" t="n">
        <v>33717</v>
      </c>
      <c r="B3221" s="538" t="n">
        <v>18.7</v>
      </c>
      <c r="C3221" s="538" t="n">
        <v>19.91</v>
      </c>
      <c r="D3221" s="538" t="n">
        <v>16.45</v>
      </c>
      <c r="E3221" s="538" t="n">
        <v>24.5</v>
      </c>
    </row>
    <row r="3222">
      <c r="A3222" s="544" t="n">
        <v>33718</v>
      </c>
      <c r="B3222" s="538" t="n">
        <v>18.9</v>
      </c>
      <c r="C3222" s="538" t="n">
        <v>20.05</v>
      </c>
      <c r="D3222" s="538" t="n">
        <v>16.63</v>
      </c>
      <c r="E3222" s="538" t="n">
        <v>24.5</v>
      </c>
    </row>
    <row r="3223">
      <c r="A3223" s="544" t="n">
        <v>33721</v>
      </c>
      <c r="B3223" s="538" t="n">
        <v>18.9</v>
      </c>
      <c r="C3223" s="538" t="n">
        <v>20.31</v>
      </c>
      <c r="D3223" s="538" t="n">
        <v>16.67</v>
      </c>
      <c r="E3223" s="538" t="n">
        <v>24.5</v>
      </c>
    </row>
    <row r="3224">
      <c r="A3224" s="544" t="n">
        <v>33722</v>
      </c>
      <c r="B3224" s="538" t="n">
        <v>19.18</v>
      </c>
      <c r="C3224" s="538" t="n">
        <v>20.29</v>
      </c>
      <c r="D3224" s="538" t="n">
        <v>16.73</v>
      </c>
      <c r="E3224" s="538" t="n">
        <v>24.65</v>
      </c>
    </row>
    <row r="3225">
      <c r="A3225" s="544" t="n">
        <v>33723</v>
      </c>
      <c r="B3225" s="538" t="n">
        <v>19.28</v>
      </c>
      <c r="C3225" s="538" t="n">
        <v>20.77</v>
      </c>
      <c r="D3225" s="538" t="n">
        <v>17.3</v>
      </c>
      <c r="E3225" s="538" t="n">
        <v>24.75</v>
      </c>
    </row>
    <row r="3226">
      <c r="A3226" s="544" t="n">
        <v>33724</v>
      </c>
      <c r="B3226" s="538" t="n">
        <v>19.65</v>
      </c>
      <c r="C3226" s="538" t="n">
        <v>20.88</v>
      </c>
      <c r="D3226" s="538" t="n">
        <v>17.45</v>
      </c>
      <c r="E3226" s="538" t="n">
        <v>24.9</v>
      </c>
    </row>
    <row r="3227">
      <c r="A3227" s="544" t="n">
        <v>33725</v>
      </c>
      <c r="B3227" s="538" t="n">
        <v>19.83</v>
      </c>
      <c r="C3227" s="538" t="n">
        <v>20.88</v>
      </c>
      <c r="D3227" s="538" t="n">
        <v>17.38</v>
      </c>
      <c r="E3227" s="538" t="n">
        <v>24.9</v>
      </c>
    </row>
    <row r="3228">
      <c r="A3228" s="544" t="n">
        <v>33728</v>
      </c>
      <c r="B3228" s="538" t="n">
        <v>19.88</v>
      </c>
      <c r="C3228" s="538" t="n">
        <v>21.13</v>
      </c>
      <c r="D3228" s="538" t="n">
        <v>17.67</v>
      </c>
      <c r="E3228" s="538" t="n">
        <v>25.05</v>
      </c>
    </row>
    <row r="3229">
      <c r="A3229" s="544" t="n">
        <v>33729</v>
      </c>
      <c r="B3229" s="538" t="n">
        <v>19.98</v>
      </c>
      <c r="C3229" s="538" t="n">
        <v>20.78</v>
      </c>
      <c r="D3229" s="538" t="n">
        <v>17.28</v>
      </c>
      <c r="E3229" s="538" t="n">
        <v>25.6</v>
      </c>
    </row>
    <row r="3230">
      <c r="A3230" s="544" t="n">
        <v>33730</v>
      </c>
      <c r="B3230" s="538" t="n">
        <v>19.68</v>
      </c>
      <c r="C3230" s="538" t="n">
        <v>20.79</v>
      </c>
      <c r="D3230" s="538" t="n">
        <v>17.33</v>
      </c>
      <c r="E3230" s="538" t="n">
        <v>25.6</v>
      </c>
    </row>
    <row r="3231">
      <c r="A3231" s="544" t="n">
        <v>33731</v>
      </c>
      <c r="B3231" s="538" t="n">
        <v>19.65</v>
      </c>
      <c r="C3231" s="538" t="n">
        <v>20.73</v>
      </c>
      <c r="D3231" s="538" t="n">
        <v>17.17</v>
      </c>
      <c r="E3231" s="538" t="n">
        <v>25.6</v>
      </c>
    </row>
    <row r="3232">
      <c r="A3232" s="544" t="n">
        <v>33732</v>
      </c>
      <c r="B3232" s="538" t="n">
        <v>19.63</v>
      </c>
      <c r="C3232" s="538" t="n">
        <v>20.85</v>
      </c>
      <c r="D3232" s="538" t="n">
        <v>17.28</v>
      </c>
      <c r="E3232" s="538" t="n">
        <v>25.7</v>
      </c>
    </row>
    <row r="3233">
      <c r="A3233" s="544" t="n">
        <v>33735</v>
      </c>
      <c r="B3233" s="538" t="n">
        <v>19.73</v>
      </c>
      <c r="C3233" s="538" t="n">
        <v>21.02</v>
      </c>
      <c r="D3233" s="538" t="n">
        <v>17.42</v>
      </c>
      <c r="E3233" s="538" t="n">
        <v>25.85</v>
      </c>
    </row>
    <row r="3234">
      <c r="A3234" s="544" t="n">
        <v>33736</v>
      </c>
      <c r="B3234" s="538" t="n">
        <v>19.8</v>
      </c>
      <c r="C3234" s="538" t="n">
        <v>20.98</v>
      </c>
      <c r="D3234" s="538" t="n">
        <v>17.42</v>
      </c>
      <c r="E3234" s="538" t="n">
        <v>25.9</v>
      </c>
    </row>
    <row r="3235">
      <c r="A3235" s="544" t="n">
        <v>33737</v>
      </c>
      <c r="B3235" s="538" t="n">
        <v>19.95</v>
      </c>
      <c r="C3235" s="538" t="n">
        <v>20.75</v>
      </c>
      <c r="D3235" s="538" t="n">
        <v>17.17</v>
      </c>
      <c r="E3235" s="538" t="n">
        <v>25.9</v>
      </c>
    </row>
    <row r="3236">
      <c r="A3236" s="544" t="n">
        <v>33738</v>
      </c>
      <c r="B3236" s="538" t="n">
        <v>19.75</v>
      </c>
      <c r="C3236" s="538" t="n">
        <v>20.56</v>
      </c>
      <c r="D3236" s="538" t="n">
        <v>17.35</v>
      </c>
      <c r="E3236" s="538" t="n">
        <v>25.9</v>
      </c>
    </row>
    <row r="3237">
      <c r="A3237" s="544" t="n">
        <v>33739</v>
      </c>
      <c r="B3237" s="538" t="n">
        <v>19.7</v>
      </c>
      <c r="C3237" s="538" t="n">
        <v>20.7</v>
      </c>
      <c r="D3237" s="538" t="n">
        <v>17.55</v>
      </c>
      <c r="E3237" s="538" t="n">
        <v>25.9</v>
      </c>
    </row>
    <row r="3238">
      <c r="A3238" s="544" t="n">
        <v>33742</v>
      </c>
      <c r="B3238" s="538" t="n">
        <v>19.7</v>
      </c>
      <c r="C3238" s="538" t="n">
        <v>20.54</v>
      </c>
      <c r="D3238" s="538" t="n">
        <v>17.08</v>
      </c>
      <c r="E3238" s="538" t="n">
        <v>25.9</v>
      </c>
    </row>
    <row r="3239">
      <c r="A3239" s="544" t="n">
        <v>33743</v>
      </c>
      <c r="B3239" s="538" t="n">
        <v>19.3</v>
      </c>
      <c r="C3239" s="538" t="n">
        <v>20.12</v>
      </c>
      <c r="D3239" s="538" t="n">
        <v>17.05</v>
      </c>
      <c r="E3239" s="538" t="n">
        <v>25.9</v>
      </c>
    </row>
    <row r="3240">
      <c r="A3240" s="544" t="n">
        <v>33744</v>
      </c>
      <c r="B3240" s="538" t="n">
        <v>19.28</v>
      </c>
      <c r="C3240" s="538" t="n">
        <v>20.2</v>
      </c>
      <c r="D3240" s="538" t="n">
        <v>17.13</v>
      </c>
      <c r="E3240" s="538" t="n">
        <v>25.75</v>
      </c>
    </row>
    <row r="3241">
      <c r="A3241" s="544" t="n">
        <v>33745</v>
      </c>
      <c r="B3241" s="538" t="n">
        <v>19.6</v>
      </c>
      <c r="C3241" s="538" t="n">
        <v>20.79</v>
      </c>
      <c r="D3241" s="538" t="n">
        <v>17.78</v>
      </c>
      <c r="E3241" s="538" t="n">
        <v>25.75</v>
      </c>
    </row>
    <row r="3242">
      <c r="A3242" s="544" t="n">
        <v>33746</v>
      </c>
      <c r="B3242" s="538" t="n">
        <v>19.58</v>
      </c>
      <c r="C3242" s="538" t="n">
        <v>20.79</v>
      </c>
      <c r="D3242" s="538" t="n">
        <v>17.78</v>
      </c>
      <c r="E3242" s="538" t="n">
        <v>25.85</v>
      </c>
    </row>
    <row r="3243">
      <c r="A3243" s="544" t="n">
        <v>33749</v>
      </c>
      <c r="B3243" s="538" t="n">
        <v>19.58</v>
      </c>
      <c r="C3243" s="538" t="n">
        <v>20.79</v>
      </c>
      <c r="D3243" s="538" t="n">
        <v>17.78</v>
      </c>
      <c r="E3243" s="538" t="n">
        <v>25.95</v>
      </c>
    </row>
    <row r="3244">
      <c r="A3244" s="544" t="n">
        <v>33750</v>
      </c>
      <c r="B3244" s="538" t="n">
        <v>20.5</v>
      </c>
      <c r="C3244" s="538" t="n">
        <v>21.8</v>
      </c>
      <c r="D3244" s="538" t="n">
        <v>18.38</v>
      </c>
      <c r="E3244" s="538" t="n">
        <v>25.95</v>
      </c>
    </row>
    <row r="3245">
      <c r="A3245" s="544" t="n">
        <v>33751</v>
      </c>
      <c r="B3245" s="538" t="n">
        <v>20.8</v>
      </c>
      <c r="C3245" s="538" t="n">
        <v>22</v>
      </c>
      <c r="D3245" s="538" t="n">
        <v>18.75</v>
      </c>
      <c r="E3245" s="538" t="n">
        <v>26.15</v>
      </c>
    </row>
    <row r="3246">
      <c r="A3246" s="544" t="n">
        <v>33752</v>
      </c>
      <c r="B3246" s="538" t="n">
        <v>20.73</v>
      </c>
      <c r="C3246" s="538" t="n">
        <v>21.97</v>
      </c>
      <c r="D3246" s="538" t="n">
        <v>18.33</v>
      </c>
      <c r="E3246" s="538" t="n">
        <v>26.3</v>
      </c>
    </row>
    <row r="3247">
      <c r="A3247" s="544" t="n">
        <v>33753</v>
      </c>
      <c r="B3247" s="538" t="n">
        <v>20.7</v>
      </c>
      <c r="C3247" s="538" t="n">
        <v>22.13</v>
      </c>
      <c r="D3247" s="538" t="n">
        <v>18.55</v>
      </c>
      <c r="E3247" s="538" t="n">
        <v>26.45</v>
      </c>
    </row>
    <row r="3248">
      <c r="A3248" s="544" t="n">
        <v>33756</v>
      </c>
      <c r="B3248" s="538" t="n">
        <v>20.9</v>
      </c>
      <c r="C3248" s="538" t="n">
        <v>22.07</v>
      </c>
      <c r="D3248" s="538" t="n">
        <v>18.6</v>
      </c>
      <c r="E3248" s="538" t="n">
        <v>26.55</v>
      </c>
    </row>
    <row r="3249">
      <c r="A3249" s="544" t="n">
        <v>33757</v>
      </c>
      <c r="B3249" s="538" t="n">
        <v>20.85</v>
      </c>
      <c r="C3249" s="538" t="n">
        <v>22.2</v>
      </c>
      <c r="D3249" s="538" t="n">
        <v>18.7</v>
      </c>
      <c r="E3249" s="538" t="n">
        <v>26.65</v>
      </c>
    </row>
    <row r="3250">
      <c r="A3250" s="544" t="n">
        <v>33758</v>
      </c>
      <c r="B3250" s="538" t="n">
        <v>21.23</v>
      </c>
      <c r="C3250" s="538" t="n">
        <v>22.45</v>
      </c>
      <c r="D3250" s="538" t="n">
        <v>18.88</v>
      </c>
      <c r="E3250" s="538" t="n">
        <v>26.9</v>
      </c>
    </row>
    <row r="3251">
      <c r="A3251" s="544" t="n">
        <v>33759</v>
      </c>
      <c r="B3251" s="538" t="n">
        <v>21.08</v>
      </c>
      <c r="C3251" s="538" t="n">
        <v>22.53</v>
      </c>
      <c r="D3251" s="538" t="n">
        <v>19.08</v>
      </c>
      <c r="E3251" s="538" t="n">
        <v>27</v>
      </c>
    </row>
    <row r="3252">
      <c r="A3252" s="544" t="n">
        <v>33760</v>
      </c>
      <c r="B3252" s="538" t="n">
        <v>21.35</v>
      </c>
      <c r="C3252" s="538" t="n">
        <v>22.65</v>
      </c>
      <c r="D3252" s="538" t="n">
        <v>19.3</v>
      </c>
      <c r="E3252" s="538" t="n">
        <v>27.3</v>
      </c>
    </row>
    <row r="3253">
      <c r="A3253" s="544" t="n">
        <v>33763</v>
      </c>
      <c r="B3253" s="538" t="n">
        <v>21.25</v>
      </c>
      <c r="C3253" s="538" t="n">
        <v>22.43</v>
      </c>
      <c r="D3253" s="538" t="n">
        <v>19</v>
      </c>
      <c r="E3253" s="538" t="n">
        <v>27.35</v>
      </c>
    </row>
    <row r="3254">
      <c r="A3254" s="544" t="n">
        <v>33764</v>
      </c>
      <c r="B3254" s="538" t="n">
        <v>21.13</v>
      </c>
      <c r="C3254" s="538" t="n">
        <v>22.23</v>
      </c>
      <c r="D3254" s="538" t="n">
        <v>18.7</v>
      </c>
      <c r="E3254" s="538" t="n">
        <v>27.4</v>
      </c>
    </row>
    <row r="3255">
      <c r="A3255" s="544" t="n">
        <v>33765</v>
      </c>
      <c r="B3255" s="538" t="n">
        <v>21.05</v>
      </c>
      <c r="C3255" s="538" t="n">
        <v>22.49</v>
      </c>
      <c r="D3255" s="538" t="n">
        <v>18.98</v>
      </c>
      <c r="E3255" s="538" t="n">
        <v>27.4</v>
      </c>
    </row>
    <row r="3256">
      <c r="A3256" s="544" t="n">
        <v>33766</v>
      </c>
      <c r="B3256" s="538" t="n">
        <v>21.33</v>
      </c>
      <c r="C3256" s="538" t="n">
        <v>22.33</v>
      </c>
      <c r="D3256" s="538" t="n">
        <v>18.85</v>
      </c>
      <c r="E3256" s="538" t="n">
        <v>27.4</v>
      </c>
    </row>
    <row r="3257">
      <c r="A3257" s="544" t="n">
        <v>33767</v>
      </c>
      <c r="B3257" s="538" t="n">
        <v>21.28</v>
      </c>
      <c r="C3257" s="538" t="n">
        <v>22.28</v>
      </c>
      <c r="D3257" s="538" t="n">
        <v>18.8</v>
      </c>
      <c r="E3257" s="538" t="n">
        <v>27.35</v>
      </c>
    </row>
    <row r="3258">
      <c r="A3258" s="544" t="n">
        <v>33770</v>
      </c>
      <c r="B3258" s="538" t="n">
        <v>21.3</v>
      </c>
      <c r="C3258" s="538" t="n">
        <v>22.38</v>
      </c>
      <c r="D3258" s="538" t="n">
        <v>19.1</v>
      </c>
      <c r="E3258" s="538" t="n">
        <v>27.4</v>
      </c>
    </row>
    <row r="3259">
      <c r="A3259" s="544" t="n">
        <v>33771</v>
      </c>
      <c r="B3259" s="538" t="n">
        <v>21.13</v>
      </c>
      <c r="C3259" s="538" t="n">
        <v>22.23</v>
      </c>
      <c r="D3259" s="538" t="n">
        <v>19.08</v>
      </c>
      <c r="E3259" s="538" t="n">
        <v>27.4</v>
      </c>
    </row>
    <row r="3260">
      <c r="A3260" s="544" t="n">
        <v>33772</v>
      </c>
      <c r="B3260" s="538" t="n">
        <v>21.03</v>
      </c>
      <c r="C3260" s="538" t="n">
        <v>22.3</v>
      </c>
      <c r="D3260" s="538" t="n">
        <v>19.15</v>
      </c>
      <c r="E3260" s="538" t="n">
        <v>27.4</v>
      </c>
    </row>
    <row r="3261">
      <c r="A3261" s="544" t="n">
        <v>33773</v>
      </c>
      <c r="B3261" s="538" t="n">
        <v>21.23</v>
      </c>
      <c r="C3261" s="538" t="n">
        <v>22.23</v>
      </c>
      <c r="D3261" s="538" t="n">
        <v>19.15</v>
      </c>
      <c r="E3261" s="538" t="n">
        <v>27.6</v>
      </c>
    </row>
    <row r="3262">
      <c r="A3262" s="544" t="n">
        <v>33774</v>
      </c>
      <c r="B3262" s="538" t="n">
        <v>21.13</v>
      </c>
      <c r="C3262" s="538" t="n">
        <v>22.16</v>
      </c>
      <c r="D3262" s="538" t="n">
        <v>19.08</v>
      </c>
      <c r="E3262" s="538" t="n">
        <v>27.7</v>
      </c>
    </row>
    <row r="3263">
      <c r="A3263" s="544" t="n">
        <v>33777</v>
      </c>
      <c r="B3263" s="538" t="n">
        <v>20.83</v>
      </c>
      <c r="C3263" s="538" t="n">
        <v>22.47</v>
      </c>
      <c r="D3263" s="538" t="n">
        <v>19.05</v>
      </c>
      <c r="E3263" s="538" t="n">
        <v>27.7</v>
      </c>
    </row>
    <row r="3264">
      <c r="A3264" s="544" t="n">
        <v>33778</v>
      </c>
      <c r="B3264" s="538" t="n">
        <v>21.35</v>
      </c>
      <c r="C3264" s="538" t="n">
        <v>22.74</v>
      </c>
      <c r="D3264" s="538" t="n">
        <v>19.4</v>
      </c>
      <c r="E3264" s="538" t="n">
        <v>27.9</v>
      </c>
    </row>
    <row r="3265">
      <c r="A3265" s="544" t="n">
        <v>33779</v>
      </c>
      <c r="B3265" s="538" t="n">
        <v>21.55</v>
      </c>
      <c r="C3265" s="538" t="n">
        <v>23.03</v>
      </c>
      <c r="D3265" s="538" t="n">
        <v>19.5</v>
      </c>
      <c r="E3265" s="538" t="n">
        <v>28.1</v>
      </c>
    </row>
    <row r="3266">
      <c r="A3266" s="544" t="n">
        <v>33780</v>
      </c>
      <c r="B3266" s="538" t="n">
        <v>21.5</v>
      </c>
      <c r="C3266" s="538" t="n">
        <v>22.73</v>
      </c>
      <c r="D3266" s="538" t="n">
        <v>19.15</v>
      </c>
      <c r="E3266" s="538" t="n">
        <v>28.3</v>
      </c>
    </row>
    <row r="3267">
      <c r="A3267" s="544" t="n">
        <v>33781</v>
      </c>
      <c r="B3267" s="538" t="n">
        <v>21.3</v>
      </c>
      <c r="C3267" s="538" t="n">
        <v>22.42</v>
      </c>
      <c r="D3267" s="538" t="n">
        <v>19.1</v>
      </c>
      <c r="E3267" s="538" t="n">
        <v>28.2</v>
      </c>
    </row>
    <row r="3268">
      <c r="A3268" s="544" t="n">
        <v>33784</v>
      </c>
      <c r="B3268" s="538" t="n">
        <v>21.08</v>
      </c>
      <c r="C3268" s="538" t="n">
        <v>22.27</v>
      </c>
      <c r="D3268" s="538" t="n">
        <v>18.95</v>
      </c>
      <c r="E3268" s="538" t="n">
        <v>28.1</v>
      </c>
    </row>
    <row r="3269">
      <c r="A3269" s="544" t="n">
        <v>33785</v>
      </c>
      <c r="B3269" s="538" t="n">
        <v>20.6</v>
      </c>
      <c r="C3269" s="538" t="n">
        <v>21.84</v>
      </c>
      <c r="D3269" s="538" t="n">
        <v>18.53</v>
      </c>
      <c r="E3269" s="538" t="n">
        <v>28.1</v>
      </c>
    </row>
    <row r="3270">
      <c r="A3270" s="544" t="n">
        <v>33786</v>
      </c>
      <c r="B3270" s="538" t="n">
        <v>20.25</v>
      </c>
      <c r="C3270" s="538" t="n">
        <v>21.9</v>
      </c>
      <c r="D3270" s="538" t="n">
        <v>18.65</v>
      </c>
      <c r="E3270" s="538" t="n">
        <v>28.1</v>
      </c>
    </row>
    <row r="3271">
      <c r="A3271" s="544" t="n">
        <v>33787</v>
      </c>
      <c r="B3271" s="538" t="n">
        <v>20.53</v>
      </c>
      <c r="C3271" s="538" t="n">
        <v>22.08</v>
      </c>
      <c r="D3271" s="538" t="n">
        <v>18.63</v>
      </c>
      <c r="E3271" s="538" t="n">
        <v>28.2</v>
      </c>
    </row>
    <row r="3272">
      <c r="A3272" s="544" t="n">
        <v>33788</v>
      </c>
      <c r="B3272" s="538" t="n">
        <v>20.65</v>
      </c>
      <c r="C3272" s="538" t="n">
        <v>22.08</v>
      </c>
      <c r="D3272" s="538" t="n">
        <v>18.63</v>
      </c>
      <c r="E3272" s="538" t="n">
        <v>28.3</v>
      </c>
    </row>
    <row r="3273">
      <c r="A3273" s="544" t="n">
        <v>33791</v>
      </c>
      <c r="B3273" s="538" t="n">
        <v>20.45</v>
      </c>
      <c r="C3273" s="538" t="n">
        <v>21.87</v>
      </c>
      <c r="D3273" s="538" t="n">
        <v>18.5</v>
      </c>
      <c r="E3273" s="538" t="n">
        <v>28.3</v>
      </c>
    </row>
    <row r="3274">
      <c r="A3274" s="544" t="n">
        <v>33792</v>
      </c>
      <c r="B3274" s="538" t="n">
        <v>19.8</v>
      </c>
      <c r="C3274" s="538" t="n">
        <v>21.51</v>
      </c>
      <c r="D3274" s="538" t="n">
        <v>18.25</v>
      </c>
      <c r="E3274" s="538" t="n">
        <v>28.1</v>
      </c>
    </row>
    <row r="3275">
      <c r="A3275" s="544" t="n">
        <v>33793</v>
      </c>
      <c r="B3275" s="538" t="n">
        <v>19.7</v>
      </c>
      <c r="C3275" s="538" t="n">
        <v>21.38</v>
      </c>
      <c r="D3275" s="538" t="n">
        <v>18.25</v>
      </c>
      <c r="E3275" s="538" t="n">
        <v>27.9</v>
      </c>
    </row>
    <row r="3276">
      <c r="A3276" s="544" t="n">
        <v>33794</v>
      </c>
      <c r="B3276" s="538" t="n">
        <v>19.78</v>
      </c>
      <c r="C3276" s="538" t="n">
        <v>21.38</v>
      </c>
      <c r="D3276" s="538" t="n">
        <v>18.45</v>
      </c>
      <c r="E3276" s="538" t="n">
        <v>27.65</v>
      </c>
    </row>
    <row r="3277">
      <c r="A3277" s="544" t="n">
        <v>33795</v>
      </c>
      <c r="B3277" s="538" t="n">
        <v>20</v>
      </c>
      <c r="C3277" s="538" t="n">
        <v>21.25</v>
      </c>
      <c r="D3277" s="538" t="n">
        <v>18.3</v>
      </c>
      <c r="E3277" s="538" t="n">
        <v>27.65</v>
      </c>
    </row>
    <row r="3278">
      <c r="A3278" s="544" t="n">
        <v>33798</v>
      </c>
      <c r="B3278" s="538" t="n">
        <v>19.83</v>
      </c>
      <c r="C3278" s="538" t="n">
        <v>21.38</v>
      </c>
      <c r="D3278" s="538" t="n">
        <v>18.35</v>
      </c>
      <c r="E3278" s="538" t="n">
        <v>27.65</v>
      </c>
    </row>
    <row r="3279">
      <c r="A3279" s="544" t="n">
        <v>33799</v>
      </c>
      <c r="B3279" s="538" t="n">
        <v>19.98</v>
      </c>
      <c r="C3279" s="538" t="n">
        <v>21.42</v>
      </c>
      <c r="D3279" s="538" t="n">
        <v>18.35</v>
      </c>
      <c r="E3279" s="538" t="n">
        <v>27.35</v>
      </c>
    </row>
    <row r="3280">
      <c r="A3280" s="544" t="n">
        <v>33800</v>
      </c>
      <c r="B3280" s="538" t="n">
        <v>19.85</v>
      </c>
      <c r="C3280" s="538" t="n">
        <v>21.73</v>
      </c>
      <c r="D3280" s="538" t="n">
        <v>18.6</v>
      </c>
      <c r="E3280" s="538" t="n">
        <v>27.35</v>
      </c>
    </row>
    <row r="3281">
      <c r="A3281" s="544" t="n">
        <v>33801</v>
      </c>
      <c r="B3281" s="538" t="n">
        <v>20.23</v>
      </c>
      <c r="C3281" s="538" t="n">
        <v>21.8</v>
      </c>
      <c r="D3281" s="538" t="n">
        <v>18.75</v>
      </c>
      <c r="E3281" s="538" t="n">
        <v>27.35</v>
      </c>
    </row>
    <row r="3282">
      <c r="A3282" s="544" t="n">
        <v>33802</v>
      </c>
      <c r="B3282" s="538" t="n">
        <v>20.2</v>
      </c>
      <c r="C3282" s="538" t="n">
        <v>21.56</v>
      </c>
      <c r="D3282" s="538" t="n">
        <v>18.45</v>
      </c>
      <c r="E3282" s="538" t="n">
        <v>27.35</v>
      </c>
    </row>
    <row r="3283">
      <c r="A3283" s="544" t="n">
        <v>33805</v>
      </c>
      <c r="B3283" s="538" t="n">
        <v>19.95</v>
      </c>
      <c r="C3283" s="538" t="n">
        <v>21.78</v>
      </c>
      <c r="D3283" s="538" t="n">
        <v>18.58</v>
      </c>
      <c r="E3283" s="538" t="n">
        <v>27.25</v>
      </c>
    </row>
    <row r="3284">
      <c r="A3284" s="544" t="n">
        <v>33806</v>
      </c>
      <c r="B3284" s="538" t="n">
        <v>20.03</v>
      </c>
      <c r="C3284" s="538" t="n">
        <v>21.91</v>
      </c>
      <c r="D3284" s="538" t="n">
        <v>18.6</v>
      </c>
      <c r="E3284" s="538" t="n">
        <v>27.1</v>
      </c>
    </row>
    <row r="3285">
      <c r="A3285" s="544" t="n">
        <v>33807</v>
      </c>
      <c r="B3285" s="538" t="n">
        <v>20.23</v>
      </c>
      <c r="C3285" s="538" t="n">
        <v>21.99</v>
      </c>
      <c r="D3285" s="538" t="n">
        <v>18.55</v>
      </c>
      <c r="E3285" s="538" t="n">
        <v>26.9</v>
      </c>
    </row>
    <row r="3286">
      <c r="A3286" s="544" t="n">
        <v>33808</v>
      </c>
      <c r="B3286" s="538" t="n">
        <v>20.48</v>
      </c>
      <c r="C3286" s="538" t="n">
        <v>22.11</v>
      </c>
      <c r="D3286" s="538" t="n">
        <v>18.5</v>
      </c>
      <c r="E3286" s="538" t="n">
        <v>26.8</v>
      </c>
    </row>
    <row r="3287">
      <c r="A3287" s="544" t="n">
        <v>33809</v>
      </c>
      <c r="B3287" s="538" t="n">
        <v>20.6</v>
      </c>
      <c r="C3287" s="538" t="n">
        <v>21.95</v>
      </c>
      <c r="D3287" s="538" t="n">
        <v>18.45</v>
      </c>
      <c r="E3287" s="538" t="n">
        <v>26.8</v>
      </c>
    </row>
    <row r="3288">
      <c r="A3288" s="544" t="n">
        <v>33812</v>
      </c>
      <c r="B3288" s="538" t="n">
        <v>20.58</v>
      </c>
      <c r="C3288" s="538" t="n">
        <v>22.09</v>
      </c>
      <c r="D3288" s="538" t="n">
        <v>18.58</v>
      </c>
      <c r="E3288" s="538" t="n">
        <v>26.8</v>
      </c>
    </row>
    <row r="3289">
      <c r="A3289" s="544" t="n">
        <v>33813</v>
      </c>
      <c r="B3289" s="538" t="n">
        <v>20.78</v>
      </c>
      <c r="C3289" s="538" t="n">
        <v>22.03</v>
      </c>
      <c r="D3289" s="538" t="n">
        <v>18.6</v>
      </c>
      <c r="E3289" s="538" t="n">
        <v>26.8</v>
      </c>
    </row>
    <row r="3290">
      <c r="A3290" s="544" t="n">
        <v>33814</v>
      </c>
      <c r="B3290" s="538" t="n">
        <v>20.68</v>
      </c>
      <c r="C3290" s="538" t="n">
        <v>21.98</v>
      </c>
      <c r="D3290" s="538" t="n">
        <v>18.42</v>
      </c>
      <c r="E3290" s="538" t="n">
        <v>26.7</v>
      </c>
    </row>
    <row r="3291">
      <c r="A3291" s="544" t="n">
        <v>33815</v>
      </c>
      <c r="B3291" s="538" t="n">
        <v>20.48</v>
      </c>
      <c r="C3291" s="538" t="n">
        <v>21.82</v>
      </c>
      <c r="D3291" s="538" t="n">
        <v>18.28</v>
      </c>
      <c r="E3291" s="538" t="n">
        <v>26.7</v>
      </c>
    </row>
    <row r="3292">
      <c r="A3292" s="544" t="n">
        <v>33816</v>
      </c>
      <c r="B3292" s="538" t="n">
        <v>20.38</v>
      </c>
      <c r="C3292" s="538" t="n">
        <v>21.83</v>
      </c>
      <c r="D3292" s="538" t="n">
        <v>18.33</v>
      </c>
      <c r="E3292" s="538" t="n">
        <v>26.6</v>
      </c>
    </row>
    <row r="3293">
      <c r="A3293" s="544" t="n">
        <v>33819</v>
      </c>
      <c r="B3293" s="538" t="n">
        <v>20.33</v>
      </c>
      <c r="C3293" s="538" t="n">
        <v>21.6</v>
      </c>
      <c r="D3293" s="538" t="n">
        <v>17.98</v>
      </c>
      <c r="E3293" s="538" t="n">
        <v>26.6</v>
      </c>
    </row>
    <row r="3294">
      <c r="A3294" s="544" t="n">
        <v>33820</v>
      </c>
      <c r="B3294" s="538" t="n">
        <v>19.85</v>
      </c>
      <c r="C3294" s="538" t="n">
        <v>21.23</v>
      </c>
      <c r="D3294" s="538" t="n">
        <v>17.65</v>
      </c>
      <c r="E3294" s="538" t="n">
        <v>26.25</v>
      </c>
    </row>
    <row r="3295">
      <c r="A3295" s="544" t="n">
        <v>33821</v>
      </c>
      <c r="B3295" s="538" t="n">
        <v>19.68</v>
      </c>
      <c r="C3295" s="538" t="n">
        <v>21.18</v>
      </c>
      <c r="D3295" s="538" t="n">
        <v>17.67</v>
      </c>
      <c r="E3295" s="538" t="n">
        <v>26.2</v>
      </c>
    </row>
    <row r="3296">
      <c r="A3296" s="544" t="n">
        <v>33822</v>
      </c>
      <c r="B3296" s="538" t="n">
        <v>19.78</v>
      </c>
      <c r="C3296" s="538" t="n">
        <v>21.41</v>
      </c>
      <c r="D3296" s="538" t="n">
        <v>17.88</v>
      </c>
      <c r="E3296" s="538" t="n">
        <v>26.2</v>
      </c>
    </row>
    <row r="3297">
      <c r="A3297" s="544" t="n">
        <v>33823</v>
      </c>
      <c r="B3297" s="538" t="n">
        <v>19.75</v>
      </c>
      <c r="C3297" s="538" t="n">
        <v>21.27</v>
      </c>
      <c r="D3297" s="538" t="n">
        <v>17.85</v>
      </c>
      <c r="E3297" s="538" t="n">
        <v>26.2</v>
      </c>
    </row>
    <row r="3298">
      <c r="A3298" s="544" t="n">
        <v>33826</v>
      </c>
      <c r="B3298" s="538" t="n">
        <v>19.55</v>
      </c>
      <c r="C3298" s="538" t="n">
        <v>21.12</v>
      </c>
      <c r="D3298" s="538" t="n">
        <v>17.73</v>
      </c>
      <c r="E3298" s="538" t="n">
        <v>26.2</v>
      </c>
    </row>
    <row r="3299">
      <c r="A3299" s="544" t="n">
        <v>33827</v>
      </c>
      <c r="B3299" s="538" t="n">
        <v>19.48</v>
      </c>
      <c r="C3299" s="538" t="n">
        <v>21</v>
      </c>
      <c r="D3299" s="538" t="n">
        <v>17.58</v>
      </c>
      <c r="E3299" s="538" t="n">
        <v>26.2</v>
      </c>
    </row>
    <row r="3300">
      <c r="A3300" s="544" t="n">
        <v>33828</v>
      </c>
      <c r="B3300" s="538" t="n">
        <v>19.65</v>
      </c>
      <c r="C3300" s="538" t="n">
        <v>21.13</v>
      </c>
      <c r="D3300" s="538" t="n">
        <v>17.65</v>
      </c>
      <c r="E3300" s="538" t="n">
        <v>26</v>
      </c>
    </row>
    <row r="3301">
      <c r="A3301" s="544" t="n">
        <v>33829</v>
      </c>
      <c r="B3301" s="538" t="n">
        <v>19.83</v>
      </c>
      <c r="C3301" s="538" t="n">
        <v>21.35</v>
      </c>
      <c r="D3301" s="538" t="n">
        <v>17.95</v>
      </c>
      <c r="E3301" s="538" t="n">
        <v>26</v>
      </c>
    </row>
    <row r="3302">
      <c r="A3302" s="544" t="n">
        <v>33830</v>
      </c>
      <c r="B3302" s="538" t="n">
        <v>19.88</v>
      </c>
      <c r="C3302" s="538" t="n">
        <v>21.31</v>
      </c>
      <c r="D3302" s="538" t="n">
        <v>17.83</v>
      </c>
      <c r="E3302" s="538" t="n">
        <v>26</v>
      </c>
    </row>
    <row r="3303">
      <c r="A3303" s="544" t="n">
        <v>33833</v>
      </c>
      <c r="B3303" s="538" t="n">
        <v>19.95</v>
      </c>
      <c r="C3303" s="538" t="n">
        <v>21.47</v>
      </c>
      <c r="D3303" s="538" t="n">
        <v>17.85</v>
      </c>
      <c r="E3303" s="538" t="n">
        <v>26</v>
      </c>
    </row>
    <row r="3304">
      <c r="A3304" s="544" t="n">
        <v>33834</v>
      </c>
      <c r="B3304" s="538" t="n">
        <v>19.9</v>
      </c>
      <c r="C3304" s="538" t="n">
        <v>21.54</v>
      </c>
      <c r="D3304" s="538" t="n">
        <v>17.92</v>
      </c>
      <c r="E3304" s="538" t="n">
        <v>26.2</v>
      </c>
    </row>
    <row r="3305">
      <c r="A3305" s="544" t="n">
        <v>33835</v>
      </c>
      <c r="B3305" s="538" t="n">
        <v>19.8</v>
      </c>
      <c r="C3305" s="538" t="n">
        <v>21.33</v>
      </c>
      <c r="D3305" s="538" t="n">
        <v>17.85</v>
      </c>
      <c r="E3305" s="538" t="n">
        <v>26.1</v>
      </c>
    </row>
    <row r="3306">
      <c r="A3306" s="544" t="n">
        <v>33836</v>
      </c>
      <c r="B3306" s="538" t="n">
        <v>19.63</v>
      </c>
      <c r="C3306" s="538" t="n">
        <v>21.4</v>
      </c>
      <c r="D3306" s="538" t="n">
        <v>17.8</v>
      </c>
      <c r="E3306" s="538" t="n">
        <v>26</v>
      </c>
    </row>
    <row r="3307">
      <c r="A3307" s="544" t="n">
        <v>33837</v>
      </c>
      <c r="B3307" s="538" t="n">
        <v>19.68</v>
      </c>
      <c r="C3307" s="538" t="n">
        <v>21.19</v>
      </c>
      <c r="D3307" s="538" t="n">
        <v>17.85</v>
      </c>
      <c r="E3307" s="538" t="n">
        <v>26.05</v>
      </c>
    </row>
    <row r="3308">
      <c r="A3308" s="544" t="n">
        <v>33840</v>
      </c>
      <c r="B3308" s="538" t="n">
        <v>19.65</v>
      </c>
      <c r="C3308" s="538" t="n">
        <v>21.85</v>
      </c>
      <c r="D3308" s="538" t="n">
        <v>18.15</v>
      </c>
      <c r="E3308" s="538" t="n">
        <v>26.05</v>
      </c>
    </row>
    <row r="3309">
      <c r="A3309" s="544" t="n">
        <v>33841</v>
      </c>
      <c r="B3309" s="538" t="n">
        <v>19.68</v>
      </c>
      <c r="C3309" s="538" t="n">
        <v>21.6</v>
      </c>
      <c r="D3309" s="538" t="n">
        <v>17.95</v>
      </c>
      <c r="E3309" s="538" t="n">
        <v>26.05</v>
      </c>
    </row>
    <row r="3310">
      <c r="A3310" s="544" t="n">
        <v>33842</v>
      </c>
      <c r="B3310" s="538" t="n">
        <v>19.63</v>
      </c>
      <c r="C3310" s="538" t="n">
        <v>21.24</v>
      </c>
      <c r="D3310" s="538" t="n">
        <v>17.92</v>
      </c>
      <c r="E3310" s="538" t="n">
        <v>26.05</v>
      </c>
    </row>
    <row r="3311">
      <c r="A3311" s="544" t="n">
        <v>33843</v>
      </c>
      <c r="B3311" s="538" t="n">
        <v>19.5</v>
      </c>
      <c r="C3311" s="538" t="n">
        <v>21.14</v>
      </c>
      <c r="D3311" s="538" t="n">
        <v>17.7</v>
      </c>
      <c r="E3311" s="538" t="n">
        <v>26.05</v>
      </c>
    </row>
    <row r="3312">
      <c r="A3312" s="544" t="n">
        <v>33844</v>
      </c>
      <c r="B3312" s="538" t="n">
        <v>19.65</v>
      </c>
      <c r="C3312" s="538" t="n">
        <v>21.3</v>
      </c>
      <c r="D3312" s="538" t="n">
        <v>17.88</v>
      </c>
      <c r="E3312" s="538" t="n">
        <v>26.2</v>
      </c>
    </row>
    <row r="3313">
      <c r="A3313" s="544" t="n">
        <v>33847</v>
      </c>
      <c r="B3313" s="538" t="n">
        <v>19.65</v>
      </c>
      <c r="C3313" s="538" t="n">
        <v>21.46</v>
      </c>
      <c r="D3313" s="538" t="n">
        <v>17.98</v>
      </c>
      <c r="E3313" s="538" t="n">
        <v>26.2</v>
      </c>
    </row>
    <row r="3314">
      <c r="A3314" s="544" t="n">
        <v>33848</v>
      </c>
      <c r="B3314" s="538" t="n">
        <v>19.88</v>
      </c>
      <c r="C3314" s="538" t="n">
        <v>21.72</v>
      </c>
      <c r="D3314" s="538" t="n">
        <v>18.1</v>
      </c>
      <c r="E3314" s="538" t="n">
        <v>26.2</v>
      </c>
    </row>
    <row r="3315">
      <c r="A3315" s="544" t="n">
        <v>33849</v>
      </c>
      <c r="B3315" s="538" t="n">
        <v>20</v>
      </c>
      <c r="C3315" s="538" t="n">
        <v>21.65</v>
      </c>
      <c r="D3315" s="538" t="n">
        <v>18.03</v>
      </c>
      <c r="E3315" s="538" t="n">
        <v>26.2</v>
      </c>
    </row>
    <row r="3316">
      <c r="A3316" s="544" t="n">
        <v>33850</v>
      </c>
      <c r="B3316" s="538" t="n">
        <v>19.95</v>
      </c>
      <c r="C3316" s="538" t="n">
        <v>21.69</v>
      </c>
      <c r="D3316" s="538" t="n">
        <v>17.98</v>
      </c>
      <c r="E3316" s="538" t="n">
        <v>26.2</v>
      </c>
    </row>
    <row r="3317">
      <c r="A3317" s="544" t="n">
        <v>33851</v>
      </c>
      <c r="B3317" s="538" t="n">
        <v>20.03</v>
      </c>
      <c r="C3317" s="538" t="n">
        <v>21.77</v>
      </c>
      <c r="D3317" s="538" t="n">
        <v>18.08</v>
      </c>
      <c r="E3317" s="538" t="n">
        <v>26.3</v>
      </c>
    </row>
    <row r="3318">
      <c r="A3318" s="544" t="n">
        <v>33854</v>
      </c>
      <c r="B3318" s="538" t="n">
        <v>20.13</v>
      </c>
      <c r="C3318" s="538" t="n">
        <v>21.77</v>
      </c>
      <c r="D3318" s="538" t="n">
        <v>18.08</v>
      </c>
      <c r="E3318" s="538" t="n">
        <v>26.3</v>
      </c>
    </row>
    <row r="3319">
      <c r="A3319" s="544" t="n">
        <v>33855</v>
      </c>
      <c r="B3319" s="538" t="n">
        <v>20.3</v>
      </c>
      <c r="C3319" s="538" t="n">
        <v>21.98</v>
      </c>
      <c r="D3319" s="538" t="n">
        <v>18.28</v>
      </c>
      <c r="E3319" s="538" t="n">
        <v>26.3</v>
      </c>
    </row>
    <row r="3320">
      <c r="A3320" s="544" t="n">
        <v>33856</v>
      </c>
      <c r="B3320" s="538" t="n">
        <v>20.33</v>
      </c>
      <c r="C3320" s="538" t="n">
        <v>22</v>
      </c>
      <c r="D3320" s="538" t="n">
        <v>18.3</v>
      </c>
      <c r="E3320" s="538" t="n">
        <v>26.3</v>
      </c>
    </row>
    <row r="3321">
      <c r="A3321" s="544" t="n">
        <v>33857</v>
      </c>
      <c r="B3321" s="538" t="n">
        <v>20.3</v>
      </c>
      <c r="C3321" s="538" t="n">
        <v>21.93</v>
      </c>
      <c r="D3321" s="538" t="n">
        <v>18.38</v>
      </c>
      <c r="E3321" s="538" t="n">
        <v>26.45</v>
      </c>
    </row>
    <row r="3322">
      <c r="A3322" s="544" t="n">
        <v>33858</v>
      </c>
      <c r="B3322" s="538" t="n">
        <v>20.35</v>
      </c>
      <c r="C3322" s="538" t="n">
        <v>22</v>
      </c>
      <c r="D3322" s="538" t="n">
        <v>18.42</v>
      </c>
      <c r="E3322" s="538" t="n">
        <v>26.55</v>
      </c>
    </row>
    <row r="3323">
      <c r="A3323" s="544" t="n">
        <v>33861</v>
      </c>
      <c r="B3323" s="538" t="n">
        <v>20.68</v>
      </c>
      <c r="C3323" s="538" t="n">
        <v>22.35</v>
      </c>
      <c r="D3323" s="538" t="n">
        <v>18.73</v>
      </c>
      <c r="E3323" s="538" t="n">
        <v>26.55</v>
      </c>
    </row>
    <row r="3324">
      <c r="A3324" s="544" t="n">
        <v>33862</v>
      </c>
      <c r="B3324" s="538" t="n">
        <v>20.5</v>
      </c>
      <c r="C3324" s="538" t="n">
        <v>22.13</v>
      </c>
      <c r="D3324" s="538" t="n">
        <v>18.63</v>
      </c>
      <c r="E3324" s="538" t="n">
        <v>26.75</v>
      </c>
    </row>
    <row r="3325">
      <c r="A3325" s="544" t="n">
        <v>33863</v>
      </c>
      <c r="B3325" s="538" t="n">
        <v>20.43</v>
      </c>
      <c r="C3325" s="538" t="n">
        <v>22.39</v>
      </c>
      <c r="D3325" s="538" t="n">
        <v>18.78</v>
      </c>
      <c r="E3325" s="538" t="n">
        <v>26.75</v>
      </c>
    </row>
    <row r="3326">
      <c r="A3326" s="544" t="n">
        <v>33864</v>
      </c>
      <c r="B3326" s="538" t="n">
        <v>20.35</v>
      </c>
      <c r="C3326" s="538" t="n">
        <v>22.23</v>
      </c>
      <c r="D3326" s="538" t="n">
        <v>18.6</v>
      </c>
      <c r="E3326" s="538" t="n">
        <v>26.75</v>
      </c>
    </row>
    <row r="3327">
      <c r="A3327" s="544" t="n">
        <v>33865</v>
      </c>
      <c r="B3327" s="538" t="n">
        <v>20.3</v>
      </c>
      <c r="C3327" s="538" t="n">
        <v>21.96</v>
      </c>
      <c r="D3327" s="538" t="n">
        <v>18.5</v>
      </c>
      <c r="E3327" s="538" t="n">
        <v>26.75</v>
      </c>
    </row>
    <row r="3328">
      <c r="A3328" s="544" t="n">
        <v>33868</v>
      </c>
      <c r="B3328" s="538" t="n">
        <v>20.15</v>
      </c>
      <c r="C3328" s="538" t="n">
        <v>21.91</v>
      </c>
      <c r="D3328" s="538" t="n">
        <v>18.4</v>
      </c>
      <c r="E3328" s="538" t="n">
        <v>26.9</v>
      </c>
    </row>
    <row r="3329">
      <c r="A3329" s="544" t="n">
        <v>33869</v>
      </c>
      <c r="B3329" s="538" t="n">
        <v>20.33</v>
      </c>
      <c r="C3329" s="538" t="n">
        <v>21.78</v>
      </c>
      <c r="D3329" s="538" t="n">
        <v>18.63</v>
      </c>
      <c r="E3329" s="538" t="n">
        <v>27.1</v>
      </c>
    </row>
    <row r="3330">
      <c r="A3330" s="544" t="n">
        <v>33870</v>
      </c>
      <c r="B3330" s="538" t="n">
        <v>20.53</v>
      </c>
      <c r="C3330" s="538" t="n">
        <v>21.78</v>
      </c>
      <c r="D3330" s="538" t="n">
        <v>18.85</v>
      </c>
      <c r="E3330" s="538" t="n">
        <v>27.2</v>
      </c>
    </row>
    <row r="3331">
      <c r="A3331" s="544" t="n">
        <v>33871</v>
      </c>
      <c r="B3331" s="538" t="n">
        <v>20.43</v>
      </c>
      <c r="C3331" s="538" t="n">
        <v>21.57</v>
      </c>
      <c r="D3331" s="538" t="n">
        <v>18.53</v>
      </c>
      <c r="E3331" s="538" t="n">
        <v>27.4</v>
      </c>
    </row>
    <row r="3332">
      <c r="A3332" s="544" t="n">
        <v>33872</v>
      </c>
      <c r="B3332" s="538" t="n">
        <v>20.33</v>
      </c>
      <c r="C3332" s="538" t="n">
        <v>21.51</v>
      </c>
      <c r="D3332" s="538" t="n">
        <v>18.45</v>
      </c>
      <c r="E3332" s="538" t="n">
        <v>27.4</v>
      </c>
    </row>
    <row r="3333">
      <c r="A3333" s="544" t="n">
        <v>33875</v>
      </c>
      <c r="B3333" s="538" t="n">
        <v>20.28</v>
      </c>
      <c r="C3333" s="538" t="n">
        <v>21.78</v>
      </c>
      <c r="D3333" s="538" t="n">
        <v>18.58</v>
      </c>
      <c r="E3333" s="538" t="n">
        <v>27.5</v>
      </c>
    </row>
    <row r="3334">
      <c r="A3334" s="544" t="n">
        <v>33876</v>
      </c>
      <c r="B3334" s="538" t="n">
        <v>20.18</v>
      </c>
      <c r="C3334" s="538" t="n">
        <v>21.66</v>
      </c>
      <c r="D3334" s="538" t="n">
        <v>18.42</v>
      </c>
      <c r="E3334" s="538" t="n">
        <v>27.5</v>
      </c>
    </row>
    <row r="3335">
      <c r="A3335" s="544" t="n">
        <v>33877</v>
      </c>
      <c r="B3335" s="538" t="n">
        <v>20.18</v>
      </c>
      <c r="C3335" s="538" t="n">
        <v>21.83</v>
      </c>
      <c r="D3335" s="538" t="n">
        <v>18.45</v>
      </c>
      <c r="E3335" s="538" t="n">
        <v>27.6</v>
      </c>
    </row>
    <row r="3336">
      <c r="A3336" s="544" t="n">
        <v>33878</v>
      </c>
      <c r="B3336" s="538" t="n">
        <v>20.28</v>
      </c>
      <c r="C3336" s="538" t="n">
        <v>21.83</v>
      </c>
      <c r="D3336" s="538" t="n">
        <v>18.33</v>
      </c>
      <c r="E3336" s="538" t="n">
        <v>27.6</v>
      </c>
    </row>
    <row r="3337">
      <c r="A3337" s="544" t="n">
        <v>33879</v>
      </c>
      <c r="B3337" s="538" t="n">
        <v>20.4</v>
      </c>
      <c r="C3337" s="538" t="n">
        <v>21.93</v>
      </c>
      <c r="D3337" s="538" t="n">
        <v>18.23</v>
      </c>
      <c r="E3337" s="538" t="n">
        <v>27.8</v>
      </c>
    </row>
    <row r="3338">
      <c r="A3338" s="544" t="n">
        <v>33882</v>
      </c>
      <c r="B3338" s="538" t="n">
        <v>20.2</v>
      </c>
      <c r="C3338" s="538" t="n">
        <v>21.76</v>
      </c>
      <c r="D3338" s="538" t="n">
        <v>18.17</v>
      </c>
      <c r="E3338" s="538" t="n">
        <v>27.8</v>
      </c>
    </row>
    <row r="3339">
      <c r="A3339" s="544" t="n">
        <v>33883</v>
      </c>
      <c r="B3339" s="538" t="n">
        <v>20.23</v>
      </c>
      <c r="C3339" s="538" t="n">
        <v>21.85</v>
      </c>
      <c r="D3339" s="538" t="n">
        <v>18.17</v>
      </c>
      <c r="E3339" s="538" t="n">
        <v>27.8</v>
      </c>
    </row>
    <row r="3340">
      <c r="A3340" s="544" t="n">
        <v>33884</v>
      </c>
      <c r="B3340" s="538" t="n">
        <v>20.28</v>
      </c>
      <c r="C3340" s="538" t="n">
        <v>21.89</v>
      </c>
      <c r="D3340" s="538" t="n">
        <v>18.28</v>
      </c>
      <c r="E3340" s="538" t="n">
        <v>27.8</v>
      </c>
    </row>
    <row r="3341">
      <c r="A3341" s="544" t="n">
        <v>33885</v>
      </c>
      <c r="B3341" s="538" t="n">
        <v>20.48</v>
      </c>
      <c r="C3341" s="538" t="n">
        <v>21.99</v>
      </c>
      <c r="D3341" s="538" t="n">
        <v>18.38</v>
      </c>
      <c r="E3341" s="538" t="n">
        <v>27.8</v>
      </c>
    </row>
    <row r="3342">
      <c r="A3342" s="544" t="n">
        <v>33886</v>
      </c>
      <c r="B3342" s="538" t="n">
        <v>20.48</v>
      </c>
      <c r="C3342" s="538" t="n">
        <v>21.99</v>
      </c>
      <c r="D3342" s="538" t="n">
        <v>18.38</v>
      </c>
      <c r="E3342" s="538" t="n">
        <v>27.8</v>
      </c>
    </row>
    <row r="3343">
      <c r="A3343" s="544" t="n">
        <v>33889</v>
      </c>
      <c r="B3343" s="538" t="n">
        <v>20.8</v>
      </c>
      <c r="C3343" s="538" t="n">
        <v>22.28</v>
      </c>
      <c r="D3343" s="538" t="n">
        <v>18.67</v>
      </c>
      <c r="E3343" s="538" t="n">
        <v>27.9</v>
      </c>
    </row>
    <row r="3344">
      <c r="A3344" s="544" t="n">
        <v>33890</v>
      </c>
      <c r="B3344" s="538" t="n">
        <v>20.83</v>
      </c>
      <c r="C3344" s="538" t="n">
        <v>22.12</v>
      </c>
      <c r="D3344" s="538" t="n">
        <v>18.63</v>
      </c>
      <c r="E3344" s="538" t="n">
        <v>27.9</v>
      </c>
    </row>
    <row r="3345">
      <c r="A3345" s="544" t="n">
        <v>33891</v>
      </c>
      <c r="B3345" s="538" t="n">
        <v>20.68</v>
      </c>
      <c r="C3345" s="538" t="n">
        <v>22.16</v>
      </c>
      <c r="D3345" s="538" t="n">
        <v>18.58</v>
      </c>
      <c r="E3345" s="538" t="n">
        <v>28</v>
      </c>
    </row>
    <row r="3346">
      <c r="A3346" s="544" t="n">
        <v>33892</v>
      </c>
      <c r="B3346" s="538" t="n">
        <v>20.73</v>
      </c>
      <c r="C3346" s="538" t="n">
        <v>22.37</v>
      </c>
      <c r="D3346" s="538" t="n">
        <v>18.63</v>
      </c>
      <c r="E3346" s="538" t="n">
        <v>28</v>
      </c>
    </row>
    <row r="3347">
      <c r="A3347" s="544" t="n">
        <v>33893</v>
      </c>
      <c r="B3347" s="538" t="n">
        <v>20.78</v>
      </c>
      <c r="C3347" s="538" t="n">
        <v>22.31</v>
      </c>
      <c r="D3347" s="538" t="n">
        <v>18.58</v>
      </c>
      <c r="E3347" s="538" t="n">
        <v>28.1</v>
      </c>
    </row>
    <row r="3348">
      <c r="A3348" s="544" t="n">
        <v>33896</v>
      </c>
      <c r="B3348" s="538" t="n">
        <v>20.73</v>
      </c>
      <c r="C3348" s="538" t="n">
        <v>22.18</v>
      </c>
      <c r="D3348" s="538" t="n">
        <v>18.6</v>
      </c>
      <c r="E3348" s="538" t="n">
        <v>28.2</v>
      </c>
    </row>
    <row r="3349">
      <c r="A3349" s="544" t="n">
        <v>33897</v>
      </c>
      <c r="B3349" s="538" t="n">
        <v>20.68</v>
      </c>
      <c r="C3349" s="538" t="n">
        <v>21.88</v>
      </c>
      <c r="D3349" s="538" t="n">
        <v>18.42</v>
      </c>
      <c r="E3349" s="538" t="n">
        <v>28.2</v>
      </c>
    </row>
    <row r="3350">
      <c r="A3350" s="544" t="n">
        <v>33898</v>
      </c>
      <c r="B3350" s="538" t="n">
        <v>20.28</v>
      </c>
      <c r="C3350" s="538" t="n">
        <v>21.49</v>
      </c>
      <c r="D3350" s="538" t="n">
        <v>18.08</v>
      </c>
      <c r="E3350" s="538" t="n">
        <v>28.2</v>
      </c>
    </row>
    <row r="3351">
      <c r="A3351" s="544" t="n">
        <v>33899</v>
      </c>
      <c r="B3351" s="538" t="n">
        <v>20.13</v>
      </c>
      <c r="C3351" s="538" t="n">
        <v>21.22</v>
      </c>
      <c r="D3351" s="538" t="n">
        <v>17.75</v>
      </c>
      <c r="E3351" s="538" t="n">
        <v>28</v>
      </c>
    </row>
    <row r="3352">
      <c r="A3352" s="544" t="n">
        <v>33900</v>
      </c>
      <c r="B3352" s="538" t="n">
        <v>20.03</v>
      </c>
      <c r="C3352" s="538" t="n">
        <v>21.11</v>
      </c>
      <c r="D3352" s="538" t="n">
        <v>17.65</v>
      </c>
      <c r="E3352" s="538" t="n">
        <v>27.8</v>
      </c>
    </row>
    <row r="3353">
      <c r="A3353" s="544" t="n">
        <v>33903</v>
      </c>
      <c r="B3353" s="538" t="n">
        <v>19.78</v>
      </c>
      <c r="C3353" s="538" t="n">
        <v>21.14</v>
      </c>
      <c r="D3353" s="538" t="n">
        <v>17.7</v>
      </c>
      <c r="E3353" s="538" t="n">
        <v>27.8</v>
      </c>
    </row>
    <row r="3354">
      <c r="A3354" s="544" t="n">
        <v>33904</v>
      </c>
      <c r="B3354" s="538" t="n">
        <v>19.78</v>
      </c>
      <c r="C3354" s="538" t="n">
        <v>21.03</v>
      </c>
      <c r="D3354" s="538" t="n">
        <v>17.7</v>
      </c>
      <c r="E3354" s="538" t="n">
        <v>27.8</v>
      </c>
    </row>
    <row r="3355">
      <c r="A3355" s="544" t="n">
        <v>33905</v>
      </c>
      <c r="B3355" s="538" t="n">
        <v>19.65</v>
      </c>
      <c r="C3355" s="538" t="n">
        <v>21.17</v>
      </c>
      <c r="D3355" s="538" t="n">
        <v>17.65</v>
      </c>
      <c r="E3355" s="538" t="n">
        <v>27.35</v>
      </c>
    </row>
    <row r="3356">
      <c r="A3356" s="544" t="n">
        <v>33906</v>
      </c>
      <c r="B3356" s="538" t="n">
        <v>19.4</v>
      </c>
      <c r="C3356" s="538" t="n">
        <v>20.71</v>
      </c>
      <c r="D3356" s="538" t="n">
        <v>17.35</v>
      </c>
      <c r="E3356" s="538" t="n">
        <v>27.25</v>
      </c>
    </row>
    <row r="3357">
      <c r="A3357" s="544" t="n">
        <v>33907</v>
      </c>
      <c r="B3357" s="538" t="n">
        <v>19.13</v>
      </c>
      <c r="C3357" s="538" t="n">
        <v>20.68</v>
      </c>
      <c r="D3357" s="538" t="n">
        <v>17.28</v>
      </c>
      <c r="E3357" s="538" t="n">
        <v>26.75</v>
      </c>
    </row>
    <row r="3358">
      <c r="A3358" s="544" t="n">
        <v>33910</v>
      </c>
      <c r="B3358" s="538" t="n">
        <v>19.25</v>
      </c>
      <c r="C3358" s="538" t="n">
        <v>20.77</v>
      </c>
      <c r="D3358" s="538" t="n">
        <v>17.42</v>
      </c>
      <c r="E3358" s="538" t="n">
        <v>26.75</v>
      </c>
    </row>
    <row r="3359">
      <c r="A3359" s="544" t="n">
        <v>33911</v>
      </c>
      <c r="B3359" s="538" t="n">
        <v>19.35</v>
      </c>
      <c r="C3359" s="538" t="n">
        <v>20.6</v>
      </c>
      <c r="D3359" s="538" t="n">
        <v>17.33</v>
      </c>
      <c r="E3359" s="538" t="n">
        <v>26.75</v>
      </c>
    </row>
    <row r="3360">
      <c r="A3360" s="544" t="n">
        <v>33912</v>
      </c>
      <c r="B3360" s="538" t="n">
        <v>19.03</v>
      </c>
      <c r="C3360" s="538" t="n">
        <v>20.33</v>
      </c>
      <c r="D3360" s="538" t="n">
        <v>17.17</v>
      </c>
      <c r="E3360" s="538" t="n">
        <v>26.45</v>
      </c>
    </row>
    <row r="3361">
      <c r="A3361" s="544" t="n">
        <v>33913</v>
      </c>
      <c r="B3361" s="538" t="n">
        <v>19.2</v>
      </c>
      <c r="C3361" s="538" t="n">
        <v>20.62</v>
      </c>
      <c r="D3361" s="538" t="n">
        <v>17.42</v>
      </c>
      <c r="E3361" s="538" t="n">
        <v>26.45</v>
      </c>
    </row>
    <row r="3362">
      <c r="A3362" s="544" t="n">
        <v>33914</v>
      </c>
      <c r="B3362" s="538" t="n">
        <v>19.13</v>
      </c>
      <c r="C3362" s="538" t="n">
        <v>20.26</v>
      </c>
      <c r="D3362" s="538" t="n">
        <v>17.08</v>
      </c>
      <c r="E3362" s="538" t="n">
        <v>26.45</v>
      </c>
    </row>
    <row r="3363">
      <c r="A3363" s="544" t="n">
        <v>33917</v>
      </c>
      <c r="B3363" s="538" t="n">
        <v>19.1</v>
      </c>
      <c r="C3363" s="538" t="n">
        <v>20.63</v>
      </c>
      <c r="D3363" s="538" t="n">
        <v>17.53</v>
      </c>
      <c r="E3363" s="538" t="n">
        <v>26.3</v>
      </c>
    </row>
    <row r="3364">
      <c r="A3364" s="544" t="n">
        <v>33918</v>
      </c>
      <c r="B3364" s="538" t="n">
        <v>19.53</v>
      </c>
      <c r="C3364" s="538" t="n">
        <v>20.54</v>
      </c>
      <c r="D3364" s="538" t="n">
        <v>17.63</v>
      </c>
      <c r="E3364" s="538" t="n">
        <v>26.3</v>
      </c>
    </row>
    <row r="3365">
      <c r="A3365" s="544" t="n">
        <v>33919</v>
      </c>
      <c r="B3365" s="538" t="n">
        <v>19.4</v>
      </c>
      <c r="C3365" s="538" t="n">
        <v>20.46</v>
      </c>
      <c r="D3365" s="538" t="n">
        <v>17.58</v>
      </c>
      <c r="E3365" s="538" t="n">
        <v>26.3</v>
      </c>
    </row>
    <row r="3366">
      <c r="A3366" s="544" t="n">
        <v>33920</v>
      </c>
      <c r="B3366" s="538" t="n">
        <v>19.18</v>
      </c>
      <c r="C3366" s="538" t="n">
        <v>20.19</v>
      </c>
      <c r="D3366" s="538" t="n">
        <v>17.28</v>
      </c>
      <c r="E3366" s="538" t="n">
        <v>26.1</v>
      </c>
    </row>
    <row r="3367">
      <c r="A3367" s="544" t="n">
        <v>33921</v>
      </c>
      <c r="B3367" s="538" t="n">
        <v>19.05</v>
      </c>
      <c r="C3367" s="538" t="n">
        <v>20.04</v>
      </c>
      <c r="D3367" s="538" t="n">
        <v>17.35</v>
      </c>
      <c r="E3367" s="538" t="n">
        <v>26</v>
      </c>
    </row>
    <row r="3368">
      <c r="A3368" s="544" t="n">
        <v>33924</v>
      </c>
      <c r="B3368" s="538" t="n">
        <v>19.2</v>
      </c>
      <c r="C3368" s="538" t="n">
        <v>20.37</v>
      </c>
      <c r="D3368" s="538" t="n">
        <v>17.5</v>
      </c>
      <c r="E3368" s="538" t="n">
        <v>25.7</v>
      </c>
    </row>
    <row r="3369">
      <c r="A3369" s="544" t="n">
        <v>33925</v>
      </c>
      <c r="B3369" s="538" t="n">
        <v>19.15</v>
      </c>
      <c r="C3369" s="538" t="n">
        <v>20.32</v>
      </c>
      <c r="D3369" s="538" t="n">
        <v>17.4</v>
      </c>
      <c r="E3369" s="538" t="n">
        <v>25.9</v>
      </c>
    </row>
    <row r="3370">
      <c r="A3370" s="544" t="n">
        <v>33926</v>
      </c>
      <c r="B3370" s="538" t="n">
        <v>19.1</v>
      </c>
      <c r="C3370" s="538" t="n">
        <v>20.21</v>
      </c>
      <c r="D3370" s="538" t="n">
        <v>17.1</v>
      </c>
      <c r="E3370" s="538" t="n">
        <v>25.9</v>
      </c>
    </row>
    <row r="3371">
      <c r="A3371" s="544" t="n">
        <v>33927</v>
      </c>
      <c r="B3371" s="538" t="n">
        <v>19.48</v>
      </c>
      <c r="C3371" s="538" t="n">
        <v>20.5</v>
      </c>
      <c r="D3371" s="538" t="n">
        <v>17.13</v>
      </c>
      <c r="E3371" s="538" t="n">
        <v>25.7</v>
      </c>
    </row>
    <row r="3372">
      <c r="A3372" s="544" t="n">
        <v>33928</v>
      </c>
      <c r="B3372" s="538" t="n">
        <v>19.48</v>
      </c>
      <c r="C3372" s="538" t="n">
        <v>20.37</v>
      </c>
      <c r="D3372" s="538" t="n">
        <v>16.9</v>
      </c>
      <c r="E3372" s="538" t="n">
        <v>25.8</v>
      </c>
    </row>
    <row r="3373">
      <c r="A3373" s="544" t="n">
        <v>33931</v>
      </c>
      <c r="B3373" s="538" t="n">
        <v>19.15</v>
      </c>
      <c r="C3373" s="538" t="n">
        <v>20.01</v>
      </c>
      <c r="D3373" s="538" t="n">
        <v>16.63</v>
      </c>
      <c r="E3373" s="538" t="n">
        <v>25.8</v>
      </c>
    </row>
    <row r="3374">
      <c r="A3374" s="544" t="n">
        <v>33932</v>
      </c>
      <c r="B3374" s="538" t="n">
        <v>19.18</v>
      </c>
      <c r="C3374" s="538" t="n">
        <v>20.06</v>
      </c>
      <c r="D3374" s="538" t="n">
        <v>16.58</v>
      </c>
      <c r="E3374" s="538" t="n">
        <v>25.6</v>
      </c>
    </row>
    <row r="3375">
      <c r="A3375" s="544" t="n">
        <v>33933</v>
      </c>
      <c r="B3375" s="538" t="n">
        <v>19.28</v>
      </c>
      <c r="C3375" s="538" t="n">
        <v>20.29</v>
      </c>
      <c r="D3375" s="538" t="n">
        <v>16.65</v>
      </c>
      <c r="E3375" s="538" t="n">
        <v>25.6</v>
      </c>
    </row>
    <row r="3376">
      <c r="A3376" s="544" t="n">
        <v>33934</v>
      </c>
      <c r="B3376" s="538" t="n">
        <v>18.93</v>
      </c>
      <c r="C3376" s="538" t="n">
        <v>20.29</v>
      </c>
      <c r="D3376" s="538" t="n">
        <v>16.65</v>
      </c>
      <c r="E3376" s="538" t="n">
        <v>25.7</v>
      </c>
    </row>
    <row r="3377">
      <c r="A3377" s="544" t="n">
        <v>33935</v>
      </c>
      <c r="B3377" s="538" t="n">
        <v>19.08</v>
      </c>
      <c r="C3377" s="538" t="n">
        <v>20.29</v>
      </c>
      <c r="D3377" s="538" t="n">
        <v>16.65</v>
      </c>
      <c r="E3377" s="538" t="n">
        <v>25.6</v>
      </c>
    </row>
    <row r="3378">
      <c r="A3378" s="544" t="n">
        <v>33938</v>
      </c>
      <c r="B3378" s="538" t="n">
        <v>19.25</v>
      </c>
      <c r="C3378" s="538" t="n">
        <v>19.91</v>
      </c>
      <c r="D3378" s="538" t="n">
        <v>16.73</v>
      </c>
      <c r="E3378" s="538" t="n">
        <v>26</v>
      </c>
    </row>
    <row r="3379">
      <c r="A3379" s="544" t="n">
        <v>33939</v>
      </c>
      <c r="B3379" s="538" t="n">
        <v>18.65</v>
      </c>
      <c r="C3379" s="538" t="n">
        <v>19.56</v>
      </c>
      <c r="D3379" s="538" t="n">
        <v>16.48</v>
      </c>
      <c r="E3379" s="538" t="n">
        <v>26</v>
      </c>
    </row>
    <row r="3380">
      <c r="A3380" s="544" t="n">
        <v>33940</v>
      </c>
      <c r="B3380" s="538" t="n">
        <v>18.38</v>
      </c>
      <c r="C3380" s="538" t="n">
        <v>19.38</v>
      </c>
      <c r="D3380" s="538" t="n">
        <v>16.42</v>
      </c>
      <c r="E3380" s="538" t="n">
        <v>25.7</v>
      </c>
    </row>
    <row r="3381">
      <c r="A3381" s="544" t="n">
        <v>33941</v>
      </c>
      <c r="B3381" s="538" t="n">
        <v>18.2</v>
      </c>
      <c r="C3381" s="538" t="n">
        <v>19.08</v>
      </c>
      <c r="D3381" s="538" t="n">
        <v>16.03</v>
      </c>
      <c r="E3381" s="538" t="n">
        <v>25.2</v>
      </c>
    </row>
    <row r="3382">
      <c r="A3382" s="544" t="n">
        <v>33942</v>
      </c>
      <c r="B3382" s="538" t="n">
        <v>18.35</v>
      </c>
      <c r="C3382" s="538" t="n">
        <v>18.95</v>
      </c>
      <c r="D3382" s="538" t="n">
        <v>15.88</v>
      </c>
      <c r="E3382" s="538" t="n">
        <v>25</v>
      </c>
    </row>
    <row r="3383">
      <c r="A3383" s="544" t="n">
        <v>33945</v>
      </c>
      <c r="B3383" s="538" t="n">
        <v>18.25</v>
      </c>
      <c r="C3383" s="538" t="n">
        <v>19.17</v>
      </c>
      <c r="D3383" s="538" t="n">
        <v>16.08</v>
      </c>
      <c r="E3383" s="538" t="n">
        <v>25</v>
      </c>
    </row>
    <row r="3384">
      <c r="A3384" s="544" t="n">
        <v>33946</v>
      </c>
      <c r="B3384" s="538" t="n">
        <v>18.08</v>
      </c>
      <c r="C3384" s="538" t="n">
        <v>18.69</v>
      </c>
      <c r="D3384" s="538" t="n">
        <v>15.65</v>
      </c>
      <c r="E3384" s="538" t="n">
        <v>24.9</v>
      </c>
    </row>
    <row r="3385">
      <c r="A3385" s="544" t="n">
        <v>33947</v>
      </c>
      <c r="B3385" s="538" t="n">
        <v>17.8</v>
      </c>
      <c r="C3385" s="538" t="n">
        <v>18.86</v>
      </c>
      <c r="D3385" s="538" t="n">
        <v>15.8</v>
      </c>
      <c r="E3385" s="538" t="n">
        <v>24.9</v>
      </c>
    </row>
    <row r="3386">
      <c r="A3386" s="544" t="n">
        <v>33948</v>
      </c>
      <c r="B3386" s="538" t="n">
        <v>18.28</v>
      </c>
      <c r="C3386" s="538" t="n">
        <v>19.26</v>
      </c>
      <c r="D3386" s="538" t="n">
        <v>16.13</v>
      </c>
      <c r="E3386" s="538" t="n">
        <v>24.8</v>
      </c>
    </row>
    <row r="3387">
      <c r="A3387" s="544" t="n">
        <v>33949</v>
      </c>
      <c r="B3387" s="538" t="n">
        <v>18.2</v>
      </c>
      <c r="C3387" s="538" t="n">
        <v>19.09</v>
      </c>
      <c r="D3387" s="538" t="n">
        <v>16.03</v>
      </c>
      <c r="E3387" s="538" t="n">
        <v>25.1</v>
      </c>
    </row>
    <row r="3388">
      <c r="A3388" s="544" t="n">
        <v>33952</v>
      </c>
      <c r="B3388" s="538" t="n">
        <v>18.03</v>
      </c>
      <c r="C3388" s="538" t="n">
        <v>19.06</v>
      </c>
      <c r="D3388" s="538" t="n">
        <v>16.08</v>
      </c>
      <c r="E3388" s="538" t="n">
        <v>25</v>
      </c>
    </row>
    <row r="3389">
      <c r="A3389" s="544" t="n">
        <v>33953</v>
      </c>
      <c r="B3389" s="538" t="n">
        <v>17.8</v>
      </c>
      <c r="C3389" s="538" t="n">
        <v>18.94</v>
      </c>
      <c r="D3389" s="538" t="n">
        <v>15.88</v>
      </c>
      <c r="E3389" s="538" t="n">
        <v>25</v>
      </c>
    </row>
    <row r="3390">
      <c r="A3390" s="544" t="n">
        <v>33954</v>
      </c>
      <c r="B3390" s="538" t="n">
        <v>17.9</v>
      </c>
      <c r="C3390" s="538" t="n">
        <v>19.42</v>
      </c>
      <c r="D3390" s="538" t="n">
        <v>16.08</v>
      </c>
      <c r="E3390" s="538" t="n">
        <v>25</v>
      </c>
    </row>
    <row r="3391">
      <c r="A3391" s="544" t="n">
        <v>33955</v>
      </c>
      <c r="B3391" s="538" t="n">
        <v>18.18</v>
      </c>
      <c r="C3391" s="538" t="n">
        <v>19.68</v>
      </c>
      <c r="D3391" s="538" t="n">
        <v>16.55</v>
      </c>
      <c r="E3391" s="538" t="n">
        <v>25.3</v>
      </c>
    </row>
    <row r="3392">
      <c r="A3392" s="544" t="n">
        <v>33956</v>
      </c>
      <c r="B3392" s="538" t="n">
        <v>18.3</v>
      </c>
      <c r="C3392" s="538" t="n">
        <v>19.81</v>
      </c>
      <c r="D3392" s="538" t="n">
        <v>16.45</v>
      </c>
      <c r="E3392" s="538" t="n">
        <v>25.6</v>
      </c>
    </row>
    <row r="3393">
      <c r="A3393" s="544" t="n">
        <v>33959</v>
      </c>
      <c r="B3393" s="538" t="n">
        <v>18.33</v>
      </c>
      <c r="C3393" s="538" t="n">
        <v>19.92</v>
      </c>
      <c r="D3393" s="538" t="n">
        <v>16.6</v>
      </c>
      <c r="E3393" s="538" t="n">
        <v>25.6</v>
      </c>
    </row>
    <row r="3394">
      <c r="A3394" s="544" t="n">
        <v>33960</v>
      </c>
      <c r="B3394" s="538" t="n">
        <v>18.08</v>
      </c>
      <c r="C3394" s="538" t="n">
        <v>19.79</v>
      </c>
      <c r="D3394" s="538" t="n">
        <v>16.58</v>
      </c>
      <c r="E3394" s="538" t="n">
        <v>25.8</v>
      </c>
    </row>
    <row r="3395">
      <c r="A3395" s="544" t="n">
        <v>33961</v>
      </c>
      <c r="B3395" s="538" t="n">
        <v>18.23</v>
      </c>
      <c r="C3395" s="538" t="n">
        <v>19.97</v>
      </c>
      <c r="D3395" s="538" t="n">
        <v>16.65</v>
      </c>
      <c r="E3395" s="538" t="n">
        <v>25.8</v>
      </c>
    </row>
    <row r="3396">
      <c r="A3396" s="544" t="n">
        <v>33962</v>
      </c>
      <c r="B3396" s="538" t="n">
        <v>18.28</v>
      </c>
      <c r="C3396" s="538" t="n">
        <v>19.97</v>
      </c>
      <c r="D3396" s="538" t="n">
        <v>16.65</v>
      </c>
      <c r="E3396" s="538" t="n">
        <v>25.8</v>
      </c>
    </row>
    <row r="3397">
      <c r="A3397" s="544" t="n">
        <v>33963</v>
      </c>
      <c r="B3397" s="538" t="n">
        <v>18.28</v>
      </c>
      <c r="C3397" s="538" t="n">
        <v>19.97</v>
      </c>
      <c r="D3397" s="538" t="n">
        <v>16.65</v>
      </c>
      <c r="E3397" s="538" t="n">
        <v>25.8</v>
      </c>
    </row>
    <row r="3398">
      <c r="A3398" s="544" t="n">
        <v>33966</v>
      </c>
      <c r="B3398" s="538" t="n">
        <v>18.28</v>
      </c>
      <c r="C3398" s="538" t="n">
        <v>19.77</v>
      </c>
      <c r="D3398" s="538" t="n">
        <v>16.5</v>
      </c>
      <c r="E3398" s="538" t="n">
        <v>26</v>
      </c>
    </row>
    <row r="3399">
      <c r="A3399" s="544" t="n">
        <v>33967</v>
      </c>
      <c r="B3399" s="538" t="n">
        <v>17.93</v>
      </c>
      <c r="C3399" s="538" t="n">
        <v>19.62</v>
      </c>
      <c r="D3399" s="538" t="n">
        <v>15.93</v>
      </c>
      <c r="E3399" s="538" t="n">
        <v>25.9</v>
      </c>
    </row>
    <row r="3400">
      <c r="A3400" s="544" t="n">
        <v>33968</v>
      </c>
      <c r="B3400" s="538" t="n">
        <v>17.83</v>
      </c>
      <c r="C3400" s="538" t="n">
        <v>19.63</v>
      </c>
      <c r="D3400" s="538" t="n">
        <v>16.35</v>
      </c>
      <c r="E3400" s="538" t="n">
        <v>25.9</v>
      </c>
    </row>
    <row r="3401">
      <c r="A3401" s="544" t="n">
        <v>33969</v>
      </c>
      <c r="B3401" s="538" t="n">
        <v>17.85</v>
      </c>
      <c r="C3401" s="538" t="n">
        <v>19.49</v>
      </c>
      <c r="D3401" s="538" t="n">
        <v>16</v>
      </c>
      <c r="E3401" s="538" t="n">
        <v>25.9</v>
      </c>
    </row>
    <row r="3402">
      <c r="A3402" s="544" t="n">
        <v>33970</v>
      </c>
      <c r="B3402" s="538" t="n">
        <v>17.85</v>
      </c>
      <c r="C3402" s="538" t="n">
        <v>19.49</v>
      </c>
      <c r="D3402" s="538" t="n">
        <v>16</v>
      </c>
      <c r="E3402" s="538" t="n">
        <v>25.9</v>
      </c>
    </row>
    <row r="3403">
      <c r="A3403" s="544" t="n">
        <v>33973</v>
      </c>
      <c r="B3403" s="538" t="n">
        <v>17.73</v>
      </c>
      <c r="C3403" s="538" t="n">
        <v>19.03</v>
      </c>
      <c r="D3403" s="538" t="n">
        <v>15.65</v>
      </c>
      <c r="E3403" s="538" t="n">
        <v>25.9</v>
      </c>
    </row>
    <row r="3404">
      <c r="A3404" s="544" t="n">
        <v>33974</v>
      </c>
      <c r="B3404" s="538" t="n">
        <v>17.48</v>
      </c>
      <c r="C3404" s="538" t="n">
        <v>19.13</v>
      </c>
      <c r="D3404" s="538" t="n">
        <v>15.75</v>
      </c>
      <c r="E3404" s="538" t="n">
        <v>25.7</v>
      </c>
    </row>
    <row r="3405">
      <c r="A3405" s="544" t="n">
        <v>33975</v>
      </c>
      <c r="B3405" s="538" t="n">
        <v>17.53</v>
      </c>
      <c r="C3405" s="538" t="n">
        <v>19.03</v>
      </c>
      <c r="D3405" s="538" t="n">
        <v>15.7</v>
      </c>
      <c r="E3405" s="538" t="n">
        <v>25.5</v>
      </c>
    </row>
    <row r="3406">
      <c r="A3406" s="544" t="n">
        <v>33976</v>
      </c>
      <c r="B3406" s="538" t="n">
        <v>17.58</v>
      </c>
      <c r="C3406" s="538" t="n">
        <v>18.92</v>
      </c>
      <c r="D3406" s="538" t="n">
        <v>15.55</v>
      </c>
      <c r="E3406" s="538" t="n">
        <v>25.5</v>
      </c>
    </row>
    <row r="3407">
      <c r="A3407" s="544" t="n">
        <v>33977</v>
      </c>
      <c r="B3407" s="538" t="n">
        <v>17.23</v>
      </c>
      <c r="C3407" s="538" t="n">
        <v>18.9</v>
      </c>
      <c r="D3407" s="538" t="n">
        <v>15.35</v>
      </c>
      <c r="E3407" s="538" t="n">
        <v>25.5</v>
      </c>
    </row>
    <row r="3408">
      <c r="A3408" s="544" t="n">
        <v>33980</v>
      </c>
      <c r="B3408" s="538" t="n">
        <v>17.28</v>
      </c>
      <c r="C3408" s="538" t="n">
        <v>18.78</v>
      </c>
      <c r="D3408" s="538" t="n">
        <v>15.05</v>
      </c>
      <c r="E3408" s="538" t="n">
        <v>25.6</v>
      </c>
    </row>
    <row r="3409">
      <c r="A3409" s="544" t="n">
        <v>33981</v>
      </c>
      <c r="B3409" s="538" t="n">
        <v>16.85</v>
      </c>
      <c r="C3409" s="538" t="n">
        <v>18.21</v>
      </c>
      <c r="D3409" s="538" t="n">
        <v>14.63</v>
      </c>
      <c r="E3409" s="538" t="n">
        <v>25.6</v>
      </c>
    </row>
    <row r="3410">
      <c r="A3410" s="544" t="n">
        <v>33982</v>
      </c>
      <c r="B3410" s="538" t="n">
        <v>16.85</v>
      </c>
      <c r="C3410" s="538" t="n">
        <v>18.51</v>
      </c>
      <c r="D3410" s="538" t="n">
        <v>14.78</v>
      </c>
      <c r="E3410" s="538" t="n">
        <v>25</v>
      </c>
    </row>
    <row r="3411">
      <c r="A3411" s="544" t="n">
        <v>33983</v>
      </c>
      <c r="B3411" s="538" t="n">
        <v>17</v>
      </c>
      <c r="C3411" s="538" t="n">
        <v>18.71</v>
      </c>
      <c r="D3411" s="538" t="n">
        <v>14.83</v>
      </c>
      <c r="E3411" s="538" t="n">
        <v>25</v>
      </c>
    </row>
    <row r="3412">
      <c r="A3412" s="544" t="n">
        <v>33984</v>
      </c>
      <c r="B3412" s="538" t="n">
        <v>17.28</v>
      </c>
      <c r="C3412" s="538" t="n">
        <v>18.89</v>
      </c>
      <c r="D3412" s="538" t="n">
        <v>15.13</v>
      </c>
      <c r="E3412" s="538" t="n">
        <v>25.2</v>
      </c>
    </row>
    <row r="3413">
      <c r="A3413" s="544" t="n">
        <v>33987</v>
      </c>
      <c r="B3413" s="538" t="n">
        <v>17.25</v>
      </c>
      <c r="C3413" s="538" t="n">
        <v>18.94</v>
      </c>
      <c r="D3413" s="538" t="n">
        <v>15.03</v>
      </c>
      <c r="E3413" s="538" t="n">
        <v>25.3</v>
      </c>
    </row>
    <row r="3414">
      <c r="A3414" s="544" t="n">
        <v>33988</v>
      </c>
      <c r="B3414" s="538" t="n">
        <v>16.98</v>
      </c>
      <c r="C3414" s="538" t="n">
        <v>18.4</v>
      </c>
      <c r="D3414" s="538" t="n">
        <v>14.43</v>
      </c>
      <c r="E3414" s="538" t="n">
        <v>25.3</v>
      </c>
    </row>
    <row r="3415">
      <c r="A3415" s="544" t="n">
        <v>33989</v>
      </c>
      <c r="B3415" s="538" t="n">
        <v>16.7</v>
      </c>
      <c r="C3415" s="538" t="n">
        <v>18.35</v>
      </c>
      <c r="D3415" s="538" t="n">
        <v>14.55</v>
      </c>
      <c r="E3415" s="538" t="n">
        <v>25</v>
      </c>
    </row>
    <row r="3416">
      <c r="A3416" s="544" t="n">
        <v>33990</v>
      </c>
      <c r="B3416" s="538" t="n">
        <v>16.88</v>
      </c>
      <c r="C3416" s="538" t="n">
        <v>18.71</v>
      </c>
      <c r="D3416" s="538" t="n">
        <v>14.93</v>
      </c>
      <c r="E3416" s="538" t="n">
        <v>25</v>
      </c>
    </row>
    <row r="3417">
      <c r="A3417" s="544" t="n">
        <v>33991</v>
      </c>
      <c r="B3417" s="538" t="n">
        <v>17.08</v>
      </c>
      <c r="C3417" s="538" t="n">
        <v>18.64</v>
      </c>
      <c r="D3417" s="538" t="n">
        <v>14.88</v>
      </c>
      <c r="E3417" s="538" t="n">
        <v>25</v>
      </c>
    </row>
    <row r="3418">
      <c r="A3418" s="544" t="n">
        <v>33994</v>
      </c>
      <c r="B3418" s="538" t="n">
        <v>17.58</v>
      </c>
      <c r="C3418" s="538" t="n">
        <v>19.51</v>
      </c>
      <c r="D3418" s="538" t="n">
        <v>15.55</v>
      </c>
      <c r="E3418" s="538" t="n">
        <v>25</v>
      </c>
    </row>
    <row r="3419">
      <c r="A3419" s="544" t="n">
        <v>33995</v>
      </c>
      <c r="B3419" s="538" t="n">
        <v>17.93</v>
      </c>
      <c r="C3419" s="538" t="n">
        <v>19.67</v>
      </c>
      <c r="D3419" s="538" t="n">
        <v>15.5</v>
      </c>
      <c r="E3419" s="538" t="n">
        <v>25.5</v>
      </c>
    </row>
    <row r="3420">
      <c r="A3420" s="544" t="n">
        <v>33996</v>
      </c>
      <c r="B3420" s="538" t="n">
        <v>17.88</v>
      </c>
      <c r="C3420" s="538" t="n">
        <v>19.66</v>
      </c>
      <c r="D3420" s="538" t="n">
        <v>15.63</v>
      </c>
      <c r="E3420" s="538" t="n">
        <v>25.5</v>
      </c>
    </row>
    <row r="3421">
      <c r="A3421" s="544" t="n">
        <v>33997</v>
      </c>
      <c r="B3421" s="538" t="n">
        <v>18.15</v>
      </c>
      <c r="C3421" s="538" t="n">
        <v>20.38</v>
      </c>
      <c r="D3421" s="538" t="n">
        <v>16.3</v>
      </c>
      <c r="E3421" s="538" t="n">
        <v>25.5</v>
      </c>
    </row>
    <row r="3422">
      <c r="A3422" s="544" t="n">
        <v>33998</v>
      </c>
      <c r="B3422" s="538" t="n">
        <v>18.48</v>
      </c>
      <c r="C3422" s="538" t="n">
        <v>20.27</v>
      </c>
      <c r="D3422" s="538" t="n">
        <v>16.2</v>
      </c>
      <c r="E3422" s="538" t="n">
        <v>25.7</v>
      </c>
    </row>
    <row r="3423">
      <c r="A3423" s="544" t="n">
        <v>34001</v>
      </c>
      <c r="B3423" s="538" t="n">
        <v>18.55</v>
      </c>
      <c r="C3423" s="538" t="n">
        <v>20.32</v>
      </c>
      <c r="D3423" s="538" t="n">
        <v>16.13</v>
      </c>
      <c r="E3423" s="538" t="n">
        <v>25.7</v>
      </c>
    </row>
    <row r="3424">
      <c r="A3424" s="544" t="n">
        <v>34002</v>
      </c>
      <c r="B3424" s="538" t="n">
        <v>18.4</v>
      </c>
      <c r="C3424" s="538" t="n">
        <v>20</v>
      </c>
      <c r="D3424" s="538" t="n">
        <v>15.78</v>
      </c>
      <c r="E3424" s="538" t="n">
        <v>25.8</v>
      </c>
    </row>
    <row r="3425">
      <c r="A3425" s="544" t="n">
        <v>34003</v>
      </c>
      <c r="B3425" s="538" t="n">
        <v>18.4</v>
      </c>
      <c r="C3425" s="538" t="n">
        <v>20</v>
      </c>
      <c r="D3425" s="538" t="n">
        <v>15.78</v>
      </c>
      <c r="E3425" s="538" t="n">
        <v>25.8</v>
      </c>
    </row>
    <row r="3426">
      <c r="A3426" s="544" t="n">
        <v>34004</v>
      </c>
      <c r="B3426" s="538" t="n">
        <v>18.65</v>
      </c>
      <c r="C3426" s="538" t="n">
        <v>20.29</v>
      </c>
      <c r="D3426" s="538" t="n">
        <v>16.08</v>
      </c>
      <c r="E3426" s="538" t="n">
        <v>25.8</v>
      </c>
    </row>
    <row r="3427">
      <c r="A3427" s="544" t="n">
        <v>34005</v>
      </c>
      <c r="B3427" s="538" t="n">
        <v>18.7</v>
      </c>
      <c r="C3427" s="538" t="n">
        <v>20.27</v>
      </c>
      <c r="D3427" s="538" t="n">
        <v>16.17</v>
      </c>
      <c r="E3427" s="538" t="n">
        <v>25.8</v>
      </c>
    </row>
    <row r="3428">
      <c r="A3428" s="544" t="n">
        <v>34008</v>
      </c>
      <c r="B3428" s="538" t="n">
        <v>18.55</v>
      </c>
      <c r="C3428" s="538" t="n">
        <v>20.07</v>
      </c>
      <c r="D3428" s="538" t="n">
        <v>15.88</v>
      </c>
      <c r="E3428" s="538" t="n">
        <v>25.8</v>
      </c>
    </row>
    <row r="3429">
      <c r="A3429" s="544" t="n">
        <v>34009</v>
      </c>
      <c r="B3429" s="538" t="n">
        <v>18.33</v>
      </c>
      <c r="C3429" s="538" t="n">
        <v>20.12</v>
      </c>
      <c r="D3429" s="538" t="n">
        <v>15.83</v>
      </c>
      <c r="E3429" s="538" t="n">
        <v>25.8</v>
      </c>
    </row>
    <row r="3430">
      <c r="A3430" s="544" t="n">
        <v>34010</v>
      </c>
      <c r="B3430" s="538" t="n">
        <v>18.48</v>
      </c>
      <c r="C3430" s="538" t="n">
        <v>20.2</v>
      </c>
      <c r="D3430" s="538" t="n">
        <v>15.98</v>
      </c>
      <c r="E3430" s="538" t="n">
        <v>25.8</v>
      </c>
    </row>
    <row r="3431">
      <c r="A3431" s="544" t="n">
        <v>34011</v>
      </c>
      <c r="B3431" s="538" t="n">
        <v>18.43</v>
      </c>
      <c r="C3431" s="538" t="n">
        <v>20.29</v>
      </c>
      <c r="D3431" s="538" t="n">
        <v>16.23</v>
      </c>
      <c r="E3431" s="538" t="n">
        <v>25.8</v>
      </c>
    </row>
    <row r="3432">
      <c r="A3432" s="544" t="n">
        <v>34012</v>
      </c>
      <c r="B3432" s="538" t="n">
        <v>18.48</v>
      </c>
      <c r="C3432" s="538" t="n">
        <v>19.96</v>
      </c>
      <c r="D3432" s="538" t="n">
        <v>15.9</v>
      </c>
      <c r="E3432" s="538" t="n">
        <v>25.8</v>
      </c>
    </row>
    <row r="3433">
      <c r="A3433" s="544" t="n">
        <v>34015</v>
      </c>
      <c r="B3433" s="538" t="n">
        <v>17.98</v>
      </c>
      <c r="C3433" s="538" t="n">
        <v>19.96</v>
      </c>
      <c r="D3433" s="538" t="n">
        <v>15.9</v>
      </c>
      <c r="E3433" s="538" t="n">
        <v>25.7</v>
      </c>
    </row>
    <row r="3434">
      <c r="A3434" s="544" t="n">
        <v>34016</v>
      </c>
      <c r="B3434" s="538" t="n">
        <v>18.2</v>
      </c>
      <c r="C3434" s="538" t="n">
        <v>19.59</v>
      </c>
      <c r="D3434" s="538" t="n">
        <v>15.75</v>
      </c>
      <c r="E3434" s="538" t="n">
        <v>25.5</v>
      </c>
    </row>
    <row r="3435">
      <c r="A3435" s="544" t="n">
        <v>34017</v>
      </c>
      <c r="B3435" s="538" t="n">
        <v>17.93</v>
      </c>
      <c r="C3435" s="538" t="n">
        <v>19.3</v>
      </c>
      <c r="D3435" s="538" t="n">
        <v>15.45</v>
      </c>
      <c r="E3435" s="538" t="n">
        <v>25.4</v>
      </c>
    </row>
    <row r="3436">
      <c r="A3436" s="544" t="n">
        <v>34018</v>
      </c>
      <c r="B3436" s="538" t="n">
        <v>17.83</v>
      </c>
      <c r="C3436" s="538" t="n">
        <v>19.44</v>
      </c>
      <c r="D3436" s="538" t="n">
        <v>15.68</v>
      </c>
      <c r="E3436" s="538" t="n">
        <v>25.2</v>
      </c>
    </row>
    <row r="3437">
      <c r="A3437" s="544" t="n">
        <v>34019</v>
      </c>
      <c r="B3437" s="538" t="n">
        <v>18.3</v>
      </c>
      <c r="C3437" s="538" t="n">
        <v>19.69</v>
      </c>
      <c r="D3437" s="538" t="n">
        <v>15.98</v>
      </c>
      <c r="E3437" s="538" t="n">
        <v>25.2</v>
      </c>
    </row>
    <row r="3438">
      <c r="A3438" s="544" t="n">
        <v>34022</v>
      </c>
      <c r="B3438" s="538" t="n">
        <v>18.63</v>
      </c>
      <c r="C3438" s="538" t="n">
        <v>20.08</v>
      </c>
      <c r="D3438" s="538" t="n">
        <v>16.28</v>
      </c>
      <c r="E3438" s="538" t="n">
        <v>25.2</v>
      </c>
    </row>
    <row r="3439">
      <c r="A3439" s="544" t="n">
        <v>34023</v>
      </c>
      <c r="B3439" s="538" t="n">
        <v>18.88</v>
      </c>
      <c r="C3439" s="538" t="n">
        <v>20.49</v>
      </c>
      <c r="D3439" s="538" t="n">
        <v>16.63</v>
      </c>
      <c r="E3439" s="538" t="n">
        <v>25.2</v>
      </c>
    </row>
    <row r="3440">
      <c r="A3440" s="544" t="n">
        <v>34024</v>
      </c>
      <c r="B3440" s="538" t="n">
        <v>18.88</v>
      </c>
      <c r="C3440" s="538" t="n">
        <v>20.28</v>
      </c>
      <c r="D3440" s="538" t="n">
        <v>16.5</v>
      </c>
      <c r="E3440" s="538" t="n">
        <v>25.2</v>
      </c>
    </row>
    <row r="3441">
      <c r="A3441" s="544" t="n">
        <v>34025</v>
      </c>
      <c r="B3441" s="538" t="n">
        <v>18.83</v>
      </c>
      <c r="C3441" s="538" t="n">
        <v>20.63</v>
      </c>
      <c r="D3441" s="538" t="n">
        <v>16.73</v>
      </c>
      <c r="E3441" s="538" t="n">
        <v>25.2</v>
      </c>
    </row>
    <row r="3442">
      <c r="A3442" s="544" t="n">
        <v>34026</v>
      </c>
      <c r="B3442" s="538" t="n">
        <v>18.83</v>
      </c>
      <c r="C3442" s="538" t="n">
        <v>20.53</v>
      </c>
      <c r="D3442" s="538" t="n">
        <v>16.63</v>
      </c>
      <c r="E3442" s="538" t="n">
        <v>25.2</v>
      </c>
    </row>
    <row r="3443">
      <c r="A3443" s="544" t="n">
        <v>34029</v>
      </c>
      <c r="B3443" s="538" t="n">
        <v>19.03</v>
      </c>
      <c r="C3443" s="538" t="n">
        <v>20.62</v>
      </c>
      <c r="D3443" s="538" t="n">
        <v>16.75</v>
      </c>
      <c r="E3443" s="538" t="n">
        <v>25.2</v>
      </c>
    </row>
    <row r="3444">
      <c r="A3444" s="544" t="n">
        <v>34030</v>
      </c>
      <c r="B3444" s="538" t="n">
        <v>18.83</v>
      </c>
      <c r="C3444" s="538" t="n">
        <v>20.48</v>
      </c>
      <c r="D3444" s="538" t="n">
        <v>16.6</v>
      </c>
      <c r="E3444" s="538" t="n">
        <v>25.1</v>
      </c>
    </row>
    <row r="3445">
      <c r="A3445" s="544" t="n">
        <v>34031</v>
      </c>
      <c r="B3445" s="538" t="n">
        <v>18.93</v>
      </c>
      <c r="C3445" s="538" t="n">
        <v>20.46</v>
      </c>
      <c r="D3445" s="538" t="n">
        <v>16.63</v>
      </c>
      <c r="E3445" s="538" t="n">
        <v>25.1</v>
      </c>
    </row>
    <row r="3446">
      <c r="A3446" s="544" t="n">
        <v>34032</v>
      </c>
      <c r="B3446" s="538" t="n">
        <v>19.35</v>
      </c>
      <c r="C3446" s="538" t="n">
        <v>21.05</v>
      </c>
      <c r="D3446" s="538" t="n">
        <v>17.08</v>
      </c>
      <c r="E3446" s="538" t="n">
        <v>25.1</v>
      </c>
    </row>
    <row r="3447">
      <c r="A3447" s="544" t="n">
        <v>34033</v>
      </c>
      <c r="B3447" s="538" t="n">
        <v>19.6</v>
      </c>
      <c r="C3447" s="538" t="n">
        <v>20.85</v>
      </c>
      <c r="D3447" s="538" t="n">
        <v>16.92</v>
      </c>
      <c r="E3447" s="538" t="n">
        <v>25.4</v>
      </c>
    </row>
    <row r="3448">
      <c r="A3448" s="544" t="n">
        <v>34036</v>
      </c>
      <c r="B3448" s="538" t="n">
        <v>19.28</v>
      </c>
      <c r="C3448" s="538" t="n">
        <v>20.63</v>
      </c>
      <c r="D3448" s="538" t="n">
        <v>16.73</v>
      </c>
      <c r="E3448" s="538" t="n">
        <v>25.4</v>
      </c>
    </row>
    <row r="3449">
      <c r="A3449" s="544" t="n">
        <v>34037</v>
      </c>
      <c r="B3449" s="538" t="n">
        <v>19.23</v>
      </c>
      <c r="C3449" s="538" t="n">
        <v>20.71</v>
      </c>
      <c r="D3449" s="538" t="n">
        <v>16.73</v>
      </c>
      <c r="E3449" s="538" t="n">
        <v>25.4</v>
      </c>
    </row>
    <row r="3450">
      <c r="A3450" s="544" t="n">
        <v>34038</v>
      </c>
      <c r="B3450" s="538" t="n">
        <v>19.08</v>
      </c>
      <c r="C3450" s="538" t="n">
        <v>20.42</v>
      </c>
      <c r="D3450" s="538" t="n">
        <v>16.42</v>
      </c>
      <c r="E3450" s="538" t="n">
        <v>25.4</v>
      </c>
    </row>
    <row r="3451">
      <c r="A3451" s="544" t="n">
        <v>34039</v>
      </c>
      <c r="B3451" s="538" t="n">
        <v>18.7</v>
      </c>
      <c r="C3451" s="538" t="n">
        <v>20.12</v>
      </c>
      <c r="D3451" s="538" t="n">
        <v>16.17</v>
      </c>
      <c r="E3451" s="538" t="n">
        <v>25.4</v>
      </c>
    </row>
    <row r="3452">
      <c r="A3452" s="544" t="n">
        <v>34040</v>
      </c>
      <c r="B3452" s="538" t="n">
        <v>18.83</v>
      </c>
      <c r="C3452" s="538" t="n">
        <v>20.38</v>
      </c>
      <c r="D3452" s="538" t="n">
        <v>16.38</v>
      </c>
      <c r="E3452" s="538" t="n">
        <v>25.4</v>
      </c>
    </row>
    <row r="3453">
      <c r="A3453" s="544" t="n">
        <v>34043</v>
      </c>
      <c r="B3453" s="538" t="n">
        <v>18.88</v>
      </c>
      <c r="C3453" s="538" t="n">
        <v>20.18</v>
      </c>
      <c r="D3453" s="538" t="n">
        <v>16.08</v>
      </c>
      <c r="E3453" s="538" t="n">
        <v>25.5</v>
      </c>
    </row>
    <row r="3454">
      <c r="A3454" s="544" t="n">
        <v>34044</v>
      </c>
      <c r="B3454" s="538" t="n">
        <v>18.55</v>
      </c>
      <c r="C3454" s="538" t="n">
        <v>20.04</v>
      </c>
      <c r="D3454" s="538" t="n">
        <v>15.93</v>
      </c>
      <c r="E3454" s="538" t="n">
        <v>25.5</v>
      </c>
    </row>
    <row r="3455">
      <c r="A3455" s="544" t="n">
        <v>34045</v>
      </c>
      <c r="B3455" s="538" t="n">
        <v>18.6</v>
      </c>
      <c r="C3455" s="538" t="n">
        <v>20.14</v>
      </c>
      <c r="D3455" s="538" t="n">
        <v>16.23</v>
      </c>
      <c r="E3455" s="538" t="n">
        <v>25.4</v>
      </c>
    </row>
    <row r="3456">
      <c r="A3456" s="544" t="n">
        <v>34046</v>
      </c>
      <c r="B3456" s="538" t="n">
        <v>18.7</v>
      </c>
      <c r="C3456" s="538" t="n">
        <v>20.29</v>
      </c>
      <c r="D3456" s="538" t="n">
        <v>16.23</v>
      </c>
      <c r="E3456" s="538" t="n">
        <v>25.4</v>
      </c>
    </row>
    <row r="3457">
      <c r="A3457" s="544" t="n">
        <v>34047</v>
      </c>
      <c r="B3457" s="538" t="n">
        <v>18.58</v>
      </c>
      <c r="C3457" s="538" t="n">
        <v>20.05</v>
      </c>
      <c r="D3457" s="538" t="n">
        <v>15.98</v>
      </c>
      <c r="E3457" s="538" t="n">
        <v>25.5</v>
      </c>
    </row>
    <row r="3458">
      <c r="A3458" s="544" t="n">
        <v>34050</v>
      </c>
      <c r="B3458" s="538" t="n">
        <v>18.18</v>
      </c>
      <c r="C3458" s="538" t="n">
        <v>19.52</v>
      </c>
      <c r="D3458" s="538" t="n">
        <v>15.65</v>
      </c>
      <c r="E3458" s="538" t="n">
        <v>25.5</v>
      </c>
    </row>
    <row r="3459">
      <c r="A3459" s="544" t="n">
        <v>34051</v>
      </c>
      <c r="B3459" s="538" t="n">
        <v>18.23</v>
      </c>
      <c r="C3459" s="538" t="n">
        <v>19.98</v>
      </c>
      <c r="D3459" s="538" t="n">
        <v>16.23</v>
      </c>
      <c r="E3459" s="538" t="n">
        <v>25.5</v>
      </c>
    </row>
    <row r="3460">
      <c r="A3460" s="544" t="n">
        <v>34052</v>
      </c>
      <c r="B3460" s="538" t="n">
        <v>18.53</v>
      </c>
      <c r="C3460" s="538" t="n">
        <v>19.97</v>
      </c>
      <c r="D3460" s="538" t="n">
        <v>16.13</v>
      </c>
      <c r="E3460" s="538" t="n">
        <v>25.5</v>
      </c>
    </row>
    <row r="3461">
      <c r="A3461" s="544" t="n">
        <v>34053</v>
      </c>
      <c r="B3461" s="538" t="n">
        <v>18.6</v>
      </c>
      <c r="C3461" s="538" t="n">
        <v>20.12</v>
      </c>
      <c r="D3461" s="538" t="n">
        <v>16.33</v>
      </c>
      <c r="E3461" s="538" t="n">
        <v>25.5</v>
      </c>
    </row>
    <row r="3462">
      <c r="A3462" s="544" t="n">
        <v>34054</v>
      </c>
      <c r="B3462" s="538" t="n">
        <v>18.55</v>
      </c>
      <c r="C3462" s="538" t="n">
        <v>20.42</v>
      </c>
      <c r="D3462" s="538" t="n">
        <v>16.28</v>
      </c>
      <c r="E3462" s="538" t="n">
        <v>25.7</v>
      </c>
    </row>
    <row r="3463">
      <c r="A3463" s="544" t="n">
        <v>34057</v>
      </c>
      <c r="B3463" s="538" t="n">
        <v>18.65</v>
      </c>
      <c r="C3463" s="538" t="n">
        <v>20.27</v>
      </c>
      <c r="D3463" s="538" t="n">
        <v>16.17</v>
      </c>
      <c r="E3463" s="538" t="n">
        <v>25.7</v>
      </c>
    </row>
    <row r="3464">
      <c r="A3464" s="544" t="n">
        <v>34058</v>
      </c>
      <c r="B3464" s="538" t="n">
        <v>18.45</v>
      </c>
      <c r="C3464" s="538" t="n">
        <v>20.27</v>
      </c>
      <c r="D3464" s="538" t="n">
        <v>16.13</v>
      </c>
      <c r="E3464" s="538" t="n">
        <v>25.7</v>
      </c>
    </row>
    <row r="3465">
      <c r="A3465" s="544" t="n">
        <v>34059</v>
      </c>
      <c r="B3465" s="538" t="n">
        <v>18.7</v>
      </c>
      <c r="C3465" s="538" t="n">
        <v>20.44</v>
      </c>
      <c r="D3465" s="538" t="n">
        <v>16.38</v>
      </c>
      <c r="E3465" s="538" t="n">
        <v>25.7</v>
      </c>
    </row>
    <row r="3466">
      <c r="A3466" s="544" t="n">
        <v>34060</v>
      </c>
      <c r="B3466" s="538" t="n">
        <v>18.98</v>
      </c>
      <c r="C3466" s="538" t="n">
        <v>20.54</v>
      </c>
      <c r="D3466" s="538" t="n">
        <v>16.42</v>
      </c>
      <c r="E3466" s="538" t="n">
        <v>25.7</v>
      </c>
    </row>
    <row r="3467">
      <c r="A3467" s="544" t="n">
        <v>34061</v>
      </c>
      <c r="B3467" s="538" t="n">
        <v>18.88</v>
      </c>
      <c r="C3467" s="538" t="n">
        <v>20.67</v>
      </c>
      <c r="D3467" s="538" t="n">
        <v>16.73</v>
      </c>
      <c r="E3467" s="538" t="n">
        <v>25.7</v>
      </c>
    </row>
    <row r="3468">
      <c r="A3468" s="544" t="n">
        <v>34064</v>
      </c>
      <c r="B3468" s="538" t="n">
        <v>18.95</v>
      </c>
      <c r="C3468" s="538" t="n">
        <v>20.59</v>
      </c>
      <c r="D3468" s="538" t="n">
        <v>16.58</v>
      </c>
      <c r="E3468" s="538" t="n">
        <v>25.7</v>
      </c>
    </row>
    <row r="3469">
      <c r="A3469" s="544" t="n">
        <v>34065</v>
      </c>
      <c r="B3469" s="538" t="n">
        <v>18.65</v>
      </c>
      <c r="C3469" s="538" t="n">
        <v>20.33</v>
      </c>
      <c r="D3469" s="538" t="n">
        <v>16.42</v>
      </c>
      <c r="E3469" s="538" t="n">
        <v>25.7</v>
      </c>
    </row>
    <row r="3470">
      <c r="A3470" s="544" t="n">
        <v>34066</v>
      </c>
      <c r="B3470" s="538" t="n">
        <v>18.7</v>
      </c>
      <c r="C3470" s="538" t="n">
        <v>20.35</v>
      </c>
      <c r="D3470" s="538" t="n">
        <v>16.42</v>
      </c>
      <c r="E3470" s="538" t="n">
        <v>25.7</v>
      </c>
    </row>
    <row r="3471">
      <c r="A3471" s="544" t="n">
        <v>34067</v>
      </c>
      <c r="B3471" s="538" t="n">
        <v>18.53</v>
      </c>
      <c r="C3471" s="538" t="n">
        <v>20.22</v>
      </c>
      <c r="D3471" s="538" t="n">
        <v>16.38</v>
      </c>
      <c r="E3471" s="538" t="n">
        <v>26</v>
      </c>
    </row>
    <row r="3472">
      <c r="A3472" s="544" t="n">
        <v>34068</v>
      </c>
      <c r="B3472" s="538" t="n">
        <v>18.53</v>
      </c>
      <c r="C3472" s="538" t="n">
        <v>20.22</v>
      </c>
      <c r="D3472" s="538" t="n">
        <v>16.38</v>
      </c>
      <c r="E3472" s="538" t="n">
        <v>26</v>
      </c>
    </row>
    <row r="3473">
      <c r="A3473" s="544" t="n">
        <v>34071</v>
      </c>
      <c r="B3473" s="538" t="n">
        <v>18.53</v>
      </c>
      <c r="C3473" s="538" t="n">
        <v>20.43</v>
      </c>
      <c r="D3473" s="538" t="n">
        <v>16.58</v>
      </c>
      <c r="E3473" s="538" t="n">
        <v>25.9</v>
      </c>
    </row>
    <row r="3474">
      <c r="A3474" s="544" t="n">
        <v>34072</v>
      </c>
      <c r="B3474" s="538" t="n">
        <v>18.8</v>
      </c>
      <c r="C3474" s="538" t="n">
        <v>20.28</v>
      </c>
      <c r="D3474" s="538" t="n">
        <v>16.38</v>
      </c>
      <c r="E3474" s="538" t="n">
        <v>25.9</v>
      </c>
    </row>
    <row r="3475">
      <c r="A3475" s="544" t="n">
        <v>34073</v>
      </c>
      <c r="B3475" s="538" t="n">
        <v>18.73</v>
      </c>
      <c r="C3475" s="538" t="n">
        <v>20.38</v>
      </c>
      <c r="D3475" s="538" t="n">
        <v>16.48</v>
      </c>
      <c r="E3475" s="538" t="n">
        <v>25.9</v>
      </c>
    </row>
    <row r="3476">
      <c r="A3476" s="544" t="n">
        <v>34074</v>
      </c>
      <c r="B3476" s="538" t="n">
        <v>18.63</v>
      </c>
      <c r="C3476" s="538" t="n">
        <v>20.21</v>
      </c>
      <c r="D3476" s="538" t="n">
        <v>16.38</v>
      </c>
      <c r="E3476" s="538" t="n">
        <v>25.9</v>
      </c>
    </row>
    <row r="3477">
      <c r="A3477" s="544" t="n">
        <v>34075</v>
      </c>
      <c r="B3477" s="538" t="n">
        <v>18.5</v>
      </c>
      <c r="C3477" s="538" t="n">
        <v>20.09</v>
      </c>
      <c r="D3477" s="538" t="n">
        <v>16.23</v>
      </c>
      <c r="E3477" s="538" t="n">
        <v>25.9</v>
      </c>
    </row>
    <row r="3478">
      <c r="A3478" s="544" t="n">
        <v>34078</v>
      </c>
      <c r="B3478" s="538" t="n">
        <v>18.48</v>
      </c>
      <c r="C3478" s="538" t="n">
        <v>19.99</v>
      </c>
      <c r="D3478" s="538" t="n">
        <v>16.05</v>
      </c>
      <c r="E3478" s="538" t="n">
        <v>25.9</v>
      </c>
    </row>
    <row r="3479">
      <c r="A3479" s="544" t="n">
        <v>34079</v>
      </c>
      <c r="B3479" s="538" t="n">
        <v>18.53</v>
      </c>
      <c r="C3479" s="538" t="n">
        <v>20.05</v>
      </c>
      <c r="D3479" s="538" t="n">
        <v>16.48</v>
      </c>
      <c r="E3479" s="538" t="n">
        <v>25.9</v>
      </c>
    </row>
    <row r="3480">
      <c r="A3480" s="544" t="n">
        <v>34080</v>
      </c>
      <c r="B3480" s="538" t="n">
        <v>18.68</v>
      </c>
      <c r="C3480" s="538" t="n">
        <v>19.99</v>
      </c>
      <c r="D3480" s="538" t="n">
        <v>16.38</v>
      </c>
      <c r="E3480" s="538" t="n">
        <v>25.9</v>
      </c>
    </row>
    <row r="3481">
      <c r="A3481" s="544" t="n">
        <v>34081</v>
      </c>
      <c r="B3481" s="538" t="n">
        <v>18.48</v>
      </c>
      <c r="C3481" s="538" t="n">
        <v>19.79</v>
      </c>
      <c r="D3481" s="538" t="n">
        <v>16.33</v>
      </c>
      <c r="E3481" s="538" t="n">
        <v>26.1</v>
      </c>
    </row>
    <row r="3482">
      <c r="A3482" s="544" t="n">
        <v>34082</v>
      </c>
      <c r="B3482" s="538" t="n">
        <v>18.63</v>
      </c>
      <c r="C3482" s="538" t="n">
        <v>19.93</v>
      </c>
      <c r="D3482" s="538" t="n">
        <v>16.42</v>
      </c>
      <c r="E3482" s="538" t="n">
        <v>26</v>
      </c>
    </row>
    <row r="3483">
      <c r="A3483" s="544" t="n">
        <v>34085</v>
      </c>
      <c r="B3483" s="538" t="n">
        <v>18.63</v>
      </c>
      <c r="C3483" s="538" t="n">
        <v>19.83</v>
      </c>
      <c r="D3483" s="538" t="n">
        <v>16.42</v>
      </c>
      <c r="E3483" s="538" t="n">
        <v>26</v>
      </c>
    </row>
    <row r="3484">
      <c r="A3484" s="544" t="n">
        <v>34086</v>
      </c>
      <c r="B3484" s="538" t="n">
        <v>18.58</v>
      </c>
      <c r="C3484" s="538" t="n">
        <v>20.21</v>
      </c>
      <c r="D3484" s="538" t="n">
        <v>16.28</v>
      </c>
      <c r="E3484" s="538" t="n">
        <v>26</v>
      </c>
    </row>
    <row r="3485">
      <c r="A3485" s="544" t="n">
        <v>34087</v>
      </c>
      <c r="B3485" s="538" t="n">
        <v>18.48</v>
      </c>
      <c r="C3485" s="538" t="n">
        <v>20.21</v>
      </c>
      <c r="D3485" s="538" t="n">
        <v>16.28</v>
      </c>
      <c r="E3485" s="538" t="n">
        <v>26</v>
      </c>
    </row>
    <row r="3486">
      <c r="A3486" s="544" t="n">
        <v>34088</v>
      </c>
      <c r="B3486" s="538" t="n">
        <v>18.8</v>
      </c>
      <c r="C3486" s="538" t="n">
        <v>20.63</v>
      </c>
      <c r="D3486" s="538" t="n">
        <v>16.38</v>
      </c>
      <c r="E3486" s="538" t="n">
        <v>26</v>
      </c>
    </row>
    <row r="3487">
      <c r="A3487" s="544" t="n">
        <v>34089</v>
      </c>
      <c r="B3487" s="538" t="n">
        <v>18.85</v>
      </c>
      <c r="C3487" s="538" t="n">
        <v>20.54</v>
      </c>
      <c r="D3487" s="538" t="n">
        <v>16.58</v>
      </c>
      <c r="E3487" s="538" t="n">
        <v>26</v>
      </c>
    </row>
    <row r="3488">
      <c r="A3488" s="544" t="n">
        <v>34092</v>
      </c>
      <c r="B3488" s="538" t="n">
        <v>18.85</v>
      </c>
      <c r="C3488" s="538" t="n">
        <v>20.58</v>
      </c>
      <c r="D3488" s="538" t="n">
        <v>16.53</v>
      </c>
      <c r="E3488" s="538" t="n">
        <v>26</v>
      </c>
    </row>
    <row r="3489">
      <c r="A3489" s="544" t="n">
        <v>34093</v>
      </c>
      <c r="B3489" s="538" t="n">
        <v>18.9</v>
      </c>
      <c r="C3489" s="538" t="n">
        <v>20.4</v>
      </c>
      <c r="D3489" s="538" t="n">
        <v>16.25</v>
      </c>
      <c r="E3489" s="538" t="n">
        <v>26</v>
      </c>
    </row>
    <row r="3490">
      <c r="A3490" s="544" t="n">
        <v>34094</v>
      </c>
      <c r="B3490" s="538" t="n">
        <v>18.85</v>
      </c>
      <c r="C3490" s="538" t="n">
        <v>20.46</v>
      </c>
      <c r="D3490" s="538" t="n">
        <v>16.42</v>
      </c>
      <c r="E3490" s="538" t="n">
        <v>26.1</v>
      </c>
    </row>
    <row r="3491">
      <c r="A3491" s="544" t="n">
        <v>34095</v>
      </c>
      <c r="B3491" s="538" t="n">
        <v>19.13</v>
      </c>
      <c r="C3491" s="538" t="n">
        <v>20.49</v>
      </c>
      <c r="D3491" s="538" t="n">
        <v>16.38</v>
      </c>
      <c r="E3491" s="538" t="n">
        <v>26.1</v>
      </c>
    </row>
    <row r="3492">
      <c r="A3492" s="544" t="n">
        <v>34096</v>
      </c>
      <c r="B3492" s="538" t="n">
        <v>18.98</v>
      </c>
      <c r="C3492" s="538" t="n">
        <v>20.43</v>
      </c>
      <c r="D3492" s="538" t="n">
        <v>16.33</v>
      </c>
      <c r="E3492" s="538" t="n">
        <v>26.1</v>
      </c>
    </row>
    <row r="3493">
      <c r="A3493" s="544" t="n">
        <v>34099</v>
      </c>
      <c r="B3493" s="538" t="n">
        <v>18.98</v>
      </c>
      <c r="C3493" s="538" t="n">
        <v>20.42</v>
      </c>
      <c r="D3493" s="538" t="n">
        <v>16.28</v>
      </c>
      <c r="E3493" s="538" t="n">
        <v>26.1</v>
      </c>
    </row>
    <row r="3494">
      <c r="A3494" s="544" t="n">
        <v>34100</v>
      </c>
      <c r="B3494" s="538" t="n">
        <v>18.83</v>
      </c>
      <c r="C3494" s="538" t="n">
        <v>20.38</v>
      </c>
      <c r="D3494" s="538" t="n">
        <v>16.38</v>
      </c>
      <c r="E3494" s="538" t="n">
        <v>26.1</v>
      </c>
    </row>
    <row r="3495">
      <c r="A3495" s="544" t="n">
        <v>34101</v>
      </c>
      <c r="B3495" s="538" t="n">
        <v>18.9</v>
      </c>
      <c r="C3495" s="538" t="n">
        <v>20.19</v>
      </c>
      <c r="D3495" s="538" t="n">
        <v>16.42</v>
      </c>
      <c r="E3495" s="538" t="n">
        <v>26.1</v>
      </c>
    </row>
    <row r="3496">
      <c r="A3496" s="544" t="n">
        <v>34102</v>
      </c>
      <c r="B3496" s="538" t="n">
        <v>18.7</v>
      </c>
      <c r="C3496" s="538" t="n">
        <v>19.8</v>
      </c>
      <c r="D3496" s="538" t="n">
        <v>16.08</v>
      </c>
      <c r="E3496" s="538" t="n">
        <v>26.1</v>
      </c>
    </row>
    <row r="3497">
      <c r="A3497" s="544" t="n">
        <v>34103</v>
      </c>
      <c r="B3497" s="538" t="n">
        <v>18.4</v>
      </c>
      <c r="C3497" s="538" t="n">
        <v>19.51</v>
      </c>
      <c r="D3497" s="538" t="n">
        <v>15.83</v>
      </c>
      <c r="E3497" s="538" t="n">
        <v>26.1</v>
      </c>
    </row>
    <row r="3498">
      <c r="A3498" s="544" t="n">
        <v>34106</v>
      </c>
      <c r="B3498" s="538" t="n">
        <v>18.28</v>
      </c>
      <c r="C3498" s="538" t="n">
        <v>19.51</v>
      </c>
      <c r="D3498" s="538" t="n">
        <v>15.78</v>
      </c>
      <c r="E3498" s="538" t="n">
        <v>25.9</v>
      </c>
    </row>
    <row r="3499">
      <c r="A3499" s="544" t="n">
        <v>34107</v>
      </c>
      <c r="B3499" s="538" t="n">
        <v>18.18</v>
      </c>
      <c r="C3499" s="538" t="n">
        <v>19.32</v>
      </c>
      <c r="D3499" s="538" t="n">
        <v>15.83</v>
      </c>
      <c r="E3499" s="538" t="n">
        <v>25.9</v>
      </c>
    </row>
    <row r="3500">
      <c r="A3500" s="544" t="n">
        <v>34108</v>
      </c>
      <c r="B3500" s="538" t="n">
        <v>18.13</v>
      </c>
      <c r="C3500" s="538" t="n">
        <v>19.15</v>
      </c>
      <c r="D3500" s="538" t="n">
        <v>15.78</v>
      </c>
      <c r="E3500" s="538" t="n">
        <v>25.8</v>
      </c>
    </row>
    <row r="3501">
      <c r="A3501" s="544" t="n">
        <v>34109</v>
      </c>
      <c r="B3501" s="538" t="n">
        <v>18.1</v>
      </c>
      <c r="C3501" s="538" t="n">
        <v>19.56</v>
      </c>
      <c r="D3501" s="538" t="n">
        <v>15.98</v>
      </c>
      <c r="E3501" s="538" t="n">
        <v>25.8</v>
      </c>
    </row>
    <row r="3502">
      <c r="A3502" s="544" t="n">
        <v>34110</v>
      </c>
      <c r="B3502" s="538" t="n">
        <v>18.05</v>
      </c>
      <c r="C3502" s="538" t="n">
        <v>19.6</v>
      </c>
      <c r="D3502" s="538" t="n">
        <v>15.98</v>
      </c>
      <c r="E3502" s="538" t="n">
        <v>25.8</v>
      </c>
    </row>
    <row r="3503">
      <c r="A3503" s="544" t="n">
        <v>34113</v>
      </c>
      <c r="B3503" s="538" t="n">
        <v>18.15</v>
      </c>
      <c r="C3503" s="538" t="n">
        <v>19.43</v>
      </c>
      <c r="D3503" s="538" t="n">
        <v>15.88</v>
      </c>
      <c r="E3503" s="538" t="n">
        <v>25.8</v>
      </c>
    </row>
    <row r="3504">
      <c r="A3504" s="544" t="n">
        <v>34114</v>
      </c>
      <c r="B3504" s="538" t="n">
        <v>18.15</v>
      </c>
      <c r="C3504" s="538" t="n">
        <v>19.75</v>
      </c>
      <c r="D3504" s="538" t="n">
        <v>16.08</v>
      </c>
      <c r="E3504" s="538" t="n">
        <v>25.7</v>
      </c>
    </row>
    <row r="3505">
      <c r="A3505" s="544" t="n">
        <v>34115</v>
      </c>
      <c r="B3505" s="538" t="n">
        <v>18.08</v>
      </c>
      <c r="C3505" s="538" t="n">
        <v>19.92</v>
      </c>
      <c r="D3505" s="538" t="n">
        <v>16.03</v>
      </c>
      <c r="E3505" s="538" t="n">
        <v>25.7</v>
      </c>
    </row>
    <row r="3506">
      <c r="A3506" s="544" t="n">
        <v>34116</v>
      </c>
      <c r="B3506" s="538" t="n">
        <v>18.43</v>
      </c>
      <c r="C3506" s="538" t="n">
        <v>20.05</v>
      </c>
      <c r="D3506" s="538" t="n">
        <v>16.23</v>
      </c>
      <c r="E3506" s="538" t="n">
        <v>25.5</v>
      </c>
    </row>
    <row r="3507">
      <c r="A3507" s="544" t="n">
        <v>34117</v>
      </c>
      <c r="B3507" s="538" t="n">
        <v>18.43</v>
      </c>
      <c r="C3507" s="538" t="n">
        <v>20.04</v>
      </c>
      <c r="D3507" s="538" t="n">
        <v>16.17</v>
      </c>
      <c r="E3507" s="538" t="n">
        <v>25.1</v>
      </c>
    </row>
    <row r="3508">
      <c r="A3508" s="544" t="n">
        <v>34120</v>
      </c>
      <c r="B3508" s="538" t="n">
        <v>18.43</v>
      </c>
      <c r="C3508" s="538" t="n">
        <v>20.04</v>
      </c>
      <c r="D3508" s="538" t="n">
        <v>16.17</v>
      </c>
      <c r="E3508" s="538" t="n">
        <v>25.3</v>
      </c>
    </row>
    <row r="3509">
      <c r="A3509" s="544" t="n">
        <v>34121</v>
      </c>
      <c r="B3509" s="538" t="n">
        <v>18.48</v>
      </c>
      <c r="C3509" s="538" t="n">
        <v>20.2</v>
      </c>
      <c r="D3509" s="538" t="n">
        <v>16.23</v>
      </c>
      <c r="E3509" s="538" t="n">
        <v>25.3</v>
      </c>
    </row>
    <row r="3510">
      <c r="A3510" s="544" t="n">
        <v>34122</v>
      </c>
      <c r="B3510" s="538" t="n">
        <v>18.48</v>
      </c>
      <c r="C3510" s="538" t="n">
        <v>20.05</v>
      </c>
      <c r="D3510" s="538" t="n">
        <v>16.28</v>
      </c>
      <c r="E3510" s="538" t="n">
        <v>25.3</v>
      </c>
    </row>
    <row r="3511">
      <c r="A3511" s="544" t="n">
        <v>34123</v>
      </c>
      <c r="B3511" s="538" t="n">
        <v>18.15</v>
      </c>
      <c r="C3511" s="538" t="n">
        <v>19.77</v>
      </c>
      <c r="D3511" s="538" t="n">
        <v>16.23</v>
      </c>
      <c r="E3511" s="538" t="n">
        <v>25.3</v>
      </c>
    </row>
    <row r="3512">
      <c r="A3512" s="544" t="n">
        <v>34124</v>
      </c>
      <c r="B3512" s="538" t="n">
        <v>18.25</v>
      </c>
      <c r="C3512" s="538" t="n">
        <v>19.79</v>
      </c>
      <c r="D3512" s="538" t="n">
        <v>16.17</v>
      </c>
      <c r="E3512" s="538" t="n">
        <v>25.3</v>
      </c>
    </row>
    <row r="3513">
      <c r="A3513" s="544" t="n">
        <v>34127</v>
      </c>
      <c r="B3513" s="538" t="n">
        <v>18</v>
      </c>
      <c r="C3513" s="538" t="n">
        <v>19.6</v>
      </c>
      <c r="D3513" s="538" t="n">
        <v>16.13</v>
      </c>
      <c r="E3513" s="538" t="n">
        <v>25.25</v>
      </c>
    </row>
    <row r="3514">
      <c r="A3514" s="544" t="n">
        <v>34128</v>
      </c>
      <c r="B3514" s="538" t="n">
        <v>18.23</v>
      </c>
      <c r="C3514" s="538" t="n">
        <v>19.65</v>
      </c>
      <c r="D3514" s="538" t="n">
        <v>16.17</v>
      </c>
      <c r="E3514" s="538" t="n">
        <v>25.1</v>
      </c>
    </row>
    <row r="3515">
      <c r="A3515" s="544" t="n">
        <v>34129</v>
      </c>
      <c r="B3515" s="538" t="n">
        <v>18.23</v>
      </c>
      <c r="C3515" s="538" t="n">
        <v>19.66</v>
      </c>
      <c r="D3515" s="538" t="n">
        <v>15.98</v>
      </c>
      <c r="E3515" s="538" t="n">
        <v>25</v>
      </c>
    </row>
    <row r="3516">
      <c r="A3516" s="544" t="n">
        <v>34130</v>
      </c>
      <c r="B3516" s="538" t="n">
        <v>18.2</v>
      </c>
      <c r="C3516" s="538" t="n">
        <v>19.27</v>
      </c>
      <c r="D3516" s="538" t="n">
        <v>15.73</v>
      </c>
      <c r="E3516" s="538" t="n">
        <v>24.7</v>
      </c>
    </row>
    <row r="3517">
      <c r="A3517" s="544" t="n">
        <v>34131</v>
      </c>
      <c r="B3517" s="538" t="n">
        <v>17.63</v>
      </c>
      <c r="C3517" s="538" t="n">
        <v>18.99</v>
      </c>
      <c r="D3517" s="538" t="n">
        <v>15.58</v>
      </c>
      <c r="E3517" s="538" t="n">
        <v>24.6</v>
      </c>
    </row>
    <row r="3518">
      <c r="A3518" s="544" t="n">
        <v>34134</v>
      </c>
      <c r="B3518" s="538" t="n">
        <v>17.58</v>
      </c>
      <c r="C3518" s="538" t="n">
        <v>18.9</v>
      </c>
      <c r="D3518" s="538" t="n">
        <v>15.58</v>
      </c>
      <c r="E3518" s="538" t="n">
        <v>24.4</v>
      </c>
    </row>
    <row r="3519">
      <c r="A3519" s="544" t="n">
        <v>34135</v>
      </c>
      <c r="B3519" s="538" t="n">
        <v>17.3</v>
      </c>
      <c r="C3519" s="538" t="n">
        <v>18.6</v>
      </c>
      <c r="D3519" s="538" t="n">
        <v>15.33</v>
      </c>
      <c r="E3519" s="538" t="n">
        <v>24.4</v>
      </c>
    </row>
    <row r="3520">
      <c r="A3520" s="544" t="n">
        <v>34136</v>
      </c>
      <c r="B3520" s="538" t="n">
        <v>17.33</v>
      </c>
      <c r="C3520" s="538" t="n">
        <v>18.87</v>
      </c>
      <c r="D3520" s="538" t="n">
        <v>15.48</v>
      </c>
      <c r="E3520" s="538" t="n">
        <v>24.4</v>
      </c>
    </row>
    <row r="3521">
      <c r="A3521" s="544" t="n">
        <v>34137</v>
      </c>
      <c r="B3521" s="538" t="n">
        <v>17.23</v>
      </c>
      <c r="C3521" s="538" t="n">
        <v>18.7</v>
      </c>
      <c r="D3521" s="538" t="n">
        <v>15.38</v>
      </c>
      <c r="E3521" s="538" t="n">
        <v>24.4</v>
      </c>
    </row>
    <row r="3522">
      <c r="A3522" s="544" t="n">
        <v>34138</v>
      </c>
      <c r="B3522" s="538" t="n">
        <v>17.13</v>
      </c>
      <c r="C3522" s="538" t="n">
        <v>18.71</v>
      </c>
      <c r="D3522" s="538" t="n">
        <v>15.43</v>
      </c>
      <c r="E3522" s="538" t="n">
        <v>24.4</v>
      </c>
    </row>
    <row r="3523">
      <c r="A3523" s="544" t="n">
        <v>34141</v>
      </c>
      <c r="B3523" s="538" t="n">
        <v>17.18</v>
      </c>
      <c r="C3523" s="538" t="n">
        <v>18.63</v>
      </c>
      <c r="D3523" s="538" t="n">
        <v>15.35</v>
      </c>
      <c r="E3523" s="538" t="n">
        <v>24</v>
      </c>
    </row>
    <row r="3524">
      <c r="A3524" s="544" t="n">
        <v>34142</v>
      </c>
      <c r="B3524" s="538" t="n">
        <v>17.18</v>
      </c>
      <c r="C3524" s="538" t="n">
        <v>18.35</v>
      </c>
      <c r="D3524" s="538" t="n">
        <v>15.18</v>
      </c>
      <c r="E3524" s="538" t="n">
        <v>24</v>
      </c>
    </row>
    <row r="3525">
      <c r="A3525" s="544" t="n">
        <v>34143</v>
      </c>
      <c r="B3525" s="538" t="n">
        <v>17.18</v>
      </c>
      <c r="C3525" s="538" t="n">
        <v>18.44</v>
      </c>
      <c r="D3525" s="538" t="n">
        <v>15.23</v>
      </c>
      <c r="E3525" s="538" t="n">
        <v>24</v>
      </c>
    </row>
    <row r="3526">
      <c r="A3526" s="544" t="n">
        <v>34144</v>
      </c>
      <c r="B3526" s="538" t="n">
        <v>17.23</v>
      </c>
      <c r="C3526" s="538" t="n">
        <v>18.36</v>
      </c>
      <c r="D3526" s="538" t="n">
        <v>15.23</v>
      </c>
      <c r="E3526" s="538" t="n">
        <v>23.9</v>
      </c>
    </row>
    <row r="3527">
      <c r="A3527" s="544" t="n">
        <v>34145</v>
      </c>
      <c r="B3527" s="538" t="n">
        <v>17.23</v>
      </c>
      <c r="C3527" s="538" t="n">
        <v>18.83</v>
      </c>
      <c r="D3527" s="538" t="n">
        <v>15.2</v>
      </c>
      <c r="E3527" s="538" t="n">
        <v>23.9</v>
      </c>
    </row>
    <row r="3528">
      <c r="A3528" s="544" t="n">
        <v>34148</v>
      </c>
      <c r="B3528" s="538" t="n">
        <v>17.23</v>
      </c>
      <c r="C3528" s="538" t="n">
        <v>18.89</v>
      </c>
      <c r="D3528" s="538" t="n">
        <v>15.28</v>
      </c>
      <c r="E3528" s="538" t="n">
        <v>23.9</v>
      </c>
    </row>
    <row r="3529">
      <c r="A3529" s="544" t="n">
        <v>34149</v>
      </c>
      <c r="B3529" s="538" t="n">
        <v>17.48</v>
      </c>
      <c r="C3529" s="538" t="n">
        <v>18.99</v>
      </c>
      <c r="D3529" s="538" t="n">
        <v>15.43</v>
      </c>
      <c r="E3529" s="538" t="n">
        <v>23.9</v>
      </c>
    </row>
    <row r="3530">
      <c r="A3530" s="544" t="n">
        <v>34150</v>
      </c>
      <c r="B3530" s="538" t="n">
        <v>17.43</v>
      </c>
      <c r="C3530" s="538" t="n">
        <v>18.82</v>
      </c>
      <c r="D3530" s="538" t="n">
        <v>15.18</v>
      </c>
      <c r="E3530" s="538" t="n">
        <v>23.9</v>
      </c>
    </row>
    <row r="3531">
      <c r="A3531" s="544" t="n">
        <v>34151</v>
      </c>
      <c r="B3531" s="538" t="n">
        <v>16.98</v>
      </c>
      <c r="C3531" s="538" t="n">
        <v>18.44</v>
      </c>
      <c r="D3531" s="538" t="n">
        <v>14.68</v>
      </c>
      <c r="E3531" s="538" t="n">
        <v>23.9</v>
      </c>
    </row>
    <row r="3532">
      <c r="A3532" s="544" t="n">
        <v>34152</v>
      </c>
      <c r="B3532" s="538" t="n">
        <v>16.63</v>
      </c>
      <c r="C3532" s="538" t="n">
        <v>17.93</v>
      </c>
      <c r="D3532" s="538" t="n">
        <v>14.33</v>
      </c>
      <c r="E3532" s="538" t="n">
        <v>23.5</v>
      </c>
    </row>
    <row r="3533">
      <c r="A3533" s="544" t="n">
        <v>34155</v>
      </c>
      <c r="B3533" s="538" t="n">
        <v>16.88</v>
      </c>
      <c r="C3533" s="538" t="n">
        <v>17.93</v>
      </c>
      <c r="D3533" s="538" t="n">
        <v>14.33</v>
      </c>
      <c r="E3533" s="538" t="n">
        <v>23.2</v>
      </c>
    </row>
    <row r="3534">
      <c r="A3534" s="544" t="n">
        <v>34156</v>
      </c>
      <c r="B3534" s="538" t="n">
        <v>17.13</v>
      </c>
      <c r="C3534" s="538" t="n">
        <v>18.29</v>
      </c>
      <c r="D3534" s="538" t="n">
        <v>14.73</v>
      </c>
      <c r="E3534" s="538" t="n">
        <v>23.2</v>
      </c>
    </row>
    <row r="3535">
      <c r="A3535" s="544" t="n">
        <v>34157</v>
      </c>
      <c r="B3535" s="538" t="n">
        <v>16.9</v>
      </c>
      <c r="C3535" s="538" t="n">
        <v>18.06</v>
      </c>
      <c r="D3535" s="538" t="n">
        <v>14.63</v>
      </c>
      <c r="E3535" s="538" t="n">
        <v>23.2</v>
      </c>
    </row>
    <row r="3536">
      <c r="A3536" s="544" t="n">
        <v>34158</v>
      </c>
      <c r="B3536" s="538" t="n">
        <v>16.55</v>
      </c>
      <c r="C3536" s="538" t="n">
        <v>17.79</v>
      </c>
      <c r="D3536" s="538" t="n">
        <v>14.33</v>
      </c>
      <c r="E3536" s="538" t="n">
        <v>23.2</v>
      </c>
    </row>
    <row r="3537">
      <c r="A3537" s="544" t="n">
        <v>34159</v>
      </c>
      <c r="B3537" s="538" t="n">
        <v>16.53</v>
      </c>
      <c r="C3537" s="538" t="n">
        <v>17.92</v>
      </c>
      <c r="D3537" s="538" t="n">
        <v>14.35</v>
      </c>
      <c r="E3537" s="538" t="n">
        <v>23.2</v>
      </c>
    </row>
    <row r="3538">
      <c r="A3538" s="544" t="n">
        <v>34162</v>
      </c>
      <c r="B3538" s="538" t="n">
        <v>16.78</v>
      </c>
      <c r="C3538" s="538" t="n">
        <v>18.12</v>
      </c>
      <c r="D3538" s="538" t="n">
        <v>14.55</v>
      </c>
      <c r="E3538" s="538" t="n">
        <v>23.3</v>
      </c>
    </row>
    <row r="3539">
      <c r="A3539" s="544" t="n">
        <v>34163</v>
      </c>
      <c r="B3539" s="538" t="n">
        <v>16.95</v>
      </c>
      <c r="C3539" s="538" t="n">
        <v>18.05</v>
      </c>
      <c r="D3539" s="538" t="n">
        <v>14.53</v>
      </c>
      <c r="E3539" s="538" t="n">
        <v>23.3</v>
      </c>
    </row>
    <row r="3540">
      <c r="A3540" s="544" t="n">
        <v>34164</v>
      </c>
      <c r="B3540" s="538" t="n">
        <v>16.5</v>
      </c>
      <c r="C3540" s="538" t="n">
        <v>17.43</v>
      </c>
      <c r="D3540" s="538" t="n">
        <v>13.88</v>
      </c>
      <c r="E3540" s="538" t="n">
        <v>23.3</v>
      </c>
    </row>
    <row r="3541">
      <c r="A3541" s="544" t="n">
        <v>34165</v>
      </c>
      <c r="B3541" s="538" t="n">
        <v>16.48</v>
      </c>
      <c r="C3541" s="538" t="n">
        <v>17.73</v>
      </c>
      <c r="D3541" s="538" t="n">
        <v>14.08</v>
      </c>
      <c r="E3541" s="538" t="n">
        <v>23.3</v>
      </c>
    </row>
    <row r="3542">
      <c r="A3542" s="544" t="n">
        <v>34166</v>
      </c>
      <c r="B3542" s="538" t="n">
        <v>16.6</v>
      </c>
      <c r="C3542" s="538" t="n">
        <v>17.29</v>
      </c>
      <c r="D3542" s="538" t="n">
        <v>13.65</v>
      </c>
      <c r="E3542" s="538" t="n">
        <v>23.3</v>
      </c>
    </row>
    <row r="3543">
      <c r="A3543" s="544" t="n">
        <v>34169</v>
      </c>
      <c r="B3543" s="538" t="n">
        <v>16.58</v>
      </c>
      <c r="C3543" s="538" t="n">
        <v>17.68</v>
      </c>
      <c r="D3543" s="538" t="n">
        <v>14.28</v>
      </c>
      <c r="E3543" s="538" t="n">
        <v>23.3</v>
      </c>
    </row>
    <row r="3544">
      <c r="A3544" s="544" t="n">
        <v>34170</v>
      </c>
      <c r="B3544" s="538" t="n">
        <v>16.58</v>
      </c>
      <c r="C3544" s="538" t="n">
        <v>17.2</v>
      </c>
      <c r="D3544" s="538" t="n">
        <v>13.9</v>
      </c>
      <c r="E3544" s="538" t="n">
        <v>23.3</v>
      </c>
    </row>
    <row r="3545">
      <c r="A3545" s="544" t="n">
        <v>34171</v>
      </c>
      <c r="B3545" s="538" t="n">
        <v>16.73</v>
      </c>
      <c r="C3545" s="538" t="n">
        <v>17.6</v>
      </c>
      <c r="D3545" s="538" t="n">
        <v>14.15</v>
      </c>
      <c r="E3545" s="538" t="n">
        <v>23.3</v>
      </c>
    </row>
    <row r="3546">
      <c r="A3546" s="544" t="n">
        <v>34172</v>
      </c>
      <c r="B3546" s="538" t="n">
        <v>16.65</v>
      </c>
      <c r="C3546" s="538" t="n">
        <v>17.57</v>
      </c>
      <c r="D3546" s="538" t="n">
        <v>13.9</v>
      </c>
      <c r="E3546" s="538" t="n">
        <v>23.3</v>
      </c>
    </row>
    <row r="3547">
      <c r="A3547" s="544" t="n">
        <v>34173</v>
      </c>
      <c r="B3547" s="538" t="n">
        <v>16.85</v>
      </c>
      <c r="C3547" s="538" t="n">
        <v>17.67</v>
      </c>
      <c r="D3547" s="538" t="n">
        <v>13.98</v>
      </c>
      <c r="E3547" s="538" t="n">
        <v>23.3</v>
      </c>
    </row>
    <row r="3548">
      <c r="A3548" s="544" t="n">
        <v>34176</v>
      </c>
      <c r="B3548" s="538" t="n">
        <v>16.85</v>
      </c>
      <c r="C3548" s="538" t="n">
        <v>18.11</v>
      </c>
      <c r="D3548" s="538" t="n">
        <v>13.98</v>
      </c>
      <c r="E3548" s="538" t="n">
        <v>23.3</v>
      </c>
    </row>
    <row r="3549">
      <c r="A3549" s="544" t="n">
        <v>34177</v>
      </c>
      <c r="B3549" s="538" t="n">
        <v>16.85</v>
      </c>
      <c r="C3549" s="538" t="n">
        <v>18.5</v>
      </c>
      <c r="D3549" s="538" t="n">
        <v>13.98</v>
      </c>
      <c r="E3549" s="538" t="n">
        <v>23.3</v>
      </c>
    </row>
    <row r="3550">
      <c r="A3550" s="544" t="n">
        <v>34178</v>
      </c>
      <c r="B3550" s="538" t="n">
        <v>17.13</v>
      </c>
      <c r="C3550" s="538" t="n">
        <v>18.25</v>
      </c>
      <c r="D3550" s="538" t="n">
        <v>13.98</v>
      </c>
      <c r="E3550" s="538" t="n">
        <v>23.3</v>
      </c>
    </row>
    <row r="3551">
      <c r="A3551" s="544" t="n">
        <v>34179</v>
      </c>
      <c r="B3551" s="538" t="n">
        <v>17.08</v>
      </c>
      <c r="C3551" s="538" t="n">
        <v>18.12</v>
      </c>
      <c r="D3551" s="538" t="n">
        <v>13.98</v>
      </c>
      <c r="E3551" s="538" t="n">
        <v>23.3</v>
      </c>
    </row>
    <row r="3552">
      <c r="A3552" s="544" t="n">
        <v>34180</v>
      </c>
      <c r="B3552" s="538" t="n">
        <v>16.85</v>
      </c>
      <c r="C3552" s="538" t="n">
        <v>17.94</v>
      </c>
      <c r="D3552" s="538" t="n">
        <v>13.98</v>
      </c>
      <c r="E3552" s="538" t="n">
        <v>22.8</v>
      </c>
    </row>
    <row r="3553">
      <c r="A3553" s="544" t="n">
        <v>34183</v>
      </c>
      <c r="B3553" s="538" t="n">
        <v>16.85</v>
      </c>
      <c r="C3553" s="538" t="n">
        <v>17.9</v>
      </c>
      <c r="D3553" s="538" t="n">
        <v>13.98</v>
      </c>
      <c r="E3553" s="538" t="n">
        <v>22.6</v>
      </c>
    </row>
    <row r="3554">
      <c r="A3554" s="544" t="n">
        <v>34184</v>
      </c>
      <c r="B3554" s="538" t="n">
        <v>16.53</v>
      </c>
      <c r="C3554" s="538" t="n">
        <v>17.81</v>
      </c>
      <c r="D3554" s="538" t="n">
        <v>13.98</v>
      </c>
      <c r="E3554" s="538" t="n">
        <v>22.5</v>
      </c>
    </row>
    <row r="3555">
      <c r="A3555" s="544" t="n">
        <v>34185</v>
      </c>
      <c r="B3555" s="538" t="n">
        <v>16.63</v>
      </c>
      <c r="C3555" s="538" t="n">
        <v>17.82</v>
      </c>
      <c r="D3555" s="538" t="n">
        <v>13.98</v>
      </c>
      <c r="E3555" s="538" t="n">
        <v>22.4</v>
      </c>
    </row>
    <row r="3556">
      <c r="A3556" s="544" t="n">
        <v>34186</v>
      </c>
      <c r="B3556" s="538" t="n">
        <v>16.6</v>
      </c>
      <c r="C3556" s="538" t="n">
        <v>17.54</v>
      </c>
      <c r="D3556" s="538" t="n">
        <v>13.98</v>
      </c>
      <c r="E3556" s="538" t="n">
        <v>22.4</v>
      </c>
    </row>
    <row r="3557">
      <c r="A3557" s="544" t="n">
        <v>34187</v>
      </c>
      <c r="B3557" s="538" t="n">
        <v>16.38</v>
      </c>
      <c r="C3557" s="538" t="n">
        <v>17.3</v>
      </c>
      <c r="D3557" s="538" t="n">
        <v>14.13</v>
      </c>
      <c r="E3557" s="538" t="n">
        <v>22.4</v>
      </c>
    </row>
    <row r="3558">
      <c r="A3558" s="544" t="n">
        <v>34190</v>
      </c>
      <c r="B3558" s="538" t="n">
        <v>16.45</v>
      </c>
      <c r="C3558" s="538" t="n">
        <v>17.58</v>
      </c>
      <c r="D3558" s="538" t="n">
        <v>14.5</v>
      </c>
      <c r="E3558" s="538" t="n">
        <v>22.4</v>
      </c>
    </row>
    <row r="3559">
      <c r="A3559" s="544" t="n">
        <v>34191</v>
      </c>
      <c r="B3559" s="538" t="n">
        <v>16.3</v>
      </c>
      <c r="C3559" s="538" t="n">
        <v>17.58</v>
      </c>
      <c r="D3559" s="538" t="n">
        <v>14.6</v>
      </c>
      <c r="E3559" s="538" t="n">
        <v>22.4</v>
      </c>
    </row>
    <row r="3560">
      <c r="A3560" s="544" t="n">
        <v>34192</v>
      </c>
      <c r="B3560" s="538" t="n">
        <v>16.58</v>
      </c>
      <c r="C3560" s="538" t="n">
        <v>17.87</v>
      </c>
      <c r="D3560" s="538" t="n">
        <v>14.8</v>
      </c>
      <c r="E3560" s="538" t="n">
        <v>22.4</v>
      </c>
    </row>
    <row r="3561">
      <c r="A3561" s="544" t="n">
        <v>34193</v>
      </c>
      <c r="B3561" s="538" t="n">
        <v>16.78</v>
      </c>
      <c r="C3561" s="538" t="n">
        <v>18.16</v>
      </c>
      <c r="D3561" s="538" t="n">
        <v>15.05</v>
      </c>
      <c r="E3561" s="538" t="n">
        <v>22.5</v>
      </c>
    </row>
    <row r="3562">
      <c r="A3562" s="544" t="n">
        <v>34194</v>
      </c>
      <c r="B3562" s="538" t="n">
        <v>16.93</v>
      </c>
      <c r="C3562" s="538" t="n">
        <v>18.14</v>
      </c>
      <c r="D3562" s="538" t="n">
        <v>14.95</v>
      </c>
      <c r="E3562" s="538" t="n">
        <v>22.5</v>
      </c>
    </row>
    <row r="3563">
      <c r="A3563" s="544" t="n">
        <v>34197</v>
      </c>
      <c r="B3563" s="538" t="n">
        <v>16.8</v>
      </c>
      <c r="C3563" s="538" t="n">
        <v>17.84</v>
      </c>
      <c r="D3563" s="538" t="n">
        <v>14.9</v>
      </c>
      <c r="E3563" s="538" t="n">
        <v>22.6</v>
      </c>
    </row>
    <row r="3564">
      <c r="A3564" s="544" t="n">
        <v>34198</v>
      </c>
      <c r="B3564" s="538" t="n">
        <v>16.88</v>
      </c>
      <c r="C3564" s="538" t="n">
        <v>17.95</v>
      </c>
      <c r="D3564" s="538" t="n">
        <v>14.93</v>
      </c>
      <c r="E3564" s="538" t="n">
        <v>22.8</v>
      </c>
    </row>
    <row r="3565">
      <c r="A3565" s="544" t="n">
        <v>34199</v>
      </c>
      <c r="B3565" s="538" t="n">
        <v>16.63</v>
      </c>
      <c r="C3565" s="538" t="n">
        <v>17.68</v>
      </c>
      <c r="D3565" s="538" t="n">
        <v>15.1</v>
      </c>
      <c r="E3565" s="538" t="n">
        <v>22.8</v>
      </c>
    </row>
    <row r="3566">
      <c r="A3566" s="544" t="n">
        <v>34200</v>
      </c>
      <c r="B3566" s="538" t="n">
        <v>16.63</v>
      </c>
      <c r="C3566" s="538" t="n">
        <v>17.64</v>
      </c>
      <c r="D3566" s="538" t="n">
        <v>15.1</v>
      </c>
      <c r="E3566" s="538" t="n">
        <v>22.7</v>
      </c>
    </row>
    <row r="3567">
      <c r="A3567" s="544" t="n">
        <v>34201</v>
      </c>
      <c r="B3567" s="538" t="n">
        <v>16.68</v>
      </c>
      <c r="C3567" s="538" t="n">
        <v>18.09</v>
      </c>
      <c r="D3567" s="538" t="n">
        <v>14.95</v>
      </c>
      <c r="E3567" s="538" t="n">
        <v>22.65</v>
      </c>
    </row>
    <row r="3568">
      <c r="A3568" s="544" t="n">
        <v>34204</v>
      </c>
      <c r="B3568" s="538" t="n">
        <v>16.83</v>
      </c>
      <c r="C3568" s="538" t="n">
        <v>18.42</v>
      </c>
      <c r="D3568" s="538" t="n">
        <v>14.55</v>
      </c>
      <c r="E3568" s="538" t="n">
        <v>22.65</v>
      </c>
    </row>
    <row r="3569">
      <c r="A3569" s="544" t="n">
        <v>34205</v>
      </c>
      <c r="B3569" s="538" t="n">
        <v>16.93</v>
      </c>
      <c r="C3569" s="538" t="n">
        <v>18.38</v>
      </c>
      <c r="D3569" s="538" t="n">
        <v>14.55</v>
      </c>
      <c r="E3569" s="538" t="n">
        <v>22.65</v>
      </c>
    </row>
    <row r="3570">
      <c r="A3570" s="544" t="n">
        <v>34206</v>
      </c>
      <c r="B3570" s="538" t="n">
        <v>16.68</v>
      </c>
      <c r="C3570" s="538" t="n">
        <v>18.45</v>
      </c>
      <c r="D3570" s="538" t="n">
        <v>14.53</v>
      </c>
      <c r="E3570" s="538" t="n">
        <v>22.65</v>
      </c>
    </row>
    <row r="3571">
      <c r="A3571" s="544" t="n">
        <v>34207</v>
      </c>
      <c r="B3571" s="538" t="n">
        <v>16.75</v>
      </c>
      <c r="C3571" s="538" t="n">
        <v>18.4</v>
      </c>
      <c r="D3571" s="538" t="n">
        <v>14.68</v>
      </c>
      <c r="E3571" s="538" t="n">
        <v>22.75</v>
      </c>
    </row>
    <row r="3572">
      <c r="A3572" s="544" t="n">
        <v>34208</v>
      </c>
      <c r="B3572" s="538" t="n">
        <v>17.05</v>
      </c>
      <c r="C3572" s="538" t="n">
        <v>18.82</v>
      </c>
      <c r="D3572" s="538" t="n">
        <v>14.98</v>
      </c>
      <c r="E3572" s="538" t="n">
        <v>22.75</v>
      </c>
    </row>
    <row r="3573">
      <c r="A3573" s="544" t="n">
        <v>34211</v>
      </c>
      <c r="B3573" s="538" t="n">
        <v>17.05</v>
      </c>
      <c r="C3573" s="538" t="n">
        <v>18.63</v>
      </c>
      <c r="D3573" s="538" t="n">
        <v>14.93</v>
      </c>
      <c r="E3573" s="538" t="n">
        <v>22.75</v>
      </c>
    </row>
    <row r="3574">
      <c r="A3574" s="544" t="n">
        <v>34212</v>
      </c>
      <c r="B3574" s="538" t="n">
        <v>16.73</v>
      </c>
      <c r="C3574" s="538" t="n">
        <v>18.24</v>
      </c>
      <c r="D3574" s="538" t="n">
        <v>14.73</v>
      </c>
      <c r="E3574" s="538" t="n">
        <v>22.7</v>
      </c>
    </row>
    <row r="3575">
      <c r="A3575" s="544" t="n">
        <v>34213</v>
      </c>
      <c r="B3575" s="538" t="n">
        <v>16.55</v>
      </c>
      <c r="C3575" s="538" t="n">
        <v>17.92</v>
      </c>
      <c r="D3575" s="538" t="n">
        <v>14.53</v>
      </c>
      <c r="E3575" s="538" t="n">
        <v>22.55</v>
      </c>
    </row>
    <row r="3576">
      <c r="A3576" s="544" t="n">
        <v>34214</v>
      </c>
      <c r="B3576" s="538" t="n">
        <v>16.5</v>
      </c>
      <c r="C3576" s="538" t="n">
        <v>17.97</v>
      </c>
      <c r="D3576" s="538" t="n">
        <v>14.43</v>
      </c>
      <c r="E3576" s="538" t="n">
        <v>22.55</v>
      </c>
    </row>
    <row r="3577">
      <c r="A3577" s="544" t="n">
        <v>34215</v>
      </c>
      <c r="B3577" s="538" t="n">
        <v>16.33</v>
      </c>
      <c r="C3577" s="538" t="n">
        <v>17.72</v>
      </c>
      <c r="D3577" s="538" t="n">
        <v>14.43</v>
      </c>
      <c r="E3577" s="538" t="n">
        <v>22.45</v>
      </c>
    </row>
    <row r="3578">
      <c r="A3578" s="544" t="n">
        <v>34218</v>
      </c>
      <c r="B3578" s="538" t="n">
        <v>16.23</v>
      </c>
      <c r="C3578" s="538" t="n">
        <v>17.72</v>
      </c>
      <c r="D3578" s="538" t="n">
        <v>14.43</v>
      </c>
      <c r="E3578" s="538" t="n">
        <v>22.45</v>
      </c>
    </row>
    <row r="3579">
      <c r="A3579" s="544" t="n">
        <v>34219</v>
      </c>
      <c r="B3579" s="538" t="n">
        <v>15.85</v>
      </c>
      <c r="C3579" s="538" t="n">
        <v>17.14</v>
      </c>
      <c r="D3579" s="538" t="n">
        <v>13.9</v>
      </c>
      <c r="E3579" s="538" t="n">
        <v>22.25</v>
      </c>
    </row>
    <row r="3580">
      <c r="A3580" s="544" t="n">
        <v>34220</v>
      </c>
      <c r="B3580" s="538" t="n">
        <v>15.65</v>
      </c>
      <c r="C3580" s="538" t="n">
        <v>17</v>
      </c>
      <c r="D3580" s="538" t="n">
        <v>14.03</v>
      </c>
      <c r="E3580" s="538" t="n">
        <v>22.25</v>
      </c>
    </row>
    <row r="3581">
      <c r="A3581" s="544" t="n">
        <v>34221</v>
      </c>
      <c r="B3581" s="538" t="n">
        <v>15.73</v>
      </c>
      <c r="C3581" s="538" t="n">
        <v>16.97</v>
      </c>
      <c r="D3581" s="538" t="n">
        <v>13.98</v>
      </c>
      <c r="E3581" s="538" t="n">
        <v>22</v>
      </c>
    </row>
    <row r="3582">
      <c r="A3582" s="544" t="n">
        <v>34222</v>
      </c>
      <c r="B3582" s="538" t="n">
        <v>15.43</v>
      </c>
      <c r="C3582" s="538" t="n">
        <v>16.74</v>
      </c>
      <c r="D3582" s="538" t="n">
        <v>14.03</v>
      </c>
      <c r="E3582" s="538" t="n">
        <v>21.9</v>
      </c>
    </row>
    <row r="3583">
      <c r="A3583" s="544" t="n">
        <v>34225</v>
      </c>
      <c r="B3583" s="538" t="n">
        <v>15.43</v>
      </c>
      <c r="C3583" s="538" t="n">
        <v>16.98</v>
      </c>
      <c r="D3583" s="538" t="n">
        <v>13.9</v>
      </c>
      <c r="E3583" s="538" t="n">
        <v>21.9</v>
      </c>
    </row>
    <row r="3584">
      <c r="A3584" s="544" t="n">
        <v>34226</v>
      </c>
      <c r="B3584" s="538" t="n">
        <v>15.58</v>
      </c>
      <c r="C3584" s="538" t="n">
        <v>16.94</v>
      </c>
      <c r="D3584" s="538" t="n">
        <v>13.88</v>
      </c>
      <c r="E3584" s="538" t="n">
        <v>21.9</v>
      </c>
    </row>
    <row r="3585">
      <c r="A3585" s="544" t="n">
        <v>34227</v>
      </c>
      <c r="B3585" s="538" t="n">
        <v>15.35</v>
      </c>
      <c r="C3585" s="538" t="n">
        <v>16.85</v>
      </c>
      <c r="D3585" s="538" t="n">
        <v>13.7</v>
      </c>
      <c r="E3585" s="538" t="n">
        <v>21.9</v>
      </c>
    </row>
    <row r="3586">
      <c r="A3586" s="544" t="n">
        <v>34228</v>
      </c>
      <c r="B3586" s="538" t="n">
        <v>15.43</v>
      </c>
      <c r="C3586" s="538" t="n">
        <v>16.85</v>
      </c>
      <c r="D3586" s="538" t="n">
        <v>13.75</v>
      </c>
      <c r="E3586" s="538" t="n">
        <v>21.9</v>
      </c>
    </row>
    <row r="3587">
      <c r="A3587" s="544" t="n">
        <v>34229</v>
      </c>
      <c r="B3587" s="538" t="n">
        <v>15.55</v>
      </c>
      <c r="C3587" s="538" t="n">
        <v>17.1</v>
      </c>
      <c r="D3587" s="538" t="n">
        <v>13.88</v>
      </c>
      <c r="E3587" s="538" t="n">
        <v>21.9</v>
      </c>
    </row>
    <row r="3588">
      <c r="A3588" s="544" t="n">
        <v>34232</v>
      </c>
      <c r="B3588" s="538" t="n">
        <v>16.03</v>
      </c>
      <c r="C3588" s="538" t="n">
        <v>17.68</v>
      </c>
      <c r="D3588" s="538" t="n">
        <v>14.35</v>
      </c>
      <c r="E3588" s="538" t="n">
        <v>22</v>
      </c>
    </row>
    <row r="3589">
      <c r="A3589" s="544" t="n">
        <v>34233</v>
      </c>
      <c r="B3589" s="538" t="n">
        <v>16.25</v>
      </c>
      <c r="C3589" s="538" t="n">
        <v>18.12</v>
      </c>
      <c r="D3589" s="538" t="n">
        <v>14.28</v>
      </c>
      <c r="E3589" s="538" t="n">
        <v>22.2</v>
      </c>
    </row>
    <row r="3590">
      <c r="A3590" s="544" t="n">
        <v>34234</v>
      </c>
      <c r="B3590" s="538" t="n">
        <v>15.88</v>
      </c>
      <c r="C3590" s="538" t="n">
        <v>17.53</v>
      </c>
      <c r="D3590" s="538" t="n">
        <v>13.93</v>
      </c>
      <c r="E3590" s="538" t="n">
        <v>23</v>
      </c>
    </row>
    <row r="3591">
      <c r="A3591" s="544" t="n">
        <v>34235</v>
      </c>
      <c r="B3591" s="538" t="n">
        <v>15.88</v>
      </c>
      <c r="C3591" s="538" t="n">
        <v>17.52</v>
      </c>
      <c r="D3591" s="538" t="n">
        <v>13.9</v>
      </c>
      <c r="E3591" s="538" t="n">
        <v>23</v>
      </c>
    </row>
    <row r="3592">
      <c r="A3592" s="544" t="n">
        <v>34236</v>
      </c>
      <c r="B3592" s="538" t="n">
        <v>16.1</v>
      </c>
      <c r="C3592" s="538" t="n">
        <v>17.52</v>
      </c>
      <c r="D3592" s="538" t="n">
        <v>13.85</v>
      </c>
      <c r="E3592" s="538" t="n">
        <v>23.1</v>
      </c>
    </row>
    <row r="3593">
      <c r="A3593" s="544" t="n">
        <v>34239</v>
      </c>
      <c r="B3593" s="538" t="n">
        <v>16.1</v>
      </c>
      <c r="C3593" s="538" t="n">
        <v>17.52</v>
      </c>
      <c r="D3593" s="538" t="n">
        <v>13.98</v>
      </c>
      <c r="E3593" s="538" t="n">
        <v>23.1</v>
      </c>
    </row>
    <row r="3594">
      <c r="A3594" s="544" t="n">
        <v>34240</v>
      </c>
      <c r="B3594" s="538" t="n">
        <v>16.4</v>
      </c>
      <c r="C3594" s="538" t="n">
        <v>18.07</v>
      </c>
      <c r="D3594" s="538" t="n">
        <v>14.28</v>
      </c>
      <c r="E3594" s="538" t="n">
        <v>23.4</v>
      </c>
    </row>
    <row r="3595">
      <c r="A3595" s="544" t="n">
        <v>34241</v>
      </c>
      <c r="B3595" s="538" t="n">
        <v>16.78</v>
      </c>
      <c r="C3595" s="538" t="n">
        <v>18.73</v>
      </c>
      <c r="D3595" s="538" t="n">
        <v>14.88</v>
      </c>
      <c r="E3595" s="538" t="n">
        <v>23.6</v>
      </c>
    </row>
    <row r="3596">
      <c r="A3596" s="544" t="n">
        <v>34242</v>
      </c>
      <c r="B3596" s="538" t="n">
        <v>17.23</v>
      </c>
      <c r="C3596" s="538" t="n">
        <v>18.72</v>
      </c>
      <c r="D3596" s="538" t="n">
        <v>14.93</v>
      </c>
      <c r="E3596" s="538" t="n">
        <v>24.3</v>
      </c>
    </row>
    <row r="3597">
      <c r="A3597" s="544" t="n">
        <v>34243</v>
      </c>
      <c r="B3597" s="538" t="n">
        <v>17.08</v>
      </c>
      <c r="C3597" s="538" t="n">
        <v>18.63</v>
      </c>
      <c r="D3597" s="538" t="n">
        <v>15.03</v>
      </c>
      <c r="E3597" s="538" t="n">
        <v>24.4</v>
      </c>
    </row>
    <row r="3598">
      <c r="A3598" s="544" t="n">
        <v>34246</v>
      </c>
      <c r="B3598" s="538" t="n">
        <v>16.9</v>
      </c>
      <c r="C3598" s="538" t="n">
        <v>18.4</v>
      </c>
      <c r="D3598" s="538" t="n">
        <v>14.83</v>
      </c>
      <c r="E3598" s="538" t="n">
        <v>24.5</v>
      </c>
    </row>
    <row r="3599">
      <c r="A3599" s="544" t="n">
        <v>34247</v>
      </c>
      <c r="B3599" s="538" t="n">
        <v>16.78</v>
      </c>
      <c r="C3599" s="538" t="n">
        <v>18.43</v>
      </c>
      <c r="D3599" s="538" t="n">
        <v>14.83</v>
      </c>
      <c r="E3599" s="538" t="n">
        <v>24.8</v>
      </c>
    </row>
    <row r="3600">
      <c r="A3600" s="544" t="n">
        <v>34248</v>
      </c>
      <c r="B3600" s="538" t="n">
        <v>16.98</v>
      </c>
      <c r="C3600" s="538" t="n">
        <v>18.43</v>
      </c>
      <c r="D3600" s="538" t="n">
        <v>14.95</v>
      </c>
      <c r="E3600" s="538" t="n">
        <v>24.7</v>
      </c>
    </row>
    <row r="3601">
      <c r="A3601" s="544" t="n">
        <v>34249</v>
      </c>
      <c r="B3601" s="538" t="n">
        <v>16.88</v>
      </c>
      <c r="C3601" s="538" t="n">
        <v>18.49</v>
      </c>
      <c r="D3601" s="538" t="n">
        <v>15.1</v>
      </c>
      <c r="E3601" s="538" t="n">
        <v>24.7</v>
      </c>
    </row>
    <row r="3602">
      <c r="A3602" s="544" t="n">
        <v>34250</v>
      </c>
      <c r="B3602" s="538" t="n">
        <v>16.98</v>
      </c>
      <c r="C3602" s="538" t="n">
        <v>18.53</v>
      </c>
      <c r="D3602" s="538" t="n">
        <v>15.03</v>
      </c>
      <c r="E3602" s="538" t="n">
        <v>24.7</v>
      </c>
    </row>
    <row r="3603">
      <c r="A3603" s="544" t="n">
        <v>34253</v>
      </c>
      <c r="B3603" s="538" t="n">
        <v>17.13</v>
      </c>
      <c r="C3603" s="538" t="n">
        <v>18.76</v>
      </c>
      <c r="D3603" s="538" t="n">
        <v>15.28</v>
      </c>
      <c r="E3603" s="538" t="n">
        <v>24.9</v>
      </c>
    </row>
    <row r="3604">
      <c r="A3604" s="544" t="n">
        <v>34254</v>
      </c>
      <c r="B3604" s="538" t="n">
        <v>17.15</v>
      </c>
      <c r="C3604" s="538" t="n">
        <v>18.7</v>
      </c>
      <c r="D3604" s="538" t="n">
        <v>15.18</v>
      </c>
      <c r="E3604" s="538" t="n">
        <v>25.1</v>
      </c>
    </row>
    <row r="3605">
      <c r="A3605" s="544" t="n">
        <v>34255</v>
      </c>
      <c r="B3605" s="538" t="n">
        <v>17</v>
      </c>
      <c r="C3605" s="538" t="n">
        <v>18.65</v>
      </c>
      <c r="D3605" s="538" t="n">
        <v>15.08</v>
      </c>
      <c r="E3605" s="538" t="n">
        <v>25</v>
      </c>
    </row>
    <row r="3606">
      <c r="A3606" s="544" t="n">
        <v>34256</v>
      </c>
      <c r="B3606" s="538" t="n">
        <v>16.8</v>
      </c>
      <c r="C3606" s="538" t="n">
        <v>18.5</v>
      </c>
      <c r="D3606" s="538" t="n">
        <v>15.08</v>
      </c>
      <c r="E3606" s="538" t="n">
        <v>25</v>
      </c>
    </row>
    <row r="3607">
      <c r="A3607" s="544" t="n">
        <v>34257</v>
      </c>
      <c r="B3607" s="538" t="n">
        <v>16.7</v>
      </c>
      <c r="C3607" s="538" t="n">
        <v>18.24</v>
      </c>
      <c r="D3607" s="538" t="n">
        <v>14.9</v>
      </c>
      <c r="E3607" s="538" t="n">
        <v>25</v>
      </c>
    </row>
    <row r="3608">
      <c r="A3608" s="544" t="n">
        <v>34260</v>
      </c>
      <c r="B3608" s="538" t="n">
        <v>16.5</v>
      </c>
      <c r="C3608" s="538" t="n">
        <v>18.13</v>
      </c>
      <c r="D3608" s="538" t="n">
        <v>14.6</v>
      </c>
      <c r="E3608" s="538" t="n">
        <v>25</v>
      </c>
    </row>
    <row r="3609">
      <c r="A3609" s="544" t="n">
        <v>34261</v>
      </c>
      <c r="B3609" s="538" t="n">
        <v>16.53</v>
      </c>
      <c r="C3609" s="538" t="n">
        <v>18.04</v>
      </c>
      <c r="D3609" s="538" t="n">
        <v>14.7</v>
      </c>
      <c r="E3609" s="538" t="n">
        <v>25.15</v>
      </c>
    </row>
    <row r="3610">
      <c r="A3610" s="544" t="n">
        <v>34262</v>
      </c>
      <c r="B3610" s="538" t="n">
        <v>16.68</v>
      </c>
      <c r="C3610" s="538" t="n">
        <v>18.25</v>
      </c>
      <c r="D3610" s="538" t="n">
        <v>14.8</v>
      </c>
      <c r="E3610" s="538" t="n">
        <v>25.15</v>
      </c>
    </row>
    <row r="3611">
      <c r="A3611" s="544" t="n">
        <v>34263</v>
      </c>
      <c r="B3611" s="538" t="n">
        <v>16.88</v>
      </c>
      <c r="C3611" s="538" t="n">
        <v>18.28</v>
      </c>
      <c r="D3611" s="538" t="n">
        <v>14.85</v>
      </c>
      <c r="E3611" s="538" t="n">
        <v>25.15</v>
      </c>
    </row>
    <row r="3612">
      <c r="A3612" s="544" t="n">
        <v>34264</v>
      </c>
      <c r="B3612" s="538" t="n">
        <v>16.48</v>
      </c>
      <c r="C3612" s="538" t="n">
        <v>17.92</v>
      </c>
      <c r="D3612" s="538" t="n">
        <v>14.7</v>
      </c>
      <c r="E3612" s="538" t="n">
        <v>25.3</v>
      </c>
    </row>
    <row r="3613">
      <c r="A3613" s="544" t="n">
        <v>34267</v>
      </c>
      <c r="B3613" s="538" t="n">
        <v>16.13</v>
      </c>
      <c r="C3613" s="538" t="n">
        <v>17.36</v>
      </c>
      <c r="D3613" s="538" t="n">
        <v>14.23</v>
      </c>
      <c r="E3613" s="538" t="n">
        <v>25.3</v>
      </c>
    </row>
    <row r="3614">
      <c r="A3614" s="544" t="n">
        <v>34268</v>
      </c>
      <c r="B3614" s="538" t="n">
        <v>15.95</v>
      </c>
      <c r="C3614" s="538" t="n">
        <v>17.55</v>
      </c>
      <c r="D3614" s="538" t="n">
        <v>14.33</v>
      </c>
      <c r="E3614" s="538" t="n">
        <v>25.1</v>
      </c>
    </row>
    <row r="3615">
      <c r="A3615" s="544" t="n">
        <v>34269</v>
      </c>
      <c r="B3615" s="538" t="n">
        <v>15.95</v>
      </c>
      <c r="C3615" s="538" t="n">
        <v>17.66</v>
      </c>
      <c r="D3615" s="538" t="n">
        <v>14.43</v>
      </c>
      <c r="E3615" s="538" t="n">
        <v>25.1</v>
      </c>
    </row>
    <row r="3616">
      <c r="A3616" s="544" t="n">
        <v>34270</v>
      </c>
      <c r="B3616" s="538" t="n">
        <v>15.83</v>
      </c>
      <c r="C3616" s="538" t="n">
        <v>17.3</v>
      </c>
      <c r="D3616" s="538" t="n">
        <v>14.08</v>
      </c>
      <c r="E3616" s="538" t="n">
        <v>25.1</v>
      </c>
    </row>
    <row r="3617">
      <c r="A3617" s="544" t="n">
        <v>34271</v>
      </c>
      <c r="B3617" s="538" t="n">
        <v>15.43</v>
      </c>
      <c r="C3617" s="538" t="n">
        <v>16.97</v>
      </c>
      <c r="D3617" s="538" t="n">
        <v>13.83</v>
      </c>
      <c r="E3617" s="538" t="n">
        <v>25.1</v>
      </c>
    </row>
    <row r="3618">
      <c r="A3618" s="544" t="n">
        <v>34274</v>
      </c>
      <c r="B3618" s="538" t="n">
        <v>15.83</v>
      </c>
      <c r="C3618" s="538" t="n">
        <v>17.5</v>
      </c>
      <c r="D3618" s="538" t="n">
        <v>14.43</v>
      </c>
      <c r="E3618" s="538" t="n">
        <v>24.8</v>
      </c>
    </row>
    <row r="3619">
      <c r="A3619" s="544" t="n">
        <v>34275</v>
      </c>
      <c r="B3619" s="538" t="n">
        <v>15.63</v>
      </c>
      <c r="C3619" s="538" t="n">
        <v>17.03</v>
      </c>
      <c r="D3619" s="538" t="n">
        <v>13.98</v>
      </c>
      <c r="E3619" s="538" t="n">
        <v>25</v>
      </c>
    </row>
    <row r="3620">
      <c r="A3620" s="544" t="n">
        <v>34276</v>
      </c>
      <c r="B3620" s="538" t="n">
        <v>15.83</v>
      </c>
      <c r="C3620" s="538" t="n">
        <v>17.47</v>
      </c>
      <c r="D3620" s="538" t="n">
        <v>14.43</v>
      </c>
      <c r="E3620" s="538" t="n">
        <v>24.85</v>
      </c>
    </row>
    <row r="3621">
      <c r="A3621" s="544" t="n">
        <v>34277</v>
      </c>
      <c r="B3621" s="538" t="n">
        <v>15.78</v>
      </c>
      <c r="C3621" s="538" t="n">
        <v>17.38</v>
      </c>
      <c r="D3621" s="538" t="n">
        <v>14.43</v>
      </c>
      <c r="E3621" s="538" t="n">
        <v>25</v>
      </c>
    </row>
    <row r="3622">
      <c r="A3622" s="544" t="n">
        <v>34278</v>
      </c>
      <c r="B3622" s="538" t="n">
        <v>15.73</v>
      </c>
      <c r="C3622" s="538" t="n">
        <v>17.09</v>
      </c>
      <c r="D3622" s="538" t="n">
        <v>14.18</v>
      </c>
      <c r="E3622" s="538" t="n">
        <v>24.9</v>
      </c>
    </row>
    <row r="3623">
      <c r="A3623" s="544" t="n">
        <v>34281</v>
      </c>
      <c r="B3623" s="538" t="n">
        <v>15.28</v>
      </c>
      <c r="C3623" s="538" t="n">
        <v>16.69</v>
      </c>
      <c r="D3623" s="538" t="n">
        <v>13.93</v>
      </c>
      <c r="E3623" s="538" t="n">
        <v>24.8</v>
      </c>
    </row>
    <row r="3624">
      <c r="A3624" s="544" t="n">
        <v>34282</v>
      </c>
      <c r="B3624" s="538" t="n">
        <v>15.33</v>
      </c>
      <c r="C3624" s="538" t="n">
        <v>16.71</v>
      </c>
      <c r="D3624" s="538" t="n">
        <v>13.93</v>
      </c>
      <c r="E3624" s="538" t="n">
        <v>24.3</v>
      </c>
    </row>
    <row r="3625">
      <c r="A3625" s="544" t="n">
        <v>34283</v>
      </c>
      <c r="B3625" s="538" t="n">
        <v>15.23</v>
      </c>
      <c r="C3625" s="538" t="n">
        <v>16.54</v>
      </c>
      <c r="D3625" s="538" t="n">
        <v>13.78</v>
      </c>
      <c r="E3625" s="538" t="n">
        <v>24.4</v>
      </c>
    </row>
    <row r="3626">
      <c r="A3626" s="544" t="n">
        <v>34284</v>
      </c>
      <c r="B3626" s="538" t="n">
        <v>15.18</v>
      </c>
      <c r="C3626" s="538" t="n">
        <v>16.91</v>
      </c>
      <c r="D3626" s="538" t="n">
        <v>14.18</v>
      </c>
      <c r="E3626" s="538" t="n">
        <v>24.4</v>
      </c>
    </row>
    <row r="3627">
      <c r="A3627" s="544" t="n">
        <v>34285</v>
      </c>
      <c r="B3627" s="538" t="n">
        <v>15.08</v>
      </c>
      <c r="C3627" s="538" t="n">
        <v>16.72</v>
      </c>
      <c r="D3627" s="538" t="n">
        <v>14.03</v>
      </c>
      <c r="E3627" s="538" t="n">
        <v>24.6</v>
      </c>
    </row>
    <row r="3628">
      <c r="A3628" s="544" t="n">
        <v>34288</v>
      </c>
      <c r="B3628" s="538" t="n">
        <v>15.25</v>
      </c>
      <c r="C3628" s="538" t="n">
        <v>16.78</v>
      </c>
      <c r="D3628" s="538" t="n">
        <v>14.05</v>
      </c>
      <c r="E3628" s="538" t="n">
        <v>24.6</v>
      </c>
    </row>
    <row r="3629">
      <c r="A3629" s="544" t="n">
        <v>34289</v>
      </c>
      <c r="B3629" s="538" t="n">
        <v>15.33</v>
      </c>
      <c r="C3629" s="538" t="n">
        <v>16.69</v>
      </c>
      <c r="D3629" s="538" t="n">
        <v>13.98</v>
      </c>
      <c r="E3629" s="538" t="n">
        <v>24.6</v>
      </c>
    </row>
    <row r="3630">
      <c r="A3630" s="544" t="n">
        <v>34290</v>
      </c>
      <c r="B3630" s="538" t="n">
        <v>15.55</v>
      </c>
      <c r="C3630" s="538" t="n">
        <v>17.08</v>
      </c>
      <c r="D3630" s="538" t="n">
        <v>14.18</v>
      </c>
      <c r="E3630" s="538" t="n">
        <v>24.6</v>
      </c>
    </row>
    <row r="3631">
      <c r="A3631" s="544" t="n">
        <v>34291</v>
      </c>
      <c r="B3631" s="538" t="n">
        <v>15.4</v>
      </c>
      <c r="C3631" s="538" t="n">
        <v>16.67</v>
      </c>
      <c r="D3631" s="538" t="n">
        <v>14.23</v>
      </c>
      <c r="E3631" s="538" t="n">
        <v>24.9</v>
      </c>
    </row>
    <row r="3632">
      <c r="A3632" s="544" t="n">
        <v>34292</v>
      </c>
      <c r="B3632" s="538" t="n">
        <v>15.25</v>
      </c>
      <c r="C3632" s="538" t="n">
        <v>16.55</v>
      </c>
      <c r="D3632" s="538" t="n">
        <v>14.18</v>
      </c>
      <c r="E3632" s="538" t="n">
        <v>24.9</v>
      </c>
    </row>
    <row r="3633">
      <c r="A3633" s="544" t="n">
        <v>34295</v>
      </c>
      <c r="B3633" s="538" t="n">
        <v>15.35</v>
      </c>
      <c r="C3633" s="538" t="n">
        <v>16.67</v>
      </c>
      <c r="D3633" s="538" t="n">
        <v>14.18</v>
      </c>
      <c r="E3633" s="538" t="n">
        <v>25</v>
      </c>
    </row>
    <row r="3634">
      <c r="A3634" s="544" t="n">
        <v>34296</v>
      </c>
      <c r="B3634" s="538" t="n">
        <v>15.25</v>
      </c>
      <c r="C3634" s="538" t="n">
        <v>16.39</v>
      </c>
      <c r="D3634" s="538" t="n">
        <v>13.78</v>
      </c>
      <c r="E3634" s="538" t="n">
        <v>25</v>
      </c>
    </row>
    <row r="3635">
      <c r="A3635" s="544" t="n">
        <v>34297</v>
      </c>
      <c r="B3635" s="538" t="n">
        <v>15.13</v>
      </c>
      <c r="C3635" s="538" t="n">
        <v>15.73</v>
      </c>
      <c r="D3635" s="538" t="n">
        <v>12.78</v>
      </c>
      <c r="E3635" s="538" t="n">
        <v>25.1</v>
      </c>
    </row>
    <row r="3636">
      <c r="A3636" s="544" t="n">
        <v>34298</v>
      </c>
      <c r="B3636" s="538" t="n">
        <v>14.35</v>
      </c>
      <c r="C3636" s="538" t="n">
        <v>15.73</v>
      </c>
      <c r="D3636" s="538" t="n">
        <v>12.78</v>
      </c>
      <c r="E3636" s="538" t="n">
        <v>24.6</v>
      </c>
    </row>
    <row r="3637">
      <c r="A3637" s="544" t="n">
        <v>34299</v>
      </c>
      <c r="B3637" s="538" t="n">
        <v>14.28</v>
      </c>
      <c r="C3637" s="538" t="n">
        <v>15.53</v>
      </c>
      <c r="D3637" s="538" t="n">
        <v>12.65</v>
      </c>
      <c r="E3637" s="538" t="n">
        <v>24.6</v>
      </c>
    </row>
    <row r="3638">
      <c r="A3638" s="544" t="n">
        <v>34302</v>
      </c>
      <c r="B3638" s="538" t="n">
        <v>14.05</v>
      </c>
      <c r="C3638" s="538" t="n">
        <v>15.3</v>
      </c>
      <c r="D3638" s="538" t="n">
        <v>12.48</v>
      </c>
      <c r="E3638" s="538" t="n">
        <v>24.4</v>
      </c>
    </row>
    <row r="3639">
      <c r="A3639" s="544" t="n">
        <v>34303</v>
      </c>
      <c r="B3639" s="538" t="n">
        <v>14.23</v>
      </c>
      <c r="C3639" s="538" t="n">
        <v>15.36</v>
      </c>
      <c r="D3639" s="538" t="n">
        <v>12.83</v>
      </c>
      <c r="E3639" s="538" t="n">
        <v>24.1</v>
      </c>
    </row>
    <row r="3640">
      <c r="A3640" s="544" t="n">
        <v>34304</v>
      </c>
      <c r="B3640" s="538" t="n">
        <v>14.43</v>
      </c>
      <c r="C3640" s="538" t="n">
        <v>15.45</v>
      </c>
      <c r="D3640" s="538" t="n">
        <v>12.88</v>
      </c>
      <c r="E3640" s="538" t="n">
        <v>24.1</v>
      </c>
    </row>
    <row r="3641">
      <c r="A3641" s="544" t="n">
        <v>34305</v>
      </c>
      <c r="B3641" s="538" t="n">
        <v>14.15</v>
      </c>
      <c r="C3641" s="538" t="n">
        <v>14.93</v>
      </c>
      <c r="D3641" s="538" t="n">
        <v>12.33</v>
      </c>
      <c r="E3641" s="538" t="n">
        <v>24.1</v>
      </c>
    </row>
    <row r="3642">
      <c r="A3642" s="544" t="n">
        <v>34306</v>
      </c>
      <c r="B3642" s="538" t="n">
        <v>13.95</v>
      </c>
      <c r="C3642" s="538" t="n">
        <v>15.03</v>
      </c>
      <c r="D3642" s="538" t="n">
        <v>12.53</v>
      </c>
      <c r="E3642" s="538" t="n">
        <v>23.9</v>
      </c>
    </row>
    <row r="3643">
      <c r="A3643" s="544" t="n">
        <v>34309</v>
      </c>
      <c r="B3643" s="538" t="n">
        <v>13.9</v>
      </c>
      <c r="C3643" s="538" t="n">
        <v>14.57</v>
      </c>
      <c r="D3643" s="538" t="n">
        <v>12</v>
      </c>
      <c r="E3643" s="538" t="n">
        <v>23.5</v>
      </c>
    </row>
    <row r="3644">
      <c r="A3644" s="544" t="n">
        <v>34310</v>
      </c>
      <c r="B3644" s="538" t="n">
        <v>13.88</v>
      </c>
      <c r="C3644" s="538" t="n">
        <v>14.53</v>
      </c>
      <c r="D3644" s="538" t="n">
        <v>11.98</v>
      </c>
      <c r="E3644" s="538" t="n">
        <v>23.2</v>
      </c>
    </row>
    <row r="3645">
      <c r="A3645" s="544" t="n">
        <v>34311</v>
      </c>
      <c r="B3645" s="538" t="n">
        <v>13.45</v>
      </c>
      <c r="C3645" s="538" t="n">
        <v>14.61</v>
      </c>
      <c r="D3645" s="538" t="n">
        <v>12.03</v>
      </c>
      <c r="E3645" s="538" t="n">
        <v>23.2</v>
      </c>
    </row>
    <row r="3646">
      <c r="A3646" s="544" t="n">
        <v>34312</v>
      </c>
      <c r="B3646" s="538" t="n">
        <v>13.6</v>
      </c>
      <c r="C3646" s="538" t="n">
        <v>14.65</v>
      </c>
      <c r="D3646" s="538" t="n">
        <v>12.2</v>
      </c>
      <c r="E3646" s="538" t="n">
        <v>22.5</v>
      </c>
    </row>
    <row r="3647">
      <c r="A3647" s="544" t="n">
        <v>34313</v>
      </c>
      <c r="B3647" s="538" t="n">
        <v>13.8</v>
      </c>
      <c r="C3647" s="538" t="n">
        <v>15.04</v>
      </c>
      <c r="D3647" s="538" t="n">
        <v>12.7</v>
      </c>
      <c r="E3647" s="538" t="n">
        <v>22.5</v>
      </c>
    </row>
    <row r="3648">
      <c r="A3648" s="544" t="n">
        <v>34316</v>
      </c>
      <c r="B3648" s="538" t="n">
        <v>13.9</v>
      </c>
      <c r="C3648" s="538" t="n">
        <v>14.5</v>
      </c>
      <c r="D3648" s="538" t="n">
        <v>12.13</v>
      </c>
      <c r="E3648" s="538" t="n">
        <v>22.7</v>
      </c>
    </row>
    <row r="3649">
      <c r="A3649" s="544" t="n">
        <v>34317</v>
      </c>
      <c r="B3649" s="538" t="n">
        <v>14.78</v>
      </c>
      <c r="C3649" s="538" t="n">
        <v>14.47</v>
      </c>
      <c r="D3649" s="538" t="n">
        <v>12</v>
      </c>
      <c r="E3649" s="538" t="n">
        <v>22.7</v>
      </c>
    </row>
    <row r="3650">
      <c r="A3650" s="544" t="n">
        <v>34318</v>
      </c>
      <c r="B3650" s="538" t="n">
        <v>13.8</v>
      </c>
      <c r="C3650" s="538" t="n">
        <v>14.39</v>
      </c>
      <c r="D3650" s="538" t="n">
        <v>12.25</v>
      </c>
      <c r="E3650" s="538" t="n">
        <v>22.5</v>
      </c>
    </row>
    <row r="3651">
      <c r="A3651" s="544" t="n">
        <v>34319</v>
      </c>
      <c r="B3651" s="538" t="n">
        <v>13.63</v>
      </c>
      <c r="C3651" s="538" t="n">
        <v>14.21</v>
      </c>
      <c r="D3651" s="538" t="n">
        <v>11.85</v>
      </c>
      <c r="E3651" s="538" t="n">
        <v>22.3</v>
      </c>
    </row>
    <row r="3652">
      <c r="A3652" s="544" t="n">
        <v>34320</v>
      </c>
      <c r="B3652" s="538" t="n">
        <v>13.85</v>
      </c>
      <c r="C3652" s="538" t="n">
        <v>13.98</v>
      </c>
      <c r="D3652" s="538" t="n">
        <v>11.73</v>
      </c>
      <c r="E3652" s="538" t="n">
        <v>22</v>
      </c>
    </row>
    <row r="3653">
      <c r="A3653" s="544" t="n">
        <v>34323</v>
      </c>
      <c r="B3653" s="538" t="n">
        <v>13.63</v>
      </c>
      <c r="C3653" s="538" t="n">
        <v>14.2</v>
      </c>
      <c r="D3653" s="538" t="n">
        <v>12.03</v>
      </c>
      <c r="E3653" s="538" t="n">
        <v>22</v>
      </c>
    </row>
    <row r="3654">
      <c r="A3654" s="544" t="n">
        <v>34324</v>
      </c>
      <c r="B3654" s="538" t="n">
        <v>13.45</v>
      </c>
      <c r="C3654" s="538" t="n">
        <v>14.32</v>
      </c>
      <c r="D3654" s="538" t="n">
        <v>12.08</v>
      </c>
      <c r="E3654" s="538" t="n">
        <v>22</v>
      </c>
    </row>
    <row r="3655">
      <c r="A3655" s="544" t="n">
        <v>34325</v>
      </c>
      <c r="B3655" s="538" t="n">
        <v>13.6</v>
      </c>
      <c r="C3655" s="538" t="n">
        <v>14.61</v>
      </c>
      <c r="D3655" s="538" t="n">
        <v>12.23</v>
      </c>
      <c r="E3655" s="538" t="n">
        <v>21.9</v>
      </c>
    </row>
    <row r="3656">
      <c r="A3656" s="544" t="n">
        <v>34326</v>
      </c>
      <c r="B3656" s="538" t="n">
        <v>13.55</v>
      </c>
      <c r="C3656" s="538" t="n">
        <v>14.48</v>
      </c>
      <c r="D3656" s="538" t="n">
        <v>12.53</v>
      </c>
      <c r="E3656" s="538" t="n">
        <v>22</v>
      </c>
    </row>
    <row r="3657">
      <c r="A3657" s="544" t="n">
        <v>34327</v>
      </c>
      <c r="B3657" s="538" t="n">
        <v>13.38</v>
      </c>
      <c r="C3657" s="538" t="n">
        <v>14.48</v>
      </c>
      <c r="D3657" s="538" t="n">
        <v>12.53</v>
      </c>
      <c r="E3657" s="538" t="n">
        <v>22.1</v>
      </c>
    </row>
    <row r="3658">
      <c r="A3658" s="544" t="n">
        <v>34330</v>
      </c>
      <c r="B3658" s="538" t="n">
        <v>13.38</v>
      </c>
      <c r="C3658" s="538" t="n">
        <v>14.09</v>
      </c>
      <c r="D3658" s="538" t="n">
        <v>12.35</v>
      </c>
      <c r="E3658" s="538" t="n">
        <v>22.1</v>
      </c>
    </row>
    <row r="3659">
      <c r="A3659" s="544" t="n">
        <v>34331</v>
      </c>
      <c r="B3659" s="538" t="n">
        <v>13.38</v>
      </c>
      <c r="C3659" s="538" t="n">
        <v>14.11</v>
      </c>
      <c r="D3659" s="538" t="n">
        <v>12.25</v>
      </c>
      <c r="E3659" s="538" t="n">
        <v>22.1</v>
      </c>
    </row>
    <row r="3660">
      <c r="A3660" s="544" t="n">
        <v>34332</v>
      </c>
      <c r="B3660" s="538" t="n">
        <v>13.13</v>
      </c>
      <c r="C3660" s="538" t="n">
        <v>14.45</v>
      </c>
      <c r="D3660" s="538" t="n">
        <v>12.38</v>
      </c>
      <c r="E3660" s="538" t="n">
        <v>22</v>
      </c>
    </row>
    <row r="3661">
      <c r="A3661" s="544" t="n">
        <v>34333</v>
      </c>
      <c r="B3661" s="538" t="n">
        <v>13.2</v>
      </c>
      <c r="C3661" s="538" t="n">
        <v>14.19</v>
      </c>
      <c r="D3661" s="538" t="n">
        <v>12.08</v>
      </c>
      <c r="E3661" s="538" t="n">
        <v>21.9</v>
      </c>
    </row>
    <row r="3662">
      <c r="A3662" s="544" t="n">
        <v>34334</v>
      </c>
      <c r="B3662" s="538" t="n">
        <v>13.18</v>
      </c>
      <c r="C3662" s="538" t="n">
        <v>14.19</v>
      </c>
      <c r="D3662" s="538" t="n">
        <v>12.08</v>
      </c>
      <c r="E3662" s="538" t="n">
        <v>21.8</v>
      </c>
    </row>
    <row r="3663">
      <c r="A3663" s="544" t="n">
        <v>34337</v>
      </c>
      <c r="B3663" s="538" t="n">
        <v>13.18</v>
      </c>
      <c r="C3663" s="538" t="n">
        <v>14.52</v>
      </c>
      <c r="D3663" s="538" t="n">
        <v>12.3</v>
      </c>
      <c r="E3663" s="538" t="n">
        <v>21.8</v>
      </c>
    </row>
    <row r="3664">
      <c r="A3664" s="544" t="n">
        <v>34338</v>
      </c>
      <c r="B3664" s="538" t="n">
        <v>13.43</v>
      </c>
      <c r="C3664" s="538" t="n">
        <v>14.66</v>
      </c>
      <c r="D3664" s="538" t="n">
        <v>12.53</v>
      </c>
      <c r="E3664" s="538" t="n">
        <v>21.9</v>
      </c>
    </row>
    <row r="3665">
      <c r="A3665" s="544" t="n">
        <v>34339</v>
      </c>
      <c r="B3665" s="538" t="n">
        <v>14.1</v>
      </c>
      <c r="C3665" s="538" t="n">
        <v>15.3</v>
      </c>
      <c r="D3665" s="538" t="n">
        <v>13.18</v>
      </c>
      <c r="E3665" s="538" t="n">
        <v>21.9</v>
      </c>
    </row>
    <row r="3666">
      <c r="A3666" s="544" t="n">
        <v>34340</v>
      </c>
      <c r="B3666" s="538" t="n">
        <v>14.55</v>
      </c>
      <c r="C3666" s="538" t="n">
        <v>15.36</v>
      </c>
      <c r="D3666" s="538" t="n">
        <v>13.38</v>
      </c>
      <c r="E3666" s="538" t="n">
        <v>22.3</v>
      </c>
    </row>
    <row r="3667">
      <c r="A3667" s="544" t="n">
        <v>34341</v>
      </c>
      <c r="B3667" s="538" t="n">
        <v>14.63</v>
      </c>
      <c r="C3667" s="538" t="n">
        <v>15.33</v>
      </c>
      <c r="D3667" s="538" t="n">
        <v>13.3</v>
      </c>
      <c r="E3667" s="538" t="n">
        <v>22.4</v>
      </c>
    </row>
    <row r="3668">
      <c r="A3668" s="544" t="n">
        <v>34344</v>
      </c>
      <c r="B3668" s="538" t="n">
        <v>14.15</v>
      </c>
      <c r="C3668" s="538" t="n">
        <v>14.65</v>
      </c>
      <c r="D3668" s="538" t="n">
        <v>12.78</v>
      </c>
      <c r="E3668" s="538" t="n">
        <v>22.4</v>
      </c>
    </row>
    <row r="3669">
      <c r="A3669" s="544" t="n">
        <v>34345</v>
      </c>
      <c r="B3669" s="538" t="n">
        <v>14.1</v>
      </c>
      <c r="C3669" s="538" t="n">
        <v>14.95</v>
      </c>
      <c r="D3669" s="538" t="n">
        <v>13.08</v>
      </c>
      <c r="E3669" s="538" t="n">
        <v>22.1</v>
      </c>
    </row>
    <row r="3670">
      <c r="A3670" s="544" t="n">
        <v>34346</v>
      </c>
      <c r="B3670" s="538" t="n">
        <v>13.9</v>
      </c>
      <c r="C3670" s="538" t="n">
        <v>14.36</v>
      </c>
      <c r="D3670" s="538" t="n">
        <v>12.83</v>
      </c>
      <c r="E3670" s="538" t="n">
        <v>22.3</v>
      </c>
    </row>
    <row r="3671">
      <c r="A3671" s="544" t="n">
        <v>34347</v>
      </c>
      <c r="B3671" s="538" t="n">
        <v>13.75</v>
      </c>
      <c r="C3671" s="538" t="n">
        <v>14.56</v>
      </c>
      <c r="D3671" s="538" t="n">
        <v>12.95</v>
      </c>
      <c r="E3671" s="538" t="n">
        <v>22</v>
      </c>
    </row>
    <row r="3672">
      <c r="A3672" s="544" t="n">
        <v>34348</v>
      </c>
      <c r="B3672" s="538" t="n">
        <v>14.1</v>
      </c>
      <c r="C3672" s="538" t="n">
        <v>14.81</v>
      </c>
      <c r="D3672" s="538" t="n">
        <v>13.1</v>
      </c>
      <c r="E3672" s="538" t="n">
        <v>22.6</v>
      </c>
    </row>
    <row r="3673">
      <c r="A3673" s="544" t="n">
        <v>34351</v>
      </c>
      <c r="B3673" s="538" t="n">
        <v>14.4</v>
      </c>
      <c r="C3673" s="538" t="n">
        <v>15.15</v>
      </c>
      <c r="D3673" s="538" t="n">
        <v>13.33</v>
      </c>
      <c r="E3673" s="538" t="n">
        <v>23.1</v>
      </c>
    </row>
    <row r="3674">
      <c r="A3674" s="544" t="n">
        <v>34352</v>
      </c>
      <c r="B3674" s="538" t="n">
        <v>14.1</v>
      </c>
      <c r="C3674" s="538" t="n">
        <v>14.92</v>
      </c>
      <c r="D3674" s="538" t="n">
        <v>13.08</v>
      </c>
      <c r="E3674" s="538" t="n">
        <v>23.1</v>
      </c>
    </row>
    <row r="3675">
      <c r="A3675" s="544" t="n">
        <v>34353</v>
      </c>
      <c r="B3675" s="538" t="n">
        <v>14.25</v>
      </c>
      <c r="C3675" s="538" t="n">
        <v>15.25</v>
      </c>
      <c r="D3675" s="538" t="n">
        <v>13.25</v>
      </c>
      <c r="E3675" s="538" t="n">
        <v>22.7</v>
      </c>
    </row>
    <row r="3676">
      <c r="A3676" s="544" t="n">
        <v>34354</v>
      </c>
      <c r="B3676" s="538" t="n">
        <v>14.1</v>
      </c>
      <c r="C3676" s="538" t="n">
        <v>14.95</v>
      </c>
      <c r="D3676" s="538" t="n">
        <v>13.08</v>
      </c>
      <c r="E3676" s="538" t="n">
        <v>22.9</v>
      </c>
    </row>
    <row r="3677">
      <c r="A3677" s="544" t="n">
        <v>34355</v>
      </c>
      <c r="B3677" s="538" t="n">
        <v>14.23</v>
      </c>
      <c r="C3677" s="538" t="n">
        <v>14.85</v>
      </c>
      <c r="D3677" s="538" t="n">
        <v>13.23</v>
      </c>
      <c r="E3677" s="538" t="n">
        <v>22.1</v>
      </c>
    </row>
    <row r="3678">
      <c r="A3678" s="544" t="n">
        <v>34358</v>
      </c>
      <c r="B3678" s="538" t="n">
        <v>14.35</v>
      </c>
      <c r="C3678" s="538" t="n">
        <v>15.09</v>
      </c>
      <c r="D3678" s="538" t="n">
        <v>13.53</v>
      </c>
      <c r="E3678" s="538" t="n">
        <v>22.1</v>
      </c>
    </row>
    <row r="3679">
      <c r="A3679" s="544" t="n">
        <v>34359</v>
      </c>
      <c r="B3679" s="538" t="n">
        <v>14.63</v>
      </c>
      <c r="C3679" s="538" t="n">
        <v>15.26</v>
      </c>
      <c r="D3679" s="538" t="n">
        <v>13.33</v>
      </c>
      <c r="E3679" s="538" t="n">
        <v>22.3</v>
      </c>
    </row>
    <row r="3680">
      <c r="A3680" s="544" t="n">
        <v>34360</v>
      </c>
      <c r="B3680" s="538" t="n">
        <v>14.8</v>
      </c>
      <c r="C3680" s="538" t="n">
        <v>15.5</v>
      </c>
      <c r="D3680" s="538" t="n">
        <v>13.48</v>
      </c>
      <c r="E3680" s="538" t="n">
        <v>22.3</v>
      </c>
    </row>
    <row r="3681">
      <c r="A3681" s="544" t="n">
        <v>34361</v>
      </c>
      <c r="B3681" s="538" t="n">
        <v>14.78</v>
      </c>
      <c r="C3681" s="538" t="n">
        <v>15.48</v>
      </c>
      <c r="D3681" s="538" t="n">
        <v>13.48</v>
      </c>
      <c r="E3681" s="538" t="n">
        <v>22.3</v>
      </c>
    </row>
    <row r="3682">
      <c r="A3682" s="544" t="n">
        <v>34362</v>
      </c>
      <c r="B3682" s="538" t="n">
        <v>14.65</v>
      </c>
      <c r="C3682" s="538" t="n">
        <v>15.37</v>
      </c>
      <c r="D3682" s="538" t="n">
        <v>13.53</v>
      </c>
      <c r="E3682" s="538" t="n">
        <v>22.2</v>
      </c>
    </row>
    <row r="3683">
      <c r="A3683" s="544" t="n">
        <v>34365</v>
      </c>
      <c r="B3683" s="538" t="n">
        <v>14.83</v>
      </c>
      <c r="C3683" s="538" t="n">
        <v>15.24</v>
      </c>
      <c r="D3683" s="538" t="n">
        <v>13.2</v>
      </c>
      <c r="E3683" s="538" t="n">
        <v>22</v>
      </c>
    </row>
    <row r="3684">
      <c r="A3684" s="544" t="n">
        <v>34366</v>
      </c>
      <c r="B3684" s="538" t="n">
        <v>15.03</v>
      </c>
      <c r="C3684" s="538" t="n">
        <v>15.91</v>
      </c>
      <c r="D3684" s="538" t="n">
        <v>13.73</v>
      </c>
      <c r="E3684" s="538" t="n">
        <v>21.9</v>
      </c>
    </row>
    <row r="3685">
      <c r="A3685" s="544" t="n">
        <v>34367</v>
      </c>
      <c r="B3685" s="538" t="n">
        <v>15.4</v>
      </c>
      <c r="C3685" s="538" t="n">
        <v>16.06</v>
      </c>
      <c r="D3685" s="538" t="n">
        <v>13.73</v>
      </c>
      <c r="E3685" s="538" t="n">
        <v>21.9</v>
      </c>
    </row>
    <row r="3686">
      <c r="A3686" s="544" t="n">
        <v>34368</v>
      </c>
      <c r="B3686" s="538" t="n">
        <v>15.48</v>
      </c>
      <c r="C3686" s="538" t="n">
        <v>15.97</v>
      </c>
      <c r="D3686" s="538" t="n">
        <v>13.53</v>
      </c>
      <c r="E3686" s="538" t="n">
        <v>22.35</v>
      </c>
    </row>
    <row r="3687">
      <c r="A3687" s="544" t="n">
        <v>34369</v>
      </c>
      <c r="B3687" s="538" t="n">
        <v>14.93</v>
      </c>
      <c r="C3687" s="538" t="n">
        <v>15.63</v>
      </c>
      <c r="D3687" s="538" t="n">
        <v>13.03</v>
      </c>
      <c r="E3687" s="538" t="n">
        <v>22.35</v>
      </c>
    </row>
    <row r="3688">
      <c r="A3688" s="544" t="n">
        <v>34372</v>
      </c>
      <c r="B3688" s="538" t="n">
        <v>14.6</v>
      </c>
      <c r="C3688" s="538" t="n">
        <v>15.31</v>
      </c>
      <c r="D3688" s="538" t="n">
        <v>12.93</v>
      </c>
      <c r="E3688" s="538" t="n">
        <v>21.9</v>
      </c>
    </row>
    <row r="3689">
      <c r="A3689" s="544" t="n">
        <v>34373</v>
      </c>
      <c r="B3689" s="538" t="n">
        <v>14.13</v>
      </c>
      <c r="C3689" s="538" t="n">
        <v>15.12</v>
      </c>
      <c r="D3689" s="538" t="n">
        <v>12.93</v>
      </c>
      <c r="E3689" s="538" t="n">
        <v>21.9</v>
      </c>
    </row>
    <row r="3690">
      <c r="A3690" s="544" t="n">
        <v>34374</v>
      </c>
      <c r="B3690" s="538" t="n">
        <v>13.53</v>
      </c>
      <c r="C3690" s="538" t="n">
        <v>14.64</v>
      </c>
      <c r="D3690" s="538" t="n">
        <v>12.78</v>
      </c>
      <c r="E3690" s="538" t="n">
        <v>21.7</v>
      </c>
    </row>
    <row r="3691">
      <c r="A3691" s="544" t="n">
        <v>34375</v>
      </c>
      <c r="B3691" s="538" t="n">
        <v>13.58</v>
      </c>
      <c r="C3691" s="538" t="n">
        <v>14.59</v>
      </c>
      <c r="D3691" s="538" t="n">
        <v>12.7</v>
      </c>
      <c r="E3691" s="538" t="n">
        <v>21.7</v>
      </c>
    </row>
    <row r="3692">
      <c r="A3692" s="544" t="n">
        <v>34376</v>
      </c>
      <c r="B3692" s="538" t="n">
        <v>13.7</v>
      </c>
      <c r="C3692" s="538" t="n">
        <v>14.71</v>
      </c>
      <c r="D3692" s="538" t="n">
        <v>12.93</v>
      </c>
      <c r="E3692" s="538" t="n">
        <v>21.7</v>
      </c>
    </row>
    <row r="3693">
      <c r="A3693" s="544" t="n">
        <v>34379</v>
      </c>
      <c r="B3693" s="538" t="n">
        <v>13.4</v>
      </c>
      <c r="C3693" s="538" t="n">
        <v>14.15</v>
      </c>
      <c r="D3693" s="538" t="n">
        <v>12.48</v>
      </c>
      <c r="E3693" s="538" t="n">
        <v>21.7</v>
      </c>
    </row>
    <row r="3694">
      <c r="A3694" s="544" t="n">
        <v>34380</v>
      </c>
      <c r="B3694" s="538" t="n">
        <v>13.13</v>
      </c>
      <c r="C3694" s="538" t="n">
        <v>14.13</v>
      </c>
      <c r="D3694" s="538" t="n">
        <v>12.43</v>
      </c>
      <c r="E3694" s="538" t="n">
        <v>21.4</v>
      </c>
    </row>
    <row r="3695">
      <c r="A3695" s="544" t="n">
        <v>34381</v>
      </c>
      <c r="B3695" s="538" t="n">
        <v>13.08</v>
      </c>
      <c r="C3695" s="538" t="n">
        <v>13.89</v>
      </c>
      <c r="D3695" s="538" t="n">
        <v>12.1</v>
      </c>
      <c r="E3695" s="538" t="n">
        <v>21.3</v>
      </c>
    </row>
    <row r="3696">
      <c r="A3696" s="544" t="n">
        <v>34382</v>
      </c>
      <c r="B3696" s="538" t="n">
        <v>13.28</v>
      </c>
      <c r="C3696" s="538" t="n">
        <v>14.26</v>
      </c>
      <c r="D3696" s="538" t="n">
        <v>12.35</v>
      </c>
      <c r="E3696" s="538" t="n">
        <v>20.9</v>
      </c>
    </row>
    <row r="3697">
      <c r="A3697" s="544" t="n">
        <v>34383</v>
      </c>
      <c r="B3697" s="538" t="n">
        <v>13</v>
      </c>
      <c r="C3697" s="538" t="n">
        <v>14.21</v>
      </c>
      <c r="D3697" s="538" t="n">
        <v>12.25</v>
      </c>
      <c r="E3697" s="538" t="n">
        <v>20.9</v>
      </c>
    </row>
    <row r="3698">
      <c r="A3698" s="544" t="n">
        <v>34386</v>
      </c>
      <c r="B3698" s="538" t="n">
        <v>13.05</v>
      </c>
      <c r="C3698" s="538" t="n">
        <v>14.21</v>
      </c>
      <c r="D3698" s="538" t="n">
        <v>12.25</v>
      </c>
      <c r="E3698" s="538" t="n">
        <v>20.9</v>
      </c>
    </row>
    <row r="3699">
      <c r="A3699" s="544" t="n">
        <v>34387</v>
      </c>
      <c r="B3699" s="538" t="n">
        <v>13.2</v>
      </c>
      <c r="C3699" s="538" t="n">
        <v>14.28</v>
      </c>
      <c r="D3699" s="538" t="n">
        <v>12.35</v>
      </c>
      <c r="E3699" s="538" t="n">
        <v>20.85</v>
      </c>
    </row>
    <row r="3700">
      <c r="A3700" s="544" t="n">
        <v>34388</v>
      </c>
      <c r="B3700" s="538" t="n">
        <v>13.2</v>
      </c>
      <c r="C3700" s="538" t="n">
        <v>14.18</v>
      </c>
      <c r="D3700" s="538" t="n">
        <v>12.43</v>
      </c>
      <c r="E3700" s="538" t="n">
        <v>20.9</v>
      </c>
    </row>
    <row r="3701">
      <c r="A3701" s="544" t="n">
        <v>34389</v>
      </c>
      <c r="B3701" s="538" t="n">
        <v>13.4</v>
      </c>
      <c r="C3701" s="538" t="n">
        <v>14.82</v>
      </c>
      <c r="D3701" s="538" t="n">
        <v>12.73</v>
      </c>
      <c r="E3701" s="538" t="n">
        <v>20.9</v>
      </c>
    </row>
    <row r="3702">
      <c r="A3702" s="544" t="n">
        <v>34390</v>
      </c>
      <c r="B3702" s="538" t="n">
        <v>13.33</v>
      </c>
      <c r="C3702" s="538" t="n">
        <v>14.48</v>
      </c>
      <c r="D3702" s="538" t="n">
        <v>12.6</v>
      </c>
      <c r="E3702" s="538" t="n">
        <v>21.05</v>
      </c>
    </row>
    <row r="3703">
      <c r="A3703" s="544" t="n">
        <v>34393</v>
      </c>
      <c r="B3703" s="538" t="n">
        <v>13.59</v>
      </c>
      <c r="C3703" s="538" t="n">
        <v>14.5</v>
      </c>
      <c r="D3703" s="538" t="n">
        <v>12.58</v>
      </c>
      <c r="E3703" s="538" t="n">
        <v>21.05</v>
      </c>
    </row>
    <row r="3704">
      <c r="A3704" s="544" t="n">
        <v>34394</v>
      </c>
      <c r="B3704" s="538" t="n">
        <v>13.45</v>
      </c>
      <c r="C3704" s="538" t="n">
        <v>14.78</v>
      </c>
      <c r="D3704" s="538" t="n">
        <v>12.93</v>
      </c>
      <c r="E3704" s="538" t="n">
        <v>21.15</v>
      </c>
    </row>
    <row r="3705">
      <c r="A3705" s="544" t="n">
        <v>34395</v>
      </c>
      <c r="B3705" s="538" t="n">
        <v>13.5</v>
      </c>
      <c r="C3705" s="538" t="n">
        <v>14.8</v>
      </c>
      <c r="D3705" s="538" t="n">
        <v>12.93</v>
      </c>
      <c r="E3705" s="538" t="n">
        <v>21.4</v>
      </c>
    </row>
    <row r="3706">
      <c r="A3706" s="544" t="n">
        <v>34396</v>
      </c>
      <c r="B3706" s="538" t="n">
        <v>13.55</v>
      </c>
      <c r="C3706" s="538" t="n">
        <v>14.74</v>
      </c>
      <c r="D3706" s="538" t="n">
        <v>12.83</v>
      </c>
      <c r="E3706" s="538" t="n">
        <v>21.4</v>
      </c>
    </row>
    <row r="3707">
      <c r="A3707" s="544" t="n">
        <v>34397</v>
      </c>
      <c r="B3707" s="538" t="n">
        <v>13.43</v>
      </c>
      <c r="C3707" s="538" t="n">
        <v>14.57</v>
      </c>
      <c r="D3707" s="538" t="n">
        <v>12.35</v>
      </c>
      <c r="E3707" s="538" t="n">
        <v>21.3</v>
      </c>
    </row>
    <row r="3708">
      <c r="A3708" s="544" t="n">
        <v>34400</v>
      </c>
      <c r="B3708" s="538" t="n">
        <v>13.13</v>
      </c>
      <c r="C3708" s="538" t="n">
        <v>14.14</v>
      </c>
      <c r="D3708" s="538" t="n">
        <v>11.95</v>
      </c>
      <c r="E3708" s="538" t="n">
        <v>21.25</v>
      </c>
    </row>
    <row r="3709">
      <c r="A3709" s="544" t="n">
        <v>34401</v>
      </c>
      <c r="B3709" s="538" t="n">
        <v>13.15</v>
      </c>
      <c r="C3709" s="538" t="n">
        <v>14.17</v>
      </c>
      <c r="D3709" s="538" t="n">
        <v>11.93</v>
      </c>
      <c r="E3709" s="538" t="n">
        <v>21.2</v>
      </c>
    </row>
    <row r="3710">
      <c r="A3710" s="544" t="n">
        <v>34402</v>
      </c>
      <c r="B3710" s="538" t="n">
        <v>13.3</v>
      </c>
      <c r="C3710" s="538" t="n">
        <v>14.23</v>
      </c>
      <c r="D3710" s="538" t="n">
        <v>11.93</v>
      </c>
      <c r="E3710" s="538" t="n">
        <v>20.9</v>
      </c>
    </row>
    <row r="3711">
      <c r="A3711" s="544" t="n">
        <v>34403</v>
      </c>
      <c r="B3711" s="538" t="n">
        <v>13.23</v>
      </c>
      <c r="C3711" s="538" t="n">
        <v>14.19</v>
      </c>
      <c r="D3711" s="538" t="n">
        <v>12.03</v>
      </c>
      <c r="E3711" s="538" t="n">
        <v>20.7</v>
      </c>
    </row>
    <row r="3712">
      <c r="A3712" s="544" t="n">
        <v>34404</v>
      </c>
      <c r="B3712" s="538" t="n">
        <v>13.7</v>
      </c>
      <c r="C3712" s="538" t="n">
        <v>14.47</v>
      </c>
      <c r="D3712" s="538" t="n">
        <v>12.23</v>
      </c>
      <c r="E3712" s="538" t="n">
        <v>20.6</v>
      </c>
    </row>
    <row r="3713">
      <c r="A3713" s="544" t="n">
        <v>34407</v>
      </c>
      <c r="B3713" s="538" t="n">
        <v>14.03</v>
      </c>
      <c r="C3713" s="538" t="n">
        <v>14.52</v>
      </c>
      <c r="D3713" s="538" t="n">
        <v>12.23</v>
      </c>
      <c r="E3713" s="538" t="n">
        <v>20.6</v>
      </c>
    </row>
    <row r="3714">
      <c r="A3714" s="544" t="n">
        <v>34408</v>
      </c>
      <c r="B3714" s="538" t="n">
        <v>14.28</v>
      </c>
      <c r="C3714" s="538" t="n">
        <v>14.82</v>
      </c>
      <c r="D3714" s="538" t="n">
        <v>12.53</v>
      </c>
      <c r="E3714" s="538" t="n">
        <v>20.6</v>
      </c>
    </row>
    <row r="3715">
      <c r="A3715" s="544" t="n">
        <v>34409</v>
      </c>
      <c r="B3715" s="538" t="n">
        <v>14.3</v>
      </c>
      <c r="C3715" s="538" t="n">
        <v>15.03</v>
      </c>
      <c r="D3715" s="538" t="n">
        <v>12.93</v>
      </c>
      <c r="E3715" s="538" t="n">
        <v>20.7</v>
      </c>
    </row>
    <row r="3716">
      <c r="A3716" s="544" t="n">
        <v>34410</v>
      </c>
      <c r="B3716" s="538" t="n">
        <v>14.25</v>
      </c>
      <c r="C3716" s="538" t="n">
        <v>14.83</v>
      </c>
      <c r="D3716" s="538" t="n">
        <v>12.68</v>
      </c>
      <c r="E3716" s="538" t="n">
        <v>20.45</v>
      </c>
    </row>
    <row r="3717">
      <c r="A3717" s="544" t="n">
        <v>34411</v>
      </c>
      <c r="B3717" s="538" t="n">
        <v>14.05</v>
      </c>
      <c r="C3717" s="538" t="n">
        <v>14.88</v>
      </c>
      <c r="D3717" s="538" t="n">
        <v>12.03</v>
      </c>
      <c r="E3717" s="538" t="n">
        <v>20.4</v>
      </c>
    </row>
    <row r="3718">
      <c r="A3718" s="544" t="n">
        <v>34414</v>
      </c>
      <c r="B3718" s="538" t="n">
        <v>14.55</v>
      </c>
      <c r="C3718" s="538" t="n">
        <v>15.37</v>
      </c>
      <c r="D3718" s="538" t="n">
        <v>12.88</v>
      </c>
      <c r="E3718" s="538" t="n">
        <v>20.45</v>
      </c>
    </row>
    <row r="3719">
      <c r="A3719" s="544" t="n">
        <v>34415</v>
      </c>
      <c r="B3719" s="538" t="n">
        <v>14.8</v>
      </c>
      <c r="C3719" s="538" t="n">
        <v>15.04</v>
      </c>
      <c r="D3719" s="538" t="n">
        <v>12.58</v>
      </c>
      <c r="E3719" s="538" t="n">
        <v>20.45</v>
      </c>
    </row>
    <row r="3720">
      <c r="A3720" s="544" t="n">
        <v>34416</v>
      </c>
      <c r="B3720" s="538" t="n">
        <v>14.5</v>
      </c>
      <c r="C3720" s="538" t="n">
        <v>14.94</v>
      </c>
      <c r="D3720" s="538" t="n">
        <v>12.48</v>
      </c>
      <c r="E3720" s="538" t="n">
        <v>20.5</v>
      </c>
    </row>
    <row r="3721">
      <c r="A3721" s="544" t="n">
        <v>34417</v>
      </c>
      <c r="B3721" s="538" t="n">
        <v>14.53</v>
      </c>
      <c r="C3721" s="538" t="n">
        <v>15.21</v>
      </c>
      <c r="D3721" s="538" t="n">
        <v>12.78</v>
      </c>
      <c r="E3721" s="538" t="n">
        <v>20.5</v>
      </c>
    </row>
    <row r="3722">
      <c r="A3722" s="544" t="n">
        <v>34418</v>
      </c>
      <c r="B3722" s="538" t="n">
        <v>14.58</v>
      </c>
      <c r="C3722" s="538" t="n">
        <v>15.19</v>
      </c>
      <c r="D3722" s="538" t="n">
        <v>12.8</v>
      </c>
      <c r="E3722" s="538" t="n">
        <v>20.75</v>
      </c>
    </row>
    <row r="3723">
      <c r="A3723" s="544" t="n">
        <v>34421</v>
      </c>
      <c r="B3723" s="538" t="n">
        <v>13.75</v>
      </c>
      <c r="C3723" s="538" t="n">
        <v>14.15</v>
      </c>
      <c r="D3723" s="538" t="n">
        <v>11.83</v>
      </c>
      <c r="E3723" s="538" t="n">
        <v>20.55</v>
      </c>
    </row>
    <row r="3724">
      <c r="A3724" s="544" t="n">
        <v>34422</v>
      </c>
      <c r="B3724" s="538" t="n">
        <v>13.38</v>
      </c>
      <c r="C3724" s="538" t="n">
        <v>14.41</v>
      </c>
      <c r="D3724" s="538" t="n">
        <v>12.13</v>
      </c>
      <c r="E3724" s="538" t="n">
        <v>20.25</v>
      </c>
    </row>
    <row r="3725">
      <c r="A3725" s="544" t="n">
        <v>34423</v>
      </c>
      <c r="B3725" s="538" t="n">
        <v>13.23</v>
      </c>
      <c r="C3725" s="538" t="n">
        <v>14.4</v>
      </c>
      <c r="D3725" s="538" t="n">
        <v>12.18</v>
      </c>
      <c r="E3725" s="538" t="n">
        <v>20.25</v>
      </c>
    </row>
    <row r="3726">
      <c r="A3726" s="544" t="n">
        <v>34424</v>
      </c>
      <c r="B3726" s="538" t="n">
        <v>13.25</v>
      </c>
      <c r="C3726" s="538" t="n">
        <v>14.78</v>
      </c>
      <c r="D3726" s="538" t="n">
        <v>12.43</v>
      </c>
      <c r="E3726" s="538" t="n">
        <v>20.25</v>
      </c>
    </row>
    <row r="3727">
      <c r="A3727" s="544" t="n">
        <v>34425</v>
      </c>
      <c r="B3727" s="538" t="n">
        <v>13.25</v>
      </c>
      <c r="C3727" s="538" t="n">
        <v>14.78</v>
      </c>
      <c r="D3727" s="538" t="n">
        <v>12.43</v>
      </c>
      <c r="E3727" s="538" t="n">
        <v>20.25</v>
      </c>
    </row>
    <row r="3728">
      <c r="A3728" s="544" t="n">
        <v>34428</v>
      </c>
      <c r="B3728" s="538" t="n">
        <v>13.25</v>
      </c>
      <c r="C3728" s="538" t="n">
        <v>15.67</v>
      </c>
      <c r="D3728" s="538" t="n">
        <v>13.38</v>
      </c>
      <c r="E3728" s="538" t="n">
        <v>20.45</v>
      </c>
    </row>
    <row r="3729">
      <c r="A3729" s="544" t="n">
        <v>34429</v>
      </c>
      <c r="B3729" s="538" t="n">
        <v>14.33</v>
      </c>
      <c r="C3729" s="538" t="n">
        <v>15.67</v>
      </c>
      <c r="D3729" s="538" t="n">
        <v>13.33</v>
      </c>
      <c r="E3729" s="538" t="n">
        <v>21.3</v>
      </c>
    </row>
    <row r="3730">
      <c r="A3730" s="544" t="n">
        <v>34430</v>
      </c>
      <c r="B3730" s="538" t="n">
        <v>14.33</v>
      </c>
      <c r="C3730" s="538" t="n">
        <v>15.77</v>
      </c>
      <c r="D3730" s="538" t="n">
        <v>13.23</v>
      </c>
      <c r="E3730" s="538" t="n">
        <v>21.3</v>
      </c>
    </row>
    <row r="3731">
      <c r="A3731" s="544" t="n">
        <v>34431</v>
      </c>
      <c r="B3731" s="538" t="n">
        <v>14.4</v>
      </c>
      <c r="C3731" s="538" t="n">
        <v>15.59</v>
      </c>
      <c r="D3731" s="538" t="n">
        <v>13.28</v>
      </c>
      <c r="E3731" s="538" t="n">
        <v>21.6</v>
      </c>
    </row>
    <row r="3732">
      <c r="A3732" s="544" t="n">
        <v>34432</v>
      </c>
      <c r="B3732" s="538" t="n">
        <v>14.3</v>
      </c>
      <c r="C3732" s="538" t="n">
        <v>15.57</v>
      </c>
      <c r="D3732" s="538" t="n">
        <v>13.28</v>
      </c>
      <c r="E3732" s="538" t="n">
        <v>21.45</v>
      </c>
    </row>
    <row r="3733">
      <c r="A3733" s="544" t="n">
        <v>34435</v>
      </c>
      <c r="B3733" s="538" t="n">
        <v>14.73</v>
      </c>
      <c r="C3733" s="538" t="n">
        <v>15.86</v>
      </c>
      <c r="D3733" s="538" t="n">
        <v>13.48</v>
      </c>
      <c r="E3733" s="538" t="n">
        <v>21.45</v>
      </c>
    </row>
    <row r="3734">
      <c r="A3734" s="544" t="n">
        <v>34436</v>
      </c>
      <c r="B3734" s="538" t="n">
        <v>14.8</v>
      </c>
      <c r="C3734" s="538" t="n">
        <v>15.74</v>
      </c>
      <c r="D3734" s="538" t="n">
        <v>13.63</v>
      </c>
      <c r="E3734" s="538" t="n">
        <v>21.45</v>
      </c>
    </row>
    <row r="3735">
      <c r="A3735" s="544" t="n">
        <v>34437</v>
      </c>
      <c r="B3735" s="538" t="n">
        <v>15</v>
      </c>
      <c r="C3735" s="538" t="n">
        <v>15.96</v>
      </c>
      <c r="D3735" s="538" t="n">
        <v>13.73</v>
      </c>
      <c r="E3735" s="538" t="n">
        <v>21.5</v>
      </c>
    </row>
    <row r="3736">
      <c r="A3736" s="544" t="n">
        <v>34438</v>
      </c>
      <c r="B3736" s="538" t="n">
        <v>15.28</v>
      </c>
      <c r="C3736" s="538" t="n">
        <v>16.2</v>
      </c>
      <c r="D3736" s="538" t="n">
        <v>13.83</v>
      </c>
      <c r="E3736" s="538" t="n">
        <v>21.55</v>
      </c>
    </row>
    <row r="3737">
      <c r="A3737" s="544" t="n">
        <v>34439</v>
      </c>
      <c r="B3737" s="538" t="n">
        <v>15.23</v>
      </c>
      <c r="C3737" s="538" t="n">
        <v>16.58</v>
      </c>
      <c r="D3737" s="538" t="n">
        <v>14.13</v>
      </c>
      <c r="E3737" s="538" t="n">
        <v>21.75</v>
      </c>
    </row>
    <row r="3738">
      <c r="A3738" s="544" t="n">
        <v>34442</v>
      </c>
      <c r="B3738" s="538" t="n">
        <v>15.48</v>
      </c>
      <c r="C3738" s="538" t="n">
        <v>16.64</v>
      </c>
      <c r="D3738" s="538" t="n">
        <v>14.3</v>
      </c>
      <c r="E3738" s="538" t="n">
        <v>21.95</v>
      </c>
    </row>
    <row r="3739">
      <c r="A3739" s="544" t="n">
        <v>34443</v>
      </c>
      <c r="B3739" s="538" t="n">
        <v>15.13</v>
      </c>
      <c r="C3739" s="538" t="n">
        <v>16.43</v>
      </c>
      <c r="D3739" s="538" t="n">
        <v>13.8</v>
      </c>
      <c r="E3739" s="538" t="n">
        <v>22.08</v>
      </c>
    </row>
    <row r="3740">
      <c r="A3740" s="544" t="n">
        <v>34444</v>
      </c>
      <c r="B3740" s="538" t="n">
        <v>15.3</v>
      </c>
      <c r="C3740" s="538" t="n">
        <v>16.65</v>
      </c>
      <c r="D3740" s="538" t="n">
        <v>13.98</v>
      </c>
      <c r="E3740" s="538" t="n">
        <v>21.9</v>
      </c>
    </row>
    <row r="3741">
      <c r="A3741" s="544" t="n">
        <v>34445</v>
      </c>
      <c r="B3741" s="538" t="n">
        <v>15.63</v>
      </c>
      <c r="C3741" s="538" t="n">
        <v>17.56</v>
      </c>
      <c r="D3741" s="538" t="n">
        <v>14.28</v>
      </c>
      <c r="E3741" s="538" t="n">
        <v>21.95</v>
      </c>
    </row>
    <row r="3742">
      <c r="A3742" s="544" t="n">
        <v>34446</v>
      </c>
      <c r="B3742" s="538" t="n">
        <v>16.28</v>
      </c>
      <c r="C3742" s="538" t="n">
        <v>17.84</v>
      </c>
      <c r="D3742" s="538" t="n">
        <v>14.58</v>
      </c>
      <c r="E3742" s="538" t="n">
        <v>22.05</v>
      </c>
    </row>
    <row r="3743">
      <c r="A3743" s="544" t="n">
        <v>34449</v>
      </c>
      <c r="B3743" s="538" t="n">
        <v>16.38</v>
      </c>
      <c r="C3743" s="538" t="n">
        <v>17.66</v>
      </c>
      <c r="D3743" s="538" t="n">
        <v>14.68</v>
      </c>
      <c r="E3743" s="538" t="n">
        <v>22.3</v>
      </c>
    </row>
    <row r="3744">
      <c r="A3744" s="544" t="n">
        <v>34450</v>
      </c>
      <c r="B3744" s="538" t="n">
        <v>16.05</v>
      </c>
      <c r="C3744" s="538" t="n">
        <v>16.82</v>
      </c>
      <c r="D3744" s="538" t="n">
        <v>14.38</v>
      </c>
      <c r="E3744" s="538" t="n">
        <v>22.3</v>
      </c>
    </row>
    <row r="3745">
      <c r="A3745" s="544" t="n">
        <v>34451</v>
      </c>
      <c r="B3745" s="538" t="n">
        <v>15.75</v>
      </c>
      <c r="C3745" s="538" t="n">
        <v>16.7</v>
      </c>
      <c r="D3745" s="538" t="n">
        <v>14.28</v>
      </c>
      <c r="E3745" s="538" t="n">
        <v>21.9</v>
      </c>
    </row>
    <row r="3746">
      <c r="A3746" s="544" t="n">
        <v>34452</v>
      </c>
      <c r="B3746" s="538" t="n">
        <v>15.65</v>
      </c>
      <c r="C3746" s="538" t="n">
        <v>16.57</v>
      </c>
      <c r="D3746" s="538" t="n">
        <v>14.18</v>
      </c>
      <c r="E3746" s="538" t="n">
        <v>21.65</v>
      </c>
    </row>
    <row r="3747">
      <c r="A3747" s="544" t="n">
        <v>34453</v>
      </c>
      <c r="B3747" s="538" t="n">
        <v>15.35</v>
      </c>
      <c r="C3747" s="538" t="n">
        <v>16.92</v>
      </c>
      <c r="D3747" s="538" t="n">
        <v>14.63</v>
      </c>
      <c r="E3747" s="538" t="n">
        <v>21.35</v>
      </c>
    </row>
    <row r="3748">
      <c r="A3748" s="544" t="n">
        <v>34456</v>
      </c>
      <c r="B3748" s="538" t="n">
        <v>15.35</v>
      </c>
      <c r="C3748" s="538" t="n">
        <v>17.18</v>
      </c>
      <c r="D3748" s="538" t="n">
        <v>14.6</v>
      </c>
      <c r="E3748" s="538" t="n">
        <v>21.35</v>
      </c>
    </row>
    <row r="3749">
      <c r="A3749" s="544" t="n">
        <v>34457</v>
      </c>
      <c r="B3749" s="538" t="n">
        <v>15.93</v>
      </c>
      <c r="C3749" s="538" t="n">
        <v>16.93</v>
      </c>
      <c r="D3749" s="538" t="n">
        <v>14.15</v>
      </c>
      <c r="E3749" s="538" t="n">
        <v>21.45</v>
      </c>
    </row>
    <row r="3750">
      <c r="A3750" s="544" t="n">
        <v>34458</v>
      </c>
      <c r="B3750" s="538" t="n">
        <v>15.95</v>
      </c>
      <c r="C3750" s="538" t="n">
        <v>16.85</v>
      </c>
      <c r="D3750" s="538" t="n">
        <v>14.03</v>
      </c>
      <c r="E3750" s="538" t="n">
        <v>21.35</v>
      </c>
    </row>
    <row r="3751">
      <c r="A3751" s="544" t="n">
        <v>34459</v>
      </c>
      <c r="B3751" s="538" t="n">
        <v>15.85</v>
      </c>
      <c r="C3751" s="538" t="n">
        <v>17.28</v>
      </c>
      <c r="D3751" s="538" t="n">
        <v>14.38</v>
      </c>
      <c r="E3751" s="538" t="n">
        <v>21.05</v>
      </c>
    </row>
    <row r="3752">
      <c r="A3752" s="544" t="n">
        <v>34460</v>
      </c>
      <c r="B3752" s="538" t="n">
        <v>16.25</v>
      </c>
      <c r="C3752" s="538" t="n">
        <v>17.74</v>
      </c>
      <c r="D3752" s="538" t="n">
        <v>14.93</v>
      </c>
      <c r="E3752" s="538" t="n">
        <v>21.35</v>
      </c>
    </row>
    <row r="3753">
      <c r="A3753" s="544" t="n">
        <v>34463</v>
      </c>
      <c r="B3753" s="538" t="n">
        <v>16.33</v>
      </c>
      <c r="C3753" s="538" t="n">
        <v>17.72</v>
      </c>
      <c r="D3753" s="538" t="n">
        <v>14.88</v>
      </c>
      <c r="E3753" s="538" t="n">
        <v>21.8</v>
      </c>
    </row>
    <row r="3754">
      <c r="A3754" s="544" t="n">
        <v>34464</v>
      </c>
      <c r="B3754" s="538" t="n">
        <v>16.25</v>
      </c>
      <c r="C3754" s="538" t="n">
        <v>17.62</v>
      </c>
      <c r="D3754" s="538" t="n">
        <v>14.68</v>
      </c>
      <c r="E3754" s="538" t="n">
        <v>21.78</v>
      </c>
    </row>
    <row r="3755">
      <c r="A3755" s="544" t="n">
        <v>34465</v>
      </c>
      <c r="B3755" s="538" t="n">
        <v>16.1</v>
      </c>
      <c r="C3755" s="538" t="n">
        <v>17.84</v>
      </c>
      <c r="D3755" s="538" t="n">
        <v>14.78</v>
      </c>
      <c r="E3755" s="538" t="n">
        <v>21.5</v>
      </c>
    </row>
    <row r="3756">
      <c r="A3756" s="544" t="n">
        <v>34466</v>
      </c>
      <c r="B3756" s="538" t="n">
        <v>16.25</v>
      </c>
      <c r="C3756" s="538" t="n">
        <v>18.27</v>
      </c>
      <c r="D3756" s="538" t="n">
        <v>15.03</v>
      </c>
      <c r="E3756" s="538" t="n">
        <v>21.5</v>
      </c>
    </row>
    <row r="3757">
      <c r="A3757" s="544" t="n">
        <v>34467</v>
      </c>
      <c r="B3757" s="538" t="n">
        <v>16.5</v>
      </c>
      <c r="C3757" s="538" t="n">
        <v>18.2</v>
      </c>
      <c r="D3757" s="538" t="n">
        <v>15.23</v>
      </c>
      <c r="E3757" s="538" t="n">
        <v>21.65</v>
      </c>
    </row>
    <row r="3758">
      <c r="A3758" s="544" t="n">
        <v>34470</v>
      </c>
      <c r="B3758" s="538" t="n">
        <v>16.23</v>
      </c>
      <c r="C3758" s="538" t="n">
        <v>17.99</v>
      </c>
      <c r="D3758" s="538" t="n">
        <v>14.83</v>
      </c>
      <c r="E3758" s="538" t="n">
        <v>21.5</v>
      </c>
    </row>
    <row r="3759">
      <c r="A3759" s="544" t="n">
        <v>34471</v>
      </c>
      <c r="B3759" s="538" t="n">
        <v>15.83</v>
      </c>
      <c r="C3759" s="538" t="n">
        <v>17.61</v>
      </c>
      <c r="D3759" s="538" t="n">
        <v>14.38</v>
      </c>
      <c r="E3759" s="538" t="n">
        <v>21.3</v>
      </c>
    </row>
    <row r="3760">
      <c r="A3760" s="544" t="n">
        <v>34472</v>
      </c>
      <c r="B3760" s="538" t="n">
        <v>15.98</v>
      </c>
      <c r="C3760" s="538" t="n">
        <v>18.02</v>
      </c>
      <c r="D3760" s="538" t="n">
        <v>14.73</v>
      </c>
      <c r="E3760" s="538" t="n">
        <v>20.9</v>
      </c>
    </row>
    <row r="3761">
      <c r="A3761" s="544" t="n">
        <v>34473</v>
      </c>
      <c r="B3761" s="538" t="n">
        <v>16.15</v>
      </c>
      <c r="C3761" s="538" t="n">
        <v>18.49</v>
      </c>
      <c r="D3761" s="538" t="n">
        <v>15.08</v>
      </c>
      <c r="E3761" s="538" t="n">
        <v>20.93</v>
      </c>
    </row>
    <row r="3762">
      <c r="A3762" s="544" t="n">
        <v>34474</v>
      </c>
      <c r="B3762" s="538" t="n">
        <v>16.23</v>
      </c>
      <c r="C3762" s="538" t="n">
        <v>18.93</v>
      </c>
      <c r="D3762" s="538" t="n">
        <v>15.28</v>
      </c>
      <c r="E3762" s="538" t="n">
        <v>20.8</v>
      </c>
    </row>
    <row r="3763">
      <c r="A3763" s="544" t="n">
        <v>34477</v>
      </c>
      <c r="B3763" s="538" t="n">
        <v>16.63</v>
      </c>
      <c r="C3763" s="538" t="n">
        <v>18.69</v>
      </c>
      <c r="D3763" s="538" t="n">
        <v>15.28</v>
      </c>
      <c r="E3763" s="538" t="n">
        <v>20.55</v>
      </c>
    </row>
    <row r="3764">
      <c r="A3764" s="544" t="n">
        <v>34478</v>
      </c>
      <c r="B3764" s="538" t="n">
        <v>16.63</v>
      </c>
      <c r="C3764" s="538" t="n">
        <v>18.4</v>
      </c>
      <c r="D3764" s="538" t="n">
        <v>15.08</v>
      </c>
      <c r="E3764" s="538" t="n">
        <v>20.5</v>
      </c>
    </row>
    <row r="3765">
      <c r="A3765" s="544" t="n">
        <v>34479</v>
      </c>
      <c r="B3765" s="538" t="n">
        <v>16.33</v>
      </c>
      <c r="C3765" s="538" t="n">
        <v>17.83</v>
      </c>
      <c r="D3765" s="538" t="n">
        <v>14.98</v>
      </c>
      <c r="E3765" s="538" t="n">
        <v>20.5</v>
      </c>
    </row>
    <row r="3766">
      <c r="A3766" s="544" t="n">
        <v>34480</v>
      </c>
      <c r="B3766" s="538" t="n">
        <v>16.08</v>
      </c>
      <c r="C3766" s="538" t="n">
        <v>17.76</v>
      </c>
      <c r="D3766" s="538" t="n">
        <v>14.98</v>
      </c>
      <c r="E3766" s="538" t="n">
        <v>20.2</v>
      </c>
    </row>
    <row r="3767">
      <c r="A3767" s="544" t="n">
        <v>34481</v>
      </c>
      <c r="B3767" s="538" t="n">
        <v>16.08</v>
      </c>
      <c r="C3767" s="538" t="n">
        <v>18.02</v>
      </c>
      <c r="D3767" s="538" t="n">
        <v>15.23</v>
      </c>
      <c r="E3767" s="538" t="n">
        <v>20.35</v>
      </c>
    </row>
    <row r="3768">
      <c r="A3768" s="544" t="n">
        <v>34484</v>
      </c>
      <c r="B3768" s="538" t="n">
        <v>16.08</v>
      </c>
      <c r="C3768" s="538" t="n">
        <v>18.02</v>
      </c>
      <c r="D3768" s="538" t="n">
        <v>15.23</v>
      </c>
      <c r="E3768" s="538" t="n">
        <v>20.5</v>
      </c>
    </row>
    <row r="3769">
      <c r="A3769" s="544" t="n">
        <v>34485</v>
      </c>
      <c r="B3769" s="538" t="n">
        <v>16.18</v>
      </c>
      <c r="C3769" s="538" t="n">
        <v>18.3</v>
      </c>
      <c r="D3769" s="538" t="n">
        <v>15.58</v>
      </c>
      <c r="E3769" s="538" t="n">
        <v>20.45</v>
      </c>
    </row>
    <row r="3770">
      <c r="A3770" s="544" t="n">
        <v>34486</v>
      </c>
      <c r="B3770" s="538" t="n">
        <v>16.4</v>
      </c>
      <c r="C3770" s="538" t="n">
        <v>18.29</v>
      </c>
      <c r="D3770" s="538" t="n">
        <v>15.38</v>
      </c>
      <c r="E3770" s="538" t="n">
        <v>20.2</v>
      </c>
    </row>
    <row r="3771">
      <c r="A3771" s="544" t="n">
        <v>34487</v>
      </c>
      <c r="B3771" s="538" t="n">
        <v>16.35</v>
      </c>
      <c r="C3771" s="538" t="n">
        <v>18.25</v>
      </c>
      <c r="D3771" s="538" t="n">
        <v>15.38</v>
      </c>
      <c r="E3771" s="538" t="n">
        <v>20.15</v>
      </c>
    </row>
    <row r="3772">
      <c r="A3772" s="544" t="n">
        <v>34488</v>
      </c>
      <c r="B3772" s="538" t="n">
        <v>16.13</v>
      </c>
      <c r="C3772" s="538" t="n">
        <v>18.11</v>
      </c>
      <c r="D3772" s="538" t="n">
        <v>15.48</v>
      </c>
      <c r="E3772" s="538" t="n">
        <v>20.05</v>
      </c>
    </row>
    <row r="3773">
      <c r="A3773" s="544" t="n">
        <v>34491</v>
      </c>
      <c r="B3773" s="538" t="n">
        <v>16.18</v>
      </c>
      <c r="C3773" s="538" t="n">
        <v>18.1</v>
      </c>
      <c r="D3773" s="538" t="n">
        <v>15.33</v>
      </c>
      <c r="E3773" s="538" t="n">
        <v>20</v>
      </c>
    </row>
    <row r="3774">
      <c r="A3774" s="544" t="n">
        <v>34492</v>
      </c>
      <c r="B3774" s="538" t="n">
        <v>15.95</v>
      </c>
      <c r="C3774" s="538" t="n">
        <v>17.78</v>
      </c>
      <c r="D3774" s="538" t="n">
        <v>15.08</v>
      </c>
      <c r="E3774" s="538" t="n">
        <v>19.95</v>
      </c>
    </row>
    <row r="3775">
      <c r="A3775" s="544" t="n">
        <v>34493</v>
      </c>
      <c r="B3775" s="538" t="n">
        <v>15.65</v>
      </c>
      <c r="C3775" s="538" t="n">
        <v>18.28</v>
      </c>
      <c r="D3775" s="538" t="n">
        <v>15.38</v>
      </c>
      <c r="E3775" s="538" t="n">
        <v>19.9</v>
      </c>
    </row>
    <row r="3776">
      <c r="A3776" s="544" t="n">
        <v>34494</v>
      </c>
      <c r="B3776" s="538" t="n">
        <v>16.13</v>
      </c>
      <c r="C3776" s="538" t="n">
        <v>18.67</v>
      </c>
      <c r="D3776" s="538" t="n">
        <v>15.58</v>
      </c>
      <c r="E3776" s="538" t="n">
        <v>20.05</v>
      </c>
    </row>
    <row r="3777">
      <c r="A3777" s="544" t="n">
        <v>34495</v>
      </c>
      <c r="B3777" s="538" t="n">
        <v>16.38</v>
      </c>
      <c r="C3777" s="538" t="n">
        <v>18.48</v>
      </c>
      <c r="D3777" s="538" t="n">
        <v>15.43</v>
      </c>
      <c r="E3777" s="538" t="n">
        <v>20.15</v>
      </c>
    </row>
    <row r="3778">
      <c r="A3778" s="544" t="n">
        <v>34498</v>
      </c>
      <c r="B3778" s="538" t="n">
        <v>16.23</v>
      </c>
      <c r="C3778" s="538" t="n">
        <v>18.82</v>
      </c>
      <c r="D3778" s="538" t="n">
        <v>15.43</v>
      </c>
      <c r="E3778" s="538" t="n">
        <v>20.15</v>
      </c>
    </row>
    <row r="3779">
      <c r="A3779" s="544" t="n">
        <v>34499</v>
      </c>
      <c r="B3779" s="538" t="n">
        <v>16.4</v>
      </c>
      <c r="C3779" s="538" t="n">
        <v>18.94</v>
      </c>
      <c r="D3779" s="538" t="n">
        <v>15.38</v>
      </c>
      <c r="E3779" s="538" t="n">
        <v>20.2</v>
      </c>
    </row>
    <row r="3780">
      <c r="A3780" s="544" t="n">
        <v>34500</v>
      </c>
      <c r="B3780" s="538" t="n">
        <v>16.73</v>
      </c>
      <c r="C3780" s="538" t="n">
        <v>19.75</v>
      </c>
      <c r="D3780" s="538" t="n">
        <v>15.78</v>
      </c>
      <c r="E3780" s="538" t="n">
        <v>20.35</v>
      </c>
    </row>
    <row r="3781">
      <c r="A3781" s="544" t="n">
        <v>34501</v>
      </c>
      <c r="B3781" s="538" t="n">
        <v>16.88</v>
      </c>
      <c r="C3781" s="538" t="n">
        <v>19.83</v>
      </c>
      <c r="D3781" s="538" t="n">
        <v>15.73</v>
      </c>
      <c r="E3781" s="538" t="n">
        <v>20.65</v>
      </c>
    </row>
    <row r="3782">
      <c r="A3782" s="544" t="n">
        <v>34502</v>
      </c>
      <c r="B3782" s="538" t="n">
        <v>17.13</v>
      </c>
      <c r="C3782" s="538" t="n">
        <v>20.72</v>
      </c>
      <c r="D3782" s="538" t="n">
        <v>16.17</v>
      </c>
      <c r="E3782" s="538" t="n">
        <v>20.7</v>
      </c>
    </row>
    <row r="3783">
      <c r="A3783" s="544" t="n">
        <v>34505</v>
      </c>
      <c r="B3783" s="538" t="n">
        <v>17.38</v>
      </c>
      <c r="C3783" s="538" t="n">
        <v>20.68</v>
      </c>
      <c r="D3783" s="538" t="n">
        <v>16.23</v>
      </c>
      <c r="E3783" s="538" t="n">
        <v>20.9</v>
      </c>
    </row>
    <row r="3784">
      <c r="A3784" s="544" t="n">
        <v>34506</v>
      </c>
      <c r="B3784" s="538" t="n">
        <v>17.63</v>
      </c>
      <c r="C3784" s="538" t="n">
        <v>20.08</v>
      </c>
      <c r="D3784" s="538" t="n">
        <v>16.23</v>
      </c>
      <c r="E3784" s="538" t="n">
        <v>20.8</v>
      </c>
    </row>
    <row r="3785">
      <c r="A3785" s="544" t="n">
        <v>34507</v>
      </c>
      <c r="B3785" s="538" t="n">
        <v>17.48</v>
      </c>
      <c r="C3785" s="538" t="n">
        <v>19.59</v>
      </c>
      <c r="D3785" s="538" t="n">
        <v>15.98</v>
      </c>
      <c r="E3785" s="538" t="n">
        <v>20.65</v>
      </c>
    </row>
    <row r="3786">
      <c r="A3786" s="544" t="n">
        <v>34508</v>
      </c>
      <c r="B3786" s="538" t="n">
        <v>17.3</v>
      </c>
      <c r="C3786" s="538" t="n">
        <v>19.38</v>
      </c>
      <c r="D3786" s="538" t="n">
        <v>16.28</v>
      </c>
      <c r="E3786" s="538" t="n">
        <v>20.45</v>
      </c>
    </row>
    <row r="3787">
      <c r="A3787" s="544" t="n">
        <v>34509</v>
      </c>
      <c r="B3787" s="538" t="n">
        <v>17.4</v>
      </c>
      <c r="C3787" s="538" t="n">
        <v>19.28</v>
      </c>
      <c r="D3787" s="538" t="n">
        <v>16.23</v>
      </c>
      <c r="E3787" s="538" t="n">
        <v>20.45</v>
      </c>
    </row>
    <row r="3788">
      <c r="A3788" s="544" t="n">
        <v>34512</v>
      </c>
      <c r="B3788" s="538" t="n">
        <v>17.4</v>
      </c>
      <c r="C3788" s="538" t="n">
        <v>18.96</v>
      </c>
      <c r="D3788" s="538" t="n">
        <v>15.88</v>
      </c>
      <c r="E3788" s="538" t="n">
        <v>20.45</v>
      </c>
    </row>
    <row r="3789">
      <c r="A3789" s="544" t="n">
        <v>34513</v>
      </c>
      <c r="B3789" s="538" t="n">
        <v>16.98</v>
      </c>
      <c r="C3789" s="538" t="n">
        <v>19.14</v>
      </c>
      <c r="D3789" s="538" t="n">
        <v>15.98</v>
      </c>
      <c r="E3789" s="538" t="n">
        <v>20.45</v>
      </c>
    </row>
    <row r="3790">
      <c r="A3790" s="544" t="n">
        <v>34514</v>
      </c>
      <c r="B3790" s="538" t="n">
        <v>17.23</v>
      </c>
      <c r="C3790" s="538" t="n">
        <v>18.82</v>
      </c>
      <c r="D3790" s="538" t="n">
        <v>15.68</v>
      </c>
      <c r="E3790" s="538" t="n">
        <v>20.35</v>
      </c>
    </row>
    <row r="3791">
      <c r="A3791" s="544" t="n">
        <v>34515</v>
      </c>
      <c r="B3791" s="538" t="n">
        <v>17.45</v>
      </c>
      <c r="C3791" s="538" t="n">
        <v>19.37</v>
      </c>
      <c r="D3791" s="538" t="n">
        <v>16.17</v>
      </c>
      <c r="E3791" s="538" t="n">
        <v>20.35</v>
      </c>
    </row>
    <row r="3792">
      <c r="A3792" s="544" t="n">
        <v>34516</v>
      </c>
      <c r="B3792" s="538" t="n">
        <v>17.65</v>
      </c>
      <c r="C3792" s="538" t="n">
        <v>19.52</v>
      </c>
      <c r="D3792" s="538" t="n">
        <v>16.13</v>
      </c>
      <c r="E3792" s="538" t="n">
        <v>20.45</v>
      </c>
    </row>
    <row r="3793">
      <c r="A3793" s="544" t="n">
        <v>34519</v>
      </c>
      <c r="B3793" s="538" t="n">
        <v>17.5</v>
      </c>
      <c r="C3793" s="538" t="n">
        <v>19.52</v>
      </c>
      <c r="D3793" s="538" t="n">
        <v>16.13</v>
      </c>
      <c r="E3793" s="538" t="n">
        <v>20.4</v>
      </c>
    </row>
    <row r="3794">
      <c r="A3794" s="544" t="n">
        <v>34520</v>
      </c>
      <c r="B3794" s="538" t="n">
        <v>17.13</v>
      </c>
      <c r="C3794" s="538" t="n">
        <v>19.62</v>
      </c>
      <c r="D3794" s="538" t="n">
        <v>15.98</v>
      </c>
      <c r="E3794" s="538" t="n">
        <v>20.4</v>
      </c>
    </row>
    <row r="3795">
      <c r="A3795" s="544" t="n">
        <v>34521</v>
      </c>
      <c r="B3795" s="538" t="n">
        <v>16.9</v>
      </c>
      <c r="C3795" s="538" t="n">
        <v>19.3</v>
      </c>
      <c r="D3795" s="538" t="n">
        <v>15.85</v>
      </c>
      <c r="E3795" s="538" t="n">
        <v>20.58</v>
      </c>
    </row>
    <row r="3796">
      <c r="A3796" s="544" t="n">
        <v>34522</v>
      </c>
      <c r="B3796" s="538" t="n">
        <v>16.78</v>
      </c>
      <c r="C3796" s="538" t="n">
        <v>19.15</v>
      </c>
      <c r="D3796" s="538" t="n">
        <v>15.88</v>
      </c>
      <c r="E3796" s="538" t="n">
        <v>20.58</v>
      </c>
    </row>
    <row r="3797">
      <c r="A3797" s="544" t="n">
        <v>34523</v>
      </c>
      <c r="B3797" s="538" t="n">
        <v>17</v>
      </c>
      <c r="C3797" s="538" t="n">
        <v>19.48</v>
      </c>
      <c r="D3797" s="538" t="n">
        <v>16.1</v>
      </c>
      <c r="E3797" s="538" t="n">
        <v>20.58</v>
      </c>
    </row>
    <row r="3798">
      <c r="A3798" s="544" t="n">
        <v>34526</v>
      </c>
      <c r="B3798" s="538" t="n">
        <v>17.48</v>
      </c>
      <c r="C3798" s="538" t="n">
        <v>20.17</v>
      </c>
      <c r="D3798" s="538" t="n">
        <v>16.67</v>
      </c>
      <c r="E3798" s="538" t="n">
        <v>20.75</v>
      </c>
    </row>
    <row r="3799">
      <c r="A3799" s="544" t="n">
        <v>34527</v>
      </c>
      <c r="B3799" s="538" t="n">
        <v>18.25</v>
      </c>
      <c r="C3799" s="538" t="n">
        <v>20.4</v>
      </c>
      <c r="D3799" s="538" t="n">
        <v>17.13</v>
      </c>
      <c r="E3799" s="538" t="n">
        <v>21.1</v>
      </c>
    </row>
    <row r="3800">
      <c r="A3800" s="544" t="n">
        <v>34528</v>
      </c>
      <c r="B3800" s="538" t="n">
        <v>18.25</v>
      </c>
      <c r="C3800" s="538" t="n">
        <v>20.14</v>
      </c>
      <c r="D3800" s="538" t="n">
        <v>16.83</v>
      </c>
      <c r="E3800" s="538" t="n">
        <v>21.1</v>
      </c>
    </row>
    <row r="3801">
      <c r="A3801" s="544" t="n">
        <v>34529</v>
      </c>
      <c r="B3801" s="538" t="n">
        <v>18.33</v>
      </c>
      <c r="C3801" s="538" t="n">
        <v>20.18</v>
      </c>
      <c r="D3801" s="538" t="n">
        <v>16.88</v>
      </c>
      <c r="E3801" s="538" t="n">
        <v>21.1</v>
      </c>
    </row>
    <row r="3802">
      <c r="A3802" s="544" t="n">
        <v>34530</v>
      </c>
      <c r="B3802" s="538" t="n">
        <v>18.15</v>
      </c>
      <c r="C3802" s="538" t="n">
        <v>19.89</v>
      </c>
      <c r="D3802" s="538" t="n">
        <v>16.67</v>
      </c>
      <c r="E3802" s="538" t="n">
        <v>21.2</v>
      </c>
    </row>
    <row r="3803">
      <c r="A3803" s="544" t="n">
        <v>34533</v>
      </c>
      <c r="B3803" s="538" t="n">
        <v>17.5</v>
      </c>
      <c r="C3803" s="538" t="n">
        <v>19.38</v>
      </c>
      <c r="D3803" s="538" t="n">
        <v>16.33</v>
      </c>
      <c r="E3803" s="538" t="n">
        <v>21.1</v>
      </c>
    </row>
    <row r="3804">
      <c r="A3804" s="544" t="n">
        <v>34534</v>
      </c>
      <c r="B3804" s="538" t="n">
        <v>17.2</v>
      </c>
      <c r="C3804" s="538" t="n">
        <v>19.49</v>
      </c>
      <c r="D3804" s="538" t="n">
        <v>16.23</v>
      </c>
      <c r="E3804" s="538" t="n">
        <v>20.7</v>
      </c>
    </row>
    <row r="3805">
      <c r="A3805" s="544" t="n">
        <v>34535</v>
      </c>
      <c r="B3805" s="538" t="n">
        <v>17.35</v>
      </c>
      <c r="C3805" s="538" t="n">
        <v>19.15</v>
      </c>
      <c r="D3805" s="538" t="n">
        <v>16.28</v>
      </c>
      <c r="E3805" s="538" t="n">
        <v>20.7</v>
      </c>
    </row>
    <row r="3806">
      <c r="A3806" s="544" t="n">
        <v>34536</v>
      </c>
      <c r="B3806" s="538" t="n">
        <v>17.45</v>
      </c>
      <c r="C3806" s="538" t="n">
        <v>19.32</v>
      </c>
      <c r="D3806" s="538" t="n">
        <v>16.38</v>
      </c>
      <c r="E3806" s="538" t="n">
        <v>20.53</v>
      </c>
    </row>
    <row r="3807">
      <c r="A3807" s="544" t="n">
        <v>34537</v>
      </c>
      <c r="B3807" s="538" t="n">
        <v>17.58</v>
      </c>
      <c r="C3807" s="538" t="n">
        <v>19.59</v>
      </c>
      <c r="D3807" s="538" t="n">
        <v>16.58</v>
      </c>
      <c r="E3807" s="538" t="n">
        <v>20.5</v>
      </c>
    </row>
    <row r="3808">
      <c r="A3808" s="544" t="n">
        <v>34540</v>
      </c>
      <c r="B3808" s="538" t="n">
        <v>17.35</v>
      </c>
      <c r="C3808" s="538" t="n">
        <v>19.42</v>
      </c>
      <c r="D3808" s="538" t="n">
        <v>16.28</v>
      </c>
      <c r="E3808" s="538" t="n">
        <v>20.5</v>
      </c>
    </row>
    <row r="3809">
      <c r="A3809" s="544" t="n">
        <v>34541</v>
      </c>
      <c r="B3809" s="538" t="n">
        <v>17.43</v>
      </c>
      <c r="C3809" s="538" t="n">
        <v>19.26</v>
      </c>
      <c r="D3809" s="538" t="n">
        <v>16.48</v>
      </c>
      <c r="E3809" s="538" t="n">
        <v>20.3</v>
      </c>
    </row>
    <row r="3810">
      <c r="A3810" s="544" t="n">
        <v>34542</v>
      </c>
      <c r="B3810" s="538" t="n">
        <v>17.83</v>
      </c>
      <c r="C3810" s="538" t="n">
        <v>19.46</v>
      </c>
      <c r="D3810" s="538" t="n">
        <v>16.67</v>
      </c>
      <c r="E3810" s="538" t="n">
        <v>20.3</v>
      </c>
    </row>
    <row r="3811">
      <c r="A3811" s="544" t="n">
        <v>34543</v>
      </c>
      <c r="B3811" s="538" t="n">
        <v>18</v>
      </c>
      <c r="C3811" s="538" t="n">
        <v>19.87</v>
      </c>
      <c r="D3811" s="538" t="n">
        <v>16.88</v>
      </c>
      <c r="E3811" s="538" t="n">
        <v>20.35</v>
      </c>
    </row>
    <row r="3812">
      <c r="A3812" s="544" t="n">
        <v>34544</v>
      </c>
      <c r="B3812" s="538" t="n">
        <v>18.48</v>
      </c>
      <c r="C3812" s="538" t="n">
        <v>20.3</v>
      </c>
      <c r="D3812" s="538" t="n">
        <v>17.23</v>
      </c>
      <c r="E3812" s="538" t="n">
        <v>20.3</v>
      </c>
    </row>
    <row r="3813">
      <c r="A3813" s="544" t="n">
        <v>34547</v>
      </c>
      <c r="B3813" s="538" t="n">
        <v>19.03</v>
      </c>
      <c r="C3813" s="538" t="n">
        <v>20.65</v>
      </c>
      <c r="D3813" s="538" t="n">
        <v>17.38</v>
      </c>
      <c r="E3813" s="538" t="n">
        <v>21.1</v>
      </c>
    </row>
    <row r="3814">
      <c r="A3814" s="544" t="n">
        <v>34548</v>
      </c>
      <c r="B3814" s="538" t="n">
        <v>18.48</v>
      </c>
      <c r="C3814" s="538" t="n">
        <v>20.22</v>
      </c>
      <c r="D3814" s="538" t="n">
        <v>17</v>
      </c>
      <c r="E3814" s="538" t="n">
        <v>21</v>
      </c>
    </row>
    <row r="3815">
      <c r="A3815" s="544" t="n">
        <v>34549</v>
      </c>
      <c r="B3815" s="538" t="n">
        <v>18.48</v>
      </c>
      <c r="C3815" s="538" t="n">
        <v>20.06</v>
      </c>
      <c r="D3815" s="538" t="n">
        <v>16.95</v>
      </c>
      <c r="E3815" s="538" t="n">
        <v>20.8</v>
      </c>
    </row>
    <row r="3816">
      <c r="A3816" s="544" t="n">
        <v>34550</v>
      </c>
      <c r="B3816" s="538" t="n">
        <v>18.43</v>
      </c>
      <c r="C3816" s="538" t="n">
        <v>20.14</v>
      </c>
      <c r="D3816" s="538" t="n">
        <v>17.05</v>
      </c>
      <c r="E3816" s="538" t="n">
        <v>20.8</v>
      </c>
    </row>
    <row r="3817">
      <c r="A3817" s="544" t="n">
        <v>34551</v>
      </c>
      <c r="B3817" s="538" t="n">
        <v>17.78</v>
      </c>
      <c r="C3817" s="538" t="n">
        <v>19.37</v>
      </c>
      <c r="D3817" s="538" t="n">
        <v>16.83</v>
      </c>
      <c r="E3817" s="538" t="n">
        <v>20.8</v>
      </c>
    </row>
    <row r="3818">
      <c r="A3818" s="544" t="n">
        <v>34554</v>
      </c>
      <c r="B3818" s="538" t="n">
        <v>17.93</v>
      </c>
      <c r="C3818" s="538" t="n">
        <v>19.41</v>
      </c>
      <c r="D3818" s="538" t="n">
        <v>16.67</v>
      </c>
      <c r="E3818" s="538" t="n">
        <v>20.55</v>
      </c>
    </row>
    <row r="3819">
      <c r="A3819" s="544" t="n">
        <v>34555</v>
      </c>
      <c r="B3819" s="538" t="n">
        <v>17.68</v>
      </c>
      <c r="C3819" s="538" t="n">
        <v>19.29</v>
      </c>
      <c r="D3819" s="538" t="n">
        <v>16.73</v>
      </c>
      <c r="E3819" s="538" t="n">
        <v>20.55</v>
      </c>
    </row>
    <row r="3820">
      <c r="A3820" s="544" t="n">
        <v>34556</v>
      </c>
      <c r="B3820" s="538" t="n">
        <v>17.33</v>
      </c>
      <c r="C3820" s="538" t="n">
        <v>18.96</v>
      </c>
      <c r="D3820" s="538" t="n">
        <v>16.58</v>
      </c>
      <c r="E3820" s="538" t="n">
        <v>20.4</v>
      </c>
    </row>
    <row r="3821">
      <c r="A3821" s="544" t="n">
        <v>34557</v>
      </c>
      <c r="B3821" s="538" t="n">
        <v>17.5</v>
      </c>
      <c r="C3821" s="538" t="n">
        <v>18.67</v>
      </c>
      <c r="D3821" s="538" t="n">
        <v>16.17</v>
      </c>
      <c r="E3821" s="538" t="n">
        <v>20.35</v>
      </c>
    </row>
    <row r="3822">
      <c r="A3822" s="544" t="n">
        <v>34558</v>
      </c>
      <c r="B3822" s="538" t="n">
        <v>17.1</v>
      </c>
      <c r="C3822" s="538" t="n">
        <v>18.05</v>
      </c>
      <c r="D3822" s="538" t="n">
        <v>15.58</v>
      </c>
      <c r="E3822" s="538" t="n">
        <v>20.35</v>
      </c>
    </row>
    <row r="3823">
      <c r="A3823" s="544" t="n">
        <v>34561</v>
      </c>
      <c r="B3823" s="538" t="n">
        <v>16.75</v>
      </c>
      <c r="C3823" s="538" t="n">
        <v>18.24</v>
      </c>
      <c r="D3823" s="538" t="n">
        <v>15.78</v>
      </c>
      <c r="E3823" s="538" t="n">
        <v>20.08</v>
      </c>
    </row>
    <row r="3824">
      <c r="A3824" s="544" t="n">
        <v>34562</v>
      </c>
      <c r="B3824" s="538" t="n">
        <v>16.68</v>
      </c>
      <c r="C3824" s="538" t="n">
        <v>17.64</v>
      </c>
      <c r="D3824" s="538" t="n">
        <v>15.38</v>
      </c>
      <c r="E3824" s="538" t="n">
        <v>20.18</v>
      </c>
    </row>
    <row r="3825">
      <c r="A3825" s="544" t="n">
        <v>34563</v>
      </c>
      <c r="B3825" s="538" t="n">
        <v>16.28</v>
      </c>
      <c r="C3825" s="538" t="n">
        <v>18.08</v>
      </c>
      <c r="D3825" s="538" t="n">
        <v>15.78</v>
      </c>
      <c r="E3825" s="538" t="n">
        <v>20.1</v>
      </c>
    </row>
    <row r="3826">
      <c r="A3826" s="544" t="n">
        <v>34564</v>
      </c>
      <c r="B3826" s="538" t="n">
        <v>16.3</v>
      </c>
      <c r="C3826" s="538" t="n">
        <v>17.73</v>
      </c>
      <c r="D3826" s="538" t="n">
        <v>15.48</v>
      </c>
      <c r="E3826" s="538" t="n">
        <v>20.55</v>
      </c>
    </row>
    <row r="3827">
      <c r="A3827" s="544" t="n">
        <v>34565</v>
      </c>
      <c r="B3827" s="538" t="n">
        <v>16.13</v>
      </c>
      <c r="C3827" s="538" t="n">
        <v>17.56</v>
      </c>
      <c r="D3827" s="538" t="n">
        <v>15.18</v>
      </c>
      <c r="E3827" s="538" t="n">
        <v>20.2</v>
      </c>
    </row>
    <row r="3828">
      <c r="A3828" s="544" t="n">
        <v>34568</v>
      </c>
      <c r="B3828" s="538" t="n">
        <v>15.25</v>
      </c>
      <c r="C3828" s="538" t="n">
        <v>16.87</v>
      </c>
      <c r="D3828" s="538" t="n">
        <v>14.53</v>
      </c>
      <c r="E3828" s="538" t="n">
        <v>20.2</v>
      </c>
    </row>
    <row r="3829">
      <c r="A3829" s="544" t="n">
        <v>34569</v>
      </c>
      <c r="B3829" s="538" t="n">
        <v>15.3</v>
      </c>
      <c r="C3829" s="538" t="n">
        <v>17.09</v>
      </c>
      <c r="D3829" s="538" t="n">
        <v>14.8</v>
      </c>
      <c r="E3829" s="538" t="n">
        <v>20.05</v>
      </c>
    </row>
    <row r="3830">
      <c r="A3830" s="544" t="n">
        <v>34570</v>
      </c>
      <c r="B3830" s="538" t="n">
        <v>15.8</v>
      </c>
      <c r="C3830" s="538" t="n">
        <v>17.54</v>
      </c>
      <c r="D3830" s="538" t="n">
        <v>15.28</v>
      </c>
      <c r="E3830" s="538" t="n">
        <v>20.35</v>
      </c>
    </row>
    <row r="3831">
      <c r="A3831" s="544" t="n">
        <v>34571</v>
      </c>
      <c r="B3831" s="538" t="n">
        <v>15.75</v>
      </c>
      <c r="C3831" s="538" t="n">
        <v>17.49</v>
      </c>
      <c r="D3831" s="538" t="n">
        <v>15.08</v>
      </c>
      <c r="E3831" s="538" t="n">
        <v>20.55</v>
      </c>
    </row>
    <row r="3832">
      <c r="A3832" s="544" t="n">
        <v>34572</v>
      </c>
      <c r="B3832" s="538" t="n">
        <v>15.85</v>
      </c>
      <c r="C3832" s="538" t="n">
        <v>17.14</v>
      </c>
      <c r="D3832" s="538" t="n">
        <v>14.68</v>
      </c>
      <c r="E3832" s="538" t="n">
        <v>20.95</v>
      </c>
    </row>
    <row r="3833">
      <c r="A3833" s="544" t="n">
        <v>34575</v>
      </c>
      <c r="B3833" s="538" t="n">
        <v>15.85</v>
      </c>
      <c r="C3833" s="538" t="n">
        <v>17.62</v>
      </c>
      <c r="D3833" s="538" t="n">
        <v>15.03</v>
      </c>
      <c r="E3833" s="538" t="n">
        <v>20.95</v>
      </c>
    </row>
    <row r="3834">
      <c r="A3834" s="544" t="n">
        <v>34576</v>
      </c>
      <c r="B3834" s="538" t="n">
        <v>15.78</v>
      </c>
      <c r="C3834" s="538" t="n">
        <v>17.4</v>
      </c>
      <c r="D3834" s="538" t="n">
        <v>14.88</v>
      </c>
      <c r="E3834" s="538" t="n">
        <v>20.95</v>
      </c>
    </row>
    <row r="3835">
      <c r="A3835" s="544" t="n">
        <v>34577</v>
      </c>
      <c r="B3835" s="538" t="n">
        <v>16.03</v>
      </c>
      <c r="C3835" s="538" t="n">
        <v>17.6</v>
      </c>
      <c r="D3835" s="538" t="n">
        <v>15.1</v>
      </c>
      <c r="E3835" s="538" t="n">
        <v>20.85</v>
      </c>
    </row>
    <row r="3836">
      <c r="A3836" s="544" t="n">
        <v>34578</v>
      </c>
      <c r="B3836" s="538" t="n">
        <v>16.03</v>
      </c>
      <c r="C3836" s="538" t="n">
        <v>17.47</v>
      </c>
      <c r="D3836" s="538" t="n">
        <v>15.18</v>
      </c>
      <c r="E3836" s="538" t="n">
        <v>21.4</v>
      </c>
    </row>
    <row r="3837">
      <c r="A3837" s="544" t="n">
        <v>34579</v>
      </c>
      <c r="B3837" s="538" t="n">
        <v>15.88</v>
      </c>
      <c r="C3837" s="538" t="n">
        <v>17.52</v>
      </c>
      <c r="D3837" s="538" t="n">
        <v>15.2</v>
      </c>
      <c r="E3837" s="538" t="n">
        <v>21.4</v>
      </c>
    </row>
    <row r="3838">
      <c r="A3838" s="544" t="n">
        <v>34582</v>
      </c>
      <c r="B3838" s="538" t="n">
        <v>15.6</v>
      </c>
      <c r="C3838" s="538" t="n">
        <v>17.52</v>
      </c>
      <c r="D3838" s="538" t="n">
        <v>15.2</v>
      </c>
      <c r="E3838" s="538" t="n">
        <v>21.4</v>
      </c>
    </row>
    <row r="3839">
      <c r="A3839" s="544" t="n">
        <v>34583</v>
      </c>
      <c r="B3839" s="538" t="n">
        <v>15.95</v>
      </c>
      <c r="C3839" s="538" t="n">
        <v>17.62</v>
      </c>
      <c r="D3839" s="538" t="n">
        <v>15.13</v>
      </c>
      <c r="E3839" s="538" t="n">
        <v>21.4</v>
      </c>
    </row>
    <row r="3840">
      <c r="A3840" s="544" t="n">
        <v>34584</v>
      </c>
      <c r="B3840" s="538" t="n">
        <v>16.03</v>
      </c>
      <c r="C3840" s="538" t="n">
        <v>17.84</v>
      </c>
      <c r="D3840" s="538" t="n">
        <v>15.38</v>
      </c>
      <c r="E3840" s="538" t="n">
        <v>21.4</v>
      </c>
    </row>
    <row r="3841">
      <c r="A3841" s="544" t="n">
        <v>34585</v>
      </c>
      <c r="B3841" s="538" t="n">
        <v>16.05</v>
      </c>
      <c r="C3841" s="538" t="n">
        <v>17.62</v>
      </c>
      <c r="D3841" s="538" t="n">
        <v>15.18</v>
      </c>
      <c r="E3841" s="538" t="n">
        <v>21.6</v>
      </c>
    </row>
    <row r="3842">
      <c r="A3842" s="544" t="n">
        <v>34586</v>
      </c>
      <c r="B3842" s="538" t="n">
        <v>15.93</v>
      </c>
      <c r="C3842" s="538" t="n">
        <v>17.53</v>
      </c>
      <c r="D3842" s="538" t="n">
        <v>15.08</v>
      </c>
      <c r="E3842" s="538" t="n">
        <v>21.6</v>
      </c>
    </row>
    <row r="3843">
      <c r="A3843" s="544" t="n">
        <v>34589</v>
      </c>
      <c r="B3843" s="538" t="n">
        <v>15.83</v>
      </c>
      <c r="C3843" s="538" t="n">
        <v>17.39</v>
      </c>
      <c r="D3843" s="538" t="n">
        <v>15.18</v>
      </c>
      <c r="E3843" s="538" t="n">
        <v>21.6</v>
      </c>
    </row>
    <row r="3844">
      <c r="A3844" s="544" t="n">
        <v>34590</v>
      </c>
      <c r="B3844" s="538" t="n">
        <v>15.48</v>
      </c>
      <c r="C3844" s="538" t="n">
        <v>17</v>
      </c>
      <c r="D3844" s="538" t="n">
        <v>14.85</v>
      </c>
      <c r="E3844" s="538" t="n">
        <v>21.6</v>
      </c>
    </row>
    <row r="3845">
      <c r="A3845" s="544" t="n">
        <v>34591</v>
      </c>
      <c r="B3845" s="538" t="n">
        <v>15.4</v>
      </c>
      <c r="C3845" s="538" t="n">
        <v>16.72</v>
      </c>
      <c r="D3845" s="538" t="n">
        <v>14.68</v>
      </c>
      <c r="E3845" s="538" t="n">
        <v>21.6</v>
      </c>
    </row>
    <row r="3846">
      <c r="A3846" s="544" t="n">
        <v>34592</v>
      </c>
      <c r="B3846" s="538" t="n">
        <v>15.25</v>
      </c>
      <c r="C3846" s="538" t="n">
        <v>16.72</v>
      </c>
      <c r="D3846" s="538" t="n">
        <v>14.9</v>
      </c>
      <c r="E3846" s="538" t="n">
        <v>21.55</v>
      </c>
    </row>
    <row r="3847">
      <c r="A3847" s="544" t="n">
        <v>34593</v>
      </c>
      <c r="B3847" s="538" t="n">
        <v>15.3</v>
      </c>
      <c r="C3847" s="538" t="n">
        <v>16.84</v>
      </c>
      <c r="D3847" s="538" t="n">
        <v>14.78</v>
      </c>
      <c r="E3847" s="538" t="n">
        <v>21.9</v>
      </c>
    </row>
    <row r="3848">
      <c r="A3848" s="544" t="n">
        <v>34596</v>
      </c>
      <c r="B3848" s="538" t="n">
        <v>15.45</v>
      </c>
      <c r="C3848" s="538" t="n">
        <v>17.21</v>
      </c>
      <c r="D3848" s="538" t="n">
        <v>15.28</v>
      </c>
      <c r="E3848" s="538" t="n">
        <v>22</v>
      </c>
    </row>
    <row r="3849">
      <c r="A3849" s="544" t="n">
        <v>34597</v>
      </c>
      <c r="B3849" s="538" t="n">
        <v>15.78</v>
      </c>
      <c r="C3849" s="538" t="n">
        <v>17.24</v>
      </c>
      <c r="D3849" s="538" t="n">
        <v>15.03</v>
      </c>
      <c r="E3849" s="538" t="n">
        <v>22.25</v>
      </c>
    </row>
    <row r="3850">
      <c r="A3850" s="544" t="n">
        <v>34598</v>
      </c>
      <c r="B3850" s="538" t="n">
        <v>15.8</v>
      </c>
      <c r="C3850" s="538" t="n">
        <v>17.06</v>
      </c>
      <c r="D3850" s="538" t="n">
        <v>15.03</v>
      </c>
      <c r="E3850" s="538" t="n">
        <v>22.25</v>
      </c>
    </row>
    <row r="3851">
      <c r="A3851" s="544" t="n">
        <v>34599</v>
      </c>
      <c r="B3851" s="538" t="n">
        <v>15.9</v>
      </c>
      <c r="C3851" s="538" t="n">
        <v>17.65</v>
      </c>
      <c r="D3851" s="538" t="n">
        <v>15.43</v>
      </c>
      <c r="E3851" s="538" t="n">
        <v>22.2</v>
      </c>
    </row>
    <row r="3852">
      <c r="A3852" s="544" t="n">
        <v>34600</v>
      </c>
      <c r="B3852" s="538" t="n">
        <v>16.3</v>
      </c>
      <c r="C3852" s="538" t="n">
        <v>17.76</v>
      </c>
      <c r="D3852" s="538" t="n">
        <v>15.58</v>
      </c>
      <c r="E3852" s="538" t="n">
        <v>22.45</v>
      </c>
    </row>
    <row r="3853">
      <c r="A3853" s="544" t="n">
        <v>34603</v>
      </c>
      <c r="B3853" s="538" t="n">
        <v>16.1</v>
      </c>
      <c r="C3853" s="538" t="n">
        <v>17.68</v>
      </c>
      <c r="D3853" s="538" t="n">
        <v>15.48</v>
      </c>
      <c r="E3853" s="538" t="n">
        <v>22.35</v>
      </c>
    </row>
    <row r="3854">
      <c r="A3854" s="544" t="n">
        <v>34604</v>
      </c>
      <c r="B3854" s="538" t="n">
        <v>16.1</v>
      </c>
      <c r="C3854" s="538" t="n">
        <v>17.48</v>
      </c>
      <c r="D3854" s="538" t="n">
        <v>15.28</v>
      </c>
      <c r="E3854" s="538" t="n">
        <v>22.35</v>
      </c>
    </row>
    <row r="3855">
      <c r="A3855" s="544" t="n">
        <v>34605</v>
      </c>
      <c r="B3855" s="538" t="n">
        <v>16.2</v>
      </c>
      <c r="C3855" s="538" t="n">
        <v>17.69</v>
      </c>
      <c r="D3855" s="538" t="n">
        <v>15.43</v>
      </c>
      <c r="E3855" s="538" t="n">
        <v>22.3</v>
      </c>
    </row>
    <row r="3856">
      <c r="A3856" s="544" t="n">
        <v>34606</v>
      </c>
      <c r="B3856" s="538" t="n">
        <v>16.6</v>
      </c>
      <c r="C3856" s="538" t="n">
        <v>17.96</v>
      </c>
      <c r="D3856" s="538" t="n">
        <v>15.68</v>
      </c>
      <c r="E3856" s="538" t="n">
        <v>22.5</v>
      </c>
    </row>
    <row r="3857">
      <c r="A3857" s="544" t="n">
        <v>34607</v>
      </c>
      <c r="B3857" s="538" t="n">
        <v>16.73</v>
      </c>
      <c r="C3857" s="538" t="n">
        <v>18.36</v>
      </c>
      <c r="D3857" s="538" t="n">
        <v>15.93</v>
      </c>
      <c r="E3857" s="538" t="n">
        <v>22.4</v>
      </c>
    </row>
    <row r="3858">
      <c r="A3858" s="544" t="n">
        <v>34610</v>
      </c>
      <c r="B3858" s="538" t="n">
        <v>16.85</v>
      </c>
      <c r="C3858" s="538" t="n">
        <v>18.16</v>
      </c>
      <c r="D3858" s="538" t="n">
        <v>15.83</v>
      </c>
      <c r="E3858" s="538" t="n">
        <v>22.4</v>
      </c>
    </row>
    <row r="3859">
      <c r="A3859" s="544" t="n">
        <v>34611</v>
      </c>
      <c r="B3859" s="538" t="n">
        <v>16.7</v>
      </c>
      <c r="C3859" s="538" t="n">
        <v>17.97</v>
      </c>
      <c r="D3859" s="538" t="n">
        <v>15.58</v>
      </c>
      <c r="E3859" s="538" t="n">
        <v>22.3</v>
      </c>
    </row>
    <row r="3860">
      <c r="A3860" s="544" t="n">
        <v>34612</v>
      </c>
      <c r="B3860" s="538" t="n">
        <v>16.5</v>
      </c>
      <c r="C3860" s="538" t="n">
        <v>18.01</v>
      </c>
      <c r="D3860" s="538" t="n">
        <v>15.68</v>
      </c>
      <c r="E3860" s="538" t="n">
        <v>22.25</v>
      </c>
    </row>
    <row r="3861">
      <c r="A3861" s="544" t="n">
        <v>34613</v>
      </c>
      <c r="B3861" s="538" t="n">
        <v>16.63</v>
      </c>
      <c r="C3861" s="538" t="n">
        <v>18.24</v>
      </c>
      <c r="D3861" s="538" t="n">
        <v>15.75</v>
      </c>
      <c r="E3861" s="538" t="n">
        <v>22.25</v>
      </c>
    </row>
    <row r="3862">
      <c r="A3862" s="544" t="n">
        <v>34614</v>
      </c>
      <c r="B3862" s="538" t="n">
        <v>16.93</v>
      </c>
      <c r="C3862" s="538" t="n">
        <v>18.27</v>
      </c>
      <c r="D3862" s="538" t="n">
        <v>15.78</v>
      </c>
      <c r="E3862" s="538" t="n">
        <v>22.45</v>
      </c>
    </row>
    <row r="3863">
      <c r="A3863" s="544" t="n">
        <v>34617</v>
      </c>
      <c r="B3863" s="538" t="n">
        <v>16.7</v>
      </c>
      <c r="C3863" s="538" t="n">
        <v>17.95</v>
      </c>
      <c r="D3863" s="538" t="n">
        <v>15.53</v>
      </c>
      <c r="E3863" s="538" t="n">
        <v>23.2</v>
      </c>
    </row>
    <row r="3864">
      <c r="A3864" s="544" t="n">
        <v>34618</v>
      </c>
      <c r="B3864" s="538" t="n">
        <v>16.38</v>
      </c>
      <c r="C3864" s="538" t="n">
        <v>17.74</v>
      </c>
      <c r="D3864" s="538" t="n">
        <v>15.33</v>
      </c>
      <c r="E3864" s="538" t="n">
        <v>23.15</v>
      </c>
    </row>
    <row r="3865">
      <c r="A3865" s="544" t="n">
        <v>34619</v>
      </c>
      <c r="B3865" s="538" t="n">
        <v>16.08</v>
      </c>
      <c r="C3865" s="538" t="n">
        <v>17.13</v>
      </c>
      <c r="D3865" s="538" t="n">
        <v>14.68</v>
      </c>
      <c r="E3865" s="538" t="n">
        <v>23.05</v>
      </c>
    </row>
    <row r="3866">
      <c r="A3866" s="544" t="n">
        <v>34620</v>
      </c>
      <c r="B3866" s="538" t="n">
        <v>15.63</v>
      </c>
      <c r="C3866" s="538" t="n">
        <v>17.03</v>
      </c>
      <c r="D3866" s="538" t="n">
        <v>14.58</v>
      </c>
      <c r="E3866" s="538" t="n">
        <v>22.55</v>
      </c>
    </row>
    <row r="3867">
      <c r="A3867" s="544" t="n">
        <v>34621</v>
      </c>
      <c r="B3867" s="538" t="n">
        <v>15.58</v>
      </c>
      <c r="C3867" s="538" t="n">
        <v>16.98</v>
      </c>
      <c r="D3867" s="538" t="n">
        <v>14.68</v>
      </c>
      <c r="E3867" s="538" t="n">
        <v>22.45</v>
      </c>
    </row>
    <row r="3868">
      <c r="A3868" s="544" t="n">
        <v>34624</v>
      </c>
      <c r="B3868" s="538" t="n">
        <v>15.75</v>
      </c>
      <c r="C3868" s="538" t="n">
        <v>17.11</v>
      </c>
      <c r="D3868" s="538" t="n">
        <v>14.83</v>
      </c>
      <c r="E3868" s="538" t="n">
        <v>22.45</v>
      </c>
    </row>
    <row r="3869">
      <c r="A3869" s="544" t="n">
        <v>34625</v>
      </c>
      <c r="B3869" s="538" t="n">
        <v>16.13</v>
      </c>
      <c r="C3869" s="538" t="n">
        <v>17.34</v>
      </c>
      <c r="D3869" s="538" t="n">
        <v>14.88</v>
      </c>
      <c r="E3869" s="538" t="n">
        <v>22.55</v>
      </c>
    </row>
    <row r="3870">
      <c r="A3870" s="544" t="n">
        <v>34626</v>
      </c>
      <c r="B3870" s="538" t="n">
        <v>16.28</v>
      </c>
      <c r="C3870" s="538" t="n">
        <v>17.43</v>
      </c>
      <c r="D3870" s="538" t="n">
        <v>15.08</v>
      </c>
      <c r="E3870" s="538" t="n">
        <v>22.9</v>
      </c>
    </row>
    <row r="3871">
      <c r="A3871" s="544" t="n">
        <v>34627</v>
      </c>
      <c r="B3871" s="538" t="n">
        <v>16.53</v>
      </c>
      <c r="C3871" s="538" t="n">
        <v>17.57</v>
      </c>
      <c r="D3871" s="538" t="n">
        <v>15.48</v>
      </c>
      <c r="E3871" s="538" t="n">
        <v>23</v>
      </c>
    </row>
    <row r="3872">
      <c r="A3872" s="544" t="n">
        <v>34628</v>
      </c>
      <c r="B3872" s="538" t="n">
        <v>16.35</v>
      </c>
      <c r="C3872" s="538" t="n">
        <v>17.31</v>
      </c>
      <c r="D3872" s="538" t="n">
        <v>15.05</v>
      </c>
      <c r="E3872" s="538" t="n">
        <v>23.55</v>
      </c>
    </row>
    <row r="3873">
      <c r="A3873" s="544" t="n">
        <v>34631</v>
      </c>
      <c r="B3873" s="538" t="n">
        <v>16.48</v>
      </c>
      <c r="C3873" s="538" t="n">
        <v>17.5</v>
      </c>
      <c r="D3873" s="538" t="n">
        <v>15.13</v>
      </c>
      <c r="E3873" s="538" t="n">
        <v>23.65</v>
      </c>
    </row>
    <row r="3874">
      <c r="A3874" s="544" t="n">
        <v>34632</v>
      </c>
      <c r="B3874" s="538" t="n">
        <v>16.48</v>
      </c>
      <c r="C3874" s="538" t="n">
        <v>17.71</v>
      </c>
      <c r="D3874" s="538" t="n">
        <v>15.43</v>
      </c>
      <c r="E3874" s="538" t="n">
        <v>23.65</v>
      </c>
    </row>
    <row r="3875">
      <c r="A3875" s="544" t="n">
        <v>34633</v>
      </c>
      <c r="B3875" s="538" t="n">
        <v>16.88</v>
      </c>
      <c r="C3875" s="538" t="n">
        <v>18.01</v>
      </c>
      <c r="D3875" s="538" t="n">
        <v>15.63</v>
      </c>
      <c r="E3875" s="538" t="n">
        <v>24.05</v>
      </c>
    </row>
    <row r="3876">
      <c r="A3876" s="544" t="n">
        <v>34634</v>
      </c>
      <c r="B3876" s="538" t="n">
        <v>17.08</v>
      </c>
      <c r="C3876" s="538" t="n">
        <v>18.17</v>
      </c>
      <c r="D3876" s="538" t="n">
        <v>15.78</v>
      </c>
      <c r="E3876" s="538" t="n">
        <v>24.35</v>
      </c>
    </row>
    <row r="3877">
      <c r="A3877" s="544" t="n">
        <v>34635</v>
      </c>
      <c r="B3877" s="538" t="n">
        <v>17.18</v>
      </c>
      <c r="C3877" s="538" t="n">
        <v>18.25</v>
      </c>
      <c r="D3877" s="538" t="n">
        <v>15.68</v>
      </c>
      <c r="E3877" s="538" t="n">
        <v>24.15</v>
      </c>
    </row>
    <row r="3878">
      <c r="A3878" s="544" t="n">
        <v>34638</v>
      </c>
      <c r="B3878" s="538" t="n">
        <v>17.18</v>
      </c>
      <c r="C3878" s="538" t="n">
        <v>18.16</v>
      </c>
      <c r="D3878" s="538" t="n">
        <v>15.58</v>
      </c>
      <c r="E3878" s="538" t="n">
        <v>24.15</v>
      </c>
    </row>
    <row r="3879">
      <c r="A3879" s="544" t="n">
        <v>34639</v>
      </c>
      <c r="B3879" s="538" t="n">
        <v>17.4</v>
      </c>
      <c r="C3879" s="538" t="n">
        <v>18.66</v>
      </c>
      <c r="D3879" s="538" t="n">
        <v>16.03</v>
      </c>
      <c r="E3879" s="538" t="n">
        <v>24.15</v>
      </c>
    </row>
    <row r="3880">
      <c r="A3880" s="544" t="n">
        <v>34640</v>
      </c>
      <c r="B3880" s="538" t="n">
        <v>17.58</v>
      </c>
      <c r="C3880" s="538" t="n">
        <v>18.9</v>
      </c>
      <c r="D3880" s="538" t="n">
        <v>16.33</v>
      </c>
      <c r="E3880" s="538" t="n">
        <v>24.15</v>
      </c>
    </row>
    <row r="3881">
      <c r="A3881" s="544" t="n">
        <v>34641</v>
      </c>
      <c r="B3881" s="538" t="n">
        <v>17.75</v>
      </c>
      <c r="C3881" s="538" t="n">
        <v>18.97</v>
      </c>
      <c r="D3881" s="538" t="n">
        <v>16.38</v>
      </c>
      <c r="E3881" s="538" t="n">
        <v>24.15</v>
      </c>
    </row>
    <row r="3882">
      <c r="A3882" s="544" t="n">
        <v>34642</v>
      </c>
      <c r="B3882" s="538" t="n">
        <v>18</v>
      </c>
      <c r="C3882" s="538" t="n">
        <v>18.76</v>
      </c>
      <c r="D3882" s="538" t="n">
        <v>16.23</v>
      </c>
      <c r="E3882" s="538" t="n">
        <v>24.25</v>
      </c>
    </row>
    <row r="3883">
      <c r="A3883" s="544" t="n">
        <v>34645</v>
      </c>
      <c r="B3883" s="538" t="n">
        <v>17.78</v>
      </c>
      <c r="C3883" s="538" t="n">
        <v>18.38</v>
      </c>
      <c r="D3883" s="538" t="n">
        <v>16</v>
      </c>
      <c r="E3883" s="538" t="n">
        <v>24.15</v>
      </c>
    </row>
    <row r="3884">
      <c r="A3884" s="544" t="n">
        <v>34646</v>
      </c>
      <c r="B3884" s="538" t="n">
        <v>17.38</v>
      </c>
      <c r="C3884" s="538" t="n">
        <v>18.46</v>
      </c>
      <c r="D3884" s="538" t="n">
        <v>16.23</v>
      </c>
      <c r="E3884" s="538" t="n">
        <v>24</v>
      </c>
    </row>
    <row r="3885">
      <c r="A3885" s="544" t="n">
        <v>34647</v>
      </c>
      <c r="B3885" s="538" t="n">
        <v>17.55</v>
      </c>
      <c r="C3885" s="538" t="n">
        <v>18.16</v>
      </c>
      <c r="D3885" s="538" t="n">
        <v>16.05</v>
      </c>
      <c r="E3885" s="538" t="n">
        <v>24</v>
      </c>
    </row>
    <row r="3886">
      <c r="A3886" s="544" t="n">
        <v>34648</v>
      </c>
      <c r="B3886" s="538" t="n">
        <v>17.2</v>
      </c>
      <c r="C3886" s="538" t="n">
        <v>18.18</v>
      </c>
      <c r="D3886" s="538" t="n">
        <v>16.03</v>
      </c>
      <c r="E3886" s="538" t="n">
        <v>23.95</v>
      </c>
    </row>
    <row r="3887">
      <c r="A3887" s="544" t="n">
        <v>34649</v>
      </c>
      <c r="B3887" s="538" t="n">
        <v>17.38</v>
      </c>
      <c r="C3887" s="538" t="n">
        <v>18.07</v>
      </c>
      <c r="D3887" s="538" t="n">
        <v>16.13</v>
      </c>
      <c r="E3887" s="538" t="n">
        <v>24</v>
      </c>
    </row>
    <row r="3888">
      <c r="A3888" s="544" t="n">
        <v>34652</v>
      </c>
      <c r="B3888" s="538" t="n">
        <v>17.25</v>
      </c>
      <c r="C3888" s="538" t="n">
        <v>17.48</v>
      </c>
      <c r="D3888" s="538" t="n">
        <v>15.78</v>
      </c>
      <c r="E3888" s="538" t="n">
        <v>24.35</v>
      </c>
    </row>
    <row r="3889">
      <c r="A3889" s="544" t="n">
        <v>34653</v>
      </c>
      <c r="B3889" s="538" t="n">
        <v>16.98</v>
      </c>
      <c r="C3889" s="538" t="n">
        <v>17.58</v>
      </c>
      <c r="D3889" s="538" t="n">
        <v>15.53</v>
      </c>
      <c r="E3889" s="538" t="n">
        <v>24.3</v>
      </c>
    </row>
    <row r="3890">
      <c r="A3890" s="544" t="n">
        <v>34654</v>
      </c>
      <c r="B3890" s="538" t="n">
        <v>16.8</v>
      </c>
      <c r="C3890" s="538" t="n">
        <v>17.38</v>
      </c>
      <c r="D3890" s="538" t="n">
        <v>15.35</v>
      </c>
      <c r="E3890" s="538" t="n">
        <v>24.3</v>
      </c>
    </row>
    <row r="3891">
      <c r="A3891" s="544" t="n">
        <v>34655</v>
      </c>
      <c r="B3891" s="538" t="n">
        <v>16.53</v>
      </c>
      <c r="C3891" s="538" t="n">
        <v>17.63</v>
      </c>
      <c r="D3891" s="538" t="n">
        <v>15.53</v>
      </c>
      <c r="E3891" s="538" t="n">
        <v>24.2</v>
      </c>
    </row>
    <row r="3892">
      <c r="A3892" s="544" t="n">
        <v>34656</v>
      </c>
      <c r="B3892" s="538" t="n">
        <v>16.45</v>
      </c>
      <c r="C3892" s="538" t="n">
        <v>17.47</v>
      </c>
      <c r="D3892" s="538" t="n">
        <v>15.68</v>
      </c>
      <c r="E3892" s="538" t="n">
        <v>24.2</v>
      </c>
    </row>
    <row r="3893">
      <c r="A3893" s="544" t="n">
        <v>34659</v>
      </c>
      <c r="B3893" s="538" t="n">
        <v>17.25</v>
      </c>
      <c r="C3893" s="538" t="n">
        <v>17.43</v>
      </c>
      <c r="D3893" s="538" t="n">
        <v>15.78</v>
      </c>
      <c r="E3893" s="538" t="n">
        <v>24.3</v>
      </c>
    </row>
    <row r="3894">
      <c r="A3894" s="544" t="n">
        <v>34660</v>
      </c>
      <c r="B3894" s="538" t="n">
        <v>17.2</v>
      </c>
      <c r="C3894" s="538" t="n">
        <v>17.7</v>
      </c>
      <c r="D3894" s="538" t="n">
        <v>15.88</v>
      </c>
      <c r="E3894" s="538" t="n">
        <v>24.15</v>
      </c>
    </row>
    <row r="3895">
      <c r="A3895" s="544" t="n">
        <v>34661</v>
      </c>
      <c r="B3895" s="538" t="n">
        <v>16.88</v>
      </c>
      <c r="C3895" s="538" t="n">
        <v>18.05</v>
      </c>
      <c r="D3895" s="538" t="n">
        <v>15.98</v>
      </c>
      <c r="E3895" s="538" t="n">
        <v>24</v>
      </c>
    </row>
    <row r="3896">
      <c r="A3896" s="544" t="n">
        <v>34662</v>
      </c>
      <c r="B3896" s="538" t="n">
        <v>16.95</v>
      </c>
      <c r="C3896" s="538" t="n">
        <v>18.05</v>
      </c>
      <c r="D3896" s="538" t="n">
        <v>15.98</v>
      </c>
      <c r="E3896" s="538" t="n">
        <v>24.05</v>
      </c>
    </row>
    <row r="3897">
      <c r="A3897" s="544" t="n">
        <v>34663</v>
      </c>
      <c r="B3897" s="538" t="n">
        <v>17</v>
      </c>
      <c r="C3897" s="538" t="n">
        <v>18.05</v>
      </c>
      <c r="D3897" s="538" t="n">
        <v>16.08</v>
      </c>
      <c r="E3897" s="538" t="n">
        <v>24.05</v>
      </c>
    </row>
    <row r="3898">
      <c r="A3898" s="544" t="n">
        <v>34666</v>
      </c>
      <c r="B3898" s="538" t="n">
        <v>16.95</v>
      </c>
      <c r="C3898" s="538" t="n">
        <v>18.1</v>
      </c>
      <c r="D3898" s="538" t="n">
        <v>16.08</v>
      </c>
      <c r="E3898" s="538" t="n">
        <v>24.05</v>
      </c>
    </row>
    <row r="3899">
      <c r="A3899" s="544" t="n">
        <v>34667</v>
      </c>
      <c r="B3899" s="538" t="n">
        <v>17</v>
      </c>
      <c r="C3899" s="538" t="n">
        <v>17.97</v>
      </c>
      <c r="D3899" s="538" t="n">
        <v>16.03</v>
      </c>
      <c r="E3899" s="538" t="n">
        <v>24</v>
      </c>
    </row>
    <row r="3900">
      <c r="A3900" s="544" t="n">
        <v>34668</v>
      </c>
      <c r="B3900" s="538" t="n">
        <v>16.95</v>
      </c>
      <c r="C3900" s="538" t="n">
        <v>18.06</v>
      </c>
      <c r="D3900" s="538" t="n">
        <v>16.08</v>
      </c>
      <c r="E3900" s="538" t="n">
        <v>23.55</v>
      </c>
    </row>
    <row r="3901">
      <c r="A3901" s="544" t="n">
        <v>34669</v>
      </c>
      <c r="B3901" s="538" t="n">
        <v>16.98</v>
      </c>
      <c r="C3901" s="538" t="n">
        <v>17.77</v>
      </c>
      <c r="D3901" s="538" t="n">
        <v>15.88</v>
      </c>
      <c r="E3901" s="538" t="n">
        <v>23.35</v>
      </c>
    </row>
    <row r="3902">
      <c r="A3902" s="544" t="n">
        <v>34670</v>
      </c>
      <c r="B3902" s="538" t="n">
        <v>16.35</v>
      </c>
      <c r="C3902" s="538" t="n">
        <v>17</v>
      </c>
      <c r="D3902" s="538" t="n">
        <v>15.18</v>
      </c>
      <c r="E3902" s="538" t="n">
        <v>23.25</v>
      </c>
    </row>
    <row r="3903">
      <c r="A3903" s="544" t="n">
        <v>34673</v>
      </c>
      <c r="B3903" s="538" t="n">
        <v>15.93</v>
      </c>
      <c r="C3903" s="538" t="n">
        <v>16.88</v>
      </c>
      <c r="D3903" s="538" t="n">
        <v>15.2</v>
      </c>
      <c r="E3903" s="538" t="n">
        <v>23.1</v>
      </c>
    </row>
    <row r="3904">
      <c r="A3904" s="544" t="n">
        <v>34674</v>
      </c>
      <c r="B3904" s="538" t="n">
        <v>16.05</v>
      </c>
      <c r="C3904" s="538" t="n">
        <v>16.93</v>
      </c>
      <c r="D3904" s="538" t="n">
        <v>15.1</v>
      </c>
      <c r="E3904" s="538" t="n">
        <v>22.85</v>
      </c>
    </row>
    <row r="3905">
      <c r="A3905" s="544" t="n">
        <v>34675</v>
      </c>
      <c r="B3905" s="538" t="n">
        <v>15.83</v>
      </c>
      <c r="C3905" s="538" t="n">
        <v>16.86</v>
      </c>
      <c r="D3905" s="538" t="n">
        <v>15.28</v>
      </c>
      <c r="E3905" s="538" t="n">
        <v>22.75</v>
      </c>
    </row>
    <row r="3906">
      <c r="A3906" s="544" t="n">
        <v>34676</v>
      </c>
      <c r="B3906" s="538" t="n">
        <v>16.13</v>
      </c>
      <c r="C3906" s="538" t="n">
        <v>17.14</v>
      </c>
      <c r="D3906" s="538" t="n">
        <v>15.68</v>
      </c>
      <c r="E3906" s="538" t="n">
        <v>22.75</v>
      </c>
    </row>
    <row r="3907">
      <c r="A3907" s="544" t="n">
        <v>34677</v>
      </c>
      <c r="B3907" s="538" t="n">
        <v>16.08</v>
      </c>
      <c r="C3907" s="538" t="n">
        <v>17.12</v>
      </c>
      <c r="D3907" s="538" t="n">
        <v>15.63</v>
      </c>
      <c r="E3907" s="538" t="n">
        <v>22.75</v>
      </c>
    </row>
    <row r="3908">
      <c r="A3908" s="544" t="n">
        <v>34680</v>
      </c>
      <c r="B3908" s="538" t="n">
        <v>15.98</v>
      </c>
      <c r="C3908" s="538" t="n">
        <v>16.92</v>
      </c>
      <c r="D3908" s="538" t="n">
        <v>15.23</v>
      </c>
      <c r="E3908" s="538" t="n">
        <v>22.75</v>
      </c>
    </row>
    <row r="3909">
      <c r="A3909" s="544" t="n">
        <v>34681</v>
      </c>
      <c r="B3909" s="538" t="n">
        <v>15.73</v>
      </c>
      <c r="C3909" s="538" t="n">
        <v>16.98</v>
      </c>
      <c r="D3909" s="538" t="n">
        <v>15.23</v>
      </c>
      <c r="E3909" s="538" t="n">
        <v>22.65</v>
      </c>
    </row>
    <row r="3910">
      <c r="A3910" s="544" t="n">
        <v>34682</v>
      </c>
      <c r="B3910" s="538" t="n">
        <v>15.83</v>
      </c>
      <c r="C3910" s="538" t="n">
        <v>16.96</v>
      </c>
      <c r="D3910" s="538" t="n">
        <v>15.38</v>
      </c>
      <c r="E3910" s="538" t="n">
        <v>22.45</v>
      </c>
    </row>
    <row r="3911">
      <c r="A3911" s="544" t="n">
        <v>34683</v>
      </c>
      <c r="B3911" s="538" t="n">
        <v>15.6</v>
      </c>
      <c r="C3911" s="538" t="n">
        <v>16.6</v>
      </c>
      <c r="D3911" s="538" t="n">
        <v>15.08</v>
      </c>
      <c r="E3911" s="538" t="n">
        <v>22.45</v>
      </c>
    </row>
    <row r="3912">
      <c r="A3912" s="544" t="n">
        <v>34684</v>
      </c>
      <c r="B3912" s="538" t="n">
        <v>15.48</v>
      </c>
      <c r="C3912" s="538" t="n">
        <v>16.84</v>
      </c>
      <c r="D3912" s="538" t="n">
        <v>15.33</v>
      </c>
      <c r="E3912" s="538" t="n">
        <v>22.15</v>
      </c>
    </row>
    <row r="3913">
      <c r="A3913" s="544" t="n">
        <v>34687</v>
      </c>
      <c r="B3913" s="538" t="n">
        <v>15.58</v>
      </c>
      <c r="C3913" s="538" t="n">
        <v>16.91</v>
      </c>
      <c r="D3913" s="538" t="n">
        <v>15.18</v>
      </c>
      <c r="E3913" s="538" t="n">
        <v>22.3</v>
      </c>
    </row>
    <row r="3914">
      <c r="A3914" s="544" t="n">
        <v>34688</v>
      </c>
      <c r="B3914" s="538" t="n">
        <v>15.73</v>
      </c>
      <c r="C3914" s="538" t="n">
        <v>16.98</v>
      </c>
      <c r="D3914" s="538" t="n">
        <v>15.28</v>
      </c>
      <c r="E3914" s="538" t="n">
        <v>22.3</v>
      </c>
    </row>
    <row r="3915">
      <c r="A3915" s="544" t="n">
        <v>34689</v>
      </c>
      <c r="B3915" s="538" t="n">
        <v>15.65</v>
      </c>
      <c r="C3915" s="538" t="n">
        <v>17.07</v>
      </c>
      <c r="D3915" s="538" t="n">
        <v>15.23</v>
      </c>
      <c r="E3915" s="538" t="n">
        <v>22.3</v>
      </c>
    </row>
    <row r="3916">
      <c r="A3916" s="544" t="n">
        <v>34690</v>
      </c>
      <c r="B3916" s="538" t="n">
        <v>15.6</v>
      </c>
      <c r="C3916" s="538" t="n">
        <v>17.15</v>
      </c>
      <c r="D3916" s="538" t="n">
        <v>15.38</v>
      </c>
      <c r="E3916" s="538" t="n">
        <v>22.3</v>
      </c>
    </row>
    <row r="3917">
      <c r="A3917" s="544" t="n">
        <v>34691</v>
      </c>
      <c r="B3917" s="538" t="n">
        <v>15.55</v>
      </c>
      <c r="C3917" s="538" t="n">
        <v>17.41</v>
      </c>
      <c r="D3917" s="538" t="n">
        <v>15.33</v>
      </c>
      <c r="E3917" s="538" t="n">
        <v>22.55</v>
      </c>
    </row>
    <row r="3918">
      <c r="A3918" s="544" t="n">
        <v>34694</v>
      </c>
      <c r="B3918" s="538" t="n">
        <v>15.55</v>
      </c>
      <c r="C3918" s="538" t="n">
        <v>17.41</v>
      </c>
      <c r="D3918" s="538" t="n">
        <v>15.33</v>
      </c>
      <c r="E3918" s="538" t="n">
        <v>22.55</v>
      </c>
    </row>
    <row r="3919">
      <c r="A3919" s="544" t="n">
        <v>34695</v>
      </c>
      <c r="B3919" s="538" t="n">
        <v>15.55</v>
      </c>
      <c r="C3919" s="538" t="n">
        <v>17.63</v>
      </c>
      <c r="D3919" s="538" t="n">
        <v>15.73</v>
      </c>
      <c r="E3919" s="538" t="n">
        <v>22.55</v>
      </c>
    </row>
    <row r="3920">
      <c r="A3920" s="544" t="n">
        <v>34696</v>
      </c>
      <c r="B3920" s="538" t="n">
        <v>16.08</v>
      </c>
      <c r="C3920" s="538" t="n">
        <v>17.74</v>
      </c>
      <c r="D3920" s="538" t="n">
        <v>15.83</v>
      </c>
      <c r="E3920" s="538" t="n">
        <v>22.55</v>
      </c>
    </row>
    <row r="3921">
      <c r="A3921" s="544" t="n">
        <v>34697</v>
      </c>
      <c r="B3921" s="538" t="n">
        <v>16.25</v>
      </c>
      <c r="C3921" s="538" t="n">
        <v>17.69</v>
      </c>
      <c r="D3921" s="538" t="n">
        <v>15.78</v>
      </c>
      <c r="E3921" s="538" t="n">
        <v>22.85</v>
      </c>
    </row>
    <row r="3922">
      <c r="A3922" s="544" t="n">
        <v>34698</v>
      </c>
      <c r="B3922" s="538" t="n">
        <v>16.23</v>
      </c>
      <c r="C3922" s="538" t="n">
        <v>17.77</v>
      </c>
      <c r="D3922" s="538" t="n">
        <v>15.85</v>
      </c>
      <c r="E3922" s="538" t="n">
        <v>22.85</v>
      </c>
    </row>
    <row r="3923">
      <c r="A3923" s="544" t="n">
        <v>34701</v>
      </c>
      <c r="B3923" s="538" t="n">
        <v>16.23</v>
      </c>
      <c r="C3923" s="538" t="n">
        <v>17.77</v>
      </c>
      <c r="D3923" s="538" t="n">
        <v>15.85</v>
      </c>
      <c r="E3923" s="538" t="n">
        <v>22.85</v>
      </c>
    </row>
    <row r="3924">
      <c r="A3924" s="544" t="n">
        <v>34702</v>
      </c>
      <c r="B3924" s="538" t="n">
        <v>15.88</v>
      </c>
      <c r="C3924" s="538" t="n">
        <v>17.45</v>
      </c>
      <c r="D3924" s="538" t="n">
        <v>15.68</v>
      </c>
      <c r="E3924" s="538" t="n">
        <v>22.85</v>
      </c>
    </row>
    <row r="3925">
      <c r="A3925" s="544" t="n">
        <v>34703</v>
      </c>
      <c r="B3925" s="538" t="n">
        <v>15.93</v>
      </c>
      <c r="C3925" s="538" t="n">
        <v>17.56</v>
      </c>
      <c r="D3925" s="538" t="n">
        <v>15.88</v>
      </c>
      <c r="E3925" s="538" t="n">
        <v>22.85</v>
      </c>
    </row>
    <row r="3926">
      <c r="A3926" s="544" t="n">
        <v>34704</v>
      </c>
      <c r="B3926" s="538" t="n">
        <v>16.13</v>
      </c>
      <c r="C3926" s="538" t="n">
        <v>17.76</v>
      </c>
      <c r="D3926" s="538" t="n">
        <v>15.95</v>
      </c>
      <c r="E3926" s="538" t="n">
        <v>22.85</v>
      </c>
    </row>
    <row r="3927">
      <c r="A3927" s="544" t="n">
        <v>34705</v>
      </c>
      <c r="B3927" s="538" t="n">
        <v>16.35</v>
      </c>
      <c r="C3927" s="538" t="n">
        <v>17.69</v>
      </c>
      <c r="D3927" s="538" t="n">
        <v>16.13</v>
      </c>
      <c r="E3927" s="538" t="n">
        <v>22.85</v>
      </c>
    </row>
    <row r="3928">
      <c r="A3928" s="544" t="n">
        <v>34708</v>
      </c>
      <c r="B3928" s="538" t="n">
        <v>16.08</v>
      </c>
      <c r="C3928" s="538" t="n">
        <v>17.4</v>
      </c>
      <c r="D3928" s="538" t="n">
        <v>15.83</v>
      </c>
      <c r="E3928" s="538" t="n">
        <v>22.85</v>
      </c>
    </row>
    <row r="3929">
      <c r="A3929" s="544" t="n">
        <v>34709</v>
      </c>
      <c r="B3929" s="538" t="n">
        <v>16</v>
      </c>
      <c r="C3929" s="538" t="n">
        <v>17.42</v>
      </c>
      <c r="D3929" s="538" t="n">
        <v>15.73</v>
      </c>
      <c r="E3929" s="538" t="n">
        <v>22.7</v>
      </c>
    </row>
    <row r="3930">
      <c r="A3930" s="544" t="n">
        <v>34710</v>
      </c>
      <c r="B3930" s="538" t="n">
        <v>16.4</v>
      </c>
      <c r="C3930" s="538" t="n">
        <v>17.7</v>
      </c>
      <c r="D3930" s="538" t="n">
        <v>15.9</v>
      </c>
      <c r="E3930" s="538" t="n">
        <v>22.7</v>
      </c>
    </row>
    <row r="3931">
      <c r="A3931" s="544" t="n">
        <v>34711</v>
      </c>
      <c r="B3931" s="538" t="n">
        <v>16.48</v>
      </c>
      <c r="C3931" s="538" t="n">
        <v>17.72</v>
      </c>
      <c r="D3931" s="538" t="n">
        <v>15.88</v>
      </c>
      <c r="E3931" s="538" t="n">
        <v>22.7</v>
      </c>
    </row>
    <row r="3932">
      <c r="A3932" s="544" t="n">
        <v>34712</v>
      </c>
      <c r="B3932" s="538" t="n">
        <v>16.2</v>
      </c>
      <c r="C3932" s="538" t="n">
        <v>17.52</v>
      </c>
      <c r="D3932" s="538" t="n">
        <v>15.85</v>
      </c>
      <c r="E3932" s="538" t="n">
        <v>22.15</v>
      </c>
    </row>
    <row r="3933">
      <c r="A3933" s="544" t="n">
        <v>34715</v>
      </c>
      <c r="B3933" s="538" t="n">
        <v>16.38</v>
      </c>
      <c r="C3933" s="538" t="n">
        <v>17.89</v>
      </c>
      <c r="D3933" s="538" t="n">
        <v>15.93</v>
      </c>
      <c r="E3933" s="538" t="n">
        <v>22</v>
      </c>
    </row>
    <row r="3934">
      <c r="A3934" s="544" t="n">
        <v>34716</v>
      </c>
      <c r="B3934" s="538" t="n">
        <v>16.78</v>
      </c>
      <c r="C3934" s="538" t="n">
        <v>18.47</v>
      </c>
      <c r="D3934" s="538" t="n">
        <v>16.3</v>
      </c>
      <c r="E3934" s="538" t="n">
        <v>22.4</v>
      </c>
    </row>
    <row r="3935">
      <c r="A3935" s="544" t="n">
        <v>34717</v>
      </c>
      <c r="B3935" s="538" t="n">
        <v>16.95</v>
      </c>
      <c r="C3935" s="538" t="n">
        <v>18.72</v>
      </c>
      <c r="D3935" s="538" t="n">
        <v>16.23</v>
      </c>
      <c r="E3935" s="538" t="n">
        <v>22.8</v>
      </c>
    </row>
    <row r="3936">
      <c r="A3936" s="544" t="n">
        <v>34718</v>
      </c>
      <c r="B3936" s="538" t="n">
        <v>17.08</v>
      </c>
      <c r="C3936" s="538" t="n">
        <v>18.7</v>
      </c>
      <c r="D3936" s="538" t="n">
        <v>16.08</v>
      </c>
      <c r="E3936" s="538" t="n">
        <v>22.85</v>
      </c>
    </row>
    <row r="3937">
      <c r="A3937" s="544" t="n">
        <v>34719</v>
      </c>
      <c r="B3937" s="538" t="n">
        <v>17.23</v>
      </c>
      <c r="C3937" s="538" t="n">
        <v>18.46</v>
      </c>
      <c r="D3937" s="538" t="n">
        <v>16.17</v>
      </c>
      <c r="E3937" s="538" t="n">
        <v>22.75</v>
      </c>
    </row>
    <row r="3938">
      <c r="A3938" s="544" t="n">
        <v>34722</v>
      </c>
      <c r="B3938" s="538" t="n">
        <v>17</v>
      </c>
      <c r="C3938" s="538" t="n">
        <v>18.16</v>
      </c>
      <c r="D3938" s="538" t="n">
        <v>15.93</v>
      </c>
      <c r="E3938" s="538" t="n">
        <v>22.6</v>
      </c>
    </row>
    <row r="3939">
      <c r="A3939" s="544" t="n">
        <v>34723</v>
      </c>
      <c r="B3939" s="538" t="n">
        <v>17.15</v>
      </c>
      <c r="C3939" s="538" t="n">
        <v>18.53</v>
      </c>
      <c r="D3939" s="538" t="n">
        <v>16.13</v>
      </c>
      <c r="E3939" s="538" t="n">
        <v>22.4</v>
      </c>
    </row>
    <row r="3940">
      <c r="A3940" s="544" t="n">
        <v>34724</v>
      </c>
      <c r="B3940" s="538" t="n">
        <v>16.98</v>
      </c>
      <c r="C3940" s="538" t="n">
        <v>18.82</v>
      </c>
      <c r="D3940" s="538" t="n">
        <v>16.17</v>
      </c>
      <c r="E3940" s="538" t="n">
        <v>22.6</v>
      </c>
    </row>
    <row r="3941">
      <c r="A3941" s="544" t="n">
        <v>34725</v>
      </c>
      <c r="B3941" s="538" t="n">
        <v>16.73</v>
      </c>
      <c r="C3941" s="538" t="n">
        <v>18.23</v>
      </c>
      <c r="D3941" s="538" t="n">
        <v>16.17</v>
      </c>
      <c r="E3941" s="538" t="n">
        <v>22.75</v>
      </c>
    </row>
    <row r="3942">
      <c r="A3942" s="544" t="n">
        <v>34726</v>
      </c>
      <c r="B3942" s="538" t="n">
        <v>16.38</v>
      </c>
      <c r="C3942" s="538" t="n">
        <v>17.95</v>
      </c>
      <c r="D3942" s="538" t="n">
        <v>15.88</v>
      </c>
      <c r="E3942" s="538" t="n">
        <v>22.65</v>
      </c>
    </row>
    <row r="3943">
      <c r="A3943" s="544" t="n">
        <v>34729</v>
      </c>
      <c r="B3943" s="538" t="n">
        <v>16.68</v>
      </c>
      <c r="C3943" s="538" t="n">
        <v>18.2</v>
      </c>
      <c r="D3943" s="538" t="n">
        <v>16.15</v>
      </c>
      <c r="E3943" s="538" t="n">
        <v>22.65</v>
      </c>
    </row>
    <row r="3944">
      <c r="A3944" s="544" t="n">
        <v>34730</v>
      </c>
      <c r="B3944" s="538" t="n">
        <v>16.8</v>
      </c>
      <c r="C3944" s="538" t="n">
        <v>18.48</v>
      </c>
      <c r="D3944" s="538" t="n">
        <v>16.33</v>
      </c>
      <c r="E3944" s="538" t="n">
        <v>22.65</v>
      </c>
    </row>
    <row r="3945">
      <c r="A3945" s="544" t="n">
        <v>34731</v>
      </c>
      <c r="B3945" s="538" t="n">
        <v>17.05</v>
      </c>
      <c r="C3945" s="538" t="n">
        <v>18.48</v>
      </c>
      <c r="D3945" s="538" t="n">
        <v>16.28</v>
      </c>
      <c r="E3945" s="538" t="n">
        <v>22.65</v>
      </c>
    </row>
    <row r="3946">
      <c r="A3946" s="544" t="n">
        <v>34732</v>
      </c>
      <c r="B3946" s="538" t="n">
        <v>17</v>
      </c>
      <c r="C3946" s="538" t="n">
        <v>18.54</v>
      </c>
      <c r="D3946" s="538" t="n">
        <v>16.33</v>
      </c>
      <c r="E3946" s="538" t="n">
        <v>22.7</v>
      </c>
    </row>
    <row r="3947">
      <c r="A3947" s="544" t="n">
        <v>34733</v>
      </c>
      <c r="B3947" s="538" t="n">
        <v>17.4</v>
      </c>
      <c r="C3947" s="538" t="n">
        <v>18.78</v>
      </c>
      <c r="D3947" s="538" t="n">
        <v>16.63</v>
      </c>
      <c r="E3947" s="538" t="n">
        <v>22.85</v>
      </c>
    </row>
    <row r="3948">
      <c r="A3948" s="544" t="n">
        <v>34736</v>
      </c>
      <c r="B3948" s="538" t="n">
        <v>17.08</v>
      </c>
      <c r="C3948" s="538" t="n">
        <v>18.58</v>
      </c>
      <c r="D3948" s="538" t="n">
        <v>16.53</v>
      </c>
      <c r="E3948" s="538" t="n">
        <v>22.85</v>
      </c>
    </row>
    <row r="3949">
      <c r="A3949" s="544" t="n">
        <v>34737</v>
      </c>
      <c r="B3949" s="538" t="n">
        <v>17.05</v>
      </c>
      <c r="C3949" s="538" t="n">
        <v>18.43</v>
      </c>
      <c r="D3949" s="538" t="n">
        <v>16.38</v>
      </c>
      <c r="E3949" s="538" t="n">
        <v>23.1</v>
      </c>
    </row>
    <row r="3950">
      <c r="A3950" s="544" t="n">
        <v>34738</v>
      </c>
      <c r="B3950" s="538" t="n">
        <v>17.03</v>
      </c>
      <c r="C3950" s="538" t="n">
        <v>18.36</v>
      </c>
      <c r="D3950" s="538" t="n">
        <v>16.38</v>
      </c>
      <c r="E3950" s="538" t="n">
        <v>23.1</v>
      </c>
    </row>
    <row r="3951">
      <c r="A3951" s="544" t="n">
        <v>34739</v>
      </c>
      <c r="B3951" s="538" t="n">
        <v>16.85</v>
      </c>
      <c r="C3951" s="538" t="n">
        <v>18.28</v>
      </c>
      <c r="D3951" s="538" t="n">
        <v>16.38</v>
      </c>
      <c r="E3951" s="538" t="n">
        <v>23.1</v>
      </c>
    </row>
    <row r="3952">
      <c r="A3952" s="544" t="n">
        <v>34740</v>
      </c>
      <c r="B3952" s="538" t="n">
        <v>16.85</v>
      </c>
      <c r="C3952" s="538" t="n">
        <v>18.47</v>
      </c>
      <c r="D3952" s="538" t="n">
        <v>16.8</v>
      </c>
      <c r="E3952" s="538" t="n">
        <v>23.1</v>
      </c>
    </row>
    <row r="3953">
      <c r="A3953" s="544" t="n">
        <v>34743</v>
      </c>
      <c r="B3953" s="538" t="n">
        <v>16.88</v>
      </c>
      <c r="C3953" s="538" t="n">
        <v>18.29</v>
      </c>
      <c r="D3953" s="538" t="n">
        <v>16.88</v>
      </c>
      <c r="E3953" s="538" t="n">
        <v>23.1</v>
      </c>
    </row>
    <row r="3954">
      <c r="A3954" s="544" t="n">
        <v>34744</v>
      </c>
      <c r="B3954" s="538" t="n">
        <v>17</v>
      </c>
      <c r="C3954" s="538" t="n">
        <v>18.44</v>
      </c>
      <c r="D3954" s="538" t="n">
        <v>16.92</v>
      </c>
      <c r="E3954" s="538" t="n">
        <v>22.8</v>
      </c>
    </row>
    <row r="3955">
      <c r="A3955" s="544" t="n">
        <v>34745</v>
      </c>
      <c r="B3955" s="538" t="n">
        <v>17.1</v>
      </c>
      <c r="C3955" s="538" t="n">
        <v>18.46</v>
      </c>
      <c r="D3955" s="538" t="n">
        <v>16.48</v>
      </c>
      <c r="E3955" s="538" t="n">
        <v>22.8</v>
      </c>
    </row>
    <row r="3956">
      <c r="A3956" s="544" t="n">
        <v>34746</v>
      </c>
      <c r="B3956" s="538" t="n">
        <v>17.13</v>
      </c>
      <c r="C3956" s="538" t="n">
        <v>18.63</v>
      </c>
      <c r="D3956" s="538" t="n">
        <v>16.63</v>
      </c>
      <c r="E3956" s="538" t="n">
        <v>22.7</v>
      </c>
    </row>
    <row r="3957">
      <c r="A3957" s="544" t="n">
        <v>34747</v>
      </c>
      <c r="B3957" s="538" t="n">
        <v>17.4</v>
      </c>
      <c r="C3957" s="538" t="n">
        <v>18.94</v>
      </c>
      <c r="D3957" s="538" t="n">
        <v>16.83</v>
      </c>
      <c r="E3957" s="538" t="n">
        <v>22.7</v>
      </c>
    </row>
    <row r="3958">
      <c r="A3958" s="544" t="n">
        <v>34750</v>
      </c>
      <c r="B3958" s="538" t="n">
        <v>17.43</v>
      </c>
      <c r="C3958" s="538" t="n">
        <v>18.94</v>
      </c>
      <c r="D3958" s="538" t="n">
        <v>16.83</v>
      </c>
      <c r="E3958" s="538" t="n">
        <v>22.7</v>
      </c>
    </row>
    <row r="3959">
      <c r="A3959" s="544" t="n">
        <v>34751</v>
      </c>
      <c r="B3959" s="538" t="n">
        <v>17.18</v>
      </c>
      <c r="C3959" s="538" t="n">
        <v>18.86</v>
      </c>
      <c r="D3959" s="538" t="n">
        <v>16.58</v>
      </c>
      <c r="E3959" s="538" t="n">
        <v>22.7</v>
      </c>
    </row>
    <row r="3960">
      <c r="A3960" s="544" t="n">
        <v>34752</v>
      </c>
      <c r="B3960" s="538" t="n">
        <v>17.08</v>
      </c>
      <c r="C3960" s="538" t="n">
        <v>18.84</v>
      </c>
      <c r="D3960" s="538" t="n">
        <v>16.67</v>
      </c>
      <c r="E3960" s="538" t="n">
        <v>22.5</v>
      </c>
    </row>
    <row r="3961">
      <c r="A3961" s="544" t="n">
        <v>34753</v>
      </c>
      <c r="B3961" s="538" t="n">
        <v>17.1</v>
      </c>
      <c r="C3961" s="538" t="n">
        <v>18.59</v>
      </c>
      <c r="D3961" s="538" t="n">
        <v>16.5</v>
      </c>
      <c r="E3961" s="538" t="n">
        <v>22.4</v>
      </c>
    </row>
    <row r="3962">
      <c r="A3962" s="544" t="n">
        <v>34754</v>
      </c>
      <c r="B3962" s="538" t="n">
        <v>17.1</v>
      </c>
      <c r="C3962" s="538" t="n">
        <v>18.7</v>
      </c>
      <c r="D3962" s="538" t="n">
        <v>16.58</v>
      </c>
      <c r="E3962" s="538" t="n">
        <v>22.35</v>
      </c>
    </row>
    <row r="3963">
      <c r="A3963" s="544" t="n">
        <v>34757</v>
      </c>
      <c r="B3963" s="538" t="n">
        <v>17.35</v>
      </c>
      <c r="C3963" s="538" t="n">
        <v>18.64</v>
      </c>
      <c r="D3963" s="538" t="n">
        <v>16.58</v>
      </c>
      <c r="E3963" s="538" t="n">
        <v>22.4</v>
      </c>
    </row>
    <row r="3964">
      <c r="A3964" s="544" t="n">
        <v>34758</v>
      </c>
      <c r="B3964" s="538" t="n">
        <v>17.23</v>
      </c>
      <c r="C3964" s="538" t="n">
        <v>18.52</v>
      </c>
      <c r="D3964" s="538" t="n">
        <v>16.53</v>
      </c>
      <c r="E3964" s="538" t="n">
        <v>22.4</v>
      </c>
    </row>
    <row r="3965">
      <c r="A3965" s="544" t="n">
        <v>34759</v>
      </c>
      <c r="B3965" s="538" t="n">
        <v>16.85</v>
      </c>
      <c r="C3965" s="538" t="n">
        <v>18.31</v>
      </c>
      <c r="D3965" s="538" t="n">
        <v>16.17</v>
      </c>
      <c r="E3965" s="538" t="n">
        <v>22.4</v>
      </c>
    </row>
    <row r="3966">
      <c r="A3966" s="544" t="n">
        <v>34760</v>
      </c>
      <c r="B3966" s="538" t="n">
        <v>16.55</v>
      </c>
      <c r="C3966" s="538" t="n">
        <v>18.4</v>
      </c>
      <c r="D3966" s="538" t="n">
        <v>16.23</v>
      </c>
      <c r="E3966" s="538" t="n">
        <v>22.33</v>
      </c>
    </row>
    <row r="3967">
      <c r="A3967" s="544" t="n">
        <v>34761</v>
      </c>
      <c r="B3967" s="538" t="n">
        <v>16.68</v>
      </c>
      <c r="C3967" s="538" t="n">
        <v>18.63</v>
      </c>
      <c r="D3967" s="538" t="n">
        <v>16.45</v>
      </c>
      <c r="E3967" s="538" t="n">
        <v>22.33</v>
      </c>
    </row>
    <row r="3968">
      <c r="A3968" s="544" t="n">
        <v>34764</v>
      </c>
      <c r="B3968" s="538" t="n">
        <v>16.75</v>
      </c>
      <c r="C3968" s="538" t="n">
        <v>18.56</v>
      </c>
      <c r="D3968" s="538" t="n">
        <v>16.45</v>
      </c>
      <c r="E3968" s="538" t="n">
        <v>22.33</v>
      </c>
    </row>
    <row r="3969">
      <c r="A3969" s="544" t="n">
        <v>34765</v>
      </c>
      <c r="B3969" s="538" t="n">
        <v>16.85</v>
      </c>
      <c r="C3969" s="538" t="n">
        <v>18.59</v>
      </c>
      <c r="D3969" s="538" t="n">
        <v>16.58</v>
      </c>
      <c r="E3969" s="538" t="n">
        <v>22.15</v>
      </c>
    </row>
    <row r="3970">
      <c r="A3970" s="544" t="n">
        <v>34766</v>
      </c>
      <c r="B3970" s="538" t="n">
        <v>16.73</v>
      </c>
      <c r="C3970" s="538" t="n">
        <v>18.3</v>
      </c>
      <c r="D3970" s="538" t="n">
        <v>16.38</v>
      </c>
      <c r="E3970" s="538" t="n">
        <v>22.05</v>
      </c>
    </row>
    <row r="3971">
      <c r="A3971" s="544" t="n">
        <v>34767</v>
      </c>
      <c r="B3971" s="538" t="n">
        <v>16.65</v>
      </c>
      <c r="C3971" s="538" t="n">
        <v>17.98</v>
      </c>
      <c r="D3971" s="538" t="n">
        <v>16.23</v>
      </c>
      <c r="E3971" s="538" t="n">
        <v>21.9</v>
      </c>
    </row>
    <row r="3972">
      <c r="A3972" s="544" t="n">
        <v>34768</v>
      </c>
      <c r="B3972" s="538" t="n">
        <v>16.5</v>
      </c>
      <c r="C3972" s="538" t="n">
        <v>17.92</v>
      </c>
      <c r="D3972" s="538" t="n">
        <v>16.33</v>
      </c>
      <c r="E3972" s="538" t="n">
        <v>21.65</v>
      </c>
    </row>
    <row r="3973">
      <c r="A3973" s="544" t="n">
        <v>34771</v>
      </c>
      <c r="B3973" s="538" t="n">
        <v>16.3</v>
      </c>
      <c r="C3973" s="538" t="n">
        <v>18.19</v>
      </c>
      <c r="D3973" s="538" t="n">
        <v>16.05</v>
      </c>
      <c r="E3973" s="538" t="n">
        <v>21.7</v>
      </c>
    </row>
    <row r="3974">
      <c r="A3974" s="544" t="n">
        <v>34772</v>
      </c>
      <c r="B3974" s="538" t="n">
        <v>16.33</v>
      </c>
      <c r="C3974" s="538" t="n">
        <v>17.9</v>
      </c>
      <c r="D3974" s="538" t="n">
        <v>16.33</v>
      </c>
      <c r="E3974" s="538" t="n">
        <v>21.7</v>
      </c>
    </row>
    <row r="3975">
      <c r="A3975" s="544" t="n">
        <v>34773</v>
      </c>
      <c r="B3975" s="538" t="n">
        <v>16.38</v>
      </c>
      <c r="C3975" s="538" t="n">
        <v>18.12</v>
      </c>
      <c r="D3975" s="538" t="n">
        <v>16.4</v>
      </c>
      <c r="E3975" s="538" t="n">
        <v>21.43</v>
      </c>
    </row>
    <row r="3976">
      <c r="A3976" s="544" t="n">
        <v>34774</v>
      </c>
      <c r="B3976" s="538" t="n">
        <v>16.5</v>
      </c>
      <c r="C3976" s="538" t="n">
        <v>18.18</v>
      </c>
      <c r="D3976" s="538" t="n">
        <v>16.15</v>
      </c>
      <c r="E3976" s="538" t="n">
        <v>21.15</v>
      </c>
    </row>
    <row r="3977">
      <c r="A3977" s="544" t="n">
        <v>34775</v>
      </c>
      <c r="B3977" s="538" t="n">
        <v>16.55</v>
      </c>
      <c r="C3977" s="538" t="n">
        <v>18.27</v>
      </c>
      <c r="D3977" s="538" t="n">
        <v>16.2</v>
      </c>
      <c r="E3977" s="538" t="n">
        <v>21.05</v>
      </c>
    </row>
    <row r="3978">
      <c r="A3978" s="544" t="n">
        <v>34778</v>
      </c>
      <c r="B3978" s="538" t="n">
        <v>16.83</v>
      </c>
      <c r="C3978" s="538" t="n">
        <v>18.58</v>
      </c>
      <c r="D3978" s="538" t="n">
        <v>16.38</v>
      </c>
      <c r="E3978" s="538" t="n">
        <v>20.98</v>
      </c>
    </row>
    <row r="3979">
      <c r="A3979" s="544" t="n">
        <v>34779</v>
      </c>
      <c r="B3979" s="538" t="n">
        <v>16.8</v>
      </c>
      <c r="C3979" s="538" t="n">
        <v>18.44</v>
      </c>
      <c r="D3979" s="538" t="n">
        <v>16.28</v>
      </c>
      <c r="E3979" s="538" t="n">
        <v>20.98</v>
      </c>
    </row>
    <row r="3980">
      <c r="A3980" s="544" t="n">
        <v>34780</v>
      </c>
      <c r="B3980" s="538" t="n">
        <v>17.08</v>
      </c>
      <c r="C3980" s="538" t="n">
        <v>18.91</v>
      </c>
      <c r="D3980" s="538" t="n">
        <v>16.67</v>
      </c>
      <c r="E3980" s="538" t="n">
        <v>21.03</v>
      </c>
    </row>
    <row r="3981">
      <c r="A3981" s="544" t="n">
        <v>34781</v>
      </c>
      <c r="B3981" s="538" t="n">
        <v>17.48</v>
      </c>
      <c r="C3981" s="538" t="n">
        <v>18.85</v>
      </c>
      <c r="D3981" s="538" t="n">
        <v>16.33</v>
      </c>
      <c r="E3981" s="538" t="n">
        <v>21.15</v>
      </c>
    </row>
    <row r="3982">
      <c r="A3982" s="544" t="n">
        <v>34782</v>
      </c>
      <c r="B3982" s="538" t="n">
        <v>17.65</v>
      </c>
      <c r="C3982" s="538" t="n">
        <v>18.68</v>
      </c>
      <c r="D3982" s="538" t="n">
        <v>16.08</v>
      </c>
      <c r="E3982" s="538" t="n">
        <v>21.2</v>
      </c>
    </row>
    <row r="3983">
      <c r="A3983" s="544" t="n">
        <v>34785</v>
      </c>
      <c r="B3983" s="538" t="n">
        <v>17.83</v>
      </c>
      <c r="C3983" s="538" t="n">
        <v>19.08</v>
      </c>
      <c r="D3983" s="538" t="n">
        <v>16.33</v>
      </c>
      <c r="E3983" s="538" t="n">
        <v>21.3</v>
      </c>
    </row>
    <row r="3984">
      <c r="A3984" s="544" t="n">
        <v>34786</v>
      </c>
      <c r="B3984" s="538" t="n">
        <v>17.85</v>
      </c>
      <c r="C3984" s="538" t="n">
        <v>18.95</v>
      </c>
      <c r="D3984" s="538" t="n">
        <v>16.23</v>
      </c>
      <c r="E3984" s="538" t="n">
        <v>21.4</v>
      </c>
    </row>
    <row r="3985">
      <c r="A3985" s="544" t="n">
        <v>34787</v>
      </c>
      <c r="B3985" s="538" t="n">
        <v>18.05</v>
      </c>
      <c r="C3985" s="538" t="n">
        <v>19.21</v>
      </c>
      <c r="D3985" s="538" t="n">
        <v>16.5</v>
      </c>
      <c r="E3985" s="538" t="n">
        <v>21.4</v>
      </c>
    </row>
    <row r="3986">
      <c r="A3986" s="544" t="n">
        <v>34788</v>
      </c>
      <c r="B3986" s="538" t="n">
        <v>17.98</v>
      </c>
      <c r="C3986" s="538" t="n">
        <v>19.17</v>
      </c>
      <c r="D3986" s="538" t="n">
        <v>16.48</v>
      </c>
      <c r="E3986" s="538" t="n">
        <v>21.55</v>
      </c>
    </row>
    <row r="3987">
      <c r="A3987" s="544" t="n">
        <v>34789</v>
      </c>
      <c r="B3987" s="538" t="n">
        <v>17.98</v>
      </c>
      <c r="C3987" s="538" t="n">
        <v>19.18</v>
      </c>
      <c r="D3987" s="538" t="n">
        <v>16.53</v>
      </c>
      <c r="E3987" s="538" t="n">
        <v>21.55</v>
      </c>
    </row>
    <row r="3988">
      <c r="A3988" s="544" t="n">
        <v>34792</v>
      </c>
      <c r="B3988" s="538" t="n">
        <v>17.88</v>
      </c>
      <c r="C3988" s="538" t="n">
        <v>19.05</v>
      </c>
      <c r="D3988" s="538" t="n">
        <v>16.42</v>
      </c>
      <c r="E3988" s="538" t="n">
        <v>21.5</v>
      </c>
    </row>
    <row r="3989">
      <c r="A3989" s="544" t="n">
        <v>34793</v>
      </c>
      <c r="B3989" s="538" t="n">
        <v>18.03</v>
      </c>
      <c r="C3989" s="538" t="n">
        <v>19.11</v>
      </c>
      <c r="D3989" s="538" t="n">
        <v>16.63</v>
      </c>
      <c r="E3989" s="538" t="n">
        <v>21.5</v>
      </c>
    </row>
    <row r="3990">
      <c r="A3990" s="544" t="n">
        <v>34794</v>
      </c>
      <c r="B3990" s="538" t="n">
        <v>18.35</v>
      </c>
      <c r="C3990" s="538" t="n">
        <v>19.57</v>
      </c>
      <c r="D3990" s="538" t="n">
        <v>17.08</v>
      </c>
      <c r="E3990" s="538" t="n">
        <v>21.35</v>
      </c>
    </row>
    <row r="3991">
      <c r="A3991" s="544" t="n">
        <v>34795</v>
      </c>
      <c r="B3991" s="538" t="n">
        <v>18.5</v>
      </c>
      <c r="C3991" s="538" t="n">
        <v>19.74</v>
      </c>
      <c r="D3991" s="538" t="n">
        <v>17.38</v>
      </c>
      <c r="E3991" s="538" t="n">
        <v>21.5</v>
      </c>
    </row>
    <row r="3992">
      <c r="A3992" s="544" t="n">
        <v>34796</v>
      </c>
      <c r="B3992" s="538" t="n">
        <v>18.45</v>
      </c>
      <c r="C3992" s="538" t="n">
        <v>19.67</v>
      </c>
      <c r="D3992" s="538" t="n">
        <v>17.38</v>
      </c>
      <c r="E3992" s="538" t="n">
        <v>21.65</v>
      </c>
    </row>
    <row r="3993">
      <c r="A3993" s="544" t="n">
        <v>34799</v>
      </c>
      <c r="B3993" s="538" t="n">
        <v>18.15</v>
      </c>
      <c r="C3993" s="538" t="n">
        <v>19.61</v>
      </c>
      <c r="D3993" s="538" t="n">
        <v>17.38</v>
      </c>
      <c r="E3993" s="538" t="n">
        <v>21.65</v>
      </c>
    </row>
    <row r="3994">
      <c r="A3994" s="544" t="n">
        <v>34800</v>
      </c>
      <c r="B3994" s="538" t="n">
        <v>18.63</v>
      </c>
      <c r="C3994" s="538" t="n">
        <v>19.84</v>
      </c>
      <c r="D3994" s="538" t="n">
        <v>17.67</v>
      </c>
      <c r="E3994" s="538" t="n">
        <v>21.65</v>
      </c>
    </row>
    <row r="3995">
      <c r="A3995" s="544" t="n">
        <v>34801</v>
      </c>
      <c r="B3995" s="538" t="n">
        <v>18.73</v>
      </c>
      <c r="C3995" s="538" t="n">
        <v>19.5</v>
      </c>
      <c r="D3995" s="538" t="n">
        <v>17.35</v>
      </c>
      <c r="E3995" s="538" t="n">
        <v>22.1</v>
      </c>
    </row>
    <row r="3996">
      <c r="A3996" s="544" t="n">
        <v>34802</v>
      </c>
      <c r="B3996" s="538" t="n">
        <v>17.98</v>
      </c>
      <c r="C3996" s="538" t="n">
        <v>19.16</v>
      </c>
      <c r="D3996" s="538" t="n">
        <v>16.88</v>
      </c>
      <c r="E3996" s="538" t="n">
        <v>21.95</v>
      </c>
    </row>
    <row r="3997">
      <c r="A3997" s="544" t="n">
        <v>34803</v>
      </c>
      <c r="B3997" s="538" t="n">
        <v>17.98</v>
      </c>
      <c r="C3997" s="538" t="n">
        <v>19.16</v>
      </c>
      <c r="D3997" s="538" t="n">
        <v>16.88</v>
      </c>
      <c r="E3997" s="538" t="n">
        <v>21.95</v>
      </c>
    </row>
    <row r="3998">
      <c r="A3998" s="544" t="n">
        <v>34806</v>
      </c>
      <c r="B3998" s="538" t="n">
        <v>17.98</v>
      </c>
      <c r="C3998" s="538" t="n">
        <v>19.8</v>
      </c>
      <c r="D3998" s="538" t="n">
        <v>17.53</v>
      </c>
      <c r="E3998" s="538" t="n">
        <v>22.35</v>
      </c>
    </row>
    <row r="3999">
      <c r="A3999" s="544" t="n">
        <v>34807</v>
      </c>
      <c r="B3999" s="538" t="n">
        <v>18.55</v>
      </c>
      <c r="C3999" s="538" t="n">
        <v>20.14</v>
      </c>
      <c r="D3999" s="538" t="n">
        <v>17.78</v>
      </c>
      <c r="E3999" s="538" t="n">
        <v>22.35</v>
      </c>
    </row>
    <row r="4000">
      <c r="A4000" s="544" t="n">
        <v>34808</v>
      </c>
      <c r="B4000" s="538" t="n">
        <v>18.73</v>
      </c>
      <c r="C4000" s="538" t="n">
        <v>20.4</v>
      </c>
      <c r="D4000" s="538" t="n">
        <v>17.83</v>
      </c>
      <c r="E4000" s="538" t="n">
        <v>22.6</v>
      </c>
    </row>
    <row r="4001">
      <c r="A4001" s="544" t="n">
        <v>34809</v>
      </c>
      <c r="B4001" s="538" t="n">
        <v>19.15</v>
      </c>
      <c r="C4001" s="538" t="n">
        <v>20.52</v>
      </c>
      <c r="D4001" s="538" t="n">
        <v>17.67</v>
      </c>
      <c r="E4001" s="538" t="n">
        <v>22.85</v>
      </c>
    </row>
    <row r="4002">
      <c r="A4002" s="544" t="n">
        <v>34810</v>
      </c>
      <c r="B4002" s="538" t="n">
        <v>19.18</v>
      </c>
      <c r="C4002" s="538" t="n">
        <v>20.46</v>
      </c>
      <c r="D4002" s="538" t="n">
        <v>17.92</v>
      </c>
      <c r="E4002" s="538" t="n">
        <v>22.78</v>
      </c>
    </row>
    <row r="4003">
      <c r="A4003" s="544" t="n">
        <v>34813</v>
      </c>
      <c r="B4003" s="538" t="n">
        <v>19.05</v>
      </c>
      <c r="C4003" s="538" t="n">
        <v>20.13</v>
      </c>
      <c r="D4003" s="538" t="n">
        <v>17.58</v>
      </c>
      <c r="E4003" s="538" t="n">
        <v>22.78</v>
      </c>
    </row>
    <row r="4004">
      <c r="A4004" s="544" t="n">
        <v>34814</v>
      </c>
      <c r="B4004" s="538" t="n">
        <v>19.35</v>
      </c>
      <c r="C4004" s="538" t="n">
        <v>20.31</v>
      </c>
      <c r="D4004" s="538" t="n">
        <v>17.78</v>
      </c>
      <c r="E4004" s="538" t="n">
        <v>22.68</v>
      </c>
    </row>
    <row r="4005">
      <c r="A4005" s="544" t="n">
        <v>34815</v>
      </c>
      <c r="B4005" s="538" t="n">
        <v>18.9</v>
      </c>
      <c r="C4005" s="538" t="n">
        <v>20.18</v>
      </c>
      <c r="D4005" s="538" t="n">
        <v>17.65</v>
      </c>
      <c r="E4005" s="538" t="n">
        <v>22.85</v>
      </c>
    </row>
    <row r="4006">
      <c r="A4006" s="544" t="n">
        <v>34816</v>
      </c>
      <c r="B4006" s="538" t="n">
        <v>19.08</v>
      </c>
      <c r="C4006" s="538" t="n">
        <v>20.48</v>
      </c>
      <c r="D4006" s="538" t="n">
        <v>18.03</v>
      </c>
      <c r="E4006" s="538" t="n">
        <v>22.9</v>
      </c>
    </row>
    <row r="4007">
      <c r="A4007" s="544" t="n">
        <v>34817</v>
      </c>
      <c r="B4007" s="538" t="n">
        <v>18.98</v>
      </c>
      <c r="C4007" s="538" t="n">
        <v>20.36</v>
      </c>
      <c r="D4007" s="538" t="n">
        <v>17.88</v>
      </c>
      <c r="E4007" s="538" t="n">
        <v>23.05</v>
      </c>
    </row>
    <row r="4008">
      <c r="A4008" s="544" t="n">
        <v>34820</v>
      </c>
      <c r="B4008" s="538" t="n">
        <v>19.38</v>
      </c>
      <c r="C4008" s="538" t="n">
        <v>20.53</v>
      </c>
      <c r="D4008" s="538" t="n">
        <v>18.03</v>
      </c>
      <c r="E4008" s="538" t="n">
        <v>23.05</v>
      </c>
    </row>
    <row r="4009">
      <c r="A4009" s="544" t="n">
        <v>34821</v>
      </c>
      <c r="B4009" s="538" t="n">
        <v>18.83</v>
      </c>
      <c r="C4009" s="538" t="n">
        <v>20.18</v>
      </c>
      <c r="D4009" s="538" t="n">
        <v>17.53</v>
      </c>
      <c r="E4009" s="538" t="n">
        <v>23.1</v>
      </c>
    </row>
    <row r="4010">
      <c r="A4010" s="544" t="n">
        <v>34822</v>
      </c>
      <c r="B4010" s="538" t="n">
        <v>18.33</v>
      </c>
      <c r="C4010" s="538" t="n">
        <v>19.88</v>
      </c>
      <c r="D4010" s="538" t="n">
        <v>17.33</v>
      </c>
      <c r="E4010" s="538" t="n">
        <v>23</v>
      </c>
    </row>
    <row r="4011">
      <c r="A4011" s="544" t="n">
        <v>34823</v>
      </c>
      <c r="B4011" s="538" t="n">
        <v>18.68</v>
      </c>
      <c r="C4011" s="538" t="n">
        <v>20.3</v>
      </c>
      <c r="D4011" s="538" t="n">
        <v>17.78</v>
      </c>
      <c r="E4011" s="538" t="n">
        <v>23</v>
      </c>
    </row>
    <row r="4012">
      <c r="A4012" s="544" t="n">
        <v>34824</v>
      </c>
      <c r="B4012" s="538" t="n">
        <v>18.85</v>
      </c>
      <c r="C4012" s="538" t="n">
        <v>20.33</v>
      </c>
      <c r="D4012" s="538" t="n">
        <v>17.78</v>
      </c>
      <c r="E4012" s="538" t="n">
        <v>23</v>
      </c>
    </row>
    <row r="4013">
      <c r="A4013" s="544" t="n">
        <v>34827</v>
      </c>
      <c r="B4013" s="538" t="n">
        <v>18.78</v>
      </c>
      <c r="C4013" s="538" t="n">
        <v>20.32</v>
      </c>
      <c r="D4013" s="538" t="n">
        <v>17.73</v>
      </c>
      <c r="E4013" s="538" t="n">
        <v>23</v>
      </c>
    </row>
    <row r="4014">
      <c r="A4014" s="544" t="n">
        <v>34828</v>
      </c>
      <c r="B4014" s="538" t="n">
        <v>18.12</v>
      </c>
      <c r="C4014" s="538" t="n">
        <v>19.67</v>
      </c>
      <c r="D4014" s="538" t="n">
        <v>16.95</v>
      </c>
      <c r="E4014" s="538" t="n">
        <v>23.05</v>
      </c>
    </row>
    <row r="4015">
      <c r="A4015" s="544" t="n">
        <v>34829</v>
      </c>
      <c r="B4015" s="538" t="n">
        <v>18.1</v>
      </c>
      <c r="C4015" s="538" t="n">
        <v>19.76</v>
      </c>
      <c r="D4015" s="538" t="n">
        <v>17.3</v>
      </c>
      <c r="E4015" s="538" t="n">
        <v>23.05</v>
      </c>
    </row>
    <row r="4016">
      <c r="A4016" s="544" t="n">
        <v>34830</v>
      </c>
      <c r="B4016" s="538" t="n">
        <v>18.08</v>
      </c>
      <c r="C4016" s="538" t="n">
        <v>19.4</v>
      </c>
      <c r="D4016" s="538" t="n">
        <v>17.05</v>
      </c>
      <c r="E4016" s="538" t="n">
        <v>22.8</v>
      </c>
    </row>
    <row r="4017">
      <c r="A4017" s="544" t="n">
        <v>34831</v>
      </c>
      <c r="B4017" s="538" t="n">
        <v>18.23</v>
      </c>
      <c r="C4017" s="538" t="n">
        <v>19.55</v>
      </c>
      <c r="D4017" s="538" t="n">
        <v>17.13</v>
      </c>
      <c r="E4017" s="538" t="n">
        <v>22.55</v>
      </c>
    </row>
    <row r="4018">
      <c r="A4018" s="544" t="n">
        <v>34834</v>
      </c>
      <c r="B4018" s="538" t="n">
        <v>18.43</v>
      </c>
      <c r="C4018" s="538" t="n">
        <v>19.91</v>
      </c>
      <c r="D4018" s="538" t="n">
        <v>17.42</v>
      </c>
      <c r="E4018" s="538" t="n">
        <v>22.55</v>
      </c>
    </row>
    <row r="4019">
      <c r="A4019" s="544" t="n">
        <v>34835</v>
      </c>
      <c r="B4019" s="538" t="n">
        <v>18.53</v>
      </c>
      <c r="C4019" s="538" t="n">
        <v>20.01</v>
      </c>
      <c r="D4019" s="538" t="n">
        <v>17.53</v>
      </c>
      <c r="E4019" s="538" t="n">
        <v>22.75</v>
      </c>
    </row>
    <row r="4020">
      <c r="A4020" s="544" t="n">
        <v>34836</v>
      </c>
      <c r="B4020" s="538" t="n">
        <v>18.5</v>
      </c>
      <c r="C4020" s="538" t="n">
        <v>19.94</v>
      </c>
      <c r="D4020" s="538" t="n">
        <v>17.33</v>
      </c>
      <c r="E4020" s="538" t="n">
        <v>22.75</v>
      </c>
    </row>
    <row r="4021">
      <c r="A4021" s="544" t="n">
        <v>34837</v>
      </c>
      <c r="B4021" s="538" t="n">
        <v>18.23</v>
      </c>
      <c r="C4021" s="538" t="n">
        <v>19.99</v>
      </c>
      <c r="D4021" s="538" t="n">
        <v>17.23</v>
      </c>
      <c r="E4021" s="538" t="n">
        <v>22.83</v>
      </c>
    </row>
    <row r="4022">
      <c r="A4022" s="544" t="n">
        <v>34838</v>
      </c>
      <c r="B4022" s="538" t="n">
        <v>18.43</v>
      </c>
      <c r="C4022" s="538" t="n">
        <v>20.06</v>
      </c>
      <c r="D4022" s="538" t="n">
        <v>17.42</v>
      </c>
      <c r="E4022" s="538" t="n">
        <v>22.9</v>
      </c>
    </row>
    <row r="4023">
      <c r="A4023" s="544" t="n">
        <v>34841</v>
      </c>
      <c r="B4023" s="538" t="n">
        <v>18.38</v>
      </c>
      <c r="C4023" s="538" t="n">
        <v>19.86</v>
      </c>
      <c r="D4023" s="538" t="n">
        <v>17.42</v>
      </c>
      <c r="E4023" s="538" t="n">
        <v>23.05</v>
      </c>
    </row>
    <row r="4024">
      <c r="A4024" s="544" t="n">
        <v>34842</v>
      </c>
      <c r="B4024" s="538" t="n">
        <v>18.48</v>
      </c>
      <c r="C4024" s="538" t="n">
        <v>19.81</v>
      </c>
      <c r="D4024" s="538" t="n">
        <v>17.45</v>
      </c>
      <c r="E4024" s="538" t="n">
        <v>23.3</v>
      </c>
    </row>
    <row r="4025">
      <c r="A4025" s="544" t="n">
        <v>34843</v>
      </c>
      <c r="B4025" s="538" t="n">
        <v>18.55</v>
      </c>
      <c r="C4025" s="538" t="n">
        <v>19.34</v>
      </c>
      <c r="D4025" s="538" t="n">
        <v>17.08</v>
      </c>
      <c r="E4025" s="538" t="n">
        <v>23.5</v>
      </c>
    </row>
    <row r="4026">
      <c r="A4026" s="544" t="n">
        <v>34844</v>
      </c>
      <c r="B4026" s="538" t="n">
        <v>18</v>
      </c>
      <c r="C4026" s="538" t="n">
        <v>19.12</v>
      </c>
      <c r="D4026" s="538" t="n">
        <v>16.95</v>
      </c>
      <c r="E4026" s="538" t="n">
        <v>23.3</v>
      </c>
    </row>
    <row r="4027">
      <c r="A4027" s="544" t="n">
        <v>34845</v>
      </c>
      <c r="B4027" s="538" t="n">
        <v>17.8</v>
      </c>
      <c r="C4027" s="538" t="n">
        <v>18.7</v>
      </c>
      <c r="D4027" s="538" t="n">
        <v>16.42</v>
      </c>
      <c r="E4027" s="538" t="n">
        <v>23.4</v>
      </c>
    </row>
    <row r="4028">
      <c r="A4028" s="544" t="n">
        <v>34848</v>
      </c>
      <c r="B4028" s="538" t="n">
        <v>17.8</v>
      </c>
      <c r="C4028" s="538" t="n">
        <v>18.7</v>
      </c>
      <c r="D4028" s="538" t="n">
        <v>16.42</v>
      </c>
      <c r="E4028" s="538" t="n">
        <v>23.1</v>
      </c>
    </row>
    <row r="4029">
      <c r="A4029" s="544" t="n">
        <v>34849</v>
      </c>
      <c r="B4029" s="538" t="n">
        <v>17.43</v>
      </c>
      <c r="C4029" s="538" t="n">
        <v>18.78</v>
      </c>
      <c r="D4029" s="538" t="n">
        <v>16.67</v>
      </c>
      <c r="E4029" s="538" t="n">
        <v>23.2</v>
      </c>
    </row>
    <row r="4030">
      <c r="A4030" s="544" t="n">
        <v>34850</v>
      </c>
      <c r="B4030" s="538" t="n">
        <v>17.58</v>
      </c>
      <c r="C4030" s="538" t="n">
        <v>18.88</v>
      </c>
      <c r="D4030" s="538" t="n">
        <v>16.98</v>
      </c>
      <c r="E4030" s="538" t="n">
        <v>23.2</v>
      </c>
    </row>
    <row r="4031">
      <c r="A4031" s="544" t="n">
        <v>34851</v>
      </c>
      <c r="B4031" s="538" t="n">
        <v>17.7</v>
      </c>
      <c r="C4031" s="538" t="n">
        <v>18.89</v>
      </c>
      <c r="D4031" s="538" t="n">
        <v>17.05</v>
      </c>
      <c r="E4031" s="538" t="n">
        <v>23.15</v>
      </c>
    </row>
    <row r="4032">
      <c r="A4032" s="544" t="n">
        <v>34852</v>
      </c>
      <c r="B4032" s="538" t="n">
        <v>17.9</v>
      </c>
      <c r="C4032" s="538" t="n">
        <v>19.14</v>
      </c>
      <c r="D4032" s="538" t="n">
        <v>16.98</v>
      </c>
      <c r="E4032" s="538" t="n">
        <v>23.15</v>
      </c>
    </row>
    <row r="4033">
      <c r="A4033" s="544" t="n">
        <v>34855</v>
      </c>
      <c r="B4033" s="538" t="n">
        <v>18.23</v>
      </c>
      <c r="C4033" s="538" t="n">
        <v>19.25</v>
      </c>
      <c r="D4033" s="538" t="n">
        <v>16.92</v>
      </c>
      <c r="E4033" s="538" t="n">
        <v>23.05</v>
      </c>
    </row>
    <row r="4034">
      <c r="A4034" s="544" t="n">
        <v>34856</v>
      </c>
      <c r="B4034" s="538" t="n">
        <v>17.95</v>
      </c>
      <c r="C4034" s="538" t="n">
        <v>19.16</v>
      </c>
      <c r="D4034" s="538" t="n">
        <v>16.85</v>
      </c>
      <c r="E4034" s="538" t="n">
        <v>22.95</v>
      </c>
    </row>
    <row r="4035">
      <c r="A4035" s="544" t="n">
        <v>34857</v>
      </c>
      <c r="B4035" s="538" t="n">
        <v>18.13</v>
      </c>
      <c r="C4035" s="538" t="n">
        <v>19.08</v>
      </c>
      <c r="D4035" s="538" t="n">
        <v>16.75</v>
      </c>
      <c r="E4035" s="538" t="n">
        <v>23.1</v>
      </c>
    </row>
    <row r="4036">
      <c r="A4036" s="544" t="n">
        <v>34858</v>
      </c>
      <c r="B4036" s="538" t="n">
        <v>17.93</v>
      </c>
      <c r="C4036" s="538" t="n">
        <v>18.94</v>
      </c>
      <c r="D4036" s="538" t="n">
        <v>16.73</v>
      </c>
      <c r="E4036" s="538" t="n">
        <v>22.9</v>
      </c>
    </row>
    <row r="4037">
      <c r="A4037" s="544" t="n">
        <v>34859</v>
      </c>
      <c r="B4037" s="538" t="n">
        <v>17.68</v>
      </c>
      <c r="C4037" s="538" t="n">
        <v>18.83</v>
      </c>
      <c r="D4037" s="538" t="n">
        <v>16.7</v>
      </c>
      <c r="E4037" s="538" t="n">
        <v>22.8</v>
      </c>
    </row>
    <row r="4038">
      <c r="A4038" s="544" t="n">
        <v>34862</v>
      </c>
      <c r="B4038" s="538" t="n">
        <v>17.63</v>
      </c>
      <c r="C4038" s="538" t="n">
        <v>18.87</v>
      </c>
      <c r="D4038" s="538" t="n">
        <v>16.7</v>
      </c>
      <c r="E4038" s="538" t="n">
        <v>22.8</v>
      </c>
    </row>
    <row r="4039">
      <c r="A4039" s="544" t="n">
        <v>34863</v>
      </c>
      <c r="B4039" s="538" t="n">
        <v>17.83</v>
      </c>
      <c r="C4039" s="538" t="n">
        <v>18.93</v>
      </c>
      <c r="D4039" s="538" t="n">
        <v>16.75</v>
      </c>
      <c r="E4039" s="538" t="n">
        <v>22.8</v>
      </c>
    </row>
    <row r="4040">
      <c r="A4040" s="544" t="n">
        <v>34864</v>
      </c>
      <c r="B4040" s="538" t="n">
        <v>17.63</v>
      </c>
      <c r="C4040" s="538" t="n">
        <v>19.05</v>
      </c>
      <c r="D4040" s="538" t="n">
        <v>16.8</v>
      </c>
      <c r="E4040" s="538" t="n">
        <v>22.7</v>
      </c>
    </row>
    <row r="4041">
      <c r="A4041" s="544" t="n">
        <v>34865</v>
      </c>
      <c r="B4041" s="538" t="n">
        <v>17.95</v>
      </c>
      <c r="C4041" s="538" t="n">
        <v>18.9</v>
      </c>
      <c r="D4041" s="538" t="n">
        <v>16.58</v>
      </c>
      <c r="E4041" s="538" t="n">
        <v>22.55</v>
      </c>
    </row>
    <row r="4042">
      <c r="A4042" s="544" t="n">
        <v>34866</v>
      </c>
      <c r="B4042" s="538" t="n">
        <v>17.75</v>
      </c>
      <c r="C4042" s="538" t="n">
        <v>18.8</v>
      </c>
      <c r="D4042" s="538" t="n">
        <v>16.35</v>
      </c>
      <c r="E4042" s="538" t="n">
        <v>22.4</v>
      </c>
    </row>
    <row r="4043">
      <c r="A4043" s="544" t="n">
        <v>34869</v>
      </c>
      <c r="B4043" s="538" t="n">
        <v>16.93</v>
      </c>
      <c r="C4043" s="538" t="n">
        <v>18.23</v>
      </c>
      <c r="D4043" s="538" t="n">
        <v>15.73</v>
      </c>
      <c r="E4043" s="538" t="n">
        <v>22.15</v>
      </c>
    </row>
    <row r="4044">
      <c r="A4044" s="544" t="n">
        <v>34870</v>
      </c>
      <c r="B4044" s="538" t="n">
        <v>16.98</v>
      </c>
      <c r="C4044" s="538" t="n">
        <v>18.01</v>
      </c>
      <c r="D4044" s="538" t="n">
        <v>15.63</v>
      </c>
      <c r="E4044" s="538" t="n">
        <v>21.65</v>
      </c>
    </row>
    <row r="4045">
      <c r="A4045" s="544" t="n">
        <v>34871</v>
      </c>
      <c r="B4045" s="538" t="n">
        <v>16.5</v>
      </c>
      <c r="C4045" s="538" t="n">
        <v>17.59</v>
      </c>
      <c r="D4045" s="538" t="n">
        <v>15.48</v>
      </c>
      <c r="E4045" s="538" t="n">
        <v>21.4</v>
      </c>
    </row>
    <row r="4046">
      <c r="A4046" s="544" t="n">
        <v>34872</v>
      </c>
      <c r="B4046" s="538" t="n">
        <v>16.55</v>
      </c>
      <c r="C4046" s="538" t="n">
        <v>17.76</v>
      </c>
      <c r="D4046" s="538" t="n">
        <v>15.38</v>
      </c>
      <c r="E4046" s="538" t="n">
        <v>21.25</v>
      </c>
    </row>
    <row r="4047">
      <c r="A4047" s="544" t="n">
        <v>34873</v>
      </c>
      <c r="B4047" s="538" t="n">
        <v>16.4</v>
      </c>
      <c r="C4047" s="538" t="n">
        <v>17.81</v>
      </c>
      <c r="D4047" s="538" t="n">
        <v>15.4</v>
      </c>
      <c r="E4047" s="538" t="n">
        <v>21.25</v>
      </c>
    </row>
    <row r="4048">
      <c r="A4048" s="544" t="n">
        <v>34876</v>
      </c>
      <c r="B4048" s="538" t="n">
        <v>16.55</v>
      </c>
      <c r="C4048" s="538" t="n">
        <v>17.67</v>
      </c>
      <c r="D4048" s="538" t="n">
        <v>15.43</v>
      </c>
      <c r="E4048" s="538" t="n">
        <v>21.25</v>
      </c>
    </row>
    <row r="4049">
      <c r="A4049" s="544" t="n">
        <v>34877</v>
      </c>
      <c r="B4049" s="538" t="n">
        <v>16.63</v>
      </c>
      <c r="C4049" s="538" t="n">
        <v>17.95</v>
      </c>
      <c r="D4049" s="538" t="n">
        <v>15.58</v>
      </c>
      <c r="E4049" s="538" t="n">
        <v>21.3</v>
      </c>
    </row>
    <row r="4050">
      <c r="A4050" s="544" t="n">
        <v>34878</v>
      </c>
      <c r="B4050" s="538" t="n">
        <v>16.95</v>
      </c>
      <c r="C4050" s="538" t="n">
        <v>17.98</v>
      </c>
      <c r="D4050" s="538" t="n">
        <v>15.78</v>
      </c>
      <c r="E4050" s="538" t="n">
        <v>21.65</v>
      </c>
    </row>
    <row r="4051">
      <c r="A4051" s="544" t="n">
        <v>34879</v>
      </c>
      <c r="B4051" s="538" t="n">
        <v>16.5</v>
      </c>
      <c r="C4051" s="538" t="n">
        <v>17.59</v>
      </c>
      <c r="D4051" s="538" t="n">
        <v>15.38</v>
      </c>
      <c r="E4051" s="538" t="n">
        <v>21.65</v>
      </c>
    </row>
    <row r="4052">
      <c r="A4052" s="544" t="n">
        <v>34880</v>
      </c>
      <c r="B4052" s="538" t="n">
        <v>16.58</v>
      </c>
      <c r="C4052" s="538" t="n">
        <v>17.38</v>
      </c>
      <c r="D4052" s="538" t="n">
        <v>15.38</v>
      </c>
      <c r="E4052" s="538" t="n">
        <v>21.5</v>
      </c>
    </row>
    <row r="4053">
      <c r="A4053" s="544" t="n">
        <v>34883</v>
      </c>
      <c r="B4053" s="538" t="n">
        <v>16.35</v>
      </c>
      <c r="C4053" s="538" t="n">
        <v>17.33</v>
      </c>
      <c r="D4053" s="538" t="n">
        <v>15.23</v>
      </c>
      <c r="E4053" s="538" t="n">
        <v>21.5</v>
      </c>
    </row>
    <row r="4054">
      <c r="A4054" s="544" t="n">
        <v>34884</v>
      </c>
      <c r="B4054" s="538" t="n">
        <v>15.93</v>
      </c>
      <c r="C4054" s="538" t="n">
        <v>17.33</v>
      </c>
      <c r="D4054" s="538" t="n">
        <v>15.23</v>
      </c>
      <c r="E4054" s="538" t="n">
        <v>21.5</v>
      </c>
    </row>
    <row r="4055">
      <c r="A4055" s="544" t="n">
        <v>34885</v>
      </c>
      <c r="B4055" s="538" t="n">
        <v>16</v>
      </c>
      <c r="C4055" s="538" t="n">
        <v>17.21</v>
      </c>
      <c r="D4055" s="538" t="n">
        <v>15.13</v>
      </c>
      <c r="E4055" s="538" t="n">
        <v>21.45</v>
      </c>
    </row>
    <row r="4056">
      <c r="A4056" s="544" t="n">
        <v>34886</v>
      </c>
      <c r="B4056" s="538" t="n">
        <v>16.15</v>
      </c>
      <c r="C4056" s="538" t="n">
        <v>17.42</v>
      </c>
      <c r="D4056" s="538" t="n">
        <v>15.43</v>
      </c>
      <c r="E4056" s="538" t="n">
        <v>21.55</v>
      </c>
    </row>
    <row r="4057">
      <c r="A4057" s="544" t="n">
        <v>34887</v>
      </c>
      <c r="B4057" s="538" t="n">
        <v>16.1</v>
      </c>
      <c r="C4057" s="538" t="n">
        <v>17.14</v>
      </c>
      <c r="D4057" s="538" t="n">
        <v>15.25</v>
      </c>
      <c r="E4057" s="538" t="n">
        <v>21.63</v>
      </c>
    </row>
    <row r="4058">
      <c r="A4058" s="544" t="n">
        <v>34890</v>
      </c>
      <c r="B4058" s="538" t="n">
        <v>15.88</v>
      </c>
      <c r="C4058" s="538" t="n">
        <v>17.35</v>
      </c>
      <c r="D4058" s="538" t="n">
        <v>15.28</v>
      </c>
      <c r="E4058" s="538" t="n">
        <v>21.4</v>
      </c>
    </row>
    <row r="4059">
      <c r="A4059" s="544" t="n">
        <v>34891</v>
      </c>
      <c r="B4059" s="538" t="n">
        <v>15.93</v>
      </c>
      <c r="C4059" s="538" t="n">
        <v>17.31</v>
      </c>
      <c r="D4059" s="538" t="n">
        <v>15.13</v>
      </c>
      <c r="E4059" s="538" t="n">
        <v>21.4</v>
      </c>
    </row>
    <row r="4060">
      <c r="A4060" s="544" t="n">
        <v>34892</v>
      </c>
      <c r="B4060" s="538" t="n">
        <v>16.03</v>
      </c>
      <c r="C4060" s="538" t="n">
        <v>17.49</v>
      </c>
      <c r="D4060" s="538" t="n">
        <v>15.18</v>
      </c>
      <c r="E4060" s="538" t="n">
        <v>21.35</v>
      </c>
    </row>
    <row r="4061">
      <c r="A4061" s="544" t="n">
        <v>34893</v>
      </c>
      <c r="B4061" s="538" t="n">
        <v>15.98</v>
      </c>
      <c r="C4061" s="538" t="n">
        <v>17.25</v>
      </c>
      <c r="D4061" s="538" t="n">
        <v>15</v>
      </c>
      <c r="E4061" s="538" t="n">
        <v>21.2</v>
      </c>
    </row>
    <row r="4062">
      <c r="A4062" s="544" t="n">
        <v>34894</v>
      </c>
      <c r="B4062" s="538" t="n">
        <v>15.8</v>
      </c>
      <c r="C4062" s="538" t="n">
        <v>17.32</v>
      </c>
      <c r="D4062" s="538" t="n">
        <v>14.93</v>
      </c>
      <c r="E4062" s="538" t="n">
        <v>21.05</v>
      </c>
    </row>
    <row r="4063">
      <c r="A4063" s="544" t="n">
        <v>34897</v>
      </c>
      <c r="B4063" s="538" t="n">
        <v>15.73</v>
      </c>
      <c r="C4063" s="538" t="n">
        <v>17.28</v>
      </c>
      <c r="D4063" s="538" t="n">
        <v>14.93</v>
      </c>
      <c r="E4063" s="538" t="n">
        <v>21.05</v>
      </c>
    </row>
    <row r="4064">
      <c r="A4064" s="544" t="n">
        <v>34898</v>
      </c>
      <c r="B4064" s="538" t="n">
        <v>15.68</v>
      </c>
      <c r="C4064" s="538" t="n">
        <v>17.33</v>
      </c>
      <c r="D4064" s="538" t="n">
        <v>14.95</v>
      </c>
      <c r="E4064" s="538" t="n">
        <v>21.05</v>
      </c>
    </row>
    <row r="4065">
      <c r="A4065" s="544" t="n">
        <v>34899</v>
      </c>
      <c r="B4065" s="538" t="n">
        <v>15.8</v>
      </c>
      <c r="C4065" s="538" t="n">
        <v>17.33</v>
      </c>
      <c r="D4065" s="538" t="n">
        <v>14.88</v>
      </c>
      <c r="E4065" s="538" t="n">
        <v>20.9</v>
      </c>
    </row>
    <row r="4066">
      <c r="A4066" s="544" t="n">
        <v>34900</v>
      </c>
      <c r="B4066" s="538" t="n">
        <v>15.68</v>
      </c>
      <c r="C4066" s="538" t="n">
        <v>17.03</v>
      </c>
      <c r="D4066" s="538" t="n">
        <v>14.73</v>
      </c>
      <c r="E4066" s="538" t="n">
        <v>20.8</v>
      </c>
    </row>
    <row r="4067">
      <c r="A4067" s="544" t="n">
        <v>34901</v>
      </c>
      <c r="B4067" s="538" t="n">
        <v>15.35</v>
      </c>
      <c r="C4067" s="538" t="n">
        <v>17.07</v>
      </c>
      <c r="D4067" s="538" t="n">
        <v>14.68</v>
      </c>
      <c r="E4067" s="538" t="n">
        <v>20.6</v>
      </c>
    </row>
    <row r="4068">
      <c r="A4068" s="544" t="n">
        <v>34904</v>
      </c>
      <c r="B4068" s="538" t="n">
        <v>15.38</v>
      </c>
      <c r="C4068" s="538" t="n">
        <v>17.17</v>
      </c>
      <c r="D4068" s="538" t="n">
        <v>14.8</v>
      </c>
      <c r="E4068" s="538" t="n">
        <v>20.6</v>
      </c>
    </row>
    <row r="4069">
      <c r="A4069" s="544" t="n">
        <v>34905</v>
      </c>
      <c r="B4069" s="538" t="n">
        <v>15.48</v>
      </c>
      <c r="C4069" s="538" t="n">
        <v>17.45</v>
      </c>
      <c r="D4069" s="538" t="n">
        <v>15.03</v>
      </c>
      <c r="E4069" s="538" t="n">
        <v>20.65</v>
      </c>
    </row>
    <row r="4070">
      <c r="A4070" s="544" t="n">
        <v>34906</v>
      </c>
      <c r="B4070" s="538" t="n">
        <v>16</v>
      </c>
      <c r="C4070" s="538" t="n">
        <v>17.47</v>
      </c>
      <c r="D4070" s="538" t="n">
        <v>15.23</v>
      </c>
      <c r="E4070" s="538" t="n">
        <v>20.75</v>
      </c>
    </row>
    <row r="4071">
      <c r="A4071" s="544" t="n">
        <v>34907</v>
      </c>
      <c r="B4071" s="538" t="n">
        <v>15.98</v>
      </c>
      <c r="C4071" s="538" t="n">
        <v>17.51</v>
      </c>
      <c r="D4071" s="538" t="n">
        <v>15.28</v>
      </c>
      <c r="E4071" s="538" t="n">
        <v>21</v>
      </c>
    </row>
    <row r="4072">
      <c r="A4072" s="544" t="n">
        <v>34908</v>
      </c>
      <c r="B4072" s="538" t="n">
        <v>15.93</v>
      </c>
      <c r="C4072" s="538" t="n">
        <v>17.43</v>
      </c>
      <c r="D4072" s="538" t="n">
        <v>15.13</v>
      </c>
      <c r="E4072" s="538" t="n">
        <v>20.9</v>
      </c>
    </row>
    <row r="4073">
      <c r="A4073" s="544" t="n">
        <v>34911</v>
      </c>
      <c r="B4073" s="538" t="n">
        <v>15.78</v>
      </c>
      <c r="C4073" s="538" t="n">
        <v>17.62</v>
      </c>
      <c r="D4073" s="538" t="n">
        <v>15.13</v>
      </c>
      <c r="E4073" s="538" t="n">
        <v>20.9</v>
      </c>
    </row>
    <row r="4074">
      <c r="A4074" s="544" t="n">
        <v>34912</v>
      </c>
      <c r="B4074" s="538" t="n">
        <v>16.1</v>
      </c>
      <c r="C4074" s="538" t="n">
        <v>17.59</v>
      </c>
      <c r="D4074" s="538" t="n">
        <v>15.18</v>
      </c>
      <c r="E4074" s="538" t="n">
        <v>20.75</v>
      </c>
    </row>
    <row r="4075">
      <c r="A4075" s="544" t="n">
        <v>34913</v>
      </c>
      <c r="B4075" s="538" t="n">
        <v>16.13</v>
      </c>
      <c r="C4075" s="538" t="n">
        <v>17.95</v>
      </c>
      <c r="D4075" s="538" t="n">
        <v>15.43</v>
      </c>
      <c r="E4075" s="538" t="n">
        <v>20.8</v>
      </c>
    </row>
    <row r="4076">
      <c r="A4076" s="544" t="n">
        <v>34914</v>
      </c>
      <c r="B4076" s="538" t="n">
        <v>15.99</v>
      </c>
      <c r="C4076" s="538" t="n">
        <v>17.72</v>
      </c>
      <c r="D4076" s="538" t="n">
        <v>15.5</v>
      </c>
      <c r="E4076" s="538" t="n">
        <v>20.6</v>
      </c>
    </row>
    <row r="4077">
      <c r="A4077" s="544" t="n">
        <v>34915</v>
      </c>
      <c r="B4077" s="538" t="n">
        <v>16.08</v>
      </c>
      <c r="C4077" s="538" t="n">
        <v>17.74</v>
      </c>
      <c r="D4077" s="538" t="n">
        <v>15.53</v>
      </c>
      <c r="E4077" s="538" t="n">
        <v>20.75</v>
      </c>
    </row>
    <row r="4078">
      <c r="A4078" s="544" t="n">
        <v>34918</v>
      </c>
      <c r="B4078" s="538" t="n">
        <v>15.9</v>
      </c>
      <c r="C4078" s="538" t="n">
        <v>17.65</v>
      </c>
      <c r="D4078" s="538" t="n">
        <v>15.48</v>
      </c>
      <c r="E4078" s="538" t="n">
        <v>20.65</v>
      </c>
    </row>
    <row r="4079">
      <c r="A4079" s="544" t="n">
        <v>34919</v>
      </c>
      <c r="B4079" s="538" t="n">
        <v>16</v>
      </c>
      <c r="C4079" s="538" t="n">
        <v>17.86</v>
      </c>
      <c r="D4079" s="538" t="n">
        <v>15.65</v>
      </c>
      <c r="E4079" s="538" t="n">
        <v>20.6</v>
      </c>
    </row>
    <row r="4080">
      <c r="A4080" s="544" t="n">
        <v>34920</v>
      </c>
      <c r="B4080" s="538" t="n">
        <v>16.13</v>
      </c>
      <c r="C4080" s="538" t="n">
        <v>17.77</v>
      </c>
      <c r="D4080" s="538" t="n">
        <v>15.5</v>
      </c>
      <c r="E4080" s="538" t="n">
        <v>20.6</v>
      </c>
    </row>
    <row r="4081">
      <c r="A4081" s="544" t="n">
        <v>34921</v>
      </c>
      <c r="B4081" s="538" t="n">
        <v>16.08</v>
      </c>
      <c r="C4081" s="538" t="n">
        <v>17.91</v>
      </c>
      <c r="D4081" s="538" t="n">
        <v>15.53</v>
      </c>
      <c r="E4081" s="538" t="n">
        <v>20.75</v>
      </c>
    </row>
    <row r="4082">
      <c r="A4082" s="544" t="n">
        <v>34922</v>
      </c>
      <c r="B4082" s="538" t="n">
        <v>16.23</v>
      </c>
      <c r="C4082" s="538" t="n">
        <v>17.86</v>
      </c>
      <c r="D4082" s="538" t="n">
        <v>15.55</v>
      </c>
      <c r="E4082" s="538" t="n">
        <v>20.75</v>
      </c>
    </row>
    <row r="4083">
      <c r="A4083" s="544" t="n">
        <v>34925</v>
      </c>
      <c r="B4083" s="538" t="n">
        <v>15.93</v>
      </c>
      <c r="C4083" s="538" t="n">
        <v>17.48</v>
      </c>
      <c r="D4083" s="538" t="n">
        <v>15.3</v>
      </c>
      <c r="E4083" s="538" t="n">
        <v>20.5</v>
      </c>
    </row>
    <row r="4084">
      <c r="A4084" s="544" t="n">
        <v>34926</v>
      </c>
      <c r="B4084" s="538" t="n">
        <v>15.85</v>
      </c>
      <c r="C4084" s="538" t="n">
        <v>17.4</v>
      </c>
      <c r="D4084" s="538" t="n">
        <v>15.18</v>
      </c>
      <c r="E4084" s="538" t="n">
        <v>20.65</v>
      </c>
    </row>
    <row r="4085">
      <c r="A4085" s="544" t="n">
        <v>34927</v>
      </c>
      <c r="B4085" s="538" t="n">
        <v>15.78</v>
      </c>
      <c r="C4085" s="538" t="n">
        <v>17.59</v>
      </c>
      <c r="D4085" s="538" t="n">
        <v>15.23</v>
      </c>
      <c r="E4085" s="538" t="n">
        <v>20.65</v>
      </c>
    </row>
    <row r="4086">
      <c r="A4086" s="544" t="n">
        <v>34928</v>
      </c>
      <c r="B4086" s="538" t="n">
        <v>15.85</v>
      </c>
      <c r="C4086" s="538" t="n">
        <v>17.65</v>
      </c>
      <c r="D4086" s="538" t="n">
        <v>15.4</v>
      </c>
      <c r="E4086" s="538" t="n">
        <v>20.65</v>
      </c>
    </row>
    <row r="4087">
      <c r="A4087" s="544" t="n">
        <v>34929</v>
      </c>
      <c r="B4087" s="538" t="n">
        <v>16.03</v>
      </c>
      <c r="C4087" s="538" t="n">
        <v>17.87</v>
      </c>
      <c r="D4087" s="538" t="n">
        <v>15.38</v>
      </c>
      <c r="E4087" s="538" t="n">
        <v>20.75</v>
      </c>
    </row>
    <row r="4088">
      <c r="A4088" s="544" t="n">
        <v>34932</v>
      </c>
      <c r="B4088" s="538" t="n">
        <v>16.25</v>
      </c>
      <c r="C4088" s="538" t="n">
        <v>18.26</v>
      </c>
      <c r="D4088" s="538" t="n">
        <v>15.58</v>
      </c>
      <c r="E4088" s="538" t="n">
        <v>20.85</v>
      </c>
    </row>
    <row r="4089">
      <c r="A4089" s="544" t="n">
        <v>34933</v>
      </c>
      <c r="B4089" s="538" t="n">
        <v>16.23</v>
      </c>
      <c r="C4089" s="538" t="n">
        <v>18.54</v>
      </c>
      <c r="D4089" s="538" t="n">
        <v>15.58</v>
      </c>
      <c r="E4089" s="538" t="n">
        <v>20.95</v>
      </c>
    </row>
    <row r="4090">
      <c r="A4090" s="544" t="n">
        <v>34934</v>
      </c>
      <c r="B4090" s="538" t="n">
        <v>16.5</v>
      </c>
      <c r="C4090" s="538" t="n">
        <v>18.79</v>
      </c>
      <c r="D4090" s="538" t="n">
        <v>15.48</v>
      </c>
      <c r="E4090" s="538" t="n">
        <v>20.95</v>
      </c>
    </row>
    <row r="4091">
      <c r="A4091" s="544" t="n">
        <v>34935</v>
      </c>
      <c r="B4091" s="538" t="n">
        <v>16.3</v>
      </c>
      <c r="C4091" s="538" t="n">
        <v>19.6</v>
      </c>
      <c r="D4091" s="538" t="n">
        <v>15.48</v>
      </c>
      <c r="E4091" s="538" t="n">
        <v>20.85</v>
      </c>
    </row>
    <row r="4092">
      <c r="A4092" s="544" t="n">
        <v>34936</v>
      </c>
      <c r="B4092" s="538" t="n">
        <v>16.15</v>
      </c>
      <c r="C4092" s="538" t="n">
        <v>19.91</v>
      </c>
      <c r="D4092" s="538" t="n">
        <v>15.33</v>
      </c>
      <c r="E4092" s="538" t="n">
        <v>20.85</v>
      </c>
    </row>
    <row r="4093">
      <c r="A4093" s="544" t="n">
        <v>34939</v>
      </c>
      <c r="B4093" s="538" t="n">
        <v>16.15</v>
      </c>
      <c r="C4093" s="538" t="n">
        <v>17.84</v>
      </c>
      <c r="D4093" s="538" t="n">
        <v>15.43</v>
      </c>
      <c r="E4093" s="538" t="n">
        <v>21.05</v>
      </c>
    </row>
    <row r="4094">
      <c r="A4094" s="544" t="n">
        <v>34940</v>
      </c>
      <c r="B4094" s="538" t="n">
        <v>16.23</v>
      </c>
      <c r="C4094" s="538" t="n">
        <v>17.87</v>
      </c>
      <c r="D4094" s="538" t="n">
        <v>15.43</v>
      </c>
      <c r="E4094" s="538" t="n">
        <v>21.05</v>
      </c>
    </row>
    <row r="4095">
      <c r="A4095" s="544" t="n">
        <v>34941</v>
      </c>
      <c r="B4095" s="538" t="n">
        <v>16.18</v>
      </c>
      <c r="C4095" s="538" t="n">
        <v>17.74</v>
      </c>
      <c r="D4095" s="538" t="n">
        <v>15.33</v>
      </c>
      <c r="E4095" s="538" t="n">
        <v>21.25</v>
      </c>
    </row>
    <row r="4096">
      <c r="A4096" s="544" t="n">
        <v>34942</v>
      </c>
      <c r="B4096" s="538" t="n">
        <v>16.2</v>
      </c>
      <c r="C4096" s="538" t="n">
        <v>17.89</v>
      </c>
      <c r="D4096" s="538" t="n">
        <v>15.48</v>
      </c>
      <c r="E4096" s="538" t="n">
        <v>21.15</v>
      </c>
    </row>
    <row r="4097">
      <c r="A4097" s="544" t="n">
        <v>34943</v>
      </c>
      <c r="B4097" s="538" t="n">
        <v>16.25</v>
      </c>
      <c r="C4097" s="538" t="n">
        <v>18.08</v>
      </c>
      <c r="D4097" s="538" t="n">
        <v>15.63</v>
      </c>
      <c r="E4097" s="538" t="n">
        <v>21.25</v>
      </c>
    </row>
    <row r="4098">
      <c r="A4098" s="544" t="n">
        <v>34946</v>
      </c>
      <c r="B4098" s="538" t="n">
        <v>16.62</v>
      </c>
      <c r="C4098" s="538" t="n">
        <v>18.08</v>
      </c>
      <c r="D4098" s="538" t="n">
        <v>15.63</v>
      </c>
      <c r="E4098" s="538" t="n">
        <v>21.45</v>
      </c>
    </row>
    <row r="4099">
      <c r="A4099" s="544" t="n">
        <v>34947</v>
      </c>
      <c r="B4099" s="538" t="n">
        <v>16.68</v>
      </c>
      <c r="C4099" s="538" t="n">
        <v>18.49</v>
      </c>
      <c r="D4099" s="538" t="n">
        <v>15.78</v>
      </c>
      <c r="E4099" s="538" t="n">
        <v>21.6</v>
      </c>
    </row>
    <row r="4100">
      <c r="A4100" s="544" t="n">
        <v>34948</v>
      </c>
      <c r="B4100" s="538" t="n">
        <v>16.63</v>
      </c>
      <c r="C4100" s="538" t="n">
        <v>18.27</v>
      </c>
      <c r="D4100" s="538" t="n">
        <v>15.53</v>
      </c>
      <c r="E4100" s="538" t="n">
        <v>21.6</v>
      </c>
    </row>
    <row r="4101">
      <c r="A4101" s="544" t="n">
        <v>34949</v>
      </c>
      <c r="B4101" s="538" t="n">
        <v>16.6</v>
      </c>
      <c r="C4101" s="538" t="n">
        <v>18.27</v>
      </c>
      <c r="D4101" s="538" t="n">
        <v>15.58</v>
      </c>
      <c r="E4101" s="538" t="n">
        <v>21.5</v>
      </c>
    </row>
    <row r="4102">
      <c r="A4102" s="544" t="n">
        <v>34950</v>
      </c>
      <c r="B4102" s="538" t="n">
        <v>16.93</v>
      </c>
      <c r="C4102" s="538" t="n">
        <v>18.44</v>
      </c>
      <c r="D4102" s="538" t="n">
        <v>15.63</v>
      </c>
      <c r="E4102" s="538" t="n">
        <v>21.4</v>
      </c>
    </row>
    <row r="4103">
      <c r="A4103" s="544" t="n">
        <v>34953</v>
      </c>
      <c r="B4103" s="538" t="n">
        <v>16.75</v>
      </c>
      <c r="C4103" s="538" t="n">
        <v>18.49</v>
      </c>
      <c r="D4103" s="538" t="n">
        <v>15.73</v>
      </c>
      <c r="E4103" s="538" t="n">
        <v>21.4</v>
      </c>
    </row>
    <row r="4104">
      <c r="A4104" s="544" t="n">
        <v>34954</v>
      </c>
      <c r="B4104" s="538" t="n">
        <v>16.9</v>
      </c>
      <c r="C4104" s="538" t="n">
        <v>18.76</v>
      </c>
      <c r="D4104" s="538" t="n">
        <v>15.93</v>
      </c>
      <c r="E4104" s="538" t="n">
        <v>21.3</v>
      </c>
    </row>
    <row r="4105">
      <c r="A4105" s="544" t="n">
        <v>34955</v>
      </c>
      <c r="B4105" s="538" t="n">
        <v>16.85</v>
      </c>
      <c r="C4105" s="538" t="n">
        <v>18.53</v>
      </c>
      <c r="D4105" s="538" t="n">
        <v>15.78</v>
      </c>
      <c r="E4105" s="538" t="n">
        <v>21.25</v>
      </c>
    </row>
    <row r="4106">
      <c r="A4106" s="544" t="n">
        <v>34956</v>
      </c>
      <c r="B4106" s="538" t="n">
        <v>17</v>
      </c>
      <c r="C4106" s="538" t="n">
        <v>18.87</v>
      </c>
      <c r="D4106" s="538" t="n">
        <v>15.95</v>
      </c>
      <c r="E4106" s="538" t="n">
        <v>21.25</v>
      </c>
    </row>
    <row r="4107">
      <c r="A4107" s="544" t="n">
        <v>34957</v>
      </c>
      <c r="B4107" s="538" t="n">
        <v>17.18</v>
      </c>
      <c r="C4107" s="538" t="n">
        <v>18.94</v>
      </c>
      <c r="D4107" s="538" t="n">
        <v>15.93</v>
      </c>
      <c r="E4107" s="538" t="n">
        <v>21.25</v>
      </c>
    </row>
    <row r="4108">
      <c r="A4108" s="544" t="n">
        <v>34960</v>
      </c>
      <c r="B4108" s="538" t="n">
        <v>17.23</v>
      </c>
      <c r="C4108" s="538" t="n">
        <v>18.92</v>
      </c>
      <c r="D4108" s="538" t="n">
        <v>15.93</v>
      </c>
      <c r="E4108" s="538" t="n">
        <v>21.4</v>
      </c>
    </row>
    <row r="4109">
      <c r="A4109" s="544" t="n">
        <v>34961</v>
      </c>
      <c r="B4109" s="538" t="n">
        <v>17.23</v>
      </c>
      <c r="C4109" s="538" t="n">
        <v>19.01</v>
      </c>
      <c r="D4109" s="538" t="n">
        <v>15.78</v>
      </c>
      <c r="E4109" s="538" t="n">
        <v>21.35</v>
      </c>
    </row>
    <row r="4110">
      <c r="A4110" s="544" t="n">
        <v>34962</v>
      </c>
      <c r="B4110" s="538" t="n">
        <v>17</v>
      </c>
      <c r="C4110" s="538" t="n">
        <v>18.53</v>
      </c>
      <c r="D4110" s="538" t="n">
        <v>15.38</v>
      </c>
      <c r="E4110" s="538" t="n">
        <v>21.3</v>
      </c>
    </row>
    <row r="4111">
      <c r="A4111" s="544" t="n">
        <v>34963</v>
      </c>
      <c r="B4111" s="538" t="n">
        <v>16.6</v>
      </c>
      <c r="C4111" s="538" t="n">
        <v>17.89</v>
      </c>
      <c r="D4111" s="538" t="n">
        <v>15.13</v>
      </c>
      <c r="E4111" s="538" t="n">
        <v>21.2</v>
      </c>
    </row>
    <row r="4112">
      <c r="A4112" s="544" t="n">
        <v>34964</v>
      </c>
      <c r="B4112" s="538" t="n">
        <v>16.4</v>
      </c>
      <c r="C4112" s="538" t="n">
        <v>17.27</v>
      </c>
      <c r="D4112" s="538" t="n">
        <v>15</v>
      </c>
      <c r="E4112" s="538" t="n">
        <v>21.3</v>
      </c>
    </row>
    <row r="4113">
      <c r="A4113" s="544" t="n">
        <v>34967</v>
      </c>
      <c r="B4113" s="538" t="n">
        <v>16.18</v>
      </c>
      <c r="C4113" s="538" t="n">
        <v>17.38</v>
      </c>
      <c r="D4113" s="538" t="n">
        <v>15.33</v>
      </c>
      <c r="E4113" s="538" t="n">
        <v>21.3</v>
      </c>
    </row>
    <row r="4114">
      <c r="A4114" s="544" t="n">
        <v>34968</v>
      </c>
      <c r="B4114" s="538" t="n">
        <v>16.15</v>
      </c>
      <c r="C4114" s="538" t="n">
        <v>17.47</v>
      </c>
      <c r="D4114" s="538" t="n">
        <v>15.28</v>
      </c>
      <c r="E4114" s="538" t="n">
        <v>21.5</v>
      </c>
    </row>
    <row r="4115">
      <c r="A4115" s="544" t="n">
        <v>34969</v>
      </c>
      <c r="B4115" s="538" t="n">
        <v>16.28</v>
      </c>
      <c r="C4115" s="538" t="n">
        <v>17.64</v>
      </c>
      <c r="D4115" s="538" t="n">
        <v>15.28</v>
      </c>
      <c r="E4115" s="538" t="n">
        <v>21.8</v>
      </c>
    </row>
    <row r="4116">
      <c r="A4116" s="544" t="n">
        <v>34970</v>
      </c>
      <c r="B4116" s="538" t="n">
        <v>16.65</v>
      </c>
      <c r="C4116" s="538" t="n">
        <v>17.72</v>
      </c>
      <c r="D4116" s="538" t="n">
        <v>15.18</v>
      </c>
      <c r="E4116" s="538" t="n">
        <v>21.8</v>
      </c>
    </row>
    <row r="4117">
      <c r="A4117" s="544" t="n">
        <v>34971</v>
      </c>
      <c r="B4117" s="538" t="n">
        <v>16.58</v>
      </c>
      <c r="C4117" s="538" t="n">
        <v>17.54</v>
      </c>
      <c r="D4117" s="538" t="n">
        <v>15.03</v>
      </c>
      <c r="E4117" s="538" t="n">
        <v>22</v>
      </c>
    </row>
    <row r="4118">
      <c r="A4118" s="544" t="n">
        <v>34974</v>
      </c>
      <c r="B4118" s="538" t="n">
        <v>16.55</v>
      </c>
      <c r="C4118" s="538" t="n">
        <v>17.67</v>
      </c>
      <c r="D4118" s="538" t="n">
        <v>15.08</v>
      </c>
      <c r="E4118" s="538" t="n">
        <v>22.2</v>
      </c>
    </row>
    <row r="4119">
      <c r="A4119" s="544" t="n">
        <v>34975</v>
      </c>
      <c r="B4119" s="538" t="n">
        <v>16.58</v>
      </c>
      <c r="C4119" s="538" t="n">
        <v>17.56</v>
      </c>
      <c r="D4119" s="538" t="n">
        <v>14.98</v>
      </c>
      <c r="E4119" s="538" t="n">
        <v>22.3</v>
      </c>
    </row>
    <row r="4120">
      <c r="A4120" s="544" t="n">
        <v>34976</v>
      </c>
      <c r="B4120" s="538" t="n">
        <v>16.4</v>
      </c>
      <c r="C4120" s="538" t="n">
        <v>17.32</v>
      </c>
      <c r="D4120" s="538" t="n">
        <v>14.73</v>
      </c>
      <c r="E4120" s="538" t="n">
        <v>22.4</v>
      </c>
    </row>
    <row r="4121">
      <c r="A4121" s="544" t="n">
        <v>34977</v>
      </c>
      <c r="B4121" s="538" t="n">
        <v>15.85</v>
      </c>
      <c r="C4121" s="538" t="n">
        <v>16.86</v>
      </c>
      <c r="D4121" s="538" t="n">
        <v>14.28</v>
      </c>
      <c r="E4121" s="538" t="n">
        <v>22.6</v>
      </c>
    </row>
    <row r="4122">
      <c r="A4122" s="544" t="n">
        <v>34978</v>
      </c>
      <c r="B4122" s="538" t="n">
        <v>15.75</v>
      </c>
      <c r="C4122" s="538" t="n">
        <v>17.03</v>
      </c>
      <c r="D4122" s="538" t="n">
        <v>14.43</v>
      </c>
      <c r="E4122" s="538" t="n">
        <v>22.6</v>
      </c>
    </row>
    <row r="4123">
      <c r="A4123" s="544" t="n">
        <v>34981</v>
      </c>
      <c r="B4123" s="538" t="n">
        <v>16</v>
      </c>
      <c r="C4123" s="538" t="n">
        <v>17.36</v>
      </c>
      <c r="D4123" s="538" t="n">
        <v>14.68</v>
      </c>
      <c r="E4123" s="538" t="n">
        <v>22.65</v>
      </c>
    </row>
    <row r="4124">
      <c r="A4124" s="544" t="n">
        <v>34982</v>
      </c>
      <c r="B4124" s="538" t="n">
        <v>15.95</v>
      </c>
      <c r="C4124" s="538" t="n">
        <v>17.29</v>
      </c>
      <c r="D4124" s="538" t="n">
        <v>14.63</v>
      </c>
      <c r="E4124" s="538" t="n">
        <v>22.65</v>
      </c>
    </row>
    <row r="4125">
      <c r="A4125" s="544" t="n">
        <v>34983</v>
      </c>
      <c r="B4125" s="538" t="n">
        <v>16.05</v>
      </c>
      <c r="C4125" s="538" t="n">
        <v>17.28</v>
      </c>
      <c r="D4125" s="538" t="n">
        <v>14.65</v>
      </c>
      <c r="E4125" s="538" t="n">
        <v>22.55</v>
      </c>
    </row>
    <row r="4126">
      <c r="A4126" s="544" t="n">
        <v>34984</v>
      </c>
      <c r="B4126" s="538" t="n">
        <v>15.9</v>
      </c>
      <c r="C4126" s="538" t="n">
        <v>17.08</v>
      </c>
      <c r="D4126" s="538" t="n">
        <v>14.48</v>
      </c>
      <c r="E4126" s="538" t="n">
        <v>22.65</v>
      </c>
    </row>
    <row r="4127">
      <c r="A4127" s="544" t="n">
        <v>34985</v>
      </c>
      <c r="B4127" s="538" t="n">
        <v>15.98</v>
      </c>
      <c r="C4127" s="538" t="n">
        <v>17.38</v>
      </c>
      <c r="D4127" s="538" t="n">
        <v>14.83</v>
      </c>
      <c r="E4127" s="538" t="n">
        <v>22.65</v>
      </c>
    </row>
    <row r="4128">
      <c r="A4128" s="544" t="n">
        <v>34988</v>
      </c>
      <c r="B4128" s="538" t="n">
        <v>16.15</v>
      </c>
      <c r="C4128" s="538" t="n">
        <v>17.6</v>
      </c>
      <c r="D4128" s="538" t="n">
        <v>14.88</v>
      </c>
      <c r="E4128" s="538" t="n">
        <v>22.53</v>
      </c>
    </row>
    <row r="4129">
      <c r="A4129" s="544" t="n">
        <v>34989</v>
      </c>
      <c r="B4129" s="538" t="n">
        <v>16.03</v>
      </c>
      <c r="C4129" s="538" t="n">
        <v>17.59</v>
      </c>
      <c r="D4129" s="538" t="n">
        <v>14.68</v>
      </c>
      <c r="E4129" s="538" t="n">
        <v>22.4</v>
      </c>
    </row>
    <row r="4130">
      <c r="A4130" s="544" t="n">
        <v>34990</v>
      </c>
      <c r="B4130" s="538" t="n">
        <v>15.98</v>
      </c>
      <c r="C4130" s="538" t="n">
        <v>17.57</v>
      </c>
      <c r="D4130" s="538" t="n">
        <v>14.68</v>
      </c>
      <c r="E4130" s="538" t="n">
        <v>22.43</v>
      </c>
    </row>
    <row r="4131">
      <c r="A4131" s="544" t="n">
        <v>34991</v>
      </c>
      <c r="B4131" s="538" t="n">
        <v>15.85</v>
      </c>
      <c r="C4131" s="538" t="n">
        <v>17.34</v>
      </c>
      <c r="D4131" s="538" t="n">
        <v>14.68</v>
      </c>
      <c r="E4131" s="538" t="n">
        <v>22.35</v>
      </c>
    </row>
    <row r="4132">
      <c r="A4132" s="544" t="n">
        <v>34992</v>
      </c>
      <c r="B4132" s="538" t="n">
        <v>15.8</v>
      </c>
      <c r="C4132" s="538" t="n">
        <v>17.44</v>
      </c>
      <c r="D4132" s="538" t="n">
        <v>14.75</v>
      </c>
      <c r="E4132" s="538" t="n">
        <v>22.45</v>
      </c>
    </row>
    <row r="4133">
      <c r="A4133" s="544" t="n">
        <v>34995</v>
      </c>
      <c r="B4133" s="538" t="n">
        <v>15.88</v>
      </c>
      <c r="C4133" s="538" t="n">
        <v>17.48</v>
      </c>
      <c r="D4133" s="538" t="n">
        <v>14.78</v>
      </c>
      <c r="E4133" s="538" t="n">
        <v>22.45</v>
      </c>
    </row>
    <row r="4134">
      <c r="A4134" s="544" t="n">
        <v>34996</v>
      </c>
      <c r="B4134" s="538" t="n">
        <v>16.08</v>
      </c>
      <c r="C4134" s="538" t="n">
        <v>17.61</v>
      </c>
      <c r="D4134" s="538" t="n">
        <v>14.9</v>
      </c>
      <c r="E4134" s="538" t="n">
        <v>22.5</v>
      </c>
    </row>
    <row r="4135">
      <c r="A4135" s="544" t="n">
        <v>34997</v>
      </c>
      <c r="B4135" s="538" t="n">
        <v>15.98</v>
      </c>
      <c r="C4135" s="538" t="n">
        <v>17.58</v>
      </c>
      <c r="D4135" s="538" t="n">
        <v>14.88</v>
      </c>
      <c r="E4135" s="538" t="n">
        <v>22.7</v>
      </c>
    </row>
    <row r="4136">
      <c r="A4136" s="544" t="n">
        <v>34998</v>
      </c>
      <c r="B4136" s="538" t="n">
        <v>16.3</v>
      </c>
      <c r="C4136" s="538" t="n">
        <v>17.61</v>
      </c>
      <c r="D4136" s="538" t="n">
        <v>15.13</v>
      </c>
      <c r="E4136" s="538" t="n">
        <v>22.7</v>
      </c>
    </row>
    <row r="4137">
      <c r="A4137" s="544" t="n">
        <v>34999</v>
      </c>
      <c r="B4137" s="538" t="n">
        <v>16.35</v>
      </c>
      <c r="C4137" s="538" t="n">
        <v>17.54</v>
      </c>
      <c r="D4137" s="538" t="n">
        <v>15.43</v>
      </c>
      <c r="E4137" s="538" t="n">
        <v>22.95</v>
      </c>
    </row>
    <row r="4138">
      <c r="A4138" s="544" t="n">
        <v>35002</v>
      </c>
      <c r="B4138" s="538" t="n">
        <v>16.45</v>
      </c>
      <c r="C4138" s="538" t="n">
        <v>17.67</v>
      </c>
      <c r="D4138" s="538" t="n">
        <v>15.63</v>
      </c>
      <c r="E4138" s="538" t="n">
        <v>23.1</v>
      </c>
    </row>
    <row r="4139">
      <c r="A4139" s="544" t="n">
        <v>35003</v>
      </c>
      <c r="B4139" s="538" t="n">
        <v>16.58</v>
      </c>
      <c r="C4139" s="538" t="n">
        <v>17.67</v>
      </c>
      <c r="D4139" s="538" t="n">
        <v>15.58</v>
      </c>
      <c r="E4139" s="538" t="n">
        <v>23.7</v>
      </c>
    </row>
    <row r="4140">
      <c r="A4140" s="544" t="n">
        <v>35004</v>
      </c>
      <c r="B4140" s="538" t="n">
        <v>16.53</v>
      </c>
      <c r="C4140" s="538" t="n">
        <v>17.74</v>
      </c>
      <c r="D4140" s="538" t="n">
        <v>15.63</v>
      </c>
      <c r="E4140" s="538" t="n">
        <v>23.7</v>
      </c>
    </row>
    <row r="4141">
      <c r="A4141" s="544" t="n">
        <v>35005</v>
      </c>
      <c r="B4141" s="538" t="n">
        <v>16.83</v>
      </c>
      <c r="C4141" s="538" t="n">
        <v>17.94</v>
      </c>
      <c r="D4141" s="538" t="n">
        <v>15.83</v>
      </c>
      <c r="E4141" s="538" t="n">
        <v>23.95</v>
      </c>
    </row>
    <row r="4142">
      <c r="A4142" s="544" t="n">
        <v>35006</v>
      </c>
      <c r="B4142" s="538" t="n">
        <v>16.88</v>
      </c>
      <c r="C4142" s="538" t="n">
        <v>17.93</v>
      </c>
      <c r="D4142" s="538" t="n">
        <v>15.63</v>
      </c>
      <c r="E4142" s="538" t="n">
        <v>24</v>
      </c>
    </row>
    <row r="4143">
      <c r="A4143" s="544" t="n">
        <v>35009</v>
      </c>
      <c r="B4143" s="538" t="n">
        <v>16.78</v>
      </c>
      <c r="C4143" s="538" t="n">
        <v>17.68</v>
      </c>
      <c r="D4143" s="538" t="n">
        <v>15.35</v>
      </c>
      <c r="E4143" s="538" t="n">
        <v>23.75</v>
      </c>
    </row>
    <row r="4144">
      <c r="A4144" s="544" t="n">
        <v>35010</v>
      </c>
      <c r="B4144" s="538" t="n">
        <v>16.7</v>
      </c>
      <c r="C4144" s="538" t="n">
        <v>17.62</v>
      </c>
      <c r="D4144" s="538" t="n">
        <v>15.3</v>
      </c>
      <c r="E4144" s="538" t="n">
        <v>23.75</v>
      </c>
    </row>
    <row r="4145">
      <c r="A4145" s="544" t="n">
        <v>35011</v>
      </c>
      <c r="B4145" s="538" t="n">
        <v>16.75</v>
      </c>
      <c r="C4145" s="538" t="n">
        <v>17.82</v>
      </c>
      <c r="D4145" s="538" t="n">
        <v>15.48</v>
      </c>
      <c r="E4145" s="538" t="n">
        <v>23.8</v>
      </c>
    </row>
    <row r="4146">
      <c r="A4146" s="544" t="n">
        <v>35012</v>
      </c>
      <c r="B4146" s="538" t="n">
        <v>16.9</v>
      </c>
      <c r="C4146" s="538" t="n">
        <v>17.83</v>
      </c>
      <c r="D4146" s="538" t="n">
        <v>15.38</v>
      </c>
      <c r="E4146" s="538" t="n">
        <v>24.13</v>
      </c>
    </row>
    <row r="4147">
      <c r="A4147" s="544" t="n">
        <v>35013</v>
      </c>
      <c r="B4147" s="538" t="n">
        <v>16.83</v>
      </c>
      <c r="C4147" s="538" t="n">
        <v>17.83</v>
      </c>
      <c r="D4147" s="538" t="n">
        <v>15.38</v>
      </c>
      <c r="E4147" s="538" t="n">
        <v>24.25</v>
      </c>
    </row>
    <row r="4148">
      <c r="A4148" s="544" t="n">
        <v>35016</v>
      </c>
      <c r="B4148" s="538" t="n">
        <v>16.63</v>
      </c>
      <c r="C4148" s="538" t="n">
        <v>17.78</v>
      </c>
      <c r="D4148" s="538" t="n">
        <v>15.53</v>
      </c>
      <c r="E4148" s="538" t="n">
        <v>24.35</v>
      </c>
    </row>
    <row r="4149">
      <c r="A4149" s="544" t="n">
        <v>35017</v>
      </c>
      <c r="B4149" s="538" t="n">
        <v>16.58</v>
      </c>
      <c r="C4149" s="538" t="n">
        <v>17.89</v>
      </c>
      <c r="D4149" s="538" t="n">
        <v>15.53</v>
      </c>
      <c r="E4149" s="538" t="n">
        <v>24.65</v>
      </c>
    </row>
    <row r="4150">
      <c r="A4150" s="544" t="n">
        <v>35018</v>
      </c>
      <c r="B4150" s="538" t="n">
        <v>16.73</v>
      </c>
      <c r="C4150" s="538" t="n">
        <v>17.92</v>
      </c>
      <c r="D4150" s="538" t="n">
        <v>15.65</v>
      </c>
      <c r="E4150" s="538" t="n">
        <v>24.75</v>
      </c>
    </row>
    <row r="4151">
      <c r="A4151" s="544" t="n">
        <v>35019</v>
      </c>
      <c r="B4151" s="538" t="n">
        <v>16.78</v>
      </c>
      <c r="C4151" s="538" t="n">
        <v>18.16</v>
      </c>
      <c r="D4151" s="538" t="n">
        <v>15.88</v>
      </c>
      <c r="E4151" s="538" t="n">
        <v>24.75</v>
      </c>
    </row>
    <row r="4152">
      <c r="A4152" s="544" t="n">
        <v>35020</v>
      </c>
      <c r="B4152" s="538" t="n">
        <v>17.03</v>
      </c>
      <c r="C4152" s="538" t="n">
        <v>18.56</v>
      </c>
      <c r="D4152" s="538" t="n">
        <v>16.08</v>
      </c>
      <c r="E4152" s="538" t="n">
        <v>24.75</v>
      </c>
    </row>
    <row r="4153">
      <c r="A4153" s="544" t="n">
        <v>35023</v>
      </c>
      <c r="B4153" s="538" t="n">
        <v>16.8</v>
      </c>
      <c r="C4153" s="538" t="n">
        <v>18.14</v>
      </c>
      <c r="D4153" s="538" t="n">
        <v>15.93</v>
      </c>
      <c r="E4153" s="538" t="n">
        <v>24.85</v>
      </c>
    </row>
    <row r="4154">
      <c r="A4154" s="544" t="n">
        <v>35024</v>
      </c>
      <c r="B4154" s="538" t="n">
        <v>16.6</v>
      </c>
      <c r="C4154" s="538" t="n">
        <v>17.89</v>
      </c>
      <c r="D4154" s="538" t="n">
        <v>15.63</v>
      </c>
      <c r="E4154" s="538" t="n">
        <v>25.05</v>
      </c>
    </row>
    <row r="4155">
      <c r="A4155" s="544" t="n">
        <v>35025</v>
      </c>
      <c r="B4155" s="538" t="n">
        <v>16.9</v>
      </c>
      <c r="C4155" s="538" t="n">
        <v>17.93</v>
      </c>
      <c r="D4155" s="538" t="n">
        <v>15.53</v>
      </c>
      <c r="E4155" s="538" t="n">
        <v>25.05</v>
      </c>
    </row>
    <row r="4156">
      <c r="A4156" s="544" t="n">
        <v>35026</v>
      </c>
      <c r="B4156" s="538" t="n">
        <v>16.88</v>
      </c>
      <c r="C4156" s="538" t="n">
        <v>17.93</v>
      </c>
      <c r="D4156" s="538" t="n">
        <v>15.53</v>
      </c>
      <c r="E4156" s="538" t="n">
        <v>25.15</v>
      </c>
    </row>
    <row r="4157">
      <c r="A4157" s="544" t="n">
        <v>35027</v>
      </c>
      <c r="B4157" s="538" t="n">
        <v>16.93</v>
      </c>
      <c r="C4157" s="538" t="n">
        <v>17.93</v>
      </c>
      <c r="D4157" s="538" t="n">
        <v>15.58</v>
      </c>
      <c r="E4157" s="538" t="n">
        <v>25.15</v>
      </c>
    </row>
    <row r="4158">
      <c r="A4158" s="544" t="n">
        <v>35030</v>
      </c>
      <c r="B4158" s="538" t="n">
        <v>17.2</v>
      </c>
      <c r="C4158" s="538" t="n">
        <v>18.37</v>
      </c>
      <c r="D4158" s="538" t="n">
        <v>15.93</v>
      </c>
      <c r="E4158" s="538" t="n">
        <v>25.5</v>
      </c>
    </row>
    <row r="4159">
      <c r="A4159" s="544" t="n">
        <v>35031</v>
      </c>
      <c r="B4159" s="538" t="n">
        <v>17.25</v>
      </c>
      <c r="C4159" s="538" t="n">
        <v>18.28</v>
      </c>
      <c r="D4159" s="538" t="n">
        <v>15.98</v>
      </c>
      <c r="E4159" s="538" t="n">
        <v>25.7</v>
      </c>
    </row>
    <row r="4160">
      <c r="A4160" s="544" t="n">
        <v>35032</v>
      </c>
      <c r="B4160" s="538" t="n">
        <v>17.3</v>
      </c>
      <c r="C4160" s="538" t="n">
        <v>18.27</v>
      </c>
      <c r="D4160" s="538" t="n">
        <v>16.03</v>
      </c>
      <c r="E4160" s="538" t="n">
        <v>25.9</v>
      </c>
    </row>
    <row r="4161">
      <c r="A4161" s="544" t="n">
        <v>35033</v>
      </c>
      <c r="B4161" s="538" t="n">
        <v>17.13</v>
      </c>
      <c r="C4161" s="538" t="n">
        <v>18.27</v>
      </c>
      <c r="D4161" s="538" t="n">
        <v>16.03</v>
      </c>
      <c r="E4161" s="538" t="n">
        <v>25.8</v>
      </c>
    </row>
    <row r="4162">
      <c r="A4162" s="544" t="n">
        <v>35034</v>
      </c>
      <c r="B4162" s="538" t="n">
        <v>17.18</v>
      </c>
      <c r="C4162" s="538" t="n">
        <v>18.43</v>
      </c>
      <c r="D4162" s="538" t="n">
        <v>16.28</v>
      </c>
      <c r="E4162" s="538" t="n">
        <v>25.83</v>
      </c>
    </row>
    <row r="4163">
      <c r="A4163" s="544" t="n">
        <v>35037</v>
      </c>
      <c r="B4163" s="538" t="n">
        <v>17.35</v>
      </c>
      <c r="C4163" s="538" t="n">
        <v>18.61</v>
      </c>
      <c r="D4163" s="538" t="n">
        <v>16.6</v>
      </c>
      <c r="E4163" s="538" t="n">
        <v>25.83</v>
      </c>
    </row>
    <row r="4164">
      <c r="A4164" s="544" t="n">
        <v>35038</v>
      </c>
      <c r="B4164" s="538" t="n">
        <v>17.53</v>
      </c>
      <c r="C4164" s="538" t="n">
        <v>18.66</v>
      </c>
      <c r="D4164" s="538" t="n">
        <v>16.65</v>
      </c>
      <c r="E4164" s="538" t="n">
        <v>26.03</v>
      </c>
    </row>
    <row r="4165">
      <c r="A4165" s="544" t="n">
        <v>35039</v>
      </c>
      <c r="B4165" s="538" t="n">
        <v>17.55</v>
      </c>
      <c r="C4165" s="538" t="n">
        <v>18.76</v>
      </c>
      <c r="D4165" s="538" t="n">
        <v>16.7</v>
      </c>
      <c r="E4165" s="538" t="n">
        <v>26.13</v>
      </c>
    </row>
    <row r="4166">
      <c r="A4166" s="544" t="n">
        <v>35040</v>
      </c>
      <c r="B4166" s="538" t="n">
        <v>17.48</v>
      </c>
      <c r="C4166" s="538" t="n">
        <v>18.69</v>
      </c>
      <c r="D4166" s="538" t="n">
        <v>16.75</v>
      </c>
      <c r="E4166" s="538" t="n">
        <v>26.33</v>
      </c>
    </row>
    <row r="4167">
      <c r="A4167" s="544" t="n">
        <v>35041</v>
      </c>
      <c r="B4167" s="538" t="n">
        <v>17.73</v>
      </c>
      <c r="C4167" s="538" t="n">
        <v>18.97</v>
      </c>
      <c r="D4167" s="538" t="n">
        <v>17.08</v>
      </c>
      <c r="E4167" s="538" t="n">
        <v>26.43</v>
      </c>
    </row>
    <row r="4168">
      <c r="A4168" s="544" t="n">
        <v>35044</v>
      </c>
      <c r="B4168" s="538" t="n">
        <v>17.68</v>
      </c>
      <c r="C4168" s="538" t="n">
        <v>18.62</v>
      </c>
      <c r="D4168" s="538" t="n">
        <v>16.85</v>
      </c>
      <c r="E4168" s="538" t="n">
        <v>26.63</v>
      </c>
    </row>
    <row r="4169">
      <c r="A4169" s="544" t="n">
        <v>35045</v>
      </c>
      <c r="B4169" s="538" t="n">
        <v>17.48</v>
      </c>
      <c r="C4169" s="538" t="n">
        <v>18.8</v>
      </c>
      <c r="D4169" s="538" t="n">
        <v>17.08</v>
      </c>
      <c r="E4169" s="538" t="n">
        <v>27.25</v>
      </c>
    </row>
    <row r="4170">
      <c r="A4170" s="544" t="n">
        <v>35046</v>
      </c>
      <c r="B4170" s="538" t="n">
        <v>17.7</v>
      </c>
      <c r="C4170" s="538" t="n">
        <v>19.01</v>
      </c>
      <c r="D4170" s="538" t="n">
        <v>17.1</v>
      </c>
      <c r="E4170" s="538" t="n">
        <v>27.15</v>
      </c>
    </row>
    <row r="4171">
      <c r="A4171" s="544" t="n">
        <v>35047</v>
      </c>
      <c r="B4171" s="538" t="n">
        <v>17.9</v>
      </c>
      <c r="C4171" s="538" t="n">
        <v>19.14</v>
      </c>
      <c r="D4171" s="538" t="n">
        <v>17.17</v>
      </c>
      <c r="E4171" s="538" t="n">
        <v>27.25</v>
      </c>
    </row>
    <row r="4172">
      <c r="A4172" s="544" t="n">
        <v>35048</v>
      </c>
      <c r="B4172" s="538" t="n">
        <v>18.15</v>
      </c>
      <c r="C4172" s="538" t="n">
        <v>19.51</v>
      </c>
      <c r="D4172" s="538" t="n">
        <v>17.35</v>
      </c>
      <c r="E4172" s="538" t="n">
        <v>27.25</v>
      </c>
    </row>
    <row r="4173">
      <c r="A4173" s="544" t="n">
        <v>35051</v>
      </c>
      <c r="B4173" s="538" t="n">
        <v>18.33</v>
      </c>
      <c r="C4173" s="538" t="n">
        <v>19.71</v>
      </c>
      <c r="D4173" s="538" t="n">
        <v>17.53</v>
      </c>
      <c r="E4173" s="538" t="n">
        <v>27.55</v>
      </c>
    </row>
    <row r="4174">
      <c r="A4174" s="544" t="n">
        <v>35052</v>
      </c>
      <c r="B4174" s="538" t="n">
        <v>18.03</v>
      </c>
      <c r="C4174" s="538" t="n">
        <v>19.05</v>
      </c>
      <c r="D4174" s="538" t="n">
        <v>17.38</v>
      </c>
      <c r="E4174" s="538" t="n">
        <v>28.15</v>
      </c>
    </row>
    <row r="4175">
      <c r="A4175" s="544" t="n">
        <v>35053</v>
      </c>
      <c r="B4175" s="538" t="n">
        <v>18.05</v>
      </c>
      <c r="C4175" s="538" t="n">
        <v>18.87</v>
      </c>
      <c r="D4175" s="538" t="n">
        <v>17.4</v>
      </c>
      <c r="E4175" s="538" t="n">
        <v>28.35</v>
      </c>
    </row>
    <row r="4176">
      <c r="A4176" s="544" t="n">
        <v>35054</v>
      </c>
      <c r="B4176" s="538" t="n">
        <v>18.1</v>
      </c>
      <c r="C4176" s="538" t="n">
        <v>18.83</v>
      </c>
      <c r="D4176" s="538" t="n">
        <v>17.48</v>
      </c>
      <c r="E4176" s="538" t="n">
        <v>28.65</v>
      </c>
    </row>
    <row r="4177">
      <c r="A4177" s="544" t="n">
        <v>35055</v>
      </c>
      <c r="B4177" s="538" t="n">
        <v>18.18</v>
      </c>
      <c r="C4177" s="538" t="n">
        <v>19.12</v>
      </c>
      <c r="D4177" s="538" t="n">
        <v>17.35</v>
      </c>
      <c r="E4177" s="538" t="n">
        <v>29.65</v>
      </c>
    </row>
    <row r="4178">
      <c r="A4178" s="544" t="n">
        <v>35058</v>
      </c>
      <c r="B4178" s="538" t="n">
        <v>18.18</v>
      </c>
      <c r="C4178" s="538" t="n">
        <v>19.12</v>
      </c>
      <c r="D4178" s="538" t="n">
        <v>17.35</v>
      </c>
      <c r="E4178" s="538" t="n">
        <v>29.65</v>
      </c>
    </row>
    <row r="4179">
      <c r="A4179" s="544" t="n">
        <v>35059</v>
      </c>
      <c r="B4179" s="538" t="n">
        <v>18.18</v>
      </c>
      <c r="C4179" s="538" t="n">
        <v>19.25</v>
      </c>
      <c r="D4179" s="538" t="n">
        <v>17.85</v>
      </c>
      <c r="E4179" s="538" t="n">
        <v>30.75</v>
      </c>
    </row>
    <row r="4180">
      <c r="A4180" s="544" t="n">
        <v>35060</v>
      </c>
      <c r="B4180" s="538" t="n">
        <v>18.73</v>
      </c>
      <c r="C4180" s="538" t="n">
        <v>19.49</v>
      </c>
      <c r="D4180" s="538" t="n">
        <v>17.9</v>
      </c>
      <c r="E4180" s="538" t="n">
        <v>31.05</v>
      </c>
    </row>
    <row r="4181">
      <c r="A4181" s="544" t="n">
        <v>35061</v>
      </c>
      <c r="B4181" s="538" t="n">
        <v>18.78</v>
      </c>
      <c r="C4181" s="538" t="n">
        <v>19.47</v>
      </c>
      <c r="D4181" s="538" t="n">
        <v>17.95</v>
      </c>
      <c r="E4181" s="538" t="n">
        <v>31.75</v>
      </c>
    </row>
    <row r="4182">
      <c r="A4182" s="544" t="n">
        <v>35062</v>
      </c>
      <c r="B4182" s="538" t="n">
        <v>18.65</v>
      </c>
      <c r="C4182" s="538" t="n">
        <v>19.54</v>
      </c>
      <c r="D4182" s="538" t="n">
        <v>18</v>
      </c>
      <c r="E4182" s="538" t="n">
        <v>31.75</v>
      </c>
    </row>
    <row r="4183">
      <c r="A4183" s="544" t="n">
        <v>35065</v>
      </c>
      <c r="B4183" s="538" t="n">
        <v>18.65</v>
      </c>
      <c r="C4183" s="538" t="n">
        <v>19.54</v>
      </c>
      <c r="D4183" s="538" t="n">
        <v>18</v>
      </c>
      <c r="E4183" s="538" t="n">
        <v>31.75</v>
      </c>
    </row>
    <row r="4184">
      <c r="A4184" s="544" t="n">
        <v>35066</v>
      </c>
      <c r="B4184" s="538" t="n">
        <v>18.95</v>
      </c>
      <c r="C4184" s="538" t="n">
        <v>19.83</v>
      </c>
      <c r="D4184" s="538" t="n">
        <v>17.23</v>
      </c>
      <c r="E4184" s="538" t="n">
        <v>31.75</v>
      </c>
    </row>
    <row r="4185">
      <c r="A4185" s="544" t="n">
        <v>35067</v>
      </c>
      <c r="B4185" s="538" t="n">
        <v>19.15</v>
      </c>
      <c r="C4185" s="538" t="n">
        <v>19.9</v>
      </c>
      <c r="D4185" s="538" t="n">
        <v>17.33</v>
      </c>
      <c r="E4185" s="538" t="n">
        <v>32.25</v>
      </c>
    </row>
    <row r="4186">
      <c r="A4186" s="544" t="n">
        <v>35068</v>
      </c>
      <c r="B4186" s="538" t="n">
        <v>19.13</v>
      </c>
      <c r="C4186" s="538" t="n">
        <v>19.96</v>
      </c>
      <c r="D4186" s="538" t="n">
        <v>17.78</v>
      </c>
      <c r="E4186" s="538" t="n">
        <v>32.95</v>
      </c>
    </row>
    <row r="4187">
      <c r="A4187" s="544" t="n">
        <v>35069</v>
      </c>
      <c r="B4187" s="538" t="n">
        <v>19.5</v>
      </c>
      <c r="C4187" s="538" t="n">
        <v>20.26</v>
      </c>
      <c r="D4187" s="538" t="n">
        <v>18.03</v>
      </c>
      <c r="E4187" s="538" t="n">
        <v>33.15</v>
      </c>
    </row>
    <row r="4188">
      <c r="A4188" s="544" t="n">
        <v>35072</v>
      </c>
      <c r="B4188" s="538" t="n">
        <v>19.68</v>
      </c>
      <c r="C4188" s="538" t="n">
        <v>20.5</v>
      </c>
      <c r="D4188" s="538" t="n">
        <v>18.03</v>
      </c>
      <c r="E4188" s="538" t="n">
        <v>33.35</v>
      </c>
    </row>
    <row r="4189">
      <c r="A4189" s="544" t="n">
        <v>35073</v>
      </c>
      <c r="B4189" s="538" t="n">
        <v>19.05</v>
      </c>
      <c r="C4189" s="538" t="n">
        <v>19.86</v>
      </c>
      <c r="D4189" s="538" t="n">
        <v>17.65</v>
      </c>
      <c r="E4189" s="538" t="n">
        <v>33.85</v>
      </c>
    </row>
    <row r="4190">
      <c r="A4190" s="544" t="n">
        <v>35074</v>
      </c>
      <c r="B4190" s="538" t="n">
        <v>18.48</v>
      </c>
      <c r="C4190" s="538" t="n">
        <v>19.66</v>
      </c>
      <c r="D4190" s="538" t="n">
        <v>17.23</v>
      </c>
      <c r="E4190" s="538" t="n">
        <v>33.75</v>
      </c>
    </row>
    <row r="4191">
      <c r="A4191" s="544" t="n">
        <v>35075</v>
      </c>
      <c r="B4191" s="538" t="n">
        <v>17.85</v>
      </c>
      <c r="C4191" s="538" t="n">
        <v>18.87</v>
      </c>
      <c r="D4191" s="538" t="n">
        <v>16.63</v>
      </c>
      <c r="E4191" s="538" t="n">
        <v>33.85</v>
      </c>
    </row>
    <row r="4192">
      <c r="A4192" s="544" t="n">
        <v>35076</v>
      </c>
      <c r="B4192" s="538" t="n">
        <v>17.58</v>
      </c>
      <c r="C4192" s="538" t="n">
        <v>18.28</v>
      </c>
      <c r="D4192" s="538" t="n">
        <v>16.25</v>
      </c>
      <c r="E4192" s="538" t="n">
        <v>32.85</v>
      </c>
    </row>
    <row r="4193">
      <c r="A4193" s="544" t="n">
        <v>35079</v>
      </c>
      <c r="B4193" s="538" t="n">
        <v>17.5</v>
      </c>
      <c r="C4193" s="538" t="n">
        <v>18.42</v>
      </c>
      <c r="D4193" s="538" t="n">
        <v>16.58</v>
      </c>
      <c r="E4193" s="538" t="n">
        <v>32.4</v>
      </c>
    </row>
    <row r="4194">
      <c r="A4194" s="544" t="n">
        <v>35080</v>
      </c>
      <c r="B4194" s="538" t="n">
        <v>17.73</v>
      </c>
      <c r="C4194" s="538" t="n">
        <v>18.12</v>
      </c>
      <c r="D4194" s="538" t="n">
        <v>16.4</v>
      </c>
      <c r="E4194" s="538" t="n">
        <v>32.5</v>
      </c>
    </row>
    <row r="4195">
      <c r="A4195" s="544" t="n">
        <v>35081</v>
      </c>
      <c r="B4195" s="538" t="n">
        <v>17.43</v>
      </c>
      <c r="C4195" s="538" t="n">
        <v>18.58</v>
      </c>
      <c r="D4195" s="538" t="n">
        <v>16.8</v>
      </c>
      <c r="E4195" s="538" t="n">
        <v>31.25</v>
      </c>
    </row>
    <row r="4196">
      <c r="A4196" s="544" t="n">
        <v>35082</v>
      </c>
      <c r="B4196" s="538" t="n">
        <v>17.88</v>
      </c>
      <c r="C4196" s="538" t="n">
        <v>19.12</v>
      </c>
      <c r="D4196" s="538" t="n">
        <v>16.92</v>
      </c>
      <c r="E4196" s="538" t="n">
        <v>31.25</v>
      </c>
    </row>
    <row r="4197">
      <c r="A4197" s="544" t="n">
        <v>35083</v>
      </c>
      <c r="B4197" s="538" t="n">
        <v>17.53</v>
      </c>
      <c r="C4197" s="538" t="n">
        <v>18.94</v>
      </c>
      <c r="D4197" s="538" t="n">
        <v>16.73</v>
      </c>
      <c r="E4197" s="538" t="n">
        <v>29.65</v>
      </c>
    </row>
    <row r="4198">
      <c r="A4198" s="544" t="n">
        <v>35086</v>
      </c>
      <c r="B4198" s="538" t="n">
        <v>17.53</v>
      </c>
      <c r="C4198" s="538" t="n">
        <v>18.49</v>
      </c>
      <c r="D4198" s="538" t="n">
        <v>16.45</v>
      </c>
      <c r="E4198" s="538" t="n">
        <v>28.75</v>
      </c>
    </row>
    <row r="4199">
      <c r="A4199" s="544" t="n">
        <v>35087</v>
      </c>
      <c r="B4199" s="538" t="n">
        <v>17.38</v>
      </c>
      <c r="C4199" s="538" t="n">
        <v>18.58</v>
      </c>
      <c r="D4199" s="538" t="n">
        <v>16.28</v>
      </c>
      <c r="E4199" s="538" t="n">
        <v>27.75</v>
      </c>
    </row>
    <row r="4200">
      <c r="A4200" s="544" t="n">
        <v>35088</v>
      </c>
      <c r="B4200" s="538" t="n">
        <v>17.33</v>
      </c>
      <c r="C4200" s="538" t="n">
        <v>18.95</v>
      </c>
      <c r="D4200" s="538" t="n">
        <v>16.48</v>
      </c>
      <c r="E4200" s="538" t="n">
        <v>27.55</v>
      </c>
    </row>
    <row r="4201">
      <c r="A4201" s="544" t="n">
        <v>35089</v>
      </c>
      <c r="B4201" s="538" t="n">
        <v>17</v>
      </c>
      <c r="C4201" s="538" t="n">
        <v>18.06</v>
      </c>
      <c r="D4201" s="538" t="n">
        <v>15.98</v>
      </c>
      <c r="E4201" s="538" t="n">
        <v>26.75</v>
      </c>
    </row>
    <row r="4202">
      <c r="A4202" s="544" t="n">
        <v>35090</v>
      </c>
      <c r="B4202" s="538" t="n">
        <v>16.7</v>
      </c>
      <c r="C4202" s="538" t="n">
        <v>17.68</v>
      </c>
      <c r="D4202" s="538" t="n">
        <v>15.73</v>
      </c>
      <c r="E4202" s="538" t="n">
        <v>26.35</v>
      </c>
    </row>
    <row r="4203">
      <c r="A4203" s="544" t="n">
        <v>35093</v>
      </c>
      <c r="B4203" s="538" t="n">
        <v>16.23</v>
      </c>
      <c r="C4203" s="538" t="n">
        <v>17.33</v>
      </c>
      <c r="D4203" s="538" t="n">
        <v>15.43</v>
      </c>
      <c r="E4203" s="538" t="n">
        <v>26.85</v>
      </c>
    </row>
    <row r="4204">
      <c r="A4204" s="544" t="n">
        <v>35094</v>
      </c>
      <c r="B4204" s="538" t="n">
        <v>16.53</v>
      </c>
      <c r="C4204" s="538" t="n">
        <v>17.65</v>
      </c>
      <c r="D4204" s="538" t="n">
        <v>15.53</v>
      </c>
      <c r="E4204" s="538" t="n">
        <v>27.15</v>
      </c>
    </row>
    <row r="4205">
      <c r="A4205" s="544" t="n">
        <v>35095</v>
      </c>
      <c r="B4205" s="538" t="n">
        <v>16.63</v>
      </c>
      <c r="C4205" s="538" t="n">
        <v>17.76</v>
      </c>
      <c r="D4205" s="538" t="n">
        <v>15.7</v>
      </c>
      <c r="E4205" s="538" t="n">
        <v>28.15</v>
      </c>
    </row>
    <row r="4206">
      <c r="A4206" s="544" t="n">
        <v>35096</v>
      </c>
      <c r="B4206" s="538" t="n">
        <v>16.78</v>
      </c>
      <c r="C4206" s="538" t="n">
        <v>17.63</v>
      </c>
      <c r="D4206" s="538" t="n">
        <v>15.78</v>
      </c>
      <c r="E4206" s="538" t="n">
        <v>28.35</v>
      </c>
    </row>
    <row r="4207">
      <c r="A4207" s="544" t="n">
        <v>35097</v>
      </c>
      <c r="B4207" s="538" t="n">
        <v>17.05</v>
      </c>
      <c r="C4207" s="538" t="n">
        <v>17.83</v>
      </c>
      <c r="D4207" s="538" t="n">
        <v>15.78</v>
      </c>
      <c r="E4207" s="538" t="n">
        <v>27.75</v>
      </c>
    </row>
    <row r="4208">
      <c r="A4208" s="544" t="n">
        <v>35100</v>
      </c>
      <c r="B4208" s="538" t="n">
        <v>16.93</v>
      </c>
      <c r="C4208" s="538" t="n">
        <v>17.53</v>
      </c>
      <c r="D4208" s="538" t="n">
        <v>15.48</v>
      </c>
      <c r="E4208" s="538" t="n">
        <v>27.85</v>
      </c>
    </row>
    <row r="4209">
      <c r="A4209" s="544" t="n">
        <v>35101</v>
      </c>
      <c r="B4209" s="538" t="n">
        <v>16.83</v>
      </c>
      <c r="C4209" s="538" t="n">
        <v>17.74</v>
      </c>
      <c r="D4209" s="538" t="n">
        <v>15.58</v>
      </c>
      <c r="E4209" s="538" t="n">
        <v>27.85</v>
      </c>
    </row>
    <row r="4210">
      <c r="A4210" s="544" t="n">
        <v>35102</v>
      </c>
      <c r="B4210" s="538" t="n">
        <v>16.93</v>
      </c>
      <c r="C4210" s="538" t="n">
        <v>17.71</v>
      </c>
      <c r="D4210" s="538" t="n">
        <v>15.53</v>
      </c>
      <c r="E4210" s="538" t="n">
        <v>28.1</v>
      </c>
    </row>
    <row r="4211">
      <c r="A4211" s="544" t="n">
        <v>35103</v>
      </c>
      <c r="B4211" s="538" t="n">
        <v>17.05</v>
      </c>
      <c r="C4211" s="538" t="n">
        <v>17.79</v>
      </c>
      <c r="D4211" s="538" t="n">
        <v>15.65</v>
      </c>
      <c r="E4211" s="538" t="n">
        <v>28.1</v>
      </c>
    </row>
    <row r="4212">
      <c r="A4212" s="544" t="n">
        <v>35104</v>
      </c>
      <c r="B4212" s="538" t="n">
        <v>17.23</v>
      </c>
      <c r="C4212" s="538" t="n">
        <v>17.83</v>
      </c>
      <c r="D4212" s="538" t="n">
        <v>15.43</v>
      </c>
      <c r="E4212" s="538" t="n">
        <v>28.25</v>
      </c>
    </row>
    <row r="4213">
      <c r="A4213" s="544" t="n">
        <v>35107</v>
      </c>
      <c r="B4213" s="538" t="n">
        <v>17.18</v>
      </c>
      <c r="C4213" s="538" t="n">
        <v>18.01</v>
      </c>
      <c r="D4213" s="538" t="n">
        <v>15.58</v>
      </c>
      <c r="E4213" s="538" t="n">
        <v>28.35</v>
      </c>
    </row>
    <row r="4214">
      <c r="A4214" s="544" t="n">
        <v>35108</v>
      </c>
      <c r="B4214" s="538" t="n">
        <v>18.08</v>
      </c>
      <c r="C4214" s="538" t="n">
        <v>18.96</v>
      </c>
      <c r="D4214" s="538" t="n">
        <v>16.23</v>
      </c>
      <c r="E4214" s="538" t="n">
        <v>26.65</v>
      </c>
    </row>
    <row r="4215">
      <c r="A4215" s="544" t="n">
        <v>35109</v>
      </c>
      <c r="B4215" s="538" t="n">
        <v>18.28</v>
      </c>
      <c r="C4215" s="538" t="n">
        <v>18.86</v>
      </c>
      <c r="D4215" s="538" t="n">
        <v>16.08</v>
      </c>
      <c r="E4215" s="538" t="n">
        <v>26.95</v>
      </c>
    </row>
    <row r="4216">
      <c r="A4216" s="544" t="n">
        <v>35110</v>
      </c>
      <c r="B4216" s="538" t="n">
        <v>18.18</v>
      </c>
      <c r="C4216" s="538" t="n">
        <v>19.02</v>
      </c>
      <c r="D4216" s="538" t="n">
        <v>15.88</v>
      </c>
      <c r="E4216" s="538" t="n">
        <v>27.25</v>
      </c>
    </row>
    <row r="4217">
      <c r="A4217" s="544" t="n">
        <v>35111</v>
      </c>
      <c r="B4217" s="538" t="n">
        <v>18.2</v>
      </c>
      <c r="C4217" s="538" t="n">
        <v>19.16</v>
      </c>
      <c r="D4217" s="538" t="n">
        <v>15.88</v>
      </c>
      <c r="E4217" s="538" t="n">
        <v>27.55</v>
      </c>
    </row>
    <row r="4218">
      <c r="A4218" s="544" t="n">
        <v>35114</v>
      </c>
      <c r="B4218" s="538" t="n">
        <v>18.2</v>
      </c>
      <c r="C4218" s="538" t="n">
        <v>19.16</v>
      </c>
      <c r="D4218" s="538" t="n">
        <v>15.88</v>
      </c>
      <c r="E4218" s="538" t="n">
        <v>27.55</v>
      </c>
    </row>
    <row r="4219">
      <c r="A4219" s="544" t="n">
        <v>35115</v>
      </c>
      <c r="B4219" s="538" t="n">
        <v>18.58</v>
      </c>
      <c r="C4219" s="538" t="n">
        <v>21.07</v>
      </c>
      <c r="D4219" s="538" t="n">
        <v>16.28</v>
      </c>
      <c r="E4219" s="538" t="n">
        <v>27.55</v>
      </c>
    </row>
    <row r="4220">
      <c r="A4220" s="544" t="n">
        <v>35116</v>
      </c>
      <c r="B4220" s="538" t="n">
        <v>19.05</v>
      </c>
      <c r="C4220" s="538" t="n">
        <v>21.63</v>
      </c>
      <c r="D4220" s="538" t="n">
        <v>16.92</v>
      </c>
      <c r="E4220" s="538" t="n">
        <v>27.55</v>
      </c>
    </row>
    <row r="4221">
      <c r="A4221" s="544" t="n">
        <v>35117</v>
      </c>
      <c r="B4221" s="538" t="n">
        <v>19.28</v>
      </c>
      <c r="C4221" s="538" t="n">
        <v>22.14</v>
      </c>
      <c r="D4221" s="538" t="n">
        <v>16.78</v>
      </c>
      <c r="E4221" s="538" t="n">
        <v>28.85</v>
      </c>
    </row>
    <row r="4222">
      <c r="A4222" s="544" t="n">
        <v>35118</v>
      </c>
      <c r="B4222" s="538" t="n">
        <v>18.85</v>
      </c>
      <c r="C4222" s="538" t="n">
        <v>20.97</v>
      </c>
      <c r="D4222" s="538" t="n">
        <v>16.08</v>
      </c>
      <c r="E4222" s="538" t="n">
        <v>29.3</v>
      </c>
    </row>
    <row r="4223">
      <c r="A4223" s="544" t="n">
        <v>35121</v>
      </c>
      <c r="B4223" s="538" t="n">
        <v>18.85</v>
      </c>
      <c r="C4223" s="538" t="n">
        <v>19.45</v>
      </c>
      <c r="D4223" s="538" t="n">
        <v>16.38</v>
      </c>
      <c r="E4223" s="538" t="n">
        <v>29.3</v>
      </c>
    </row>
    <row r="4224">
      <c r="A4224" s="544" t="n">
        <v>35122</v>
      </c>
      <c r="B4224" s="538" t="n">
        <v>19</v>
      </c>
      <c r="C4224" s="538" t="n">
        <v>19.65</v>
      </c>
      <c r="D4224" s="538" t="n">
        <v>16.48</v>
      </c>
      <c r="E4224" s="538" t="n">
        <v>29.65</v>
      </c>
    </row>
    <row r="4225">
      <c r="A4225" s="544" t="n">
        <v>35123</v>
      </c>
      <c r="B4225" s="538" t="n">
        <v>18.65</v>
      </c>
      <c r="C4225" s="538" t="n">
        <v>19.3</v>
      </c>
      <c r="D4225" s="538" t="n">
        <v>16.23</v>
      </c>
      <c r="E4225" s="538" t="n">
        <v>29.8</v>
      </c>
    </row>
    <row r="4226">
      <c r="A4226" s="544" t="n">
        <v>35124</v>
      </c>
      <c r="B4226" s="538" t="n">
        <v>18.8</v>
      </c>
      <c r="C4226" s="538" t="n">
        <v>19.59</v>
      </c>
      <c r="D4226" s="538" t="n">
        <v>16.28</v>
      </c>
      <c r="E4226" s="538" t="n">
        <v>29.65</v>
      </c>
    </row>
    <row r="4227">
      <c r="A4227" s="544" t="n">
        <v>35125</v>
      </c>
      <c r="B4227" s="538" t="n">
        <v>18.55</v>
      </c>
      <c r="C4227" s="538" t="n">
        <v>19.45</v>
      </c>
      <c r="D4227" s="538" t="n">
        <v>16.28</v>
      </c>
      <c r="E4227" s="538" t="n">
        <v>29.7</v>
      </c>
    </row>
    <row r="4228">
      <c r="A4228" s="544" t="n">
        <v>35128</v>
      </c>
      <c r="B4228" s="538" t="n">
        <v>18.4</v>
      </c>
      <c r="C4228" s="538" t="n">
        <v>19.24</v>
      </c>
      <c r="D4228" s="538" t="n">
        <v>16.13</v>
      </c>
      <c r="E4228" s="538" t="n">
        <v>29.4</v>
      </c>
    </row>
    <row r="4229">
      <c r="A4229" s="544" t="n">
        <v>35129</v>
      </c>
      <c r="B4229" s="538" t="n">
        <v>18.75</v>
      </c>
      <c r="C4229" s="538" t="n">
        <v>19.65</v>
      </c>
      <c r="D4229" s="538" t="n">
        <v>16.65</v>
      </c>
      <c r="E4229" s="538" t="n">
        <v>27.75</v>
      </c>
    </row>
    <row r="4230">
      <c r="A4230" s="544" t="n">
        <v>35130</v>
      </c>
      <c r="B4230" s="538" t="n">
        <v>19.18</v>
      </c>
      <c r="C4230" s="538" t="n">
        <v>20.16</v>
      </c>
      <c r="D4230" s="538" t="n">
        <v>17</v>
      </c>
      <c r="E4230" s="538" t="n">
        <v>28.1</v>
      </c>
    </row>
    <row r="4231">
      <c r="A4231" s="544" t="n">
        <v>35131</v>
      </c>
      <c r="B4231" s="538" t="n">
        <v>19.03</v>
      </c>
      <c r="C4231" s="538" t="n">
        <v>19.87</v>
      </c>
      <c r="D4231" s="538" t="n">
        <v>17.03</v>
      </c>
      <c r="E4231" s="538" t="n">
        <v>29</v>
      </c>
    </row>
    <row r="4232">
      <c r="A4232" s="544" t="n">
        <v>35132</v>
      </c>
      <c r="B4232" s="538" t="n">
        <v>18.85</v>
      </c>
      <c r="C4232" s="538" t="n">
        <v>19.66</v>
      </c>
      <c r="D4232" s="538" t="n">
        <v>16.42</v>
      </c>
      <c r="E4232" s="538" t="n">
        <v>29</v>
      </c>
    </row>
    <row r="4233">
      <c r="A4233" s="544" t="n">
        <v>35135</v>
      </c>
      <c r="B4233" s="538" t="n">
        <v>18.93</v>
      </c>
      <c r="C4233" s="538" t="n">
        <v>19.92</v>
      </c>
      <c r="D4233" s="538" t="n">
        <v>16.67</v>
      </c>
      <c r="E4233" s="538" t="n">
        <v>28.5</v>
      </c>
    </row>
    <row r="4234">
      <c r="A4234" s="544" t="n">
        <v>35136</v>
      </c>
      <c r="B4234" s="538" t="n">
        <v>19.3</v>
      </c>
      <c r="C4234" s="538" t="n">
        <v>20.42</v>
      </c>
      <c r="D4234" s="538" t="n">
        <v>17.13</v>
      </c>
      <c r="E4234" s="538" t="n">
        <v>28.5</v>
      </c>
    </row>
    <row r="4235">
      <c r="A4235" s="544" t="n">
        <v>35137</v>
      </c>
      <c r="B4235" s="538" t="n">
        <v>19.58</v>
      </c>
      <c r="C4235" s="538" t="n">
        <v>20.49</v>
      </c>
      <c r="D4235" s="538" t="n">
        <v>17.28</v>
      </c>
      <c r="E4235" s="538" t="n">
        <v>28.5</v>
      </c>
    </row>
    <row r="4236">
      <c r="A4236" s="544" t="n">
        <v>35138</v>
      </c>
      <c r="B4236" s="538" t="n">
        <v>19.4</v>
      </c>
      <c r="C4236" s="538" t="n">
        <v>21.18</v>
      </c>
      <c r="D4236" s="538" t="n">
        <v>18.5</v>
      </c>
      <c r="E4236" s="538" t="n">
        <v>28.5</v>
      </c>
    </row>
    <row r="4237">
      <c r="A4237" s="544" t="n">
        <v>35139</v>
      </c>
      <c r="B4237" s="538" t="n">
        <v>19.3</v>
      </c>
      <c r="C4237" s="538" t="n">
        <v>21.99</v>
      </c>
      <c r="D4237" s="538" t="n">
        <v>18.05</v>
      </c>
      <c r="E4237" s="538" t="n">
        <v>26.85</v>
      </c>
    </row>
    <row r="4238">
      <c r="A4238" s="544" t="n">
        <v>35142</v>
      </c>
      <c r="B4238" s="538" t="n">
        <v>20.5</v>
      </c>
      <c r="C4238" s="538" t="n">
        <v>23.23</v>
      </c>
      <c r="D4238" s="538" t="n">
        <v>17.65</v>
      </c>
      <c r="E4238" s="538" t="n">
        <v>26.9</v>
      </c>
    </row>
    <row r="4239">
      <c r="A4239" s="544" t="n">
        <v>35143</v>
      </c>
      <c r="B4239" s="538" t="n">
        <v>20.35</v>
      </c>
      <c r="C4239" s="538" t="n">
        <v>24.56</v>
      </c>
      <c r="D4239" s="538" t="n">
        <v>17.23</v>
      </c>
      <c r="E4239" s="538" t="n">
        <v>26.95</v>
      </c>
    </row>
    <row r="4240">
      <c r="A4240" s="544" t="n">
        <v>35144</v>
      </c>
      <c r="B4240" s="538" t="n">
        <v>20.38</v>
      </c>
      <c r="C4240" s="538" t="n">
        <v>22.74</v>
      </c>
      <c r="D4240" s="538" t="n">
        <v>16.92</v>
      </c>
      <c r="E4240" s="538" t="n">
        <v>27.35</v>
      </c>
    </row>
    <row r="4241">
      <c r="A4241" s="544" t="n">
        <v>35145</v>
      </c>
      <c r="B4241" s="538" t="n">
        <v>20.35</v>
      </c>
      <c r="C4241" s="538" t="n">
        <v>22.44</v>
      </c>
      <c r="D4241" s="538" t="n">
        <v>17.23</v>
      </c>
      <c r="E4241" s="538" t="n">
        <v>27.45</v>
      </c>
    </row>
    <row r="4242">
      <c r="A4242" s="544" t="n">
        <v>35146</v>
      </c>
      <c r="B4242" s="538" t="n">
        <v>21.15</v>
      </c>
      <c r="C4242" s="538" t="n">
        <v>22.85</v>
      </c>
      <c r="D4242" s="538" t="n">
        <v>17.73</v>
      </c>
      <c r="E4242" s="538" t="n">
        <v>27.45</v>
      </c>
    </row>
    <row r="4243">
      <c r="A4243" s="544" t="n">
        <v>35149</v>
      </c>
      <c r="B4243" s="538" t="n">
        <v>21.3</v>
      </c>
      <c r="C4243" s="538" t="n">
        <v>23.23</v>
      </c>
      <c r="D4243" s="538" t="n">
        <v>18.08</v>
      </c>
      <c r="E4243" s="538" t="n">
        <v>26.7</v>
      </c>
    </row>
    <row r="4244">
      <c r="A4244" s="544" t="n">
        <v>35150</v>
      </c>
      <c r="B4244" s="538" t="n">
        <v>21.68</v>
      </c>
      <c r="C4244" s="538" t="n">
        <v>22.38</v>
      </c>
      <c r="D4244" s="538" t="n">
        <v>17.73</v>
      </c>
      <c r="E4244" s="538" t="n">
        <v>26.53</v>
      </c>
    </row>
    <row r="4245">
      <c r="A4245" s="544" t="n">
        <v>35151</v>
      </c>
      <c r="B4245" s="538" t="n">
        <v>21.33</v>
      </c>
      <c r="C4245" s="538" t="n">
        <v>21.64</v>
      </c>
      <c r="D4245" s="538" t="n">
        <v>17.33</v>
      </c>
      <c r="E4245" s="538" t="n">
        <v>26.3</v>
      </c>
    </row>
    <row r="4246">
      <c r="A4246" s="544" t="n">
        <v>35152</v>
      </c>
      <c r="B4246" s="538" t="n">
        <v>20.25</v>
      </c>
      <c r="C4246" s="538" t="n">
        <v>21.45</v>
      </c>
      <c r="D4246" s="538" t="n">
        <v>17.28</v>
      </c>
      <c r="E4246" s="538" t="n">
        <v>25.63</v>
      </c>
    </row>
    <row r="4247">
      <c r="A4247" s="544" t="n">
        <v>35153</v>
      </c>
      <c r="B4247" s="538" t="n">
        <v>20.33</v>
      </c>
      <c r="C4247" s="538" t="n">
        <v>21.43</v>
      </c>
      <c r="D4247" s="538" t="n">
        <v>17.73</v>
      </c>
      <c r="E4247" s="538" t="n">
        <v>25.33</v>
      </c>
    </row>
    <row r="4248">
      <c r="A4248" s="544" t="n">
        <v>35156</v>
      </c>
      <c r="B4248" s="538" t="n">
        <v>20.8</v>
      </c>
      <c r="C4248" s="538" t="n">
        <v>22.29</v>
      </c>
      <c r="D4248" s="538" t="n">
        <v>18.17</v>
      </c>
      <c r="E4248" s="538" t="n">
        <v>25.13</v>
      </c>
    </row>
    <row r="4249">
      <c r="A4249" s="544" t="n">
        <v>35157</v>
      </c>
      <c r="B4249" s="538" t="n">
        <v>21.18</v>
      </c>
      <c r="C4249" s="538" t="n">
        <v>22.68</v>
      </c>
      <c r="D4249" s="538" t="n">
        <v>17.98</v>
      </c>
      <c r="E4249" s="538" t="n">
        <v>25.35</v>
      </c>
    </row>
    <row r="4250">
      <c r="A4250" s="544" t="n">
        <v>35158</v>
      </c>
      <c r="B4250" s="538" t="n">
        <v>20.93</v>
      </c>
      <c r="C4250" s="538" t="n">
        <v>22.22</v>
      </c>
      <c r="D4250" s="538" t="n">
        <v>17.73</v>
      </c>
      <c r="E4250" s="538" t="n">
        <v>25.25</v>
      </c>
    </row>
    <row r="4251">
      <c r="A4251" s="544" t="n">
        <v>35159</v>
      </c>
      <c r="B4251" s="538" t="n">
        <v>20.85</v>
      </c>
      <c r="C4251" s="538" t="n">
        <v>22.75</v>
      </c>
      <c r="D4251" s="538" t="n">
        <v>18.15</v>
      </c>
      <c r="E4251" s="538" t="n">
        <v>26.15</v>
      </c>
    </row>
    <row r="4252">
      <c r="A4252" s="544" t="n">
        <v>35160</v>
      </c>
      <c r="B4252" s="538" t="n">
        <v>20.85</v>
      </c>
      <c r="C4252" s="538" t="n">
        <v>22.75</v>
      </c>
      <c r="D4252" s="538" t="n">
        <v>18.15</v>
      </c>
      <c r="E4252" s="538" t="n">
        <v>26.15</v>
      </c>
    </row>
    <row r="4253">
      <c r="A4253" s="544" t="n">
        <v>35163</v>
      </c>
      <c r="B4253" s="538" t="n">
        <v>20.85</v>
      </c>
      <c r="C4253" s="538" t="n">
        <v>23.01</v>
      </c>
      <c r="D4253" s="538" t="n">
        <v>18.25</v>
      </c>
      <c r="E4253" s="538" t="n">
        <v>26.15</v>
      </c>
    </row>
    <row r="4254">
      <c r="A4254" s="544" t="n">
        <v>35164</v>
      </c>
      <c r="B4254" s="538" t="n">
        <v>21.43</v>
      </c>
      <c r="C4254" s="538" t="n">
        <v>23.23</v>
      </c>
      <c r="D4254" s="538" t="n">
        <v>17.7</v>
      </c>
      <c r="E4254" s="538" t="n">
        <v>27.1</v>
      </c>
    </row>
    <row r="4255">
      <c r="A4255" s="544" t="n">
        <v>35165</v>
      </c>
      <c r="B4255" s="538" t="n">
        <v>22.63</v>
      </c>
      <c r="C4255" s="538" t="n">
        <v>24.08</v>
      </c>
      <c r="D4255" s="538" t="n">
        <v>18.63</v>
      </c>
      <c r="E4255" s="538" t="n">
        <v>26.9</v>
      </c>
    </row>
    <row r="4256">
      <c r="A4256" s="544" t="n">
        <v>35166</v>
      </c>
      <c r="B4256" s="538" t="n">
        <v>23.9</v>
      </c>
      <c r="C4256" s="538" t="n">
        <v>25.15</v>
      </c>
      <c r="D4256" s="538" t="n">
        <v>18.63</v>
      </c>
      <c r="E4256" s="538" t="n">
        <v>26.9</v>
      </c>
    </row>
    <row r="4257">
      <c r="A4257" s="544" t="n">
        <v>35167</v>
      </c>
      <c r="B4257" s="538" t="n">
        <v>22.73</v>
      </c>
      <c r="C4257" s="538" t="n">
        <v>24.29</v>
      </c>
      <c r="D4257" s="538" t="n">
        <v>17.55</v>
      </c>
      <c r="E4257" s="538" t="n">
        <v>27.2</v>
      </c>
    </row>
    <row r="4258">
      <c r="A4258" s="544" t="n">
        <v>35170</v>
      </c>
      <c r="B4258" s="538" t="n">
        <v>22.68</v>
      </c>
      <c r="C4258" s="538" t="n">
        <v>25.13</v>
      </c>
      <c r="D4258" s="538" t="n">
        <v>17.98</v>
      </c>
      <c r="E4258" s="538" t="n">
        <v>27</v>
      </c>
    </row>
    <row r="4259">
      <c r="A4259" s="544" t="n">
        <v>35171</v>
      </c>
      <c r="B4259" s="538" t="n">
        <v>21.2</v>
      </c>
      <c r="C4259" s="538" t="n">
        <v>24.48</v>
      </c>
      <c r="D4259" s="538" t="n">
        <v>17.3</v>
      </c>
      <c r="E4259" s="538" t="n">
        <v>26.9</v>
      </c>
    </row>
    <row r="4260">
      <c r="A4260" s="544" t="n">
        <v>35172</v>
      </c>
      <c r="B4260" s="538" t="n">
        <v>19.88</v>
      </c>
      <c r="C4260" s="538" t="n">
        <v>24.67</v>
      </c>
      <c r="D4260" s="538" t="n">
        <v>17.28</v>
      </c>
      <c r="E4260" s="538" t="n">
        <v>26.5</v>
      </c>
    </row>
    <row r="4261">
      <c r="A4261" s="544" t="n">
        <v>35173</v>
      </c>
      <c r="B4261" s="538" t="n">
        <v>19.33</v>
      </c>
      <c r="C4261" s="538" t="n">
        <v>23.47</v>
      </c>
      <c r="D4261" s="538" t="n">
        <v>16.48</v>
      </c>
      <c r="E4261" s="538" t="n">
        <v>26</v>
      </c>
    </row>
    <row r="4262">
      <c r="A4262" s="544" t="n">
        <v>35174</v>
      </c>
      <c r="B4262" s="538" t="n">
        <v>19.53</v>
      </c>
      <c r="C4262" s="538" t="n">
        <v>23.96</v>
      </c>
      <c r="D4262" s="538" t="n">
        <v>16.92</v>
      </c>
      <c r="E4262" s="538" t="n">
        <v>25.75</v>
      </c>
    </row>
    <row r="4263">
      <c r="A4263" s="544" t="n">
        <v>35177</v>
      </c>
      <c r="B4263" s="538" t="n">
        <v>19.38</v>
      </c>
      <c r="C4263" s="538" t="n">
        <v>23.94</v>
      </c>
      <c r="D4263" s="538" t="n">
        <v>17.5</v>
      </c>
      <c r="E4263" s="538" t="n">
        <v>25.8</v>
      </c>
    </row>
    <row r="4264">
      <c r="A4264" s="544" t="n">
        <v>35178</v>
      </c>
      <c r="B4264" s="538" t="n">
        <v>20.88</v>
      </c>
      <c r="C4264" s="538" t="n">
        <v>24.39</v>
      </c>
      <c r="D4264" s="538" t="n">
        <v>18.38</v>
      </c>
      <c r="E4264" s="538" t="n">
        <v>26.3</v>
      </c>
    </row>
    <row r="4265">
      <c r="A4265" s="544" t="n">
        <v>35179</v>
      </c>
      <c r="B4265" s="538" t="n">
        <v>20.73</v>
      </c>
      <c r="C4265" s="538" t="n">
        <v>24</v>
      </c>
      <c r="D4265" s="538" t="n">
        <v>17.67</v>
      </c>
      <c r="E4265" s="538" t="n">
        <v>26.5</v>
      </c>
    </row>
    <row r="4266">
      <c r="A4266" s="544" t="n">
        <v>35180</v>
      </c>
      <c r="B4266" s="538" t="n">
        <v>20.35</v>
      </c>
      <c r="C4266" s="538" t="n">
        <v>24.35</v>
      </c>
      <c r="D4266" s="538" t="n">
        <v>17.58</v>
      </c>
      <c r="E4266" s="538" t="n">
        <v>26.3</v>
      </c>
    </row>
    <row r="4267">
      <c r="A4267" s="544" t="n">
        <v>35181</v>
      </c>
      <c r="B4267" s="538" t="n">
        <v>20.05</v>
      </c>
      <c r="C4267" s="538" t="n">
        <v>22.33</v>
      </c>
      <c r="D4267" s="538" t="n">
        <v>17.6</v>
      </c>
      <c r="E4267" s="538" t="n">
        <v>26.3</v>
      </c>
    </row>
    <row r="4268">
      <c r="A4268" s="544" t="n">
        <v>35184</v>
      </c>
      <c r="B4268" s="538" t="n">
        <v>20.05</v>
      </c>
      <c r="C4268" s="538" t="n">
        <v>22.07</v>
      </c>
      <c r="D4268" s="538" t="n">
        <v>17.65</v>
      </c>
      <c r="E4268" s="538" t="n">
        <v>26.3</v>
      </c>
    </row>
    <row r="4269">
      <c r="A4269" s="544" t="n">
        <v>35185</v>
      </c>
      <c r="B4269" s="538" t="n">
        <v>19.5</v>
      </c>
      <c r="C4269" s="538" t="n">
        <v>20.95</v>
      </c>
      <c r="D4269" s="538" t="n">
        <v>16.83</v>
      </c>
      <c r="E4269" s="538" t="n">
        <v>25.6</v>
      </c>
    </row>
    <row r="4270">
      <c r="A4270" s="544" t="n">
        <v>35186</v>
      </c>
      <c r="B4270" s="538" t="n">
        <v>18.95</v>
      </c>
      <c r="C4270" s="538" t="n">
        <v>20.81</v>
      </c>
      <c r="D4270" s="538" t="n">
        <v>16.83</v>
      </c>
      <c r="E4270" s="538" t="n">
        <v>25.6</v>
      </c>
    </row>
    <row r="4271">
      <c r="A4271" s="544" t="n">
        <v>35187</v>
      </c>
      <c r="B4271" s="538" t="n">
        <v>19.45</v>
      </c>
      <c r="C4271" s="538" t="n">
        <v>20.78</v>
      </c>
      <c r="D4271" s="538" t="n">
        <v>16.92</v>
      </c>
      <c r="E4271" s="538" t="n">
        <v>25.6</v>
      </c>
    </row>
    <row r="4272">
      <c r="A4272" s="544" t="n">
        <v>35188</v>
      </c>
      <c r="B4272" s="538" t="n">
        <v>19.38</v>
      </c>
      <c r="C4272" s="538" t="n">
        <v>21.19</v>
      </c>
      <c r="D4272" s="538" t="n">
        <v>17.38</v>
      </c>
      <c r="E4272" s="538" t="n">
        <v>25.4</v>
      </c>
    </row>
    <row r="4273">
      <c r="A4273" s="544" t="n">
        <v>35191</v>
      </c>
      <c r="B4273" s="538" t="n">
        <v>19.38</v>
      </c>
      <c r="C4273" s="538" t="n">
        <v>21.06</v>
      </c>
      <c r="D4273" s="538" t="n">
        <v>17.23</v>
      </c>
      <c r="E4273" s="538" t="n">
        <v>25.5</v>
      </c>
    </row>
    <row r="4274">
      <c r="A4274" s="544" t="n">
        <v>35192</v>
      </c>
      <c r="B4274" s="538" t="n">
        <v>20.08</v>
      </c>
      <c r="C4274" s="538" t="n">
        <v>21.07</v>
      </c>
      <c r="D4274" s="538" t="n">
        <v>17.48</v>
      </c>
      <c r="E4274" s="538" t="n">
        <v>25.75</v>
      </c>
    </row>
    <row r="4275">
      <c r="A4275" s="544" t="n">
        <v>35193</v>
      </c>
      <c r="B4275" s="538" t="n">
        <v>19.85</v>
      </c>
      <c r="C4275" s="538" t="n">
        <v>21.13</v>
      </c>
      <c r="D4275" s="538" t="n">
        <v>17.08</v>
      </c>
      <c r="E4275" s="538" t="n">
        <v>26</v>
      </c>
    </row>
    <row r="4276">
      <c r="A4276" s="544" t="n">
        <v>35194</v>
      </c>
      <c r="B4276" s="538" t="n">
        <v>19.35</v>
      </c>
      <c r="C4276" s="538" t="n">
        <v>20.65</v>
      </c>
      <c r="D4276" s="538" t="n">
        <v>16.38</v>
      </c>
      <c r="E4276" s="538" t="n">
        <v>26</v>
      </c>
    </row>
    <row r="4277">
      <c r="A4277" s="544" t="n">
        <v>35195</v>
      </c>
      <c r="B4277" s="538" t="n">
        <v>19.23</v>
      </c>
      <c r="C4277" s="538" t="n">
        <v>21.01</v>
      </c>
      <c r="D4277" s="538" t="n">
        <v>16.88</v>
      </c>
      <c r="E4277" s="538" t="n">
        <v>26.2</v>
      </c>
    </row>
    <row r="4278">
      <c r="A4278" s="544" t="n">
        <v>35198</v>
      </c>
      <c r="B4278" s="538" t="n">
        <v>19.48</v>
      </c>
      <c r="C4278" s="538" t="n">
        <v>21.23</v>
      </c>
      <c r="D4278" s="538" t="n">
        <v>16.98</v>
      </c>
      <c r="E4278" s="538" t="n">
        <v>26.65</v>
      </c>
    </row>
    <row r="4279">
      <c r="A4279" s="544" t="n">
        <v>35199</v>
      </c>
      <c r="B4279" s="538" t="n">
        <v>19.63</v>
      </c>
      <c r="C4279" s="538" t="n">
        <v>21.35</v>
      </c>
      <c r="D4279" s="538" t="n">
        <v>17.03</v>
      </c>
      <c r="E4279" s="538" t="n">
        <v>26.3</v>
      </c>
    </row>
    <row r="4280">
      <c r="A4280" s="544" t="n">
        <v>35200</v>
      </c>
      <c r="B4280" s="538" t="n">
        <v>19.5</v>
      </c>
      <c r="C4280" s="538" t="n">
        <v>21.28</v>
      </c>
      <c r="D4280" s="538" t="n">
        <v>16.88</v>
      </c>
      <c r="E4280" s="538" t="n">
        <v>26.1</v>
      </c>
    </row>
    <row r="4281">
      <c r="A4281" s="544" t="n">
        <v>35201</v>
      </c>
      <c r="B4281" s="538" t="n">
        <v>18.63</v>
      </c>
      <c r="C4281" s="538" t="n">
        <v>20.79</v>
      </c>
      <c r="D4281" s="538" t="n">
        <v>16.23</v>
      </c>
      <c r="E4281" s="538" t="n">
        <v>26</v>
      </c>
    </row>
    <row r="4282">
      <c r="A4282" s="544" t="n">
        <v>35202</v>
      </c>
      <c r="B4282" s="538" t="n">
        <v>18.05</v>
      </c>
      <c r="C4282" s="538" t="n">
        <v>20.64</v>
      </c>
      <c r="D4282" s="538" t="n">
        <v>16.03</v>
      </c>
      <c r="E4282" s="538" t="n">
        <v>25.6</v>
      </c>
    </row>
    <row r="4283">
      <c r="A4283" s="544" t="n">
        <v>35205</v>
      </c>
      <c r="B4283" s="538" t="n">
        <v>18.63</v>
      </c>
      <c r="C4283" s="538" t="n">
        <v>22.28</v>
      </c>
      <c r="D4283" s="538" t="n">
        <v>17.13</v>
      </c>
      <c r="E4283" s="538" t="n">
        <v>25.4</v>
      </c>
    </row>
    <row r="4284">
      <c r="A4284" s="544" t="n">
        <v>35206</v>
      </c>
      <c r="B4284" s="538" t="n">
        <v>18.7</v>
      </c>
      <c r="C4284" s="538" t="n">
        <v>21.95</v>
      </c>
      <c r="D4284" s="538" t="n">
        <v>16.9</v>
      </c>
      <c r="E4284" s="538" t="n">
        <v>25.9</v>
      </c>
    </row>
    <row r="4285">
      <c r="A4285" s="544" t="n">
        <v>35207</v>
      </c>
      <c r="B4285" s="538" t="n">
        <v>19.4</v>
      </c>
      <c r="C4285" s="538" t="n">
        <v>23.02</v>
      </c>
      <c r="D4285" s="538" t="n">
        <v>17.38</v>
      </c>
      <c r="E4285" s="538" t="n">
        <v>25.9</v>
      </c>
    </row>
    <row r="4286">
      <c r="A4286" s="544" t="n">
        <v>35208</v>
      </c>
      <c r="B4286" s="538" t="n">
        <v>19.53</v>
      </c>
      <c r="C4286" s="538" t="n">
        <v>22.35</v>
      </c>
      <c r="D4286" s="538" t="n">
        <v>17.2</v>
      </c>
      <c r="E4286" s="538" t="n">
        <v>26.1</v>
      </c>
    </row>
    <row r="4287">
      <c r="A4287" s="544" t="n">
        <v>35209</v>
      </c>
      <c r="B4287" s="538" t="n">
        <v>19.73</v>
      </c>
      <c r="C4287" s="538" t="n">
        <v>21.58</v>
      </c>
      <c r="D4287" s="538" t="n">
        <v>17.38</v>
      </c>
      <c r="E4287" s="538" t="n">
        <v>26.1</v>
      </c>
    </row>
    <row r="4288">
      <c r="A4288" s="544" t="n">
        <v>35212</v>
      </c>
      <c r="B4288" s="538" t="n">
        <v>19.73</v>
      </c>
      <c r="C4288" s="538" t="n">
        <v>21.58</v>
      </c>
      <c r="D4288" s="538" t="n">
        <v>17.38</v>
      </c>
      <c r="E4288" s="538" t="n">
        <v>26.1</v>
      </c>
    </row>
    <row r="4289">
      <c r="A4289" s="544" t="n">
        <v>35213</v>
      </c>
      <c r="B4289" s="538" t="n">
        <v>19.53</v>
      </c>
      <c r="C4289" s="538" t="n">
        <v>21.1</v>
      </c>
      <c r="D4289" s="538" t="n">
        <v>17.08</v>
      </c>
      <c r="E4289" s="538" t="n">
        <v>26.1</v>
      </c>
    </row>
    <row r="4290">
      <c r="A4290" s="544" t="n">
        <v>35214</v>
      </c>
      <c r="B4290" s="538" t="n">
        <v>18.95</v>
      </c>
      <c r="C4290" s="538" t="n">
        <v>20.65</v>
      </c>
      <c r="D4290" s="538" t="n">
        <v>16.83</v>
      </c>
      <c r="E4290" s="538" t="n">
        <v>25.85</v>
      </c>
    </row>
    <row r="4291">
      <c r="A4291" s="544" t="n">
        <v>35215</v>
      </c>
      <c r="B4291" s="538" t="n">
        <v>18.1</v>
      </c>
      <c r="C4291" s="538" t="n">
        <v>19.95</v>
      </c>
      <c r="D4291" s="538" t="n">
        <v>16.15</v>
      </c>
      <c r="E4291" s="538" t="n">
        <v>25.85</v>
      </c>
    </row>
    <row r="4292">
      <c r="A4292" s="544" t="n">
        <v>35216</v>
      </c>
      <c r="B4292" s="538" t="n">
        <v>18.1</v>
      </c>
      <c r="C4292" s="538" t="n">
        <v>19.77</v>
      </c>
      <c r="D4292" s="538" t="n">
        <v>16.75</v>
      </c>
      <c r="E4292" s="538" t="n">
        <v>25.85</v>
      </c>
    </row>
    <row r="4293">
      <c r="A4293" s="544" t="n">
        <v>35219</v>
      </c>
      <c r="B4293" s="538" t="n">
        <v>18.25</v>
      </c>
      <c r="C4293" s="538" t="n">
        <v>19.86</v>
      </c>
      <c r="D4293" s="538" t="n">
        <v>16.88</v>
      </c>
      <c r="E4293" s="538" t="n">
        <v>25.3</v>
      </c>
    </row>
    <row r="4294">
      <c r="A4294" s="544" t="n">
        <v>35220</v>
      </c>
      <c r="B4294" s="538" t="n">
        <v>18.5</v>
      </c>
      <c r="C4294" s="538" t="n">
        <v>20.28</v>
      </c>
      <c r="D4294" s="538" t="n">
        <v>17.42</v>
      </c>
      <c r="E4294" s="538" t="n">
        <v>24.5</v>
      </c>
    </row>
    <row r="4295">
      <c r="A4295" s="544" t="n">
        <v>35221</v>
      </c>
      <c r="B4295" s="538" t="n">
        <v>18.2</v>
      </c>
      <c r="C4295" s="538" t="n">
        <v>19.73</v>
      </c>
      <c r="D4295" s="538" t="n">
        <v>16.92</v>
      </c>
      <c r="E4295" s="538" t="n">
        <v>25.1</v>
      </c>
    </row>
    <row r="4296">
      <c r="A4296" s="544" t="n">
        <v>35222</v>
      </c>
      <c r="B4296" s="538" t="n">
        <v>18.18</v>
      </c>
      <c r="C4296" s="538" t="n">
        <v>20.06</v>
      </c>
      <c r="D4296" s="538" t="n">
        <v>17.08</v>
      </c>
      <c r="E4296" s="538" t="n">
        <v>25</v>
      </c>
    </row>
    <row r="4297">
      <c r="A4297" s="544" t="n">
        <v>35223</v>
      </c>
      <c r="B4297" s="538" t="n">
        <v>18.4</v>
      </c>
      <c r="C4297" s="538" t="n">
        <v>20.28</v>
      </c>
      <c r="D4297" s="538" t="n">
        <v>17.35</v>
      </c>
      <c r="E4297" s="538" t="n">
        <v>24.4</v>
      </c>
    </row>
    <row r="4298">
      <c r="A4298" s="544" t="n">
        <v>35226</v>
      </c>
      <c r="B4298" s="538" t="n">
        <v>18.48</v>
      </c>
      <c r="C4298" s="538" t="n">
        <v>20.18</v>
      </c>
      <c r="D4298" s="538" t="n">
        <v>17.23</v>
      </c>
      <c r="E4298" s="538" t="n">
        <v>23.7</v>
      </c>
    </row>
    <row r="4299">
      <c r="A4299" s="544" t="n">
        <v>35227</v>
      </c>
      <c r="B4299" s="538" t="n">
        <v>18.28</v>
      </c>
      <c r="C4299" s="538" t="n">
        <v>20.13</v>
      </c>
      <c r="D4299" s="538" t="n">
        <v>16.92</v>
      </c>
      <c r="E4299" s="538" t="n">
        <v>23.4</v>
      </c>
    </row>
    <row r="4300">
      <c r="A4300" s="544" t="n">
        <v>35228</v>
      </c>
      <c r="B4300" s="538" t="n">
        <v>18.23</v>
      </c>
      <c r="C4300" s="538" t="n">
        <v>20.13</v>
      </c>
      <c r="D4300" s="538" t="n">
        <v>16.98</v>
      </c>
      <c r="E4300" s="538" t="n">
        <v>23.2</v>
      </c>
    </row>
    <row r="4301">
      <c r="A4301" s="544" t="n">
        <v>35229</v>
      </c>
      <c r="B4301" s="538" t="n">
        <v>17.98</v>
      </c>
      <c r="C4301" s="538" t="n">
        <v>20.03</v>
      </c>
      <c r="D4301" s="538" t="n">
        <v>17.48</v>
      </c>
      <c r="E4301" s="538" t="n">
        <v>23.45</v>
      </c>
    </row>
    <row r="4302">
      <c r="A4302" s="544" t="n">
        <v>35230</v>
      </c>
      <c r="B4302" s="538" t="n">
        <v>17.83</v>
      </c>
      <c r="C4302" s="538" t="n">
        <v>20.28</v>
      </c>
      <c r="D4302" s="538" t="n">
        <v>17.67</v>
      </c>
      <c r="E4302" s="538" t="n">
        <v>23.45</v>
      </c>
    </row>
    <row r="4303">
      <c r="A4303" s="544" t="n">
        <v>35233</v>
      </c>
      <c r="B4303" s="538" t="n">
        <v>18.7</v>
      </c>
      <c r="C4303" s="538" t="n">
        <v>21.43</v>
      </c>
      <c r="D4303" s="538" t="n">
        <v>16.98</v>
      </c>
      <c r="E4303" s="538" t="n">
        <v>23.45</v>
      </c>
    </row>
    <row r="4304">
      <c r="A4304" s="544" t="n">
        <v>35234</v>
      </c>
      <c r="B4304" s="538" t="n">
        <v>18.8</v>
      </c>
      <c r="C4304" s="538" t="n">
        <v>21.53</v>
      </c>
      <c r="D4304" s="538" t="n">
        <v>17.17</v>
      </c>
      <c r="E4304" s="538" t="n">
        <v>23.45</v>
      </c>
    </row>
    <row r="4305">
      <c r="A4305" s="544" t="n">
        <v>35235</v>
      </c>
      <c r="B4305" s="538" t="n">
        <v>18.4</v>
      </c>
      <c r="C4305" s="538" t="n">
        <v>20.73</v>
      </c>
      <c r="D4305" s="538" t="n">
        <v>16.92</v>
      </c>
      <c r="E4305" s="538" t="n">
        <v>23.45</v>
      </c>
    </row>
    <row r="4306">
      <c r="A4306" s="544" t="n">
        <v>35236</v>
      </c>
      <c r="B4306" s="538" t="n">
        <v>18.43</v>
      </c>
      <c r="C4306" s="538" t="n">
        <v>20.68</v>
      </c>
      <c r="D4306" s="538" t="n">
        <v>16.9</v>
      </c>
      <c r="E4306" s="538" t="n">
        <v>23.85</v>
      </c>
    </row>
    <row r="4307">
      <c r="A4307" s="544" t="n">
        <v>35237</v>
      </c>
      <c r="B4307" s="538" t="n">
        <v>18.45</v>
      </c>
      <c r="C4307" s="538" t="n">
        <v>20.38</v>
      </c>
      <c r="D4307" s="538" t="n">
        <v>16.98</v>
      </c>
      <c r="E4307" s="538" t="n">
        <v>23.85</v>
      </c>
    </row>
    <row r="4308">
      <c r="A4308" s="544" t="n">
        <v>35240</v>
      </c>
      <c r="B4308" s="538" t="n">
        <v>18.38</v>
      </c>
      <c r="C4308" s="538" t="n">
        <v>20.1</v>
      </c>
      <c r="D4308" s="538" t="n">
        <v>17.03</v>
      </c>
      <c r="E4308" s="538" t="n">
        <v>23.85</v>
      </c>
    </row>
    <row r="4309">
      <c r="A4309" s="544" t="n">
        <v>35241</v>
      </c>
      <c r="B4309" s="538" t="n">
        <v>18.38</v>
      </c>
      <c r="C4309" s="538" t="n">
        <v>20.13</v>
      </c>
      <c r="D4309" s="538" t="n">
        <v>17.08</v>
      </c>
      <c r="E4309" s="538" t="n">
        <v>23.25</v>
      </c>
    </row>
    <row r="4310">
      <c r="A4310" s="544" t="n">
        <v>35242</v>
      </c>
      <c r="B4310" s="538" t="n">
        <v>18.6</v>
      </c>
      <c r="C4310" s="538" t="n">
        <v>20.63</v>
      </c>
      <c r="D4310" s="538" t="n">
        <v>17.6</v>
      </c>
      <c r="E4310" s="538" t="n">
        <v>23.35</v>
      </c>
    </row>
    <row r="4311">
      <c r="A4311" s="544" t="n">
        <v>35243</v>
      </c>
      <c r="B4311" s="538" t="n">
        <v>19.38</v>
      </c>
      <c r="C4311" s="538" t="n">
        <v>20.98</v>
      </c>
      <c r="D4311" s="538" t="n">
        <v>17.95</v>
      </c>
      <c r="E4311" s="538" t="n">
        <v>23.65</v>
      </c>
    </row>
    <row r="4312">
      <c r="A4312" s="544" t="n">
        <v>35244</v>
      </c>
      <c r="B4312" s="538" t="n">
        <v>19.28</v>
      </c>
      <c r="C4312" s="538" t="n">
        <v>20.92</v>
      </c>
      <c r="D4312" s="538" t="n">
        <v>17.55</v>
      </c>
      <c r="E4312" s="538" t="n">
        <v>24.05</v>
      </c>
    </row>
    <row r="4313">
      <c r="A4313" s="544" t="n">
        <v>35247</v>
      </c>
      <c r="B4313" s="538" t="n">
        <v>19.77</v>
      </c>
      <c r="C4313" s="538" t="n">
        <v>21.48</v>
      </c>
      <c r="D4313" s="538" t="n">
        <v>17.9</v>
      </c>
      <c r="E4313" s="538" t="n">
        <v>24.75</v>
      </c>
    </row>
    <row r="4314">
      <c r="A4314" s="544" t="n">
        <v>35248</v>
      </c>
      <c r="B4314" s="538" t="n">
        <v>19.43</v>
      </c>
      <c r="C4314" s="538" t="n">
        <v>21.08</v>
      </c>
      <c r="D4314" s="538" t="n">
        <v>17.4</v>
      </c>
      <c r="E4314" s="538" t="n">
        <v>24.5</v>
      </c>
    </row>
    <row r="4315">
      <c r="A4315" s="544" t="n">
        <v>35249</v>
      </c>
      <c r="B4315" s="538" t="n">
        <v>19.13</v>
      </c>
      <c r="C4315" s="538" t="n">
        <v>21.38</v>
      </c>
      <c r="D4315" s="538" t="n">
        <v>18.17</v>
      </c>
      <c r="E4315" s="538" t="n">
        <v>24.5</v>
      </c>
    </row>
    <row r="4316">
      <c r="A4316" s="544" t="n">
        <v>35250</v>
      </c>
      <c r="B4316" s="538" t="n">
        <v>19.77</v>
      </c>
      <c r="C4316" s="538" t="n">
        <v>21.38</v>
      </c>
      <c r="D4316" s="538" t="n">
        <v>18.17</v>
      </c>
      <c r="E4316" s="538" t="n">
        <v>24.7</v>
      </c>
    </row>
    <row r="4317">
      <c r="A4317" s="544" t="n">
        <v>35251</v>
      </c>
      <c r="B4317" s="538" t="n">
        <v>19.99</v>
      </c>
      <c r="C4317" s="538" t="n">
        <v>21.65</v>
      </c>
      <c r="D4317" s="538" t="n">
        <v>18.17</v>
      </c>
      <c r="E4317" s="538" t="n">
        <v>24.7</v>
      </c>
    </row>
    <row r="4318">
      <c r="A4318" s="544" t="n">
        <v>35254</v>
      </c>
      <c r="B4318" s="538" t="n">
        <v>19.62</v>
      </c>
      <c r="C4318" s="538" t="n">
        <v>21.33</v>
      </c>
      <c r="D4318" s="538" t="n">
        <v>17.83</v>
      </c>
      <c r="E4318" s="538" t="n">
        <v>24.7</v>
      </c>
    </row>
    <row r="4319">
      <c r="A4319" s="544" t="n">
        <v>35255</v>
      </c>
      <c r="B4319" s="538" t="n">
        <v>19.63</v>
      </c>
      <c r="C4319" s="538" t="n">
        <v>21.52</v>
      </c>
      <c r="D4319" s="538" t="n">
        <v>18.08</v>
      </c>
      <c r="E4319" s="538" t="n">
        <v>24.15</v>
      </c>
    </row>
    <row r="4320">
      <c r="A4320" s="544" t="n">
        <v>35256</v>
      </c>
      <c r="B4320" s="538" t="n">
        <v>19.8</v>
      </c>
      <c r="C4320" s="538" t="n">
        <v>21.56</v>
      </c>
      <c r="D4320" s="538" t="n">
        <v>18.08</v>
      </c>
      <c r="E4320" s="538" t="n">
        <v>24.05</v>
      </c>
    </row>
    <row r="4321">
      <c r="A4321" s="544" t="n">
        <v>35257</v>
      </c>
      <c r="B4321" s="538" t="n">
        <v>20.01</v>
      </c>
      <c r="C4321" s="538" t="n">
        <v>21.96</v>
      </c>
      <c r="D4321" s="538" t="n">
        <v>18.42</v>
      </c>
      <c r="E4321" s="538" t="n">
        <v>24.35</v>
      </c>
    </row>
    <row r="4322">
      <c r="A4322" s="544" t="n">
        <v>35258</v>
      </c>
      <c r="B4322" s="538" t="n">
        <v>19.93</v>
      </c>
      <c r="C4322" s="538" t="n">
        <v>21.9</v>
      </c>
      <c r="D4322" s="538" t="n">
        <v>18.33</v>
      </c>
      <c r="E4322" s="538" t="n">
        <v>24.75</v>
      </c>
    </row>
    <row r="4323">
      <c r="A4323" s="544" t="n">
        <v>35261</v>
      </c>
      <c r="B4323" s="538" t="n">
        <v>20.2</v>
      </c>
      <c r="C4323" s="538" t="n">
        <v>22.43</v>
      </c>
      <c r="D4323" s="538" t="n">
        <v>18.2</v>
      </c>
      <c r="E4323" s="538" t="n">
        <v>24.75</v>
      </c>
    </row>
    <row r="4324">
      <c r="A4324" s="544" t="n">
        <v>35262</v>
      </c>
      <c r="B4324" s="538" t="n">
        <v>20.3</v>
      </c>
      <c r="C4324" s="538" t="n">
        <v>22.28</v>
      </c>
      <c r="D4324" s="538" t="n">
        <v>18.08</v>
      </c>
      <c r="E4324" s="538" t="n">
        <v>24.85</v>
      </c>
    </row>
    <row r="4325">
      <c r="A4325" s="544" t="n">
        <v>35263</v>
      </c>
      <c r="B4325" s="538" t="n">
        <v>19.75</v>
      </c>
      <c r="C4325" s="538" t="n">
        <v>21.65</v>
      </c>
      <c r="D4325" s="538" t="n">
        <v>17.67</v>
      </c>
      <c r="E4325" s="538" t="n">
        <v>25.23</v>
      </c>
    </row>
    <row r="4326">
      <c r="A4326" s="544" t="n">
        <v>35264</v>
      </c>
      <c r="B4326" s="538" t="n">
        <v>19.95</v>
      </c>
      <c r="C4326" s="538" t="n">
        <v>21.68</v>
      </c>
      <c r="D4326" s="538" t="n">
        <v>17.73</v>
      </c>
      <c r="E4326" s="538" t="n">
        <v>25.05</v>
      </c>
    </row>
    <row r="4327">
      <c r="A4327" s="544" t="n">
        <v>35265</v>
      </c>
      <c r="B4327" s="538" t="n">
        <v>19.45</v>
      </c>
      <c r="C4327" s="538" t="n">
        <v>20.95</v>
      </c>
      <c r="D4327" s="538" t="n">
        <v>17.55</v>
      </c>
      <c r="E4327" s="538" t="n">
        <v>23.45</v>
      </c>
    </row>
    <row r="4328">
      <c r="A4328" s="544" t="n">
        <v>35268</v>
      </c>
      <c r="B4328" s="538" t="n">
        <v>19.23</v>
      </c>
      <c r="C4328" s="538" t="n">
        <v>21.05</v>
      </c>
      <c r="D4328" s="538" t="n">
        <v>17.53</v>
      </c>
      <c r="E4328" s="538" t="n">
        <v>25.25</v>
      </c>
    </row>
    <row r="4329">
      <c r="A4329" s="544" t="n">
        <v>35269</v>
      </c>
      <c r="B4329" s="538" t="n">
        <v>19.5</v>
      </c>
      <c r="C4329" s="538" t="n">
        <v>21.58</v>
      </c>
      <c r="D4329" s="538" t="n">
        <v>17.75</v>
      </c>
      <c r="E4329" s="538" t="n">
        <v>25.35</v>
      </c>
    </row>
    <row r="4330">
      <c r="A4330" s="544" t="n">
        <v>35270</v>
      </c>
      <c r="B4330" s="538" t="n">
        <v>19.36</v>
      </c>
      <c r="C4330" s="538" t="n">
        <v>20.97</v>
      </c>
      <c r="D4330" s="538" t="n">
        <v>17.42</v>
      </c>
      <c r="E4330" s="538" t="n">
        <v>25.45</v>
      </c>
    </row>
    <row r="4331">
      <c r="A4331" s="544" t="n">
        <v>35271</v>
      </c>
      <c r="B4331" s="538" t="n">
        <v>19.5</v>
      </c>
      <c r="C4331" s="538" t="n">
        <v>21.05</v>
      </c>
      <c r="D4331" s="538" t="n">
        <v>17.58</v>
      </c>
      <c r="E4331" s="538" t="n">
        <v>25.85</v>
      </c>
    </row>
    <row r="4332">
      <c r="A4332" s="544" t="n">
        <v>35272</v>
      </c>
      <c r="B4332" s="538" t="n">
        <v>18.92</v>
      </c>
      <c r="C4332" s="538" t="n">
        <v>20.13</v>
      </c>
      <c r="D4332" s="538" t="n">
        <v>17.13</v>
      </c>
      <c r="E4332" s="538" t="n">
        <v>25.95</v>
      </c>
    </row>
    <row r="4333">
      <c r="A4333" s="544" t="n">
        <v>35275</v>
      </c>
      <c r="B4333" s="538" t="n">
        <v>18.99</v>
      </c>
      <c r="C4333" s="538" t="n">
        <v>20.28</v>
      </c>
      <c r="D4333" s="538" t="n">
        <v>17.23</v>
      </c>
      <c r="E4333" s="538" t="n">
        <v>25.95</v>
      </c>
    </row>
    <row r="4334">
      <c r="A4334" s="544" t="n">
        <v>35276</v>
      </c>
      <c r="B4334" s="538" t="n">
        <v>18.9</v>
      </c>
      <c r="C4334" s="538" t="n">
        <v>20.28</v>
      </c>
      <c r="D4334" s="538" t="n">
        <v>17.28</v>
      </c>
      <c r="E4334" s="538" t="n">
        <v>26.45</v>
      </c>
    </row>
    <row r="4335">
      <c r="A4335" s="544" t="n">
        <v>35277</v>
      </c>
      <c r="B4335" s="538" t="n">
        <v>19</v>
      </c>
      <c r="C4335" s="538" t="n">
        <v>20.46</v>
      </c>
      <c r="D4335" s="538" t="n">
        <v>17.53</v>
      </c>
      <c r="E4335" s="538" t="n">
        <v>26.85</v>
      </c>
    </row>
    <row r="4336">
      <c r="A4336" s="544" t="n">
        <v>35278</v>
      </c>
      <c r="B4336" s="538" t="n">
        <v>18.84</v>
      </c>
      <c r="C4336" s="538" t="n">
        <v>20.95</v>
      </c>
      <c r="D4336" s="538" t="n">
        <v>18.05</v>
      </c>
      <c r="E4336" s="538" t="n">
        <v>26.85</v>
      </c>
    </row>
    <row r="4337">
      <c r="A4337" s="544" t="n">
        <v>35279</v>
      </c>
      <c r="B4337" s="538" t="n">
        <v>19.63</v>
      </c>
      <c r="C4337" s="538" t="n">
        <v>21.35</v>
      </c>
      <c r="D4337" s="538" t="n">
        <v>18.55</v>
      </c>
      <c r="E4337" s="538" t="n">
        <v>26.85</v>
      </c>
    </row>
    <row r="4338">
      <c r="A4338" s="544" t="n">
        <v>35282</v>
      </c>
      <c r="B4338" s="538" t="n">
        <v>19.65</v>
      </c>
      <c r="C4338" s="538" t="n">
        <v>21.25</v>
      </c>
      <c r="D4338" s="538" t="n">
        <v>18.42</v>
      </c>
      <c r="E4338" s="538" t="n">
        <v>26.85</v>
      </c>
    </row>
    <row r="4339">
      <c r="A4339" s="544" t="n">
        <v>35283</v>
      </c>
      <c r="B4339" s="538" t="n">
        <v>19.45</v>
      </c>
      <c r="C4339" s="538" t="n">
        <v>21.08</v>
      </c>
      <c r="D4339" s="538" t="n">
        <v>18.25</v>
      </c>
      <c r="E4339" s="538" t="n">
        <v>26.83</v>
      </c>
    </row>
    <row r="4340">
      <c r="A4340" s="544" t="n">
        <v>35284</v>
      </c>
      <c r="B4340" s="538" t="n">
        <v>19.48</v>
      </c>
      <c r="C4340" s="538" t="n">
        <v>21.35</v>
      </c>
      <c r="D4340" s="538" t="n">
        <v>18.4</v>
      </c>
      <c r="E4340" s="538" t="n">
        <v>26.95</v>
      </c>
    </row>
    <row r="4341">
      <c r="A4341" s="544" t="n">
        <v>35285</v>
      </c>
      <c r="B4341" s="538" t="n">
        <v>20.03</v>
      </c>
      <c r="C4341" s="538" t="n">
        <v>21.45</v>
      </c>
      <c r="D4341" s="538" t="n">
        <v>18.58</v>
      </c>
      <c r="E4341" s="538" t="n">
        <v>27.05</v>
      </c>
    </row>
    <row r="4342">
      <c r="A4342" s="544" t="n">
        <v>35286</v>
      </c>
      <c r="B4342" s="538" t="n">
        <v>20.05</v>
      </c>
      <c r="C4342" s="538" t="n">
        <v>21.6</v>
      </c>
      <c r="D4342" s="538" t="n">
        <v>18.67</v>
      </c>
      <c r="E4342" s="538" t="n">
        <v>27.05</v>
      </c>
    </row>
    <row r="4343">
      <c r="A4343" s="544" t="n">
        <v>35289</v>
      </c>
      <c r="B4343" s="538" t="n">
        <v>20.65</v>
      </c>
      <c r="C4343" s="538" t="n">
        <v>22.25</v>
      </c>
      <c r="D4343" s="538" t="n">
        <v>19.23</v>
      </c>
      <c r="E4343" s="538" t="n">
        <v>26.75</v>
      </c>
    </row>
    <row r="4344">
      <c r="A4344" s="544" t="n">
        <v>35290</v>
      </c>
      <c r="B4344" s="538" t="n">
        <v>21.03</v>
      </c>
      <c r="C4344" s="538" t="n">
        <v>22.35</v>
      </c>
      <c r="D4344" s="538" t="n">
        <v>18.7</v>
      </c>
      <c r="E4344" s="538" t="n">
        <v>27.1</v>
      </c>
    </row>
    <row r="4345">
      <c r="A4345" s="544" t="n">
        <v>35291</v>
      </c>
      <c r="B4345" s="538" t="n">
        <v>20.9</v>
      </c>
      <c r="C4345" s="538" t="n">
        <v>22.1</v>
      </c>
      <c r="D4345" s="538" t="n">
        <v>18.5</v>
      </c>
      <c r="E4345" s="538" t="n">
        <v>27.75</v>
      </c>
    </row>
    <row r="4346">
      <c r="A4346" s="544" t="n">
        <v>35292</v>
      </c>
      <c r="B4346" s="538" t="n">
        <v>20.88</v>
      </c>
      <c r="C4346" s="538" t="n">
        <v>21.95</v>
      </c>
      <c r="D4346" s="538" t="n">
        <v>18.42</v>
      </c>
      <c r="E4346" s="538" t="n">
        <v>27.75</v>
      </c>
    </row>
    <row r="4347">
      <c r="A4347" s="544" t="n">
        <v>35293</v>
      </c>
      <c r="B4347" s="538" t="n">
        <v>21.3</v>
      </c>
      <c r="C4347" s="538" t="n">
        <v>22.6</v>
      </c>
      <c r="D4347" s="538" t="n">
        <v>18.9</v>
      </c>
      <c r="E4347" s="538" t="n">
        <v>27.85</v>
      </c>
    </row>
    <row r="4348">
      <c r="A4348" s="544" t="n">
        <v>35296</v>
      </c>
      <c r="B4348" s="538" t="n">
        <v>21.58</v>
      </c>
      <c r="C4348" s="538" t="n">
        <v>23.1</v>
      </c>
      <c r="D4348" s="538" t="n">
        <v>19.15</v>
      </c>
      <c r="E4348" s="538" t="n">
        <v>28.35</v>
      </c>
    </row>
    <row r="4349">
      <c r="A4349" s="544" t="n">
        <v>35297</v>
      </c>
      <c r="B4349" s="538" t="n">
        <v>21.35</v>
      </c>
      <c r="C4349" s="538" t="n">
        <v>22.53</v>
      </c>
      <c r="D4349" s="538" t="n">
        <v>18.42</v>
      </c>
      <c r="E4349" s="538" t="n">
        <v>28.35</v>
      </c>
    </row>
    <row r="4350">
      <c r="A4350" s="544" t="n">
        <v>35298</v>
      </c>
      <c r="B4350" s="538" t="n">
        <v>20.8</v>
      </c>
      <c r="C4350" s="538" t="n">
        <v>22.15</v>
      </c>
      <c r="D4350" s="538" t="n">
        <v>18.38</v>
      </c>
      <c r="E4350" s="538" t="n">
        <v>28.15</v>
      </c>
    </row>
    <row r="4351">
      <c r="A4351" s="544" t="n">
        <v>35299</v>
      </c>
      <c r="B4351" s="538" t="n">
        <v>21.25</v>
      </c>
      <c r="C4351" s="538" t="n">
        <v>22.48</v>
      </c>
      <c r="D4351" s="538" t="n">
        <v>18.85</v>
      </c>
      <c r="E4351" s="538" t="n">
        <v>28.65</v>
      </c>
    </row>
    <row r="4352">
      <c r="A4352" s="544" t="n">
        <v>35300</v>
      </c>
      <c r="B4352" s="538" t="n">
        <v>20.78</v>
      </c>
      <c r="C4352" s="538" t="n">
        <v>22.23</v>
      </c>
      <c r="D4352" s="538" t="n">
        <v>18.73</v>
      </c>
      <c r="E4352" s="538" t="n">
        <v>28.9</v>
      </c>
    </row>
    <row r="4353">
      <c r="A4353" s="544" t="n">
        <v>35303</v>
      </c>
      <c r="B4353" s="538" t="n">
        <v>20.78</v>
      </c>
      <c r="C4353" s="538" t="n">
        <v>21.55</v>
      </c>
      <c r="D4353" s="538" t="n">
        <v>18.4</v>
      </c>
      <c r="E4353" s="538" t="n">
        <v>28.35</v>
      </c>
    </row>
    <row r="4354">
      <c r="A4354" s="544" t="n">
        <v>35304</v>
      </c>
      <c r="B4354" s="538" t="n">
        <v>20.45</v>
      </c>
      <c r="C4354" s="538" t="n">
        <v>21.35</v>
      </c>
      <c r="D4354" s="538" t="n">
        <v>18.28</v>
      </c>
      <c r="E4354" s="538" t="n">
        <v>28.65</v>
      </c>
    </row>
    <row r="4355">
      <c r="A4355" s="544" t="n">
        <v>35305</v>
      </c>
      <c r="B4355" s="538" t="n">
        <v>20.68</v>
      </c>
      <c r="C4355" s="538" t="n">
        <v>21.75</v>
      </c>
      <c r="D4355" s="538" t="n">
        <v>18.92</v>
      </c>
      <c r="E4355" s="538" t="n">
        <v>28.95</v>
      </c>
    </row>
    <row r="4356">
      <c r="A4356" s="544" t="n">
        <v>35306</v>
      </c>
      <c r="B4356" s="538" t="n">
        <v>21</v>
      </c>
      <c r="C4356" s="538" t="n">
        <v>22.2</v>
      </c>
      <c r="D4356" s="538" t="n">
        <v>19.35</v>
      </c>
      <c r="E4356" s="538" t="n">
        <v>29.1</v>
      </c>
    </row>
    <row r="4357">
      <c r="A4357" s="544" t="n">
        <v>35307</v>
      </c>
      <c r="B4357" s="538" t="n">
        <v>20.98</v>
      </c>
      <c r="C4357" s="538" t="n">
        <v>22.25</v>
      </c>
      <c r="D4357" s="538" t="n">
        <v>19.33</v>
      </c>
      <c r="E4357" s="538" t="n">
        <v>28.25</v>
      </c>
    </row>
    <row r="4358">
      <c r="A4358" s="544" t="n">
        <v>35310</v>
      </c>
      <c r="B4358" s="538" t="n">
        <v>22.23</v>
      </c>
      <c r="C4358" s="538" t="n">
        <v>22.25</v>
      </c>
      <c r="D4358" s="538" t="n">
        <v>19.33</v>
      </c>
      <c r="E4358" s="538" t="n">
        <v>28.85</v>
      </c>
    </row>
    <row r="4359">
      <c r="A4359" s="544" t="n">
        <v>35311</v>
      </c>
      <c r="B4359" s="538" t="n">
        <v>21.9</v>
      </c>
      <c r="C4359" s="538" t="n">
        <v>23.35</v>
      </c>
      <c r="D4359" s="538" t="n">
        <v>19.42</v>
      </c>
      <c r="E4359" s="538" t="n">
        <v>30</v>
      </c>
    </row>
    <row r="4360">
      <c r="A4360" s="544" t="n">
        <v>35312</v>
      </c>
      <c r="B4360" s="538" t="n">
        <v>22.2</v>
      </c>
      <c r="C4360" s="538" t="n">
        <v>23.25</v>
      </c>
      <c r="D4360" s="538" t="n">
        <v>19.8</v>
      </c>
      <c r="E4360" s="538" t="n">
        <v>30</v>
      </c>
    </row>
    <row r="4361">
      <c r="A4361" s="544" t="n">
        <v>35313</v>
      </c>
      <c r="B4361" s="538" t="n">
        <v>22.15</v>
      </c>
      <c r="C4361" s="538" t="n">
        <v>23.45</v>
      </c>
      <c r="D4361" s="538" t="n">
        <v>19.88</v>
      </c>
      <c r="E4361" s="538" t="n">
        <v>29.9</v>
      </c>
    </row>
    <row r="4362">
      <c r="A4362" s="544" t="n">
        <v>35314</v>
      </c>
      <c r="B4362" s="538" t="n">
        <v>22.43</v>
      </c>
      <c r="C4362" s="538" t="n">
        <v>23.85</v>
      </c>
      <c r="D4362" s="538" t="n">
        <v>20.28</v>
      </c>
      <c r="E4362" s="538" t="n">
        <v>29.1</v>
      </c>
    </row>
    <row r="4363">
      <c r="A4363" s="544" t="n">
        <v>35317</v>
      </c>
      <c r="B4363" s="538" t="n">
        <v>22.25</v>
      </c>
      <c r="C4363" s="538" t="n">
        <v>23.75</v>
      </c>
      <c r="D4363" s="538" t="n">
        <v>19.9</v>
      </c>
      <c r="E4363" s="538" t="n">
        <v>28.9</v>
      </c>
    </row>
    <row r="4364">
      <c r="A4364" s="544" t="n">
        <v>35318</v>
      </c>
      <c r="B4364" s="538" t="n">
        <v>22.68</v>
      </c>
      <c r="C4364" s="538" t="n">
        <v>24.15</v>
      </c>
      <c r="D4364" s="538" t="n">
        <v>20.3</v>
      </c>
      <c r="E4364" s="538" t="n">
        <v>28.9</v>
      </c>
    </row>
    <row r="4365">
      <c r="A4365" s="544" t="n">
        <v>35319</v>
      </c>
      <c r="B4365" s="538" t="n">
        <v>23.3</v>
      </c>
      <c r="C4365" s="538" t="n">
        <v>24.75</v>
      </c>
      <c r="D4365" s="538" t="n">
        <v>20.78</v>
      </c>
      <c r="E4365" s="538" t="n">
        <v>29.55</v>
      </c>
    </row>
    <row r="4366">
      <c r="A4366" s="544" t="n">
        <v>35320</v>
      </c>
      <c r="B4366" s="538" t="n">
        <v>23.35</v>
      </c>
      <c r="C4366" s="538" t="n">
        <v>24.95</v>
      </c>
      <c r="D4366" s="538" t="n">
        <v>21.03</v>
      </c>
      <c r="E4366" s="538" t="n">
        <v>30.05</v>
      </c>
    </row>
    <row r="4367">
      <c r="A4367" s="544" t="n">
        <v>35321</v>
      </c>
      <c r="B4367" s="538" t="n">
        <v>23.83</v>
      </c>
      <c r="C4367" s="538" t="n">
        <v>24.5</v>
      </c>
      <c r="D4367" s="538" t="n">
        <v>21.17</v>
      </c>
      <c r="E4367" s="538" t="n">
        <v>30.25</v>
      </c>
    </row>
    <row r="4368">
      <c r="A4368" s="544" t="n">
        <v>35324</v>
      </c>
      <c r="B4368" s="538" t="n">
        <v>22.6</v>
      </c>
      <c r="C4368" s="538" t="n">
        <v>23.3</v>
      </c>
      <c r="D4368" s="538" t="n">
        <v>19.25</v>
      </c>
      <c r="E4368" s="538" t="n">
        <v>30.1</v>
      </c>
    </row>
    <row r="4369">
      <c r="A4369" s="544" t="n">
        <v>35325</v>
      </c>
      <c r="B4369" s="538" t="n">
        <v>21.7</v>
      </c>
      <c r="C4369" s="538" t="n">
        <v>23.4</v>
      </c>
      <c r="D4369" s="538" t="n">
        <v>19.5</v>
      </c>
      <c r="E4369" s="538" t="n">
        <v>29.35</v>
      </c>
    </row>
    <row r="4370">
      <c r="A4370" s="544" t="n">
        <v>35326</v>
      </c>
      <c r="B4370" s="538" t="n">
        <v>22.38</v>
      </c>
      <c r="C4370" s="538" t="n">
        <v>23.85</v>
      </c>
      <c r="D4370" s="538" t="n">
        <v>20.08</v>
      </c>
      <c r="E4370" s="538" t="n">
        <v>29.95</v>
      </c>
    </row>
    <row r="4371">
      <c r="A4371" s="544" t="n">
        <v>35327</v>
      </c>
      <c r="B4371" s="538" t="n">
        <v>22.08</v>
      </c>
      <c r="C4371" s="538" t="n">
        <v>23.45</v>
      </c>
      <c r="D4371" s="538" t="n">
        <v>19.8</v>
      </c>
      <c r="E4371" s="538" t="n">
        <v>29.95</v>
      </c>
    </row>
    <row r="4372">
      <c r="A4372" s="544" t="n">
        <v>35328</v>
      </c>
      <c r="B4372" s="538" t="n">
        <v>21.78</v>
      </c>
      <c r="C4372" s="538" t="n">
        <v>23.6</v>
      </c>
      <c r="D4372" s="538" t="n">
        <v>19.95</v>
      </c>
      <c r="E4372" s="538" t="n">
        <v>29.35</v>
      </c>
    </row>
    <row r="4373">
      <c r="A4373" s="544" t="n">
        <v>35331</v>
      </c>
      <c r="B4373" s="538" t="n">
        <v>22.15</v>
      </c>
      <c r="C4373" s="538" t="n">
        <v>23.83</v>
      </c>
      <c r="D4373" s="538" t="n">
        <v>20.38</v>
      </c>
      <c r="E4373" s="538" t="n">
        <v>29.35</v>
      </c>
    </row>
    <row r="4374">
      <c r="A4374" s="544" t="n">
        <v>35332</v>
      </c>
      <c r="B4374" s="538" t="n">
        <v>22.78</v>
      </c>
      <c r="C4374" s="538" t="n">
        <v>24.55</v>
      </c>
      <c r="D4374" s="538" t="n">
        <v>20.92</v>
      </c>
      <c r="E4374" s="538" t="n">
        <v>29.35</v>
      </c>
    </row>
    <row r="4375">
      <c r="A4375" s="544" t="n">
        <v>35333</v>
      </c>
      <c r="B4375" s="538" t="n">
        <v>23.05</v>
      </c>
      <c r="C4375" s="538" t="n">
        <v>24.6</v>
      </c>
      <c r="D4375" s="538" t="n">
        <v>21.25</v>
      </c>
      <c r="E4375" s="538" t="n">
        <v>29.6</v>
      </c>
    </row>
    <row r="4376">
      <c r="A4376" s="544" t="n">
        <v>35334</v>
      </c>
      <c r="B4376" s="538" t="n">
        <v>23.35</v>
      </c>
      <c r="C4376" s="538" t="n">
        <v>24.05</v>
      </c>
      <c r="D4376" s="538" t="n">
        <v>20.6</v>
      </c>
      <c r="E4376" s="538" t="n">
        <v>29.45</v>
      </c>
    </row>
    <row r="4377">
      <c r="A4377" s="544" t="n">
        <v>35335</v>
      </c>
      <c r="B4377" s="538" t="n">
        <v>22.9</v>
      </c>
      <c r="C4377" s="538" t="n">
        <v>24.6</v>
      </c>
      <c r="D4377" s="538" t="n">
        <v>21.38</v>
      </c>
      <c r="E4377" s="538" t="n">
        <v>29.45</v>
      </c>
    </row>
    <row r="4378">
      <c r="A4378" s="544" t="n">
        <v>35338</v>
      </c>
      <c r="B4378" s="538" t="n">
        <v>24.15</v>
      </c>
      <c r="C4378" s="538" t="n">
        <v>24.2</v>
      </c>
      <c r="D4378" s="538" t="n">
        <v>20.78</v>
      </c>
      <c r="E4378" s="538" t="n">
        <v>29.4</v>
      </c>
    </row>
    <row r="4379">
      <c r="A4379" s="544" t="n">
        <v>35339</v>
      </c>
      <c r="B4379" s="538" t="n">
        <v>23.18</v>
      </c>
      <c r="C4379" s="538" t="n">
        <v>24.35</v>
      </c>
      <c r="D4379" s="538" t="n">
        <v>20.78</v>
      </c>
      <c r="E4379" s="538" t="n">
        <v>29.4</v>
      </c>
    </row>
    <row r="4380">
      <c r="A4380" s="544" t="n">
        <v>35340</v>
      </c>
      <c r="B4380" s="538" t="n">
        <v>23.13</v>
      </c>
      <c r="C4380" s="538" t="n">
        <v>24.05</v>
      </c>
      <c r="D4380" s="538" t="n">
        <v>20.98</v>
      </c>
      <c r="E4380" s="538" t="n">
        <v>29.8</v>
      </c>
    </row>
    <row r="4381">
      <c r="A4381" s="544" t="n">
        <v>35341</v>
      </c>
      <c r="B4381" s="538" t="n">
        <v>23.63</v>
      </c>
      <c r="C4381" s="538" t="n">
        <v>24.85</v>
      </c>
      <c r="D4381" s="538" t="n">
        <v>21.58</v>
      </c>
      <c r="E4381" s="538" t="n">
        <v>29.8</v>
      </c>
    </row>
    <row r="4382">
      <c r="A4382" s="544" t="n">
        <v>35342</v>
      </c>
      <c r="B4382" s="538" t="n">
        <v>23.88</v>
      </c>
      <c r="C4382" s="538" t="n">
        <v>24.75</v>
      </c>
      <c r="D4382" s="538" t="n">
        <v>21.55</v>
      </c>
      <c r="E4382" s="538" t="n">
        <v>30.1</v>
      </c>
    </row>
    <row r="4383">
      <c r="A4383" s="544" t="n">
        <v>35345</v>
      </c>
      <c r="B4383" s="538" t="n">
        <v>24.28</v>
      </c>
      <c r="C4383" s="538" t="n">
        <v>25.25</v>
      </c>
      <c r="D4383" s="538" t="n">
        <v>22.08</v>
      </c>
      <c r="E4383" s="538" t="n">
        <v>29.75</v>
      </c>
    </row>
    <row r="4384">
      <c r="A4384" s="544" t="n">
        <v>35346</v>
      </c>
      <c r="B4384" s="538" t="n">
        <v>24.55</v>
      </c>
      <c r="C4384" s="538" t="n">
        <v>25.45</v>
      </c>
      <c r="D4384" s="538" t="n">
        <v>22.28</v>
      </c>
      <c r="E4384" s="538" t="n">
        <v>29.75</v>
      </c>
    </row>
    <row r="4385">
      <c r="A4385" s="544" t="n">
        <v>35347</v>
      </c>
      <c r="B4385" s="538" t="n">
        <v>24.58</v>
      </c>
      <c r="C4385" s="538" t="n">
        <v>25</v>
      </c>
      <c r="D4385" s="538" t="n">
        <v>21.27</v>
      </c>
      <c r="E4385" s="538" t="n">
        <v>29.75</v>
      </c>
    </row>
    <row r="4386">
      <c r="A4386" s="544" t="n">
        <v>35348</v>
      </c>
      <c r="B4386" s="538" t="n">
        <v>23.63</v>
      </c>
      <c r="C4386" s="538" t="n">
        <v>24.3</v>
      </c>
      <c r="D4386" s="538" t="n">
        <v>21</v>
      </c>
      <c r="E4386" s="538" t="n">
        <v>29.95</v>
      </c>
    </row>
    <row r="4387">
      <c r="A4387" s="544" t="n">
        <v>35349</v>
      </c>
      <c r="B4387" s="538" t="n">
        <v>23.85</v>
      </c>
      <c r="C4387" s="538" t="n">
        <v>24.65</v>
      </c>
      <c r="D4387" s="538" t="n">
        <v>21.17</v>
      </c>
      <c r="E4387" s="538" t="n">
        <v>29.95</v>
      </c>
    </row>
    <row r="4388">
      <c r="A4388" s="544" t="n">
        <v>35352</v>
      </c>
      <c r="B4388" s="538" t="n">
        <v>24.75</v>
      </c>
      <c r="C4388" s="538" t="n">
        <v>25.5</v>
      </c>
      <c r="D4388" s="538" t="n">
        <v>22.08</v>
      </c>
      <c r="E4388" s="538" t="n">
        <v>30.1</v>
      </c>
    </row>
    <row r="4389">
      <c r="A4389" s="544" t="n">
        <v>35353</v>
      </c>
      <c r="B4389" s="538" t="n">
        <v>24.58</v>
      </c>
      <c r="C4389" s="538" t="n">
        <v>25.45</v>
      </c>
      <c r="D4389" s="538" t="n">
        <v>21.88</v>
      </c>
      <c r="E4389" s="538" t="n">
        <v>29.95</v>
      </c>
    </row>
    <row r="4390">
      <c r="A4390" s="544" t="n">
        <v>35354</v>
      </c>
      <c r="B4390" s="538" t="n">
        <v>24.5</v>
      </c>
      <c r="C4390" s="538" t="n">
        <v>25.1</v>
      </c>
      <c r="D4390" s="538" t="n">
        <v>21.33</v>
      </c>
      <c r="E4390" s="538" t="n">
        <v>29.95</v>
      </c>
    </row>
    <row r="4391">
      <c r="A4391" s="544" t="n">
        <v>35355</v>
      </c>
      <c r="B4391" s="538" t="n">
        <v>24.83</v>
      </c>
      <c r="C4391" s="538" t="n">
        <v>25.4</v>
      </c>
      <c r="D4391" s="538" t="n">
        <v>21.78</v>
      </c>
      <c r="E4391" s="538" t="n">
        <v>30.5</v>
      </c>
    </row>
    <row r="4392">
      <c r="A4392" s="544" t="n">
        <v>35356</v>
      </c>
      <c r="B4392" s="538" t="n">
        <v>25.18</v>
      </c>
      <c r="C4392" s="538" t="n">
        <v>25.8</v>
      </c>
      <c r="D4392" s="538" t="n">
        <v>22.25</v>
      </c>
      <c r="E4392" s="538" t="n">
        <v>30.55</v>
      </c>
    </row>
    <row r="4393">
      <c r="A4393" s="544" t="n">
        <v>35359</v>
      </c>
      <c r="B4393" s="538" t="n">
        <v>25.08</v>
      </c>
      <c r="C4393" s="538" t="n">
        <v>25.85</v>
      </c>
      <c r="D4393" s="538" t="n">
        <v>22.38</v>
      </c>
      <c r="E4393" s="538" t="n">
        <v>30.55</v>
      </c>
    </row>
    <row r="4394">
      <c r="A4394" s="544" t="n">
        <v>35360</v>
      </c>
      <c r="B4394" s="538" t="n">
        <v>25.4</v>
      </c>
      <c r="C4394" s="538" t="n">
        <v>25.79</v>
      </c>
      <c r="D4394" s="538" t="n">
        <v>22.38</v>
      </c>
      <c r="E4394" s="538" t="n">
        <v>30.1</v>
      </c>
    </row>
    <row r="4395">
      <c r="A4395" s="544" t="n">
        <v>35361</v>
      </c>
      <c r="B4395" s="538" t="n">
        <v>24.6</v>
      </c>
      <c r="C4395" s="538" t="n">
        <v>24.78</v>
      </c>
      <c r="D4395" s="538" t="n">
        <v>21.7</v>
      </c>
      <c r="E4395" s="538" t="n">
        <v>29.9</v>
      </c>
    </row>
    <row r="4396">
      <c r="A4396" s="544" t="n">
        <v>35362</v>
      </c>
      <c r="B4396" s="538" t="n">
        <v>24.28</v>
      </c>
      <c r="C4396" s="538" t="n">
        <v>24.55</v>
      </c>
      <c r="D4396" s="538" t="n">
        <v>21.6</v>
      </c>
      <c r="E4396" s="538" t="n">
        <v>29.9</v>
      </c>
    </row>
    <row r="4397">
      <c r="A4397" s="544" t="n">
        <v>35363</v>
      </c>
      <c r="B4397" s="538" t="n">
        <v>24.13</v>
      </c>
      <c r="C4397" s="538" t="n">
        <v>24.8</v>
      </c>
      <c r="D4397" s="538" t="n">
        <v>21.92</v>
      </c>
      <c r="E4397" s="538" t="n">
        <v>30.1</v>
      </c>
    </row>
    <row r="4398">
      <c r="A4398" s="544" t="n">
        <v>35366</v>
      </c>
      <c r="B4398" s="538" t="n">
        <v>24.45</v>
      </c>
      <c r="C4398" s="538" t="n">
        <v>24.75</v>
      </c>
      <c r="D4398" s="538" t="n">
        <v>21.8</v>
      </c>
      <c r="E4398" s="538" t="n">
        <v>30.6</v>
      </c>
    </row>
    <row r="4399">
      <c r="A4399" s="544" t="n">
        <v>35367</v>
      </c>
      <c r="B4399" s="538" t="n">
        <v>23.3</v>
      </c>
      <c r="C4399" s="538" t="n">
        <v>24.15</v>
      </c>
      <c r="D4399" s="538" t="n">
        <v>21.45</v>
      </c>
      <c r="E4399" s="538" t="n">
        <v>30.45</v>
      </c>
    </row>
    <row r="4400">
      <c r="A4400" s="544" t="n">
        <v>35368</v>
      </c>
      <c r="B4400" s="538" t="n">
        <v>23.15</v>
      </c>
      <c r="C4400" s="538" t="n">
        <v>24.4</v>
      </c>
      <c r="D4400" s="538" t="n">
        <v>21.42</v>
      </c>
      <c r="E4400" s="538" t="n">
        <v>30.4</v>
      </c>
    </row>
    <row r="4401">
      <c r="A4401" s="544" t="n">
        <v>35369</v>
      </c>
      <c r="B4401" s="538" t="n">
        <v>22.8</v>
      </c>
      <c r="C4401" s="538" t="n">
        <v>23.25</v>
      </c>
      <c r="D4401" s="538" t="n">
        <v>20.42</v>
      </c>
      <c r="E4401" s="538" t="n">
        <v>30.45</v>
      </c>
    </row>
    <row r="4402">
      <c r="A4402" s="544" t="n">
        <v>35370</v>
      </c>
      <c r="B4402" s="538" t="n">
        <v>22.3</v>
      </c>
      <c r="C4402" s="538" t="n">
        <v>23</v>
      </c>
      <c r="D4402" s="538" t="n">
        <v>20.45</v>
      </c>
      <c r="E4402" s="538" t="n">
        <v>30.2</v>
      </c>
    </row>
    <row r="4403">
      <c r="A4403" s="544" t="n">
        <v>35373</v>
      </c>
      <c r="B4403" s="538" t="n">
        <v>22.1</v>
      </c>
      <c r="C4403" s="538" t="n">
        <v>22.8</v>
      </c>
      <c r="D4403" s="538" t="n">
        <v>20.42</v>
      </c>
      <c r="E4403" s="538" t="n">
        <v>30.2</v>
      </c>
    </row>
    <row r="4404">
      <c r="A4404" s="544" t="n">
        <v>35374</v>
      </c>
      <c r="B4404" s="538" t="n">
        <v>21.85</v>
      </c>
      <c r="C4404" s="538" t="n">
        <v>22.65</v>
      </c>
      <c r="D4404" s="538" t="n">
        <v>20.38</v>
      </c>
      <c r="E4404" s="538" t="n">
        <v>30.15</v>
      </c>
    </row>
    <row r="4405">
      <c r="A4405" s="544" t="n">
        <v>35375</v>
      </c>
      <c r="B4405" s="538" t="n">
        <v>21.85</v>
      </c>
      <c r="C4405" s="538" t="n">
        <v>22.75</v>
      </c>
      <c r="D4405" s="538" t="n">
        <v>20.25</v>
      </c>
      <c r="E4405" s="538" t="n">
        <v>30.08</v>
      </c>
    </row>
    <row r="4406">
      <c r="A4406" s="544" t="n">
        <v>35376</v>
      </c>
      <c r="B4406" s="538" t="n">
        <v>21.75</v>
      </c>
      <c r="C4406" s="538" t="n">
        <v>22.8</v>
      </c>
      <c r="D4406" s="538" t="n">
        <v>20.23</v>
      </c>
      <c r="E4406" s="538" t="n">
        <v>30.15</v>
      </c>
    </row>
    <row r="4407">
      <c r="A4407" s="544" t="n">
        <v>35377</v>
      </c>
      <c r="B4407" s="538" t="n">
        <v>22.4</v>
      </c>
      <c r="C4407" s="538" t="n">
        <v>23.6</v>
      </c>
      <c r="D4407" s="538" t="n">
        <v>21.33</v>
      </c>
      <c r="E4407" s="538" t="n">
        <v>30.15</v>
      </c>
    </row>
    <row r="4408">
      <c r="A4408" s="544" t="n">
        <v>35380</v>
      </c>
      <c r="B4408" s="538" t="n">
        <v>22.7</v>
      </c>
      <c r="C4408" s="538" t="n">
        <v>23.35</v>
      </c>
      <c r="D4408" s="538" t="n">
        <v>21.03</v>
      </c>
      <c r="E4408" s="538" t="n">
        <v>30.15</v>
      </c>
    </row>
    <row r="4409">
      <c r="A4409" s="544" t="n">
        <v>35381</v>
      </c>
      <c r="B4409" s="538" t="n">
        <v>22.38</v>
      </c>
      <c r="C4409" s="538" t="n">
        <v>23.4</v>
      </c>
      <c r="D4409" s="538" t="n">
        <v>20.73</v>
      </c>
      <c r="E4409" s="538" t="n">
        <v>30.45</v>
      </c>
    </row>
    <row r="4410">
      <c r="A4410" s="544" t="n">
        <v>35382</v>
      </c>
      <c r="B4410" s="538" t="n">
        <v>22.88</v>
      </c>
      <c r="C4410" s="538" t="n">
        <v>24.25</v>
      </c>
      <c r="D4410" s="538" t="n">
        <v>21.73</v>
      </c>
      <c r="E4410" s="538" t="n">
        <v>30.43</v>
      </c>
    </row>
    <row r="4411">
      <c r="A4411" s="544" t="n">
        <v>35383</v>
      </c>
      <c r="B4411" s="538" t="n">
        <v>23.18</v>
      </c>
      <c r="C4411" s="538" t="n">
        <v>24.35</v>
      </c>
      <c r="D4411" s="538" t="n">
        <v>22.03</v>
      </c>
      <c r="E4411" s="538" t="n">
        <v>30.88</v>
      </c>
    </row>
    <row r="4412">
      <c r="A4412" s="544" t="n">
        <v>35384</v>
      </c>
      <c r="B4412" s="538" t="n">
        <v>23.28</v>
      </c>
      <c r="C4412" s="538" t="n">
        <v>24.15</v>
      </c>
      <c r="D4412" s="538" t="n">
        <v>21.2</v>
      </c>
      <c r="E4412" s="538" t="n">
        <v>30.75</v>
      </c>
    </row>
    <row r="4413">
      <c r="A4413" s="544" t="n">
        <v>35387</v>
      </c>
      <c r="B4413" s="538" t="n">
        <v>22.75</v>
      </c>
      <c r="C4413" s="538" t="n">
        <v>23.85</v>
      </c>
      <c r="D4413" s="538" t="n">
        <v>20.9</v>
      </c>
      <c r="E4413" s="538" t="n">
        <v>30.75</v>
      </c>
    </row>
    <row r="4414">
      <c r="A4414" s="544" t="n">
        <v>35388</v>
      </c>
      <c r="B4414" s="538" t="n">
        <v>23.13</v>
      </c>
      <c r="C4414" s="538" t="n">
        <v>24.5</v>
      </c>
      <c r="D4414" s="538" t="n">
        <v>21.5</v>
      </c>
      <c r="E4414" s="538" t="n">
        <v>30.85</v>
      </c>
    </row>
    <row r="4415">
      <c r="A4415" s="544" t="n">
        <v>35389</v>
      </c>
      <c r="B4415" s="538" t="n">
        <v>23.4</v>
      </c>
      <c r="C4415" s="538" t="n">
        <v>23.75</v>
      </c>
      <c r="D4415" s="538" t="n">
        <v>20.55</v>
      </c>
      <c r="E4415" s="538" t="n">
        <v>31.8</v>
      </c>
    </row>
    <row r="4416">
      <c r="A4416" s="544" t="n">
        <v>35390</v>
      </c>
      <c r="B4416" s="538" t="n">
        <v>22.9</v>
      </c>
      <c r="C4416" s="538" t="n">
        <v>23.9</v>
      </c>
      <c r="D4416" s="538" t="n">
        <v>21.23</v>
      </c>
      <c r="E4416" s="538" t="n">
        <v>31.9</v>
      </c>
    </row>
    <row r="4417">
      <c r="A4417" s="544" t="n">
        <v>35391</v>
      </c>
      <c r="B4417" s="538" t="n">
        <v>23.86</v>
      </c>
      <c r="C4417" s="538" t="n">
        <v>24.15</v>
      </c>
      <c r="D4417" s="538" t="n">
        <v>21</v>
      </c>
      <c r="E4417" s="538" t="n">
        <v>32.3</v>
      </c>
    </row>
    <row r="4418">
      <c r="A4418" s="544" t="n">
        <v>35394</v>
      </c>
      <c r="B4418" s="538" t="n">
        <v>23.22</v>
      </c>
      <c r="C4418" s="538" t="n">
        <v>25.75</v>
      </c>
      <c r="D4418" s="538" t="n">
        <v>20.65</v>
      </c>
      <c r="E4418" s="538" t="n">
        <v>32.9</v>
      </c>
    </row>
    <row r="4419">
      <c r="A4419" s="544" t="n">
        <v>35395</v>
      </c>
      <c r="B4419" s="538" t="n">
        <v>22.78</v>
      </c>
      <c r="C4419" s="538" t="n">
        <v>23.7</v>
      </c>
      <c r="D4419" s="538" t="n">
        <v>20.78</v>
      </c>
      <c r="E4419" s="538" t="n">
        <v>33.35</v>
      </c>
    </row>
    <row r="4420">
      <c r="A4420" s="544" t="n">
        <v>35396</v>
      </c>
      <c r="B4420" s="538" t="n">
        <v>23.07</v>
      </c>
      <c r="C4420" s="538" t="n">
        <v>23.7</v>
      </c>
      <c r="D4420" s="538" t="n">
        <v>20.98</v>
      </c>
      <c r="E4420" s="538" t="n">
        <v>33.35</v>
      </c>
    </row>
    <row r="4421">
      <c r="A4421" s="544" t="n">
        <v>35397</v>
      </c>
      <c r="B4421" s="538" t="n">
        <v>23</v>
      </c>
      <c r="C4421" s="538" t="n">
        <v>23.7</v>
      </c>
      <c r="D4421" s="538" t="n">
        <v>20.98</v>
      </c>
      <c r="E4421" s="538" t="n">
        <v>32.9</v>
      </c>
    </row>
    <row r="4422">
      <c r="A4422" s="544" t="n">
        <v>35398</v>
      </c>
      <c r="B4422" s="538" t="n">
        <v>23.17</v>
      </c>
      <c r="C4422" s="538" t="n">
        <v>23.7</v>
      </c>
      <c r="D4422" s="538" t="n">
        <v>21.05</v>
      </c>
      <c r="E4422" s="538" t="n">
        <v>32.9</v>
      </c>
    </row>
    <row r="4423">
      <c r="A4423" s="544" t="n">
        <v>35401</v>
      </c>
      <c r="B4423" s="538" t="n">
        <v>23.5</v>
      </c>
      <c r="C4423" s="538" t="n">
        <v>24.7</v>
      </c>
      <c r="D4423" s="538" t="n">
        <v>21.88</v>
      </c>
      <c r="E4423" s="538" t="n">
        <v>32.8</v>
      </c>
    </row>
    <row r="4424">
      <c r="A4424" s="544" t="n">
        <v>35402</v>
      </c>
      <c r="B4424" s="538" t="n">
        <v>24.12</v>
      </c>
      <c r="C4424" s="538" t="n">
        <v>24.8</v>
      </c>
      <c r="D4424" s="538" t="n">
        <v>22.1</v>
      </c>
      <c r="E4424" s="538" t="n">
        <v>32.8</v>
      </c>
    </row>
    <row r="4425">
      <c r="A4425" s="544" t="n">
        <v>35403</v>
      </c>
      <c r="B4425" s="538" t="n">
        <v>24.21</v>
      </c>
      <c r="C4425" s="538" t="n">
        <v>25</v>
      </c>
      <c r="D4425" s="538" t="n">
        <v>21.95</v>
      </c>
      <c r="E4425" s="538" t="n">
        <v>32.9</v>
      </c>
    </row>
    <row r="4426">
      <c r="A4426" s="544" t="n">
        <v>35404</v>
      </c>
      <c r="B4426" s="538" t="n">
        <v>24.49</v>
      </c>
      <c r="C4426" s="538" t="n">
        <v>25.6</v>
      </c>
      <c r="D4426" s="538" t="n">
        <v>22.73</v>
      </c>
      <c r="E4426" s="538" t="n">
        <v>34.15</v>
      </c>
    </row>
    <row r="4427">
      <c r="A4427" s="544" t="n">
        <v>35405</v>
      </c>
      <c r="B4427" s="538" t="n">
        <v>24.56</v>
      </c>
      <c r="C4427" s="538" t="n">
        <v>25.6</v>
      </c>
      <c r="D4427" s="538" t="n">
        <v>22.58</v>
      </c>
      <c r="E4427" s="538" t="n">
        <v>35.15</v>
      </c>
    </row>
    <row r="4428">
      <c r="A4428" s="544" t="n">
        <v>35408</v>
      </c>
      <c r="B4428" s="538" t="n">
        <v>24.18</v>
      </c>
      <c r="C4428" s="538" t="n">
        <v>25.15</v>
      </c>
      <c r="D4428" s="538" t="n">
        <v>22.17</v>
      </c>
      <c r="E4428" s="538" t="n">
        <v>34.65</v>
      </c>
    </row>
    <row r="4429">
      <c r="A4429" s="544" t="n">
        <v>35409</v>
      </c>
      <c r="B4429" s="538" t="n">
        <v>23.74</v>
      </c>
      <c r="C4429" s="538" t="n">
        <v>24.25</v>
      </c>
      <c r="D4429" s="538" t="n">
        <v>21.4</v>
      </c>
      <c r="E4429" s="538" t="n">
        <v>33.75</v>
      </c>
    </row>
    <row r="4430">
      <c r="A4430" s="544" t="n">
        <v>35410</v>
      </c>
      <c r="B4430" s="538" t="n">
        <v>22.95</v>
      </c>
      <c r="C4430" s="538" t="n">
        <v>23.4</v>
      </c>
      <c r="D4430" s="538" t="n">
        <v>20.23</v>
      </c>
      <c r="E4430" s="538" t="n">
        <v>32.45</v>
      </c>
    </row>
    <row r="4431">
      <c r="A4431" s="544" t="n">
        <v>35411</v>
      </c>
      <c r="B4431" s="538" t="n">
        <v>22.65</v>
      </c>
      <c r="C4431" s="538" t="n">
        <v>23.75</v>
      </c>
      <c r="D4431" s="538" t="n">
        <v>20.63</v>
      </c>
      <c r="E4431" s="538" t="n">
        <v>32</v>
      </c>
    </row>
    <row r="4432">
      <c r="A4432" s="544" t="n">
        <v>35412</v>
      </c>
      <c r="B4432" s="538" t="n">
        <v>22.83</v>
      </c>
      <c r="C4432" s="538" t="n">
        <v>24.45</v>
      </c>
      <c r="D4432" s="538" t="n">
        <v>21.7</v>
      </c>
      <c r="E4432" s="538" t="n">
        <v>33.15</v>
      </c>
    </row>
    <row r="4433">
      <c r="A4433" s="544" t="n">
        <v>35415</v>
      </c>
      <c r="B4433" s="538" t="n">
        <v>23.98</v>
      </c>
      <c r="C4433" s="538" t="n">
        <v>25.7</v>
      </c>
      <c r="D4433" s="538" t="n">
        <v>22.08</v>
      </c>
      <c r="E4433" s="538" t="n">
        <v>33.22</v>
      </c>
    </row>
    <row r="4434">
      <c r="A4434" s="544" t="n">
        <v>35416</v>
      </c>
      <c r="B4434" s="538" t="n">
        <v>24.05</v>
      </c>
      <c r="C4434" s="538" t="n">
        <v>25.7</v>
      </c>
      <c r="D4434" s="538" t="n">
        <v>21.85</v>
      </c>
      <c r="E4434" s="538" t="n">
        <v>33.22</v>
      </c>
    </row>
    <row r="4435">
      <c r="A4435" s="544" t="n">
        <v>35417</v>
      </c>
      <c r="B4435" s="538" t="n">
        <v>23.69</v>
      </c>
      <c r="C4435" s="538" t="n">
        <v>26.05</v>
      </c>
      <c r="D4435" s="538" t="n">
        <v>22.2</v>
      </c>
      <c r="E4435" s="538" t="n">
        <v>33.33</v>
      </c>
    </row>
    <row r="4436">
      <c r="A4436" s="544" t="n">
        <v>35418</v>
      </c>
      <c r="B4436" s="538" t="n">
        <v>24.18</v>
      </c>
      <c r="C4436" s="538" t="n">
        <v>26.55</v>
      </c>
      <c r="D4436" s="538" t="n">
        <v>22.1</v>
      </c>
      <c r="E4436" s="538" t="n">
        <v>33.33</v>
      </c>
    </row>
    <row r="4437">
      <c r="A4437" s="544" t="n">
        <v>35419</v>
      </c>
      <c r="B4437" s="538" t="n">
        <v>23.96</v>
      </c>
      <c r="C4437" s="538" t="n">
        <v>26.1</v>
      </c>
      <c r="D4437" s="538" t="n">
        <v>21.63</v>
      </c>
      <c r="E4437" s="538" t="n">
        <v>32.9</v>
      </c>
    </row>
    <row r="4438">
      <c r="A4438" s="544" t="n">
        <v>35422</v>
      </c>
      <c r="B4438" s="538" t="n">
        <v>23.51</v>
      </c>
      <c r="C4438" s="538" t="n">
        <v>26.4</v>
      </c>
      <c r="D4438" s="538" t="n">
        <v>21.23</v>
      </c>
      <c r="E4438" s="538" t="n">
        <v>32.65</v>
      </c>
    </row>
    <row r="4439">
      <c r="A4439" s="544" t="n">
        <v>35423</v>
      </c>
      <c r="B4439" s="538" t="n">
        <v>23.66</v>
      </c>
      <c r="C4439" s="538" t="n">
        <v>25.05</v>
      </c>
      <c r="D4439" s="538" t="n">
        <v>21.4</v>
      </c>
      <c r="E4439" s="538" t="n">
        <v>32.75</v>
      </c>
    </row>
    <row r="4440">
      <c r="A4440" s="544" t="n">
        <v>35424</v>
      </c>
      <c r="B4440" s="538" t="n">
        <v>23.66</v>
      </c>
      <c r="C4440" s="538" t="n">
        <v>25.05</v>
      </c>
      <c r="D4440" s="538" t="n">
        <v>21.4</v>
      </c>
      <c r="E4440" s="538" t="n">
        <v>32.75</v>
      </c>
    </row>
    <row r="4441">
      <c r="A4441" s="544" t="n">
        <v>35425</v>
      </c>
      <c r="B4441" s="538" t="n">
        <v>23.66</v>
      </c>
      <c r="C4441" s="538" t="n">
        <v>25.1</v>
      </c>
      <c r="D4441" s="538" t="n">
        <v>21.4</v>
      </c>
      <c r="E4441" s="538" t="n">
        <v>32.75</v>
      </c>
    </row>
    <row r="4442">
      <c r="A4442" s="544" t="n">
        <v>35426</v>
      </c>
      <c r="B4442" s="538" t="n">
        <v>23.55</v>
      </c>
      <c r="C4442" s="538" t="n">
        <v>25.2</v>
      </c>
      <c r="D4442" s="538" t="n">
        <v>21.4</v>
      </c>
      <c r="E4442" s="538" t="n">
        <v>33.5</v>
      </c>
    </row>
    <row r="4443">
      <c r="A4443" s="544" t="n">
        <v>35429</v>
      </c>
      <c r="B4443" s="538" t="n">
        <v>23.95</v>
      </c>
      <c r="C4443" s="538" t="n">
        <v>25.35</v>
      </c>
      <c r="D4443" s="538" t="n">
        <v>21.58</v>
      </c>
      <c r="E4443" s="538" t="n">
        <v>33.6</v>
      </c>
    </row>
    <row r="4444">
      <c r="A4444" s="544" t="n">
        <v>35430</v>
      </c>
      <c r="B4444" s="538" t="n">
        <v>23.9</v>
      </c>
      <c r="C4444" s="538" t="n">
        <v>25.9</v>
      </c>
      <c r="D4444" s="538" t="n">
        <v>21.73</v>
      </c>
      <c r="E4444" s="538" t="n">
        <v>33.55</v>
      </c>
    </row>
    <row r="4445">
      <c r="A4445" s="544" t="n">
        <v>35431</v>
      </c>
      <c r="B4445" s="538" t="n">
        <v>23.9</v>
      </c>
      <c r="C4445" s="538" t="n">
        <v>25.9</v>
      </c>
      <c r="D4445" s="538" t="n">
        <v>21.73</v>
      </c>
      <c r="E4445" s="538" t="n">
        <v>33.55</v>
      </c>
    </row>
    <row r="4446">
      <c r="A4446" s="544" t="n">
        <v>35432</v>
      </c>
      <c r="B4446" s="538" t="n">
        <v>24.45</v>
      </c>
      <c r="C4446" s="538" t="n">
        <v>25.55</v>
      </c>
      <c r="D4446" s="538" t="n">
        <v>22.15</v>
      </c>
      <c r="E4446" s="538" t="n">
        <v>33.55</v>
      </c>
    </row>
    <row r="4447">
      <c r="A4447" s="544" t="n">
        <v>35433</v>
      </c>
      <c r="B4447" s="538" t="n">
        <v>24.19</v>
      </c>
      <c r="C4447" s="538" t="n">
        <v>25.55</v>
      </c>
      <c r="D4447" s="538" t="n">
        <v>22.2</v>
      </c>
      <c r="E4447" s="538" t="n">
        <v>33.55</v>
      </c>
    </row>
    <row r="4448">
      <c r="A4448" s="544" t="n">
        <v>35436</v>
      </c>
      <c r="B4448" s="538" t="n">
        <v>24.76</v>
      </c>
      <c r="C4448" s="538" t="n">
        <v>26.25</v>
      </c>
      <c r="D4448" s="538" t="n">
        <v>22.83</v>
      </c>
      <c r="E4448" s="538" t="n">
        <v>33.55</v>
      </c>
    </row>
    <row r="4449">
      <c r="A4449" s="544" t="n">
        <v>35437</v>
      </c>
      <c r="B4449" s="538" t="n">
        <v>24.76</v>
      </c>
      <c r="C4449" s="538" t="n">
        <v>26.25</v>
      </c>
      <c r="D4449" s="538" t="n">
        <v>22.75</v>
      </c>
      <c r="E4449" s="538" t="n">
        <v>33.35</v>
      </c>
    </row>
    <row r="4450">
      <c r="A4450" s="544" t="n">
        <v>35438</v>
      </c>
      <c r="B4450" s="538" t="n">
        <v>24.78</v>
      </c>
      <c r="C4450" s="538" t="n">
        <v>26.55</v>
      </c>
      <c r="D4450" s="538" t="n">
        <v>22.75</v>
      </c>
      <c r="E4450" s="538" t="n">
        <v>33.25</v>
      </c>
    </row>
    <row r="4451">
      <c r="A4451" s="544" t="n">
        <v>35439</v>
      </c>
      <c r="B4451" s="538" t="n">
        <v>24.83</v>
      </c>
      <c r="C4451" s="538" t="n">
        <v>26.3</v>
      </c>
      <c r="D4451" s="538" t="n">
        <v>22.45</v>
      </c>
      <c r="E4451" s="538" t="n">
        <v>33.05</v>
      </c>
    </row>
    <row r="4452">
      <c r="A4452" s="544" t="n">
        <v>35440</v>
      </c>
      <c r="B4452" s="538" t="n">
        <v>24.22</v>
      </c>
      <c r="C4452" s="538" t="n">
        <v>26.15</v>
      </c>
      <c r="D4452" s="538" t="n">
        <v>21.95</v>
      </c>
      <c r="E4452" s="538" t="n">
        <v>32.75</v>
      </c>
    </row>
    <row r="4453">
      <c r="A4453" s="544" t="n">
        <v>35443</v>
      </c>
      <c r="B4453" s="538" t="n">
        <v>23.41</v>
      </c>
      <c r="C4453" s="538" t="n">
        <v>25.2</v>
      </c>
      <c r="D4453" s="538" t="n">
        <v>21.15</v>
      </c>
      <c r="E4453" s="538" t="n">
        <v>32.4</v>
      </c>
    </row>
    <row r="4454">
      <c r="A4454" s="544" t="n">
        <v>35444</v>
      </c>
      <c r="B4454" s="538" t="n">
        <v>23.41</v>
      </c>
      <c r="C4454" s="538" t="n">
        <v>25.1</v>
      </c>
      <c r="D4454" s="538" t="n">
        <v>21.1</v>
      </c>
      <c r="E4454" s="538" t="n">
        <v>31.35</v>
      </c>
    </row>
    <row r="4455">
      <c r="A4455" s="544" t="n">
        <v>35445</v>
      </c>
      <c r="B4455" s="538" t="n">
        <v>23.31</v>
      </c>
      <c r="C4455" s="538" t="n">
        <v>25.95</v>
      </c>
      <c r="D4455" s="538" t="n">
        <v>21.65</v>
      </c>
      <c r="E4455" s="538" t="n">
        <v>31.1</v>
      </c>
    </row>
    <row r="4456">
      <c r="A4456" s="544" t="n">
        <v>35446</v>
      </c>
      <c r="B4456" s="538" t="n">
        <v>23.31</v>
      </c>
      <c r="C4456" s="538" t="n">
        <v>25.45</v>
      </c>
      <c r="D4456" s="538" t="n">
        <v>21.1</v>
      </c>
      <c r="E4456" s="538" t="n">
        <v>30.9</v>
      </c>
    </row>
    <row r="4457">
      <c r="A4457" s="544" t="n">
        <v>35447</v>
      </c>
      <c r="B4457" s="538" t="n">
        <v>22.87</v>
      </c>
      <c r="C4457" s="538" t="n">
        <v>25.4</v>
      </c>
      <c r="D4457" s="538" t="n">
        <v>20.6</v>
      </c>
      <c r="E4457" s="538" t="n">
        <v>30.8</v>
      </c>
    </row>
    <row r="4458">
      <c r="A4458" s="544" t="n">
        <v>35450</v>
      </c>
      <c r="B4458" s="538" t="n">
        <v>22.86</v>
      </c>
      <c r="C4458" s="538" t="n">
        <v>25.1</v>
      </c>
      <c r="D4458" s="538" t="n">
        <v>20.35</v>
      </c>
      <c r="E4458" s="538" t="n">
        <v>30.6</v>
      </c>
    </row>
    <row r="4459">
      <c r="A4459" s="544" t="n">
        <v>35451</v>
      </c>
      <c r="B4459" s="538" t="n">
        <v>22.98</v>
      </c>
      <c r="C4459" s="538" t="n">
        <v>24.8</v>
      </c>
      <c r="D4459" s="538" t="n">
        <v>20.35</v>
      </c>
      <c r="E4459" s="538" t="n">
        <v>29.75</v>
      </c>
    </row>
    <row r="4460">
      <c r="A4460" s="544" t="n">
        <v>35452</v>
      </c>
      <c r="B4460" s="538" t="n">
        <v>22.93</v>
      </c>
      <c r="C4460" s="538" t="n">
        <v>24.4</v>
      </c>
      <c r="D4460" s="538" t="n">
        <v>20.5</v>
      </c>
      <c r="E4460" s="538" t="n">
        <v>27.55</v>
      </c>
    </row>
    <row r="4461">
      <c r="A4461" s="544" t="n">
        <v>35453</v>
      </c>
      <c r="B4461" s="538" t="n">
        <v>22.93</v>
      </c>
      <c r="C4461" s="538" t="n">
        <v>23.85</v>
      </c>
      <c r="D4461" s="538" t="n">
        <v>20.45</v>
      </c>
      <c r="E4461" s="538" t="n">
        <v>28.15</v>
      </c>
    </row>
    <row r="4462">
      <c r="A4462" s="544" t="n">
        <v>35454</v>
      </c>
      <c r="B4462" s="538" t="n">
        <v>22.8</v>
      </c>
      <c r="C4462" s="538" t="n">
        <v>23.85</v>
      </c>
      <c r="D4462" s="538" t="n">
        <v>20.2</v>
      </c>
      <c r="E4462" s="538" t="n">
        <v>28.55</v>
      </c>
    </row>
    <row r="4463">
      <c r="A4463" s="544" t="n">
        <v>35457</v>
      </c>
      <c r="B4463" s="538" t="n">
        <v>22.56</v>
      </c>
      <c r="C4463" s="538" t="n">
        <v>23.85</v>
      </c>
      <c r="D4463" s="538" t="n">
        <v>20.1</v>
      </c>
      <c r="E4463" s="538" t="n">
        <v>28.9</v>
      </c>
    </row>
    <row r="4464">
      <c r="A4464" s="544" t="n">
        <v>35458</v>
      </c>
      <c r="B4464" s="538" t="n">
        <v>22.62</v>
      </c>
      <c r="C4464" s="538" t="n">
        <v>23.9</v>
      </c>
      <c r="D4464" s="538" t="n">
        <v>20.4</v>
      </c>
      <c r="E4464" s="538" t="n">
        <v>28.75</v>
      </c>
    </row>
    <row r="4465">
      <c r="A4465" s="544" t="n">
        <v>35459</v>
      </c>
      <c r="B4465" s="538" t="n">
        <v>23.01</v>
      </c>
      <c r="C4465" s="538" t="n">
        <v>24.5</v>
      </c>
      <c r="D4465" s="538" t="n">
        <v>20.9</v>
      </c>
      <c r="E4465" s="538" t="n">
        <v>30.25</v>
      </c>
    </row>
    <row r="4466">
      <c r="A4466" s="544" t="n">
        <v>35460</v>
      </c>
      <c r="B4466" s="538" t="n">
        <v>23.43</v>
      </c>
      <c r="C4466" s="538" t="n">
        <v>24.8</v>
      </c>
      <c r="D4466" s="538" t="n">
        <v>21.15</v>
      </c>
      <c r="E4466" s="538" t="n">
        <v>30.7</v>
      </c>
    </row>
    <row r="4467">
      <c r="A4467" s="544" t="n">
        <v>35461</v>
      </c>
      <c r="B4467" s="538" t="n">
        <v>23.28</v>
      </c>
      <c r="C4467" s="538" t="n">
        <v>24.15</v>
      </c>
      <c r="D4467" s="538" t="n">
        <v>20.45</v>
      </c>
      <c r="E4467" s="538" t="n">
        <v>30.95</v>
      </c>
    </row>
    <row r="4468">
      <c r="A4468" s="544" t="n">
        <v>35464</v>
      </c>
      <c r="B4468" s="538" t="n">
        <v>22.91</v>
      </c>
      <c r="C4468" s="538" t="n">
        <v>24.2</v>
      </c>
      <c r="D4468" s="538" t="n">
        <v>20.55</v>
      </c>
      <c r="E4468" s="538" t="n">
        <v>30.95</v>
      </c>
    </row>
    <row r="4469">
      <c r="A4469" s="544" t="n">
        <v>35465</v>
      </c>
      <c r="B4469" s="538" t="n">
        <v>22.65</v>
      </c>
      <c r="C4469" s="538" t="n">
        <v>24</v>
      </c>
      <c r="D4469" s="538" t="n">
        <v>20.35</v>
      </c>
      <c r="E4469" s="538" t="n">
        <v>30.95</v>
      </c>
    </row>
    <row r="4470">
      <c r="A4470" s="544" t="n">
        <v>35466</v>
      </c>
      <c r="B4470" s="538" t="n">
        <v>22.69</v>
      </c>
      <c r="C4470" s="538" t="n">
        <v>23.9</v>
      </c>
      <c r="D4470" s="538" t="n">
        <v>20.35</v>
      </c>
      <c r="E4470" s="538" t="n">
        <v>30.9</v>
      </c>
    </row>
    <row r="4471">
      <c r="A4471" s="544" t="n">
        <v>35467</v>
      </c>
      <c r="B4471" s="538" t="n">
        <v>21.86</v>
      </c>
      <c r="C4471" s="538" t="n">
        <v>23.05</v>
      </c>
      <c r="D4471" s="538" t="n">
        <v>19.33</v>
      </c>
      <c r="E4471" s="538" t="n">
        <v>30.9</v>
      </c>
    </row>
    <row r="4472">
      <c r="A4472" s="544" t="n">
        <v>35468</v>
      </c>
      <c r="B4472" s="538" t="n">
        <v>21.86</v>
      </c>
      <c r="C4472" s="538" t="n">
        <v>22.3</v>
      </c>
      <c r="D4472" s="538" t="n">
        <v>18.73</v>
      </c>
      <c r="E4472" s="538" t="n">
        <v>30.9</v>
      </c>
    </row>
    <row r="4473">
      <c r="A4473" s="544" t="n">
        <v>35471</v>
      </c>
      <c r="B4473" s="538" t="n">
        <v>20.73</v>
      </c>
      <c r="C4473" s="538" t="n">
        <v>22.45</v>
      </c>
      <c r="D4473" s="538" t="n">
        <v>18.95</v>
      </c>
      <c r="E4473" s="538" t="n">
        <v>30.9</v>
      </c>
    </row>
    <row r="4474">
      <c r="A4474" s="544" t="n">
        <v>35472</v>
      </c>
      <c r="B4474" s="538" t="n">
        <v>21.25</v>
      </c>
      <c r="C4474" s="538" t="n">
        <v>22.35</v>
      </c>
      <c r="D4474" s="538" t="n">
        <v>18.9</v>
      </c>
      <c r="E4474" s="538" t="n">
        <v>30.6</v>
      </c>
    </row>
    <row r="4475">
      <c r="A4475" s="544" t="n">
        <v>35473</v>
      </c>
      <c r="B4475" s="538" t="n">
        <v>21.15</v>
      </c>
      <c r="C4475" s="538" t="n">
        <v>21.75</v>
      </c>
      <c r="D4475" s="538" t="n">
        <v>18.45</v>
      </c>
      <c r="E4475" s="538" t="n">
        <v>29.75</v>
      </c>
    </row>
    <row r="4476">
      <c r="A4476" s="544" t="n">
        <v>35474</v>
      </c>
      <c r="B4476" s="538" t="n">
        <v>20.47</v>
      </c>
      <c r="C4476" s="538" t="n">
        <v>22.1</v>
      </c>
      <c r="D4476" s="538" t="n">
        <v>18.5</v>
      </c>
      <c r="E4476" s="538" t="n">
        <v>28.55</v>
      </c>
    </row>
    <row r="4477">
      <c r="A4477" s="544" t="n">
        <v>35475</v>
      </c>
      <c r="B4477" s="538" t="n">
        <v>20.56</v>
      </c>
      <c r="C4477" s="538" t="n">
        <v>22.4</v>
      </c>
      <c r="D4477" s="538" t="n">
        <v>18.55</v>
      </c>
      <c r="E4477" s="538" t="n">
        <v>28.65</v>
      </c>
    </row>
    <row r="4478">
      <c r="A4478" s="544" t="n">
        <v>35478</v>
      </c>
      <c r="B4478" s="538" t="n">
        <v>20.48</v>
      </c>
      <c r="C4478" s="538" t="n">
        <v>22.4</v>
      </c>
      <c r="D4478" s="538" t="n">
        <v>18.55</v>
      </c>
      <c r="E4478" s="538" t="n">
        <v>28.7</v>
      </c>
    </row>
    <row r="4479">
      <c r="A4479" s="544" t="n">
        <v>35479</v>
      </c>
      <c r="B4479" s="538" t="n">
        <v>20.56</v>
      </c>
      <c r="C4479" s="538" t="n">
        <v>22.5</v>
      </c>
      <c r="D4479" s="538" t="n">
        <v>18.5</v>
      </c>
      <c r="E4479" s="538" t="n">
        <v>28.8</v>
      </c>
    </row>
    <row r="4480">
      <c r="A4480" s="544" t="n">
        <v>35480</v>
      </c>
      <c r="B4480" s="538" t="n">
        <v>20.98</v>
      </c>
      <c r="C4480" s="538" t="n">
        <v>22.65</v>
      </c>
      <c r="D4480" s="538" t="n">
        <v>18.75</v>
      </c>
      <c r="E4480" s="538" t="n">
        <v>28.8</v>
      </c>
    </row>
    <row r="4481">
      <c r="A4481" s="544" t="n">
        <v>35481</v>
      </c>
      <c r="B4481" s="538" t="n">
        <v>20.57</v>
      </c>
      <c r="C4481" s="538" t="n">
        <v>21.95</v>
      </c>
      <c r="D4481" s="538" t="n">
        <v>18.15</v>
      </c>
      <c r="E4481" s="538" t="n">
        <v>28.35</v>
      </c>
    </row>
    <row r="4482">
      <c r="A4482" s="544" t="n">
        <v>35482</v>
      </c>
      <c r="B4482" s="538" t="n">
        <v>20.13</v>
      </c>
      <c r="C4482" s="538" t="n">
        <v>21.6</v>
      </c>
      <c r="D4482" s="538" t="n">
        <v>17.8</v>
      </c>
      <c r="E4482" s="538" t="n">
        <v>27.65</v>
      </c>
    </row>
    <row r="4483">
      <c r="A4483" s="544" t="n">
        <v>35485</v>
      </c>
      <c r="B4483" s="538" t="n">
        <v>19.87</v>
      </c>
      <c r="C4483" s="538" t="n">
        <v>21</v>
      </c>
      <c r="D4483" s="538" t="n">
        <v>17.2</v>
      </c>
      <c r="E4483" s="538" t="n">
        <v>27.15</v>
      </c>
    </row>
    <row r="4484">
      <c r="A4484" s="544" t="n">
        <v>35486</v>
      </c>
      <c r="B4484" s="538" t="n">
        <v>20.08</v>
      </c>
      <c r="C4484" s="538" t="n">
        <v>20.95</v>
      </c>
      <c r="D4484" s="538" t="n">
        <v>17.73</v>
      </c>
      <c r="E4484" s="538" t="n">
        <v>26.7</v>
      </c>
    </row>
    <row r="4485">
      <c r="A4485" s="544" t="n">
        <v>35487</v>
      </c>
      <c r="B4485" s="538" t="n">
        <v>19.82</v>
      </c>
      <c r="C4485" s="538" t="n">
        <v>21.1</v>
      </c>
      <c r="D4485" s="538" t="n">
        <v>17.8</v>
      </c>
      <c r="E4485" s="538" t="n">
        <v>27.05</v>
      </c>
    </row>
    <row r="4486">
      <c r="A4486" s="544" t="n">
        <v>35488</v>
      </c>
      <c r="B4486" s="538" t="n">
        <v>19.96</v>
      </c>
      <c r="C4486" s="538" t="n">
        <v>20.8</v>
      </c>
      <c r="D4486" s="538" t="n">
        <v>17.55</v>
      </c>
      <c r="E4486" s="538" t="n">
        <v>27.05</v>
      </c>
    </row>
    <row r="4487">
      <c r="A4487" s="544" t="n">
        <v>35489</v>
      </c>
      <c r="B4487" s="538" t="n">
        <v>19.44</v>
      </c>
      <c r="C4487" s="538" t="n">
        <v>20.3</v>
      </c>
      <c r="D4487" s="538" t="n">
        <v>17.15</v>
      </c>
      <c r="E4487" s="538" t="n">
        <v>27.5</v>
      </c>
    </row>
    <row r="4488">
      <c r="A4488" s="544" t="n">
        <v>35492</v>
      </c>
      <c r="B4488" s="538" t="n">
        <v>19.1</v>
      </c>
      <c r="C4488" s="538" t="n">
        <v>20.25</v>
      </c>
      <c r="D4488" s="538" t="n">
        <v>17.15</v>
      </c>
      <c r="E4488" s="538" t="n">
        <v>28.5</v>
      </c>
    </row>
    <row r="4489">
      <c r="A4489" s="544" t="n">
        <v>35493</v>
      </c>
      <c r="B4489" s="538" t="n">
        <v>19.4</v>
      </c>
      <c r="C4489" s="538" t="n">
        <v>20.75</v>
      </c>
      <c r="D4489" s="538" t="n">
        <v>17.7</v>
      </c>
      <c r="E4489" s="538" t="n">
        <v>28.95</v>
      </c>
    </row>
    <row r="4490">
      <c r="A4490" s="544" t="n">
        <v>35494</v>
      </c>
      <c r="B4490" s="538" t="n">
        <v>19.38</v>
      </c>
      <c r="C4490" s="538" t="n">
        <v>20.5</v>
      </c>
      <c r="D4490" s="538" t="n">
        <v>17.6</v>
      </c>
      <c r="E4490" s="538" t="n">
        <v>28.95</v>
      </c>
    </row>
    <row r="4491">
      <c r="A4491" s="544" t="n">
        <v>35495</v>
      </c>
      <c r="B4491" s="538" t="n">
        <v>19.55</v>
      </c>
      <c r="C4491" s="538" t="n">
        <v>21</v>
      </c>
      <c r="D4491" s="538" t="n">
        <v>17.85</v>
      </c>
      <c r="E4491" s="538" t="n">
        <v>28.95</v>
      </c>
    </row>
    <row r="4492">
      <c r="A4492" s="544" t="n">
        <v>35496</v>
      </c>
      <c r="B4492" s="538" t="n">
        <v>19.55</v>
      </c>
      <c r="C4492" s="538" t="n">
        <v>21.35</v>
      </c>
      <c r="D4492" s="538" t="n">
        <v>17.95</v>
      </c>
      <c r="E4492" s="538" t="n">
        <v>28.85</v>
      </c>
    </row>
    <row r="4493">
      <c r="A4493" s="544" t="n">
        <v>35499</v>
      </c>
      <c r="B4493" s="538" t="n">
        <v>19.21</v>
      </c>
      <c r="C4493" s="538" t="n">
        <v>20.5</v>
      </c>
      <c r="D4493" s="538" t="n">
        <v>17.55</v>
      </c>
      <c r="E4493" s="538" t="n">
        <v>28.25</v>
      </c>
    </row>
    <row r="4494">
      <c r="A4494" s="544" t="n">
        <v>35500</v>
      </c>
      <c r="B4494" s="538" t="n">
        <v>18.57</v>
      </c>
      <c r="C4494" s="538" t="n">
        <v>20.15</v>
      </c>
      <c r="D4494" s="538" t="n">
        <v>17.8</v>
      </c>
      <c r="E4494" s="538" t="n">
        <v>28.25</v>
      </c>
    </row>
    <row r="4495">
      <c r="A4495" s="544" t="n">
        <v>35501</v>
      </c>
      <c r="B4495" s="538" t="n">
        <v>18.98</v>
      </c>
      <c r="C4495" s="538" t="n">
        <v>20.6</v>
      </c>
      <c r="D4495" s="538" t="n">
        <v>18.15</v>
      </c>
      <c r="E4495" s="538" t="n">
        <v>28.25</v>
      </c>
    </row>
    <row r="4496">
      <c r="A4496" s="544" t="n">
        <v>35502</v>
      </c>
      <c r="B4496" s="538" t="n">
        <v>19.3</v>
      </c>
      <c r="C4496" s="538" t="n">
        <v>20.65</v>
      </c>
      <c r="D4496" s="538" t="n">
        <v>18.2</v>
      </c>
      <c r="E4496" s="538" t="n">
        <v>27.45</v>
      </c>
    </row>
    <row r="4497">
      <c r="A4497" s="544" t="n">
        <v>35503</v>
      </c>
      <c r="B4497" s="538" t="n">
        <v>19.44</v>
      </c>
      <c r="C4497" s="538" t="n">
        <v>21.3</v>
      </c>
      <c r="D4497" s="538" t="n">
        <v>18.55</v>
      </c>
      <c r="E4497" s="538" t="n">
        <v>26.7</v>
      </c>
    </row>
    <row r="4498">
      <c r="A4498" s="544" t="n">
        <v>35506</v>
      </c>
      <c r="B4498" s="538" t="n">
        <v>18.98</v>
      </c>
      <c r="C4498" s="538" t="n">
        <v>20.9</v>
      </c>
      <c r="D4498" s="538" t="n">
        <v>17.95</v>
      </c>
      <c r="E4498" s="538" t="n">
        <v>26.55</v>
      </c>
    </row>
    <row r="4499">
      <c r="A4499" s="544" t="n">
        <v>35507</v>
      </c>
      <c r="B4499" s="538" t="n">
        <v>19.54</v>
      </c>
      <c r="C4499" s="538" t="n">
        <v>22</v>
      </c>
      <c r="D4499" s="538" t="n">
        <v>18.6</v>
      </c>
      <c r="E4499" s="538" t="n">
        <v>26.65</v>
      </c>
    </row>
    <row r="4500">
      <c r="A4500" s="544" t="n">
        <v>35508</v>
      </c>
      <c r="B4500" s="538" t="n">
        <v>20</v>
      </c>
      <c r="C4500" s="538" t="n">
        <v>22</v>
      </c>
      <c r="D4500" s="538" t="n">
        <v>18.6</v>
      </c>
      <c r="E4500" s="538" t="n">
        <v>27.25</v>
      </c>
    </row>
    <row r="4501">
      <c r="A4501" s="544" t="n">
        <v>35509</v>
      </c>
      <c r="B4501" s="538" t="n">
        <v>19.62</v>
      </c>
      <c r="C4501" s="538" t="n">
        <v>22</v>
      </c>
      <c r="D4501" s="538" t="n">
        <v>18.7</v>
      </c>
      <c r="E4501" s="538" t="n">
        <v>27</v>
      </c>
    </row>
    <row r="4502">
      <c r="A4502" s="544" t="n">
        <v>35510</v>
      </c>
      <c r="B4502" s="538" t="n">
        <v>19.39</v>
      </c>
      <c r="C4502" s="538" t="n">
        <v>21.7</v>
      </c>
      <c r="D4502" s="538" t="n">
        <v>18.45</v>
      </c>
      <c r="E4502" s="538" t="n">
        <v>27</v>
      </c>
    </row>
    <row r="4503">
      <c r="A4503" s="544" t="n">
        <v>35513</v>
      </c>
      <c r="B4503" s="538" t="n">
        <v>18.93</v>
      </c>
      <c r="C4503" s="538" t="n">
        <v>21</v>
      </c>
      <c r="D4503" s="538" t="n">
        <v>18.05</v>
      </c>
      <c r="E4503" s="538" t="n">
        <v>26.95</v>
      </c>
    </row>
    <row r="4504">
      <c r="A4504" s="544" t="n">
        <v>35514</v>
      </c>
      <c r="B4504" s="538" t="n">
        <v>18.77</v>
      </c>
      <c r="C4504" s="538" t="n">
        <v>20.95</v>
      </c>
      <c r="D4504" s="538" t="n">
        <v>18.1</v>
      </c>
      <c r="E4504" s="538" t="n">
        <v>26.55</v>
      </c>
    </row>
    <row r="4505">
      <c r="A4505" s="544" t="n">
        <v>35515</v>
      </c>
      <c r="B4505" s="538" t="n">
        <v>18.91</v>
      </c>
      <c r="C4505" s="538" t="n">
        <v>20.65</v>
      </c>
      <c r="D4505" s="538" t="n">
        <v>18.05</v>
      </c>
      <c r="E4505" s="538" t="n">
        <v>26.15</v>
      </c>
    </row>
    <row r="4506">
      <c r="A4506" s="544" t="n">
        <v>35516</v>
      </c>
      <c r="B4506" s="538" t="n">
        <v>18.53</v>
      </c>
      <c r="C4506" s="538" t="n">
        <v>20.7</v>
      </c>
      <c r="D4506" s="538" t="n">
        <v>18.35</v>
      </c>
      <c r="E4506" s="538" t="n">
        <v>25.45</v>
      </c>
    </row>
    <row r="4507">
      <c r="A4507" s="544" t="n">
        <v>35517</v>
      </c>
      <c r="B4507" s="538" t="n">
        <v>18.53</v>
      </c>
      <c r="C4507" s="538" t="n">
        <v>20.7</v>
      </c>
      <c r="D4507" s="538" t="n">
        <v>18.35</v>
      </c>
      <c r="E4507" s="538" t="n">
        <v>25.45</v>
      </c>
    </row>
    <row r="4508">
      <c r="A4508" s="544" t="n">
        <v>35520</v>
      </c>
      <c r="B4508" s="538" t="n">
        <v>18.53</v>
      </c>
      <c r="C4508" s="538" t="n">
        <v>20.35</v>
      </c>
      <c r="D4508" s="538" t="n">
        <v>17.75</v>
      </c>
      <c r="E4508" s="538" t="n">
        <v>25.45</v>
      </c>
    </row>
    <row r="4509">
      <c r="A4509" s="544" t="n">
        <v>35521</v>
      </c>
      <c r="B4509" s="538" t="n">
        <v>18.15</v>
      </c>
      <c r="C4509" s="538" t="n">
        <v>20.3</v>
      </c>
      <c r="D4509" s="538" t="n">
        <v>17.6</v>
      </c>
      <c r="E4509" s="538" t="n">
        <v>25.15</v>
      </c>
    </row>
    <row r="4510">
      <c r="A4510" s="544" t="n">
        <v>35522</v>
      </c>
      <c r="B4510" s="538" t="n">
        <v>17.97</v>
      </c>
      <c r="C4510" s="538" t="n">
        <v>19.55</v>
      </c>
      <c r="D4510" s="538" t="n">
        <v>16.75</v>
      </c>
      <c r="E4510" s="538" t="n">
        <v>25.6</v>
      </c>
    </row>
    <row r="4511">
      <c r="A4511" s="544" t="n">
        <v>35523</v>
      </c>
      <c r="B4511" s="538" t="n">
        <v>17.28</v>
      </c>
      <c r="C4511" s="538" t="n">
        <v>19.45</v>
      </c>
      <c r="D4511" s="538" t="n">
        <v>16.5</v>
      </c>
      <c r="E4511" s="538" t="n">
        <v>26</v>
      </c>
    </row>
    <row r="4512">
      <c r="A4512" s="544" t="n">
        <v>35524</v>
      </c>
      <c r="B4512" s="538" t="n">
        <v>17.25</v>
      </c>
      <c r="C4512" s="538" t="n">
        <v>19.15</v>
      </c>
      <c r="D4512" s="538" t="n">
        <v>16.05</v>
      </c>
      <c r="E4512" s="538" t="n">
        <v>26.15</v>
      </c>
    </row>
    <row r="4513">
      <c r="A4513" s="544" t="n">
        <v>35527</v>
      </c>
      <c r="B4513" s="538" t="n">
        <v>16.92</v>
      </c>
      <c r="C4513" s="538" t="n">
        <v>19.25</v>
      </c>
      <c r="D4513" s="538" t="n">
        <v>16.05</v>
      </c>
      <c r="E4513" s="538" t="n">
        <v>25.1</v>
      </c>
    </row>
    <row r="4514">
      <c r="A4514" s="544" t="n">
        <v>35528</v>
      </c>
      <c r="B4514" s="538" t="n">
        <v>16.98</v>
      </c>
      <c r="C4514" s="538" t="n">
        <v>19.35</v>
      </c>
      <c r="D4514" s="538" t="n">
        <v>16.2</v>
      </c>
      <c r="E4514" s="538" t="n">
        <v>24.4</v>
      </c>
    </row>
    <row r="4515">
      <c r="A4515" s="544" t="n">
        <v>35529</v>
      </c>
      <c r="B4515" s="538" t="n">
        <v>17.02</v>
      </c>
      <c r="C4515" s="538" t="n">
        <v>19.25</v>
      </c>
      <c r="D4515" s="538" t="n">
        <v>16.2</v>
      </c>
      <c r="E4515" s="538" t="n">
        <v>24.75</v>
      </c>
    </row>
    <row r="4516">
      <c r="A4516" s="544" t="n">
        <v>35530</v>
      </c>
      <c r="B4516" s="538" t="n">
        <v>17.25</v>
      </c>
      <c r="C4516" s="538" t="n">
        <v>19.55</v>
      </c>
      <c r="D4516" s="538" t="n">
        <v>16.3</v>
      </c>
      <c r="E4516" s="538" t="n">
        <v>24.95</v>
      </c>
    </row>
    <row r="4517">
      <c r="A4517" s="544" t="n">
        <v>35531</v>
      </c>
      <c r="B4517" s="538" t="n">
        <v>17.54</v>
      </c>
      <c r="C4517" s="538" t="n">
        <v>19.5</v>
      </c>
      <c r="D4517" s="538" t="n">
        <v>16.2</v>
      </c>
      <c r="E4517" s="538" t="n">
        <v>24.95</v>
      </c>
    </row>
    <row r="4518">
      <c r="A4518" s="544" t="n">
        <v>35534</v>
      </c>
      <c r="B4518" s="538" t="n">
        <v>17.61</v>
      </c>
      <c r="C4518" s="538" t="n">
        <v>19.9</v>
      </c>
      <c r="D4518" s="538" t="n">
        <v>16.55</v>
      </c>
      <c r="E4518" s="538" t="n">
        <v>24.95</v>
      </c>
    </row>
    <row r="4519">
      <c r="A4519" s="544" t="n">
        <v>35535</v>
      </c>
      <c r="B4519" s="538" t="n">
        <v>17.53</v>
      </c>
      <c r="C4519" s="538" t="n">
        <v>19.6</v>
      </c>
      <c r="D4519" s="538" t="n">
        <v>16.2</v>
      </c>
      <c r="E4519" s="538" t="n">
        <v>25.2</v>
      </c>
    </row>
    <row r="4520">
      <c r="A4520" s="544" t="n">
        <v>35536</v>
      </c>
      <c r="B4520" s="538" t="n">
        <v>17.24</v>
      </c>
      <c r="C4520" s="538" t="n">
        <v>19.35</v>
      </c>
      <c r="D4520" s="538" t="n">
        <v>16.4</v>
      </c>
      <c r="E4520" s="538" t="n">
        <v>25.25</v>
      </c>
    </row>
    <row r="4521">
      <c r="A4521" s="544" t="n">
        <v>35537</v>
      </c>
      <c r="B4521" s="538" t="n">
        <v>17</v>
      </c>
      <c r="C4521" s="538" t="n">
        <v>19.5</v>
      </c>
      <c r="D4521" s="538" t="n">
        <v>16.4</v>
      </c>
      <c r="E4521" s="538" t="n">
        <v>25.1</v>
      </c>
    </row>
    <row r="4522">
      <c r="A4522" s="544" t="n">
        <v>35538</v>
      </c>
      <c r="B4522" s="538" t="n">
        <v>17.26</v>
      </c>
      <c r="C4522" s="538" t="n">
        <v>19.9</v>
      </c>
      <c r="D4522" s="538" t="n">
        <v>16.55</v>
      </c>
      <c r="E4522" s="538" t="n">
        <v>25.1</v>
      </c>
    </row>
    <row r="4523">
      <c r="A4523" s="544" t="n">
        <v>35541</v>
      </c>
      <c r="B4523" s="538" t="n">
        <v>17.74</v>
      </c>
      <c r="C4523" s="538" t="n">
        <v>20.35</v>
      </c>
      <c r="D4523" s="538" t="n">
        <v>17.05</v>
      </c>
      <c r="E4523" s="538" t="n">
        <v>24.8</v>
      </c>
    </row>
    <row r="4524">
      <c r="A4524" s="544" t="n">
        <v>35542</v>
      </c>
      <c r="B4524" s="538" t="n">
        <v>17.72</v>
      </c>
      <c r="C4524" s="538" t="n">
        <v>19.6</v>
      </c>
      <c r="D4524" s="538" t="n">
        <v>16.65</v>
      </c>
      <c r="E4524" s="538" t="n">
        <v>25</v>
      </c>
    </row>
    <row r="4525">
      <c r="A4525" s="544" t="n">
        <v>35543</v>
      </c>
      <c r="B4525" s="538" t="n">
        <v>17.46</v>
      </c>
      <c r="C4525" s="538" t="n">
        <v>19.65</v>
      </c>
      <c r="D4525" s="538" t="n">
        <v>16.6</v>
      </c>
      <c r="E4525" s="538" t="n">
        <v>24.75</v>
      </c>
    </row>
    <row r="4526">
      <c r="A4526" s="544" t="n">
        <v>35544</v>
      </c>
      <c r="B4526" s="538" t="n">
        <v>17.8</v>
      </c>
      <c r="C4526" s="538" t="n">
        <v>19.85</v>
      </c>
      <c r="D4526" s="538" t="n">
        <v>16.9</v>
      </c>
      <c r="E4526" s="538" t="n">
        <v>24.35</v>
      </c>
    </row>
    <row r="4527">
      <c r="A4527" s="544" t="n">
        <v>35545</v>
      </c>
      <c r="B4527" s="538" t="n">
        <v>18.07</v>
      </c>
      <c r="C4527" s="538" t="n">
        <v>19.8</v>
      </c>
      <c r="D4527" s="538" t="n">
        <v>16.9</v>
      </c>
      <c r="E4527" s="538" t="n">
        <v>24.2</v>
      </c>
    </row>
    <row r="4528">
      <c r="A4528" s="544" t="n">
        <v>35548</v>
      </c>
      <c r="B4528" s="538" t="n">
        <v>17.92</v>
      </c>
      <c r="C4528" s="538" t="n">
        <v>19.85</v>
      </c>
      <c r="D4528" s="538" t="n">
        <v>17</v>
      </c>
      <c r="E4528" s="538" t="n">
        <v>24.35</v>
      </c>
    </row>
    <row r="4529">
      <c r="A4529" s="544" t="n">
        <v>35549</v>
      </c>
      <c r="B4529" s="538" t="n">
        <v>18.27</v>
      </c>
      <c r="C4529" s="538" t="n">
        <v>20.4</v>
      </c>
      <c r="D4529" s="538" t="n">
        <v>17.7</v>
      </c>
      <c r="E4529" s="538" t="n">
        <v>25.03</v>
      </c>
    </row>
    <row r="4530">
      <c r="A4530" s="544" t="n">
        <v>35550</v>
      </c>
      <c r="B4530" s="538" t="n">
        <v>18.25</v>
      </c>
      <c r="C4530" s="538" t="n">
        <v>20.2</v>
      </c>
      <c r="D4530" s="538" t="n">
        <v>17.85</v>
      </c>
      <c r="E4530" s="538" t="n">
        <v>25.25</v>
      </c>
    </row>
    <row r="4531">
      <c r="A4531" s="544" t="n">
        <v>35551</v>
      </c>
      <c r="B4531" s="538" t="n">
        <v>18.24</v>
      </c>
      <c r="C4531" s="538" t="n">
        <v>19.9</v>
      </c>
      <c r="D4531" s="538" t="n">
        <v>17.7</v>
      </c>
      <c r="E4531" s="538" t="n">
        <v>25.25</v>
      </c>
    </row>
    <row r="4532">
      <c r="A4532" s="544" t="n">
        <v>35552</v>
      </c>
      <c r="B4532" s="538" t="n">
        <v>17.7</v>
      </c>
      <c r="C4532" s="538" t="n">
        <v>19.6</v>
      </c>
      <c r="D4532" s="538" t="n">
        <v>17.45</v>
      </c>
      <c r="E4532" s="538" t="n">
        <v>25.25</v>
      </c>
    </row>
    <row r="4533">
      <c r="A4533" s="544" t="n">
        <v>35555</v>
      </c>
      <c r="B4533" s="538" t="n">
        <v>17.72</v>
      </c>
      <c r="C4533" s="538" t="n">
        <v>19.6</v>
      </c>
      <c r="D4533" s="538" t="n">
        <v>17.35</v>
      </c>
      <c r="E4533" s="538" t="n">
        <v>25.2</v>
      </c>
    </row>
    <row r="4534">
      <c r="A4534" s="544" t="n">
        <v>35556</v>
      </c>
      <c r="B4534" s="538" t="n">
        <v>17.82</v>
      </c>
      <c r="C4534" s="538" t="n">
        <v>19.7</v>
      </c>
      <c r="D4534" s="538" t="n">
        <v>17.25</v>
      </c>
      <c r="E4534" s="538" t="n">
        <v>25.15</v>
      </c>
    </row>
    <row r="4535">
      <c r="A4535" s="544" t="n">
        <v>35557</v>
      </c>
      <c r="B4535" s="538" t="n">
        <v>17.84</v>
      </c>
      <c r="C4535" s="538" t="n">
        <v>19.6</v>
      </c>
      <c r="D4535" s="538" t="n">
        <v>17.9</v>
      </c>
      <c r="E4535" s="538" t="n">
        <v>25.15</v>
      </c>
    </row>
    <row r="4536">
      <c r="A4536" s="544" t="n">
        <v>35558</v>
      </c>
      <c r="B4536" s="538" t="n">
        <v>18.32</v>
      </c>
      <c r="C4536" s="538" t="n">
        <v>20.35</v>
      </c>
      <c r="D4536" s="538" t="n">
        <v>18.45</v>
      </c>
      <c r="E4536" s="538" t="n">
        <v>25</v>
      </c>
    </row>
    <row r="4537">
      <c r="A4537" s="544" t="n">
        <v>35559</v>
      </c>
      <c r="B4537" s="538" t="n">
        <v>18.62</v>
      </c>
      <c r="C4537" s="538" t="n">
        <v>20.45</v>
      </c>
      <c r="D4537" s="538" t="n">
        <v>18.45</v>
      </c>
      <c r="E4537" s="538" t="n">
        <v>24.95</v>
      </c>
    </row>
    <row r="4538">
      <c r="A4538" s="544" t="n">
        <v>35562</v>
      </c>
      <c r="B4538" s="538" t="n">
        <v>19.42</v>
      </c>
      <c r="C4538" s="538" t="n">
        <v>21.4</v>
      </c>
      <c r="D4538" s="538" t="n">
        <v>19.15</v>
      </c>
      <c r="E4538" s="538" t="n">
        <v>24.95</v>
      </c>
    </row>
    <row r="4539">
      <c r="A4539" s="544" t="n">
        <v>35563</v>
      </c>
      <c r="B4539" s="538" t="n">
        <v>19.4</v>
      </c>
      <c r="C4539" s="538" t="n">
        <v>21.1</v>
      </c>
      <c r="D4539" s="538" t="n">
        <v>18.45</v>
      </c>
      <c r="E4539" s="538" t="n">
        <v>25.05</v>
      </c>
    </row>
    <row r="4540">
      <c r="A4540" s="544" t="n">
        <v>35564</v>
      </c>
      <c r="B4540" s="538" t="n">
        <v>19.1</v>
      </c>
      <c r="C4540" s="538" t="n">
        <v>21.35</v>
      </c>
      <c r="D4540" s="538" t="n">
        <v>18.55</v>
      </c>
      <c r="E4540" s="538" t="n">
        <v>24.8</v>
      </c>
    </row>
    <row r="4541">
      <c r="A4541" s="544" t="n">
        <v>35565</v>
      </c>
      <c r="B4541" s="538" t="n">
        <v>19.4</v>
      </c>
      <c r="C4541" s="538" t="n">
        <v>21.3</v>
      </c>
      <c r="D4541" s="538" t="n">
        <v>18.45</v>
      </c>
      <c r="E4541" s="538" t="n">
        <v>24.7</v>
      </c>
    </row>
    <row r="4542">
      <c r="A4542" s="544" t="n">
        <v>35566</v>
      </c>
      <c r="B4542" s="538" t="n">
        <v>19.77</v>
      </c>
      <c r="C4542" s="538" t="n">
        <v>22.1</v>
      </c>
      <c r="D4542" s="538" t="n">
        <v>19.4</v>
      </c>
      <c r="E4542" s="538" t="n">
        <v>24.8</v>
      </c>
    </row>
    <row r="4543">
      <c r="A4543" s="544" t="n">
        <v>35569</v>
      </c>
      <c r="B4543" s="538" t="n">
        <v>19.92</v>
      </c>
      <c r="C4543" s="538" t="n">
        <v>21.5</v>
      </c>
      <c r="D4543" s="538" t="n">
        <v>19.15</v>
      </c>
      <c r="E4543" s="538" t="n">
        <v>24.9</v>
      </c>
    </row>
    <row r="4544">
      <c r="A4544" s="544" t="n">
        <v>35570</v>
      </c>
      <c r="B4544" s="538" t="n">
        <v>19.75</v>
      </c>
      <c r="C4544" s="538" t="n">
        <v>21.2</v>
      </c>
      <c r="D4544" s="538" t="n">
        <v>19.05</v>
      </c>
      <c r="E4544" s="538" t="n">
        <v>24.4</v>
      </c>
    </row>
    <row r="4545">
      <c r="A4545" s="544" t="n">
        <v>35571</v>
      </c>
      <c r="B4545" s="538" t="n">
        <v>19.7</v>
      </c>
      <c r="C4545" s="538" t="n">
        <v>21.6</v>
      </c>
      <c r="D4545" s="538" t="n">
        <v>19.1</v>
      </c>
      <c r="E4545" s="538" t="n">
        <v>24.4</v>
      </c>
    </row>
    <row r="4546">
      <c r="A4546" s="544" t="n">
        <v>35572</v>
      </c>
      <c r="B4546" s="538" t="n">
        <v>20.03</v>
      </c>
      <c r="C4546" s="538" t="n">
        <v>21.6</v>
      </c>
      <c r="D4546" s="538" t="n">
        <v>19.3</v>
      </c>
      <c r="E4546" s="538" t="n">
        <v>24.4</v>
      </c>
    </row>
    <row r="4547">
      <c r="A4547" s="544" t="n">
        <v>35573</v>
      </c>
      <c r="B4547" s="538" t="n">
        <v>20.15</v>
      </c>
      <c r="C4547" s="538" t="n">
        <v>21.25</v>
      </c>
      <c r="D4547" s="538" t="n">
        <v>19</v>
      </c>
      <c r="E4547" s="538" t="n">
        <v>24.4</v>
      </c>
    </row>
    <row r="4548">
      <c r="A4548" s="544" t="n">
        <v>35576</v>
      </c>
      <c r="B4548" s="538" t="n">
        <v>20.15</v>
      </c>
      <c r="C4548" s="538" t="n">
        <v>21.25</v>
      </c>
      <c r="D4548" s="538" t="n">
        <v>19</v>
      </c>
      <c r="E4548" s="538" t="n">
        <v>24.3</v>
      </c>
    </row>
    <row r="4549">
      <c r="A4549" s="544" t="n">
        <v>35577</v>
      </c>
      <c r="B4549" s="538" t="n">
        <v>19.33</v>
      </c>
      <c r="C4549" s="538" t="n">
        <v>20.75</v>
      </c>
      <c r="D4549" s="538" t="n">
        <v>18.25</v>
      </c>
      <c r="E4549" s="538" t="n">
        <v>24.4</v>
      </c>
    </row>
    <row r="4550">
      <c r="A4550" s="544" t="n">
        <v>35578</v>
      </c>
      <c r="B4550" s="538" t="n">
        <v>18.88</v>
      </c>
      <c r="C4550" s="538" t="n">
        <v>20.7</v>
      </c>
      <c r="D4550" s="538" t="n">
        <v>18.35</v>
      </c>
      <c r="E4550" s="538" t="n">
        <v>24.3</v>
      </c>
    </row>
    <row r="4551">
      <c r="A4551" s="544" t="n">
        <v>35579</v>
      </c>
      <c r="B4551" s="538" t="n">
        <v>19.38</v>
      </c>
      <c r="C4551" s="538" t="n">
        <v>21.15</v>
      </c>
      <c r="D4551" s="538" t="n">
        <v>19.15</v>
      </c>
      <c r="E4551" s="538" t="n">
        <v>23.9</v>
      </c>
    </row>
    <row r="4552">
      <c r="A4552" s="544" t="n">
        <v>35580</v>
      </c>
      <c r="B4552" s="538" t="n">
        <v>18.99</v>
      </c>
      <c r="C4552" s="538" t="n">
        <v>21</v>
      </c>
      <c r="D4552" s="538" t="n">
        <v>19.15</v>
      </c>
      <c r="E4552" s="538" t="n">
        <v>24.6</v>
      </c>
    </row>
    <row r="4553">
      <c r="A4553" s="544" t="n">
        <v>35583</v>
      </c>
      <c r="B4553" s="538" t="n">
        <v>19.17</v>
      </c>
      <c r="C4553" s="538" t="n">
        <v>21.15</v>
      </c>
      <c r="D4553" s="538" t="n">
        <v>18.95</v>
      </c>
      <c r="E4553" s="538" t="n">
        <v>24.75</v>
      </c>
    </row>
    <row r="4554">
      <c r="A4554" s="544" t="n">
        <v>35584</v>
      </c>
      <c r="B4554" s="538" t="n">
        <v>18.59</v>
      </c>
      <c r="C4554" s="538" t="n">
        <v>20.35</v>
      </c>
      <c r="D4554" s="538" t="n">
        <v>18.15</v>
      </c>
      <c r="E4554" s="538" t="n">
        <v>24.5</v>
      </c>
    </row>
    <row r="4555">
      <c r="A4555" s="544" t="n">
        <v>35585</v>
      </c>
      <c r="B4555" s="538" t="n">
        <v>18.36</v>
      </c>
      <c r="C4555" s="538" t="n">
        <v>20.3</v>
      </c>
      <c r="D4555" s="538" t="n">
        <v>18.1</v>
      </c>
      <c r="E4555" s="538" t="n">
        <v>24.25</v>
      </c>
    </row>
    <row r="4556">
      <c r="A4556" s="544" t="n">
        <v>35586</v>
      </c>
      <c r="B4556" s="538" t="n">
        <v>17.96</v>
      </c>
      <c r="C4556" s="538" t="n">
        <v>19.8</v>
      </c>
      <c r="D4556" s="538" t="n">
        <v>17.7</v>
      </c>
      <c r="E4556" s="538" t="n">
        <v>24</v>
      </c>
    </row>
    <row r="4557">
      <c r="A4557" s="544" t="n">
        <v>35587</v>
      </c>
      <c r="B4557" s="538" t="n">
        <v>17.43</v>
      </c>
      <c r="C4557" s="538" t="n">
        <v>19</v>
      </c>
      <c r="D4557" s="538" t="n">
        <v>16.95</v>
      </c>
      <c r="E4557" s="538" t="n">
        <v>24</v>
      </c>
    </row>
    <row r="4558">
      <c r="A4558" s="544" t="n">
        <v>35590</v>
      </c>
      <c r="B4558" s="538" t="n">
        <v>17.08</v>
      </c>
      <c r="C4558" s="538" t="n">
        <v>18.85</v>
      </c>
      <c r="D4558" s="538" t="n">
        <v>17.05</v>
      </c>
      <c r="E4558" s="538" t="n">
        <v>23.4</v>
      </c>
    </row>
    <row r="4559">
      <c r="A4559" s="544" t="n">
        <v>35591</v>
      </c>
      <c r="B4559" s="538" t="n">
        <v>17.01</v>
      </c>
      <c r="C4559" s="538" t="n">
        <v>18.85</v>
      </c>
      <c r="D4559" s="538" t="n">
        <v>17.05</v>
      </c>
      <c r="E4559" s="538" t="n">
        <v>22.75</v>
      </c>
    </row>
    <row r="4560">
      <c r="A4560" s="544" t="n">
        <v>35592</v>
      </c>
      <c r="B4560" s="538" t="n">
        <v>16.69</v>
      </c>
      <c r="C4560" s="538" t="n">
        <v>18.75</v>
      </c>
      <c r="D4560" s="538" t="n">
        <v>16.75</v>
      </c>
      <c r="E4560" s="538" t="n">
        <v>22.75</v>
      </c>
    </row>
    <row r="4561">
      <c r="A4561" s="544" t="n">
        <v>35593</v>
      </c>
      <c r="B4561" s="538" t="n">
        <v>16.79</v>
      </c>
      <c r="C4561" s="538" t="n">
        <v>19</v>
      </c>
      <c r="D4561" s="538" t="n">
        <v>16.9</v>
      </c>
      <c r="E4561" s="538" t="n">
        <v>22.75</v>
      </c>
    </row>
    <row r="4562">
      <c r="A4562" s="544" t="n">
        <v>35594</v>
      </c>
      <c r="B4562" s="538" t="n">
        <v>16.83</v>
      </c>
      <c r="C4562" s="538" t="n">
        <v>18.95</v>
      </c>
      <c r="D4562" s="538" t="n">
        <v>17.1</v>
      </c>
      <c r="E4562" s="538" t="n">
        <v>22.75</v>
      </c>
    </row>
    <row r="4563">
      <c r="A4563" s="544" t="n">
        <v>35597</v>
      </c>
      <c r="B4563" s="538" t="n">
        <v>17.15</v>
      </c>
      <c r="C4563" s="538" t="n">
        <v>19.1</v>
      </c>
      <c r="D4563" s="538" t="n">
        <v>17.1</v>
      </c>
      <c r="E4563" s="538" t="n">
        <v>22.85</v>
      </c>
    </row>
    <row r="4564">
      <c r="A4564" s="544" t="n">
        <v>35598</v>
      </c>
      <c r="B4564" s="538" t="n">
        <v>17.55</v>
      </c>
      <c r="C4564" s="538" t="n">
        <v>19.3</v>
      </c>
      <c r="D4564" s="538" t="n">
        <v>17.3</v>
      </c>
      <c r="E4564" s="538" t="n">
        <v>22.85</v>
      </c>
    </row>
    <row r="4565">
      <c r="A4565" s="544" t="n">
        <v>35599</v>
      </c>
      <c r="B4565" s="538" t="n">
        <v>17.22</v>
      </c>
      <c r="C4565" s="538" t="n">
        <v>18.9</v>
      </c>
      <c r="D4565" s="538" t="n">
        <v>16.9</v>
      </c>
      <c r="E4565" s="538" t="n">
        <v>22.8</v>
      </c>
    </row>
    <row r="4566">
      <c r="A4566" s="544" t="n">
        <v>35600</v>
      </c>
      <c r="B4566" s="538" t="n">
        <v>17.34</v>
      </c>
      <c r="C4566" s="538" t="n">
        <v>18.75</v>
      </c>
      <c r="D4566" s="538" t="n">
        <v>17</v>
      </c>
      <c r="E4566" s="538" t="n">
        <v>23.4</v>
      </c>
    </row>
    <row r="4567">
      <c r="A4567" s="544" t="n">
        <v>35601</v>
      </c>
      <c r="B4567" s="538" t="n">
        <v>17.09</v>
      </c>
      <c r="C4567" s="538" t="n">
        <v>18.6</v>
      </c>
      <c r="D4567" s="538" t="n">
        <v>16.7</v>
      </c>
      <c r="E4567" s="538" t="n">
        <v>23.7</v>
      </c>
    </row>
    <row r="4568">
      <c r="A4568" s="544" t="n">
        <v>35604</v>
      </c>
      <c r="B4568" s="538" t="n">
        <v>17.8</v>
      </c>
      <c r="C4568" s="538" t="n">
        <v>18.9</v>
      </c>
      <c r="D4568" s="538" t="n">
        <v>17</v>
      </c>
      <c r="E4568" s="538" t="n">
        <v>23.85</v>
      </c>
    </row>
    <row r="4569">
      <c r="A4569" s="544" t="n">
        <v>35605</v>
      </c>
      <c r="B4569" s="538" t="n">
        <v>17.65</v>
      </c>
      <c r="C4569" s="538" t="n">
        <v>18.71</v>
      </c>
      <c r="D4569" s="538" t="n">
        <v>17.07</v>
      </c>
      <c r="E4569" s="538" t="n">
        <v>23.85</v>
      </c>
    </row>
    <row r="4570">
      <c r="A4570" s="544" t="n">
        <v>35606</v>
      </c>
      <c r="B4570" s="538" t="n">
        <v>17.65</v>
      </c>
      <c r="C4570" s="538" t="n">
        <v>19.12</v>
      </c>
      <c r="D4570" s="538" t="n">
        <v>17.45</v>
      </c>
      <c r="E4570" s="538" t="n">
        <v>24.15</v>
      </c>
    </row>
    <row r="4571">
      <c r="A4571" s="544" t="n">
        <v>35607</v>
      </c>
      <c r="B4571" s="538" t="n">
        <v>17.6</v>
      </c>
      <c r="C4571" s="538" t="n">
        <v>18.84</v>
      </c>
      <c r="D4571" s="538" t="n">
        <v>16.48</v>
      </c>
      <c r="E4571" s="538" t="n">
        <v>24.65</v>
      </c>
    </row>
    <row r="4572">
      <c r="A4572" s="544" t="n">
        <v>35608</v>
      </c>
      <c r="B4572" s="538" t="n">
        <v>18</v>
      </c>
      <c r="C4572" s="538" t="n">
        <v>19.42</v>
      </c>
      <c r="D4572" s="538" t="n">
        <v>17.21</v>
      </c>
      <c r="E4572" s="538" t="n">
        <v>24.65</v>
      </c>
    </row>
    <row r="4573">
      <c r="A4573" s="544" t="n">
        <v>35611</v>
      </c>
      <c r="B4573" s="538" t="n">
        <v>18.22</v>
      </c>
      <c r="C4573" s="538" t="n">
        <v>19.82</v>
      </c>
      <c r="D4573" s="538" t="n">
        <v>17.51</v>
      </c>
      <c r="E4573" s="538" t="n">
        <v>24.5</v>
      </c>
    </row>
    <row r="4574">
      <c r="A4574" s="544" t="n">
        <v>35612</v>
      </c>
      <c r="B4574" s="538" t="n">
        <v>18.22</v>
      </c>
      <c r="C4574" s="538" t="n">
        <v>20.11</v>
      </c>
      <c r="D4574" s="538" t="n">
        <v>17.87</v>
      </c>
      <c r="E4574" s="538" t="n">
        <v>24.3</v>
      </c>
    </row>
    <row r="4575">
      <c r="A4575" s="544" t="n">
        <v>35613</v>
      </c>
      <c r="B4575" s="538" t="n">
        <v>18.83</v>
      </c>
      <c r="C4575" s="538" t="n">
        <v>20.39</v>
      </c>
      <c r="D4575" s="538" t="n">
        <v>17.85</v>
      </c>
      <c r="E4575" s="538" t="n">
        <v>24.3</v>
      </c>
    </row>
    <row r="4576">
      <c r="A4576" s="544" t="n">
        <v>35614</v>
      </c>
      <c r="B4576" s="538" t="n">
        <v>18.18</v>
      </c>
      <c r="C4576" s="538" t="n">
        <v>19.48</v>
      </c>
      <c r="D4576" s="538" t="n">
        <v>17.03</v>
      </c>
      <c r="E4576" s="538" t="n">
        <v>24.13</v>
      </c>
    </row>
    <row r="4577">
      <c r="A4577" s="544" t="n">
        <v>35615</v>
      </c>
      <c r="B4577" s="538" t="n">
        <v>18.18</v>
      </c>
      <c r="C4577" s="538" t="n">
        <v>19.48</v>
      </c>
      <c r="D4577" s="538" t="n">
        <v>17.03</v>
      </c>
      <c r="E4577" s="538" t="n">
        <v>23.9</v>
      </c>
    </row>
    <row r="4578">
      <c r="A4578" s="544" t="n">
        <v>35618</v>
      </c>
      <c r="B4578" s="538" t="n">
        <v>18.28</v>
      </c>
      <c r="C4578" s="538" t="n">
        <v>19.53</v>
      </c>
      <c r="D4578" s="538" t="n">
        <v>17.06</v>
      </c>
      <c r="E4578" s="538" t="n">
        <v>23.55</v>
      </c>
    </row>
    <row r="4579">
      <c r="A4579" s="544" t="n">
        <v>35619</v>
      </c>
      <c r="B4579" s="538" t="n">
        <v>18.28</v>
      </c>
      <c r="C4579" s="538" t="n">
        <v>19.67</v>
      </c>
      <c r="D4579" s="538" t="n">
        <v>17.25</v>
      </c>
      <c r="E4579" s="538" t="n">
        <v>23.05</v>
      </c>
    </row>
    <row r="4580">
      <c r="A4580" s="544" t="n">
        <v>35620</v>
      </c>
      <c r="B4580" s="538" t="n">
        <v>18.25</v>
      </c>
      <c r="C4580" s="538" t="n">
        <v>19.4</v>
      </c>
      <c r="D4580" s="538" t="n">
        <v>17.08</v>
      </c>
      <c r="E4580" s="538" t="n">
        <v>22</v>
      </c>
    </row>
    <row r="4581">
      <c r="A4581" s="544" t="n">
        <v>35621</v>
      </c>
      <c r="B4581" s="538" t="n">
        <v>18.16</v>
      </c>
      <c r="C4581" s="538" t="n">
        <v>19.22</v>
      </c>
      <c r="D4581" s="538" t="n">
        <v>16.82</v>
      </c>
      <c r="E4581" s="538" t="n">
        <v>21.65</v>
      </c>
    </row>
    <row r="4582">
      <c r="A4582" s="544" t="n">
        <v>35622</v>
      </c>
      <c r="B4582" s="538" t="n">
        <v>18</v>
      </c>
      <c r="C4582" s="538" t="n">
        <v>19.39</v>
      </c>
      <c r="D4582" s="538" t="n">
        <v>16.93</v>
      </c>
      <c r="E4582" s="538" t="n">
        <v>21.7</v>
      </c>
    </row>
    <row r="4583">
      <c r="A4583" s="544" t="n">
        <v>35625</v>
      </c>
      <c r="B4583" s="538" t="n">
        <v>17.79</v>
      </c>
      <c r="C4583" s="538" t="n">
        <v>18.92</v>
      </c>
      <c r="D4583" s="538" t="n">
        <v>16.68</v>
      </c>
      <c r="E4583" s="538" t="n">
        <v>22.25</v>
      </c>
    </row>
    <row r="4584">
      <c r="A4584" s="544" t="n">
        <v>35626</v>
      </c>
      <c r="B4584" s="538" t="n">
        <v>18.19</v>
      </c>
      <c r="C4584" s="538" t="n">
        <v>19.81</v>
      </c>
      <c r="D4584" s="538" t="n">
        <v>17.27</v>
      </c>
      <c r="E4584" s="538" t="n">
        <v>22.85</v>
      </c>
    </row>
    <row r="4585">
      <c r="A4585" s="544" t="n">
        <v>35627</v>
      </c>
      <c r="B4585" s="538" t="n">
        <v>18.27</v>
      </c>
      <c r="C4585" s="538" t="n">
        <v>19.57</v>
      </c>
      <c r="D4585" s="538" t="n">
        <v>17.26</v>
      </c>
      <c r="E4585" s="538" t="n">
        <v>23.25</v>
      </c>
    </row>
    <row r="4586">
      <c r="A4586" s="544" t="n">
        <v>35628</v>
      </c>
      <c r="B4586" s="538" t="n">
        <v>18.83</v>
      </c>
      <c r="C4586" s="538" t="n">
        <v>19.92</v>
      </c>
      <c r="D4586" s="538" t="n">
        <v>17.54</v>
      </c>
      <c r="E4586" s="538" t="n">
        <v>23.3</v>
      </c>
    </row>
    <row r="4587">
      <c r="A4587" s="544" t="n">
        <v>35629</v>
      </c>
      <c r="B4587" s="538" t="n">
        <v>18.21</v>
      </c>
      <c r="C4587" s="538" t="n">
        <v>19.22</v>
      </c>
      <c r="D4587" s="538" t="n">
        <v>16.98</v>
      </c>
      <c r="E4587" s="538" t="n">
        <v>23.15</v>
      </c>
    </row>
    <row r="4588">
      <c r="A4588" s="544" t="n">
        <v>35632</v>
      </c>
      <c r="B4588" s="538" t="n">
        <v>18.23</v>
      </c>
      <c r="C4588" s="538" t="n">
        <v>19.25</v>
      </c>
      <c r="D4588" s="538" t="n">
        <v>16.95</v>
      </c>
      <c r="E4588" s="538" t="n">
        <v>23.45</v>
      </c>
    </row>
    <row r="4589">
      <c r="A4589" s="544" t="n">
        <v>35633</v>
      </c>
      <c r="B4589" s="538" t="n">
        <v>18.47</v>
      </c>
      <c r="C4589" s="538" t="n">
        <v>19.25</v>
      </c>
      <c r="D4589" s="538" t="n">
        <v>17.02</v>
      </c>
      <c r="E4589" s="538" t="n">
        <v>23.45</v>
      </c>
    </row>
    <row r="4590">
      <c r="A4590" s="544" t="n">
        <v>35634</v>
      </c>
      <c r="B4590" s="538" t="n">
        <v>18.71</v>
      </c>
      <c r="C4590" s="538" t="n">
        <v>19.68</v>
      </c>
      <c r="D4590" s="538" t="n">
        <v>17.25</v>
      </c>
      <c r="E4590" s="538" t="n">
        <v>23.45</v>
      </c>
    </row>
    <row r="4591">
      <c r="A4591" s="544" t="n">
        <v>35635</v>
      </c>
      <c r="B4591" s="538" t="n">
        <v>18.66</v>
      </c>
      <c r="C4591" s="538" t="n">
        <v>19.71</v>
      </c>
      <c r="D4591" s="538" t="n">
        <v>17.35</v>
      </c>
      <c r="E4591" s="538" t="n">
        <v>23.8</v>
      </c>
    </row>
    <row r="4592">
      <c r="A4592" s="544" t="n">
        <v>35636</v>
      </c>
      <c r="B4592" s="538" t="n">
        <v>18.77</v>
      </c>
      <c r="C4592" s="538" t="n">
        <v>19.71</v>
      </c>
      <c r="D4592" s="538" t="n">
        <v>17.35</v>
      </c>
      <c r="E4592" s="538" t="n">
        <v>23.7</v>
      </c>
    </row>
    <row r="4593">
      <c r="A4593" s="544" t="n">
        <v>35639</v>
      </c>
      <c r="B4593" s="538" t="n">
        <v>18.76</v>
      </c>
      <c r="C4593" s="538" t="n">
        <v>19.67</v>
      </c>
      <c r="D4593" s="538" t="n">
        <v>17.55</v>
      </c>
      <c r="E4593" s="538" t="n">
        <v>23.15</v>
      </c>
    </row>
    <row r="4594">
      <c r="A4594" s="544" t="n">
        <v>35640</v>
      </c>
      <c r="B4594" s="538" t="n">
        <v>18.74</v>
      </c>
      <c r="C4594" s="538" t="n">
        <v>20.08</v>
      </c>
      <c r="D4594" s="538" t="n">
        <v>17.75</v>
      </c>
      <c r="E4594" s="538" t="n">
        <v>22.8</v>
      </c>
    </row>
    <row r="4595">
      <c r="A4595" s="544" t="n">
        <v>35641</v>
      </c>
      <c r="B4595" s="538" t="n">
        <v>19.02</v>
      </c>
      <c r="C4595" s="538" t="n">
        <v>20.43</v>
      </c>
      <c r="D4595" s="538" t="n">
        <v>18.1</v>
      </c>
      <c r="E4595" s="538" t="n">
        <v>22.55</v>
      </c>
    </row>
    <row r="4596">
      <c r="A4596" s="544" t="n">
        <v>35642</v>
      </c>
      <c r="B4596" s="538" t="n">
        <v>18.94</v>
      </c>
      <c r="C4596" s="538" t="n">
        <v>20.19</v>
      </c>
      <c r="D4596" s="538" t="n">
        <v>17.81</v>
      </c>
      <c r="E4596" s="538" t="n">
        <v>22.68</v>
      </c>
    </row>
    <row r="4597">
      <c r="A4597" s="544" t="n">
        <v>35643</v>
      </c>
      <c r="B4597" s="538" t="n">
        <v>19.33</v>
      </c>
      <c r="C4597" s="538" t="n">
        <v>20.27</v>
      </c>
      <c r="D4597" s="538" t="n">
        <v>17.81</v>
      </c>
      <c r="E4597" s="538" t="n">
        <v>22.7</v>
      </c>
    </row>
    <row r="4598">
      <c r="A4598" s="544" t="n">
        <v>35646</v>
      </c>
      <c r="B4598" s="538" t="n">
        <v>19.64</v>
      </c>
      <c r="C4598" s="538" t="n">
        <v>20.81</v>
      </c>
      <c r="D4598" s="538" t="n">
        <v>18.31</v>
      </c>
      <c r="E4598" s="538" t="n">
        <v>23</v>
      </c>
    </row>
    <row r="4599">
      <c r="A4599" s="544" t="n">
        <v>35647</v>
      </c>
      <c r="B4599" s="538" t="n">
        <v>19.51</v>
      </c>
      <c r="C4599" s="538" t="n">
        <v>20.79</v>
      </c>
      <c r="D4599" s="538" t="n">
        <v>18.4</v>
      </c>
      <c r="E4599" s="538" t="n">
        <v>23.5</v>
      </c>
    </row>
    <row r="4600">
      <c r="A4600" s="544" t="n">
        <v>35648</v>
      </c>
      <c r="B4600" s="538" t="n">
        <v>19.21</v>
      </c>
      <c r="C4600" s="538" t="n">
        <v>20.46</v>
      </c>
      <c r="D4600" s="538" t="n">
        <v>18.04</v>
      </c>
      <c r="E4600" s="538" t="n">
        <v>24</v>
      </c>
    </row>
    <row r="4601">
      <c r="A4601" s="544" t="n">
        <v>35649</v>
      </c>
      <c r="B4601" s="538" t="n">
        <v>18.94</v>
      </c>
      <c r="C4601" s="538" t="n">
        <v>20.09</v>
      </c>
      <c r="D4601" s="538" t="n">
        <v>17.71</v>
      </c>
      <c r="E4601" s="538" t="n">
        <v>23.25</v>
      </c>
    </row>
    <row r="4602">
      <c r="A4602" s="544" t="n">
        <v>35650</v>
      </c>
      <c r="B4602" s="538" t="n">
        <v>18.56</v>
      </c>
      <c r="C4602" s="538" t="n">
        <v>19.58</v>
      </c>
      <c r="D4602" s="538" t="n">
        <v>17.35</v>
      </c>
      <c r="E4602" s="538" t="n">
        <v>23.25</v>
      </c>
    </row>
    <row r="4603">
      <c r="A4603" s="544" t="n">
        <v>35653</v>
      </c>
      <c r="B4603" s="538" t="n">
        <v>18.21</v>
      </c>
      <c r="C4603" s="538" t="n">
        <v>19.73</v>
      </c>
      <c r="D4603" s="538" t="n">
        <v>17.44</v>
      </c>
      <c r="E4603" s="538" t="n">
        <v>23.15</v>
      </c>
    </row>
    <row r="4604">
      <c r="A4604" s="544" t="n">
        <v>35654</v>
      </c>
      <c r="B4604" s="538" t="n">
        <v>18.56</v>
      </c>
      <c r="C4604" s="538" t="n">
        <v>19.91</v>
      </c>
      <c r="D4604" s="538" t="n">
        <v>17.7</v>
      </c>
      <c r="E4604" s="538" t="n">
        <v>22.95</v>
      </c>
    </row>
    <row r="4605">
      <c r="A4605" s="544" t="n">
        <v>35655</v>
      </c>
      <c r="B4605" s="538" t="n">
        <v>18.63</v>
      </c>
      <c r="C4605" s="538" t="n">
        <v>20.19</v>
      </c>
      <c r="D4605" s="538" t="n">
        <v>17.86</v>
      </c>
      <c r="E4605" s="538" t="n">
        <v>22.95</v>
      </c>
    </row>
    <row r="4606">
      <c r="A4606" s="544" t="n">
        <v>35656</v>
      </c>
      <c r="B4606" s="538" t="n">
        <v>19</v>
      </c>
      <c r="C4606" s="538" t="n">
        <v>20.02</v>
      </c>
      <c r="D4606" s="538" t="n">
        <v>18.05</v>
      </c>
      <c r="E4606" s="538" t="n">
        <v>22.75</v>
      </c>
    </row>
    <row r="4607">
      <c r="A4607" s="544" t="n">
        <v>35657</v>
      </c>
      <c r="B4607" s="538" t="n">
        <v>18.77</v>
      </c>
      <c r="C4607" s="538" t="n">
        <v>20.08</v>
      </c>
      <c r="D4607" s="538" t="n">
        <v>17.87</v>
      </c>
      <c r="E4607" s="538" t="n">
        <v>22.75</v>
      </c>
    </row>
    <row r="4608">
      <c r="A4608" s="544" t="n">
        <v>35660</v>
      </c>
      <c r="B4608" s="538" t="n">
        <v>18.41</v>
      </c>
      <c r="C4608" s="538" t="n">
        <v>19.94</v>
      </c>
      <c r="D4608" s="538" t="n">
        <v>17.78</v>
      </c>
      <c r="E4608" s="538" t="n">
        <v>22.85</v>
      </c>
    </row>
    <row r="4609">
      <c r="A4609" s="544" t="n">
        <v>35661</v>
      </c>
      <c r="B4609" s="538" t="n">
        <v>18.88</v>
      </c>
      <c r="C4609" s="538" t="n">
        <v>20.04</v>
      </c>
      <c r="D4609" s="538" t="n">
        <v>17.93</v>
      </c>
      <c r="E4609" s="538" t="n">
        <v>23</v>
      </c>
    </row>
    <row r="4610">
      <c r="A4610" s="544" t="n">
        <v>35662</v>
      </c>
      <c r="B4610" s="538" t="n">
        <v>18.83</v>
      </c>
      <c r="C4610" s="538" t="n">
        <v>20.07</v>
      </c>
      <c r="D4610" s="538" t="n">
        <v>17.82</v>
      </c>
      <c r="E4610" s="538" t="n">
        <v>22.95</v>
      </c>
    </row>
    <row r="4611">
      <c r="A4611" s="544" t="n">
        <v>35663</v>
      </c>
      <c r="B4611" s="538" t="n">
        <v>18.26</v>
      </c>
      <c r="C4611" s="538" t="n">
        <v>19.83</v>
      </c>
      <c r="D4611" s="538" t="n">
        <v>17.37</v>
      </c>
      <c r="E4611" s="538" t="n">
        <v>22.9</v>
      </c>
    </row>
    <row r="4612">
      <c r="A4612" s="544" t="n">
        <v>35664</v>
      </c>
      <c r="B4612" s="538" t="n">
        <v>18.26</v>
      </c>
      <c r="C4612" s="538" t="n">
        <v>19.7</v>
      </c>
      <c r="D4612" s="538" t="n">
        <v>17.43</v>
      </c>
      <c r="E4612" s="538" t="n">
        <v>23.05</v>
      </c>
    </row>
    <row r="4613">
      <c r="A4613" s="544" t="n">
        <v>35667</v>
      </c>
      <c r="B4613" s="538" t="n">
        <v>17.87</v>
      </c>
      <c r="C4613" s="538" t="n">
        <v>19.29</v>
      </c>
      <c r="D4613" s="538" t="n">
        <v>17.43</v>
      </c>
      <c r="E4613" s="538" t="n">
        <v>22.5</v>
      </c>
    </row>
    <row r="4614">
      <c r="A4614" s="544" t="n">
        <v>35668</v>
      </c>
      <c r="B4614" s="538" t="n">
        <v>17.58</v>
      </c>
      <c r="C4614" s="538" t="n">
        <v>19.31</v>
      </c>
      <c r="D4614" s="538" t="n">
        <v>17.06</v>
      </c>
      <c r="E4614" s="538" t="n">
        <v>22.45</v>
      </c>
    </row>
    <row r="4615">
      <c r="A4615" s="544" t="n">
        <v>35669</v>
      </c>
      <c r="B4615" s="538" t="n">
        <v>17.83</v>
      </c>
      <c r="C4615" s="538" t="n">
        <v>19.65</v>
      </c>
      <c r="D4615" s="538" t="n">
        <v>17.43</v>
      </c>
      <c r="E4615" s="538" t="n">
        <v>22.23</v>
      </c>
    </row>
    <row r="4616">
      <c r="A4616" s="544" t="n">
        <v>35670</v>
      </c>
      <c r="B4616" s="538" t="n">
        <v>17.91</v>
      </c>
      <c r="C4616" s="538" t="n">
        <v>19.59</v>
      </c>
      <c r="D4616" s="538" t="n">
        <v>17.26</v>
      </c>
      <c r="E4616" s="538" t="n">
        <v>22.1</v>
      </c>
    </row>
    <row r="4617">
      <c r="A4617" s="544" t="n">
        <v>35671</v>
      </c>
      <c r="B4617" s="538" t="n">
        <v>17.98</v>
      </c>
      <c r="C4617" s="538" t="n">
        <v>19.66</v>
      </c>
      <c r="D4617" s="538" t="n">
        <v>17.39</v>
      </c>
      <c r="E4617" s="538" t="n">
        <v>22.1</v>
      </c>
    </row>
    <row r="4618">
      <c r="A4618" s="544" t="n">
        <v>35674</v>
      </c>
      <c r="B4618" s="538" t="n">
        <v>17.98</v>
      </c>
      <c r="C4618" s="538" t="n">
        <v>19.66</v>
      </c>
      <c r="D4618" s="538" t="n">
        <v>17.39</v>
      </c>
      <c r="E4618" s="538" t="n">
        <v>21.8</v>
      </c>
    </row>
    <row r="4619">
      <c r="A4619" s="544" t="n">
        <v>35675</v>
      </c>
      <c r="B4619" s="538" t="n">
        <v>18.22</v>
      </c>
      <c r="C4619" s="538" t="n">
        <v>19.73</v>
      </c>
      <c r="D4619" s="538" t="n">
        <v>17.3</v>
      </c>
      <c r="E4619" s="538" t="n">
        <v>21.7</v>
      </c>
    </row>
    <row r="4620">
      <c r="A4620" s="544" t="n">
        <v>35676</v>
      </c>
      <c r="B4620" s="538" t="n">
        <v>18.12</v>
      </c>
      <c r="C4620" s="538" t="n">
        <v>19.65</v>
      </c>
      <c r="D4620" s="538" t="n">
        <v>17.22</v>
      </c>
      <c r="E4620" s="538" t="n">
        <v>21.75</v>
      </c>
    </row>
    <row r="4621">
      <c r="A4621" s="544" t="n">
        <v>35677</v>
      </c>
      <c r="B4621" s="538" t="n">
        <v>17.92</v>
      </c>
      <c r="C4621" s="538" t="n">
        <v>19.46</v>
      </c>
      <c r="D4621" s="538" t="n">
        <v>17.12</v>
      </c>
      <c r="E4621" s="538" t="n">
        <v>22.25</v>
      </c>
    </row>
    <row r="4622">
      <c r="A4622" s="544" t="n">
        <v>35678</v>
      </c>
      <c r="B4622" s="538" t="n">
        <v>18.15</v>
      </c>
      <c r="C4622" s="538" t="n">
        <v>19.61</v>
      </c>
      <c r="D4622" s="538" t="n">
        <v>17.34</v>
      </c>
      <c r="E4622" s="538" t="n">
        <v>22.75</v>
      </c>
    </row>
    <row r="4623">
      <c r="A4623" s="544" t="n">
        <v>35681</v>
      </c>
      <c r="B4623" s="538" t="n">
        <v>18.03</v>
      </c>
      <c r="C4623" s="538" t="n">
        <v>19.43</v>
      </c>
      <c r="D4623" s="538" t="n">
        <v>17.19</v>
      </c>
      <c r="E4623" s="538" t="n">
        <v>22.75</v>
      </c>
    </row>
    <row r="4624">
      <c r="A4624" s="544" t="n">
        <v>35682</v>
      </c>
      <c r="B4624" s="538" t="n">
        <v>18.18</v>
      </c>
      <c r="C4624" s="538" t="n">
        <v>19.5</v>
      </c>
      <c r="D4624" s="538" t="n">
        <v>17.13</v>
      </c>
      <c r="E4624" s="538" t="n">
        <v>22</v>
      </c>
    </row>
    <row r="4625">
      <c r="A4625" s="544" t="n">
        <v>35683</v>
      </c>
      <c r="B4625" s="538" t="n">
        <v>18.08</v>
      </c>
      <c r="C4625" s="538" t="n">
        <v>19.5</v>
      </c>
      <c r="D4625" s="538" t="n">
        <v>17.17</v>
      </c>
      <c r="E4625" s="538" t="n">
        <v>22</v>
      </c>
    </row>
    <row r="4626">
      <c r="A4626" s="544" t="n">
        <v>35684</v>
      </c>
      <c r="B4626" s="538" t="n">
        <v>18.21</v>
      </c>
      <c r="C4626" s="538" t="n">
        <v>19.41</v>
      </c>
      <c r="D4626" s="538" t="n">
        <v>17.15</v>
      </c>
      <c r="E4626" s="538" t="n">
        <v>22</v>
      </c>
    </row>
    <row r="4627">
      <c r="A4627" s="544" t="n">
        <v>35685</v>
      </c>
      <c r="B4627" s="538" t="n">
        <v>18.06</v>
      </c>
      <c r="C4627" s="538" t="n">
        <v>19.37</v>
      </c>
      <c r="D4627" s="538" t="n">
        <v>17.15</v>
      </c>
      <c r="E4627" s="538" t="n">
        <v>22</v>
      </c>
    </row>
    <row r="4628">
      <c r="A4628" s="544" t="n">
        <v>35688</v>
      </c>
      <c r="B4628" s="538" t="n">
        <v>18.05</v>
      </c>
      <c r="C4628" s="538" t="n">
        <v>19.3</v>
      </c>
      <c r="D4628" s="538" t="n">
        <v>17.09</v>
      </c>
      <c r="E4628" s="538" t="n">
        <v>22.3</v>
      </c>
    </row>
    <row r="4629">
      <c r="A4629" s="544" t="n">
        <v>35689</v>
      </c>
      <c r="B4629" s="538" t="n">
        <v>18.4</v>
      </c>
      <c r="C4629" s="538" t="n">
        <v>19.67</v>
      </c>
      <c r="D4629" s="538" t="n">
        <v>17.46</v>
      </c>
      <c r="E4629" s="538" t="n">
        <v>22.25</v>
      </c>
    </row>
    <row r="4630">
      <c r="A4630" s="544" t="n">
        <v>35690</v>
      </c>
      <c r="B4630" s="538" t="n">
        <v>18.21</v>
      </c>
      <c r="C4630" s="538" t="n">
        <v>19.44</v>
      </c>
      <c r="D4630" s="538" t="n">
        <v>17.28</v>
      </c>
      <c r="E4630" s="538" t="n">
        <v>22.35</v>
      </c>
    </row>
    <row r="4631">
      <c r="A4631" s="544" t="n">
        <v>35691</v>
      </c>
      <c r="B4631" s="538" t="n">
        <v>18.14</v>
      </c>
      <c r="C4631" s="538" t="n">
        <v>19.41</v>
      </c>
      <c r="D4631" s="538" t="n">
        <v>17.26</v>
      </c>
      <c r="E4631" s="538" t="n">
        <v>22.6</v>
      </c>
    </row>
    <row r="4632">
      <c r="A4632" s="544" t="n">
        <v>35692</v>
      </c>
      <c r="B4632" s="538" t="n">
        <v>18.32</v>
      </c>
      <c r="C4632" s="538" t="n">
        <v>19.37</v>
      </c>
      <c r="D4632" s="538" t="n">
        <v>17.27</v>
      </c>
      <c r="E4632" s="538" t="n">
        <v>22.5</v>
      </c>
    </row>
    <row r="4633">
      <c r="A4633" s="544" t="n">
        <v>35695</v>
      </c>
      <c r="B4633" s="538" t="n">
        <v>18.65</v>
      </c>
      <c r="C4633" s="538" t="n">
        <v>19.61</v>
      </c>
      <c r="D4633" s="538" t="n">
        <v>17.5</v>
      </c>
      <c r="E4633" s="538" t="n">
        <v>22.65</v>
      </c>
    </row>
    <row r="4634">
      <c r="A4634" s="544" t="n">
        <v>35696</v>
      </c>
      <c r="B4634" s="538" t="n">
        <v>18.57</v>
      </c>
      <c r="C4634" s="538" t="n">
        <v>19.71</v>
      </c>
      <c r="D4634" s="538" t="n">
        <v>17.51</v>
      </c>
      <c r="E4634" s="538" t="n">
        <v>22.85</v>
      </c>
    </row>
    <row r="4635">
      <c r="A4635" s="544" t="n">
        <v>35697</v>
      </c>
      <c r="B4635" s="538" t="n">
        <v>18.52</v>
      </c>
      <c r="C4635" s="538" t="n">
        <v>20.03</v>
      </c>
      <c r="D4635" s="538" t="n">
        <v>17.67</v>
      </c>
      <c r="E4635" s="538" t="n">
        <v>23</v>
      </c>
    </row>
    <row r="4636">
      <c r="A4636" s="544" t="n">
        <v>35698</v>
      </c>
      <c r="B4636" s="538" t="n">
        <v>19.05</v>
      </c>
      <c r="C4636" s="538" t="n">
        <v>20.38</v>
      </c>
      <c r="D4636" s="538" t="n">
        <v>17.99</v>
      </c>
      <c r="E4636" s="538" t="n">
        <v>22.95</v>
      </c>
    </row>
    <row r="4637">
      <c r="A4637" s="544" t="n">
        <v>35699</v>
      </c>
      <c r="B4637" s="538" t="n">
        <v>19.36</v>
      </c>
      <c r="C4637" s="538" t="n">
        <v>20.87</v>
      </c>
      <c r="D4637" s="538" t="n">
        <v>18.43</v>
      </c>
      <c r="E4637" s="538" t="n">
        <v>22.85</v>
      </c>
    </row>
    <row r="4638">
      <c r="A4638" s="544" t="n">
        <v>35702</v>
      </c>
      <c r="B4638" s="538" t="n">
        <v>19.48</v>
      </c>
      <c r="C4638" s="538" t="n">
        <v>21.29</v>
      </c>
      <c r="D4638" s="538" t="n">
        <v>18.83</v>
      </c>
      <c r="E4638" s="538" t="n">
        <v>22.85</v>
      </c>
    </row>
    <row r="4639">
      <c r="A4639" s="544" t="n">
        <v>35703</v>
      </c>
      <c r="B4639" s="538" t="n">
        <v>19.96</v>
      </c>
      <c r="C4639" s="538" t="n">
        <v>21.13</v>
      </c>
      <c r="D4639" s="538" t="n">
        <v>18.76</v>
      </c>
      <c r="E4639" s="538" t="n">
        <v>22.85</v>
      </c>
    </row>
    <row r="4640">
      <c r="A4640" s="544" t="n">
        <v>35704</v>
      </c>
      <c r="B4640" s="538" t="n">
        <v>19.87</v>
      </c>
      <c r="C4640" s="538" t="n">
        <v>21.02</v>
      </c>
      <c r="D4640" s="538" t="n">
        <v>18.69</v>
      </c>
      <c r="E4640" s="538" t="n">
        <v>22.7</v>
      </c>
    </row>
    <row r="4641">
      <c r="A4641" s="544" t="n">
        <v>35705</v>
      </c>
      <c r="B4641" s="538" t="n">
        <v>20.08</v>
      </c>
      <c r="C4641" s="538" t="n">
        <v>21.82</v>
      </c>
      <c r="D4641" s="538" t="n">
        <v>19.35</v>
      </c>
      <c r="E4641" s="538" t="n">
        <v>22.85</v>
      </c>
    </row>
    <row r="4642">
      <c r="A4642" s="544" t="n">
        <v>35706</v>
      </c>
      <c r="B4642" s="538" t="n">
        <v>21.29</v>
      </c>
      <c r="C4642" s="538" t="n">
        <v>22.86</v>
      </c>
      <c r="D4642" s="538" t="n">
        <v>20.51</v>
      </c>
      <c r="E4642" s="538" t="n">
        <v>22.85</v>
      </c>
    </row>
    <row r="4643">
      <c r="A4643" s="544" t="n">
        <v>35709</v>
      </c>
      <c r="B4643" s="538" t="n">
        <v>20.94</v>
      </c>
      <c r="C4643" s="538" t="n">
        <v>21.97</v>
      </c>
      <c r="D4643" s="538" t="n">
        <v>19.48</v>
      </c>
      <c r="E4643" s="538" t="n">
        <v>24.35</v>
      </c>
    </row>
    <row r="4644">
      <c r="A4644" s="544" t="n">
        <v>35710</v>
      </c>
      <c r="B4644" s="538" t="n">
        <v>20.71</v>
      </c>
      <c r="C4644" s="538" t="n">
        <v>21.88</v>
      </c>
      <c r="D4644" s="538" t="n">
        <v>19.56</v>
      </c>
      <c r="E4644" s="538" t="n">
        <v>24.25</v>
      </c>
    </row>
    <row r="4645">
      <c r="A4645" s="544" t="n">
        <v>35711</v>
      </c>
      <c r="B4645" s="538" t="n">
        <v>20.79</v>
      </c>
      <c r="C4645" s="538" t="n">
        <v>22.19</v>
      </c>
      <c r="D4645" s="538" t="n">
        <v>19.69</v>
      </c>
      <c r="E4645" s="538" t="n">
        <v>24.35</v>
      </c>
    </row>
    <row r="4646">
      <c r="A4646" s="544" t="n">
        <v>35712</v>
      </c>
      <c r="B4646" s="538" t="n">
        <v>20.6</v>
      </c>
      <c r="C4646" s="538" t="n">
        <v>22.01</v>
      </c>
      <c r="D4646" s="538" t="n">
        <v>19.63</v>
      </c>
      <c r="E4646" s="538" t="n">
        <v>24.6</v>
      </c>
    </row>
    <row r="4647">
      <c r="A4647" s="544" t="n">
        <v>35713</v>
      </c>
      <c r="B4647" s="538" t="n">
        <v>20.73</v>
      </c>
      <c r="C4647" s="538" t="n">
        <v>22.01</v>
      </c>
      <c r="D4647" s="538" t="n">
        <v>19.57</v>
      </c>
      <c r="E4647" s="538" t="n">
        <v>24.1</v>
      </c>
    </row>
    <row r="4648">
      <c r="A4648" s="544" t="n">
        <v>35716</v>
      </c>
      <c r="B4648" s="538" t="n">
        <v>20.08</v>
      </c>
      <c r="C4648" s="538" t="n">
        <v>21.34</v>
      </c>
      <c r="D4648" s="538" t="n">
        <v>19</v>
      </c>
      <c r="E4648" s="538" t="n">
        <v>24.2</v>
      </c>
    </row>
    <row r="4649">
      <c r="A4649" s="544" t="n">
        <v>35717</v>
      </c>
      <c r="B4649" s="538" t="n">
        <v>19.4</v>
      </c>
      <c r="C4649" s="538" t="n">
        <v>20.75</v>
      </c>
      <c r="D4649" s="538" t="n">
        <v>18.44</v>
      </c>
      <c r="E4649" s="538" t="n">
        <v>24.75</v>
      </c>
    </row>
    <row r="4650">
      <c r="A4650" s="544" t="n">
        <v>35718</v>
      </c>
      <c r="B4650" s="538" t="n">
        <v>19.27</v>
      </c>
      <c r="C4650" s="538" t="n">
        <v>20.65</v>
      </c>
      <c r="D4650" s="538" t="n">
        <v>18.37</v>
      </c>
      <c r="E4650" s="538" t="n">
        <v>24.75</v>
      </c>
    </row>
    <row r="4651">
      <c r="A4651" s="544" t="n">
        <v>35719</v>
      </c>
      <c r="B4651" s="538" t="n">
        <v>19.56</v>
      </c>
      <c r="C4651" s="538" t="n">
        <v>20.98</v>
      </c>
      <c r="D4651" s="538" t="n">
        <v>18.65</v>
      </c>
      <c r="E4651" s="538" t="n">
        <v>24.5</v>
      </c>
    </row>
    <row r="4652">
      <c r="A4652" s="544" t="n">
        <v>35720</v>
      </c>
      <c r="B4652" s="538" t="n">
        <v>19.43</v>
      </c>
      <c r="C4652" s="538" t="n">
        <v>21.41</v>
      </c>
      <c r="D4652" s="538" t="n">
        <v>18.61</v>
      </c>
      <c r="E4652" s="538" t="n">
        <v>24.7</v>
      </c>
    </row>
    <row r="4653">
      <c r="A4653" s="544" t="n">
        <v>35723</v>
      </c>
      <c r="B4653" s="538" t="n">
        <v>19.29</v>
      </c>
      <c r="C4653" s="538" t="n">
        <v>20.69</v>
      </c>
      <c r="D4653" s="538" t="n">
        <v>18.62</v>
      </c>
      <c r="E4653" s="538" t="n">
        <v>24.7</v>
      </c>
    </row>
    <row r="4654">
      <c r="A4654" s="544" t="n">
        <v>35724</v>
      </c>
      <c r="B4654" s="538" t="n">
        <v>19.3</v>
      </c>
      <c r="C4654" s="538" t="n">
        <v>20.68</v>
      </c>
      <c r="D4654" s="538" t="n">
        <v>18.61</v>
      </c>
      <c r="E4654" s="538" t="n">
        <v>24.7</v>
      </c>
    </row>
    <row r="4655">
      <c r="A4655" s="544" t="n">
        <v>35725</v>
      </c>
      <c r="B4655" s="538" t="n">
        <v>19.86</v>
      </c>
      <c r="C4655" s="538" t="n">
        <v>21.44</v>
      </c>
      <c r="D4655" s="538" t="n">
        <v>19.19</v>
      </c>
      <c r="E4655" s="538" t="n">
        <v>24.7</v>
      </c>
    </row>
    <row r="4656">
      <c r="A4656" s="544" t="n">
        <v>35726</v>
      </c>
      <c r="B4656" s="538" t="n">
        <v>19.89</v>
      </c>
      <c r="C4656" s="538" t="n">
        <v>21.18</v>
      </c>
      <c r="D4656" s="538" t="n">
        <v>18.88</v>
      </c>
      <c r="E4656" s="538" t="n">
        <v>25.2</v>
      </c>
    </row>
    <row r="4657">
      <c r="A4657" s="544" t="n">
        <v>35727</v>
      </c>
      <c r="B4657" s="538" t="n">
        <v>19.45</v>
      </c>
      <c r="C4657" s="538" t="n">
        <v>20.99</v>
      </c>
      <c r="D4657" s="538" t="n">
        <v>18.77</v>
      </c>
      <c r="E4657" s="538" t="n">
        <v>25.2</v>
      </c>
    </row>
    <row r="4658">
      <c r="A4658" s="544" t="n">
        <v>35730</v>
      </c>
      <c r="B4658" s="538" t="n">
        <v>19.63</v>
      </c>
      <c r="C4658" s="538" t="n">
        <v>21.03</v>
      </c>
      <c r="D4658" s="538" t="n">
        <v>18.83</v>
      </c>
      <c r="E4658" s="538" t="n">
        <v>24.4</v>
      </c>
    </row>
    <row r="4659">
      <c r="A4659" s="544" t="n">
        <v>35731</v>
      </c>
      <c r="B4659" s="538" t="n">
        <v>18.86</v>
      </c>
      <c r="C4659" s="538" t="n">
        <v>20.4</v>
      </c>
      <c r="D4659" s="538" t="n">
        <v>18.3</v>
      </c>
      <c r="E4659" s="538" t="n">
        <v>25.3</v>
      </c>
    </row>
    <row r="4660">
      <c r="A4660" s="544" t="n">
        <v>35732</v>
      </c>
      <c r="B4660" s="538" t="n">
        <v>19</v>
      </c>
      <c r="C4660" s="538" t="n">
        <v>20.82</v>
      </c>
      <c r="D4660" s="538" t="n">
        <v>18.51</v>
      </c>
      <c r="E4660" s="538" t="n">
        <v>25.25</v>
      </c>
    </row>
    <row r="4661">
      <c r="A4661" s="544" t="n">
        <v>35733</v>
      </c>
      <c r="B4661" s="538" t="n">
        <v>19.45</v>
      </c>
      <c r="C4661" s="538" t="n">
        <v>21.26</v>
      </c>
      <c r="D4661" s="538" t="n">
        <v>18.97</v>
      </c>
      <c r="E4661" s="538" t="n">
        <v>25.25</v>
      </c>
    </row>
    <row r="4662">
      <c r="A4662" s="544" t="n">
        <v>35734</v>
      </c>
      <c r="B4662" s="538" t="n">
        <v>19.42</v>
      </c>
      <c r="C4662" s="538" t="n">
        <v>21.1</v>
      </c>
      <c r="D4662" s="538" t="n">
        <v>18.89</v>
      </c>
      <c r="E4662" s="538" t="n">
        <v>25.7</v>
      </c>
    </row>
    <row r="4663">
      <c r="A4663" s="544" t="n">
        <v>35737</v>
      </c>
      <c r="B4663" s="538" t="n">
        <v>19.48</v>
      </c>
      <c r="C4663" s="538" t="n">
        <v>20.91</v>
      </c>
      <c r="D4663" s="538" t="n">
        <v>18.79</v>
      </c>
      <c r="E4663" s="538" t="n">
        <v>25.7</v>
      </c>
    </row>
    <row r="4664">
      <c r="A4664" s="544" t="n">
        <v>35738</v>
      </c>
      <c r="B4664" s="538" t="n">
        <v>19.1</v>
      </c>
      <c r="C4664" s="538" t="n">
        <v>20.64</v>
      </c>
      <c r="D4664" s="538" t="n">
        <v>18.47</v>
      </c>
      <c r="E4664" s="538" t="n">
        <v>25.7</v>
      </c>
    </row>
    <row r="4665">
      <c r="A4665" s="544" t="n">
        <v>35739</v>
      </c>
      <c r="B4665" s="538" t="n">
        <v>18.93</v>
      </c>
      <c r="C4665" s="538" t="n">
        <v>20.44</v>
      </c>
      <c r="D4665" s="538" t="n">
        <v>18.23</v>
      </c>
      <c r="E4665" s="538" t="n">
        <v>25.5</v>
      </c>
    </row>
    <row r="4666">
      <c r="A4666" s="544" t="n">
        <v>35740</v>
      </c>
      <c r="B4666" s="538" t="n">
        <v>18.97</v>
      </c>
      <c r="C4666" s="538" t="n">
        <v>20.46</v>
      </c>
      <c r="D4666" s="538" t="n">
        <v>18.34</v>
      </c>
      <c r="E4666" s="538" t="n">
        <v>25.4</v>
      </c>
    </row>
    <row r="4667">
      <c r="A4667" s="544" t="n">
        <v>35741</v>
      </c>
      <c r="B4667" s="538" t="n">
        <v>19.24</v>
      </c>
      <c r="C4667" s="538" t="n">
        <v>20.8</v>
      </c>
      <c r="D4667" s="538" t="n">
        <v>18.63</v>
      </c>
      <c r="E4667" s="538" t="n">
        <v>25.35</v>
      </c>
    </row>
    <row r="4668">
      <c r="A4668" s="544" t="n">
        <v>35744</v>
      </c>
      <c r="B4668" s="538" t="n">
        <v>19.14</v>
      </c>
      <c r="C4668" s="538" t="n">
        <v>20.46</v>
      </c>
      <c r="D4668" s="538" t="n">
        <v>18.32</v>
      </c>
      <c r="E4668" s="538" t="n">
        <v>25.9</v>
      </c>
    </row>
    <row r="4669">
      <c r="A4669" s="544" t="n">
        <v>35745</v>
      </c>
      <c r="B4669" s="538" t="n">
        <v>19.14</v>
      </c>
      <c r="C4669" s="538" t="n">
        <v>20.54</v>
      </c>
      <c r="D4669" s="538" t="n">
        <v>18.43</v>
      </c>
      <c r="E4669" s="538" t="n">
        <v>25.9</v>
      </c>
    </row>
    <row r="4670">
      <c r="A4670" s="544" t="n">
        <v>35746</v>
      </c>
      <c r="B4670" s="538" t="n">
        <v>19.26</v>
      </c>
      <c r="C4670" s="538" t="n">
        <v>20.53</v>
      </c>
      <c r="D4670" s="538" t="n">
        <v>18.39</v>
      </c>
      <c r="E4670" s="538" t="n">
        <v>25.5</v>
      </c>
    </row>
    <row r="4671">
      <c r="A4671" s="544" t="n">
        <v>35747</v>
      </c>
      <c r="B4671" s="538" t="n">
        <v>19.71</v>
      </c>
      <c r="C4671" s="538" t="n">
        <v>20.76</v>
      </c>
      <c r="D4671" s="538" t="n">
        <v>18.64</v>
      </c>
      <c r="E4671" s="538" t="n">
        <v>25.2</v>
      </c>
    </row>
    <row r="4672">
      <c r="A4672" s="544" t="n">
        <v>35748</v>
      </c>
      <c r="B4672" s="538" t="n">
        <v>20.24</v>
      </c>
      <c r="C4672" s="538" t="n">
        <v>21.01</v>
      </c>
      <c r="D4672" s="538" t="n">
        <v>18.88</v>
      </c>
      <c r="E4672" s="538" t="n">
        <v>24.8</v>
      </c>
    </row>
    <row r="4673">
      <c r="A4673" s="544" t="n">
        <v>35751</v>
      </c>
      <c r="B4673" s="538" t="n">
        <v>19.54</v>
      </c>
      <c r="C4673" s="538" t="n">
        <v>20.29</v>
      </c>
      <c r="D4673" s="538" t="n">
        <v>18.26</v>
      </c>
      <c r="E4673" s="538" t="n">
        <v>24.8</v>
      </c>
    </row>
    <row r="4674">
      <c r="A4674" s="544" t="n">
        <v>35752</v>
      </c>
      <c r="B4674" s="538" t="n">
        <v>19.39</v>
      </c>
      <c r="C4674" s="538" t="n">
        <v>20.01</v>
      </c>
      <c r="D4674" s="538" t="n">
        <v>18.08</v>
      </c>
      <c r="E4674" s="538" t="n">
        <v>24.55</v>
      </c>
    </row>
    <row r="4675">
      <c r="A4675" s="544" t="n">
        <v>35753</v>
      </c>
      <c r="B4675" s="538" t="n">
        <v>19.41</v>
      </c>
      <c r="C4675" s="538" t="n">
        <v>19.82</v>
      </c>
      <c r="D4675" s="538" t="n">
        <v>18.06</v>
      </c>
      <c r="E4675" s="538" t="n">
        <v>24.5</v>
      </c>
    </row>
    <row r="4676">
      <c r="A4676" s="544" t="n">
        <v>35754</v>
      </c>
      <c r="B4676" s="538" t="n">
        <v>18.82</v>
      </c>
      <c r="C4676" s="538" t="n">
        <v>19.17</v>
      </c>
      <c r="D4676" s="538" t="n">
        <v>17.53</v>
      </c>
      <c r="E4676" s="538" t="n">
        <v>23.9</v>
      </c>
    </row>
    <row r="4677">
      <c r="A4677" s="544" t="n">
        <v>35755</v>
      </c>
      <c r="B4677" s="538" t="n">
        <v>18.83</v>
      </c>
      <c r="C4677" s="538" t="n">
        <v>19.76</v>
      </c>
      <c r="D4677" s="538" t="n">
        <v>17.75</v>
      </c>
      <c r="E4677" s="538" t="n">
        <v>23.9</v>
      </c>
    </row>
    <row r="4678">
      <c r="A4678" s="544" t="n">
        <v>35758</v>
      </c>
      <c r="B4678" s="538" t="n">
        <v>19.01</v>
      </c>
      <c r="C4678" s="538" t="n">
        <v>19.41</v>
      </c>
      <c r="D4678" s="538" t="n">
        <v>17.96</v>
      </c>
      <c r="E4678" s="538" t="n">
        <v>23.9</v>
      </c>
    </row>
    <row r="4679">
      <c r="A4679" s="544" t="n">
        <v>35759</v>
      </c>
      <c r="B4679" s="538" t="n">
        <v>19.14</v>
      </c>
      <c r="C4679" s="538" t="n">
        <v>19.35</v>
      </c>
      <c r="D4679" s="538" t="n">
        <v>18.12</v>
      </c>
      <c r="E4679" s="538" t="n">
        <v>23.85</v>
      </c>
    </row>
    <row r="4680">
      <c r="A4680" s="544" t="n">
        <v>35760</v>
      </c>
      <c r="B4680" s="538" t="n">
        <v>18.5</v>
      </c>
      <c r="C4680" s="538" t="n">
        <v>19.13</v>
      </c>
      <c r="D4680" s="538" t="n">
        <v>17.62</v>
      </c>
      <c r="E4680" s="538" t="n">
        <v>23.5</v>
      </c>
    </row>
    <row r="4681">
      <c r="A4681" s="544" t="n">
        <v>35761</v>
      </c>
      <c r="B4681" s="538" t="n">
        <v>18.64</v>
      </c>
      <c r="C4681" s="538" t="n">
        <v>19.13</v>
      </c>
      <c r="D4681" s="538" t="n">
        <v>17.62</v>
      </c>
      <c r="E4681" s="538" t="n">
        <v>23.2</v>
      </c>
    </row>
    <row r="4682">
      <c r="A4682" s="544" t="n">
        <v>35762</v>
      </c>
      <c r="B4682" s="538" t="n">
        <v>18.96</v>
      </c>
      <c r="C4682" s="538" t="n">
        <v>19.13</v>
      </c>
      <c r="D4682" s="538" t="n">
        <v>17.62</v>
      </c>
      <c r="E4682" s="538" t="n">
        <v>23.2</v>
      </c>
    </row>
    <row r="4683">
      <c r="A4683" s="544" t="n">
        <v>35765</v>
      </c>
      <c r="B4683" s="538" t="n">
        <v>18.01</v>
      </c>
      <c r="C4683" s="538" t="n">
        <v>18.76</v>
      </c>
      <c r="D4683" s="538" t="n">
        <v>17.21</v>
      </c>
      <c r="E4683" s="538" t="n">
        <v>22.68</v>
      </c>
    </row>
    <row r="4684">
      <c r="A4684" s="544" t="n">
        <v>35766</v>
      </c>
      <c r="B4684" s="538" t="n">
        <v>18.04</v>
      </c>
      <c r="C4684" s="538" t="n">
        <v>18.67</v>
      </c>
      <c r="D4684" s="538" t="n">
        <v>17.22</v>
      </c>
      <c r="E4684" s="538" t="n">
        <v>22.68</v>
      </c>
    </row>
    <row r="4685">
      <c r="A4685" s="544" t="n">
        <v>35767</v>
      </c>
      <c r="B4685" s="538" t="n">
        <v>17.94</v>
      </c>
      <c r="C4685" s="538" t="n">
        <v>18.81</v>
      </c>
      <c r="D4685" s="538" t="n">
        <v>17.27</v>
      </c>
      <c r="E4685" s="538" t="n">
        <v>22.55</v>
      </c>
    </row>
    <row r="4686">
      <c r="A4686" s="544" t="n">
        <v>35768</v>
      </c>
      <c r="B4686" s="538" t="n">
        <v>17.7</v>
      </c>
      <c r="C4686" s="538" t="n">
        <v>18.49</v>
      </c>
      <c r="D4686" s="538" t="n">
        <v>17.1</v>
      </c>
      <c r="E4686" s="538" t="n">
        <v>22.55</v>
      </c>
    </row>
    <row r="4687">
      <c r="A4687" s="544" t="n">
        <v>35769</v>
      </c>
      <c r="B4687" s="538" t="n">
        <v>17.91</v>
      </c>
      <c r="C4687" s="538" t="n">
        <v>18.72</v>
      </c>
      <c r="D4687" s="538" t="n">
        <v>17.16</v>
      </c>
      <c r="E4687" s="538" t="n">
        <v>22.8</v>
      </c>
    </row>
    <row r="4688">
      <c r="A4688" s="544" t="n">
        <v>35772</v>
      </c>
      <c r="B4688" s="538" t="n">
        <v>17.87</v>
      </c>
      <c r="C4688" s="538" t="n">
        <v>18.86</v>
      </c>
      <c r="D4688" s="538" t="n">
        <v>17.08</v>
      </c>
      <c r="E4688" s="538" t="n">
        <v>22.75</v>
      </c>
    </row>
    <row r="4689">
      <c r="A4689" s="544" t="n">
        <v>35773</v>
      </c>
      <c r="B4689" s="538" t="n">
        <v>17.57</v>
      </c>
      <c r="C4689" s="538" t="n">
        <v>18.79</v>
      </c>
      <c r="D4689" s="538" t="n">
        <v>16.83</v>
      </c>
      <c r="E4689" s="538" t="n">
        <v>22.75</v>
      </c>
    </row>
    <row r="4690">
      <c r="A4690" s="544" t="n">
        <v>35774</v>
      </c>
      <c r="B4690" s="538" t="n">
        <v>17.08</v>
      </c>
      <c r="C4690" s="538" t="n">
        <v>18.15</v>
      </c>
      <c r="D4690" s="538" t="n">
        <v>16.34</v>
      </c>
      <c r="E4690" s="538" t="n">
        <v>21.75</v>
      </c>
    </row>
    <row r="4691">
      <c r="A4691" s="544" t="n">
        <v>35775</v>
      </c>
      <c r="B4691" s="538" t="n">
        <v>16.98</v>
      </c>
      <c r="C4691" s="538" t="n">
        <v>18.18</v>
      </c>
      <c r="D4691" s="538" t="n">
        <v>16.37</v>
      </c>
      <c r="E4691" s="538" t="n">
        <v>20.4</v>
      </c>
    </row>
    <row r="4692">
      <c r="A4692" s="544" t="n">
        <v>35776</v>
      </c>
      <c r="B4692" s="538" t="n">
        <v>17.12</v>
      </c>
      <c r="C4692" s="538" t="n">
        <v>18.21</v>
      </c>
      <c r="D4692" s="538" t="n">
        <v>16.37</v>
      </c>
      <c r="E4692" s="538" t="n">
        <v>21.35</v>
      </c>
    </row>
    <row r="4693">
      <c r="A4693" s="544" t="n">
        <v>35779</v>
      </c>
      <c r="B4693" s="538" t="n">
        <v>16.89</v>
      </c>
      <c r="C4693" s="538" t="n">
        <v>18.18</v>
      </c>
      <c r="D4693" s="538" t="n">
        <v>16.29</v>
      </c>
      <c r="E4693" s="538" t="n">
        <v>21.35</v>
      </c>
    </row>
    <row r="4694">
      <c r="A4694" s="544" t="n">
        <v>35780</v>
      </c>
      <c r="B4694" s="538" t="n">
        <v>16.8</v>
      </c>
      <c r="C4694" s="538" t="n">
        <v>18.19</v>
      </c>
      <c r="D4694" s="538" t="n">
        <v>15.98</v>
      </c>
      <c r="E4694" s="538" t="n">
        <v>21.2</v>
      </c>
    </row>
    <row r="4695">
      <c r="A4695" s="544" t="n">
        <v>35781</v>
      </c>
      <c r="B4695" s="538" t="n">
        <v>16.98</v>
      </c>
      <c r="C4695" s="538" t="n">
        <v>18.22</v>
      </c>
      <c r="D4695" s="538" t="n">
        <v>16</v>
      </c>
      <c r="E4695" s="538" t="n">
        <v>20.95</v>
      </c>
    </row>
    <row r="4696">
      <c r="A4696" s="544" t="n">
        <v>35782</v>
      </c>
      <c r="B4696" s="538" t="n">
        <v>17.34</v>
      </c>
      <c r="C4696" s="538" t="n">
        <v>18.51</v>
      </c>
      <c r="D4696" s="538" t="n">
        <v>16.25</v>
      </c>
      <c r="E4696" s="538" t="n">
        <v>20.75</v>
      </c>
    </row>
    <row r="4697">
      <c r="A4697" s="544" t="n">
        <v>35783</v>
      </c>
      <c r="B4697" s="538" t="n">
        <v>17.2</v>
      </c>
      <c r="C4697" s="538" t="n">
        <v>18.46</v>
      </c>
      <c r="D4697" s="538" t="n">
        <v>15.87</v>
      </c>
      <c r="E4697" s="538" t="n">
        <v>20.95</v>
      </c>
    </row>
    <row r="4698">
      <c r="A4698" s="544" t="n">
        <v>35786</v>
      </c>
      <c r="B4698" s="538" t="n">
        <v>17.04</v>
      </c>
      <c r="C4698" s="538" t="n">
        <v>18.29</v>
      </c>
      <c r="D4698" s="538" t="n">
        <v>15.78</v>
      </c>
      <c r="E4698" s="538" t="n">
        <v>20.75</v>
      </c>
    </row>
    <row r="4699">
      <c r="A4699" s="544" t="n">
        <v>35787</v>
      </c>
      <c r="B4699" s="538" t="n">
        <v>17.09</v>
      </c>
      <c r="C4699" s="538" t="n">
        <v>18.39</v>
      </c>
      <c r="D4699" s="538" t="n">
        <v>15.85</v>
      </c>
      <c r="E4699" s="538" t="n">
        <v>20.75</v>
      </c>
    </row>
    <row r="4700">
      <c r="A4700" s="544" t="n">
        <v>35788</v>
      </c>
      <c r="B4700" s="538" t="n">
        <v>17.04</v>
      </c>
      <c r="C4700" s="538" t="n">
        <v>18.36</v>
      </c>
      <c r="D4700" s="538" t="n">
        <v>15.83</v>
      </c>
      <c r="E4700" s="538" t="n">
        <v>20.75</v>
      </c>
    </row>
    <row r="4701">
      <c r="A4701" s="544" t="n">
        <v>35789</v>
      </c>
      <c r="B4701" s="538" t="n">
        <v>17.04</v>
      </c>
      <c r="C4701" s="538" t="n">
        <v>18.36</v>
      </c>
      <c r="D4701" s="538" t="n">
        <v>15.83</v>
      </c>
      <c r="E4701" s="538" t="n">
        <v>20.75</v>
      </c>
    </row>
    <row r="4702">
      <c r="A4702" s="544" t="n">
        <v>35790</v>
      </c>
      <c r="B4702" s="538" t="n">
        <v>17.04</v>
      </c>
      <c r="C4702" s="538" t="n">
        <v>18.19</v>
      </c>
      <c r="D4702" s="538" t="n">
        <v>15.83</v>
      </c>
      <c r="E4702" s="538" t="n">
        <v>20.25</v>
      </c>
    </row>
    <row r="4703">
      <c r="A4703" s="544" t="n">
        <v>35793</v>
      </c>
      <c r="B4703" s="538" t="n">
        <v>16.35</v>
      </c>
      <c r="C4703" s="538" t="n">
        <v>17.64</v>
      </c>
      <c r="D4703" s="538" t="n">
        <v>15.22</v>
      </c>
      <c r="E4703" s="538" t="n">
        <v>19.7</v>
      </c>
    </row>
    <row r="4704">
      <c r="A4704" s="544" t="n">
        <v>35794</v>
      </c>
      <c r="B4704" s="538" t="n">
        <v>16.01</v>
      </c>
      <c r="C4704" s="538" t="n">
        <v>17.6</v>
      </c>
      <c r="D4704" s="538" t="n">
        <v>15.15</v>
      </c>
      <c r="E4704" s="538" t="n">
        <v>19.55</v>
      </c>
    </row>
    <row r="4705">
      <c r="A4705" s="544" t="n">
        <v>35795</v>
      </c>
      <c r="B4705" s="538" t="n">
        <v>15.86</v>
      </c>
      <c r="C4705" s="538" t="n">
        <v>17.65</v>
      </c>
      <c r="D4705" s="538" t="n">
        <v>14.77</v>
      </c>
      <c r="E4705" s="538" t="n">
        <v>19.55</v>
      </c>
    </row>
    <row r="4706">
      <c r="A4706" s="544" t="n">
        <v>35796</v>
      </c>
      <c r="B4706" s="538" t="n">
        <v>15.86</v>
      </c>
      <c r="C4706" s="538" t="n">
        <v>17.65</v>
      </c>
      <c r="D4706" s="538" t="n">
        <v>14.77</v>
      </c>
      <c r="E4706" s="538" t="n">
        <v>19.55</v>
      </c>
    </row>
    <row r="4707">
      <c r="A4707" s="544" t="n">
        <v>35797</v>
      </c>
      <c r="B4707" s="538" t="n">
        <v>15.77</v>
      </c>
      <c r="C4707" s="538" t="n">
        <v>17.41</v>
      </c>
      <c r="D4707" s="538" t="n">
        <v>14.73</v>
      </c>
      <c r="E4707" s="538" t="n">
        <v>19.15</v>
      </c>
    </row>
    <row r="4708">
      <c r="A4708" s="544" t="n">
        <v>35800</v>
      </c>
      <c r="B4708" s="538" t="n">
        <v>15.29</v>
      </c>
      <c r="C4708" s="538" t="n">
        <v>16.95</v>
      </c>
      <c r="D4708" s="538" t="n">
        <v>14.07</v>
      </c>
      <c r="E4708" s="538" t="n">
        <v>18.45</v>
      </c>
    </row>
    <row r="4709">
      <c r="A4709" s="544" t="n">
        <v>35801</v>
      </c>
      <c r="B4709" s="538" t="n">
        <v>15.48</v>
      </c>
      <c r="C4709" s="538" t="n">
        <v>16.64</v>
      </c>
      <c r="D4709" s="538" t="n">
        <v>13.96</v>
      </c>
      <c r="E4709" s="538" t="n">
        <v>18</v>
      </c>
    </row>
    <row r="4710">
      <c r="A4710" s="544" t="n">
        <v>35802</v>
      </c>
      <c r="B4710" s="538" t="n">
        <v>15.33</v>
      </c>
      <c r="C4710" s="538" t="n">
        <v>16.91</v>
      </c>
      <c r="D4710" s="538" t="n">
        <v>13.88</v>
      </c>
      <c r="E4710" s="538" t="n">
        <v>18</v>
      </c>
    </row>
    <row r="4711">
      <c r="A4711" s="544" t="n">
        <v>35803</v>
      </c>
      <c r="B4711" s="538" t="n">
        <v>15.47</v>
      </c>
      <c r="C4711" s="538" t="n">
        <v>17.01</v>
      </c>
      <c r="D4711" s="538" t="n">
        <v>14.01</v>
      </c>
      <c r="E4711" s="538" t="n">
        <v>18.15</v>
      </c>
    </row>
    <row r="4712">
      <c r="A4712" s="544" t="n">
        <v>35804</v>
      </c>
      <c r="B4712" s="538" t="n">
        <v>15.33</v>
      </c>
      <c r="C4712" s="538" t="n">
        <v>16.65</v>
      </c>
      <c r="D4712" s="538" t="n">
        <v>13.78</v>
      </c>
      <c r="E4712" s="538" t="n">
        <v>18.4</v>
      </c>
    </row>
    <row r="4713">
      <c r="A4713" s="544" t="n">
        <v>35807</v>
      </c>
      <c r="B4713" s="538" t="n">
        <v>15.07</v>
      </c>
      <c r="C4713" s="538" t="n">
        <v>16.53</v>
      </c>
      <c r="D4713" s="538" t="n">
        <v>13.6</v>
      </c>
      <c r="E4713" s="538" t="n">
        <v>18.05</v>
      </c>
    </row>
    <row r="4714">
      <c r="A4714" s="544" t="n">
        <v>35808</v>
      </c>
      <c r="B4714" s="538" t="n">
        <v>15.08</v>
      </c>
      <c r="C4714" s="538" t="n">
        <v>16.44</v>
      </c>
      <c r="D4714" s="538" t="n">
        <v>13.01</v>
      </c>
      <c r="E4714" s="538" t="n">
        <v>18.4</v>
      </c>
    </row>
    <row r="4715">
      <c r="A4715" s="544" t="n">
        <v>35809</v>
      </c>
      <c r="B4715" s="538" t="n">
        <v>14.81</v>
      </c>
      <c r="C4715" s="538" t="n">
        <v>16.54</v>
      </c>
      <c r="D4715" s="538" t="n">
        <v>13.01</v>
      </c>
      <c r="E4715" s="538" t="n">
        <v>18.4</v>
      </c>
    </row>
    <row r="4716">
      <c r="A4716" s="544" t="n">
        <v>35810</v>
      </c>
      <c r="B4716" s="538" t="n">
        <v>14.75</v>
      </c>
      <c r="C4716" s="538" t="n">
        <v>16.35</v>
      </c>
      <c r="D4716" s="538" t="n">
        <v>13.09</v>
      </c>
      <c r="E4716" s="538" t="n">
        <v>18.4</v>
      </c>
    </row>
    <row r="4717">
      <c r="A4717" s="544" t="n">
        <v>35811</v>
      </c>
      <c r="B4717" s="538" t="n">
        <v>14.89</v>
      </c>
      <c r="C4717" s="538" t="n">
        <v>16.48</v>
      </c>
      <c r="D4717" s="538" t="n">
        <v>13.51</v>
      </c>
      <c r="E4717" s="538" t="n">
        <v>18.2</v>
      </c>
    </row>
    <row r="4718">
      <c r="A4718" s="544" t="n">
        <v>35814</v>
      </c>
      <c r="B4718" s="538" t="n">
        <v>15.38</v>
      </c>
      <c r="C4718" s="538" t="n">
        <v>16.48</v>
      </c>
      <c r="D4718" s="538" t="n">
        <v>13.51</v>
      </c>
      <c r="E4718" s="538" t="n">
        <v>18.8</v>
      </c>
    </row>
    <row r="4719">
      <c r="A4719" s="544" t="n">
        <v>35815</v>
      </c>
      <c r="B4719" s="538" t="n">
        <v>14.95</v>
      </c>
      <c r="C4719" s="538" t="n">
        <v>16.43</v>
      </c>
      <c r="D4719" s="538" t="n">
        <v>13.23</v>
      </c>
      <c r="E4719" s="538" t="n">
        <v>19.3</v>
      </c>
    </row>
    <row r="4720">
      <c r="A4720" s="544" t="n">
        <v>35816</v>
      </c>
      <c r="B4720" s="538" t="n">
        <v>14.67</v>
      </c>
      <c r="C4720" s="538" t="n">
        <v>16.05</v>
      </c>
      <c r="D4720" s="538" t="n">
        <v>13.01</v>
      </c>
      <c r="E4720" s="538" t="n">
        <v>18.2</v>
      </c>
    </row>
    <row r="4721">
      <c r="A4721" s="544" t="n">
        <v>35817</v>
      </c>
      <c r="B4721" s="538" t="n">
        <v>14.35</v>
      </c>
      <c r="C4721" s="538" t="n">
        <v>15.93</v>
      </c>
      <c r="D4721" s="538" t="n">
        <v>12.79</v>
      </c>
      <c r="E4721" s="538" t="n">
        <v>17.73</v>
      </c>
    </row>
    <row r="4722">
      <c r="A4722" s="544" t="n">
        <v>35818</v>
      </c>
      <c r="B4722" s="538" t="n">
        <v>14.26</v>
      </c>
      <c r="C4722" s="538" t="n">
        <v>15.65</v>
      </c>
      <c r="D4722" s="538" t="n">
        <v>12.56</v>
      </c>
      <c r="E4722" s="538" t="n">
        <v>17.73</v>
      </c>
    </row>
    <row r="4723">
      <c r="A4723" s="544" t="n">
        <v>35821</v>
      </c>
      <c r="B4723" s="538" t="n">
        <v>14.79</v>
      </c>
      <c r="C4723" s="538" t="n">
        <v>16.96</v>
      </c>
      <c r="D4723" s="538" t="n">
        <v>13.62</v>
      </c>
      <c r="E4723" s="538" t="n">
        <v>17.55</v>
      </c>
    </row>
    <row r="4724">
      <c r="A4724" s="544" t="n">
        <v>35822</v>
      </c>
      <c r="B4724" s="538" t="n">
        <v>15.74</v>
      </c>
      <c r="C4724" s="538" t="n">
        <v>17.06</v>
      </c>
      <c r="D4724" s="538" t="n">
        <v>13.63</v>
      </c>
      <c r="E4724" s="538" t="n">
        <v>17.95</v>
      </c>
    </row>
    <row r="4725">
      <c r="A4725" s="544" t="n">
        <v>35823</v>
      </c>
      <c r="B4725" s="538" t="n">
        <v>15.64</v>
      </c>
      <c r="C4725" s="538" t="n">
        <v>17.35</v>
      </c>
      <c r="D4725" s="538" t="n">
        <v>13.93</v>
      </c>
      <c r="E4725" s="538" t="n">
        <v>17.95</v>
      </c>
    </row>
    <row r="4726">
      <c r="A4726" s="544" t="n">
        <v>35824</v>
      </c>
      <c r="B4726" s="538" t="n">
        <v>16.28</v>
      </c>
      <c r="C4726" s="538" t="n">
        <v>17.93</v>
      </c>
      <c r="D4726" s="538" t="n">
        <v>14.41</v>
      </c>
      <c r="E4726" s="538" t="n">
        <v>17.95</v>
      </c>
    </row>
    <row r="4727">
      <c r="A4727" s="544" t="n">
        <v>35825</v>
      </c>
      <c r="B4727" s="538" t="n">
        <v>15.59</v>
      </c>
      <c r="C4727" s="538" t="n">
        <v>17.21</v>
      </c>
      <c r="D4727" s="538" t="n">
        <v>13.81</v>
      </c>
      <c r="E4727" s="538" t="n">
        <v>17.95</v>
      </c>
    </row>
    <row r="4728">
      <c r="A4728" s="544" t="n">
        <v>35828</v>
      </c>
      <c r="B4728" s="538" t="n">
        <v>15.28</v>
      </c>
      <c r="C4728" s="538" t="n">
        <v>17.07</v>
      </c>
      <c r="D4728" s="538" t="n">
        <v>13.66</v>
      </c>
      <c r="E4728" s="538" t="n">
        <v>17.95</v>
      </c>
    </row>
    <row r="4729">
      <c r="A4729" s="544" t="n">
        <v>35829</v>
      </c>
      <c r="B4729" s="538" t="n">
        <v>14.87</v>
      </c>
      <c r="C4729" s="538" t="n">
        <v>16.43</v>
      </c>
      <c r="D4729" s="538" t="n">
        <v>12.89</v>
      </c>
      <c r="E4729" s="538" t="n">
        <v>17.95</v>
      </c>
    </row>
    <row r="4730">
      <c r="A4730" s="544" t="n">
        <v>35830</v>
      </c>
      <c r="B4730" s="538" t="n">
        <v>14.56</v>
      </c>
      <c r="C4730" s="538" t="n">
        <v>16.42</v>
      </c>
      <c r="D4730" s="538" t="n">
        <v>12.54</v>
      </c>
      <c r="E4730" s="538" t="n">
        <v>17.73</v>
      </c>
    </row>
    <row r="4731">
      <c r="A4731" s="544" t="n">
        <v>35831</v>
      </c>
      <c r="B4731" s="538" t="n">
        <v>14.83</v>
      </c>
      <c r="C4731" s="538" t="n">
        <v>16.63</v>
      </c>
      <c r="D4731" s="538" t="n">
        <v>12.72</v>
      </c>
      <c r="E4731" s="538" t="n">
        <v>17.48</v>
      </c>
    </row>
    <row r="4732">
      <c r="A4732" s="544" t="n">
        <v>35832</v>
      </c>
      <c r="B4732" s="538" t="n">
        <v>15.05</v>
      </c>
      <c r="C4732" s="538" t="n">
        <v>16.72</v>
      </c>
      <c r="D4732" s="538" t="n">
        <v>12.83</v>
      </c>
      <c r="E4732" s="538" t="n">
        <v>17.48</v>
      </c>
    </row>
    <row r="4733">
      <c r="A4733" s="544" t="n">
        <v>35835</v>
      </c>
      <c r="B4733" s="538" t="n">
        <v>14.77</v>
      </c>
      <c r="C4733" s="538" t="n">
        <v>16.59</v>
      </c>
      <c r="D4733" s="538" t="n">
        <v>12.74</v>
      </c>
      <c r="E4733" s="538" t="n">
        <v>17.48</v>
      </c>
    </row>
    <row r="4734">
      <c r="A4734" s="544" t="n">
        <v>35836</v>
      </c>
      <c r="B4734" s="538" t="n">
        <v>14.6</v>
      </c>
      <c r="C4734" s="538" t="n">
        <v>16.48</v>
      </c>
      <c r="D4734" s="538" t="n">
        <v>12.53</v>
      </c>
      <c r="E4734" s="538" t="n">
        <v>17.68</v>
      </c>
    </row>
    <row r="4735">
      <c r="A4735" s="544" t="n">
        <v>35837</v>
      </c>
      <c r="B4735" s="538" t="n">
        <v>14.35</v>
      </c>
      <c r="C4735" s="538" t="n">
        <v>16.17</v>
      </c>
      <c r="D4735" s="538" t="n">
        <v>12.1</v>
      </c>
      <c r="E4735" s="538" t="n">
        <v>17.6</v>
      </c>
    </row>
    <row r="4736">
      <c r="A4736" s="544" t="n">
        <v>35838</v>
      </c>
      <c r="B4736" s="538" t="n">
        <v>14.04</v>
      </c>
      <c r="C4736" s="538" t="n">
        <v>15.97</v>
      </c>
      <c r="D4736" s="538" t="n">
        <v>12.05</v>
      </c>
      <c r="E4736" s="538" t="n">
        <v>17.6</v>
      </c>
    </row>
    <row r="4737">
      <c r="A4737" s="544" t="n">
        <v>35839</v>
      </c>
      <c r="B4737" s="538" t="n">
        <v>14.05</v>
      </c>
      <c r="C4737" s="538" t="n">
        <v>16.03</v>
      </c>
      <c r="D4737" s="538" t="n">
        <v>12.8</v>
      </c>
      <c r="E4737" s="538" t="n">
        <v>17.5</v>
      </c>
    </row>
    <row r="4738">
      <c r="A4738" s="544" t="n">
        <v>35842</v>
      </c>
      <c r="B4738" s="538" t="n">
        <v>13.5</v>
      </c>
      <c r="C4738" s="538" t="n">
        <v>16.03</v>
      </c>
      <c r="D4738" s="538" t="n">
        <v>12.8</v>
      </c>
      <c r="E4738" s="538" t="n">
        <v>17.35</v>
      </c>
    </row>
    <row r="4739">
      <c r="A4739" s="544" t="n">
        <v>35843</v>
      </c>
      <c r="B4739" s="538" t="n">
        <v>13.5</v>
      </c>
      <c r="C4739" s="538" t="n">
        <v>15.64</v>
      </c>
      <c r="D4739" s="538" t="n">
        <v>12.38</v>
      </c>
      <c r="E4739" s="538" t="n">
        <v>17.1</v>
      </c>
    </row>
    <row r="4740">
      <c r="A4740" s="544" t="n">
        <v>35844</v>
      </c>
      <c r="B4740" s="538" t="n">
        <v>13.46</v>
      </c>
      <c r="C4740" s="538" t="n">
        <v>16.24</v>
      </c>
      <c r="D4740" s="538" t="n">
        <v>12.67</v>
      </c>
      <c r="E4740" s="538" t="n">
        <v>16.6</v>
      </c>
    </row>
    <row r="4741">
      <c r="A4741" s="544" t="n">
        <v>35845</v>
      </c>
      <c r="B4741" s="538" t="n">
        <v>14.02</v>
      </c>
      <c r="C4741" s="538" t="n">
        <v>16.12</v>
      </c>
      <c r="D4741" s="538" t="n">
        <v>12.57</v>
      </c>
      <c r="E4741" s="538" t="n">
        <v>16.65</v>
      </c>
    </row>
    <row r="4742">
      <c r="A4742" s="544" t="n">
        <v>35846</v>
      </c>
      <c r="B4742" s="538" t="n">
        <v>13.91</v>
      </c>
      <c r="C4742" s="538" t="n">
        <v>16.13</v>
      </c>
      <c r="D4742" s="538" t="n">
        <v>12.31</v>
      </c>
      <c r="E4742" s="538" t="n">
        <v>16.65</v>
      </c>
    </row>
    <row r="4743">
      <c r="A4743" s="544" t="n">
        <v>35849</v>
      </c>
      <c r="B4743" s="538" t="n">
        <v>13.26</v>
      </c>
      <c r="C4743" s="538" t="n">
        <v>15.23</v>
      </c>
      <c r="D4743" s="538" t="n">
        <v>11.48</v>
      </c>
      <c r="E4743" s="538" t="n">
        <v>16.1</v>
      </c>
    </row>
    <row r="4744">
      <c r="A4744" s="544" t="n">
        <v>35850</v>
      </c>
      <c r="B4744" s="538" t="n">
        <v>13.08</v>
      </c>
      <c r="C4744" s="538" t="n">
        <v>15.14</v>
      </c>
      <c r="D4744" s="538" t="n">
        <v>11.48</v>
      </c>
      <c r="E4744" s="538" t="n">
        <v>16.5</v>
      </c>
    </row>
    <row r="4745">
      <c r="A4745" s="544" t="n">
        <v>35851</v>
      </c>
      <c r="B4745" s="538" t="n">
        <v>13.35</v>
      </c>
      <c r="C4745" s="538" t="n">
        <v>15.28</v>
      </c>
      <c r="D4745" s="538" t="n">
        <v>11.57</v>
      </c>
      <c r="E4745" s="538" t="n">
        <v>16.13</v>
      </c>
    </row>
    <row r="4746">
      <c r="A4746" s="544" t="n">
        <v>35852</v>
      </c>
      <c r="B4746" s="538" t="n">
        <v>13.38</v>
      </c>
      <c r="C4746" s="538" t="n">
        <v>15.41</v>
      </c>
      <c r="D4746" s="538" t="n">
        <v>11.67</v>
      </c>
      <c r="E4746" s="538" t="n">
        <v>16.23</v>
      </c>
    </row>
    <row r="4747">
      <c r="A4747" s="544" t="n">
        <v>35853</v>
      </c>
      <c r="B4747" s="538" t="n">
        <v>13.53</v>
      </c>
      <c r="C4747" s="538" t="n">
        <v>15.44</v>
      </c>
      <c r="D4747" s="538" t="n">
        <v>11.82</v>
      </c>
      <c r="E4747" s="538" t="n">
        <v>15.9</v>
      </c>
    </row>
    <row r="4748">
      <c r="A4748" s="544" t="n">
        <v>35856</v>
      </c>
      <c r="B4748" s="538" t="n">
        <v>13.37</v>
      </c>
      <c r="C4748" s="538" t="n">
        <v>15.32</v>
      </c>
      <c r="D4748" s="538" t="n">
        <v>11.59</v>
      </c>
      <c r="E4748" s="538" t="n">
        <v>15.55</v>
      </c>
    </row>
    <row r="4749">
      <c r="A4749" s="544" t="n">
        <v>35857</v>
      </c>
      <c r="B4749" s="538" t="n">
        <v>13.18</v>
      </c>
      <c r="C4749" s="538" t="n">
        <v>15.28</v>
      </c>
      <c r="D4749" s="538" t="n">
        <v>11.47</v>
      </c>
      <c r="E4749" s="538" t="n">
        <v>15.4</v>
      </c>
    </row>
    <row r="4750">
      <c r="A4750" s="544" t="n">
        <v>35858</v>
      </c>
      <c r="B4750" s="538" t="n">
        <v>13.09</v>
      </c>
      <c r="C4750" s="538" t="n">
        <v>15.33</v>
      </c>
      <c r="D4750" s="538" t="n">
        <v>11.51</v>
      </c>
      <c r="E4750" s="538" t="n">
        <v>15.4</v>
      </c>
    </row>
    <row r="4751">
      <c r="A4751" s="544" t="n">
        <v>35859</v>
      </c>
      <c r="B4751" s="538" t="n">
        <v>13.18</v>
      </c>
      <c r="C4751" s="538" t="n">
        <v>15.34</v>
      </c>
      <c r="D4751" s="538" t="n">
        <v>11.8</v>
      </c>
      <c r="E4751" s="538" t="n">
        <v>14.8</v>
      </c>
    </row>
    <row r="4752">
      <c r="A4752" s="544" t="n">
        <v>35860</v>
      </c>
      <c r="B4752" s="538" t="n">
        <v>12.85</v>
      </c>
      <c r="C4752" s="538" t="n">
        <v>14.9</v>
      </c>
      <c r="D4752" s="538" t="n">
        <v>11.4</v>
      </c>
      <c r="E4752" s="538" t="n">
        <v>14.9</v>
      </c>
    </row>
    <row r="4753">
      <c r="A4753" s="544" t="n">
        <v>35863</v>
      </c>
      <c r="B4753" s="538" t="n">
        <v>12.24</v>
      </c>
      <c r="C4753" s="538" t="n">
        <v>14.58</v>
      </c>
      <c r="D4753" s="538" t="n">
        <v>10.78</v>
      </c>
      <c r="E4753" s="538" t="n">
        <v>14.9</v>
      </c>
    </row>
    <row r="4754">
      <c r="A4754" s="544" t="n">
        <v>35864</v>
      </c>
      <c r="B4754" s="538" t="n">
        <v>12.36</v>
      </c>
      <c r="C4754" s="538" t="n">
        <v>14.54</v>
      </c>
      <c r="D4754" s="538" t="n">
        <v>10.63</v>
      </c>
      <c r="E4754" s="538" t="n">
        <v>14.9</v>
      </c>
    </row>
    <row r="4755">
      <c r="A4755" s="544" t="n">
        <v>35865</v>
      </c>
      <c r="B4755" s="538" t="n">
        <v>12.41</v>
      </c>
      <c r="C4755" s="538" t="n">
        <v>14.3</v>
      </c>
      <c r="D4755" s="538" t="n">
        <v>10.62</v>
      </c>
      <c r="E4755" s="538" t="n">
        <v>15.25</v>
      </c>
    </row>
    <row r="4756">
      <c r="A4756" s="544" t="n">
        <v>35866</v>
      </c>
      <c r="B4756" s="538" t="n">
        <v>12.3</v>
      </c>
      <c r="C4756" s="538" t="n">
        <v>14.4</v>
      </c>
      <c r="D4756" s="538" t="n">
        <v>10.61</v>
      </c>
      <c r="E4756" s="538" t="n">
        <v>15.25</v>
      </c>
    </row>
    <row r="4757">
      <c r="A4757" s="544" t="n">
        <v>35867</v>
      </c>
      <c r="B4757" s="538" t="n">
        <v>12.25</v>
      </c>
      <c r="C4757" s="538" t="n">
        <v>14.19</v>
      </c>
      <c r="D4757" s="538" t="n">
        <v>10.4</v>
      </c>
      <c r="E4757" s="538" t="n">
        <v>15.5</v>
      </c>
    </row>
    <row r="4758">
      <c r="A4758" s="544" t="n">
        <v>35870</v>
      </c>
      <c r="B4758" s="538" t="n">
        <v>11.74</v>
      </c>
      <c r="C4758" s="538" t="n">
        <v>13.41</v>
      </c>
      <c r="D4758" s="538" t="n">
        <v>9.970000000000001</v>
      </c>
      <c r="E4758" s="538" t="n">
        <v>14.9</v>
      </c>
    </row>
    <row r="4759">
      <c r="A4759" s="544" t="n">
        <v>35871</v>
      </c>
      <c r="B4759" s="538" t="n">
        <v>11.05</v>
      </c>
      <c r="C4759" s="538" t="n">
        <v>13.67</v>
      </c>
      <c r="D4759" s="538" t="n">
        <v>10.05</v>
      </c>
      <c r="E4759" s="538" t="n">
        <v>13.7</v>
      </c>
    </row>
    <row r="4760">
      <c r="A4760" s="544" t="n">
        <v>35872</v>
      </c>
      <c r="B4760" s="538" t="n">
        <v>12.21</v>
      </c>
      <c r="C4760" s="538" t="n">
        <v>14.36</v>
      </c>
      <c r="D4760" s="538" t="n">
        <v>10.87</v>
      </c>
      <c r="E4760" s="538" t="n">
        <v>14</v>
      </c>
    </row>
    <row r="4761">
      <c r="A4761" s="544" t="n">
        <v>35873</v>
      </c>
      <c r="B4761" s="538" t="n">
        <v>12.41</v>
      </c>
      <c r="C4761" s="538" t="n">
        <v>14.43</v>
      </c>
      <c r="D4761" s="538" t="n">
        <v>10.86</v>
      </c>
      <c r="E4761" s="538" t="n">
        <v>14.45</v>
      </c>
    </row>
    <row r="4762">
      <c r="A4762" s="544" t="n">
        <v>35874</v>
      </c>
      <c r="B4762" s="538" t="n">
        <v>12.35</v>
      </c>
      <c r="C4762" s="538" t="n">
        <v>14.31</v>
      </c>
      <c r="D4762" s="538" t="n">
        <v>11.03</v>
      </c>
      <c r="E4762" s="538" t="n">
        <v>14.85</v>
      </c>
    </row>
    <row r="4763">
      <c r="A4763" s="544" t="n">
        <v>35877</v>
      </c>
      <c r="B4763" s="538" t="n">
        <v>14.53</v>
      </c>
      <c r="C4763" s="538" t="n">
        <v>16.14</v>
      </c>
      <c r="D4763" s="538" t="n">
        <v>12.81</v>
      </c>
      <c r="E4763" s="538" t="n">
        <v>16.7</v>
      </c>
    </row>
    <row r="4764">
      <c r="A4764" s="544" t="n">
        <v>35878</v>
      </c>
      <c r="B4764" s="538" t="n">
        <v>14.02</v>
      </c>
      <c r="C4764" s="538" t="n">
        <v>15.52</v>
      </c>
      <c r="D4764" s="538" t="n">
        <v>12.3</v>
      </c>
      <c r="E4764" s="538" t="n">
        <v>16.1</v>
      </c>
    </row>
    <row r="4765">
      <c r="A4765" s="544" t="n">
        <v>35879</v>
      </c>
      <c r="B4765" s="538" t="n">
        <v>14.41</v>
      </c>
      <c r="C4765" s="538" t="n">
        <v>16.69</v>
      </c>
      <c r="D4765" s="538" t="n">
        <v>12.9</v>
      </c>
      <c r="E4765" s="538" t="n">
        <v>16.6</v>
      </c>
    </row>
    <row r="4766">
      <c r="A4766" s="544" t="n">
        <v>35880</v>
      </c>
      <c r="B4766" s="538" t="n">
        <v>15.18</v>
      </c>
      <c r="C4766" s="538" t="n">
        <v>16.92</v>
      </c>
      <c r="D4766" s="538" t="n">
        <v>13.17</v>
      </c>
      <c r="E4766" s="538" t="n">
        <v>16.85</v>
      </c>
    </row>
    <row r="4767">
      <c r="A4767" s="544" t="n">
        <v>35881</v>
      </c>
      <c r="B4767" s="538" t="n">
        <v>14.92</v>
      </c>
      <c r="C4767" s="538" t="n">
        <v>16.84</v>
      </c>
      <c r="D4767" s="538" t="n">
        <v>13.19</v>
      </c>
      <c r="E4767" s="538" t="n">
        <v>17.8</v>
      </c>
    </row>
    <row r="4768">
      <c r="A4768" s="544" t="n">
        <v>35884</v>
      </c>
      <c r="B4768" s="538" t="n">
        <v>14.35</v>
      </c>
      <c r="C4768" s="538" t="n">
        <v>16.32</v>
      </c>
      <c r="D4768" s="538" t="n">
        <v>12.53</v>
      </c>
      <c r="E4768" s="538" t="n">
        <v>17.8</v>
      </c>
    </row>
    <row r="4769">
      <c r="A4769" s="544" t="n">
        <v>35885</v>
      </c>
      <c r="B4769" s="538" t="n">
        <v>13.87</v>
      </c>
      <c r="C4769" s="538" t="n">
        <v>15.75</v>
      </c>
      <c r="D4769" s="538" t="n">
        <v>12.14</v>
      </c>
      <c r="E4769" s="538" t="n">
        <v>16.35</v>
      </c>
    </row>
    <row r="4770">
      <c r="A4770" s="544" t="n">
        <v>35886</v>
      </c>
      <c r="B4770" s="538" t="n">
        <v>13.72</v>
      </c>
      <c r="C4770" s="538" t="n">
        <v>15.69</v>
      </c>
      <c r="D4770" s="538" t="n">
        <v>12</v>
      </c>
      <c r="E4770" s="538" t="n">
        <v>16.4</v>
      </c>
    </row>
    <row r="4771">
      <c r="A4771" s="544" t="n">
        <v>35887</v>
      </c>
      <c r="B4771" s="538" t="n">
        <v>13.38</v>
      </c>
      <c r="C4771" s="538" t="n">
        <v>16.04</v>
      </c>
      <c r="D4771" s="538" t="n">
        <v>11.94</v>
      </c>
      <c r="E4771" s="538" t="n">
        <v>16.65</v>
      </c>
    </row>
    <row r="4772">
      <c r="A4772" s="544" t="n">
        <v>35888</v>
      </c>
      <c r="B4772" s="538" t="n">
        <v>13.63</v>
      </c>
      <c r="C4772" s="538" t="n">
        <v>16.08</v>
      </c>
      <c r="D4772" s="538" t="n">
        <v>12.37</v>
      </c>
      <c r="E4772" s="538" t="n">
        <v>17.5</v>
      </c>
    </row>
    <row r="4773">
      <c r="A4773" s="544" t="n">
        <v>35891</v>
      </c>
      <c r="B4773" s="538" t="n">
        <v>13.13</v>
      </c>
      <c r="C4773" s="538" t="n">
        <v>15.48</v>
      </c>
      <c r="D4773" s="538" t="n">
        <v>11.78</v>
      </c>
      <c r="E4773" s="538" t="n">
        <v>17.3</v>
      </c>
    </row>
    <row r="4774">
      <c r="A4774" s="544" t="n">
        <v>35892</v>
      </c>
      <c r="B4774" s="538" t="n">
        <v>12.82</v>
      </c>
      <c r="C4774" s="538" t="n">
        <v>15.39</v>
      </c>
      <c r="D4774" s="538" t="n">
        <v>11.52</v>
      </c>
      <c r="E4774" s="538" t="n">
        <v>17.3</v>
      </c>
    </row>
    <row r="4775">
      <c r="A4775" s="544" t="n">
        <v>35893</v>
      </c>
      <c r="B4775" s="538" t="n">
        <v>12.79</v>
      </c>
      <c r="C4775" s="538" t="n">
        <v>15.71</v>
      </c>
      <c r="D4775" s="538" t="n">
        <v>11.57</v>
      </c>
      <c r="E4775" s="538" t="n">
        <v>17.3</v>
      </c>
    </row>
    <row r="4776">
      <c r="A4776" s="544" t="n">
        <v>35894</v>
      </c>
      <c r="B4776" s="538" t="n">
        <v>13.23</v>
      </c>
      <c r="C4776" s="538" t="n">
        <v>15.61</v>
      </c>
      <c r="D4776" s="538" t="n">
        <v>11.93</v>
      </c>
      <c r="E4776" s="538" t="n">
        <v>17.5</v>
      </c>
    </row>
    <row r="4777">
      <c r="A4777" s="544" t="n">
        <v>35895</v>
      </c>
      <c r="B4777" s="538" t="n">
        <v>13.23</v>
      </c>
      <c r="C4777" s="538" t="n">
        <v>15.61</v>
      </c>
      <c r="D4777" s="538" t="n">
        <v>11.93</v>
      </c>
      <c r="E4777" s="538" t="n">
        <v>17.5</v>
      </c>
    </row>
    <row r="4778">
      <c r="A4778" s="544" t="n">
        <v>35898</v>
      </c>
      <c r="B4778" s="538" t="n">
        <v>13.23</v>
      </c>
      <c r="C4778" s="538" t="n">
        <v>15.35</v>
      </c>
      <c r="D4778" s="538" t="n">
        <v>11.8</v>
      </c>
      <c r="E4778" s="538" t="n">
        <v>17.6</v>
      </c>
    </row>
    <row r="4779">
      <c r="A4779" s="544" t="n">
        <v>35899</v>
      </c>
      <c r="B4779" s="538" t="n">
        <v>13.15</v>
      </c>
      <c r="C4779" s="538" t="n">
        <v>15.18</v>
      </c>
      <c r="D4779" s="538" t="n">
        <v>11.71</v>
      </c>
      <c r="E4779" s="538" t="n">
        <v>17.6</v>
      </c>
    </row>
    <row r="4780">
      <c r="A4780" s="544" t="n">
        <v>35900</v>
      </c>
      <c r="B4780" s="538" t="n">
        <v>13.31</v>
      </c>
      <c r="C4780" s="538" t="n">
        <v>15.64</v>
      </c>
      <c r="D4780" s="538" t="n">
        <v>11.6</v>
      </c>
      <c r="E4780" s="538" t="n">
        <v>17.05</v>
      </c>
    </row>
    <row r="4781">
      <c r="A4781" s="544" t="n">
        <v>35901</v>
      </c>
      <c r="B4781" s="538" t="n">
        <v>13.68</v>
      </c>
      <c r="C4781" s="538" t="n">
        <v>15.97</v>
      </c>
      <c r="D4781" s="538" t="n">
        <v>12.85</v>
      </c>
      <c r="E4781" s="538" t="n">
        <v>17.6</v>
      </c>
    </row>
    <row r="4782">
      <c r="A4782" s="544" t="n">
        <v>35902</v>
      </c>
      <c r="B4782" s="538" t="n">
        <v>14.06</v>
      </c>
      <c r="C4782" s="538" t="n">
        <v>15.49</v>
      </c>
      <c r="D4782" s="538" t="n">
        <v>12.67</v>
      </c>
      <c r="E4782" s="538" t="n">
        <v>17.6</v>
      </c>
    </row>
    <row r="4783">
      <c r="A4783" s="544" t="n">
        <v>35905</v>
      </c>
      <c r="B4783" s="538" t="n">
        <v>13.82</v>
      </c>
      <c r="C4783" s="538" t="n">
        <v>15.52</v>
      </c>
      <c r="D4783" s="538" t="n">
        <v>12.68</v>
      </c>
      <c r="E4783" s="538" t="n">
        <v>17.6</v>
      </c>
    </row>
    <row r="4784">
      <c r="A4784" s="544" t="n">
        <v>35906</v>
      </c>
      <c r="B4784" s="538" t="n">
        <v>13.95</v>
      </c>
      <c r="C4784" s="538" t="n">
        <v>15.57</v>
      </c>
      <c r="D4784" s="538" t="n">
        <v>12.96</v>
      </c>
      <c r="E4784" s="538" t="n">
        <v>17.85</v>
      </c>
    </row>
    <row r="4785">
      <c r="A4785" s="544" t="n">
        <v>35907</v>
      </c>
      <c r="B4785" s="538" t="n">
        <v>13.71</v>
      </c>
      <c r="C4785" s="538" t="n">
        <v>15.07</v>
      </c>
      <c r="D4785" s="538" t="n">
        <v>12.76</v>
      </c>
      <c r="E4785" s="538" t="n">
        <v>18.08</v>
      </c>
    </row>
    <row r="4786">
      <c r="A4786" s="544" t="n">
        <v>35908</v>
      </c>
      <c r="B4786" s="538" t="n">
        <v>13.42</v>
      </c>
      <c r="C4786" s="538" t="n">
        <v>13.09</v>
      </c>
      <c r="D4786" s="538" t="n">
        <v>12.33</v>
      </c>
      <c r="E4786" s="538" t="n">
        <v>18.1</v>
      </c>
    </row>
    <row r="4787">
      <c r="A4787" s="544" t="n">
        <v>35909</v>
      </c>
      <c r="B4787" s="538" t="n">
        <v>13.32</v>
      </c>
      <c r="C4787" s="538" t="n">
        <v>13.23</v>
      </c>
      <c r="D4787" s="538" t="n">
        <v>12.24</v>
      </c>
      <c r="E4787" s="538" t="n">
        <v>18.1</v>
      </c>
    </row>
    <row r="4788">
      <c r="A4788" s="544" t="n">
        <v>35912</v>
      </c>
      <c r="B4788" s="538" t="n">
        <v>13.65</v>
      </c>
      <c r="C4788" s="538" t="n">
        <v>15.43</v>
      </c>
      <c r="D4788" s="538" t="n">
        <v>12.41</v>
      </c>
      <c r="E4788" s="538" t="n">
        <v>18.2</v>
      </c>
    </row>
    <row r="4789">
      <c r="A4789" s="544" t="n">
        <v>35913</v>
      </c>
      <c r="B4789" s="538" t="n">
        <v>13.88</v>
      </c>
      <c r="C4789" s="538" t="n">
        <v>15.9</v>
      </c>
      <c r="D4789" s="538" t="n">
        <v>12.67</v>
      </c>
      <c r="E4789" s="538" t="n">
        <v>17.95</v>
      </c>
    </row>
    <row r="4790">
      <c r="A4790" s="544" t="n">
        <v>35914</v>
      </c>
      <c r="B4790" s="538" t="n">
        <v>14.09</v>
      </c>
      <c r="C4790" s="538" t="n">
        <v>15.43</v>
      </c>
      <c r="D4790" s="538" t="n">
        <v>12.81</v>
      </c>
      <c r="E4790" s="538" t="n">
        <v>18.5</v>
      </c>
    </row>
    <row r="4791">
      <c r="A4791" s="544" t="n">
        <v>35915</v>
      </c>
      <c r="B4791" s="538" t="n">
        <v>13.79</v>
      </c>
      <c r="C4791" s="538" t="n">
        <v>15.56</v>
      </c>
      <c r="D4791" s="538" t="n">
        <v>12.41</v>
      </c>
      <c r="E4791" s="538" t="n">
        <v>18.5</v>
      </c>
    </row>
    <row r="4792">
      <c r="A4792" s="544" t="n">
        <v>35916</v>
      </c>
      <c r="B4792" s="538" t="n">
        <v>14.6</v>
      </c>
      <c r="C4792" s="538" t="n">
        <v>16.25</v>
      </c>
      <c r="D4792" s="538" t="n">
        <v>13.18</v>
      </c>
      <c r="E4792" s="538" t="n">
        <v>18.5</v>
      </c>
    </row>
    <row r="4793">
      <c r="A4793" s="544" t="n">
        <v>35919</v>
      </c>
      <c r="B4793" s="538" t="n">
        <v>14.6</v>
      </c>
      <c r="C4793" s="538" t="n">
        <v>15.98</v>
      </c>
      <c r="D4793" s="538" t="n">
        <v>13.3</v>
      </c>
      <c r="E4793" s="538" t="n">
        <v>18.2</v>
      </c>
    </row>
    <row r="4794">
      <c r="A4794" s="544" t="n">
        <v>35920</v>
      </c>
      <c r="B4794" s="538" t="n">
        <v>14.13</v>
      </c>
      <c r="C4794" s="538" t="n">
        <v>15.48</v>
      </c>
      <c r="D4794" s="538" t="n">
        <v>13</v>
      </c>
      <c r="E4794" s="538" t="n">
        <v>18.1</v>
      </c>
    </row>
    <row r="4795">
      <c r="A4795" s="544" t="n">
        <v>35921</v>
      </c>
      <c r="B4795" s="538" t="n">
        <v>13.91</v>
      </c>
      <c r="C4795" s="538" t="n">
        <v>15.45</v>
      </c>
      <c r="D4795" s="538" t="n">
        <v>13.02</v>
      </c>
      <c r="E4795" s="538" t="n">
        <v>18.1</v>
      </c>
    </row>
    <row r="4796">
      <c r="A4796" s="544" t="n">
        <v>35922</v>
      </c>
      <c r="B4796" s="538" t="n">
        <v>13.81</v>
      </c>
      <c r="C4796" s="538" t="n">
        <v>15.26</v>
      </c>
      <c r="D4796" s="538" t="n">
        <v>13.03</v>
      </c>
      <c r="E4796" s="538" t="n">
        <v>17.9</v>
      </c>
    </row>
    <row r="4797">
      <c r="A4797" s="544" t="n">
        <v>35923</v>
      </c>
      <c r="B4797" s="538" t="n">
        <v>13.94</v>
      </c>
      <c r="C4797" s="538" t="n">
        <v>15.21</v>
      </c>
      <c r="D4797" s="538" t="n">
        <v>13.04</v>
      </c>
      <c r="E4797" s="538" t="n">
        <v>18.18</v>
      </c>
    </row>
    <row r="4798">
      <c r="A4798" s="544" t="n">
        <v>35926</v>
      </c>
      <c r="B4798" s="538" t="n">
        <v>14.41</v>
      </c>
      <c r="C4798" s="538" t="n">
        <v>15.26</v>
      </c>
      <c r="D4798" s="538" t="n">
        <v>13.23</v>
      </c>
      <c r="E4798" s="538" t="n">
        <v>18.18</v>
      </c>
    </row>
    <row r="4799">
      <c r="A4799" s="544" t="n">
        <v>35927</v>
      </c>
      <c r="B4799" s="538" t="n">
        <v>14.75</v>
      </c>
      <c r="C4799" s="538" t="n">
        <v>15.21</v>
      </c>
      <c r="D4799" s="538" t="n">
        <v>13.45</v>
      </c>
      <c r="E4799" s="538" t="n">
        <v>18.15</v>
      </c>
    </row>
    <row r="4800">
      <c r="A4800" s="544" t="n">
        <v>35928</v>
      </c>
      <c r="B4800" s="538" t="n">
        <v>14.15</v>
      </c>
      <c r="C4800" s="538" t="n">
        <v>15.01</v>
      </c>
      <c r="D4800" s="538" t="n">
        <v>13.03</v>
      </c>
      <c r="E4800" s="538" t="n">
        <v>17.95</v>
      </c>
    </row>
    <row r="4801">
      <c r="A4801" s="544" t="n">
        <v>35929</v>
      </c>
      <c r="B4801" s="538" t="n">
        <v>14.29</v>
      </c>
      <c r="C4801" s="538" t="n">
        <v>15.15</v>
      </c>
      <c r="D4801" s="538" t="n">
        <v>13.01</v>
      </c>
      <c r="E4801" s="538" t="n">
        <v>16.8</v>
      </c>
    </row>
    <row r="4802">
      <c r="A4802" s="544" t="n">
        <v>35930</v>
      </c>
      <c r="B4802" s="538" t="n">
        <v>14.33</v>
      </c>
      <c r="C4802" s="538" t="n">
        <v>14.51</v>
      </c>
      <c r="D4802" s="538" t="n">
        <v>12.97</v>
      </c>
      <c r="E4802" s="538" t="n">
        <v>17.05</v>
      </c>
    </row>
    <row r="4803">
      <c r="A4803" s="544" t="n">
        <v>35933</v>
      </c>
      <c r="B4803" s="538" t="n">
        <v>14.72</v>
      </c>
      <c r="C4803" s="538" t="n">
        <v>14.15</v>
      </c>
      <c r="D4803" s="538" t="n">
        <v>12.62</v>
      </c>
      <c r="E4803" s="538" t="n">
        <v>16.5</v>
      </c>
    </row>
    <row r="4804">
      <c r="A4804" s="544" t="n">
        <v>35934</v>
      </c>
      <c r="B4804" s="538" t="n">
        <v>14.87</v>
      </c>
      <c r="C4804" s="538" t="n">
        <v>13.01</v>
      </c>
      <c r="D4804" s="538" t="n">
        <v>12.58</v>
      </c>
      <c r="E4804" s="538" t="n">
        <v>16.65</v>
      </c>
    </row>
    <row r="4805">
      <c r="A4805" s="544" t="n">
        <v>35935</v>
      </c>
      <c r="B4805" s="538" t="n">
        <v>14.58</v>
      </c>
      <c r="C4805" s="538" t="n">
        <v>13.36</v>
      </c>
      <c r="D4805" s="538" t="n">
        <v>12.22</v>
      </c>
      <c r="E4805" s="538" t="n">
        <v>16.25</v>
      </c>
    </row>
    <row r="4806">
      <c r="A4806" s="544" t="n">
        <v>35936</v>
      </c>
      <c r="B4806" s="538" t="n">
        <v>14.29</v>
      </c>
      <c r="C4806" s="538" t="n">
        <v>14.21</v>
      </c>
      <c r="D4806" s="538" t="n">
        <v>12.01</v>
      </c>
      <c r="E4806" s="538" t="n">
        <v>16.25</v>
      </c>
    </row>
    <row r="4807">
      <c r="A4807" s="544" t="n">
        <v>35937</v>
      </c>
      <c r="B4807" s="538" t="n">
        <v>14.33</v>
      </c>
      <c r="C4807" s="538" t="n">
        <v>14.81</v>
      </c>
      <c r="D4807" s="538" t="n">
        <v>12.16</v>
      </c>
      <c r="E4807" s="538" t="n">
        <v>15.65</v>
      </c>
    </row>
    <row r="4808">
      <c r="A4808" s="544" t="n">
        <v>35940</v>
      </c>
      <c r="B4808" s="538" t="n">
        <v>14.33</v>
      </c>
      <c r="C4808" s="538" t="n">
        <v>14.81</v>
      </c>
      <c r="D4808" s="538" t="n">
        <v>12.16</v>
      </c>
      <c r="E4808" s="538" t="n">
        <v>15.8</v>
      </c>
    </row>
    <row r="4809">
      <c r="A4809" s="544" t="n">
        <v>35941</v>
      </c>
      <c r="B4809" s="538" t="n">
        <v>14.27</v>
      </c>
      <c r="C4809" s="538" t="n">
        <v>14.9</v>
      </c>
      <c r="D4809" s="538" t="n">
        <v>12.03</v>
      </c>
      <c r="E4809" s="538" t="n">
        <v>15.65</v>
      </c>
    </row>
    <row r="4810">
      <c r="A4810" s="544" t="n">
        <v>35942</v>
      </c>
      <c r="B4810" s="538" t="n">
        <v>14.78</v>
      </c>
      <c r="C4810" s="538" t="n">
        <v>14.98</v>
      </c>
      <c r="D4810" s="538" t="n">
        <v>12.48</v>
      </c>
      <c r="E4810" s="538" t="n">
        <v>15.8</v>
      </c>
    </row>
    <row r="4811">
      <c r="A4811" s="544" t="n">
        <v>35943</v>
      </c>
      <c r="B4811" s="538" t="n">
        <v>14.71</v>
      </c>
      <c r="C4811" s="538" t="n">
        <v>14.88</v>
      </c>
      <c r="D4811" s="538" t="n">
        <v>12.43</v>
      </c>
      <c r="E4811" s="538" t="n">
        <v>15.8</v>
      </c>
    </row>
    <row r="4812">
      <c r="A4812" s="544" t="n">
        <v>35944</v>
      </c>
      <c r="B4812" s="538" t="n">
        <v>14.03</v>
      </c>
      <c r="C4812" s="538" t="n">
        <v>15.21</v>
      </c>
      <c r="D4812" s="538" t="n">
        <v>12.46</v>
      </c>
      <c r="E4812" s="538" t="n">
        <v>15.9</v>
      </c>
    </row>
    <row r="4813">
      <c r="A4813" s="544" t="n">
        <v>35947</v>
      </c>
      <c r="B4813" s="538" t="n">
        <v>13.66</v>
      </c>
      <c r="C4813" s="538" t="n">
        <v>14.99</v>
      </c>
      <c r="D4813" s="538" t="n">
        <v>12.53</v>
      </c>
      <c r="E4813" s="538" t="n">
        <v>15.7</v>
      </c>
    </row>
    <row r="4814">
      <c r="A4814" s="544" t="n">
        <v>35948</v>
      </c>
      <c r="B4814" s="538" t="n">
        <v>13.62</v>
      </c>
      <c r="C4814" s="538" t="n">
        <v>14.81</v>
      </c>
      <c r="D4814" s="538" t="n">
        <v>12.58</v>
      </c>
      <c r="E4814" s="538" t="n">
        <v>15.5</v>
      </c>
    </row>
    <row r="4815">
      <c r="A4815" s="544" t="n">
        <v>35949</v>
      </c>
      <c r="B4815" s="538" t="n">
        <v>13.23</v>
      </c>
      <c r="C4815" s="538" t="n">
        <v>14.94</v>
      </c>
      <c r="D4815" s="538" t="n">
        <v>12.44</v>
      </c>
      <c r="E4815" s="538" t="n">
        <v>15.5</v>
      </c>
    </row>
    <row r="4816">
      <c r="A4816" s="544" t="n">
        <v>35950</v>
      </c>
      <c r="B4816" s="538" t="n">
        <v>13.71</v>
      </c>
      <c r="C4816" s="538" t="n">
        <v>15.24</v>
      </c>
      <c r="D4816" s="538" t="n">
        <v>12.94</v>
      </c>
      <c r="E4816" s="538" t="n">
        <v>15.45</v>
      </c>
    </row>
    <row r="4817">
      <c r="A4817" s="544" t="n">
        <v>35951</v>
      </c>
      <c r="B4817" s="538" t="n">
        <v>13.95</v>
      </c>
      <c r="C4817" s="538" t="n">
        <v>15.13</v>
      </c>
      <c r="D4817" s="538" t="n">
        <v>13.01</v>
      </c>
      <c r="E4817" s="538" t="n">
        <v>15.7</v>
      </c>
    </row>
    <row r="4818">
      <c r="A4818" s="544" t="n">
        <v>35954</v>
      </c>
      <c r="B4818" s="538" t="n">
        <v>13.56</v>
      </c>
      <c r="C4818" s="538" t="n">
        <v>14.49</v>
      </c>
      <c r="D4818" s="538" t="n">
        <v>12.77</v>
      </c>
      <c r="E4818" s="538" t="n">
        <v>16.1</v>
      </c>
    </row>
    <row r="4819">
      <c r="A4819" s="544" t="n">
        <v>35955</v>
      </c>
      <c r="B4819" s="538" t="n">
        <v>12.76</v>
      </c>
      <c r="C4819" s="538" t="n">
        <v>13.76</v>
      </c>
      <c r="D4819" s="538" t="n">
        <v>12.2</v>
      </c>
      <c r="E4819" s="538" t="n">
        <v>15.9</v>
      </c>
    </row>
    <row r="4820">
      <c r="A4820" s="544" t="n">
        <v>35956</v>
      </c>
      <c r="B4820" s="538" t="n">
        <v>12.23</v>
      </c>
      <c r="C4820" s="538" t="n">
        <v>13.54</v>
      </c>
      <c r="D4820" s="538" t="n">
        <v>11.69</v>
      </c>
      <c r="E4820" s="538" t="n">
        <v>15.7</v>
      </c>
    </row>
    <row r="4821">
      <c r="A4821" s="544" t="n">
        <v>35957</v>
      </c>
      <c r="B4821" s="538" t="n">
        <v>12.12</v>
      </c>
      <c r="C4821" s="538" t="n">
        <v>12.67</v>
      </c>
      <c r="D4821" s="538" t="n">
        <v>11.24</v>
      </c>
      <c r="E4821" s="538" t="n">
        <v>15.7</v>
      </c>
    </row>
    <row r="4822">
      <c r="A4822" s="544" t="n">
        <v>35958</v>
      </c>
      <c r="B4822" s="538" t="n">
        <v>11.62</v>
      </c>
      <c r="C4822" s="538" t="n">
        <v>12.66</v>
      </c>
      <c r="D4822" s="538" t="n">
        <v>10.75</v>
      </c>
      <c r="E4822" s="538" t="n">
        <v>15.7</v>
      </c>
    </row>
    <row r="4823">
      <c r="A4823" s="544" t="n">
        <v>35961</v>
      </c>
      <c r="B4823" s="538" t="n">
        <v>10.77</v>
      </c>
      <c r="C4823" s="538" t="n">
        <v>11.69</v>
      </c>
      <c r="D4823" s="538" t="n">
        <v>10.76</v>
      </c>
      <c r="E4823" s="538" t="n">
        <v>15</v>
      </c>
    </row>
    <row r="4824">
      <c r="A4824" s="544" t="n">
        <v>35962</v>
      </c>
      <c r="B4824" s="538" t="n">
        <v>10.77</v>
      </c>
      <c r="C4824" s="538" t="n">
        <v>12.38</v>
      </c>
      <c r="D4824" s="538" t="n">
        <v>11.19</v>
      </c>
      <c r="E4824" s="538" t="n">
        <v>15</v>
      </c>
    </row>
    <row r="4825">
      <c r="A4825" s="544" t="n">
        <v>35963</v>
      </c>
      <c r="B4825" s="538" t="n">
        <v>11.3</v>
      </c>
      <c r="C4825" s="538" t="n">
        <v>12.55</v>
      </c>
      <c r="D4825" s="538" t="n">
        <v>11.36</v>
      </c>
      <c r="E4825" s="538" t="n">
        <v>14.85</v>
      </c>
    </row>
    <row r="4826">
      <c r="A4826" s="544" t="n">
        <v>35964</v>
      </c>
      <c r="B4826" s="538" t="n">
        <v>10.88</v>
      </c>
      <c r="C4826" s="538" t="n">
        <v>11.8</v>
      </c>
      <c r="D4826" s="538" t="n">
        <v>11.13</v>
      </c>
      <c r="E4826" s="538" t="n">
        <v>14.5</v>
      </c>
    </row>
    <row r="4827">
      <c r="A4827" s="544" t="n">
        <v>35965</v>
      </c>
      <c r="B4827" s="538" t="n">
        <v>10.89</v>
      </c>
      <c r="C4827" s="538" t="n">
        <v>11.8</v>
      </c>
      <c r="D4827" s="538" t="n">
        <v>11.11</v>
      </c>
      <c r="E4827" s="538" t="n">
        <v>14.5</v>
      </c>
    </row>
    <row r="4828">
      <c r="A4828" s="544" t="n">
        <v>35968</v>
      </c>
      <c r="B4828" s="538" t="n">
        <v>11.23</v>
      </c>
      <c r="C4828" s="538" t="n">
        <v>13.54</v>
      </c>
      <c r="D4828" s="538" t="n">
        <v>11.57</v>
      </c>
      <c r="E4828" s="538" t="n">
        <v>15.2</v>
      </c>
    </row>
    <row r="4829">
      <c r="A4829" s="544" t="n">
        <v>35969</v>
      </c>
      <c r="B4829" s="538" t="n">
        <v>12.09</v>
      </c>
      <c r="C4829" s="538" t="n">
        <v>14.65</v>
      </c>
      <c r="D4829" s="538" t="n">
        <v>12.49</v>
      </c>
      <c r="E4829" s="538" t="n">
        <v>15.6</v>
      </c>
    </row>
    <row r="4830">
      <c r="A4830" s="544" t="n">
        <v>35970</v>
      </c>
      <c r="B4830" s="538" t="n">
        <v>12.5</v>
      </c>
      <c r="C4830" s="538" t="n">
        <v>14.54</v>
      </c>
      <c r="D4830" s="538" t="n">
        <v>11.98</v>
      </c>
      <c r="E4830" s="538" t="n">
        <v>15.75</v>
      </c>
    </row>
    <row r="4831">
      <c r="A4831" s="544" t="n">
        <v>35971</v>
      </c>
      <c r="B4831" s="538" t="n">
        <v>11.94</v>
      </c>
      <c r="C4831" s="538" t="n">
        <v>13.9</v>
      </c>
      <c r="D4831" s="538" t="n">
        <v>11.39</v>
      </c>
      <c r="E4831" s="538" t="n">
        <v>15.45</v>
      </c>
    </row>
    <row r="4832">
      <c r="A4832" s="544" t="n">
        <v>35972</v>
      </c>
      <c r="B4832" s="538" t="n">
        <v>12.04</v>
      </c>
      <c r="C4832" s="538" t="n">
        <v>14.21</v>
      </c>
      <c r="D4832" s="538" t="n">
        <v>11.58</v>
      </c>
      <c r="E4832" s="538" t="n">
        <v>15.4</v>
      </c>
    </row>
    <row r="4833">
      <c r="A4833" s="544" t="n">
        <v>35975</v>
      </c>
      <c r="B4833" s="538" t="n">
        <v>11.83</v>
      </c>
      <c r="C4833" s="538" t="n">
        <v>14.29</v>
      </c>
      <c r="D4833" s="538" t="n">
        <v>11.62</v>
      </c>
      <c r="E4833" s="538" t="n">
        <v>15.45</v>
      </c>
    </row>
    <row r="4834">
      <c r="A4834" s="544" t="n">
        <v>35976</v>
      </c>
      <c r="B4834" s="538" t="n">
        <v>11.84</v>
      </c>
      <c r="C4834" s="538" t="n">
        <v>14.3</v>
      </c>
      <c r="D4834" s="538" t="n">
        <v>11.64</v>
      </c>
      <c r="E4834" s="538" t="n">
        <v>15.45</v>
      </c>
    </row>
    <row r="4835">
      <c r="A4835" s="544" t="n">
        <v>35977</v>
      </c>
      <c r="B4835" s="538" t="n">
        <v>11.93</v>
      </c>
      <c r="C4835" s="538" t="n">
        <v>14.47</v>
      </c>
      <c r="D4835" s="538" t="n">
        <v>11.78</v>
      </c>
      <c r="E4835" s="538" t="n">
        <v>15.35</v>
      </c>
    </row>
    <row r="4836">
      <c r="A4836" s="544" t="n">
        <v>35978</v>
      </c>
      <c r="B4836" s="538" t="n">
        <v>11.95</v>
      </c>
      <c r="C4836" s="538" t="n">
        <v>14.58</v>
      </c>
      <c r="D4836" s="538" t="n">
        <v>11.91</v>
      </c>
      <c r="E4836" s="538" t="n">
        <v>15.3</v>
      </c>
    </row>
    <row r="4837">
      <c r="A4837" s="544" t="n">
        <v>35979</v>
      </c>
      <c r="B4837" s="538" t="n">
        <v>11.79</v>
      </c>
      <c r="C4837" s="538" t="n">
        <v>14.58</v>
      </c>
      <c r="D4837" s="538" t="n">
        <v>11.91</v>
      </c>
      <c r="E4837" s="538" t="n">
        <v>15.7</v>
      </c>
    </row>
    <row r="4838">
      <c r="A4838" s="544" t="n">
        <v>35982</v>
      </c>
      <c r="B4838" s="538" t="n">
        <v>11.7</v>
      </c>
      <c r="C4838" s="538" t="n">
        <v>13.87</v>
      </c>
      <c r="D4838" s="538" t="n">
        <v>11.34</v>
      </c>
      <c r="E4838" s="538" t="n">
        <v>15.7</v>
      </c>
    </row>
    <row r="4839">
      <c r="A4839" s="544" t="n">
        <v>35983</v>
      </c>
      <c r="B4839" s="538" t="n">
        <v>11.66</v>
      </c>
      <c r="C4839" s="538" t="n">
        <v>13.83</v>
      </c>
      <c r="D4839" s="538" t="n">
        <v>11.32</v>
      </c>
      <c r="E4839" s="538" t="n">
        <v>15.85</v>
      </c>
    </row>
    <row r="4840">
      <c r="A4840" s="544" t="n">
        <v>35984</v>
      </c>
      <c r="B4840" s="538" t="n">
        <v>11.71</v>
      </c>
      <c r="C4840" s="538" t="n">
        <v>14.01</v>
      </c>
      <c r="D4840" s="538" t="n">
        <v>11.64</v>
      </c>
      <c r="E4840" s="538" t="n">
        <v>15.35</v>
      </c>
    </row>
    <row r="4841">
      <c r="A4841" s="544" t="n">
        <v>35985</v>
      </c>
      <c r="B4841" s="538" t="n">
        <v>11.61</v>
      </c>
      <c r="C4841" s="538" t="n">
        <v>14.01</v>
      </c>
      <c r="D4841" s="538" t="n">
        <v>11.48</v>
      </c>
      <c r="E4841" s="538" t="n">
        <v>15.1</v>
      </c>
    </row>
    <row r="4842">
      <c r="A4842" s="544" t="n">
        <v>35986</v>
      </c>
      <c r="B4842" s="538" t="n">
        <v>11.61</v>
      </c>
      <c r="C4842" s="538" t="n">
        <v>13.96</v>
      </c>
      <c r="D4842" s="538" t="n">
        <v>11.24</v>
      </c>
      <c r="E4842" s="538" t="n">
        <v>15.05</v>
      </c>
    </row>
    <row r="4843">
      <c r="A4843" s="544" t="n">
        <v>35989</v>
      </c>
      <c r="B4843" s="538" t="n">
        <v>11.56</v>
      </c>
      <c r="C4843" s="538" t="n">
        <v>14.06</v>
      </c>
      <c r="D4843" s="538" t="n">
        <v>11.12</v>
      </c>
      <c r="E4843" s="538" t="n">
        <v>15.05</v>
      </c>
    </row>
    <row r="4844">
      <c r="A4844" s="544" t="n">
        <v>35990</v>
      </c>
      <c r="B4844" s="538" t="n">
        <v>11.83</v>
      </c>
      <c r="C4844" s="538" t="n">
        <v>14.87</v>
      </c>
      <c r="D4844" s="538" t="n">
        <v>11.6</v>
      </c>
      <c r="E4844" s="538" t="n">
        <v>14.83</v>
      </c>
    </row>
    <row r="4845">
      <c r="A4845" s="544" t="n">
        <v>35991</v>
      </c>
      <c r="B4845" s="538" t="n">
        <v>11.79</v>
      </c>
      <c r="C4845" s="538" t="n">
        <v>14.9</v>
      </c>
      <c r="D4845" s="538" t="n">
        <v>12.1</v>
      </c>
      <c r="E4845" s="538" t="n">
        <v>15.38</v>
      </c>
    </row>
    <row r="4846">
      <c r="A4846" s="544" t="n">
        <v>35992</v>
      </c>
      <c r="B4846" s="538" t="n">
        <v>12.65</v>
      </c>
      <c r="C4846" s="538" t="n">
        <v>14.54</v>
      </c>
      <c r="D4846" s="538" t="n">
        <v>11.91</v>
      </c>
      <c r="E4846" s="538" t="n">
        <v>14.95</v>
      </c>
    </row>
    <row r="4847">
      <c r="A4847" s="544" t="n">
        <v>35993</v>
      </c>
      <c r="B4847" s="538" t="n">
        <v>12.38</v>
      </c>
      <c r="C4847" s="538" t="n">
        <v>14.02</v>
      </c>
      <c r="D4847" s="538" t="n">
        <v>12.15</v>
      </c>
      <c r="E4847" s="538" t="n">
        <v>14.9</v>
      </c>
    </row>
    <row r="4848">
      <c r="A4848" s="544" t="n">
        <v>35996</v>
      </c>
      <c r="B4848" s="538" t="n">
        <v>12.11</v>
      </c>
      <c r="C4848" s="538" t="n">
        <v>13.44</v>
      </c>
      <c r="D4848" s="538" t="n">
        <v>11.7</v>
      </c>
      <c r="E4848" s="538" t="n">
        <v>15.25</v>
      </c>
    </row>
    <row r="4849">
      <c r="A4849" s="544" t="n">
        <v>35997</v>
      </c>
      <c r="B4849" s="538" t="n">
        <v>12.01</v>
      </c>
      <c r="C4849" s="538" t="n">
        <v>13.83</v>
      </c>
      <c r="D4849" s="538" t="n">
        <v>12.12</v>
      </c>
      <c r="E4849" s="538" t="n">
        <v>14.9</v>
      </c>
    </row>
    <row r="4850">
      <c r="A4850" s="544" t="n">
        <v>35998</v>
      </c>
      <c r="B4850" s="538" t="n">
        <v>12.21</v>
      </c>
      <c r="C4850" s="538" t="n">
        <v>14.29</v>
      </c>
      <c r="D4850" s="538" t="n">
        <v>12.31</v>
      </c>
      <c r="E4850" s="538" t="n">
        <v>15.1</v>
      </c>
    </row>
    <row r="4851">
      <c r="A4851" s="544" t="n">
        <v>35999</v>
      </c>
      <c r="B4851" s="538" t="n">
        <v>12.23</v>
      </c>
      <c r="C4851" s="538" t="n">
        <v>13.97</v>
      </c>
      <c r="D4851" s="538" t="n">
        <v>13</v>
      </c>
      <c r="E4851" s="538" t="n">
        <v>15.45</v>
      </c>
    </row>
    <row r="4852">
      <c r="A4852" s="544" t="n">
        <v>36000</v>
      </c>
      <c r="B4852" s="538" t="n">
        <v>12.05</v>
      </c>
      <c r="C4852" s="538" t="n">
        <v>13.93</v>
      </c>
      <c r="D4852" s="538" t="n">
        <v>12.82</v>
      </c>
      <c r="E4852" s="538" t="n">
        <v>15.45</v>
      </c>
    </row>
    <row r="4853">
      <c r="A4853" s="544" t="n">
        <v>36003</v>
      </c>
      <c r="B4853" s="538" t="n">
        <v>12.53</v>
      </c>
      <c r="C4853" s="538" t="n">
        <v>14.37</v>
      </c>
      <c r="D4853" s="538" t="n">
        <v>13.01</v>
      </c>
      <c r="E4853" s="538" t="n">
        <v>15.75</v>
      </c>
    </row>
    <row r="4854">
      <c r="A4854" s="544" t="n">
        <v>36004</v>
      </c>
      <c r="B4854" s="538" t="n">
        <v>12.74</v>
      </c>
      <c r="C4854" s="538" t="n">
        <v>14.2</v>
      </c>
      <c r="D4854" s="538" t="n">
        <v>12.5</v>
      </c>
      <c r="E4854" s="538" t="n">
        <v>15.85</v>
      </c>
    </row>
    <row r="4855">
      <c r="A4855" s="544" t="n">
        <v>36005</v>
      </c>
      <c r="B4855" s="538" t="n">
        <v>12.6</v>
      </c>
      <c r="C4855" s="538" t="n">
        <v>14.13</v>
      </c>
      <c r="D4855" s="538" t="n">
        <v>12.49</v>
      </c>
      <c r="E4855" s="538" t="n">
        <v>16.05</v>
      </c>
    </row>
    <row r="4856">
      <c r="A4856" s="544" t="n">
        <v>36006</v>
      </c>
      <c r="B4856" s="538" t="n">
        <v>12.55</v>
      </c>
      <c r="C4856" s="538" t="n">
        <v>14.25</v>
      </c>
      <c r="D4856" s="538" t="n">
        <v>12.52</v>
      </c>
      <c r="E4856" s="538" t="n">
        <v>16.1</v>
      </c>
    </row>
    <row r="4857">
      <c r="A4857" s="544" t="n">
        <v>36007</v>
      </c>
      <c r="B4857" s="538" t="n">
        <v>12.63</v>
      </c>
      <c r="C4857" s="538" t="n">
        <v>14.27</v>
      </c>
      <c r="D4857" s="538" t="n">
        <v>12.78</v>
      </c>
      <c r="E4857" s="538" t="n">
        <v>16.25</v>
      </c>
    </row>
    <row r="4858">
      <c r="A4858" s="544" t="n">
        <v>36010</v>
      </c>
      <c r="B4858" s="538" t="n">
        <v>12.04</v>
      </c>
      <c r="C4858" s="538" t="n">
        <v>13.93</v>
      </c>
      <c r="D4858" s="538" t="n">
        <v>12.27</v>
      </c>
      <c r="E4858" s="538" t="n">
        <v>16.25</v>
      </c>
    </row>
    <row r="4859">
      <c r="A4859" s="544" t="n">
        <v>36011</v>
      </c>
      <c r="B4859" s="538" t="n">
        <v>12.03</v>
      </c>
      <c r="C4859" s="538" t="n">
        <v>13.69</v>
      </c>
      <c r="D4859" s="538" t="n">
        <v>12.4</v>
      </c>
      <c r="E4859" s="538" t="n">
        <v>15.8</v>
      </c>
    </row>
    <row r="4860">
      <c r="A4860" s="544" t="n">
        <v>36012</v>
      </c>
      <c r="B4860" s="538" t="n">
        <v>12.32</v>
      </c>
      <c r="C4860" s="538" t="n">
        <v>13.8</v>
      </c>
      <c r="D4860" s="538" t="n">
        <v>12.24</v>
      </c>
      <c r="E4860" s="538" t="n">
        <v>15.75</v>
      </c>
    </row>
    <row r="4861">
      <c r="A4861" s="544" t="n">
        <v>36013</v>
      </c>
      <c r="B4861" s="538" t="n">
        <v>12.08</v>
      </c>
      <c r="C4861" s="538" t="n">
        <v>13.87</v>
      </c>
      <c r="D4861" s="538" t="n">
        <v>12.36</v>
      </c>
      <c r="E4861" s="538" t="n">
        <v>15.65</v>
      </c>
    </row>
    <row r="4862">
      <c r="A4862" s="544" t="n">
        <v>36014</v>
      </c>
      <c r="B4862" s="538" t="n">
        <v>12.05</v>
      </c>
      <c r="C4862" s="538" t="n">
        <v>13.85</v>
      </c>
      <c r="D4862" s="538" t="n">
        <v>12.26</v>
      </c>
      <c r="E4862" s="538" t="n">
        <v>15.95</v>
      </c>
    </row>
    <row r="4863">
      <c r="A4863" s="544" t="n">
        <v>36017</v>
      </c>
      <c r="B4863" s="538" t="n">
        <v>11.62</v>
      </c>
      <c r="C4863" s="538" t="n">
        <v>13.11</v>
      </c>
      <c r="D4863" s="538" t="n">
        <v>11.6</v>
      </c>
      <c r="E4863" s="538" t="n">
        <v>15.95</v>
      </c>
    </row>
    <row r="4864">
      <c r="A4864" s="544" t="n">
        <v>36018</v>
      </c>
      <c r="B4864" s="538" t="n">
        <v>11.16</v>
      </c>
      <c r="C4864" s="538" t="n">
        <v>12.87</v>
      </c>
      <c r="D4864" s="538" t="n">
        <v>11.39</v>
      </c>
      <c r="E4864" s="538" t="n">
        <v>15.55</v>
      </c>
    </row>
    <row r="4865">
      <c r="A4865" s="544" t="n">
        <v>36019</v>
      </c>
      <c r="B4865" s="538" t="n">
        <v>11.24</v>
      </c>
      <c r="C4865" s="538" t="n">
        <v>12.76</v>
      </c>
      <c r="D4865" s="538" t="n">
        <v>11.42</v>
      </c>
      <c r="E4865" s="538" t="n">
        <v>15.13</v>
      </c>
    </row>
    <row r="4866">
      <c r="A4866" s="544" t="n">
        <v>36020</v>
      </c>
      <c r="B4866" s="538" t="n">
        <v>11.48</v>
      </c>
      <c r="C4866" s="538" t="n">
        <v>13.44</v>
      </c>
      <c r="D4866" s="538" t="n">
        <v>12.74</v>
      </c>
      <c r="E4866" s="538" t="n">
        <v>15.13</v>
      </c>
    </row>
    <row r="4867">
      <c r="A4867" s="544" t="n">
        <v>36021</v>
      </c>
      <c r="B4867" s="538" t="n">
        <v>11.46</v>
      </c>
      <c r="C4867" s="538" t="n">
        <v>13.4</v>
      </c>
      <c r="D4867" s="538" t="n">
        <v>12.56</v>
      </c>
      <c r="E4867" s="538" t="n">
        <v>15.38</v>
      </c>
    </row>
    <row r="4868">
      <c r="A4868" s="544" t="n">
        <v>36024</v>
      </c>
      <c r="B4868" s="538" t="n">
        <v>11.93</v>
      </c>
      <c r="C4868" s="538" t="n">
        <v>13.26</v>
      </c>
      <c r="D4868" s="538" t="n">
        <v>12.13</v>
      </c>
      <c r="E4868" s="538" t="n">
        <v>15.2</v>
      </c>
    </row>
    <row r="4869">
      <c r="A4869" s="544" t="n">
        <v>36025</v>
      </c>
      <c r="B4869" s="538" t="n">
        <v>11.87</v>
      </c>
      <c r="C4869" s="538" t="n">
        <v>13.13</v>
      </c>
      <c r="D4869" s="538" t="n">
        <v>11.96</v>
      </c>
      <c r="E4869" s="538" t="n">
        <v>15.3</v>
      </c>
    </row>
    <row r="4870">
      <c r="A4870" s="544" t="n">
        <v>36026</v>
      </c>
      <c r="B4870" s="538" t="n">
        <v>11.99</v>
      </c>
      <c r="C4870" s="538" t="n">
        <v>13.21</v>
      </c>
      <c r="D4870" s="538" t="n">
        <v>12.15</v>
      </c>
      <c r="E4870" s="538" t="n">
        <v>15.3</v>
      </c>
    </row>
    <row r="4871">
      <c r="A4871" s="544" t="n">
        <v>36027</v>
      </c>
      <c r="B4871" s="538" t="n">
        <v>12.21</v>
      </c>
      <c r="C4871" s="538" t="n">
        <v>13.62</v>
      </c>
      <c r="D4871" s="538" t="n">
        <v>12.56</v>
      </c>
      <c r="E4871" s="538" t="n">
        <v>15.63</v>
      </c>
    </row>
    <row r="4872">
      <c r="A4872" s="544" t="n">
        <v>36028</v>
      </c>
      <c r="B4872" s="538" t="n">
        <v>12.02</v>
      </c>
      <c r="C4872" s="538" t="n">
        <v>13.44</v>
      </c>
      <c r="D4872" s="538" t="n">
        <v>12.08</v>
      </c>
      <c r="E4872" s="538" t="n">
        <v>15.8</v>
      </c>
    </row>
    <row r="4873">
      <c r="A4873" s="544" t="n">
        <v>36031</v>
      </c>
      <c r="B4873" s="538" t="n">
        <v>12.15</v>
      </c>
      <c r="C4873" s="538" t="n">
        <v>13.78</v>
      </c>
      <c r="D4873" s="538" t="n">
        <v>12.45</v>
      </c>
      <c r="E4873" s="538" t="n">
        <v>15.7</v>
      </c>
    </row>
    <row r="4874">
      <c r="A4874" s="544" t="n">
        <v>36032</v>
      </c>
      <c r="B4874" s="538" t="n">
        <v>12.43</v>
      </c>
      <c r="C4874" s="538" t="n">
        <v>13.9</v>
      </c>
      <c r="D4874" s="538" t="n">
        <v>12.78</v>
      </c>
      <c r="E4874" s="538" t="n">
        <v>15.85</v>
      </c>
    </row>
    <row r="4875">
      <c r="A4875" s="544" t="n">
        <v>36033</v>
      </c>
      <c r="B4875" s="538" t="n">
        <v>12.24</v>
      </c>
      <c r="C4875" s="538" t="n">
        <v>13.67</v>
      </c>
      <c r="D4875" s="538" t="n">
        <v>12.45</v>
      </c>
      <c r="E4875" s="538" t="n">
        <v>16.05</v>
      </c>
    </row>
    <row r="4876">
      <c r="A4876" s="544" t="n">
        <v>36034</v>
      </c>
      <c r="B4876" s="538" t="n">
        <v>11.9</v>
      </c>
      <c r="C4876" s="538" t="n">
        <v>13.35</v>
      </c>
      <c r="D4876" s="538" t="n">
        <v>12.39</v>
      </c>
      <c r="E4876" s="538" t="n">
        <v>15.8</v>
      </c>
    </row>
    <row r="4877">
      <c r="A4877" s="544" t="n">
        <v>36035</v>
      </c>
      <c r="B4877" s="538" t="n">
        <v>12.06</v>
      </c>
      <c r="C4877" s="538" t="n">
        <v>13.54</v>
      </c>
      <c r="D4877" s="538" t="n">
        <v>12.52</v>
      </c>
      <c r="E4877" s="538" t="n">
        <v>15.68</v>
      </c>
    </row>
    <row r="4878">
      <c r="A4878" s="544" t="n">
        <v>36038</v>
      </c>
      <c r="B4878" s="538" t="n">
        <v>12.06</v>
      </c>
      <c r="C4878" s="538" t="n">
        <v>13.29</v>
      </c>
      <c r="D4878" s="538" t="n">
        <v>12.58</v>
      </c>
      <c r="E4878" s="538" t="n">
        <v>15.8</v>
      </c>
    </row>
    <row r="4879">
      <c r="A4879" s="544" t="n">
        <v>36039</v>
      </c>
      <c r="B4879" s="538" t="n">
        <v>12.11</v>
      </c>
      <c r="C4879" s="538" t="n">
        <v>13.62</v>
      </c>
      <c r="D4879" s="538" t="n">
        <v>12.47</v>
      </c>
      <c r="E4879" s="538" t="n">
        <v>15.7</v>
      </c>
    </row>
    <row r="4880">
      <c r="A4880" s="544" t="n">
        <v>36040</v>
      </c>
      <c r="B4880" s="538" t="n">
        <v>12.05</v>
      </c>
      <c r="C4880" s="538" t="n">
        <v>13.72</v>
      </c>
      <c r="D4880" s="538" t="n">
        <v>11.86</v>
      </c>
      <c r="E4880" s="538" t="n">
        <v>15.7</v>
      </c>
    </row>
    <row r="4881">
      <c r="A4881" s="544" t="n">
        <v>36041</v>
      </c>
      <c r="B4881" s="538" t="n">
        <v>12.54</v>
      </c>
      <c r="C4881" s="538" t="n">
        <v>14.7</v>
      </c>
      <c r="D4881" s="538" t="n">
        <v>12.82</v>
      </c>
      <c r="E4881" s="538" t="n">
        <v>16.1</v>
      </c>
    </row>
    <row r="4882">
      <c r="A4882" s="544" t="n">
        <v>36042</v>
      </c>
      <c r="B4882" s="538" t="n">
        <v>12.96</v>
      </c>
      <c r="C4882" s="538" t="n">
        <v>14.59</v>
      </c>
      <c r="D4882" s="538" t="n">
        <v>12.51</v>
      </c>
      <c r="E4882" s="538" t="n">
        <v>16.5</v>
      </c>
    </row>
    <row r="4883">
      <c r="A4883" s="544" t="n">
        <v>36045</v>
      </c>
      <c r="B4883" s="538" t="n">
        <v>12.51</v>
      </c>
      <c r="C4883" s="538" t="n">
        <v>14.59</v>
      </c>
      <c r="D4883" s="538" t="n">
        <v>12.51</v>
      </c>
      <c r="E4883" s="538" t="n">
        <v>16.7</v>
      </c>
    </row>
    <row r="4884">
      <c r="A4884" s="544" t="n">
        <v>36046</v>
      </c>
      <c r="B4884" s="538" t="n">
        <v>12.53</v>
      </c>
      <c r="C4884" s="538" t="n">
        <v>14.34</v>
      </c>
      <c r="D4884" s="538" t="n">
        <v>12.39</v>
      </c>
      <c r="E4884" s="538" t="n">
        <v>16.8</v>
      </c>
    </row>
    <row r="4885">
      <c r="A4885" s="544" t="n">
        <v>36047</v>
      </c>
      <c r="B4885" s="538" t="n">
        <v>12.53</v>
      </c>
      <c r="C4885" s="538" t="n">
        <v>14.37</v>
      </c>
      <c r="D4885" s="538" t="n">
        <v>12.32</v>
      </c>
      <c r="E4885" s="538" t="n">
        <v>16.9</v>
      </c>
    </row>
    <row r="4886">
      <c r="A4886" s="544" t="n">
        <v>36048</v>
      </c>
      <c r="B4886" s="538" t="n">
        <v>12.82</v>
      </c>
      <c r="C4886" s="538" t="n">
        <v>14.71</v>
      </c>
      <c r="D4886" s="538" t="n">
        <v>12.51</v>
      </c>
      <c r="E4886" s="538" t="n">
        <v>17.1</v>
      </c>
    </row>
    <row r="4887">
      <c r="A4887" s="544" t="n">
        <v>36049</v>
      </c>
      <c r="B4887" s="538" t="n">
        <v>12.66</v>
      </c>
      <c r="C4887" s="538" t="n">
        <v>14.39</v>
      </c>
      <c r="D4887" s="538" t="n">
        <v>12.28</v>
      </c>
      <c r="E4887" s="538" t="n">
        <v>17.1</v>
      </c>
    </row>
    <row r="4888">
      <c r="A4888" s="544" t="n">
        <v>36052</v>
      </c>
      <c r="B4888" s="538" t="n">
        <v>12.47</v>
      </c>
      <c r="C4888" s="538" t="n">
        <v>14.46</v>
      </c>
      <c r="D4888" s="538" t="n">
        <v>12.76</v>
      </c>
      <c r="E4888" s="538" t="n">
        <v>17.75</v>
      </c>
    </row>
    <row r="4889">
      <c r="A4889" s="544" t="n">
        <v>36053</v>
      </c>
      <c r="B4889" s="538" t="n">
        <v>12.61</v>
      </c>
      <c r="C4889" s="538" t="n">
        <v>14.72</v>
      </c>
      <c r="D4889" s="538" t="n">
        <v>12.63</v>
      </c>
      <c r="E4889" s="538" t="n">
        <v>17.15</v>
      </c>
    </row>
    <row r="4890">
      <c r="A4890" s="544" t="n">
        <v>36054</v>
      </c>
      <c r="B4890" s="538" t="n">
        <v>12.65</v>
      </c>
      <c r="C4890" s="538" t="n">
        <v>14.6</v>
      </c>
      <c r="D4890" s="538" t="n">
        <v>12.55</v>
      </c>
      <c r="E4890" s="538" t="n">
        <v>17.15</v>
      </c>
    </row>
    <row r="4891">
      <c r="A4891" s="544" t="n">
        <v>36055</v>
      </c>
      <c r="B4891" s="538" t="n">
        <v>12.97</v>
      </c>
      <c r="C4891" s="538" t="n">
        <v>15.07</v>
      </c>
      <c r="D4891" s="538" t="n">
        <v>13.26</v>
      </c>
      <c r="E4891" s="538" t="n">
        <v>17.45</v>
      </c>
    </row>
    <row r="4892">
      <c r="A4892" s="544" t="n">
        <v>36056</v>
      </c>
      <c r="B4892" s="538" t="n">
        <v>13.92</v>
      </c>
      <c r="C4892" s="538" t="n">
        <v>15.53</v>
      </c>
      <c r="D4892" s="538" t="n">
        <v>13.78</v>
      </c>
      <c r="E4892" s="538" t="n">
        <v>17.95</v>
      </c>
    </row>
    <row r="4893">
      <c r="A4893" s="544" t="n">
        <v>36059</v>
      </c>
      <c r="B4893" s="538" t="n">
        <v>14.31</v>
      </c>
      <c r="C4893" s="538" t="n">
        <v>15.58</v>
      </c>
      <c r="D4893" s="538" t="n">
        <v>13.99</v>
      </c>
      <c r="E4893" s="538" t="n">
        <v>18.3</v>
      </c>
    </row>
    <row r="4894">
      <c r="A4894" s="544" t="n">
        <v>36060</v>
      </c>
      <c r="B4894" s="538" t="n">
        <v>14.36</v>
      </c>
      <c r="C4894" s="538" t="n">
        <v>15.73</v>
      </c>
      <c r="D4894" s="538" t="n">
        <v>14.25</v>
      </c>
      <c r="E4894" s="538" t="n">
        <v>17.85</v>
      </c>
    </row>
    <row r="4895">
      <c r="A4895" s="544" t="n">
        <v>36061</v>
      </c>
      <c r="B4895" s="538" t="n">
        <v>14.67</v>
      </c>
      <c r="C4895" s="538" t="n">
        <v>15.8</v>
      </c>
      <c r="D4895" s="538" t="n">
        <v>13.79</v>
      </c>
      <c r="E4895" s="538" t="n">
        <v>18.55</v>
      </c>
    </row>
    <row r="4896">
      <c r="A4896" s="544" t="n">
        <v>36062</v>
      </c>
      <c r="B4896" s="538" t="n">
        <v>14.84</v>
      </c>
      <c r="C4896" s="538" t="n">
        <v>15.99</v>
      </c>
      <c r="D4896" s="538" t="n">
        <v>14.19</v>
      </c>
      <c r="E4896" s="538" t="n">
        <v>18</v>
      </c>
    </row>
    <row r="4897">
      <c r="A4897" s="544" t="n">
        <v>36063</v>
      </c>
      <c r="B4897" s="538" t="n">
        <v>14.55</v>
      </c>
      <c r="C4897" s="538" t="n">
        <v>15.8</v>
      </c>
      <c r="D4897" s="538" t="n">
        <v>13.96</v>
      </c>
      <c r="E4897" s="538" t="n">
        <v>18.9</v>
      </c>
    </row>
    <row r="4898">
      <c r="A4898" s="544" t="n">
        <v>36066</v>
      </c>
      <c r="B4898" s="538" t="n">
        <v>14.41</v>
      </c>
      <c r="C4898" s="538" t="n">
        <v>15.74</v>
      </c>
      <c r="D4898" s="538" t="n">
        <v>13.96</v>
      </c>
      <c r="E4898" s="538" t="n">
        <v>18.9</v>
      </c>
    </row>
    <row r="4899">
      <c r="A4899" s="544" t="n">
        <v>36067</v>
      </c>
      <c r="B4899" s="538" t="n">
        <v>14.38</v>
      </c>
      <c r="C4899" s="538" t="n">
        <v>16.01</v>
      </c>
      <c r="D4899" s="538" t="n">
        <v>13.97</v>
      </c>
      <c r="E4899" s="538" t="n">
        <v>18.8</v>
      </c>
    </row>
    <row r="4900">
      <c r="A4900" s="544" t="n">
        <v>36068</v>
      </c>
      <c r="B4900" s="538" t="n">
        <v>14.71</v>
      </c>
      <c r="C4900" s="538" t="n">
        <v>16.19</v>
      </c>
      <c r="D4900" s="538" t="n">
        <v>14.12</v>
      </c>
      <c r="E4900" s="538" t="n">
        <v>18.9</v>
      </c>
    </row>
    <row r="4901">
      <c r="A4901" s="544" t="n">
        <v>36069</v>
      </c>
      <c r="B4901" s="538" t="n">
        <v>14.46</v>
      </c>
      <c r="C4901" s="538" t="n">
        <v>15.52</v>
      </c>
      <c r="D4901" s="538" t="n">
        <v>13.93</v>
      </c>
      <c r="E4901" s="538" t="n">
        <v>18.9</v>
      </c>
    </row>
    <row r="4902">
      <c r="A4902" s="544" t="n">
        <v>36070</v>
      </c>
      <c r="B4902" s="538" t="n">
        <v>14.21</v>
      </c>
      <c r="C4902" s="538" t="n">
        <v>15.71</v>
      </c>
      <c r="D4902" s="538" t="n">
        <v>14.17</v>
      </c>
      <c r="E4902" s="538" t="n">
        <v>18.9</v>
      </c>
    </row>
    <row r="4903">
      <c r="A4903" s="544" t="n">
        <v>36073</v>
      </c>
      <c r="B4903" s="538" t="n">
        <v>14.1</v>
      </c>
      <c r="C4903" s="538" t="n">
        <v>15.24</v>
      </c>
      <c r="D4903" s="538" t="n">
        <v>13.74</v>
      </c>
      <c r="E4903" s="538" t="n">
        <v>18.7</v>
      </c>
    </row>
    <row r="4904">
      <c r="A4904" s="544" t="n">
        <v>36074</v>
      </c>
      <c r="B4904" s="538" t="n">
        <v>13.98</v>
      </c>
      <c r="C4904" s="538" t="n">
        <v>15.6</v>
      </c>
      <c r="D4904" s="538" t="n">
        <v>13.87</v>
      </c>
      <c r="E4904" s="538" t="n">
        <v>18.3</v>
      </c>
    </row>
    <row r="4905">
      <c r="A4905" s="544" t="n">
        <v>36075</v>
      </c>
      <c r="B4905" s="538" t="n">
        <v>13.88</v>
      </c>
      <c r="C4905" s="538" t="n">
        <v>15.03</v>
      </c>
      <c r="D4905" s="538" t="n">
        <v>13.25</v>
      </c>
      <c r="E4905" s="538" t="n">
        <v>18.1</v>
      </c>
    </row>
    <row r="4906">
      <c r="A4906" s="544" t="n">
        <v>36076</v>
      </c>
      <c r="B4906" s="538" t="n">
        <v>13.23</v>
      </c>
      <c r="C4906" s="538" t="n">
        <v>14.57</v>
      </c>
      <c r="D4906" s="538" t="n">
        <v>12.8</v>
      </c>
      <c r="E4906" s="538" t="n">
        <v>17.9</v>
      </c>
    </row>
    <row r="4907">
      <c r="A4907" s="544" t="n">
        <v>36077</v>
      </c>
      <c r="B4907" s="538" t="n">
        <v>12.87</v>
      </c>
      <c r="C4907" s="538" t="n">
        <v>14.64</v>
      </c>
      <c r="D4907" s="538" t="n">
        <v>12.67</v>
      </c>
      <c r="E4907" s="538" t="n">
        <v>17.9</v>
      </c>
    </row>
    <row r="4908">
      <c r="A4908" s="544" t="n">
        <v>36080</v>
      </c>
      <c r="B4908" s="538" t="n">
        <v>13.18</v>
      </c>
      <c r="C4908" s="538" t="n">
        <v>14.47</v>
      </c>
      <c r="D4908" s="538" t="n">
        <v>12.8</v>
      </c>
      <c r="E4908" s="538" t="n">
        <v>17.8</v>
      </c>
    </row>
    <row r="4909">
      <c r="A4909" s="544" t="n">
        <v>36081</v>
      </c>
      <c r="B4909" s="538" t="n">
        <v>12.73</v>
      </c>
      <c r="C4909" s="538" t="n">
        <v>14.27</v>
      </c>
      <c r="D4909" s="538" t="n">
        <v>12.54</v>
      </c>
      <c r="E4909" s="538" t="n">
        <v>17.6</v>
      </c>
    </row>
    <row r="4910">
      <c r="A4910" s="544" t="n">
        <v>36082</v>
      </c>
      <c r="B4910" s="538" t="n">
        <v>12.26</v>
      </c>
      <c r="C4910" s="538" t="n">
        <v>14.09</v>
      </c>
      <c r="D4910" s="538" t="n">
        <v>12.06</v>
      </c>
      <c r="E4910" s="538" t="n">
        <v>17.55</v>
      </c>
    </row>
    <row r="4911">
      <c r="A4911" s="544" t="n">
        <v>36083</v>
      </c>
      <c r="B4911" s="538" t="n">
        <v>11.98</v>
      </c>
      <c r="C4911" s="538" t="n">
        <v>14.08</v>
      </c>
      <c r="D4911" s="538" t="n">
        <v>12.52</v>
      </c>
      <c r="E4911" s="538" t="n">
        <v>17.3</v>
      </c>
    </row>
    <row r="4912">
      <c r="A4912" s="544" t="n">
        <v>36084</v>
      </c>
      <c r="B4912" s="538" t="n">
        <v>12.11</v>
      </c>
      <c r="C4912" s="538" t="n">
        <v>14.16</v>
      </c>
      <c r="D4912" s="538" t="n">
        <v>12.62</v>
      </c>
      <c r="E4912" s="538" t="n">
        <v>17.1</v>
      </c>
    </row>
    <row r="4913">
      <c r="A4913" s="544" t="n">
        <v>36087</v>
      </c>
      <c r="B4913" s="538" t="n">
        <v>11.6</v>
      </c>
      <c r="C4913" s="538" t="n">
        <v>13.39</v>
      </c>
      <c r="D4913" s="538" t="n">
        <v>12.01</v>
      </c>
      <c r="E4913" s="538" t="n">
        <v>17.1</v>
      </c>
    </row>
    <row r="4914">
      <c r="A4914" s="544" t="n">
        <v>36088</v>
      </c>
      <c r="B4914" s="538" t="n">
        <v>11.29</v>
      </c>
      <c r="C4914" s="538" t="n">
        <v>13.45</v>
      </c>
      <c r="D4914" s="538" t="n">
        <v>11.94</v>
      </c>
      <c r="E4914" s="538" t="n">
        <v>16.7</v>
      </c>
    </row>
    <row r="4915">
      <c r="A4915" s="544" t="n">
        <v>36089</v>
      </c>
      <c r="B4915" s="538" t="n">
        <v>11.94</v>
      </c>
      <c r="C4915" s="538" t="n">
        <v>14.14</v>
      </c>
      <c r="D4915" s="538" t="n">
        <v>12.36</v>
      </c>
      <c r="E4915" s="538" t="n">
        <v>16.5</v>
      </c>
    </row>
    <row r="4916">
      <c r="A4916" s="544" t="n">
        <v>36090</v>
      </c>
      <c r="B4916" s="538" t="n">
        <v>11.68</v>
      </c>
      <c r="C4916" s="538" t="n">
        <v>14</v>
      </c>
      <c r="D4916" s="538" t="n">
        <v>12.33</v>
      </c>
      <c r="E4916" s="538" t="n">
        <v>16.7</v>
      </c>
    </row>
    <row r="4917">
      <c r="A4917" s="544" t="n">
        <v>36091</v>
      </c>
      <c r="B4917" s="538" t="n">
        <v>12.18</v>
      </c>
      <c r="C4917" s="538" t="n">
        <v>14.06</v>
      </c>
      <c r="D4917" s="538" t="n">
        <v>12.5</v>
      </c>
      <c r="E4917" s="538" t="n">
        <v>16.7</v>
      </c>
    </row>
    <row r="4918">
      <c r="A4918" s="544" t="n">
        <v>36094</v>
      </c>
      <c r="B4918" s="538" t="n">
        <v>12.74</v>
      </c>
      <c r="C4918" s="538" t="n">
        <v>14.39</v>
      </c>
      <c r="D4918" s="538" t="n">
        <v>12.97</v>
      </c>
      <c r="E4918" s="538" t="n">
        <v>16.5</v>
      </c>
    </row>
    <row r="4919">
      <c r="A4919" s="544" t="n">
        <v>36095</v>
      </c>
      <c r="B4919" s="538" t="n">
        <v>12.46</v>
      </c>
      <c r="C4919" s="538" t="n">
        <v>14.19</v>
      </c>
      <c r="D4919" s="538" t="n">
        <v>12.63</v>
      </c>
      <c r="E4919" s="538" t="n">
        <v>16.88</v>
      </c>
    </row>
    <row r="4920">
      <c r="A4920" s="544" t="n">
        <v>36096</v>
      </c>
      <c r="B4920" s="538" t="n">
        <v>12.26</v>
      </c>
      <c r="C4920" s="538" t="n">
        <v>14.35</v>
      </c>
      <c r="D4920" s="538" t="n">
        <v>12.97</v>
      </c>
      <c r="E4920" s="538" t="n">
        <v>16.88</v>
      </c>
    </row>
    <row r="4921">
      <c r="A4921" s="544" t="n">
        <v>36097</v>
      </c>
      <c r="B4921" s="538" t="n">
        <v>12.31</v>
      </c>
      <c r="C4921" s="538" t="n">
        <v>14.31</v>
      </c>
      <c r="D4921" s="538" t="n">
        <v>12.79</v>
      </c>
      <c r="E4921" s="538" t="n">
        <v>16.35</v>
      </c>
    </row>
    <row r="4922">
      <c r="A4922" s="544" t="n">
        <v>36098</v>
      </c>
      <c r="B4922" s="538" t="n">
        <v>12</v>
      </c>
      <c r="C4922" s="538" t="n">
        <v>14.48</v>
      </c>
      <c r="D4922" s="538" t="n">
        <v>12.94</v>
      </c>
      <c r="E4922" s="538" t="n">
        <v>16.25</v>
      </c>
    </row>
    <row r="4923">
      <c r="A4923" s="544" t="n">
        <v>36101</v>
      </c>
      <c r="B4923" s="538" t="n">
        <v>12.43</v>
      </c>
      <c r="C4923" s="538" t="n">
        <v>14.45</v>
      </c>
      <c r="D4923" s="538" t="n">
        <v>12.83</v>
      </c>
      <c r="E4923" s="538" t="n">
        <v>16.18</v>
      </c>
    </row>
    <row r="4924">
      <c r="A4924" s="544" t="n">
        <v>36102</v>
      </c>
      <c r="B4924" s="538" t="n">
        <v>11.93</v>
      </c>
      <c r="C4924" s="538" t="n">
        <v>14.24</v>
      </c>
      <c r="D4924" s="538" t="n">
        <v>12.58</v>
      </c>
      <c r="E4924" s="538" t="n">
        <v>16.18</v>
      </c>
    </row>
    <row r="4925">
      <c r="A4925" s="544" t="n">
        <v>36103</v>
      </c>
      <c r="B4925" s="538" t="n">
        <v>11.88</v>
      </c>
      <c r="C4925" s="538" t="n">
        <v>14.09</v>
      </c>
      <c r="D4925" s="538" t="n">
        <v>12.51</v>
      </c>
      <c r="E4925" s="538" t="n">
        <v>15.75</v>
      </c>
    </row>
    <row r="4926">
      <c r="A4926" s="544" t="n">
        <v>36104</v>
      </c>
      <c r="B4926" s="538" t="n">
        <v>11.73</v>
      </c>
      <c r="C4926" s="538" t="n">
        <v>13.93</v>
      </c>
      <c r="D4926" s="538" t="n">
        <v>12.16</v>
      </c>
      <c r="E4926" s="538" t="n">
        <v>15.85</v>
      </c>
    </row>
    <row r="4927">
      <c r="A4927" s="544" t="n">
        <v>36105</v>
      </c>
      <c r="B4927" s="538" t="n">
        <v>11.51</v>
      </c>
      <c r="C4927" s="538" t="n">
        <v>13.93</v>
      </c>
      <c r="D4927" s="538" t="n">
        <v>12.08</v>
      </c>
      <c r="E4927" s="538" t="n">
        <v>15.7</v>
      </c>
    </row>
    <row r="4928">
      <c r="A4928" s="544" t="n">
        <v>36108</v>
      </c>
      <c r="B4928" s="538" t="n">
        <v>11.15</v>
      </c>
      <c r="C4928" s="538" t="n">
        <v>13.39</v>
      </c>
      <c r="D4928" s="538" t="n">
        <v>11.6</v>
      </c>
      <c r="E4928" s="538" t="n">
        <v>15.5</v>
      </c>
    </row>
    <row r="4929">
      <c r="A4929" s="544" t="n">
        <v>36109</v>
      </c>
      <c r="B4929" s="538" t="n">
        <v>11.18</v>
      </c>
      <c r="C4929" s="538" t="n">
        <v>13.54</v>
      </c>
      <c r="D4929" s="538" t="n">
        <v>11.72</v>
      </c>
      <c r="E4929" s="538" t="n">
        <v>15.05</v>
      </c>
    </row>
    <row r="4930">
      <c r="A4930" s="544" t="n">
        <v>36110</v>
      </c>
      <c r="B4930" s="538" t="n">
        <v>11.45</v>
      </c>
      <c r="C4930" s="538" t="n">
        <v>13.63</v>
      </c>
      <c r="D4930" s="538" t="n">
        <v>11.92</v>
      </c>
      <c r="E4930" s="538" t="n">
        <v>15.05</v>
      </c>
    </row>
    <row r="4931">
      <c r="A4931" s="544" t="n">
        <v>36111</v>
      </c>
      <c r="B4931" s="538" t="n">
        <v>11.56</v>
      </c>
      <c r="C4931" s="538" t="n">
        <v>14.04</v>
      </c>
      <c r="D4931" s="538" t="n">
        <v>12.33</v>
      </c>
      <c r="E4931" s="538" t="n">
        <v>15.25</v>
      </c>
    </row>
    <row r="4932">
      <c r="A4932" s="544" t="n">
        <v>36112</v>
      </c>
      <c r="B4932" s="538" t="n">
        <v>11.46</v>
      </c>
      <c r="C4932" s="538" t="n">
        <v>13.57</v>
      </c>
      <c r="D4932" s="538" t="n">
        <v>11.76</v>
      </c>
      <c r="E4932" s="538" t="n">
        <v>15.25</v>
      </c>
    </row>
    <row r="4933">
      <c r="A4933" s="544" t="n">
        <v>36115</v>
      </c>
      <c r="B4933" s="538" t="n">
        <v>11.1</v>
      </c>
      <c r="C4933" s="538" t="n">
        <v>12.81</v>
      </c>
      <c r="D4933" s="538" t="n">
        <v>11.03</v>
      </c>
      <c r="E4933" s="538" t="n">
        <v>15</v>
      </c>
    </row>
    <row r="4934">
      <c r="A4934" s="544" t="n">
        <v>36116</v>
      </c>
      <c r="B4934" s="538" t="n">
        <v>10.62</v>
      </c>
      <c r="C4934" s="538" t="n">
        <v>12.46</v>
      </c>
      <c r="D4934" s="538" t="n">
        <v>11.19</v>
      </c>
      <c r="E4934" s="538" t="n">
        <v>15.2</v>
      </c>
    </row>
    <row r="4935">
      <c r="A4935" s="544" t="n">
        <v>36117</v>
      </c>
      <c r="B4935" s="538" t="n">
        <v>10.25</v>
      </c>
      <c r="C4935" s="538" t="n">
        <v>12.33</v>
      </c>
      <c r="D4935" s="538" t="n">
        <v>11.61</v>
      </c>
      <c r="E4935" s="538" t="n">
        <v>14.9</v>
      </c>
    </row>
    <row r="4936">
      <c r="A4936" s="544" t="n">
        <v>36118</v>
      </c>
      <c r="B4936" s="538" t="n">
        <v>10.45</v>
      </c>
      <c r="C4936" s="538" t="n">
        <v>12.21</v>
      </c>
      <c r="D4936" s="538" t="n">
        <v>11.61</v>
      </c>
      <c r="E4936" s="538" t="n">
        <v>15.25</v>
      </c>
    </row>
    <row r="4937">
      <c r="A4937" s="544" t="n">
        <v>36119</v>
      </c>
      <c r="B4937" s="538" t="n">
        <v>10.4</v>
      </c>
      <c r="C4937" s="538" t="n">
        <v>12.2</v>
      </c>
      <c r="D4937" s="538" t="n">
        <v>11.64</v>
      </c>
      <c r="E4937" s="538" t="n">
        <v>15.15</v>
      </c>
    </row>
    <row r="4938">
      <c r="A4938" s="544" t="n">
        <v>36122</v>
      </c>
      <c r="B4938" s="538" t="n">
        <v>10.54</v>
      </c>
      <c r="C4938" s="538" t="n">
        <v>12.51</v>
      </c>
      <c r="D4938" s="538" t="n">
        <v>11.35</v>
      </c>
      <c r="E4938" s="538" t="n">
        <v>15.25</v>
      </c>
    </row>
    <row r="4939">
      <c r="A4939" s="544" t="n">
        <v>36123</v>
      </c>
      <c r="B4939" s="538" t="n">
        <v>10.58</v>
      </c>
      <c r="C4939" s="538" t="n">
        <v>11.48</v>
      </c>
      <c r="D4939" s="538" t="n">
        <v>11.55</v>
      </c>
      <c r="E4939" s="538" t="n">
        <v>14.85</v>
      </c>
    </row>
    <row r="4940">
      <c r="A4940" s="544" t="n">
        <v>36124</v>
      </c>
      <c r="B4940" s="538" t="n">
        <v>10.51</v>
      </c>
      <c r="C4940" s="538" t="n">
        <v>10.86</v>
      </c>
      <c r="D4940" s="538" t="n">
        <v>11.39</v>
      </c>
      <c r="E4940" s="538" t="n">
        <v>14.55</v>
      </c>
    </row>
    <row r="4941">
      <c r="A4941" s="544" t="n">
        <v>36125</v>
      </c>
      <c r="B4941" s="538" t="n">
        <v>10.41</v>
      </c>
      <c r="C4941" s="538" t="n">
        <v>10.86</v>
      </c>
      <c r="D4941" s="538" t="n">
        <v>11.39</v>
      </c>
      <c r="E4941" s="538" t="n">
        <v>13.75</v>
      </c>
    </row>
    <row r="4942">
      <c r="A4942" s="544" t="n">
        <v>36126</v>
      </c>
      <c r="B4942" s="538" t="n">
        <v>10.77</v>
      </c>
      <c r="C4942" s="538" t="n">
        <v>10.86</v>
      </c>
      <c r="D4942" s="538" t="n">
        <v>11.39</v>
      </c>
      <c r="E4942" s="538" t="n">
        <v>13.13</v>
      </c>
    </row>
    <row r="4943">
      <c r="A4943" s="544" t="n">
        <v>36129</v>
      </c>
      <c r="B4943" s="538" t="n">
        <v>9.91</v>
      </c>
      <c r="C4943" s="538" t="n">
        <v>11.37</v>
      </c>
      <c r="D4943" s="538" t="n">
        <v>10.59</v>
      </c>
      <c r="E4943" s="538" t="n">
        <v>13.35</v>
      </c>
    </row>
    <row r="4944">
      <c r="A4944" s="544" t="n">
        <v>36130</v>
      </c>
      <c r="B4944" s="538" t="n">
        <v>9.869999999999999</v>
      </c>
      <c r="C4944" s="538" t="n">
        <v>11.27</v>
      </c>
      <c r="D4944" s="538" t="n">
        <v>10.07</v>
      </c>
      <c r="E4944" s="538" t="n">
        <v>13.1</v>
      </c>
    </row>
    <row r="4945">
      <c r="A4945" s="544" t="n">
        <v>36131</v>
      </c>
      <c r="B4945" s="538" t="n">
        <v>9.710000000000001</v>
      </c>
      <c r="C4945" s="538" t="n">
        <v>11.31</v>
      </c>
      <c r="D4945" s="538" t="n">
        <v>9.99</v>
      </c>
      <c r="E4945" s="538" t="n">
        <v>12.6</v>
      </c>
    </row>
    <row r="4946">
      <c r="A4946" s="544" t="n">
        <v>36132</v>
      </c>
      <c r="B4946" s="538" t="n">
        <v>10.05</v>
      </c>
      <c r="C4946" s="538" t="n">
        <v>11.25</v>
      </c>
      <c r="D4946" s="538" t="n">
        <v>9.720000000000001</v>
      </c>
      <c r="E4946" s="538" t="n">
        <v>12.6</v>
      </c>
    </row>
    <row r="4947">
      <c r="A4947" s="544" t="n">
        <v>36133</v>
      </c>
      <c r="B4947" s="538" t="n">
        <v>9.73</v>
      </c>
      <c r="C4947" s="538" t="n">
        <v>11.2</v>
      </c>
      <c r="D4947" s="538" t="n">
        <v>9.779999999999999</v>
      </c>
      <c r="E4947" s="538" t="n">
        <v>13.55</v>
      </c>
    </row>
    <row r="4948">
      <c r="A4948" s="544" t="n">
        <v>36136</v>
      </c>
      <c r="B4948" s="538" t="n">
        <v>9.699999999999999</v>
      </c>
      <c r="C4948" s="538" t="n">
        <v>11.61</v>
      </c>
      <c r="D4948" s="538" t="n">
        <v>10.03</v>
      </c>
      <c r="E4948" s="538" t="n">
        <v>14</v>
      </c>
    </row>
    <row r="4949">
      <c r="A4949" s="544" t="n">
        <v>36137</v>
      </c>
      <c r="B4949" s="538" t="n">
        <v>9.68</v>
      </c>
      <c r="C4949" s="538" t="n">
        <v>11.33</v>
      </c>
      <c r="D4949" s="538" t="n">
        <v>9.81</v>
      </c>
      <c r="E4949" s="538" t="n">
        <v>14.95</v>
      </c>
    </row>
    <row r="4950">
      <c r="A4950" s="544" t="n">
        <v>36138</v>
      </c>
      <c r="B4950" s="538" t="n">
        <v>9.460000000000001</v>
      </c>
      <c r="C4950" s="538" t="n">
        <v>11.2</v>
      </c>
      <c r="D4950" s="538" t="n">
        <v>9.91</v>
      </c>
      <c r="E4950" s="538" t="n">
        <v>14.15</v>
      </c>
    </row>
    <row r="4951">
      <c r="A4951" s="544" t="n">
        <v>36139</v>
      </c>
      <c r="B4951" s="538" t="n">
        <v>9.1</v>
      </c>
      <c r="C4951" s="538" t="n">
        <v>10.82</v>
      </c>
      <c r="D4951" s="538" t="n">
        <v>9.529999999999999</v>
      </c>
      <c r="E4951" s="538" t="n">
        <v>13.75</v>
      </c>
    </row>
    <row r="4952">
      <c r="A4952" s="544" t="n">
        <v>36140</v>
      </c>
      <c r="B4952" s="538" t="n">
        <v>9.26</v>
      </c>
      <c r="C4952" s="538" t="n">
        <v>10.86</v>
      </c>
      <c r="D4952" s="538" t="n">
        <v>9.609999999999999</v>
      </c>
      <c r="E4952" s="538" t="n">
        <v>13.15</v>
      </c>
    </row>
    <row r="4953">
      <c r="A4953" s="544" t="n">
        <v>36143</v>
      </c>
      <c r="B4953" s="538" t="n">
        <v>9.449999999999999</v>
      </c>
      <c r="C4953" s="538" t="n">
        <v>11.3</v>
      </c>
      <c r="D4953" s="538" t="n">
        <v>9.949999999999999</v>
      </c>
      <c r="E4953" s="538" t="n">
        <v>13.55</v>
      </c>
    </row>
    <row r="4954">
      <c r="A4954" s="544" t="n">
        <v>36144</v>
      </c>
      <c r="B4954" s="538" t="n">
        <v>9.57</v>
      </c>
      <c r="C4954" s="538" t="n">
        <v>11.64</v>
      </c>
      <c r="D4954" s="538" t="n">
        <v>10.57</v>
      </c>
      <c r="E4954" s="538" t="n">
        <v>14.15</v>
      </c>
    </row>
    <row r="4955">
      <c r="A4955" s="544" t="n">
        <v>36145</v>
      </c>
      <c r="B4955" s="538" t="n">
        <v>10.87</v>
      </c>
      <c r="C4955" s="538" t="n">
        <v>12.55</v>
      </c>
      <c r="D4955" s="538" t="n">
        <v>11.57</v>
      </c>
      <c r="E4955" s="538" t="n">
        <v>15.93</v>
      </c>
    </row>
    <row r="4956">
      <c r="A4956" s="544" t="n">
        <v>36146</v>
      </c>
      <c r="B4956" s="538" t="n">
        <v>9.92</v>
      </c>
      <c r="C4956" s="538" t="n">
        <v>11.05</v>
      </c>
      <c r="D4956" s="538" t="n">
        <v>10.07</v>
      </c>
      <c r="E4956" s="538" t="n">
        <v>14.8</v>
      </c>
    </row>
    <row r="4957">
      <c r="A4957" s="544" t="n">
        <v>36147</v>
      </c>
      <c r="B4957" s="538" t="n">
        <v>9.619999999999999</v>
      </c>
      <c r="C4957" s="538" t="n">
        <v>10.95</v>
      </c>
      <c r="D4957" s="538" t="n">
        <v>9.98</v>
      </c>
      <c r="E4957" s="538" t="n">
        <v>14.8</v>
      </c>
    </row>
    <row r="4958">
      <c r="A4958" s="544" t="n">
        <v>36150</v>
      </c>
      <c r="B4958" s="538" t="n">
        <v>9.449999999999999</v>
      </c>
      <c r="C4958" s="538" t="n">
        <v>10.86</v>
      </c>
      <c r="D4958" s="538" t="n">
        <v>9.74</v>
      </c>
      <c r="E4958" s="538" t="n">
        <v>14.05</v>
      </c>
    </row>
    <row r="4959">
      <c r="A4959" s="544" t="n">
        <v>36151</v>
      </c>
      <c r="B4959" s="538" t="n">
        <v>9.83</v>
      </c>
      <c r="C4959" s="538" t="n">
        <v>10.99</v>
      </c>
      <c r="D4959" s="538" t="n">
        <v>10.12</v>
      </c>
      <c r="E4959" s="538" t="n">
        <v>14.05</v>
      </c>
    </row>
    <row r="4960">
      <c r="A4960" s="544" t="n">
        <v>36152</v>
      </c>
      <c r="B4960" s="538" t="n">
        <v>9.91</v>
      </c>
      <c r="C4960" s="538" t="n">
        <v>11.12</v>
      </c>
      <c r="D4960" s="538" t="n">
        <v>10.12</v>
      </c>
      <c r="E4960" s="538" t="n">
        <v>14.25</v>
      </c>
    </row>
    <row r="4961">
      <c r="A4961" s="544" t="n">
        <v>36153</v>
      </c>
      <c r="B4961" s="538" t="n">
        <v>9.91</v>
      </c>
      <c r="C4961" s="538" t="n">
        <v>11.03</v>
      </c>
      <c r="D4961" s="538" t="n">
        <v>10.12</v>
      </c>
      <c r="E4961" s="538" t="n">
        <v>14.8</v>
      </c>
    </row>
    <row r="4962">
      <c r="A4962" s="544" t="n">
        <v>36154</v>
      </c>
      <c r="B4962" s="538" t="n">
        <v>9.91</v>
      </c>
      <c r="C4962" s="538" t="n">
        <v>11.03</v>
      </c>
      <c r="D4962" s="538" t="n">
        <v>10.12</v>
      </c>
      <c r="E4962" s="538" t="n">
        <v>14.8</v>
      </c>
    </row>
    <row r="4963">
      <c r="A4963" s="544" t="n">
        <v>36157</v>
      </c>
      <c r="B4963" s="538" t="n">
        <v>9.91</v>
      </c>
      <c r="C4963" s="538" t="n">
        <v>11.59</v>
      </c>
      <c r="D4963" s="538" t="n">
        <v>10.12</v>
      </c>
      <c r="E4963" s="538" t="n">
        <v>14.8</v>
      </c>
    </row>
    <row r="4964">
      <c r="A4964" s="544" t="n">
        <v>36158</v>
      </c>
      <c r="B4964" s="538" t="n">
        <v>10.23</v>
      </c>
      <c r="C4964" s="538" t="n">
        <v>11.82</v>
      </c>
      <c r="D4964" s="538" t="n">
        <v>10.54</v>
      </c>
      <c r="E4964" s="538" t="n">
        <v>15.05</v>
      </c>
    </row>
    <row r="4965">
      <c r="A4965" s="544" t="n">
        <v>36159</v>
      </c>
      <c r="B4965" s="538" t="n">
        <v>10.45</v>
      </c>
      <c r="C4965" s="538" t="n">
        <v>11.75</v>
      </c>
      <c r="D4965" s="538" t="n">
        <v>10.37</v>
      </c>
      <c r="E4965" s="538" t="n">
        <v>15.05</v>
      </c>
    </row>
    <row r="4966">
      <c r="A4966" s="544" t="n">
        <v>36160</v>
      </c>
      <c r="B4966" s="538" t="n">
        <v>10.54</v>
      </c>
      <c r="C4966" s="538" t="n">
        <v>12.14</v>
      </c>
      <c r="D4966" s="538" t="n">
        <v>10.46</v>
      </c>
      <c r="E4966" s="538" t="n">
        <v>15.55</v>
      </c>
    </row>
    <row r="4967">
      <c r="A4967" s="544" t="n">
        <v>36161</v>
      </c>
      <c r="B4967" s="538" t="n">
        <v>10.54</v>
      </c>
      <c r="C4967" s="538" t="n">
        <v>12.14</v>
      </c>
      <c r="D4967" s="538" t="n">
        <v>10.46</v>
      </c>
      <c r="E4967" s="538" t="n">
        <v>15.55</v>
      </c>
    </row>
    <row r="4968">
      <c r="A4968" s="544" t="n">
        <v>36164</v>
      </c>
      <c r="B4968" s="538" t="n">
        <v>10.94</v>
      </c>
      <c r="C4968" s="538" t="n">
        <v>12.42</v>
      </c>
      <c r="D4968" s="538" t="n">
        <v>10.46</v>
      </c>
      <c r="E4968" s="538" t="n">
        <v>16.3</v>
      </c>
    </row>
    <row r="4969">
      <c r="A4969" s="544" t="n">
        <v>36165</v>
      </c>
      <c r="B4969" s="538" t="n">
        <v>10.3</v>
      </c>
      <c r="C4969" s="538" t="n">
        <v>12.04</v>
      </c>
      <c r="D4969" s="538" t="n">
        <v>10.26</v>
      </c>
      <c r="E4969" s="538" t="n">
        <v>16.3</v>
      </c>
    </row>
    <row r="4970">
      <c r="A4970" s="544" t="n">
        <v>36166</v>
      </c>
      <c r="B4970" s="538" t="n">
        <v>10.67</v>
      </c>
      <c r="C4970" s="538" t="n">
        <v>12.84</v>
      </c>
      <c r="D4970" s="538" t="n">
        <v>10.98</v>
      </c>
      <c r="E4970" s="538" t="n">
        <v>16.05</v>
      </c>
    </row>
    <row r="4971">
      <c r="A4971" s="544" t="n">
        <v>36167</v>
      </c>
      <c r="B4971" s="538" t="n">
        <v>11.08</v>
      </c>
      <c r="C4971" s="538" t="n">
        <v>12.99</v>
      </c>
      <c r="D4971" s="538" t="n">
        <v>10.76</v>
      </c>
      <c r="E4971" s="538" t="n">
        <v>16.05</v>
      </c>
    </row>
    <row r="4972">
      <c r="A4972" s="544" t="n">
        <v>36168</v>
      </c>
      <c r="B4972" s="538" t="n">
        <v>11.7</v>
      </c>
      <c r="C4972" s="538" t="n">
        <v>13.06</v>
      </c>
      <c r="D4972" s="538" t="n">
        <v>11.1</v>
      </c>
      <c r="E4972" s="538" t="n">
        <v>16.05</v>
      </c>
    </row>
    <row r="4973">
      <c r="A4973" s="544" t="n">
        <v>36171</v>
      </c>
      <c r="B4973" s="538" t="n">
        <v>12.07</v>
      </c>
      <c r="C4973" s="538" t="n">
        <v>13.43</v>
      </c>
      <c r="D4973" s="538" t="n">
        <v>11.41</v>
      </c>
      <c r="E4973" s="538" t="n">
        <v>16.9</v>
      </c>
    </row>
    <row r="4974">
      <c r="A4974" s="544" t="n">
        <v>36172</v>
      </c>
      <c r="B4974" s="538" t="n">
        <v>11.78</v>
      </c>
      <c r="C4974" s="538" t="n">
        <v>12.91</v>
      </c>
      <c r="D4974" s="538" t="n">
        <v>10.75</v>
      </c>
      <c r="E4974" s="538" t="n">
        <v>17.5</v>
      </c>
    </row>
    <row r="4975">
      <c r="A4975" s="544" t="n">
        <v>36173</v>
      </c>
      <c r="B4975" s="538" t="n">
        <v>10.9</v>
      </c>
      <c r="C4975" s="538" t="n">
        <v>12.33</v>
      </c>
      <c r="D4975" s="538" t="n">
        <v>10.84</v>
      </c>
      <c r="E4975" s="538" t="n">
        <v>17.15</v>
      </c>
    </row>
    <row r="4976">
      <c r="A4976" s="544" t="n">
        <v>36174</v>
      </c>
      <c r="B4976" s="538" t="n">
        <v>11.1</v>
      </c>
      <c r="C4976" s="538" t="n">
        <v>12.23</v>
      </c>
      <c r="D4976" s="538" t="n">
        <v>10.82</v>
      </c>
      <c r="E4976" s="538" t="n">
        <v>16.7</v>
      </c>
    </row>
    <row r="4977">
      <c r="A4977" s="544" t="n">
        <v>36175</v>
      </c>
      <c r="B4977" s="538" t="n">
        <v>10.97</v>
      </c>
      <c r="C4977" s="538" t="n">
        <v>12.21</v>
      </c>
      <c r="D4977" s="538" t="n">
        <v>10.75</v>
      </c>
      <c r="E4977" s="538" t="n">
        <v>16.45</v>
      </c>
    </row>
    <row r="4978">
      <c r="A4978" s="544" t="n">
        <v>36178</v>
      </c>
      <c r="B4978" s="538" t="n">
        <v>10.81</v>
      </c>
      <c r="C4978" s="538" t="n">
        <v>12.21</v>
      </c>
      <c r="D4978" s="538" t="n">
        <v>10.75</v>
      </c>
      <c r="E4978" s="538" t="n">
        <v>16.2</v>
      </c>
    </row>
    <row r="4979">
      <c r="A4979" s="544" t="n">
        <v>36179</v>
      </c>
      <c r="B4979" s="538" t="n">
        <v>11.19</v>
      </c>
      <c r="C4979" s="538" t="n">
        <v>12.13</v>
      </c>
      <c r="D4979" s="538" t="n">
        <v>10.69</v>
      </c>
      <c r="E4979" s="538" t="n">
        <v>16.2</v>
      </c>
    </row>
    <row r="4980">
      <c r="A4980" s="544" t="n">
        <v>36180</v>
      </c>
      <c r="B4980" s="538" t="n">
        <v>10.85</v>
      </c>
      <c r="C4980" s="538" t="n">
        <v>11.82</v>
      </c>
      <c r="D4980" s="538" t="n">
        <v>10.57</v>
      </c>
      <c r="E4980" s="538" t="n">
        <v>15.95</v>
      </c>
    </row>
    <row r="4981">
      <c r="A4981" s="544" t="n">
        <v>36181</v>
      </c>
      <c r="B4981" s="538" t="n">
        <v>11.14</v>
      </c>
      <c r="C4981" s="538" t="n">
        <v>12.45</v>
      </c>
      <c r="D4981" s="538" t="n">
        <v>11.07</v>
      </c>
      <c r="E4981" s="538" t="n">
        <v>15.5</v>
      </c>
    </row>
    <row r="4982">
      <c r="A4982" s="544" t="n">
        <v>36182</v>
      </c>
      <c r="B4982" s="538" t="n">
        <v>11.23</v>
      </c>
      <c r="C4982" s="538" t="n">
        <v>12.62</v>
      </c>
      <c r="D4982" s="538" t="n">
        <v>10.96</v>
      </c>
      <c r="E4982" s="538" t="n">
        <v>15.7</v>
      </c>
    </row>
    <row r="4983">
      <c r="A4983" s="544" t="n">
        <v>36185</v>
      </c>
      <c r="B4983" s="538" t="n">
        <v>11.21</v>
      </c>
      <c r="C4983" s="538" t="n">
        <v>12.41</v>
      </c>
      <c r="D4983" s="538" t="n">
        <v>10.81</v>
      </c>
      <c r="E4983" s="538" t="n">
        <v>14.7</v>
      </c>
    </row>
    <row r="4984">
      <c r="A4984" s="544" t="n">
        <v>36186</v>
      </c>
      <c r="B4984" s="538" t="n">
        <v>10.84</v>
      </c>
      <c r="C4984" s="538" t="n">
        <v>12.16</v>
      </c>
      <c r="D4984" s="538" t="n">
        <v>10.46</v>
      </c>
      <c r="E4984" s="538" t="n">
        <v>14.3</v>
      </c>
    </row>
    <row r="4985">
      <c r="A4985" s="544" t="n">
        <v>36187</v>
      </c>
      <c r="B4985" s="538" t="n">
        <v>11.03</v>
      </c>
      <c r="C4985" s="538" t="n">
        <v>12.4</v>
      </c>
      <c r="D4985" s="538" t="n">
        <v>10.84</v>
      </c>
      <c r="E4985" s="538" t="n">
        <v>14.3</v>
      </c>
    </row>
    <row r="4986">
      <c r="A4986" s="544" t="n">
        <v>36188</v>
      </c>
      <c r="B4986" s="538" t="n">
        <v>11.14</v>
      </c>
      <c r="C4986" s="538" t="n">
        <v>12.52</v>
      </c>
      <c r="D4986" s="538" t="n">
        <v>10.98</v>
      </c>
      <c r="E4986" s="538" t="n">
        <v>14.3</v>
      </c>
    </row>
    <row r="4987">
      <c r="A4987" s="544" t="n">
        <v>36189</v>
      </c>
      <c r="B4987" s="538" t="n">
        <v>11.34</v>
      </c>
      <c r="C4987" s="538" t="n">
        <v>12.81</v>
      </c>
      <c r="D4987" s="538" t="n">
        <v>11.1</v>
      </c>
      <c r="E4987" s="538" t="n">
        <v>14.5</v>
      </c>
    </row>
    <row r="4988">
      <c r="A4988" s="544" t="n">
        <v>36192</v>
      </c>
      <c r="B4988" s="538" t="n">
        <v>10.81</v>
      </c>
      <c r="C4988" s="538" t="n">
        <v>12.36</v>
      </c>
      <c r="D4988" s="538" t="n">
        <v>10.58</v>
      </c>
      <c r="E4988" s="538" t="n">
        <v>14.5</v>
      </c>
    </row>
    <row r="4989">
      <c r="A4989" s="544" t="n">
        <v>36193</v>
      </c>
      <c r="B4989" s="538" t="n">
        <v>10.39</v>
      </c>
      <c r="C4989" s="538" t="n">
        <v>12.21</v>
      </c>
      <c r="D4989" s="538" t="n">
        <v>10.47</v>
      </c>
      <c r="E4989" s="538" t="n">
        <v>14.5</v>
      </c>
    </row>
    <row r="4990">
      <c r="A4990" s="544" t="n">
        <v>36194</v>
      </c>
      <c r="B4990" s="538" t="n">
        <v>10.78</v>
      </c>
      <c r="C4990" s="538" t="n">
        <v>12.42</v>
      </c>
      <c r="D4990" s="538" t="n">
        <v>10.65</v>
      </c>
      <c r="E4990" s="538" t="n">
        <v>13.45</v>
      </c>
    </row>
    <row r="4991">
      <c r="A4991" s="544" t="n">
        <v>36195</v>
      </c>
      <c r="B4991" s="538" t="n">
        <v>10.42</v>
      </c>
      <c r="C4991" s="538" t="n">
        <v>11.94</v>
      </c>
      <c r="D4991" s="538" t="n">
        <v>10.1</v>
      </c>
      <c r="E4991" s="538" t="n">
        <v>13.15</v>
      </c>
    </row>
    <row r="4992">
      <c r="A4992" s="544" t="n">
        <v>36196</v>
      </c>
      <c r="B4992" s="538" t="n">
        <v>10.18</v>
      </c>
      <c r="C4992" s="538" t="n">
        <v>11.85</v>
      </c>
      <c r="D4992" s="538" t="n">
        <v>10.05</v>
      </c>
      <c r="E4992" s="538" t="n">
        <v>13.15</v>
      </c>
    </row>
    <row r="4993">
      <c r="A4993" s="544" t="n">
        <v>36199</v>
      </c>
      <c r="B4993" s="538" t="n">
        <v>9.970000000000001</v>
      </c>
      <c r="C4993" s="538" t="n">
        <v>11.65</v>
      </c>
      <c r="D4993" s="538" t="n">
        <v>9.66</v>
      </c>
      <c r="E4993" s="538" t="n">
        <v>13.05</v>
      </c>
    </row>
    <row r="4994">
      <c r="A4994" s="544" t="n">
        <v>36200</v>
      </c>
      <c r="B4994" s="538" t="n">
        <v>9.77</v>
      </c>
      <c r="C4994" s="538" t="n">
        <v>11.66</v>
      </c>
      <c r="D4994" s="538" t="n">
        <v>9.51</v>
      </c>
      <c r="E4994" s="538" t="n">
        <v>12.95</v>
      </c>
    </row>
    <row r="4995">
      <c r="A4995" s="544" t="n">
        <v>36201</v>
      </c>
      <c r="B4995" s="538" t="n">
        <v>9.880000000000001</v>
      </c>
      <c r="C4995" s="538" t="n">
        <v>11.88</v>
      </c>
      <c r="D4995" s="538" t="n">
        <v>9.44</v>
      </c>
      <c r="E4995" s="538" t="n">
        <v>13.15</v>
      </c>
    </row>
    <row r="4996">
      <c r="A4996" s="544" t="n">
        <v>36202</v>
      </c>
      <c r="B4996" s="538" t="n">
        <v>9.82</v>
      </c>
      <c r="C4996" s="538" t="n">
        <v>11.94</v>
      </c>
      <c r="D4996" s="538" t="n">
        <v>9.4</v>
      </c>
      <c r="E4996" s="538" t="n">
        <v>13</v>
      </c>
    </row>
    <row r="4997">
      <c r="A4997" s="544" t="n">
        <v>36203</v>
      </c>
      <c r="B4997" s="538" t="n">
        <v>9.970000000000001</v>
      </c>
      <c r="C4997" s="538" t="n">
        <v>11.9</v>
      </c>
      <c r="D4997" s="538" t="n">
        <v>9.57</v>
      </c>
      <c r="E4997" s="538" t="n">
        <v>13</v>
      </c>
    </row>
    <row r="4998">
      <c r="A4998" s="544" t="n">
        <v>36206</v>
      </c>
      <c r="B4998" s="538" t="n">
        <v>9.970000000000001</v>
      </c>
      <c r="C4998" s="538" t="n">
        <v>11.9</v>
      </c>
      <c r="D4998" s="538" t="n">
        <v>9.57</v>
      </c>
      <c r="E4998" s="538" t="n">
        <v>12.95</v>
      </c>
    </row>
    <row r="4999">
      <c r="A4999" s="544" t="n">
        <v>36207</v>
      </c>
      <c r="B4999" s="538" t="n">
        <v>9.98</v>
      </c>
      <c r="C4999" s="538" t="n">
        <v>11.38</v>
      </c>
      <c r="D4999" s="538" t="n">
        <v>9.699999999999999</v>
      </c>
      <c r="E4999" s="538" t="n">
        <v>12.95</v>
      </c>
    </row>
    <row r="5000">
      <c r="A5000" s="544" t="n">
        <v>36208</v>
      </c>
      <c r="B5000" s="538" t="n">
        <v>10.09</v>
      </c>
      <c r="C5000" s="538" t="n">
        <v>11.49</v>
      </c>
      <c r="D5000" s="538" t="n">
        <v>9.75</v>
      </c>
      <c r="E5000" s="538" t="n">
        <v>12.95</v>
      </c>
    </row>
    <row r="5001">
      <c r="A5001" s="544" t="n">
        <v>36209</v>
      </c>
      <c r="B5001" s="538" t="n">
        <v>9.93</v>
      </c>
      <c r="C5001" s="538" t="n">
        <v>11.97</v>
      </c>
      <c r="D5001" s="538" t="n">
        <v>10.25</v>
      </c>
      <c r="E5001" s="538" t="n">
        <v>12.9</v>
      </c>
    </row>
    <row r="5002">
      <c r="A5002" s="544" t="n">
        <v>36210</v>
      </c>
      <c r="B5002" s="538" t="n">
        <v>10.29</v>
      </c>
      <c r="C5002" s="538" t="n">
        <v>11.79</v>
      </c>
      <c r="D5002" s="538" t="n">
        <v>10.09</v>
      </c>
      <c r="E5002" s="538" t="n">
        <v>12.9</v>
      </c>
    </row>
    <row r="5003">
      <c r="A5003" s="544" t="n">
        <v>36213</v>
      </c>
      <c r="B5003" s="538" t="n">
        <v>10.24</v>
      </c>
      <c r="C5003" s="538" t="n">
        <v>11.97</v>
      </c>
      <c r="D5003" s="538" t="n">
        <v>10.18</v>
      </c>
      <c r="E5003" s="538" t="n">
        <v>13.1</v>
      </c>
    </row>
    <row r="5004">
      <c r="A5004" s="544" t="n">
        <v>36214</v>
      </c>
      <c r="B5004" s="538" t="n">
        <v>10.58</v>
      </c>
      <c r="C5004" s="538" t="n">
        <v>12.44</v>
      </c>
      <c r="D5004" s="538" t="n">
        <v>10.42</v>
      </c>
      <c r="E5004" s="538" t="n">
        <v>13.33</v>
      </c>
    </row>
    <row r="5005">
      <c r="A5005" s="544" t="n">
        <v>36215</v>
      </c>
      <c r="B5005" s="538" t="n">
        <v>10.64</v>
      </c>
      <c r="C5005" s="538" t="n">
        <v>12.49</v>
      </c>
      <c r="D5005" s="538" t="n">
        <v>10.55</v>
      </c>
      <c r="E5005" s="538" t="n">
        <v>13.8</v>
      </c>
    </row>
    <row r="5006">
      <c r="A5006" s="544" t="n">
        <v>36216</v>
      </c>
      <c r="B5006" s="538" t="n">
        <v>10.84</v>
      </c>
      <c r="C5006" s="538" t="n">
        <v>12.61</v>
      </c>
      <c r="D5006" s="538" t="n">
        <v>10.56</v>
      </c>
      <c r="E5006" s="538" t="n">
        <v>13.85</v>
      </c>
    </row>
    <row r="5007">
      <c r="A5007" s="544" t="n">
        <v>36217</v>
      </c>
      <c r="B5007" s="538" t="n">
        <v>10.58</v>
      </c>
      <c r="C5007" s="538" t="n">
        <v>12.31</v>
      </c>
      <c r="D5007" s="538" t="n">
        <v>10.33</v>
      </c>
      <c r="E5007" s="538" t="n">
        <v>13.5</v>
      </c>
    </row>
    <row r="5008">
      <c r="A5008" s="544" t="n">
        <v>36220</v>
      </c>
      <c r="B5008" s="538" t="n">
        <v>10.52</v>
      </c>
      <c r="C5008" s="538" t="n">
        <v>12.28</v>
      </c>
      <c r="D5008" s="538" t="n">
        <v>10.09</v>
      </c>
      <c r="E5008" s="538" t="n">
        <v>13.3</v>
      </c>
    </row>
    <row r="5009">
      <c r="A5009" s="544" t="n">
        <v>36221</v>
      </c>
      <c r="B5009" s="538" t="n">
        <v>10.41</v>
      </c>
      <c r="C5009" s="538" t="n">
        <v>12.66</v>
      </c>
      <c r="D5009" s="538" t="n">
        <v>10.61</v>
      </c>
      <c r="E5009" s="538" t="n">
        <v>13.25</v>
      </c>
    </row>
    <row r="5010">
      <c r="A5010" s="544" t="n">
        <v>36222</v>
      </c>
      <c r="B5010" s="538" t="n">
        <v>10.81</v>
      </c>
      <c r="C5010" s="538" t="n">
        <v>12.92</v>
      </c>
      <c r="D5010" s="538" t="n">
        <v>10.69</v>
      </c>
      <c r="E5010" s="538" t="n">
        <v>13.85</v>
      </c>
    </row>
    <row r="5011">
      <c r="A5011" s="544" t="n">
        <v>36223</v>
      </c>
      <c r="B5011" s="538" t="n">
        <v>11.2</v>
      </c>
      <c r="C5011" s="538" t="n">
        <v>13.32</v>
      </c>
      <c r="D5011" s="538" t="n">
        <v>10.95</v>
      </c>
      <c r="E5011" s="538" t="n">
        <v>13.85</v>
      </c>
    </row>
    <row r="5012">
      <c r="A5012" s="544" t="n">
        <v>36224</v>
      </c>
      <c r="B5012" s="538" t="n">
        <v>11.02</v>
      </c>
      <c r="C5012" s="538" t="n">
        <v>13.33</v>
      </c>
      <c r="D5012" s="538" t="n">
        <v>10.96</v>
      </c>
      <c r="E5012" s="538" t="n">
        <v>14.5</v>
      </c>
    </row>
    <row r="5013">
      <c r="A5013" s="544" t="n">
        <v>36227</v>
      </c>
      <c r="B5013" s="538" t="n">
        <v>11.49</v>
      </c>
      <c r="C5013" s="538" t="n">
        <v>13.63</v>
      </c>
      <c r="D5013" s="538" t="n">
        <v>11.13</v>
      </c>
      <c r="E5013" s="538" t="n">
        <v>14.8</v>
      </c>
    </row>
    <row r="5014">
      <c r="A5014" s="544" t="n">
        <v>36228</v>
      </c>
      <c r="B5014" s="538" t="n">
        <v>11.25</v>
      </c>
      <c r="C5014" s="538" t="n">
        <v>13.78</v>
      </c>
      <c r="D5014" s="538" t="n">
        <v>10.84</v>
      </c>
      <c r="E5014" s="538" t="n">
        <v>14.8</v>
      </c>
    </row>
    <row r="5015">
      <c r="A5015" s="544" t="n">
        <v>36229</v>
      </c>
      <c r="B5015" s="538" t="n">
        <v>11.46</v>
      </c>
      <c r="C5015" s="538" t="n">
        <v>14.74</v>
      </c>
      <c r="D5015" s="538" t="n">
        <v>11.91</v>
      </c>
      <c r="E5015" s="538" t="n">
        <v>14.8</v>
      </c>
    </row>
    <row r="5016">
      <c r="A5016" s="544" t="n">
        <v>36230</v>
      </c>
      <c r="B5016" s="538" t="n">
        <v>11.86</v>
      </c>
      <c r="C5016" s="538" t="n">
        <v>14.3</v>
      </c>
      <c r="D5016" s="538" t="n">
        <v>11.47</v>
      </c>
      <c r="E5016" s="538" t="n">
        <v>15.25</v>
      </c>
    </row>
    <row r="5017">
      <c r="A5017" s="544" t="n">
        <v>36231</v>
      </c>
      <c r="B5017" s="538" t="n">
        <v>12.3</v>
      </c>
      <c r="C5017" s="538" t="n">
        <v>14.51</v>
      </c>
      <c r="D5017" s="538" t="n">
        <v>11.89</v>
      </c>
      <c r="E5017" s="538" t="n">
        <v>15.85</v>
      </c>
    </row>
    <row r="5018">
      <c r="A5018" s="544" t="n">
        <v>36234</v>
      </c>
      <c r="B5018" s="538" t="n">
        <v>12.17</v>
      </c>
      <c r="C5018" s="538" t="n">
        <v>14.48</v>
      </c>
      <c r="D5018" s="538" t="n">
        <v>12.05</v>
      </c>
      <c r="E5018" s="538" t="n">
        <v>15.65</v>
      </c>
    </row>
    <row r="5019">
      <c r="A5019" s="544" t="n">
        <v>36235</v>
      </c>
      <c r="B5019" s="538" t="n">
        <v>12.11</v>
      </c>
      <c r="C5019" s="538" t="n">
        <v>14.6</v>
      </c>
      <c r="D5019" s="538" t="n">
        <v>12.62</v>
      </c>
      <c r="E5019" s="538" t="n">
        <v>15.65</v>
      </c>
    </row>
    <row r="5020">
      <c r="A5020" s="544" t="n">
        <v>36236</v>
      </c>
      <c r="B5020" s="538" t="n">
        <v>12.95</v>
      </c>
      <c r="C5020" s="538" t="n">
        <v>15.11</v>
      </c>
      <c r="D5020" s="538" t="n">
        <v>13.02</v>
      </c>
      <c r="E5020" s="538" t="n">
        <v>15.55</v>
      </c>
    </row>
    <row r="5021">
      <c r="A5021" s="544" t="n">
        <v>36237</v>
      </c>
      <c r="B5021" s="538" t="n">
        <v>13.35</v>
      </c>
      <c r="C5021" s="538" t="n">
        <v>15.11</v>
      </c>
      <c r="D5021" s="538" t="n">
        <v>13.2</v>
      </c>
      <c r="E5021" s="538" t="n">
        <v>16.17</v>
      </c>
    </row>
    <row r="5022">
      <c r="A5022" s="544" t="n">
        <v>36238</v>
      </c>
      <c r="B5022" s="538" t="n">
        <v>13.15</v>
      </c>
      <c r="C5022" s="538" t="n">
        <v>15.26</v>
      </c>
      <c r="D5022" s="538" t="n">
        <v>13.15</v>
      </c>
      <c r="E5022" s="538" t="n">
        <v>16.5</v>
      </c>
    </row>
    <row r="5023">
      <c r="A5023" s="544" t="n">
        <v>36241</v>
      </c>
      <c r="B5023" s="538" t="n">
        <v>13.37</v>
      </c>
      <c r="C5023" s="538" t="n">
        <v>15.39</v>
      </c>
      <c r="D5023" s="538" t="n">
        <v>13.5</v>
      </c>
      <c r="E5023" s="538" t="n">
        <v>16.5</v>
      </c>
    </row>
    <row r="5024">
      <c r="A5024" s="544" t="n">
        <v>36242</v>
      </c>
      <c r="B5024" s="538" t="n">
        <v>13.64</v>
      </c>
      <c r="C5024" s="538" t="n">
        <v>15.36</v>
      </c>
      <c r="D5024" s="538" t="n">
        <v>13.42</v>
      </c>
      <c r="E5024" s="538" t="n">
        <v>16.65</v>
      </c>
    </row>
    <row r="5025">
      <c r="A5025" s="544" t="n">
        <v>36243</v>
      </c>
      <c r="B5025" s="538" t="n">
        <v>13.37</v>
      </c>
      <c r="C5025" s="538" t="n">
        <v>15.18</v>
      </c>
      <c r="D5025" s="538" t="n">
        <v>13.34</v>
      </c>
      <c r="E5025" s="538" t="n">
        <v>16.9</v>
      </c>
    </row>
    <row r="5026">
      <c r="A5026" s="544" t="n">
        <v>36244</v>
      </c>
      <c r="B5026" s="538" t="n">
        <v>13.5</v>
      </c>
      <c r="C5026" s="538" t="n">
        <v>15.66</v>
      </c>
      <c r="D5026" s="538" t="n">
        <v>13.55</v>
      </c>
      <c r="E5026" s="538" t="n">
        <v>17.1</v>
      </c>
    </row>
    <row r="5027">
      <c r="A5027" s="544" t="n">
        <v>36245</v>
      </c>
      <c r="B5027" s="538" t="n">
        <v>13.97</v>
      </c>
      <c r="C5027" s="538" t="n">
        <v>16.16</v>
      </c>
      <c r="D5027" s="538" t="n">
        <v>13.93</v>
      </c>
      <c r="E5027" s="538" t="n">
        <v>17.65</v>
      </c>
    </row>
    <row r="5028">
      <c r="A5028" s="544" t="n">
        <v>36248</v>
      </c>
      <c r="B5028" s="538" t="n">
        <v>14.34</v>
      </c>
      <c r="C5028" s="538" t="n">
        <v>16.46</v>
      </c>
      <c r="D5028" s="538" t="n">
        <v>13.93</v>
      </c>
      <c r="E5028" s="538" t="n">
        <v>17.65</v>
      </c>
    </row>
    <row r="5029">
      <c r="A5029" s="544" t="n">
        <v>36249</v>
      </c>
      <c r="B5029" s="538" t="n">
        <v>14.5</v>
      </c>
      <c r="C5029" s="538" t="n">
        <v>16.66</v>
      </c>
      <c r="D5029" s="538" t="n">
        <v>14.03</v>
      </c>
      <c r="E5029" s="538" t="n">
        <v>18.9</v>
      </c>
    </row>
    <row r="5030">
      <c r="A5030" s="544" t="n">
        <v>36250</v>
      </c>
      <c r="B5030" s="538" t="n">
        <v>15.02</v>
      </c>
      <c r="C5030" s="538" t="n">
        <v>16.66</v>
      </c>
      <c r="D5030" s="538" t="n">
        <v>14.43</v>
      </c>
      <c r="E5030" s="538" t="n">
        <v>19.3</v>
      </c>
    </row>
    <row r="5031">
      <c r="A5031" s="544" t="n">
        <v>36251</v>
      </c>
      <c r="B5031" s="538" t="n">
        <v>14.6</v>
      </c>
      <c r="C5031" s="538" t="n">
        <v>16.65</v>
      </c>
      <c r="D5031" s="538" t="n">
        <v>14.06</v>
      </c>
      <c r="E5031" s="538" t="n">
        <v>18.6</v>
      </c>
    </row>
    <row r="5032">
      <c r="A5032" s="544" t="n">
        <v>36252</v>
      </c>
      <c r="B5032" s="538" t="n">
        <v>14.6</v>
      </c>
      <c r="C5032" s="538" t="n">
        <v>16.65</v>
      </c>
      <c r="D5032" s="538" t="n">
        <v>14.06</v>
      </c>
      <c r="E5032" s="538" t="n">
        <v>18.6</v>
      </c>
    </row>
    <row r="5033">
      <c r="A5033" s="544" t="n">
        <v>36255</v>
      </c>
      <c r="B5033" s="538" t="n">
        <v>14.6</v>
      </c>
      <c r="C5033" s="538" t="n">
        <v>16.94</v>
      </c>
      <c r="D5033" s="538" t="n">
        <v>14.08</v>
      </c>
      <c r="E5033" s="538" t="n">
        <v>18.8</v>
      </c>
    </row>
    <row r="5034">
      <c r="A5034" s="544" t="n">
        <v>36256</v>
      </c>
      <c r="B5034" s="538" t="n">
        <v>14.53</v>
      </c>
      <c r="C5034" s="538" t="n">
        <v>16.79</v>
      </c>
      <c r="D5034" s="538" t="n">
        <v>14.29</v>
      </c>
      <c r="E5034" s="538" t="n">
        <v>19.5</v>
      </c>
    </row>
    <row r="5035">
      <c r="A5035" s="544" t="n">
        <v>36257</v>
      </c>
      <c r="B5035" s="538" t="n">
        <v>14.14</v>
      </c>
      <c r="C5035" s="538" t="n">
        <v>16.02</v>
      </c>
      <c r="D5035" s="538" t="n">
        <v>13.73</v>
      </c>
      <c r="E5035" s="538" t="n">
        <v>20.2</v>
      </c>
    </row>
    <row r="5036">
      <c r="A5036" s="544" t="n">
        <v>36258</v>
      </c>
      <c r="B5036" s="538" t="n">
        <v>13.72</v>
      </c>
      <c r="C5036" s="538" t="n">
        <v>15.92</v>
      </c>
      <c r="D5036" s="538" t="n">
        <v>13.72</v>
      </c>
      <c r="E5036" s="538" t="n">
        <v>19.7</v>
      </c>
    </row>
    <row r="5037">
      <c r="A5037" s="544" t="n">
        <v>36259</v>
      </c>
      <c r="B5037" s="538" t="n">
        <v>14.11</v>
      </c>
      <c r="C5037" s="538" t="n">
        <v>16.59</v>
      </c>
      <c r="D5037" s="538" t="n">
        <v>14.32</v>
      </c>
      <c r="E5037" s="538" t="n">
        <v>19.45</v>
      </c>
    </row>
    <row r="5038">
      <c r="A5038" s="544" t="n">
        <v>36262</v>
      </c>
      <c r="B5038" s="538" t="n">
        <v>14.23</v>
      </c>
      <c r="C5038" s="538" t="n">
        <v>16.44</v>
      </c>
      <c r="D5038" s="538" t="n">
        <v>14.19</v>
      </c>
      <c r="E5038" s="538" t="n">
        <v>20</v>
      </c>
    </row>
    <row r="5039">
      <c r="A5039" s="544" t="n">
        <v>36263</v>
      </c>
      <c r="B5039" s="538" t="n">
        <v>14.68</v>
      </c>
      <c r="C5039" s="538" t="n">
        <v>16.73</v>
      </c>
      <c r="D5039" s="538" t="n">
        <v>14.64</v>
      </c>
      <c r="E5039" s="538" t="n">
        <v>19.8</v>
      </c>
    </row>
    <row r="5040">
      <c r="A5040" s="544" t="n">
        <v>36264</v>
      </c>
      <c r="B5040" s="538" t="n">
        <v>14.45</v>
      </c>
      <c r="C5040" s="538" t="n">
        <v>16.51</v>
      </c>
      <c r="D5040" s="538" t="n">
        <v>14.39</v>
      </c>
      <c r="E5040" s="538" t="n">
        <v>19.55</v>
      </c>
    </row>
    <row r="5041">
      <c r="A5041" s="544" t="n">
        <v>36265</v>
      </c>
      <c r="B5041" s="538" t="n">
        <v>14.82</v>
      </c>
      <c r="C5041" s="538" t="n">
        <v>16.85</v>
      </c>
      <c r="D5041" s="538" t="n">
        <v>14.54</v>
      </c>
      <c r="E5041" s="538" t="n">
        <v>19.55</v>
      </c>
    </row>
    <row r="5042">
      <c r="A5042" s="544" t="n">
        <v>36266</v>
      </c>
      <c r="B5042" s="538" t="n">
        <v>15.34</v>
      </c>
      <c r="C5042" s="538" t="n">
        <v>17.34</v>
      </c>
      <c r="D5042" s="538" t="n">
        <v>15.22</v>
      </c>
      <c r="E5042" s="538" t="n">
        <v>19.3</v>
      </c>
    </row>
    <row r="5043">
      <c r="A5043" s="544" t="n">
        <v>36269</v>
      </c>
      <c r="B5043" s="538" t="n">
        <v>16.01</v>
      </c>
      <c r="C5043" s="538" t="n">
        <v>17.82</v>
      </c>
      <c r="D5043" s="538" t="n">
        <v>15.39</v>
      </c>
      <c r="E5043" s="538" t="n">
        <v>19.7</v>
      </c>
    </row>
    <row r="5044">
      <c r="A5044" s="544" t="n">
        <v>36270</v>
      </c>
      <c r="B5044" s="538" t="n">
        <v>16.04</v>
      </c>
      <c r="C5044" s="538" t="n">
        <v>17.79</v>
      </c>
      <c r="D5044" s="538" t="n">
        <v>15.43</v>
      </c>
      <c r="E5044" s="538" t="n">
        <v>19.55</v>
      </c>
    </row>
    <row r="5045">
      <c r="A5045" s="544" t="n">
        <v>36271</v>
      </c>
      <c r="B5045" s="538" t="n">
        <v>15.96</v>
      </c>
      <c r="C5045" s="538" t="n">
        <v>18.05</v>
      </c>
      <c r="D5045" s="538" t="n">
        <v>15.59</v>
      </c>
      <c r="E5045" s="538" t="n">
        <v>19.45</v>
      </c>
    </row>
    <row r="5046">
      <c r="A5046" s="544" t="n">
        <v>36272</v>
      </c>
      <c r="B5046" s="538" t="n">
        <v>16.29</v>
      </c>
      <c r="C5046" s="538" t="n">
        <v>18.02</v>
      </c>
      <c r="D5046" s="538" t="n">
        <v>15.67</v>
      </c>
      <c r="E5046" s="538" t="n">
        <v>19.48</v>
      </c>
    </row>
    <row r="5047">
      <c r="A5047" s="544" t="n">
        <v>36273</v>
      </c>
      <c r="B5047" s="538" t="n">
        <v>16.07</v>
      </c>
      <c r="C5047" s="538" t="n">
        <v>17.96</v>
      </c>
      <c r="D5047" s="538" t="n">
        <v>15.34</v>
      </c>
      <c r="E5047" s="538" t="n">
        <v>19.38</v>
      </c>
    </row>
    <row r="5048">
      <c r="A5048" s="544" t="n">
        <v>36276</v>
      </c>
      <c r="B5048" s="538" t="n">
        <v>15.63</v>
      </c>
      <c r="C5048" s="538" t="n">
        <v>17.67</v>
      </c>
      <c r="D5048" s="538" t="n">
        <v>15.46</v>
      </c>
      <c r="E5048" s="538" t="n">
        <v>18.7</v>
      </c>
    </row>
    <row r="5049">
      <c r="A5049" s="544" t="n">
        <v>36277</v>
      </c>
      <c r="B5049" s="538" t="n">
        <v>15.91</v>
      </c>
      <c r="C5049" s="538" t="n">
        <v>17.82</v>
      </c>
      <c r="D5049" s="538" t="n">
        <v>15.46</v>
      </c>
      <c r="E5049" s="538" t="n">
        <v>18.45</v>
      </c>
    </row>
    <row r="5050">
      <c r="A5050" s="544" t="n">
        <v>36278</v>
      </c>
      <c r="B5050" s="538" t="n">
        <v>16.38</v>
      </c>
      <c r="C5050" s="538" t="n">
        <v>18.43</v>
      </c>
      <c r="D5050" s="538" t="n">
        <v>15.99</v>
      </c>
      <c r="E5050" s="538" t="n">
        <v>18.45</v>
      </c>
    </row>
    <row r="5051">
      <c r="A5051" s="544" t="n">
        <v>36279</v>
      </c>
      <c r="B5051" s="538" t="n">
        <v>16.53</v>
      </c>
      <c r="C5051" s="538" t="n">
        <v>18.53</v>
      </c>
      <c r="D5051" s="538" t="n">
        <v>16.05</v>
      </c>
      <c r="E5051" s="538" t="n">
        <v>18.65</v>
      </c>
    </row>
    <row r="5052">
      <c r="A5052" s="544" t="n">
        <v>36280</v>
      </c>
      <c r="B5052" s="538" t="n">
        <v>16.45</v>
      </c>
      <c r="C5052" s="538" t="n">
        <v>18.69</v>
      </c>
      <c r="D5052" s="538" t="n">
        <v>16.33</v>
      </c>
      <c r="E5052" s="538" t="n">
        <v>18.9</v>
      </c>
    </row>
    <row r="5053">
      <c r="A5053" s="544" t="n">
        <v>36283</v>
      </c>
      <c r="B5053" s="538" t="n">
        <v>16.45</v>
      </c>
      <c r="C5053" s="538" t="n">
        <v>18.83</v>
      </c>
      <c r="D5053" s="538" t="n">
        <v>16.19</v>
      </c>
      <c r="E5053" s="538" t="n">
        <v>18.9</v>
      </c>
    </row>
    <row r="5054">
      <c r="A5054" s="544" t="n">
        <v>36284</v>
      </c>
      <c r="B5054" s="538" t="n">
        <v>16.98</v>
      </c>
      <c r="C5054" s="538" t="n">
        <v>18.94</v>
      </c>
      <c r="D5054" s="538" t="n">
        <v>16.46</v>
      </c>
      <c r="E5054" s="538" t="n">
        <v>19.5</v>
      </c>
    </row>
    <row r="5055">
      <c r="A5055" s="544" t="n">
        <v>36285</v>
      </c>
      <c r="B5055" s="538" t="n">
        <v>16.85</v>
      </c>
      <c r="C5055" s="538" t="n">
        <v>18.89</v>
      </c>
      <c r="D5055" s="538" t="n">
        <v>16.53</v>
      </c>
      <c r="E5055" s="538" t="n">
        <v>19.2</v>
      </c>
    </row>
    <row r="5056">
      <c r="A5056" s="544" t="n">
        <v>36286</v>
      </c>
      <c r="B5056" s="538" t="n">
        <v>16.44</v>
      </c>
      <c r="C5056" s="538" t="n">
        <v>18.23</v>
      </c>
      <c r="D5056" s="538" t="n">
        <v>16.11</v>
      </c>
      <c r="E5056" s="538" t="n">
        <v>19.2</v>
      </c>
    </row>
    <row r="5057">
      <c r="A5057" s="544" t="n">
        <v>36287</v>
      </c>
      <c r="B5057" s="538" t="n">
        <v>15.66</v>
      </c>
      <c r="C5057" s="538" t="n">
        <v>18.23</v>
      </c>
      <c r="D5057" s="538" t="n">
        <v>16.05</v>
      </c>
      <c r="E5057" s="538" t="n">
        <v>18.6</v>
      </c>
    </row>
    <row r="5058">
      <c r="A5058" s="544" t="n">
        <v>36290</v>
      </c>
      <c r="B5058" s="538" t="n">
        <v>15.72</v>
      </c>
      <c r="C5058" s="538" t="n">
        <v>18.57</v>
      </c>
      <c r="D5058" s="538" t="n">
        <v>16.17</v>
      </c>
      <c r="E5058" s="538" t="n">
        <v>18.3</v>
      </c>
    </row>
    <row r="5059">
      <c r="A5059" s="544" t="n">
        <v>36291</v>
      </c>
      <c r="B5059" s="538" t="n">
        <v>15.23</v>
      </c>
      <c r="C5059" s="538" t="n">
        <v>17.84</v>
      </c>
      <c r="D5059" s="538" t="n">
        <v>15.37</v>
      </c>
      <c r="E5059" s="538" t="n">
        <v>18.3</v>
      </c>
    </row>
    <row r="5060">
      <c r="A5060" s="544" t="n">
        <v>36292</v>
      </c>
      <c r="B5060" s="538" t="n">
        <v>14.74</v>
      </c>
      <c r="C5060" s="538" t="n">
        <v>17.44</v>
      </c>
      <c r="D5060" s="538" t="n">
        <v>15.01</v>
      </c>
      <c r="E5060" s="538" t="n">
        <v>17.45</v>
      </c>
    </row>
    <row r="5061">
      <c r="A5061" s="544" t="n">
        <v>36293</v>
      </c>
      <c r="B5061" s="538" t="n">
        <v>15.21</v>
      </c>
      <c r="C5061" s="538" t="n">
        <v>18.11</v>
      </c>
      <c r="D5061" s="538" t="n">
        <v>15.66</v>
      </c>
      <c r="E5061" s="538" t="n">
        <v>17.55</v>
      </c>
    </row>
    <row r="5062">
      <c r="A5062" s="544" t="n">
        <v>36294</v>
      </c>
      <c r="B5062" s="538" t="n">
        <v>15.18</v>
      </c>
      <c r="C5062" s="538" t="n">
        <v>18.04</v>
      </c>
      <c r="D5062" s="538" t="n">
        <v>15.35</v>
      </c>
      <c r="E5062" s="538" t="n">
        <v>18.2</v>
      </c>
    </row>
    <row r="5063">
      <c r="A5063" s="544" t="n">
        <v>36297</v>
      </c>
      <c r="B5063" s="538" t="n">
        <v>14.98</v>
      </c>
      <c r="C5063" s="538" t="n">
        <v>17.76</v>
      </c>
      <c r="D5063" s="538" t="n">
        <v>15.1</v>
      </c>
      <c r="E5063" s="538" t="n">
        <v>17.85</v>
      </c>
    </row>
    <row r="5064">
      <c r="A5064" s="544" t="n">
        <v>36298</v>
      </c>
      <c r="B5064" s="538" t="n">
        <v>14.43</v>
      </c>
      <c r="C5064" s="538" t="n">
        <v>17.09</v>
      </c>
      <c r="D5064" s="538" t="n">
        <v>14.48</v>
      </c>
      <c r="E5064" s="538" t="n">
        <v>17.7</v>
      </c>
    </row>
    <row r="5065">
      <c r="A5065" s="544" t="n">
        <v>36299</v>
      </c>
      <c r="B5065" s="538" t="n">
        <v>14.42</v>
      </c>
      <c r="C5065" s="538" t="n">
        <v>16.77</v>
      </c>
      <c r="D5065" s="538" t="n">
        <v>14.26</v>
      </c>
      <c r="E5065" s="538" t="n">
        <v>16.9</v>
      </c>
    </row>
    <row r="5066">
      <c r="A5066" s="544" t="n">
        <v>36300</v>
      </c>
      <c r="B5066" s="538" t="n">
        <v>14.44</v>
      </c>
      <c r="C5066" s="538" t="n">
        <v>17.04</v>
      </c>
      <c r="D5066" s="538" t="n">
        <v>14.81</v>
      </c>
      <c r="E5066" s="538" t="n">
        <v>16.9</v>
      </c>
    </row>
    <row r="5067">
      <c r="A5067" s="544" t="n">
        <v>36301</v>
      </c>
      <c r="B5067" s="538" t="n">
        <v>14.49</v>
      </c>
      <c r="C5067" s="538" t="n">
        <v>17.22</v>
      </c>
      <c r="D5067" s="538" t="n">
        <v>15.02</v>
      </c>
      <c r="E5067" s="538" t="n">
        <v>17.3</v>
      </c>
    </row>
    <row r="5068">
      <c r="A5068" s="544" t="n">
        <v>36304</v>
      </c>
      <c r="B5068" s="538" t="n">
        <v>14.83</v>
      </c>
      <c r="C5068" s="538" t="n">
        <v>16.77</v>
      </c>
      <c r="D5068" s="538" t="n">
        <v>14.6</v>
      </c>
      <c r="E5068" s="538" t="n">
        <v>17.4</v>
      </c>
    </row>
    <row r="5069">
      <c r="A5069" s="544" t="n">
        <v>36305</v>
      </c>
      <c r="B5069" s="538" t="n">
        <v>14.71</v>
      </c>
      <c r="C5069" s="538" t="n">
        <v>17.25</v>
      </c>
      <c r="D5069" s="538" t="n">
        <v>15.15</v>
      </c>
      <c r="E5069" s="538" t="n">
        <v>16.9</v>
      </c>
    </row>
    <row r="5070">
      <c r="A5070" s="544" t="n">
        <v>36306</v>
      </c>
      <c r="B5070" s="538" t="n">
        <v>15.18</v>
      </c>
      <c r="C5070" s="538" t="n">
        <v>17.32</v>
      </c>
      <c r="D5070" s="538" t="n">
        <v>15</v>
      </c>
      <c r="E5070" s="538" t="n">
        <v>17.55</v>
      </c>
    </row>
    <row r="5071">
      <c r="A5071" s="544" t="n">
        <v>36307</v>
      </c>
      <c r="B5071" s="538" t="n">
        <v>15.04</v>
      </c>
      <c r="C5071" s="538" t="n">
        <v>17.18</v>
      </c>
      <c r="D5071" s="538" t="n">
        <v>14.92</v>
      </c>
      <c r="E5071" s="538" t="n">
        <v>17.55</v>
      </c>
    </row>
    <row r="5072">
      <c r="A5072" s="544" t="n">
        <v>36308</v>
      </c>
      <c r="B5072" s="538" t="n">
        <v>14.75</v>
      </c>
      <c r="C5072" s="538" t="n">
        <v>16.85</v>
      </c>
      <c r="D5072" s="538" t="n">
        <v>14.85</v>
      </c>
      <c r="E5072" s="538" t="n">
        <v>17.55</v>
      </c>
    </row>
    <row r="5073">
      <c r="A5073" s="544" t="n">
        <v>36311</v>
      </c>
      <c r="B5073" s="538" t="n">
        <v>14.75</v>
      </c>
      <c r="C5073" s="538" t="n">
        <v>16.85</v>
      </c>
      <c r="D5073" s="538" t="n">
        <v>14.85</v>
      </c>
      <c r="E5073" s="538" t="n">
        <v>17.55</v>
      </c>
    </row>
    <row r="5074">
      <c r="A5074" s="544" t="n">
        <v>36312</v>
      </c>
      <c r="B5074" s="538" t="n">
        <v>14.22</v>
      </c>
      <c r="C5074" s="538" t="n">
        <v>16.31</v>
      </c>
      <c r="D5074" s="538" t="n">
        <v>14.14</v>
      </c>
      <c r="E5074" s="538" t="n">
        <v>17.55</v>
      </c>
    </row>
    <row r="5075">
      <c r="A5075" s="544" t="n">
        <v>36313</v>
      </c>
      <c r="B5075" s="538" t="n">
        <v>14.28</v>
      </c>
      <c r="C5075" s="538" t="n">
        <v>16.61</v>
      </c>
      <c r="D5075" s="538" t="n">
        <v>14.32</v>
      </c>
      <c r="E5075" s="538" t="n">
        <v>17.35</v>
      </c>
    </row>
    <row r="5076">
      <c r="A5076" s="544" t="n">
        <v>36314</v>
      </c>
      <c r="B5076" s="538" t="n">
        <v>14.26</v>
      </c>
      <c r="C5076" s="538" t="n">
        <v>16.81</v>
      </c>
      <c r="D5076" s="538" t="n">
        <v>14.53</v>
      </c>
      <c r="E5076" s="538" t="n">
        <v>17.35</v>
      </c>
    </row>
    <row r="5077">
      <c r="A5077" s="544" t="n">
        <v>36315</v>
      </c>
      <c r="B5077" s="538" t="n">
        <v>15.21</v>
      </c>
      <c r="C5077" s="538" t="n">
        <v>17.36</v>
      </c>
      <c r="D5077" s="538" t="n">
        <v>15.43</v>
      </c>
      <c r="E5077" s="538" t="n">
        <v>17.35</v>
      </c>
    </row>
    <row r="5078">
      <c r="A5078" s="544" t="n">
        <v>36318</v>
      </c>
      <c r="B5078" s="538" t="n">
        <v>15.98</v>
      </c>
      <c r="C5078" s="538" t="n">
        <v>17.91</v>
      </c>
      <c r="D5078" s="538" t="n">
        <v>15.93</v>
      </c>
      <c r="E5078" s="538" t="n">
        <v>18.5</v>
      </c>
    </row>
    <row r="5079">
      <c r="A5079" s="544" t="n">
        <v>36319</v>
      </c>
      <c r="B5079" s="538" t="n">
        <v>16.25</v>
      </c>
      <c r="C5079" s="538" t="n">
        <v>17.66</v>
      </c>
      <c r="D5079" s="538" t="n">
        <v>15.24</v>
      </c>
      <c r="E5079" s="538" t="n">
        <v>18.75</v>
      </c>
    </row>
    <row r="5080">
      <c r="A5080" s="544" t="n">
        <v>36320</v>
      </c>
      <c r="B5080" s="538" t="n">
        <v>16.19</v>
      </c>
      <c r="C5080" s="538" t="n">
        <v>17.98</v>
      </c>
      <c r="D5080" s="538" t="n">
        <v>15.7</v>
      </c>
      <c r="E5080" s="538" t="n">
        <v>18.5</v>
      </c>
    </row>
    <row r="5081">
      <c r="A5081" s="544" t="n">
        <v>36321</v>
      </c>
      <c r="B5081" s="538" t="n">
        <v>15.99</v>
      </c>
      <c r="C5081" s="538" t="n">
        <v>17.82</v>
      </c>
      <c r="D5081" s="538" t="n">
        <v>15.26</v>
      </c>
      <c r="E5081" s="538" t="n">
        <v>18.8</v>
      </c>
    </row>
    <row r="5082">
      <c r="A5082" s="544" t="n">
        <v>36322</v>
      </c>
      <c r="B5082" s="538" t="n">
        <v>16.25</v>
      </c>
      <c r="C5082" s="538" t="n">
        <v>18.45</v>
      </c>
      <c r="D5082" s="538" t="n">
        <v>15.94</v>
      </c>
      <c r="E5082" s="538" t="n">
        <v>18.8</v>
      </c>
    </row>
    <row r="5083">
      <c r="A5083" s="544" t="n">
        <v>36325</v>
      </c>
      <c r="B5083" s="538" t="n">
        <v>16.05</v>
      </c>
      <c r="C5083" s="538" t="n">
        <v>18.24</v>
      </c>
      <c r="D5083" s="538" t="n">
        <v>15.68</v>
      </c>
      <c r="E5083" s="538" t="n">
        <v>19</v>
      </c>
    </row>
    <row r="5084">
      <c r="A5084" s="544" t="n">
        <v>36326</v>
      </c>
      <c r="B5084" s="538" t="n">
        <v>16.33</v>
      </c>
      <c r="C5084" s="538" t="n">
        <v>18.61</v>
      </c>
      <c r="D5084" s="538" t="n">
        <v>15.88</v>
      </c>
      <c r="E5084" s="538" t="n">
        <v>19.3</v>
      </c>
    </row>
    <row r="5085">
      <c r="A5085" s="544" t="n">
        <v>36327</v>
      </c>
      <c r="B5085" s="538" t="n">
        <v>16.29</v>
      </c>
      <c r="C5085" s="538" t="n">
        <v>17.92</v>
      </c>
      <c r="D5085" s="538" t="n">
        <v>15.81</v>
      </c>
      <c r="E5085" s="538" t="n">
        <v>19.75</v>
      </c>
    </row>
    <row r="5086">
      <c r="A5086" s="544" t="n">
        <v>36328</v>
      </c>
      <c r="B5086" s="538" t="n">
        <v>16</v>
      </c>
      <c r="C5086" s="538" t="n">
        <v>18.25</v>
      </c>
      <c r="D5086" s="538" t="n">
        <v>16.14</v>
      </c>
      <c r="E5086" s="538" t="n">
        <v>19.4</v>
      </c>
    </row>
    <row r="5087">
      <c r="A5087" s="544" t="n">
        <v>36329</v>
      </c>
      <c r="B5087" s="538" t="n">
        <v>15.93</v>
      </c>
      <c r="C5087" s="538" t="n">
        <v>18.01</v>
      </c>
      <c r="D5087" s="538" t="n">
        <v>15.84</v>
      </c>
      <c r="E5087" s="538" t="n">
        <v>19.25</v>
      </c>
    </row>
    <row r="5088">
      <c r="A5088" s="544" t="n">
        <v>36332</v>
      </c>
      <c r="B5088" s="538" t="n">
        <v>15.64</v>
      </c>
      <c r="C5088" s="538" t="n">
        <v>17.79</v>
      </c>
      <c r="D5088" s="538" t="n">
        <v>15.68</v>
      </c>
      <c r="E5088" s="538" t="n">
        <v>19.25</v>
      </c>
    </row>
    <row r="5089">
      <c r="A5089" s="544" t="n">
        <v>36333</v>
      </c>
      <c r="B5089" s="538" t="n">
        <v>15.91</v>
      </c>
      <c r="C5089" s="538" t="n">
        <v>17.62</v>
      </c>
      <c r="D5089" s="538" t="n">
        <v>15.48</v>
      </c>
      <c r="E5089" s="538" t="n">
        <v>18.9</v>
      </c>
    </row>
    <row r="5090">
      <c r="A5090" s="544" t="n">
        <v>36334</v>
      </c>
      <c r="B5090" s="538" t="n">
        <v>16.04</v>
      </c>
      <c r="C5090" s="538" t="n">
        <v>18.42</v>
      </c>
      <c r="D5090" s="538" t="n">
        <v>15.79</v>
      </c>
      <c r="E5090" s="538" t="n">
        <v>19.4</v>
      </c>
    </row>
    <row r="5091">
      <c r="A5091" s="544" t="n">
        <v>36335</v>
      </c>
      <c r="B5091" s="538" t="n">
        <v>16.28</v>
      </c>
      <c r="C5091" s="538" t="n">
        <v>18.26</v>
      </c>
      <c r="D5091" s="538" t="n">
        <v>15.66</v>
      </c>
      <c r="E5091" s="538" t="n">
        <v>19.4</v>
      </c>
    </row>
    <row r="5092">
      <c r="A5092" s="544" t="n">
        <v>36336</v>
      </c>
      <c r="B5092" s="538" t="n">
        <v>16.27</v>
      </c>
      <c r="C5092" s="538" t="n">
        <v>18.17</v>
      </c>
      <c r="D5092" s="538" t="n">
        <v>15.66</v>
      </c>
      <c r="E5092" s="538" t="n">
        <v>19.18</v>
      </c>
    </row>
    <row r="5093">
      <c r="A5093" s="544" t="n">
        <v>36339</v>
      </c>
      <c r="B5093" s="538" t="n">
        <v>16.27</v>
      </c>
      <c r="C5093" s="538" t="n">
        <v>18.22</v>
      </c>
      <c r="D5093" s="538" t="n">
        <v>15.56</v>
      </c>
      <c r="E5093" s="538" t="n">
        <v>18.9</v>
      </c>
    </row>
    <row r="5094">
      <c r="A5094" s="544" t="n">
        <v>36340</v>
      </c>
      <c r="B5094" s="538" t="n">
        <v>16.38</v>
      </c>
      <c r="C5094" s="538" t="n">
        <v>18.56</v>
      </c>
      <c r="D5094" s="538" t="n">
        <v>16.03</v>
      </c>
      <c r="E5094" s="538" t="n">
        <v>19.05</v>
      </c>
    </row>
    <row r="5095">
      <c r="A5095" s="544" t="n">
        <v>36341</v>
      </c>
      <c r="B5095" s="538" t="n">
        <v>16.97</v>
      </c>
      <c r="C5095" s="538" t="n">
        <v>19.33</v>
      </c>
      <c r="D5095" s="538" t="n">
        <v>16.67</v>
      </c>
      <c r="E5095" s="538" t="n">
        <v>19.85</v>
      </c>
    </row>
    <row r="5096">
      <c r="A5096" s="544" t="n">
        <v>36342</v>
      </c>
      <c r="B5096" s="538" t="n">
        <v>17.25</v>
      </c>
      <c r="C5096" s="538" t="n">
        <v>19.39</v>
      </c>
      <c r="D5096" s="538" t="n">
        <v>16.65</v>
      </c>
      <c r="E5096" s="538" t="n">
        <v>21.15</v>
      </c>
    </row>
    <row r="5097">
      <c r="A5097" s="544" t="n">
        <v>36343</v>
      </c>
      <c r="B5097" s="538" t="n">
        <v>17.55</v>
      </c>
      <c r="C5097" s="538" t="n">
        <v>19.7</v>
      </c>
      <c r="D5097" s="538" t="n">
        <v>16.7</v>
      </c>
      <c r="E5097" s="538" t="n">
        <v>20.75</v>
      </c>
    </row>
    <row r="5098">
      <c r="A5098" s="544" t="n">
        <v>36346</v>
      </c>
      <c r="B5098" s="538" t="n">
        <v>17.55</v>
      </c>
      <c r="C5098" s="538" t="n">
        <v>19.7</v>
      </c>
      <c r="D5098" s="538" t="n">
        <v>16.7</v>
      </c>
      <c r="E5098" s="538" t="n">
        <v>21.05</v>
      </c>
    </row>
    <row r="5099">
      <c r="A5099" s="544" t="n">
        <v>36347</v>
      </c>
      <c r="B5099" s="538" t="n">
        <v>18.47</v>
      </c>
      <c r="C5099" s="538" t="n">
        <v>19.78</v>
      </c>
      <c r="D5099" s="538" t="n">
        <v>17.15</v>
      </c>
      <c r="E5099" s="538" t="n">
        <v>20.95</v>
      </c>
    </row>
    <row r="5100">
      <c r="A5100" s="544" t="n">
        <v>36348</v>
      </c>
      <c r="B5100" s="538" t="n">
        <v>18.36</v>
      </c>
      <c r="C5100" s="538" t="n">
        <v>19.98</v>
      </c>
      <c r="D5100" s="538" t="n">
        <v>17.45</v>
      </c>
      <c r="E5100" s="538" t="n">
        <v>21</v>
      </c>
    </row>
    <row r="5101">
      <c r="A5101" s="544" t="n">
        <v>36349</v>
      </c>
      <c r="B5101" s="538" t="n">
        <v>18.74</v>
      </c>
      <c r="C5101" s="538" t="n">
        <v>19.76</v>
      </c>
      <c r="D5101" s="538" t="n">
        <v>17.09</v>
      </c>
      <c r="E5101" s="538" t="n">
        <v>22.7</v>
      </c>
    </row>
    <row r="5102">
      <c r="A5102" s="544" t="n">
        <v>36350</v>
      </c>
      <c r="B5102" s="538" t="n">
        <v>18.9</v>
      </c>
      <c r="C5102" s="538" t="n">
        <v>19.94</v>
      </c>
      <c r="D5102" s="538" t="n">
        <v>17.36</v>
      </c>
      <c r="E5102" s="538" t="n">
        <v>21.55</v>
      </c>
    </row>
    <row r="5103">
      <c r="A5103" s="544" t="n">
        <v>36353</v>
      </c>
      <c r="B5103" s="538" t="n">
        <v>18.94</v>
      </c>
      <c r="C5103" s="538" t="n">
        <v>19.92</v>
      </c>
      <c r="D5103" s="538" t="n">
        <v>17.39</v>
      </c>
      <c r="E5103" s="538" t="n">
        <v>22.25</v>
      </c>
    </row>
    <row r="5104">
      <c r="A5104" s="544" t="n">
        <v>36354</v>
      </c>
      <c r="B5104" s="538" t="n">
        <v>19.49</v>
      </c>
      <c r="C5104" s="538" t="n">
        <v>20.33</v>
      </c>
      <c r="D5104" s="538" t="n">
        <v>18.11</v>
      </c>
      <c r="E5104" s="538" t="n">
        <v>22.25</v>
      </c>
    </row>
    <row r="5105">
      <c r="A5105" s="544" t="n">
        <v>36355</v>
      </c>
      <c r="B5105" s="538" t="n">
        <v>19.48</v>
      </c>
      <c r="C5105" s="538" t="n">
        <v>19.89</v>
      </c>
      <c r="D5105" s="538" t="n">
        <v>17.71</v>
      </c>
      <c r="E5105" s="538" t="n">
        <v>23.1</v>
      </c>
    </row>
    <row r="5106">
      <c r="A5106" s="544" t="n">
        <v>36356</v>
      </c>
      <c r="B5106" s="538" t="n">
        <v>18.9</v>
      </c>
      <c r="C5106" s="538" t="n">
        <v>20.26</v>
      </c>
      <c r="D5106" s="538" t="n">
        <v>18.54</v>
      </c>
      <c r="E5106" s="538" t="n">
        <v>22.1</v>
      </c>
    </row>
    <row r="5107">
      <c r="A5107" s="544" t="n">
        <v>36357</v>
      </c>
      <c r="B5107" s="538" t="n">
        <v>19.42</v>
      </c>
      <c r="C5107" s="538" t="n">
        <v>20.66</v>
      </c>
      <c r="D5107" s="538" t="n">
        <v>18.71</v>
      </c>
      <c r="E5107" s="538" t="n">
        <v>22.8</v>
      </c>
    </row>
    <row r="5108">
      <c r="A5108" s="544" t="n">
        <v>36360</v>
      </c>
      <c r="B5108" s="538" t="n">
        <v>19.75</v>
      </c>
      <c r="C5108" s="538" t="n">
        <v>20.28</v>
      </c>
      <c r="D5108" s="538" t="n">
        <v>18.42</v>
      </c>
      <c r="E5108" s="538" t="n">
        <v>22.8</v>
      </c>
    </row>
    <row r="5109">
      <c r="A5109" s="544" t="n">
        <v>36361</v>
      </c>
      <c r="B5109" s="538" t="n">
        <v>19.33</v>
      </c>
      <c r="C5109" s="538" t="n">
        <v>19.38</v>
      </c>
      <c r="D5109" s="538" t="n">
        <v>17.6</v>
      </c>
      <c r="E5109" s="538" t="n">
        <v>22.4</v>
      </c>
    </row>
    <row r="5110">
      <c r="A5110" s="544" t="n">
        <v>36362</v>
      </c>
      <c r="B5110" s="538" t="n">
        <v>18.62</v>
      </c>
      <c r="C5110" s="538" t="n">
        <v>19.54</v>
      </c>
      <c r="D5110" s="538" t="n">
        <v>17.99</v>
      </c>
      <c r="E5110" s="538" t="n">
        <v>21.95</v>
      </c>
    </row>
    <row r="5111">
      <c r="A5111" s="544" t="n">
        <v>36363</v>
      </c>
      <c r="B5111" s="538" t="n">
        <v>19.01</v>
      </c>
      <c r="C5111" s="538" t="n">
        <v>19.84</v>
      </c>
      <c r="D5111" s="538" t="n">
        <v>18.22</v>
      </c>
      <c r="E5111" s="538" t="n">
        <v>22.25</v>
      </c>
    </row>
    <row r="5112">
      <c r="A5112" s="544" t="n">
        <v>36364</v>
      </c>
      <c r="B5112" s="538" t="n">
        <v>19.69</v>
      </c>
      <c r="C5112" s="538" t="n">
        <v>20.41</v>
      </c>
      <c r="D5112" s="538" t="n">
        <v>18.73</v>
      </c>
      <c r="E5112" s="538" t="n">
        <v>22.35</v>
      </c>
    </row>
    <row r="5113">
      <c r="A5113" s="544" t="n">
        <v>36367</v>
      </c>
      <c r="B5113" s="538" t="n">
        <v>19.73</v>
      </c>
      <c r="C5113" s="538" t="n">
        <v>20.49</v>
      </c>
      <c r="D5113" s="538" t="n">
        <v>18.4</v>
      </c>
      <c r="E5113" s="538" t="n">
        <v>22.75</v>
      </c>
    </row>
    <row r="5114">
      <c r="A5114" s="544" t="n">
        <v>36368</v>
      </c>
      <c r="B5114" s="538" t="n">
        <v>19.46</v>
      </c>
      <c r="C5114" s="538" t="n">
        <v>20.4</v>
      </c>
      <c r="D5114" s="538" t="n">
        <v>18.15</v>
      </c>
      <c r="E5114" s="538" t="n">
        <v>22.4</v>
      </c>
    </row>
    <row r="5115">
      <c r="A5115" s="544" t="n">
        <v>36369</v>
      </c>
      <c r="B5115" s="538" t="n">
        <v>19.65</v>
      </c>
      <c r="C5115" s="538" t="n">
        <v>20.61</v>
      </c>
      <c r="D5115" s="538" t="n">
        <v>18.55</v>
      </c>
      <c r="E5115" s="538" t="n">
        <v>22.15</v>
      </c>
    </row>
    <row r="5116">
      <c r="A5116" s="544" t="n">
        <v>36370</v>
      </c>
      <c r="B5116" s="538" t="n">
        <v>19.97</v>
      </c>
      <c r="C5116" s="538" t="n">
        <v>21.09</v>
      </c>
      <c r="D5116" s="538" t="n">
        <v>18.98</v>
      </c>
      <c r="E5116" s="538" t="n">
        <v>22.45</v>
      </c>
    </row>
    <row r="5117">
      <c r="A5117" s="544" t="n">
        <v>36371</v>
      </c>
      <c r="B5117" s="538" t="n">
        <v>19.97</v>
      </c>
      <c r="C5117" s="538" t="n">
        <v>20.52</v>
      </c>
      <c r="D5117" s="538" t="n">
        <v>18.4</v>
      </c>
      <c r="E5117" s="538" t="n">
        <v>22.9</v>
      </c>
    </row>
    <row r="5118">
      <c r="A5118" s="544" t="n">
        <v>36374</v>
      </c>
      <c r="B5118" s="538" t="n">
        <v>19.21</v>
      </c>
      <c r="C5118" s="538" t="n">
        <v>20.46</v>
      </c>
      <c r="D5118" s="538" t="n">
        <v>18.52</v>
      </c>
      <c r="E5118" s="538" t="n">
        <v>23.05</v>
      </c>
    </row>
    <row r="5119">
      <c r="A5119" s="544" t="n">
        <v>36375</v>
      </c>
      <c r="B5119" s="538" t="n">
        <v>19.32</v>
      </c>
      <c r="C5119" s="538" t="n">
        <v>20.21</v>
      </c>
      <c r="D5119" s="538" t="n">
        <v>18.23</v>
      </c>
      <c r="E5119" s="538" t="n">
        <v>23.4</v>
      </c>
    </row>
    <row r="5120">
      <c r="A5120" s="544" t="n">
        <v>36376</v>
      </c>
      <c r="B5120" s="538" t="n">
        <v>19.38</v>
      </c>
      <c r="C5120" s="538" t="n">
        <v>20.49</v>
      </c>
      <c r="D5120" s="538" t="n">
        <v>18.48</v>
      </c>
      <c r="E5120" s="538" t="n">
        <v>23.4</v>
      </c>
    </row>
    <row r="5121">
      <c r="A5121" s="544" t="n">
        <v>36377</v>
      </c>
      <c r="B5121" s="538" t="n">
        <v>19.64</v>
      </c>
      <c r="C5121" s="538" t="n">
        <v>20.67</v>
      </c>
      <c r="D5121" s="538" t="n">
        <v>18.71</v>
      </c>
      <c r="E5121" s="538" t="n">
        <v>23.8</v>
      </c>
    </row>
    <row r="5122">
      <c r="A5122" s="544" t="n">
        <v>36378</v>
      </c>
      <c r="B5122" s="538" t="n">
        <v>19.66</v>
      </c>
      <c r="C5122" s="538" t="n">
        <v>20.89</v>
      </c>
      <c r="D5122" s="538" t="n">
        <v>19.12</v>
      </c>
      <c r="E5122" s="538" t="n">
        <v>24.25</v>
      </c>
    </row>
    <row r="5123">
      <c r="A5123" s="544" t="n">
        <v>36381</v>
      </c>
      <c r="B5123" s="538" t="n">
        <v>19.34</v>
      </c>
      <c r="C5123" s="538" t="n">
        <v>21.26</v>
      </c>
      <c r="D5123" s="538" t="n">
        <v>19.51</v>
      </c>
      <c r="E5123" s="538" t="n">
        <v>24.25</v>
      </c>
    </row>
    <row r="5124">
      <c r="A5124" s="544" t="n">
        <v>36382</v>
      </c>
      <c r="B5124" s="538" t="n">
        <v>20.18</v>
      </c>
      <c r="C5124" s="538" t="n">
        <v>21.31</v>
      </c>
      <c r="D5124" s="538" t="n">
        <v>19.48</v>
      </c>
      <c r="E5124" s="538" t="n">
        <v>25.2</v>
      </c>
    </row>
    <row r="5125">
      <c r="A5125" s="544" t="n">
        <v>36383</v>
      </c>
      <c r="B5125" s="538" t="n">
        <v>20.58</v>
      </c>
      <c r="C5125" s="538" t="n">
        <v>21.54</v>
      </c>
      <c r="D5125" s="538" t="n">
        <v>19.59</v>
      </c>
      <c r="E5125" s="538" t="n">
        <v>25.35</v>
      </c>
    </row>
    <row r="5126">
      <c r="A5126" s="544" t="n">
        <v>36384</v>
      </c>
      <c r="B5126" s="538" t="n">
        <v>20.32</v>
      </c>
      <c r="C5126" s="538" t="n">
        <v>21.42</v>
      </c>
      <c r="D5126" s="538" t="n">
        <v>19.48</v>
      </c>
      <c r="E5126" s="538" t="n">
        <v>25.35</v>
      </c>
    </row>
    <row r="5127">
      <c r="A5127" s="544" t="n">
        <v>36385</v>
      </c>
      <c r="B5127" s="538" t="n">
        <v>20.61</v>
      </c>
      <c r="C5127" s="538" t="n">
        <v>21.67</v>
      </c>
      <c r="D5127" s="538" t="n">
        <v>19.78</v>
      </c>
      <c r="E5127" s="538" t="n">
        <v>25.35</v>
      </c>
    </row>
    <row r="5128">
      <c r="A5128" s="544" t="n">
        <v>36388</v>
      </c>
      <c r="B5128" s="538" t="n">
        <v>20.68</v>
      </c>
      <c r="C5128" s="538" t="n">
        <v>21.34</v>
      </c>
      <c r="D5128" s="538" t="n">
        <v>19.78</v>
      </c>
      <c r="E5128" s="538" t="n">
        <v>25.48</v>
      </c>
    </row>
    <row r="5129">
      <c r="A5129" s="544" t="n">
        <v>36389</v>
      </c>
      <c r="B5129" s="538" t="n">
        <v>20.61</v>
      </c>
      <c r="C5129" s="538" t="n">
        <v>21.7</v>
      </c>
      <c r="D5129" s="538" t="n">
        <v>19.49</v>
      </c>
      <c r="E5129" s="538" t="n">
        <v>25.3</v>
      </c>
    </row>
    <row r="5130">
      <c r="A5130" s="544" t="n">
        <v>36390</v>
      </c>
      <c r="B5130" s="538" t="n">
        <v>20.69</v>
      </c>
      <c r="C5130" s="538" t="n">
        <v>21.54</v>
      </c>
      <c r="D5130" s="538" t="n">
        <v>19.32</v>
      </c>
      <c r="E5130" s="538" t="n">
        <v>25.3</v>
      </c>
    </row>
    <row r="5131">
      <c r="A5131" s="544" t="n">
        <v>36391</v>
      </c>
      <c r="B5131" s="538" t="n">
        <v>20.92</v>
      </c>
      <c r="C5131" s="538" t="n">
        <v>21.86</v>
      </c>
      <c r="D5131" s="538" t="n">
        <v>19.77</v>
      </c>
      <c r="E5131" s="538" t="n">
        <v>25.33</v>
      </c>
    </row>
    <row r="5132">
      <c r="A5132" s="544" t="n">
        <v>36392</v>
      </c>
      <c r="B5132" s="538" t="n">
        <v>21.11</v>
      </c>
      <c r="C5132" s="538" t="n">
        <v>21.66</v>
      </c>
      <c r="D5132" s="538" t="n">
        <v>20.18</v>
      </c>
      <c r="E5132" s="538" t="n">
        <v>25.65</v>
      </c>
    </row>
    <row r="5133">
      <c r="A5133" s="544" t="n">
        <v>36395</v>
      </c>
      <c r="B5133" s="538" t="n">
        <v>20.96</v>
      </c>
      <c r="C5133" s="538" t="n">
        <v>21.61</v>
      </c>
      <c r="D5133" s="538" t="n">
        <v>20.15</v>
      </c>
      <c r="E5133" s="538" t="n">
        <v>26.1</v>
      </c>
    </row>
    <row r="5134">
      <c r="A5134" s="544" t="n">
        <v>36396</v>
      </c>
      <c r="B5134" s="538" t="n">
        <v>20.48</v>
      </c>
      <c r="C5134" s="538" t="n">
        <v>21.36</v>
      </c>
      <c r="D5134" s="538" t="n">
        <v>19.96</v>
      </c>
      <c r="E5134" s="538" t="n">
        <v>25.7</v>
      </c>
    </row>
    <row r="5135">
      <c r="A5135" s="544" t="n">
        <v>36397</v>
      </c>
      <c r="B5135" s="538" t="n">
        <v>19.71</v>
      </c>
      <c r="C5135" s="538" t="n">
        <v>20.66</v>
      </c>
      <c r="D5135" s="538" t="n">
        <v>19.27</v>
      </c>
      <c r="E5135" s="538" t="n">
        <v>24.9</v>
      </c>
    </row>
    <row r="5136">
      <c r="A5136" s="544" t="n">
        <v>36398</v>
      </c>
      <c r="B5136" s="538" t="n">
        <v>19.8</v>
      </c>
      <c r="C5136" s="538" t="n">
        <v>21.09</v>
      </c>
      <c r="D5136" s="538" t="n">
        <v>20.02</v>
      </c>
      <c r="E5136" s="538" t="n">
        <v>24.4</v>
      </c>
    </row>
    <row r="5137">
      <c r="A5137" s="544" t="n">
        <v>36399</v>
      </c>
      <c r="B5137" s="538" t="n">
        <v>20.32</v>
      </c>
      <c r="C5137" s="538" t="n">
        <v>21.31</v>
      </c>
      <c r="D5137" s="538" t="n">
        <v>20.12</v>
      </c>
      <c r="E5137" s="538" t="n">
        <v>24.65</v>
      </c>
    </row>
    <row r="5138">
      <c r="A5138" s="544" t="n">
        <v>36402</v>
      </c>
      <c r="B5138" s="538" t="n">
        <v>20.32</v>
      </c>
      <c r="C5138" s="538" t="n">
        <v>21.93</v>
      </c>
      <c r="D5138" s="538" t="n">
        <v>19.97</v>
      </c>
      <c r="E5138" s="538" t="n">
        <v>24.55</v>
      </c>
    </row>
    <row r="5139">
      <c r="A5139" s="544" t="n">
        <v>36403</v>
      </c>
      <c r="B5139" s="538" t="n">
        <v>21.08</v>
      </c>
      <c r="C5139" s="538" t="n">
        <v>22.15</v>
      </c>
      <c r="D5139" s="538" t="n">
        <v>20.48</v>
      </c>
      <c r="E5139" s="538" t="n">
        <v>24.8</v>
      </c>
    </row>
    <row r="5140">
      <c r="A5140" s="544" t="n">
        <v>36404</v>
      </c>
      <c r="B5140" s="538" t="n">
        <v>21.1</v>
      </c>
      <c r="C5140" s="538" t="n">
        <v>21.79</v>
      </c>
      <c r="D5140" s="538" t="n">
        <v>20.2</v>
      </c>
      <c r="E5140" s="538" t="n">
        <v>24.8</v>
      </c>
    </row>
    <row r="5141">
      <c r="A5141" s="544" t="n">
        <v>36405</v>
      </c>
      <c r="B5141" s="538" t="n">
        <v>20.66</v>
      </c>
      <c r="C5141" s="538" t="n">
        <v>21.54</v>
      </c>
      <c r="D5141" s="538" t="n">
        <v>20.15</v>
      </c>
      <c r="E5141" s="538" t="n">
        <v>24.8</v>
      </c>
    </row>
    <row r="5142">
      <c r="A5142" s="544" t="n">
        <v>36406</v>
      </c>
      <c r="B5142" s="538" t="n">
        <v>20.74</v>
      </c>
      <c r="C5142" s="538" t="n">
        <v>22</v>
      </c>
      <c r="D5142" s="538" t="n">
        <v>20.41</v>
      </c>
      <c r="E5142" s="538" t="n">
        <v>25</v>
      </c>
    </row>
    <row r="5143">
      <c r="A5143" s="544" t="n">
        <v>36409</v>
      </c>
      <c r="B5143" s="538" t="n">
        <v>21.14</v>
      </c>
      <c r="C5143" s="538" t="n">
        <v>22</v>
      </c>
      <c r="D5143" s="538" t="n">
        <v>20.41</v>
      </c>
      <c r="E5143" s="538" t="n">
        <v>25.3</v>
      </c>
    </row>
    <row r="5144">
      <c r="A5144" s="544" t="n">
        <v>36410</v>
      </c>
      <c r="B5144" s="538" t="n">
        <v>21.71</v>
      </c>
      <c r="C5144" s="538" t="n">
        <v>22.58</v>
      </c>
      <c r="D5144" s="538" t="n">
        <v>21.29</v>
      </c>
      <c r="E5144" s="538" t="n">
        <v>25.5</v>
      </c>
    </row>
    <row r="5145">
      <c r="A5145" s="544" t="n">
        <v>36411</v>
      </c>
      <c r="B5145" s="538" t="n">
        <v>21.96</v>
      </c>
      <c r="C5145" s="538" t="n">
        <v>22.64</v>
      </c>
      <c r="D5145" s="538" t="n">
        <v>21.85</v>
      </c>
      <c r="E5145" s="538" t="n">
        <v>26.05</v>
      </c>
    </row>
    <row r="5146">
      <c r="A5146" s="544" t="n">
        <v>36412</v>
      </c>
      <c r="B5146" s="538" t="n">
        <v>22.51</v>
      </c>
      <c r="C5146" s="538" t="n">
        <v>23.24</v>
      </c>
      <c r="D5146" s="538" t="n">
        <v>21.97</v>
      </c>
      <c r="E5146" s="538" t="n">
        <v>26.5</v>
      </c>
    </row>
    <row r="5147">
      <c r="A5147" s="544" t="n">
        <v>36413</v>
      </c>
      <c r="B5147" s="538" t="n">
        <v>22.36</v>
      </c>
      <c r="C5147" s="538" t="n">
        <v>23.55</v>
      </c>
      <c r="D5147" s="538" t="n">
        <v>22.52</v>
      </c>
      <c r="E5147" s="538" t="n">
        <v>26.5</v>
      </c>
    </row>
    <row r="5148">
      <c r="A5148" s="544" t="n">
        <v>36416</v>
      </c>
      <c r="B5148" s="538" t="n">
        <v>22.98</v>
      </c>
      <c r="C5148" s="538" t="n">
        <v>24.18</v>
      </c>
      <c r="D5148" s="538" t="n">
        <v>22.64</v>
      </c>
      <c r="E5148" s="538" t="n">
        <v>26.75</v>
      </c>
    </row>
    <row r="5149">
      <c r="A5149" s="544" t="n">
        <v>36417</v>
      </c>
      <c r="B5149" s="538" t="n">
        <v>23.18</v>
      </c>
      <c r="C5149" s="538" t="n">
        <v>23.86</v>
      </c>
      <c r="D5149" s="538" t="n">
        <v>22.57</v>
      </c>
      <c r="E5149" s="538" t="n">
        <v>26.55</v>
      </c>
    </row>
    <row r="5150">
      <c r="A5150" s="544" t="n">
        <v>36418</v>
      </c>
      <c r="B5150" s="538" t="n">
        <v>23.25</v>
      </c>
      <c r="C5150" s="538" t="n">
        <v>24.1</v>
      </c>
      <c r="D5150" s="538" t="n">
        <v>22.47</v>
      </c>
      <c r="E5150" s="538" t="n">
        <v>26.4</v>
      </c>
    </row>
    <row r="5151">
      <c r="A5151" s="544" t="n">
        <v>36419</v>
      </c>
      <c r="B5151" s="538" t="n">
        <v>23.06</v>
      </c>
      <c r="C5151" s="538" t="n">
        <v>24.52</v>
      </c>
      <c r="D5151" s="538" t="n">
        <v>21.76</v>
      </c>
      <c r="E5151" s="538" t="n">
        <v>26.5</v>
      </c>
    </row>
    <row r="5152">
      <c r="A5152" s="544" t="n">
        <v>36420</v>
      </c>
      <c r="B5152" s="538" t="n">
        <v>22.93</v>
      </c>
      <c r="C5152" s="538" t="n">
        <v>24.72</v>
      </c>
      <c r="D5152" s="538" t="n">
        <v>21.9</v>
      </c>
      <c r="E5152" s="538" t="n">
        <v>26.6</v>
      </c>
    </row>
    <row r="5153">
      <c r="A5153" s="544" t="n">
        <v>36423</v>
      </c>
      <c r="B5153" s="538" t="n">
        <v>22.85</v>
      </c>
      <c r="C5153" s="538" t="n">
        <v>24.32</v>
      </c>
      <c r="D5153" s="538" t="n">
        <v>21.79</v>
      </c>
      <c r="E5153" s="538" t="n">
        <v>26.58</v>
      </c>
    </row>
    <row r="5154">
      <c r="A5154" s="544" t="n">
        <v>36424</v>
      </c>
      <c r="B5154" s="538" t="n">
        <v>22.68</v>
      </c>
      <c r="C5154" s="538" t="n">
        <v>24.48</v>
      </c>
      <c r="D5154" s="538" t="n">
        <v>21.86</v>
      </c>
      <c r="E5154" s="538" t="n">
        <v>26.5</v>
      </c>
    </row>
    <row r="5155">
      <c r="A5155" s="544" t="n">
        <v>36425</v>
      </c>
      <c r="B5155" s="538" t="n">
        <v>22.49</v>
      </c>
      <c r="C5155" s="538" t="n">
        <v>24.26</v>
      </c>
      <c r="D5155" s="538" t="n">
        <v>22.18</v>
      </c>
      <c r="E5155" s="538" t="n">
        <v>26.7</v>
      </c>
    </row>
    <row r="5156">
      <c r="A5156" s="544" t="n">
        <v>36426</v>
      </c>
      <c r="B5156" s="538" t="n">
        <v>23.41</v>
      </c>
      <c r="C5156" s="538" t="n">
        <v>24.76</v>
      </c>
      <c r="D5156" s="538" t="n">
        <v>22.82</v>
      </c>
      <c r="E5156" s="538" t="n">
        <v>27.03</v>
      </c>
    </row>
    <row r="5157">
      <c r="A5157" s="544" t="n">
        <v>36427</v>
      </c>
      <c r="B5157" s="538" t="n">
        <v>23.66</v>
      </c>
      <c r="C5157" s="538" t="n">
        <v>24.81</v>
      </c>
      <c r="D5157" s="538" t="n">
        <v>23.08</v>
      </c>
      <c r="E5157" s="538" t="n">
        <v>27.25</v>
      </c>
    </row>
    <row r="5158">
      <c r="A5158" s="544" t="n">
        <v>36430</v>
      </c>
      <c r="B5158" s="538" t="n">
        <v>23.6</v>
      </c>
      <c r="C5158" s="538" t="n">
        <v>24.63</v>
      </c>
      <c r="D5158" s="538" t="n">
        <v>23.13</v>
      </c>
      <c r="E5158" s="538" t="n">
        <v>27.1</v>
      </c>
    </row>
    <row r="5159">
      <c r="A5159" s="544" t="n">
        <v>36431</v>
      </c>
      <c r="B5159" s="538" t="n">
        <v>23.24</v>
      </c>
      <c r="C5159" s="538" t="n">
        <v>24.52</v>
      </c>
      <c r="D5159" s="538" t="n">
        <v>23</v>
      </c>
      <c r="E5159" s="538" t="n">
        <v>27.15</v>
      </c>
    </row>
    <row r="5160">
      <c r="A5160" s="544" t="n">
        <v>36432</v>
      </c>
      <c r="B5160" s="538" t="n">
        <v>23.46</v>
      </c>
      <c r="C5160" s="538" t="n">
        <v>24.69</v>
      </c>
      <c r="D5160" s="538" t="n">
        <v>22.72</v>
      </c>
      <c r="E5160" s="538" t="n">
        <v>26.95</v>
      </c>
    </row>
    <row r="5161">
      <c r="A5161" s="544" t="n">
        <v>36433</v>
      </c>
      <c r="B5161" s="538" t="n">
        <v>22.98</v>
      </c>
      <c r="C5161" s="538" t="n">
        <v>24.54</v>
      </c>
      <c r="D5161" s="538" t="n">
        <v>22.58</v>
      </c>
      <c r="E5161" s="538" t="n">
        <v>26.6</v>
      </c>
    </row>
    <row r="5162">
      <c r="A5162" s="544" t="n">
        <v>36434</v>
      </c>
      <c r="B5162" s="538" t="n">
        <v>22.98</v>
      </c>
      <c r="C5162" s="538" t="n">
        <v>24.51</v>
      </c>
      <c r="D5162" s="538" t="n">
        <v>22.65</v>
      </c>
      <c r="E5162" s="538" t="n">
        <v>26.75</v>
      </c>
    </row>
    <row r="5163">
      <c r="A5163" s="544" t="n">
        <v>36437</v>
      </c>
      <c r="B5163" s="538" t="n">
        <v>23.3</v>
      </c>
      <c r="C5163" s="538" t="n">
        <v>23.71</v>
      </c>
      <c r="D5163" s="538" t="n">
        <v>21.9</v>
      </c>
      <c r="E5163" s="538" t="n">
        <v>26.75</v>
      </c>
    </row>
    <row r="5164">
      <c r="A5164" s="544" t="n">
        <v>36438</v>
      </c>
      <c r="B5164" s="538" t="n">
        <v>22.64</v>
      </c>
      <c r="C5164" s="538" t="n">
        <v>23.37</v>
      </c>
      <c r="D5164" s="538" t="n">
        <v>21.87</v>
      </c>
      <c r="E5164" s="538" t="n">
        <v>26.2</v>
      </c>
    </row>
    <row r="5165">
      <c r="A5165" s="544" t="n">
        <v>36439</v>
      </c>
      <c r="B5165" s="538" t="n">
        <v>23.07</v>
      </c>
      <c r="C5165" s="538" t="n">
        <v>23.24</v>
      </c>
      <c r="D5165" s="538" t="n">
        <v>21.87</v>
      </c>
      <c r="E5165" s="538" t="n">
        <v>26.35</v>
      </c>
    </row>
    <row r="5166">
      <c r="A5166" s="544" t="n">
        <v>36440</v>
      </c>
      <c r="B5166" s="538" t="n">
        <v>22.33</v>
      </c>
      <c r="C5166" s="538" t="n">
        <v>22.46</v>
      </c>
      <c r="D5166" s="538" t="n">
        <v>21.12</v>
      </c>
      <c r="E5166" s="538" t="n">
        <v>26.05</v>
      </c>
    </row>
    <row r="5167">
      <c r="A5167" s="544" t="n">
        <v>36441</v>
      </c>
      <c r="B5167" s="538" t="n">
        <v>20.78</v>
      </c>
      <c r="C5167" s="538" t="n">
        <v>20.81</v>
      </c>
      <c r="D5167" s="538" t="n">
        <v>19.9</v>
      </c>
      <c r="E5167" s="538" t="n">
        <v>25.15</v>
      </c>
    </row>
    <row r="5168">
      <c r="A5168" s="544" t="n">
        <v>36444</v>
      </c>
      <c r="B5168" s="538" t="n">
        <v>20.84</v>
      </c>
      <c r="C5168" s="538" t="n">
        <v>21.58</v>
      </c>
      <c r="D5168" s="538" t="n">
        <v>20.59</v>
      </c>
      <c r="E5168" s="538" t="n">
        <v>24.25</v>
      </c>
    </row>
    <row r="5169">
      <c r="A5169" s="544" t="n">
        <v>36445</v>
      </c>
      <c r="B5169" s="538" t="n">
        <v>21.89</v>
      </c>
      <c r="C5169" s="538" t="n">
        <v>22.93</v>
      </c>
      <c r="D5169" s="538" t="n">
        <v>21.65</v>
      </c>
      <c r="E5169" s="538" t="n">
        <v>25.15</v>
      </c>
    </row>
    <row r="5170">
      <c r="A5170" s="544" t="n">
        <v>36446</v>
      </c>
      <c r="B5170" s="538" t="n">
        <v>22.26</v>
      </c>
      <c r="C5170" s="538" t="n">
        <v>22.93</v>
      </c>
      <c r="D5170" s="538" t="n">
        <v>21.61</v>
      </c>
      <c r="E5170" s="538" t="n">
        <v>26.35</v>
      </c>
    </row>
    <row r="5171">
      <c r="A5171" s="544" t="n">
        <v>36447</v>
      </c>
      <c r="B5171" s="538" t="n">
        <v>22.28</v>
      </c>
      <c r="C5171" s="538" t="n">
        <v>22.46</v>
      </c>
      <c r="D5171" s="538" t="n">
        <v>20.86</v>
      </c>
      <c r="E5171" s="538" t="n">
        <v>25.55</v>
      </c>
    </row>
    <row r="5172">
      <c r="A5172" s="544" t="n">
        <v>36448</v>
      </c>
      <c r="B5172" s="538" t="n">
        <v>21.65</v>
      </c>
      <c r="C5172" s="538" t="n">
        <v>22.81</v>
      </c>
      <c r="D5172" s="538" t="n">
        <v>22.04</v>
      </c>
      <c r="E5172" s="538" t="n">
        <v>24.95</v>
      </c>
    </row>
    <row r="5173">
      <c r="A5173" s="544" t="n">
        <v>36451</v>
      </c>
      <c r="B5173" s="538" t="n">
        <v>22.26</v>
      </c>
      <c r="C5173" s="538" t="n">
        <v>22.44</v>
      </c>
      <c r="D5173" s="538" t="n">
        <v>21.06</v>
      </c>
      <c r="E5173" s="538" t="n">
        <v>25.95</v>
      </c>
    </row>
    <row r="5174">
      <c r="A5174" s="544" t="n">
        <v>36452</v>
      </c>
      <c r="B5174" s="538" t="n">
        <v>21.59</v>
      </c>
      <c r="C5174" s="538" t="n">
        <v>22.36</v>
      </c>
      <c r="D5174" s="538" t="n">
        <v>21.23</v>
      </c>
      <c r="E5174" s="538" t="n">
        <v>24.75</v>
      </c>
    </row>
    <row r="5175">
      <c r="A5175" s="544" t="n">
        <v>36453</v>
      </c>
      <c r="B5175" s="538" t="n">
        <v>21.02</v>
      </c>
      <c r="C5175" s="538" t="n">
        <v>22.21</v>
      </c>
      <c r="D5175" s="538" t="n">
        <v>21.21</v>
      </c>
      <c r="E5175" s="538" t="n">
        <v>25.35</v>
      </c>
    </row>
    <row r="5176">
      <c r="A5176" s="544" t="n">
        <v>36454</v>
      </c>
      <c r="B5176" s="538" t="n">
        <v>21.68</v>
      </c>
      <c r="C5176" s="538" t="n">
        <v>22.74</v>
      </c>
      <c r="D5176" s="538" t="n">
        <v>21.56</v>
      </c>
      <c r="E5176" s="538" t="n">
        <v>25.55</v>
      </c>
    </row>
    <row r="5177">
      <c r="A5177" s="544" t="n">
        <v>36455</v>
      </c>
      <c r="B5177" s="538" t="n">
        <v>22.38</v>
      </c>
      <c r="C5177" s="538" t="n">
        <v>23.48</v>
      </c>
      <c r="D5177" s="538" t="n">
        <v>22.15</v>
      </c>
      <c r="E5177" s="538" t="n">
        <v>26.5</v>
      </c>
    </row>
    <row r="5178">
      <c r="A5178" s="544" t="n">
        <v>36458</v>
      </c>
      <c r="B5178" s="538" t="n">
        <v>22.45</v>
      </c>
      <c r="C5178" s="538" t="n">
        <v>23.22</v>
      </c>
      <c r="D5178" s="538" t="n">
        <v>21.52</v>
      </c>
      <c r="E5178" s="538" t="n">
        <v>26.75</v>
      </c>
    </row>
    <row r="5179">
      <c r="A5179" s="544" t="n">
        <v>36459</v>
      </c>
      <c r="B5179" s="538" t="n">
        <v>22.14</v>
      </c>
      <c r="C5179" s="538" t="n">
        <v>23.17</v>
      </c>
      <c r="D5179" s="538" t="n">
        <v>21.55</v>
      </c>
      <c r="E5179" s="538" t="n">
        <v>26.45</v>
      </c>
    </row>
    <row r="5180">
      <c r="A5180" s="544" t="n">
        <v>36460</v>
      </c>
      <c r="B5180" s="538" t="n">
        <v>22.18</v>
      </c>
      <c r="C5180" s="538" t="n">
        <v>22.71</v>
      </c>
      <c r="D5180" s="538" t="n">
        <v>21.18</v>
      </c>
      <c r="E5180" s="538" t="n">
        <v>26.45</v>
      </c>
    </row>
    <row r="5181">
      <c r="A5181" s="544" t="n">
        <v>36461</v>
      </c>
      <c r="B5181" s="538" t="n">
        <v>21.22</v>
      </c>
      <c r="C5181" s="538" t="n">
        <v>21.59</v>
      </c>
      <c r="D5181" s="538" t="n">
        <v>20.43</v>
      </c>
      <c r="E5181" s="538" t="n">
        <v>26</v>
      </c>
    </row>
    <row r="5182">
      <c r="A5182" s="544" t="n">
        <v>36462</v>
      </c>
      <c r="B5182" s="538" t="n">
        <v>21.11</v>
      </c>
      <c r="C5182" s="538" t="n">
        <v>21.79</v>
      </c>
      <c r="D5182" s="538" t="n">
        <v>20.88</v>
      </c>
      <c r="E5182" s="538" t="n">
        <v>25.4</v>
      </c>
    </row>
    <row r="5183">
      <c r="A5183" s="544" t="n">
        <v>36465</v>
      </c>
      <c r="B5183" s="538" t="n">
        <v>21.32</v>
      </c>
      <c r="C5183" s="538" t="n">
        <v>22.44</v>
      </c>
      <c r="D5183" s="538" t="n">
        <v>21.59</v>
      </c>
      <c r="E5183" s="538" t="n">
        <v>25.53</v>
      </c>
    </row>
    <row r="5184">
      <c r="A5184" s="544" t="n">
        <v>36466</v>
      </c>
      <c r="B5184" s="538" t="n">
        <v>21.98</v>
      </c>
      <c r="C5184" s="538" t="n">
        <v>22.49</v>
      </c>
      <c r="D5184" s="538" t="n">
        <v>21.38</v>
      </c>
      <c r="E5184" s="538" t="n">
        <v>25.15</v>
      </c>
    </row>
    <row r="5185">
      <c r="A5185" s="544" t="n">
        <v>36467</v>
      </c>
      <c r="B5185" s="538" t="n">
        <v>22.38</v>
      </c>
      <c r="C5185" s="538" t="n">
        <v>22.59</v>
      </c>
      <c r="D5185" s="538" t="n">
        <v>21.91</v>
      </c>
      <c r="E5185" s="538" t="n">
        <v>25.3</v>
      </c>
    </row>
    <row r="5186">
      <c r="A5186" s="544" t="n">
        <v>36468</v>
      </c>
      <c r="B5186" s="538" t="n">
        <v>22.64</v>
      </c>
      <c r="C5186" s="538" t="n">
        <v>23.17</v>
      </c>
      <c r="D5186" s="538" t="n">
        <v>21.84</v>
      </c>
      <c r="E5186" s="538" t="n">
        <v>25.55</v>
      </c>
    </row>
    <row r="5187">
      <c r="A5187" s="544" t="n">
        <v>36469</v>
      </c>
      <c r="B5187" s="538" t="n">
        <v>22.8</v>
      </c>
      <c r="C5187" s="538" t="n">
        <v>22.93</v>
      </c>
      <c r="D5187" s="538" t="n">
        <v>21.5</v>
      </c>
      <c r="E5187" s="538" t="n">
        <v>25.8</v>
      </c>
    </row>
    <row r="5188">
      <c r="A5188" s="544" t="n">
        <v>36472</v>
      </c>
      <c r="B5188" s="538" t="n">
        <v>23.62</v>
      </c>
      <c r="C5188" s="538" t="n">
        <v>23.28</v>
      </c>
      <c r="D5188" s="538" t="n">
        <v>22.12</v>
      </c>
      <c r="E5188" s="538" t="n">
        <v>25.8</v>
      </c>
    </row>
    <row r="5189">
      <c r="A5189" s="544" t="n">
        <v>36473</v>
      </c>
      <c r="B5189" s="538" t="n">
        <v>24.44</v>
      </c>
      <c r="C5189" s="538" t="n">
        <v>24.21</v>
      </c>
      <c r="D5189" s="538" t="n">
        <v>23.41</v>
      </c>
      <c r="E5189" s="538" t="n">
        <v>25.9</v>
      </c>
    </row>
    <row r="5190">
      <c r="A5190" s="544" t="n">
        <v>36474</v>
      </c>
      <c r="B5190" s="538" t="n">
        <v>25.42</v>
      </c>
      <c r="C5190" s="538" t="n">
        <v>24.37</v>
      </c>
      <c r="D5190" s="538" t="n">
        <v>23.34</v>
      </c>
      <c r="E5190" s="538" t="n">
        <v>27.1</v>
      </c>
    </row>
    <row r="5191">
      <c r="A5191" s="544" t="n">
        <v>36475</v>
      </c>
      <c r="B5191" s="538" t="n">
        <v>24.96</v>
      </c>
      <c r="C5191" s="538" t="n">
        <v>24.33</v>
      </c>
      <c r="D5191" s="538" t="n">
        <v>23.15</v>
      </c>
      <c r="E5191" s="538" t="n">
        <v>27.1</v>
      </c>
    </row>
    <row r="5192">
      <c r="A5192" s="544" t="n">
        <v>36476</v>
      </c>
      <c r="B5192" s="538" t="n">
        <v>25.39</v>
      </c>
      <c r="C5192" s="538" t="n">
        <v>24.91</v>
      </c>
      <c r="D5192" s="538" t="n">
        <v>24.1</v>
      </c>
      <c r="E5192" s="538" t="n">
        <v>27.1</v>
      </c>
    </row>
    <row r="5193">
      <c r="A5193" s="544" t="n">
        <v>36479</v>
      </c>
      <c r="B5193" s="538" t="n">
        <v>25.93</v>
      </c>
      <c r="C5193" s="538" t="n">
        <v>25.31</v>
      </c>
      <c r="D5193" s="538" t="n">
        <v>24.04</v>
      </c>
      <c r="E5193" s="538" t="n">
        <v>27.85</v>
      </c>
    </row>
    <row r="5194">
      <c r="A5194" s="544" t="n">
        <v>36480</v>
      </c>
      <c r="B5194" s="538" t="n">
        <v>24.88</v>
      </c>
      <c r="C5194" s="538" t="n">
        <v>26.04</v>
      </c>
      <c r="D5194" s="538" t="n">
        <v>23.7</v>
      </c>
      <c r="E5194" s="538" t="n">
        <v>28.03</v>
      </c>
    </row>
    <row r="5195">
      <c r="A5195" s="544" t="n">
        <v>36481</v>
      </c>
      <c r="B5195" s="538" t="n">
        <v>24.98</v>
      </c>
      <c r="C5195" s="538" t="n">
        <v>26.57</v>
      </c>
      <c r="D5195" s="538" t="n">
        <v>23.6</v>
      </c>
      <c r="E5195" s="538" t="n">
        <v>28.5</v>
      </c>
    </row>
    <row r="5196">
      <c r="A5196" s="544" t="n">
        <v>36482</v>
      </c>
      <c r="B5196" s="538" t="n">
        <v>25.02</v>
      </c>
      <c r="C5196" s="538" t="n">
        <v>25.71</v>
      </c>
      <c r="D5196" s="538" t="n">
        <v>22.81</v>
      </c>
      <c r="E5196" s="538" t="n">
        <v>28.6</v>
      </c>
    </row>
    <row r="5197">
      <c r="A5197" s="544" t="n">
        <v>36483</v>
      </c>
      <c r="B5197" s="538" t="n">
        <v>25.14</v>
      </c>
      <c r="C5197" s="538" t="n">
        <v>26.61</v>
      </c>
      <c r="D5197" s="538" t="n">
        <v>24.64</v>
      </c>
      <c r="E5197" s="538" t="n">
        <v>28.6</v>
      </c>
    </row>
    <row r="5198">
      <c r="A5198" s="544" t="n">
        <v>36486</v>
      </c>
      <c r="B5198" s="538" t="n">
        <v>25.86</v>
      </c>
      <c r="C5198" s="538" t="n">
        <v>28.03</v>
      </c>
      <c r="D5198" s="538" t="n">
        <v>24.19</v>
      </c>
      <c r="E5198" s="538" t="n">
        <v>29.4</v>
      </c>
    </row>
    <row r="5199">
      <c r="A5199" s="544" t="n">
        <v>36487</v>
      </c>
      <c r="B5199" s="538" t="n">
        <v>25.66</v>
      </c>
      <c r="C5199" s="538" t="n">
        <v>26.91</v>
      </c>
      <c r="D5199" s="538" t="n">
        <v>23.8</v>
      </c>
      <c r="E5199" s="538" t="n">
        <v>29</v>
      </c>
    </row>
    <row r="5200">
      <c r="A5200" s="544" t="n">
        <v>36488</v>
      </c>
      <c r="B5200" s="538" t="n">
        <v>25.77</v>
      </c>
      <c r="C5200" s="538" t="n">
        <v>27.22</v>
      </c>
      <c r="D5200" s="538" t="n">
        <v>24.36</v>
      </c>
      <c r="E5200" s="538" t="n">
        <v>28.9</v>
      </c>
    </row>
    <row r="5201">
      <c r="A5201" s="544" t="n">
        <v>36489</v>
      </c>
      <c r="B5201" s="538" t="n">
        <v>25.94</v>
      </c>
      <c r="C5201" s="538" t="n">
        <v>27.22</v>
      </c>
      <c r="D5201" s="538" t="n">
        <v>24.36</v>
      </c>
      <c r="E5201" s="538" t="n">
        <v>29.3</v>
      </c>
    </row>
    <row r="5202">
      <c r="A5202" s="544" t="n">
        <v>36490</v>
      </c>
      <c r="B5202" s="538" t="n">
        <v>25.85</v>
      </c>
      <c r="C5202" s="538" t="n">
        <v>27.22</v>
      </c>
      <c r="D5202" s="538" t="n">
        <v>24.36</v>
      </c>
      <c r="E5202" s="538" t="n">
        <v>29.3</v>
      </c>
    </row>
    <row r="5203">
      <c r="A5203" s="544" t="n">
        <v>36493</v>
      </c>
      <c r="B5203" s="538" t="n">
        <v>25.67</v>
      </c>
      <c r="C5203" s="538" t="n">
        <v>25.84</v>
      </c>
      <c r="D5203" s="538" t="n">
        <v>23.46</v>
      </c>
      <c r="E5203" s="538" t="n">
        <v>29.15</v>
      </c>
    </row>
    <row r="5204">
      <c r="A5204" s="544" t="n">
        <v>36494</v>
      </c>
      <c r="B5204" s="538" t="n">
        <v>25.2</v>
      </c>
      <c r="C5204" s="538" t="n">
        <v>24.87</v>
      </c>
      <c r="D5204" s="538" t="n">
        <v>22.55</v>
      </c>
      <c r="E5204" s="538" t="n">
        <v>28.15</v>
      </c>
    </row>
    <row r="5205">
      <c r="A5205" s="544" t="n">
        <v>36495</v>
      </c>
      <c r="B5205" s="538" t="n">
        <v>24.2</v>
      </c>
      <c r="C5205" s="538" t="n">
        <v>25.01</v>
      </c>
      <c r="D5205" s="538" t="n">
        <v>22.91</v>
      </c>
      <c r="E5205" s="538" t="n">
        <v>28.65</v>
      </c>
    </row>
    <row r="5206">
      <c r="A5206" s="544" t="n">
        <v>36496</v>
      </c>
      <c r="B5206" s="538" t="n">
        <v>25.52</v>
      </c>
      <c r="C5206" s="538" t="n">
        <v>25.88</v>
      </c>
      <c r="D5206" s="538" t="n">
        <v>23.65</v>
      </c>
      <c r="E5206" s="538" t="n">
        <v>28.75</v>
      </c>
    </row>
    <row r="5207">
      <c r="A5207" s="544" t="n">
        <v>36497</v>
      </c>
      <c r="B5207" s="538" t="n">
        <v>26.17</v>
      </c>
      <c r="C5207" s="538" t="n">
        <v>25.71</v>
      </c>
      <c r="D5207" s="538" t="n">
        <v>23.68</v>
      </c>
      <c r="E5207" s="538" t="n">
        <v>29.5</v>
      </c>
    </row>
    <row r="5208">
      <c r="A5208" s="544" t="n">
        <v>36500</v>
      </c>
      <c r="B5208" s="538" t="n">
        <v>26.46</v>
      </c>
      <c r="C5208" s="538" t="n">
        <v>26.67</v>
      </c>
      <c r="D5208" s="538" t="n">
        <v>24.36</v>
      </c>
      <c r="E5208" s="538" t="n">
        <v>28.95</v>
      </c>
    </row>
    <row r="5209">
      <c r="A5209" s="544" t="n">
        <v>36501</v>
      </c>
      <c r="B5209" s="538" t="n">
        <v>26.1</v>
      </c>
      <c r="C5209" s="538" t="n">
        <v>26.36</v>
      </c>
      <c r="D5209" s="538" t="n">
        <v>24.21</v>
      </c>
      <c r="E5209" s="538" t="n">
        <v>29.15</v>
      </c>
    </row>
    <row r="5210">
      <c r="A5210" s="544" t="n">
        <v>36502</v>
      </c>
      <c r="B5210" s="538" t="n">
        <v>25.45</v>
      </c>
      <c r="C5210" s="538" t="n">
        <v>26.69</v>
      </c>
      <c r="D5210" s="538" t="n">
        <v>24.48</v>
      </c>
      <c r="E5210" s="538" t="n">
        <v>28.9</v>
      </c>
    </row>
    <row r="5211">
      <c r="A5211" s="544" t="n">
        <v>36503</v>
      </c>
      <c r="B5211" s="538" t="n">
        <v>25.85</v>
      </c>
      <c r="C5211" s="538" t="n">
        <v>26</v>
      </c>
      <c r="D5211" s="538" t="n">
        <v>24.48</v>
      </c>
      <c r="E5211" s="538" t="n">
        <v>29.6</v>
      </c>
    </row>
    <row r="5212">
      <c r="A5212" s="544" t="n">
        <v>36504</v>
      </c>
      <c r="B5212" s="538" t="n">
        <v>24.86</v>
      </c>
      <c r="C5212" s="538" t="n">
        <v>25.21</v>
      </c>
      <c r="D5212" s="538" t="n">
        <v>21.82</v>
      </c>
      <c r="E5212" s="538" t="n">
        <v>29.5</v>
      </c>
    </row>
    <row r="5213">
      <c r="A5213" s="544" t="n">
        <v>36507</v>
      </c>
      <c r="B5213" s="538" t="n">
        <v>24.31</v>
      </c>
      <c r="C5213" s="538" t="n">
        <v>25.37</v>
      </c>
      <c r="D5213" s="538" t="n">
        <v>22.44</v>
      </c>
      <c r="E5213" s="538" t="n">
        <v>29.1</v>
      </c>
    </row>
    <row r="5214">
      <c r="A5214" s="544" t="n">
        <v>36508</v>
      </c>
      <c r="B5214" s="538" t="n">
        <v>24.88</v>
      </c>
      <c r="C5214" s="538" t="n">
        <v>25.87</v>
      </c>
      <c r="D5214" s="538" t="n">
        <v>23.99</v>
      </c>
      <c r="E5214" s="538" t="n">
        <v>29.3</v>
      </c>
    </row>
    <row r="5215">
      <c r="A5215" s="544" t="n">
        <v>36509</v>
      </c>
      <c r="B5215" s="538" t="n">
        <v>25.68</v>
      </c>
      <c r="C5215" s="538" t="n">
        <v>26.28</v>
      </c>
      <c r="D5215" s="538" t="n">
        <v>24.47</v>
      </c>
      <c r="E5215" s="538" t="n">
        <v>29.7</v>
      </c>
    </row>
    <row r="5216">
      <c r="A5216" s="544" t="n">
        <v>36510</v>
      </c>
      <c r="B5216" s="538" t="n">
        <v>26.09</v>
      </c>
      <c r="C5216" s="538" t="n">
        <v>26.74</v>
      </c>
      <c r="D5216" s="538" t="n">
        <v>24.16</v>
      </c>
      <c r="E5216" s="538" t="n">
        <v>29.4</v>
      </c>
    </row>
    <row r="5217">
      <c r="A5217" s="544" t="n">
        <v>36511</v>
      </c>
      <c r="B5217" s="538" t="n">
        <v>26.22</v>
      </c>
      <c r="C5217" s="538" t="n">
        <v>26.76</v>
      </c>
      <c r="D5217" s="538" t="n">
        <v>24.33</v>
      </c>
      <c r="E5217" s="538" t="n">
        <v>29.75</v>
      </c>
    </row>
    <row r="5218">
      <c r="A5218" s="544" t="n">
        <v>36514</v>
      </c>
      <c r="B5218" s="538" t="n">
        <v>25.98</v>
      </c>
      <c r="C5218" s="538" t="n">
        <v>26.55</v>
      </c>
      <c r="D5218" s="538" t="n">
        <v>23.89</v>
      </c>
      <c r="E5218" s="538" t="n">
        <v>29.9</v>
      </c>
    </row>
    <row r="5219">
      <c r="A5219" s="544" t="n">
        <v>36515</v>
      </c>
      <c r="B5219" s="538" t="n">
        <v>25.51</v>
      </c>
      <c r="C5219" s="538" t="n">
        <v>26.34</v>
      </c>
      <c r="D5219" s="538" t="n">
        <v>23.82</v>
      </c>
      <c r="E5219" s="538" t="n">
        <v>29.95</v>
      </c>
    </row>
    <row r="5220">
      <c r="A5220" s="544" t="n">
        <v>36516</v>
      </c>
      <c r="B5220" s="538" t="n">
        <v>25.04</v>
      </c>
      <c r="C5220" s="538" t="n">
        <v>25.51</v>
      </c>
      <c r="D5220" s="538" t="n">
        <v>23.15</v>
      </c>
      <c r="E5220" s="538" t="n">
        <v>29.95</v>
      </c>
    </row>
    <row r="5221">
      <c r="A5221" s="544" t="n">
        <v>36517</v>
      </c>
      <c r="B5221" s="538" t="n">
        <v>25.11</v>
      </c>
      <c r="C5221" s="538" t="n">
        <v>25.86</v>
      </c>
      <c r="D5221" s="538" t="n">
        <v>24.16</v>
      </c>
      <c r="E5221" s="538" t="n">
        <v>29.45</v>
      </c>
    </row>
    <row r="5222">
      <c r="A5222" s="544" t="n">
        <v>36518</v>
      </c>
      <c r="B5222" s="538" t="n">
        <v>25.11</v>
      </c>
      <c r="C5222" s="538" t="n">
        <v>25.86</v>
      </c>
      <c r="D5222" s="538" t="n">
        <v>24.16</v>
      </c>
      <c r="E5222" s="538" t="n">
        <v>29.75</v>
      </c>
    </row>
    <row r="5223">
      <c r="A5223" s="544" t="n">
        <v>36521</v>
      </c>
      <c r="B5223" s="538" t="n">
        <v>25.11</v>
      </c>
      <c r="C5223" s="538" t="n">
        <v>26.36</v>
      </c>
      <c r="D5223" s="538" t="n">
        <v>23.56</v>
      </c>
      <c r="E5223" s="538" t="n">
        <v>29.75</v>
      </c>
    </row>
    <row r="5224">
      <c r="A5224" s="544" t="n">
        <v>36522</v>
      </c>
      <c r="B5224" s="538" t="n">
        <v>25.11</v>
      </c>
      <c r="C5224" s="538" t="n">
        <v>26.81</v>
      </c>
      <c r="D5224" s="538" t="n">
        <v>23.58</v>
      </c>
      <c r="E5224" s="538" t="n">
        <v>30</v>
      </c>
    </row>
    <row r="5225">
      <c r="A5225" s="544" t="n">
        <v>36523</v>
      </c>
      <c r="B5225" s="538" t="n">
        <v>25.63</v>
      </c>
      <c r="C5225" s="538" t="n">
        <v>26.41</v>
      </c>
      <c r="D5225" s="538" t="n">
        <v>23.44</v>
      </c>
      <c r="E5225" s="538" t="n">
        <v>30.4</v>
      </c>
    </row>
    <row r="5226">
      <c r="A5226" s="544" t="n">
        <v>36524</v>
      </c>
      <c r="B5226" s="538" t="n">
        <v>24.93</v>
      </c>
      <c r="C5226" s="538" t="n">
        <v>25.76</v>
      </c>
      <c r="D5226" s="538" t="n">
        <v>22.43</v>
      </c>
      <c r="E5226" s="538" t="n">
        <v>30.15</v>
      </c>
    </row>
    <row r="5227">
      <c r="A5227" s="544" t="n">
        <v>36525</v>
      </c>
      <c r="B5227" s="538" t="n">
        <v>24.93</v>
      </c>
      <c r="C5227" s="538" t="n">
        <v>25.76</v>
      </c>
      <c r="D5227" s="538" t="n">
        <v>22.43</v>
      </c>
      <c r="E5227" s="538" t="n">
        <v>30.15</v>
      </c>
    </row>
    <row r="5228">
      <c r="A5228" s="544" t="n">
        <v>36528</v>
      </c>
      <c r="B5228" s="538" t="n">
        <v>24.93</v>
      </c>
      <c r="C5228" s="538" t="n">
        <v>25.76</v>
      </c>
      <c r="D5228" s="538" t="n">
        <v>22.43</v>
      </c>
      <c r="E5228" s="538" t="n">
        <v>30.15</v>
      </c>
    </row>
    <row r="5229">
      <c r="A5229" s="544" t="n">
        <v>36529</v>
      </c>
      <c r="B5229" s="538" t="n">
        <v>23.95</v>
      </c>
      <c r="C5229" s="538" t="n">
        <v>25.56</v>
      </c>
      <c r="D5229" s="538" t="n">
        <v>22.34</v>
      </c>
      <c r="E5229" s="538" t="n">
        <v>29.7</v>
      </c>
    </row>
    <row r="5230">
      <c r="A5230" s="544" t="n">
        <v>36530</v>
      </c>
      <c r="B5230" s="538" t="n">
        <v>23.72</v>
      </c>
      <c r="C5230" s="538" t="n">
        <v>24.65</v>
      </c>
      <c r="D5230" s="538" t="n">
        <v>21.6</v>
      </c>
      <c r="E5230" s="538" t="n">
        <v>30.25</v>
      </c>
    </row>
    <row r="5231">
      <c r="A5231" s="544" t="n">
        <v>36531</v>
      </c>
      <c r="B5231" s="538" t="n">
        <v>23.55</v>
      </c>
      <c r="C5231" s="538" t="n">
        <v>24.79</v>
      </c>
      <c r="D5231" s="538" t="n">
        <v>21.56</v>
      </c>
      <c r="E5231" s="538" t="n">
        <v>29.85</v>
      </c>
    </row>
    <row r="5232">
      <c r="A5232" s="544" t="n">
        <v>36532</v>
      </c>
      <c r="B5232" s="538" t="n">
        <v>23.35</v>
      </c>
      <c r="C5232" s="538" t="n">
        <v>24.79</v>
      </c>
      <c r="D5232" s="538" t="n">
        <v>20.99</v>
      </c>
      <c r="E5232" s="538" t="n">
        <v>29.25</v>
      </c>
    </row>
    <row r="5233">
      <c r="A5233" s="544" t="n">
        <v>36535</v>
      </c>
      <c r="B5233" s="538" t="n">
        <v>22.77</v>
      </c>
      <c r="C5233" s="538" t="n">
        <v>24.71</v>
      </c>
      <c r="D5233" s="538" t="n">
        <v>22.21</v>
      </c>
      <c r="E5233" s="538" t="n">
        <v>29.25</v>
      </c>
    </row>
    <row r="5234">
      <c r="A5234" s="544" t="n">
        <v>36536</v>
      </c>
      <c r="B5234" s="538" t="n">
        <v>23.93</v>
      </c>
      <c r="C5234" s="538" t="n">
        <v>25.69</v>
      </c>
      <c r="D5234" s="538" t="n">
        <v>22.85</v>
      </c>
      <c r="E5234" s="538" t="n">
        <v>29.8</v>
      </c>
    </row>
    <row r="5235">
      <c r="A5235" s="544" t="n">
        <v>36537</v>
      </c>
      <c r="B5235" s="538" t="n">
        <v>24.62</v>
      </c>
      <c r="C5235" s="538" t="n">
        <v>26.3</v>
      </c>
      <c r="D5235" s="538" t="n">
        <v>23.33</v>
      </c>
      <c r="E5235" s="538" t="n">
        <v>29.7</v>
      </c>
    </row>
    <row r="5236">
      <c r="A5236" s="544" t="n">
        <v>36538</v>
      </c>
      <c r="B5236" s="538" t="n">
        <v>24.9</v>
      </c>
      <c r="C5236" s="538" t="n">
        <v>26.63</v>
      </c>
      <c r="D5236" s="538" t="n">
        <v>23.06</v>
      </c>
      <c r="E5236" s="538" t="n">
        <v>30.5</v>
      </c>
    </row>
    <row r="5237">
      <c r="A5237" s="544" t="n">
        <v>36539</v>
      </c>
      <c r="B5237" s="538" t="n">
        <v>25.5</v>
      </c>
      <c r="C5237" s="538" t="n">
        <v>28.01</v>
      </c>
      <c r="D5237" s="538" t="n">
        <v>23.8</v>
      </c>
      <c r="E5237" s="538" t="n">
        <v>30.9</v>
      </c>
    </row>
    <row r="5238">
      <c r="A5238" s="544" t="n">
        <v>36542</v>
      </c>
      <c r="B5238" s="538" t="n">
        <v>25.99</v>
      </c>
      <c r="C5238" s="538" t="n">
        <v>28.01</v>
      </c>
      <c r="D5238" s="538" t="n">
        <v>23.8</v>
      </c>
      <c r="E5238" s="538" t="n">
        <v>31.35</v>
      </c>
    </row>
    <row r="5239">
      <c r="A5239" s="544" t="n">
        <v>36543</v>
      </c>
      <c r="B5239" s="538" t="n">
        <v>26.31</v>
      </c>
      <c r="C5239" s="538" t="n">
        <v>28.98</v>
      </c>
      <c r="D5239" s="538" t="n">
        <v>24.11</v>
      </c>
      <c r="E5239" s="538" t="n">
        <v>32.25</v>
      </c>
    </row>
    <row r="5240">
      <c r="A5240" s="544" t="n">
        <v>36544</v>
      </c>
      <c r="B5240" s="538" t="n">
        <v>26.17</v>
      </c>
      <c r="C5240" s="538" t="n">
        <v>29.11</v>
      </c>
      <c r="D5240" s="538" t="n">
        <v>23.69</v>
      </c>
      <c r="E5240" s="538" t="n">
        <v>32.05</v>
      </c>
    </row>
    <row r="5241">
      <c r="A5241" s="544" t="n">
        <v>36545</v>
      </c>
      <c r="B5241" s="538" t="n">
        <v>26.26</v>
      </c>
      <c r="C5241" s="538" t="n">
        <v>29.67</v>
      </c>
      <c r="D5241" s="538" t="n">
        <v>24.17</v>
      </c>
      <c r="E5241" s="538" t="n">
        <v>31.8</v>
      </c>
    </row>
    <row r="5242">
      <c r="A5242" s="544" t="n">
        <v>36546</v>
      </c>
      <c r="B5242" s="538" t="n">
        <v>27.18</v>
      </c>
      <c r="C5242" s="538" t="n">
        <v>29.71</v>
      </c>
      <c r="D5242" s="538" t="n">
        <v>24.63</v>
      </c>
      <c r="E5242" s="538" t="n">
        <v>35.3</v>
      </c>
    </row>
    <row r="5243">
      <c r="A5243" s="544" t="n">
        <v>36549</v>
      </c>
      <c r="B5243" s="538" t="n">
        <v>27.02</v>
      </c>
      <c r="C5243" s="538" t="n">
        <v>29.25</v>
      </c>
      <c r="D5243" s="538" t="n">
        <v>23.99</v>
      </c>
      <c r="E5243" s="538" t="n">
        <v>34.25</v>
      </c>
    </row>
    <row r="5244">
      <c r="A5244" s="544" t="n">
        <v>36550</v>
      </c>
      <c r="B5244" s="538" t="n">
        <v>27.24</v>
      </c>
      <c r="C5244" s="538" t="n">
        <v>30.28</v>
      </c>
      <c r="D5244" s="538" t="n">
        <v>25.02</v>
      </c>
      <c r="E5244" s="538" t="n">
        <v>33.25</v>
      </c>
    </row>
    <row r="5245">
      <c r="A5245" s="544" t="n">
        <v>36551</v>
      </c>
      <c r="B5245" s="538" t="n">
        <v>27.18</v>
      </c>
      <c r="C5245" s="538" t="n">
        <v>27.66</v>
      </c>
      <c r="D5245" s="538" t="n">
        <v>23.84</v>
      </c>
      <c r="E5245" s="538" t="n">
        <v>32.75</v>
      </c>
    </row>
    <row r="5246">
      <c r="A5246" s="544" t="n">
        <v>36552</v>
      </c>
      <c r="B5246" s="538" t="n">
        <v>26.91</v>
      </c>
      <c r="C5246" s="538" t="n">
        <v>27.22</v>
      </c>
      <c r="D5246" s="538" t="n">
        <v>23.47</v>
      </c>
      <c r="E5246" s="538" t="n">
        <v>31.9</v>
      </c>
    </row>
    <row r="5247">
      <c r="A5247" s="544" t="n">
        <v>36553</v>
      </c>
      <c r="B5247" s="538" t="n">
        <v>26.59</v>
      </c>
      <c r="C5247" s="538" t="n">
        <v>27.27</v>
      </c>
      <c r="D5247" s="538" t="n">
        <v>23.63</v>
      </c>
      <c r="E5247" s="538" t="n">
        <v>30.75</v>
      </c>
    </row>
    <row r="5248">
      <c r="A5248" s="544" t="n">
        <v>36556</v>
      </c>
      <c r="B5248" s="538" t="n">
        <v>27.08</v>
      </c>
      <c r="C5248" s="538" t="n">
        <v>27.65</v>
      </c>
      <c r="D5248" s="538" t="n">
        <v>24</v>
      </c>
      <c r="E5248" s="538" t="n">
        <v>30.9</v>
      </c>
    </row>
    <row r="5249">
      <c r="A5249" s="544" t="n">
        <v>36557</v>
      </c>
      <c r="B5249" s="538" t="n">
        <v>27.35</v>
      </c>
      <c r="C5249" s="538" t="n">
        <v>28.28</v>
      </c>
      <c r="D5249" s="538" t="n">
        <v>24.4</v>
      </c>
      <c r="E5249" s="538" t="n">
        <v>30.9</v>
      </c>
    </row>
    <row r="5250">
      <c r="A5250" s="544" t="n">
        <v>36558</v>
      </c>
      <c r="B5250" s="538" t="n">
        <v>27.15</v>
      </c>
      <c r="C5250" s="538" t="n">
        <v>27.52</v>
      </c>
      <c r="D5250" s="538" t="n">
        <v>23.86</v>
      </c>
      <c r="E5250" s="538" t="n">
        <v>30.9</v>
      </c>
    </row>
    <row r="5251">
      <c r="A5251" s="544" t="n">
        <v>36559</v>
      </c>
      <c r="B5251" s="538" t="n">
        <v>27.6</v>
      </c>
      <c r="C5251" s="538" t="n">
        <v>28.26</v>
      </c>
      <c r="D5251" s="538" t="n">
        <v>24.78</v>
      </c>
      <c r="E5251" s="538" t="n">
        <v>30.9</v>
      </c>
    </row>
    <row r="5252">
      <c r="A5252" s="544" t="n">
        <v>36560</v>
      </c>
      <c r="B5252" s="538" t="n">
        <v>27.48</v>
      </c>
      <c r="C5252" s="538" t="n">
        <v>28.67</v>
      </c>
      <c r="D5252" s="538" t="n">
        <v>25.76</v>
      </c>
      <c r="E5252" s="538" t="n">
        <v>30.5</v>
      </c>
    </row>
    <row r="5253">
      <c r="A5253" s="544" t="n">
        <v>36563</v>
      </c>
      <c r="B5253" s="538" t="n">
        <v>27.94</v>
      </c>
      <c r="C5253" s="538" t="n">
        <v>28.4</v>
      </c>
      <c r="D5253" s="538" t="n">
        <v>24.7</v>
      </c>
      <c r="E5253" s="538" t="n">
        <v>30.5</v>
      </c>
    </row>
    <row r="5254">
      <c r="A5254" s="544" t="n">
        <v>36564</v>
      </c>
      <c r="B5254" s="538" t="n">
        <v>27.61</v>
      </c>
      <c r="C5254" s="538" t="n">
        <v>28.05</v>
      </c>
      <c r="D5254" s="538" t="n">
        <v>24.24</v>
      </c>
      <c r="E5254" s="538" t="n">
        <v>30.75</v>
      </c>
    </row>
    <row r="5255">
      <c r="A5255" s="544" t="n">
        <v>36565</v>
      </c>
      <c r="B5255" s="538" t="n">
        <v>27.44</v>
      </c>
      <c r="C5255" s="538" t="n">
        <v>28.71</v>
      </c>
      <c r="D5255" s="538" t="n">
        <v>24.76</v>
      </c>
      <c r="E5255" s="538" t="n">
        <v>30.55</v>
      </c>
    </row>
    <row r="5256">
      <c r="A5256" s="544" t="n">
        <v>36566</v>
      </c>
      <c r="B5256" s="538" t="n">
        <v>27.32</v>
      </c>
      <c r="C5256" s="538" t="n">
        <v>29.49</v>
      </c>
      <c r="D5256" s="538" t="n">
        <v>25.35</v>
      </c>
      <c r="E5256" s="538" t="n">
        <v>31.25</v>
      </c>
    </row>
    <row r="5257">
      <c r="A5257" s="544" t="n">
        <v>36567</v>
      </c>
      <c r="B5257" s="538" t="n">
        <v>27.82</v>
      </c>
      <c r="C5257" s="538" t="n">
        <v>29.51</v>
      </c>
      <c r="D5257" s="538" t="n">
        <v>25.53</v>
      </c>
      <c r="E5257" s="538" t="n">
        <v>31.25</v>
      </c>
    </row>
    <row r="5258">
      <c r="A5258" s="544" t="n">
        <v>36570</v>
      </c>
      <c r="B5258" s="538" t="n">
        <v>28.03</v>
      </c>
      <c r="C5258" s="538" t="n">
        <v>30.3</v>
      </c>
      <c r="D5258" s="538" t="n">
        <v>26.17</v>
      </c>
      <c r="E5258" s="538" t="n">
        <v>31</v>
      </c>
    </row>
    <row r="5259">
      <c r="A5259" s="544" t="n">
        <v>36571</v>
      </c>
      <c r="B5259" s="538" t="n">
        <v>28.12</v>
      </c>
      <c r="C5259" s="538" t="n">
        <v>30.17</v>
      </c>
      <c r="D5259" s="538" t="n">
        <v>26.05</v>
      </c>
      <c r="E5259" s="538" t="n">
        <v>31.3</v>
      </c>
    </row>
    <row r="5260">
      <c r="A5260" s="544" t="n">
        <v>36572</v>
      </c>
      <c r="B5260" s="538" t="n">
        <v>28.11</v>
      </c>
      <c r="C5260" s="538" t="n">
        <v>30.01</v>
      </c>
      <c r="D5260" s="538" t="n">
        <v>25.11</v>
      </c>
      <c r="E5260" s="538" t="n">
        <v>31.3</v>
      </c>
    </row>
    <row r="5261">
      <c r="A5261" s="544" t="n">
        <v>36573</v>
      </c>
      <c r="B5261" s="538" t="n">
        <v>27.54</v>
      </c>
      <c r="C5261" s="538" t="n">
        <v>29.37</v>
      </c>
      <c r="D5261" s="538" t="n">
        <v>24.28</v>
      </c>
      <c r="E5261" s="538" t="n">
        <v>31.25</v>
      </c>
    </row>
    <row r="5262">
      <c r="A5262" s="544" t="n">
        <v>36574</v>
      </c>
      <c r="B5262" s="538" t="n">
        <v>27.26</v>
      </c>
      <c r="C5262" s="538" t="n">
        <v>29.51</v>
      </c>
      <c r="D5262" s="538" t="n">
        <v>23.96</v>
      </c>
      <c r="E5262" s="538" t="n">
        <v>31.5</v>
      </c>
    </row>
    <row r="5263">
      <c r="A5263" s="544" t="n">
        <v>36577</v>
      </c>
      <c r="B5263" s="538" t="n">
        <v>26.93</v>
      </c>
      <c r="C5263" s="538" t="n">
        <v>29.51</v>
      </c>
      <c r="D5263" s="538" t="n">
        <v>23.96</v>
      </c>
      <c r="E5263" s="538" t="n">
        <v>31.7</v>
      </c>
    </row>
    <row r="5264">
      <c r="A5264" s="544" t="n">
        <v>36578</v>
      </c>
      <c r="B5264" s="538" t="n">
        <v>27.22</v>
      </c>
      <c r="C5264" s="538" t="n">
        <v>29.63</v>
      </c>
      <c r="D5264" s="538" t="n">
        <v>24.19</v>
      </c>
      <c r="E5264" s="538" t="n">
        <v>31.25</v>
      </c>
    </row>
    <row r="5265">
      <c r="A5265" s="544" t="n">
        <v>36579</v>
      </c>
      <c r="B5265" s="538" t="n">
        <v>27.92</v>
      </c>
      <c r="C5265" s="538" t="n">
        <v>30.19</v>
      </c>
      <c r="D5265" s="538" t="n">
        <v>24.88</v>
      </c>
      <c r="E5265" s="538" t="n">
        <v>31.05</v>
      </c>
    </row>
    <row r="5266">
      <c r="A5266" s="544" t="n">
        <v>36580</v>
      </c>
      <c r="B5266" s="538" t="n">
        <v>28.21</v>
      </c>
      <c r="C5266" s="538" t="n">
        <v>30.23</v>
      </c>
      <c r="D5266" s="538" t="n">
        <v>24.58</v>
      </c>
      <c r="E5266" s="538" t="n">
        <v>31.05</v>
      </c>
    </row>
    <row r="5267">
      <c r="A5267" s="544" t="n">
        <v>36581</v>
      </c>
      <c r="B5267" s="538" t="n">
        <v>28.53</v>
      </c>
      <c r="C5267" s="538" t="n">
        <v>30.34</v>
      </c>
      <c r="D5267" s="538" t="n">
        <v>25.09</v>
      </c>
      <c r="E5267" s="538" t="n">
        <v>30.9</v>
      </c>
    </row>
    <row r="5268">
      <c r="A5268" s="544" t="n">
        <v>36584</v>
      </c>
      <c r="B5268" s="538" t="n">
        <v>28.7</v>
      </c>
      <c r="C5268" s="538" t="n">
        <v>30.11</v>
      </c>
      <c r="D5268" s="538" t="n">
        <v>24.74</v>
      </c>
      <c r="E5268" s="538" t="n">
        <v>31.3</v>
      </c>
    </row>
    <row r="5269">
      <c r="A5269" s="544" t="n">
        <v>36585</v>
      </c>
      <c r="B5269" s="538" t="n">
        <v>29.01</v>
      </c>
      <c r="C5269" s="538" t="n">
        <v>30.57</v>
      </c>
      <c r="D5269" s="538" t="n">
        <v>25.57</v>
      </c>
      <c r="E5269" s="538" t="n">
        <v>31.3</v>
      </c>
    </row>
    <row r="5270">
      <c r="A5270" s="544" t="n">
        <v>36586</v>
      </c>
      <c r="B5270" s="538" t="n">
        <v>29.78</v>
      </c>
      <c r="C5270" s="538" t="n">
        <v>31.71</v>
      </c>
      <c r="D5270" s="538" t="n">
        <v>26.22</v>
      </c>
      <c r="E5270" s="538" t="n">
        <v>32.3</v>
      </c>
    </row>
    <row r="5271">
      <c r="A5271" s="544" t="n">
        <v>36587</v>
      </c>
      <c r="B5271" s="538" t="n">
        <v>30.12</v>
      </c>
      <c r="C5271" s="538" t="n">
        <v>31.51</v>
      </c>
      <c r="D5271" s="538" t="n">
        <v>26.39</v>
      </c>
      <c r="E5271" s="538" t="n">
        <v>33.25</v>
      </c>
    </row>
    <row r="5272">
      <c r="A5272" s="544" t="n">
        <v>36588</v>
      </c>
      <c r="B5272" s="538" t="n">
        <v>29.83</v>
      </c>
      <c r="C5272" s="538" t="n">
        <v>31.46</v>
      </c>
      <c r="D5272" s="538" t="n">
        <v>26.12</v>
      </c>
      <c r="E5272" s="538" t="n">
        <v>34</v>
      </c>
    </row>
    <row r="5273">
      <c r="A5273" s="544" t="n">
        <v>36591</v>
      </c>
      <c r="B5273" s="538" t="n">
        <v>30.08</v>
      </c>
      <c r="C5273" s="538" t="n">
        <v>32.19</v>
      </c>
      <c r="D5273" s="538" t="n">
        <v>26.98</v>
      </c>
      <c r="E5273" s="538" t="n">
        <v>34.25</v>
      </c>
    </row>
    <row r="5274">
      <c r="A5274" s="544" t="n">
        <v>36592</v>
      </c>
      <c r="B5274" s="538" t="n">
        <v>31.93</v>
      </c>
      <c r="C5274" s="538" t="n">
        <v>33.9</v>
      </c>
      <c r="D5274" s="538" t="n">
        <v>28.9</v>
      </c>
      <c r="E5274" s="538" t="n">
        <v>37.25</v>
      </c>
    </row>
    <row r="5275">
      <c r="A5275" s="544" t="n">
        <v>36593</v>
      </c>
      <c r="B5275" s="538" t="n">
        <v>31.41</v>
      </c>
      <c r="C5275" s="538" t="n">
        <v>31.22</v>
      </c>
      <c r="D5275" s="538" t="n">
        <v>24.99</v>
      </c>
      <c r="E5275" s="538" t="n">
        <v>37.25</v>
      </c>
    </row>
    <row r="5276">
      <c r="A5276" s="544" t="n">
        <v>36594</v>
      </c>
      <c r="B5276" s="538" t="n">
        <v>29.11</v>
      </c>
      <c r="C5276" s="538" t="n">
        <v>31.61</v>
      </c>
      <c r="D5276" s="538" t="n">
        <v>26.04</v>
      </c>
      <c r="E5276" s="538" t="n">
        <v>37</v>
      </c>
    </row>
    <row r="5277">
      <c r="A5277" s="544" t="n">
        <v>36595</v>
      </c>
      <c r="B5277" s="538" t="n">
        <v>28.97</v>
      </c>
      <c r="C5277" s="538" t="n">
        <v>31.76</v>
      </c>
      <c r="D5277" s="538" t="n">
        <v>26.04</v>
      </c>
      <c r="E5277" s="538" t="n">
        <v>33</v>
      </c>
    </row>
    <row r="5278">
      <c r="A5278" s="544" t="n">
        <v>36598</v>
      </c>
      <c r="B5278" s="538" t="n">
        <v>29.25</v>
      </c>
      <c r="C5278" s="538" t="n">
        <v>32.11</v>
      </c>
      <c r="D5278" s="538" t="n">
        <v>25.6</v>
      </c>
      <c r="E5278" s="538" t="n">
        <v>33.5</v>
      </c>
    </row>
    <row r="5279">
      <c r="A5279" s="544" t="n">
        <v>36599</v>
      </c>
      <c r="B5279" s="538" t="n">
        <v>28.83</v>
      </c>
      <c r="C5279" s="538" t="n">
        <v>31.93</v>
      </c>
      <c r="D5279" s="538" t="n">
        <v>25.37</v>
      </c>
      <c r="E5279" s="538" t="n">
        <v>35</v>
      </c>
    </row>
    <row r="5280">
      <c r="A5280" s="544" t="n">
        <v>36600</v>
      </c>
      <c r="B5280" s="538" t="n">
        <v>28.03</v>
      </c>
      <c r="C5280" s="538" t="n">
        <v>30.47</v>
      </c>
      <c r="D5280" s="538" t="n">
        <v>24.12</v>
      </c>
      <c r="E5280" s="538" t="n">
        <v>35</v>
      </c>
    </row>
    <row r="5281">
      <c r="A5281" s="544" t="n">
        <v>36601</v>
      </c>
      <c r="B5281" s="538" t="n">
        <v>27.97</v>
      </c>
      <c r="C5281" s="538" t="n">
        <v>31.1</v>
      </c>
      <c r="D5281" s="538" t="n">
        <v>24.59</v>
      </c>
      <c r="E5281" s="538" t="n">
        <v>35</v>
      </c>
    </row>
    <row r="5282">
      <c r="A5282" s="544" t="n">
        <v>36602</v>
      </c>
      <c r="B5282" s="538" t="n">
        <v>27.87</v>
      </c>
      <c r="C5282" s="538" t="n">
        <v>30.86</v>
      </c>
      <c r="D5282" s="538" t="n">
        <v>24.14</v>
      </c>
      <c r="E5282" s="538" t="n">
        <v>33.25</v>
      </c>
    </row>
    <row r="5283">
      <c r="A5283" s="544" t="n">
        <v>36605</v>
      </c>
      <c r="B5283" s="538" t="n">
        <v>25.59</v>
      </c>
      <c r="C5283" s="538" t="n">
        <v>29.33</v>
      </c>
      <c r="D5283" s="538" t="n">
        <v>23.04</v>
      </c>
      <c r="E5283" s="538" t="n">
        <v>32.5</v>
      </c>
    </row>
    <row r="5284">
      <c r="A5284" s="544" t="n">
        <v>36606</v>
      </c>
      <c r="B5284" s="538" t="n">
        <v>24.93</v>
      </c>
      <c r="C5284" s="538" t="n">
        <v>28.01</v>
      </c>
      <c r="D5284" s="538" t="n">
        <v>24.34</v>
      </c>
      <c r="E5284" s="538" t="n">
        <v>30.75</v>
      </c>
    </row>
    <row r="5285">
      <c r="A5285" s="544" t="n">
        <v>36607</v>
      </c>
      <c r="B5285" s="538" t="n">
        <v>25.77</v>
      </c>
      <c r="C5285" s="538" t="n">
        <v>27.28</v>
      </c>
      <c r="D5285" s="538" t="n">
        <v>23.74</v>
      </c>
      <c r="E5285" s="538" t="n">
        <v>30.25</v>
      </c>
    </row>
    <row r="5286">
      <c r="A5286" s="544" t="n">
        <v>36608</v>
      </c>
      <c r="B5286" s="538" t="n">
        <v>25.32</v>
      </c>
      <c r="C5286" s="538" t="n">
        <v>27.47</v>
      </c>
      <c r="D5286" s="538" t="n">
        <v>24.14</v>
      </c>
      <c r="E5286" s="538" t="n">
        <v>30.25</v>
      </c>
    </row>
    <row r="5287">
      <c r="A5287" s="544" t="n">
        <v>36609</v>
      </c>
      <c r="B5287" s="538" t="n">
        <v>25.74</v>
      </c>
      <c r="C5287" s="538" t="n">
        <v>27.86</v>
      </c>
      <c r="D5287" s="538" t="n">
        <v>25.16</v>
      </c>
      <c r="E5287" s="538" t="n">
        <v>31.25</v>
      </c>
    </row>
    <row r="5288">
      <c r="A5288" s="544" t="n">
        <v>36612</v>
      </c>
      <c r="B5288" s="538" t="n">
        <v>25.16</v>
      </c>
      <c r="C5288" s="538" t="n">
        <v>27.59</v>
      </c>
      <c r="D5288" s="538" t="n">
        <v>24.22</v>
      </c>
      <c r="E5288" s="538" t="n">
        <v>31.1</v>
      </c>
    </row>
    <row r="5289">
      <c r="A5289" s="544" t="n">
        <v>36613</v>
      </c>
      <c r="B5289" s="538" t="n">
        <v>24.8</v>
      </c>
      <c r="C5289" s="538" t="n">
        <v>27.1</v>
      </c>
      <c r="D5289" s="538" t="n">
        <v>24.14</v>
      </c>
      <c r="E5289" s="538" t="n">
        <v>30.8</v>
      </c>
    </row>
    <row r="5290">
      <c r="A5290" s="544" t="n">
        <v>36614</v>
      </c>
      <c r="B5290" s="538" t="n">
        <v>23.77</v>
      </c>
      <c r="C5290" s="538" t="n">
        <v>26.36</v>
      </c>
      <c r="D5290" s="538" t="n">
        <v>23.12</v>
      </c>
      <c r="E5290" s="538" t="n">
        <v>30.75</v>
      </c>
    </row>
    <row r="5291">
      <c r="A5291" s="544" t="n">
        <v>36615</v>
      </c>
      <c r="B5291" s="538" t="n">
        <v>23.94</v>
      </c>
      <c r="C5291" s="538" t="n">
        <v>26.67</v>
      </c>
      <c r="D5291" s="538" t="n">
        <v>23.55</v>
      </c>
      <c r="E5291" s="538" t="n">
        <v>29.55</v>
      </c>
    </row>
    <row r="5292">
      <c r="A5292" s="544" t="n">
        <v>36616</v>
      </c>
      <c r="B5292" s="538" t="n">
        <v>23.98</v>
      </c>
      <c r="C5292" s="538" t="n">
        <v>26.86</v>
      </c>
      <c r="D5292" s="538" t="n">
        <v>24.12</v>
      </c>
      <c r="E5292" s="538" t="n">
        <v>29.75</v>
      </c>
    </row>
    <row r="5293">
      <c r="A5293" s="544" t="n">
        <v>36619</v>
      </c>
      <c r="B5293" s="538" t="n">
        <v>24.62</v>
      </c>
      <c r="C5293" s="538" t="n">
        <v>26.28</v>
      </c>
      <c r="D5293" s="538" t="n">
        <v>23.6</v>
      </c>
      <c r="E5293" s="538" t="n">
        <v>29.75</v>
      </c>
    </row>
    <row r="5294">
      <c r="A5294" s="544" t="n">
        <v>36620</v>
      </c>
      <c r="B5294" s="538" t="n">
        <v>23.26</v>
      </c>
      <c r="C5294" s="538" t="n">
        <v>25.46</v>
      </c>
      <c r="D5294" s="538" t="n">
        <v>22.65</v>
      </c>
      <c r="E5294" s="538" t="n">
        <v>29.25</v>
      </c>
    </row>
    <row r="5295">
      <c r="A5295" s="544" t="n">
        <v>36621</v>
      </c>
      <c r="B5295" s="538" t="n">
        <v>22.98</v>
      </c>
      <c r="C5295" s="538" t="n">
        <v>25.76</v>
      </c>
      <c r="D5295" s="538" t="n">
        <v>22.96</v>
      </c>
      <c r="E5295" s="538" t="n">
        <v>28.25</v>
      </c>
    </row>
    <row r="5296">
      <c r="A5296" s="544" t="n">
        <v>36622</v>
      </c>
      <c r="B5296" s="538" t="n">
        <v>22.9</v>
      </c>
      <c r="C5296" s="538" t="n">
        <v>25.51</v>
      </c>
      <c r="D5296" s="538" t="n">
        <v>22.22</v>
      </c>
      <c r="E5296" s="538" t="n">
        <v>28.75</v>
      </c>
    </row>
    <row r="5297">
      <c r="A5297" s="544" t="n">
        <v>36623</v>
      </c>
      <c r="B5297" s="538" t="n">
        <v>22.63</v>
      </c>
      <c r="C5297" s="538" t="n">
        <v>24.97</v>
      </c>
      <c r="D5297" s="538" t="n">
        <v>21.53</v>
      </c>
      <c r="E5297" s="538" t="n">
        <v>28.25</v>
      </c>
    </row>
    <row r="5298">
      <c r="A5298" s="544" t="n">
        <v>36626</v>
      </c>
      <c r="B5298" s="538" t="n">
        <v>21.08</v>
      </c>
      <c r="C5298" s="538" t="n">
        <v>23.91</v>
      </c>
      <c r="D5298" s="538" t="n">
        <v>20.39</v>
      </c>
      <c r="E5298" s="538" t="n">
        <v>26</v>
      </c>
    </row>
    <row r="5299">
      <c r="A5299" s="544" t="n">
        <v>36627</v>
      </c>
      <c r="B5299" s="538" t="n">
        <v>21.05</v>
      </c>
      <c r="C5299" s="538" t="n">
        <v>24.17</v>
      </c>
      <c r="D5299" s="538" t="n">
        <v>20.79</v>
      </c>
      <c r="E5299" s="538" t="n">
        <v>25.5</v>
      </c>
    </row>
    <row r="5300">
      <c r="A5300" s="544" t="n">
        <v>36628</v>
      </c>
      <c r="B5300" s="538" t="n">
        <v>21.4</v>
      </c>
      <c r="C5300" s="538" t="n">
        <v>25.49</v>
      </c>
      <c r="D5300" s="538" t="n">
        <v>21.98</v>
      </c>
      <c r="E5300" s="538" t="n">
        <v>26</v>
      </c>
    </row>
    <row r="5301">
      <c r="A5301" s="544" t="n">
        <v>36629</v>
      </c>
      <c r="B5301" s="538" t="n">
        <v>22.65</v>
      </c>
      <c r="C5301" s="538" t="n">
        <v>25.29</v>
      </c>
      <c r="D5301" s="538" t="n">
        <v>21.79</v>
      </c>
      <c r="E5301" s="538" t="n">
        <v>26.3</v>
      </c>
    </row>
    <row r="5302">
      <c r="A5302" s="544" t="n">
        <v>36630</v>
      </c>
      <c r="B5302" s="538" t="n">
        <v>22.13</v>
      </c>
      <c r="C5302" s="538" t="n">
        <v>25.48</v>
      </c>
      <c r="D5302" s="538" t="n">
        <v>21.68</v>
      </c>
      <c r="E5302" s="538" t="n">
        <v>25.8</v>
      </c>
    </row>
    <row r="5303">
      <c r="A5303" s="544" t="n">
        <v>36633</v>
      </c>
      <c r="B5303" s="538" t="n">
        <v>22.2</v>
      </c>
      <c r="C5303" s="538" t="n">
        <v>26.06</v>
      </c>
      <c r="D5303" s="538" t="n">
        <v>21.59</v>
      </c>
      <c r="E5303" s="538" t="n">
        <v>28.1</v>
      </c>
    </row>
    <row r="5304">
      <c r="A5304" s="544" t="n">
        <v>36634</v>
      </c>
      <c r="B5304" s="538" t="n">
        <v>22.67</v>
      </c>
      <c r="C5304" s="538" t="n">
        <v>25.92</v>
      </c>
      <c r="D5304" s="538" t="n">
        <v>21.44</v>
      </c>
      <c r="E5304" s="538" t="n">
        <v>28.5</v>
      </c>
    </row>
    <row r="5305">
      <c r="A5305" s="544" t="n">
        <v>36635</v>
      </c>
      <c r="B5305" s="538" t="n">
        <v>23.5</v>
      </c>
      <c r="C5305" s="538" t="n">
        <v>27.38</v>
      </c>
      <c r="D5305" s="538" t="n">
        <v>22.32</v>
      </c>
      <c r="E5305" s="538" t="n">
        <v>28.2</v>
      </c>
    </row>
    <row r="5306">
      <c r="A5306" s="544" t="n">
        <v>36636</v>
      </c>
      <c r="B5306" s="538" t="n">
        <v>23.57</v>
      </c>
      <c r="C5306" s="538" t="n">
        <v>27.29</v>
      </c>
      <c r="D5306" s="538" t="n">
        <v>22.46</v>
      </c>
      <c r="E5306" s="538" t="n">
        <v>28.6</v>
      </c>
    </row>
    <row r="5307">
      <c r="A5307" s="544" t="n">
        <v>36637</v>
      </c>
      <c r="B5307" s="538" t="n">
        <v>23.57</v>
      </c>
      <c r="C5307" s="538" t="n">
        <v>27.29</v>
      </c>
      <c r="D5307" s="538" t="n">
        <v>22.46</v>
      </c>
      <c r="E5307" s="538" t="n">
        <v>28.6</v>
      </c>
    </row>
    <row r="5308">
      <c r="A5308" s="544" t="n">
        <v>36640</v>
      </c>
      <c r="B5308" s="538" t="n">
        <v>23.57</v>
      </c>
      <c r="C5308" s="538" t="n">
        <v>27.41</v>
      </c>
      <c r="D5308" s="538" t="n">
        <v>22.82</v>
      </c>
      <c r="E5308" s="538" t="n">
        <v>28.4</v>
      </c>
    </row>
    <row r="5309">
      <c r="A5309" s="544" t="n">
        <v>36641</v>
      </c>
      <c r="B5309" s="538" t="n">
        <v>23.36</v>
      </c>
      <c r="C5309" s="538" t="n">
        <v>26.41</v>
      </c>
      <c r="D5309" s="538" t="n">
        <v>22.13</v>
      </c>
      <c r="E5309" s="538" t="n">
        <v>28</v>
      </c>
    </row>
    <row r="5310">
      <c r="A5310" s="544" t="n">
        <v>36642</v>
      </c>
      <c r="B5310" s="538" t="n">
        <v>22.9</v>
      </c>
      <c r="C5310" s="538" t="n">
        <v>24.69</v>
      </c>
      <c r="D5310" s="538" t="n">
        <v>22.42</v>
      </c>
      <c r="E5310" s="538" t="n">
        <v>28</v>
      </c>
    </row>
    <row r="5311">
      <c r="A5311" s="544" t="n">
        <v>36643</v>
      </c>
      <c r="B5311" s="538" t="n">
        <v>23.07</v>
      </c>
      <c r="C5311" s="538" t="n">
        <v>25.53</v>
      </c>
      <c r="D5311" s="538" t="n">
        <v>23.66</v>
      </c>
      <c r="E5311" s="538" t="n">
        <v>27.9</v>
      </c>
    </row>
    <row r="5312">
      <c r="A5312" s="544" t="n">
        <v>36644</v>
      </c>
      <c r="B5312" s="538" t="n">
        <v>23.79</v>
      </c>
      <c r="C5312" s="538" t="n">
        <v>25.71</v>
      </c>
      <c r="D5312" s="538" t="n">
        <v>22.93</v>
      </c>
      <c r="E5312" s="538" t="n">
        <v>28.7</v>
      </c>
    </row>
    <row r="5313">
      <c r="A5313" s="544" t="n">
        <v>36647</v>
      </c>
      <c r="B5313" s="538" t="n">
        <v>23.79</v>
      </c>
      <c r="C5313" s="538" t="n">
        <v>25.84</v>
      </c>
      <c r="D5313" s="538" t="n">
        <v>22.78</v>
      </c>
      <c r="E5313" s="538" t="n">
        <v>28.7</v>
      </c>
    </row>
    <row r="5314">
      <c r="A5314" s="544" t="n">
        <v>36648</v>
      </c>
      <c r="B5314" s="538" t="n">
        <v>24.73</v>
      </c>
      <c r="C5314" s="538" t="n">
        <v>26.86</v>
      </c>
      <c r="D5314" s="538" t="n">
        <v>24.09</v>
      </c>
      <c r="E5314" s="538" t="n">
        <v>28.7</v>
      </c>
    </row>
    <row r="5315">
      <c r="A5315" s="544" t="n">
        <v>36649</v>
      </c>
      <c r="B5315" s="538" t="n">
        <v>25.13</v>
      </c>
      <c r="C5315" s="538" t="n">
        <v>26.6</v>
      </c>
      <c r="D5315" s="538" t="n">
        <v>23.78</v>
      </c>
      <c r="E5315" s="538" t="n">
        <v>28.7</v>
      </c>
    </row>
    <row r="5316">
      <c r="A5316" s="544" t="n">
        <v>36650</v>
      </c>
      <c r="B5316" s="538" t="n">
        <v>25.06</v>
      </c>
      <c r="C5316" s="538" t="n">
        <v>27.08</v>
      </c>
      <c r="D5316" s="538" t="n">
        <v>23.44</v>
      </c>
      <c r="E5316" s="538" t="n">
        <v>28.1</v>
      </c>
    </row>
    <row r="5317">
      <c r="A5317" s="544" t="n">
        <v>36651</v>
      </c>
      <c r="B5317" s="538" t="n">
        <v>24.93</v>
      </c>
      <c r="C5317" s="538" t="n">
        <v>27.37</v>
      </c>
      <c r="D5317" s="538" t="n">
        <v>23.58</v>
      </c>
      <c r="E5317" s="538" t="n">
        <v>27.9</v>
      </c>
    </row>
    <row r="5318">
      <c r="A5318" s="544" t="n">
        <v>36654</v>
      </c>
      <c r="B5318" s="538" t="n">
        <v>26.03</v>
      </c>
      <c r="C5318" s="538" t="n">
        <v>28.05</v>
      </c>
      <c r="D5318" s="538" t="n">
        <v>24.4</v>
      </c>
      <c r="E5318" s="538" t="n">
        <v>27.9</v>
      </c>
    </row>
    <row r="5319">
      <c r="A5319" s="544" t="n">
        <v>36655</v>
      </c>
      <c r="B5319" s="538" t="n">
        <v>26.69</v>
      </c>
      <c r="C5319" s="538" t="n">
        <v>28.46</v>
      </c>
      <c r="D5319" s="538" t="n">
        <v>25.44</v>
      </c>
      <c r="E5319" s="538" t="n">
        <v>28.1</v>
      </c>
    </row>
    <row r="5320">
      <c r="A5320" s="544" t="n">
        <v>36656</v>
      </c>
      <c r="B5320" s="538" t="n">
        <v>26.59</v>
      </c>
      <c r="C5320" s="538" t="n">
        <v>28.1</v>
      </c>
      <c r="D5320" s="538" t="n">
        <v>25.38</v>
      </c>
      <c r="E5320" s="538" t="n">
        <v>28.7</v>
      </c>
    </row>
    <row r="5321">
      <c r="A5321" s="544" t="n">
        <v>36657</v>
      </c>
      <c r="B5321" s="538" t="n">
        <v>27.22</v>
      </c>
      <c r="C5321" s="538" t="n">
        <v>29.25</v>
      </c>
      <c r="D5321" s="538" t="n">
        <v>26.81</v>
      </c>
      <c r="E5321" s="538" t="n">
        <v>29</v>
      </c>
    </row>
    <row r="5322">
      <c r="A5322" s="544" t="n">
        <v>36658</v>
      </c>
      <c r="B5322" s="538" t="n">
        <v>27.98</v>
      </c>
      <c r="C5322" s="538" t="n">
        <v>29.64</v>
      </c>
      <c r="D5322" s="538" t="n">
        <v>26.89</v>
      </c>
      <c r="E5322" s="538" t="n">
        <v>29.9</v>
      </c>
    </row>
    <row r="5323">
      <c r="A5323" s="544" t="n">
        <v>36661</v>
      </c>
      <c r="B5323" s="538" t="n">
        <v>28.26</v>
      </c>
      <c r="C5323" s="538" t="n">
        <v>29.95</v>
      </c>
      <c r="D5323" s="538" t="n">
        <v>26.98</v>
      </c>
      <c r="E5323" s="538" t="n">
        <v>28.8</v>
      </c>
    </row>
    <row r="5324">
      <c r="A5324" s="544" t="n">
        <v>36662</v>
      </c>
      <c r="B5324" s="538" t="n">
        <v>28.78</v>
      </c>
      <c r="C5324" s="538" t="n">
        <v>29.76</v>
      </c>
      <c r="D5324" s="538" t="n">
        <v>26.26</v>
      </c>
      <c r="E5324" s="538" t="n">
        <v>29.45</v>
      </c>
    </row>
    <row r="5325">
      <c r="A5325" s="544" t="n">
        <v>36663</v>
      </c>
      <c r="B5325" s="538" t="n">
        <v>28.4</v>
      </c>
      <c r="C5325" s="538" t="n">
        <v>29.38</v>
      </c>
      <c r="D5325" s="538" t="n">
        <v>26.07</v>
      </c>
      <c r="E5325" s="538" t="n">
        <v>29.3</v>
      </c>
    </row>
    <row r="5326">
      <c r="A5326" s="544" t="n">
        <v>36664</v>
      </c>
      <c r="B5326" s="538" t="n">
        <v>28.9</v>
      </c>
      <c r="C5326" s="538" t="n">
        <v>30.28</v>
      </c>
      <c r="D5326" s="538" t="n">
        <v>27.02</v>
      </c>
      <c r="E5326" s="538" t="n">
        <v>29.3</v>
      </c>
    </row>
    <row r="5327">
      <c r="A5327" s="544" t="n">
        <v>36665</v>
      </c>
      <c r="B5327" s="538" t="n">
        <v>29.01</v>
      </c>
      <c r="C5327" s="538" t="n">
        <v>30.02</v>
      </c>
      <c r="D5327" s="538" t="n">
        <v>26.3</v>
      </c>
      <c r="E5327" s="538" t="n">
        <v>30.2</v>
      </c>
    </row>
    <row r="5328">
      <c r="A5328" s="544" t="n">
        <v>36668</v>
      </c>
      <c r="B5328" s="538" t="n">
        <v>28.45</v>
      </c>
      <c r="C5328" s="538" t="n">
        <v>28.62</v>
      </c>
      <c r="D5328" s="538" t="n">
        <v>25.24</v>
      </c>
      <c r="E5328" s="538" t="n">
        <v>29.7</v>
      </c>
    </row>
    <row r="5329">
      <c r="A5329" s="544" t="n">
        <v>36669</v>
      </c>
      <c r="B5329" s="538" t="n">
        <v>28.12</v>
      </c>
      <c r="C5329" s="538" t="n">
        <v>28.61</v>
      </c>
      <c r="D5329" s="538" t="n">
        <v>25.44</v>
      </c>
      <c r="E5329" s="538" t="n">
        <v>28.8</v>
      </c>
    </row>
    <row r="5330">
      <c r="A5330" s="544" t="n">
        <v>36670</v>
      </c>
      <c r="B5330" s="538" t="n">
        <v>28.97</v>
      </c>
      <c r="C5330" s="538" t="n">
        <v>29.89</v>
      </c>
      <c r="D5330" s="538" t="n">
        <v>27.19</v>
      </c>
      <c r="E5330" s="538" t="n">
        <v>28.85</v>
      </c>
    </row>
    <row r="5331">
      <c r="A5331" s="544" t="n">
        <v>36671</v>
      </c>
      <c r="B5331" s="538" t="n">
        <v>29.62</v>
      </c>
      <c r="C5331" s="538" t="n">
        <v>30.43</v>
      </c>
      <c r="D5331" s="538" t="n">
        <v>27.37</v>
      </c>
      <c r="E5331" s="538" t="n">
        <v>29.85</v>
      </c>
    </row>
    <row r="5332">
      <c r="A5332" s="544" t="n">
        <v>36672</v>
      </c>
      <c r="B5332" s="538" t="n">
        <v>30.09</v>
      </c>
      <c r="C5332" s="538" t="n">
        <v>29.76</v>
      </c>
      <c r="D5332" s="538" t="n">
        <v>27.04</v>
      </c>
      <c r="E5332" s="538" t="n">
        <v>30.15</v>
      </c>
    </row>
    <row r="5333">
      <c r="A5333" s="544" t="n">
        <v>36675</v>
      </c>
      <c r="B5333" s="538" t="n">
        <v>30.09</v>
      </c>
      <c r="C5333" s="538" t="n">
        <v>29.76</v>
      </c>
      <c r="D5333" s="538" t="n">
        <v>27.04</v>
      </c>
      <c r="E5333" s="538" t="n">
        <v>29.7</v>
      </c>
    </row>
    <row r="5334">
      <c r="A5334" s="544" t="n">
        <v>36676</v>
      </c>
      <c r="B5334" s="538" t="n">
        <v>29.89</v>
      </c>
      <c r="C5334" s="538" t="n">
        <v>30.36</v>
      </c>
      <c r="D5334" s="538" t="n">
        <v>26.16</v>
      </c>
      <c r="E5334" s="538" t="n">
        <v>29.65</v>
      </c>
    </row>
    <row r="5335">
      <c r="A5335" s="544" t="n">
        <v>36677</v>
      </c>
      <c r="B5335" s="538" t="n">
        <v>29.64</v>
      </c>
      <c r="C5335" s="538" t="n">
        <v>29.03</v>
      </c>
      <c r="D5335" s="538" t="n">
        <v>25.61</v>
      </c>
      <c r="E5335" s="538" t="n">
        <v>29.55</v>
      </c>
    </row>
    <row r="5336">
      <c r="A5336" s="544" t="n">
        <v>36678</v>
      </c>
      <c r="B5336" s="538" t="n">
        <v>29.69</v>
      </c>
      <c r="C5336" s="538" t="n">
        <v>30.19</v>
      </c>
      <c r="D5336" s="538" t="n">
        <v>26.64</v>
      </c>
      <c r="E5336" s="538" t="n">
        <v>29.6</v>
      </c>
    </row>
    <row r="5337">
      <c r="A5337" s="544" t="n">
        <v>36679</v>
      </c>
      <c r="B5337" s="538" t="n">
        <v>29.35</v>
      </c>
      <c r="C5337" s="538" t="n">
        <v>30.34</v>
      </c>
      <c r="D5337" s="538" t="n">
        <v>26.46</v>
      </c>
      <c r="E5337" s="538" t="n">
        <v>30.15</v>
      </c>
    </row>
    <row r="5338">
      <c r="A5338" s="544" t="n">
        <v>36682</v>
      </c>
      <c r="B5338" s="538" t="n">
        <v>28.27</v>
      </c>
      <c r="C5338" s="538" t="n">
        <v>29.87</v>
      </c>
      <c r="D5338" s="538" t="n">
        <v>25.87</v>
      </c>
      <c r="E5338" s="538" t="n">
        <v>30.15</v>
      </c>
    </row>
    <row r="5339">
      <c r="A5339" s="544" t="n">
        <v>36683</v>
      </c>
      <c r="B5339" s="538" t="n">
        <v>28.42</v>
      </c>
      <c r="C5339" s="538" t="n">
        <v>29.78</v>
      </c>
      <c r="D5339" s="538" t="n">
        <v>26.2</v>
      </c>
      <c r="E5339" s="538" t="n">
        <v>29.7</v>
      </c>
    </row>
    <row r="5340">
      <c r="A5340" s="544" t="n">
        <v>36684</v>
      </c>
      <c r="B5340" s="538" t="n">
        <v>28.32</v>
      </c>
      <c r="C5340" s="538" t="n">
        <v>29.29</v>
      </c>
      <c r="D5340" s="538" t="n">
        <v>27.02</v>
      </c>
      <c r="E5340" s="538" t="n">
        <v>29.7</v>
      </c>
    </row>
    <row r="5341">
      <c r="A5341" s="544" t="n">
        <v>36685</v>
      </c>
      <c r="B5341" s="538" t="n">
        <v>29.34</v>
      </c>
      <c r="C5341" s="538" t="n">
        <v>29.78</v>
      </c>
      <c r="D5341" s="538" t="n">
        <v>26.93</v>
      </c>
      <c r="E5341" s="538" t="n">
        <v>29.7</v>
      </c>
    </row>
    <row r="5342">
      <c r="A5342" s="544" t="n">
        <v>36686</v>
      </c>
      <c r="B5342" s="538" t="n">
        <v>29</v>
      </c>
      <c r="C5342" s="538" t="n">
        <v>30.22</v>
      </c>
      <c r="D5342" s="538" t="n">
        <v>27.07</v>
      </c>
      <c r="E5342" s="538" t="n">
        <v>29.7</v>
      </c>
    </row>
    <row r="5343">
      <c r="A5343" s="544" t="n">
        <v>36689</v>
      </c>
      <c r="B5343" s="538" t="n">
        <v>30.1</v>
      </c>
      <c r="C5343" s="538" t="n">
        <v>31.76</v>
      </c>
      <c r="D5343" s="538" t="n">
        <v>28</v>
      </c>
      <c r="E5343" s="538" t="n">
        <v>30.35</v>
      </c>
    </row>
    <row r="5344">
      <c r="A5344" s="544" t="n">
        <v>36690</v>
      </c>
      <c r="B5344" s="538" t="n">
        <v>30.4</v>
      </c>
      <c r="C5344" s="538" t="n">
        <v>32.73</v>
      </c>
      <c r="D5344" s="538" t="n">
        <v>28.22</v>
      </c>
      <c r="E5344" s="538" t="n">
        <v>30.7</v>
      </c>
    </row>
    <row r="5345">
      <c r="A5345" s="544" t="n">
        <v>36691</v>
      </c>
      <c r="B5345" s="538" t="n">
        <v>30.12</v>
      </c>
      <c r="C5345" s="538" t="n">
        <v>32.72</v>
      </c>
      <c r="D5345" s="538" t="n">
        <v>27.78</v>
      </c>
      <c r="E5345" s="538" t="n">
        <v>30.85</v>
      </c>
    </row>
    <row r="5346">
      <c r="A5346" s="544" t="n">
        <v>36692</v>
      </c>
      <c r="B5346" s="538" t="n">
        <v>29.77</v>
      </c>
      <c r="C5346" s="538" t="n">
        <v>32.7</v>
      </c>
      <c r="D5346" s="538" t="n">
        <v>27.59</v>
      </c>
      <c r="E5346" s="538" t="n">
        <v>30.6</v>
      </c>
    </row>
    <row r="5347">
      <c r="A5347" s="544" t="n">
        <v>36693</v>
      </c>
      <c r="B5347" s="538" t="n">
        <v>28.68</v>
      </c>
      <c r="C5347" s="538" t="n">
        <v>32.35</v>
      </c>
      <c r="D5347" s="538" t="n">
        <v>26.13</v>
      </c>
      <c r="E5347" s="538" t="n">
        <v>30.15</v>
      </c>
    </row>
    <row r="5348">
      <c r="A5348" s="544" t="n">
        <v>36696</v>
      </c>
      <c r="B5348" s="538" t="n">
        <v>27.69</v>
      </c>
      <c r="C5348" s="538" t="n">
        <v>31.57</v>
      </c>
      <c r="D5348" s="538" t="n">
        <v>25.66</v>
      </c>
      <c r="E5348" s="538" t="n">
        <v>29.35</v>
      </c>
    </row>
    <row r="5349">
      <c r="A5349" s="544" t="n">
        <v>36697</v>
      </c>
      <c r="B5349" s="538" t="n">
        <v>28.86</v>
      </c>
      <c r="C5349" s="538" t="n">
        <v>33.07</v>
      </c>
      <c r="D5349" s="538" t="n">
        <v>27.24</v>
      </c>
      <c r="E5349" s="538" t="n">
        <v>29.45</v>
      </c>
    </row>
    <row r="5350">
      <c r="A5350" s="544" t="n">
        <v>36698</v>
      </c>
      <c r="B5350" s="538" t="n">
        <v>30.71</v>
      </c>
      <c r="C5350" s="538" t="n">
        <v>33.64</v>
      </c>
      <c r="D5350" s="538" t="n">
        <v>26.93</v>
      </c>
      <c r="E5350" s="538" t="n">
        <v>30.45</v>
      </c>
    </row>
    <row r="5351">
      <c r="A5351" s="544" t="n">
        <v>36699</v>
      </c>
      <c r="B5351" s="538" t="n">
        <v>30.61</v>
      </c>
      <c r="C5351" s="538" t="n">
        <v>34.72</v>
      </c>
      <c r="D5351" s="538" t="n">
        <v>28.07</v>
      </c>
      <c r="E5351" s="538" t="n">
        <v>30.65</v>
      </c>
    </row>
    <row r="5352">
      <c r="A5352" s="544" t="n">
        <v>36700</v>
      </c>
      <c r="B5352" s="538" t="n">
        <v>31.02</v>
      </c>
      <c r="C5352" s="538" t="n">
        <v>34.76</v>
      </c>
      <c r="D5352" s="538" t="n">
        <v>27.94</v>
      </c>
      <c r="E5352" s="538" t="n">
        <v>31.65</v>
      </c>
    </row>
    <row r="5353">
      <c r="A5353" s="544" t="n">
        <v>36703</v>
      </c>
      <c r="B5353" s="538" t="n">
        <v>30.9</v>
      </c>
      <c r="C5353" s="538" t="n">
        <v>31.56</v>
      </c>
      <c r="D5353" s="538" t="n">
        <v>27.23</v>
      </c>
      <c r="E5353" s="538" t="n">
        <v>34.05</v>
      </c>
    </row>
    <row r="5354">
      <c r="A5354" s="544" t="n">
        <v>36704</v>
      </c>
      <c r="B5354" s="538" t="n">
        <v>30.47</v>
      </c>
      <c r="C5354" s="538" t="n">
        <v>32.01</v>
      </c>
      <c r="D5354" s="538" t="n">
        <v>27.82</v>
      </c>
      <c r="E5354" s="538" t="n">
        <v>33.8</v>
      </c>
    </row>
    <row r="5355">
      <c r="A5355" s="544" t="n">
        <v>36705</v>
      </c>
      <c r="B5355" s="538" t="n">
        <v>31.15</v>
      </c>
      <c r="C5355" s="538" t="n">
        <v>31.86</v>
      </c>
      <c r="D5355" s="538" t="n">
        <v>27.57</v>
      </c>
      <c r="E5355" s="538" t="n">
        <v>33.35</v>
      </c>
    </row>
    <row r="5356">
      <c r="A5356" s="544" t="n">
        <v>36706</v>
      </c>
      <c r="B5356" s="538" t="n">
        <v>31.05</v>
      </c>
      <c r="C5356" s="538" t="n">
        <v>32.73</v>
      </c>
      <c r="D5356" s="538" t="n">
        <v>28.1</v>
      </c>
      <c r="E5356" s="538" t="n">
        <v>33.55</v>
      </c>
    </row>
    <row r="5357">
      <c r="A5357" s="544" t="n">
        <v>36707</v>
      </c>
      <c r="B5357" s="538" t="n">
        <v>31.58</v>
      </c>
      <c r="C5357" s="538" t="n">
        <v>32.44</v>
      </c>
      <c r="D5357" s="538" t="n">
        <v>27.67</v>
      </c>
      <c r="E5357" s="538" t="n">
        <v>34.05</v>
      </c>
    </row>
    <row r="5358">
      <c r="A5358" s="544" t="n">
        <v>36710</v>
      </c>
      <c r="B5358" s="538" t="n">
        <v>32.15</v>
      </c>
      <c r="C5358" s="538" t="n">
        <v>32.44</v>
      </c>
      <c r="D5358" s="538" t="n">
        <v>28.67</v>
      </c>
      <c r="E5358" s="538" t="n">
        <v>33.75</v>
      </c>
    </row>
    <row r="5359">
      <c r="A5359" s="544" t="n">
        <v>36711</v>
      </c>
      <c r="B5359" s="538" t="n">
        <v>30.73</v>
      </c>
      <c r="C5359" s="538" t="n">
        <v>32.44</v>
      </c>
      <c r="D5359" s="538" t="n">
        <v>28.67</v>
      </c>
      <c r="E5359" s="538" t="n">
        <v>32.75</v>
      </c>
    </row>
    <row r="5360">
      <c r="A5360" s="544" t="n">
        <v>36712</v>
      </c>
      <c r="B5360" s="538" t="n">
        <v>30.35</v>
      </c>
      <c r="C5360" s="538" t="n">
        <v>30.76</v>
      </c>
      <c r="D5360" s="538" t="n">
        <v>26.65</v>
      </c>
      <c r="E5360" s="538" t="n">
        <v>31.85</v>
      </c>
    </row>
    <row r="5361">
      <c r="A5361" s="544" t="n">
        <v>36713</v>
      </c>
      <c r="B5361" s="538" t="n">
        <v>30.67</v>
      </c>
      <c r="C5361" s="538" t="n">
        <v>30.19</v>
      </c>
      <c r="D5361" s="538" t="n">
        <v>27.01</v>
      </c>
      <c r="E5361" s="538" t="n">
        <v>32.2</v>
      </c>
    </row>
    <row r="5362">
      <c r="A5362" s="544" t="n">
        <v>36714</v>
      </c>
      <c r="B5362" s="538" t="n">
        <v>30.62</v>
      </c>
      <c r="C5362" s="538" t="n">
        <v>30.26</v>
      </c>
      <c r="D5362" s="538" t="n">
        <v>26.82</v>
      </c>
      <c r="E5362" s="538" t="n">
        <v>32</v>
      </c>
    </row>
    <row r="5363">
      <c r="A5363" s="544" t="n">
        <v>36717</v>
      </c>
      <c r="B5363" s="538" t="n">
        <v>30.58</v>
      </c>
      <c r="C5363" s="538" t="n">
        <v>29.51</v>
      </c>
      <c r="D5363" s="538" t="n">
        <v>26.18</v>
      </c>
      <c r="E5363" s="538" t="n">
        <v>32</v>
      </c>
    </row>
    <row r="5364">
      <c r="A5364" s="544" t="n">
        <v>36718</v>
      </c>
      <c r="B5364" s="538" t="n">
        <v>29.83</v>
      </c>
      <c r="C5364" s="538" t="n">
        <v>29.61</v>
      </c>
      <c r="D5364" s="538" t="n">
        <v>26.81</v>
      </c>
      <c r="E5364" s="538" t="n">
        <v>31.35</v>
      </c>
    </row>
    <row r="5365">
      <c r="A5365" s="544" t="n">
        <v>36719</v>
      </c>
      <c r="B5365" s="538" t="n">
        <v>30.27</v>
      </c>
      <c r="C5365" s="538" t="n">
        <v>30.34</v>
      </c>
      <c r="D5365" s="538" t="n">
        <v>27.36</v>
      </c>
      <c r="E5365" s="538" t="n">
        <v>32</v>
      </c>
    </row>
    <row r="5366">
      <c r="A5366" s="544" t="n">
        <v>36720</v>
      </c>
      <c r="B5366" s="538" t="n">
        <v>31.15</v>
      </c>
      <c r="C5366" s="538" t="n">
        <v>31.41</v>
      </c>
      <c r="D5366" s="538" t="n">
        <v>28.15</v>
      </c>
      <c r="E5366" s="538" t="n">
        <v>33</v>
      </c>
    </row>
    <row r="5367">
      <c r="A5367" s="544" t="n">
        <v>36721</v>
      </c>
      <c r="B5367" s="538" t="n">
        <v>30.82</v>
      </c>
      <c r="C5367" s="538" t="n">
        <v>31.31</v>
      </c>
      <c r="D5367" s="538" t="n">
        <v>27.75</v>
      </c>
      <c r="E5367" s="538" t="n">
        <v>33.3</v>
      </c>
    </row>
    <row r="5368">
      <c r="A5368" s="544" t="n">
        <v>36724</v>
      </c>
      <c r="B5368" s="538" t="n">
        <v>28.44</v>
      </c>
      <c r="C5368" s="538" t="n">
        <v>30.71</v>
      </c>
      <c r="D5368" s="538" t="n">
        <v>26.06</v>
      </c>
      <c r="E5368" s="538" t="n">
        <v>33.3</v>
      </c>
    </row>
    <row r="5369">
      <c r="A5369" s="544" t="n">
        <v>36725</v>
      </c>
      <c r="B5369" s="538" t="n">
        <v>28.46</v>
      </c>
      <c r="C5369" s="538" t="n">
        <v>31.94</v>
      </c>
      <c r="D5369" s="538" t="n">
        <v>26.79</v>
      </c>
      <c r="E5369" s="538" t="n">
        <v>33.3</v>
      </c>
    </row>
    <row r="5370">
      <c r="A5370" s="544" t="n">
        <v>36726</v>
      </c>
      <c r="B5370" s="538" t="n">
        <v>28.33</v>
      </c>
      <c r="C5370" s="538" t="n">
        <v>31.1</v>
      </c>
      <c r="D5370" s="538" t="n">
        <v>26.22</v>
      </c>
      <c r="E5370" s="538" t="n">
        <v>34.45</v>
      </c>
    </row>
    <row r="5371">
      <c r="A5371" s="544" t="n">
        <v>36727</v>
      </c>
      <c r="B5371" s="538" t="n">
        <v>27.85</v>
      </c>
      <c r="C5371" s="538" t="n">
        <v>30.94</v>
      </c>
      <c r="D5371" s="538" t="n">
        <v>25.79</v>
      </c>
      <c r="E5371" s="538" t="n">
        <v>34.15</v>
      </c>
    </row>
    <row r="5372">
      <c r="A5372" s="544" t="n">
        <v>36728</v>
      </c>
      <c r="B5372" s="538" t="n">
        <v>26.68</v>
      </c>
      <c r="C5372" s="538" t="n">
        <v>28.56</v>
      </c>
      <c r="D5372" s="538" t="n">
        <v>25.05</v>
      </c>
      <c r="E5372" s="538" t="n">
        <v>34.15</v>
      </c>
    </row>
    <row r="5373">
      <c r="A5373" s="544" t="n">
        <v>36731</v>
      </c>
      <c r="B5373" s="538" t="n">
        <v>26.84</v>
      </c>
      <c r="C5373" s="538" t="n">
        <v>27.97</v>
      </c>
      <c r="D5373" s="538" t="n">
        <v>24.81</v>
      </c>
      <c r="E5373" s="538" t="n">
        <v>33.85</v>
      </c>
    </row>
    <row r="5374">
      <c r="A5374" s="544" t="n">
        <v>36732</v>
      </c>
      <c r="B5374" s="538" t="n">
        <v>25.78</v>
      </c>
      <c r="C5374" s="538" t="n">
        <v>27.89</v>
      </c>
      <c r="D5374" s="538" t="n">
        <v>24.77</v>
      </c>
      <c r="E5374" s="538" t="n">
        <v>33.3</v>
      </c>
    </row>
    <row r="5375">
      <c r="A5375" s="544" t="n">
        <v>36733</v>
      </c>
      <c r="B5375" s="538" t="n">
        <v>25.92</v>
      </c>
      <c r="C5375" s="538" t="n">
        <v>27.81</v>
      </c>
      <c r="D5375" s="538" t="n">
        <v>24</v>
      </c>
      <c r="E5375" s="538" t="n">
        <v>33.2</v>
      </c>
    </row>
    <row r="5376">
      <c r="A5376" s="544" t="n">
        <v>36734</v>
      </c>
      <c r="B5376" s="538" t="n">
        <v>25.6</v>
      </c>
      <c r="C5376" s="538" t="n">
        <v>28.21</v>
      </c>
      <c r="D5376" s="538" t="n">
        <v>24.5</v>
      </c>
      <c r="E5376" s="538" t="n">
        <v>33.5</v>
      </c>
    </row>
    <row r="5377">
      <c r="A5377" s="544" t="n">
        <v>36735</v>
      </c>
      <c r="B5377" s="538" t="n">
        <v>25.96</v>
      </c>
      <c r="C5377" s="538" t="n">
        <v>28.22</v>
      </c>
      <c r="D5377" s="538" t="n">
        <v>24.57</v>
      </c>
      <c r="E5377" s="538" t="n">
        <v>34.4</v>
      </c>
    </row>
    <row r="5378">
      <c r="A5378" s="544" t="n">
        <v>36738</v>
      </c>
      <c r="B5378" s="538" t="n">
        <v>25.3</v>
      </c>
      <c r="C5378" s="538" t="n">
        <v>27.5</v>
      </c>
      <c r="D5378" s="538" t="n">
        <v>24.23</v>
      </c>
      <c r="E5378" s="538" t="n">
        <v>34.4</v>
      </c>
    </row>
    <row r="5379">
      <c r="A5379" s="544" t="n">
        <v>36739</v>
      </c>
      <c r="B5379" s="538" t="n">
        <v>25.24</v>
      </c>
      <c r="C5379" s="538" t="n">
        <v>27.85</v>
      </c>
      <c r="D5379" s="538" t="n">
        <v>24.84</v>
      </c>
      <c r="E5379" s="538" t="n">
        <v>33.7</v>
      </c>
    </row>
    <row r="5380">
      <c r="A5380" s="544" t="n">
        <v>36740</v>
      </c>
      <c r="B5380" s="538" t="n">
        <v>26.8</v>
      </c>
      <c r="C5380" s="538" t="n">
        <v>28.27</v>
      </c>
      <c r="D5380" s="538" t="n">
        <v>24.92</v>
      </c>
      <c r="E5380" s="538" t="n">
        <v>34.35</v>
      </c>
    </row>
    <row r="5381">
      <c r="A5381" s="544" t="n">
        <v>36741</v>
      </c>
      <c r="B5381" s="538" t="n">
        <v>27.04</v>
      </c>
      <c r="C5381" s="538" t="n">
        <v>28.92</v>
      </c>
      <c r="D5381" s="538" t="n">
        <v>25.86</v>
      </c>
      <c r="E5381" s="538" t="n">
        <v>34.15</v>
      </c>
    </row>
    <row r="5382">
      <c r="A5382" s="544" t="n">
        <v>36742</v>
      </c>
      <c r="B5382" s="538" t="n">
        <v>28.01</v>
      </c>
      <c r="C5382" s="538" t="n">
        <v>29.94</v>
      </c>
      <c r="D5382" s="538" t="n">
        <v>26.29</v>
      </c>
      <c r="E5382" s="538" t="n">
        <v>34.85</v>
      </c>
    </row>
    <row r="5383">
      <c r="A5383" s="544" t="n">
        <v>36745</v>
      </c>
      <c r="B5383" s="538" t="n">
        <v>27.56</v>
      </c>
      <c r="C5383" s="538" t="n">
        <v>28.93</v>
      </c>
      <c r="D5383" s="538" t="n">
        <v>25.11</v>
      </c>
      <c r="E5383" s="538" t="n">
        <v>34.85</v>
      </c>
    </row>
    <row r="5384">
      <c r="A5384" s="544" t="n">
        <v>36746</v>
      </c>
      <c r="B5384" s="538" t="n">
        <v>27.58</v>
      </c>
      <c r="C5384" s="538" t="n">
        <v>29.26</v>
      </c>
      <c r="D5384" s="538" t="n">
        <v>26.02</v>
      </c>
      <c r="E5384" s="538" t="n">
        <v>34.55</v>
      </c>
    </row>
    <row r="5385">
      <c r="A5385" s="544" t="n">
        <v>36747</v>
      </c>
      <c r="B5385" s="538" t="n">
        <v>28.13</v>
      </c>
      <c r="C5385" s="538" t="n">
        <v>30.38</v>
      </c>
      <c r="D5385" s="538" t="n">
        <v>26.23</v>
      </c>
      <c r="E5385" s="538" t="n">
        <v>34.55</v>
      </c>
    </row>
    <row r="5386">
      <c r="A5386" s="544" t="n">
        <v>36748</v>
      </c>
      <c r="B5386" s="538" t="n">
        <v>28.98</v>
      </c>
      <c r="C5386" s="538" t="n">
        <v>31.09</v>
      </c>
      <c r="D5386" s="538" t="n">
        <v>26.94</v>
      </c>
      <c r="E5386" s="538" t="n">
        <v>35.65</v>
      </c>
    </row>
    <row r="5387">
      <c r="A5387" s="544" t="n">
        <v>36749</v>
      </c>
      <c r="B5387" s="538" t="n">
        <v>29.44</v>
      </c>
      <c r="C5387" s="538" t="n">
        <v>31.02</v>
      </c>
      <c r="D5387" s="538" t="n">
        <v>26.6</v>
      </c>
      <c r="E5387" s="538" t="n">
        <v>36.3</v>
      </c>
    </row>
    <row r="5388">
      <c r="A5388" s="544" t="n">
        <v>36752</v>
      </c>
      <c r="B5388" s="538" t="n">
        <v>29.24</v>
      </c>
      <c r="C5388" s="538" t="n">
        <v>31.92</v>
      </c>
      <c r="D5388" s="538" t="n">
        <v>27.07</v>
      </c>
      <c r="E5388" s="538" t="n">
        <v>36.5</v>
      </c>
    </row>
    <row r="5389">
      <c r="A5389" s="544" t="n">
        <v>36753</v>
      </c>
      <c r="B5389" s="538" t="n">
        <v>30</v>
      </c>
      <c r="C5389" s="538" t="n">
        <v>31.43</v>
      </c>
      <c r="D5389" s="538" t="n">
        <v>27.3</v>
      </c>
      <c r="E5389" s="538" t="n">
        <v>37.75</v>
      </c>
    </row>
    <row r="5390">
      <c r="A5390" s="544" t="n">
        <v>36754</v>
      </c>
      <c r="B5390" s="538" t="n">
        <v>29.66</v>
      </c>
      <c r="C5390" s="538" t="n">
        <v>31.91</v>
      </c>
      <c r="D5390" s="538" t="n">
        <v>27.67</v>
      </c>
      <c r="E5390" s="538" t="n">
        <v>37.35</v>
      </c>
    </row>
    <row r="5391">
      <c r="A5391" s="544" t="n">
        <v>36755</v>
      </c>
      <c r="B5391" s="538" t="n">
        <v>30.71</v>
      </c>
      <c r="C5391" s="538" t="n">
        <v>31.88</v>
      </c>
      <c r="D5391" s="538" t="n">
        <v>27.78</v>
      </c>
      <c r="E5391" s="538" t="n">
        <v>38.15</v>
      </c>
    </row>
    <row r="5392">
      <c r="A5392" s="544" t="n">
        <v>36756</v>
      </c>
      <c r="B5392" s="538" t="n">
        <v>30.76</v>
      </c>
      <c r="C5392" s="538" t="n">
        <v>31.97</v>
      </c>
      <c r="D5392" s="538" t="n">
        <v>28.01</v>
      </c>
      <c r="E5392" s="538" t="n">
        <v>38.9</v>
      </c>
    </row>
    <row r="5393">
      <c r="A5393" s="544" t="n">
        <v>36759</v>
      </c>
      <c r="B5393" s="538" t="n">
        <v>31.34</v>
      </c>
      <c r="C5393" s="538" t="n">
        <v>32.42</v>
      </c>
      <c r="D5393" s="538" t="n">
        <v>28.04</v>
      </c>
      <c r="E5393" s="538" t="n">
        <v>39.9</v>
      </c>
    </row>
    <row r="5394">
      <c r="A5394" s="544" t="n">
        <v>36760</v>
      </c>
      <c r="B5394" s="538" t="n">
        <v>30.18</v>
      </c>
      <c r="C5394" s="538" t="n">
        <v>31.24</v>
      </c>
      <c r="D5394" s="538" t="n">
        <v>27.34</v>
      </c>
      <c r="E5394" s="538" t="n">
        <v>40.5</v>
      </c>
    </row>
    <row r="5395">
      <c r="A5395" s="544" t="n">
        <v>36761</v>
      </c>
      <c r="B5395" s="538" t="n">
        <v>32.38</v>
      </c>
      <c r="C5395" s="538" t="n">
        <v>31.23</v>
      </c>
      <c r="D5395" s="538" t="n">
        <v>28.85</v>
      </c>
      <c r="E5395" s="538" t="n">
        <v>41.55</v>
      </c>
    </row>
    <row r="5396">
      <c r="A5396" s="544" t="n">
        <v>36762</v>
      </c>
      <c r="B5396" s="538" t="n">
        <v>31.67</v>
      </c>
      <c r="C5396" s="538" t="n">
        <v>33.41</v>
      </c>
      <c r="D5396" s="538" t="n">
        <v>27.6</v>
      </c>
      <c r="E5396" s="538" t="n">
        <v>41.55</v>
      </c>
    </row>
    <row r="5397">
      <c r="A5397" s="544" t="n">
        <v>36763</v>
      </c>
      <c r="B5397" s="538" t="n">
        <v>33.26</v>
      </c>
      <c r="C5397" s="538" t="n">
        <v>34.01</v>
      </c>
      <c r="D5397" s="538" t="n">
        <v>27.74</v>
      </c>
      <c r="E5397" s="538" t="n">
        <v>41.55</v>
      </c>
    </row>
    <row r="5398">
      <c r="A5398" s="544" t="n">
        <v>36766</v>
      </c>
      <c r="B5398" s="538" t="n">
        <v>33.29</v>
      </c>
      <c r="C5398" s="538" t="n">
        <v>32.92</v>
      </c>
      <c r="D5398" s="538" t="n">
        <v>27.85</v>
      </c>
      <c r="E5398" s="538" t="n">
        <v>41.4</v>
      </c>
    </row>
    <row r="5399">
      <c r="A5399" s="544" t="n">
        <v>36767</v>
      </c>
      <c r="B5399" s="538" t="n">
        <v>34.03</v>
      </c>
      <c r="C5399" s="538" t="n">
        <v>32.73</v>
      </c>
      <c r="D5399" s="538" t="n">
        <v>28.75</v>
      </c>
      <c r="E5399" s="538" t="n">
        <v>42.5</v>
      </c>
    </row>
    <row r="5400">
      <c r="A5400" s="544" t="n">
        <v>36768</v>
      </c>
      <c r="B5400" s="538" t="n">
        <v>34.13</v>
      </c>
      <c r="C5400" s="538" t="n">
        <v>33.25</v>
      </c>
      <c r="D5400" s="538" t="n">
        <v>29.27</v>
      </c>
      <c r="E5400" s="538" t="n">
        <v>42.1</v>
      </c>
    </row>
    <row r="5401">
      <c r="A5401" s="544" t="n">
        <v>36769</v>
      </c>
      <c r="B5401" s="538" t="n">
        <v>35.08</v>
      </c>
      <c r="C5401" s="538" t="n">
        <v>33.09</v>
      </c>
      <c r="D5401" s="538" t="n">
        <v>29.01</v>
      </c>
      <c r="E5401" s="538" t="n">
        <v>42.2</v>
      </c>
    </row>
    <row r="5402">
      <c r="A5402" s="544" t="n">
        <v>36770</v>
      </c>
      <c r="B5402" s="538" t="n">
        <v>35.09</v>
      </c>
      <c r="C5402" s="538" t="n">
        <v>33.42</v>
      </c>
      <c r="D5402" s="538" t="n">
        <v>29.13</v>
      </c>
      <c r="E5402" s="538" t="n">
        <v>41.6</v>
      </c>
    </row>
    <row r="5403">
      <c r="A5403" s="544" t="n">
        <v>36773</v>
      </c>
      <c r="B5403" s="538" t="n">
        <v>36.02</v>
      </c>
      <c r="C5403" s="538" t="n">
        <v>33.42</v>
      </c>
      <c r="D5403" s="538" t="n">
        <v>29.13</v>
      </c>
      <c r="E5403" s="538" t="n">
        <v>42.15</v>
      </c>
    </row>
    <row r="5404">
      <c r="A5404" s="544" t="n">
        <v>36774</v>
      </c>
      <c r="B5404" s="538" t="n">
        <v>35.72</v>
      </c>
      <c r="C5404" s="538" t="n">
        <v>33.92</v>
      </c>
      <c r="D5404" s="538" t="n">
        <v>30.3</v>
      </c>
      <c r="E5404" s="538" t="n">
        <v>42.15</v>
      </c>
    </row>
    <row r="5405">
      <c r="A5405" s="544" t="n">
        <v>36775</v>
      </c>
      <c r="B5405" s="538" t="n">
        <v>36.7</v>
      </c>
      <c r="C5405" s="538" t="n">
        <v>34.97</v>
      </c>
      <c r="D5405" s="538" t="n">
        <v>31.56</v>
      </c>
      <c r="E5405" s="538" t="n">
        <v>41.95</v>
      </c>
    </row>
    <row r="5406">
      <c r="A5406" s="544" t="n">
        <v>36776</v>
      </c>
      <c r="B5406" s="538" t="n">
        <v>37.43</v>
      </c>
      <c r="C5406" s="538" t="n">
        <v>35.18</v>
      </c>
      <c r="D5406" s="538" t="n">
        <v>31.56</v>
      </c>
      <c r="E5406" s="538" t="n">
        <v>42.4</v>
      </c>
    </row>
    <row r="5407">
      <c r="A5407" s="544" t="n">
        <v>36777</v>
      </c>
      <c r="B5407" s="538" t="n">
        <v>36.27</v>
      </c>
      <c r="C5407" s="538" t="n">
        <v>33.62</v>
      </c>
      <c r="D5407" s="538" t="n">
        <v>29.5</v>
      </c>
      <c r="E5407" s="538" t="n">
        <v>42.35</v>
      </c>
    </row>
    <row r="5408">
      <c r="A5408" s="544" t="n">
        <v>36780</v>
      </c>
      <c r="B5408" s="538" t="n">
        <v>36.87</v>
      </c>
      <c r="C5408" s="538" t="n">
        <v>35.14</v>
      </c>
      <c r="D5408" s="538" t="n">
        <v>30.5</v>
      </c>
      <c r="E5408" s="538" t="n">
        <v>41.25</v>
      </c>
    </row>
    <row r="5409">
      <c r="A5409" s="544" t="n">
        <v>36781</v>
      </c>
      <c r="B5409" s="538" t="n">
        <v>33.3</v>
      </c>
      <c r="C5409" s="538" t="n">
        <v>34.25</v>
      </c>
      <c r="D5409" s="538" t="n">
        <v>29.8</v>
      </c>
      <c r="E5409" s="538" t="n">
        <v>43.75</v>
      </c>
    </row>
    <row r="5410">
      <c r="A5410" s="544" t="n">
        <v>36782</v>
      </c>
      <c r="B5410" s="538" t="n">
        <v>31.08</v>
      </c>
      <c r="C5410" s="538" t="n">
        <v>33.87</v>
      </c>
      <c r="D5410" s="538" t="n">
        <v>28.87</v>
      </c>
      <c r="E5410" s="538" t="n">
        <v>43.2</v>
      </c>
    </row>
    <row r="5411">
      <c r="A5411" s="544" t="n">
        <v>36783</v>
      </c>
      <c r="B5411" s="538" t="n">
        <v>31.35</v>
      </c>
      <c r="C5411" s="538" t="n">
        <v>34.37</v>
      </c>
      <c r="D5411" s="538" t="n">
        <v>29.57</v>
      </c>
      <c r="E5411" s="538" t="n">
        <v>43</v>
      </c>
    </row>
    <row r="5412">
      <c r="A5412" s="544" t="n">
        <v>36784</v>
      </c>
      <c r="B5412" s="538" t="n">
        <v>33.68</v>
      </c>
      <c r="C5412" s="538" t="n">
        <v>35.87</v>
      </c>
      <c r="D5412" s="538" t="n">
        <v>31.36</v>
      </c>
      <c r="E5412" s="538" t="n">
        <v>43.1</v>
      </c>
    </row>
    <row r="5413">
      <c r="A5413" s="544" t="n">
        <v>36787</v>
      </c>
      <c r="B5413" s="538" t="n">
        <v>34.55</v>
      </c>
      <c r="C5413" s="538" t="n">
        <v>36.75</v>
      </c>
      <c r="D5413" s="538" t="n">
        <v>31.82</v>
      </c>
      <c r="E5413" s="538" t="n">
        <v>43.1</v>
      </c>
    </row>
    <row r="5414">
      <c r="A5414" s="544" t="n">
        <v>36788</v>
      </c>
      <c r="B5414" s="538" t="n">
        <v>33.48</v>
      </c>
      <c r="C5414" s="538" t="n">
        <v>36.96</v>
      </c>
      <c r="D5414" s="538" t="n">
        <v>31.27</v>
      </c>
      <c r="E5414" s="538" t="n">
        <v>43.55</v>
      </c>
    </row>
    <row r="5415">
      <c r="A5415" s="544" t="n">
        <v>36789</v>
      </c>
      <c r="B5415" s="538" t="n">
        <v>33.67</v>
      </c>
      <c r="C5415" s="538" t="n">
        <v>37.22</v>
      </c>
      <c r="D5415" s="538" t="n">
        <v>31.1</v>
      </c>
      <c r="E5415" s="538" t="n">
        <v>43.7</v>
      </c>
    </row>
    <row r="5416">
      <c r="A5416" s="544" t="n">
        <v>36790</v>
      </c>
      <c r="B5416" s="538" t="n">
        <v>32.18</v>
      </c>
      <c r="C5416" s="538" t="n">
        <v>33.84</v>
      </c>
      <c r="D5416" s="538" t="n">
        <v>29.98</v>
      </c>
      <c r="E5416" s="538" t="n">
        <v>42.65</v>
      </c>
    </row>
    <row r="5417">
      <c r="A5417" s="544" t="n">
        <v>36791</v>
      </c>
      <c r="B5417" s="538" t="n">
        <v>31.59</v>
      </c>
      <c r="C5417" s="538" t="n">
        <v>32.66</v>
      </c>
      <c r="D5417" s="538" t="n">
        <v>29.26</v>
      </c>
      <c r="E5417" s="538" t="n">
        <v>42.15</v>
      </c>
    </row>
    <row r="5418">
      <c r="A5418" s="544" t="n">
        <v>36794</v>
      </c>
      <c r="B5418" s="538" t="n">
        <v>30.01</v>
      </c>
      <c r="C5418" s="538" t="n">
        <v>31.5</v>
      </c>
      <c r="D5418" s="538" t="n">
        <v>28.53</v>
      </c>
      <c r="E5418" s="538" t="n">
        <v>40.75</v>
      </c>
    </row>
    <row r="5419">
      <c r="A5419" s="544" t="n">
        <v>36795</v>
      </c>
      <c r="B5419" s="538" t="n">
        <v>29.94</v>
      </c>
      <c r="C5419" s="538" t="n">
        <v>31.78</v>
      </c>
      <c r="D5419" s="538" t="n">
        <v>29.26</v>
      </c>
      <c r="E5419" s="538" t="n">
        <v>40.75</v>
      </c>
    </row>
    <row r="5420">
      <c r="A5420" s="544" t="n">
        <v>36796</v>
      </c>
      <c r="B5420" s="538" t="n">
        <v>29.78</v>
      </c>
      <c r="C5420" s="538" t="n">
        <v>31.23</v>
      </c>
      <c r="D5420" s="538" t="n">
        <v>29.33</v>
      </c>
      <c r="E5420" s="538" t="n">
        <v>40.55</v>
      </c>
    </row>
    <row r="5421">
      <c r="A5421" s="544" t="n">
        <v>36797</v>
      </c>
      <c r="B5421" s="538" t="n">
        <v>28.91</v>
      </c>
      <c r="C5421" s="538" t="n">
        <v>30.26</v>
      </c>
      <c r="D5421" s="538" t="n">
        <v>28.04</v>
      </c>
      <c r="E5421" s="538" t="n">
        <v>40.55</v>
      </c>
    </row>
    <row r="5422">
      <c r="A5422" s="544" t="n">
        <v>36798</v>
      </c>
      <c r="B5422" s="538" t="n">
        <v>28.42</v>
      </c>
      <c r="C5422" s="538" t="n">
        <v>30.87</v>
      </c>
      <c r="D5422" s="538" t="n">
        <v>28.4</v>
      </c>
      <c r="E5422" s="538" t="n">
        <v>40.35</v>
      </c>
    </row>
    <row r="5423">
      <c r="A5423" s="544" t="n">
        <v>36801</v>
      </c>
      <c r="B5423" s="538" t="n">
        <v>29.65</v>
      </c>
      <c r="C5423" s="538" t="n">
        <v>32.05</v>
      </c>
      <c r="D5423" s="538" t="n">
        <v>29.53</v>
      </c>
      <c r="E5423" s="538" t="n">
        <v>41.15</v>
      </c>
    </row>
    <row r="5424">
      <c r="A5424" s="544" t="n">
        <v>36802</v>
      </c>
      <c r="B5424" s="538" t="n">
        <v>30.64</v>
      </c>
      <c r="C5424" s="538" t="n">
        <v>31.86</v>
      </c>
      <c r="D5424" s="538" t="n">
        <v>29.82</v>
      </c>
      <c r="E5424" s="538" t="n">
        <v>41.95</v>
      </c>
    </row>
    <row r="5425">
      <c r="A5425" s="544" t="n">
        <v>36803</v>
      </c>
      <c r="B5425" s="538" t="n">
        <v>30.07</v>
      </c>
      <c r="C5425" s="538" t="n">
        <v>30.91</v>
      </c>
      <c r="D5425" s="538" t="n">
        <v>29.07</v>
      </c>
      <c r="E5425" s="538" t="n">
        <v>42.2</v>
      </c>
    </row>
    <row r="5426">
      <c r="A5426" s="544" t="n">
        <v>36804</v>
      </c>
      <c r="B5426" s="538" t="n">
        <v>29.19</v>
      </c>
      <c r="C5426" s="538" t="n">
        <v>30.66</v>
      </c>
      <c r="D5426" s="538" t="n">
        <v>29.27</v>
      </c>
      <c r="E5426" s="538" t="n">
        <v>41.2</v>
      </c>
    </row>
    <row r="5427">
      <c r="A5427" s="544" t="n">
        <v>36805</v>
      </c>
      <c r="B5427" s="538" t="n">
        <v>29.62</v>
      </c>
      <c r="C5427" s="538" t="n">
        <v>30.86</v>
      </c>
      <c r="D5427" s="538" t="n">
        <v>29.38</v>
      </c>
      <c r="E5427" s="538" t="n">
        <v>41.9</v>
      </c>
    </row>
    <row r="5428">
      <c r="A5428" s="544" t="n">
        <v>36808</v>
      </c>
      <c r="B5428" s="538" t="n">
        <v>29.99</v>
      </c>
      <c r="C5428" s="538" t="n">
        <v>31.98</v>
      </c>
      <c r="D5428" s="538" t="n">
        <v>30.26</v>
      </c>
      <c r="E5428" s="538" t="n">
        <v>42.9</v>
      </c>
    </row>
    <row r="5429">
      <c r="A5429" s="544" t="n">
        <v>36809</v>
      </c>
      <c r="B5429" s="538" t="n">
        <v>30.95</v>
      </c>
      <c r="C5429" s="538" t="n">
        <v>33.29</v>
      </c>
      <c r="D5429" s="538" t="n">
        <v>31.34</v>
      </c>
      <c r="E5429" s="538" t="n">
        <v>43.75</v>
      </c>
    </row>
    <row r="5430">
      <c r="A5430" s="544" t="n">
        <v>36810</v>
      </c>
      <c r="B5430" s="538" t="n">
        <v>31.25</v>
      </c>
      <c r="C5430" s="538" t="n">
        <v>33.2</v>
      </c>
      <c r="D5430" s="538" t="n">
        <v>29.74</v>
      </c>
      <c r="E5430" s="538" t="n">
        <v>44.7</v>
      </c>
    </row>
    <row r="5431">
      <c r="A5431" s="544" t="n">
        <v>36811</v>
      </c>
      <c r="B5431" s="538" t="n">
        <v>33.45</v>
      </c>
      <c r="C5431" s="538" t="n">
        <v>36.06</v>
      </c>
      <c r="D5431" s="538" t="n">
        <v>32.35</v>
      </c>
      <c r="E5431" s="538" t="n">
        <v>44.7</v>
      </c>
    </row>
    <row r="5432">
      <c r="A5432" s="544" t="n">
        <v>36812</v>
      </c>
      <c r="B5432" s="538" t="n">
        <v>33.5</v>
      </c>
      <c r="C5432" s="538" t="n">
        <v>34.96</v>
      </c>
      <c r="D5432" s="538" t="n">
        <v>30.78</v>
      </c>
      <c r="E5432" s="538" t="n">
        <v>48.1</v>
      </c>
    </row>
    <row r="5433">
      <c r="A5433" s="544" t="n">
        <v>36815</v>
      </c>
      <c r="B5433" s="538" t="n">
        <v>32.03</v>
      </c>
      <c r="C5433" s="538" t="n">
        <v>33.18</v>
      </c>
      <c r="D5433" s="538" t="n">
        <v>30.21</v>
      </c>
      <c r="E5433" s="538" t="n">
        <v>45.75</v>
      </c>
    </row>
    <row r="5434">
      <c r="A5434" s="544" t="n">
        <v>36816</v>
      </c>
      <c r="B5434" s="538" t="n">
        <v>30.38</v>
      </c>
      <c r="C5434" s="538" t="n">
        <v>33.36</v>
      </c>
      <c r="D5434" s="538" t="n">
        <v>30.85</v>
      </c>
      <c r="E5434" s="538" t="n">
        <v>45.5</v>
      </c>
    </row>
    <row r="5435">
      <c r="A5435" s="544" t="n">
        <v>36817</v>
      </c>
      <c r="B5435" s="538" t="n">
        <v>30.98</v>
      </c>
      <c r="C5435" s="538" t="n">
        <v>33.51</v>
      </c>
      <c r="D5435" s="538" t="n">
        <v>30.65</v>
      </c>
      <c r="E5435" s="538" t="n">
        <v>44.35</v>
      </c>
    </row>
    <row r="5436">
      <c r="A5436" s="544" t="n">
        <v>36818</v>
      </c>
      <c r="B5436" s="538" t="n">
        <v>31.29</v>
      </c>
      <c r="C5436" s="538" t="n">
        <v>33.06</v>
      </c>
      <c r="D5436" s="538" t="n">
        <v>30.1</v>
      </c>
      <c r="E5436" s="538" t="n">
        <v>43.6</v>
      </c>
    </row>
    <row r="5437">
      <c r="A5437" s="544" t="n">
        <v>36819</v>
      </c>
      <c r="B5437" s="538" t="n">
        <v>30.16</v>
      </c>
      <c r="C5437" s="538" t="n">
        <v>34.31</v>
      </c>
      <c r="D5437" s="538" t="n">
        <v>31.37</v>
      </c>
      <c r="E5437" s="538" t="n">
        <v>43.7</v>
      </c>
    </row>
    <row r="5438">
      <c r="A5438" s="544" t="n">
        <v>36822</v>
      </c>
      <c r="B5438" s="538" t="n">
        <v>30.98</v>
      </c>
      <c r="C5438" s="538" t="n">
        <v>34.9</v>
      </c>
      <c r="D5438" s="538" t="n">
        <v>31.69</v>
      </c>
      <c r="E5438" s="538" t="n">
        <v>43.95</v>
      </c>
    </row>
    <row r="5439">
      <c r="A5439" s="544" t="n">
        <v>36823</v>
      </c>
      <c r="B5439" s="538" t="n">
        <v>31.81</v>
      </c>
      <c r="C5439" s="538" t="n">
        <v>34.53</v>
      </c>
      <c r="D5439" s="538" t="n">
        <v>31.4</v>
      </c>
      <c r="E5439" s="538" t="n">
        <v>43.3</v>
      </c>
    </row>
    <row r="5440">
      <c r="A5440" s="544" t="n">
        <v>36824</v>
      </c>
      <c r="B5440" s="538" t="n">
        <v>31.17</v>
      </c>
      <c r="C5440" s="538" t="n">
        <v>33.62</v>
      </c>
      <c r="D5440" s="538" t="n">
        <v>31.02</v>
      </c>
      <c r="E5440" s="538" t="n">
        <v>43.2</v>
      </c>
    </row>
    <row r="5441">
      <c r="A5441" s="544" t="n">
        <v>36825</v>
      </c>
      <c r="B5441" s="538" t="n">
        <v>31.48</v>
      </c>
      <c r="C5441" s="538" t="n">
        <v>33.75</v>
      </c>
      <c r="D5441" s="538" t="n">
        <v>31.52</v>
      </c>
      <c r="E5441" s="538" t="n">
        <v>43.2</v>
      </c>
    </row>
    <row r="5442">
      <c r="A5442" s="544" t="n">
        <v>36826</v>
      </c>
      <c r="B5442" s="538" t="n">
        <v>31.31</v>
      </c>
      <c r="C5442" s="538" t="n">
        <v>32.78</v>
      </c>
      <c r="D5442" s="538" t="n">
        <v>30.51</v>
      </c>
      <c r="E5442" s="538" t="n">
        <v>42.2</v>
      </c>
    </row>
    <row r="5443">
      <c r="A5443" s="544" t="n">
        <v>36829</v>
      </c>
      <c r="B5443" s="538" t="n">
        <v>31.09</v>
      </c>
      <c r="C5443" s="538" t="n">
        <v>32.86</v>
      </c>
      <c r="D5443" s="538" t="n">
        <v>30.8</v>
      </c>
      <c r="E5443" s="538" t="n">
        <v>40.9</v>
      </c>
    </row>
    <row r="5444">
      <c r="A5444" s="544" t="n">
        <v>36830</v>
      </c>
      <c r="B5444" s="538" t="n">
        <v>30.15</v>
      </c>
      <c r="C5444" s="538" t="n">
        <v>32.7</v>
      </c>
      <c r="D5444" s="538" t="n">
        <v>30.66</v>
      </c>
      <c r="E5444" s="538" t="n">
        <v>40.55</v>
      </c>
    </row>
    <row r="5445">
      <c r="A5445" s="544" t="n">
        <v>36831</v>
      </c>
      <c r="B5445" s="538" t="n">
        <v>31.62</v>
      </c>
      <c r="C5445" s="538" t="n">
        <v>33.14</v>
      </c>
      <c r="D5445" s="538" t="n">
        <v>31.06</v>
      </c>
      <c r="E5445" s="538" t="n">
        <v>40.55</v>
      </c>
    </row>
    <row r="5446">
      <c r="A5446" s="544" t="n">
        <v>36832</v>
      </c>
      <c r="B5446" s="538" t="n">
        <v>30.81</v>
      </c>
      <c r="C5446" s="538" t="n">
        <v>32.59</v>
      </c>
      <c r="D5446" s="538" t="n">
        <v>30.57</v>
      </c>
      <c r="E5446" s="538" t="n">
        <v>39.75</v>
      </c>
    </row>
    <row r="5447">
      <c r="A5447" s="544" t="n">
        <v>36833</v>
      </c>
      <c r="B5447" s="538" t="n">
        <v>30.81</v>
      </c>
      <c r="C5447" s="538" t="n">
        <v>32.62</v>
      </c>
      <c r="D5447" s="538" t="n">
        <v>30.88</v>
      </c>
      <c r="E5447" s="538" t="n">
        <v>38.95</v>
      </c>
    </row>
    <row r="5448">
      <c r="A5448" s="544" t="n">
        <v>36836</v>
      </c>
      <c r="B5448" s="538" t="n">
        <v>31</v>
      </c>
      <c r="C5448" s="538" t="n">
        <v>33.02</v>
      </c>
      <c r="D5448" s="538" t="n">
        <v>31.14</v>
      </c>
      <c r="E5448" s="538" t="n">
        <v>37.9</v>
      </c>
    </row>
    <row r="5449">
      <c r="A5449" s="544" t="n">
        <v>36837</v>
      </c>
      <c r="B5449" s="538" t="n">
        <v>31.59</v>
      </c>
      <c r="C5449" s="538" t="n">
        <v>33.44</v>
      </c>
      <c r="D5449" s="538" t="n">
        <v>31.4</v>
      </c>
      <c r="E5449" s="538" t="n">
        <v>37.55</v>
      </c>
    </row>
    <row r="5450">
      <c r="A5450" s="544" t="n">
        <v>36838</v>
      </c>
      <c r="B5450" s="538" t="n">
        <v>31.3</v>
      </c>
      <c r="C5450" s="538" t="n">
        <v>32.92</v>
      </c>
      <c r="D5450" s="538" t="n">
        <v>31.14</v>
      </c>
      <c r="E5450" s="538" t="n">
        <v>38.4</v>
      </c>
    </row>
    <row r="5451">
      <c r="A5451" s="544" t="n">
        <v>36839</v>
      </c>
      <c r="B5451" s="538" t="n">
        <v>31.79</v>
      </c>
      <c r="C5451" s="538" t="n">
        <v>33.87</v>
      </c>
      <c r="D5451" s="538" t="n">
        <v>32</v>
      </c>
      <c r="E5451" s="538" t="n">
        <v>38.4</v>
      </c>
    </row>
    <row r="5452">
      <c r="A5452" s="544" t="n">
        <v>36840</v>
      </c>
      <c r="B5452" s="538" t="n">
        <v>32.26</v>
      </c>
      <c r="C5452" s="538" t="n">
        <v>34.05</v>
      </c>
      <c r="D5452" s="538" t="n">
        <v>32.2</v>
      </c>
      <c r="E5452" s="538" t="n">
        <v>40.7</v>
      </c>
    </row>
    <row r="5453">
      <c r="A5453" s="544" t="n">
        <v>36843</v>
      </c>
      <c r="B5453" s="538" t="n">
        <v>32.5</v>
      </c>
      <c r="C5453" s="538" t="n">
        <v>34.3</v>
      </c>
      <c r="D5453" s="538" t="n">
        <v>32.83</v>
      </c>
      <c r="E5453" s="538" t="n">
        <v>40.25</v>
      </c>
    </row>
    <row r="5454">
      <c r="A5454" s="544" t="n">
        <v>36844</v>
      </c>
      <c r="B5454" s="538" t="n">
        <v>33.05</v>
      </c>
      <c r="C5454" s="538" t="n">
        <v>34.72</v>
      </c>
      <c r="D5454" s="538" t="n">
        <v>32.86</v>
      </c>
      <c r="E5454" s="538" t="n">
        <v>40.85</v>
      </c>
    </row>
    <row r="5455">
      <c r="A5455" s="544" t="n">
        <v>36845</v>
      </c>
      <c r="B5455" s="538" t="n">
        <v>33.82</v>
      </c>
      <c r="C5455" s="538" t="n">
        <v>35.54</v>
      </c>
      <c r="D5455" s="538" t="n">
        <v>32.66</v>
      </c>
      <c r="E5455" s="538" t="n">
        <v>41.05</v>
      </c>
    </row>
    <row r="5456">
      <c r="A5456" s="544" t="n">
        <v>36846</v>
      </c>
      <c r="B5456" s="538" t="n">
        <v>34.16</v>
      </c>
      <c r="C5456" s="538" t="n">
        <v>34.84</v>
      </c>
      <c r="D5456" s="538" t="n">
        <v>29.49</v>
      </c>
      <c r="E5456" s="538" t="n">
        <v>42.25</v>
      </c>
    </row>
    <row r="5457">
      <c r="A5457" s="544" t="n">
        <v>36847</v>
      </c>
      <c r="B5457" s="538" t="n">
        <v>33.09</v>
      </c>
      <c r="C5457" s="538" t="n">
        <v>35.62</v>
      </c>
      <c r="D5457" s="538" t="n">
        <v>30.47</v>
      </c>
      <c r="E5457" s="538" t="n">
        <v>40.85</v>
      </c>
    </row>
    <row r="5458">
      <c r="A5458" s="544" t="n">
        <v>36850</v>
      </c>
      <c r="B5458" s="538" t="n">
        <v>34.23</v>
      </c>
      <c r="C5458" s="538" t="n">
        <v>35.98</v>
      </c>
      <c r="D5458" s="538" t="n">
        <v>29.6</v>
      </c>
      <c r="E5458" s="538" t="n">
        <v>42.35</v>
      </c>
    </row>
    <row r="5459">
      <c r="A5459" s="544" t="n">
        <v>36851</v>
      </c>
      <c r="B5459" s="538" t="n">
        <v>33.33</v>
      </c>
      <c r="C5459" s="538" t="n">
        <v>35.54</v>
      </c>
      <c r="D5459" s="538" t="n">
        <v>29.43</v>
      </c>
      <c r="E5459" s="538" t="n">
        <v>41.7</v>
      </c>
    </row>
    <row r="5460">
      <c r="A5460" s="544" t="n">
        <v>36852</v>
      </c>
      <c r="B5460" s="538" t="n">
        <v>33.11</v>
      </c>
      <c r="C5460" s="538" t="n">
        <v>36.06</v>
      </c>
      <c r="D5460" s="538" t="n">
        <v>29.65</v>
      </c>
      <c r="E5460" s="538" t="n">
        <v>41.7</v>
      </c>
    </row>
    <row r="5461">
      <c r="A5461" s="544" t="n">
        <v>36853</v>
      </c>
      <c r="B5461" s="538" t="n">
        <v>33.29</v>
      </c>
      <c r="C5461" s="538" t="n">
        <v>36.06</v>
      </c>
      <c r="D5461" s="538" t="n">
        <v>29.65</v>
      </c>
      <c r="E5461" s="538" t="n">
        <v>40.45</v>
      </c>
    </row>
    <row r="5462">
      <c r="A5462" s="544" t="n">
        <v>36854</v>
      </c>
      <c r="B5462" s="538" t="n">
        <v>33.35</v>
      </c>
      <c r="C5462" s="538" t="n">
        <v>36.06</v>
      </c>
      <c r="D5462" s="538" t="n">
        <v>29.65</v>
      </c>
      <c r="E5462" s="538" t="n">
        <v>39.55</v>
      </c>
    </row>
    <row r="5463">
      <c r="A5463" s="544" t="n">
        <v>36857</v>
      </c>
      <c r="B5463" s="538" t="n">
        <v>33.47</v>
      </c>
      <c r="C5463" s="538" t="n">
        <v>36.24</v>
      </c>
      <c r="D5463" s="538" t="n">
        <v>28.79</v>
      </c>
      <c r="E5463" s="538" t="n">
        <v>38.8</v>
      </c>
    </row>
    <row r="5464">
      <c r="A5464" s="544" t="n">
        <v>36858</v>
      </c>
      <c r="B5464" s="538" t="n">
        <v>32.59</v>
      </c>
      <c r="C5464" s="538" t="n">
        <v>34.02</v>
      </c>
      <c r="D5464" s="538" t="n">
        <v>28.03</v>
      </c>
      <c r="E5464" s="538" t="n">
        <v>38.8</v>
      </c>
    </row>
    <row r="5465">
      <c r="A5465" s="544" t="n">
        <v>36859</v>
      </c>
      <c r="B5465" s="538" t="n">
        <v>32.45</v>
      </c>
      <c r="C5465" s="538" t="n">
        <v>34.58</v>
      </c>
      <c r="D5465" s="538" t="n">
        <v>28.75</v>
      </c>
      <c r="E5465" s="538" t="n">
        <v>36.8</v>
      </c>
    </row>
    <row r="5466">
      <c r="A5466" s="544" t="n">
        <v>36860</v>
      </c>
      <c r="B5466" s="538" t="n">
        <v>32.53</v>
      </c>
      <c r="C5466" s="538" t="n">
        <v>33.61</v>
      </c>
      <c r="D5466" s="538" t="n">
        <v>27.7</v>
      </c>
      <c r="E5466" s="538" t="n">
        <v>38.3</v>
      </c>
    </row>
    <row r="5467">
      <c r="A5467" s="544" t="n">
        <v>36861</v>
      </c>
      <c r="B5467" s="538" t="n">
        <v>31.59</v>
      </c>
      <c r="C5467" s="538" t="n">
        <v>32.06</v>
      </c>
      <c r="D5467" s="538" t="n">
        <v>24.29</v>
      </c>
      <c r="E5467" s="538" t="n">
        <v>38.3</v>
      </c>
    </row>
    <row r="5468">
      <c r="A5468" s="544" t="n">
        <v>36864</v>
      </c>
      <c r="B5468" s="538" t="n">
        <v>30.37</v>
      </c>
      <c r="C5468" s="538" t="n">
        <v>31.28</v>
      </c>
      <c r="D5468" s="538" t="n">
        <v>25.39</v>
      </c>
      <c r="E5468" s="538" t="n">
        <v>37.45</v>
      </c>
    </row>
    <row r="5469">
      <c r="A5469" s="544" t="n">
        <v>36865</v>
      </c>
      <c r="B5469" s="538" t="n">
        <v>28.88</v>
      </c>
      <c r="C5469" s="538" t="n">
        <v>29.25</v>
      </c>
      <c r="D5469" s="538" t="n">
        <v>23.06</v>
      </c>
      <c r="E5469" s="538" t="n">
        <v>36.6</v>
      </c>
    </row>
    <row r="5470">
      <c r="A5470" s="544" t="n">
        <v>36866</v>
      </c>
      <c r="B5470" s="538" t="n">
        <v>27.47</v>
      </c>
      <c r="C5470" s="538" t="n">
        <v>30.24</v>
      </c>
      <c r="D5470" s="538" t="n">
        <v>23.83</v>
      </c>
      <c r="E5470" s="538" t="n">
        <v>34.7</v>
      </c>
    </row>
    <row r="5471">
      <c r="A5471" s="544" t="n">
        <v>36867</v>
      </c>
      <c r="B5471" s="538" t="n">
        <v>27.85</v>
      </c>
      <c r="C5471" s="538" t="n">
        <v>29.36</v>
      </c>
      <c r="D5471" s="538" t="n">
        <v>23.17</v>
      </c>
      <c r="E5471" s="538" t="n">
        <v>35.05</v>
      </c>
    </row>
    <row r="5472">
      <c r="A5472" s="544" t="n">
        <v>36868</v>
      </c>
      <c r="B5472" s="538" t="n">
        <v>26.85</v>
      </c>
      <c r="C5472" s="538" t="n">
        <v>28.31</v>
      </c>
      <c r="D5472" s="538" t="n">
        <v>21.61</v>
      </c>
      <c r="E5472" s="538" t="n">
        <v>33.35</v>
      </c>
    </row>
    <row r="5473">
      <c r="A5473" s="544" t="n">
        <v>36871</v>
      </c>
      <c r="B5473" s="538" t="n">
        <v>27.28</v>
      </c>
      <c r="C5473" s="538" t="n">
        <v>29.75</v>
      </c>
      <c r="D5473" s="538" t="n">
        <v>23.3</v>
      </c>
      <c r="E5473" s="538" t="n">
        <v>33.15</v>
      </c>
    </row>
    <row r="5474">
      <c r="A5474" s="544" t="n">
        <v>36872</v>
      </c>
      <c r="B5474" s="538" t="n">
        <v>26.81</v>
      </c>
      <c r="C5474" s="538" t="n">
        <v>29.81</v>
      </c>
      <c r="D5474" s="538" t="n">
        <v>22.4</v>
      </c>
      <c r="E5474" s="538" t="n">
        <v>33.15</v>
      </c>
    </row>
    <row r="5475">
      <c r="A5475" s="544" t="n">
        <v>36873</v>
      </c>
      <c r="B5475" s="538" t="n">
        <v>26.84</v>
      </c>
      <c r="C5475" s="538" t="n">
        <v>28.75</v>
      </c>
      <c r="D5475" s="538" t="n">
        <v>21.27</v>
      </c>
      <c r="E5475" s="538" t="n">
        <v>32.85</v>
      </c>
    </row>
    <row r="5476">
      <c r="A5476" s="544" t="n">
        <v>36874</v>
      </c>
      <c r="B5476" s="538" t="n">
        <v>24.32</v>
      </c>
      <c r="C5476" s="538" t="n">
        <v>28.06</v>
      </c>
      <c r="D5476" s="538" t="n">
        <v>20.72</v>
      </c>
      <c r="E5476" s="538" t="n">
        <v>31.6</v>
      </c>
    </row>
    <row r="5477">
      <c r="A5477" s="544" t="n">
        <v>36875</v>
      </c>
      <c r="B5477" s="538" t="n">
        <v>24.44</v>
      </c>
      <c r="C5477" s="538" t="n">
        <v>28.86</v>
      </c>
      <c r="D5477" s="538" t="n">
        <v>20.33</v>
      </c>
      <c r="E5477" s="538" t="n">
        <v>30.45</v>
      </c>
    </row>
    <row r="5478">
      <c r="A5478" s="544" t="n">
        <v>36878</v>
      </c>
      <c r="B5478" s="538" t="n">
        <v>25.11</v>
      </c>
      <c r="C5478" s="538" t="n">
        <v>29.52</v>
      </c>
      <c r="D5478" s="538" t="n">
        <v>22.87</v>
      </c>
      <c r="E5478" s="538" t="n">
        <v>31.55</v>
      </c>
    </row>
    <row r="5479">
      <c r="A5479" s="544" t="n">
        <v>36879</v>
      </c>
      <c r="B5479" s="538" t="n">
        <v>24.36</v>
      </c>
      <c r="C5479" s="538" t="n">
        <v>29.34</v>
      </c>
      <c r="D5479" s="538" t="n">
        <v>21.59</v>
      </c>
      <c r="E5479" s="538" t="n">
        <v>32</v>
      </c>
    </row>
    <row r="5480">
      <c r="A5480" s="544" t="n">
        <v>36880</v>
      </c>
      <c r="B5480" s="538" t="n">
        <v>23.29</v>
      </c>
      <c r="C5480" s="538" t="n">
        <v>25.83</v>
      </c>
      <c r="D5480" s="538" t="n">
        <v>19.6</v>
      </c>
      <c r="E5480" s="538" t="n">
        <v>31.25</v>
      </c>
    </row>
    <row r="5481">
      <c r="A5481" s="544" t="n">
        <v>36881</v>
      </c>
      <c r="B5481" s="538" t="n">
        <v>22.4</v>
      </c>
      <c r="C5481" s="538" t="n">
        <v>26.06</v>
      </c>
      <c r="D5481" s="538" t="n">
        <v>20.37</v>
      </c>
      <c r="E5481" s="538" t="n">
        <v>30.65</v>
      </c>
    </row>
    <row r="5482">
      <c r="A5482" s="544" t="n">
        <v>36882</v>
      </c>
      <c r="B5482" s="538" t="n">
        <v>22.23</v>
      </c>
      <c r="C5482" s="538" t="n">
        <v>26.16</v>
      </c>
      <c r="D5482" s="538" t="n">
        <v>20.23</v>
      </c>
      <c r="E5482" s="538" t="n">
        <v>30.95</v>
      </c>
    </row>
    <row r="5483">
      <c r="A5483" s="544" t="n">
        <v>36885</v>
      </c>
      <c r="B5483" s="538" t="n">
        <v>22.23</v>
      </c>
      <c r="C5483" s="538" t="n">
        <v>26.16</v>
      </c>
      <c r="D5483" s="538" t="n">
        <v>20.23</v>
      </c>
      <c r="E5483" s="538" t="n">
        <v>30.95</v>
      </c>
    </row>
    <row r="5484">
      <c r="A5484" s="544" t="n">
        <v>36886</v>
      </c>
      <c r="B5484" s="538" t="n">
        <v>22.23</v>
      </c>
      <c r="C5484" s="538" t="n">
        <v>27</v>
      </c>
      <c r="D5484" s="538" t="n">
        <v>20.09</v>
      </c>
      <c r="E5484" s="538" t="n">
        <v>29.9</v>
      </c>
    </row>
    <row r="5485">
      <c r="A5485" s="544" t="n">
        <v>36887</v>
      </c>
      <c r="B5485" s="538" t="n">
        <v>22.58</v>
      </c>
      <c r="C5485" s="538" t="n">
        <v>26.55</v>
      </c>
      <c r="D5485" s="538" t="n">
        <v>20.41</v>
      </c>
      <c r="E5485" s="538" t="n">
        <v>29.9</v>
      </c>
    </row>
    <row r="5486">
      <c r="A5486" s="544" t="n">
        <v>36888</v>
      </c>
      <c r="B5486" s="538" t="n">
        <v>22.29</v>
      </c>
      <c r="C5486" s="538" t="n">
        <v>25.82</v>
      </c>
      <c r="D5486" s="538" t="n">
        <v>19.94</v>
      </c>
      <c r="E5486" s="538" t="n">
        <v>29.8</v>
      </c>
    </row>
    <row r="5487">
      <c r="A5487" s="544" t="n">
        <v>36889</v>
      </c>
      <c r="B5487" s="538" t="n">
        <v>22.58</v>
      </c>
      <c r="C5487" s="538" t="n">
        <v>26.72</v>
      </c>
      <c r="D5487" s="538" t="n">
        <v>20.1</v>
      </c>
      <c r="E5487" s="538" t="n">
        <v>29.7</v>
      </c>
    </row>
    <row r="5488">
      <c r="A5488" s="544" t="n">
        <v>36892</v>
      </c>
      <c r="B5488" s="538" t="n">
        <v>22.58</v>
      </c>
      <c r="C5488" s="538" t="n">
        <v>26.72</v>
      </c>
      <c r="D5488" s="538" t="n">
        <v>20.1</v>
      </c>
      <c r="E5488" s="538" t="n">
        <v>29.7</v>
      </c>
    </row>
    <row r="5489">
      <c r="A5489" s="544" t="n">
        <v>36893</v>
      </c>
      <c r="B5489" s="538" t="n">
        <v>23.43</v>
      </c>
      <c r="C5489" s="538" t="n">
        <v>27.29</v>
      </c>
      <c r="D5489" s="538" t="n">
        <v>20.6</v>
      </c>
      <c r="E5489" s="538" t="n">
        <v>30.3</v>
      </c>
    </row>
    <row r="5490">
      <c r="A5490" s="544" t="n">
        <v>36894</v>
      </c>
      <c r="B5490" s="538" t="n">
        <v>23.44</v>
      </c>
      <c r="C5490" s="538" t="n">
        <v>27.93</v>
      </c>
      <c r="D5490" s="538" t="n">
        <v>21.24</v>
      </c>
      <c r="E5490" s="538" t="n">
        <v>29.85</v>
      </c>
    </row>
    <row r="5491">
      <c r="A5491" s="544" t="n">
        <v>36895</v>
      </c>
      <c r="B5491" s="538" t="n">
        <v>24.57</v>
      </c>
      <c r="C5491" s="538" t="n">
        <v>27.95</v>
      </c>
      <c r="D5491" s="538" t="n">
        <v>21.3</v>
      </c>
      <c r="E5491" s="538" t="n">
        <v>30.1</v>
      </c>
    </row>
    <row r="5492">
      <c r="A5492" s="544" t="n">
        <v>36896</v>
      </c>
      <c r="B5492" s="538" t="n">
        <v>24.77</v>
      </c>
      <c r="C5492" s="538" t="n">
        <v>28.02</v>
      </c>
      <c r="D5492" s="538" t="n">
        <v>21.25</v>
      </c>
      <c r="E5492" s="538" t="n">
        <v>30</v>
      </c>
    </row>
    <row r="5493">
      <c r="A5493" s="544" t="n">
        <v>36899</v>
      </c>
      <c r="B5493" s="538" t="n">
        <v>24.75</v>
      </c>
      <c r="C5493" s="538" t="n">
        <v>27.44</v>
      </c>
      <c r="D5493" s="538" t="n">
        <v>20.75</v>
      </c>
      <c r="E5493" s="538" t="n">
        <v>30.35</v>
      </c>
    </row>
    <row r="5494">
      <c r="A5494" s="544" t="n">
        <v>36900</v>
      </c>
      <c r="B5494" s="538" t="n">
        <v>24.13</v>
      </c>
      <c r="C5494" s="538" t="n">
        <v>27.72</v>
      </c>
      <c r="D5494" s="538" t="n">
        <v>20.95</v>
      </c>
      <c r="E5494" s="538" t="n">
        <v>29.7</v>
      </c>
    </row>
    <row r="5495">
      <c r="A5495" s="544" t="n">
        <v>36901</v>
      </c>
      <c r="B5495" s="538" t="n">
        <v>24.98</v>
      </c>
      <c r="C5495" s="538" t="n">
        <v>29.42</v>
      </c>
      <c r="D5495" s="538" t="n">
        <v>22.19</v>
      </c>
      <c r="E5495" s="538" t="n">
        <v>30.6</v>
      </c>
    </row>
    <row r="5496">
      <c r="A5496" s="544" t="n">
        <v>36902</v>
      </c>
      <c r="B5496" s="538" t="n">
        <v>25.6</v>
      </c>
      <c r="C5496" s="538" t="n">
        <v>29.42</v>
      </c>
      <c r="D5496" s="538" t="n">
        <v>22.56</v>
      </c>
      <c r="E5496" s="538" t="n">
        <v>30.75</v>
      </c>
    </row>
    <row r="5497">
      <c r="A5497" s="544" t="n">
        <v>36903</v>
      </c>
      <c r="B5497" s="538" t="n">
        <v>25.63</v>
      </c>
      <c r="C5497" s="538" t="n">
        <v>30.07</v>
      </c>
      <c r="D5497" s="538" t="n">
        <v>22.7</v>
      </c>
      <c r="E5497" s="538" t="n">
        <v>29.35</v>
      </c>
    </row>
    <row r="5498">
      <c r="A5498" s="544" t="n">
        <v>36906</v>
      </c>
      <c r="B5498" s="538" t="n">
        <v>26.03</v>
      </c>
      <c r="C5498" s="538" t="n">
        <v>30.07</v>
      </c>
      <c r="D5498" s="538" t="n">
        <v>22.7</v>
      </c>
      <c r="E5498" s="538" t="n">
        <v>29.05</v>
      </c>
    </row>
    <row r="5499">
      <c r="A5499" s="544" t="n">
        <v>36907</v>
      </c>
      <c r="B5499" s="538" t="n">
        <v>25.52</v>
      </c>
      <c r="C5499" s="538" t="n">
        <v>30.19</v>
      </c>
      <c r="D5499" s="538" t="n">
        <v>22.83</v>
      </c>
      <c r="E5499" s="538" t="n">
        <v>30.55</v>
      </c>
    </row>
    <row r="5500">
      <c r="A5500" s="544" t="n">
        <v>36908</v>
      </c>
      <c r="B5500" s="538" t="n">
        <v>24.27</v>
      </c>
      <c r="C5500" s="538" t="n">
        <v>29.77</v>
      </c>
      <c r="D5500" s="538" t="n">
        <v>22.18</v>
      </c>
      <c r="E5500" s="538" t="n">
        <v>29.75</v>
      </c>
    </row>
    <row r="5501">
      <c r="A5501" s="544" t="n">
        <v>36909</v>
      </c>
      <c r="B5501" s="538" t="n">
        <v>24.74</v>
      </c>
      <c r="C5501" s="538" t="n">
        <v>30.42</v>
      </c>
      <c r="D5501" s="538" t="n">
        <v>23.03</v>
      </c>
      <c r="E5501" s="538" t="n">
        <v>29.75</v>
      </c>
    </row>
    <row r="5502">
      <c r="A5502" s="544" t="n">
        <v>36910</v>
      </c>
      <c r="B5502" s="538" t="n">
        <v>26.29</v>
      </c>
      <c r="C5502" s="538" t="n">
        <v>32.12</v>
      </c>
      <c r="D5502" s="538" t="n">
        <v>26.01</v>
      </c>
      <c r="E5502" s="538" t="n">
        <v>29.75</v>
      </c>
    </row>
    <row r="5503">
      <c r="A5503" s="544" t="n">
        <v>36913</v>
      </c>
      <c r="B5503" s="538" t="n">
        <v>27.69</v>
      </c>
      <c r="C5503" s="538" t="n">
        <v>32.21</v>
      </c>
      <c r="D5503" s="538" t="n">
        <v>23.84</v>
      </c>
      <c r="E5503" s="538" t="n">
        <v>29.75</v>
      </c>
    </row>
    <row r="5504">
      <c r="A5504" s="544" t="n">
        <v>36914</v>
      </c>
      <c r="B5504" s="538" t="n">
        <v>27.02</v>
      </c>
      <c r="C5504" s="538" t="n">
        <v>31.66</v>
      </c>
      <c r="D5504" s="538" t="n">
        <v>24.19</v>
      </c>
      <c r="E5504" s="538" t="n">
        <v>29.4</v>
      </c>
    </row>
    <row r="5505">
      <c r="A5505" s="544" t="n">
        <v>36915</v>
      </c>
      <c r="B5505" s="538" t="n">
        <v>27.04</v>
      </c>
      <c r="C5505" s="538" t="n">
        <v>31.46</v>
      </c>
      <c r="D5505" s="538" t="n">
        <v>23.66</v>
      </c>
      <c r="E5505" s="538" t="n">
        <v>29.4</v>
      </c>
    </row>
    <row r="5506">
      <c r="A5506" s="544" t="n">
        <v>36916</v>
      </c>
      <c r="B5506" s="538" t="n">
        <v>26.94</v>
      </c>
      <c r="C5506" s="538" t="n">
        <v>31.61</v>
      </c>
      <c r="D5506" s="538" t="n">
        <v>24.07</v>
      </c>
      <c r="E5506" s="538" t="n">
        <v>29.4</v>
      </c>
    </row>
    <row r="5507">
      <c r="A5507" s="544" t="n">
        <v>36917</v>
      </c>
      <c r="B5507" s="538" t="n">
        <v>27.04</v>
      </c>
      <c r="C5507" s="538" t="n">
        <v>29.79</v>
      </c>
      <c r="D5507" s="538" t="n">
        <v>24.82</v>
      </c>
      <c r="E5507" s="538" t="n">
        <v>29.4</v>
      </c>
    </row>
    <row r="5508">
      <c r="A5508" s="544" t="n">
        <v>36920</v>
      </c>
      <c r="B5508" s="538" t="n">
        <v>26.95</v>
      </c>
      <c r="C5508" s="538" t="n">
        <v>29.07</v>
      </c>
      <c r="D5508" s="538" t="n">
        <v>23.81</v>
      </c>
      <c r="E5508" s="538" t="n">
        <v>29.6</v>
      </c>
    </row>
    <row r="5509">
      <c r="A5509" s="544" t="n">
        <v>36921</v>
      </c>
      <c r="B5509" s="538" t="n">
        <v>26.32</v>
      </c>
      <c r="C5509" s="538" t="n">
        <v>29.12</v>
      </c>
      <c r="D5509" s="538" t="n">
        <v>24.13</v>
      </c>
      <c r="E5509" s="538" t="n">
        <v>28.3</v>
      </c>
    </row>
    <row r="5510">
      <c r="A5510" s="544" t="n">
        <v>36922</v>
      </c>
      <c r="B5510" s="538" t="n">
        <v>26.59</v>
      </c>
      <c r="C5510" s="538" t="n">
        <v>28.62</v>
      </c>
      <c r="D5510" s="538" t="n">
        <v>23.61</v>
      </c>
      <c r="E5510" s="538" t="n">
        <v>28.65</v>
      </c>
    </row>
    <row r="5511">
      <c r="A5511" s="544" t="n">
        <v>36923</v>
      </c>
      <c r="B5511" s="538" t="n">
        <v>27.17</v>
      </c>
      <c r="C5511" s="538" t="n">
        <v>29.88</v>
      </c>
      <c r="D5511" s="538" t="n">
        <v>24.73</v>
      </c>
      <c r="E5511" s="538" t="n">
        <v>28.5</v>
      </c>
    </row>
    <row r="5512">
      <c r="A5512" s="544" t="n">
        <v>36924</v>
      </c>
      <c r="B5512" s="538" t="n">
        <v>28.9</v>
      </c>
      <c r="C5512" s="538" t="n">
        <v>31.27</v>
      </c>
      <c r="D5512" s="538" t="n">
        <v>27.17</v>
      </c>
      <c r="E5512" s="538" t="n">
        <v>29.7</v>
      </c>
    </row>
    <row r="5513">
      <c r="A5513" s="544" t="n">
        <v>36927</v>
      </c>
      <c r="B5513" s="538" t="n">
        <v>29.25</v>
      </c>
      <c r="C5513" s="538" t="n">
        <v>30.55</v>
      </c>
      <c r="D5513" s="538" t="n">
        <v>25.11</v>
      </c>
      <c r="E5513" s="538" t="n">
        <v>31.25</v>
      </c>
    </row>
    <row r="5514">
      <c r="A5514" s="544" t="n">
        <v>36928</v>
      </c>
      <c r="B5514" s="538" t="n">
        <v>29.1</v>
      </c>
      <c r="C5514" s="538" t="n">
        <v>30.27</v>
      </c>
      <c r="D5514" s="538" t="n">
        <v>25.28</v>
      </c>
      <c r="E5514" s="538" t="n">
        <v>30.85</v>
      </c>
    </row>
    <row r="5515">
      <c r="A5515" s="544" t="n">
        <v>36929</v>
      </c>
      <c r="B5515" s="538" t="n">
        <v>29.54</v>
      </c>
      <c r="C5515" s="538" t="n">
        <v>31.27</v>
      </c>
      <c r="D5515" s="538" t="n">
        <v>26.74</v>
      </c>
      <c r="E5515" s="538" t="n">
        <v>31.25</v>
      </c>
    </row>
    <row r="5516">
      <c r="A5516" s="544" t="n">
        <v>36930</v>
      </c>
      <c r="B5516" s="538" t="n">
        <v>30.68</v>
      </c>
      <c r="C5516" s="538" t="n">
        <v>31.57</v>
      </c>
      <c r="D5516" s="538" t="n">
        <v>26.56</v>
      </c>
      <c r="E5516" s="538" t="n">
        <v>31.7</v>
      </c>
    </row>
    <row r="5517">
      <c r="A5517" s="544" t="n">
        <v>36931</v>
      </c>
      <c r="B5517" s="538" t="n">
        <v>29.53</v>
      </c>
      <c r="C5517" s="538" t="n">
        <v>30.93</v>
      </c>
      <c r="D5517" s="538" t="n">
        <v>25.35</v>
      </c>
      <c r="E5517" s="538" t="n">
        <v>31.7</v>
      </c>
    </row>
    <row r="5518">
      <c r="A5518" s="544" t="n">
        <v>36934</v>
      </c>
      <c r="B5518" s="538" t="n">
        <v>29.32</v>
      </c>
      <c r="C5518" s="538" t="n">
        <v>30.52</v>
      </c>
      <c r="D5518" s="538" t="n">
        <v>25.75</v>
      </c>
      <c r="E5518" s="538" t="n">
        <v>32.35</v>
      </c>
    </row>
    <row r="5519">
      <c r="A5519" s="544" t="n">
        <v>36935</v>
      </c>
      <c r="B5519" s="538" t="n">
        <v>28</v>
      </c>
      <c r="C5519" s="538" t="n">
        <v>30.12</v>
      </c>
      <c r="D5519" s="538" t="n">
        <v>25</v>
      </c>
      <c r="E5519" s="538" t="n">
        <v>32.05</v>
      </c>
    </row>
    <row r="5520">
      <c r="A5520" s="544" t="n">
        <v>36936</v>
      </c>
      <c r="B5520" s="538" t="n">
        <v>27.89</v>
      </c>
      <c r="C5520" s="538" t="n">
        <v>29.55</v>
      </c>
      <c r="D5520" s="538" t="n">
        <v>24.8</v>
      </c>
      <c r="E5520" s="538" t="n">
        <v>31</v>
      </c>
    </row>
    <row r="5521">
      <c r="A5521" s="544" t="n">
        <v>36937</v>
      </c>
      <c r="B5521" s="538" t="n">
        <v>26.33</v>
      </c>
      <c r="C5521" s="538" t="n">
        <v>28.96</v>
      </c>
      <c r="D5521" s="538" t="n">
        <v>24.47</v>
      </c>
      <c r="E5521" s="538" t="n">
        <v>30.9</v>
      </c>
    </row>
    <row r="5522">
      <c r="A5522" s="544" t="n">
        <v>36938</v>
      </c>
      <c r="B5522" s="538" t="n">
        <v>26.61</v>
      </c>
      <c r="C5522" s="538" t="n">
        <v>29.22</v>
      </c>
      <c r="D5522" s="538" t="n">
        <v>24.29</v>
      </c>
      <c r="E5522" s="538" t="n">
        <v>30.4</v>
      </c>
    </row>
    <row r="5523">
      <c r="A5523" s="544" t="n">
        <v>36941</v>
      </c>
      <c r="B5523" s="538" t="n">
        <v>27.05</v>
      </c>
      <c r="C5523" s="538" t="n">
        <v>29.22</v>
      </c>
      <c r="D5523" s="538" t="n">
        <v>24.29</v>
      </c>
      <c r="E5523" s="538" t="n">
        <v>30.85</v>
      </c>
    </row>
    <row r="5524">
      <c r="A5524" s="544" t="n">
        <v>36942</v>
      </c>
      <c r="B5524" s="538" t="n">
        <v>26.45</v>
      </c>
      <c r="C5524" s="538" t="n">
        <v>28.6</v>
      </c>
      <c r="D5524" s="538" t="n">
        <v>24.02</v>
      </c>
      <c r="E5524" s="538" t="n">
        <v>30.3</v>
      </c>
    </row>
    <row r="5525">
      <c r="A5525" s="544" t="n">
        <v>36943</v>
      </c>
      <c r="B5525" s="538" t="n">
        <v>26.1</v>
      </c>
      <c r="C5525" s="538" t="n">
        <v>28.64</v>
      </c>
      <c r="D5525" s="538" t="n">
        <v>24.33</v>
      </c>
      <c r="E5525" s="538" t="n">
        <v>28.9</v>
      </c>
    </row>
    <row r="5526">
      <c r="A5526" s="544" t="n">
        <v>36944</v>
      </c>
      <c r="B5526" s="538" t="n">
        <v>25.75</v>
      </c>
      <c r="C5526" s="538" t="n">
        <v>28.52</v>
      </c>
      <c r="D5526" s="538" t="n">
        <v>24.15</v>
      </c>
      <c r="E5526" s="538" t="n">
        <v>28.9</v>
      </c>
    </row>
    <row r="5527">
      <c r="A5527" s="544" t="n">
        <v>36945</v>
      </c>
      <c r="B5527" s="538" t="n">
        <v>26.12</v>
      </c>
      <c r="C5527" s="538" t="n">
        <v>28.83</v>
      </c>
      <c r="D5527" s="538" t="n">
        <v>24.32</v>
      </c>
      <c r="E5527" s="538" t="n">
        <v>29.2</v>
      </c>
    </row>
    <row r="5528">
      <c r="A5528" s="544" t="n">
        <v>36948</v>
      </c>
      <c r="B5528" s="538" t="n">
        <v>25.84</v>
      </c>
      <c r="C5528" s="538" t="n">
        <v>28.27</v>
      </c>
      <c r="D5528" s="538" t="n">
        <v>23.53</v>
      </c>
      <c r="E5528" s="538" t="n">
        <v>29.5</v>
      </c>
    </row>
    <row r="5529">
      <c r="A5529" s="544" t="n">
        <v>36949</v>
      </c>
      <c r="B5529" s="538" t="n">
        <v>25.28</v>
      </c>
      <c r="C5529" s="538" t="n">
        <v>28.26</v>
      </c>
      <c r="D5529" s="538" t="n">
        <v>23.74</v>
      </c>
      <c r="E5529" s="538" t="n">
        <v>30.1</v>
      </c>
    </row>
    <row r="5530">
      <c r="A5530" s="544" t="n">
        <v>36950</v>
      </c>
      <c r="B5530" s="538" t="n">
        <v>25.16</v>
      </c>
      <c r="C5530" s="538" t="n">
        <v>27.35</v>
      </c>
      <c r="D5530" s="538" t="n">
        <v>22.99</v>
      </c>
      <c r="E5530" s="538" t="n">
        <v>30.2</v>
      </c>
    </row>
    <row r="5531">
      <c r="A5531" s="544" t="n">
        <v>36951</v>
      </c>
      <c r="B5531" s="538" t="n">
        <v>24.76</v>
      </c>
      <c r="C5531" s="538" t="n">
        <v>27.78</v>
      </c>
      <c r="D5531" s="538" t="n">
        <v>23.57</v>
      </c>
      <c r="E5531" s="538" t="n">
        <v>30</v>
      </c>
    </row>
    <row r="5532">
      <c r="A5532" s="544" t="n">
        <v>36952</v>
      </c>
      <c r="B5532" s="538" t="n">
        <v>25.28</v>
      </c>
      <c r="C5532" s="538" t="n">
        <v>27.89</v>
      </c>
      <c r="D5532" s="538" t="n">
        <v>23.71</v>
      </c>
      <c r="E5532" s="538" t="n">
        <v>30</v>
      </c>
    </row>
    <row r="5533">
      <c r="A5533" s="544" t="n">
        <v>36955</v>
      </c>
      <c r="B5533" s="538" t="n">
        <v>25.98</v>
      </c>
      <c r="C5533" s="538" t="n">
        <v>28.61</v>
      </c>
      <c r="D5533" s="538" t="n">
        <v>24.15</v>
      </c>
      <c r="E5533" s="538" t="n">
        <v>30.55</v>
      </c>
    </row>
    <row r="5534">
      <c r="A5534" s="544" t="n">
        <v>36956</v>
      </c>
      <c r="B5534" s="538" t="n">
        <v>25.59</v>
      </c>
      <c r="C5534" s="538" t="n">
        <v>28.4</v>
      </c>
      <c r="D5534" s="538" t="n">
        <v>24.47</v>
      </c>
      <c r="E5534" s="538" t="n">
        <v>30.55</v>
      </c>
    </row>
    <row r="5535">
      <c r="A5535" s="544" t="n">
        <v>36957</v>
      </c>
      <c r="B5535" s="538" t="n">
        <v>25.91</v>
      </c>
      <c r="C5535" s="538" t="n">
        <v>28.95</v>
      </c>
      <c r="D5535" s="538" t="n">
        <v>25.05</v>
      </c>
      <c r="E5535" s="538" t="n">
        <v>30.3</v>
      </c>
    </row>
    <row r="5536">
      <c r="A5536" s="544" t="n">
        <v>36958</v>
      </c>
      <c r="B5536" s="538" t="n">
        <v>26.37</v>
      </c>
      <c r="C5536" s="538" t="n">
        <v>28.31</v>
      </c>
      <c r="D5536" s="538" t="n">
        <v>24.44</v>
      </c>
      <c r="E5536" s="538" t="n">
        <v>30.6</v>
      </c>
    </row>
    <row r="5537">
      <c r="A5537" s="544" t="n">
        <v>36959</v>
      </c>
      <c r="B5537" s="538" t="n">
        <v>25.78</v>
      </c>
      <c r="C5537" s="538" t="n">
        <v>27.97</v>
      </c>
      <c r="D5537" s="538" t="n">
        <v>23.67</v>
      </c>
      <c r="E5537" s="538" t="n">
        <v>29.15</v>
      </c>
    </row>
    <row r="5538">
      <c r="A5538" s="544" t="n">
        <v>36962</v>
      </c>
      <c r="B5538" s="538" t="n">
        <v>25.34</v>
      </c>
      <c r="C5538" s="538" t="n">
        <v>27.91</v>
      </c>
      <c r="D5538" s="538" t="n">
        <v>24.11</v>
      </c>
      <c r="E5538" s="538" t="n">
        <v>28.9</v>
      </c>
    </row>
    <row r="5539">
      <c r="A5539" s="544" t="n">
        <v>36963</v>
      </c>
      <c r="B5539" s="538" t="n">
        <v>24.8</v>
      </c>
      <c r="C5539" s="538" t="n">
        <v>27.45</v>
      </c>
      <c r="D5539" s="538" t="n">
        <v>23.54</v>
      </c>
      <c r="E5539" s="538" t="n">
        <v>28.25</v>
      </c>
    </row>
    <row r="5540">
      <c r="A5540" s="544" t="n">
        <v>36964</v>
      </c>
      <c r="B5540" s="538" t="n">
        <v>24.31</v>
      </c>
      <c r="C5540" s="538" t="n">
        <v>26.49</v>
      </c>
      <c r="D5540" s="538" t="n">
        <v>22.75</v>
      </c>
      <c r="E5540" s="538" t="n">
        <v>28.2</v>
      </c>
    </row>
    <row r="5541">
      <c r="A5541" s="544" t="n">
        <v>36965</v>
      </c>
      <c r="B5541" s="538" t="n">
        <v>23.37</v>
      </c>
      <c r="C5541" s="538" t="n">
        <v>26.56</v>
      </c>
      <c r="D5541" s="538" t="n">
        <v>22.59</v>
      </c>
      <c r="E5541" s="538" t="n">
        <v>28.55</v>
      </c>
    </row>
    <row r="5542">
      <c r="A5542" s="544" t="n">
        <v>36966</v>
      </c>
      <c r="B5542" s="538" t="n">
        <v>23.84</v>
      </c>
      <c r="C5542" s="538" t="n">
        <v>26.68</v>
      </c>
      <c r="D5542" s="538" t="n">
        <v>23.01</v>
      </c>
      <c r="E5542" s="538" t="n">
        <v>28.7</v>
      </c>
    </row>
    <row r="5543">
      <c r="A5543" s="544" t="n">
        <v>36969</v>
      </c>
      <c r="B5543" s="538" t="n">
        <v>23.19</v>
      </c>
      <c r="C5543" s="538" t="n">
        <v>26.17</v>
      </c>
      <c r="D5543" s="538" t="n">
        <v>22.68</v>
      </c>
      <c r="E5543" s="538" t="n">
        <v>28.7</v>
      </c>
    </row>
    <row r="5544">
      <c r="A5544" s="544" t="n">
        <v>36970</v>
      </c>
      <c r="B5544" s="538" t="n">
        <v>23.63</v>
      </c>
      <c r="C5544" s="538" t="n">
        <v>25.99</v>
      </c>
      <c r="D5544" s="538" t="n">
        <v>22.35</v>
      </c>
      <c r="E5544" s="538" t="n">
        <v>27.5</v>
      </c>
    </row>
    <row r="5545">
      <c r="A5545" s="544" t="n">
        <v>36971</v>
      </c>
      <c r="B5545" s="538" t="n">
        <v>23.21</v>
      </c>
      <c r="C5545" s="538" t="n">
        <v>26.43</v>
      </c>
      <c r="D5545" s="538" t="n">
        <v>23.34</v>
      </c>
      <c r="E5545" s="538" t="n">
        <v>27</v>
      </c>
    </row>
    <row r="5546">
      <c r="A5546" s="544" t="n">
        <v>36972</v>
      </c>
      <c r="B5546" s="538" t="n">
        <v>23.45</v>
      </c>
      <c r="C5546" s="538" t="n">
        <v>26.19</v>
      </c>
      <c r="D5546" s="538" t="n">
        <v>23.15</v>
      </c>
      <c r="E5546" s="538" t="n">
        <v>27.75</v>
      </c>
    </row>
    <row r="5547">
      <c r="A5547" s="544" t="n">
        <v>36973</v>
      </c>
      <c r="B5547" s="538" t="n">
        <v>23.94</v>
      </c>
      <c r="C5547" s="538" t="n">
        <v>27.31</v>
      </c>
      <c r="D5547" s="538" t="n">
        <v>24.6</v>
      </c>
      <c r="E5547" s="538" t="n">
        <v>28.05</v>
      </c>
    </row>
    <row r="5548">
      <c r="A5548" s="544" t="n">
        <v>36976</v>
      </c>
      <c r="B5548" s="538" t="n">
        <v>24.01</v>
      </c>
      <c r="C5548" s="538" t="n">
        <v>27.4</v>
      </c>
      <c r="D5548" s="538" t="n">
        <v>23.22</v>
      </c>
      <c r="E5548" s="538" t="n">
        <v>28.65</v>
      </c>
    </row>
    <row r="5549">
      <c r="A5549" s="544" t="n">
        <v>36977</v>
      </c>
      <c r="B5549" s="538" t="n">
        <v>24.41</v>
      </c>
      <c r="C5549" s="538" t="n">
        <v>27.62</v>
      </c>
      <c r="D5549" s="538" t="n">
        <v>23.56</v>
      </c>
      <c r="E5549" s="538" t="n">
        <v>28.6</v>
      </c>
    </row>
    <row r="5550">
      <c r="A5550" s="544" t="n">
        <v>36978</v>
      </c>
      <c r="B5550" s="538" t="n">
        <v>24.5</v>
      </c>
      <c r="C5550" s="538" t="n">
        <v>26.43</v>
      </c>
      <c r="D5550" s="538" t="n">
        <v>23.04</v>
      </c>
      <c r="E5550" s="538" t="n">
        <v>28.5</v>
      </c>
    </row>
    <row r="5551">
      <c r="A5551" s="544" t="n">
        <v>36979</v>
      </c>
      <c r="B5551" s="538" t="n">
        <v>23.77</v>
      </c>
      <c r="C5551" s="538" t="n">
        <v>26.47</v>
      </c>
      <c r="D5551" s="538" t="n">
        <v>22.38</v>
      </c>
      <c r="E5551" s="538" t="n">
        <v>28.2</v>
      </c>
    </row>
    <row r="5552">
      <c r="A5552" s="544" t="n">
        <v>36980</v>
      </c>
      <c r="B5552" s="538" t="n">
        <v>23.5</v>
      </c>
      <c r="C5552" s="538" t="n">
        <v>26.37</v>
      </c>
      <c r="D5552" s="538" t="n">
        <v>22.62</v>
      </c>
      <c r="E5552" s="538" t="n">
        <v>28.2</v>
      </c>
    </row>
    <row r="5553">
      <c r="A5553" s="544" t="n">
        <v>36983</v>
      </c>
      <c r="B5553" s="538" t="n">
        <v>23.31</v>
      </c>
      <c r="C5553" s="538" t="n">
        <v>25.7</v>
      </c>
      <c r="D5553" s="538" t="n">
        <v>22.09</v>
      </c>
      <c r="E5553" s="538" t="n">
        <v>28.15</v>
      </c>
    </row>
    <row r="5554">
      <c r="A5554" s="544" t="n">
        <v>36984</v>
      </c>
      <c r="B5554" s="538" t="n">
        <v>23.47</v>
      </c>
      <c r="C5554" s="538" t="n">
        <v>26.65</v>
      </c>
      <c r="D5554" s="538" t="n">
        <v>23.56</v>
      </c>
      <c r="E5554" s="538" t="n">
        <v>27.75</v>
      </c>
    </row>
    <row r="5555">
      <c r="A5555" s="544" t="n">
        <v>36985</v>
      </c>
      <c r="B5555" s="538" t="n">
        <v>24.35</v>
      </c>
      <c r="C5555" s="538" t="n">
        <v>27.16</v>
      </c>
      <c r="D5555" s="538" t="n">
        <v>23.82</v>
      </c>
      <c r="E5555" s="538" t="n">
        <v>28.3</v>
      </c>
    </row>
    <row r="5556">
      <c r="A5556" s="544" t="n">
        <v>36986</v>
      </c>
      <c r="B5556" s="538" t="n">
        <v>24.87</v>
      </c>
      <c r="C5556" s="538" t="n">
        <v>27.24</v>
      </c>
      <c r="D5556" s="538" t="n">
        <v>23.21</v>
      </c>
      <c r="E5556" s="538" t="n">
        <v>28.6</v>
      </c>
    </row>
    <row r="5557">
      <c r="A5557" s="544" t="n">
        <v>36987</v>
      </c>
      <c r="B5557" s="538" t="n">
        <v>24.02</v>
      </c>
      <c r="C5557" s="538" t="n">
        <v>27.07</v>
      </c>
      <c r="D5557" s="538" t="n">
        <v>23.05</v>
      </c>
      <c r="E5557" s="538" t="n">
        <v>28.6</v>
      </c>
    </row>
    <row r="5558">
      <c r="A5558" s="544" t="n">
        <v>36990</v>
      </c>
      <c r="B5558" s="538" t="n">
        <v>24.37</v>
      </c>
      <c r="C5558" s="538" t="n">
        <v>27.45</v>
      </c>
      <c r="D5558" s="538" t="n">
        <v>23.69</v>
      </c>
      <c r="E5558" s="538" t="n">
        <v>28.65</v>
      </c>
    </row>
    <row r="5559">
      <c r="A5559" s="544" t="n">
        <v>36991</v>
      </c>
      <c r="B5559" s="538" t="n">
        <v>25.64</v>
      </c>
      <c r="C5559" s="538" t="n">
        <v>28.47</v>
      </c>
      <c r="D5559" s="538" t="n">
        <v>24.97</v>
      </c>
      <c r="E5559" s="538" t="n">
        <v>29.4</v>
      </c>
    </row>
    <row r="5560">
      <c r="A5560" s="544" t="n">
        <v>36992</v>
      </c>
      <c r="B5560" s="538" t="n">
        <v>26.08</v>
      </c>
      <c r="C5560" s="538" t="n">
        <v>28.42</v>
      </c>
      <c r="D5560" s="538" t="n">
        <v>24.93</v>
      </c>
      <c r="E5560" s="538" t="n">
        <v>30.5</v>
      </c>
    </row>
    <row r="5561">
      <c r="A5561" s="544" t="n">
        <v>36993</v>
      </c>
      <c r="B5561" s="538" t="n">
        <v>27.12</v>
      </c>
      <c r="C5561" s="538" t="n">
        <v>28.75</v>
      </c>
      <c r="D5561" s="538" t="n">
        <v>25.2</v>
      </c>
      <c r="E5561" s="538" t="n">
        <v>31.25</v>
      </c>
    </row>
    <row r="5562">
      <c r="A5562" s="544" t="n">
        <v>36994</v>
      </c>
      <c r="B5562" s="538" t="n">
        <v>26.8</v>
      </c>
      <c r="C5562" s="538" t="n">
        <v>28.75</v>
      </c>
      <c r="D5562" s="538" t="n">
        <v>25.2</v>
      </c>
      <c r="E5562" s="538" t="n">
        <v>31.25</v>
      </c>
    </row>
    <row r="5563">
      <c r="A5563" s="544" t="n">
        <v>36997</v>
      </c>
      <c r="B5563" s="538" t="n">
        <v>26.8</v>
      </c>
      <c r="C5563" s="538" t="n">
        <v>28.81</v>
      </c>
      <c r="D5563" s="538" t="n">
        <v>24.55</v>
      </c>
      <c r="E5563" s="538" t="n">
        <v>31.8</v>
      </c>
    </row>
    <row r="5564">
      <c r="A5564" s="544" t="n">
        <v>36998</v>
      </c>
      <c r="B5564" s="538" t="n">
        <v>26.99</v>
      </c>
      <c r="C5564" s="538" t="n">
        <v>27.89</v>
      </c>
      <c r="D5564" s="538" t="n">
        <v>24.47</v>
      </c>
      <c r="E5564" s="538" t="n">
        <v>32.95</v>
      </c>
    </row>
    <row r="5565">
      <c r="A5565" s="544" t="n">
        <v>36999</v>
      </c>
      <c r="B5565" s="538" t="n">
        <v>26.11</v>
      </c>
      <c r="C5565" s="538" t="n">
        <v>27.83</v>
      </c>
      <c r="D5565" s="538" t="n">
        <v>24.45</v>
      </c>
      <c r="E5565" s="538" t="n">
        <v>31.8</v>
      </c>
    </row>
    <row r="5566">
      <c r="A5566" s="544" t="n">
        <v>37000</v>
      </c>
      <c r="B5566" s="538" t="n">
        <v>25.86</v>
      </c>
      <c r="C5566" s="538" t="n">
        <v>27.92</v>
      </c>
      <c r="D5566" s="538" t="n">
        <v>24.13</v>
      </c>
      <c r="E5566" s="538" t="n">
        <v>31.55</v>
      </c>
    </row>
    <row r="5567">
      <c r="A5567" s="544" t="n">
        <v>37001</v>
      </c>
      <c r="B5567" s="538" t="n">
        <v>25.57</v>
      </c>
      <c r="C5567" s="538" t="n">
        <v>27</v>
      </c>
      <c r="D5567" s="538" t="n">
        <v>23.08</v>
      </c>
      <c r="E5567" s="538" t="n">
        <v>31.2</v>
      </c>
    </row>
    <row r="5568">
      <c r="A5568" s="544" t="n">
        <v>37004</v>
      </c>
      <c r="B5568" s="538" t="n">
        <v>25.42</v>
      </c>
      <c r="C5568" s="538" t="n">
        <v>26.97</v>
      </c>
      <c r="D5568" s="538" t="n">
        <v>24.2</v>
      </c>
      <c r="E5568" s="538" t="n">
        <v>30.5</v>
      </c>
    </row>
    <row r="5569">
      <c r="A5569" s="544" t="n">
        <v>37005</v>
      </c>
      <c r="B5569" s="538" t="n">
        <v>25.76</v>
      </c>
      <c r="C5569" s="538" t="n">
        <v>25.24</v>
      </c>
      <c r="D5569" s="538" t="n">
        <v>23.96</v>
      </c>
      <c r="E5569" s="538" t="n">
        <v>30.9</v>
      </c>
    </row>
    <row r="5570">
      <c r="A5570" s="544" t="n">
        <v>37006</v>
      </c>
      <c r="B5570" s="538" t="n">
        <v>25.49</v>
      </c>
      <c r="C5570" s="538" t="n">
        <v>25.93</v>
      </c>
      <c r="D5570" s="538" t="n">
        <v>24.51</v>
      </c>
      <c r="E5570" s="538" t="n">
        <v>30.3</v>
      </c>
    </row>
    <row r="5571">
      <c r="A5571" s="544" t="n">
        <v>37007</v>
      </c>
      <c r="B5571" s="538" t="n">
        <v>26.71</v>
      </c>
      <c r="C5571" s="538" t="n">
        <v>28.47</v>
      </c>
      <c r="D5571" s="538" t="n">
        <v>25.22</v>
      </c>
      <c r="E5571" s="538" t="n">
        <v>30.2</v>
      </c>
    </row>
    <row r="5572">
      <c r="A5572" s="544" t="n">
        <v>37008</v>
      </c>
      <c r="B5572" s="538" t="n">
        <v>26.85</v>
      </c>
      <c r="C5572" s="538" t="n">
        <v>28.35</v>
      </c>
      <c r="D5572" s="538" t="n">
        <v>25.03</v>
      </c>
      <c r="E5572" s="538" t="n">
        <v>30.3</v>
      </c>
    </row>
    <row r="5573">
      <c r="A5573" s="544" t="n">
        <v>37011</v>
      </c>
      <c r="B5573" s="538" t="n">
        <v>27.21</v>
      </c>
      <c r="C5573" s="538" t="n">
        <v>28.48</v>
      </c>
      <c r="D5573" s="538" t="n">
        <v>24.97</v>
      </c>
      <c r="E5573" s="538" t="n">
        <v>30.6</v>
      </c>
    </row>
    <row r="5574">
      <c r="A5574" s="544" t="n">
        <v>37012</v>
      </c>
      <c r="B5574" s="538" t="n">
        <v>27.31</v>
      </c>
      <c r="C5574" s="538" t="n">
        <v>28.37</v>
      </c>
      <c r="D5574" s="538" t="n">
        <v>24.92</v>
      </c>
      <c r="E5574" s="538" t="n">
        <v>30.6</v>
      </c>
    </row>
    <row r="5575">
      <c r="A5575" s="544" t="n">
        <v>37013</v>
      </c>
      <c r="B5575" s="538" t="n">
        <v>26.82</v>
      </c>
      <c r="C5575" s="538" t="n">
        <v>27.89</v>
      </c>
      <c r="D5575" s="538" t="n">
        <v>24.66</v>
      </c>
      <c r="E5575" s="538" t="n">
        <v>30.05</v>
      </c>
    </row>
    <row r="5576">
      <c r="A5576" s="544" t="n">
        <v>37014</v>
      </c>
      <c r="B5576" s="538" t="n">
        <v>27.46</v>
      </c>
      <c r="C5576" s="538" t="n">
        <v>28.66</v>
      </c>
      <c r="D5576" s="538" t="n">
        <v>25.11</v>
      </c>
      <c r="E5576" s="538" t="n">
        <v>30.05</v>
      </c>
    </row>
    <row r="5577">
      <c r="A5577" s="544" t="n">
        <v>37015</v>
      </c>
      <c r="B5577" s="538" t="n">
        <v>27.59</v>
      </c>
      <c r="C5577" s="538" t="n">
        <v>28.41</v>
      </c>
      <c r="D5577" s="538" t="n">
        <v>24.83</v>
      </c>
      <c r="E5577" s="538" t="n">
        <v>31.25</v>
      </c>
    </row>
    <row r="5578">
      <c r="A5578" s="544" t="n">
        <v>37018</v>
      </c>
      <c r="B5578" s="538" t="n">
        <v>27.71</v>
      </c>
      <c r="C5578" s="538" t="n">
        <v>27.79</v>
      </c>
      <c r="D5578" s="538" t="n">
        <v>24.8</v>
      </c>
      <c r="E5578" s="538" t="n">
        <v>31.25</v>
      </c>
    </row>
    <row r="5579">
      <c r="A5579" s="544" t="n">
        <v>37019</v>
      </c>
      <c r="B5579" s="538" t="n">
        <v>27.45</v>
      </c>
      <c r="C5579" s="538" t="n">
        <v>27.35</v>
      </c>
      <c r="D5579" s="538" t="n">
        <v>24.8</v>
      </c>
      <c r="E5579" s="538" t="n">
        <v>30.5</v>
      </c>
    </row>
    <row r="5580">
      <c r="A5580" s="544" t="n">
        <v>37020</v>
      </c>
      <c r="B5580" s="538" t="n">
        <v>27.46</v>
      </c>
      <c r="C5580" s="538" t="n">
        <v>28.39</v>
      </c>
      <c r="D5580" s="538" t="n">
        <v>24.82</v>
      </c>
      <c r="E5580" s="538" t="n">
        <v>31.05</v>
      </c>
    </row>
    <row r="5581">
      <c r="A5581" s="544" t="n">
        <v>37021</v>
      </c>
      <c r="B5581" s="538" t="n">
        <v>28.27</v>
      </c>
      <c r="C5581" s="538" t="n">
        <v>28.5</v>
      </c>
      <c r="D5581" s="538" t="n">
        <v>25.16</v>
      </c>
      <c r="E5581" s="538" t="n">
        <v>31.05</v>
      </c>
    </row>
    <row r="5582">
      <c r="A5582" s="544" t="n">
        <v>37022</v>
      </c>
      <c r="B5582" s="538" t="n">
        <v>27.97</v>
      </c>
      <c r="C5582" s="538" t="n">
        <v>28.59</v>
      </c>
      <c r="D5582" s="538" t="n">
        <v>24.8</v>
      </c>
      <c r="E5582" s="538" t="n">
        <v>30.45</v>
      </c>
    </row>
    <row r="5583">
      <c r="A5583" s="544" t="n">
        <v>37025</v>
      </c>
      <c r="B5583" s="538" t="n">
        <v>27.77</v>
      </c>
      <c r="C5583" s="538" t="n">
        <v>28.83</v>
      </c>
      <c r="D5583" s="538" t="n">
        <v>24.97</v>
      </c>
      <c r="E5583" s="538" t="n">
        <v>29.85</v>
      </c>
    </row>
    <row r="5584">
      <c r="A5584" s="544" t="n">
        <v>37026</v>
      </c>
      <c r="B5584" s="538" t="n">
        <v>27.88</v>
      </c>
      <c r="C5584" s="538" t="n">
        <v>28.9</v>
      </c>
      <c r="D5584" s="538" t="n">
        <v>24.84</v>
      </c>
      <c r="E5584" s="538" t="n">
        <v>29.9</v>
      </c>
    </row>
    <row r="5585">
      <c r="A5585" s="544" t="n">
        <v>37027</v>
      </c>
      <c r="B5585" s="538" t="n">
        <v>28.19</v>
      </c>
      <c r="C5585" s="538" t="n">
        <v>28.77</v>
      </c>
      <c r="D5585" s="538" t="n">
        <v>25.2</v>
      </c>
      <c r="E5585" s="538" t="n">
        <v>30.15</v>
      </c>
    </row>
    <row r="5586">
      <c r="A5586" s="544" t="n">
        <v>37028</v>
      </c>
      <c r="B5586" s="538" t="n">
        <v>28.57</v>
      </c>
      <c r="C5586" s="538" t="n">
        <v>29.02</v>
      </c>
      <c r="D5586" s="538" t="n">
        <v>25.38</v>
      </c>
      <c r="E5586" s="538" t="n">
        <v>30.15</v>
      </c>
    </row>
    <row r="5587">
      <c r="A5587" s="544" t="n">
        <v>37029</v>
      </c>
      <c r="B5587" s="538" t="n">
        <v>29.3</v>
      </c>
      <c r="C5587" s="538" t="n">
        <v>29.9</v>
      </c>
      <c r="D5587" s="538" t="n">
        <v>26.2</v>
      </c>
      <c r="E5587" s="538" t="n">
        <v>30.4</v>
      </c>
    </row>
    <row r="5588">
      <c r="A5588" s="544" t="n">
        <v>37032</v>
      </c>
      <c r="B5588" s="538" t="n">
        <v>29.8</v>
      </c>
      <c r="C5588" s="538" t="n">
        <v>29.96</v>
      </c>
      <c r="D5588" s="538" t="n">
        <v>26.21</v>
      </c>
      <c r="E5588" s="538" t="n">
        <v>31.7</v>
      </c>
    </row>
    <row r="5589">
      <c r="A5589" s="544" t="n">
        <v>37033</v>
      </c>
      <c r="B5589" s="538" t="n">
        <v>29.72</v>
      </c>
      <c r="C5589" s="538" t="n">
        <v>29.75</v>
      </c>
      <c r="D5589" s="538" t="n">
        <v>25.89</v>
      </c>
      <c r="E5589" s="538" t="n">
        <v>31.3</v>
      </c>
    </row>
    <row r="5590">
      <c r="A5590" s="544" t="n">
        <v>37034</v>
      </c>
      <c r="B5590" s="538" t="n">
        <v>29.51</v>
      </c>
      <c r="C5590" s="538" t="n">
        <v>28.85</v>
      </c>
      <c r="D5590" s="538" t="n">
        <v>25.99</v>
      </c>
      <c r="E5590" s="538" t="n">
        <v>31.3</v>
      </c>
    </row>
    <row r="5591">
      <c r="A5591" s="544" t="n">
        <v>37035</v>
      </c>
      <c r="B5591" s="538" t="n">
        <v>28.85</v>
      </c>
      <c r="C5591" s="538" t="n">
        <v>27.97</v>
      </c>
      <c r="D5591" s="538" t="n">
        <v>25.35</v>
      </c>
      <c r="E5591" s="538" t="n">
        <v>31.4</v>
      </c>
    </row>
    <row r="5592">
      <c r="A5592" s="544" t="n">
        <v>37036</v>
      </c>
      <c r="B5592" s="538" t="n">
        <v>28.69</v>
      </c>
      <c r="C5592" s="538" t="n">
        <v>28.08</v>
      </c>
      <c r="D5592" s="538" t="n">
        <v>25.24</v>
      </c>
      <c r="E5592" s="538" t="n">
        <v>30.8</v>
      </c>
    </row>
    <row r="5593">
      <c r="A5593" s="544" t="n">
        <v>37039</v>
      </c>
      <c r="B5593" s="538" t="n">
        <v>28.69</v>
      </c>
      <c r="C5593" s="538" t="n">
        <v>28.08</v>
      </c>
      <c r="D5593" s="538" t="n">
        <v>25.24</v>
      </c>
      <c r="E5593" s="538" t="n">
        <v>31</v>
      </c>
    </row>
    <row r="5594">
      <c r="A5594" s="544" t="n">
        <v>37040</v>
      </c>
      <c r="B5594" s="538" t="n">
        <v>29.11</v>
      </c>
      <c r="C5594" s="538" t="n">
        <v>28.76</v>
      </c>
      <c r="D5594" s="538" t="n">
        <v>27.04</v>
      </c>
      <c r="E5594" s="538" t="n">
        <v>30.88</v>
      </c>
    </row>
    <row r="5595">
      <c r="A5595" s="544" t="n">
        <v>37041</v>
      </c>
      <c r="B5595" s="538" t="n">
        <v>28.92</v>
      </c>
      <c r="C5595" s="538" t="n">
        <v>28.71</v>
      </c>
      <c r="D5595" s="538" t="n">
        <v>27.12</v>
      </c>
      <c r="E5595" s="538" t="n">
        <v>31.53</v>
      </c>
    </row>
    <row r="5596">
      <c r="A5596" s="544" t="n">
        <v>37042</v>
      </c>
      <c r="B5596" s="538" t="n">
        <v>28.55</v>
      </c>
      <c r="C5596" s="538" t="n">
        <v>28.39</v>
      </c>
      <c r="D5596" s="538" t="n">
        <v>27.4</v>
      </c>
      <c r="E5596" s="538" t="n">
        <v>30.73</v>
      </c>
    </row>
    <row r="5597">
      <c r="A5597" s="544" t="n">
        <v>37043</v>
      </c>
      <c r="B5597" s="538" t="n">
        <v>28.86</v>
      </c>
      <c r="C5597" s="538" t="n">
        <v>27.88</v>
      </c>
      <c r="D5597" s="538" t="n">
        <v>27.08</v>
      </c>
      <c r="E5597" s="538" t="n">
        <v>30.2</v>
      </c>
    </row>
    <row r="5598">
      <c r="A5598" s="544" t="n">
        <v>37046</v>
      </c>
      <c r="B5598" s="538" t="n">
        <v>28.95</v>
      </c>
      <c r="C5598" s="538" t="n">
        <v>28.14</v>
      </c>
      <c r="D5598" s="538" t="n">
        <v>27.34</v>
      </c>
      <c r="E5598" s="538" t="n">
        <v>30.5</v>
      </c>
    </row>
    <row r="5599">
      <c r="A5599" s="544" t="n">
        <v>37047</v>
      </c>
      <c r="B5599" s="538" t="n">
        <v>29.25</v>
      </c>
      <c r="C5599" s="538" t="n">
        <v>27.84</v>
      </c>
      <c r="D5599" s="538" t="n">
        <v>27.2</v>
      </c>
      <c r="E5599" s="538" t="n">
        <v>30.15</v>
      </c>
    </row>
    <row r="5600">
      <c r="A5600" s="544" t="n">
        <v>37048</v>
      </c>
      <c r="B5600" s="538" t="n">
        <v>28.73</v>
      </c>
      <c r="C5600" s="538" t="n">
        <v>27.56</v>
      </c>
      <c r="D5600" s="538" t="n">
        <v>26.67</v>
      </c>
      <c r="E5600" s="538" t="n">
        <v>30.2</v>
      </c>
    </row>
    <row r="5601">
      <c r="A5601" s="544" t="n">
        <v>37049</v>
      </c>
      <c r="B5601" s="538" t="n">
        <v>28.55</v>
      </c>
      <c r="C5601" s="538" t="n">
        <v>27.91</v>
      </c>
      <c r="D5601" s="538" t="n">
        <v>26.58</v>
      </c>
      <c r="E5601" s="538" t="n">
        <v>30.15</v>
      </c>
    </row>
    <row r="5602">
      <c r="A5602" s="544" t="n">
        <v>37050</v>
      </c>
      <c r="B5602" s="538" t="n">
        <v>28.88</v>
      </c>
      <c r="C5602" s="538" t="n">
        <v>28.43</v>
      </c>
      <c r="D5602" s="538" t="n">
        <v>27.33</v>
      </c>
      <c r="E5602" s="538" t="n">
        <v>30.55</v>
      </c>
    </row>
    <row r="5603">
      <c r="A5603" s="544" t="n">
        <v>37053</v>
      </c>
      <c r="B5603" s="538" t="n">
        <v>29.57</v>
      </c>
      <c r="C5603" s="538" t="n">
        <v>28.94</v>
      </c>
      <c r="D5603" s="538" t="n">
        <v>27.4</v>
      </c>
      <c r="E5603" s="538" t="n">
        <v>31.05</v>
      </c>
    </row>
    <row r="5604">
      <c r="A5604" s="544" t="n">
        <v>37054</v>
      </c>
      <c r="B5604" s="538" t="n">
        <v>29.03</v>
      </c>
      <c r="C5604" s="538" t="n">
        <v>29.13</v>
      </c>
      <c r="D5604" s="538" t="n">
        <v>27.22</v>
      </c>
      <c r="E5604" s="538" t="n">
        <v>30.95</v>
      </c>
    </row>
    <row r="5605">
      <c r="A5605" s="544" t="n">
        <v>37055</v>
      </c>
      <c r="B5605" s="538" t="n">
        <v>29.13</v>
      </c>
      <c r="C5605" s="538" t="n">
        <v>28.81</v>
      </c>
      <c r="D5605" s="538" t="n">
        <v>26.83</v>
      </c>
      <c r="E5605" s="538" t="n">
        <v>32.5</v>
      </c>
    </row>
    <row r="5606">
      <c r="A5606" s="544" t="n">
        <v>37056</v>
      </c>
      <c r="B5606" s="538" t="n">
        <v>28.5</v>
      </c>
      <c r="C5606" s="538" t="n">
        <v>29.12</v>
      </c>
      <c r="D5606" s="538" t="n">
        <v>26.49</v>
      </c>
      <c r="E5606" s="538" t="n">
        <v>31.55</v>
      </c>
    </row>
    <row r="5607">
      <c r="A5607" s="544" t="n">
        <v>37057</v>
      </c>
      <c r="B5607" s="538" t="n">
        <v>28.13</v>
      </c>
      <c r="C5607" s="538" t="n">
        <v>28.52</v>
      </c>
      <c r="D5607" s="538" t="n">
        <v>25.54</v>
      </c>
      <c r="E5607" s="538" t="n">
        <v>32.4</v>
      </c>
    </row>
    <row r="5608">
      <c r="A5608" s="544" t="n">
        <v>37060</v>
      </c>
      <c r="B5608" s="538" t="n">
        <v>27.61</v>
      </c>
      <c r="C5608" s="538" t="n">
        <v>27.55</v>
      </c>
      <c r="D5608" s="538" t="n">
        <v>24.78</v>
      </c>
      <c r="E5608" s="538" t="n">
        <v>32.1</v>
      </c>
    </row>
    <row r="5609">
      <c r="A5609" s="544" t="n">
        <v>37061</v>
      </c>
      <c r="B5609" s="538" t="n">
        <v>26.68</v>
      </c>
      <c r="C5609" s="538" t="n">
        <v>27.49</v>
      </c>
      <c r="D5609" s="538" t="n">
        <v>24.92</v>
      </c>
      <c r="E5609" s="538" t="n">
        <v>31.35</v>
      </c>
    </row>
    <row r="5610">
      <c r="A5610" s="544" t="n">
        <v>37062</v>
      </c>
      <c r="B5610" s="538" t="n">
        <v>26.24</v>
      </c>
      <c r="C5610" s="538" t="n">
        <v>26.52</v>
      </c>
      <c r="D5610" s="538" t="n">
        <v>24.5</v>
      </c>
      <c r="E5610" s="538" t="n">
        <v>31.05</v>
      </c>
    </row>
    <row r="5611">
      <c r="A5611" s="544" t="n">
        <v>37063</v>
      </c>
      <c r="B5611" s="538" t="n">
        <v>26.7</v>
      </c>
      <c r="C5611" s="538" t="n">
        <v>26.85</v>
      </c>
      <c r="D5611" s="538" t="n">
        <v>24.94</v>
      </c>
      <c r="E5611" s="538" t="n">
        <v>30.75</v>
      </c>
    </row>
    <row r="5612">
      <c r="A5612" s="544" t="n">
        <v>37064</v>
      </c>
      <c r="B5612" s="538" t="n">
        <v>26.86</v>
      </c>
      <c r="C5612" s="538" t="n">
        <v>27.02</v>
      </c>
      <c r="D5612" s="538" t="n">
        <v>25.13</v>
      </c>
      <c r="E5612" s="538" t="n">
        <v>31.35</v>
      </c>
    </row>
    <row r="5613">
      <c r="A5613" s="544" t="n">
        <v>37067</v>
      </c>
      <c r="B5613" s="538" t="n">
        <v>27.36</v>
      </c>
      <c r="C5613" s="538" t="n">
        <v>27.11</v>
      </c>
      <c r="D5613" s="538" t="n">
        <v>25.63</v>
      </c>
      <c r="E5613" s="538" t="n">
        <v>30.8</v>
      </c>
    </row>
    <row r="5614">
      <c r="A5614" s="544" t="n">
        <v>37068</v>
      </c>
      <c r="B5614" s="538" t="n">
        <v>27.66</v>
      </c>
      <c r="C5614" s="538" t="n">
        <v>26.97</v>
      </c>
      <c r="D5614" s="538" t="n">
        <v>24.43</v>
      </c>
      <c r="E5614" s="538" t="n">
        <v>30.6</v>
      </c>
    </row>
    <row r="5615">
      <c r="A5615" s="544" t="n">
        <v>37069</v>
      </c>
      <c r="B5615" s="538" t="n">
        <v>26.25</v>
      </c>
      <c r="C5615" s="538" t="n">
        <v>25.67</v>
      </c>
      <c r="D5615" s="538" t="n">
        <v>23.46</v>
      </c>
      <c r="E5615" s="538" t="n">
        <v>29.85</v>
      </c>
    </row>
    <row r="5616">
      <c r="A5616" s="544" t="n">
        <v>37070</v>
      </c>
      <c r="B5616" s="538" t="n">
        <v>25.68</v>
      </c>
      <c r="C5616" s="538" t="n">
        <v>25.75</v>
      </c>
      <c r="D5616" s="538" t="n">
        <v>23.45</v>
      </c>
      <c r="E5616" s="538" t="n">
        <v>29.5</v>
      </c>
    </row>
    <row r="5617">
      <c r="A5617" s="544" t="n">
        <v>37071</v>
      </c>
      <c r="B5617" s="538" t="n">
        <v>26.21</v>
      </c>
      <c r="C5617" s="538" t="n">
        <v>26.37</v>
      </c>
      <c r="D5617" s="538" t="n">
        <v>23.97</v>
      </c>
      <c r="E5617" s="538" t="n">
        <v>30.1</v>
      </c>
    </row>
    <row r="5618">
      <c r="A5618" s="544" t="n">
        <v>37074</v>
      </c>
      <c r="B5618" s="538" t="n">
        <v>25.73</v>
      </c>
      <c r="C5618" s="538" t="n">
        <v>26.02</v>
      </c>
      <c r="D5618" s="538" t="n">
        <v>23.96</v>
      </c>
      <c r="E5618" s="538" t="n">
        <v>30.6</v>
      </c>
    </row>
    <row r="5619">
      <c r="A5619" s="544" t="n">
        <v>37075</v>
      </c>
      <c r="B5619" s="538" t="n">
        <v>25.56</v>
      </c>
      <c r="C5619" s="538" t="n">
        <v>26.28</v>
      </c>
      <c r="D5619" s="538" t="n">
        <v>23.39</v>
      </c>
      <c r="E5619" s="538" t="n">
        <v>29.65</v>
      </c>
    </row>
    <row r="5620">
      <c r="A5620" s="544" t="n">
        <v>37076</v>
      </c>
      <c r="B5620" s="538" t="n">
        <v>25.97</v>
      </c>
      <c r="C5620" s="538" t="n">
        <v>26.28</v>
      </c>
      <c r="D5620" s="538" t="n">
        <v>23.39</v>
      </c>
      <c r="E5620" s="538" t="n">
        <v>29.9</v>
      </c>
    </row>
    <row r="5621">
      <c r="A5621" s="544" t="n">
        <v>37077</v>
      </c>
      <c r="B5621" s="538" t="n">
        <v>25.69</v>
      </c>
      <c r="C5621" s="538" t="n">
        <v>27.07</v>
      </c>
      <c r="D5621" s="538" t="n">
        <v>22.9</v>
      </c>
      <c r="E5621" s="538" t="n">
        <v>30.45</v>
      </c>
    </row>
    <row r="5622">
      <c r="A5622" s="544" t="n">
        <v>37078</v>
      </c>
      <c r="B5622" s="538" t="n">
        <v>26.55</v>
      </c>
      <c r="C5622" s="538" t="n">
        <v>28.1</v>
      </c>
      <c r="D5622" s="538" t="n">
        <v>24.32</v>
      </c>
      <c r="E5622" s="538" t="n">
        <v>30.45</v>
      </c>
    </row>
    <row r="5623">
      <c r="A5623" s="544" t="n">
        <v>37081</v>
      </c>
      <c r="B5623" s="538" t="n">
        <v>25.59</v>
      </c>
      <c r="C5623" s="538" t="n">
        <v>27.63</v>
      </c>
      <c r="D5623" s="538" t="n">
        <v>23.97</v>
      </c>
      <c r="E5623" s="538" t="n">
        <v>30.25</v>
      </c>
    </row>
    <row r="5624">
      <c r="A5624" s="544" t="n">
        <v>37082</v>
      </c>
      <c r="B5624" s="538" t="n">
        <v>24.69</v>
      </c>
      <c r="C5624" s="538" t="n">
        <v>27.22</v>
      </c>
      <c r="D5624" s="538" t="n">
        <v>23.56</v>
      </c>
      <c r="E5624" s="538" t="n">
        <v>29.95</v>
      </c>
    </row>
    <row r="5625">
      <c r="A5625" s="544" t="n">
        <v>37083</v>
      </c>
      <c r="B5625" s="538" t="n">
        <v>24.44</v>
      </c>
      <c r="C5625" s="538" t="n">
        <v>27.07</v>
      </c>
      <c r="D5625" s="538" t="n">
        <v>23.41</v>
      </c>
      <c r="E5625" s="538" t="n">
        <v>29.9</v>
      </c>
    </row>
    <row r="5626">
      <c r="A5626" s="544" t="n">
        <v>37084</v>
      </c>
      <c r="B5626" s="538" t="n">
        <v>23.62</v>
      </c>
      <c r="C5626" s="538" t="n">
        <v>26.85</v>
      </c>
      <c r="D5626" s="538" t="n">
        <v>23.53</v>
      </c>
      <c r="E5626" s="538" t="n">
        <v>29.5</v>
      </c>
    </row>
    <row r="5627">
      <c r="A5627" s="544" t="n">
        <v>37085</v>
      </c>
      <c r="B5627" s="538" t="n">
        <v>24.02</v>
      </c>
      <c r="C5627" s="538" t="n">
        <v>26.57</v>
      </c>
      <c r="D5627" s="538" t="n">
        <v>23.3</v>
      </c>
      <c r="E5627" s="538" t="n">
        <v>29.1</v>
      </c>
    </row>
    <row r="5628">
      <c r="A5628" s="544" t="n">
        <v>37088</v>
      </c>
      <c r="B5628" s="538" t="n">
        <v>23.58</v>
      </c>
      <c r="C5628" s="538" t="n">
        <v>26.02</v>
      </c>
      <c r="D5628" s="538" t="n">
        <v>23.08</v>
      </c>
      <c r="E5628" s="538" t="n">
        <v>28.45</v>
      </c>
    </row>
    <row r="5629">
      <c r="A5629" s="544" t="n">
        <v>37089</v>
      </c>
      <c r="B5629" s="538" t="n">
        <v>23.9</v>
      </c>
      <c r="C5629" s="538" t="n">
        <v>25.33</v>
      </c>
      <c r="D5629" s="538" t="n">
        <v>22.39</v>
      </c>
      <c r="E5629" s="538" t="n">
        <v>28.1</v>
      </c>
    </row>
    <row r="5630">
      <c r="A5630" s="544" t="n">
        <v>37090</v>
      </c>
      <c r="B5630" s="538" t="n">
        <v>23.1</v>
      </c>
      <c r="C5630" s="538" t="n">
        <v>24.65</v>
      </c>
      <c r="D5630" s="538" t="n">
        <v>21.98</v>
      </c>
      <c r="E5630" s="538" t="n">
        <v>28.1</v>
      </c>
    </row>
    <row r="5631">
      <c r="A5631" s="544" t="n">
        <v>37091</v>
      </c>
      <c r="B5631" s="538" t="n">
        <v>23.35</v>
      </c>
      <c r="C5631" s="538" t="n">
        <v>24.65</v>
      </c>
      <c r="D5631" s="538" t="n">
        <v>22.55</v>
      </c>
      <c r="E5631" s="538" t="n">
        <v>27.75</v>
      </c>
    </row>
    <row r="5632">
      <c r="A5632" s="544" t="n">
        <v>37092</v>
      </c>
      <c r="B5632" s="538" t="n">
        <v>23.43</v>
      </c>
      <c r="C5632" s="538" t="n">
        <v>25.67</v>
      </c>
      <c r="D5632" s="538" t="n">
        <v>23.01</v>
      </c>
      <c r="E5632" s="538" t="n">
        <v>28.05</v>
      </c>
    </row>
    <row r="5633">
      <c r="A5633" s="544" t="n">
        <v>37095</v>
      </c>
      <c r="B5633" s="538" t="n">
        <v>24.44</v>
      </c>
      <c r="C5633" s="538" t="n">
        <v>25.88</v>
      </c>
      <c r="D5633" s="538" t="n">
        <v>23.19</v>
      </c>
      <c r="E5633" s="538" t="n">
        <v>28.3</v>
      </c>
    </row>
    <row r="5634">
      <c r="A5634" s="544" t="n">
        <v>37096</v>
      </c>
      <c r="B5634" s="538" t="n">
        <v>24.37</v>
      </c>
      <c r="C5634" s="538" t="n">
        <v>26.18</v>
      </c>
      <c r="D5634" s="538" t="n">
        <v>23.25</v>
      </c>
      <c r="E5634" s="538" t="n">
        <v>27.65</v>
      </c>
    </row>
    <row r="5635">
      <c r="A5635" s="544" t="n">
        <v>37097</v>
      </c>
      <c r="B5635" s="538" t="n">
        <v>24.9</v>
      </c>
      <c r="C5635" s="538" t="n">
        <v>26.71</v>
      </c>
      <c r="D5635" s="538" t="n">
        <v>23.57</v>
      </c>
      <c r="E5635" s="538" t="n">
        <v>27.9</v>
      </c>
    </row>
    <row r="5636">
      <c r="A5636" s="544" t="n">
        <v>37098</v>
      </c>
      <c r="B5636" s="538" t="n">
        <v>24.94</v>
      </c>
      <c r="C5636" s="538" t="n">
        <v>26.74</v>
      </c>
      <c r="D5636" s="538" t="n">
        <v>23.67</v>
      </c>
      <c r="E5636" s="538" t="n">
        <v>28.2</v>
      </c>
    </row>
    <row r="5637">
      <c r="A5637" s="544" t="n">
        <v>37099</v>
      </c>
      <c r="B5637" s="538" t="n">
        <v>24.82</v>
      </c>
      <c r="C5637" s="538" t="n">
        <v>26.98</v>
      </c>
      <c r="D5637" s="538" t="n">
        <v>23.93</v>
      </c>
      <c r="E5637" s="538" t="n">
        <v>28.1</v>
      </c>
    </row>
    <row r="5638">
      <c r="A5638" s="544" t="n">
        <v>37102</v>
      </c>
      <c r="B5638" s="538" t="n">
        <v>24.46</v>
      </c>
      <c r="C5638" s="538" t="n">
        <v>26.6</v>
      </c>
      <c r="D5638" s="538" t="n">
        <v>23.36</v>
      </c>
      <c r="E5638" s="538" t="n">
        <v>28.05</v>
      </c>
    </row>
    <row r="5639">
      <c r="A5639" s="544" t="n">
        <v>37103</v>
      </c>
      <c r="B5639" s="538" t="n">
        <v>24.35</v>
      </c>
      <c r="C5639" s="538" t="n">
        <v>26.7</v>
      </c>
      <c r="D5639" s="538" t="n">
        <v>23.53</v>
      </c>
      <c r="E5639" s="538" t="n">
        <v>28.05</v>
      </c>
    </row>
    <row r="5640">
      <c r="A5640" s="544" t="n">
        <v>37104</v>
      </c>
      <c r="B5640" s="538" t="n">
        <v>24.23</v>
      </c>
      <c r="C5640" s="538" t="n">
        <v>26.83</v>
      </c>
      <c r="D5640" s="538" t="n">
        <v>23.5</v>
      </c>
      <c r="E5640" s="538" t="n">
        <v>28.05</v>
      </c>
    </row>
    <row r="5641">
      <c r="A5641" s="544" t="n">
        <v>37105</v>
      </c>
      <c r="B5641" s="538" t="n">
        <v>25.49</v>
      </c>
      <c r="C5641" s="538" t="n">
        <v>27.86</v>
      </c>
      <c r="D5641" s="538" t="n">
        <v>24.63</v>
      </c>
      <c r="E5641" s="538" t="n">
        <v>28.5</v>
      </c>
    </row>
    <row r="5642">
      <c r="A5642" s="544" t="n">
        <v>37106</v>
      </c>
      <c r="B5642" s="538" t="n">
        <v>25.6</v>
      </c>
      <c r="C5642" s="538" t="n">
        <v>27.51</v>
      </c>
      <c r="D5642" s="538" t="n">
        <v>24.37</v>
      </c>
      <c r="E5642" s="538" t="n">
        <v>28.8</v>
      </c>
    </row>
    <row r="5643">
      <c r="A5643" s="544" t="n">
        <v>37109</v>
      </c>
      <c r="B5643" s="538" t="n">
        <v>25.39</v>
      </c>
      <c r="C5643" s="538" t="n">
        <v>27.7</v>
      </c>
      <c r="D5643" s="538" t="n">
        <v>24.22</v>
      </c>
      <c r="E5643" s="538" t="n">
        <v>28.5</v>
      </c>
    </row>
    <row r="5644">
      <c r="A5644" s="544" t="n">
        <v>37110</v>
      </c>
      <c r="B5644" s="538" t="n">
        <v>25.94</v>
      </c>
      <c r="C5644" s="538" t="n">
        <v>28.17</v>
      </c>
      <c r="D5644" s="538" t="n">
        <v>24.82</v>
      </c>
      <c r="E5644" s="538" t="n">
        <v>28.4</v>
      </c>
    </row>
    <row r="5645">
      <c r="A5645" s="544" t="n">
        <v>37111</v>
      </c>
      <c r="B5645" s="538" t="n">
        <v>25.61</v>
      </c>
      <c r="C5645" s="538" t="n">
        <v>27.62</v>
      </c>
      <c r="D5645" s="538" t="n">
        <v>24.25</v>
      </c>
      <c r="E5645" s="538" t="n">
        <v>28.75</v>
      </c>
    </row>
    <row r="5646">
      <c r="A5646" s="544" t="n">
        <v>37112</v>
      </c>
      <c r="B5646" s="538" t="n">
        <v>25.28</v>
      </c>
      <c r="C5646" s="538" t="n">
        <v>27.72</v>
      </c>
      <c r="D5646" s="538" t="n">
        <v>24.57</v>
      </c>
      <c r="E5646" s="538" t="n">
        <v>28.75</v>
      </c>
    </row>
    <row r="5647">
      <c r="A5647" s="544" t="n">
        <v>37113</v>
      </c>
      <c r="B5647" s="538" t="n">
        <v>25.78</v>
      </c>
      <c r="C5647" s="538" t="n">
        <v>28.12</v>
      </c>
      <c r="D5647" s="538" t="n">
        <v>24.98</v>
      </c>
      <c r="E5647" s="538" t="n">
        <v>28.7</v>
      </c>
    </row>
    <row r="5648">
      <c r="A5648" s="544" t="n">
        <v>37116</v>
      </c>
      <c r="B5648" s="538" t="n">
        <v>25.88</v>
      </c>
      <c r="C5648" s="538" t="n">
        <v>27.85</v>
      </c>
      <c r="D5648" s="538" t="n">
        <v>24.9</v>
      </c>
      <c r="E5648" s="538" t="n">
        <v>28.6</v>
      </c>
    </row>
    <row r="5649">
      <c r="A5649" s="544" t="n">
        <v>37117</v>
      </c>
      <c r="B5649" s="538" t="n">
        <v>25.71</v>
      </c>
      <c r="C5649" s="538" t="n">
        <v>28.1</v>
      </c>
      <c r="D5649" s="538" t="n">
        <v>25.85</v>
      </c>
      <c r="E5649" s="538" t="n">
        <v>28.7</v>
      </c>
    </row>
    <row r="5650">
      <c r="A5650" s="544" t="n">
        <v>37118</v>
      </c>
      <c r="B5650" s="538" t="n">
        <v>25.61</v>
      </c>
      <c r="C5650" s="538" t="n">
        <v>27.51</v>
      </c>
      <c r="D5650" s="538" t="n">
        <v>25.2</v>
      </c>
      <c r="E5650" s="538" t="n">
        <v>29.45</v>
      </c>
    </row>
    <row r="5651">
      <c r="A5651" s="544" t="n">
        <v>37119</v>
      </c>
      <c r="B5651" s="538" t="n">
        <v>25.18</v>
      </c>
      <c r="C5651" s="538" t="n">
        <v>27.47</v>
      </c>
      <c r="D5651" s="538" t="n">
        <v>24.42</v>
      </c>
      <c r="E5651" s="538" t="n">
        <v>29.4</v>
      </c>
    </row>
    <row r="5652">
      <c r="A5652" s="544" t="n">
        <v>37120</v>
      </c>
      <c r="B5652" s="538" t="n">
        <v>24.68</v>
      </c>
      <c r="C5652" s="538" t="n">
        <v>26.65</v>
      </c>
      <c r="D5652" s="538" t="n">
        <v>23.5</v>
      </c>
      <c r="E5652" s="538" t="n">
        <v>29.3</v>
      </c>
    </row>
    <row r="5653">
      <c r="A5653" s="544" t="n">
        <v>37123</v>
      </c>
      <c r="B5653" s="538" t="n">
        <v>24.35</v>
      </c>
      <c r="C5653" s="538" t="n">
        <v>27.2</v>
      </c>
      <c r="D5653" s="538" t="n">
        <v>23.87</v>
      </c>
      <c r="E5653" s="538" t="n">
        <v>28.4</v>
      </c>
    </row>
    <row r="5654">
      <c r="A5654" s="544" t="n">
        <v>37124</v>
      </c>
      <c r="B5654" s="538" t="n">
        <v>25.36</v>
      </c>
      <c r="C5654" s="538" t="n">
        <v>27.93</v>
      </c>
      <c r="D5654" s="538" t="n">
        <v>23.87</v>
      </c>
      <c r="E5654" s="538" t="n">
        <v>28.7</v>
      </c>
    </row>
    <row r="5655">
      <c r="A5655" s="544" t="n">
        <v>37125</v>
      </c>
      <c r="B5655" s="538" t="n">
        <v>25.71</v>
      </c>
      <c r="C5655" s="538" t="n">
        <v>27.17</v>
      </c>
      <c r="D5655" s="538" t="n">
        <v>24.43</v>
      </c>
      <c r="E5655" s="538" t="n">
        <v>29.35</v>
      </c>
    </row>
    <row r="5656">
      <c r="A5656" s="544" t="n">
        <v>37126</v>
      </c>
      <c r="B5656" s="538" t="n">
        <v>25.66</v>
      </c>
      <c r="C5656" s="538" t="n">
        <v>25.63</v>
      </c>
      <c r="D5656" s="538" t="n">
        <v>24.86</v>
      </c>
      <c r="E5656" s="538" t="n">
        <v>29.35</v>
      </c>
    </row>
    <row r="5657">
      <c r="A5657" s="544" t="n">
        <v>37127</v>
      </c>
      <c r="B5657" s="538" t="n">
        <v>26.33</v>
      </c>
      <c r="C5657" s="538" t="n">
        <v>28.34</v>
      </c>
      <c r="D5657" s="538" t="n">
        <v>24.71</v>
      </c>
      <c r="E5657" s="538" t="n">
        <v>29.8</v>
      </c>
    </row>
    <row r="5658">
      <c r="A5658" s="544" t="n">
        <v>37130</v>
      </c>
      <c r="B5658" s="538" t="n">
        <v>26.22</v>
      </c>
      <c r="C5658" s="538" t="n">
        <v>26.69</v>
      </c>
      <c r="D5658" s="538" t="n">
        <v>24.71</v>
      </c>
      <c r="E5658" s="538" t="n">
        <v>30.55</v>
      </c>
    </row>
    <row r="5659">
      <c r="A5659" s="544" t="n">
        <v>37131</v>
      </c>
      <c r="B5659" s="538" t="n">
        <v>26.46</v>
      </c>
      <c r="C5659" s="538" t="n">
        <v>27.16</v>
      </c>
      <c r="D5659" s="538" t="n">
        <v>25.24</v>
      </c>
      <c r="E5659" s="538" t="n">
        <v>30.65</v>
      </c>
    </row>
    <row r="5660">
      <c r="A5660" s="544" t="n">
        <v>37132</v>
      </c>
      <c r="B5660" s="538" t="n">
        <v>26.67</v>
      </c>
      <c r="C5660" s="538" t="n">
        <v>27.07</v>
      </c>
      <c r="D5660" s="538" t="n">
        <v>25.17</v>
      </c>
      <c r="E5660" s="538" t="n">
        <v>31.65</v>
      </c>
    </row>
    <row r="5661">
      <c r="A5661" s="544" t="n">
        <v>37133</v>
      </c>
      <c r="B5661" s="538" t="n">
        <v>26.7</v>
      </c>
      <c r="C5661" s="538" t="n">
        <v>26.65</v>
      </c>
      <c r="D5661" s="538" t="n">
        <v>24.51</v>
      </c>
      <c r="E5661" s="538" t="n">
        <v>31.65</v>
      </c>
    </row>
    <row r="5662">
      <c r="A5662" s="544" t="n">
        <v>37134</v>
      </c>
      <c r="B5662" s="538" t="n">
        <v>26.8</v>
      </c>
      <c r="C5662" s="538" t="n">
        <v>26.65</v>
      </c>
      <c r="D5662" s="538" t="n">
        <v>24.51</v>
      </c>
      <c r="E5662" s="538" t="n">
        <v>30.9</v>
      </c>
    </row>
    <row r="5663">
      <c r="A5663" s="544" t="n">
        <v>37137</v>
      </c>
      <c r="B5663" s="538" t="n">
        <v>26.52</v>
      </c>
      <c r="C5663" s="538" t="n">
        <v>26.65</v>
      </c>
      <c r="D5663" s="538" t="n">
        <v>24.51</v>
      </c>
      <c r="E5663" s="538" t="n">
        <v>30.9</v>
      </c>
    </row>
    <row r="5664">
      <c r="A5664" s="544" t="n">
        <v>37138</v>
      </c>
      <c r="B5664" s="538" t="n">
        <v>26.27</v>
      </c>
      <c r="C5664" s="538" t="n">
        <v>26.94</v>
      </c>
      <c r="D5664" s="538" t="n">
        <v>24.35</v>
      </c>
      <c r="E5664" s="538" t="n">
        <v>31.65</v>
      </c>
    </row>
    <row r="5665">
      <c r="A5665" s="544" t="n">
        <v>37139</v>
      </c>
      <c r="B5665" s="538" t="n">
        <v>26.27</v>
      </c>
      <c r="C5665" s="538" t="n">
        <v>27.03</v>
      </c>
      <c r="D5665" s="538" t="n">
        <v>24.35</v>
      </c>
      <c r="E5665" s="538" t="n">
        <v>31.65</v>
      </c>
    </row>
    <row r="5666">
      <c r="A5666" s="544" t="n">
        <v>37140</v>
      </c>
      <c r="B5666" s="538" t="n">
        <v>26.61</v>
      </c>
      <c r="C5666" s="538" t="n">
        <v>27.54</v>
      </c>
      <c r="D5666" s="538" t="n">
        <v>24.92</v>
      </c>
      <c r="E5666" s="538" t="n">
        <v>32</v>
      </c>
    </row>
    <row r="5667">
      <c r="A5667" s="544" t="n">
        <v>37141</v>
      </c>
      <c r="B5667" s="538" t="n">
        <v>27.54</v>
      </c>
      <c r="C5667" s="538" t="n">
        <v>27.99</v>
      </c>
      <c r="D5667" s="538" t="n">
        <v>25.27</v>
      </c>
      <c r="E5667" s="538" t="n">
        <v>32</v>
      </c>
    </row>
    <row r="5668">
      <c r="A5668" s="544" t="n">
        <v>37144</v>
      </c>
      <c r="B5668" s="538" t="n">
        <v>27.59</v>
      </c>
      <c r="C5668" s="538" t="n">
        <v>27.66</v>
      </c>
      <c r="D5668" s="538" t="n">
        <v>24.97</v>
      </c>
      <c r="E5668" s="538" t="n">
        <v>32.65</v>
      </c>
    </row>
    <row r="5669">
      <c r="A5669" s="544" t="n">
        <v>37145</v>
      </c>
      <c r="B5669" s="538" t="n">
        <v>29.12</v>
      </c>
      <c r="C5669" s="538" t="n">
        <v>27.65</v>
      </c>
      <c r="D5669" s="538" t="n">
        <v>26.44</v>
      </c>
      <c r="E5669" s="538" t="n">
        <v>32.25</v>
      </c>
    </row>
    <row r="5670">
      <c r="A5670" s="544" t="n">
        <v>37146</v>
      </c>
      <c r="B5670" s="538" t="n">
        <v>28.24</v>
      </c>
      <c r="C5670" s="538" t="n">
        <v>27.64</v>
      </c>
      <c r="D5670" s="538" t="n">
        <v>25.76</v>
      </c>
      <c r="E5670" s="538" t="n">
        <v>33.5</v>
      </c>
    </row>
    <row r="5671">
      <c r="A5671" s="544" t="n">
        <v>37147</v>
      </c>
      <c r="B5671" s="538" t="n">
        <v>28.2</v>
      </c>
      <c r="C5671" s="538" t="n">
        <v>28.58</v>
      </c>
      <c r="D5671" s="538" t="n">
        <v>25.85</v>
      </c>
      <c r="E5671" s="538" t="n">
        <v>33</v>
      </c>
    </row>
    <row r="5672">
      <c r="A5672" s="544" t="n">
        <v>37148</v>
      </c>
      <c r="B5672" s="538" t="n">
        <v>29.22</v>
      </c>
      <c r="C5672" s="538" t="n">
        <v>29.59</v>
      </c>
      <c r="D5672" s="538" t="n">
        <v>28.98</v>
      </c>
      <c r="E5672" s="538" t="n">
        <v>34.7</v>
      </c>
    </row>
    <row r="5673">
      <c r="A5673" s="544" t="n">
        <v>37151</v>
      </c>
      <c r="B5673" s="538" t="n">
        <v>28.32</v>
      </c>
      <c r="C5673" s="538" t="n">
        <v>28.84</v>
      </c>
      <c r="D5673" s="538" t="n">
        <v>26.01</v>
      </c>
      <c r="E5673" s="538" t="n">
        <v>34.6</v>
      </c>
    </row>
    <row r="5674">
      <c r="A5674" s="544" t="n">
        <v>37152</v>
      </c>
      <c r="B5674" s="538" t="n">
        <v>27.54</v>
      </c>
      <c r="C5674" s="538" t="n">
        <v>27.81</v>
      </c>
      <c r="D5674" s="538" t="n">
        <v>25.11</v>
      </c>
      <c r="E5674" s="538" t="n">
        <v>33</v>
      </c>
    </row>
    <row r="5675">
      <c r="A5675" s="544" t="n">
        <v>37153</v>
      </c>
      <c r="B5675" s="538" t="n">
        <v>25.44</v>
      </c>
      <c r="C5675" s="538" t="n">
        <v>26.73</v>
      </c>
      <c r="D5675" s="538" t="n">
        <v>24.23</v>
      </c>
      <c r="E5675" s="538" t="n">
        <v>31</v>
      </c>
    </row>
    <row r="5676">
      <c r="A5676" s="544" t="n">
        <v>37154</v>
      </c>
      <c r="B5676" s="538" t="n">
        <v>25.57</v>
      </c>
      <c r="C5676" s="538" t="n">
        <v>26.6</v>
      </c>
      <c r="D5676" s="538" t="n">
        <v>24.75</v>
      </c>
      <c r="E5676" s="538" t="n">
        <v>30.25</v>
      </c>
    </row>
    <row r="5677">
      <c r="A5677" s="544" t="n">
        <v>37155</v>
      </c>
      <c r="B5677" s="538" t="n">
        <v>25.17</v>
      </c>
      <c r="C5677" s="538" t="n">
        <v>25.46</v>
      </c>
      <c r="D5677" s="538" t="n">
        <v>24.18</v>
      </c>
      <c r="E5677" s="538" t="n">
        <v>30.25</v>
      </c>
    </row>
    <row r="5678">
      <c r="A5678" s="544" t="n">
        <v>37158</v>
      </c>
      <c r="B5678" s="538" t="n">
        <v>20.63</v>
      </c>
      <c r="C5678" s="538" t="n">
        <v>21.46</v>
      </c>
      <c r="D5678" s="538" t="n">
        <v>20.75</v>
      </c>
      <c r="E5678" s="538" t="n">
        <v>28.9</v>
      </c>
    </row>
    <row r="5679">
      <c r="A5679" s="544" t="n">
        <v>37159</v>
      </c>
      <c r="B5679" s="538" t="n">
        <v>20.13</v>
      </c>
      <c r="C5679" s="538" t="n">
        <v>21.63</v>
      </c>
      <c r="D5679" s="538" t="n">
        <v>21.29</v>
      </c>
      <c r="E5679" s="538" t="n">
        <v>26.9</v>
      </c>
    </row>
    <row r="5680">
      <c r="A5680" s="544" t="n">
        <v>37160</v>
      </c>
      <c r="B5680" s="538" t="n">
        <v>20.67</v>
      </c>
      <c r="C5680" s="538" t="n">
        <v>22.4</v>
      </c>
      <c r="D5680" s="538" t="n">
        <v>21.95</v>
      </c>
      <c r="E5680" s="538" t="n">
        <v>26.8</v>
      </c>
    </row>
    <row r="5681">
      <c r="A5681" s="544" t="n">
        <v>37161</v>
      </c>
      <c r="B5681" s="538" t="n">
        <v>21.47</v>
      </c>
      <c r="C5681" s="538" t="n">
        <v>22.8</v>
      </c>
      <c r="D5681" s="538" t="n">
        <v>21.19</v>
      </c>
      <c r="E5681" s="538" t="n">
        <v>27.8</v>
      </c>
    </row>
    <row r="5682">
      <c r="A5682" s="544" t="n">
        <v>37162</v>
      </c>
      <c r="B5682" s="538" t="n">
        <v>21.87</v>
      </c>
      <c r="C5682" s="538" t="n">
        <v>23.44</v>
      </c>
      <c r="D5682" s="538" t="n">
        <v>21.62</v>
      </c>
      <c r="E5682" s="538" t="n">
        <v>28.15</v>
      </c>
    </row>
    <row r="5683">
      <c r="A5683" s="544" t="n">
        <v>37165</v>
      </c>
      <c r="B5683" s="538" t="n">
        <v>21.22</v>
      </c>
      <c r="C5683" s="538" t="n">
        <v>23.12</v>
      </c>
      <c r="D5683" s="538" t="n">
        <v>21.04</v>
      </c>
      <c r="E5683" s="538" t="n">
        <v>28</v>
      </c>
    </row>
    <row r="5684">
      <c r="A5684" s="544" t="n">
        <v>37166</v>
      </c>
      <c r="B5684" s="538" t="n">
        <v>21.29</v>
      </c>
      <c r="C5684" s="538" t="n">
        <v>22.7</v>
      </c>
      <c r="D5684" s="538" t="n">
        <v>20.19</v>
      </c>
      <c r="E5684" s="538" t="n">
        <v>27.25</v>
      </c>
    </row>
    <row r="5685">
      <c r="A5685" s="544" t="n">
        <v>37167</v>
      </c>
      <c r="B5685" s="538" t="n">
        <v>20.63</v>
      </c>
      <c r="C5685" s="538" t="n">
        <v>22.17</v>
      </c>
      <c r="D5685" s="538" t="n">
        <v>19.96</v>
      </c>
      <c r="E5685" s="538" t="n">
        <v>26.1</v>
      </c>
    </row>
    <row r="5686">
      <c r="A5686" s="544" t="n">
        <v>37168</v>
      </c>
      <c r="B5686" s="538" t="n">
        <v>20.94</v>
      </c>
      <c r="C5686" s="538" t="n">
        <v>22.7</v>
      </c>
      <c r="D5686" s="538" t="n">
        <v>20.39</v>
      </c>
      <c r="E5686" s="538" t="n">
        <v>26.3</v>
      </c>
    </row>
    <row r="5687">
      <c r="A5687" s="544" t="n">
        <v>37169</v>
      </c>
      <c r="B5687" s="538" t="n">
        <v>21.46</v>
      </c>
      <c r="C5687" s="538" t="n">
        <v>22.32</v>
      </c>
      <c r="D5687" s="538" t="n">
        <v>19.74</v>
      </c>
      <c r="E5687" s="538" t="n">
        <v>27.2</v>
      </c>
    </row>
    <row r="5688">
      <c r="A5688" s="544" t="n">
        <v>37172</v>
      </c>
      <c r="B5688" s="538" t="n">
        <v>20.91</v>
      </c>
      <c r="C5688" s="538" t="n">
        <v>22.25</v>
      </c>
      <c r="D5688" s="538" t="n">
        <v>19.63</v>
      </c>
      <c r="E5688" s="538" t="n">
        <v>26.75</v>
      </c>
    </row>
    <row r="5689">
      <c r="A5689" s="544" t="n">
        <v>37173</v>
      </c>
      <c r="B5689" s="538" t="n">
        <v>20.65</v>
      </c>
      <c r="C5689" s="538" t="n">
        <v>22.55</v>
      </c>
      <c r="D5689" s="538" t="n">
        <v>20</v>
      </c>
      <c r="E5689" s="538" t="n">
        <v>26.95</v>
      </c>
    </row>
    <row r="5690">
      <c r="A5690" s="544" t="n">
        <v>37174</v>
      </c>
      <c r="B5690" s="538" t="n">
        <v>21.02</v>
      </c>
      <c r="C5690" s="538" t="n">
        <v>22.51</v>
      </c>
      <c r="D5690" s="538" t="n">
        <v>20.19</v>
      </c>
      <c r="E5690" s="538" t="n">
        <v>26.95</v>
      </c>
    </row>
    <row r="5691">
      <c r="A5691" s="544" t="n">
        <v>37175</v>
      </c>
      <c r="B5691" s="538" t="n">
        <v>21.38</v>
      </c>
      <c r="C5691" s="538" t="n">
        <v>23.49</v>
      </c>
      <c r="D5691" s="538" t="n">
        <v>20.94</v>
      </c>
      <c r="E5691" s="538" t="n">
        <v>26.8</v>
      </c>
    </row>
    <row r="5692">
      <c r="A5692" s="544" t="n">
        <v>37176</v>
      </c>
      <c r="B5692" s="538" t="n">
        <v>20.57</v>
      </c>
      <c r="C5692" s="538" t="n">
        <v>22.49</v>
      </c>
      <c r="D5692" s="538" t="n">
        <v>19.85</v>
      </c>
      <c r="E5692" s="538" t="n">
        <v>27</v>
      </c>
    </row>
    <row r="5693">
      <c r="A5693" s="544" t="n">
        <v>37179</v>
      </c>
      <c r="B5693" s="538" t="n">
        <v>20.36</v>
      </c>
      <c r="C5693" s="538" t="n">
        <v>22.37</v>
      </c>
      <c r="D5693" s="538" t="n">
        <v>20.22</v>
      </c>
      <c r="E5693" s="538" t="n">
        <v>25.85</v>
      </c>
    </row>
    <row r="5694">
      <c r="A5694" s="544" t="n">
        <v>37180</v>
      </c>
      <c r="B5694" s="538" t="n">
        <v>20.47</v>
      </c>
      <c r="C5694" s="538" t="n">
        <v>22.01</v>
      </c>
      <c r="D5694" s="538" t="n">
        <v>20.25</v>
      </c>
      <c r="E5694" s="538" t="n">
        <v>25.85</v>
      </c>
    </row>
    <row r="5695">
      <c r="A5695" s="544" t="n">
        <v>37181</v>
      </c>
      <c r="B5695" s="538" t="n">
        <v>19.47</v>
      </c>
      <c r="C5695" s="538" t="n">
        <v>21.89</v>
      </c>
      <c r="D5695" s="538" t="n">
        <v>19.26</v>
      </c>
      <c r="E5695" s="538" t="n">
        <v>25.8</v>
      </c>
    </row>
    <row r="5696">
      <c r="A5696" s="544" t="n">
        <v>37182</v>
      </c>
      <c r="B5696" s="538" t="n">
        <v>19.21</v>
      </c>
      <c r="C5696" s="538" t="n">
        <v>21.33</v>
      </c>
      <c r="D5696" s="538" t="n">
        <v>19.04</v>
      </c>
      <c r="E5696" s="538" t="n">
        <v>25.25</v>
      </c>
    </row>
    <row r="5697">
      <c r="A5697" s="544" t="n">
        <v>37183</v>
      </c>
      <c r="B5697" s="538" t="n">
        <v>19.91</v>
      </c>
      <c r="C5697" s="538" t="n">
        <v>21.99</v>
      </c>
      <c r="D5697" s="538" t="n">
        <v>19.69</v>
      </c>
      <c r="E5697" s="538" t="n">
        <v>25.2</v>
      </c>
    </row>
    <row r="5698">
      <c r="A5698" s="544" t="n">
        <v>37186</v>
      </c>
      <c r="B5698" s="538" t="n">
        <v>20.38</v>
      </c>
      <c r="C5698" s="538" t="n">
        <v>21.78</v>
      </c>
      <c r="D5698" s="538" t="n">
        <v>19.29</v>
      </c>
      <c r="E5698" s="538" t="n">
        <v>25.05</v>
      </c>
    </row>
    <row r="5699">
      <c r="A5699" s="544" t="n">
        <v>37187</v>
      </c>
      <c r="B5699" s="538" t="n">
        <v>20.56</v>
      </c>
      <c r="C5699" s="538" t="n">
        <v>21.28</v>
      </c>
      <c r="D5699" s="538" t="n">
        <v>19.3</v>
      </c>
      <c r="E5699" s="538" t="n">
        <v>25</v>
      </c>
    </row>
    <row r="5700">
      <c r="A5700" s="544" t="n">
        <v>37188</v>
      </c>
      <c r="B5700" s="538" t="n">
        <v>20.37</v>
      </c>
      <c r="C5700" s="538" t="n">
        <v>22</v>
      </c>
      <c r="D5700" s="538" t="n">
        <v>19.65</v>
      </c>
      <c r="E5700" s="538" t="n">
        <v>24.15</v>
      </c>
    </row>
    <row r="5701">
      <c r="A5701" s="544" t="n">
        <v>37189</v>
      </c>
      <c r="B5701" s="538" t="n">
        <v>20.67</v>
      </c>
      <c r="C5701" s="538" t="n">
        <v>21.75</v>
      </c>
      <c r="D5701" s="538" t="n">
        <v>19.36</v>
      </c>
      <c r="E5701" s="538" t="n">
        <v>25.2</v>
      </c>
    </row>
    <row r="5702">
      <c r="A5702" s="544" t="n">
        <v>37190</v>
      </c>
      <c r="B5702" s="538" t="n">
        <v>20.31</v>
      </c>
      <c r="C5702" s="538" t="n">
        <v>22.07</v>
      </c>
      <c r="D5702" s="538" t="n">
        <v>19.43</v>
      </c>
      <c r="E5702" s="538" t="n">
        <v>25.1</v>
      </c>
    </row>
    <row r="5703">
      <c r="A5703" s="544" t="n">
        <v>37193</v>
      </c>
      <c r="B5703" s="538" t="n">
        <v>20.55</v>
      </c>
      <c r="C5703" s="538" t="n">
        <v>22.1</v>
      </c>
      <c r="D5703" s="538" t="n">
        <v>19.48</v>
      </c>
      <c r="E5703" s="538" t="n">
        <v>25.1</v>
      </c>
    </row>
    <row r="5704">
      <c r="A5704" s="544" t="n">
        <v>37194</v>
      </c>
      <c r="B5704" s="538" t="n">
        <v>20.41</v>
      </c>
      <c r="C5704" s="538" t="n">
        <v>21.83</v>
      </c>
      <c r="D5704" s="538" t="n">
        <v>19.26</v>
      </c>
      <c r="E5704" s="538" t="n">
        <v>24.8</v>
      </c>
    </row>
    <row r="5705">
      <c r="A5705" s="544" t="n">
        <v>37195</v>
      </c>
      <c r="B5705" s="538" t="n">
        <v>19.63</v>
      </c>
      <c r="C5705" s="538" t="n">
        <v>21.2</v>
      </c>
      <c r="D5705" s="538" t="n">
        <v>18.75</v>
      </c>
      <c r="E5705" s="538" t="n">
        <v>24.5</v>
      </c>
    </row>
    <row r="5706">
      <c r="A5706" s="544" t="n">
        <v>37196</v>
      </c>
      <c r="B5706" s="538" t="n">
        <v>19.39</v>
      </c>
      <c r="C5706" s="538" t="n">
        <v>20.47</v>
      </c>
      <c r="D5706" s="538" t="n">
        <v>17.96</v>
      </c>
      <c r="E5706" s="538" t="n">
        <v>24.2</v>
      </c>
    </row>
    <row r="5707">
      <c r="A5707" s="544" t="n">
        <v>37197</v>
      </c>
      <c r="B5707" s="538" t="n">
        <v>18.63</v>
      </c>
      <c r="C5707" s="538" t="n">
        <v>20.24</v>
      </c>
      <c r="D5707" s="538" t="n">
        <v>18.08</v>
      </c>
      <c r="E5707" s="538" t="n">
        <v>23.63</v>
      </c>
    </row>
    <row r="5708">
      <c r="A5708" s="544" t="n">
        <v>37200</v>
      </c>
      <c r="B5708" s="538" t="n">
        <v>18.78</v>
      </c>
      <c r="C5708" s="538" t="n">
        <v>20</v>
      </c>
      <c r="D5708" s="538" t="n">
        <v>17.75</v>
      </c>
      <c r="E5708" s="538" t="n">
        <v>23.35</v>
      </c>
    </row>
    <row r="5709">
      <c r="A5709" s="544" t="n">
        <v>37201</v>
      </c>
      <c r="B5709" s="538" t="n">
        <v>18.64</v>
      </c>
      <c r="C5709" s="538" t="n">
        <v>19.93</v>
      </c>
      <c r="D5709" s="538" t="n">
        <v>17.39</v>
      </c>
      <c r="E5709" s="538" t="n">
        <v>23.18</v>
      </c>
    </row>
    <row r="5710">
      <c r="A5710" s="544" t="n">
        <v>37202</v>
      </c>
      <c r="B5710" s="538" t="n">
        <v>18.86</v>
      </c>
      <c r="C5710" s="538" t="n">
        <v>20.11</v>
      </c>
      <c r="D5710" s="538" t="n">
        <v>17.66</v>
      </c>
      <c r="E5710" s="538" t="n">
        <v>22.45</v>
      </c>
    </row>
    <row r="5711">
      <c r="A5711" s="544" t="n">
        <v>37203</v>
      </c>
      <c r="B5711" s="538" t="n">
        <v>19.54</v>
      </c>
      <c r="C5711" s="538" t="n">
        <v>21.21</v>
      </c>
      <c r="D5711" s="538" t="n">
        <v>18.66</v>
      </c>
      <c r="E5711" s="538" t="n">
        <v>22.95</v>
      </c>
    </row>
    <row r="5712">
      <c r="A5712" s="544" t="n">
        <v>37204</v>
      </c>
      <c r="B5712" s="538" t="n">
        <v>20.72</v>
      </c>
      <c r="C5712" s="538" t="n">
        <v>22.23</v>
      </c>
      <c r="D5712" s="538" t="n">
        <v>19.7</v>
      </c>
      <c r="E5712" s="538" t="n">
        <v>24.3</v>
      </c>
    </row>
    <row r="5713">
      <c r="A5713" s="544" t="n">
        <v>37207</v>
      </c>
      <c r="B5713" s="538" t="n">
        <v>19.48</v>
      </c>
      <c r="C5713" s="538" t="n">
        <v>21.26</v>
      </c>
      <c r="D5713" s="538" t="n">
        <v>18.65</v>
      </c>
      <c r="E5713" s="538" t="n">
        <v>24.8</v>
      </c>
    </row>
    <row r="5714">
      <c r="A5714" s="544" t="n">
        <v>37208</v>
      </c>
      <c r="B5714" s="538" t="n">
        <v>20.47</v>
      </c>
      <c r="C5714" s="538" t="n">
        <v>21.56</v>
      </c>
      <c r="D5714" s="538" t="n">
        <v>19.32</v>
      </c>
      <c r="E5714" s="538" t="n">
        <v>23.5</v>
      </c>
    </row>
    <row r="5715">
      <c r="A5715" s="544" t="n">
        <v>37209</v>
      </c>
      <c r="B5715" s="538" t="n">
        <v>18.78</v>
      </c>
      <c r="C5715" s="538" t="n">
        <v>19.63</v>
      </c>
      <c r="D5715" s="538" t="n">
        <v>17.2</v>
      </c>
      <c r="E5715" s="538" t="n">
        <v>23.5</v>
      </c>
    </row>
    <row r="5716">
      <c r="A5716" s="544" t="n">
        <v>37210</v>
      </c>
      <c r="B5716" s="538" t="n">
        <v>16.51</v>
      </c>
      <c r="C5716" s="538" t="n">
        <v>17.5</v>
      </c>
      <c r="D5716" s="538" t="n">
        <v>15.95</v>
      </c>
      <c r="E5716" s="538" t="n">
        <v>20.95</v>
      </c>
    </row>
    <row r="5717">
      <c r="A5717" s="544" t="n">
        <v>37211</v>
      </c>
      <c r="B5717" s="538" t="n">
        <v>16.86</v>
      </c>
      <c r="C5717" s="538" t="n">
        <v>18.09</v>
      </c>
      <c r="D5717" s="538" t="n">
        <v>16.48</v>
      </c>
      <c r="E5717" s="538" t="n">
        <v>20.5</v>
      </c>
    </row>
    <row r="5718">
      <c r="A5718" s="544" t="n">
        <v>37214</v>
      </c>
      <c r="B5718" s="538" t="n">
        <v>16.55</v>
      </c>
      <c r="C5718" s="538" t="n">
        <v>17.74</v>
      </c>
      <c r="D5718" s="538" t="n">
        <v>16.45</v>
      </c>
      <c r="E5718" s="538" t="n">
        <v>20.6</v>
      </c>
    </row>
    <row r="5719">
      <c r="A5719" s="544" t="n">
        <v>37215</v>
      </c>
      <c r="B5719" s="538" t="n">
        <v>18.82</v>
      </c>
      <c r="C5719" s="538" t="n">
        <v>18.71</v>
      </c>
      <c r="D5719" s="538" t="n">
        <v>17.23</v>
      </c>
      <c r="E5719" s="538" t="n">
        <v>20.9</v>
      </c>
    </row>
    <row r="5720">
      <c r="A5720" s="544" t="n">
        <v>37216</v>
      </c>
      <c r="B5720" s="538" t="n">
        <v>18.44</v>
      </c>
      <c r="C5720" s="538" t="n">
        <v>18.38</v>
      </c>
      <c r="D5720" s="538" t="n">
        <v>17.2</v>
      </c>
      <c r="E5720" s="538" t="n">
        <v>22.25</v>
      </c>
    </row>
    <row r="5721">
      <c r="A5721" s="544" t="n">
        <v>37217</v>
      </c>
      <c r="B5721" s="538" t="n">
        <v>19.65</v>
      </c>
      <c r="C5721" s="538" t="n">
        <v>18.38</v>
      </c>
      <c r="D5721" s="538" t="n">
        <v>17.2</v>
      </c>
      <c r="E5721" s="538" t="n">
        <v>22.1</v>
      </c>
    </row>
    <row r="5722">
      <c r="A5722" s="544" t="n">
        <v>37218</v>
      </c>
      <c r="B5722" s="538" t="n">
        <v>19.4</v>
      </c>
      <c r="C5722" s="538" t="n">
        <v>18.38</v>
      </c>
      <c r="D5722" s="538" t="n">
        <v>17.2</v>
      </c>
      <c r="E5722" s="538" t="n">
        <v>23</v>
      </c>
    </row>
    <row r="5723">
      <c r="A5723" s="544" t="n">
        <v>37221</v>
      </c>
      <c r="B5723" s="538" t="n">
        <v>18.66</v>
      </c>
      <c r="C5723" s="538" t="n">
        <v>18.69</v>
      </c>
      <c r="D5723" s="538" t="n">
        <v>16.91</v>
      </c>
      <c r="E5723" s="538" t="n">
        <v>21.5</v>
      </c>
    </row>
    <row r="5724">
      <c r="A5724" s="544" t="n">
        <v>37222</v>
      </c>
      <c r="B5724" s="538" t="n">
        <v>19.09</v>
      </c>
      <c r="C5724" s="538" t="n">
        <v>19.57</v>
      </c>
      <c r="D5724" s="538" t="n">
        <v>17.48</v>
      </c>
      <c r="E5724" s="538" t="n">
        <v>21.5</v>
      </c>
    </row>
    <row r="5725">
      <c r="A5725" s="544" t="n">
        <v>37223</v>
      </c>
      <c r="B5725" s="538" t="n">
        <v>18.81</v>
      </c>
      <c r="C5725" s="538" t="n">
        <v>19.37</v>
      </c>
      <c r="D5725" s="538" t="n">
        <v>17.21</v>
      </c>
      <c r="E5725" s="538" t="n">
        <v>21.8</v>
      </c>
    </row>
    <row r="5726">
      <c r="A5726" s="544" t="n">
        <v>37224</v>
      </c>
      <c r="B5726" s="538" t="n">
        <v>18.54</v>
      </c>
      <c r="C5726" s="538" t="n">
        <v>18.55</v>
      </c>
      <c r="D5726" s="538" t="n">
        <v>16.89</v>
      </c>
      <c r="E5726" s="538" t="n">
        <v>21.8</v>
      </c>
    </row>
    <row r="5727">
      <c r="A5727" s="544" t="n">
        <v>37225</v>
      </c>
      <c r="B5727" s="538" t="n">
        <v>18.92</v>
      </c>
      <c r="C5727" s="538" t="n">
        <v>19.46</v>
      </c>
      <c r="D5727" s="538" t="n">
        <v>17.66</v>
      </c>
      <c r="E5727" s="538" t="n">
        <v>21.1</v>
      </c>
    </row>
    <row r="5728">
      <c r="A5728" s="544" t="n">
        <v>37228</v>
      </c>
      <c r="B5728" s="538" t="n">
        <v>20</v>
      </c>
      <c r="C5728" s="538" t="n">
        <v>20.27</v>
      </c>
      <c r="D5728" s="538" t="n">
        <v>18.33</v>
      </c>
      <c r="E5728" s="538" t="n">
        <v>21.6</v>
      </c>
    </row>
    <row r="5729">
      <c r="A5729" s="544" t="n">
        <v>37229</v>
      </c>
      <c r="B5729" s="538" t="n">
        <v>19.28</v>
      </c>
      <c r="C5729" s="538" t="n">
        <v>19.71</v>
      </c>
      <c r="D5729" s="538" t="n">
        <v>17.91</v>
      </c>
      <c r="E5729" s="538" t="n">
        <v>22.3</v>
      </c>
    </row>
    <row r="5730">
      <c r="A5730" s="544" t="n">
        <v>37230</v>
      </c>
      <c r="B5730" s="538" t="n">
        <v>19.27</v>
      </c>
      <c r="C5730" s="538" t="n">
        <v>19.62</v>
      </c>
      <c r="D5730" s="538" t="n">
        <v>17.79</v>
      </c>
      <c r="E5730" s="538" t="n">
        <v>22.35</v>
      </c>
    </row>
    <row r="5731">
      <c r="A5731" s="544" t="n">
        <v>37231</v>
      </c>
      <c r="B5731" s="538" t="n">
        <v>18.57</v>
      </c>
      <c r="C5731" s="538" t="n">
        <v>18.69</v>
      </c>
      <c r="D5731" s="538" t="n">
        <v>17.02</v>
      </c>
      <c r="E5731" s="538" t="n">
        <v>22</v>
      </c>
    </row>
    <row r="5732">
      <c r="A5732" s="544" t="n">
        <v>37232</v>
      </c>
      <c r="B5732" s="538" t="n">
        <v>17.81</v>
      </c>
      <c r="C5732" s="538" t="n">
        <v>19.08</v>
      </c>
      <c r="D5732" s="538" t="n">
        <v>17.79</v>
      </c>
      <c r="E5732" s="538" t="n">
        <v>21.2</v>
      </c>
    </row>
    <row r="5733">
      <c r="A5733" s="544" t="n">
        <v>37235</v>
      </c>
      <c r="B5733" s="538" t="n">
        <v>18.03</v>
      </c>
      <c r="C5733" s="538" t="n">
        <v>18.32</v>
      </c>
      <c r="D5733" s="538" t="n">
        <v>16.71</v>
      </c>
      <c r="E5733" s="538" t="n">
        <v>20.6</v>
      </c>
    </row>
    <row r="5734">
      <c r="A5734" s="544" t="n">
        <v>37236</v>
      </c>
      <c r="B5734" s="538" t="n">
        <v>17.61</v>
      </c>
      <c r="C5734" s="538" t="n">
        <v>18.04</v>
      </c>
      <c r="D5734" s="538" t="n">
        <v>16.46</v>
      </c>
      <c r="E5734" s="538" t="n">
        <v>20.6</v>
      </c>
    </row>
    <row r="5735">
      <c r="A5735" s="544" t="n">
        <v>37237</v>
      </c>
      <c r="B5735" s="538" t="n">
        <v>18.13</v>
      </c>
      <c r="C5735" s="538" t="n">
        <v>18.38</v>
      </c>
      <c r="D5735" s="538" t="n">
        <v>16.88</v>
      </c>
      <c r="E5735" s="538" t="n">
        <v>20.45</v>
      </c>
    </row>
    <row r="5736">
      <c r="A5736" s="544" t="n">
        <v>37238</v>
      </c>
      <c r="B5736" s="538" t="n">
        <v>17.8</v>
      </c>
      <c r="C5736" s="538" t="n">
        <v>18.2</v>
      </c>
      <c r="D5736" s="538" t="n">
        <v>16.72</v>
      </c>
      <c r="E5736" s="538" t="n">
        <v>21.2</v>
      </c>
    </row>
    <row r="5737">
      <c r="A5737" s="544" t="n">
        <v>37239</v>
      </c>
      <c r="B5737" s="538" t="n">
        <v>18.54</v>
      </c>
      <c r="C5737" s="538" t="n">
        <v>19.31</v>
      </c>
      <c r="D5737" s="538" t="n">
        <v>18.69</v>
      </c>
      <c r="E5737" s="538" t="n">
        <v>21.2</v>
      </c>
    </row>
    <row r="5738">
      <c r="A5738" s="544" t="n">
        <v>37242</v>
      </c>
      <c r="B5738" s="538" t="n">
        <v>18.58</v>
      </c>
      <c r="C5738" s="538" t="n">
        <v>19.28</v>
      </c>
      <c r="D5738" s="538" t="n">
        <v>17.61</v>
      </c>
      <c r="E5738" s="538" t="n">
        <v>21.2</v>
      </c>
    </row>
    <row r="5739">
      <c r="A5739" s="544" t="n">
        <v>37243</v>
      </c>
      <c r="B5739" s="538" t="n">
        <v>18.51</v>
      </c>
      <c r="C5739" s="538" t="n">
        <v>19.38</v>
      </c>
      <c r="D5739" s="538" t="n">
        <v>17.85</v>
      </c>
      <c r="E5739" s="538" t="n">
        <v>21.9</v>
      </c>
    </row>
    <row r="5740">
      <c r="A5740" s="544" t="n">
        <v>37244</v>
      </c>
      <c r="B5740" s="538" t="n">
        <v>19.03</v>
      </c>
      <c r="C5740" s="538" t="n">
        <v>19.37</v>
      </c>
      <c r="D5740" s="538" t="n">
        <v>18.06</v>
      </c>
      <c r="E5740" s="538" t="n">
        <v>22.45</v>
      </c>
    </row>
    <row r="5741">
      <c r="A5741" s="544" t="n">
        <v>37245</v>
      </c>
      <c r="B5741" s="538" t="n">
        <v>18.87</v>
      </c>
      <c r="C5741" s="538" t="n">
        <v>18.67</v>
      </c>
      <c r="D5741" s="538" t="n">
        <v>17.7</v>
      </c>
      <c r="E5741" s="538" t="n">
        <v>22.55</v>
      </c>
    </row>
    <row r="5742">
      <c r="A5742" s="544" t="n">
        <v>37246</v>
      </c>
      <c r="B5742" s="538" t="n">
        <v>18.73</v>
      </c>
      <c r="C5742" s="538" t="n">
        <v>19.3</v>
      </c>
      <c r="D5742" s="538" t="n">
        <v>18.08</v>
      </c>
      <c r="E5742" s="538" t="n">
        <v>22.3</v>
      </c>
    </row>
    <row r="5743">
      <c r="A5743" s="544" t="n">
        <v>37249</v>
      </c>
      <c r="B5743" s="538" t="n">
        <v>18.65</v>
      </c>
      <c r="C5743" s="538" t="n">
        <v>19.3</v>
      </c>
      <c r="D5743" s="538" t="n">
        <v>18.08</v>
      </c>
      <c r="E5743" s="538" t="n">
        <v>21.9</v>
      </c>
    </row>
    <row r="5744">
      <c r="A5744" s="544" t="n">
        <v>37250</v>
      </c>
      <c r="B5744" s="538" t="n">
        <v>18.65</v>
      </c>
      <c r="C5744" s="538" t="n">
        <v>19.3</v>
      </c>
      <c r="D5744" s="538" t="n">
        <v>18.08</v>
      </c>
      <c r="E5744" s="538" t="n">
        <v>21.9</v>
      </c>
    </row>
    <row r="5745">
      <c r="A5745" s="544" t="n">
        <v>37251</v>
      </c>
      <c r="B5745" s="538" t="n">
        <v>18.65</v>
      </c>
      <c r="C5745" s="538" t="n">
        <v>21.32</v>
      </c>
      <c r="D5745" s="538" t="n">
        <v>17.95</v>
      </c>
      <c r="E5745" s="538" t="n">
        <v>21.9</v>
      </c>
    </row>
    <row r="5746">
      <c r="A5746" s="544" t="n">
        <v>37252</v>
      </c>
      <c r="B5746" s="538" t="n">
        <v>18.87</v>
      </c>
      <c r="C5746" s="538" t="n">
        <v>21.07</v>
      </c>
      <c r="D5746" s="538" t="n">
        <v>19.03</v>
      </c>
      <c r="E5746" s="538" t="n">
        <v>22.25</v>
      </c>
    </row>
    <row r="5747">
      <c r="A5747" s="544" t="n">
        <v>37253</v>
      </c>
      <c r="B5747" s="538" t="n">
        <v>19.77</v>
      </c>
      <c r="C5747" s="538" t="n">
        <v>20.42</v>
      </c>
      <c r="D5747" s="538" t="n">
        <v>19.03</v>
      </c>
      <c r="E5747" s="538" t="n">
        <v>22.75</v>
      </c>
    </row>
    <row r="5748">
      <c r="A5748" s="544" t="n">
        <v>37256</v>
      </c>
      <c r="B5748" s="538" t="n">
        <v>19.35</v>
      </c>
      <c r="C5748" s="538" t="n">
        <v>19.96</v>
      </c>
      <c r="D5748" s="538" t="n">
        <v>19.03</v>
      </c>
      <c r="E5748" s="538" t="n">
        <v>22.1</v>
      </c>
    </row>
    <row r="5749">
      <c r="A5749" s="544" t="n">
        <v>37257</v>
      </c>
      <c r="B5749" s="538" t="n">
        <v>19.35</v>
      </c>
      <c r="C5749" s="538" t="n">
        <v>19.96</v>
      </c>
      <c r="D5749" s="538" t="n">
        <v>19.03</v>
      </c>
      <c r="E5749" s="538" t="n">
        <v>22.1</v>
      </c>
    </row>
    <row r="5750">
      <c r="A5750" s="544" t="n">
        <v>37258</v>
      </c>
      <c r="B5750" s="538" t="n">
        <v>20.13</v>
      </c>
      <c r="C5750" s="538" t="n">
        <v>21.13</v>
      </c>
      <c r="D5750" s="538" t="n">
        <v>19.31</v>
      </c>
      <c r="E5750" s="538" t="n">
        <v>22.4</v>
      </c>
    </row>
    <row r="5751">
      <c r="A5751" s="544" t="n">
        <v>37259</v>
      </c>
      <c r="B5751" s="538" t="n">
        <v>20.47</v>
      </c>
      <c r="C5751" s="538" t="n">
        <v>20.65</v>
      </c>
      <c r="D5751" s="538" t="n">
        <v>18.99</v>
      </c>
      <c r="E5751" s="538" t="n">
        <v>23.45</v>
      </c>
    </row>
    <row r="5752">
      <c r="A5752" s="544" t="n">
        <v>37260</v>
      </c>
      <c r="B5752" s="538" t="n">
        <v>21.2</v>
      </c>
      <c r="C5752" s="538" t="n">
        <v>21.47</v>
      </c>
      <c r="D5752" s="538" t="n">
        <v>20.1</v>
      </c>
      <c r="E5752" s="538" t="n">
        <v>23.65</v>
      </c>
    </row>
    <row r="5753">
      <c r="A5753" s="544" t="n">
        <v>37263</v>
      </c>
      <c r="B5753" s="538" t="n">
        <v>21.08</v>
      </c>
      <c r="C5753" s="538" t="n">
        <v>21.42</v>
      </c>
      <c r="D5753" s="538" t="n">
        <v>19.75</v>
      </c>
      <c r="E5753" s="538" t="n">
        <v>24.3</v>
      </c>
    </row>
    <row r="5754">
      <c r="A5754" s="544" t="n">
        <v>37264</v>
      </c>
      <c r="B5754" s="538" t="n">
        <v>21.03</v>
      </c>
      <c r="C5754" s="538" t="n">
        <v>20.82</v>
      </c>
      <c r="D5754" s="538" t="n">
        <v>19.69</v>
      </c>
      <c r="E5754" s="538" t="n">
        <v>23.9</v>
      </c>
    </row>
    <row r="5755">
      <c r="A5755" s="544" t="n">
        <v>37265</v>
      </c>
      <c r="B5755" s="538" t="n">
        <v>20.21</v>
      </c>
      <c r="C5755" s="538" t="n">
        <v>20.32</v>
      </c>
      <c r="D5755" s="538" t="n">
        <v>18.39</v>
      </c>
      <c r="E5755" s="538" t="n">
        <v>23.3</v>
      </c>
    </row>
    <row r="5756">
      <c r="A5756" s="544" t="n">
        <v>37266</v>
      </c>
      <c r="B5756" s="538" t="n">
        <v>19.71</v>
      </c>
      <c r="C5756" s="538" t="n">
        <v>20.48</v>
      </c>
      <c r="D5756" s="538" t="n">
        <v>18.77</v>
      </c>
      <c r="E5756" s="538" t="n">
        <v>23.1</v>
      </c>
    </row>
    <row r="5757">
      <c r="A5757" s="544" t="n">
        <v>37267</v>
      </c>
      <c r="B5757" s="538" t="n">
        <v>20.08</v>
      </c>
      <c r="C5757" s="538" t="n">
        <v>19.67</v>
      </c>
      <c r="D5757" s="538" t="n">
        <v>17.77</v>
      </c>
      <c r="E5757" s="538" t="n">
        <v>23.4</v>
      </c>
    </row>
    <row r="5758">
      <c r="A5758" s="544" t="n">
        <v>37270</v>
      </c>
      <c r="B5758" s="538" t="n">
        <v>18.89</v>
      </c>
      <c r="C5758" s="538" t="n">
        <v>18.88</v>
      </c>
      <c r="D5758" s="538" t="n">
        <v>17.41</v>
      </c>
      <c r="E5758" s="538" t="n">
        <v>22.8</v>
      </c>
    </row>
    <row r="5759">
      <c r="A5759" s="544" t="n">
        <v>37271</v>
      </c>
      <c r="B5759" s="538" t="n">
        <v>18.86</v>
      </c>
      <c r="C5759" s="538" t="n">
        <v>18.99</v>
      </c>
      <c r="D5759" s="538" t="n">
        <v>16.99</v>
      </c>
      <c r="E5759" s="538" t="n">
        <v>22.15</v>
      </c>
    </row>
    <row r="5760">
      <c r="A5760" s="544" t="n">
        <v>37272</v>
      </c>
      <c r="B5760" s="538" t="n">
        <v>18.5</v>
      </c>
      <c r="C5760" s="538" t="n">
        <v>18.96</v>
      </c>
      <c r="D5760" s="538" t="n">
        <v>17.95</v>
      </c>
      <c r="E5760" s="538" t="n">
        <v>21.95</v>
      </c>
    </row>
    <row r="5761">
      <c r="A5761" s="544" t="n">
        <v>37273</v>
      </c>
      <c r="B5761" s="538" t="n">
        <v>18.2</v>
      </c>
      <c r="C5761" s="538" t="n">
        <v>18.2</v>
      </c>
      <c r="D5761" s="538" t="n">
        <v>17.55</v>
      </c>
      <c r="E5761" s="538" t="n">
        <v>22.65</v>
      </c>
    </row>
    <row r="5762">
      <c r="A5762" s="544" t="n">
        <v>37274</v>
      </c>
      <c r="B5762" s="538" t="n">
        <v>18.17</v>
      </c>
      <c r="C5762" s="538" t="n">
        <v>18.02</v>
      </c>
      <c r="D5762" s="538" t="n">
        <v>17.42</v>
      </c>
      <c r="E5762" s="538" t="n">
        <v>22.15</v>
      </c>
    </row>
    <row r="5763">
      <c r="A5763" s="544" t="n">
        <v>37277</v>
      </c>
      <c r="B5763" s="538" t="n">
        <v>18.32</v>
      </c>
      <c r="C5763" s="538" t="n">
        <v>18.02</v>
      </c>
      <c r="D5763" s="538" t="n">
        <v>17.42</v>
      </c>
      <c r="E5763" s="538" t="n">
        <v>22.1</v>
      </c>
    </row>
    <row r="5764">
      <c r="A5764" s="544" t="n">
        <v>37278</v>
      </c>
      <c r="B5764" s="538" t="n">
        <v>18.7</v>
      </c>
      <c r="C5764" s="538" t="n">
        <v>18.36</v>
      </c>
      <c r="D5764" s="538" t="n">
        <v>18.01</v>
      </c>
      <c r="E5764" s="538" t="n">
        <v>22.3</v>
      </c>
    </row>
    <row r="5765">
      <c r="A5765" s="544" t="n">
        <v>37279</v>
      </c>
      <c r="B5765" s="538" t="n">
        <v>18.89</v>
      </c>
      <c r="C5765" s="538" t="n">
        <v>19.1</v>
      </c>
      <c r="D5765" s="538" t="n">
        <v>18.27</v>
      </c>
      <c r="E5765" s="538" t="n">
        <v>22.6</v>
      </c>
    </row>
    <row r="5766">
      <c r="A5766" s="544" t="n">
        <v>37280</v>
      </c>
      <c r="B5766" s="538" t="n">
        <v>18.91</v>
      </c>
      <c r="C5766" s="538" t="n">
        <v>19.57</v>
      </c>
      <c r="D5766" s="538" t="n">
        <v>18.39</v>
      </c>
      <c r="E5766" s="538" t="n">
        <v>22.9</v>
      </c>
    </row>
    <row r="5767">
      <c r="A5767" s="544" t="n">
        <v>37281</v>
      </c>
      <c r="B5767" s="538" t="n">
        <v>19.04</v>
      </c>
      <c r="C5767" s="538" t="n">
        <v>19.8</v>
      </c>
      <c r="D5767" s="538" t="n">
        <v>18.66</v>
      </c>
      <c r="E5767" s="538" t="n">
        <v>23</v>
      </c>
    </row>
    <row r="5768">
      <c r="A5768" s="544" t="n">
        <v>37284</v>
      </c>
      <c r="B5768" s="538" t="n">
        <v>19.74</v>
      </c>
      <c r="C5768" s="538" t="n">
        <v>20.05</v>
      </c>
      <c r="D5768" s="538" t="n">
        <v>18.74</v>
      </c>
      <c r="E5768" s="538" t="n">
        <v>22.8</v>
      </c>
    </row>
    <row r="5769">
      <c r="A5769" s="544" t="n">
        <v>37285</v>
      </c>
      <c r="B5769" s="538" t="n">
        <v>19.26</v>
      </c>
      <c r="C5769" s="538" t="n">
        <v>19.3</v>
      </c>
      <c r="D5769" s="538" t="n">
        <v>17.94</v>
      </c>
      <c r="E5769" s="538" t="n">
        <v>22.3</v>
      </c>
    </row>
    <row r="5770">
      <c r="A5770" s="544" t="n">
        <v>37286</v>
      </c>
      <c r="B5770" s="538" t="n">
        <v>18.71</v>
      </c>
      <c r="C5770" s="538" t="n">
        <v>19.11</v>
      </c>
      <c r="D5770" s="538" t="n">
        <v>17.94</v>
      </c>
      <c r="E5770" s="538" t="n">
        <v>21.7</v>
      </c>
    </row>
    <row r="5771">
      <c r="A5771" s="544" t="n">
        <v>37287</v>
      </c>
      <c r="B5771" s="538" t="n">
        <v>19.07</v>
      </c>
      <c r="C5771" s="538" t="n">
        <v>19.71</v>
      </c>
      <c r="D5771" s="538" t="n">
        <v>18.8</v>
      </c>
      <c r="E5771" s="538" t="n">
        <v>22.1</v>
      </c>
    </row>
    <row r="5772">
      <c r="A5772" s="544" t="n">
        <v>37288</v>
      </c>
      <c r="B5772" s="538" t="n">
        <v>19.7</v>
      </c>
      <c r="C5772" s="538" t="n">
        <v>20.4</v>
      </c>
      <c r="D5772" s="538" t="n">
        <v>19.88</v>
      </c>
      <c r="E5772" s="538" t="n">
        <v>22.55</v>
      </c>
    </row>
    <row r="5773">
      <c r="A5773" s="544" t="n">
        <v>37291</v>
      </c>
      <c r="B5773" s="538" t="n">
        <v>20.26</v>
      </c>
      <c r="C5773" s="538" t="n">
        <v>20.02</v>
      </c>
      <c r="D5773" s="538" t="n">
        <v>18.77</v>
      </c>
      <c r="E5773" s="538" t="n">
        <v>22.25</v>
      </c>
    </row>
    <row r="5774">
      <c r="A5774" s="544" t="n">
        <v>37292</v>
      </c>
      <c r="B5774" s="538" t="n">
        <v>19.9</v>
      </c>
      <c r="C5774" s="538" t="n">
        <v>20.06</v>
      </c>
      <c r="D5774" s="538" t="n">
        <v>18.77</v>
      </c>
      <c r="E5774" s="538" t="n">
        <v>21.9</v>
      </c>
    </row>
    <row r="5775">
      <c r="A5775" s="544" t="n">
        <v>37293</v>
      </c>
      <c r="B5775" s="538" t="n">
        <v>19.97</v>
      </c>
      <c r="C5775" s="538" t="n">
        <v>19.77</v>
      </c>
      <c r="D5775" s="538" t="n">
        <v>18.3</v>
      </c>
      <c r="E5775" s="538" t="n">
        <v>22.05</v>
      </c>
    </row>
    <row r="5776">
      <c r="A5776" s="544" t="n">
        <v>37294</v>
      </c>
      <c r="B5776" s="538" t="n">
        <v>19.42</v>
      </c>
      <c r="C5776" s="538" t="n">
        <v>19.75</v>
      </c>
      <c r="D5776" s="538" t="n">
        <v>18.4</v>
      </c>
      <c r="E5776" s="538" t="n">
        <v>22.05</v>
      </c>
    </row>
    <row r="5777">
      <c r="A5777" s="544" t="n">
        <v>37295</v>
      </c>
      <c r="B5777" s="538" t="n">
        <v>20.01</v>
      </c>
      <c r="C5777" s="538" t="n">
        <v>20.25</v>
      </c>
      <c r="D5777" s="538" t="n">
        <v>19.5</v>
      </c>
      <c r="E5777" s="538" t="n">
        <v>22.75</v>
      </c>
    </row>
    <row r="5778">
      <c r="A5778" s="544" t="n">
        <v>37298</v>
      </c>
      <c r="B5778" s="538" t="n">
        <v>20.08</v>
      </c>
      <c r="C5778" s="538" t="n">
        <v>21.29</v>
      </c>
      <c r="D5778" s="538" t="n">
        <v>19.96</v>
      </c>
      <c r="E5778" s="538" t="n">
        <v>22.7</v>
      </c>
    </row>
    <row r="5779">
      <c r="A5779" s="544" t="n">
        <v>37299</v>
      </c>
      <c r="B5779" s="538" t="n">
        <v>21.75</v>
      </c>
      <c r="C5779" s="538" t="n">
        <v>20.76</v>
      </c>
      <c r="D5779" s="538" t="n">
        <v>19.25</v>
      </c>
      <c r="E5779" s="538" t="n">
        <v>22.7</v>
      </c>
    </row>
    <row r="5780">
      <c r="A5780" s="544" t="n">
        <v>37300</v>
      </c>
      <c r="B5780" s="538" t="n">
        <v>21.41</v>
      </c>
      <c r="C5780" s="538" t="n">
        <v>21.19</v>
      </c>
      <c r="D5780" s="538" t="n">
        <v>19.64</v>
      </c>
      <c r="E5780" s="538" t="n">
        <v>22.7</v>
      </c>
    </row>
    <row r="5781">
      <c r="A5781" s="544" t="n">
        <v>37301</v>
      </c>
      <c r="B5781" s="538" t="n">
        <v>20.97</v>
      </c>
      <c r="C5781" s="538" t="n">
        <v>21.19</v>
      </c>
      <c r="D5781" s="538" t="n">
        <v>19.47</v>
      </c>
      <c r="E5781" s="538" t="n">
        <v>23.2</v>
      </c>
    </row>
    <row r="5782">
      <c r="A5782" s="544" t="n">
        <v>37302</v>
      </c>
      <c r="B5782" s="538" t="n">
        <v>20.76</v>
      </c>
      <c r="C5782" s="538" t="n">
        <v>21.47</v>
      </c>
      <c r="D5782" s="538" t="n">
        <v>19.39</v>
      </c>
      <c r="E5782" s="538" t="n">
        <v>22.85</v>
      </c>
    </row>
    <row r="5783">
      <c r="A5783" s="544" t="n">
        <v>37305</v>
      </c>
      <c r="B5783" s="538" t="n">
        <v>20.12</v>
      </c>
      <c r="C5783" s="538" t="n">
        <v>21.47</v>
      </c>
      <c r="D5783" s="538" t="n">
        <v>19.39</v>
      </c>
      <c r="E5783" s="538" t="n">
        <v>22.95</v>
      </c>
    </row>
    <row r="5784">
      <c r="A5784" s="544" t="n">
        <v>37306</v>
      </c>
      <c r="B5784" s="538" t="n">
        <v>20.18</v>
      </c>
      <c r="C5784" s="538" t="n">
        <v>20.77</v>
      </c>
      <c r="D5784" s="538" t="n">
        <v>18.91</v>
      </c>
      <c r="E5784" s="538" t="n">
        <v>22.7</v>
      </c>
    </row>
    <row r="5785">
      <c r="A5785" s="544" t="n">
        <v>37307</v>
      </c>
      <c r="B5785" s="538" t="n">
        <v>19.44</v>
      </c>
      <c r="C5785" s="538" t="n">
        <v>20.31</v>
      </c>
      <c r="D5785" s="538" t="n">
        <v>18.86</v>
      </c>
      <c r="E5785" s="538" t="n">
        <v>22.5</v>
      </c>
    </row>
    <row r="5786">
      <c r="A5786" s="544" t="n">
        <v>37308</v>
      </c>
      <c r="B5786" s="538" t="n">
        <v>20.21</v>
      </c>
      <c r="C5786" s="538" t="n">
        <v>20.81</v>
      </c>
      <c r="D5786" s="538" t="n">
        <v>19.15</v>
      </c>
      <c r="E5786" s="538" t="n">
        <v>22.15</v>
      </c>
    </row>
    <row r="5787">
      <c r="A5787" s="544" t="n">
        <v>37309</v>
      </c>
      <c r="B5787" s="538" t="n">
        <v>20.14</v>
      </c>
      <c r="C5787" s="538" t="n">
        <v>20.92</v>
      </c>
      <c r="D5787" s="538" t="n">
        <v>19.37</v>
      </c>
      <c r="E5787" s="538" t="n">
        <v>22.6</v>
      </c>
    </row>
    <row r="5788">
      <c r="A5788" s="544" t="n">
        <v>37312</v>
      </c>
      <c r="B5788" s="538" t="n">
        <v>19.78</v>
      </c>
      <c r="C5788" s="538" t="n">
        <v>20.24</v>
      </c>
      <c r="D5788" s="538" t="n">
        <v>18.91</v>
      </c>
      <c r="E5788" s="538" t="n">
        <v>22.6</v>
      </c>
    </row>
    <row r="5789">
      <c r="A5789" s="544" t="n">
        <v>37313</v>
      </c>
      <c r="B5789" s="538" t="n">
        <v>19.95</v>
      </c>
      <c r="C5789" s="538" t="n">
        <v>21.37</v>
      </c>
      <c r="D5789" s="538" t="n">
        <v>20.12</v>
      </c>
      <c r="E5789" s="538" t="n">
        <v>22.2</v>
      </c>
    </row>
    <row r="5790">
      <c r="A5790" s="544" t="n">
        <v>37314</v>
      </c>
      <c r="B5790" s="538" t="n">
        <v>20.73</v>
      </c>
      <c r="C5790" s="538" t="n">
        <v>21.4</v>
      </c>
      <c r="D5790" s="538" t="n">
        <v>19.87</v>
      </c>
      <c r="E5790" s="538" t="n">
        <v>22.6</v>
      </c>
    </row>
    <row r="5791">
      <c r="A5791" s="544" t="n">
        <v>37315</v>
      </c>
      <c r="B5791" s="538" t="n">
        <v>20.73</v>
      </c>
      <c r="C5791" s="538" t="n">
        <v>21.78</v>
      </c>
      <c r="D5791" s="538" t="n">
        <v>20.3</v>
      </c>
      <c r="E5791" s="538" t="n">
        <v>22.6</v>
      </c>
    </row>
    <row r="5792">
      <c r="A5792" s="544" t="n">
        <v>37316</v>
      </c>
      <c r="B5792" s="538" t="n">
        <v>21.83</v>
      </c>
      <c r="C5792" s="538" t="n">
        <v>22.37</v>
      </c>
      <c r="D5792" s="538" t="n">
        <v>21.54</v>
      </c>
      <c r="E5792" s="538" t="n">
        <v>22.6</v>
      </c>
    </row>
    <row r="5793">
      <c r="A5793" s="544" t="n">
        <v>37319</v>
      </c>
      <c r="B5793" s="538" t="n">
        <v>21.59</v>
      </c>
      <c r="C5793" s="538" t="n">
        <v>22.55</v>
      </c>
      <c r="D5793" s="538" t="n">
        <v>21.03</v>
      </c>
      <c r="E5793" s="538" t="n">
        <v>22.9</v>
      </c>
    </row>
    <row r="5794">
      <c r="A5794" s="544" t="n">
        <v>37320</v>
      </c>
      <c r="B5794" s="538" t="n">
        <v>22.25</v>
      </c>
      <c r="C5794" s="538" t="n">
        <v>23.18</v>
      </c>
      <c r="D5794" s="538" t="n">
        <v>21.06</v>
      </c>
      <c r="E5794" s="538" t="n">
        <v>23.5</v>
      </c>
    </row>
    <row r="5795">
      <c r="A5795" s="544" t="n">
        <v>37321</v>
      </c>
      <c r="B5795" s="538" t="n">
        <v>22.11</v>
      </c>
      <c r="C5795" s="538" t="n">
        <v>23.32</v>
      </c>
      <c r="D5795" s="538" t="n">
        <v>21.06</v>
      </c>
      <c r="E5795" s="538" t="n">
        <v>24.3</v>
      </c>
    </row>
    <row r="5796">
      <c r="A5796" s="544" t="n">
        <v>37322</v>
      </c>
      <c r="B5796" s="538" t="n">
        <v>23.1</v>
      </c>
      <c r="C5796" s="538" t="n">
        <v>23.62</v>
      </c>
      <c r="D5796" s="538" t="n">
        <v>22.35</v>
      </c>
      <c r="E5796" s="538" t="n">
        <v>24.7</v>
      </c>
    </row>
    <row r="5797">
      <c r="A5797" s="544" t="n">
        <v>37323</v>
      </c>
      <c r="B5797" s="538" t="n">
        <v>22.32</v>
      </c>
      <c r="C5797" s="538" t="n">
        <v>23.87</v>
      </c>
      <c r="D5797" s="538" t="n">
        <v>22.49</v>
      </c>
      <c r="E5797" s="538" t="n">
        <v>24.7</v>
      </c>
    </row>
    <row r="5798">
      <c r="A5798" s="544" t="n">
        <v>37326</v>
      </c>
      <c r="B5798" s="538" t="n">
        <v>23.14</v>
      </c>
      <c r="C5798" s="538" t="n">
        <v>24.36</v>
      </c>
      <c r="D5798" s="538" t="n">
        <v>23.01</v>
      </c>
      <c r="E5798" s="538" t="n">
        <v>26</v>
      </c>
    </row>
    <row r="5799">
      <c r="A5799" s="544" t="n">
        <v>37327</v>
      </c>
      <c r="B5799" s="538" t="n">
        <v>22.7</v>
      </c>
      <c r="C5799" s="538" t="n">
        <v>24.55</v>
      </c>
      <c r="D5799" s="538" t="n">
        <v>23.19</v>
      </c>
      <c r="E5799" s="538" t="n">
        <v>25.2</v>
      </c>
    </row>
    <row r="5800">
      <c r="A5800" s="544" t="n">
        <v>37328</v>
      </c>
      <c r="B5800" s="538" t="n">
        <v>23.6</v>
      </c>
      <c r="C5800" s="538" t="n">
        <v>24.14</v>
      </c>
      <c r="D5800" s="538" t="n">
        <v>22.81</v>
      </c>
      <c r="E5800" s="538" t="n">
        <v>25.65</v>
      </c>
    </row>
    <row r="5801">
      <c r="A5801" s="544" t="n">
        <v>37329</v>
      </c>
      <c r="B5801" s="538" t="n">
        <v>23.76</v>
      </c>
      <c r="C5801" s="538" t="n">
        <v>24.48</v>
      </c>
      <c r="D5801" s="538" t="n">
        <v>23.45</v>
      </c>
      <c r="E5801" s="538" t="n">
        <v>25.35</v>
      </c>
    </row>
    <row r="5802">
      <c r="A5802" s="544" t="n">
        <v>37330</v>
      </c>
      <c r="B5802" s="538" t="n">
        <v>23.9</v>
      </c>
      <c r="C5802" s="538" t="n">
        <v>24.47</v>
      </c>
      <c r="D5802" s="538" t="n">
        <v>23.3</v>
      </c>
      <c r="E5802" s="538" t="n">
        <v>25.9</v>
      </c>
    </row>
    <row r="5803">
      <c r="A5803" s="544" t="n">
        <v>37333</v>
      </c>
      <c r="B5803" s="538" t="n">
        <v>23.8</v>
      </c>
      <c r="C5803" s="538" t="n">
        <v>25.03</v>
      </c>
      <c r="D5803" s="538" t="n">
        <v>23.3</v>
      </c>
      <c r="E5803" s="538" t="n">
        <v>25.65</v>
      </c>
    </row>
    <row r="5804">
      <c r="A5804" s="544" t="n">
        <v>37334</v>
      </c>
      <c r="B5804" s="538" t="n">
        <v>24.51</v>
      </c>
      <c r="C5804" s="538" t="n">
        <v>25.02</v>
      </c>
      <c r="D5804" s="538" t="n">
        <v>23.69</v>
      </c>
      <c r="E5804" s="538" t="n">
        <v>26.45</v>
      </c>
    </row>
    <row r="5805">
      <c r="A5805" s="544" t="n">
        <v>37335</v>
      </c>
      <c r="B5805" s="538" t="n">
        <v>24.78</v>
      </c>
      <c r="C5805" s="538" t="n">
        <v>24.92</v>
      </c>
      <c r="D5805" s="538" t="n">
        <v>23.08</v>
      </c>
      <c r="E5805" s="538" t="n">
        <v>26.25</v>
      </c>
    </row>
    <row r="5806">
      <c r="A5806" s="544" t="n">
        <v>37336</v>
      </c>
      <c r="B5806" s="538" t="n">
        <v>24.25</v>
      </c>
      <c r="C5806" s="538" t="n">
        <v>25.74</v>
      </c>
      <c r="D5806" s="538" t="n">
        <v>24.13</v>
      </c>
      <c r="E5806" s="538" t="n">
        <v>25.6</v>
      </c>
    </row>
    <row r="5807">
      <c r="A5807" s="544" t="n">
        <v>37337</v>
      </c>
      <c r="B5807" s="538" t="n">
        <v>24.83</v>
      </c>
      <c r="C5807" s="538" t="n">
        <v>25.56</v>
      </c>
      <c r="D5807" s="538" t="n">
        <v>23.67</v>
      </c>
      <c r="E5807" s="538" t="n">
        <v>26.1</v>
      </c>
    </row>
    <row r="5808">
      <c r="A5808" s="544" t="n">
        <v>37340</v>
      </c>
      <c r="B5808" s="538" t="n">
        <v>24.75</v>
      </c>
      <c r="C5808" s="538" t="n">
        <v>25.69</v>
      </c>
      <c r="D5808" s="538" t="n">
        <v>23.81</v>
      </c>
      <c r="E5808" s="538" t="n">
        <v>25.65</v>
      </c>
    </row>
    <row r="5809">
      <c r="A5809" s="544" t="n">
        <v>37341</v>
      </c>
      <c r="B5809" s="538" t="n">
        <v>24.6</v>
      </c>
      <c r="C5809" s="538" t="n">
        <v>25.75</v>
      </c>
      <c r="D5809" s="538" t="n">
        <v>24.27</v>
      </c>
      <c r="E5809" s="538" t="n">
        <v>25.35</v>
      </c>
    </row>
    <row r="5810">
      <c r="A5810" s="544" t="n">
        <v>37342</v>
      </c>
      <c r="B5810" s="538" t="n">
        <v>25.13</v>
      </c>
      <c r="C5810" s="538" t="n">
        <v>25.79</v>
      </c>
      <c r="D5810" s="538" t="n">
        <v>23.95</v>
      </c>
      <c r="E5810" s="538" t="n">
        <v>26.5</v>
      </c>
    </row>
    <row r="5811">
      <c r="A5811" s="544" t="n">
        <v>37343</v>
      </c>
      <c r="B5811" s="538" t="n">
        <v>25.34</v>
      </c>
      <c r="C5811" s="538" t="n">
        <v>26.21</v>
      </c>
      <c r="D5811" s="538" t="n">
        <v>24.96</v>
      </c>
      <c r="E5811" s="538" t="n">
        <v>26.3</v>
      </c>
    </row>
    <row r="5812">
      <c r="A5812" s="544" t="n">
        <v>37344</v>
      </c>
      <c r="B5812" s="538" t="n">
        <v>25.34</v>
      </c>
      <c r="C5812" s="538" t="n">
        <v>26.21</v>
      </c>
      <c r="D5812" s="538" t="n">
        <v>24.96</v>
      </c>
      <c r="E5812" s="538" t="n">
        <v>26.3</v>
      </c>
    </row>
    <row r="5813">
      <c r="A5813" s="544" t="n">
        <v>37347</v>
      </c>
      <c r="B5813" s="538" t="n">
        <v>26.06</v>
      </c>
      <c r="C5813" s="538" t="n">
        <v>26.82</v>
      </c>
      <c r="D5813" s="538" t="n">
        <v>24.96</v>
      </c>
      <c r="E5813" s="538" t="n">
        <v>27.55</v>
      </c>
    </row>
    <row r="5814">
      <c r="A5814" s="544" t="n">
        <v>37348</v>
      </c>
      <c r="B5814" s="538" t="n">
        <v>26.97</v>
      </c>
      <c r="C5814" s="538" t="n">
        <v>27.75</v>
      </c>
      <c r="D5814" s="538" t="n">
        <v>24.96</v>
      </c>
      <c r="E5814" s="538" t="n">
        <v>27.55</v>
      </c>
    </row>
    <row r="5815">
      <c r="A5815" s="544" t="n">
        <v>37349</v>
      </c>
      <c r="B5815" s="538" t="n">
        <v>26.72</v>
      </c>
      <c r="C5815" s="538" t="n">
        <v>27.55</v>
      </c>
      <c r="D5815" s="538" t="n">
        <v>25.73</v>
      </c>
      <c r="E5815" s="538" t="n">
        <v>27.9</v>
      </c>
    </row>
    <row r="5816">
      <c r="A5816" s="544" t="n">
        <v>37350</v>
      </c>
      <c r="B5816" s="538" t="n">
        <v>26.97</v>
      </c>
      <c r="C5816" s="538" t="n">
        <v>26.64</v>
      </c>
      <c r="D5816" s="538" t="n">
        <v>25.67</v>
      </c>
      <c r="E5816" s="538" t="n">
        <v>28.4</v>
      </c>
    </row>
    <row r="5817">
      <c r="A5817" s="544" t="n">
        <v>37351</v>
      </c>
      <c r="B5817" s="538" t="n">
        <v>25.39</v>
      </c>
      <c r="C5817" s="538" t="n">
        <v>26.21</v>
      </c>
      <c r="D5817" s="538" t="n">
        <v>23.77</v>
      </c>
      <c r="E5817" s="538" t="n">
        <v>28.1</v>
      </c>
    </row>
    <row r="5818">
      <c r="A5818" s="544" t="n">
        <v>37354</v>
      </c>
      <c r="B5818" s="538" t="n">
        <v>26.36</v>
      </c>
      <c r="C5818" s="538" t="n">
        <v>26.16</v>
      </c>
      <c r="D5818" s="538" t="n">
        <v>24.63</v>
      </c>
      <c r="E5818" s="538" t="n">
        <v>27.4</v>
      </c>
    </row>
    <row r="5819">
      <c r="A5819" s="544" t="n">
        <v>37355</v>
      </c>
      <c r="B5819" s="538" t="n">
        <v>25.48</v>
      </c>
      <c r="C5819" s="538" t="n">
        <v>25.45</v>
      </c>
      <c r="D5819" s="538" t="n">
        <v>23.68</v>
      </c>
      <c r="E5819" s="538" t="n">
        <v>27.15</v>
      </c>
    </row>
    <row r="5820">
      <c r="A5820" s="544" t="n">
        <v>37356</v>
      </c>
      <c r="B5820" s="538" t="n">
        <v>25.13</v>
      </c>
      <c r="C5820" s="538" t="n">
        <v>26.15</v>
      </c>
      <c r="D5820" s="538" t="n">
        <v>24.11</v>
      </c>
      <c r="E5820" s="538" t="n">
        <v>27.3</v>
      </c>
    </row>
    <row r="5821">
      <c r="A5821" s="544" t="n">
        <v>37357</v>
      </c>
      <c r="B5821" s="538" t="n">
        <v>24.22</v>
      </c>
      <c r="C5821" s="538" t="n">
        <v>24.93</v>
      </c>
      <c r="D5821" s="538" t="n">
        <v>23.19</v>
      </c>
      <c r="E5821" s="538" t="n">
        <v>26.9</v>
      </c>
    </row>
    <row r="5822">
      <c r="A5822" s="544" t="n">
        <v>37358</v>
      </c>
      <c r="B5822" s="538" t="n">
        <v>23.25</v>
      </c>
      <c r="C5822" s="538" t="n">
        <v>23.51</v>
      </c>
      <c r="D5822" s="538" t="n">
        <v>21.81</v>
      </c>
      <c r="E5822" s="538" t="n">
        <v>25.55</v>
      </c>
    </row>
    <row r="5823">
      <c r="A5823" s="544" t="n">
        <v>37361</v>
      </c>
      <c r="B5823" s="538" t="n">
        <v>23.39</v>
      </c>
      <c r="C5823" s="538" t="n">
        <v>24.53</v>
      </c>
      <c r="D5823" s="538" t="n">
        <v>22.67</v>
      </c>
      <c r="E5823" s="538" t="n">
        <v>25.35</v>
      </c>
    </row>
    <row r="5824">
      <c r="A5824" s="544" t="n">
        <v>37362</v>
      </c>
      <c r="B5824" s="538" t="n">
        <v>24.03</v>
      </c>
      <c r="C5824" s="538" t="n">
        <v>24.92</v>
      </c>
      <c r="D5824" s="538" t="n">
        <v>23.59</v>
      </c>
      <c r="E5824" s="538" t="n">
        <v>26.1</v>
      </c>
    </row>
    <row r="5825">
      <c r="A5825" s="544" t="n">
        <v>37363</v>
      </c>
      <c r="B5825" s="538" t="n">
        <v>25.26</v>
      </c>
      <c r="C5825" s="538" t="n">
        <v>25.94</v>
      </c>
      <c r="D5825" s="538" t="n">
        <v>23.98</v>
      </c>
      <c r="E5825" s="538" t="n">
        <v>27.2</v>
      </c>
    </row>
    <row r="5826">
      <c r="A5826" s="544" t="n">
        <v>37364</v>
      </c>
      <c r="B5826" s="538" t="n">
        <v>25.9</v>
      </c>
      <c r="C5826" s="538" t="n">
        <v>25.86</v>
      </c>
      <c r="D5826" s="538" t="n">
        <v>24.05</v>
      </c>
      <c r="E5826" s="538" t="n">
        <v>27.75</v>
      </c>
    </row>
    <row r="5827">
      <c r="A5827" s="544" t="n">
        <v>37365</v>
      </c>
      <c r="B5827" s="538" t="n">
        <v>25.86</v>
      </c>
      <c r="C5827" s="538" t="n">
        <v>26.43</v>
      </c>
      <c r="D5827" s="538" t="n">
        <v>24.64</v>
      </c>
      <c r="E5827" s="538" t="n">
        <v>27.15</v>
      </c>
    </row>
    <row r="5828">
      <c r="A5828" s="544" t="n">
        <v>37368</v>
      </c>
      <c r="B5828" s="538" t="n">
        <v>25.96</v>
      </c>
      <c r="C5828" s="538" t="n">
        <v>26.28</v>
      </c>
      <c r="D5828" s="538" t="n">
        <v>24.31</v>
      </c>
      <c r="E5828" s="538" t="n">
        <v>28.05</v>
      </c>
    </row>
    <row r="5829">
      <c r="A5829" s="544" t="n">
        <v>37369</v>
      </c>
      <c r="B5829" s="538" t="n">
        <v>26.26</v>
      </c>
      <c r="C5829" s="538" t="n">
        <v>26.28</v>
      </c>
      <c r="D5829" s="538" t="n">
        <v>23.99</v>
      </c>
      <c r="E5829" s="538" t="n">
        <v>27.9</v>
      </c>
    </row>
    <row r="5830">
      <c r="A5830" s="544" t="n">
        <v>37370</v>
      </c>
      <c r="B5830" s="538" t="n">
        <v>26.2</v>
      </c>
      <c r="C5830" s="538" t="n">
        <v>26.28</v>
      </c>
      <c r="D5830" s="538" t="n">
        <v>24.2</v>
      </c>
      <c r="E5830" s="538" t="n">
        <v>27.5</v>
      </c>
    </row>
    <row r="5831">
      <c r="A5831" s="544" t="n">
        <v>37371</v>
      </c>
      <c r="B5831" s="538" t="n">
        <v>26.47</v>
      </c>
      <c r="C5831" s="538" t="n">
        <v>26.36</v>
      </c>
      <c r="D5831" s="538" t="n">
        <v>24.58</v>
      </c>
      <c r="E5831" s="538" t="n">
        <v>27.5</v>
      </c>
    </row>
    <row r="5832">
      <c r="A5832" s="544" t="n">
        <v>37372</v>
      </c>
      <c r="B5832" s="538" t="n">
        <v>26.32</v>
      </c>
      <c r="C5832" s="538" t="n">
        <v>27.12</v>
      </c>
      <c r="D5832" s="538" t="n">
        <v>25.06</v>
      </c>
      <c r="E5832" s="538" t="n">
        <v>27.85</v>
      </c>
    </row>
    <row r="5833">
      <c r="A5833" s="544" t="n">
        <v>37375</v>
      </c>
      <c r="B5833" s="538" t="n">
        <v>26.85</v>
      </c>
      <c r="C5833" s="538" t="n">
        <v>27.45</v>
      </c>
      <c r="D5833" s="538" t="n">
        <v>25.42</v>
      </c>
      <c r="E5833" s="538" t="n">
        <v>27.85</v>
      </c>
    </row>
    <row r="5834">
      <c r="A5834" s="544" t="n">
        <v>37376</v>
      </c>
      <c r="B5834" s="538" t="n">
        <v>26.98</v>
      </c>
      <c r="C5834" s="538" t="n">
        <v>27.32</v>
      </c>
      <c r="D5834" s="538" t="n">
        <v>24.98</v>
      </c>
      <c r="E5834" s="538" t="n">
        <v>28.25</v>
      </c>
    </row>
    <row r="5835">
      <c r="A5835" s="544" t="n">
        <v>37377</v>
      </c>
      <c r="B5835" s="538" t="n">
        <v>26.67</v>
      </c>
      <c r="C5835" s="538" t="n">
        <v>26.58</v>
      </c>
      <c r="D5835" s="538" t="n">
        <v>24.24</v>
      </c>
      <c r="E5835" s="538" t="n">
        <v>28.25</v>
      </c>
    </row>
    <row r="5836">
      <c r="A5836" s="544" t="n">
        <v>37378</v>
      </c>
      <c r="B5836" s="538" t="n">
        <v>25.73</v>
      </c>
      <c r="C5836" s="538" t="n">
        <v>26.31</v>
      </c>
      <c r="D5836" s="538" t="n">
        <v>24.23</v>
      </c>
      <c r="E5836" s="538" t="n">
        <v>27.55</v>
      </c>
    </row>
    <row r="5837">
      <c r="A5837" s="544" t="n">
        <v>37379</v>
      </c>
      <c r="B5837" s="538" t="n">
        <v>25.8</v>
      </c>
      <c r="C5837" s="538" t="n">
        <v>26.75</v>
      </c>
      <c r="D5837" s="538" t="n">
        <v>24.42</v>
      </c>
      <c r="E5837" s="538" t="n">
        <v>27.95</v>
      </c>
    </row>
    <row r="5838">
      <c r="A5838" s="544" t="n">
        <v>37382</v>
      </c>
      <c r="B5838" s="538" t="n">
        <v>25.8</v>
      </c>
      <c r="C5838" s="538" t="n">
        <v>26.11</v>
      </c>
      <c r="D5838" s="538" t="n">
        <v>24.48</v>
      </c>
      <c r="E5838" s="538" t="n">
        <v>27.5</v>
      </c>
    </row>
    <row r="5839">
      <c r="A5839" s="544" t="n">
        <v>37383</v>
      </c>
      <c r="B5839" s="538" t="n">
        <v>25.53</v>
      </c>
      <c r="C5839" s="538" t="n">
        <v>26.79</v>
      </c>
      <c r="D5839" s="538" t="n">
        <v>24.55</v>
      </c>
      <c r="E5839" s="538" t="n">
        <v>27.5</v>
      </c>
    </row>
    <row r="5840">
      <c r="A5840" s="544" t="n">
        <v>37384</v>
      </c>
      <c r="B5840" s="538" t="n">
        <v>26.09</v>
      </c>
      <c r="C5840" s="538" t="n">
        <v>27.76</v>
      </c>
      <c r="D5840" s="538" t="n">
        <v>24.92</v>
      </c>
      <c r="E5840" s="538" t="n">
        <v>27.9</v>
      </c>
    </row>
    <row r="5841">
      <c r="A5841" s="544" t="n">
        <v>37385</v>
      </c>
      <c r="B5841" s="538" t="n">
        <v>26.09</v>
      </c>
      <c r="C5841" s="538" t="n">
        <v>27.78</v>
      </c>
      <c r="D5841" s="538" t="n">
        <v>25.14</v>
      </c>
      <c r="E5841" s="538" t="n">
        <v>28.3</v>
      </c>
    </row>
    <row r="5842">
      <c r="A5842" s="544" t="n">
        <v>37386</v>
      </c>
      <c r="B5842" s="538" t="n">
        <v>26.89</v>
      </c>
      <c r="C5842" s="538" t="n">
        <v>27.92</v>
      </c>
      <c r="D5842" s="538" t="n">
        <v>25.49</v>
      </c>
      <c r="E5842" s="538" t="n">
        <v>28.4</v>
      </c>
    </row>
    <row r="5843">
      <c r="A5843" s="544" t="n">
        <v>37389</v>
      </c>
      <c r="B5843" s="538" t="n">
        <v>26.3</v>
      </c>
      <c r="C5843" s="538" t="n">
        <v>28.62</v>
      </c>
      <c r="D5843" s="538" t="n">
        <v>25.84</v>
      </c>
      <c r="E5843" s="538" t="n">
        <v>28.3</v>
      </c>
    </row>
    <row r="5844">
      <c r="A5844" s="544" t="n">
        <v>37390</v>
      </c>
      <c r="B5844" s="538" t="n">
        <v>27.12</v>
      </c>
      <c r="C5844" s="538" t="n">
        <v>29.17</v>
      </c>
      <c r="D5844" s="538" t="n">
        <v>26.03</v>
      </c>
      <c r="E5844" s="538" t="n">
        <v>29.03</v>
      </c>
    </row>
    <row r="5845">
      <c r="A5845" s="544" t="n">
        <v>37391</v>
      </c>
      <c r="B5845" s="538" t="n">
        <v>27.17</v>
      </c>
      <c r="C5845" s="538" t="n">
        <v>28.17</v>
      </c>
      <c r="D5845" s="538" t="n">
        <v>25.32</v>
      </c>
      <c r="E5845" s="538" t="n">
        <v>29.03</v>
      </c>
    </row>
    <row r="5846">
      <c r="A5846" s="544" t="n">
        <v>37392</v>
      </c>
      <c r="B5846" s="538" t="n">
        <v>25.71</v>
      </c>
      <c r="C5846" s="538" t="n">
        <v>28</v>
      </c>
      <c r="D5846" s="538" t="n">
        <v>25.37</v>
      </c>
      <c r="E5846" s="538" t="n">
        <v>28.65</v>
      </c>
    </row>
    <row r="5847">
      <c r="A5847" s="544" t="n">
        <v>37393</v>
      </c>
      <c r="B5847" s="538" t="n">
        <v>25.45</v>
      </c>
      <c r="C5847" s="538" t="n">
        <v>28.19</v>
      </c>
      <c r="D5847" s="538" t="n">
        <v>25.34</v>
      </c>
      <c r="E5847" s="538" t="n">
        <v>28.65</v>
      </c>
    </row>
    <row r="5848">
      <c r="A5848" s="544" t="n">
        <v>37396</v>
      </c>
      <c r="B5848" s="538" t="n">
        <v>25.97</v>
      </c>
      <c r="C5848" s="538" t="n">
        <v>28.24</v>
      </c>
      <c r="D5848" s="538" t="n">
        <v>25.27</v>
      </c>
      <c r="E5848" s="538" t="n">
        <v>28.25</v>
      </c>
    </row>
    <row r="5849">
      <c r="A5849" s="544" t="n">
        <v>37397</v>
      </c>
      <c r="B5849" s="538" t="n">
        <v>24.99</v>
      </c>
      <c r="C5849" s="538" t="n">
        <v>27.35</v>
      </c>
      <c r="D5849" s="538" t="n">
        <v>24.62</v>
      </c>
      <c r="E5849" s="538" t="n">
        <v>27.95</v>
      </c>
    </row>
    <row r="5850">
      <c r="A5850" s="544" t="n">
        <v>37398</v>
      </c>
      <c r="B5850" s="538" t="n">
        <v>24.32</v>
      </c>
      <c r="C5850" s="538" t="n">
        <v>27.01</v>
      </c>
      <c r="D5850" s="538" t="n">
        <v>24.83</v>
      </c>
      <c r="E5850" s="538" t="n">
        <v>27.55</v>
      </c>
    </row>
    <row r="5851">
      <c r="A5851" s="544" t="n">
        <v>37399</v>
      </c>
      <c r="B5851" s="538" t="n">
        <v>24.01</v>
      </c>
      <c r="C5851" s="538" t="n">
        <v>26.6</v>
      </c>
      <c r="D5851" s="538" t="n">
        <v>24.51</v>
      </c>
      <c r="E5851" s="538" t="n">
        <v>27.75</v>
      </c>
    </row>
    <row r="5852">
      <c r="A5852" s="544" t="n">
        <v>37400</v>
      </c>
      <c r="B5852" s="538" t="n">
        <v>23.76</v>
      </c>
      <c r="C5852" s="538" t="n">
        <v>26.69</v>
      </c>
      <c r="D5852" s="538" t="n">
        <v>24.28</v>
      </c>
      <c r="E5852" s="538" t="n">
        <v>27.75</v>
      </c>
    </row>
    <row r="5853">
      <c r="A5853" s="544" t="n">
        <v>37403</v>
      </c>
      <c r="B5853" s="538" t="n">
        <v>23.52</v>
      </c>
      <c r="C5853" s="538" t="n">
        <v>26.69</v>
      </c>
      <c r="D5853" s="538" t="n">
        <v>24.28</v>
      </c>
      <c r="E5853" s="538" t="n">
        <v>27.75</v>
      </c>
    </row>
    <row r="5854">
      <c r="A5854" s="544" t="n">
        <v>37404</v>
      </c>
      <c r="B5854" s="538" t="n">
        <v>24.71</v>
      </c>
      <c r="C5854" s="538" t="n">
        <v>25.08</v>
      </c>
      <c r="D5854" s="538" t="n">
        <v>23.67</v>
      </c>
      <c r="E5854" s="538" t="n">
        <v>27.05</v>
      </c>
    </row>
    <row r="5855">
      <c r="A5855" s="544" t="n">
        <v>37405</v>
      </c>
      <c r="B5855" s="538" t="n">
        <v>24.18</v>
      </c>
      <c r="C5855" s="538" t="n">
        <v>25.64</v>
      </c>
      <c r="D5855" s="538" t="n">
        <v>23.87</v>
      </c>
      <c r="E5855" s="538" t="n">
        <v>26.7</v>
      </c>
    </row>
    <row r="5856">
      <c r="A5856" s="544" t="n">
        <v>37406</v>
      </c>
      <c r="B5856" s="538" t="n">
        <v>23.72</v>
      </c>
      <c r="C5856" s="538" t="n">
        <v>24.78</v>
      </c>
      <c r="D5856" s="538" t="n">
        <v>23.4</v>
      </c>
      <c r="E5856" s="538" t="n">
        <v>26.8</v>
      </c>
    </row>
    <row r="5857">
      <c r="A5857" s="544" t="n">
        <v>37407</v>
      </c>
      <c r="B5857" s="538" t="n">
        <v>23.87</v>
      </c>
      <c r="C5857" s="538" t="n">
        <v>25.37</v>
      </c>
      <c r="D5857" s="538" t="n">
        <v>23.59</v>
      </c>
      <c r="E5857" s="538" t="n">
        <v>26.8</v>
      </c>
    </row>
    <row r="5858">
      <c r="A5858" s="544" t="n">
        <v>37410</v>
      </c>
      <c r="B5858" s="538" t="n">
        <v>23.87</v>
      </c>
      <c r="C5858" s="538" t="n">
        <v>25.1</v>
      </c>
      <c r="D5858" s="538" t="n">
        <v>23.6</v>
      </c>
      <c r="E5858" s="538" t="n">
        <v>27.3</v>
      </c>
    </row>
    <row r="5859">
      <c r="A5859" s="544" t="n">
        <v>37411</v>
      </c>
      <c r="B5859" s="538" t="n">
        <v>23.87</v>
      </c>
      <c r="C5859" s="538" t="n">
        <v>25.32</v>
      </c>
      <c r="D5859" s="538" t="n">
        <v>23.12</v>
      </c>
      <c r="E5859" s="538" t="n">
        <v>27.7</v>
      </c>
    </row>
    <row r="5860">
      <c r="A5860" s="544" t="n">
        <v>37412</v>
      </c>
      <c r="B5860" s="538" t="n">
        <v>23.19</v>
      </c>
      <c r="C5860" s="538" t="n">
        <v>25.02</v>
      </c>
      <c r="D5860" s="538" t="n">
        <v>23.56</v>
      </c>
      <c r="E5860" s="538" t="n">
        <v>27.7</v>
      </c>
    </row>
    <row r="5861">
      <c r="A5861" s="544" t="n">
        <v>37413</v>
      </c>
      <c r="B5861" s="538" t="n">
        <v>22.79</v>
      </c>
      <c r="C5861" s="538" t="n">
        <v>24.89</v>
      </c>
      <c r="D5861" s="538" t="n">
        <v>23.75</v>
      </c>
      <c r="E5861" s="538" t="n">
        <v>27.6</v>
      </c>
    </row>
    <row r="5862">
      <c r="A5862" s="544" t="n">
        <v>37414</v>
      </c>
      <c r="B5862" s="538" t="n">
        <v>22.99</v>
      </c>
      <c r="C5862" s="538" t="n">
        <v>24.72</v>
      </c>
      <c r="D5862" s="538" t="n">
        <v>23.54</v>
      </c>
      <c r="E5862" s="538" t="n">
        <v>26.9</v>
      </c>
    </row>
    <row r="5863">
      <c r="A5863" s="544" t="n">
        <v>37417</v>
      </c>
      <c r="B5863" s="538" t="n">
        <v>22.83</v>
      </c>
      <c r="C5863" s="538" t="n">
        <v>24.24</v>
      </c>
      <c r="D5863" s="538" t="n">
        <v>23.21</v>
      </c>
      <c r="E5863" s="538" t="n">
        <v>26.6</v>
      </c>
    </row>
    <row r="5864">
      <c r="A5864" s="544" t="n">
        <v>37418</v>
      </c>
      <c r="B5864" s="538" t="n">
        <v>22.37</v>
      </c>
      <c r="C5864" s="538" t="n">
        <v>24.21</v>
      </c>
      <c r="D5864" s="538" t="n">
        <v>23.1</v>
      </c>
      <c r="E5864" s="538" t="n">
        <v>26.2</v>
      </c>
    </row>
    <row r="5865">
      <c r="A5865" s="544" t="n">
        <v>37419</v>
      </c>
      <c r="B5865" s="538" t="n">
        <v>23.09</v>
      </c>
      <c r="C5865" s="538" t="n">
        <v>24.79</v>
      </c>
      <c r="D5865" s="538" t="n">
        <v>23.41</v>
      </c>
      <c r="E5865" s="538" t="n">
        <v>26.15</v>
      </c>
    </row>
    <row r="5866">
      <c r="A5866" s="544" t="n">
        <v>37420</v>
      </c>
      <c r="B5866" s="538" t="n">
        <v>23.72</v>
      </c>
      <c r="C5866" s="538" t="n">
        <v>25.54</v>
      </c>
      <c r="D5866" s="538" t="n">
        <v>23.91</v>
      </c>
      <c r="E5866" s="538" t="n">
        <v>26.75</v>
      </c>
    </row>
    <row r="5867">
      <c r="A5867" s="544" t="n">
        <v>37421</v>
      </c>
      <c r="B5867" s="538" t="n">
        <v>23.97</v>
      </c>
      <c r="C5867" s="538" t="n">
        <v>25.9</v>
      </c>
      <c r="D5867" s="538" t="n">
        <v>24.19</v>
      </c>
      <c r="E5867" s="538" t="n">
        <v>26.7</v>
      </c>
    </row>
    <row r="5868">
      <c r="A5868" s="544" t="n">
        <v>37424</v>
      </c>
      <c r="B5868" s="538" t="n">
        <v>24.69</v>
      </c>
      <c r="C5868" s="538" t="n">
        <v>25.98</v>
      </c>
      <c r="D5868" s="538" t="n">
        <v>24.3</v>
      </c>
      <c r="E5868" s="538" t="n">
        <v>27.1</v>
      </c>
    </row>
    <row r="5869">
      <c r="A5869" s="544" t="n">
        <v>37425</v>
      </c>
      <c r="B5869" s="538" t="n">
        <v>24.64</v>
      </c>
      <c r="C5869" s="538" t="n">
        <v>25.36</v>
      </c>
      <c r="D5869" s="538" t="n">
        <v>23.82</v>
      </c>
      <c r="E5869" s="538" t="n">
        <v>26.8</v>
      </c>
    </row>
    <row r="5870">
      <c r="A5870" s="544" t="n">
        <v>37426</v>
      </c>
      <c r="B5870" s="538" t="n">
        <v>24.85</v>
      </c>
      <c r="C5870" s="538" t="n">
        <v>25.57</v>
      </c>
      <c r="D5870" s="538" t="n">
        <v>23.73</v>
      </c>
      <c r="E5870" s="538" t="n">
        <v>26.8</v>
      </c>
    </row>
    <row r="5871">
      <c r="A5871" s="544" t="n">
        <v>37427</v>
      </c>
      <c r="B5871" s="538" t="n">
        <v>24.42</v>
      </c>
      <c r="C5871" s="538" t="n">
        <v>25.62</v>
      </c>
      <c r="D5871" s="538" t="n">
        <v>24.14</v>
      </c>
      <c r="E5871" s="538" t="n">
        <v>26.5</v>
      </c>
    </row>
    <row r="5872">
      <c r="A5872" s="544" t="n">
        <v>37428</v>
      </c>
      <c r="B5872" s="538" t="n">
        <v>24.14</v>
      </c>
      <c r="C5872" s="538" t="n">
        <v>25.51</v>
      </c>
      <c r="D5872" s="538" t="n">
        <v>23.79</v>
      </c>
      <c r="E5872" s="538" t="n">
        <v>26.75</v>
      </c>
    </row>
    <row r="5873">
      <c r="A5873" s="544" t="n">
        <v>37431</v>
      </c>
      <c r="B5873" s="538" t="n">
        <v>24.99</v>
      </c>
      <c r="C5873" s="538" t="n">
        <v>26.31</v>
      </c>
      <c r="D5873" s="538" t="n">
        <v>24.61</v>
      </c>
      <c r="E5873" s="538" t="n">
        <v>26.4</v>
      </c>
    </row>
    <row r="5874">
      <c r="A5874" s="544" t="n">
        <v>37432</v>
      </c>
      <c r="B5874" s="538" t="n">
        <v>25.32</v>
      </c>
      <c r="C5874" s="538" t="n">
        <v>26.06</v>
      </c>
      <c r="D5874" s="538" t="n">
        <v>24.28</v>
      </c>
      <c r="E5874" s="538" t="n">
        <v>26.8</v>
      </c>
    </row>
    <row r="5875">
      <c r="A5875" s="544" t="n">
        <v>37433</v>
      </c>
      <c r="B5875" s="538" t="n">
        <v>24.75</v>
      </c>
      <c r="C5875" s="538" t="n">
        <v>26.67</v>
      </c>
      <c r="D5875" s="538" t="n">
        <v>24.37</v>
      </c>
      <c r="E5875" s="538" t="n">
        <v>26.35</v>
      </c>
    </row>
    <row r="5876">
      <c r="A5876" s="544" t="n">
        <v>37434</v>
      </c>
      <c r="B5876" s="538" t="n">
        <v>25.39</v>
      </c>
      <c r="C5876" s="538" t="n">
        <v>26.77</v>
      </c>
      <c r="D5876" s="538" t="n">
        <v>24.53</v>
      </c>
      <c r="E5876" s="538" t="n">
        <v>26.1</v>
      </c>
    </row>
    <row r="5877">
      <c r="A5877" s="544" t="n">
        <v>37435</v>
      </c>
      <c r="B5877" s="538" t="n">
        <v>25.33</v>
      </c>
      <c r="C5877" s="538" t="n">
        <v>26.79</v>
      </c>
      <c r="D5877" s="538" t="n">
        <v>24.64</v>
      </c>
      <c r="E5877" s="538" t="n">
        <v>26.6</v>
      </c>
    </row>
    <row r="5878">
      <c r="A5878" s="544" t="n">
        <v>37438</v>
      </c>
      <c r="B5878" s="538" t="n">
        <v>25.65</v>
      </c>
      <c r="C5878" s="538" t="n">
        <v>26.79</v>
      </c>
      <c r="D5878" s="538" t="n">
        <v>24.44</v>
      </c>
      <c r="E5878" s="538" t="n">
        <v>26.6</v>
      </c>
    </row>
    <row r="5879">
      <c r="A5879" s="544" t="n">
        <v>37439</v>
      </c>
      <c r="B5879" s="538" t="n">
        <v>25.64</v>
      </c>
      <c r="C5879" s="538" t="n">
        <v>26.83</v>
      </c>
      <c r="D5879" s="538" t="n">
        <v>24.45</v>
      </c>
      <c r="E5879" s="538" t="n">
        <v>26.5</v>
      </c>
    </row>
    <row r="5880">
      <c r="A5880" s="544" t="n">
        <v>37440</v>
      </c>
      <c r="B5880" s="538" t="n">
        <v>25.59</v>
      </c>
      <c r="C5880" s="538" t="n">
        <v>26.82</v>
      </c>
      <c r="D5880" s="538" t="n">
        <v>24.5</v>
      </c>
      <c r="E5880" s="538" t="n">
        <v>26.7</v>
      </c>
    </row>
    <row r="5881">
      <c r="A5881" s="544" t="n">
        <v>37441</v>
      </c>
      <c r="B5881" s="538" t="n">
        <v>25.51</v>
      </c>
      <c r="C5881" s="538" t="n">
        <v>26.82</v>
      </c>
      <c r="D5881" s="538" t="n">
        <v>24.5</v>
      </c>
      <c r="E5881" s="538" t="n">
        <v>27.1</v>
      </c>
    </row>
    <row r="5882">
      <c r="A5882" s="544" t="n">
        <v>37442</v>
      </c>
      <c r="B5882" s="538" t="n">
        <v>25.75</v>
      </c>
      <c r="C5882" s="538" t="n">
        <v>26.82</v>
      </c>
      <c r="D5882" s="538" t="n">
        <v>24.3</v>
      </c>
      <c r="E5882" s="538" t="n">
        <v>26.85</v>
      </c>
    </row>
    <row r="5883">
      <c r="A5883" s="544" t="n">
        <v>37445</v>
      </c>
      <c r="B5883" s="538" t="n">
        <v>25.08</v>
      </c>
      <c r="C5883" s="538" t="n">
        <v>26.14</v>
      </c>
      <c r="D5883" s="538" t="n">
        <v>23.67</v>
      </c>
      <c r="E5883" s="538" t="n">
        <v>26.65</v>
      </c>
    </row>
    <row r="5884">
      <c r="A5884" s="544" t="n">
        <v>37446</v>
      </c>
      <c r="B5884" s="538" t="n">
        <v>24.9</v>
      </c>
      <c r="C5884" s="538" t="n">
        <v>26.16</v>
      </c>
      <c r="D5884" s="538" t="n">
        <v>24.07</v>
      </c>
      <c r="E5884" s="538" t="n">
        <v>26.35</v>
      </c>
    </row>
    <row r="5885">
      <c r="A5885" s="544" t="n">
        <v>37447</v>
      </c>
      <c r="B5885" s="538" t="n">
        <v>25.82</v>
      </c>
      <c r="C5885" s="538" t="n">
        <v>26.73</v>
      </c>
      <c r="D5885" s="538" t="n">
        <v>24.47</v>
      </c>
      <c r="E5885" s="538" t="n">
        <v>27.05</v>
      </c>
    </row>
    <row r="5886">
      <c r="A5886" s="544" t="n">
        <v>37448</v>
      </c>
      <c r="B5886" s="538" t="n">
        <v>25.83</v>
      </c>
      <c r="C5886" s="538" t="n">
        <v>27.01</v>
      </c>
      <c r="D5886" s="538" t="n">
        <v>24.76</v>
      </c>
      <c r="E5886" s="538" t="n">
        <v>27.55</v>
      </c>
    </row>
    <row r="5887">
      <c r="A5887" s="544" t="n">
        <v>37449</v>
      </c>
      <c r="B5887" s="538" t="n">
        <v>26.11</v>
      </c>
      <c r="C5887" s="538" t="n">
        <v>27.48</v>
      </c>
      <c r="D5887" s="538" t="n">
        <v>25.07</v>
      </c>
      <c r="E5887" s="538" t="n">
        <v>27.85</v>
      </c>
    </row>
    <row r="5888">
      <c r="A5888" s="544" t="n">
        <v>37452</v>
      </c>
      <c r="B5888" s="538" t="n">
        <v>26.16</v>
      </c>
      <c r="C5888" s="538" t="n">
        <v>27.23</v>
      </c>
      <c r="D5888" s="538" t="n">
        <v>24.86</v>
      </c>
      <c r="E5888" s="538" t="n">
        <v>28.25</v>
      </c>
    </row>
    <row r="5889">
      <c r="A5889" s="544" t="n">
        <v>37453</v>
      </c>
      <c r="B5889" s="538" t="n">
        <v>25.94</v>
      </c>
      <c r="C5889" s="538" t="n">
        <v>27.68</v>
      </c>
      <c r="D5889" s="538" t="n">
        <v>25.18</v>
      </c>
      <c r="E5889" s="538" t="n">
        <v>28.1</v>
      </c>
    </row>
    <row r="5890">
      <c r="A5890" s="544" t="n">
        <v>37454</v>
      </c>
      <c r="B5890" s="538" t="n">
        <v>26.19</v>
      </c>
      <c r="C5890" s="538" t="n">
        <v>27.88</v>
      </c>
      <c r="D5890" s="538" t="n">
        <v>25.38</v>
      </c>
      <c r="E5890" s="538" t="n">
        <v>28.1</v>
      </c>
    </row>
    <row r="5891">
      <c r="A5891" s="544" t="n">
        <v>37455</v>
      </c>
      <c r="B5891" s="538" t="n">
        <v>26.72</v>
      </c>
      <c r="C5891" s="538" t="n">
        <v>27.5</v>
      </c>
      <c r="D5891" s="538" t="n">
        <v>25.18</v>
      </c>
      <c r="E5891" s="538" t="n">
        <v>28.1</v>
      </c>
    </row>
    <row r="5892">
      <c r="A5892" s="544" t="n">
        <v>37456</v>
      </c>
      <c r="B5892" s="538" t="n">
        <v>26.37</v>
      </c>
      <c r="C5892" s="538" t="n">
        <v>27.83</v>
      </c>
      <c r="D5892" s="538" t="n">
        <v>25.45</v>
      </c>
      <c r="E5892" s="538" t="n">
        <v>28.2</v>
      </c>
    </row>
    <row r="5893">
      <c r="A5893" s="544" t="n">
        <v>37459</v>
      </c>
      <c r="B5893" s="538" t="n">
        <v>25.7</v>
      </c>
      <c r="C5893" s="538" t="n">
        <v>26.61</v>
      </c>
      <c r="D5893" s="538" t="n">
        <v>24.4</v>
      </c>
      <c r="E5893" s="538" t="n">
        <v>27.95</v>
      </c>
    </row>
    <row r="5894">
      <c r="A5894" s="544" t="n">
        <v>37460</v>
      </c>
      <c r="B5894" s="538" t="n">
        <v>25.65</v>
      </c>
      <c r="C5894" s="538" t="n">
        <v>26.61</v>
      </c>
      <c r="D5894" s="538" t="n">
        <v>24.39</v>
      </c>
      <c r="E5894" s="538" t="n">
        <v>27.75</v>
      </c>
    </row>
    <row r="5895">
      <c r="A5895" s="544" t="n">
        <v>37461</v>
      </c>
      <c r="B5895" s="538" t="n">
        <v>25.43</v>
      </c>
      <c r="C5895" s="538" t="n">
        <v>26.78</v>
      </c>
      <c r="D5895" s="538" t="n">
        <v>24.34</v>
      </c>
      <c r="E5895" s="538" t="n">
        <v>27.95</v>
      </c>
    </row>
    <row r="5896">
      <c r="A5896" s="544" t="n">
        <v>37462</v>
      </c>
      <c r="B5896" s="538" t="n">
        <v>25.36</v>
      </c>
      <c r="C5896" s="538" t="n">
        <v>26.67</v>
      </c>
      <c r="D5896" s="538" t="n">
        <v>24.09</v>
      </c>
      <c r="E5896" s="538" t="n">
        <v>28.15</v>
      </c>
    </row>
    <row r="5897">
      <c r="A5897" s="544" t="n">
        <v>37463</v>
      </c>
      <c r="B5897" s="538" t="n">
        <v>25.1</v>
      </c>
      <c r="C5897" s="538" t="n">
        <v>26.55</v>
      </c>
      <c r="D5897" s="538" t="n">
        <v>24.21</v>
      </c>
      <c r="E5897" s="538" t="n">
        <v>27.75</v>
      </c>
    </row>
    <row r="5898">
      <c r="A5898" s="544" t="n">
        <v>37466</v>
      </c>
      <c r="B5898" s="538" t="n">
        <v>25.2</v>
      </c>
      <c r="C5898" s="538" t="n">
        <v>26.54</v>
      </c>
      <c r="D5898" s="538" t="n">
        <v>24.17</v>
      </c>
      <c r="E5898" s="538" t="n">
        <v>27.7</v>
      </c>
    </row>
    <row r="5899">
      <c r="A5899" s="544" t="n">
        <v>37467</v>
      </c>
      <c r="B5899" s="538" t="n">
        <v>25.95</v>
      </c>
      <c r="C5899" s="538" t="n">
        <v>27.43</v>
      </c>
      <c r="D5899" s="538" t="n">
        <v>25</v>
      </c>
      <c r="E5899" s="538" t="n">
        <v>28.15</v>
      </c>
    </row>
    <row r="5900">
      <c r="A5900" s="544" t="n">
        <v>37468</v>
      </c>
      <c r="B5900" s="538" t="n">
        <v>26.28</v>
      </c>
      <c r="C5900" s="538" t="n">
        <v>27.02</v>
      </c>
      <c r="D5900" s="538" t="n">
        <v>24.7</v>
      </c>
      <c r="E5900" s="538" t="n">
        <v>28.9</v>
      </c>
    </row>
    <row r="5901">
      <c r="A5901" s="544" t="n">
        <v>37469</v>
      </c>
      <c r="B5901" s="538" t="n">
        <v>25.79</v>
      </c>
      <c r="C5901" s="538" t="n">
        <v>26.51</v>
      </c>
      <c r="D5901" s="538" t="n">
        <v>24.03</v>
      </c>
      <c r="E5901" s="538" t="n">
        <v>28.45</v>
      </c>
    </row>
    <row r="5902">
      <c r="A5902" s="544" t="n">
        <v>37470</v>
      </c>
      <c r="B5902" s="538" t="n">
        <v>25.17</v>
      </c>
      <c r="C5902" s="538" t="n">
        <v>26.87</v>
      </c>
      <c r="D5902" s="538" t="n">
        <v>24.33</v>
      </c>
      <c r="E5902" s="538" t="n">
        <v>27.7</v>
      </c>
    </row>
    <row r="5903">
      <c r="A5903" s="544" t="n">
        <v>37473</v>
      </c>
      <c r="B5903" s="538" t="n">
        <v>25.2</v>
      </c>
      <c r="C5903" s="538" t="n">
        <v>26.55</v>
      </c>
      <c r="D5903" s="538" t="n">
        <v>23.84</v>
      </c>
      <c r="E5903" s="538" t="n">
        <v>27.7</v>
      </c>
    </row>
    <row r="5904">
      <c r="A5904" s="544" t="n">
        <v>37474</v>
      </c>
      <c r="B5904" s="538" t="n">
        <v>25.69</v>
      </c>
      <c r="C5904" s="538" t="n">
        <v>27.18</v>
      </c>
      <c r="D5904" s="538" t="n">
        <v>24.56</v>
      </c>
      <c r="E5904" s="538" t="n">
        <v>27.9</v>
      </c>
    </row>
    <row r="5905">
      <c r="A5905" s="544" t="n">
        <v>37475</v>
      </c>
      <c r="B5905" s="538" t="n">
        <v>25.7</v>
      </c>
      <c r="C5905" s="538" t="n">
        <v>26.58</v>
      </c>
      <c r="D5905" s="538" t="n">
        <v>24.08</v>
      </c>
      <c r="E5905" s="538" t="n">
        <v>27.65</v>
      </c>
    </row>
    <row r="5906">
      <c r="A5906" s="544" t="n">
        <v>37476</v>
      </c>
      <c r="B5906" s="538" t="n">
        <v>25.51</v>
      </c>
      <c r="C5906" s="538" t="n">
        <v>26.67</v>
      </c>
      <c r="D5906" s="538" t="n">
        <v>24.24</v>
      </c>
      <c r="E5906" s="538" t="n">
        <v>27.1</v>
      </c>
    </row>
    <row r="5907">
      <c r="A5907" s="544" t="n">
        <v>37477</v>
      </c>
      <c r="B5907" s="538" t="n">
        <v>25.49</v>
      </c>
      <c r="C5907" s="538" t="n">
        <v>26.87</v>
      </c>
      <c r="D5907" s="538" t="n">
        <v>24.43</v>
      </c>
      <c r="E5907" s="538" t="n">
        <v>27.1</v>
      </c>
    </row>
    <row r="5908">
      <c r="A5908" s="544" t="n">
        <v>37480</v>
      </c>
      <c r="B5908" s="538" t="n">
        <v>25.63</v>
      </c>
      <c r="C5908" s="538" t="n">
        <v>27.84</v>
      </c>
      <c r="D5908" s="538" t="n">
        <v>25.92</v>
      </c>
      <c r="E5908" s="538" t="n">
        <v>27.63</v>
      </c>
    </row>
    <row r="5909">
      <c r="A5909" s="544" t="n">
        <v>37481</v>
      </c>
      <c r="B5909" s="538" t="n">
        <v>26.11</v>
      </c>
      <c r="C5909" s="538" t="n">
        <v>28.35</v>
      </c>
      <c r="D5909" s="538" t="n">
        <v>25.03</v>
      </c>
      <c r="E5909" s="538" t="n">
        <v>27.85</v>
      </c>
    </row>
    <row r="5910">
      <c r="A5910" s="544" t="n">
        <v>37482</v>
      </c>
      <c r="B5910" s="538" t="n">
        <v>26.47</v>
      </c>
      <c r="C5910" s="538" t="n">
        <v>28.19</v>
      </c>
      <c r="D5910" s="538" t="n">
        <v>25.12</v>
      </c>
      <c r="E5910" s="538" t="n">
        <v>28.4</v>
      </c>
    </row>
    <row r="5911">
      <c r="A5911" s="544" t="n">
        <v>37483</v>
      </c>
      <c r="B5911" s="538" t="n">
        <v>26.66</v>
      </c>
      <c r="C5911" s="538" t="n">
        <v>28.99</v>
      </c>
      <c r="D5911" s="538" t="n">
        <v>25.91</v>
      </c>
      <c r="E5911" s="538" t="n">
        <v>28.4</v>
      </c>
    </row>
    <row r="5912">
      <c r="A5912" s="544" t="n">
        <v>37484</v>
      </c>
      <c r="B5912" s="538" t="n">
        <v>27.33</v>
      </c>
      <c r="C5912" s="538" t="n">
        <v>29.24</v>
      </c>
      <c r="D5912" s="538" t="n">
        <v>26.1</v>
      </c>
      <c r="E5912" s="538" t="n">
        <v>29.45</v>
      </c>
    </row>
    <row r="5913">
      <c r="A5913" s="544" t="n">
        <v>37487</v>
      </c>
      <c r="B5913" s="538" t="n">
        <v>27.44</v>
      </c>
      <c r="C5913" s="538" t="n">
        <v>29.86</v>
      </c>
      <c r="D5913" s="538" t="n">
        <v>26.29</v>
      </c>
      <c r="E5913" s="538" t="n">
        <v>29.6</v>
      </c>
    </row>
    <row r="5914">
      <c r="A5914" s="544" t="n">
        <v>37488</v>
      </c>
      <c r="B5914" s="538" t="n">
        <v>27.63</v>
      </c>
      <c r="C5914" s="538" t="n">
        <v>30.12</v>
      </c>
      <c r="D5914" s="538" t="n">
        <v>25.02</v>
      </c>
      <c r="E5914" s="538" t="n">
        <v>30.1</v>
      </c>
    </row>
    <row r="5915">
      <c r="A5915" s="544" t="n">
        <v>37489</v>
      </c>
      <c r="B5915" s="538" t="n">
        <v>27.53</v>
      </c>
      <c r="C5915" s="538" t="n">
        <v>30.37</v>
      </c>
      <c r="D5915" s="538" t="n">
        <v>25.14</v>
      </c>
      <c r="E5915" s="538" t="n">
        <v>29.85</v>
      </c>
    </row>
    <row r="5916">
      <c r="A5916" s="544" t="n">
        <v>37490</v>
      </c>
      <c r="B5916" s="538" t="n">
        <v>27.81</v>
      </c>
      <c r="C5916" s="538" t="n">
        <v>30.11</v>
      </c>
      <c r="D5916" s="538" t="n">
        <v>25.6</v>
      </c>
      <c r="E5916" s="538" t="n">
        <v>30.7</v>
      </c>
    </row>
    <row r="5917">
      <c r="A5917" s="544" t="n">
        <v>37491</v>
      </c>
      <c r="B5917" s="538" t="n">
        <v>27.51</v>
      </c>
      <c r="C5917" s="538" t="n">
        <v>29.99</v>
      </c>
      <c r="D5917" s="538" t="n">
        <v>25.76</v>
      </c>
      <c r="E5917" s="538" t="n">
        <v>30</v>
      </c>
    </row>
    <row r="5918">
      <c r="A5918" s="544" t="n">
        <v>37494</v>
      </c>
      <c r="B5918" s="538" t="n">
        <v>27.56</v>
      </c>
      <c r="C5918" s="538" t="n">
        <v>29.23</v>
      </c>
      <c r="D5918" s="538" t="n">
        <v>25.78</v>
      </c>
      <c r="E5918" s="538" t="n">
        <v>29.85</v>
      </c>
    </row>
    <row r="5919">
      <c r="A5919" s="544" t="n">
        <v>37495</v>
      </c>
      <c r="B5919" s="538" t="n">
        <v>27.89</v>
      </c>
      <c r="C5919" s="538" t="n">
        <v>28.84</v>
      </c>
      <c r="D5919" s="538" t="n">
        <v>25.98</v>
      </c>
      <c r="E5919" s="538" t="n">
        <v>30.75</v>
      </c>
    </row>
    <row r="5920">
      <c r="A5920" s="544" t="n">
        <v>37496</v>
      </c>
      <c r="B5920" s="538" t="n">
        <v>27.54</v>
      </c>
      <c r="C5920" s="538" t="n">
        <v>28.31</v>
      </c>
      <c r="D5920" s="538" t="n">
        <v>25.75</v>
      </c>
      <c r="E5920" s="538" t="n">
        <v>30.8</v>
      </c>
    </row>
    <row r="5921">
      <c r="A5921" s="544" t="n">
        <v>37497</v>
      </c>
      <c r="B5921" s="538" t="n">
        <v>27.11</v>
      </c>
      <c r="C5921" s="538" t="n">
        <v>28.83</v>
      </c>
      <c r="D5921" s="538" t="n">
        <v>26.2</v>
      </c>
      <c r="E5921" s="538" t="n">
        <v>30.8</v>
      </c>
    </row>
    <row r="5922">
      <c r="A5922" s="544" t="n">
        <v>37498</v>
      </c>
      <c r="B5922" s="538" t="n">
        <v>27.56</v>
      </c>
      <c r="C5922" s="538" t="n">
        <v>28.97</v>
      </c>
      <c r="D5922" s="538" t="n">
        <v>26.26</v>
      </c>
      <c r="E5922" s="538" t="n">
        <v>31.1</v>
      </c>
    </row>
    <row r="5923">
      <c r="A5923" s="544" t="n">
        <v>37501</v>
      </c>
      <c r="B5923" s="538" t="n">
        <v>27.45</v>
      </c>
      <c r="C5923" s="538" t="n">
        <v>28.97</v>
      </c>
      <c r="D5923" s="538" t="n">
        <v>26.26</v>
      </c>
      <c r="E5923" s="538" t="n">
        <v>31.1</v>
      </c>
    </row>
    <row r="5924">
      <c r="A5924" s="544" t="n">
        <v>37502</v>
      </c>
      <c r="B5924" s="538" t="n">
        <v>26.58</v>
      </c>
      <c r="C5924" s="538" t="n">
        <v>27.76</v>
      </c>
      <c r="D5924" s="538" t="n">
        <v>25.45</v>
      </c>
      <c r="E5924" s="538" t="n">
        <v>31</v>
      </c>
    </row>
    <row r="5925">
      <c r="A5925" s="544" t="n">
        <v>37503</v>
      </c>
      <c r="B5925" s="538" t="n">
        <v>27.31</v>
      </c>
      <c r="C5925" s="538" t="n">
        <v>28.28</v>
      </c>
      <c r="D5925" s="538" t="n">
        <v>26.27</v>
      </c>
      <c r="E5925" s="538" t="n">
        <v>30.45</v>
      </c>
    </row>
    <row r="5926">
      <c r="A5926" s="544" t="n">
        <v>37504</v>
      </c>
      <c r="B5926" s="538" t="n">
        <v>27.54</v>
      </c>
      <c r="C5926" s="538" t="n">
        <v>29.06</v>
      </c>
      <c r="D5926" s="538" t="n">
        <v>26.85</v>
      </c>
      <c r="E5926" s="538" t="n">
        <v>31</v>
      </c>
    </row>
    <row r="5927">
      <c r="A5927" s="544" t="n">
        <v>37505</v>
      </c>
      <c r="B5927" s="538" t="n">
        <v>28.36</v>
      </c>
      <c r="C5927" s="538" t="n">
        <v>29.51</v>
      </c>
      <c r="D5927" s="538" t="n">
        <v>27.19</v>
      </c>
      <c r="E5927" s="538" t="n">
        <v>32.75</v>
      </c>
    </row>
    <row r="5928">
      <c r="A5928" s="544" t="n">
        <v>37508</v>
      </c>
      <c r="B5928" s="538" t="n">
        <v>28.67</v>
      </c>
      <c r="C5928" s="538" t="n">
        <v>29.8</v>
      </c>
      <c r="D5928" s="538" t="n">
        <v>27.5</v>
      </c>
      <c r="E5928" s="538" t="n">
        <v>33.2</v>
      </c>
    </row>
    <row r="5929">
      <c r="A5929" s="544" t="n">
        <v>37509</v>
      </c>
      <c r="B5929" s="538" t="n">
        <v>28.92</v>
      </c>
      <c r="C5929" s="538" t="n">
        <v>29.62</v>
      </c>
      <c r="D5929" s="538" t="n">
        <v>27.23</v>
      </c>
      <c r="E5929" s="538" t="n">
        <v>33.75</v>
      </c>
    </row>
    <row r="5930">
      <c r="A5930" s="544" t="n">
        <v>37510</v>
      </c>
      <c r="B5930" s="538" t="n">
        <v>28.68</v>
      </c>
      <c r="C5930" s="538" t="n">
        <v>29.77</v>
      </c>
      <c r="D5930" s="538" t="n">
        <v>27.25</v>
      </c>
      <c r="E5930" s="538" t="n">
        <v>33.55</v>
      </c>
    </row>
    <row r="5931">
      <c r="A5931" s="544" t="n">
        <v>37511</v>
      </c>
      <c r="B5931" s="538" t="n">
        <v>27.76</v>
      </c>
      <c r="C5931" s="538" t="n">
        <v>28.95</v>
      </c>
      <c r="D5931" s="538" t="n">
        <v>26.64</v>
      </c>
      <c r="E5931" s="538" t="n">
        <v>33</v>
      </c>
    </row>
    <row r="5932">
      <c r="A5932" s="544" t="n">
        <v>37512</v>
      </c>
      <c r="B5932" s="538" t="n">
        <v>28.53</v>
      </c>
      <c r="C5932" s="538" t="n">
        <v>29.83</v>
      </c>
      <c r="D5932" s="538" t="n">
        <v>27.28</v>
      </c>
      <c r="E5932" s="538" t="n">
        <v>32.4</v>
      </c>
    </row>
    <row r="5933">
      <c r="A5933" s="544" t="n">
        <v>37515</v>
      </c>
      <c r="B5933" s="538" t="n">
        <v>28.38</v>
      </c>
      <c r="C5933" s="538" t="n">
        <v>29.14</v>
      </c>
      <c r="D5933" s="538" t="n">
        <v>25.96</v>
      </c>
      <c r="E5933" s="538" t="n">
        <v>33.8</v>
      </c>
    </row>
    <row r="5934">
      <c r="A5934" s="544" t="n">
        <v>37516</v>
      </c>
      <c r="B5934" s="538" t="n">
        <v>27.76</v>
      </c>
      <c r="C5934" s="538" t="n">
        <v>29.08</v>
      </c>
      <c r="D5934" s="538" t="n">
        <v>26.86</v>
      </c>
      <c r="E5934" s="538" t="n">
        <v>32.7</v>
      </c>
    </row>
    <row r="5935">
      <c r="A5935" s="544" t="n">
        <v>37517</v>
      </c>
      <c r="B5935" s="538" t="n">
        <v>28.41</v>
      </c>
      <c r="C5935" s="538" t="n">
        <v>29.57</v>
      </c>
      <c r="D5935" s="538" t="n">
        <v>27.17</v>
      </c>
      <c r="E5935" s="538" t="n">
        <v>33.2</v>
      </c>
    </row>
    <row r="5936">
      <c r="A5936" s="544" t="n">
        <v>37518</v>
      </c>
      <c r="B5936" s="538" t="n">
        <v>28.45</v>
      </c>
      <c r="C5936" s="538" t="n">
        <v>29.49</v>
      </c>
      <c r="D5936" s="538" t="n">
        <v>27.03</v>
      </c>
      <c r="E5936" s="538" t="n">
        <v>33.7</v>
      </c>
    </row>
    <row r="5937">
      <c r="A5937" s="544" t="n">
        <v>37519</v>
      </c>
      <c r="B5937" s="538" t="n">
        <v>28.61</v>
      </c>
      <c r="C5937" s="538" t="n">
        <v>29.65</v>
      </c>
      <c r="D5937" s="538" t="n">
        <v>27</v>
      </c>
      <c r="E5937" s="538" t="n">
        <v>33.45</v>
      </c>
    </row>
    <row r="5938">
      <c r="A5938" s="544" t="n">
        <v>37522</v>
      </c>
      <c r="B5938" s="538" t="n">
        <v>29.36</v>
      </c>
      <c r="C5938" s="538" t="n">
        <v>30.85</v>
      </c>
      <c r="D5938" s="538" t="n">
        <v>27.82</v>
      </c>
      <c r="E5938" s="538" t="n">
        <v>33.6</v>
      </c>
    </row>
    <row r="5939">
      <c r="A5939" s="544" t="n">
        <v>37523</v>
      </c>
      <c r="B5939" s="538" t="n">
        <v>29.47</v>
      </c>
      <c r="C5939" s="538" t="n">
        <v>30.79</v>
      </c>
      <c r="D5939" s="538" t="n">
        <v>27.59</v>
      </c>
      <c r="E5939" s="538" t="n">
        <v>34.4</v>
      </c>
    </row>
    <row r="5940">
      <c r="A5940" s="544" t="n">
        <v>37524</v>
      </c>
      <c r="B5940" s="538" t="n">
        <v>29.11</v>
      </c>
      <c r="C5940" s="538" t="n">
        <v>30.69</v>
      </c>
      <c r="D5940" s="538" t="n">
        <v>27.61</v>
      </c>
      <c r="E5940" s="538" t="n">
        <v>33.5</v>
      </c>
    </row>
    <row r="5941">
      <c r="A5941" s="544" t="n">
        <v>37525</v>
      </c>
      <c r="B5941" s="538" t="n">
        <v>28.93</v>
      </c>
      <c r="C5941" s="538" t="n">
        <v>30.31</v>
      </c>
      <c r="D5941" s="538" t="n">
        <v>27.03</v>
      </c>
      <c r="E5941" s="538" t="n">
        <v>33.6</v>
      </c>
    </row>
    <row r="5942">
      <c r="A5942" s="544" t="n">
        <v>37526</v>
      </c>
      <c r="B5942" s="538" t="n">
        <v>29</v>
      </c>
      <c r="C5942" s="538" t="n">
        <v>30.53</v>
      </c>
      <c r="D5942" s="538" t="n">
        <v>27.04</v>
      </c>
      <c r="E5942" s="538" t="n">
        <v>33.25</v>
      </c>
    </row>
    <row r="5943">
      <c r="A5943" s="544" t="n">
        <v>37529</v>
      </c>
      <c r="B5943" s="538" t="n">
        <v>29.11</v>
      </c>
      <c r="C5943" s="538" t="n">
        <v>30.59</v>
      </c>
      <c r="D5943" s="538" t="n">
        <v>27.08</v>
      </c>
      <c r="E5943" s="538" t="n">
        <v>33.5</v>
      </c>
    </row>
    <row r="5944">
      <c r="A5944" s="544" t="n">
        <v>37530</v>
      </c>
      <c r="B5944" s="538" t="n">
        <v>29.42</v>
      </c>
      <c r="C5944" s="538" t="n">
        <v>30.71</v>
      </c>
      <c r="D5944" s="538" t="n">
        <v>27.48</v>
      </c>
      <c r="E5944" s="538" t="n">
        <v>33.2</v>
      </c>
    </row>
    <row r="5945">
      <c r="A5945" s="544" t="n">
        <v>37531</v>
      </c>
      <c r="B5945" s="538" t="n">
        <v>29.14</v>
      </c>
      <c r="C5945" s="538" t="n">
        <v>30.59</v>
      </c>
      <c r="D5945" s="538" t="n">
        <v>27.31</v>
      </c>
      <c r="E5945" s="538" t="n">
        <v>33.7</v>
      </c>
    </row>
    <row r="5946">
      <c r="A5946" s="544" t="n">
        <v>37532</v>
      </c>
      <c r="B5946" s="538" t="n">
        <v>28.46</v>
      </c>
      <c r="C5946" s="538" t="n">
        <v>29.73</v>
      </c>
      <c r="D5946" s="538" t="n">
        <v>26.6</v>
      </c>
      <c r="E5946" s="538" t="n">
        <v>34</v>
      </c>
    </row>
    <row r="5947">
      <c r="A5947" s="544" t="n">
        <v>37533</v>
      </c>
      <c r="B5947" s="538" t="n">
        <v>28.32</v>
      </c>
      <c r="C5947" s="538" t="n">
        <v>29.65</v>
      </c>
      <c r="D5947" s="538" t="n">
        <v>26.52</v>
      </c>
      <c r="E5947" s="538" t="n">
        <v>33.9</v>
      </c>
    </row>
    <row r="5948">
      <c r="A5948" s="544" t="n">
        <v>37536</v>
      </c>
      <c r="B5948" s="538" t="n">
        <v>28.38</v>
      </c>
      <c r="C5948" s="538" t="n">
        <v>29.65</v>
      </c>
      <c r="D5948" s="538" t="n">
        <v>26.38</v>
      </c>
      <c r="E5948" s="538" t="n">
        <v>33.9</v>
      </c>
    </row>
    <row r="5949">
      <c r="A5949" s="544" t="n">
        <v>37537</v>
      </c>
      <c r="B5949" s="538" t="n">
        <v>28.28</v>
      </c>
      <c r="C5949" s="538" t="n">
        <v>29.56</v>
      </c>
      <c r="D5949" s="538" t="n">
        <v>26.31</v>
      </c>
      <c r="E5949" s="538" t="n">
        <v>33.5</v>
      </c>
    </row>
    <row r="5950">
      <c r="A5950" s="544" t="n">
        <v>37538</v>
      </c>
      <c r="B5950" s="538" t="n">
        <v>28.29</v>
      </c>
      <c r="C5950" s="538" t="n">
        <v>29.31</v>
      </c>
      <c r="D5950" s="538" t="n">
        <v>26.22</v>
      </c>
      <c r="E5950" s="538" t="n">
        <v>33.1</v>
      </c>
    </row>
    <row r="5951">
      <c r="A5951" s="544" t="n">
        <v>37539</v>
      </c>
      <c r="B5951" s="538" t="n">
        <v>27.7</v>
      </c>
      <c r="C5951" s="538" t="n">
        <v>28.96</v>
      </c>
      <c r="D5951" s="538" t="n">
        <v>25.82</v>
      </c>
      <c r="E5951" s="538" t="n">
        <v>33.15</v>
      </c>
    </row>
    <row r="5952">
      <c r="A5952" s="544" t="n">
        <v>37540</v>
      </c>
      <c r="B5952" s="538" t="n">
        <v>28.18</v>
      </c>
      <c r="C5952" s="538" t="n">
        <v>29.36</v>
      </c>
      <c r="D5952" s="538" t="n">
        <v>26.18</v>
      </c>
      <c r="E5952" s="538" t="n">
        <v>33.15</v>
      </c>
    </row>
    <row r="5953">
      <c r="A5953" s="544" t="n">
        <v>37543</v>
      </c>
      <c r="B5953" s="538" t="n">
        <v>28.56</v>
      </c>
      <c r="C5953" s="538" t="n">
        <v>30.06</v>
      </c>
      <c r="D5953" s="538" t="n">
        <v>26.66</v>
      </c>
      <c r="E5953" s="538" t="n">
        <v>32.9</v>
      </c>
    </row>
    <row r="5954">
      <c r="A5954" s="544" t="n">
        <v>37544</v>
      </c>
      <c r="B5954" s="538" t="n">
        <v>28.66</v>
      </c>
      <c r="C5954" s="538" t="n">
        <v>29.73</v>
      </c>
      <c r="D5954" s="538" t="n">
        <v>26.96</v>
      </c>
      <c r="E5954" s="538" t="n">
        <v>33</v>
      </c>
    </row>
    <row r="5955">
      <c r="A5955" s="544" t="n">
        <v>37545</v>
      </c>
      <c r="B5955" s="538" t="n">
        <v>28.61</v>
      </c>
      <c r="C5955" s="538" t="n">
        <v>29.28</v>
      </c>
      <c r="D5955" s="538" t="n">
        <v>26.6</v>
      </c>
      <c r="E5955" s="538" t="n">
        <v>33.1</v>
      </c>
    </row>
    <row r="5956">
      <c r="A5956" s="544" t="n">
        <v>37546</v>
      </c>
      <c r="B5956" s="538" t="n">
        <v>28.22</v>
      </c>
      <c r="C5956" s="538" t="n">
        <v>29.61</v>
      </c>
      <c r="D5956" s="538" t="n">
        <v>26.85</v>
      </c>
      <c r="E5956" s="538" t="n">
        <v>32.7</v>
      </c>
    </row>
    <row r="5957">
      <c r="A5957" s="544" t="n">
        <v>37547</v>
      </c>
      <c r="B5957" s="538" t="n">
        <v>28.2</v>
      </c>
      <c r="C5957" s="538" t="n">
        <v>29.56</v>
      </c>
      <c r="D5957" s="538" t="n">
        <v>26.72</v>
      </c>
      <c r="E5957" s="538" t="n">
        <v>32.9</v>
      </c>
    </row>
    <row r="5958">
      <c r="A5958" s="544" t="n">
        <v>37550</v>
      </c>
      <c r="B5958" s="538" t="n">
        <v>27.01</v>
      </c>
      <c r="C5958" s="538" t="n">
        <v>28.31</v>
      </c>
      <c r="D5958" s="538" t="n">
        <v>25.49</v>
      </c>
      <c r="E5958" s="538" t="n">
        <v>32.75</v>
      </c>
    </row>
    <row r="5959">
      <c r="A5959" s="544" t="n">
        <v>37551</v>
      </c>
      <c r="B5959" s="538" t="n">
        <v>26.69</v>
      </c>
      <c r="C5959" s="538" t="n">
        <v>27.93</v>
      </c>
      <c r="D5959" s="538" t="n">
        <v>25.33</v>
      </c>
      <c r="E5959" s="538" t="n">
        <v>31.7</v>
      </c>
    </row>
    <row r="5960">
      <c r="A5960" s="544" t="n">
        <v>37552</v>
      </c>
      <c r="B5960" s="538" t="n">
        <v>26.68</v>
      </c>
      <c r="C5960" s="538" t="n">
        <v>28.19</v>
      </c>
      <c r="D5960" s="538" t="n">
        <v>25.76</v>
      </c>
      <c r="E5960" s="538" t="n">
        <v>31.1</v>
      </c>
    </row>
    <row r="5961">
      <c r="A5961" s="544" t="n">
        <v>37553</v>
      </c>
      <c r="B5961" s="538" t="n">
        <v>26.78</v>
      </c>
      <c r="C5961" s="538" t="n">
        <v>27.87</v>
      </c>
      <c r="D5961" s="538" t="n">
        <v>25.68</v>
      </c>
      <c r="E5961" s="538" t="n">
        <v>31.5</v>
      </c>
    </row>
    <row r="5962">
      <c r="A5962" s="544" t="n">
        <v>37554</v>
      </c>
      <c r="B5962" s="538" t="n">
        <v>25.96</v>
      </c>
      <c r="C5962" s="538" t="n">
        <v>27.09</v>
      </c>
      <c r="D5962" s="538" t="n">
        <v>24.49</v>
      </c>
      <c r="E5962" s="538" t="n">
        <v>31.2</v>
      </c>
    </row>
    <row r="5963">
      <c r="A5963" s="544" t="n">
        <v>37557</v>
      </c>
      <c r="B5963" s="538" t="n">
        <v>25.44</v>
      </c>
      <c r="C5963" s="538" t="n">
        <v>27.25</v>
      </c>
      <c r="D5963" s="538" t="n">
        <v>24.67</v>
      </c>
      <c r="E5963" s="538" t="n">
        <v>30.4</v>
      </c>
    </row>
    <row r="5964">
      <c r="A5964" s="544" t="n">
        <v>37558</v>
      </c>
      <c r="B5964" s="538" t="n">
        <v>25.71</v>
      </c>
      <c r="C5964" s="538" t="n">
        <v>26.81</v>
      </c>
      <c r="D5964" s="538" t="n">
        <v>24.41</v>
      </c>
      <c r="E5964" s="538" t="n">
        <v>30.65</v>
      </c>
    </row>
    <row r="5965">
      <c r="A5965" s="544" t="n">
        <v>37559</v>
      </c>
      <c r="B5965" s="538" t="n">
        <v>25.29</v>
      </c>
      <c r="C5965" s="538" t="n">
        <v>26.85</v>
      </c>
      <c r="D5965" s="538" t="n">
        <v>24.44</v>
      </c>
      <c r="E5965" s="538" t="n">
        <v>30.8</v>
      </c>
    </row>
    <row r="5966">
      <c r="A5966" s="544" t="n">
        <v>37560</v>
      </c>
      <c r="B5966" s="538" t="n">
        <v>25.51</v>
      </c>
      <c r="C5966" s="538" t="n">
        <v>27.18</v>
      </c>
      <c r="D5966" s="538" t="n">
        <v>24.75</v>
      </c>
      <c r="E5966" s="538" t="n">
        <v>30.65</v>
      </c>
    </row>
    <row r="5967">
      <c r="A5967" s="544" t="n">
        <v>37561</v>
      </c>
      <c r="B5967" s="538" t="n">
        <v>25.78</v>
      </c>
      <c r="C5967" s="538" t="n">
        <v>27.04</v>
      </c>
      <c r="D5967" s="538" t="n">
        <v>24.78</v>
      </c>
      <c r="E5967" s="538" t="n">
        <v>30.65</v>
      </c>
    </row>
    <row r="5968">
      <c r="A5968" s="544" t="n">
        <v>37564</v>
      </c>
      <c r="B5968" s="538" t="n">
        <v>25.21</v>
      </c>
      <c r="C5968" s="538" t="n">
        <v>26.89</v>
      </c>
      <c r="D5968" s="538" t="n">
        <v>24.78</v>
      </c>
      <c r="E5968" s="538" t="n">
        <v>31</v>
      </c>
    </row>
    <row r="5969">
      <c r="A5969" s="544" t="n">
        <v>37565</v>
      </c>
      <c r="B5969" s="538" t="n">
        <v>24.66</v>
      </c>
      <c r="C5969" s="538" t="n">
        <v>26.06</v>
      </c>
      <c r="D5969" s="538" t="n">
        <v>24.78</v>
      </c>
      <c r="E5969" s="538" t="n">
        <v>30.55</v>
      </c>
    </row>
    <row r="5970">
      <c r="A5970" s="544" t="n">
        <v>37566</v>
      </c>
      <c r="B5970" s="538" t="n">
        <v>23.73</v>
      </c>
      <c r="C5970" s="538" t="n">
        <v>25.72</v>
      </c>
      <c r="D5970" s="538" t="n">
        <v>22.53</v>
      </c>
      <c r="E5970" s="538" t="n">
        <v>29.7</v>
      </c>
    </row>
    <row r="5971">
      <c r="A5971" s="544" t="n">
        <v>37567</v>
      </c>
      <c r="B5971" s="538" t="n">
        <v>24.36</v>
      </c>
      <c r="C5971" s="538" t="n">
        <v>25.36</v>
      </c>
      <c r="D5971" s="538" t="n">
        <v>22.3</v>
      </c>
      <c r="E5971" s="538" t="n">
        <v>29.5</v>
      </c>
    </row>
    <row r="5972">
      <c r="A5972" s="544" t="n">
        <v>37568</v>
      </c>
      <c r="B5972" s="538" t="n">
        <v>23.54</v>
      </c>
      <c r="C5972" s="538" t="n">
        <v>25.83</v>
      </c>
      <c r="D5972" s="538" t="n">
        <v>22.38</v>
      </c>
      <c r="E5972" s="538" t="n">
        <v>28.5</v>
      </c>
    </row>
    <row r="5973">
      <c r="A5973" s="544" t="n">
        <v>37571</v>
      </c>
      <c r="B5973" s="538" t="n">
        <v>23.86</v>
      </c>
      <c r="C5973" s="538" t="n">
        <v>26.02</v>
      </c>
      <c r="D5973" s="538" t="n">
        <v>22.66</v>
      </c>
      <c r="E5973" s="538" t="n">
        <v>28.8</v>
      </c>
    </row>
    <row r="5974">
      <c r="A5974" s="544" t="n">
        <v>37572</v>
      </c>
      <c r="B5974" s="538" t="n">
        <v>24.01</v>
      </c>
      <c r="C5974" s="538" t="n">
        <v>26.19</v>
      </c>
      <c r="D5974" s="538" t="n">
        <v>22.9</v>
      </c>
      <c r="E5974" s="538" t="n">
        <v>28.15</v>
      </c>
    </row>
    <row r="5975">
      <c r="A5975" s="544" t="n">
        <v>37573</v>
      </c>
      <c r="B5975" s="538" t="n">
        <v>22.96</v>
      </c>
      <c r="C5975" s="538" t="n">
        <v>25.28</v>
      </c>
      <c r="D5975" s="538" t="n">
        <v>21.86</v>
      </c>
      <c r="E5975" s="538" t="n">
        <v>28.3</v>
      </c>
    </row>
    <row r="5976">
      <c r="A5976" s="544" t="n">
        <v>37574</v>
      </c>
      <c r="B5976" s="538" t="n">
        <v>22.82</v>
      </c>
      <c r="C5976" s="538" t="n">
        <v>25.4</v>
      </c>
      <c r="D5976" s="538" t="n">
        <v>21.86</v>
      </c>
      <c r="E5976" s="538" t="n">
        <v>27.33</v>
      </c>
    </row>
    <row r="5977">
      <c r="A5977" s="544" t="n">
        <v>37575</v>
      </c>
      <c r="B5977" s="538" t="n">
        <v>23.33</v>
      </c>
      <c r="C5977" s="538" t="n">
        <v>25.5</v>
      </c>
      <c r="D5977" s="538" t="n">
        <v>22.43</v>
      </c>
      <c r="E5977" s="538" t="n">
        <v>27.95</v>
      </c>
    </row>
    <row r="5978">
      <c r="A5978" s="544" t="n">
        <v>37578</v>
      </c>
      <c r="B5978" s="538" t="n">
        <v>23.41</v>
      </c>
      <c r="C5978" s="538" t="n">
        <v>26.71</v>
      </c>
      <c r="D5978" s="538" t="n">
        <v>23.27</v>
      </c>
      <c r="E5978" s="538" t="n">
        <v>28.45</v>
      </c>
    </row>
    <row r="5979">
      <c r="A5979" s="544" t="n">
        <v>37579</v>
      </c>
      <c r="B5979" s="538" t="n">
        <v>24.05</v>
      </c>
      <c r="C5979" s="538" t="n">
        <v>26.41</v>
      </c>
      <c r="D5979" s="538" t="n">
        <v>22.95</v>
      </c>
      <c r="E5979" s="538" t="n">
        <v>28.45</v>
      </c>
    </row>
    <row r="5980">
      <c r="A5980" s="544" t="n">
        <v>37580</v>
      </c>
      <c r="B5980" s="538" t="n">
        <v>24.05</v>
      </c>
      <c r="C5980" s="538" t="n">
        <v>27</v>
      </c>
      <c r="D5980" s="538" t="n">
        <v>23.53</v>
      </c>
      <c r="E5980" s="538" t="n">
        <v>29.3</v>
      </c>
    </row>
    <row r="5981">
      <c r="A5981" s="544" t="n">
        <v>37581</v>
      </c>
      <c r="B5981" s="538" t="n">
        <v>24.52</v>
      </c>
      <c r="C5981" s="538" t="n">
        <v>27.07</v>
      </c>
      <c r="D5981" s="538" t="n">
        <v>23.7</v>
      </c>
      <c r="E5981" s="538" t="n">
        <v>30</v>
      </c>
    </row>
    <row r="5982">
      <c r="A5982" s="544" t="n">
        <v>37582</v>
      </c>
      <c r="B5982" s="538" t="n">
        <v>24.79</v>
      </c>
      <c r="C5982" s="538" t="n">
        <v>27.73</v>
      </c>
      <c r="D5982" s="538" t="n">
        <v>24.71</v>
      </c>
      <c r="E5982" s="538" t="n">
        <v>30.3</v>
      </c>
    </row>
    <row r="5983">
      <c r="A5983" s="544" t="n">
        <v>37585</v>
      </c>
      <c r="B5983" s="538" t="n">
        <v>24.85</v>
      </c>
      <c r="C5983" s="538" t="n">
        <v>27.01</v>
      </c>
      <c r="D5983" s="538" t="n">
        <v>23.86</v>
      </c>
      <c r="E5983" s="538" t="n">
        <v>31.25</v>
      </c>
    </row>
    <row r="5984">
      <c r="A5984" s="544" t="n">
        <v>37586</v>
      </c>
      <c r="B5984" s="538" t="n">
        <v>24.56</v>
      </c>
      <c r="C5984" s="538" t="n">
        <v>26.6</v>
      </c>
      <c r="D5984" s="538" t="n">
        <v>24.07</v>
      </c>
      <c r="E5984" s="538" t="n">
        <v>30.6</v>
      </c>
    </row>
    <row r="5985">
      <c r="A5985" s="544" t="n">
        <v>37587</v>
      </c>
      <c r="B5985" s="538" t="n">
        <v>25.11</v>
      </c>
      <c r="C5985" s="538" t="n">
        <v>26.87</v>
      </c>
      <c r="D5985" s="538" t="n">
        <v>24.87</v>
      </c>
      <c r="E5985" s="538" t="n">
        <v>30.7</v>
      </c>
    </row>
    <row r="5986">
      <c r="A5986" s="544" t="n">
        <v>37588</v>
      </c>
      <c r="B5986" s="538" t="n">
        <v>25.7</v>
      </c>
      <c r="C5986" s="538" t="n">
        <v>26.87</v>
      </c>
      <c r="D5986" s="538" t="n">
        <v>24.87</v>
      </c>
      <c r="E5986" s="538" t="n">
        <v>30.7</v>
      </c>
    </row>
    <row r="5987">
      <c r="A5987" s="544" t="n">
        <v>37589</v>
      </c>
      <c r="B5987" s="538" t="n">
        <v>25.74</v>
      </c>
      <c r="C5987" s="538" t="n">
        <v>26.87</v>
      </c>
      <c r="D5987" s="538" t="n">
        <v>24.87</v>
      </c>
      <c r="E5987" s="538" t="n">
        <v>30.4</v>
      </c>
    </row>
    <row r="5988">
      <c r="A5988" s="544" t="n">
        <v>37592</v>
      </c>
      <c r="B5988" s="538" t="n">
        <v>25.73</v>
      </c>
      <c r="C5988" s="538" t="n">
        <v>27.27</v>
      </c>
      <c r="D5988" s="538" t="n">
        <v>24.4</v>
      </c>
      <c r="E5988" s="538" t="n">
        <v>30.3</v>
      </c>
    </row>
    <row r="5989">
      <c r="A5989" s="544" t="n">
        <v>37593</v>
      </c>
      <c r="B5989" s="538" t="n">
        <v>26.09</v>
      </c>
      <c r="C5989" s="538" t="n">
        <v>27.34</v>
      </c>
      <c r="D5989" s="538" t="n">
        <v>24.36</v>
      </c>
      <c r="E5989" s="538" t="n">
        <v>30.7</v>
      </c>
    </row>
    <row r="5990">
      <c r="A5990" s="544" t="n">
        <v>37594</v>
      </c>
      <c r="B5990" s="538" t="n">
        <v>25.99</v>
      </c>
      <c r="C5990" s="538" t="n">
        <v>26.8</v>
      </c>
      <c r="D5990" s="538" t="n">
        <v>23.91</v>
      </c>
      <c r="E5990" s="538" t="n">
        <v>30.2</v>
      </c>
    </row>
    <row r="5991">
      <c r="A5991" s="544" t="n">
        <v>37595</v>
      </c>
      <c r="B5991" s="538" t="n">
        <v>26.07</v>
      </c>
      <c r="C5991" s="538" t="n">
        <v>27.27</v>
      </c>
      <c r="D5991" s="538" t="n">
        <v>24.38</v>
      </c>
      <c r="E5991" s="538" t="n">
        <v>29.9</v>
      </c>
    </row>
    <row r="5992">
      <c r="A5992" s="544" t="n">
        <v>37596</v>
      </c>
      <c r="B5992" s="538" t="n">
        <v>25.67</v>
      </c>
      <c r="C5992" s="538" t="n">
        <v>27.03</v>
      </c>
      <c r="D5992" s="538" t="n">
        <v>23.53</v>
      </c>
      <c r="E5992" s="538" t="n">
        <v>29.9</v>
      </c>
    </row>
    <row r="5993">
      <c r="A5993" s="544" t="n">
        <v>37599</v>
      </c>
      <c r="B5993" s="538" t="n">
        <v>26.06</v>
      </c>
      <c r="C5993" s="538" t="n">
        <v>27.29</v>
      </c>
      <c r="D5993" s="538" t="n">
        <v>24.27</v>
      </c>
      <c r="E5993" s="538" t="n">
        <v>30.4</v>
      </c>
    </row>
    <row r="5994">
      <c r="A5994" s="544" t="n">
        <v>37600</v>
      </c>
      <c r="B5994" s="538" t="n">
        <v>26.35</v>
      </c>
      <c r="C5994" s="538" t="n">
        <v>27.73</v>
      </c>
      <c r="D5994" s="538" t="n">
        <v>24.56</v>
      </c>
      <c r="E5994" s="538" t="n">
        <v>30.4</v>
      </c>
    </row>
    <row r="5995">
      <c r="A5995" s="544" t="n">
        <v>37601</v>
      </c>
      <c r="B5995" s="538" t="n">
        <v>26.85</v>
      </c>
      <c r="C5995" s="538" t="n">
        <v>27.49</v>
      </c>
      <c r="D5995" s="538" t="n">
        <v>24.55</v>
      </c>
      <c r="E5995" s="538" t="n">
        <v>30.5</v>
      </c>
    </row>
    <row r="5996">
      <c r="A5996" s="544" t="n">
        <v>37602</v>
      </c>
      <c r="B5996" s="538" t="n">
        <v>27.29</v>
      </c>
      <c r="C5996" s="538" t="n">
        <v>28.2</v>
      </c>
      <c r="D5996" s="538" t="n">
        <v>25.19</v>
      </c>
      <c r="E5996" s="538" t="n">
        <v>30.5</v>
      </c>
    </row>
    <row r="5997">
      <c r="A5997" s="544" t="n">
        <v>37603</v>
      </c>
      <c r="B5997" s="538" t="n">
        <v>27.64</v>
      </c>
      <c r="C5997" s="538" t="n">
        <v>28.39</v>
      </c>
      <c r="D5997" s="538" t="n">
        <v>25.82</v>
      </c>
      <c r="E5997" s="538" t="n">
        <v>31.5</v>
      </c>
    </row>
    <row r="5998">
      <c r="A5998" s="544" t="n">
        <v>37606</v>
      </c>
      <c r="B5998" s="538" t="n">
        <v>28.73</v>
      </c>
      <c r="C5998" s="538" t="n">
        <v>30.15</v>
      </c>
      <c r="D5998" s="538" t="n">
        <v>26.74</v>
      </c>
      <c r="E5998" s="538" t="n">
        <v>32.2</v>
      </c>
    </row>
    <row r="5999">
      <c r="A5999" s="544" t="n">
        <v>37607</v>
      </c>
      <c r="B5999" s="538" t="n">
        <v>29.25</v>
      </c>
      <c r="C5999" s="538" t="n">
        <v>30.04</v>
      </c>
      <c r="D5999" s="538" t="n">
        <v>26.48</v>
      </c>
      <c r="E5999" s="538" t="n">
        <v>33.3</v>
      </c>
    </row>
    <row r="6000">
      <c r="A6000" s="544" t="n">
        <v>37608</v>
      </c>
      <c r="B6000" s="538" t="n">
        <v>29.95</v>
      </c>
      <c r="C6000" s="538" t="n">
        <v>30.41</v>
      </c>
      <c r="D6000" s="538" t="n">
        <v>27.17</v>
      </c>
      <c r="E6000" s="538" t="n">
        <v>33.3</v>
      </c>
    </row>
    <row r="6001">
      <c r="A6001" s="544" t="n">
        <v>37609</v>
      </c>
      <c r="B6001" s="538" t="n">
        <v>30.26</v>
      </c>
      <c r="C6001" s="538" t="n">
        <v>30.57</v>
      </c>
      <c r="D6001" s="538" t="n">
        <v>26.75</v>
      </c>
      <c r="E6001" s="538" t="n">
        <v>34.1</v>
      </c>
    </row>
    <row r="6002">
      <c r="A6002" s="544" t="n">
        <v>37610</v>
      </c>
      <c r="B6002" s="538" t="n">
        <v>29.59</v>
      </c>
      <c r="C6002" s="538" t="n">
        <v>30.57</v>
      </c>
      <c r="D6002" s="538" t="n">
        <v>26.7</v>
      </c>
      <c r="E6002" s="538" t="n">
        <v>33.5</v>
      </c>
    </row>
    <row r="6003">
      <c r="A6003" s="544" t="n">
        <v>37613</v>
      </c>
      <c r="B6003" s="538" t="n">
        <v>30.61</v>
      </c>
      <c r="C6003" s="538" t="n">
        <v>32.09</v>
      </c>
      <c r="D6003" s="538" t="n">
        <v>27.96</v>
      </c>
      <c r="E6003" s="538" t="n">
        <v>33.9</v>
      </c>
    </row>
    <row r="6004">
      <c r="A6004" s="544" t="n">
        <v>37614</v>
      </c>
      <c r="B6004" s="538" t="n">
        <v>30.93</v>
      </c>
      <c r="C6004" s="538" t="n">
        <v>32.13</v>
      </c>
      <c r="D6004" s="538" t="n">
        <v>27.6</v>
      </c>
      <c r="E6004" s="538" t="n">
        <v>34.2</v>
      </c>
    </row>
    <row r="6005">
      <c r="A6005" s="544" t="n">
        <v>37615</v>
      </c>
      <c r="B6005" s="538" t="n">
        <v>30.93</v>
      </c>
      <c r="C6005" s="538" t="n">
        <v>32.13</v>
      </c>
      <c r="D6005" s="538" t="n">
        <v>27.6</v>
      </c>
      <c r="E6005" s="538" t="n">
        <v>34.2</v>
      </c>
    </row>
    <row r="6006">
      <c r="A6006" s="544" t="n">
        <v>37616</v>
      </c>
      <c r="B6006" s="538" t="n">
        <v>30.93</v>
      </c>
      <c r="C6006" s="538" t="n">
        <v>32.61</v>
      </c>
      <c r="D6006" s="538" t="n">
        <v>27.64</v>
      </c>
      <c r="E6006" s="538" t="n">
        <v>34.2</v>
      </c>
    </row>
    <row r="6007">
      <c r="A6007" s="544" t="n">
        <v>37617</v>
      </c>
      <c r="B6007" s="538" t="n">
        <v>31.49</v>
      </c>
      <c r="C6007" s="538" t="n">
        <v>32.68</v>
      </c>
      <c r="D6007" s="538" t="n">
        <v>28.39</v>
      </c>
      <c r="E6007" s="538" t="n">
        <v>34</v>
      </c>
    </row>
    <row r="6008">
      <c r="A6008" s="544" t="n">
        <v>37620</v>
      </c>
      <c r="B6008" s="538" t="n">
        <v>32.02</v>
      </c>
      <c r="C6008" s="538" t="n">
        <v>31.41</v>
      </c>
      <c r="D6008" s="538" t="n">
        <v>27.62</v>
      </c>
      <c r="E6008" s="538" t="n">
        <v>34.1</v>
      </c>
    </row>
    <row r="6009">
      <c r="A6009" s="544" t="n">
        <v>37621</v>
      </c>
      <c r="B6009" s="538" t="n">
        <v>30.12</v>
      </c>
      <c r="C6009" s="538" t="n">
        <v>31.21</v>
      </c>
      <c r="D6009" s="538" t="n">
        <v>26.72</v>
      </c>
      <c r="E6009" s="538" t="n">
        <v>33</v>
      </c>
    </row>
    <row r="6010">
      <c r="A6010" s="544" t="n">
        <v>37622</v>
      </c>
      <c r="B6010" s="538" t="n">
        <v>30.12</v>
      </c>
      <c r="C6010" s="538" t="n">
        <v>31.21</v>
      </c>
      <c r="D6010" s="538" t="n">
        <v>26.72</v>
      </c>
      <c r="E6010" s="538" t="n">
        <v>33</v>
      </c>
    </row>
    <row r="6011">
      <c r="A6011" s="544" t="n">
        <v>37623</v>
      </c>
      <c r="B6011" s="538" t="n">
        <v>30.32</v>
      </c>
      <c r="C6011" s="538" t="n">
        <v>31.97</v>
      </c>
      <c r="D6011" s="538" t="n">
        <v>27.69</v>
      </c>
      <c r="E6011" s="538" t="n">
        <v>32.7</v>
      </c>
    </row>
    <row r="6012">
      <c r="A6012" s="544" t="n">
        <v>37624</v>
      </c>
      <c r="B6012" s="538" t="n">
        <v>31.43</v>
      </c>
      <c r="C6012" s="538" t="n">
        <v>33.26</v>
      </c>
      <c r="D6012" s="538" t="n">
        <v>28.79</v>
      </c>
      <c r="E6012" s="538" t="n">
        <v>33.45</v>
      </c>
    </row>
    <row r="6013">
      <c r="A6013" s="544" t="n">
        <v>37627</v>
      </c>
      <c r="B6013" s="538" t="n">
        <v>31.43</v>
      </c>
      <c r="C6013" s="538" t="n">
        <v>32.29</v>
      </c>
      <c r="D6013" s="538" t="n">
        <v>27.54</v>
      </c>
      <c r="E6013" s="538" t="n">
        <v>34.5</v>
      </c>
    </row>
    <row r="6014">
      <c r="A6014" s="544" t="n">
        <v>37628</v>
      </c>
      <c r="B6014" s="538" t="n">
        <v>30.78</v>
      </c>
      <c r="C6014" s="538" t="n">
        <v>31.2</v>
      </c>
      <c r="D6014" s="538" t="n">
        <v>26.65</v>
      </c>
      <c r="E6014" s="538" t="n">
        <v>33.55</v>
      </c>
    </row>
    <row r="6015">
      <c r="A6015" s="544" t="n">
        <v>37629</v>
      </c>
      <c r="B6015" s="538" t="n">
        <v>29.3</v>
      </c>
      <c r="C6015" s="538" t="n">
        <v>30.66</v>
      </c>
      <c r="D6015" s="538" t="n">
        <v>26.78</v>
      </c>
      <c r="E6015" s="538" t="n">
        <v>33.3</v>
      </c>
    </row>
    <row r="6016">
      <c r="A6016" s="544" t="n">
        <v>37630</v>
      </c>
      <c r="B6016" s="538" t="n">
        <v>30.26</v>
      </c>
      <c r="C6016" s="538" t="n">
        <v>31.95</v>
      </c>
      <c r="D6016" s="538" t="n">
        <v>27.45</v>
      </c>
      <c r="E6016" s="538" t="n">
        <v>32.9</v>
      </c>
    </row>
    <row r="6017">
      <c r="A6017" s="544" t="n">
        <v>37631</v>
      </c>
      <c r="B6017" s="538" t="n">
        <v>30.07</v>
      </c>
      <c r="C6017" s="538" t="n">
        <v>31.59</v>
      </c>
      <c r="D6017" s="538" t="n">
        <v>26.8</v>
      </c>
      <c r="E6017" s="538" t="n">
        <v>33.2</v>
      </c>
    </row>
    <row r="6018">
      <c r="A6018" s="544" t="n">
        <v>37634</v>
      </c>
      <c r="B6018" s="538" t="n">
        <v>30.46</v>
      </c>
      <c r="C6018" s="538" t="n">
        <v>32.08</v>
      </c>
      <c r="D6018" s="538" t="n">
        <v>27.47</v>
      </c>
      <c r="E6018" s="538" t="n">
        <v>32.8</v>
      </c>
    </row>
    <row r="6019">
      <c r="A6019" s="544" t="n">
        <v>37635</v>
      </c>
      <c r="B6019" s="538" t="n">
        <v>31.36</v>
      </c>
      <c r="C6019" s="538" t="n">
        <v>32.42</v>
      </c>
      <c r="D6019" s="538" t="n">
        <v>27.92</v>
      </c>
      <c r="E6019" s="538" t="n">
        <v>33</v>
      </c>
    </row>
    <row r="6020">
      <c r="A6020" s="544" t="n">
        <v>37636</v>
      </c>
      <c r="B6020" s="538" t="n">
        <v>31.73</v>
      </c>
      <c r="C6020" s="538" t="n">
        <v>33.23</v>
      </c>
      <c r="D6020" s="538" t="n">
        <v>28.35</v>
      </c>
      <c r="E6020" s="538" t="n">
        <v>33</v>
      </c>
    </row>
    <row r="6021">
      <c r="A6021" s="544" t="n">
        <v>37637</v>
      </c>
      <c r="B6021" s="538" t="n">
        <v>32.29</v>
      </c>
      <c r="C6021" s="538" t="n">
        <v>33.58</v>
      </c>
      <c r="D6021" s="538" t="n">
        <v>28.83</v>
      </c>
      <c r="E6021" s="538" t="n">
        <v>35</v>
      </c>
    </row>
    <row r="6022">
      <c r="A6022" s="544" t="n">
        <v>37638</v>
      </c>
      <c r="B6022" s="538" t="n">
        <v>31.57</v>
      </c>
      <c r="C6022" s="538" t="n">
        <v>33.88</v>
      </c>
      <c r="D6022" s="538" t="n">
        <v>28.57</v>
      </c>
      <c r="E6022" s="538" t="n">
        <v>35.15</v>
      </c>
    </row>
    <row r="6023">
      <c r="A6023" s="544" t="n">
        <v>37641</v>
      </c>
      <c r="B6023" s="538" t="n">
        <v>32.23</v>
      </c>
      <c r="C6023" s="538" t="n">
        <v>33.88</v>
      </c>
      <c r="D6023" s="538" t="n">
        <v>28.57</v>
      </c>
      <c r="E6023" s="538" t="n">
        <v>35.1</v>
      </c>
    </row>
    <row r="6024">
      <c r="A6024" s="544" t="n">
        <v>37642</v>
      </c>
      <c r="B6024" s="538" t="n">
        <v>31.72</v>
      </c>
      <c r="C6024" s="538" t="n">
        <v>34.62</v>
      </c>
      <c r="D6024" s="538" t="n">
        <v>28.57</v>
      </c>
      <c r="E6024" s="538" t="n">
        <v>35.5</v>
      </c>
    </row>
    <row r="6025">
      <c r="A6025" s="544" t="n">
        <v>37643</v>
      </c>
      <c r="B6025" s="538" t="n">
        <v>32.07</v>
      </c>
      <c r="C6025" s="538" t="n">
        <v>34.32</v>
      </c>
      <c r="D6025" s="538" t="n">
        <v>28.4</v>
      </c>
      <c r="E6025" s="538" t="n">
        <v>35.15</v>
      </c>
    </row>
    <row r="6026">
      <c r="A6026" s="544" t="n">
        <v>37644</v>
      </c>
      <c r="B6026" s="538" t="n">
        <v>31.4</v>
      </c>
      <c r="C6026" s="538" t="n">
        <v>33.9</v>
      </c>
      <c r="D6026" s="538" t="n">
        <v>27.72</v>
      </c>
      <c r="E6026" s="538" t="n">
        <v>34.9</v>
      </c>
    </row>
    <row r="6027">
      <c r="A6027" s="544" t="n">
        <v>37645</v>
      </c>
      <c r="B6027" s="538" t="n">
        <v>31.62</v>
      </c>
      <c r="C6027" s="538" t="n">
        <v>34.98</v>
      </c>
      <c r="D6027" s="538" t="n">
        <v>29.64</v>
      </c>
      <c r="E6027" s="538" t="n">
        <v>34.05</v>
      </c>
    </row>
    <row r="6028">
      <c r="A6028" s="544" t="n">
        <v>37648</v>
      </c>
      <c r="B6028" s="538" t="n">
        <v>31.02</v>
      </c>
      <c r="C6028" s="538" t="n">
        <v>32.43</v>
      </c>
      <c r="D6028" s="538" t="n">
        <v>27.97</v>
      </c>
      <c r="E6028" s="538" t="n">
        <v>35</v>
      </c>
    </row>
    <row r="6029">
      <c r="A6029" s="544" t="n">
        <v>37649</v>
      </c>
      <c r="B6029" s="538" t="n">
        <v>30.73</v>
      </c>
      <c r="C6029" s="538" t="n">
        <v>32.7</v>
      </c>
      <c r="D6029" s="538" t="n">
        <v>28.3</v>
      </c>
      <c r="E6029" s="538" t="n">
        <v>34.9</v>
      </c>
    </row>
    <row r="6030">
      <c r="A6030" s="544" t="n">
        <v>37650</v>
      </c>
      <c r="B6030" s="538" t="n">
        <v>31.26</v>
      </c>
      <c r="C6030" s="538" t="n">
        <v>33.54</v>
      </c>
      <c r="D6030" s="538" t="n">
        <v>28.89</v>
      </c>
      <c r="E6030" s="538" t="n">
        <v>35</v>
      </c>
    </row>
    <row r="6031">
      <c r="A6031" s="544" t="n">
        <v>37651</v>
      </c>
      <c r="B6031" s="538" t="n">
        <v>31.42</v>
      </c>
      <c r="C6031" s="538" t="n">
        <v>33.78</v>
      </c>
      <c r="D6031" s="538" t="n">
        <v>29.14</v>
      </c>
      <c r="E6031" s="538" t="n">
        <v>35.3</v>
      </c>
    </row>
    <row r="6032">
      <c r="A6032" s="544" t="n">
        <v>37652</v>
      </c>
      <c r="B6032" s="538" t="n">
        <v>31.57</v>
      </c>
      <c r="C6032" s="538" t="n">
        <v>33.51</v>
      </c>
      <c r="D6032" s="538" t="n">
        <v>28.67</v>
      </c>
      <c r="E6032" s="538" t="n">
        <v>35.5</v>
      </c>
    </row>
    <row r="6033">
      <c r="A6033" s="544" t="n">
        <v>37655</v>
      </c>
      <c r="B6033" s="538" t="n">
        <v>30.95</v>
      </c>
      <c r="C6033" s="538" t="n">
        <v>32.84</v>
      </c>
      <c r="D6033" s="538" t="n">
        <v>28.13</v>
      </c>
      <c r="E6033" s="538" t="n">
        <v>35.5</v>
      </c>
    </row>
    <row r="6034">
      <c r="A6034" s="544" t="n">
        <v>37656</v>
      </c>
      <c r="B6034" s="538" t="n">
        <v>31.13</v>
      </c>
      <c r="C6034" s="538" t="n">
        <v>33.61</v>
      </c>
      <c r="D6034" s="538" t="n">
        <v>29.24</v>
      </c>
      <c r="E6034" s="538" t="n">
        <v>35.8</v>
      </c>
    </row>
    <row r="6035">
      <c r="A6035" s="544" t="n">
        <v>37657</v>
      </c>
      <c r="B6035" s="538" t="n">
        <v>31.77</v>
      </c>
      <c r="C6035" s="538" t="n">
        <v>33.91</v>
      </c>
      <c r="D6035" s="538" t="n">
        <v>29.21</v>
      </c>
      <c r="E6035" s="538" t="n">
        <v>37.05</v>
      </c>
    </row>
    <row r="6036">
      <c r="A6036" s="544" t="n">
        <v>37658</v>
      </c>
      <c r="B6036" s="538" t="n">
        <v>31.81</v>
      </c>
      <c r="C6036" s="538" t="n">
        <v>34.36</v>
      </c>
      <c r="D6036" s="538" t="n">
        <v>29.72</v>
      </c>
      <c r="E6036" s="538" t="n">
        <v>37.4</v>
      </c>
    </row>
    <row r="6037">
      <c r="A6037" s="544" t="n">
        <v>37659</v>
      </c>
      <c r="B6037" s="538" t="n">
        <v>32.23</v>
      </c>
      <c r="C6037" s="538" t="n">
        <v>35.05</v>
      </c>
      <c r="D6037" s="538" t="n">
        <v>31.28</v>
      </c>
      <c r="E6037" s="538" t="n">
        <v>40</v>
      </c>
    </row>
    <row r="6038">
      <c r="A6038" s="544" t="n">
        <v>37662</v>
      </c>
      <c r="B6038" s="538" t="n">
        <v>32.47</v>
      </c>
      <c r="C6038" s="538" t="n">
        <v>34.46</v>
      </c>
      <c r="D6038" s="538" t="n">
        <v>29.71</v>
      </c>
      <c r="E6038" s="538" t="n">
        <v>43.5</v>
      </c>
    </row>
    <row r="6039">
      <c r="A6039" s="544" t="n">
        <v>37663</v>
      </c>
      <c r="B6039" s="538" t="n">
        <v>32.51</v>
      </c>
      <c r="C6039" s="538" t="n">
        <v>35.43</v>
      </c>
      <c r="D6039" s="538" t="n">
        <v>30.45</v>
      </c>
      <c r="E6039" s="538" t="n">
        <v>41</v>
      </c>
    </row>
    <row r="6040">
      <c r="A6040" s="544" t="n">
        <v>37664</v>
      </c>
      <c r="B6040" s="538" t="n">
        <v>32.46</v>
      </c>
      <c r="C6040" s="538" t="n">
        <v>35.83</v>
      </c>
      <c r="D6040" s="538" t="n">
        <v>30.51</v>
      </c>
      <c r="E6040" s="538" t="n">
        <v>41</v>
      </c>
    </row>
    <row r="6041">
      <c r="A6041" s="544" t="n">
        <v>37665</v>
      </c>
      <c r="B6041" s="538" t="n">
        <v>33.23</v>
      </c>
      <c r="C6041" s="538" t="n">
        <v>36.63</v>
      </c>
      <c r="D6041" s="538" t="n">
        <v>30.82</v>
      </c>
      <c r="E6041" s="538" t="n">
        <v>40.6</v>
      </c>
    </row>
    <row r="6042">
      <c r="A6042" s="544" t="n">
        <v>37666</v>
      </c>
      <c r="B6042" s="538" t="n">
        <v>33.26</v>
      </c>
      <c r="C6042" s="538" t="n">
        <v>36.61</v>
      </c>
      <c r="D6042" s="538" t="n">
        <v>30.61</v>
      </c>
      <c r="E6042" s="538" t="n">
        <v>39.85</v>
      </c>
    </row>
    <row r="6043">
      <c r="A6043" s="544" t="n">
        <v>37669</v>
      </c>
      <c r="B6043" s="538" t="n">
        <v>33.06</v>
      </c>
      <c r="C6043" s="538" t="n">
        <v>36.61</v>
      </c>
      <c r="D6043" s="538" t="n">
        <v>30.61</v>
      </c>
      <c r="E6043" s="538" t="n">
        <v>38.2</v>
      </c>
    </row>
    <row r="6044">
      <c r="A6044" s="544" t="n">
        <v>37670</v>
      </c>
      <c r="B6044" s="538" t="n">
        <v>33.26</v>
      </c>
      <c r="C6044" s="538" t="n">
        <v>36.88</v>
      </c>
      <c r="D6044" s="538" t="n">
        <v>30.39</v>
      </c>
      <c r="E6044" s="538" t="n">
        <v>38.3</v>
      </c>
    </row>
    <row r="6045">
      <c r="A6045" s="544" t="n">
        <v>37671</v>
      </c>
      <c r="B6045" s="538" t="n">
        <v>33.16</v>
      </c>
      <c r="C6045" s="538" t="n">
        <v>37.02</v>
      </c>
      <c r="D6045" s="538" t="n">
        <v>30.26</v>
      </c>
      <c r="E6045" s="538" t="n">
        <v>38.4</v>
      </c>
    </row>
    <row r="6046">
      <c r="A6046" s="544" t="n">
        <v>37672</v>
      </c>
      <c r="B6046" s="538" t="n">
        <v>32.76</v>
      </c>
      <c r="C6046" s="538" t="n">
        <v>36.45</v>
      </c>
      <c r="D6046" s="538" t="n">
        <v>29.61</v>
      </c>
      <c r="E6046" s="538" t="n">
        <v>38.5</v>
      </c>
    </row>
    <row r="6047">
      <c r="A6047" s="544" t="n">
        <v>37673</v>
      </c>
      <c r="B6047" s="538" t="n">
        <v>32.76</v>
      </c>
      <c r="C6047" s="538" t="n">
        <v>36.76</v>
      </c>
      <c r="D6047" s="538" t="n">
        <v>30.34</v>
      </c>
      <c r="E6047" s="538" t="n">
        <v>39.35</v>
      </c>
    </row>
    <row r="6048">
      <c r="A6048" s="544" t="n">
        <v>37676</v>
      </c>
      <c r="B6048" s="538" t="n">
        <v>33.41</v>
      </c>
      <c r="C6048" s="538" t="n">
        <v>37.29</v>
      </c>
      <c r="D6048" s="538" t="n">
        <v>31.55</v>
      </c>
      <c r="E6048" s="538" t="n">
        <v>39.1</v>
      </c>
    </row>
    <row r="6049">
      <c r="A6049" s="544" t="n">
        <v>37677</v>
      </c>
      <c r="B6049" s="538" t="n">
        <v>33.64</v>
      </c>
      <c r="C6049" s="538" t="n">
        <v>36.06</v>
      </c>
      <c r="D6049" s="538" t="n">
        <v>30.31</v>
      </c>
      <c r="E6049" s="538" t="n">
        <v>40.88</v>
      </c>
    </row>
    <row r="6050">
      <c r="A6050" s="544" t="n">
        <v>37678</v>
      </c>
      <c r="B6050" s="538" t="n">
        <v>33.46</v>
      </c>
      <c r="C6050" s="538" t="n">
        <v>37.96</v>
      </c>
      <c r="D6050" s="538" t="n">
        <v>31.65</v>
      </c>
      <c r="E6050" s="538" t="n">
        <v>40.75</v>
      </c>
    </row>
    <row r="6051">
      <c r="A6051" s="544" t="n">
        <v>37679</v>
      </c>
      <c r="B6051" s="538" t="n">
        <v>34.09</v>
      </c>
      <c r="C6051" s="538" t="n">
        <v>36.83</v>
      </c>
      <c r="D6051" s="538" t="n">
        <v>30.62</v>
      </c>
      <c r="E6051" s="538" t="n">
        <v>41.05</v>
      </c>
    </row>
    <row r="6052">
      <c r="A6052" s="544" t="n">
        <v>37680</v>
      </c>
      <c r="B6052" s="538" t="n">
        <v>34</v>
      </c>
      <c r="C6052" s="538" t="n">
        <v>36.76</v>
      </c>
      <c r="D6052" s="538" t="n">
        <v>29.73</v>
      </c>
      <c r="E6052" s="538" t="n">
        <v>40.9</v>
      </c>
    </row>
    <row r="6053">
      <c r="A6053" s="544" t="n">
        <v>37683</v>
      </c>
      <c r="B6053" s="538" t="n">
        <v>33.4</v>
      </c>
      <c r="C6053" s="538" t="n">
        <v>36.1</v>
      </c>
      <c r="D6053" s="538" t="n">
        <v>29.8</v>
      </c>
      <c r="E6053" s="538" t="n">
        <v>40.65</v>
      </c>
    </row>
    <row r="6054">
      <c r="A6054" s="544" t="n">
        <v>37684</v>
      </c>
      <c r="B6054" s="538" t="n">
        <v>34.37</v>
      </c>
      <c r="C6054" s="538" t="n">
        <v>36.95</v>
      </c>
      <c r="D6054" s="538" t="n">
        <v>30</v>
      </c>
      <c r="E6054" s="538" t="n">
        <v>40.5</v>
      </c>
    </row>
    <row r="6055">
      <c r="A6055" s="544" t="n">
        <v>37685</v>
      </c>
      <c r="B6055" s="538" t="n">
        <v>33.92</v>
      </c>
      <c r="C6055" s="538" t="n">
        <v>36.86</v>
      </c>
      <c r="D6055" s="538" t="n">
        <v>29.77</v>
      </c>
      <c r="E6055" s="538" t="n">
        <v>40.8</v>
      </c>
    </row>
    <row r="6056">
      <c r="A6056" s="544" t="n">
        <v>37686</v>
      </c>
      <c r="B6056" s="538" t="n">
        <v>34.39</v>
      </c>
      <c r="C6056" s="538" t="n">
        <v>37.21</v>
      </c>
      <c r="D6056" s="538" t="n">
        <v>30.6</v>
      </c>
      <c r="E6056" s="538" t="n">
        <v>40.95</v>
      </c>
    </row>
    <row r="6057">
      <c r="A6057" s="544" t="n">
        <v>37687</v>
      </c>
      <c r="B6057" s="538" t="n">
        <v>34.47</v>
      </c>
      <c r="C6057" s="538" t="n">
        <v>37.76</v>
      </c>
      <c r="D6057" s="538" t="n">
        <v>30.78</v>
      </c>
      <c r="E6057" s="538" t="n">
        <v>41.05</v>
      </c>
    </row>
    <row r="6058">
      <c r="A6058" s="544" t="n">
        <v>37690</v>
      </c>
      <c r="B6058" s="538" t="n">
        <v>34.94</v>
      </c>
      <c r="C6058" s="538" t="n">
        <v>37.18</v>
      </c>
      <c r="D6058" s="538" t="n">
        <v>30.49</v>
      </c>
      <c r="E6058" s="538" t="n">
        <v>42.4</v>
      </c>
    </row>
    <row r="6059">
      <c r="A6059" s="544" t="n">
        <v>37691</v>
      </c>
      <c r="B6059" s="538" t="n">
        <v>34.06</v>
      </c>
      <c r="C6059" s="538" t="n">
        <v>36.81</v>
      </c>
      <c r="D6059" s="538" t="n">
        <v>30.17</v>
      </c>
      <c r="E6059" s="538" t="n">
        <v>40.78</v>
      </c>
    </row>
    <row r="6060">
      <c r="A6060" s="544" t="n">
        <v>37692</v>
      </c>
      <c r="B6060" s="538" t="n">
        <v>34.16</v>
      </c>
      <c r="C6060" s="538" t="n">
        <v>37.87</v>
      </c>
      <c r="D6060" s="538" t="n">
        <v>30.92</v>
      </c>
      <c r="E6060" s="538" t="n">
        <v>39.53</v>
      </c>
    </row>
    <row r="6061">
      <c r="A6061" s="544" t="n">
        <v>37693</v>
      </c>
      <c r="B6061" s="538" t="n">
        <v>33.98</v>
      </c>
      <c r="C6061" s="538" t="n">
        <v>36.05</v>
      </c>
      <c r="D6061" s="538" t="n">
        <v>28.81</v>
      </c>
      <c r="E6061" s="538" t="n">
        <v>40.1</v>
      </c>
    </row>
    <row r="6062">
      <c r="A6062" s="544" t="n">
        <v>37694</v>
      </c>
      <c r="B6062" s="538" t="n">
        <v>31.48</v>
      </c>
      <c r="C6062" s="538" t="n">
        <v>35.41</v>
      </c>
      <c r="D6062" s="538" t="n">
        <v>26.41</v>
      </c>
      <c r="E6062" s="538" t="n">
        <v>38.2</v>
      </c>
    </row>
    <row r="6063">
      <c r="A6063" s="544" t="n">
        <v>37697</v>
      </c>
      <c r="B6063" s="538" t="n">
        <v>30.35</v>
      </c>
      <c r="C6063" s="538" t="n">
        <v>34.92</v>
      </c>
      <c r="D6063" s="538" t="n">
        <v>26.62</v>
      </c>
      <c r="E6063" s="538" t="n">
        <v>38.35</v>
      </c>
    </row>
    <row r="6064">
      <c r="A6064" s="544" t="n">
        <v>37698</v>
      </c>
      <c r="B6064" s="538" t="n">
        <v>28.55</v>
      </c>
      <c r="C6064" s="538" t="n">
        <v>31.55</v>
      </c>
      <c r="D6064" s="538" t="n">
        <v>25.53</v>
      </c>
      <c r="E6064" s="538" t="n">
        <v>32.85</v>
      </c>
    </row>
    <row r="6065">
      <c r="A6065" s="544" t="n">
        <v>37699</v>
      </c>
      <c r="B6065" s="538" t="n">
        <v>28.4</v>
      </c>
      <c r="C6065" s="538" t="n">
        <v>30.01</v>
      </c>
      <c r="D6065" s="538" t="n">
        <v>24.59</v>
      </c>
      <c r="E6065" s="538" t="n">
        <v>32.53</v>
      </c>
    </row>
    <row r="6066">
      <c r="A6066" s="544" t="n">
        <v>37700</v>
      </c>
      <c r="B6066" s="538" t="n">
        <v>28</v>
      </c>
      <c r="C6066" s="538" t="n">
        <v>28.62</v>
      </c>
      <c r="D6066" s="538" t="n">
        <v>24.51</v>
      </c>
      <c r="E6066" s="538" t="n">
        <v>30.25</v>
      </c>
    </row>
    <row r="6067">
      <c r="A6067" s="544" t="n">
        <v>37701</v>
      </c>
      <c r="B6067" s="538" t="n">
        <v>25.59</v>
      </c>
      <c r="C6067" s="538" t="n">
        <v>27.18</v>
      </c>
      <c r="D6067" s="538" t="n">
        <v>21.97</v>
      </c>
      <c r="E6067" s="538" t="n">
        <v>29.45</v>
      </c>
    </row>
    <row r="6068">
      <c r="A6068" s="544" t="n">
        <v>37704</v>
      </c>
      <c r="B6068" s="538" t="n">
        <v>26.54</v>
      </c>
      <c r="C6068" s="538" t="n">
        <v>29.51</v>
      </c>
      <c r="D6068" s="538" t="n">
        <v>25.2</v>
      </c>
      <c r="E6068" s="538" t="n">
        <v>28.68</v>
      </c>
    </row>
    <row r="6069">
      <c r="A6069" s="544" t="n">
        <v>37705</v>
      </c>
      <c r="B6069" s="538" t="n">
        <v>27.28</v>
      </c>
      <c r="C6069" s="538" t="n">
        <v>33.42</v>
      </c>
      <c r="D6069" s="538" t="n">
        <v>24.12</v>
      </c>
      <c r="E6069" s="538" t="n">
        <v>30</v>
      </c>
    </row>
    <row r="6070">
      <c r="A6070" s="544" t="n">
        <v>37706</v>
      </c>
      <c r="B6070" s="538" t="n">
        <v>25.98</v>
      </c>
      <c r="C6070" s="538" t="n">
        <v>28.71</v>
      </c>
      <c r="D6070" s="538" t="n">
        <v>24.59</v>
      </c>
      <c r="E6070" s="538" t="n">
        <v>28.9</v>
      </c>
    </row>
    <row r="6071">
      <c r="A6071" s="544" t="n">
        <v>37707</v>
      </c>
      <c r="B6071" s="538" t="n">
        <v>27.29</v>
      </c>
      <c r="C6071" s="538" t="n">
        <v>30.31</v>
      </c>
      <c r="D6071" s="538" t="n">
        <v>25.88</v>
      </c>
      <c r="E6071" s="538" t="n">
        <v>29.48</v>
      </c>
    </row>
    <row r="6072">
      <c r="A6072" s="544" t="n">
        <v>37708</v>
      </c>
      <c r="B6072" s="538" t="n">
        <v>27.66</v>
      </c>
      <c r="C6072" s="538" t="n">
        <v>30.21</v>
      </c>
      <c r="D6072" s="538" t="n">
        <v>26.44</v>
      </c>
      <c r="E6072" s="538" t="n">
        <v>32.65</v>
      </c>
    </row>
    <row r="6073">
      <c r="A6073" s="544" t="n">
        <v>37711</v>
      </c>
      <c r="B6073" s="538" t="n">
        <v>28.05</v>
      </c>
      <c r="C6073" s="538" t="n">
        <v>31.14</v>
      </c>
      <c r="D6073" s="538" t="n">
        <v>25.76</v>
      </c>
      <c r="E6073" s="538" t="n">
        <v>30.88</v>
      </c>
    </row>
    <row r="6074">
      <c r="A6074" s="544" t="n">
        <v>37712</v>
      </c>
      <c r="B6074" s="538" t="n">
        <v>27.94</v>
      </c>
      <c r="C6074" s="538" t="n">
        <v>29.48</v>
      </c>
      <c r="D6074" s="538" t="n">
        <v>23.52</v>
      </c>
      <c r="E6074" s="538" t="n">
        <v>29.75</v>
      </c>
    </row>
    <row r="6075">
      <c r="A6075" s="544" t="n">
        <v>37713</v>
      </c>
      <c r="B6075" s="538" t="n">
        <v>26.29</v>
      </c>
      <c r="C6075" s="538" t="n">
        <v>28.55</v>
      </c>
      <c r="D6075" s="538" t="n">
        <v>22.76</v>
      </c>
      <c r="E6075" s="538" t="n">
        <v>27.6</v>
      </c>
    </row>
    <row r="6076">
      <c r="A6076" s="544" t="n">
        <v>37714</v>
      </c>
      <c r="B6076" s="538" t="n">
        <v>26.75</v>
      </c>
      <c r="C6076" s="538" t="n">
        <v>29.05</v>
      </c>
      <c r="D6076" s="538" t="n">
        <v>23.8</v>
      </c>
      <c r="E6076" s="538" t="n">
        <v>27</v>
      </c>
    </row>
    <row r="6077">
      <c r="A6077" s="544" t="n">
        <v>37715</v>
      </c>
      <c r="B6077" s="538" t="n">
        <v>25.62</v>
      </c>
      <c r="C6077" s="538" t="n">
        <v>28.41</v>
      </c>
      <c r="D6077" s="538" t="n">
        <v>22.72</v>
      </c>
      <c r="E6077" s="538" t="n">
        <v>27.5</v>
      </c>
    </row>
    <row r="6078">
      <c r="A6078" s="544" t="n">
        <v>37718</v>
      </c>
      <c r="B6078" s="538" t="n">
        <v>25.27</v>
      </c>
      <c r="C6078" s="538" t="n">
        <v>27.76</v>
      </c>
      <c r="D6078" s="538" t="n">
        <v>22.92</v>
      </c>
      <c r="E6078" s="538" t="n">
        <v>26.75</v>
      </c>
    </row>
    <row r="6079">
      <c r="A6079" s="544" t="n">
        <v>37719</v>
      </c>
      <c r="B6079" s="538" t="n">
        <v>24.88</v>
      </c>
      <c r="C6079" s="538" t="n">
        <v>27.97</v>
      </c>
      <c r="D6079" s="538" t="n">
        <v>23.52</v>
      </c>
      <c r="E6079" s="538" t="n">
        <v>26.55</v>
      </c>
    </row>
    <row r="6080">
      <c r="A6080" s="544" t="n">
        <v>37720</v>
      </c>
      <c r="B6080" s="538" t="n">
        <v>25.11</v>
      </c>
      <c r="C6080" s="538" t="n">
        <v>28.93</v>
      </c>
      <c r="D6080" s="538" t="n">
        <v>23.99</v>
      </c>
      <c r="E6080" s="538" t="n">
        <v>28.35</v>
      </c>
    </row>
    <row r="6081">
      <c r="A6081" s="544" t="n">
        <v>37721</v>
      </c>
      <c r="B6081" s="538" t="n">
        <v>25.16</v>
      </c>
      <c r="C6081" s="538" t="n">
        <v>27.2</v>
      </c>
      <c r="D6081" s="538" t="n">
        <v>23.25</v>
      </c>
      <c r="E6081" s="538" t="n">
        <v>27.7</v>
      </c>
    </row>
    <row r="6082">
      <c r="A6082" s="544" t="n">
        <v>37722</v>
      </c>
      <c r="B6082" s="538" t="n">
        <v>24.39</v>
      </c>
      <c r="C6082" s="538" t="n">
        <v>28.28</v>
      </c>
      <c r="D6082" s="538" t="n">
        <v>23.69</v>
      </c>
      <c r="E6082" s="538" t="n">
        <v>27.6</v>
      </c>
    </row>
    <row r="6083">
      <c r="A6083" s="544" t="n">
        <v>37725</v>
      </c>
      <c r="B6083" s="538" t="n">
        <v>24.72</v>
      </c>
      <c r="C6083" s="538" t="n">
        <v>28.41</v>
      </c>
      <c r="D6083" s="538" t="n">
        <v>23.69</v>
      </c>
      <c r="E6083" s="538" t="n">
        <v>27.23</v>
      </c>
    </row>
    <row r="6084">
      <c r="A6084" s="544" t="n">
        <v>37726</v>
      </c>
      <c r="B6084" s="538" t="n">
        <v>24.74</v>
      </c>
      <c r="C6084" s="538" t="n">
        <v>29.46</v>
      </c>
      <c r="D6084" s="538" t="n">
        <v>24.02</v>
      </c>
      <c r="E6084" s="538" t="n">
        <v>27.23</v>
      </c>
    </row>
    <row r="6085">
      <c r="A6085" s="544" t="n">
        <v>37727</v>
      </c>
      <c r="B6085" s="538" t="n">
        <v>24.86</v>
      </c>
      <c r="C6085" s="538" t="n">
        <v>29.16</v>
      </c>
      <c r="D6085" s="538" t="n">
        <v>23.81</v>
      </c>
      <c r="E6085" s="538" t="n">
        <v>28.78</v>
      </c>
    </row>
    <row r="6086">
      <c r="A6086" s="544" t="n">
        <v>37728</v>
      </c>
      <c r="B6086" s="538" t="n">
        <v>25.36</v>
      </c>
      <c r="C6086" s="538" t="n">
        <v>30.1</v>
      </c>
      <c r="D6086" s="538" t="n">
        <v>24.61</v>
      </c>
      <c r="E6086" s="538" t="n">
        <v>28.68</v>
      </c>
    </row>
    <row r="6087">
      <c r="A6087" s="544" t="n">
        <v>37729</v>
      </c>
      <c r="B6087" s="538" t="n">
        <v>25.76</v>
      </c>
      <c r="C6087" s="538" t="n">
        <v>30.1</v>
      </c>
      <c r="D6087" s="538" t="n">
        <v>24.61</v>
      </c>
      <c r="E6087" s="538" t="n">
        <v>28.68</v>
      </c>
    </row>
    <row r="6088">
      <c r="A6088" s="544" t="n">
        <v>37732</v>
      </c>
      <c r="B6088" s="538" t="n">
        <v>25.76</v>
      </c>
      <c r="C6088" s="538" t="n">
        <v>30.76</v>
      </c>
      <c r="D6088" s="538" t="n">
        <v>24.4</v>
      </c>
      <c r="E6088" s="538" t="n">
        <v>28.73</v>
      </c>
    </row>
    <row r="6089">
      <c r="A6089" s="544" t="n">
        <v>37733</v>
      </c>
      <c r="B6089" s="538" t="n">
        <v>25.72</v>
      </c>
      <c r="C6089" s="538" t="n">
        <v>29.92</v>
      </c>
      <c r="D6089" s="538" t="n">
        <v>24.15</v>
      </c>
      <c r="E6089" s="538" t="n">
        <v>29.1</v>
      </c>
    </row>
    <row r="6090">
      <c r="A6090" s="544" t="n">
        <v>37734</v>
      </c>
      <c r="B6090" s="538" t="n">
        <v>24.56</v>
      </c>
      <c r="C6090" s="538" t="n">
        <v>28.04</v>
      </c>
      <c r="D6090" s="538" t="n">
        <v>23.02</v>
      </c>
      <c r="E6090" s="538" t="n">
        <v>28.48</v>
      </c>
    </row>
    <row r="6091">
      <c r="A6091" s="544" t="n">
        <v>37735</v>
      </c>
      <c r="B6091" s="538" t="n">
        <v>24.06</v>
      </c>
      <c r="C6091" s="538" t="n">
        <v>27.52</v>
      </c>
      <c r="D6091" s="538" t="n">
        <v>23.3</v>
      </c>
      <c r="E6091" s="538" t="n">
        <v>28.3</v>
      </c>
    </row>
    <row r="6092">
      <c r="A6092" s="544" t="n">
        <v>37736</v>
      </c>
      <c r="B6092" s="538" t="n">
        <v>24.29</v>
      </c>
      <c r="C6092" s="538" t="n">
        <v>25.92</v>
      </c>
      <c r="D6092" s="538" t="n">
        <v>22.53</v>
      </c>
      <c r="E6092" s="538" t="n">
        <v>28.3</v>
      </c>
    </row>
    <row r="6093">
      <c r="A6093" s="544" t="n">
        <v>37739</v>
      </c>
      <c r="B6093" s="538" t="n">
        <v>23.42</v>
      </c>
      <c r="C6093" s="538" t="n">
        <v>25.25</v>
      </c>
      <c r="D6093" s="538" t="n">
        <v>22.42</v>
      </c>
      <c r="E6093" s="538" t="n">
        <v>28.1</v>
      </c>
    </row>
    <row r="6094">
      <c r="A6094" s="544" t="n">
        <v>37740</v>
      </c>
      <c r="B6094" s="538" t="n">
        <v>23.23</v>
      </c>
      <c r="C6094" s="538" t="n">
        <v>25.32</v>
      </c>
      <c r="D6094" s="538" t="n">
        <v>22.65</v>
      </c>
      <c r="E6094" s="538" t="n">
        <v>27.8</v>
      </c>
    </row>
    <row r="6095">
      <c r="A6095" s="544" t="n">
        <v>37741</v>
      </c>
      <c r="B6095" s="538" t="n">
        <v>23.6</v>
      </c>
      <c r="C6095" s="538" t="n">
        <v>26.09</v>
      </c>
      <c r="D6095" s="538" t="n">
        <v>23.32</v>
      </c>
      <c r="E6095" s="538" t="n">
        <v>27.45</v>
      </c>
    </row>
    <row r="6096">
      <c r="A6096" s="544" t="n">
        <v>37742</v>
      </c>
      <c r="B6096" s="538" t="n">
        <v>23.79</v>
      </c>
      <c r="C6096" s="538" t="n">
        <v>26.05</v>
      </c>
      <c r="D6096" s="538" t="n">
        <v>22.98</v>
      </c>
      <c r="E6096" s="538" t="n">
        <v>27.45</v>
      </c>
    </row>
    <row r="6097">
      <c r="A6097" s="544" t="n">
        <v>37743</v>
      </c>
      <c r="B6097" s="538" t="n">
        <v>23.73</v>
      </c>
      <c r="C6097" s="538" t="n">
        <v>25.74</v>
      </c>
      <c r="D6097" s="538" t="n">
        <v>22.6</v>
      </c>
      <c r="E6097" s="538" t="n">
        <v>28.8</v>
      </c>
    </row>
    <row r="6098">
      <c r="A6098" s="544" t="n">
        <v>37746</v>
      </c>
      <c r="B6098" s="538" t="n">
        <v>23.59</v>
      </c>
      <c r="C6098" s="538" t="n">
        <v>26.43</v>
      </c>
      <c r="D6098" s="538" t="n">
        <v>22.5</v>
      </c>
      <c r="E6098" s="538" t="n">
        <v>27.85</v>
      </c>
    </row>
    <row r="6099">
      <c r="A6099" s="544" t="n">
        <v>37747</v>
      </c>
      <c r="B6099" s="538" t="n">
        <v>23.91</v>
      </c>
      <c r="C6099" s="538" t="n">
        <v>25.65</v>
      </c>
      <c r="D6099" s="538" t="n">
        <v>22.57</v>
      </c>
      <c r="E6099" s="538" t="n">
        <v>28.4</v>
      </c>
    </row>
    <row r="6100">
      <c r="A6100" s="544" t="n">
        <v>37748</v>
      </c>
      <c r="B6100" s="538" t="n">
        <v>24.01</v>
      </c>
      <c r="C6100" s="538" t="n">
        <v>26.24</v>
      </c>
      <c r="D6100" s="538" t="n">
        <v>23.16</v>
      </c>
      <c r="E6100" s="538" t="n">
        <v>27.45</v>
      </c>
    </row>
    <row r="6101">
      <c r="A6101" s="544" t="n">
        <v>37749</v>
      </c>
      <c r="B6101" s="538" t="n">
        <v>24.48</v>
      </c>
      <c r="C6101" s="538" t="n">
        <v>26.94</v>
      </c>
      <c r="D6101" s="538" t="n">
        <v>23.61</v>
      </c>
      <c r="E6101" s="538" t="n">
        <v>27.45</v>
      </c>
    </row>
    <row r="6102">
      <c r="A6102" s="544" t="n">
        <v>37750</v>
      </c>
      <c r="B6102" s="538" t="n">
        <v>25.55</v>
      </c>
      <c r="C6102" s="538" t="n">
        <v>27.65</v>
      </c>
      <c r="D6102" s="538" t="n">
        <v>23.92</v>
      </c>
      <c r="E6102" s="538" t="n">
        <v>27.7</v>
      </c>
    </row>
    <row r="6103">
      <c r="A6103" s="544" t="n">
        <v>37753</v>
      </c>
      <c r="B6103" s="538" t="n">
        <v>25.69</v>
      </c>
      <c r="C6103" s="538" t="n">
        <v>27.34</v>
      </c>
      <c r="D6103" s="538" t="n">
        <v>23.91</v>
      </c>
      <c r="E6103" s="538" t="n">
        <v>28.5</v>
      </c>
    </row>
    <row r="6104">
      <c r="A6104" s="544" t="n">
        <v>37754</v>
      </c>
      <c r="B6104" s="538" t="n">
        <v>25.45</v>
      </c>
      <c r="C6104" s="538" t="n">
        <v>28.51</v>
      </c>
      <c r="D6104" s="538" t="n">
        <v>24.5</v>
      </c>
      <c r="E6104" s="538" t="n">
        <v>27.85</v>
      </c>
    </row>
    <row r="6105">
      <c r="A6105" s="544" t="n">
        <v>37755</v>
      </c>
      <c r="B6105" s="538" t="n">
        <v>25.98</v>
      </c>
      <c r="C6105" s="538" t="n">
        <v>29.21</v>
      </c>
      <c r="D6105" s="538" t="n">
        <v>25.18</v>
      </c>
      <c r="E6105" s="538" t="n">
        <v>28.4</v>
      </c>
    </row>
    <row r="6106">
      <c r="A6106" s="544" t="n">
        <v>37756</v>
      </c>
      <c r="B6106" s="538" t="n">
        <v>26.77</v>
      </c>
      <c r="C6106" s="538" t="n">
        <v>28.57</v>
      </c>
      <c r="D6106" s="538" t="n">
        <v>24.48</v>
      </c>
      <c r="E6106" s="538" t="n">
        <v>28.4</v>
      </c>
    </row>
    <row r="6107">
      <c r="A6107" s="544" t="n">
        <v>37757</v>
      </c>
      <c r="B6107" s="538" t="n">
        <v>27.18</v>
      </c>
      <c r="C6107" s="538" t="n">
        <v>29.07</v>
      </c>
      <c r="D6107" s="538" t="n">
        <v>25.14</v>
      </c>
      <c r="E6107" s="538" t="n">
        <v>28.3</v>
      </c>
    </row>
    <row r="6108">
      <c r="A6108" s="544" t="n">
        <v>37760</v>
      </c>
      <c r="B6108" s="538" t="n">
        <v>27.23</v>
      </c>
      <c r="C6108" s="538" t="n">
        <v>28.84</v>
      </c>
      <c r="D6108" s="538" t="n">
        <v>24.44</v>
      </c>
      <c r="E6108" s="538" t="n">
        <v>28.7</v>
      </c>
    </row>
    <row r="6109">
      <c r="A6109" s="544" t="n">
        <v>37761</v>
      </c>
      <c r="B6109" s="538" t="n">
        <v>26.69</v>
      </c>
      <c r="C6109" s="538" t="n">
        <v>29.29</v>
      </c>
      <c r="D6109" s="538" t="n">
        <v>24.8</v>
      </c>
      <c r="E6109" s="538" t="n">
        <v>28.3</v>
      </c>
    </row>
    <row r="6110">
      <c r="A6110" s="544" t="n">
        <v>37762</v>
      </c>
      <c r="B6110" s="538" t="n">
        <v>27.58</v>
      </c>
      <c r="C6110" s="538" t="n">
        <v>29.51</v>
      </c>
      <c r="D6110" s="538" t="n">
        <v>25.18</v>
      </c>
      <c r="E6110" s="538" t="n">
        <v>28.4</v>
      </c>
    </row>
    <row r="6111">
      <c r="A6111" s="544" t="n">
        <v>37763</v>
      </c>
      <c r="B6111" s="538" t="n">
        <v>27.32</v>
      </c>
      <c r="C6111" s="538" t="n">
        <v>29.09</v>
      </c>
      <c r="D6111" s="538" t="n">
        <v>25.04</v>
      </c>
      <c r="E6111" s="538" t="n">
        <v>28.6</v>
      </c>
    </row>
    <row r="6112">
      <c r="A6112" s="544" t="n">
        <v>37764</v>
      </c>
      <c r="B6112" s="538" t="n">
        <v>27.14</v>
      </c>
      <c r="C6112" s="538" t="n">
        <v>29.74</v>
      </c>
      <c r="D6112" s="538" t="n">
        <v>24.96</v>
      </c>
      <c r="E6112" s="538" t="n">
        <v>28.25</v>
      </c>
    </row>
    <row r="6113">
      <c r="A6113" s="544" t="n">
        <v>37767</v>
      </c>
      <c r="B6113" s="538" t="n">
        <v>26.78</v>
      </c>
      <c r="C6113" s="538" t="n">
        <v>29.74</v>
      </c>
      <c r="D6113" s="538" t="n">
        <v>24.96</v>
      </c>
      <c r="E6113" s="538" t="n">
        <v>27.9</v>
      </c>
    </row>
    <row r="6114">
      <c r="A6114" s="544" t="n">
        <v>37768</v>
      </c>
      <c r="B6114" s="538" t="n">
        <v>26.55</v>
      </c>
      <c r="C6114" s="538" t="n">
        <v>29.24</v>
      </c>
      <c r="D6114" s="538" t="n">
        <v>24.98</v>
      </c>
      <c r="E6114" s="538" t="n">
        <v>28.55</v>
      </c>
    </row>
    <row r="6115">
      <c r="A6115" s="544" t="n">
        <v>37769</v>
      </c>
      <c r="B6115" s="538" t="n">
        <v>26.48</v>
      </c>
      <c r="C6115" s="538" t="n">
        <v>28.46</v>
      </c>
      <c r="D6115" s="538" t="n">
        <v>24.24</v>
      </c>
      <c r="E6115" s="538" t="n">
        <v>28.45</v>
      </c>
    </row>
    <row r="6116">
      <c r="A6116" s="544" t="n">
        <v>37770</v>
      </c>
      <c r="B6116" s="538" t="n">
        <v>26.39</v>
      </c>
      <c r="C6116" s="538" t="n">
        <v>29.15</v>
      </c>
      <c r="D6116" s="538" t="n">
        <v>25.09</v>
      </c>
      <c r="E6116" s="538" t="n">
        <v>27.2</v>
      </c>
    </row>
    <row r="6117">
      <c r="A6117" s="544" t="n">
        <v>37771</v>
      </c>
      <c r="B6117" s="538" t="n">
        <v>26.58</v>
      </c>
      <c r="C6117" s="538" t="n">
        <v>29.56</v>
      </c>
      <c r="D6117" s="538" t="n">
        <v>25.22</v>
      </c>
      <c r="E6117" s="538" t="n">
        <v>28</v>
      </c>
    </row>
    <row r="6118">
      <c r="A6118" s="544" t="n">
        <v>37774</v>
      </c>
      <c r="B6118" s="538" t="n">
        <v>27.56</v>
      </c>
      <c r="C6118" s="538" t="n">
        <v>30.72</v>
      </c>
      <c r="D6118" s="538" t="n">
        <v>25.72</v>
      </c>
      <c r="E6118" s="538" t="n">
        <v>28.85</v>
      </c>
    </row>
    <row r="6119">
      <c r="A6119" s="544" t="n">
        <v>37775</v>
      </c>
      <c r="B6119" s="538" t="n">
        <v>27.99</v>
      </c>
      <c r="C6119" s="538" t="n">
        <v>30.78</v>
      </c>
      <c r="D6119" s="538" t="n">
        <v>25.56</v>
      </c>
      <c r="E6119" s="538" t="n">
        <v>29.2</v>
      </c>
    </row>
    <row r="6120">
      <c r="A6120" s="544" t="n">
        <v>37776</v>
      </c>
      <c r="B6120" s="538" t="n">
        <v>27.49</v>
      </c>
      <c r="C6120" s="538" t="n">
        <v>29.81</v>
      </c>
      <c r="D6120" s="538" t="n">
        <v>24.91</v>
      </c>
      <c r="E6120" s="538" t="n">
        <v>28.85</v>
      </c>
    </row>
    <row r="6121">
      <c r="A6121" s="544" t="n">
        <v>37777</v>
      </c>
      <c r="B6121" s="538" t="n">
        <v>28.16</v>
      </c>
      <c r="C6121" s="538" t="n">
        <v>30.84</v>
      </c>
      <c r="D6121" s="538" t="n">
        <v>25.85</v>
      </c>
      <c r="E6121" s="538" t="n">
        <v>28.1</v>
      </c>
    </row>
    <row r="6122">
      <c r="A6122" s="544" t="n">
        <v>37778</v>
      </c>
      <c r="B6122" s="538" t="n">
        <v>28.38</v>
      </c>
      <c r="C6122" s="538" t="n">
        <v>31.26</v>
      </c>
      <c r="D6122" s="538" t="n">
        <v>26.07</v>
      </c>
      <c r="E6122" s="538" t="n">
        <v>29.1</v>
      </c>
    </row>
    <row r="6123">
      <c r="A6123" s="544" t="n">
        <v>37781</v>
      </c>
      <c r="B6123" s="538" t="n">
        <v>28.62</v>
      </c>
      <c r="C6123" s="538" t="n">
        <v>31.36</v>
      </c>
      <c r="D6123" s="538" t="n">
        <v>25.94</v>
      </c>
      <c r="E6123" s="538" t="n">
        <v>29.05</v>
      </c>
    </row>
    <row r="6124">
      <c r="A6124" s="544" t="n">
        <v>37782</v>
      </c>
      <c r="B6124" s="538" t="n">
        <v>28.44</v>
      </c>
      <c r="C6124" s="538" t="n">
        <v>31.72</v>
      </c>
      <c r="D6124" s="538" t="n">
        <v>26.28</v>
      </c>
      <c r="E6124" s="538" t="n">
        <v>29.4</v>
      </c>
    </row>
    <row r="6125">
      <c r="A6125" s="544" t="n">
        <v>37783</v>
      </c>
      <c r="B6125" s="538" t="n">
        <v>28.97</v>
      </c>
      <c r="C6125" s="538" t="n">
        <v>32.17</v>
      </c>
      <c r="D6125" s="538" t="n">
        <v>26.29</v>
      </c>
      <c r="E6125" s="538" t="n">
        <v>29.15</v>
      </c>
    </row>
    <row r="6126">
      <c r="A6126" s="544" t="n">
        <v>37784</v>
      </c>
      <c r="B6126" s="538" t="n">
        <v>28.48</v>
      </c>
      <c r="C6126" s="538" t="n">
        <v>31.41</v>
      </c>
      <c r="D6126" s="538" t="n">
        <v>25.57</v>
      </c>
      <c r="E6126" s="538" t="n">
        <v>29.3</v>
      </c>
    </row>
    <row r="6127">
      <c r="A6127" s="544" t="n">
        <v>37785</v>
      </c>
      <c r="B6127" s="538" t="n">
        <v>27.39</v>
      </c>
      <c r="C6127" s="538" t="n">
        <v>30.63</v>
      </c>
      <c r="D6127" s="538" t="n">
        <v>24.94</v>
      </c>
      <c r="E6127" s="538" t="n">
        <v>28.7</v>
      </c>
    </row>
    <row r="6128">
      <c r="A6128" s="544" t="n">
        <v>37788</v>
      </c>
      <c r="B6128" s="538" t="n">
        <v>27.5</v>
      </c>
      <c r="C6128" s="538" t="n">
        <v>31.14</v>
      </c>
      <c r="D6128" s="538" t="n">
        <v>25.15</v>
      </c>
      <c r="E6128" s="538" t="n">
        <v>28.1</v>
      </c>
    </row>
    <row r="6129">
      <c r="A6129" s="544" t="n">
        <v>37789</v>
      </c>
      <c r="B6129" s="538" t="n">
        <v>27.14</v>
      </c>
      <c r="C6129" s="538" t="n">
        <v>31.08</v>
      </c>
      <c r="D6129" s="538" t="n">
        <v>25.2</v>
      </c>
      <c r="E6129" s="538" t="n">
        <v>28.2</v>
      </c>
    </row>
    <row r="6130">
      <c r="A6130" s="544" t="n">
        <v>37790</v>
      </c>
      <c r="B6130" s="538" t="n">
        <v>26.43</v>
      </c>
      <c r="C6130" s="538" t="n">
        <v>30.28</v>
      </c>
      <c r="D6130" s="538" t="n">
        <v>24.74</v>
      </c>
      <c r="E6130" s="538" t="n">
        <v>27.7</v>
      </c>
    </row>
    <row r="6131">
      <c r="A6131" s="544" t="n">
        <v>37791</v>
      </c>
      <c r="B6131" s="538" t="n">
        <v>26.21</v>
      </c>
      <c r="C6131" s="538" t="n">
        <v>29.86</v>
      </c>
      <c r="D6131" s="538" t="n">
        <v>25.22</v>
      </c>
      <c r="E6131" s="538" t="n">
        <v>27.7</v>
      </c>
    </row>
    <row r="6132">
      <c r="A6132" s="544" t="n">
        <v>37792</v>
      </c>
      <c r="B6132" s="538" t="n">
        <v>27.13</v>
      </c>
      <c r="C6132" s="538" t="n">
        <v>30.63</v>
      </c>
      <c r="D6132" s="538" t="n">
        <v>25.74</v>
      </c>
      <c r="E6132" s="538" t="n">
        <v>28.25</v>
      </c>
    </row>
    <row r="6133">
      <c r="A6133" s="544" t="n">
        <v>37795</v>
      </c>
      <c r="B6133" s="538" t="n">
        <v>27.13</v>
      </c>
      <c r="C6133" s="538" t="n">
        <v>30.22</v>
      </c>
      <c r="D6133" s="538" t="n">
        <v>25.65</v>
      </c>
      <c r="E6133" s="538" t="n">
        <v>28.5</v>
      </c>
    </row>
    <row r="6134">
      <c r="A6134" s="544" t="n">
        <v>37796</v>
      </c>
      <c r="B6134" s="538" t="n">
        <v>26.96</v>
      </c>
      <c r="C6134" s="538" t="n">
        <v>30.05</v>
      </c>
      <c r="D6134" s="538" t="n">
        <v>25.56</v>
      </c>
      <c r="E6134" s="538" t="n">
        <v>28.2</v>
      </c>
    </row>
    <row r="6135">
      <c r="A6135" s="544" t="n">
        <v>37797</v>
      </c>
      <c r="B6135" s="538" t="n">
        <v>27.34</v>
      </c>
      <c r="C6135" s="538" t="n">
        <v>31.65</v>
      </c>
      <c r="D6135" s="538" t="n">
        <v>26.56</v>
      </c>
      <c r="E6135" s="538" t="n">
        <v>28.1</v>
      </c>
    </row>
    <row r="6136">
      <c r="A6136" s="544" t="n">
        <v>37798</v>
      </c>
      <c r="B6136" s="538" t="n">
        <v>27.06</v>
      </c>
      <c r="C6136" s="538" t="n">
        <v>28.97</v>
      </c>
      <c r="D6136" s="538" t="n">
        <v>25.91</v>
      </c>
      <c r="E6136" s="538" t="n">
        <v>28.8</v>
      </c>
    </row>
    <row r="6137">
      <c r="A6137" s="544" t="n">
        <v>37799</v>
      </c>
      <c r="B6137" s="538" t="n">
        <v>27.45</v>
      </c>
      <c r="C6137" s="538" t="n">
        <v>29.18</v>
      </c>
      <c r="D6137" s="538" t="n">
        <v>26.15</v>
      </c>
      <c r="E6137" s="538" t="n">
        <v>28.4</v>
      </c>
    </row>
    <row r="6138">
      <c r="A6138" s="544" t="n">
        <v>37802</v>
      </c>
      <c r="B6138" s="538" t="n">
        <v>28.88</v>
      </c>
      <c r="C6138" s="538" t="n">
        <v>30.15</v>
      </c>
      <c r="D6138" s="538" t="n">
        <v>26.95</v>
      </c>
      <c r="E6138" s="538" t="n">
        <v>29</v>
      </c>
    </row>
    <row r="6139">
      <c r="A6139" s="544" t="n">
        <v>37803</v>
      </c>
      <c r="B6139" s="538" t="n">
        <v>28.33</v>
      </c>
      <c r="C6139" s="538" t="n">
        <v>30.41</v>
      </c>
      <c r="D6139" s="538" t="n">
        <v>27.04</v>
      </c>
      <c r="E6139" s="538" t="n">
        <v>29</v>
      </c>
    </row>
    <row r="6140">
      <c r="A6140" s="544" t="n">
        <v>37804</v>
      </c>
      <c r="B6140" s="538" t="n">
        <v>28.2</v>
      </c>
      <c r="C6140" s="538" t="n">
        <v>30.29</v>
      </c>
      <c r="D6140" s="538" t="n">
        <v>26.66</v>
      </c>
      <c r="E6140" s="538" t="n">
        <v>28.8</v>
      </c>
    </row>
    <row r="6141">
      <c r="A6141" s="544" t="n">
        <v>37805</v>
      </c>
      <c r="B6141" s="538" t="n">
        <v>28.63</v>
      </c>
      <c r="C6141" s="538" t="n">
        <v>30.39</v>
      </c>
      <c r="D6141" s="538" t="n">
        <v>26.89</v>
      </c>
      <c r="E6141" s="538" t="n">
        <v>28.6</v>
      </c>
    </row>
    <row r="6142">
      <c r="A6142" s="544" t="n">
        <v>37806</v>
      </c>
      <c r="B6142" s="538" t="n">
        <v>27.97</v>
      </c>
      <c r="C6142" s="538" t="n">
        <v>30.39</v>
      </c>
      <c r="D6142" s="538" t="n">
        <v>26.89</v>
      </c>
      <c r="E6142" s="538" t="n">
        <v>28.9</v>
      </c>
    </row>
    <row r="6143">
      <c r="A6143" s="544" t="n">
        <v>37809</v>
      </c>
      <c r="B6143" s="538" t="n">
        <v>27.23</v>
      </c>
      <c r="C6143" s="538" t="n">
        <v>30.08</v>
      </c>
      <c r="D6143" s="538" t="n">
        <v>26.51</v>
      </c>
      <c r="E6143" s="538" t="n">
        <v>28.5</v>
      </c>
    </row>
    <row r="6144">
      <c r="A6144" s="544" t="n">
        <v>37810</v>
      </c>
      <c r="B6144" s="538" t="n">
        <v>27.95</v>
      </c>
      <c r="C6144" s="538" t="n">
        <v>30.32</v>
      </c>
      <c r="D6144" s="538" t="n">
        <v>26.76</v>
      </c>
      <c r="E6144" s="538" t="n">
        <v>28</v>
      </c>
    </row>
    <row r="6145">
      <c r="A6145" s="544" t="n">
        <v>37811</v>
      </c>
      <c r="B6145" s="538" t="n">
        <v>28.21</v>
      </c>
      <c r="C6145" s="538" t="n">
        <v>30.87</v>
      </c>
      <c r="D6145" s="538" t="n">
        <v>27.18</v>
      </c>
      <c r="E6145" s="538" t="n">
        <v>27.8</v>
      </c>
    </row>
    <row r="6146">
      <c r="A6146" s="544" t="n">
        <v>37812</v>
      </c>
      <c r="B6146" s="538" t="n">
        <v>29.37</v>
      </c>
      <c r="C6146" s="538" t="n">
        <v>31.04</v>
      </c>
      <c r="D6146" s="538" t="n">
        <v>27.24</v>
      </c>
      <c r="E6146" s="538" t="n">
        <v>28.8</v>
      </c>
    </row>
    <row r="6147">
      <c r="A6147" s="544" t="n">
        <v>37813</v>
      </c>
      <c r="B6147" s="538" t="n">
        <v>29.36</v>
      </c>
      <c r="C6147" s="538" t="n">
        <v>31.33</v>
      </c>
      <c r="D6147" s="538" t="n">
        <v>27.51</v>
      </c>
      <c r="E6147" s="538" t="n">
        <v>28.8</v>
      </c>
    </row>
    <row r="6148">
      <c r="A6148" s="544" t="n">
        <v>37816</v>
      </c>
      <c r="B6148" s="538" t="n">
        <v>28.52</v>
      </c>
      <c r="C6148" s="538" t="n">
        <v>31.2</v>
      </c>
      <c r="D6148" s="538" t="n">
        <v>27.24</v>
      </c>
      <c r="E6148" s="538" t="n">
        <v>29.65</v>
      </c>
    </row>
    <row r="6149">
      <c r="A6149" s="544" t="n">
        <v>37817</v>
      </c>
      <c r="B6149" s="538" t="n">
        <v>28.87</v>
      </c>
      <c r="C6149" s="538" t="n">
        <v>31.6</v>
      </c>
      <c r="D6149" s="538" t="n">
        <v>27.4</v>
      </c>
      <c r="E6149" s="538" t="n">
        <v>29.35</v>
      </c>
    </row>
    <row r="6150">
      <c r="A6150" s="544" t="n">
        <v>37818</v>
      </c>
      <c r="B6150" s="538" t="n">
        <v>28.51</v>
      </c>
      <c r="C6150" s="538" t="n">
        <v>31.2</v>
      </c>
      <c r="D6150" s="538" t="n">
        <v>26.87</v>
      </c>
      <c r="E6150" s="538" t="n">
        <v>29.9</v>
      </c>
    </row>
    <row r="6151">
      <c r="A6151" s="544" t="n">
        <v>37819</v>
      </c>
      <c r="B6151" s="538" t="n">
        <v>28.59</v>
      </c>
      <c r="C6151" s="538" t="n">
        <v>31.44</v>
      </c>
      <c r="D6151" s="538" t="n">
        <v>27.02</v>
      </c>
      <c r="E6151" s="538" t="n">
        <v>30.2</v>
      </c>
    </row>
    <row r="6152">
      <c r="A6152" s="544" t="n">
        <v>37820</v>
      </c>
      <c r="B6152" s="538" t="n">
        <v>29.2</v>
      </c>
      <c r="C6152" s="538" t="n">
        <v>31.96</v>
      </c>
      <c r="D6152" s="538" t="n">
        <v>27.35</v>
      </c>
      <c r="E6152" s="538" t="n">
        <v>30.4</v>
      </c>
    </row>
    <row r="6153">
      <c r="A6153" s="544" t="n">
        <v>37823</v>
      </c>
      <c r="B6153" s="538" t="n">
        <v>28.01</v>
      </c>
      <c r="C6153" s="538" t="n">
        <v>31.67</v>
      </c>
      <c r="D6153" s="538" t="n">
        <v>26.9</v>
      </c>
      <c r="E6153" s="538" t="n">
        <v>30.8</v>
      </c>
    </row>
    <row r="6154">
      <c r="A6154" s="544" t="n">
        <v>37824</v>
      </c>
      <c r="B6154" s="538" t="n">
        <v>28.4</v>
      </c>
      <c r="C6154" s="538" t="n">
        <v>30.2</v>
      </c>
      <c r="D6154" s="538" t="n">
        <v>26.02</v>
      </c>
      <c r="E6154" s="538" t="n">
        <v>30.8</v>
      </c>
    </row>
    <row r="6155">
      <c r="A6155" s="544" t="n">
        <v>37825</v>
      </c>
      <c r="B6155" s="538" t="n">
        <v>27.67</v>
      </c>
      <c r="C6155" s="538" t="n">
        <v>30.13</v>
      </c>
      <c r="D6155" s="538" t="n">
        <v>26.34</v>
      </c>
      <c r="E6155" s="538" t="n">
        <v>30.1</v>
      </c>
    </row>
    <row r="6156">
      <c r="A6156" s="544" t="n">
        <v>37826</v>
      </c>
      <c r="B6156" s="538" t="n">
        <v>27.73</v>
      </c>
      <c r="C6156" s="538" t="n">
        <v>30.72</v>
      </c>
      <c r="D6156" s="538" t="n">
        <v>26.8</v>
      </c>
      <c r="E6156" s="538" t="n">
        <v>30</v>
      </c>
    </row>
    <row r="6157">
      <c r="A6157" s="544" t="n">
        <v>37827</v>
      </c>
      <c r="B6157" s="538" t="n">
        <v>28.3</v>
      </c>
      <c r="C6157" s="538" t="n">
        <v>30.31</v>
      </c>
      <c r="D6157" s="538" t="n">
        <v>26.81</v>
      </c>
      <c r="E6157" s="538" t="n">
        <v>30.55</v>
      </c>
    </row>
    <row r="6158">
      <c r="A6158" s="544" t="n">
        <v>37830</v>
      </c>
      <c r="B6158" s="538" t="n">
        <v>27.71</v>
      </c>
      <c r="C6158" s="538" t="n">
        <v>29.98</v>
      </c>
      <c r="D6158" s="538" t="n">
        <v>26.49</v>
      </c>
      <c r="E6158" s="538" t="n">
        <v>30.4</v>
      </c>
    </row>
    <row r="6159">
      <c r="A6159" s="544" t="n">
        <v>37831</v>
      </c>
      <c r="B6159" s="538" t="n">
        <v>28.27</v>
      </c>
      <c r="C6159" s="538" t="n">
        <v>30.21</v>
      </c>
      <c r="D6159" s="538" t="n">
        <v>26.72</v>
      </c>
      <c r="E6159" s="538" t="n">
        <v>30.5</v>
      </c>
    </row>
    <row r="6160">
      <c r="A6160" s="544" t="n">
        <v>37832</v>
      </c>
      <c r="B6160" s="538" t="n">
        <v>28.31</v>
      </c>
      <c r="C6160" s="538" t="n">
        <v>30.69</v>
      </c>
      <c r="D6160" s="538" t="n">
        <v>27.2</v>
      </c>
      <c r="E6160" s="538" t="n">
        <v>30.8</v>
      </c>
    </row>
    <row r="6161">
      <c r="A6161" s="544" t="n">
        <v>37833</v>
      </c>
      <c r="B6161" s="538" t="n">
        <v>28.68</v>
      </c>
      <c r="C6161" s="538" t="n">
        <v>30.56</v>
      </c>
      <c r="D6161" s="538" t="n">
        <v>26.74</v>
      </c>
      <c r="E6161" s="538" t="n">
        <v>31.4</v>
      </c>
    </row>
    <row r="6162">
      <c r="A6162" s="544" t="n">
        <v>37834</v>
      </c>
      <c r="B6162" s="538" t="n">
        <v>29.63</v>
      </c>
      <c r="C6162" s="538" t="n">
        <v>32.23</v>
      </c>
      <c r="D6162" s="538" t="n">
        <v>28.24</v>
      </c>
      <c r="E6162" s="538" t="n">
        <v>31.55</v>
      </c>
    </row>
    <row r="6163">
      <c r="A6163" s="544" t="n">
        <v>37837</v>
      </c>
      <c r="B6163" s="538" t="n">
        <v>29.91</v>
      </c>
      <c r="C6163" s="538" t="n">
        <v>31.8</v>
      </c>
      <c r="D6163" s="538" t="n">
        <v>27.75</v>
      </c>
      <c r="E6163" s="538" t="n">
        <v>31.6</v>
      </c>
    </row>
    <row r="6164">
      <c r="A6164" s="544" t="n">
        <v>37838</v>
      </c>
      <c r="B6164" s="538" t="n">
        <v>30.37</v>
      </c>
      <c r="C6164" s="538" t="n">
        <v>32.34</v>
      </c>
      <c r="D6164" s="538" t="n">
        <v>28.27</v>
      </c>
      <c r="E6164" s="538" t="n">
        <v>33</v>
      </c>
    </row>
    <row r="6165">
      <c r="A6165" s="544" t="n">
        <v>37839</v>
      </c>
      <c r="B6165" s="538" t="n">
        <v>30.01</v>
      </c>
      <c r="C6165" s="538" t="n">
        <v>31.77</v>
      </c>
      <c r="D6165" s="538" t="n">
        <v>27.82</v>
      </c>
      <c r="E6165" s="538" t="n">
        <v>34.35</v>
      </c>
    </row>
    <row r="6166">
      <c r="A6166" s="544" t="n">
        <v>37840</v>
      </c>
      <c r="B6166" s="538" t="n">
        <v>30.06</v>
      </c>
      <c r="C6166" s="538" t="n">
        <v>32.41</v>
      </c>
      <c r="D6166" s="538" t="n">
        <v>28.55</v>
      </c>
      <c r="E6166" s="538" t="n">
        <v>33.5</v>
      </c>
    </row>
    <row r="6167">
      <c r="A6167" s="544" t="n">
        <v>37841</v>
      </c>
      <c r="B6167" s="538" t="n">
        <v>30.59</v>
      </c>
      <c r="C6167" s="538" t="n">
        <v>32.23</v>
      </c>
      <c r="D6167" s="538" t="n">
        <v>28.29</v>
      </c>
      <c r="E6167" s="538" t="n">
        <v>34.5</v>
      </c>
    </row>
    <row r="6168">
      <c r="A6168" s="544" t="n">
        <v>37844</v>
      </c>
      <c r="B6168" s="538" t="n">
        <v>30.05</v>
      </c>
      <c r="C6168" s="538" t="n">
        <v>31.91</v>
      </c>
      <c r="D6168" s="538" t="n">
        <v>28.02</v>
      </c>
      <c r="E6168" s="538" t="n">
        <v>33.6</v>
      </c>
    </row>
    <row r="6169">
      <c r="A6169" s="544" t="n">
        <v>37845</v>
      </c>
      <c r="B6169" s="538" t="n">
        <v>30.13</v>
      </c>
      <c r="C6169" s="538" t="n">
        <v>31.91</v>
      </c>
      <c r="D6169" s="538" t="n">
        <v>28.23</v>
      </c>
      <c r="E6169" s="538" t="n">
        <v>33.3</v>
      </c>
    </row>
    <row r="6170">
      <c r="A6170" s="544" t="n">
        <v>37846</v>
      </c>
      <c r="B6170" s="538" t="n">
        <v>29.66</v>
      </c>
      <c r="C6170" s="538" t="n">
        <v>30.85</v>
      </c>
      <c r="D6170" s="538" t="n">
        <v>27.2</v>
      </c>
      <c r="E6170" s="538" t="n">
        <v>33.55</v>
      </c>
    </row>
    <row r="6171">
      <c r="A6171" s="544" t="n">
        <v>37847</v>
      </c>
      <c r="B6171" s="538" t="n">
        <v>28.96</v>
      </c>
      <c r="C6171" s="538" t="n">
        <v>30.85</v>
      </c>
      <c r="D6171" s="538" t="n">
        <v>27.74</v>
      </c>
      <c r="E6171" s="538" t="n">
        <v>32.7</v>
      </c>
    </row>
    <row r="6172">
      <c r="A6172" s="544" t="n">
        <v>37848</v>
      </c>
      <c r="B6172" s="538" t="n">
        <v>29.18</v>
      </c>
      <c r="C6172" s="538" t="n">
        <v>31.01</v>
      </c>
      <c r="D6172" s="538" t="n">
        <v>27.35</v>
      </c>
      <c r="E6172" s="538" t="n">
        <v>33.6</v>
      </c>
    </row>
    <row r="6173">
      <c r="A6173" s="544" t="n">
        <v>37851</v>
      </c>
      <c r="B6173" s="538" t="n">
        <v>29.88</v>
      </c>
      <c r="C6173" s="538" t="n">
        <v>30.81</v>
      </c>
      <c r="D6173" s="538" t="n">
        <v>27.13</v>
      </c>
      <c r="E6173" s="538" t="n">
        <v>33.35</v>
      </c>
    </row>
    <row r="6174">
      <c r="A6174" s="544" t="n">
        <v>37852</v>
      </c>
      <c r="B6174" s="538" t="n">
        <v>29.18</v>
      </c>
      <c r="C6174" s="538" t="n">
        <v>30.76</v>
      </c>
      <c r="D6174" s="538" t="n">
        <v>27.05</v>
      </c>
      <c r="E6174" s="538" t="n">
        <v>32.9</v>
      </c>
    </row>
    <row r="6175">
      <c r="A6175" s="544" t="n">
        <v>37853</v>
      </c>
      <c r="B6175" s="538" t="n">
        <v>29.28</v>
      </c>
      <c r="C6175" s="538" t="n">
        <v>30.96</v>
      </c>
      <c r="D6175" s="538" t="n">
        <v>27.41</v>
      </c>
      <c r="E6175" s="538" t="n">
        <v>32.8</v>
      </c>
    </row>
    <row r="6176">
      <c r="A6176" s="544" t="n">
        <v>37854</v>
      </c>
      <c r="B6176" s="538" t="n">
        <v>29.95</v>
      </c>
      <c r="C6176" s="538" t="n">
        <v>31.78</v>
      </c>
      <c r="D6176" s="538" t="n">
        <v>28.22</v>
      </c>
      <c r="E6176" s="538" t="n">
        <v>33.6</v>
      </c>
    </row>
    <row r="6177">
      <c r="A6177" s="544" t="n">
        <v>37855</v>
      </c>
      <c r="B6177" s="538" t="n">
        <v>30.22</v>
      </c>
      <c r="C6177" s="538" t="n">
        <v>31.64</v>
      </c>
      <c r="D6177" s="538" t="n">
        <v>28.22</v>
      </c>
      <c r="E6177" s="538" t="n">
        <v>34.35</v>
      </c>
    </row>
    <row r="6178">
      <c r="A6178" s="544" t="n">
        <v>37858</v>
      </c>
      <c r="B6178" s="538" t="n">
        <v>29.98</v>
      </c>
      <c r="C6178" s="538" t="n">
        <v>31.43</v>
      </c>
      <c r="D6178" s="538" t="n">
        <v>28.14</v>
      </c>
      <c r="E6178" s="538" t="n">
        <v>34.4</v>
      </c>
    </row>
    <row r="6179">
      <c r="A6179" s="544" t="n">
        <v>37859</v>
      </c>
      <c r="B6179" s="538" t="n">
        <v>30.08</v>
      </c>
      <c r="C6179" s="538" t="n">
        <v>32.01</v>
      </c>
      <c r="D6179" s="538" t="n">
        <v>28.33</v>
      </c>
      <c r="E6179" s="538" t="n">
        <v>34.3</v>
      </c>
    </row>
    <row r="6180">
      <c r="A6180" s="544" t="n">
        <v>37860</v>
      </c>
      <c r="B6180" s="538" t="n">
        <v>30.05</v>
      </c>
      <c r="C6180" s="538" t="n">
        <v>31.18</v>
      </c>
      <c r="D6180" s="538" t="n">
        <v>27.73</v>
      </c>
      <c r="E6180" s="538" t="n">
        <v>34.4</v>
      </c>
    </row>
    <row r="6181">
      <c r="A6181" s="544" t="n">
        <v>37861</v>
      </c>
      <c r="B6181" s="538" t="n">
        <v>30.1</v>
      </c>
      <c r="C6181" s="538" t="n">
        <v>31.41</v>
      </c>
      <c r="D6181" s="538" t="n">
        <v>27.66</v>
      </c>
      <c r="E6181" s="538" t="n">
        <v>34</v>
      </c>
    </row>
    <row r="6182">
      <c r="A6182" s="544" t="n">
        <v>37862</v>
      </c>
      <c r="B6182" s="538" t="n">
        <v>30.38</v>
      </c>
      <c r="C6182" s="538" t="n">
        <v>31.76</v>
      </c>
      <c r="D6182" s="538" t="n">
        <v>27.66</v>
      </c>
      <c r="E6182" s="538" t="n">
        <v>33.6</v>
      </c>
    </row>
    <row r="6183">
      <c r="A6183" s="544" t="n">
        <v>37865</v>
      </c>
      <c r="B6183" s="538" t="n">
        <v>29.64</v>
      </c>
      <c r="C6183" s="538" t="n">
        <v>31.76</v>
      </c>
      <c r="D6183" s="538" t="n">
        <v>27.66</v>
      </c>
      <c r="E6183" s="538" t="n">
        <v>33.5</v>
      </c>
    </row>
    <row r="6184">
      <c r="A6184" s="544" t="n">
        <v>37866</v>
      </c>
      <c r="B6184" s="538" t="n">
        <v>28.08</v>
      </c>
      <c r="C6184" s="538" t="n">
        <v>29.57</v>
      </c>
      <c r="D6184" s="538" t="n">
        <v>25.73</v>
      </c>
      <c r="E6184" s="538" t="n">
        <v>32.9</v>
      </c>
    </row>
    <row r="6185">
      <c r="A6185" s="544" t="n">
        <v>37867</v>
      </c>
      <c r="B6185" s="538" t="n">
        <v>27.89</v>
      </c>
      <c r="C6185" s="538" t="n">
        <v>29.43</v>
      </c>
      <c r="D6185" s="538" t="n">
        <v>25.93</v>
      </c>
      <c r="E6185" s="538" t="n">
        <v>32.5</v>
      </c>
    </row>
    <row r="6186">
      <c r="A6186" s="544" t="n">
        <v>37868</v>
      </c>
      <c r="B6186" s="538" t="n">
        <v>27.49</v>
      </c>
      <c r="C6186" s="538" t="n">
        <v>28.87</v>
      </c>
      <c r="D6186" s="538" t="n">
        <v>25.56</v>
      </c>
      <c r="E6186" s="538" t="n">
        <v>32.4</v>
      </c>
    </row>
    <row r="6187">
      <c r="A6187" s="544" t="n">
        <v>37869</v>
      </c>
      <c r="B6187" s="538" t="n">
        <v>27.72</v>
      </c>
      <c r="C6187" s="538" t="n">
        <v>28.93</v>
      </c>
      <c r="D6187" s="538" t="n">
        <v>25.57</v>
      </c>
      <c r="E6187" s="538" t="n">
        <v>31.05</v>
      </c>
    </row>
    <row r="6188">
      <c r="A6188" s="544" t="n">
        <v>37872</v>
      </c>
      <c r="B6188" s="538" t="n">
        <v>28.47</v>
      </c>
      <c r="C6188" s="538" t="n">
        <v>28.85</v>
      </c>
      <c r="D6188" s="538" t="n">
        <v>25.53</v>
      </c>
      <c r="E6188" s="538" t="n">
        <v>31.05</v>
      </c>
    </row>
    <row r="6189">
      <c r="A6189" s="544" t="n">
        <v>37873</v>
      </c>
      <c r="B6189" s="538" t="n">
        <v>27.64</v>
      </c>
      <c r="C6189" s="538" t="n">
        <v>29.22</v>
      </c>
      <c r="D6189" s="538" t="n">
        <v>25.64</v>
      </c>
      <c r="E6189" s="538" t="n">
        <v>31.6</v>
      </c>
    </row>
    <row r="6190">
      <c r="A6190" s="544" t="n">
        <v>37874</v>
      </c>
      <c r="B6190" s="538" t="n">
        <v>27.76</v>
      </c>
      <c r="C6190" s="538" t="n">
        <v>29.41</v>
      </c>
      <c r="D6190" s="538" t="n">
        <v>25.92</v>
      </c>
      <c r="E6190" s="538" t="n">
        <v>31.6</v>
      </c>
    </row>
    <row r="6191">
      <c r="A6191" s="544" t="n">
        <v>37875</v>
      </c>
      <c r="B6191" s="538" t="n">
        <v>27.48</v>
      </c>
      <c r="C6191" s="538" t="n">
        <v>28.86</v>
      </c>
      <c r="D6191" s="538" t="n">
        <v>25.33</v>
      </c>
      <c r="E6191" s="538" t="n">
        <v>32</v>
      </c>
    </row>
    <row r="6192">
      <c r="A6192" s="544" t="n">
        <v>37876</v>
      </c>
      <c r="B6192" s="538" t="n">
        <v>26.52</v>
      </c>
      <c r="C6192" s="538" t="n">
        <v>28.26</v>
      </c>
      <c r="D6192" s="538" t="n">
        <v>24.86</v>
      </c>
      <c r="E6192" s="538" t="n">
        <v>31.25</v>
      </c>
    </row>
    <row r="6193">
      <c r="A6193" s="544" t="n">
        <v>37879</v>
      </c>
      <c r="B6193" s="538" t="n">
        <v>26.38</v>
      </c>
      <c r="C6193" s="538" t="n">
        <v>28.15</v>
      </c>
      <c r="D6193" s="538" t="n">
        <v>24.95</v>
      </c>
      <c r="E6193" s="538" t="n">
        <v>30.65</v>
      </c>
    </row>
    <row r="6194">
      <c r="A6194" s="544" t="n">
        <v>37880</v>
      </c>
      <c r="B6194" s="538" t="n">
        <v>26.28</v>
      </c>
      <c r="C6194" s="538" t="n">
        <v>27.6</v>
      </c>
      <c r="D6194" s="538" t="n">
        <v>24.77</v>
      </c>
      <c r="E6194" s="538" t="n">
        <v>31</v>
      </c>
    </row>
    <row r="6195">
      <c r="A6195" s="544" t="n">
        <v>37881</v>
      </c>
      <c r="B6195" s="538" t="n">
        <v>25.76</v>
      </c>
      <c r="C6195" s="538" t="n">
        <v>27</v>
      </c>
      <c r="D6195" s="538" t="n">
        <v>24.2</v>
      </c>
      <c r="E6195" s="538" t="n">
        <v>30.75</v>
      </c>
    </row>
    <row r="6196">
      <c r="A6196" s="544" t="n">
        <v>37882</v>
      </c>
      <c r="B6196" s="538" t="n">
        <v>25.56</v>
      </c>
      <c r="C6196" s="538" t="n">
        <v>27.26</v>
      </c>
      <c r="D6196" s="538" t="n">
        <v>24.22</v>
      </c>
      <c r="E6196" s="538" t="n">
        <v>30</v>
      </c>
    </row>
    <row r="6197">
      <c r="A6197" s="544" t="n">
        <v>37883</v>
      </c>
      <c r="B6197" s="538" t="n">
        <v>25.51</v>
      </c>
      <c r="C6197" s="538" t="n">
        <v>26.93</v>
      </c>
      <c r="D6197" s="538" t="n">
        <v>24.02</v>
      </c>
      <c r="E6197" s="538" t="n">
        <v>30.55</v>
      </c>
    </row>
    <row r="6198">
      <c r="A6198" s="544" t="n">
        <v>37886</v>
      </c>
      <c r="B6198" s="538" t="n">
        <v>25.82</v>
      </c>
      <c r="C6198" s="538" t="n">
        <v>26.97</v>
      </c>
      <c r="D6198" s="538" t="n">
        <v>24.34</v>
      </c>
      <c r="E6198" s="538" t="n">
        <v>30.35</v>
      </c>
    </row>
    <row r="6199">
      <c r="A6199" s="544" t="n">
        <v>37887</v>
      </c>
      <c r="B6199" s="538" t="n">
        <v>25.74</v>
      </c>
      <c r="C6199" s="538" t="n">
        <v>27</v>
      </c>
      <c r="D6199" s="538" t="n">
        <v>24.24</v>
      </c>
      <c r="E6199" s="538" t="n">
        <v>30.75</v>
      </c>
    </row>
    <row r="6200">
      <c r="A6200" s="544" t="n">
        <v>37888</v>
      </c>
      <c r="B6200" s="538" t="n">
        <v>26.81</v>
      </c>
      <c r="C6200" s="538" t="n">
        <v>28.19</v>
      </c>
      <c r="D6200" s="538" t="n">
        <v>25.52</v>
      </c>
      <c r="E6200" s="538" t="n">
        <v>30.15</v>
      </c>
    </row>
    <row r="6201">
      <c r="A6201" s="544" t="n">
        <v>37889</v>
      </c>
      <c r="B6201" s="538" t="n">
        <v>27.04</v>
      </c>
      <c r="C6201" s="538" t="n">
        <v>28.29</v>
      </c>
      <c r="D6201" s="538" t="n">
        <v>25.42</v>
      </c>
      <c r="E6201" s="538" t="n">
        <v>31.75</v>
      </c>
    </row>
    <row r="6202">
      <c r="A6202" s="544" t="n">
        <v>37890</v>
      </c>
      <c r="B6202" s="538" t="n">
        <v>27.02</v>
      </c>
      <c r="C6202" s="538" t="n">
        <v>28.21</v>
      </c>
      <c r="D6202" s="538" t="n">
        <v>25.26</v>
      </c>
      <c r="E6202" s="538" t="n">
        <v>31.4</v>
      </c>
    </row>
    <row r="6203">
      <c r="A6203" s="544" t="n">
        <v>37893</v>
      </c>
      <c r="B6203" s="538" t="n">
        <v>27.77</v>
      </c>
      <c r="C6203" s="538" t="n">
        <v>28.35</v>
      </c>
      <c r="D6203" s="538" t="n">
        <v>25.41</v>
      </c>
      <c r="E6203" s="538" t="n">
        <v>31.55</v>
      </c>
    </row>
    <row r="6204">
      <c r="A6204" s="544" t="n">
        <v>37894</v>
      </c>
      <c r="B6204" s="538" t="n">
        <v>28.09</v>
      </c>
      <c r="C6204" s="538" t="n">
        <v>29.19</v>
      </c>
      <c r="D6204" s="538" t="n">
        <v>26.18</v>
      </c>
      <c r="E6204" s="538" t="n">
        <v>31.9</v>
      </c>
    </row>
    <row r="6205">
      <c r="A6205" s="544" t="n">
        <v>37895</v>
      </c>
      <c r="B6205" s="538" t="n">
        <v>27.98</v>
      </c>
      <c r="C6205" s="538" t="n">
        <v>29.43</v>
      </c>
      <c r="D6205" s="538" t="n">
        <v>26.12</v>
      </c>
      <c r="E6205" s="538" t="n">
        <v>32.35</v>
      </c>
    </row>
    <row r="6206">
      <c r="A6206" s="544" t="n">
        <v>37896</v>
      </c>
      <c r="B6206" s="538" t="n">
        <v>28.9</v>
      </c>
      <c r="C6206" s="538" t="n">
        <v>29.83</v>
      </c>
      <c r="D6206" s="538" t="n">
        <v>26.37</v>
      </c>
      <c r="E6206" s="538" t="n">
        <v>32.5</v>
      </c>
    </row>
    <row r="6207">
      <c r="A6207" s="544" t="n">
        <v>37897</v>
      </c>
      <c r="B6207" s="538" t="n">
        <v>29.14</v>
      </c>
      <c r="C6207" s="538" t="n">
        <v>30.37</v>
      </c>
      <c r="D6207" s="538" t="n">
        <v>26.88</v>
      </c>
      <c r="E6207" s="538" t="n">
        <v>32.7</v>
      </c>
    </row>
    <row r="6208">
      <c r="A6208" s="544" t="n">
        <v>37900</v>
      </c>
      <c r="B6208" s="538" t="n">
        <v>29.75</v>
      </c>
      <c r="C6208" s="538" t="n">
        <v>30.4</v>
      </c>
      <c r="D6208" s="538" t="n">
        <v>26.9</v>
      </c>
      <c r="E6208" s="538" t="n">
        <v>33.2</v>
      </c>
    </row>
    <row r="6209">
      <c r="A6209" s="544" t="n">
        <v>37901</v>
      </c>
      <c r="B6209" s="538" t="n">
        <v>29.35</v>
      </c>
      <c r="C6209" s="538" t="n">
        <v>30.48</v>
      </c>
      <c r="D6209" s="538" t="n">
        <v>27.16</v>
      </c>
      <c r="E6209" s="538" t="n">
        <v>32.7</v>
      </c>
    </row>
    <row r="6210">
      <c r="A6210" s="544" t="n">
        <v>37902</v>
      </c>
      <c r="B6210" s="538" t="n">
        <v>28.96</v>
      </c>
      <c r="C6210" s="538" t="n">
        <v>29.6</v>
      </c>
      <c r="D6210" s="538" t="n">
        <v>26.62</v>
      </c>
      <c r="E6210" s="538" t="n">
        <v>32.7</v>
      </c>
    </row>
    <row r="6211">
      <c r="A6211" s="544" t="n">
        <v>37903</v>
      </c>
      <c r="B6211" s="538" t="n">
        <v>30.21</v>
      </c>
      <c r="C6211" s="538" t="n">
        <v>30.97</v>
      </c>
      <c r="D6211" s="538" t="n">
        <v>28.27</v>
      </c>
      <c r="E6211" s="538" t="n">
        <v>32.3</v>
      </c>
    </row>
    <row r="6212">
      <c r="A6212" s="544" t="n">
        <v>37904</v>
      </c>
      <c r="B6212" s="538" t="n">
        <v>31.13</v>
      </c>
      <c r="C6212" s="538" t="n">
        <v>32.01</v>
      </c>
      <c r="D6212" s="538" t="n">
        <v>28.8</v>
      </c>
      <c r="E6212" s="538" t="n">
        <v>33.6</v>
      </c>
    </row>
    <row r="6213">
      <c r="A6213" s="544" t="n">
        <v>37907</v>
      </c>
      <c r="B6213" s="538" t="n">
        <v>31</v>
      </c>
      <c r="C6213" s="538" t="n">
        <v>31.91</v>
      </c>
      <c r="D6213" s="538" t="n">
        <v>28.68</v>
      </c>
      <c r="E6213" s="538" t="n">
        <v>34.5</v>
      </c>
    </row>
    <row r="6214">
      <c r="A6214" s="544" t="n">
        <v>37908</v>
      </c>
      <c r="B6214" s="538" t="n">
        <v>31.45</v>
      </c>
      <c r="C6214" s="538" t="n">
        <v>31.68</v>
      </c>
      <c r="D6214" s="538" t="n">
        <v>29.01</v>
      </c>
      <c r="E6214" s="538" t="n">
        <v>34.75</v>
      </c>
    </row>
    <row r="6215">
      <c r="A6215" s="544" t="n">
        <v>37909</v>
      </c>
      <c r="B6215" s="538" t="n">
        <v>31.23</v>
      </c>
      <c r="C6215" s="538" t="n">
        <v>31.74</v>
      </c>
      <c r="D6215" s="538" t="n">
        <v>28.65</v>
      </c>
      <c r="E6215" s="538" t="n">
        <v>34.7</v>
      </c>
    </row>
    <row r="6216">
      <c r="A6216" s="544" t="n">
        <v>37910</v>
      </c>
      <c r="B6216" s="538" t="n">
        <v>31.05</v>
      </c>
      <c r="C6216" s="538" t="n">
        <v>31.51</v>
      </c>
      <c r="D6216" s="538" t="n">
        <v>28.47</v>
      </c>
      <c r="E6216" s="538" t="n">
        <v>35.35</v>
      </c>
    </row>
    <row r="6217">
      <c r="A6217" s="544" t="n">
        <v>37911</v>
      </c>
      <c r="B6217" s="538" t="n">
        <v>30.27</v>
      </c>
      <c r="C6217" s="538" t="n">
        <v>30.61</v>
      </c>
      <c r="D6217" s="538" t="n">
        <v>27.65</v>
      </c>
      <c r="E6217" s="538" t="n">
        <v>34.93</v>
      </c>
    </row>
    <row r="6218">
      <c r="A6218" s="544" t="n">
        <v>37914</v>
      </c>
      <c r="B6218" s="538" t="n">
        <v>29.78</v>
      </c>
      <c r="C6218" s="538" t="n">
        <v>30.37</v>
      </c>
      <c r="D6218" s="538" t="n">
        <v>27.32</v>
      </c>
      <c r="E6218" s="538" t="n">
        <v>33.95</v>
      </c>
    </row>
    <row r="6219">
      <c r="A6219" s="544" t="n">
        <v>37915</v>
      </c>
      <c r="B6219" s="538" t="n">
        <v>29.61</v>
      </c>
      <c r="C6219" s="538" t="n">
        <v>30.19</v>
      </c>
      <c r="D6219" s="538" t="n">
        <v>27.23</v>
      </c>
      <c r="E6219" s="538" t="n">
        <v>34.4</v>
      </c>
    </row>
    <row r="6220">
      <c r="A6220" s="544" t="n">
        <v>37916</v>
      </c>
      <c r="B6220" s="538" t="n">
        <v>29.25</v>
      </c>
      <c r="C6220" s="538" t="n">
        <v>30</v>
      </c>
      <c r="D6220" s="538" t="n">
        <v>27.84</v>
      </c>
      <c r="E6220" s="538" t="n">
        <v>34.55</v>
      </c>
    </row>
    <row r="6221">
      <c r="A6221" s="544" t="n">
        <v>37917</v>
      </c>
      <c r="B6221" s="538" t="n">
        <v>29.63</v>
      </c>
      <c r="C6221" s="538" t="n">
        <v>30.31</v>
      </c>
      <c r="D6221" s="538" t="n">
        <v>27.53</v>
      </c>
      <c r="E6221" s="538" t="n">
        <v>33.9</v>
      </c>
    </row>
    <row r="6222">
      <c r="A6222" s="544" t="n">
        <v>37918</v>
      </c>
      <c r="B6222" s="538" t="n">
        <v>30.01</v>
      </c>
      <c r="C6222" s="538" t="n">
        <v>29.99</v>
      </c>
      <c r="D6222" s="538" t="n">
        <v>27.17</v>
      </c>
      <c r="E6222" s="538" t="n">
        <v>33.9</v>
      </c>
    </row>
    <row r="6223">
      <c r="A6223" s="544" t="n">
        <v>37921</v>
      </c>
      <c r="B6223" s="538" t="n">
        <v>29.38</v>
      </c>
      <c r="C6223" s="538" t="n">
        <v>29.95</v>
      </c>
      <c r="D6223" s="538" t="n">
        <v>27.01</v>
      </c>
      <c r="E6223" s="538" t="n">
        <v>34.2</v>
      </c>
    </row>
    <row r="6224">
      <c r="A6224" s="544" t="n">
        <v>37922</v>
      </c>
      <c r="B6224" s="538" t="n">
        <v>28.99</v>
      </c>
      <c r="C6224" s="538" t="n">
        <v>29.57</v>
      </c>
      <c r="D6224" s="538" t="n">
        <v>26.77</v>
      </c>
      <c r="E6224" s="538" t="n">
        <v>33.9</v>
      </c>
    </row>
    <row r="6225">
      <c r="A6225" s="544" t="n">
        <v>37923</v>
      </c>
      <c r="B6225" s="538" t="n">
        <v>28.56</v>
      </c>
      <c r="C6225" s="538" t="n">
        <v>28.95</v>
      </c>
      <c r="D6225" s="538" t="n">
        <v>26.06</v>
      </c>
      <c r="E6225" s="538" t="n">
        <v>33.8</v>
      </c>
    </row>
    <row r="6226">
      <c r="A6226" s="544" t="n">
        <v>37924</v>
      </c>
      <c r="B6226" s="538" t="n">
        <v>27.47</v>
      </c>
      <c r="C6226" s="538" t="n">
        <v>28.67</v>
      </c>
      <c r="D6226" s="538" t="n">
        <v>25.92</v>
      </c>
      <c r="E6226" s="538" t="n">
        <v>33.35</v>
      </c>
    </row>
    <row r="6227">
      <c r="A6227" s="544" t="n">
        <v>37925</v>
      </c>
      <c r="B6227" s="538" t="n">
        <v>27.88</v>
      </c>
      <c r="C6227" s="538" t="n">
        <v>29.24</v>
      </c>
      <c r="D6227" s="538" t="n">
        <v>26.27</v>
      </c>
      <c r="E6227" s="538" t="n">
        <v>33.7</v>
      </c>
    </row>
    <row r="6228">
      <c r="A6228" s="544" t="n">
        <v>37928</v>
      </c>
      <c r="B6228" s="538" t="n">
        <v>27.78</v>
      </c>
      <c r="C6228" s="538" t="n">
        <v>28.81</v>
      </c>
      <c r="D6228" s="538" t="n">
        <v>25.55</v>
      </c>
      <c r="E6228" s="538" t="n">
        <v>34.2</v>
      </c>
    </row>
    <row r="6229">
      <c r="A6229" s="544" t="n">
        <v>37929</v>
      </c>
      <c r="B6229" s="538" t="n">
        <v>27.32</v>
      </c>
      <c r="C6229" s="538" t="n">
        <v>28.86</v>
      </c>
      <c r="D6229" s="538" t="n">
        <v>25.56</v>
      </c>
      <c r="E6229" s="538" t="n">
        <v>33.9</v>
      </c>
    </row>
    <row r="6230">
      <c r="A6230" s="544" t="n">
        <v>37930</v>
      </c>
      <c r="B6230" s="538" t="n">
        <v>27.9</v>
      </c>
      <c r="C6230" s="538" t="n">
        <v>30.29</v>
      </c>
      <c r="D6230" s="538" t="n">
        <v>26.93</v>
      </c>
      <c r="E6230" s="538" t="n">
        <v>34</v>
      </c>
    </row>
    <row r="6231">
      <c r="A6231" s="544" t="n">
        <v>37931</v>
      </c>
      <c r="B6231" s="538" t="n">
        <v>28.52</v>
      </c>
      <c r="C6231" s="538" t="n">
        <v>30.25</v>
      </c>
      <c r="D6231" s="538" t="n">
        <v>26.77</v>
      </c>
      <c r="E6231" s="538" t="n">
        <v>34.85</v>
      </c>
    </row>
    <row r="6232">
      <c r="A6232" s="544" t="n">
        <v>37932</v>
      </c>
      <c r="B6232" s="538" t="n">
        <v>28.73</v>
      </c>
      <c r="C6232" s="538" t="n">
        <v>30.73</v>
      </c>
      <c r="D6232" s="538" t="n">
        <v>27.2</v>
      </c>
      <c r="E6232" s="538" t="n">
        <v>34.9</v>
      </c>
    </row>
    <row r="6233">
      <c r="A6233" s="544" t="n">
        <v>37935</v>
      </c>
      <c r="B6233" s="538" t="n">
        <v>28.82</v>
      </c>
      <c r="C6233" s="538" t="n">
        <v>31.01</v>
      </c>
      <c r="D6233" s="538" t="n">
        <v>27.45</v>
      </c>
      <c r="E6233" s="538" t="n">
        <v>35.9</v>
      </c>
    </row>
    <row r="6234">
      <c r="A6234" s="544" t="n">
        <v>37936</v>
      </c>
      <c r="B6234" s="538" t="n">
        <v>28.88</v>
      </c>
      <c r="C6234" s="538" t="n">
        <v>31.21</v>
      </c>
      <c r="D6234" s="538" t="n">
        <v>27.83</v>
      </c>
      <c r="E6234" s="538" t="n">
        <v>35.9</v>
      </c>
    </row>
    <row r="6235">
      <c r="A6235" s="544" t="n">
        <v>37937</v>
      </c>
      <c r="B6235" s="538" t="n">
        <v>28.58</v>
      </c>
      <c r="C6235" s="538" t="n">
        <v>31.37</v>
      </c>
      <c r="D6235" s="538" t="n">
        <v>27.79</v>
      </c>
      <c r="E6235" s="538" t="n">
        <v>35.8</v>
      </c>
    </row>
    <row r="6236">
      <c r="A6236" s="544" t="n">
        <v>37938</v>
      </c>
      <c r="B6236" s="538" t="n">
        <v>29.01</v>
      </c>
      <c r="C6236" s="538" t="n">
        <v>31.89</v>
      </c>
      <c r="D6236" s="538" t="n">
        <v>28.2</v>
      </c>
      <c r="E6236" s="538" t="n">
        <v>35.8</v>
      </c>
    </row>
    <row r="6237">
      <c r="A6237" s="544" t="n">
        <v>37939</v>
      </c>
      <c r="B6237" s="538" t="n">
        <v>29.78</v>
      </c>
      <c r="C6237" s="538" t="n">
        <v>32.31</v>
      </c>
      <c r="D6237" s="538" t="n">
        <v>28.44</v>
      </c>
      <c r="E6237" s="538" t="n">
        <v>36.2</v>
      </c>
    </row>
    <row r="6238">
      <c r="A6238" s="544" t="n">
        <v>37942</v>
      </c>
      <c r="B6238" s="538" t="n">
        <v>28.98</v>
      </c>
      <c r="C6238" s="538" t="n">
        <v>31.75</v>
      </c>
      <c r="D6238" s="538" t="n">
        <v>27.87</v>
      </c>
      <c r="E6238" s="538" t="n">
        <v>36.3</v>
      </c>
    </row>
    <row r="6239">
      <c r="A6239" s="544" t="n">
        <v>37943</v>
      </c>
      <c r="B6239" s="538" t="n">
        <v>29.26</v>
      </c>
      <c r="C6239" s="538" t="n">
        <v>33.16</v>
      </c>
      <c r="D6239" s="538" t="n">
        <v>29.16</v>
      </c>
      <c r="E6239" s="538" t="n">
        <v>36.3</v>
      </c>
    </row>
    <row r="6240">
      <c r="A6240" s="544" t="n">
        <v>37944</v>
      </c>
      <c r="B6240" s="538" t="n">
        <v>30.13</v>
      </c>
      <c r="C6240" s="538" t="n">
        <v>32.84</v>
      </c>
      <c r="D6240" s="538" t="n">
        <v>28.51</v>
      </c>
      <c r="E6240" s="538" t="n">
        <v>37.65</v>
      </c>
    </row>
    <row r="6241">
      <c r="A6241" s="544" t="n">
        <v>37945</v>
      </c>
      <c r="B6241" s="538" t="n">
        <v>29.88</v>
      </c>
      <c r="C6241" s="538" t="n">
        <v>32.87</v>
      </c>
      <c r="D6241" s="538" t="n">
        <v>28.36</v>
      </c>
      <c r="E6241" s="538" t="n">
        <v>37</v>
      </c>
    </row>
    <row r="6242">
      <c r="A6242" s="544" t="n">
        <v>37946</v>
      </c>
      <c r="B6242" s="538" t="n">
        <v>29.79</v>
      </c>
      <c r="C6242" s="538" t="n">
        <v>32.26</v>
      </c>
      <c r="D6242" s="538" t="n">
        <v>28.26</v>
      </c>
      <c r="E6242" s="538" t="n">
        <v>37.1</v>
      </c>
    </row>
    <row r="6243">
      <c r="A6243" s="544" t="n">
        <v>37949</v>
      </c>
      <c r="B6243" s="538" t="n">
        <v>27.99</v>
      </c>
      <c r="C6243" s="538" t="n">
        <v>29.99</v>
      </c>
      <c r="D6243" s="538" t="n">
        <v>26.92</v>
      </c>
      <c r="E6243" s="538" t="n">
        <v>36.45</v>
      </c>
    </row>
    <row r="6244">
      <c r="A6244" s="544" t="n">
        <v>37950</v>
      </c>
      <c r="B6244" s="538" t="n">
        <v>27.62</v>
      </c>
      <c r="C6244" s="538" t="n">
        <v>30.02</v>
      </c>
      <c r="D6244" s="538" t="n">
        <v>26.95</v>
      </c>
      <c r="E6244" s="538" t="n">
        <v>36.45</v>
      </c>
    </row>
    <row r="6245">
      <c r="A6245" s="544" t="n">
        <v>37951</v>
      </c>
      <c r="B6245" s="538" t="n">
        <v>28.23</v>
      </c>
      <c r="C6245" s="538" t="n">
        <v>30.33</v>
      </c>
      <c r="D6245" s="538" t="n">
        <v>27.37</v>
      </c>
      <c r="E6245" s="538" t="n">
        <v>36.45</v>
      </c>
    </row>
    <row r="6246">
      <c r="A6246" s="544" t="n">
        <v>37952</v>
      </c>
      <c r="B6246" s="538" t="n">
        <v>28.9</v>
      </c>
      <c r="C6246" s="538" t="n">
        <v>30.33</v>
      </c>
      <c r="D6246" s="538" t="n">
        <v>27.37</v>
      </c>
      <c r="E6246" s="538" t="n">
        <v>35.85</v>
      </c>
    </row>
    <row r="6247">
      <c r="A6247" s="544" t="n">
        <v>37953</v>
      </c>
      <c r="B6247" s="538" t="n">
        <v>28.95</v>
      </c>
      <c r="C6247" s="538" t="n">
        <v>30.33</v>
      </c>
      <c r="D6247" s="538" t="n">
        <v>27.37</v>
      </c>
      <c r="E6247" s="538" t="n">
        <v>35.85</v>
      </c>
    </row>
    <row r="6248">
      <c r="A6248" s="544" t="n">
        <v>37956</v>
      </c>
      <c r="B6248" s="538" t="n">
        <v>28.17</v>
      </c>
      <c r="C6248" s="538" t="n">
        <v>29.89</v>
      </c>
      <c r="D6248" s="538" t="n">
        <v>26.62</v>
      </c>
      <c r="E6248" s="538" t="n">
        <v>35.95</v>
      </c>
    </row>
    <row r="6249">
      <c r="A6249" s="544" t="n">
        <v>37957</v>
      </c>
      <c r="B6249" s="538" t="n">
        <v>29.1</v>
      </c>
      <c r="C6249" s="538" t="n">
        <v>30.74</v>
      </c>
      <c r="D6249" s="538" t="n">
        <v>27.21</v>
      </c>
      <c r="E6249" s="538" t="n">
        <v>36.7</v>
      </c>
    </row>
    <row r="6250">
      <c r="A6250" s="544" t="n">
        <v>37958</v>
      </c>
      <c r="B6250" s="538" t="n">
        <v>29.26</v>
      </c>
      <c r="C6250" s="538" t="n">
        <v>30.61</v>
      </c>
      <c r="D6250" s="538" t="n">
        <v>27.73</v>
      </c>
      <c r="E6250" s="538" t="n">
        <v>37.1</v>
      </c>
    </row>
    <row r="6251">
      <c r="A6251" s="544" t="n">
        <v>37959</v>
      </c>
      <c r="B6251" s="538" t="n">
        <v>29.25</v>
      </c>
      <c r="C6251" s="538" t="n">
        <v>31.24</v>
      </c>
      <c r="D6251" s="538" t="n">
        <v>27.61</v>
      </c>
      <c r="E6251" s="538" t="n">
        <v>37.75</v>
      </c>
    </row>
    <row r="6252">
      <c r="A6252" s="544" t="n">
        <v>37960</v>
      </c>
      <c r="B6252" s="538" t="n">
        <v>28.87</v>
      </c>
      <c r="C6252" s="538" t="n">
        <v>30.68</v>
      </c>
      <c r="D6252" s="538" t="n">
        <v>27.13</v>
      </c>
      <c r="E6252" s="538" t="n">
        <v>37.95</v>
      </c>
    </row>
    <row r="6253">
      <c r="A6253" s="544" t="n">
        <v>37963</v>
      </c>
      <c r="B6253" s="538" t="n">
        <v>30.52</v>
      </c>
      <c r="C6253" s="538" t="n">
        <v>32.08</v>
      </c>
      <c r="D6253" s="538" t="n">
        <v>28.26</v>
      </c>
      <c r="E6253" s="538" t="n">
        <v>37.6</v>
      </c>
    </row>
    <row r="6254">
      <c r="A6254" s="544" t="n">
        <v>37964</v>
      </c>
      <c r="B6254" s="538" t="n">
        <v>30.27</v>
      </c>
      <c r="C6254" s="538" t="n">
        <v>31.72</v>
      </c>
      <c r="D6254" s="538" t="n">
        <v>28.12</v>
      </c>
      <c r="E6254" s="538" t="n">
        <v>37.5</v>
      </c>
    </row>
    <row r="6255">
      <c r="A6255" s="544" t="n">
        <v>37965</v>
      </c>
      <c r="B6255" s="538" t="n">
        <v>30.02</v>
      </c>
      <c r="C6255" s="538" t="n">
        <v>31.92</v>
      </c>
      <c r="D6255" s="538" t="n">
        <v>27.97</v>
      </c>
      <c r="E6255" s="538" t="n">
        <v>37.2</v>
      </c>
    </row>
    <row r="6256">
      <c r="A6256" s="544" t="n">
        <v>37966</v>
      </c>
      <c r="B6256" s="538" t="n">
        <v>29.79</v>
      </c>
      <c r="C6256" s="538" t="n">
        <v>32.01</v>
      </c>
      <c r="D6256" s="538" t="n">
        <v>28.06</v>
      </c>
      <c r="E6256" s="538" t="n">
        <v>36.4</v>
      </c>
    </row>
    <row r="6257">
      <c r="A6257" s="544" t="n">
        <v>37967</v>
      </c>
      <c r="B6257" s="538" t="n">
        <v>30.24</v>
      </c>
      <c r="C6257" s="538" t="n">
        <v>33.06</v>
      </c>
      <c r="D6257" s="538" t="n">
        <v>28.84</v>
      </c>
      <c r="E6257" s="538" t="n">
        <v>36.4</v>
      </c>
    </row>
    <row r="6258">
      <c r="A6258" s="544" t="n">
        <v>37970</v>
      </c>
      <c r="B6258" s="538" t="n">
        <v>30.89</v>
      </c>
      <c r="C6258" s="538" t="n">
        <v>33.17</v>
      </c>
      <c r="D6258" s="538" t="n">
        <v>28.84</v>
      </c>
      <c r="E6258" s="538" t="n">
        <v>37.2</v>
      </c>
    </row>
    <row r="6259">
      <c r="A6259" s="544" t="n">
        <v>37971</v>
      </c>
      <c r="B6259" s="538" t="n">
        <v>30.64</v>
      </c>
      <c r="C6259" s="538" t="n">
        <v>32.94</v>
      </c>
      <c r="D6259" s="538" t="n">
        <v>28.68</v>
      </c>
      <c r="E6259" s="538" t="n">
        <v>37.4</v>
      </c>
    </row>
    <row r="6260">
      <c r="A6260" s="544" t="n">
        <v>37972</v>
      </c>
      <c r="B6260" s="538" t="n">
        <v>31.01</v>
      </c>
      <c r="C6260" s="538" t="n">
        <v>33.36</v>
      </c>
      <c r="D6260" s="538" t="n">
        <v>29.61</v>
      </c>
      <c r="E6260" s="538" t="n">
        <v>37.7</v>
      </c>
    </row>
    <row r="6261">
      <c r="A6261" s="544" t="n">
        <v>37973</v>
      </c>
      <c r="B6261" s="538" t="n">
        <v>30.79</v>
      </c>
      <c r="C6261" s="538" t="n">
        <v>33.72</v>
      </c>
      <c r="D6261" s="538" t="n">
        <v>29.42</v>
      </c>
      <c r="E6261" s="538" t="n">
        <v>38.3</v>
      </c>
    </row>
    <row r="6262">
      <c r="A6262" s="544" t="n">
        <v>37974</v>
      </c>
      <c r="B6262" s="538" t="n">
        <v>31.03</v>
      </c>
      <c r="C6262" s="538" t="n">
        <v>32.81</v>
      </c>
      <c r="D6262" s="538" t="n">
        <v>28.72</v>
      </c>
      <c r="E6262" s="538" t="n">
        <v>38.35</v>
      </c>
    </row>
    <row r="6263">
      <c r="A6263" s="544" t="n">
        <v>37977</v>
      </c>
      <c r="B6263" s="538" t="n">
        <v>28.78</v>
      </c>
      <c r="C6263" s="538" t="n">
        <v>31.71</v>
      </c>
      <c r="D6263" s="538" t="n">
        <v>26.54</v>
      </c>
      <c r="E6263" s="538" t="n">
        <v>37.9</v>
      </c>
    </row>
    <row r="6264">
      <c r="A6264" s="544" t="n">
        <v>37978</v>
      </c>
      <c r="B6264" s="538" t="n">
        <v>28.3</v>
      </c>
      <c r="C6264" s="538" t="n">
        <v>32.03</v>
      </c>
      <c r="D6264" s="538" t="n">
        <v>27.9</v>
      </c>
      <c r="E6264" s="538" t="n">
        <v>37.1</v>
      </c>
    </row>
    <row r="6265">
      <c r="A6265" s="544" t="n">
        <v>37979</v>
      </c>
      <c r="B6265" s="538" t="n">
        <v>29.45</v>
      </c>
      <c r="C6265" s="538" t="n">
        <v>32.99</v>
      </c>
      <c r="D6265" s="538" t="n">
        <v>27.71</v>
      </c>
      <c r="E6265" s="538" t="n">
        <v>37.65</v>
      </c>
    </row>
    <row r="6266">
      <c r="A6266" s="544" t="n">
        <v>37980</v>
      </c>
      <c r="B6266" s="538" t="n">
        <v>29.45</v>
      </c>
      <c r="C6266" s="538" t="n">
        <v>32.99</v>
      </c>
      <c r="D6266" s="538" t="n">
        <v>27.71</v>
      </c>
      <c r="E6266" s="538" t="n">
        <v>37.65</v>
      </c>
    </row>
    <row r="6267">
      <c r="A6267" s="544" t="n">
        <v>37981</v>
      </c>
      <c r="B6267" s="538" t="n">
        <v>29.45</v>
      </c>
      <c r="C6267" s="538" t="n">
        <v>32.99</v>
      </c>
      <c r="D6267" s="538" t="n">
        <v>27.71</v>
      </c>
      <c r="E6267" s="538" t="n">
        <v>37.65</v>
      </c>
    </row>
    <row r="6268">
      <c r="A6268" s="544" t="n">
        <v>37984</v>
      </c>
      <c r="B6268" s="538" t="n">
        <v>29.17</v>
      </c>
      <c r="C6268" s="538" t="n">
        <v>32.51</v>
      </c>
      <c r="D6268" s="538" t="n">
        <v>27.96</v>
      </c>
      <c r="E6268" s="538" t="n">
        <v>37</v>
      </c>
    </row>
    <row r="6269">
      <c r="A6269" s="544" t="n">
        <v>37985</v>
      </c>
      <c r="B6269" s="538" t="n">
        <v>30.1</v>
      </c>
      <c r="C6269" s="538" t="n">
        <v>33.01</v>
      </c>
      <c r="D6269" s="538" t="n">
        <v>28.55</v>
      </c>
      <c r="E6269" s="538" t="n">
        <v>37.2</v>
      </c>
    </row>
    <row r="6270">
      <c r="A6270" s="544" t="n">
        <v>37986</v>
      </c>
      <c r="B6270" s="538" t="n">
        <v>30.3</v>
      </c>
      <c r="C6270" s="538" t="n">
        <v>32.51</v>
      </c>
      <c r="D6270" s="538" t="n">
        <v>28.8</v>
      </c>
      <c r="E6270" s="538" t="n">
        <v>38.4</v>
      </c>
    </row>
    <row r="6271">
      <c r="A6271" s="544" t="n">
        <v>37987</v>
      </c>
      <c r="B6271" s="538" t="n">
        <v>30.3</v>
      </c>
      <c r="C6271" s="538" t="n">
        <v>32.51</v>
      </c>
      <c r="D6271" s="538" t="n">
        <v>28.8</v>
      </c>
      <c r="E6271" s="538" t="n">
        <v>38.4</v>
      </c>
    </row>
    <row r="6272">
      <c r="A6272" s="544" t="n">
        <v>37988</v>
      </c>
      <c r="B6272" s="538" t="n">
        <v>29.55</v>
      </c>
      <c r="C6272" s="538" t="n">
        <v>32.51</v>
      </c>
      <c r="D6272" s="538" t="n">
        <v>28</v>
      </c>
      <c r="E6272" s="538" t="n">
        <v>38</v>
      </c>
    </row>
    <row r="6273">
      <c r="A6273" s="544" t="n">
        <v>37991</v>
      </c>
      <c r="B6273" s="538" t="n">
        <v>32.3</v>
      </c>
      <c r="C6273" s="538" t="n">
        <v>33.71</v>
      </c>
      <c r="D6273" s="538" t="n">
        <v>29.18</v>
      </c>
      <c r="E6273" s="538" t="n">
        <v>38.1</v>
      </c>
    </row>
    <row r="6274">
      <c r="A6274" s="544" t="n">
        <v>37992</v>
      </c>
      <c r="B6274" s="538" t="n">
        <v>31.2</v>
      </c>
      <c r="C6274" s="538" t="n">
        <v>33.54</v>
      </c>
      <c r="D6274" s="538" t="n">
        <v>29.08</v>
      </c>
      <c r="E6274" s="538" t="n">
        <v>39.4</v>
      </c>
    </row>
    <row r="6275">
      <c r="A6275" s="544" t="n">
        <v>37993</v>
      </c>
      <c r="B6275" s="538" t="n">
        <v>30.99</v>
      </c>
      <c r="C6275" s="538" t="n">
        <v>33.57</v>
      </c>
      <c r="D6275" s="538" t="n">
        <v>29.08</v>
      </c>
      <c r="E6275" s="538" t="n">
        <v>39.35</v>
      </c>
    </row>
    <row r="6276">
      <c r="A6276" s="544" t="n">
        <v>37994</v>
      </c>
      <c r="B6276" s="538" t="n">
        <v>31.11</v>
      </c>
      <c r="C6276" s="538" t="n">
        <v>34.27</v>
      </c>
      <c r="D6276" s="538" t="n">
        <v>29.7</v>
      </c>
      <c r="E6276" s="538" t="n">
        <v>39.8</v>
      </c>
    </row>
    <row r="6277">
      <c r="A6277" s="544" t="n">
        <v>37995</v>
      </c>
      <c r="B6277" s="538" t="n">
        <v>31.91</v>
      </c>
      <c r="C6277" s="538" t="n">
        <v>34.38</v>
      </c>
      <c r="D6277" s="538" t="n">
        <v>29.71</v>
      </c>
      <c r="E6277" s="538" t="n">
        <v>40.9</v>
      </c>
    </row>
    <row r="6278">
      <c r="A6278" s="544" t="n">
        <v>37998</v>
      </c>
      <c r="B6278" s="538" t="n">
        <v>31.41</v>
      </c>
      <c r="C6278" s="538" t="n">
        <v>34.92</v>
      </c>
      <c r="D6278" s="538" t="n">
        <v>30.01</v>
      </c>
      <c r="E6278" s="538" t="n">
        <v>40.75</v>
      </c>
    </row>
    <row r="6279">
      <c r="A6279" s="544" t="n">
        <v>37999</v>
      </c>
      <c r="B6279" s="538" t="n">
        <v>32.55</v>
      </c>
      <c r="C6279" s="538" t="n">
        <v>34.26</v>
      </c>
      <c r="D6279" s="538" t="n">
        <v>29.39</v>
      </c>
      <c r="E6279" s="538" t="n">
        <v>41.45</v>
      </c>
    </row>
    <row r="6280">
      <c r="A6280" s="544" t="n">
        <v>38000</v>
      </c>
      <c r="B6280" s="538" t="n">
        <v>31.84</v>
      </c>
      <c r="C6280" s="538" t="n">
        <v>34.62</v>
      </c>
      <c r="D6280" s="538" t="n">
        <v>29.39</v>
      </c>
      <c r="E6280" s="538" t="n">
        <v>40.75</v>
      </c>
    </row>
    <row r="6281">
      <c r="A6281" s="544" t="n">
        <v>38001</v>
      </c>
      <c r="B6281" s="538" t="n">
        <v>31.43</v>
      </c>
      <c r="C6281" s="538" t="n">
        <v>33.61</v>
      </c>
      <c r="D6281" s="538" t="n">
        <v>28.25</v>
      </c>
      <c r="E6281" s="538" t="n">
        <v>40.75</v>
      </c>
    </row>
    <row r="6282">
      <c r="A6282" s="544" t="n">
        <v>38002</v>
      </c>
      <c r="B6282" s="538" t="n">
        <v>31.26</v>
      </c>
      <c r="C6282" s="538" t="n">
        <v>35.16</v>
      </c>
      <c r="D6282" s="538" t="n">
        <v>29.18</v>
      </c>
      <c r="E6282" s="538" t="n">
        <v>40</v>
      </c>
    </row>
    <row r="6283">
      <c r="A6283" s="544" t="n">
        <v>38005</v>
      </c>
      <c r="B6283" s="538" t="n">
        <v>31.67</v>
      </c>
      <c r="C6283" s="538" t="n">
        <v>35.16</v>
      </c>
      <c r="D6283" s="538" t="n">
        <v>29.18</v>
      </c>
      <c r="E6283" s="538" t="n">
        <v>40.2</v>
      </c>
    </row>
    <row r="6284">
      <c r="A6284" s="544" t="n">
        <v>38006</v>
      </c>
      <c r="B6284" s="538" t="n">
        <v>32.26</v>
      </c>
      <c r="C6284" s="538" t="n">
        <v>36.21</v>
      </c>
      <c r="D6284" s="538" t="n">
        <v>29.78</v>
      </c>
      <c r="E6284" s="538" t="n">
        <v>40.48</v>
      </c>
    </row>
    <row r="6285">
      <c r="A6285" s="544" t="n">
        <v>38007</v>
      </c>
      <c r="B6285" s="538" t="n">
        <v>31.95</v>
      </c>
      <c r="C6285" s="538" t="n">
        <v>35.53</v>
      </c>
      <c r="D6285" s="538" t="n">
        <v>29.81</v>
      </c>
      <c r="E6285" s="538" t="n">
        <v>41.1</v>
      </c>
    </row>
    <row r="6286">
      <c r="A6286" s="544" t="n">
        <v>38008</v>
      </c>
      <c r="B6286" s="538" t="n">
        <v>31.42</v>
      </c>
      <c r="C6286" s="538" t="n">
        <v>35.12</v>
      </c>
      <c r="D6286" s="538" t="n">
        <v>29.95</v>
      </c>
      <c r="E6286" s="538" t="n">
        <v>41.1</v>
      </c>
    </row>
    <row r="6287">
      <c r="A6287" s="544" t="n">
        <v>38009</v>
      </c>
      <c r="B6287" s="538" t="n">
        <v>32.08</v>
      </c>
      <c r="C6287" s="538" t="n">
        <v>34.94</v>
      </c>
      <c r="D6287" s="538" t="n">
        <v>29.55</v>
      </c>
      <c r="E6287" s="538" t="n">
        <v>41.1</v>
      </c>
    </row>
    <row r="6288">
      <c r="A6288" s="544" t="n">
        <v>38012</v>
      </c>
      <c r="B6288" s="538" t="n">
        <v>31.15</v>
      </c>
      <c r="C6288" s="538" t="n">
        <v>34.41</v>
      </c>
      <c r="D6288" s="538" t="n">
        <v>29.2</v>
      </c>
      <c r="E6288" s="538" t="n">
        <v>40.3</v>
      </c>
    </row>
    <row r="6289">
      <c r="A6289" s="544" t="n">
        <v>38013</v>
      </c>
      <c r="B6289" s="538" t="n">
        <v>31.05</v>
      </c>
      <c r="C6289" s="538" t="n">
        <v>33.99</v>
      </c>
      <c r="D6289" s="538" t="n">
        <v>28.55</v>
      </c>
      <c r="E6289" s="538" t="n">
        <v>39.45</v>
      </c>
    </row>
    <row r="6290">
      <c r="A6290" s="544" t="n">
        <v>38014</v>
      </c>
      <c r="B6290" s="538" t="n">
        <v>30.77</v>
      </c>
      <c r="C6290" s="538" t="n">
        <v>33.63</v>
      </c>
      <c r="D6290" s="538" t="n">
        <v>28.08</v>
      </c>
      <c r="E6290" s="538" t="n">
        <v>38.8</v>
      </c>
    </row>
    <row r="6291">
      <c r="A6291" s="544" t="n">
        <v>38015</v>
      </c>
      <c r="B6291" s="538" t="n">
        <v>29.47</v>
      </c>
      <c r="C6291" s="538" t="n">
        <v>32.86</v>
      </c>
      <c r="D6291" s="538" t="n">
        <v>27.87</v>
      </c>
      <c r="E6291" s="538" t="n">
        <v>36.98</v>
      </c>
    </row>
    <row r="6292">
      <c r="A6292" s="544" t="n">
        <v>38016</v>
      </c>
      <c r="B6292" s="538" t="n">
        <v>29.53</v>
      </c>
      <c r="C6292" s="538" t="n">
        <v>33.16</v>
      </c>
      <c r="D6292" s="538" t="n">
        <v>27.66</v>
      </c>
      <c r="E6292" s="538" t="n">
        <v>36.05</v>
      </c>
    </row>
    <row r="6293">
      <c r="A6293" s="544" t="n">
        <v>38019</v>
      </c>
      <c r="B6293" s="538" t="n">
        <v>30.3</v>
      </c>
      <c r="C6293" s="538" t="n">
        <v>34.02</v>
      </c>
      <c r="D6293" s="538" t="n">
        <v>28.48</v>
      </c>
      <c r="E6293" s="538" t="n">
        <v>36.05</v>
      </c>
    </row>
    <row r="6294">
      <c r="A6294" s="544" t="n">
        <v>38020</v>
      </c>
      <c r="B6294" s="538" t="n">
        <v>30.07</v>
      </c>
      <c r="C6294" s="538" t="n">
        <v>34.2</v>
      </c>
      <c r="D6294" s="538" t="n">
        <v>27.92</v>
      </c>
      <c r="E6294" s="538" t="n">
        <v>36.6</v>
      </c>
    </row>
    <row r="6295">
      <c r="A6295" s="544" t="n">
        <v>38021</v>
      </c>
      <c r="B6295" s="538" t="n">
        <v>29.63</v>
      </c>
      <c r="C6295" s="538" t="n">
        <v>33.06</v>
      </c>
      <c r="D6295" s="538" t="n">
        <v>27.29</v>
      </c>
      <c r="E6295" s="538" t="n">
        <v>36.33</v>
      </c>
    </row>
    <row r="6296">
      <c r="A6296" s="544" t="n">
        <v>38022</v>
      </c>
      <c r="B6296" s="538" t="n">
        <v>29.02</v>
      </c>
      <c r="C6296" s="538" t="n">
        <v>33.26</v>
      </c>
      <c r="D6296" s="538" t="n">
        <v>27.7</v>
      </c>
      <c r="E6296" s="538" t="n">
        <v>36.3</v>
      </c>
    </row>
    <row r="6297">
      <c r="A6297" s="544" t="n">
        <v>38023</v>
      </c>
      <c r="B6297" s="538" t="n">
        <v>29.26</v>
      </c>
      <c r="C6297" s="538" t="n">
        <v>32.49</v>
      </c>
      <c r="D6297" s="538" t="n">
        <v>27.23</v>
      </c>
      <c r="E6297" s="538" t="n">
        <v>36.55</v>
      </c>
    </row>
    <row r="6298">
      <c r="A6298" s="544" t="n">
        <v>38026</v>
      </c>
      <c r="B6298" s="538" t="n">
        <v>29.1</v>
      </c>
      <c r="C6298" s="538" t="n">
        <v>32.91</v>
      </c>
      <c r="D6298" s="538" t="n">
        <v>27.53</v>
      </c>
      <c r="E6298" s="538" t="n">
        <v>35.4</v>
      </c>
    </row>
    <row r="6299">
      <c r="A6299" s="544" t="n">
        <v>38027</v>
      </c>
      <c r="B6299" s="538" t="n">
        <v>30.06</v>
      </c>
      <c r="C6299" s="538" t="n">
        <v>34.03</v>
      </c>
      <c r="D6299" s="538" t="n">
        <v>28.54</v>
      </c>
      <c r="E6299" s="538" t="n">
        <v>36.9</v>
      </c>
    </row>
    <row r="6300">
      <c r="A6300" s="544" t="n">
        <v>38028</v>
      </c>
      <c r="B6300" s="538" t="n">
        <v>30.33</v>
      </c>
      <c r="C6300" s="538" t="n">
        <v>33.93</v>
      </c>
      <c r="D6300" s="538" t="n">
        <v>28.18</v>
      </c>
      <c r="E6300" s="538" t="n">
        <v>36.9</v>
      </c>
    </row>
    <row r="6301">
      <c r="A6301" s="544" t="n">
        <v>38029</v>
      </c>
      <c r="B6301" s="538" t="n">
        <v>30.17</v>
      </c>
      <c r="C6301" s="538" t="n">
        <v>34.03</v>
      </c>
      <c r="D6301" s="538" t="n">
        <v>28.63</v>
      </c>
      <c r="E6301" s="538" t="n">
        <v>37.1</v>
      </c>
    </row>
    <row r="6302">
      <c r="A6302" s="544" t="n">
        <v>38030</v>
      </c>
      <c r="B6302" s="538" t="n">
        <v>30.96</v>
      </c>
      <c r="C6302" s="538" t="n">
        <v>34.51</v>
      </c>
      <c r="D6302" s="538" t="n">
        <v>29.11</v>
      </c>
      <c r="E6302" s="538" t="n">
        <v>38.05</v>
      </c>
    </row>
    <row r="6303">
      <c r="A6303" s="544" t="n">
        <v>38033</v>
      </c>
      <c r="B6303" s="538" t="n">
        <v>31.08</v>
      </c>
      <c r="C6303" s="538" t="n">
        <v>34.51</v>
      </c>
      <c r="D6303" s="538" t="n">
        <v>29.11</v>
      </c>
      <c r="E6303" s="538" t="n">
        <v>38.2</v>
      </c>
    </row>
    <row r="6304">
      <c r="A6304" s="544" t="n">
        <v>38034</v>
      </c>
      <c r="B6304" s="538" t="n">
        <v>31.43</v>
      </c>
      <c r="C6304" s="538" t="n">
        <v>35.13</v>
      </c>
      <c r="D6304" s="538" t="n">
        <v>29.11</v>
      </c>
      <c r="E6304" s="538" t="n">
        <v>37.9</v>
      </c>
    </row>
    <row r="6305">
      <c r="A6305" s="544" t="n">
        <v>38035</v>
      </c>
      <c r="B6305" s="538" t="n">
        <v>31.57</v>
      </c>
      <c r="C6305" s="538" t="n">
        <v>35.42</v>
      </c>
      <c r="D6305" s="538" t="n">
        <v>29.52</v>
      </c>
      <c r="E6305" s="538" t="n">
        <v>38.2</v>
      </c>
    </row>
    <row r="6306">
      <c r="A6306" s="544" t="n">
        <v>38036</v>
      </c>
      <c r="B6306" s="538" t="n">
        <v>31.63</v>
      </c>
      <c r="C6306" s="538" t="n">
        <v>35.81</v>
      </c>
      <c r="D6306" s="538" t="n">
        <v>29.18</v>
      </c>
      <c r="E6306" s="538" t="n">
        <v>38.35</v>
      </c>
    </row>
    <row r="6307">
      <c r="A6307" s="544" t="n">
        <v>38037</v>
      </c>
      <c r="B6307" s="538" t="n">
        <v>31.22</v>
      </c>
      <c r="C6307" s="538" t="n">
        <v>35.8</v>
      </c>
      <c r="D6307" s="538" t="n">
        <v>29.23</v>
      </c>
      <c r="E6307" s="538" t="n">
        <v>38.45</v>
      </c>
    </row>
    <row r="6308">
      <c r="A6308" s="544" t="n">
        <v>38040</v>
      </c>
      <c r="B6308" s="538" t="n">
        <v>31.89</v>
      </c>
      <c r="C6308" s="538" t="n">
        <v>35.75</v>
      </c>
      <c r="D6308" s="538" t="n">
        <v>29.42</v>
      </c>
      <c r="E6308" s="538" t="n">
        <v>37.7</v>
      </c>
    </row>
    <row r="6309">
      <c r="A6309" s="544" t="n">
        <v>38041</v>
      </c>
      <c r="B6309" s="538" t="n">
        <v>31.6</v>
      </c>
      <c r="C6309" s="538" t="n">
        <v>35.85</v>
      </c>
      <c r="D6309" s="538" t="n">
        <v>29.43</v>
      </c>
      <c r="E6309" s="538" t="n">
        <v>37.7</v>
      </c>
    </row>
    <row r="6310">
      <c r="A6310" s="544" t="n">
        <v>38042</v>
      </c>
      <c r="B6310" s="538" t="n">
        <v>32.46</v>
      </c>
      <c r="C6310" s="538" t="n">
        <v>37.28</v>
      </c>
      <c r="D6310" s="538" t="n">
        <v>30.17</v>
      </c>
      <c r="E6310" s="538" t="n">
        <v>37.5</v>
      </c>
    </row>
    <row r="6311">
      <c r="A6311" s="544" t="n">
        <v>38043</v>
      </c>
      <c r="B6311" s="538" t="n">
        <v>32.45</v>
      </c>
      <c r="C6311" s="538" t="n">
        <v>35.45</v>
      </c>
      <c r="D6311" s="538" t="n">
        <v>29.88</v>
      </c>
      <c r="E6311" s="538" t="n">
        <v>38.4</v>
      </c>
    </row>
    <row r="6312">
      <c r="A6312" s="544" t="n">
        <v>38044</v>
      </c>
      <c r="B6312" s="538" t="n">
        <v>32.94</v>
      </c>
      <c r="C6312" s="538" t="n">
        <v>36.08</v>
      </c>
      <c r="D6312" s="538" t="n">
        <v>30.62</v>
      </c>
      <c r="E6312" s="538" t="n">
        <v>37.7</v>
      </c>
    </row>
    <row r="6313">
      <c r="A6313" s="544" t="n">
        <v>38047</v>
      </c>
      <c r="B6313" s="538" t="n">
        <v>33.34</v>
      </c>
      <c r="C6313" s="538" t="n">
        <v>36.85</v>
      </c>
      <c r="D6313" s="538" t="n">
        <v>31.67</v>
      </c>
      <c r="E6313" s="538" t="n">
        <v>38</v>
      </c>
    </row>
    <row r="6314">
      <c r="A6314" s="544" t="n">
        <v>38048</v>
      </c>
      <c r="B6314" s="538" t="n">
        <v>34.15</v>
      </c>
      <c r="C6314" s="538" t="n">
        <v>36.6</v>
      </c>
      <c r="D6314" s="538" t="n">
        <v>31.31</v>
      </c>
      <c r="E6314" s="538" t="n">
        <v>38.1</v>
      </c>
    </row>
    <row r="6315">
      <c r="A6315" s="544" t="n">
        <v>38049</v>
      </c>
      <c r="B6315" s="538" t="n">
        <v>33.32</v>
      </c>
      <c r="C6315" s="538" t="n">
        <v>35.8</v>
      </c>
      <c r="D6315" s="538" t="n">
        <v>30.02</v>
      </c>
      <c r="E6315" s="538" t="n">
        <v>37.7</v>
      </c>
    </row>
    <row r="6316">
      <c r="A6316" s="544" t="n">
        <v>38050</v>
      </c>
      <c r="B6316" s="538" t="n">
        <v>33.45</v>
      </c>
      <c r="C6316" s="538" t="n">
        <v>36.81</v>
      </c>
      <c r="D6316" s="538" t="n">
        <v>30.63</v>
      </c>
      <c r="E6316" s="538" t="n">
        <v>37.1</v>
      </c>
    </row>
    <row r="6317">
      <c r="A6317" s="544" t="n">
        <v>38051</v>
      </c>
      <c r="B6317" s="538" t="n">
        <v>34.4</v>
      </c>
      <c r="C6317" s="538" t="n">
        <v>37.31</v>
      </c>
      <c r="D6317" s="538" t="n">
        <v>30.78</v>
      </c>
      <c r="E6317" s="538" t="n">
        <v>37.5</v>
      </c>
    </row>
    <row r="6318">
      <c r="A6318" s="544" t="n">
        <v>38054</v>
      </c>
      <c r="B6318" s="538" t="n">
        <v>34.27</v>
      </c>
      <c r="C6318" s="538" t="n">
        <v>36.53</v>
      </c>
      <c r="D6318" s="538" t="n">
        <v>29.57</v>
      </c>
      <c r="E6318" s="538" t="n">
        <v>37.5</v>
      </c>
    </row>
    <row r="6319">
      <c r="A6319" s="544" t="n">
        <v>38055</v>
      </c>
      <c r="B6319" s="538" t="n">
        <v>33.72</v>
      </c>
      <c r="C6319" s="538" t="n">
        <v>36.29</v>
      </c>
      <c r="D6319" s="538" t="n">
        <v>29.77</v>
      </c>
      <c r="E6319" s="538" t="n">
        <v>37</v>
      </c>
    </row>
    <row r="6320">
      <c r="A6320" s="544" t="n">
        <v>38056</v>
      </c>
      <c r="B6320" s="538" t="n">
        <v>32.83</v>
      </c>
      <c r="C6320" s="538" t="n">
        <v>36.21</v>
      </c>
      <c r="D6320" s="538" t="n">
        <v>29.65</v>
      </c>
      <c r="E6320" s="538" t="n">
        <v>37.4</v>
      </c>
    </row>
    <row r="6321">
      <c r="A6321" s="544" t="n">
        <v>38057</v>
      </c>
      <c r="B6321" s="538" t="n">
        <v>33.22</v>
      </c>
      <c r="C6321" s="538" t="n">
        <v>36.95</v>
      </c>
      <c r="D6321" s="538" t="n">
        <v>30.52</v>
      </c>
      <c r="E6321" s="538" t="n">
        <v>36.7</v>
      </c>
    </row>
    <row r="6322">
      <c r="A6322" s="544" t="n">
        <v>38058</v>
      </c>
      <c r="B6322" s="538" t="n">
        <v>32.76</v>
      </c>
      <c r="C6322" s="538" t="n">
        <v>36.21</v>
      </c>
      <c r="D6322" s="538" t="n">
        <v>30.04</v>
      </c>
      <c r="E6322" s="538" t="n">
        <v>37.7</v>
      </c>
    </row>
    <row r="6323">
      <c r="A6323" s="544" t="n">
        <v>38061</v>
      </c>
      <c r="B6323" s="538" t="n">
        <v>34.39</v>
      </c>
      <c r="C6323" s="538" t="n">
        <v>37.44</v>
      </c>
      <c r="D6323" s="538" t="n">
        <v>32.61</v>
      </c>
      <c r="E6323" s="538" t="n">
        <v>37</v>
      </c>
    </row>
    <row r="6324">
      <c r="A6324" s="544" t="n">
        <v>38062</v>
      </c>
      <c r="B6324" s="538" t="n">
        <v>34.72</v>
      </c>
      <c r="C6324" s="538" t="n">
        <v>37.36</v>
      </c>
      <c r="D6324" s="538" t="n">
        <v>30.88</v>
      </c>
      <c r="E6324" s="538" t="n">
        <v>37.65</v>
      </c>
    </row>
    <row r="6325">
      <c r="A6325" s="544" t="n">
        <v>38063</v>
      </c>
      <c r="B6325" s="538" t="n">
        <v>34.95</v>
      </c>
      <c r="C6325" s="538" t="n">
        <v>38.21</v>
      </c>
      <c r="D6325" s="538" t="n">
        <v>31.6</v>
      </c>
      <c r="E6325" s="538" t="n">
        <v>37.9</v>
      </c>
    </row>
    <row r="6326">
      <c r="A6326" s="544" t="n">
        <v>38064</v>
      </c>
      <c r="B6326" s="538" t="n">
        <v>34.43</v>
      </c>
      <c r="C6326" s="538" t="n">
        <v>37.81</v>
      </c>
      <c r="D6326" s="538" t="n">
        <v>31.26</v>
      </c>
      <c r="E6326" s="538" t="n">
        <v>38.1</v>
      </c>
    </row>
    <row r="6327">
      <c r="A6327" s="544" t="n">
        <v>38065</v>
      </c>
      <c r="B6327" s="538" t="n">
        <v>34.33</v>
      </c>
      <c r="C6327" s="538" t="n">
        <v>38.09</v>
      </c>
      <c r="D6327" s="538" t="n">
        <v>31.47</v>
      </c>
      <c r="E6327" s="538" t="n">
        <v>38.5</v>
      </c>
    </row>
    <row r="6328">
      <c r="A6328" s="544" t="n">
        <v>38068</v>
      </c>
      <c r="B6328" s="538" t="n">
        <v>33.57</v>
      </c>
      <c r="C6328" s="538" t="n">
        <v>37.12</v>
      </c>
      <c r="D6328" s="538" t="n">
        <v>31.08</v>
      </c>
      <c r="E6328" s="538" t="n">
        <v>38.1</v>
      </c>
    </row>
    <row r="6329">
      <c r="A6329" s="544" t="n">
        <v>38069</v>
      </c>
      <c r="B6329" s="538" t="n">
        <v>34.4</v>
      </c>
      <c r="C6329" s="538" t="n">
        <v>37.81</v>
      </c>
      <c r="D6329" s="538" t="n">
        <v>31.46</v>
      </c>
      <c r="E6329" s="538" t="n">
        <v>38.4</v>
      </c>
    </row>
    <row r="6330">
      <c r="A6330" s="544" t="n">
        <v>38070</v>
      </c>
      <c r="B6330" s="538" t="n">
        <v>34.14</v>
      </c>
      <c r="C6330" s="538" t="n">
        <v>37.06</v>
      </c>
      <c r="D6330" s="538" t="n">
        <v>31.27</v>
      </c>
      <c r="E6330" s="538" t="n">
        <v>38.5</v>
      </c>
    </row>
    <row r="6331">
      <c r="A6331" s="544" t="n">
        <v>38071</v>
      </c>
      <c r="B6331" s="538" t="n">
        <v>33.32</v>
      </c>
      <c r="C6331" s="538" t="n">
        <v>35.67</v>
      </c>
      <c r="D6331" s="538" t="n">
        <v>30.37</v>
      </c>
      <c r="E6331" s="538" t="n">
        <v>38.5</v>
      </c>
    </row>
    <row r="6332">
      <c r="A6332" s="544" t="n">
        <v>38072</v>
      </c>
      <c r="B6332" s="538" t="n">
        <v>32.51</v>
      </c>
      <c r="C6332" s="538" t="n">
        <v>35.61</v>
      </c>
      <c r="D6332" s="538" t="n">
        <v>30.53</v>
      </c>
      <c r="E6332" s="538" t="n">
        <v>38</v>
      </c>
    </row>
    <row r="6333">
      <c r="A6333" s="544" t="n">
        <v>38075</v>
      </c>
      <c r="B6333" s="538" t="n">
        <v>32.04</v>
      </c>
      <c r="C6333" s="538" t="n">
        <v>35.41</v>
      </c>
      <c r="D6333" s="538" t="n">
        <v>30</v>
      </c>
      <c r="E6333" s="538" t="n">
        <v>37.65</v>
      </c>
    </row>
    <row r="6334">
      <c r="A6334" s="544" t="n">
        <v>38076</v>
      </c>
      <c r="B6334" s="538" t="n">
        <v>33.04</v>
      </c>
      <c r="C6334" s="538" t="n">
        <v>36.15</v>
      </c>
      <c r="D6334" s="538" t="n">
        <v>30.8</v>
      </c>
      <c r="E6334" s="538" t="n">
        <v>37.7</v>
      </c>
    </row>
    <row r="6335">
      <c r="A6335" s="544" t="n">
        <v>38077</v>
      </c>
      <c r="B6335" s="538" t="n">
        <v>32.29</v>
      </c>
      <c r="C6335" s="538" t="n">
        <v>35.75</v>
      </c>
      <c r="D6335" s="538" t="n">
        <v>29.72</v>
      </c>
      <c r="E6335" s="538" t="n">
        <v>38</v>
      </c>
    </row>
    <row r="6336">
      <c r="A6336" s="544" t="n">
        <v>38078</v>
      </c>
      <c r="B6336" s="538" t="n">
        <v>32.59</v>
      </c>
      <c r="C6336" s="538" t="n">
        <v>34.47</v>
      </c>
      <c r="D6336" s="538" t="n">
        <v>29.99</v>
      </c>
      <c r="E6336" s="538" t="n">
        <v>37.55</v>
      </c>
    </row>
    <row r="6337">
      <c r="A6337" s="544" t="n">
        <v>38079</v>
      </c>
      <c r="B6337" s="538" t="n">
        <v>31.19</v>
      </c>
      <c r="C6337" s="538" t="n">
        <v>34.39</v>
      </c>
      <c r="D6337" s="538" t="n">
        <v>28.8</v>
      </c>
      <c r="E6337" s="538" t="n">
        <v>37.2</v>
      </c>
    </row>
    <row r="6338">
      <c r="A6338" s="544" t="n">
        <v>38082</v>
      </c>
      <c r="B6338" s="538" t="n">
        <v>31.17</v>
      </c>
      <c r="C6338" s="538" t="n">
        <v>34.29</v>
      </c>
      <c r="D6338" s="538" t="n">
        <v>29.17</v>
      </c>
      <c r="E6338" s="538" t="n">
        <v>37.1</v>
      </c>
    </row>
    <row r="6339">
      <c r="A6339" s="544" t="n">
        <v>38083</v>
      </c>
      <c r="B6339" s="538" t="n">
        <v>31.48</v>
      </c>
      <c r="C6339" s="538" t="n">
        <v>35.09</v>
      </c>
      <c r="D6339" s="538" t="n">
        <v>30.17</v>
      </c>
      <c r="E6339" s="538" t="n">
        <v>37.2</v>
      </c>
    </row>
    <row r="6340">
      <c r="A6340" s="544" t="n">
        <v>38084</v>
      </c>
      <c r="B6340" s="538" t="n">
        <v>33.07</v>
      </c>
      <c r="C6340" s="538" t="n">
        <v>36.28</v>
      </c>
      <c r="D6340" s="538" t="n">
        <v>31.3</v>
      </c>
      <c r="E6340" s="538" t="n">
        <v>38</v>
      </c>
    </row>
    <row r="6341">
      <c r="A6341" s="544" t="n">
        <v>38085</v>
      </c>
      <c r="B6341" s="538" t="n">
        <v>33.98</v>
      </c>
      <c r="C6341" s="538" t="n">
        <v>37.14</v>
      </c>
      <c r="D6341" s="538" t="n">
        <v>31.91</v>
      </c>
      <c r="E6341" s="538" t="n">
        <v>39.25</v>
      </c>
    </row>
    <row r="6342">
      <c r="A6342" s="544" t="n">
        <v>38086</v>
      </c>
      <c r="B6342" s="538" t="n">
        <v>34.03</v>
      </c>
      <c r="C6342" s="538" t="n">
        <v>37.14</v>
      </c>
      <c r="D6342" s="538" t="n">
        <v>31.91</v>
      </c>
      <c r="E6342" s="538" t="n">
        <v>39.25</v>
      </c>
    </row>
    <row r="6343">
      <c r="A6343" s="544" t="n">
        <v>38089</v>
      </c>
      <c r="B6343" s="538" t="n">
        <v>34.51</v>
      </c>
      <c r="C6343" s="538" t="n">
        <v>37.79</v>
      </c>
      <c r="D6343" s="538" t="n">
        <v>31.78</v>
      </c>
      <c r="E6343" s="538" t="n">
        <v>39.25</v>
      </c>
    </row>
    <row r="6344">
      <c r="A6344" s="544" t="n">
        <v>38090</v>
      </c>
      <c r="B6344" s="538" t="n">
        <v>34.15</v>
      </c>
      <c r="C6344" s="538" t="n">
        <v>37.09</v>
      </c>
      <c r="D6344" s="538" t="n">
        <v>31.57</v>
      </c>
      <c r="E6344" s="538" t="n">
        <v>39.75</v>
      </c>
    </row>
    <row r="6345">
      <c r="A6345" s="544" t="n">
        <v>38091</v>
      </c>
      <c r="B6345" s="538" t="n">
        <v>33.54</v>
      </c>
      <c r="C6345" s="538" t="n">
        <v>36.62</v>
      </c>
      <c r="D6345" s="538" t="n">
        <v>32.05</v>
      </c>
      <c r="E6345" s="538" t="n">
        <v>39.9</v>
      </c>
    </row>
    <row r="6346">
      <c r="A6346" s="544" t="n">
        <v>38092</v>
      </c>
      <c r="B6346" s="538" t="n">
        <v>33.72</v>
      </c>
      <c r="C6346" s="538" t="n">
        <v>37.74</v>
      </c>
      <c r="D6346" s="538" t="n">
        <v>33.03</v>
      </c>
      <c r="E6346" s="538" t="n">
        <v>40.5</v>
      </c>
    </row>
    <row r="6347">
      <c r="A6347" s="544" t="n">
        <v>38093</v>
      </c>
      <c r="B6347" s="538" t="n">
        <v>33.85</v>
      </c>
      <c r="C6347" s="538" t="n">
        <v>37.7</v>
      </c>
      <c r="D6347" s="538" t="n">
        <v>32.46</v>
      </c>
      <c r="E6347" s="538" t="n">
        <v>41.9</v>
      </c>
    </row>
    <row r="6348">
      <c r="A6348" s="544" t="n">
        <v>38096</v>
      </c>
      <c r="B6348" s="538" t="n">
        <v>34.71</v>
      </c>
      <c r="C6348" s="538" t="n">
        <v>37.46</v>
      </c>
      <c r="D6348" s="538" t="n">
        <v>32.01</v>
      </c>
      <c r="E6348" s="538" t="n">
        <v>42.8</v>
      </c>
    </row>
    <row r="6349">
      <c r="A6349" s="544" t="n">
        <v>38097</v>
      </c>
      <c r="B6349" s="538" t="n">
        <v>33.56</v>
      </c>
      <c r="C6349" s="538" t="n">
        <v>37.61</v>
      </c>
      <c r="D6349" s="538" t="n">
        <v>31.56</v>
      </c>
      <c r="E6349" s="538" t="n">
        <v>42.8</v>
      </c>
    </row>
    <row r="6350">
      <c r="A6350" s="544" t="n">
        <v>38098</v>
      </c>
      <c r="B6350" s="538" t="n">
        <v>33.23</v>
      </c>
      <c r="C6350" s="538" t="n">
        <v>36.61</v>
      </c>
      <c r="D6350" s="538" t="n">
        <v>31.29</v>
      </c>
      <c r="E6350" s="538" t="n">
        <v>42.56</v>
      </c>
    </row>
    <row r="6351">
      <c r="A6351" s="544" t="n">
        <v>38099</v>
      </c>
      <c r="B6351" s="538" t="n">
        <v>33.24</v>
      </c>
      <c r="C6351" s="538" t="n">
        <v>37.7</v>
      </c>
      <c r="D6351" s="538" t="n">
        <v>32.17</v>
      </c>
      <c r="E6351" s="538" t="n">
        <v>42.3</v>
      </c>
    </row>
    <row r="6352">
      <c r="A6352" s="544" t="n">
        <v>38100</v>
      </c>
      <c r="B6352" s="538" t="n">
        <v>33.78</v>
      </c>
      <c r="C6352" s="538" t="n">
        <v>37.22</v>
      </c>
      <c r="D6352" s="538" t="n">
        <v>31.62</v>
      </c>
      <c r="E6352" s="538" t="n">
        <v>42.6</v>
      </c>
    </row>
    <row r="6353">
      <c r="A6353" s="544" t="n">
        <v>38103</v>
      </c>
      <c r="B6353" s="538" t="n">
        <v>34.18</v>
      </c>
      <c r="C6353" s="538" t="n">
        <v>37.02</v>
      </c>
      <c r="D6353" s="538" t="n">
        <v>32.16</v>
      </c>
      <c r="E6353" s="538" t="n">
        <v>42.55</v>
      </c>
    </row>
    <row r="6354">
      <c r="A6354" s="544" t="n">
        <v>38104</v>
      </c>
      <c r="B6354" s="538" t="n">
        <v>34.11</v>
      </c>
      <c r="C6354" s="538" t="n">
        <v>37.49</v>
      </c>
      <c r="D6354" s="538" t="n">
        <v>32.64</v>
      </c>
      <c r="E6354" s="538" t="n">
        <v>43.35</v>
      </c>
    </row>
    <row r="6355">
      <c r="A6355" s="544" t="n">
        <v>38105</v>
      </c>
      <c r="B6355" s="538" t="n">
        <v>35.02</v>
      </c>
      <c r="C6355" s="538" t="n">
        <v>37.23</v>
      </c>
      <c r="D6355" s="538" t="n">
        <v>32.33</v>
      </c>
      <c r="E6355" s="538" t="n">
        <v>43.45</v>
      </c>
    </row>
    <row r="6356">
      <c r="A6356" s="544" t="n">
        <v>38106</v>
      </c>
      <c r="B6356" s="538" t="n">
        <v>34.66</v>
      </c>
      <c r="C6356" s="538" t="n">
        <v>37.5</v>
      </c>
      <c r="D6356" s="538" t="n">
        <v>32.98</v>
      </c>
      <c r="E6356" s="538" t="n">
        <v>44</v>
      </c>
    </row>
    <row r="6357">
      <c r="A6357" s="544" t="n">
        <v>38107</v>
      </c>
      <c r="B6357" s="538" t="n">
        <v>35.23</v>
      </c>
      <c r="C6357" s="538" t="n">
        <v>37.31</v>
      </c>
      <c r="D6357" s="538" t="n">
        <v>32.46</v>
      </c>
      <c r="E6357" s="538" t="n">
        <v>45.25</v>
      </c>
    </row>
    <row r="6358">
      <c r="A6358" s="544" t="n">
        <v>38110</v>
      </c>
      <c r="B6358" s="538" t="n">
        <v>34.97</v>
      </c>
      <c r="C6358" s="538" t="n">
        <v>38.26</v>
      </c>
      <c r="D6358" s="538" t="n">
        <v>32.3</v>
      </c>
      <c r="E6358" s="538" t="n">
        <v>44.7</v>
      </c>
    </row>
    <row r="6359">
      <c r="A6359" s="544" t="n">
        <v>38111</v>
      </c>
      <c r="B6359" s="538" t="n">
        <v>36.07</v>
      </c>
      <c r="C6359" s="538" t="n">
        <v>38.86</v>
      </c>
      <c r="D6359" s="538" t="n">
        <v>33.97</v>
      </c>
      <c r="E6359" s="538" t="n">
        <v>44.7</v>
      </c>
    </row>
    <row r="6360">
      <c r="A6360" s="544" t="n">
        <v>38112</v>
      </c>
      <c r="B6360" s="538" t="n">
        <v>36.58</v>
      </c>
      <c r="C6360" s="538" t="n">
        <v>39.69</v>
      </c>
      <c r="D6360" s="538" t="n">
        <v>34.42</v>
      </c>
      <c r="E6360" s="538" t="n">
        <v>45.1</v>
      </c>
    </row>
    <row r="6361">
      <c r="A6361" s="544" t="n">
        <v>38113</v>
      </c>
      <c r="B6361" s="538" t="n">
        <v>37.05</v>
      </c>
      <c r="C6361" s="538" t="n">
        <v>39.41</v>
      </c>
      <c r="D6361" s="538" t="n">
        <v>34.14</v>
      </c>
      <c r="E6361" s="538" t="n">
        <v>47.25</v>
      </c>
    </row>
    <row r="6362">
      <c r="A6362" s="544" t="n">
        <v>38114</v>
      </c>
      <c r="B6362" s="538" t="n">
        <v>37.25</v>
      </c>
      <c r="C6362" s="538" t="n">
        <v>39.98</v>
      </c>
      <c r="D6362" s="538" t="n">
        <v>34.46</v>
      </c>
      <c r="E6362" s="538" t="n">
        <v>47.65</v>
      </c>
    </row>
    <row r="6363">
      <c r="A6363" s="544" t="n">
        <v>38117</v>
      </c>
      <c r="B6363" s="538" t="n">
        <v>35.83</v>
      </c>
      <c r="C6363" s="538" t="n">
        <v>38.9</v>
      </c>
      <c r="D6363" s="538" t="n">
        <v>33.28</v>
      </c>
      <c r="E6363" s="538" t="n">
        <v>46.35</v>
      </c>
    </row>
    <row r="6364">
      <c r="A6364" s="544" t="n">
        <v>38118</v>
      </c>
      <c r="B6364" s="538" t="n">
        <v>36.97</v>
      </c>
      <c r="C6364" s="538" t="n">
        <v>40.3</v>
      </c>
      <c r="D6364" s="538" t="n">
        <v>34.85</v>
      </c>
      <c r="E6364" s="538" t="n">
        <v>45.75</v>
      </c>
    </row>
    <row r="6365">
      <c r="A6365" s="544" t="n">
        <v>38119</v>
      </c>
      <c r="B6365" s="538" t="n">
        <v>37.95</v>
      </c>
      <c r="C6365" s="538" t="n">
        <v>40.3</v>
      </c>
      <c r="D6365" s="538" t="n">
        <v>35.09</v>
      </c>
      <c r="E6365" s="538" t="n">
        <v>46.88</v>
      </c>
    </row>
    <row r="6366">
      <c r="A6366" s="544" t="n">
        <v>38120</v>
      </c>
      <c r="B6366" s="538" t="n">
        <v>38.3</v>
      </c>
      <c r="C6366" s="538" t="n">
        <v>40.94</v>
      </c>
      <c r="D6366" s="538" t="n">
        <v>35.51</v>
      </c>
      <c r="E6366" s="538" t="n">
        <v>46.95</v>
      </c>
    </row>
    <row r="6367">
      <c r="A6367" s="544" t="n">
        <v>38121</v>
      </c>
      <c r="B6367" s="538" t="n">
        <v>39.04</v>
      </c>
      <c r="C6367" s="538" t="n">
        <v>41.42</v>
      </c>
      <c r="D6367" s="538" t="n">
        <v>36.03</v>
      </c>
      <c r="E6367" s="538" t="n">
        <v>48.1</v>
      </c>
    </row>
    <row r="6368">
      <c r="A6368" s="544" t="n">
        <v>38124</v>
      </c>
      <c r="B6368" s="538" t="n">
        <v>38.88</v>
      </c>
      <c r="C6368" s="538" t="n">
        <v>41.53</v>
      </c>
      <c r="D6368" s="538" t="n">
        <v>35.85</v>
      </c>
      <c r="E6368" s="538" t="n">
        <v>48.25</v>
      </c>
    </row>
    <row r="6369">
      <c r="A6369" s="544" t="n">
        <v>38125</v>
      </c>
      <c r="B6369" s="538" t="n">
        <v>38.43</v>
      </c>
      <c r="C6369" s="538" t="n">
        <v>40.32</v>
      </c>
      <c r="D6369" s="538" t="n">
        <v>34.97</v>
      </c>
      <c r="E6369" s="538" t="n">
        <v>47.45</v>
      </c>
    </row>
    <row r="6370">
      <c r="A6370" s="544" t="n">
        <v>38126</v>
      </c>
      <c r="B6370" s="538" t="n">
        <v>38.35</v>
      </c>
      <c r="C6370" s="538" t="n">
        <v>41.61</v>
      </c>
      <c r="D6370" s="538" t="n">
        <v>36.24</v>
      </c>
      <c r="E6370" s="538" t="n">
        <v>45.5</v>
      </c>
    </row>
    <row r="6371">
      <c r="A6371" s="544" t="n">
        <v>38127</v>
      </c>
      <c r="B6371" s="538" t="n">
        <v>38.89</v>
      </c>
      <c r="C6371" s="538" t="n">
        <v>40.92</v>
      </c>
      <c r="D6371" s="538" t="n">
        <v>35.11</v>
      </c>
      <c r="E6371" s="538" t="n">
        <v>46.65</v>
      </c>
    </row>
    <row r="6372">
      <c r="A6372" s="544" t="n">
        <v>38128</v>
      </c>
      <c r="B6372" s="538" t="n">
        <v>37.6</v>
      </c>
      <c r="C6372" s="538" t="n">
        <v>39.83</v>
      </c>
      <c r="D6372" s="538" t="n">
        <v>34.72</v>
      </c>
      <c r="E6372" s="538" t="n">
        <v>46.1</v>
      </c>
    </row>
    <row r="6373">
      <c r="A6373" s="544" t="n">
        <v>38131</v>
      </c>
      <c r="B6373" s="538" t="n">
        <v>39.22</v>
      </c>
      <c r="C6373" s="538" t="n">
        <v>42.03</v>
      </c>
      <c r="D6373" s="538" t="n">
        <v>35.62</v>
      </c>
      <c r="E6373" s="538" t="n">
        <v>43.8</v>
      </c>
    </row>
    <row r="6374">
      <c r="A6374" s="544" t="n">
        <v>38132</v>
      </c>
      <c r="B6374" s="538" t="n">
        <v>38.46</v>
      </c>
      <c r="C6374" s="538" t="n">
        <v>41.45</v>
      </c>
      <c r="D6374" s="538" t="n">
        <v>35</v>
      </c>
      <c r="E6374" s="538" t="n">
        <v>45.2</v>
      </c>
    </row>
    <row r="6375">
      <c r="A6375" s="544" t="n">
        <v>38133</v>
      </c>
      <c r="B6375" s="538" t="n">
        <v>38.05</v>
      </c>
      <c r="C6375" s="538" t="n">
        <v>40.6</v>
      </c>
      <c r="D6375" s="538" t="n">
        <v>34.73</v>
      </c>
      <c r="E6375" s="538" t="n">
        <v>44.25</v>
      </c>
    </row>
    <row r="6376">
      <c r="A6376" s="544" t="n">
        <v>38134</v>
      </c>
      <c r="B6376" s="538" t="n">
        <v>37.03</v>
      </c>
      <c r="C6376" s="538" t="n">
        <v>39.25</v>
      </c>
      <c r="D6376" s="538" t="n">
        <v>34.11</v>
      </c>
      <c r="E6376" s="538" t="n">
        <v>43.5</v>
      </c>
    </row>
    <row r="6377">
      <c r="A6377" s="544" t="n">
        <v>38135</v>
      </c>
      <c r="B6377" s="538" t="n">
        <v>37</v>
      </c>
      <c r="C6377" s="538" t="n">
        <v>39.9</v>
      </c>
      <c r="D6377" s="538" t="n">
        <v>34.74</v>
      </c>
      <c r="E6377" s="538" t="n">
        <v>43.4</v>
      </c>
    </row>
    <row r="6378">
      <c r="A6378" s="544" t="n">
        <v>38138</v>
      </c>
      <c r="B6378" s="538" t="n">
        <v>37</v>
      </c>
      <c r="C6378" s="538" t="n">
        <v>39.9</v>
      </c>
      <c r="D6378" s="538" t="n">
        <v>34.74</v>
      </c>
      <c r="E6378" s="538" t="n">
        <v>43.6</v>
      </c>
    </row>
    <row r="6379">
      <c r="A6379" s="544" t="n">
        <v>38139</v>
      </c>
      <c r="B6379" s="538" t="n">
        <v>39.05</v>
      </c>
      <c r="C6379" s="538" t="n">
        <v>42.33</v>
      </c>
      <c r="D6379" s="538" t="n">
        <v>36.53</v>
      </c>
      <c r="E6379" s="538" t="n">
        <v>44.2</v>
      </c>
    </row>
    <row r="6380">
      <c r="A6380" s="544" t="n">
        <v>38140</v>
      </c>
      <c r="B6380" s="538" t="n">
        <v>37.99</v>
      </c>
      <c r="C6380" s="538" t="n">
        <v>39.96</v>
      </c>
      <c r="D6380" s="538" t="n">
        <v>34.48</v>
      </c>
      <c r="E6380" s="538" t="n">
        <v>44.2</v>
      </c>
    </row>
    <row r="6381">
      <c r="A6381" s="544" t="n">
        <v>38141</v>
      </c>
      <c r="B6381" s="538" t="n">
        <v>36.26</v>
      </c>
      <c r="C6381" s="538" t="n">
        <v>39.29</v>
      </c>
      <c r="D6381" s="538" t="n">
        <v>34.21</v>
      </c>
      <c r="E6381" s="538" t="n">
        <v>44.2</v>
      </c>
    </row>
    <row r="6382">
      <c r="A6382" s="544" t="n">
        <v>38142</v>
      </c>
      <c r="B6382" s="538" t="n">
        <v>35.97</v>
      </c>
      <c r="C6382" s="538" t="n">
        <v>38.44</v>
      </c>
      <c r="D6382" s="538" t="n">
        <v>33.9</v>
      </c>
      <c r="E6382" s="538" t="n">
        <v>43.3</v>
      </c>
    </row>
    <row r="6383">
      <c r="A6383" s="544" t="n">
        <v>38145</v>
      </c>
      <c r="B6383" s="538" t="n">
        <v>35.57</v>
      </c>
      <c r="C6383" s="538" t="n">
        <v>38.72</v>
      </c>
      <c r="D6383" s="538" t="n">
        <v>34.14</v>
      </c>
      <c r="E6383" s="538" t="n">
        <v>42.3</v>
      </c>
    </row>
    <row r="6384">
      <c r="A6384" s="544" t="n">
        <v>38146</v>
      </c>
      <c r="B6384" s="538" t="n">
        <v>35.47</v>
      </c>
      <c r="C6384" s="538" t="n">
        <v>37.18</v>
      </c>
      <c r="D6384" s="538" t="n">
        <v>33.47</v>
      </c>
      <c r="E6384" s="538" t="n">
        <v>43</v>
      </c>
    </row>
    <row r="6385">
      <c r="A6385" s="544" t="n">
        <v>38147</v>
      </c>
      <c r="B6385" s="538" t="n">
        <v>34.69</v>
      </c>
      <c r="C6385" s="538" t="n">
        <v>37.6</v>
      </c>
      <c r="D6385" s="538" t="n">
        <v>34.11</v>
      </c>
      <c r="E6385" s="538" t="n">
        <v>42.15</v>
      </c>
    </row>
    <row r="6386">
      <c r="A6386" s="544" t="n">
        <v>38148</v>
      </c>
      <c r="B6386" s="538" t="n">
        <v>35.75</v>
      </c>
      <c r="C6386" s="538" t="n">
        <v>38.45</v>
      </c>
      <c r="D6386" s="538" t="n">
        <v>34.26</v>
      </c>
      <c r="E6386" s="538" t="n">
        <v>43.55</v>
      </c>
    </row>
    <row r="6387">
      <c r="A6387" s="544" t="n">
        <v>38149</v>
      </c>
      <c r="B6387" s="538" t="n">
        <v>35.23</v>
      </c>
      <c r="C6387" s="538" t="n">
        <v>38.45</v>
      </c>
      <c r="D6387" s="538" t="n">
        <v>34.26</v>
      </c>
      <c r="E6387" s="538" t="n">
        <v>43.85</v>
      </c>
    </row>
    <row r="6388">
      <c r="A6388" s="544" t="n">
        <v>38152</v>
      </c>
      <c r="B6388" s="538" t="n">
        <v>35.22</v>
      </c>
      <c r="C6388" s="538" t="n">
        <v>37.58</v>
      </c>
      <c r="D6388" s="538" t="n">
        <v>33.9</v>
      </c>
      <c r="E6388" s="538" t="n">
        <v>43.05</v>
      </c>
    </row>
    <row r="6389">
      <c r="A6389" s="544" t="n">
        <v>38153</v>
      </c>
      <c r="B6389" s="538" t="n">
        <v>34.66</v>
      </c>
      <c r="C6389" s="538" t="n">
        <v>37.18</v>
      </c>
      <c r="D6389" s="538" t="n">
        <v>33.56</v>
      </c>
      <c r="E6389" s="538" t="n">
        <v>42.65</v>
      </c>
    </row>
    <row r="6390">
      <c r="A6390" s="544" t="n">
        <v>38154</v>
      </c>
      <c r="B6390" s="538" t="n">
        <v>34.56</v>
      </c>
      <c r="C6390" s="538" t="n">
        <v>37.33</v>
      </c>
      <c r="D6390" s="538" t="n">
        <v>33.88</v>
      </c>
      <c r="E6390" s="538" t="n">
        <v>42.5</v>
      </c>
    </row>
    <row r="6391">
      <c r="A6391" s="544" t="n">
        <v>38155</v>
      </c>
      <c r="B6391" s="538" t="n">
        <v>35.58</v>
      </c>
      <c r="C6391" s="538" t="n">
        <v>38.51</v>
      </c>
      <c r="D6391" s="538" t="n">
        <v>34.71</v>
      </c>
      <c r="E6391" s="538" t="n">
        <v>43.1</v>
      </c>
    </row>
    <row r="6392">
      <c r="A6392" s="544" t="n">
        <v>38156</v>
      </c>
      <c r="B6392" s="538" t="n">
        <v>35.43</v>
      </c>
      <c r="C6392" s="538" t="n">
        <v>38.68</v>
      </c>
      <c r="D6392" s="538" t="n">
        <v>33.51</v>
      </c>
      <c r="E6392" s="538" t="n">
        <v>43.8</v>
      </c>
    </row>
    <row r="6393">
      <c r="A6393" s="544" t="n">
        <v>38159</v>
      </c>
      <c r="B6393" s="538" t="n">
        <v>34.82</v>
      </c>
      <c r="C6393" s="538" t="n">
        <v>37.69</v>
      </c>
      <c r="D6393" s="538" t="n">
        <v>32.91</v>
      </c>
      <c r="E6393" s="538" t="n">
        <v>43.4</v>
      </c>
    </row>
    <row r="6394">
      <c r="A6394" s="544" t="n">
        <v>38160</v>
      </c>
      <c r="B6394" s="538" t="n">
        <v>34.95</v>
      </c>
      <c r="C6394" s="538" t="n">
        <v>38.11</v>
      </c>
      <c r="D6394" s="538" t="n">
        <v>33.54</v>
      </c>
      <c r="E6394" s="538" t="n">
        <v>42.95</v>
      </c>
    </row>
    <row r="6395">
      <c r="A6395" s="544" t="n">
        <v>38161</v>
      </c>
      <c r="B6395" s="538" t="n">
        <v>34.81</v>
      </c>
      <c r="C6395" s="538" t="n">
        <v>37.56</v>
      </c>
      <c r="D6395" s="538" t="n">
        <v>32.62</v>
      </c>
      <c r="E6395" s="538" t="n">
        <v>43.7</v>
      </c>
    </row>
    <row r="6396">
      <c r="A6396" s="544" t="n">
        <v>38162</v>
      </c>
      <c r="B6396" s="538" t="n">
        <v>34.71</v>
      </c>
      <c r="C6396" s="538" t="n">
        <v>37.81</v>
      </c>
      <c r="D6396" s="538" t="n">
        <v>33.14</v>
      </c>
      <c r="E6396" s="538" t="n">
        <v>43.45</v>
      </c>
    </row>
    <row r="6397">
      <c r="A6397" s="544" t="n">
        <v>38163</v>
      </c>
      <c r="B6397" s="538" t="n">
        <v>34.25</v>
      </c>
      <c r="C6397" s="538" t="n">
        <v>37.34</v>
      </c>
      <c r="D6397" s="538" t="n">
        <v>32.83</v>
      </c>
      <c r="E6397" s="538" t="n">
        <v>43.5</v>
      </c>
    </row>
    <row r="6398">
      <c r="A6398" s="544" t="n">
        <v>38166</v>
      </c>
      <c r="B6398" s="538" t="n">
        <v>33.24</v>
      </c>
      <c r="C6398" s="538" t="n">
        <v>36.25</v>
      </c>
      <c r="D6398" s="538" t="n">
        <v>31.67</v>
      </c>
      <c r="E6398" s="538" t="n">
        <v>43.3</v>
      </c>
    </row>
    <row r="6399">
      <c r="A6399" s="544" t="n">
        <v>38167</v>
      </c>
      <c r="B6399" s="538" t="n">
        <v>32.61</v>
      </c>
      <c r="C6399" s="538" t="n">
        <v>35.6</v>
      </c>
      <c r="D6399" s="538" t="n">
        <v>31.4</v>
      </c>
      <c r="E6399" s="538" t="n">
        <v>42.75</v>
      </c>
    </row>
    <row r="6400">
      <c r="A6400" s="544" t="n">
        <v>38168</v>
      </c>
      <c r="B6400" s="538" t="n">
        <v>33.22</v>
      </c>
      <c r="C6400" s="538" t="n">
        <v>36.92</v>
      </c>
      <c r="D6400" s="538" t="n">
        <v>32.96</v>
      </c>
      <c r="E6400" s="538" t="n">
        <v>42.83</v>
      </c>
    </row>
    <row r="6401">
      <c r="A6401" s="544" t="n">
        <v>38169</v>
      </c>
      <c r="B6401" s="538" t="n">
        <v>35.58</v>
      </c>
      <c r="C6401" s="538" t="n">
        <v>38.56</v>
      </c>
      <c r="D6401" s="538" t="n">
        <v>34.08</v>
      </c>
      <c r="E6401" s="538" t="n">
        <v>44.28</v>
      </c>
    </row>
    <row r="6402">
      <c r="A6402" s="544" t="n">
        <v>38170</v>
      </c>
      <c r="B6402" s="538" t="n">
        <v>35.36</v>
      </c>
      <c r="C6402" s="538" t="n">
        <v>38.37</v>
      </c>
      <c r="D6402" s="538" t="n">
        <v>33.7</v>
      </c>
      <c r="E6402" s="538" t="n">
        <v>45.88</v>
      </c>
    </row>
    <row r="6403">
      <c r="A6403" s="544" t="n">
        <v>38173</v>
      </c>
      <c r="B6403" s="538" t="n">
        <v>35.73</v>
      </c>
      <c r="C6403" s="538" t="n">
        <v>38.37</v>
      </c>
      <c r="D6403" s="538" t="n">
        <v>33.7</v>
      </c>
      <c r="E6403" s="538" t="n">
        <v>46.63</v>
      </c>
    </row>
    <row r="6404">
      <c r="A6404" s="544" t="n">
        <v>38174</v>
      </c>
      <c r="B6404" s="538" t="n">
        <v>36.47</v>
      </c>
      <c r="C6404" s="538" t="n">
        <v>39.56</v>
      </c>
      <c r="D6404" s="538" t="n">
        <v>34.87</v>
      </c>
      <c r="E6404" s="538" t="n">
        <v>47.55</v>
      </c>
    </row>
    <row r="6405">
      <c r="A6405" s="544" t="n">
        <v>38175</v>
      </c>
      <c r="B6405" s="538" t="n">
        <v>35.62</v>
      </c>
      <c r="C6405" s="538" t="n">
        <v>39.18</v>
      </c>
      <c r="D6405" s="538" t="n">
        <v>34.12</v>
      </c>
      <c r="E6405" s="538" t="n">
        <v>47</v>
      </c>
    </row>
    <row r="6406">
      <c r="A6406" s="544" t="n">
        <v>38176</v>
      </c>
      <c r="B6406" s="538" t="n">
        <v>37.13</v>
      </c>
      <c r="C6406" s="538" t="n">
        <v>40.27</v>
      </c>
      <c r="D6406" s="538" t="n">
        <v>35.81</v>
      </c>
      <c r="E6406" s="538" t="n">
        <v>47.4</v>
      </c>
    </row>
    <row r="6407">
      <c r="A6407" s="544" t="n">
        <v>38177</v>
      </c>
      <c r="B6407" s="538" t="n">
        <v>37.58</v>
      </c>
      <c r="C6407" s="538" t="n">
        <v>39.9</v>
      </c>
      <c r="D6407" s="538" t="n">
        <v>34.42</v>
      </c>
      <c r="E6407" s="538" t="n">
        <v>48.4</v>
      </c>
    </row>
    <row r="6408">
      <c r="A6408" s="544" t="n">
        <v>38180</v>
      </c>
      <c r="B6408" s="538" t="n">
        <v>37.73</v>
      </c>
      <c r="C6408" s="538" t="n">
        <v>39.3</v>
      </c>
      <c r="D6408" s="538" t="n">
        <v>34.06</v>
      </c>
      <c r="E6408" s="538" t="n">
        <v>47.9</v>
      </c>
    </row>
    <row r="6409">
      <c r="A6409" s="544" t="n">
        <v>38181</v>
      </c>
      <c r="B6409" s="538" t="n">
        <v>36.68</v>
      </c>
      <c r="C6409" s="538" t="n">
        <v>39.55</v>
      </c>
      <c r="D6409" s="538" t="n">
        <v>34.17</v>
      </c>
      <c r="E6409" s="538" t="n">
        <v>46.8</v>
      </c>
    </row>
    <row r="6410">
      <c r="A6410" s="544" t="n">
        <v>38182</v>
      </c>
      <c r="B6410" s="538" t="n">
        <v>37.51</v>
      </c>
      <c r="C6410" s="538" t="n">
        <v>40.98</v>
      </c>
      <c r="D6410" s="538" t="n">
        <v>35.57</v>
      </c>
      <c r="E6410" s="538" t="n">
        <v>46.65</v>
      </c>
    </row>
    <row r="6411">
      <c r="A6411" s="544" t="n">
        <v>38183</v>
      </c>
      <c r="B6411" s="538" t="n">
        <v>38.41</v>
      </c>
      <c r="C6411" s="538" t="n">
        <v>40.7</v>
      </c>
      <c r="D6411" s="538" t="n">
        <v>35.92</v>
      </c>
      <c r="E6411" s="538" t="n">
        <v>47.4</v>
      </c>
    </row>
    <row r="6412">
      <c r="A6412" s="544" t="n">
        <v>38184</v>
      </c>
      <c r="B6412" s="538" t="n">
        <v>38.49</v>
      </c>
      <c r="C6412" s="538" t="n">
        <v>41.1</v>
      </c>
      <c r="D6412" s="538" t="n">
        <v>35.59</v>
      </c>
      <c r="E6412" s="538" t="n">
        <v>48</v>
      </c>
    </row>
    <row r="6413">
      <c r="A6413" s="544" t="n">
        <v>38187</v>
      </c>
      <c r="B6413" s="538" t="n">
        <v>39.07</v>
      </c>
      <c r="C6413" s="538" t="n">
        <v>41.55</v>
      </c>
      <c r="D6413" s="538" t="n">
        <v>35.59</v>
      </c>
      <c r="E6413" s="538" t="n">
        <v>47.95</v>
      </c>
    </row>
    <row r="6414">
      <c r="A6414" s="544" t="n">
        <v>38188</v>
      </c>
      <c r="B6414" s="538" t="n">
        <v>38.96</v>
      </c>
      <c r="C6414" s="538" t="n">
        <v>40.86</v>
      </c>
      <c r="D6414" s="538" t="n">
        <v>34.56</v>
      </c>
      <c r="E6414" s="538" t="n">
        <v>48.25</v>
      </c>
    </row>
    <row r="6415">
      <c r="A6415" s="544" t="n">
        <v>38189</v>
      </c>
      <c r="B6415" s="538" t="n">
        <v>38.48</v>
      </c>
      <c r="C6415" s="538" t="n">
        <v>40.63</v>
      </c>
      <c r="D6415" s="538" t="n">
        <v>34.59</v>
      </c>
      <c r="E6415" s="538" t="n">
        <v>48.15</v>
      </c>
    </row>
    <row r="6416">
      <c r="A6416" s="544" t="n">
        <v>38190</v>
      </c>
      <c r="B6416" s="538" t="n">
        <v>39.16</v>
      </c>
      <c r="C6416" s="538" t="n">
        <v>41.51</v>
      </c>
      <c r="D6416" s="538" t="n">
        <v>35.23</v>
      </c>
      <c r="E6416" s="538" t="n">
        <v>48.5</v>
      </c>
    </row>
    <row r="6417">
      <c r="A6417" s="544" t="n">
        <v>38191</v>
      </c>
      <c r="B6417" s="538" t="n">
        <v>39.59</v>
      </c>
      <c r="C6417" s="538" t="n">
        <v>41.82</v>
      </c>
      <c r="D6417" s="538" t="n">
        <v>35.47</v>
      </c>
      <c r="E6417" s="538" t="n">
        <v>49.95</v>
      </c>
    </row>
    <row r="6418">
      <c r="A6418" s="544" t="n">
        <v>38194</v>
      </c>
      <c r="B6418" s="538" t="n">
        <v>39.75</v>
      </c>
      <c r="C6418" s="538" t="n">
        <v>41.45</v>
      </c>
      <c r="D6418" s="538" t="n">
        <v>35.21</v>
      </c>
      <c r="E6418" s="538" t="n">
        <v>50.35</v>
      </c>
    </row>
    <row r="6419">
      <c r="A6419" s="544" t="n">
        <v>38195</v>
      </c>
      <c r="B6419" s="538" t="n">
        <v>40.09</v>
      </c>
      <c r="C6419" s="538" t="n">
        <v>41.83</v>
      </c>
      <c r="D6419" s="538" t="n">
        <v>35.65</v>
      </c>
      <c r="E6419" s="538" t="n">
        <v>49.9</v>
      </c>
    </row>
    <row r="6420">
      <c r="A6420" s="544" t="n">
        <v>38196</v>
      </c>
      <c r="B6420" s="538" t="n">
        <v>41.08</v>
      </c>
      <c r="C6420" s="538" t="n">
        <v>42.81</v>
      </c>
      <c r="D6420" s="538" t="n">
        <v>36.34</v>
      </c>
      <c r="E6420" s="538" t="n">
        <v>49.75</v>
      </c>
    </row>
    <row r="6421">
      <c r="A6421" s="544" t="n">
        <v>38197</v>
      </c>
      <c r="B6421" s="538" t="n">
        <v>40.93</v>
      </c>
      <c r="C6421" s="538" t="n">
        <v>42.69</v>
      </c>
      <c r="D6421" s="538" t="n">
        <v>36.2</v>
      </c>
      <c r="E6421" s="538" t="n">
        <v>49.85</v>
      </c>
    </row>
    <row r="6422">
      <c r="A6422" s="544" t="n">
        <v>38198</v>
      </c>
      <c r="B6422" s="538" t="n">
        <v>41.47</v>
      </c>
      <c r="C6422" s="538" t="n">
        <v>43.72</v>
      </c>
      <c r="D6422" s="538" t="n">
        <v>36.97</v>
      </c>
      <c r="E6422" s="538" t="n">
        <v>50.7</v>
      </c>
    </row>
    <row r="6423">
      <c r="A6423" s="544" t="n">
        <v>38201</v>
      </c>
      <c r="B6423" s="538" t="n">
        <v>41.35</v>
      </c>
      <c r="C6423" s="538" t="n">
        <v>43.83</v>
      </c>
      <c r="D6423" s="538" t="n">
        <v>36.64</v>
      </c>
      <c r="E6423" s="538" t="n">
        <v>50.45</v>
      </c>
    </row>
    <row r="6424">
      <c r="A6424" s="544" t="n">
        <v>38202</v>
      </c>
      <c r="B6424" s="538" t="n">
        <v>41.82</v>
      </c>
      <c r="C6424" s="538" t="n">
        <v>44.13</v>
      </c>
      <c r="D6424" s="538" t="n">
        <v>37.43</v>
      </c>
      <c r="E6424" s="538" t="n">
        <v>50.85</v>
      </c>
    </row>
    <row r="6425">
      <c r="A6425" s="544" t="n">
        <v>38203</v>
      </c>
      <c r="B6425" s="538" t="n">
        <v>41.75</v>
      </c>
      <c r="C6425" s="538" t="n">
        <v>42.73</v>
      </c>
      <c r="D6425" s="538" t="n">
        <v>36.51</v>
      </c>
      <c r="E6425" s="538" t="n">
        <v>51.45</v>
      </c>
    </row>
    <row r="6426">
      <c r="A6426" s="544" t="n">
        <v>38204</v>
      </c>
      <c r="B6426" s="538" t="n">
        <v>42.49</v>
      </c>
      <c r="C6426" s="538" t="n">
        <v>44.39</v>
      </c>
      <c r="D6426" s="538" t="n">
        <v>38.19</v>
      </c>
      <c r="E6426" s="538" t="n">
        <v>51.2</v>
      </c>
    </row>
    <row r="6427">
      <c r="A6427" s="544" t="n">
        <v>38205</v>
      </c>
      <c r="B6427" s="538" t="n">
        <v>42.63</v>
      </c>
      <c r="C6427" s="538" t="n">
        <v>43.95</v>
      </c>
      <c r="D6427" s="538" t="n">
        <v>37.42</v>
      </c>
      <c r="E6427" s="538" t="n">
        <v>52.15</v>
      </c>
    </row>
    <row r="6428">
      <c r="A6428" s="544" t="n">
        <v>38208</v>
      </c>
      <c r="B6428" s="538" t="n">
        <v>43.21</v>
      </c>
      <c r="C6428" s="538" t="n">
        <v>44.86</v>
      </c>
      <c r="D6428" s="538" t="n">
        <v>38.61</v>
      </c>
      <c r="E6428" s="538" t="n">
        <v>52.15</v>
      </c>
    </row>
    <row r="6429">
      <c r="A6429" s="544" t="n">
        <v>38209</v>
      </c>
      <c r="B6429" s="538" t="n">
        <v>42.5</v>
      </c>
      <c r="C6429" s="538" t="n">
        <v>44.51</v>
      </c>
      <c r="D6429" s="538" t="n">
        <v>38.11</v>
      </c>
      <c r="E6429" s="538" t="n">
        <v>52.15</v>
      </c>
    </row>
    <row r="6430">
      <c r="A6430" s="544" t="n">
        <v>38210</v>
      </c>
      <c r="B6430" s="538" t="n">
        <v>42.45</v>
      </c>
      <c r="C6430" s="538" t="n">
        <v>44.72</v>
      </c>
      <c r="D6430" s="538" t="n">
        <v>38.44</v>
      </c>
      <c r="E6430" s="538" t="n">
        <v>51.55</v>
      </c>
    </row>
    <row r="6431">
      <c r="A6431" s="544" t="n">
        <v>38211</v>
      </c>
      <c r="B6431" s="538" t="n">
        <v>43.5</v>
      </c>
      <c r="C6431" s="538" t="n">
        <v>45.52</v>
      </c>
      <c r="D6431" s="538" t="n">
        <v>39.02</v>
      </c>
      <c r="E6431" s="538" t="n">
        <v>51</v>
      </c>
    </row>
    <row r="6432">
      <c r="A6432" s="544" t="n">
        <v>38212</v>
      </c>
      <c r="B6432" s="538" t="n">
        <v>44.13</v>
      </c>
      <c r="C6432" s="538" t="n">
        <v>46.61</v>
      </c>
      <c r="D6432" s="538" t="n">
        <v>40.5</v>
      </c>
      <c r="E6432" s="538" t="n">
        <v>51.3</v>
      </c>
    </row>
    <row r="6433">
      <c r="A6433" s="544" t="n">
        <v>38215</v>
      </c>
      <c r="B6433" s="538" t="n">
        <v>44.35</v>
      </c>
      <c r="C6433" s="538" t="n">
        <v>46.02</v>
      </c>
      <c r="D6433" s="538" t="n">
        <v>40.86</v>
      </c>
      <c r="E6433" s="538" t="n">
        <v>52.5</v>
      </c>
    </row>
    <row r="6434">
      <c r="A6434" s="544" t="n">
        <v>38216</v>
      </c>
      <c r="B6434" s="538" t="n">
        <v>44.05</v>
      </c>
      <c r="C6434" s="538" t="n">
        <v>46.75</v>
      </c>
      <c r="D6434" s="538" t="n">
        <v>40.42</v>
      </c>
      <c r="E6434" s="538" t="n">
        <v>52.5</v>
      </c>
    </row>
    <row r="6435">
      <c r="A6435" s="544" t="n">
        <v>38217</v>
      </c>
      <c r="B6435" s="538" t="n">
        <v>44.12</v>
      </c>
      <c r="C6435" s="538" t="n">
        <v>47.36</v>
      </c>
      <c r="D6435" s="538" t="n">
        <v>40.45</v>
      </c>
      <c r="E6435" s="538" t="n">
        <v>53.5</v>
      </c>
    </row>
    <row r="6436">
      <c r="A6436" s="544" t="n">
        <v>38218</v>
      </c>
      <c r="B6436" s="538" t="n">
        <v>44.84</v>
      </c>
      <c r="C6436" s="538" t="n">
        <v>48.66</v>
      </c>
      <c r="D6436" s="538" t="n">
        <v>41.83</v>
      </c>
      <c r="E6436" s="538" t="n">
        <v>54.5</v>
      </c>
    </row>
    <row r="6437">
      <c r="A6437" s="544" t="n">
        <v>38219</v>
      </c>
      <c r="B6437" s="538" t="n">
        <v>45.46</v>
      </c>
      <c r="C6437" s="538" t="n">
        <v>47.6</v>
      </c>
      <c r="D6437" s="538" t="n">
        <v>40.47</v>
      </c>
      <c r="E6437" s="538" t="n">
        <v>56</v>
      </c>
    </row>
    <row r="6438">
      <c r="A6438" s="544" t="n">
        <v>38222</v>
      </c>
      <c r="B6438" s="538" t="n">
        <v>44.39</v>
      </c>
      <c r="C6438" s="538" t="n">
        <v>46</v>
      </c>
      <c r="D6438" s="538" t="n">
        <v>40.37</v>
      </c>
      <c r="E6438" s="538" t="n">
        <v>54.8</v>
      </c>
    </row>
    <row r="6439">
      <c r="A6439" s="544" t="n">
        <v>38223</v>
      </c>
      <c r="B6439" s="538" t="n">
        <v>42.99</v>
      </c>
      <c r="C6439" s="538" t="n">
        <v>45.68</v>
      </c>
      <c r="D6439" s="538" t="n">
        <v>39.01</v>
      </c>
      <c r="E6439" s="538" t="n">
        <v>53.55</v>
      </c>
    </row>
    <row r="6440">
      <c r="A6440" s="544" t="n">
        <v>38224</v>
      </c>
      <c r="B6440" s="538" t="n">
        <v>42.39</v>
      </c>
      <c r="C6440" s="538" t="n">
        <v>43.83</v>
      </c>
      <c r="D6440" s="538" t="n">
        <v>37.43</v>
      </c>
      <c r="E6440" s="538" t="n">
        <v>53.5</v>
      </c>
    </row>
    <row r="6441">
      <c r="A6441" s="544" t="n">
        <v>38225</v>
      </c>
      <c r="B6441" s="538" t="n">
        <v>40.65</v>
      </c>
      <c r="C6441" s="538" t="n">
        <v>43.06</v>
      </c>
      <c r="D6441" s="538" t="n">
        <v>37.01</v>
      </c>
      <c r="E6441" s="538" t="n">
        <v>52.2</v>
      </c>
    </row>
    <row r="6442">
      <c r="A6442" s="544" t="n">
        <v>38226</v>
      </c>
      <c r="B6442" s="538" t="n">
        <v>40.72</v>
      </c>
      <c r="C6442" s="538" t="n">
        <v>43.11</v>
      </c>
      <c r="D6442" s="538" t="n">
        <v>37.04</v>
      </c>
      <c r="E6442" s="538" t="n">
        <v>51.3</v>
      </c>
    </row>
    <row r="6443">
      <c r="A6443" s="544" t="n">
        <v>38229</v>
      </c>
      <c r="B6443" s="538" t="n">
        <v>40.78</v>
      </c>
      <c r="C6443" s="538" t="n">
        <v>42.32</v>
      </c>
      <c r="D6443" s="538" t="n">
        <v>37.01</v>
      </c>
      <c r="E6443" s="538" t="n">
        <v>51.4</v>
      </c>
    </row>
    <row r="6444">
      <c r="A6444" s="544" t="n">
        <v>38230</v>
      </c>
      <c r="B6444" s="538" t="n">
        <v>39.8</v>
      </c>
      <c r="C6444" s="538" t="n">
        <v>42.23</v>
      </c>
      <c r="D6444" s="538" t="n">
        <v>35.94</v>
      </c>
      <c r="E6444" s="538" t="n">
        <v>50.3</v>
      </c>
    </row>
    <row r="6445">
      <c r="A6445" s="544" t="n">
        <v>38231</v>
      </c>
      <c r="B6445" s="538" t="n">
        <v>40.96</v>
      </c>
      <c r="C6445" s="538" t="n">
        <v>43.89</v>
      </c>
      <c r="D6445" s="538" t="n">
        <v>37.43</v>
      </c>
      <c r="E6445" s="538" t="n">
        <v>50.1</v>
      </c>
    </row>
    <row r="6446">
      <c r="A6446" s="544" t="n">
        <v>38232</v>
      </c>
      <c r="B6446" s="538" t="n">
        <v>42.39</v>
      </c>
      <c r="C6446" s="538" t="n">
        <v>44.04</v>
      </c>
      <c r="D6446" s="538" t="n">
        <v>37.41</v>
      </c>
      <c r="E6446" s="538" t="n">
        <v>52.35</v>
      </c>
    </row>
    <row r="6447">
      <c r="A6447" s="544" t="n">
        <v>38233</v>
      </c>
      <c r="B6447" s="538" t="n">
        <v>41.07</v>
      </c>
      <c r="C6447" s="538" t="n">
        <v>43.94</v>
      </c>
      <c r="D6447" s="538" t="n">
        <v>35.46</v>
      </c>
      <c r="E6447" s="538" t="n">
        <v>53</v>
      </c>
    </row>
    <row r="6448">
      <c r="A6448" s="544" t="n">
        <v>38236</v>
      </c>
      <c r="B6448" s="538" t="n">
        <v>40.4</v>
      </c>
      <c r="C6448" s="538" t="n">
        <v>43.94</v>
      </c>
      <c r="D6448" s="538" t="n">
        <v>35.46</v>
      </c>
      <c r="E6448" s="538" t="n">
        <v>52.75</v>
      </c>
    </row>
    <row r="6449">
      <c r="A6449" s="544" t="n">
        <v>38237</v>
      </c>
      <c r="B6449" s="538" t="n">
        <v>40.19</v>
      </c>
      <c r="C6449" s="538" t="n">
        <v>43.18</v>
      </c>
      <c r="D6449" s="538" t="n">
        <v>35.1</v>
      </c>
      <c r="E6449" s="538" t="n">
        <v>52.2</v>
      </c>
    </row>
    <row r="6450">
      <c r="A6450" s="544" t="n">
        <v>38238</v>
      </c>
      <c r="B6450" s="538" t="n">
        <v>39.91</v>
      </c>
      <c r="C6450" s="538" t="n">
        <v>42.77</v>
      </c>
      <c r="D6450" s="538" t="n">
        <v>34.8</v>
      </c>
      <c r="E6450" s="538" t="n">
        <v>51.7</v>
      </c>
    </row>
    <row r="6451">
      <c r="A6451" s="544" t="n">
        <v>38239</v>
      </c>
      <c r="B6451" s="538" t="n">
        <v>41.45</v>
      </c>
      <c r="C6451" s="538" t="n">
        <v>44.53</v>
      </c>
      <c r="D6451" s="538" t="n">
        <v>36.53</v>
      </c>
      <c r="E6451" s="538" t="n">
        <v>52.35</v>
      </c>
    </row>
    <row r="6452">
      <c r="A6452" s="544" t="n">
        <v>38240</v>
      </c>
      <c r="B6452" s="538" t="n">
        <v>41.03</v>
      </c>
      <c r="C6452" s="538" t="n">
        <v>42.84</v>
      </c>
      <c r="D6452" s="538" t="n">
        <v>33.87</v>
      </c>
      <c r="E6452" s="538" t="n">
        <v>54.9</v>
      </c>
    </row>
    <row r="6453">
      <c r="A6453" s="544" t="n">
        <v>38243</v>
      </c>
      <c r="B6453" s="538" t="n">
        <v>40.63</v>
      </c>
      <c r="C6453" s="538" t="n">
        <v>43.86</v>
      </c>
      <c r="D6453" s="538" t="n">
        <v>34.42</v>
      </c>
      <c r="E6453" s="538" t="n">
        <v>53.55</v>
      </c>
    </row>
    <row r="6454">
      <c r="A6454" s="544" t="n">
        <v>38244</v>
      </c>
      <c r="B6454" s="538" t="n">
        <v>41.34</v>
      </c>
      <c r="C6454" s="538" t="n">
        <v>44.62</v>
      </c>
      <c r="D6454" s="538" t="n">
        <v>34.99</v>
      </c>
      <c r="E6454" s="538" t="n">
        <v>55.25</v>
      </c>
    </row>
    <row r="6455">
      <c r="A6455" s="544" t="n">
        <v>38245</v>
      </c>
      <c r="B6455" s="538" t="n">
        <v>42.03</v>
      </c>
      <c r="C6455" s="538" t="n">
        <v>43.83</v>
      </c>
      <c r="D6455" s="538" t="n">
        <v>35.06</v>
      </c>
      <c r="E6455" s="538" t="n">
        <v>55.35</v>
      </c>
    </row>
    <row r="6456">
      <c r="A6456" s="544" t="n">
        <v>38246</v>
      </c>
      <c r="B6456" s="538" t="n">
        <v>40.68</v>
      </c>
      <c r="C6456" s="538" t="n">
        <v>44.03</v>
      </c>
      <c r="D6456" s="538" t="n">
        <v>34.26</v>
      </c>
      <c r="E6456" s="538" t="n">
        <v>54.95</v>
      </c>
    </row>
    <row r="6457">
      <c r="A6457" s="544" t="n">
        <v>38247</v>
      </c>
      <c r="B6457" s="538" t="n">
        <v>43.08</v>
      </c>
      <c r="C6457" s="538" t="n">
        <v>45.63</v>
      </c>
      <c r="D6457" s="538" t="n">
        <v>35.33</v>
      </c>
      <c r="E6457" s="538" t="n">
        <v>54.7</v>
      </c>
    </row>
    <row r="6458">
      <c r="A6458" s="544" t="n">
        <v>38250</v>
      </c>
      <c r="B6458" s="538" t="n">
        <v>43.6</v>
      </c>
      <c r="C6458" s="538" t="n">
        <v>46.33</v>
      </c>
      <c r="D6458" s="538" t="n">
        <v>36.19</v>
      </c>
      <c r="E6458" s="538" t="n">
        <v>56</v>
      </c>
    </row>
    <row r="6459">
      <c r="A6459" s="544" t="n">
        <v>38251</v>
      </c>
      <c r="B6459" s="538" t="n">
        <v>44.56</v>
      </c>
      <c r="C6459" s="538" t="n">
        <v>47.11</v>
      </c>
      <c r="D6459" s="538" t="n">
        <v>36.44</v>
      </c>
      <c r="E6459" s="538" t="n">
        <v>56.2</v>
      </c>
    </row>
    <row r="6460">
      <c r="A6460" s="544" t="n">
        <v>38252</v>
      </c>
      <c r="B6460" s="538" t="n">
        <v>45.66</v>
      </c>
      <c r="C6460" s="538" t="n">
        <v>48.41</v>
      </c>
      <c r="D6460" s="538" t="n">
        <v>36.56</v>
      </c>
      <c r="E6460" s="538" t="n">
        <v>57.65</v>
      </c>
    </row>
    <row r="6461">
      <c r="A6461" s="544" t="n">
        <v>38253</v>
      </c>
      <c r="B6461" s="538" t="n">
        <v>46.53</v>
      </c>
      <c r="C6461" s="538" t="n">
        <v>48.37</v>
      </c>
      <c r="D6461" s="538" t="n">
        <v>36.64</v>
      </c>
      <c r="E6461" s="538" t="n">
        <v>58.25</v>
      </c>
    </row>
    <row r="6462">
      <c r="A6462" s="544" t="n">
        <v>38254</v>
      </c>
      <c r="B6462" s="538" t="n">
        <v>46.13</v>
      </c>
      <c r="C6462" s="538" t="n">
        <v>48.86</v>
      </c>
      <c r="D6462" s="538" t="n">
        <v>36.14</v>
      </c>
      <c r="E6462" s="538" t="n">
        <v>58.8</v>
      </c>
    </row>
    <row r="6463">
      <c r="A6463" s="544" t="n">
        <v>38257</v>
      </c>
      <c r="B6463" s="538" t="n">
        <v>46.87</v>
      </c>
      <c r="C6463" s="538" t="n">
        <v>49.56</v>
      </c>
      <c r="D6463" s="538" t="n">
        <v>36.97</v>
      </c>
      <c r="E6463" s="538" t="n">
        <v>59.45</v>
      </c>
    </row>
    <row r="6464">
      <c r="A6464" s="544" t="n">
        <v>38258</v>
      </c>
      <c r="B6464" s="538" t="n">
        <v>47.52</v>
      </c>
      <c r="C6464" s="538" t="n">
        <v>49.76</v>
      </c>
      <c r="D6464" s="538" t="n">
        <v>37.86</v>
      </c>
      <c r="E6464" s="538" t="n">
        <v>59.7</v>
      </c>
    </row>
    <row r="6465">
      <c r="A6465" s="544" t="n">
        <v>38259</v>
      </c>
      <c r="B6465" s="538" t="n">
        <v>46.54</v>
      </c>
      <c r="C6465" s="538" t="n">
        <v>49.53</v>
      </c>
      <c r="D6465" s="538" t="n">
        <v>37.95</v>
      </c>
      <c r="E6465" s="538" t="n">
        <v>59</v>
      </c>
    </row>
    <row r="6466">
      <c r="A6466" s="544" t="n">
        <v>38260</v>
      </c>
      <c r="B6466" s="538" t="n">
        <v>47.76</v>
      </c>
      <c r="C6466" s="538" t="n">
        <v>49.56</v>
      </c>
      <c r="D6466" s="538" t="n">
        <v>38.73</v>
      </c>
      <c r="E6466" s="538" t="n">
        <v>59</v>
      </c>
    </row>
    <row r="6467">
      <c r="A6467" s="544" t="n">
        <v>38261</v>
      </c>
      <c r="B6467" s="538" t="n">
        <v>46.86</v>
      </c>
      <c r="C6467" s="538" t="n">
        <v>50.16</v>
      </c>
      <c r="D6467" s="538" t="n">
        <v>38.94</v>
      </c>
      <c r="E6467" s="538" t="n">
        <v>59.15</v>
      </c>
    </row>
    <row r="6468">
      <c r="A6468" s="544" t="n">
        <v>38264</v>
      </c>
      <c r="B6468" s="538" t="n">
        <v>46.99</v>
      </c>
      <c r="C6468" s="538" t="n">
        <v>49.85</v>
      </c>
      <c r="D6468" s="538" t="n">
        <v>38.7</v>
      </c>
      <c r="E6468" s="538" t="n">
        <v>58.15</v>
      </c>
    </row>
    <row r="6469">
      <c r="A6469" s="544" t="n">
        <v>38265</v>
      </c>
      <c r="B6469" s="538" t="n">
        <v>47.1</v>
      </c>
      <c r="C6469" s="538" t="n">
        <v>51.08</v>
      </c>
      <c r="D6469" s="538" t="n">
        <v>38.7</v>
      </c>
      <c r="E6469" s="538" t="n">
        <v>57.9</v>
      </c>
    </row>
    <row r="6470">
      <c r="A6470" s="544" t="n">
        <v>38266</v>
      </c>
      <c r="B6470" s="538" t="n">
        <v>47.95</v>
      </c>
      <c r="C6470" s="538" t="n">
        <v>51.98</v>
      </c>
      <c r="D6470" s="538" t="n">
        <v>39.08</v>
      </c>
      <c r="E6470" s="538" t="n">
        <v>57.95</v>
      </c>
    </row>
    <row r="6471">
      <c r="A6471" s="544" t="n">
        <v>38267</v>
      </c>
      <c r="B6471" s="538" t="n">
        <v>48.98</v>
      </c>
      <c r="C6471" s="538" t="n">
        <v>52.56</v>
      </c>
      <c r="D6471" s="538" t="n">
        <v>38.75</v>
      </c>
      <c r="E6471" s="538" t="n">
        <v>58.2</v>
      </c>
    </row>
    <row r="6472">
      <c r="A6472" s="544" t="n">
        <v>38268</v>
      </c>
      <c r="B6472" s="538" t="n">
        <v>49.41</v>
      </c>
      <c r="C6472" s="538" t="n">
        <v>53.4</v>
      </c>
      <c r="D6472" s="538" t="n">
        <v>38.87</v>
      </c>
      <c r="E6472" s="538" t="n">
        <v>58.4</v>
      </c>
    </row>
    <row r="6473">
      <c r="A6473" s="544" t="n">
        <v>38271</v>
      </c>
      <c r="B6473" s="538" t="n">
        <v>50.75</v>
      </c>
      <c r="C6473" s="538" t="n">
        <v>53.65</v>
      </c>
      <c r="D6473" s="538" t="n">
        <v>39.47</v>
      </c>
      <c r="E6473" s="538" t="n">
        <v>60.5</v>
      </c>
    </row>
    <row r="6474">
      <c r="A6474" s="544" t="n">
        <v>38272</v>
      </c>
      <c r="B6474" s="538" t="n">
        <v>51.28</v>
      </c>
      <c r="C6474" s="538" t="n">
        <v>53.49</v>
      </c>
      <c r="D6474" s="538" t="n">
        <v>37.66</v>
      </c>
      <c r="E6474" s="538" t="n">
        <v>63.75</v>
      </c>
    </row>
    <row r="6475">
      <c r="A6475" s="544" t="n">
        <v>38273</v>
      </c>
      <c r="B6475" s="538" t="n">
        <v>50.42</v>
      </c>
      <c r="C6475" s="538" t="n">
        <v>53.86</v>
      </c>
      <c r="D6475" s="538" t="n">
        <v>37.98</v>
      </c>
      <c r="E6475" s="538" t="n">
        <v>63.17</v>
      </c>
    </row>
    <row r="6476">
      <c r="A6476" s="544" t="n">
        <v>38274</v>
      </c>
      <c r="B6476" s="538" t="n">
        <v>51.31</v>
      </c>
      <c r="C6476" s="538" t="n">
        <v>54.69</v>
      </c>
      <c r="D6476" s="538" t="n">
        <v>38.67</v>
      </c>
      <c r="E6476" s="538" t="n">
        <v>63.95</v>
      </c>
    </row>
    <row r="6477">
      <c r="A6477" s="544" t="n">
        <v>38275</v>
      </c>
      <c r="B6477" s="538" t="n">
        <v>51.02</v>
      </c>
      <c r="C6477" s="538" t="n">
        <v>54.89</v>
      </c>
      <c r="D6477" s="538" t="n">
        <v>37.2</v>
      </c>
      <c r="E6477" s="538" t="n">
        <v>63.58</v>
      </c>
    </row>
    <row r="6478">
      <c r="A6478" s="544" t="n">
        <v>38278</v>
      </c>
      <c r="B6478" s="538" t="n">
        <v>49.16</v>
      </c>
      <c r="C6478" s="538" t="n">
        <v>53.59</v>
      </c>
      <c r="D6478" s="538" t="n">
        <v>35.96</v>
      </c>
      <c r="E6478" s="538" t="n">
        <v>63.58</v>
      </c>
    </row>
    <row r="6479">
      <c r="A6479" s="544" t="n">
        <v>38279</v>
      </c>
      <c r="B6479" s="538" t="n">
        <v>49.21</v>
      </c>
      <c r="C6479" s="538" t="n">
        <v>53.28</v>
      </c>
      <c r="D6479" s="538" t="n">
        <v>38.54</v>
      </c>
      <c r="E6479" s="538" t="n">
        <v>60.3</v>
      </c>
    </row>
    <row r="6480">
      <c r="A6480" s="544" t="n">
        <v>38280</v>
      </c>
      <c r="B6480" s="538" t="n">
        <v>50.78</v>
      </c>
      <c r="C6480" s="538" t="n">
        <v>54.93</v>
      </c>
      <c r="D6480" s="538" t="n">
        <v>39.51</v>
      </c>
      <c r="E6480" s="538" t="n">
        <v>61.58</v>
      </c>
    </row>
    <row r="6481">
      <c r="A6481" s="544" t="n">
        <v>38281</v>
      </c>
      <c r="B6481" s="538" t="n">
        <v>51.06</v>
      </c>
      <c r="C6481" s="538" t="n">
        <v>54.51</v>
      </c>
      <c r="D6481" s="538" t="n">
        <v>39.77</v>
      </c>
      <c r="E6481" s="538" t="n">
        <v>63.65</v>
      </c>
    </row>
    <row r="6482">
      <c r="A6482" s="544" t="n">
        <v>38282</v>
      </c>
      <c r="B6482" s="538" t="n">
        <v>52.28</v>
      </c>
      <c r="C6482" s="538" t="n">
        <v>55.83</v>
      </c>
      <c r="D6482" s="538" t="n">
        <v>39.02</v>
      </c>
      <c r="E6482" s="538" t="n">
        <v>63.7</v>
      </c>
    </row>
    <row r="6483">
      <c r="A6483" s="544" t="n">
        <v>38285</v>
      </c>
      <c r="B6483" s="538" t="n">
        <v>51.68</v>
      </c>
      <c r="C6483" s="538" t="n">
        <v>55.52</v>
      </c>
      <c r="D6483" s="538" t="n">
        <v>38.6</v>
      </c>
      <c r="E6483" s="538" t="n">
        <v>63.5</v>
      </c>
    </row>
    <row r="6484">
      <c r="A6484" s="544" t="n">
        <v>38286</v>
      </c>
      <c r="B6484" s="538" t="n">
        <v>52.04</v>
      </c>
      <c r="C6484" s="538" t="n">
        <v>56.37</v>
      </c>
      <c r="D6484" s="538" t="n">
        <v>37.48</v>
      </c>
      <c r="E6484" s="538" t="n">
        <v>62.55</v>
      </c>
    </row>
    <row r="6485">
      <c r="A6485" s="544" t="n">
        <v>38287</v>
      </c>
      <c r="B6485" s="538" t="n">
        <v>49.99</v>
      </c>
      <c r="C6485" s="538" t="n">
        <v>52.52</v>
      </c>
      <c r="D6485" s="538" t="n">
        <v>36.02</v>
      </c>
      <c r="E6485" s="538" t="n">
        <v>63.1</v>
      </c>
    </row>
    <row r="6486">
      <c r="A6486" s="544" t="n">
        <v>38288</v>
      </c>
      <c r="B6486" s="538" t="n">
        <v>48.88</v>
      </c>
      <c r="C6486" s="538" t="n">
        <v>50.95</v>
      </c>
      <c r="D6486" s="538" t="n">
        <v>35.16</v>
      </c>
      <c r="E6486" s="538" t="n">
        <v>60.75</v>
      </c>
    </row>
    <row r="6487">
      <c r="A6487" s="544" t="n">
        <v>38289</v>
      </c>
      <c r="B6487" s="538" t="n">
        <v>48.16</v>
      </c>
      <c r="C6487" s="538" t="n">
        <v>51.78</v>
      </c>
      <c r="D6487" s="538" t="n">
        <v>37.46</v>
      </c>
      <c r="E6487" s="538" t="n">
        <v>59.8</v>
      </c>
    </row>
    <row r="6488">
      <c r="A6488" s="544" t="n">
        <v>38292</v>
      </c>
      <c r="B6488" s="538" t="n">
        <v>46.84</v>
      </c>
      <c r="C6488" s="538" t="n">
        <v>50.1</v>
      </c>
      <c r="D6488" s="538" t="n">
        <v>35.99</v>
      </c>
      <c r="E6488" s="538" t="n">
        <v>60.7</v>
      </c>
    </row>
    <row r="6489">
      <c r="A6489" s="544" t="n">
        <v>38293</v>
      </c>
      <c r="B6489" s="538" t="n">
        <v>46.25</v>
      </c>
      <c r="C6489" s="538" t="n">
        <v>49.6</v>
      </c>
      <c r="D6489" s="538" t="n">
        <v>36.71</v>
      </c>
      <c r="E6489" s="538" t="n">
        <v>57.8</v>
      </c>
    </row>
    <row r="6490">
      <c r="A6490" s="544" t="n">
        <v>38294</v>
      </c>
      <c r="B6490" s="538" t="n">
        <v>46.14</v>
      </c>
      <c r="C6490" s="538" t="n">
        <v>50.9</v>
      </c>
      <c r="D6490" s="538" t="n">
        <v>37.58</v>
      </c>
      <c r="E6490" s="538" t="n">
        <v>58.3</v>
      </c>
    </row>
    <row r="6491">
      <c r="A6491" s="544" t="n">
        <v>38295</v>
      </c>
      <c r="B6491" s="538" t="n">
        <v>45.32</v>
      </c>
      <c r="C6491" s="538" t="n">
        <v>48.8</v>
      </c>
      <c r="D6491" s="538" t="n">
        <v>35.8</v>
      </c>
      <c r="E6491" s="538" t="n">
        <v>59.5</v>
      </c>
    </row>
    <row r="6492">
      <c r="A6492" s="544" t="n">
        <v>38296</v>
      </c>
      <c r="B6492" s="538" t="n">
        <v>44.37</v>
      </c>
      <c r="C6492" s="538" t="n">
        <v>49.65</v>
      </c>
      <c r="D6492" s="538" t="n">
        <v>36.23</v>
      </c>
      <c r="E6492" s="538" t="n">
        <v>58.35</v>
      </c>
    </row>
    <row r="6493">
      <c r="A6493" s="544" t="n">
        <v>38299</v>
      </c>
      <c r="B6493" s="538" t="n">
        <v>44.78</v>
      </c>
      <c r="C6493" s="538" t="n">
        <v>49.1</v>
      </c>
      <c r="D6493" s="538" t="n">
        <v>35.5</v>
      </c>
      <c r="E6493" s="538" t="n">
        <v>58.2</v>
      </c>
    </row>
    <row r="6494">
      <c r="A6494" s="544" t="n">
        <v>38300</v>
      </c>
      <c r="B6494" s="538" t="n">
        <v>43.27</v>
      </c>
      <c r="C6494" s="538" t="n">
        <v>47.4</v>
      </c>
      <c r="D6494" s="538" t="n">
        <v>33.76</v>
      </c>
      <c r="E6494" s="538" t="n">
        <v>58.65</v>
      </c>
    </row>
    <row r="6495">
      <c r="A6495" s="544" t="n">
        <v>38301</v>
      </c>
      <c r="B6495" s="538" t="n">
        <v>42.57</v>
      </c>
      <c r="C6495" s="538" t="n">
        <v>48.7</v>
      </c>
      <c r="D6495" s="538" t="n">
        <v>35.81</v>
      </c>
      <c r="E6495" s="538" t="n">
        <v>57.5</v>
      </c>
    </row>
    <row r="6496">
      <c r="A6496" s="544" t="n">
        <v>38302</v>
      </c>
      <c r="B6496" s="538" t="n">
        <v>42.22</v>
      </c>
      <c r="C6496" s="538" t="n">
        <v>47.5</v>
      </c>
      <c r="D6496" s="538" t="n">
        <v>33.38</v>
      </c>
      <c r="E6496" s="538" t="n">
        <v>57.5</v>
      </c>
    </row>
    <row r="6497">
      <c r="A6497" s="544" t="n">
        <v>38303</v>
      </c>
      <c r="B6497" s="538" t="n">
        <v>41.33</v>
      </c>
      <c r="C6497" s="538" t="n">
        <v>47.3</v>
      </c>
      <c r="D6497" s="538" t="n">
        <v>33.39</v>
      </c>
      <c r="E6497" s="538" t="n">
        <v>56.7</v>
      </c>
    </row>
    <row r="6498">
      <c r="A6498" s="544" t="n">
        <v>38306</v>
      </c>
      <c r="B6498" s="538" t="n">
        <v>39.32</v>
      </c>
      <c r="C6498" s="538" t="n">
        <v>46.95</v>
      </c>
      <c r="D6498" s="538" t="n">
        <v>32.69</v>
      </c>
      <c r="E6498" s="538" t="n">
        <v>56.7</v>
      </c>
    </row>
    <row r="6499">
      <c r="A6499" s="544" t="n">
        <v>38307</v>
      </c>
      <c r="B6499" s="538" t="n">
        <v>40.48</v>
      </c>
      <c r="C6499" s="538" t="n">
        <v>46.1</v>
      </c>
      <c r="D6499" s="538" t="n">
        <v>32.71</v>
      </c>
      <c r="E6499" s="538" t="n">
        <v>55.8</v>
      </c>
    </row>
    <row r="6500">
      <c r="A6500" s="544" t="n">
        <v>38308</v>
      </c>
      <c r="B6500" s="538" t="n">
        <v>40.27</v>
      </c>
      <c r="C6500" s="538" t="n">
        <v>46.85</v>
      </c>
      <c r="D6500" s="538" t="n">
        <v>32.39</v>
      </c>
      <c r="E6500" s="538" t="n">
        <v>55</v>
      </c>
    </row>
    <row r="6501">
      <c r="A6501" s="544" t="n">
        <v>38309</v>
      </c>
      <c r="B6501" s="538" t="n">
        <v>40.8</v>
      </c>
      <c r="C6501" s="538" t="n">
        <v>46.3</v>
      </c>
      <c r="D6501" s="538" t="n">
        <v>32.56</v>
      </c>
      <c r="E6501" s="538" t="n">
        <v>56.83</v>
      </c>
    </row>
    <row r="6502">
      <c r="A6502" s="544" t="n">
        <v>38310</v>
      </c>
      <c r="B6502" s="538" t="n">
        <v>42.29</v>
      </c>
      <c r="C6502" s="538" t="n">
        <v>48.9</v>
      </c>
      <c r="D6502" s="538" t="n">
        <v>34.03</v>
      </c>
      <c r="E6502" s="538" t="n">
        <v>57.4</v>
      </c>
    </row>
    <row r="6503">
      <c r="A6503" s="544" t="n">
        <v>38313</v>
      </c>
      <c r="B6503" s="538" t="n">
        <v>42.26</v>
      </c>
      <c r="C6503" s="538" t="n">
        <v>48.48</v>
      </c>
      <c r="D6503" s="538" t="n">
        <v>32.89</v>
      </c>
      <c r="E6503" s="538" t="n">
        <v>60.3</v>
      </c>
    </row>
    <row r="6504">
      <c r="A6504" s="544" t="n">
        <v>38314</v>
      </c>
      <c r="B6504" s="538" t="n">
        <v>43.03</v>
      </c>
      <c r="C6504" s="538" t="n">
        <v>48.74</v>
      </c>
      <c r="D6504" s="538" t="n">
        <v>34.49</v>
      </c>
      <c r="E6504" s="538" t="n">
        <v>57.45</v>
      </c>
    </row>
    <row r="6505">
      <c r="A6505" s="544" t="n">
        <v>38315</v>
      </c>
      <c r="B6505" s="538" t="n">
        <v>42.62</v>
      </c>
      <c r="C6505" s="538" t="n">
        <v>49.14</v>
      </c>
      <c r="D6505" s="538" t="n">
        <v>34.26</v>
      </c>
      <c r="E6505" s="538" t="n">
        <v>57.85</v>
      </c>
    </row>
    <row r="6506">
      <c r="A6506" s="544" t="n">
        <v>38316</v>
      </c>
      <c r="B6506" s="538" t="n">
        <v>43.12</v>
      </c>
      <c r="C6506" s="538" t="n">
        <v>49.14</v>
      </c>
      <c r="D6506" s="538" t="n">
        <v>34.26</v>
      </c>
      <c r="E6506" s="538" t="n">
        <v>57.42</v>
      </c>
    </row>
    <row r="6507">
      <c r="A6507" s="544" t="n">
        <v>38317</v>
      </c>
      <c r="B6507" s="538" t="n">
        <v>42.87</v>
      </c>
      <c r="C6507" s="538" t="n">
        <v>49.14</v>
      </c>
      <c r="D6507" s="538" t="n">
        <v>34.26</v>
      </c>
      <c r="E6507" s="538" t="n">
        <v>56.8</v>
      </c>
    </row>
    <row r="6508">
      <c r="A6508" s="544" t="n">
        <v>38320</v>
      </c>
      <c r="B6508" s="538" t="n">
        <v>44.05</v>
      </c>
      <c r="C6508" s="538" t="n">
        <v>49.71</v>
      </c>
      <c r="D6508" s="538" t="n">
        <v>35.94</v>
      </c>
      <c r="E6508" s="538" t="n">
        <v>57.05</v>
      </c>
    </row>
    <row r="6509">
      <c r="A6509" s="544" t="n">
        <v>38321</v>
      </c>
      <c r="B6509" s="538" t="n">
        <v>44.23</v>
      </c>
      <c r="C6509" s="538" t="n">
        <v>49.16</v>
      </c>
      <c r="D6509" s="538" t="n">
        <v>35.68</v>
      </c>
      <c r="E6509" s="538" t="n">
        <v>57</v>
      </c>
    </row>
    <row r="6510">
      <c r="A6510" s="544" t="n">
        <v>38322</v>
      </c>
      <c r="B6510" s="538" t="n">
        <v>41.19</v>
      </c>
      <c r="C6510" s="538" t="n">
        <v>45.56</v>
      </c>
      <c r="D6510" s="538" t="n">
        <v>33.26</v>
      </c>
      <c r="E6510" s="538" t="n">
        <v>55.2</v>
      </c>
    </row>
    <row r="6511">
      <c r="A6511" s="544" t="n">
        <v>38323</v>
      </c>
      <c r="B6511" s="538" t="n">
        <v>38.49</v>
      </c>
      <c r="C6511" s="538" t="n">
        <v>43.31</v>
      </c>
      <c r="D6511" s="538" t="n">
        <v>31.06</v>
      </c>
      <c r="E6511" s="538" t="n">
        <v>53</v>
      </c>
    </row>
    <row r="6512">
      <c r="A6512" s="544" t="n">
        <v>38324</v>
      </c>
      <c r="B6512" s="538" t="n">
        <v>38.57</v>
      </c>
      <c r="C6512" s="538" t="n">
        <v>42.56</v>
      </c>
      <c r="D6512" s="538" t="n">
        <v>31.77</v>
      </c>
      <c r="E6512" s="538" t="n">
        <v>50.67</v>
      </c>
    </row>
    <row r="6513">
      <c r="A6513" s="544" t="n">
        <v>38327</v>
      </c>
      <c r="B6513" s="538" t="n">
        <v>38.43</v>
      </c>
      <c r="C6513" s="538" t="n">
        <v>42.96</v>
      </c>
      <c r="D6513" s="538" t="n">
        <v>33.24</v>
      </c>
      <c r="E6513" s="538" t="n">
        <v>49.4</v>
      </c>
    </row>
    <row r="6514">
      <c r="A6514" s="544" t="n">
        <v>38328</v>
      </c>
      <c r="B6514" s="538" t="n">
        <v>37.11</v>
      </c>
      <c r="C6514" s="538" t="n">
        <v>41.51</v>
      </c>
      <c r="D6514" s="538" t="n">
        <v>33.37</v>
      </c>
      <c r="E6514" s="538" t="n">
        <v>49.5</v>
      </c>
    </row>
    <row r="6515">
      <c r="A6515" s="544" t="n">
        <v>38329</v>
      </c>
      <c r="B6515" s="538" t="n">
        <v>36.9</v>
      </c>
      <c r="C6515" s="538" t="n">
        <v>41.96</v>
      </c>
      <c r="D6515" s="538" t="n">
        <v>33.32</v>
      </c>
      <c r="E6515" s="538" t="n">
        <v>47.05</v>
      </c>
    </row>
    <row r="6516">
      <c r="A6516" s="544" t="n">
        <v>38330</v>
      </c>
      <c r="B6516" s="538" t="n">
        <v>38.33</v>
      </c>
      <c r="C6516" s="538" t="n">
        <v>42.41</v>
      </c>
      <c r="D6516" s="538" t="n">
        <v>33.28</v>
      </c>
      <c r="E6516" s="538" t="n">
        <v>47.5</v>
      </c>
    </row>
    <row r="6517">
      <c r="A6517" s="544" t="n">
        <v>38331</v>
      </c>
      <c r="B6517" s="538" t="n">
        <v>37.24</v>
      </c>
      <c r="C6517" s="538" t="n">
        <v>40.71</v>
      </c>
      <c r="D6517" s="538" t="n">
        <v>31.06</v>
      </c>
      <c r="E6517" s="538" t="n">
        <v>50.45</v>
      </c>
    </row>
    <row r="6518">
      <c r="A6518" s="544" t="n">
        <v>38334</v>
      </c>
      <c r="B6518" s="538" t="n">
        <v>36.77</v>
      </c>
      <c r="C6518" s="538" t="n">
        <v>41.06</v>
      </c>
      <c r="D6518" s="538" t="n">
        <v>33.01</v>
      </c>
      <c r="E6518" s="538" t="n">
        <v>47.6</v>
      </c>
    </row>
    <row r="6519">
      <c r="A6519" s="544" t="n">
        <v>38335</v>
      </c>
      <c r="B6519" s="538" t="n">
        <v>37.03</v>
      </c>
      <c r="C6519" s="538" t="n">
        <v>41.76</v>
      </c>
      <c r="D6519" s="538" t="n">
        <v>34.28</v>
      </c>
      <c r="E6519" s="538" t="n">
        <v>48.25</v>
      </c>
    </row>
    <row r="6520">
      <c r="A6520" s="544" t="n">
        <v>38336</v>
      </c>
      <c r="B6520" s="538" t="n">
        <v>41.53</v>
      </c>
      <c r="C6520" s="538" t="n">
        <v>44.21</v>
      </c>
      <c r="D6520" s="538" t="n">
        <v>34.48</v>
      </c>
      <c r="E6520" s="538" t="n">
        <v>49.5</v>
      </c>
    </row>
    <row r="6521">
      <c r="A6521" s="544" t="n">
        <v>38337</v>
      </c>
      <c r="B6521" s="538" t="n">
        <v>41.49</v>
      </c>
      <c r="C6521" s="538" t="n">
        <v>44.16</v>
      </c>
      <c r="D6521" s="538" t="n">
        <v>35.25</v>
      </c>
      <c r="E6521" s="538" t="n">
        <v>50.63</v>
      </c>
    </row>
    <row r="6522">
      <c r="A6522" s="544" t="n">
        <v>38338</v>
      </c>
      <c r="B6522" s="538" t="n">
        <v>43.06</v>
      </c>
      <c r="C6522" s="538" t="n">
        <v>46.31</v>
      </c>
      <c r="D6522" s="538" t="n">
        <v>36.93</v>
      </c>
      <c r="E6522" s="538" t="n">
        <v>50.5</v>
      </c>
    </row>
    <row r="6523">
      <c r="A6523" s="544" t="n">
        <v>38341</v>
      </c>
      <c r="B6523" s="538" t="n">
        <v>42.67</v>
      </c>
      <c r="C6523" s="538" t="n">
        <v>45.57</v>
      </c>
      <c r="D6523" s="538" t="n">
        <v>35.91</v>
      </c>
      <c r="E6523" s="538" t="n">
        <v>52.85</v>
      </c>
    </row>
    <row r="6524">
      <c r="A6524" s="544" t="n">
        <v>38342</v>
      </c>
      <c r="B6524" s="538" t="n">
        <v>42.76</v>
      </c>
      <c r="C6524" s="538" t="n">
        <v>45.76</v>
      </c>
      <c r="D6524" s="538" t="n">
        <v>35.86</v>
      </c>
      <c r="E6524" s="538" t="n">
        <v>51.9</v>
      </c>
    </row>
    <row r="6525">
      <c r="A6525" s="544" t="n">
        <v>38343</v>
      </c>
      <c r="B6525" s="538" t="n">
        <v>40.44</v>
      </c>
      <c r="C6525" s="538" t="n">
        <v>44.05</v>
      </c>
      <c r="D6525" s="538" t="n">
        <v>36.04</v>
      </c>
      <c r="E6525" s="538" t="n">
        <v>51.4</v>
      </c>
    </row>
    <row r="6526">
      <c r="A6526" s="544" t="n">
        <v>38344</v>
      </c>
      <c r="B6526" s="538" t="n">
        <v>40.29</v>
      </c>
      <c r="C6526" s="538" t="n">
        <v>42.19</v>
      </c>
      <c r="D6526" s="538" t="n">
        <v>34.75</v>
      </c>
      <c r="E6526" s="538" t="n">
        <v>49.65</v>
      </c>
    </row>
    <row r="6527">
      <c r="A6527" s="544" t="n">
        <v>38345</v>
      </c>
      <c r="B6527" s="538" t="n">
        <v>39.6</v>
      </c>
      <c r="C6527" s="538" t="n">
        <v>42.19</v>
      </c>
      <c r="D6527" s="538" t="n">
        <v>34.75</v>
      </c>
      <c r="E6527" s="538" t="n">
        <v>49.65</v>
      </c>
    </row>
    <row r="6528">
      <c r="A6528" s="544" t="n">
        <v>38348</v>
      </c>
      <c r="B6528" s="538" t="n">
        <v>39.6</v>
      </c>
      <c r="C6528" s="538" t="n">
        <v>41.26</v>
      </c>
      <c r="D6528" s="538" t="n">
        <v>34.37</v>
      </c>
      <c r="E6528" s="538" t="n">
        <v>49.15</v>
      </c>
    </row>
    <row r="6529">
      <c r="A6529" s="544" t="n">
        <v>38349</v>
      </c>
      <c r="B6529" s="538" t="n">
        <v>40.24</v>
      </c>
      <c r="C6529" s="538" t="n">
        <v>41.78</v>
      </c>
      <c r="D6529" s="538" t="n">
        <v>35.56</v>
      </c>
      <c r="E6529" s="538" t="n">
        <v>47.5</v>
      </c>
    </row>
    <row r="6530">
      <c r="A6530" s="544" t="n">
        <v>38350</v>
      </c>
      <c r="B6530" s="538" t="n">
        <v>38.93</v>
      </c>
      <c r="C6530" s="538" t="n">
        <v>43.69</v>
      </c>
      <c r="D6530" s="538" t="n">
        <v>34.13</v>
      </c>
      <c r="E6530" s="538" t="n">
        <v>47.85</v>
      </c>
    </row>
    <row r="6531">
      <c r="A6531" s="544" t="n">
        <v>38351</v>
      </c>
      <c r="B6531" s="538" t="n">
        <v>39.8</v>
      </c>
      <c r="C6531" s="538" t="n">
        <v>43.36</v>
      </c>
      <c r="D6531" s="538" t="n">
        <v>34.53</v>
      </c>
      <c r="E6531" s="538" t="n">
        <v>48.75</v>
      </c>
    </row>
    <row r="6532">
      <c r="A6532" s="544" t="n">
        <v>38352</v>
      </c>
      <c r="B6532" s="538" t="n">
        <v>40.38</v>
      </c>
      <c r="C6532" s="538" t="n">
        <v>43.36</v>
      </c>
      <c r="D6532" s="538" t="n">
        <v>34.53</v>
      </c>
      <c r="E6532" s="538" t="n">
        <v>48.75</v>
      </c>
    </row>
    <row r="6533">
      <c r="A6533" s="544" t="n">
        <v>38355</v>
      </c>
      <c r="B6533" s="538" t="n">
        <v>40.38</v>
      </c>
      <c r="C6533" s="538" t="n">
        <v>42.16</v>
      </c>
      <c r="D6533" s="538" t="n">
        <v>35.61</v>
      </c>
      <c r="E6533" s="538" t="n">
        <v>47.8</v>
      </c>
    </row>
    <row r="6534">
      <c r="A6534" s="544" t="n">
        <v>38356</v>
      </c>
      <c r="B6534" s="538" t="n">
        <v>40.75</v>
      </c>
      <c r="C6534" s="538" t="n">
        <v>43.96</v>
      </c>
      <c r="D6534" s="538" t="n">
        <v>35.95</v>
      </c>
      <c r="E6534" s="538" t="n">
        <v>46.97</v>
      </c>
    </row>
    <row r="6535">
      <c r="A6535" s="544" t="n">
        <v>38357</v>
      </c>
      <c r="B6535" s="538" t="n">
        <v>41</v>
      </c>
      <c r="C6535" s="538" t="n">
        <v>43.41</v>
      </c>
      <c r="D6535" s="538" t="n">
        <v>34.49</v>
      </c>
      <c r="E6535" s="538" t="n">
        <v>42.75</v>
      </c>
    </row>
    <row r="6536">
      <c r="A6536" s="544" t="n">
        <v>38358</v>
      </c>
      <c r="B6536" s="538" t="n">
        <v>43.25</v>
      </c>
      <c r="C6536" s="538" t="n">
        <v>45.51</v>
      </c>
      <c r="D6536" s="538" t="n">
        <v>37.01</v>
      </c>
      <c r="E6536" s="538" t="n">
        <v>46</v>
      </c>
    </row>
    <row r="6537">
      <c r="A6537" s="544" t="n">
        <v>38359</v>
      </c>
      <c r="B6537" s="538" t="n">
        <v>43.28</v>
      </c>
      <c r="C6537" s="538" t="n">
        <v>45.32</v>
      </c>
      <c r="D6537" s="538" t="n">
        <v>36.45</v>
      </c>
      <c r="E6537" s="538" t="n">
        <v>49.05</v>
      </c>
    </row>
    <row r="6538">
      <c r="A6538" s="544" t="n">
        <v>38362</v>
      </c>
      <c r="B6538" s="538" t="n">
        <v>44.71</v>
      </c>
      <c r="C6538" s="538" t="n">
        <v>45.31</v>
      </c>
      <c r="D6538" s="538" t="n">
        <v>36.32</v>
      </c>
      <c r="E6538" s="538" t="n">
        <v>49.3</v>
      </c>
    </row>
    <row r="6539">
      <c r="A6539" s="544" t="n">
        <v>38363</v>
      </c>
      <c r="B6539" s="538" t="n">
        <v>43.45</v>
      </c>
      <c r="C6539" s="538" t="n">
        <v>45.66</v>
      </c>
      <c r="D6539" s="538" t="n">
        <v>37.08</v>
      </c>
      <c r="E6539" s="538" t="n">
        <v>49.65</v>
      </c>
    </row>
    <row r="6540">
      <c r="A6540" s="544" t="n">
        <v>38364</v>
      </c>
      <c r="B6540" s="538" t="n">
        <v>43.75</v>
      </c>
      <c r="C6540" s="538" t="n">
        <v>46.46</v>
      </c>
      <c r="D6540" s="538" t="n">
        <v>37.7</v>
      </c>
      <c r="E6540" s="538" t="n">
        <v>50.25</v>
      </c>
    </row>
    <row r="6541">
      <c r="A6541" s="544" t="n">
        <v>38365</v>
      </c>
      <c r="B6541" s="538" t="n">
        <v>45.76</v>
      </c>
      <c r="C6541" s="538" t="n">
        <v>48.11</v>
      </c>
      <c r="D6541" s="538" t="n">
        <v>38.72</v>
      </c>
      <c r="E6541" s="538" t="n">
        <v>50.22</v>
      </c>
    </row>
    <row r="6542">
      <c r="A6542" s="544" t="n">
        <v>38366</v>
      </c>
      <c r="B6542" s="538" t="n">
        <v>45.26</v>
      </c>
      <c r="C6542" s="538" t="n">
        <v>48.41</v>
      </c>
      <c r="D6542" s="538" t="n">
        <v>38.93</v>
      </c>
      <c r="E6542" s="538" t="n">
        <v>51.72</v>
      </c>
    </row>
    <row r="6543">
      <c r="A6543" s="544" t="n">
        <v>38369</v>
      </c>
      <c r="B6543" s="538" t="n">
        <v>45.1</v>
      </c>
      <c r="C6543" s="538" t="n">
        <v>48.41</v>
      </c>
      <c r="D6543" s="538" t="n">
        <v>38.93</v>
      </c>
      <c r="E6543" s="538" t="n">
        <v>51.72</v>
      </c>
    </row>
    <row r="6544">
      <c r="A6544" s="544" t="n">
        <v>38370</v>
      </c>
      <c r="B6544" s="538" t="n">
        <v>45.18</v>
      </c>
      <c r="C6544" s="538" t="n">
        <v>48.46</v>
      </c>
      <c r="D6544" s="538" t="n">
        <v>39.26</v>
      </c>
      <c r="E6544" s="538" t="n">
        <v>52.95</v>
      </c>
    </row>
    <row r="6545">
      <c r="A6545" s="544" t="n">
        <v>38371</v>
      </c>
      <c r="B6545" s="538" t="n">
        <v>45.16</v>
      </c>
      <c r="C6545" s="538" t="n">
        <v>47.61</v>
      </c>
      <c r="D6545" s="538" t="n">
        <v>39.7</v>
      </c>
      <c r="E6545" s="538" t="n">
        <v>52.7</v>
      </c>
    </row>
    <row r="6546">
      <c r="A6546" s="544" t="n">
        <v>38372</v>
      </c>
      <c r="B6546" s="538" t="n">
        <v>44.06</v>
      </c>
      <c r="C6546" s="538" t="n">
        <v>47.01</v>
      </c>
      <c r="D6546" s="538" t="n">
        <v>38.97</v>
      </c>
      <c r="E6546" s="538" t="n">
        <v>51.7</v>
      </c>
    </row>
    <row r="6547">
      <c r="A6547" s="544" t="n">
        <v>38373</v>
      </c>
      <c r="B6547" s="538" t="n">
        <v>45.88</v>
      </c>
      <c r="C6547" s="538" t="n">
        <v>48.31</v>
      </c>
      <c r="D6547" s="538" t="n">
        <v>40.46</v>
      </c>
      <c r="E6547" s="538" t="n">
        <v>51.7</v>
      </c>
    </row>
    <row r="6548">
      <c r="A6548" s="544" t="n">
        <v>38376</v>
      </c>
      <c r="B6548" s="538" t="n">
        <v>45.74</v>
      </c>
      <c r="C6548" s="538" t="n">
        <v>48.61</v>
      </c>
      <c r="D6548" s="538" t="n">
        <v>40.14</v>
      </c>
      <c r="E6548" s="538" t="n">
        <v>54.35</v>
      </c>
    </row>
    <row r="6549">
      <c r="A6549" s="544" t="n">
        <v>38377</v>
      </c>
      <c r="B6549" s="538" t="n">
        <v>46.14</v>
      </c>
      <c r="C6549" s="538" t="n">
        <v>49.43</v>
      </c>
      <c r="D6549" s="538" t="n">
        <v>41.03</v>
      </c>
      <c r="E6549" s="538" t="n">
        <v>54.1</v>
      </c>
    </row>
    <row r="6550">
      <c r="A6550" s="544" t="n">
        <v>38378</v>
      </c>
      <c r="B6550" s="538" t="n">
        <v>45.94</v>
      </c>
      <c r="C6550" s="538" t="n">
        <v>48.8</v>
      </c>
      <c r="D6550" s="538" t="n">
        <v>40.84</v>
      </c>
      <c r="E6550" s="538" t="n">
        <v>54.6</v>
      </c>
    </row>
    <row r="6551">
      <c r="A6551" s="544" t="n">
        <v>38379</v>
      </c>
      <c r="B6551" s="538" t="n">
        <v>46.51</v>
      </c>
      <c r="C6551" s="538" t="n">
        <v>48.8</v>
      </c>
      <c r="D6551" s="538" t="n">
        <v>40.27</v>
      </c>
      <c r="E6551" s="538" t="n">
        <v>54.4</v>
      </c>
    </row>
    <row r="6552">
      <c r="A6552" s="544" t="n">
        <v>38380</v>
      </c>
      <c r="B6552" s="538" t="n">
        <v>44.75</v>
      </c>
      <c r="C6552" s="538" t="n">
        <v>47.15</v>
      </c>
      <c r="D6552" s="538" t="n">
        <v>38.71</v>
      </c>
      <c r="E6552" s="538" t="n">
        <v>54.1</v>
      </c>
    </row>
    <row r="6553">
      <c r="A6553" s="544" t="n">
        <v>38383</v>
      </c>
      <c r="B6553" s="538" t="n">
        <v>44.51</v>
      </c>
      <c r="C6553" s="538" t="n">
        <v>48.25</v>
      </c>
      <c r="D6553" s="538" t="n">
        <v>39.55</v>
      </c>
      <c r="E6553" s="538" t="n">
        <v>51.7</v>
      </c>
    </row>
    <row r="6554">
      <c r="A6554" s="544" t="n">
        <v>38384</v>
      </c>
      <c r="B6554" s="538" t="n">
        <v>45.12</v>
      </c>
      <c r="C6554" s="538" t="n">
        <v>47.1</v>
      </c>
      <c r="D6554" s="538" t="n">
        <v>37.74</v>
      </c>
      <c r="E6554" s="538" t="n">
        <v>52.9</v>
      </c>
    </row>
    <row r="6555">
      <c r="A6555" s="544" t="n">
        <v>38385</v>
      </c>
      <c r="B6555" s="538" t="n">
        <v>44.17</v>
      </c>
      <c r="C6555" s="538" t="n">
        <v>46.65</v>
      </c>
      <c r="D6555" s="538" t="n">
        <v>37.3</v>
      </c>
      <c r="E6555" s="538" t="n">
        <v>51.35</v>
      </c>
    </row>
    <row r="6556">
      <c r="A6556" s="544" t="n">
        <v>38386</v>
      </c>
      <c r="B6556" s="538" t="n">
        <v>43.13</v>
      </c>
      <c r="C6556" s="538" t="n">
        <v>46.4</v>
      </c>
      <c r="D6556" s="538" t="n">
        <v>37.75</v>
      </c>
      <c r="E6556" s="538" t="n">
        <v>51.95</v>
      </c>
    </row>
    <row r="6557">
      <c r="A6557" s="544" t="n">
        <v>38387</v>
      </c>
      <c r="B6557" s="538" t="n">
        <v>43.26</v>
      </c>
      <c r="C6557" s="538" t="n">
        <v>46.45</v>
      </c>
      <c r="D6557" s="538" t="n">
        <v>37.21</v>
      </c>
      <c r="E6557" s="538" t="n">
        <v>52.3</v>
      </c>
    </row>
    <row r="6558">
      <c r="A6558" s="544" t="n">
        <v>38390</v>
      </c>
      <c r="B6558" s="538" t="n">
        <v>42.7</v>
      </c>
      <c r="C6558" s="538" t="n">
        <v>45.35</v>
      </c>
      <c r="D6558" s="538" t="n">
        <v>37.4</v>
      </c>
      <c r="E6558" s="538" t="n">
        <v>51.5</v>
      </c>
    </row>
    <row r="6559">
      <c r="A6559" s="544" t="n">
        <v>38391</v>
      </c>
      <c r="B6559" s="538" t="n">
        <v>42.79</v>
      </c>
      <c r="C6559" s="538" t="n">
        <v>45.4</v>
      </c>
      <c r="D6559" s="538" t="n">
        <v>37.8</v>
      </c>
      <c r="E6559" s="538" t="n">
        <v>51.2</v>
      </c>
    </row>
    <row r="6560">
      <c r="A6560" s="544" t="n">
        <v>38392</v>
      </c>
      <c r="B6560" s="538" t="n">
        <v>42.49</v>
      </c>
      <c r="C6560" s="538" t="n">
        <v>45.45</v>
      </c>
      <c r="D6560" s="538" t="n">
        <v>38.08</v>
      </c>
      <c r="E6560" s="538" t="n">
        <v>51.2</v>
      </c>
    </row>
    <row r="6561">
      <c r="A6561" s="544" t="n">
        <v>38393</v>
      </c>
      <c r="B6561" s="538" t="n">
        <v>44.04</v>
      </c>
      <c r="C6561" s="538" t="n">
        <v>47.05</v>
      </c>
      <c r="D6561" s="538" t="n">
        <v>39.21</v>
      </c>
      <c r="E6561" s="538" t="n">
        <v>51.2</v>
      </c>
    </row>
    <row r="6562">
      <c r="A6562" s="544" t="n">
        <v>38394</v>
      </c>
      <c r="B6562" s="538" t="n">
        <v>44.41</v>
      </c>
      <c r="C6562" s="538" t="n">
        <v>47.15</v>
      </c>
      <c r="D6562" s="538" t="n">
        <v>39.07</v>
      </c>
      <c r="E6562" s="538" t="n">
        <v>53.2</v>
      </c>
    </row>
    <row r="6563">
      <c r="A6563" s="544" t="n">
        <v>38397</v>
      </c>
      <c r="B6563" s="538" t="n">
        <v>44.51</v>
      </c>
      <c r="C6563" s="538" t="n">
        <v>47.5</v>
      </c>
      <c r="D6563" s="538" t="n">
        <v>39.31</v>
      </c>
      <c r="E6563" s="538" t="n">
        <v>53.05</v>
      </c>
    </row>
    <row r="6564">
      <c r="A6564" s="544" t="n">
        <v>38398</v>
      </c>
      <c r="B6564" s="538" t="n">
        <v>44.91</v>
      </c>
      <c r="C6564" s="538" t="n">
        <v>47.3</v>
      </c>
      <c r="D6564" s="538" t="n">
        <v>39.17</v>
      </c>
      <c r="E6564" s="538" t="n">
        <v>52.8</v>
      </c>
    </row>
    <row r="6565">
      <c r="A6565" s="544" t="n">
        <v>38399</v>
      </c>
      <c r="B6565" s="538" t="n">
        <v>45.42</v>
      </c>
      <c r="C6565" s="538" t="n">
        <v>48.35</v>
      </c>
      <c r="D6565" s="538" t="n">
        <v>40.15</v>
      </c>
      <c r="E6565" s="538" t="n">
        <v>52.8</v>
      </c>
    </row>
    <row r="6566">
      <c r="A6566" s="544" t="n">
        <v>38400</v>
      </c>
      <c r="B6566" s="538" t="n">
        <v>45.42</v>
      </c>
      <c r="C6566" s="538" t="n">
        <v>47.5</v>
      </c>
      <c r="D6566" s="538" t="n">
        <v>39.64</v>
      </c>
      <c r="E6566" s="538" t="n">
        <v>53.6</v>
      </c>
    </row>
    <row r="6567">
      <c r="A6567" s="544" t="n">
        <v>38401</v>
      </c>
      <c r="B6567" s="538" t="n">
        <v>45.86</v>
      </c>
      <c r="C6567" s="538" t="n">
        <v>48.45</v>
      </c>
      <c r="D6567" s="538" t="n">
        <v>40.42</v>
      </c>
      <c r="E6567" s="538" t="n">
        <v>53.3</v>
      </c>
    </row>
    <row r="6568">
      <c r="A6568" s="544" t="n">
        <v>38404</v>
      </c>
      <c r="B6568" s="538" t="n">
        <v>46.09</v>
      </c>
      <c r="C6568" s="538" t="n">
        <v>48.45</v>
      </c>
      <c r="D6568" s="538" t="n">
        <v>40.42</v>
      </c>
      <c r="E6568" s="538" t="n">
        <v>54.4</v>
      </c>
    </row>
    <row r="6569">
      <c r="A6569" s="544" t="n">
        <v>38405</v>
      </c>
      <c r="B6569" s="538" t="n">
        <v>47.6</v>
      </c>
      <c r="C6569" s="538" t="n">
        <v>51</v>
      </c>
      <c r="D6569" s="538" t="n">
        <v>42.37</v>
      </c>
      <c r="E6569" s="538" t="n">
        <v>56.45</v>
      </c>
    </row>
    <row r="6570">
      <c r="A6570" s="544" t="n">
        <v>38406</v>
      </c>
      <c r="B6570" s="538" t="n">
        <v>48.16</v>
      </c>
      <c r="C6570" s="538" t="n">
        <v>51.73</v>
      </c>
      <c r="D6570" s="538" t="n">
        <v>41.89</v>
      </c>
      <c r="E6570" s="538" t="n">
        <v>58.65</v>
      </c>
    </row>
    <row r="6571">
      <c r="A6571" s="544" t="n">
        <v>38407</v>
      </c>
      <c r="B6571" s="538" t="n">
        <v>49.24</v>
      </c>
      <c r="C6571" s="538" t="n">
        <v>52.05</v>
      </c>
      <c r="D6571" s="538" t="n">
        <v>42.54</v>
      </c>
      <c r="E6571" s="538" t="n">
        <v>60.35</v>
      </c>
    </row>
    <row r="6572">
      <c r="A6572" s="544" t="n">
        <v>38408</v>
      </c>
      <c r="B6572" s="538" t="n">
        <v>50.05</v>
      </c>
      <c r="C6572" s="538" t="n">
        <v>52.2</v>
      </c>
      <c r="D6572" s="538" t="n">
        <v>42.49</v>
      </c>
      <c r="E6572" s="538" t="n">
        <v>60.65</v>
      </c>
    </row>
    <row r="6573">
      <c r="A6573" s="544" t="n">
        <v>38411</v>
      </c>
      <c r="B6573" s="538" t="n">
        <v>50.13</v>
      </c>
      <c r="C6573" s="538" t="n">
        <v>51.75</v>
      </c>
      <c r="D6573" s="538" t="n">
        <v>42.44</v>
      </c>
      <c r="E6573" s="538" t="n">
        <v>61.6</v>
      </c>
    </row>
    <row r="6574">
      <c r="A6574" s="544" t="n">
        <v>38412</v>
      </c>
      <c r="B6574" s="538" t="n">
        <v>50.47</v>
      </c>
      <c r="C6574" s="538" t="n">
        <v>51.67</v>
      </c>
      <c r="D6574" s="538" t="n">
        <v>42.3</v>
      </c>
      <c r="E6574" s="538" t="n">
        <v>61.45</v>
      </c>
    </row>
    <row r="6575">
      <c r="A6575" s="544" t="n">
        <v>38413</v>
      </c>
      <c r="B6575" s="538" t="n">
        <v>51.05</v>
      </c>
      <c r="C6575" s="538" t="n">
        <v>53</v>
      </c>
      <c r="D6575" s="538" t="n">
        <v>43.35</v>
      </c>
      <c r="E6575" s="538" t="n">
        <v>63.08</v>
      </c>
    </row>
    <row r="6576">
      <c r="A6576" s="544" t="n">
        <v>38414</v>
      </c>
      <c r="B6576" s="538" t="n">
        <v>52.89</v>
      </c>
      <c r="C6576" s="538" t="n">
        <v>53.6</v>
      </c>
      <c r="D6576" s="538" t="n">
        <v>43.73</v>
      </c>
      <c r="E6576" s="538" t="n">
        <v>65.15000000000001</v>
      </c>
    </row>
    <row r="6577">
      <c r="A6577" s="544" t="n">
        <v>38415</v>
      </c>
      <c r="B6577" s="538" t="n">
        <v>52.1</v>
      </c>
      <c r="C6577" s="538" t="n">
        <v>53.7</v>
      </c>
      <c r="D6577" s="538" t="n">
        <v>43.34</v>
      </c>
      <c r="E6577" s="538" t="n">
        <v>63.5</v>
      </c>
    </row>
    <row r="6578">
      <c r="A6578" s="544" t="n">
        <v>38418</v>
      </c>
      <c r="B6578" s="538" t="n">
        <v>51.87</v>
      </c>
      <c r="C6578" s="538" t="n">
        <v>53.9</v>
      </c>
      <c r="D6578" s="538" t="n">
        <v>44.62</v>
      </c>
      <c r="E6578" s="538" t="n">
        <v>62.55</v>
      </c>
    </row>
    <row r="6579">
      <c r="A6579" s="544" t="n">
        <v>38419</v>
      </c>
      <c r="B6579" s="538" t="n">
        <v>53.29</v>
      </c>
      <c r="C6579" s="538" t="n">
        <v>54.55</v>
      </c>
      <c r="D6579" s="538" t="n">
        <v>45.47</v>
      </c>
      <c r="E6579" s="538" t="n">
        <v>62.15</v>
      </c>
    </row>
    <row r="6580">
      <c r="A6580" s="544" t="n">
        <v>38420</v>
      </c>
      <c r="B6580" s="538" t="n">
        <v>54.11</v>
      </c>
      <c r="C6580" s="538" t="n">
        <v>54.75</v>
      </c>
      <c r="D6580" s="538" t="n">
        <v>45.23</v>
      </c>
      <c r="E6580" s="538" t="n">
        <v>65.63</v>
      </c>
    </row>
    <row r="6581">
      <c r="A6581" s="544" t="n">
        <v>38421</v>
      </c>
      <c r="B6581" s="538" t="n">
        <v>53.04</v>
      </c>
      <c r="C6581" s="538" t="n">
        <v>53.52</v>
      </c>
      <c r="D6581" s="538" t="n">
        <v>44.62</v>
      </c>
      <c r="E6581" s="538" t="n">
        <v>65.2</v>
      </c>
    </row>
    <row r="6582">
      <c r="A6582" s="544" t="n">
        <v>38422</v>
      </c>
      <c r="B6582" s="538" t="n">
        <v>53.15</v>
      </c>
      <c r="C6582" s="538" t="n">
        <v>54.4</v>
      </c>
      <c r="D6582" s="538" t="n">
        <v>46.02</v>
      </c>
      <c r="E6582" s="538" t="n">
        <v>64.45</v>
      </c>
    </row>
    <row r="6583">
      <c r="A6583" s="544" t="n">
        <v>38425</v>
      </c>
      <c r="B6583" s="538" t="n">
        <v>53.68</v>
      </c>
      <c r="C6583" s="538" t="n">
        <v>54.9</v>
      </c>
      <c r="D6583" s="538" t="n">
        <v>46.23</v>
      </c>
      <c r="E6583" s="538" t="n">
        <v>65.5</v>
      </c>
    </row>
    <row r="6584">
      <c r="A6584" s="544" t="n">
        <v>38426</v>
      </c>
      <c r="B6584" s="538" t="n">
        <v>53.97</v>
      </c>
      <c r="C6584" s="538" t="n">
        <v>55.05</v>
      </c>
      <c r="D6584" s="538" t="n">
        <v>46.48</v>
      </c>
      <c r="E6584" s="538" t="n">
        <v>66.05</v>
      </c>
    </row>
    <row r="6585">
      <c r="A6585" s="544" t="n">
        <v>38427</v>
      </c>
      <c r="B6585" s="538" t="n">
        <v>54.61</v>
      </c>
      <c r="C6585" s="538" t="n">
        <v>56.5</v>
      </c>
      <c r="D6585" s="538" t="n">
        <v>48.07</v>
      </c>
      <c r="E6585" s="538" t="n">
        <v>66.15000000000001</v>
      </c>
    </row>
    <row r="6586">
      <c r="A6586" s="544" t="n">
        <v>38428</v>
      </c>
      <c r="B6586" s="538" t="n">
        <v>56.03</v>
      </c>
      <c r="C6586" s="538" t="n">
        <v>56.4</v>
      </c>
      <c r="D6586" s="538" t="n">
        <v>47.09</v>
      </c>
      <c r="E6586" s="538" t="n">
        <v>69.5</v>
      </c>
    </row>
    <row r="6587">
      <c r="A6587" s="544" t="n">
        <v>38429</v>
      </c>
      <c r="B6587" s="538" t="n">
        <v>55.97</v>
      </c>
      <c r="C6587" s="538" t="n">
        <v>56.8</v>
      </c>
      <c r="D6587" s="538" t="n">
        <v>48.24</v>
      </c>
      <c r="E6587" s="538" t="n">
        <v>67.8</v>
      </c>
    </row>
    <row r="6588">
      <c r="A6588" s="544" t="n">
        <v>38432</v>
      </c>
      <c r="B6588" s="538" t="n">
        <v>55.79</v>
      </c>
      <c r="C6588" s="538" t="n">
        <v>56.7</v>
      </c>
      <c r="D6588" s="538" t="n">
        <v>47.63</v>
      </c>
      <c r="E6588" s="538" t="n">
        <v>69.84999999999999</v>
      </c>
    </row>
    <row r="6589">
      <c r="A6589" s="544" t="n">
        <v>38433</v>
      </c>
      <c r="B6589" s="538" t="n">
        <v>55.39</v>
      </c>
      <c r="C6589" s="538" t="n">
        <v>55.95</v>
      </c>
      <c r="D6589" s="538" t="n">
        <v>46.23</v>
      </c>
      <c r="E6589" s="538" t="n">
        <v>69.75</v>
      </c>
    </row>
    <row r="6590">
      <c r="A6590" s="544" t="n">
        <v>38434</v>
      </c>
      <c r="B6590" s="538" t="n">
        <v>51.52</v>
      </c>
      <c r="C6590" s="538" t="n">
        <v>49.43</v>
      </c>
      <c r="D6590" s="538" t="n">
        <v>45.73</v>
      </c>
      <c r="E6590" s="538" t="n">
        <v>67.65000000000001</v>
      </c>
    </row>
    <row r="6591">
      <c r="A6591" s="544" t="n">
        <v>38435</v>
      </c>
      <c r="B6591" s="538" t="n">
        <v>52.35</v>
      </c>
      <c r="C6591" s="538" t="n">
        <v>49.7</v>
      </c>
      <c r="D6591" s="538" t="n">
        <v>47.11</v>
      </c>
      <c r="E6591" s="538" t="n">
        <v>67.90000000000001</v>
      </c>
    </row>
    <row r="6592">
      <c r="A6592" s="544" t="n">
        <v>38436</v>
      </c>
      <c r="B6592" s="538" t="n">
        <v>52.35</v>
      </c>
      <c r="C6592" s="538" t="n">
        <v>49.7</v>
      </c>
      <c r="D6592" s="538" t="n">
        <v>47.11</v>
      </c>
      <c r="E6592" s="538" t="n">
        <v>67.90000000000001</v>
      </c>
    </row>
    <row r="6593">
      <c r="A6593" s="544" t="n">
        <v>38439</v>
      </c>
      <c r="B6593" s="538" t="n">
        <v>51.75</v>
      </c>
      <c r="C6593" s="538" t="n">
        <v>54.06</v>
      </c>
      <c r="D6593" s="538" t="n">
        <v>45.67</v>
      </c>
      <c r="E6593" s="538" t="n">
        <v>67.84999999999999</v>
      </c>
    </row>
    <row r="6594">
      <c r="A6594" s="544" t="n">
        <v>38440</v>
      </c>
      <c r="B6594" s="538" t="n">
        <v>51.42</v>
      </c>
      <c r="C6594" s="538" t="n">
        <v>54.26</v>
      </c>
      <c r="D6594" s="538" t="n">
        <v>45.85</v>
      </c>
      <c r="E6594" s="538" t="n">
        <v>67.2</v>
      </c>
    </row>
    <row r="6595">
      <c r="A6595" s="544" t="n">
        <v>38441</v>
      </c>
      <c r="B6595" s="538" t="n">
        <v>50.63</v>
      </c>
      <c r="C6595" s="538" t="n">
        <v>53.96</v>
      </c>
      <c r="D6595" s="538" t="n">
        <v>46.51</v>
      </c>
      <c r="E6595" s="538" t="n">
        <v>67.90000000000001</v>
      </c>
    </row>
    <row r="6596">
      <c r="A6596" s="544" t="n">
        <v>38442</v>
      </c>
      <c r="B6596" s="538" t="n">
        <v>53.22</v>
      </c>
      <c r="C6596" s="538" t="n">
        <v>55.31</v>
      </c>
      <c r="D6596" s="538" t="n">
        <v>48.37</v>
      </c>
      <c r="E6596" s="538" t="n">
        <v>69.09999999999999</v>
      </c>
    </row>
    <row r="6597">
      <c r="A6597" s="544" t="n">
        <v>38443</v>
      </c>
      <c r="B6597" s="538" t="n">
        <v>54.14</v>
      </c>
      <c r="C6597" s="538" t="n">
        <v>57.26</v>
      </c>
      <c r="D6597" s="538" t="n">
        <v>49.1</v>
      </c>
      <c r="E6597" s="538" t="n">
        <v>73.72</v>
      </c>
    </row>
    <row r="6598">
      <c r="A6598" s="544" t="n">
        <v>38446</v>
      </c>
      <c r="B6598" s="538" t="n">
        <v>55.92</v>
      </c>
      <c r="C6598" s="538" t="n">
        <v>56.86</v>
      </c>
      <c r="D6598" s="538" t="n">
        <v>49.72</v>
      </c>
      <c r="E6598" s="538" t="n">
        <v>76.2</v>
      </c>
    </row>
    <row r="6599">
      <c r="A6599" s="544" t="n">
        <v>38447</v>
      </c>
      <c r="B6599" s="538" t="n">
        <v>54.53</v>
      </c>
      <c r="C6599" s="538" t="n">
        <v>55.83</v>
      </c>
      <c r="D6599" s="538" t="n">
        <v>49.21</v>
      </c>
      <c r="E6599" s="538" t="n">
        <v>75.34999999999999</v>
      </c>
    </row>
    <row r="6600">
      <c r="A6600" s="544" t="n">
        <v>38448</v>
      </c>
      <c r="B6600" s="538" t="n">
        <v>54.08</v>
      </c>
      <c r="C6600" s="538" t="n">
        <v>55.88</v>
      </c>
      <c r="D6600" s="538" t="n">
        <v>49.64</v>
      </c>
      <c r="E6600" s="538" t="n">
        <v>74.63</v>
      </c>
    </row>
    <row r="6601">
      <c r="A6601" s="544" t="n">
        <v>38449</v>
      </c>
      <c r="B6601" s="538" t="n">
        <v>52.57</v>
      </c>
      <c r="C6601" s="538" t="n">
        <v>54.16</v>
      </c>
      <c r="D6601" s="538" t="n">
        <v>47.54</v>
      </c>
      <c r="E6601" s="538" t="n">
        <v>73.59999999999999</v>
      </c>
    </row>
    <row r="6602">
      <c r="A6602" s="544" t="n">
        <v>38450</v>
      </c>
      <c r="B6602" s="538" t="n">
        <v>51.83</v>
      </c>
      <c r="C6602" s="538" t="n">
        <v>53.46</v>
      </c>
      <c r="D6602" s="538" t="n">
        <v>47.75</v>
      </c>
      <c r="E6602" s="538" t="n">
        <v>71.2</v>
      </c>
    </row>
    <row r="6603">
      <c r="A6603" s="544" t="n">
        <v>38453</v>
      </c>
      <c r="B6603" s="538" t="n">
        <v>51.21</v>
      </c>
      <c r="C6603" s="538" t="n">
        <v>53.71</v>
      </c>
      <c r="D6603" s="538" t="n">
        <v>48.08</v>
      </c>
      <c r="E6603" s="538" t="n">
        <v>69.59999999999999</v>
      </c>
    </row>
    <row r="6604">
      <c r="A6604" s="544" t="n">
        <v>38454</v>
      </c>
      <c r="B6604" s="538" t="n">
        <v>51.53</v>
      </c>
      <c r="C6604" s="538" t="n">
        <v>51.54</v>
      </c>
      <c r="D6604" s="538" t="n">
        <v>46.28</v>
      </c>
      <c r="E6604" s="538" t="n">
        <v>71.65000000000001</v>
      </c>
    </row>
    <row r="6605">
      <c r="A6605" s="544" t="n">
        <v>38455</v>
      </c>
      <c r="B6605" s="538" t="n">
        <v>49.67</v>
      </c>
      <c r="C6605" s="538" t="n">
        <v>50.21</v>
      </c>
      <c r="D6605" s="538" t="n">
        <v>45.24</v>
      </c>
      <c r="E6605" s="538" t="n">
        <v>70.2</v>
      </c>
    </row>
    <row r="6606">
      <c r="A6606" s="544" t="n">
        <v>38456</v>
      </c>
      <c r="B6606" s="538" t="n">
        <v>50.21</v>
      </c>
      <c r="C6606" s="538" t="n">
        <v>51.11</v>
      </c>
      <c r="D6606" s="538" t="n">
        <v>45.66</v>
      </c>
      <c r="E6606" s="538" t="n">
        <v>69.75</v>
      </c>
    </row>
    <row r="6607">
      <c r="A6607" s="544" t="n">
        <v>38457</v>
      </c>
      <c r="B6607" s="538" t="n">
        <v>49.52</v>
      </c>
      <c r="C6607" s="538" t="n">
        <v>50.61</v>
      </c>
      <c r="D6607" s="538" t="n">
        <v>45.58</v>
      </c>
      <c r="E6607" s="538" t="n">
        <v>68.59999999999999</v>
      </c>
    </row>
    <row r="6608">
      <c r="A6608" s="544" t="n">
        <v>38460</v>
      </c>
      <c r="B6608" s="538" t="n">
        <v>48.58</v>
      </c>
      <c r="C6608" s="538" t="n">
        <v>50.52</v>
      </c>
      <c r="D6608" s="538" t="n">
        <v>44.92</v>
      </c>
      <c r="E6608" s="538" t="n">
        <v>68.09999999999999</v>
      </c>
    </row>
    <row r="6609">
      <c r="A6609" s="544" t="n">
        <v>38461</v>
      </c>
      <c r="B6609" s="538" t="n">
        <v>50.79</v>
      </c>
      <c r="C6609" s="538" t="n">
        <v>52.33</v>
      </c>
      <c r="D6609" s="538" t="n">
        <v>46.04</v>
      </c>
      <c r="E6609" s="538" t="n">
        <v>68.3</v>
      </c>
    </row>
    <row r="6610">
      <c r="A6610" s="544" t="n">
        <v>38462</v>
      </c>
      <c r="B6610" s="538" t="n">
        <v>51.53</v>
      </c>
      <c r="C6610" s="538" t="n">
        <v>52.45</v>
      </c>
      <c r="D6610" s="538" t="n">
        <v>46.51</v>
      </c>
      <c r="E6610" s="538" t="n">
        <v>71.15000000000001</v>
      </c>
    </row>
    <row r="6611">
      <c r="A6611" s="544" t="n">
        <v>38463</v>
      </c>
      <c r="B6611" s="538" t="n">
        <v>51.73</v>
      </c>
      <c r="C6611" s="538" t="n">
        <v>52.49</v>
      </c>
      <c r="D6611" s="538" t="n">
        <v>47.34</v>
      </c>
      <c r="E6611" s="538" t="n">
        <v>71.7</v>
      </c>
    </row>
    <row r="6612">
      <c r="A6612" s="544" t="n">
        <v>38464</v>
      </c>
      <c r="B6612" s="538" t="n">
        <v>53.51</v>
      </c>
      <c r="C6612" s="538" t="n">
        <v>54.16</v>
      </c>
      <c r="D6612" s="538" t="n">
        <v>48.02</v>
      </c>
      <c r="E6612" s="538" t="n">
        <v>70.90000000000001</v>
      </c>
    </row>
    <row r="6613">
      <c r="A6613" s="544" t="n">
        <v>38467</v>
      </c>
      <c r="B6613" s="538" t="n">
        <v>53.1</v>
      </c>
      <c r="C6613" s="538" t="n">
        <v>53.16</v>
      </c>
      <c r="D6613" s="538" t="n">
        <v>46.87</v>
      </c>
      <c r="E6613" s="538" t="n">
        <v>72.40000000000001</v>
      </c>
    </row>
    <row r="6614">
      <c r="A6614" s="544" t="n">
        <v>38468</v>
      </c>
      <c r="B6614" s="538" t="n">
        <v>52.47</v>
      </c>
      <c r="C6614" s="538" t="n">
        <v>54.33</v>
      </c>
      <c r="D6614" s="538" t="n">
        <v>47.24</v>
      </c>
      <c r="E6614" s="538" t="n">
        <v>70.2</v>
      </c>
    </row>
    <row r="6615">
      <c r="A6615" s="544" t="n">
        <v>38469</v>
      </c>
      <c r="B6615" s="538" t="n">
        <v>51.29</v>
      </c>
      <c r="C6615" s="538" t="n">
        <v>51.37</v>
      </c>
      <c r="D6615" s="538" t="n">
        <v>44.83</v>
      </c>
      <c r="E6615" s="538" t="n">
        <v>70.55</v>
      </c>
    </row>
    <row r="6616">
      <c r="A6616" s="544" t="n">
        <v>38470</v>
      </c>
      <c r="B6616" s="538" t="n">
        <v>50.74</v>
      </c>
      <c r="C6616" s="538" t="n">
        <v>51.92</v>
      </c>
      <c r="D6616" s="538" t="n">
        <v>45.9</v>
      </c>
      <c r="E6616" s="538" t="n">
        <v>69.2</v>
      </c>
    </row>
    <row r="6617">
      <c r="A6617" s="544" t="n">
        <v>38471</v>
      </c>
      <c r="B6617" s="538" t="n">
        <v>50.61</v>
      </c>
      <c r="C6617" s="538" t="n">
        <v>49.2</v>
      </c>
      <c r="D6617" s="538" t="n">
        <v>44.42</v>
      </c>
      <c r="E6617" s="538" t="n">
        <v>71.5</v>
      </c>
    </row>
    <row r="6618">
      <c r="A6618" s="544" t="n">
        <v>38474</v>
      </c>
      <c r="B6618" s="538" t="n">
        <v>50.89</v>
      </c>
      <c r="C6618" s="538" t="n">
        <v>50.94</v>
      </c>
      <c r="D6618" s="538" t="n">
        <v>45.97</v>
      </c>
      <c r="E6618" s="538" t="n">
        <v>71.5</v>
      </c>
    </row>
    <row r="6619">
      <c r="A6619" s="544" t="n">
        <v>38475</v>
      </c>
      <c r="B6619" s="538" t="n">
        <v>49.48</v>
      </c>
      <c r="C6619" s="538" t="n">
        <v>49.6</v>
      </c>
      <c r="D6619" s="538" t="n">
        <v>42.65</v>
      </c>
      <c r="E6619" s="538" t="n">
        <v>69.84999999999999</v>
      </c>
    </row>
    <row r="6620">
      <c r="A6620" s="544" t="n">
        <v>38476</v>
      </c>
      <c r="B6620" s="538" t="n">
        <v>50.36</v>
      </c>
      <c r="C6620" s="538" t="n">
        <v>50.22</v>
      </c>
      <c r="D6620" s="538" t="n">
        <v>43.95</v>
      </c>
      <c r="E6620" s="538" t="n">
        <v>68.5</v>
      </c>
    </row>
    <row r="6621">
      <c r="A6621" s="544" t="n">
        <v>38477</v>
      </c>
      <c r="B6621" s="538" t="n">
        <v>49.81</v>
      </c>
      <c r="C6621" s="538" t="n">
        <v>51.12</v>
      </c>
      <c r="D6621" s="538" t="n">
        <v>44.55</v>
      </c>
      <c r="E6621" s="538" t="n">
        <v>67.45</v>
      </c>
    </row>
    <row r="6622">
      <c r="A6622" s="544" t="n">
        <v>38478</v>
      </c>
      <c r="B6622" s="538" t="n">
        <v>49.7</v>
      </c>
      <c r="C6622" s="538" t="n">
        <v>51.3</v>
      </c>
      <c r="D6622" s="538" t="n">
        <v>43.85</v>
      </c>
      <c r="E6622" s="538" t="n">
        <v>67.3</v>
      </c>
    </row>
    <row r="6623">
      <c r="A6623" s="544" t="n">
        <v>38481</v>
      </c>
      <c r="B6623" s="538" t="n">
        <v>49.71</v>
      </c>
      <c r="C6623" s="538" t="n">
        <v>52.04</v>
      </c>
      <c r="D6623" s="538" t="n">
        <v>44.57</v>
      </c>
      <c r="E6623" s="538" t="n">
        <v>65.25</v>
      </c>
    </row>
    <row r="6624">
      <c r="A6624" s="544" t="n">
        <v>38482</v>
      </c>
      <c r="B6624" s="538" t="n">
        <v>50.61</v>
      </c>
      <c r="C6624" s="538" t="n">
        <v>51.76</v>
      </c>
      <c r="D6624" s="538" t="n">
        <v>43.96</v>
      </c>
      <c r="E6624" s="538" t="n">
        <v>65.45</v>
      </c>
    </row>
    <row r="6625">
      <c r="A6625" s="544" t="n">
        <v>38483</v>
      </c>
      <c r="B6625" s="538" t="n">
        <v>48.91</v>
      </c>
      <c r="C6625" s="538" t="n">
        <v>50.39</v>
      </c>
      <c r="D6625" s="538" t="n">
        <v>43.02</v>
      </c>
      <c r="E6625" s="538" t="n">
        <v>64.15000000000001</v>
      </c>
    </row>
    <row r="6626">
      <c r="A6626" s="544" t="n">
        <v>38484</v>
      </c>
      <c r="B6626" s="538" t="n">
        <v>47.4</v>
      </c>
      <c r="C6626" s="538" t="n">
        <v>48.83</v>
      </c>
      <c r="D6626" s="538" t="n">
        <v>42.21</v>
      </c>
      <c r="E6626" s="538" t="n">
        <v>60.4</v>
      </c>
    </row>
    <row r="6627">
      <c r="A6627" s="544" t="n">
        <v>38485</v>
      </c>
      <c r="B6627" s="538" t="n">
        <v>46.85</v>
      </c>
      <c r="C6627" s="538" t="n">
        <v>48.65</v>
      </c>
      <c r="D6627" s="538" t="n">
        <v>43.02</v>
      </c>
      <c r="E6627" s="538" t="n">
        <v>61.35</v>
      </c>
    </row>
    <row r="6628">
      <c r="A6628" s="544" t="n">
        <v>38488</v>
      </c>
      <c r="B6628" s="538" t="n">
        <v>46.42</v>
      </c>
      <c r="C6628" s="538" t="n">
        <v>48.64</v>
      </c>
      <c r="D6628" s="538" t="n">
        <v>44.35</v>
      </c>
      <c r="E6628" s="538" t="n">
        <v>60.2</v>
      </c>
    </row>
    <row r="6629">
      <c r="A6629" s="544" t="n">
        <v>38489</v>
      </c>
      <c r="B6629" s="538" t="n">
        <v>47.31</v>
      </c>
      <c r="C6629" s="538" t="n">
        <v>48.97</v>
      </c>
      <c r="D6629" s="538" t="n">
        <v>44.46</v>
      </c>
      <c r="E6629" s="538" t="n">
        <v>61.2</v>
      </c>
    </row>
    <row r="6630">
      <c r="A6630" s="544" t="n">
        <v>38490</v>
      </c>
      <c r="B6630" s="538" t="n">
        <v>47.35</v>
      </c>
      <c r="C6630" s="538" t="n">
        <v>46.99</v>
      </c>
      <c r="D6630" s="538" t="n">
        <v>43.06</v>
      </c>
      <c r="E6630" s="538" t="n">
        <v>61.5</v>
      </c>
    </row>
    <row r="6631">
      <c r="A6631" s="544" t="n">
        <v>38491</v>
      </c>
      <c r="B6631" s="538" t="n">
        <v>46.92</v>
      </c>
      <c r="C6631" s="538" t="n">
        <v>47</v>
      </c>
      <c r="D6631" s="538" t="n">
        <v>44.36</v>
      </c>
      <c r="E6631" s="538" t="n">
        <v>61.4</v>
      </c>
    </row>
    <row r="6632">
      <c r="A6632" s="544" t="n">
        <v>38492</v>
      </c>
      <c r="B6632" s="538" t="n">
        <v>46.91</v>
      </c>
      <c r="C6632" s="538" t="n">
        <v>47.25</v>
      </c>
      <c r="D6632" s="538" t="n">
        <v>44.88</v>
      </c>
      <c r="E6632" s="538" t="n">
        <v>62.85</v>
      </c>
    </row>
    <row r="6633">
      <c r="A6633" s="544" t="n">
        <v>38495</v>
      </c>
      <c r="B6633" s="538" t="n">
        <v>47.28</v>
      </c>
      <c r="C6633" s="538" t="n">
        <v>48.68</v>
      </c>
      <c r="D6633" s="538" t="n">
        <v>45.02</v>
      </c>
      <c r="E6633" s="538" t="n">
        <v>62.85</v>
      </c>
    </row>
    <row r="6634">
      <c r="A6634" s="544" t="n">
        <v>38496</v>
      </c>
      <c r="B6634" s="538" t="n">
        <v>47.29</v>
      </c>
      <c r="C6634" s="538" t="n">
        <v>49.14</v>
      </c>
      <c r="D6634" s="538" t="n">
        <v>45.95</v>
      </c>
      <c r="E6634" s="538" t="n">
        <v>60.9</v>
      </c>
    </row>
    <row r="6635">
      <c r="A6635" s="544" t="n">
        <v>38497</v>
      </c>
      <c r="B6635" s="538" t="n">
        <v>49.24</v>
      </c>
      <c r="C6635" s="538" t="n">
        <v>50.37</v>
      </c>
      <c r="D6635" s="538" t="n">
        <v>46.1</v>
      </c>
      <c r="E6635" s="538" t="n">
        <v>61.8</v>
      </c>
    </row>
    <row r="6636">
      <c r="A6636" s="544" t="n">
        <v>38498</v>
      </c>
      <c r="B6636" s="538" t="n">
        <v>49.71</v>
      </c>
      <c r="C6636" s="538" t="n">
        <v>50.89</v>
      </c>
      <c r="D6636" s="538" t="n">
        <v>46.09</v>
      </c>
      <c r="E6636" s="538" t="n">
        <v>62.5</v>
      </c>
    </row>
    <row r="6637">
      <c r="A6637" s="544" t="n">
        <v>38499</v>
      </c>
      <c r="B6637" s="538" t="n">
        <v>49.42</v>
      </c>
      <c r="C6637" s="538" t="n">
        <v>51.65</v>
      </c>
      <c r="D6637" s="538" t="n">
        <v>46.39</v>
      </c>
      <c r="E6637" s="538" t="n">
        <v>61.8</v>
      </c>
    </row>
    <row r="6638">
      <c r="A6638" s="544" t="n">
        <v>38502</v>
      </c>
      <c r="B6638" s="538" t="n">
        <v>49.33</v>
      </c>
      <c r="C6638" s="538" t="n">
        <v>51.65</v>
      </c>
      <c r="D6638" s="538" t="n">
        <v>46.39</v>
      </c>
      <c r="E6638" s="538" t="n">
        <v>63.4</v>
      </c>
    </row>
    <row r="6639">
      <c r="A6639" s="544" t="n">
        <v>38503</v>
      </c>
      <c r="B6639" s="538" t="n">
        <v>49.3</v>
      </c>
      <c r="C6639" s="538" t="n">
        <v>52.08</v>
      </c>
      <c r="D6639" s="538" t="n">
        <v>47.01</v>
      </c>
      <c r="E6639" s="538" t="n">
        <v>61.8</v>
      </c>
    </row>
    <row r="6640">
      <c r="A6640" s="544" t="n">
        <v>38504</v>
      </c>
      <c r="B6640" s="538" t="n">
        <v>50.46</v>
      </c>
      <c r="C6640" s="538" t="n">
        <v>54.4</v>
      </c>
      <c r="D6640" s="538" t="n">
        <v>47.98</v>
      </c>
      <c r="E6640" s="538" t="n">
        <v>62.95</v>
      </c>
    </row>
    <row r="6641">
      <c r="A6641" s="544" t="n">
        <v>38505</v>
      </c>
      <c r="B6641" s="538" t="n">
        <v>51.3</v>
      </c>
      <c r="C6641" s="538" t="n">
        <v>53.46</v>
      </c>
      <c r="D6641" s="538" t="n">
        <v>47.41</v>
      </c>
      <c r="E6641" s="538" t="n">
        <v>65.59999999999999</v>
      </c>
    </row>
    <row r="6642">
      <c r="A6642" s="544" t="n">
        <v>38506</v>
      </c>
      <c r="B6642" s="538" t="n">
        <v>51.9</v>
      </c>
      <c r="C6642" s="538" t="n">
        <v>55.08</v>
      </c>
      <c r="D6642" s="538" t="n">
        <v>49.47</v>
      </c>
      <c r="E6642" s="538" t="n">
        <v>66.65000000000001</v>
      </c>
    </row>
    <row r="6643">
      <c r="A6643" s="544" t="n">
        <v>38509</v>
      </c>
      <c r="B6643" s="538" t="n">
        <v>52.61</v>
      </c>
      <c r="C6643" s="538" t="n">
        <v>54.46</v>
      </c>
      <c r="D6643" s="538" t="n">
        <v>48.09</v>
      </c>
      <c r="E6643" s="538" t="n">
        <v>68.55</v>
      </c>
    </row>
    <row r="6644">
      <c r="A6644" s="544" t="n">
        <v>38510</v>
      </c>
      <c r="B6644" s="538" t="n">
        <v>51.62</v>
      </c>
      <c r="C6644" s="538" t="n">
        <v>53.84</v>
      </c>
      <c r="D6644" s="538" t="n">
        <v>48.1</v>
      </c>
      <c r="E6644" s="538" t="n">
        <v>69.09999999999999</v>
      </c>
    </row>
    <row r="6645">
      <c r="A6645" s="544" t="n">
        <v>38511</v>
      </c>
      <c r="B6645" s="538" t="n">
        <v>51.92</v>
      </c>
      <c r="C6645" s="538" t="n">
        <v>52.51</v>
      </c>
      <c r="D6645" s="538" t="n">
        <v>47.52</v>
      </c>
      <c r="E6645" s="538" t="n">
        <v>68.5</v>
      </c>
    </row>
    <row r="6646">
      <c r="A6646" s="544" t="n">
        <v>38512</v>
      </c>
      <c r="B6646" s="538" t="n">
        <v>51.36</v>
      </c>
      <c r="C6646" s="538" t="n">
        <v>54.36</v>
      </c>
      <c r="D6646" s="538" t="n">
        <v>49.77</v>
      </c>
      <c r="E6646" s="538" t="n">
        <v>67.09999999999999</v>
      </c>
    </row>
    <row r="6647">
      <c r="A6647" s="544" t="n">
        <v>38513</v>
      </c>
      <c r="B6647" s="538" t="n">
        <v>51.98</v>
      </c>
      <c r="C6647" s="538" t="n">
        <v>53.55</v>
      </c>
      <c r="D6647" s="538" t="n">
        <v>49.76</v>
      </c>
      <c r="E6647" s="538" t="n">
        <v>69.22</v>
      </c>
    </row>
    <row r="6648">
      <c r="A6648" s="544" t="n">
        <v>38516</v>
      </c>
      <c r="B6648" s="538" t="n">
        <v>52</v>
      </c>
      <c r="C6648" s="538" t="n">
        <v>55.47</v>
      </c>
      <c r="D6648" s="538" t="n">
        <v>50.08</v>
      </c>
      <c r="E6648" s="538" t="n">
        <v>68.59999999999999</v>
      </c>
    </row>
    <row r="6649">
      <c r="A6649" s="544" t="n">
        <v>38517</v>
      </c>
      <c r="B6649" s="538" t="n">
        <v>53.52</v>
      </c>
      <c r="C6649" s="538" t="n">
        <v>55.03</v>
      </c>
      <c r="D6649" s="538" t="n">
        <v>49.21</v>
      </c>
      <c r="E6649" s="538" t="n">
        <v>70</v>
      </c>
    </row>
    <row r="6650">
      <c r="A6650" s="544" t="n">
        <v>38518</v>
      </c>
      <c r="B6650" s="538" t="n">
        <v>54.12</v>
      </c>
      <c r="C6650" s="538" t="n">
        <v>55.53</v>
      </c>
      <c r="D6650" s="538" t="n">
        <v>50.7</v>
      </c>
      <c r="E6650" s="538" t="n">
        <v>70.2</v>
      </c>
    </row>
    <row r="6651">
      <c r="A6651" s="544" t="n">
        <v>38519</v>
      </c>
      <c r="B6651" s="538" t="n">
        <v>54.3</v>
      </c>
      <c r="C6651" s="538" t="n">
        <v>56.48</v>
      </c>
      <c r="D6651" s="538" t="n">
        <v>51.34</v>
      </c>
      <c r="E6651" s="538" t="n">
        <v>70.09999999999999</v>
      </c>
    </row>
    <row r="6652">
      <c r="A6652" s="544" t="n">
        <v>38520</v>
      </c>
      <c r="B6652" s="538" t="n">
        <v>56.92</v>
      </c>
      <c r="C6652" s="538" t="n">
        <v>58.4</v>
      </c>
      <c r="D6652" s="538" t="n">
        <v>52.88</v>
      </c>
      <c r="E6652" s="538" t="n">
        <v>70.8</v>
      </c>
    </row>
    <row r="6653">
      <c r="A6653" s="544" t="n">
        <v>38523</v>
      </c>
      <c r="B6653" s="538" t="n">
        <v>57.1</v>
      </c>
      <c r="C6653" s="538" t="n">
        <v>59.19</v>
      </c>
      <c r="D6653" s="538" t="n">
        <v>52.68</v>
      </c>
      <c r="E6653" s="538" t="n">
        <v>70.90000000000001</v>
      </c>
    </row>
    <row r="6654">
      <c r="A6654" s="544" t="n">
        <v>38524</v>
      </c>
      <c r="B6654" s="538" t="n">
        <v>57.36</v>
      </c>
      <c r="C6654" s="538" t="n">
        <v>58.9</v>
      </c>
      <c r="D6654" s="538" t="n">
        <v>51.81</v>
      </c>
      <c r="E6654" s="538" t="n">
        <v>70.40000000000001</v>
      </c>
    </row>
    <row r="6655">
      <c r="A6655" s="544" t="n">
        <v>38525</v>
      </c>
      <c r="B6655" s="538" t="n">
        <v>56.06</v>
      </c>
      <c r="C6655" s="538" t="n">
        <v>58.27</v>
      </c>
      <c r="D6655" s="538" t="n">
        <v>51.63</v>
      </c>
      <c r="E6655" s="538" t="n">
        <v>69.7</v>
      </c>
    </row>
    <row r="6656">
      <c r="A6656" s="544" t="n">
        <v>38526</v>
      </c>
      <c r="B6656" s="538" t="n">
        <v>57.03</v>
      </c>
      <c r="C6656" s="538" t="n">
        <v>59.23</v>
      </c>
      <c r="D6656" s="538" t="n">
        <v>53.43</v>
      </c>
      <c r="E6656" s="538" t="n">
        <v>69.90000000000001</v>
      </c>
    </row>
    <row r="6657">
      <c r="A6657" s="544" t="n">
        <v>38527</v>
      </c>
      <c r="B6657" s="538" t="n">
        <v>57.21</v>
      </c>
      <c r="C6657" s="538" t="n">
        <v>59.63</v>
      </c>
      <c r="D6657" s="538" t="n">
        <v>53.12</v>
      </c>
      <c r="E6657" s="538" t="n">
        <v>71.15000000000001</v>
      </c>
    </row>
    <row r="6658">
      <c r="A6658" s="544" t="n">
        <v>38530</v>
      </c>
      <c r="B6658" s="538" t="n">
        <v>58.5</v>
      </c>
      <c r="C6658" s="538" t="n">
        <v>59.78</v>
      </c>
      <c r="D6658" s="538" t="n">
        <v>53.83</v>
      </c>
      <c r="E6658" s="538" t="n">
        <v>71.09999999999999</v>
      </c>
    </row>
    <row r="6659">
      <c r="A6659" s="544" t="n">
        <v>38531</v>
      </c>
      <c r="B6659" s="538" t="n">
        <v>57.75</v>
      </c>
      <c r="C6659" s="538" t="n">
        <v>58.32</v>
      </c>
      <c r="D6659" s="538" t="n">
        <v>52.33</v>
      </c>
      <c r="E6659" s="538" t="n">
        <v>70.2</v>
      </c>
    </row>
    <row r="6660">
      <c r="A6660" s="544" t="n">
        <v>38532</v>
      </c>
      <c r="B6660" s="538" t="n">
        <v>55.42</v>
      </c>
      <c r="C6660" s="538" t="n">
        <v>57.23</v>
      </c>
      <c r="D6660" s="538" t="n">
        <v>51.65</v>
      </c>
      <c r="E6660" s="538" t="n">
        <v>69.15000000000001</v>
      </c>
    </row>
    <row r="6661">
      <c r="A6661" s="544" t="n">
        <v>38533</v>
      </c>
      <c r="B6661" s="538" t="n">
        <v>55.36</v>
      </c>
      <c r="C6661" s="538" t="n">
        <v>56.63</v>
      </c>
      <c r="D6661" s="538" t="n">
        <v>51.46</v>
      </c>
      <c r="E6661" s="538" t="n">
        <v>68.45</v>
      </c>
    </row>
    <row r="6662">
      <c r="A6662" s="544" t="n">
        <v>38534</v>
      </c>
      <c r="B6662" s="538" t="n">
        <v>56.41</v>
      </c>
      <c r="C6662" s="538" t="n">
        <v>59.11</v>
      </c>
      <c r="D6662" s="538" t="n">
        <v>52.99</v>
      </c>
      <c r="E6662" s="538" t="n">
        <v>69.45</v>
      </c>
    </row>
    <row r="6663">
      <c r="A6663" s="544" t="n">
        <v>38537</v>
      </c>
      <c r="B6663" s="538" t="n">
        <v>57.13</v>
      </c>
      <c r="C6663" s="538" t="n">
        <v>59.11</v>
      </c>
      <c r="D6663" s="538" t="n">
        <v>53.45</v>
      </c>
      <c r="E6663" s="538" t="n">
        <v>71.2</v>
      </c>
    </row>
    <row r="6664">
      <c r="A6664" s="544" t="n">
        <v>38538</v>
      </c>
      <c r="B6664" s="538" t="n">
        <v>57.86</v>
      </c>
      <c r="C6664" s="538" t="n">
        <v>59.71</v>
      </c>
      <c r="D6664" s="538" t="n">
        <v>52.88</v>
      </c>
      <c r="E6664" s="538" t="n">
        <v>71.59999999999999</v>
      </c>
    </row>
    <row r="6665">
      <c r="A6665" s="544" t="n">
        <v>38539</v>
      </c>
      <c r="B6665" s="538" t="n">
        <v>58.38</v>
      </c>
      <c r="C6665" s="538" t="n">
        <v>61.24</v>
      </c>
      <c r="D6665" s="538" t="n">
        <v>55.41</v>
      </c>
      <c r="E6665" s="538" t="n">
        <v>72</v>
      </c>
    </row>
    <row r="6666">
      <c r="A6666" s="544" t="n">
        <v>38540</v>
      </c>
      <c r="B6666" s="538" t="n">
        <v>57.55</v>
      </c>
      <c r="C6666" s="538" t="n">
        <v>60.76</v>
      </c>
      <c r="D6666" s="538" t="n">
        <v>53.68</v>
      </c>
      <c r="E6666" s="538" t="n">
        <v>73</v>
      </c>
    </row>
    <row r="6667">
      <c r="A6667" s="544" t="n">
        <v>38541</v>
      </c>
      <c r="B6667" s="538" t="n">
        <v>59</v>
      </c>
      <c r="C6667" s="538" t="n">
        <v>59.71</v>
      </c>
      <c r="D6667" s="538" t="n">
        <v>53.53</v>
      </c>
      <c r="E6667" s="538" t="n">
        <v>73.15000000000001</v>
      </c>
    </row>
    <row r="6668">
      <c r="A6668" s="544" t="n">
        <v>38544</v>
      </c>
      <c r="B6668" s="538" t="n">
        <v>56.1</v>
      </c>
      <c r="C6668" s="538" t="n">
        <v>59.23</v>
      </c>
      <c r="D6668" s="538" t="n">
        <v>52.95</v>
      </c>
      <c r="E6668" s="538" t="n">
        <v>70.3</v>
      </c>
    </row>
    <row r="6669">
      <c r="A6669" s="544" t="n">
        <v>38545</v>
      </c>
      <c r="B6669" s="538" t="n">
        <v>58.95</v>
      </c>
      <c r="C6669" s="538" t="n">
        <v>60.49</v>
      </c>
      <c r="D6669" s="538" t="n">
        <v>54.54</v>
      </c>
      <c r="E6669" s="538" t="n">
        <v>69.59999999999999</v>
      </c>
    </row>
    <row r="6670">
      <c r="A6670" s="544" t="n">
        <v>38546</v>
      </c>
      <c r="B6670" s="538" t="n">
        <v>58.33</v>
      </c>
      <c r="C6670" s="538" t="n">
        <v>60</v>
      </c>
      <c r="D6670" s="538" t="n">
        <v>52.81</v>
      </c>
      <c r="E6670" s="538" t="n">
        <v>71.59999999999999</v>
      </c>
    </row>
    <row r="6671">
      <c r="A6671" s="544" t="n">
        <v>38547</v>
      </c>
      <c r="B6671" s="538" t="n">
        <v>56.79</v>
      </c>
      <c r="C6671" s="538" t="n">
        <v>57.83</v>
      </c>
      <c r="D6671" s="538" t="n">
        <v>52.43</v>
      </c>
      <c r="E6671" s="538" t="n">
        <v>70</v>
      </c>
    </row>
    <row r="6672">
      <c r="A6672" s="544" t="n">
        <v>38548</v>
      </c>
      <c r="B6672" s="538" t="n">
        <v>56.98</v>
      </c>
      <c r="C6672" s="538" t="n">
        <v>58.36</v>
      </c>
      <c r="D6672" s="538" t="n">
        <v>52.5</v>
      </c>
      <c r="E6672" s="538" t="n">
        <v>69.34999999999999</v>
      </c>
    </row>
    <row r="6673">
      <c r="A6673" s="544" t="n">
        <v>38551</v>
      </c>
      <c r="B6673" s="538" t="n">
        <v>56.25</v>
      </c>
      <c r="C6673" s="538" t="n">
        <v>57.12</v>
      </c>
      <c r="D6673" s="538" t="n">
        <v>51.24</v>
      </c>
      <c r="E6673" s="538" t="n">
        <v>69.90000000000001</v>
      </c>
    </row>
    <row r="6674">
      <c r="A6674" s="544" t="n">
        <v>38552</v>
      </c>
      <c r="B6674" s="538" t="n">
        <v>56.75</v>
      </c>
      <c r="C6674" s="538" t="n">
        <v>57.61</v>
      </c>
      <c r="D6674" s="538" t="n">
        <v>51.43</v>
      </c>
      <c r="E6674" s="538" t="n">
        <v>68.55</v>
      </c>
    </row>
    <row r="6675">
      <c r="A6675" s="544" t="n">
        <v>38553</v>
      </c>
      <c r="B6675" s="538" t="n">
        <v>56.39</v>
      </c>
      <c r="C6675" s="538" t="n">
        <v>56.73</v>
      </c>
      <c r="D6675" s="538" t="n">
        <v>50.29</v>
      </c>
      <c r="E6675" s="538" t="n">
        <v>69.40000000000001</v>
      </c>
    </row>
    <row r="6676">
      <c r="A6676" s="544" t="n">
        <v>38554</v>
      </c>
      <c r="B6676" s="538" t="n">
        <v>55.59</v>
      </c>
      <c r="C6676" s="538" t="n">
        <v>57.31</v>
      </c>
      <c r="D6676" s="538" t="n">
        <v>50.8</v>
      </c>
      <c r="E6676" s="538" t="n">
        <v>67.40000000000001</v>
      </c>
    </row>
    <row r="6677">
      <c r="A6677" s="544" t="n">
        <v>38555</v>
      </c>
      <c r="B6677" s="538" t="n">
        <v>56.98</v>
      </c>
      <c r="C6677" s="538" t="n">
        <v>57.75</v>
      </c>
      <c r="D6677" s="538" t="n">
        <v>52.15</v>
      </c>
      <c r="E6677" s="538" t="n">
        <v>67.90000000000001</v>
      </c>
    </row>
    <row r="6678">
      <c r="A6678" s="544" t="n">
        <v>38558</v>
      </c>
      <c r="B6678" s="538" t="n">
        <v>57.51</v>
      </c>
      <c r="C6678" s="538" t="n">
        <v>58.16</v>
      </c>
      <c r="D6678" s="538" t="n">
        <v>52.41</v>
      </c>
      <c r="E6678" s="538" t="n">
        <v>68.28</v>
      </c>
    </row>
    <row r="6679">
      <c r="A6679" s="544" t="n">
        <v>38559</v>
      </c>
      <c r="B6679" s="538" t="n">
        <v>58.58</v>
      </c>
      <c r="C6679" s="538" t="n">
        <v>59.05</v>
      </c>
      <c r="D6679" s="538" t="n">
        <v>52.27</v>
      </c>
      <c r="E6679" s="538" t="n">
        <v>70.2</v>
      </c>
    </row>
    <row r="6680">
      <c r="A6680" s="544" t="n">
        <v>38560</v>
      </c>
      <c r="B6680" s="538" t="n">
        <v>58.34</v>
      </c>
      <c r="C6680" s="538" t="n">
        <v>59.12</v>
      </c>
      <c r="D6680" s="538" t="n">
        <v>52.27</v>
      </c>
      <c r="E6680" s="538" t="n">
        <v>69.7</v>
      </c>
    </row>
    <row r="6681">
      <c r="A6681" s="544" t="n">
        <v>38561</v>
      </c>
      <c r="B6681" s="538" t="n">
        <v>58.28</v>
      </c>
      <c r="C6681" s="538" t="n">
        <v>59.91</v>
      </c>
      <c r="D6681" s="538" t="n">
        <v>53.61</v>
      </c>
      <c r="E6681" s="538" t="n">
        <v>69.84999999999999</v>
      </c>
    </row>
    <row r="6682">
      <c r="A6682" s="544" t="n">
        <v>38562</v>
      </c>
      <c r="B6682" s="538" t="n">
        <v>59.77</v>
      </c>
      <c r="C6682" s="538" t="n">
        <v>60.71</v>
      </c>
      <c r="D6682" s="538" t="n">
        <v>54.21</v>
      </c>
      <c r="E6682" s="538" t="n">
        <v>69.95</v>
      </c>
    </row>
    <row r="6683">
      <c r="A6683" s="544" t="n">
        <v>38565</v>
      </c>
      <c r="B6683" s="538" t="n">
        <v>60.56</v>
      </c>
      <c r="C6683" s="538" t="n">
        <v>61.51</v>
      </c>
      <c r="D6683" s="538" t="n">
        <v>54.06</v>
      </c>
      <c r="E6683" s="538" t="n">
        <v>71.90000000000001</v>
      </c>
    </row>
    <row r="6684">
      <c r="A6684" s="544" t="n">
        <v>38566</v>
      </c>
      <c r="B6684" s="538" t="n">
        <v>60.13</v>
      </c>
      <c r="C6684" s="538" t="n">
        <v>61.87</v>
      </c>
      <c r="D6684" s="538" t="n">
        <v>54.95</v>
      </c>
      <c r="E6684" s="538" t="n">
        <v>72.5</v>
      </c>
    </row>
    <row r="6685">
      <c r="A6685" s="544" t="n">
        <v>38567</v>
      </c>
      <c r="B6685" s="538" t="n">
        <v>60.04</v>
      </c>
      <c r="C6685" s="538" t="n">
        <v>60.76</v>
      </c>
      <c r="D6685" s="538" t="n">
        <v>53.48</v>
      </c>
      <c r="E6685" s="538" t="n">
        <v>72.8</v>
      </c>
    </row>
    <row r="6686">
      <c r="A6686" s="544" t="n">
        <v>38568</v>
      </c>
      <c r="B6686" s="538" t="n">
        <v>60.62</v>
      </c>
      <c r="C6686" s="538" t="n">
        <v>61.6</v>
      </c>
      <c r="D6686" s="538" t="n">
        <v>54.53</v>
      </c>
      <c r="E6686" s="538" t="n">
        <v>71</v>
      </c>
    </row>
    <row r="6687">
      <c r="A6687" s="544" t="n">
        <v>38569</v>
      </c>
      <c r="B6687" s="538" t="n">
        <v>60.73</v>
      </c>
      <c r="C6687" s="538" t="n">
        <v>62.44</v>
      </c>
      <c r="D6687" s="538" t="n">
        <v>55.17</v>
      </c>
      <c r="E6687" s="538" t="n">
        <v>71.15000000000001</v>
      </c>
    </row>
    <row r="6688">
      <c r="A6688" s="544" t="n">
        <v>38572</v>
      </c>
      <c r="B6688" s="538" t="n">
        <v>62.56</v>
      </c>
      <c r="C6688" s="538" t="n">
        <v>63.92</v>
      </c>
      <c r="D6688" s="538" t="n">
        <v>55.88</v>
      </c>
      <c r="E6688" s="538" t="n">
        <v>72.34999999999999</v>
      </c>
    </row>
    <row r="6689">
      <c r="A6689" s="544" t="n">
        <v>38573</v>
      </c>
      <c r="B6689" s="538" t="n">
        <v>62.79</v>
      </c>
      <c r="C6689" s="538" t="n">
        <v>63.13</v>
      </c>
      <c r="D6689" s="538" t="n">
        <v>54.87</v>
      </c>
      <c r="E6689" s="538" t="n">
        <v>72.34999999999999</v>
      </c>
    </row>
    <row r="6690">
      <c r="A6690" s="544" t="n">
        <v>38574</v>
      </c>
      <c r="B6690" s="538" t="n">
        <v>63.77</v>
      </c>
      <c r="C6690" s="538" t="n">
        <v>64.8</v>
      </c>
      <c r="D6690" s="538" t="n">
        <v>56.69</v>
      </c>
      <c r="E6690" s="538" t="n">
        <v>74.8</v>
      </c>
    </row>
    <row r="6691">
      <c r="A6691" s="544" t="n">
        <v>38575</v>
      </c>
      <c r="B6691" s="538" t="n">
        <v>65.90000000000001</v>
      </c>
      <c r="C6691" s="538" t="n">
        <v>65.67</v>
      </c>
      <c r="D6691" s="538" t="n">
        <v>57.84</v>
      </c>
      <c r="E6691" s="538" t="n">
        <v>74.84999999999999</v>
      </c>
    </row>
    <row r="6692">
      <c r="A6692" s="544" t="n">
        <v>38576</v>
      </c>
      <c r="B6692" s="538" t="n">
        <v>67.26000000000001</v>
      </c>
      <c r="C6692" s="538" t="n">
        <v>66.70999999999999</v>
      </c>
      <c r="D6692" s="538" t="n">
        <v>59.1</v>
      </c>
      <c r="E6692" s="538" t="n">
        <v>76.25</v>
      </c>
    </row>
    <row r="6693">
      <c r="A6693" s="544" t="n">
        <v>38579</v>
      </c>
      <c r="B6693" s="538" t="n">
        <v>66.68000000000001</v>
      </c>
      <c r="C6693" s="538" t="n">
        <v>66.20999999999999</v>
      </c>
      <c r="D6693" s="538" t="n">
        <v>57.34</v>
      </c>
      <c r="E6693" s="538" t="n">
        <v>77</v>
      </c>
    </row>
    <row r="6694">
      <c r="A6694" s="544" t="n">
        <v>38580</v>
      </c>
      <c r="B6694" s="538" t="n">
        <v>65.09999999999999</v>
      </c>
      <c r="C6694" s="538" t="n">
        <v>66.11</v>
      </c>
      <c r="D6694" s="538" t="n">
        <v>57.91</v>
      </c>
      <c r="E6694" s="538" t="n">
        <v>77.15000000000001</v>
      </c>
    </row>
    <row r="6695">
      <c r="A6695" s="544" t="n">
        <v>38581</v>
      </c>
      <c r="B6695" s="538" t="n">
        <v>63.41</v>
      </c>
      <c r="C6695" s="538" t="n">
        <v>63.29</v>
      </c>
      <c r="D6695" s="538" t="n">
        <v>54.89</v>
      </c>
      <c r="E6695" s="538" t="n">
        <v>79</v>
      </c>
    </row>
    <row r="6696">
      <c r="A6696" s="544" t="n">
        <v>38582</v>
      </c>
      <c r="B6696" s="538" t="n">
        <v>61.75</v>
      </c>
      <c r="C6696" s="538" t="n">
        <v>63.47</v>
      </c>
      <c r="D6696" s="538" t="n">
        <v>55.76</v>
      </c>
      <c r="E6696" s="538" t="n">
        <v>76.09999999999999</v>
      </c>
    </row>
    <row r="6697">
      <c r="A6697" s="544" t="n">
        <v>38583</v>
      </c>
      <c r="B6697" s="538" t="n">
        <v>64.20999999999999</v>
      </c>
      <c r="C6697" s="538" t="n">
        <v>65.51000000000001</v>
      </c>
      <c r="D6697" s="538" t="n">
        <v>56.8</v>
      </c>
      <c r="E6697" s="538" t="n">
        <v>77</v>
      </c>
    </row>
    <row r="6698">
      <c r="A6698" s="544" t="n">
        <v>38586</v>
      </c>
      <c r="B6698" s="538" t="n">
        <v>65.87</v>
      </c>
      <c r="C6698" s="538" t="n">
        <v>65.45999999999999</v>
      </c>
      <c r="D6698" s="538" t="n">
        <v>56.47</v>
      </c>
      <c r="E6698" s="538" t="n">
        <v>76.8</v>
      </c>
    </row>
    <row r="6699">
      <c r="A6699" s="544" t="n">
        <v>38587</v>
      </c>
      <c r="B6699" s="538" t="n">
        <v>65.16</v>
      </c>
      <c r="C6699" s="538" t="n">
        <v>65.81</v>
      </c>
      <c r="D6699" s="538" t="n">
        <v>57.11</v>
      </c>
      <c r="E6699" s="538" t="n">
        <v>76.5</v>
      </c>
    </row>
    <row r="6700">
      <c r="A6700" s="544" t="n">
        <v>38588</v>
      </c>
      <c r="B6700" s="538" t="n">
        <v>65.25</v>
      </c>
      <c r="C6700" s="538" t="n">
        <v>67.09999999999999</v>
      </c>
      <c r="D6700" s="538" t="n">
        <v>58.51</v>
      </c>
      <c r="E6700" s="538" t="n">
        <v>76.34999999999999</v>
      </c>
    </row>
    <row r="6701">
      <c r="A6701" s="544" t="n">
        <v>38589</v>
      </c>
      <c r="B6701" s="538" t="n">
        <v>65.88</v>
      </c>
      <c r="C6701" s="538" t="n">
        <v>67.29000000000001</v>
      </c>
      <c r="D6701" s="538" t="n">
        <v>58.26</v>
      </c>
      <c r="E6701" s="538" t="n">
        <v>76.90000000000001</v>
      </c>
    </row>
    <row r="6702">
      <c r="A6702" s="544" t="n">
        <v>38590</v>
      </c>
      <c r="B6702" s="538" t="n">
        <v>66.23</v>
      </c>
      <c r="C6702" s="538" t="n">
        <v>66.05</v>
      </c>
      <c r="D6702" s="538" t="n">
        <v>57.03</v>
      </c>
      <c r="E6702" s="538" t="n">
        <v>77.25</v>
      </c>
    </row>
    <row r="6703">
      <c r="A6703" s="544" t="n">
        <v>38593</v>
      </c>
      <c r="B6703" s="538" t="n">
        <v>64.77</v>
      </c>
      <c r="C6703" s="538" t="n">
        <v>67.41</v>
      </c>
      <c r="D6703" s="538" t="n">
        <v>57.68</v>
      </c>
      <c r="E6703" s="538" t="n">
        <v>79.65000000000001</v>
      </c>
    </row>
    <row r="6704">
      <c r="A6704" s="544" t="n">
        <v>38594</v>
      </c>
      <c r="B6704" s="538" t="n">
        <v>66.15000000000001</v>
      </c>
      <c r="C6704" s="538" t="n">
        <v>69.91</v>
      </c>
      <c r="D6704" s="538" t="n">
        <v>59.79</v>
      </c>
      <c r="E6704" s="538" t="n">
        <v>78.5</v>
      </c>
    </row>
    <row r="6705">
      <c r="A6705" s="544" t="n">
        <v>38595</v>
      </c>
      <c r="B6705" s="538" t="n">
        <v>66.8</v>
      </c>
      <c r="C6705" s="538" t="n">
        <v>68.63</v>
      </c>
      <c r="D6705" s="538" t="n">
        <v>57.69</v>
      </c>
      <c r="E6705" s="538" t="n">
        <v>82.34999999999999</v>
      </c>
    </row>
    <row r="6706">
      <c r="A6706" s="544" t="n">
        <v>38596</v>
      </c>
      <c r="B6706" s="538" t="n">
        <v>66.79000000000001</v>
      </c>
      <c r="C6706" s="538" t="n">
        <v>69.5</v>
      </c>
      <c r="D6706" s="538" t="n">
        <v>59.98</v>
      </c>
      <c r="E6706" s="538" t="n">
        <v>83.25</v>
      </c>
    </row>
    <row r="6707">
      <c r="A6707" s="544" t="n">
        <v>38597</v>
      </c>
      <c r="B6707" s="538" t="n">
        <v>65.95</v>
      </c>
      <c r="C6707" s="538" t="n">
        <v>66.91</v>
      </c>
      <c r="D6707" s="538" t="n">
        <v>57.22</v>
      </c>
      <c r="E6707" s="538" t="n">
        <v>84.40000000000001</v>
      </c>
    </row>
    <row r="6708">
      <c r="A6708" s="544" t="n">
        <v>38600</v>
      </c>
      <c r="B6708" s="538" t="n">
        <v>64.16</v>
      </c>
      <c r="C6708" s="538" t="n">
        <v>66.91</v>
      </c>
      <c r="D6708" s="538" t="n">
        <v>65.47</v>
      </c>
      <c r="E6708" s="538" t="n">
        <v>78.15000000000001</v>
      </c>
    </row>
    <row r="6709">
      <c r="A6709" s="544" t="n">
        <v>38601</v>
      </c>
      <c r="B6709" s="538" t="n">
        <v>64.16</v>
      </c>
      <c r="C6709" s="538" t="n">
        <v>65.83</v>
      </c>
      <c r="D6709" s="538" t="n">
        <v>56.24</v>
      </c>
      <c r="E6709" s="538" t="n">
        <v>79.7</v>
      </c>
    </row>
    <row r="6710">
      <c r="A6710" s="544" t="n">
        <v>38602</v>
      </c>
      <c r="B6710" s="538" t="n">
        <v>63.6</v>
      </c>
      <c r="C6710" s="538" t="n">
        <v>64.38</v>
      </c>
      <c r="D6710" s="538" t="n">
        <v>55.82</v>
      </c>
      <c r="E6710" s="538" t="n">
        <v>79</v>
      </c>
    </row>
    <row r="6711">
      <c r="A6711" s="544" t="n">
        <v>38603</v>
      </c>
      <c r="B6711" s="538" t="n">
        <v>61.66</v>
      </c>
      <c r="C6711" s="538" t="n">
        <v>64.8</v>
      </c>
      <c r="D6711" s="538" t="n">
        <v>55.8</v>
      </c>
      <c r="E6711" s="538" t="n">
        <v>79.5</v>
      </c>
    </row>
    <row r="6712">
      <c r="A6712" s="544" t="n">
        <v>38604</v>
      </c>
      <c r="B6712" s="538" t="n">
        <v>62.62</v>
      </c>
      <c r="C6712" s="538" t="n">
        <v>64.20999999999999</v>
      </c>
      <c r="D6712" s="538" t="n">
        <v>56.63</v>
      </c>
      <c r="E6712" s="538" t="n">
        <v>77.2</v>
      </c>
    </row>
    <row r="6713">
      <c r="A6713" s="544" t="n">
        <v>38607</v>
      </c>
      <c r="B6713" s="538" t="n">
        <v>60.69</v>
      </c>
      <c r="C6713" s="538" t="n">
        <v>63.29</v>
      </c>
      <c r="D6713" s="538" t="n">
        <v>54.15</v>
      </c>
      <c r="E6713" s="538" t="n">
        <v>77.05</v>
      </c>
    </row>
    <row r="6714">
      <c r="A6714" s="544" t="n">
        <v>38608</v>
      </c>
      <c r="B6714" s="538" t="n">
        <v>61.31</v>
      </c>
      <c r="C6714" s="538" t="n">
        <v>63.18</v>
      </c>
      <c r="D6714" s="538" t="n">
        <v>54.32</v>
      </c>
      <c r="E6714" s="538" t="n">
        <v>74.5</v>
      </c>
    </row>
    <row r="6715">
      <c r="A6715" s="544" t="n">
        <v>38609</v>
      </c>
      <c r="B6715" s="538" t="n">
        <v>61.7</v>
      </c>
      <c r="C6715" s="538" t="n">
        <v>65.2</v>
      </c>
      <c r="D6715" s="538" t="n">
        <v>56.35</v>
      </c>
      <c r="E6715" s="538" t="n">
        <v>76.25</v>
      </c>
    </row>
    <row r="6716">
      <c r="A6716" s="544" t="n">
        <v>38610</v>
      </c>
      <c r="B6716" s="538" t="n">
        <v>61.9</v>
      </c>
      <c r="C6716" s="538" t="n">
        <v>64.64</v>
      </c>
      <c r="D6716" s="538" t="n">
        <v>55.98</v>
      </c>
      <c r="E6716" s="538" t="n">
        <v>78.59999999999999</v>
      </c>
    </row>
    <row r="6717">
      <c r="A6717" s="544" t="n">
        <v>38611</v>
      </c>
      <c r="B6717" s="538" t="n">
        <v>60.48</v>
      </c>
      <c r="C6717" s="538" t="n">
        <v>62.91</v>
      </c>
      <c r="D6717" s="538" t="n">
        <v>54.87</v>
      </c>
      <c r="E6717" s="538" t="n">
        <v>77.2</v>
      </c>
    </row>
    <row r="6718">
      <c r="A6718" s="544" t="n">
        <v>38614</v>
      </c>
      <c r="B6718" s="538" t="n">
        <v>64.04000000000001</v>
      </c>
      <c r="C6718" s="538" t="n">
        <v>67.20999999999999</v>
      </c>
      <c r="D6718" s="538" t="n">
        <v>59</v>
      </c>
      <c r="E6718" s="538" t="n">
        <v>77</v>
      </c>
    </row>
    <row r="6719">
      <c r="A6719" s="544" t="n">
        <v>38615</v>
      </c>
      <c r="B6719" s="538" t="n">
        <v>62.98</v>
      </c>
      <c r="C6719" s="538" t="n">
        <v>66.23999999999999</v>
      </c>
      <c r="D6719" s="538" t="n">
        <v>58.19</v>
      </c>
      <c r="E6719" s="538" t="n">
        <v>79.15000000000001</v>
      </c>
    </row>
    <row r="6720">
      <c r="A6720" s="544" t="n">
        <v>38616</v>
      </c>
      <c r="B6720" s="538" t="n">
        <v>64.31</v>
      </c>
      <c r="C6720" s="538" t="n">
        <v>66.95999999999999</v>
      </c>
      <c r="D6720" s="538" t="n">
        <v>58.33</v>
      </c>
      <c r="E6720" s="538" t="n">
        <v>79.5</v>
      </c>
    </row>
    <row r="6721">
      <c r="A6721" s="544" t="n">
        <v>38617</v>
      </c>
      <c r="B6721" s="538" t="n">
        <v>64.64</v>
      </c>
      <c r="C6721" s="538" t="n">
        <v>67.06999999999999</v>
      </c>
      <c r="D6721" s="538" t="n">
        <v>57.68</v>
      </c>
      <c r="E6721" s="538" t="n">
        <v>80.34999999999999</v>
      </c>
    </row>
    <row r="6722">
      <c r="A6722" s="544" t="n">
        <v>38618</v>
      </c>
      <c r="B6722" s="538" t="n">
        <v>62.17</v>
      </c>
      <c r="C6722" s="538" t="n">
        <v>64.67</v>
      </c>
      <c r="D6722" s="538" t="n">
        <v>55.69</v>
      </c>
      <c r="E6722" s="538" t="n">
        <v>78.09999999999999</v>
      </c>
    </row>
    <row r="6723">
      <c r="A6723" s="544" t="n">
        <v>38621</v>
      </c>
      <c r="B6723" s="538" t="n">
        <v>61.73</v>
      </c>
      <c r="C6723" s="538" t="n">
        <v>65.98</v>
      </c>
      <c r="D6723" s="538" t="n">
        <v>57.66</v>
      </c>
      <c r="E6723" s="538" t="n">
        <v>76.3</v>
      </c>
    </row>
    <row r="6724">
      <c r="A6724" s="544" t="n">
        <v>38622</v>
      </c>
      <c r="B6724" s="538" t="n">
        <v>62.56</v>
      </c>
      <c r="C6724" s="538" t="n">
        <v>64.94</v>
      </c>
      <c r="D6724" s="538" t="n">
        <v>56.44</v>
      </c>
      <c r="E6724" s="538" t="n">
        <v>79.8</v>
      </c>
    </row>
    <row r="6725">
      <c r="A6725" s="544" t="n">
        <v>38623</v>
      </c>
      <c r="B6725" s="538" t="n">
        <v>62.81</v>
      </c>
      <c r="C6725" s="538" t="n">
        <v>66.36</v>
      </c>
      <c r="D6725" s="538" t="n">
        <v>57.26</v>
      </c>
      <c r="E6725" s="538" t="n">
        <v>79.8</v>
      </c>
    </row>
    <row r="6726">
      <c r="A6726" s="544" t="n">
        <v>38624</v>
      </c>
      <c r="B6726" s="538" t="n">
        <v>62.02</v>
      </c>
      <c r="C6726" s="538" t="n">
        <v>66.83</v>
      </c>
      <c r="D6726" s="538" t="n">
        <v>56.98</v>
      </c>
      <c r="E6726" s="538" t="n">
        <v>84</v>
      </c>
    </row>
    <row r="6727">
      <c r="A6727" s="544" t="n">
        <v>38625</v>
      </c>
      <c r="B6727" s="538" t="n">
        <v>61.7</v>
      </c>
      <c r="C6727" s="538" t="n">
        <v>66.20999999999999</v>
      </c>
      <c r="D6727" s="538" t="n">
        <v>56.91</v>
      </c>
      <c r="E6727" s="538" t="n">
        <v>83.84999999999999</v>
      </c>
    </row>
    <row r="6728">
      <c r="A6728" s="544" t="n">
        <v>38628</v>
      </c>
      <c r="B6728" s="538" t="n">
        <v>61.64</v>
      </c>
      <c r="C6728" s="538" t="n">
        <v>65.36</v>
      </c>
      <c r="D6728" s="538" t="n">
        <v>56.76</v>
      </c>
      <c r="E6728" s="538" t="n">
        <v>85.40000000000001</v>
      </c>
    </row>
    <row r="6729">
      <c r="A6729" s="544" t="n">
        <v>38629</v>
      </c>
      <c r="B6729" s="538" t="n">
        <v>59.17</v>
      </c>
      <c r="C6729" s="538" t="n">
        <v>63.74</v>
      </c>
      <c r="D6729" s="538" t="n">
        <v>55.41</v>
      </c>
      <c r="E6729" s="538" t="n">
        <v>82.2</v>
      </c>
    </row>
    <row r="6730">
      <c r="A6730" s="544" t="n">
        <v>38630</v>
      </c>
      <c r="B6730" s="538" t="n">
        <v>59.33</v>
      </c>
      <c r="C6730" s="538" t="n">
        <v>62.56</v>
      </c>
      <c r="D6730" s="538" t="n">
        <v>53.91</v>
      </c>
      <c r="E6730" s="538" t="n">
        <v>80.34999999999999</v>
      </c>
    </row>
    <row r="6731">
      <c r="A6731" s="544" t="n">
        <v>38631</v>
      </c>
      <c r="B6731" s="538" t="n">
        <v>57.2</v>
      </c>
      <c r="C6731" s="538" t="n">
        <v>61.81</v>
      </c>
      <c r="D6731" s="538" t="n">
        <v>53.39</v>
      </c>
      <c r="E6731" s="538" t="n">
        <v>78.3</v>
      </c>
    </row>
    <row r="6732">
      <c r="A6732" s="544" t="n">
        <v>38632</v>
      </c>
      <c r="B6732" s="538" t="n">
        <v>57.29</v>
      </c>
      <c r="C6732" s="538" t="n">
        <v>61.81</v>
      </c>
      <c r="D6732" s="538" t="n">
        <v>52.71</v>
      </c>
      <c r="E6732" s="538" t="n">
        <v>78</v>
      </c>
    </row>
    <row r="6733">
      <c r="A6733" s="544" t="n">
        <v>38635</v>
      </c>
      <c r="B6733" s="538" t="n">
        <v>57.01</v>
      </c>
      <c r="C6733" s="538" t="n">
        <v>60.71</v>
      </c>
      <c r="D6733" s="538" t="n">
        <v>53.57</v>
      </c>
      <c r="E6733" s="538" t="n">
        <v>78.5</v>
      </c>
    </row>
    <row r="6734">
      <c r="A6734" s="544" t="n">
        <v>38636</v>
      </c>
      <c r="B6734" s="538" t="n">
        <v>58.1</v>
      </c>
      <c r="C6734" s="538" t="n">
        <v>63.84</v>
      </c>
      <c r="D6734" s="538" t="n">
        <v>55.46</v>
      </c>
      <c r="E6734" s="538" t="n">
        <v>78.3</v>
      </c>
    </row>
    <row r="6735">
      <c r="A6735" s="544" t="n">
        <v>38637</v>
      </c>
      <c r="B6735" s="538" t="n">
        <v>59.91</v>
      </c>
      <c r="C6735" s="538" t="n">
        <v>64.13</v>
      </c>
      <c r="D6735" s="538" t="n">
        <v>55.59</v>
      </c>
      <c r="E6735" s="538" t="n">
        <v>79.55</v>
      </c>
    </row>
    <row r="6736">
      <c r="A6736" s="544" t="n">
        <v>38638</v>
      </c>
      <c r="B6736" s="538" t="n">
        <v>59.48</v>
      </c>
      <c r="C6736" s="538" t="n">
        <v>63.05</v>
      </c>
      <c r="D6736" s="538" t="n">
        <v>53.83</v>
      </c>
      <c r="E6736" s="538" t="n">
        <v>78.59999999999999</v>
      </c>
    </row>
    <row r="6737">
      <c r="A6737" s="544" t="n">
        <v>38639</v>
      </c>
      <c r="B6737" s="538" t="n">
        <v>58.45</v>
      </c>
      <c r="C6737" s="538" t="n">
        <v>62.61</v>
      </c>
      <c r="D6737" s="538" t="n">
        <v>53.12</v>
      </c>
      <c r="E6737" s="538" t="n">
        <v>77.40000000000001</v>
      </c>
    </row>
    <row r="6738">
      <c r="A6738" s="544" t="n">
        <v>38642</v>
      </c>
      <c r="B6738" s="538" t="n">
        <v>59.81</v>
      </c>
      <c r="C6738" s="538" t="n">
        <v>64.26000000000001</v>
      </c>
      <c r="D6738" s="538" t="n">
        <v>54.1</v>
      </c>
      <c r="E6738" s="538" t="n">
        <v>77.90000000000001</v>
      </c>
    </row>
    <row r="6739">
      <c r="A6739" s="544" t="n">
        <v>38643</v>
      </c>
      <c r="B6739" s="538" t="n">
        <v>58.85</v>
      </c>
      <c r="C6739" s="538" t="n">
        <v>62.94</v>
      </c>
      <c r="D6739" s="538" t="n">
        <v>52.78</v>
      </c>
      <c r="E6739" s="538" t="n">
        <v>74.84999999999999</v>
      </c>
    </row>
    <row r="6740">
      <c r="A6740" s="544" t="n">
        <v>38644</v>
      </c>
      <c r="B6740" s="538" t="n">
        <v>58.13</v>
      </c>
      <c r="C6740" s="538" t="n">
        <v>62.11</v>
      </c>
      <c r="D6740" s="538" t="n">
        <v>52.56</v>
      </c>
      <c r="E6740" s="538" t="n">
        <v>73.90000000000001</v>
      </c>
    </row>
    <row r="6741">
      <c r="A6741" s="544" t="n">
        <v>38645</v>
      </c>
      <c r="B6741" s="538" t="n">
        <v>57.04</v>
      </c>
      <c r="C6741" s="538" t="n">
        <v>61.04</v>
      </c>
      <c r="D6741" s="538" t="n">
        <v>51.61</v>
      </c>
      <c r="E6741" s="538" t="n">
        <v>74.40000000000001</v>
      </c>
    </row>
    <row r="6742">
      <c r="A6742" s="544" t="n">
        <v>38646</v>
      </c>
      <c r="B6742" s="538" t="n">
        <v>56.94</v>
      </c>
      <c r="C6742" s="538" t="n">
        <v>61.05</v>
      </c>
      <c r="D6742" s="538" t="n">
        <v>51.23</v>
      </c>
      <c r="E6742" s="538" t="n">
        <v>71.59999999999999</v>
      </c>
    </row>
    <row r="6743">
      <c r="A6743" s="544" t="n">
        <v>38649</v>
      </c>
      <c r="B6743" s="538" t="n">
        <v>57.64</v>
      </c>
      <c r="C6743" s="538" t="n">
        <v>60.63</v>
      </c>
      <c r="D6743" s="538" t="n">
        <v>52.52</v>
      </c>
      <c r="E6743" s="538" t="n">
        <v>70.09999999999999</v>
      </c>
    </row>
    <row r="6744">
      <c r="A6744" s="544" t="n">
        <v>38650</v>
      </c>
      <c r="B6744" s="538" t="n">
        <v>58.72</v>
      </c>
      <c r="C6744" s="538" t="n">
        <v>62.83</v>
      </c>
      <c r="D6744" s="538" t="n">
        <v>54.53</v>
      </c>
      <c r="E6744" s="538" t="n">
        <v>70</v>
      </c>
    </row>
    <row r="6745">
      <c r="A6745" s="544" t="n">
        <v>38651</v>
      </c>
      <c r="B6745" s="538" t="n">
        <v>58.56</v>
      </c>
      <c r="C6745" s="538" t="n">
        <v>60.85</v>
      </c>
      <c r="D6745" s="538" t="n">
        <v>53.18</v>
      </c>
      <c r="E6745" s="538" t="n">
        <v>72.59999999999999</v>
      </c>
    </row>
    <row r="6746">
      <c r="A6746" s="544" t="n">
        <v>38652</v>
      </c>
      <c r="B6746" s="538" t="n">
        <v>58.1</v>
      </c>
      <c r="C6746" s="538" t="n">
        <v>61.03</v>
      </c>
      <c r="D6746" s="538" t="n">
        <v>53.45</v>
      </c>
      <c r="E6746" s="538" t="n">
        <v>71.90000000000001</v>
      </c>
    </row>
    <row r="6747">
      <c r="A6747" s="544" t="n">
        <v>38653</v>
      </c>
      <c r="B6747" s="538" t="n">
        <v>59.47</v>
      </c>
      <c r="C6747" s="538" t="n">
        <v>61.3</v>
      </c>
      <c r="D6747" s="538" t="n">
        <v>53.77</v>
      </c>
      <c r="E6747" s="538" t="n">
        <v>70.34999999999999</v>
      </c>
    </row>
    <row r="6748">
      <c r="A6748" s="544" t="n">
        <v>38656</v>
      </c>
      <c r="B6748" s="538" t="n">
        <v>58.47</v>
      </c>
      <c r="C6748" s="538" t="n">
        <v>59.8</v>
      </c>
      <c r="D6748" s="538" t="n">
        <v>51.5</v>
      </c>
      <c r="E6748" s="538" t="n">
        <v>68.75</v>
      </c>
    </row>
    <row r="6749">
      <c r="A6749" s="544" t="n">
        <v>38657</v>
      </c>
      <c r="B6749" s="538" t="n">
        <v>56.69</v>
      </c>
      <c r="C6749" s="538" t="n">
        <v>59.85</v>
      </c>
      <c r="D6749" s="538" t="n">
        <v>52.16</v>
      </c>
      <c r="E6749" s="538" t="n">
        <v>68.75</v>
      </c>
    </row>
    <row r="6750">
      <c r="A6750" s="544" t="n">
        <v>38658</v>
      </c>
      <c r="B6750" s="538" t="n">
        <v>58.53</v>
      </c>
      <c r="C6750" s="538" t="n">
        <v>59.75</v>
      </c>
      <c r="D6750" s="538" t="n">
        <v>52.37</v>
      </c>
      <c r="E6750" s="538" t="n">
        <v>64.40000000000001</v>
      </c>
    </row>
    <row r="6751">
      <c r="A6751" s="544" t="n">
        <v>38659</v>
      </c>
      <c r="B6751" s="538" t="n">
        <v>59.55</v>
      </c>
      <c r="C6751" s="538" t="n">
        <v>61.7</v>
      </c>
      <c r="D6751" s="538" t="n">
        <v>54.61</v>
      </c>
      <c r="E6751" s="538" t="n">
        <v>64.40000000000001</v>
      </c>
    </row>
    <row r="6752">
      <c r="A6752" s="544" t="n">
        <v>38660</v>
      </c>
      <c r="B6752" s="538" t="n">
        <v>60.48</v>
      </c>
      <c r="C6752" s="538" t="n">
        <v>60.6</v>
      </c>
      <c r="D6752" s="538" t="n">
        <v>52.75</v>
      </c>
      <c r="E6752" s="538" t="n">
        <v>63.3</v>
      </c>
    </row>
    <row r="6753">
      <c r="A6753" s="544" t="n">
        <v>38663</v>
      </c>
      <c r="B6753" s="538" t="n">
        <v>58.19</v>
      </c>
      <c r="C6753" s="538" t="n">
        <v>59.4</v>
      </c>
      <c r="D6753" s="538" t="n">
        <v>51.67</v>
      </c>
      <c r="E6753" s="538" t="n">
        <v>64.8</v>
      </c>
    </row>
    <row r="6754">
      <c r="A6754" s="544" t="n">
        <v>38664</v>
      </c>
      <c r="B6754" s="538" t="n">
        <v>57.89</v>
      </c>
      <c r="C6754" s="538" t="n">
        <v>59.7</v>
      </c>
      <c r="D6754" s="538" t="n">
        <v>51.73</v>
      </c>
      <c r="E6754" s="538" t="n">
        <v>64.8</v>
      </c>
    </row>
    <row r="6755">
      <c r="A6755" s="544" t="n">
        <v>38665</v>
      </c>
      <c r="B6755" s="538" t="n">
        <v>57.71</v>
      </c>
      <c r="C6755" s="538" t="n">
        <v>59.65</v>
      </c>
      <c r="D6755" s="538" t="n">
        <v>51.01</v>
      </c>
      <c r="E6755" s="538" t="n">
        <v>64.09999999999999</v>
      </c>
    </row>
    <row r="6756">
      <c r="A6756" s="544" t="n">
        <v>38666</v>
      </c>
      <c r="B6756" s="538" t="n">
        <v>55.85</v>
      </c>
      <c r="C6756" s="538" t="n">
        <v>57.8</v>
      </c>
      <c r="D6756" s="538" t="n">
        <v>50.49</v>
      </c>
      <c r="E6756" s="538" t="n">
        <v>65.59999999999999</v>
      </c>
    </row>
    <row r="6757">
      <c r="A6757" s="544" t="n">
        <v>38667</v>
      </c>
      <c r="B6757" s="538" t="n">
        <v>54.3</v>
      </c>
      <c r="C6757" s="538" t="n">
        <v>57.45</v>
      </c>
      <c r="D6757" s="538" t="n">
        <v>49.4</v>
      </c>
      <c r="E6757" s="538" t="n">
        <v>65.34999999999999</v>
      </c>
    </row>
    <row r="6758">
      <c r="A6758" s="544" t="n">
        <v>38670</v>
      </c>
      <c r="B6758" s="538" t="n">
        <v>54.1</v>
      </c>
      <c r="C6758" s="538" t="n">
        <v>57.6</v>
      </c>
      <c r="D6758" s="538" t="n">
        <v>49.48</v>
      </c>
      <c r="E6758" s="538" t="n">
        <v>66.34999999999999</v>
      </c>
    </row>
    <row r="6759">
      <c r="A6759" s="544" t="n">
        <v>38671</v>
      </c>
      <c r="B6759" s="538" t="n">
        <v>54.45</v>
      </c>
      <c r="C6759" s="538" t="n">
        <v>57.05</v>
      </c>
      <c r="D6759" s="538" t="n">
        <v>48.74</v>
      </c>
      <c r="E6759" s="538" t="n">
        <v>65.59999999999999</v>
      </c>
    </row>
    <row r="6760">
      <c r="A6760" s="544" t="n">
        <v>38672</v>
      </c>
      <c r="B6760" s="538" t="n">
        <v>53.68</v>
      </c>
      <c r="C6760" s="538" t="n">
        <v>57.85</v>
      </c>
      <c r="D6760" s="538" t="n">
        <v>50.9</v>
      </c>
      <c r="E6760" s="538" t="n">
        <v>65.05</v>
      </c>
    </row>
    <row r="6761">
      <c r="A6761" s="544" t="n">
        <v>38673</v>
      </c>
      <c r="B6761" s="538" t="n">
        <v>53.8</v>
      </c>
      <c r="C6761" s="538" t="n">
        <v>56.2</v>
      </c>
      <c r="D6761" s="538" t="n">
        <v>50.11</v>
      </c>
      <c r="E6761" s="538" t="n">
        <v>65.65000000000001</v>
      </c>
    </row>
    <row r="6762">
      <c r="A6762" s="544" t="n">
        <v>38674</v>
      </c>
      <c r="B6762" s="538" t="n">
        <v>52.84</v>
      </c>
      <c r="C6762" s="538" t="n">
        <v>56.3</v>
      </c>
      <c r="D6762" s="538" t="n">
        <v>50.04</v>
      </c>
      <c r="E6762" s="538" t="n">
        <v>67.05</v>
      </c>
    </row>
    <row r="6763">
      <c r="A6763" s="544" t="n">
        <v>38677</v>
      </c>
      <c r="B6763" s="538" t="n">
        <v>53.36</v>
      </c>
      <c r="C6763" s="538" t="n">
        <v>57.75</v>
      </c>
      <c r="D6763" s="538" t="n">
        <v>50.63</v>
      </c>
      <c r="E6763" s="538" t="n">
        <v>67.28</v>
      </c>
    </row>
    <row r="6764">
      <c r="A6764" s="544" t="n">
        <v>38678</v>
      </c>
      <c r="B6764" s="538" t="n">
        <v>54.21</v>
      </c>
      <c r="C6764" s="538" t="n">
        <v>58.3</v>
      </c>
      <c r="D6764" s="538" t="n">
        <v>52.05</v>
      </c>
      <c r="E6764" s="538" t="n">
        <v>67.45</v>
      </c>
    </row>
    <row r="6765">
      <c r="A6765" s="544" t="n">
        <v>38679</v>
      </c>
      <c r="B6765" s="538" t="n">
        <v>53.73</v>
      </c>
      <c r="C6765" s="538" t="n">
        <v>58.35</v>
      </c>
      <c r="D6765" s="538" t="n">
        <v>51.52</v>
      </c>
      <c r="E6765" s="538" t="n">
        <v>67</v>
      </c>
    </row>
    <row r="6766">
      <c r="A6766" s="544" t="n">
        <v>38680</v>
      </c>
      <c r="B6766" s="538" t="n">
        <v>53.41</v>
      </c>
      <c r="C6766" s="538" t="n">
        <v>58.35</v>
      </c>
      <c r="D6766" s="538" t="n">
        <v>50.53</v>
      </c>
      <c r="E6766" s="538" t="n">
        <v>63.7</v>
      </c>
    </row>
    <row r="6767">
      <c r="A6767" s="544" t="n">
        <v>38681</v>
      </c>
      <c r="B6767" s="538" t="n">
        <v>53.15</v>
      </c>
      <c r="C6767" s="538" t="n">
        <v>58.35</v>
      </c>
      <c r="D6767" s="538" t="n">
        <v>50.32</v>
      </c>
      <c r="E6767" s="538" t="n">
        <v>62.65</v>
      </c>
    </row>
    <row r="6768">
      <c r="A6768" s="544" t="n">
        <v>38684</v>
      </c>
      <c r="B6768" s="538" t="n">
        <v>52.91</v>
      </c>
      <c r="C6768" s="538" t="n">
        <v>57.36</v>
      </c>
      <c r="D6768" s="538" t="n">
        <v>49.99</v>
      </c>
      <c r="E6768" s="538" t="n">
        <v>60.58</v>
      </c>
    </row>
    <row r="6769">
      <c r="A6769" s="544" t="n">
        <v>38685</v>
      </c>
      <c r="B6769" s="538" t="n">
        <v>53.24</v>
      </c>
      <c r="C6769" s="538" t="n">
        <v>56.46</v>
      </c>
      <c r="D6769" s="538" t="n">
        <v>49.39</v>
      </c>
      <c r="E6769" s="538" t="n">
        <v>60.8</v>
      </c>
    </row>
    <row r="6770">
      <c r="A6770" s="544" t="n">
        <v>38686</v>
      </c>
      <c r="B6770" s="538" t="n">
        <v>53.25</v>
      </c>
      <c r="C6770" s="538" t="n">
        <v>57.33</v>
      </c>
      <c r="D6770" s="538" t="n">
        <v>51.33</v>
      </c>
      <c r="E6770" s="538" t="n">
        <v>62.15</v>
      </c>
    </row>
    <row r="6771">
      <c r="A6771" s="544" t="n">
        <v>38687</v>
      </c>
      <c r="B6771" s="538" t="n">
        <v>53.65</v>
      </c>
      <c r="C6771" s="538" t="n">
        <v>58.46</v>
      </c>
      <c r="D6771" s="538" t="n">
        <v>52.01</v>
      </c>
      <c r="E6771" s="538" t="n">
        <v>63.25</v>
      </c>
    </row>
    <row r="6772">
      <c r="A6772" s="544" t="n">
        <v>38688</v>
      </c>
      <c r="B6772" s="538" t="n">
        <v>54.91</v>
      </c>
      <c r="C6772" s="538" t="n">
        <v>59.31</v>
      </c>
      <c r="D6772" s="538" t="n">
        <v>52.98</v>
      </c>
      <c r="E6772" s="538" t="n">
        <v>64.90000000000001</v>
      </c>
    </row>
    <row r="6773">
      <c r="A6773" s="544" t="n">
        <v>38691</v>
      </c>
      <c r="B6773" s="538" t="n">
        <v>56.05</v>
      </c>
      <c r="C6773" s="538" t="n">
        <v>59.91</v>
      </c>
      <c r="D6773" s="538" t="n">
        <v>52.55</v>
      </c>
      <c r="E6773" s="538" t="n">
        <v>67.25</v>
      </c>
    </row>
    <row r="6774">
      <c r="A6774" s="544" t="n">
        <v>38692</v>
      </c>
      <c r="B6774" s="538" t="n">
        <v>55.68</v>
      </c>
      <c r="C6774" s="538" t="n">
        <v>59.96</v>
      </c>
      <c r="D6774" s="538" t="n">
        <v>52.84</v>
      </c>
      <c r="E6774" s="538" t="n">
        <v>67.7</v>
      </c>
    </row>
    <row r="6775">
      <c r="A6775" s="544" t="n">
        <v>38693</v>
      </c>
      <c r="B6775" s="538" t="n">
        <v>55.17</v>
      </c>
      <c r="C6775" s="538" t="n">
        <v>59.21</v>
      </c>
      <c r="D6775" s="538" t="n">
        <v>52.81</v>
      </c>
      <c r="E6775" s="538" t="n">
        <v>69.09999999999999</v>
      </c>
    </row>
    <row r="6776">
      <c r="A6776" s="544" t="n">
        <v>38694</v>
      </c>
      <c r="B6776" s="538" t="n">
        <v>56.26</v>
      </c>
      <c r="C6776" s="538" t="n">
        <v>60.66</v>
      </c>
      <c r="D6776" s="538" t="n">
        <v>55.7</v>
      </c>
      <c r="E6776" s="538" t="n">
        <v>68.2</v>
      </c>
    </row>
    <row r="6777">
      <c r="A6777" s="544" t="n">
        <v>38695</v>
      </c>
      <c r="B6777" s="538" t="n">
        <v>57.18</v>
      </c>
      <c r="C6777" s="538" t="n">
        <v>59.41</v>
      </c>
      <c r="D6777" s="538" t="n">
        <v>53.28</v>
      </c>
      <c r="E6777" s="538" t="n">
        <v>70.5</v>
      </c>
    </row>
    <row r="6778">
      <c r="A6778" s="544" t="n">
        <v>38698</v>
      </c>
      <c r="B6778" s="538" t="n">
        <v>57.23</v>
      </c>
      <c r="C6778" s="538" t="n">
        <v>61.36</v>
      </c>
      <c r="D6778" s="538" t="n">
        <v>55.32</v>
      </c>
      <c r="E6778" s="538" t="n">
        <v>68.09999999999999</v>
      </c>
    </row>
    <row r="6779">
      <c r="A6779" s="544" t="n">
        <v>38699</v>
      </c>
      <c r="B6779" s="538" t="n">
        <v>59.16</v>
      </c>
      <c r="C6779" s="538" t="n">
        <v>61.36</v>
      </c>
      <c r="D6779" s="538" t="n">
        <v>55.2</v>
      </c>
      <c r="E6779" s="538" t="n">
        <v>69.84999999999999</v>
      </c>
    </row>
    <row r="6780">
      <c r="A6780" s="544" t="n">
        <v>38700</v>
      </c>
      <c r="B6780" s="538" t="n">
        <v>59.59</v>
      </c>
      <c r="C6780" s="538" t="n">
        <v>60.86</v>
      </c>
      <c r="D6780" s="538" t="n">
        <v>55.06</v>
      </c>
      <c r="E6780" s="538" t="n">
        <v>73.45</v>
      </c>
    </row>
    <row r="6781">
      <c r="A6781" s="544" t="n">
        <v>38701</v>
      </c>
      <c r="B6781" s="538" t="n">
        <v>59.67</v>
      </c>
      <c r="C6781" s="538" t="n">
        <v>60.01</v>
      </c>
      <c r="D6781" s="538" t="n">
        <v>54.45</v>
      </c>
      <c r="E6781" s="538" t="n">
        <v>73.22</v>
      </c>
    </row>
    <row r="6782">
      <c r="A6782" s="544" t="n">
        <v>38702</v>
      </c>
      <c r="B6782" s="538" t="n">
        <v>58.11</v>
      </c>
      <c r="C6782" s="538" t="n">
        <v>58.01</v>
      </c>
      <c r="D6782" s="538" t="n">
        <v>52.29</v>
      </c>
      <c r="E6782" s="538" t="n">
        <v>73.2</v>
      </c>
    </row>
    <row r="6783">
      <c r="A6783" s="544" t="n">
        <v>38705</v>
      </c>
      <c r="B6783" s="538" t="n">
        <v>56.09</v>
      </c>
      <c r="C6783" s="538" t="n">
        <v>57.31</v>
      </c>
      <c r="D6783" s="538" t="n">
        <v>51.47</v>
      </c>
      <c r="E6783" s="538" t="n">
        <v>73.09999999999999</v>
      </c>
    </row>
    <row r="6784">
      <c r="A6784" s="544" t="n">
        <v>38706</v>
      </c>
      <c r="B6784" s="538" t="n">
        <v>56.08</v>
      </c>
      <c r="C6784" s="538" t="n">
        <v>57.81</v>
      </c>
      <c r="D6784" s="538" t="n">
        <v>51.77</v>
      </c>
      <c r="E6784" s="538" t="n">
        <v>71.09999999999999</v>
      </c>
    </row>
    <row r="6785">
      <c r="A6785" s="544" t="n">
        <v>38707</v>
      </c>
      <c r="B6785" s="538" t="n">
        <v>56.05</v>
      </c>
      <c r="C6785" s="538" t="n">
        <v>58.56</v>
      </c>
      <c r="D6785" s="538" t="n">
        <v>52.74</v>
      </c>
      <c r="E6785" s="538" t="n">
        <v>71.3</v>
      </c>
    </row>
    <row r="6786">
      <c r="A6786" s="544" t="n">
        <v>38708</v>
      </c>
      <c r="B6786" s="538" t="n">
        <v>57.3</v>
      </c>
      <c r="C6786" s="538" t="n">
        <v>58.08</v>
      </c>
      <c r="D6786" s="538" t="n">
        <v>51.93</v>
      </c>
      <c r="E6786" s="538" t="n">
        <v>73.5</v>
      </c>
    </row>
    <row r="6787">
      <c r="A6787" s="544" t="n">
        <v>38709</v>
      </c>
      <c r="B6787" s="538" t="n">
        <v>56.28</v>
      </c>
      <c r="C6787" s="538" t="n">
        <v>58.08</v>
      </c>
      <c r="D6787" s="538" t="n">
        <v>51.49</v>
      </c>
      <c r="E6787" s="538" t="n">
        <v>72.40000000000001</v>
      </c>
    </row>
    <row r="6788">
      <c r="A6788" s="544" t="n">
        <v>38712</v>
      </c>
      <c r="B6788" s="538" t="n">
        <v>56.54</v>
      </c>
      <c r="C6788" s="538" t="n">
        <v>58.08</v>
      </c>
      <c r="D6788" s="538" t="n">
        <v>51.49</v>
      </c>
      <c r="E6788" s="538" t="n">
        <v>72.40000000000001</v>
      </c>
    </row>
    <row r="6789">
      <c r="A6789" s="544" t="n">
        <v>38713</v>
      </c>
      <c r="B6789" s="538" t="n">
        <v>56.54</v>
      </c>
      <c r="C6789" s="538" t="n">
        <v>58.16</v>
      </c>
      <c r="D6789" s="538" t="n">
        <v>51.28</v>
      </c>
      <c r="E6789" s="538" t="n">
        <v>71</v>
      </c>
    </row>
    <row r="6790">
      <c r="A6790" s="544" t="n">
        <v>38714</v>
      </c>
      <c r="B6790" s="538" t="n">
        <v>56.91</v>
      </c>
      <c r="C6790" s="538" t="n">
        <v>59.81</v>
      </c>
      <c r="D6790" s="538" t="n">
        <v>53.09</v>
      </c>
      <c r="E6790" s="538" t="n">
        <v>69.7</v>
      </c>
    </row>
    <row r="6791">
      <c r="A6791" s="544" t="n">
        <v>38715</v>
      </c>
      <c r="B6791" s="538" t="n">
        <v>57.72</v>
      </c>
      <c r="C6791" s="538" t="n">
        <v>60.26</v>
      </c>
      <c r="D6791" s="538" t="n">
        <v>53.42</v>
      </c>
      <c r="E6791" s="538" t="n">
        <v>70.5</v>
      </c>
    </row>
    <row r="6792">
      <c r="A6792" s="544" t="n">
        <v>38716</v>
      </c>
      <c r="B6792" s="538" t="n">
        <v>58.34</v>
      </c>
      <c r="C6792" s="538" t="n">
        <v>61.06</v>
      </c>
      <c r="D6792" s="538" t="n">
        <v>54.61</v>
      </c>
      <c r="E6792" s="538" t="n">
        <v>71.09999999999999</v>
      </c>
    </row>
    <row r="6793">
      <c r="A6793" s="544" t="n">
        <v>38719</v>
      </c>
      <c r="B6793" s="538" t="n">
        <v>58.34</v>
      </c>
      <c r="C6793" s="538" t="n">
        <v>61.06</v>
      </c>
      <c r="D6793" s="538" t="n">
        <v>54.61</v>
      </c>
      <c r="E6793" s="538" t="n">
        <v>71.09999999999999</v>
      </c>
    </row>
    <row r="6794">
      <c r="A6794" s="544" t="n">
        <v>38720</v>
      </c>
      <c r="B6794" s="538" t="n">
        <v>61.51</v>
      </c>
      <c r="C6794" s="538" t="n">
        <v>63.11</v>
      </c>
      <c r="D6794" s="538" t="n">
        <v>55.78</v>
      </c>
      <c r="E6794" s="538" t="n">
        <v>73.59999999999999</v>
      </c>
    </row>
    <row r="6795">
      <c r="A6795" s="544" t="n">
        <v>38721</v>
      </c>
      <c r="B6795" s="538" t="n">
        <v>61.25</v>
      </c>
      <c r="C6795" s="538" t="n">
        <v>63.41</v>
      </c>
      <c r="D6795" s="538" t="n">
        <v>56.36</v>
      </c>
      <c r="E6795" s="538" t="n">
        <v>75.55</v>
      </c>
    </row>
    <row r="6796">
      <c r="A6796" s="544" t="n">
        <v>38722</v>
      </c>
      <c r="B6796" s="538" t="n">
        <v>61.68</v>
      </c>
      <c r="C6796" s="538" t="n">
        <v>62.81</v>
      </c>
      <c r="D6796" s="538" t="n">
        <v>55.65</v>
      </c>
      <c r="E6796" s="538" t="n">
        <v>75.75</v>
      </c>
    </row>
    <row r="6797">
      <c r="A6797" s="544" t="n">
        <v>38723</v>
      </c>
      <c r="B6797" s="538" t="n">
        <v>62.43</v>
      </c>
      <c r="C6797" s="538" t="n">
        <v>64.20999999999999</v>
      </c>
      <c r="D6797" s="538" t="n">
        <v>57.15</v>
      </c>
      <c r="E6797" s="538" t="n">
        <v>75.09999999999999</v>
      </c>
    </row>
    <row r="6798">
      <c r="A6798" s="544" t="n">
        <v>38726</v>
      </c>
      <c r="B6798" s="538" t="n">
        <v>62.51</v>
      </c>
      <c r="C6798" s="538" t="n">
        <v>63.56</v>
      </c>
      <c r="D6798" s="538" t="n">
        <v>55.61</v>
      </c>
      <c r="E6798" s="538" t="n">
        <v>76.09999999999999</v>
      </c>
    </row>
    <row r="6799">
      <c r="A6799" s="544" t="n">
        <v>38727</v>
      </c>
      <c r="B6799" s="538" t="n">
        <v>62.32</v>
      </c>
      <c r="C6799" s="538" t="n">
        <v>63.41</v>
      </c>
      <c r="D6799" s="538" t="n">
        <v>55.89</v>
      </c>
      <c r="E6799" s="538" t="n">
        <v>76.09999999999999</v>
      </c>
    </row>
    <row r="6800">
      <c r="A6800" s="544" t="n">
        <v>38728</v>
      </c>
      <c r="B6800" s="538" t="n">
        <v>61.54</v>
      </c>
      <c r="C6800" s="538" t="n">
        <v>63.91</v>
      </c>
      <c r="D6800" s="538" t="n">
        <v>57.36</v>
      </c>
      <c r="E6800" s="538" t="n">
        <v>74.90000000000001</v>
      </c>
    </row>
    <row r="6801">
      <c r="A6801" s="544" t="n">
        <v>38729</v>
      </c>
      <c r="B6801" s="538" t="n">
        <v>62.95</v>
      </c>
      <c r="C6801" s="538" t="n">
        <v>63.96</v>
      </c>
      <c r="D6801" s="538" t="n">
        <v>57.12</v>
      </c>
      <c r="E6801" s="538" t="n">
        <v>75.3</v>
      </c>
    </row>
    <row r="6802">
      <c r="A6802" s="544" t="n">
        <v>38730</v>
      </c>
      <c r="B6802" s="538" t="n">
        <v>61.58</v>
      </c>
      <c r="C6802" s="538" t="n">
        <v>63.86</v>
      </c>
      <c r="D6802" s="538" t="n">
        <v>56.98</v>
      </c>
      <c r="E6802" s="538" t="n">
        <v>74.15000000000001</v>
      </c>
    </row>
    <row r="6803">
      <c r="A6803" s="544" t="n">
        <v>38733</v>
      </c>
      <c r="B6803" s="538" t="n">
        <v>62.34</v>
      </c>
      <c r="C6803" s="538" t="n">
        <v>63.86</v>
      </c>
      <c r="D6803" s="538" t="n">
        <v>58.03</v>
      </c>
      <c r="E6803" s="538" t="n">
        <v>75.59999999999999</v>
      </c>
    </row>
    <row r="6804">
      <c r="A6804" s="544" t="n">
        <v>38734</v>
      </c>
      <c r="B6804" s="538" t="n">
        <v>63.22</v>
      </c>
      <c r="C6804" s="538" t="n">
        <v>66.36</v>
      </c>
      <c r="D6804" s="538" t="n">
        <v>60.06</v>
      </c>
      <c r="E6804" s="538" t="n">
        <v>76.59999999999999</v>
      </c>
    </row>
    <row r="6805">
      <c r="A6805" s="544" t="n">
        <v>38735</v>
      </c>
      <c r="B6805" s="538" t="n">
        <v>63.6</v>
      </c>
      <c r="C6805" s="538" t="n">
        <v>65.76000000000001</v>
      </c>
      <c r="D6805" s="538" t="n">
        <v>58.68</v>
      </c>
      <c r="E6805" s="538" t="n">
        <v>77.90000000000001</v>
      </c>
    </row>
    <row r="6806">
      <c r="A6806" s="544" t="n">
        <v>38736</v>
      </c>
      <c r="B6806" s="538" t="n">
        <v>63.64</v>
      </c>
      <c r="C6806" s="538" t="n">
        <v>66.86</v>
      </c>
      <c r="D6806" s="538" t="n">
        <v>60.05</v>
      </c>
      <c r="E6806" s="538" t="n">
        <v>77.34999999999999</v>
      </c>
    </row>
    <row r="6807">
      <c r="A6807" s="544" t="n">
        <v>38737</v>
      </c>
      <c r="B6807" s="538" t="n">
        <v>64.92</v>
      </c>
      <c r="C6807" s="538" t="n">
        <v>68.16</v>
      </c>
      <c r="D6807" s="538" t="n">
        <v>60.66</v>
      </c>
      <c r="E6807" s="538" t="n">
        <v>79.09999999999999</v>
      </c>
    </row>
    <row r="6808">
      <c r="A6808" s="544" t="n">
        <v>38740</v>
      </c>
      <c r="B6808" s="538" t="n">
        <v>64.56</v>
      </c>
      <c r="C6808" s="538" t="n">
        <v>68.06</v>
      </c>
      <c r="D6808" s="538" t="n">
        <v>60.14</v>
      </c>
      <c r="E6808" s="538" t="n">
        <v>80</v>
      </c>
    </row>
    <row r="6809">
      <c r="A6809" s="544" t="n">
        <v>38741</v>
      </c>
      <c r="B6809" s="538" t="n">
        <v>63.82</v>
      </c>
      <c r="C6809" s="538" t="n">
        <v>66.83</v>
      </c>
      <c r="D6809" s="538" t="n">
        <v>59.71</v>
      </c>
      <c r="E6809" s="538" t="n">
        <v>79.84999999999999</v>
      </c>
    </row>
    <row r="6810">
      <c r="A6810" s="544" t="n">
        <v>38742</v>
      </c>
      <c r="B6810" s="538" t="n">
        <v>62.61</v>
      </c>
      <c r="C6810" s="538" t="n">
        <v>65.59999999999999</v>
      </c>
      <c r="D6810" s="538" t="n">
        <v>58.61</v>
      </c>
      <c r="E6810" s="538" t="n">
        <v>78.3</v>
      </c>
    </row>
    <row r="6811">
      <c r="A6811" s="544" t="n">
        <v>38743</v>
      </c>
      <c r="B6811" s="538" t="n">
        <v>62.93</v>
      </c>
      <c r="C6811" s="538" t="n">
        <v>65.8</v>
      </c>
      <c r="D6811" s="538" t="n">
        <v>59.94</v>
      </c>
      <c r="E6811" s="538" t="n">
        <v>77.56999999999999</v>
      </c>
    </row>
    <row r="6812">
      <c r="A6812" s="544" t="n">
        <v>38744</v>
      </c>
      <c r="B6812" s="538" t="n">
        <v>64.95</v>
      </c>
      <c r="C6812" s="538" t="n">
        <v>67.81</v>
      </c>
      <c r="D6812" s="538" t="n">
        <v>60.95</v>
      </c>
      <c r="E6812" s="538" t="n">
        <v>77.3</v>
      </c>
    </row>
    <row r="6813">
      <c r="A6813" s="544" t="n">
        <v>38747</v>
      </c>
      <c r="B6813" s="538" t="n">
        <v>65.14</v>
      </c>
      <c r="C6813" s="538" t="n">
        <v>68.36</v>
      </c>
      <c r="D6813" s="538" t="n">
        <v>60.8</v>
      </c>
      <c r="E6813" s="538" t="n">
        <v>77.3</v>
      </c>
    </row>
    <row r="6814">
      <c r="A6814" s="544" t="n">
        <v>38748</v>
      </c>
      <c r="B6814" s="538" t="n">
        <v>63.19</v>
      </c>
      <c r="C6814" s="538" t="n">
        <v>67.86</v>
      </c>
      <c r="D6814" s="538" t="n">
        <v>60.28</v>
      </c>
      <c r="E6814" s="538" t="n">
        <v>77.3</v>
      </c>
    </row>
    <row r="6815">
      <c r="A6815" s="544" t="n">
        <v>38749</v>
      </c>
      <c r="B6815" s="538" t="n">
        <v>65.64</v>
      </c>
      <c r="C6815" s="538" t="n">
        <v>66.61</v>
      </c>
      <c r="D6815" s="538" t="n">
        <v>59.91</v>
      </c>
      <c r="E6815" s="538" t="n">
        <v>76.09999999999999</v>
      </c>
    </row>
    <row r="6816">
      <c r="A6816" s="544" t="n">
        <v>38750</v>
      </c>
      <c r="B6816" s="538" t="n">
        <v>63.49</v>
      </c>
      <c r="C6816" s="538" t="n">
        <v>64.70999999999999</v>
      </c>
      <c r="D6816" s="538" t="n">
        <v>57.43</v>
      </c>
      <c r="E6816" s="538" t="n">
        <v>75.90000000000001</v>
      </c>
    </row>
    <row r="6817">
      <c r="A6817" s="544" t="n">
        <v>38751</v>
      </c>
      <c r="B6817" s="538" t="n">
        <v>62.54</v>
      </c>
      <c r="C6817" s="538" t="n">
        <v>65.41</v>
      </c>
      <c r="D6817" s="538" t="n">
        <v>59.19</v>
      </c>
      <c r="E6817" s="538" t="n">
        <v>74.8</v>
      </c>
    </row>
    <row r="6818">
      <c r="A6818" s="544" t="n">
        <v>38754</v>
      </c>
      <c r="B6818" s="538" t="n">
        <v>63.32</v>
      </c>
      <c r="C6818" s="538" t="n">
        <v>65.11</v>
      </c>
      <c r="D6818" s="538" t="n">
        <v>57.98</v>
      </c>
      <c r="E6818" s="538" t="n">
        <v>76.7</v>
      </c>
    </row>
    <row r="6819">
      <c r="A6819" s="544" t="n">
        <v>38755</v>
      </c>
      <c r="B6819" s="538" t="n">
        <v>61.64</v>
      </c>
      <c r="C6819" s="538" t="n">
        <v>63.01</v>
      </c>
      <c r="D6819" s="538" t="n">
        <v>56.59</v>
      </c>
      <c r="E6819" s="538" t="n">
        <v>76.5</v>
      </c>
    </row>
    <row r="6820">
      <c r="A6820" s="544" t="n">
        <v>38756</v>
      </c>
      <c r="B6820" s="538" t="n">
        <v>60.82</v>
      </c>
      <c r="C6820" s="538" t="n">
        <v>62.51</v>
      </c>
      <c r="D6820" s="538" t="n">
        <v>56.86</v>
      </c>
      <c r="E6820" s="538" t="n">
        <v>76.40000000000001</v>
      </c>
    </row>
    <row r="6821">
      <c r="A6821" s="544" t="n">
        <v>38757</v>
      </c>
      <c r="B6821" s="538" t="n">
        <v>60.7</v>
      </c>
      <c r="C6821" s="538" t="n">
        <v>62.66</v>
      </c>
      <c r="D6821" s="538" t="n">
        <v>56.72</v>
      </c>
      <c r="E6821" s="538" t="n">
        <v>77.5</v>
      </c>
    </row>
    <row r="6822">
      <c r="A6822" s="544" t="n">
        <v>38758</v>
      </c>
      <c r="B6822" s="538" t="n">
        <v>59.66</v>
      </c>
      <c r="C6822" s="538" t="n">
        <v>62.01</v>
      </c>
      <c r="D6822" s="538" t="n">
        <v>57.34</v>
      </c>
      <c r="E6822" s="538" t="n">
        <v>75</v>
      </c>
    </row>
    <row r="6823">
      <c r="A6823" s="544" t="n">
        <v>38761</v>
      </c>
      <c r="B6823" s="538" t="n">
        <v>59.16</v>
      </c>
      <c r="C6823" s="538" t="n">
        <v>61.26</v>
      </c>
      <c r="D6823" s="538" t="n">
        <v>56.62</v>
      </c>
      <c r="E6823" s="538" t="n">
        <v>74</v>
      </c>
    </row>
    <row r="6824">
      <c r="A6824" s="544" t="n">
        <v>38762</v>
      </c>
      <c r="B6824" s="538" t="n">
        <v>58.27</v>
      </c>
      <c r="C6824" s="538" t="n">
        <v>59.61</v>
      </c>
      <c r="D6824" s="538" t="n">
        <v>55.53</v>
      </c>
      <c r="E6824" s="538" t="n">
        <v>74.2</v>
      </c>
    </row>
    <row r="6825">
      <c r="A6825" s="544" t="n">
        <v>38763</v>
      </c>
      <c r="B6825" s="538" t="n">
        <v>57.67</v>
      </c>
      <c r="C6825" s="538" t="n">
        <v>57.61</v>
      </c>
      <c r="D6825" s="538" t="n">
        <v>54.35</v>
      </c>
      <c r="E6825" s="538" t="n">
        <v>73.5</v>
      </c>
    </row>
    <row r="6826">
      <c r="A6826" s="544" t="n">
        <v>38764</v>
      </c>
      <c r="B6826" s="538" t="n">
        <v>56.78</v>
      </c>
      <c r="C6826" s="538" t="n">
        <v>58.61</v>
      </c>
      <c r="D6826" s="538" t="n">
        <v>55.67</v>
      </c>
      <c r="E6826" s="538" t="n">
        <v>72.59999999999999</v>
      </c>
    </row>
    <row r="6827">
      <c r="A6827" s="544" t="n">
        <v>38765</v>
      </c>
      <c r="B6827" s="538" t="n">
        <v>58.34</v>
      </c>
      <c r="C6827" s="538" t="n">
        <v>59.76</v>
      </c>
      <c r="D6827" s="538" t="n">
        <v>55.97</v>
      </c>
      <c r="E6827" s="538" t="n">
        <v>73.09999999999999</v>
      </c>
    </row>
    <row r="6828">
      <c r="A6828" s="544" t="n">
        <v>38768</v>
      </c>
      <c r="B6828" s="538" t="n">
        <v>60.05</v>
      </c>
      <c r="C6828" s="538" t="n">
        <v>59.76</v>
      </c>
      <c r="D6828" s="538" t="n">
        <v>57.47</v>
      </c>
      <c r="E6828" s="538" t="n">
        <v>74.09999999999999</v>
      </c>
    </row>
    <row r="6829">
      <c r="A6829" s="544" t="n">
        <v>38769</v>
      </c>
      <c r="B6829" s="538" t="n">
        <v>59.35</v>
      </c>
      <c r="C6829" s="538" t="n">
        <v>61.21</v>
      </c>
      <c r="D6829" s="538" t="n">
        <v>57.28</v>
      </c>
      <c r="E6829" s="538" t="n">
        <v>74.8</v>
      </c>
    </row>
    <row r="6830">
      <c r="A6830" s="544" t="n">
        <v>38770</v>
      </c>
      <c r="B6830" s="538" t="n">
        <v>58.71</v>
      </c>
      <c r="C6830" s="538" t="n">
        <v>59.03</v>
      </c>
      <c r="D6830" s="538" t="n">
        <v>56.22</v>
      </c>
      <c r="E6830" s="538" t="n">
        <v>73.40000000000001</v>
      </c>
    </row>
    <row r="6831">
      <c r="A6831" s="544" t="n">
        <v>38771</v>
      </c>
      <c r="B6831" s="538" t="n">
        <v>58.71</v>
      </c>
      <c r="C6831" s="538" t="n">
        <v>58.03</v>
      </c>
      <c r="D6831" s="538" t="n">
        <v>57.28</v>
      </c>
      <c r="E6831" s="538" t="n">
        <v>72.8</v>
      </c>
    </row>
    <row r="6832">
      <c r="A6832" s="544" t="n">
        <v>38772</v>
      </c>
      <c r="B6832" s="538" t="n">
        <v>60.13</v>
      </c>
      <c r="C6832" s="538" t="n">
        <v>61.46</v>
      </c>
      <c r="D6832" s="538" t="n">
        <v>58.49</v>
      </c>
      <c r="E6832" s="538" t="n">
        <v>73.3</v>
      </c>
    </row>
    <row r="6833">
      <c r="A6833" s="544" t="n">
        <v>38775</v>
      </c>
      <c r="B6833" s="538" t="n">
        <v>59.44</v>
      </c>
      <c r="C6833" s="538" t="n">
        <v>61.01</v>
      </c>
      <c r="D6833" s="538" t="n">
        <v>56.78</v>
      </c>
      <c r="E6833" s="538" t="n">
        <v>74.8</v>
      </c>
    </row>
    <row r="6834">
      <c r="A6834" s="544" t="n">
        <v>38776</v>
      </c>
      <c r="B6834" s="538" t="n">
        <v>59.78</v>
      </c>
      <c r="C6834" s="538" t="n">
        <v>61.37</v>
      </c>
      <c r="D6834" s="538" t="n">
        <v>58.44</v>
      </c>
      <c r="E6834" s="538" t="n">
        <v>74</v>
      </c>
    </row>
    <row r="6835">
      <c r="A6835" s="544" t="n">
        <v>38777</v>
      </c>
      <c r="B6835" s="538" t="n">
        <v>61.12</v>
      </c>
      <c r="C6835" s="538" t="n">
        <v>62.01</v>
      </c>
      <c r="D6835" s="538" t="n">
        <v>57.06</v>
      </c>
      <c r="E6835" s="538" t="n">
        <v>74.40000000000001</v>
      </c>
    </row>
    <row r="6836">
      <c r="A6836" s="544" t="n">
        <v>38778</v>
      </c>
      <c r="B6836" s="538" t="n">
        <v>62.27</v>
      </c>
      <c r="C6836" s="538" t="n">
        <v>63.36</v>
      </c>
      <c r="D6836" s="538" t="n">
        <v>58.7</v>
      </c>
      <c r="E6836" s="538" t="n">
        <v>74.8</v>
      </c>
    </row>
    <row r="6837">
      <c r="A6837" s="544" t="n">
        <v>38779</v>
      </c>
      <c r="B6837" s="538" t="n">
        <v>62.69</v>
      </c>
      <c r="C6837" s="538" t="n">
        <v>63.61</v>
      </c>
      <c r="D6837" s="538" t="n">
        <v>59.87</v>
      </c>
      <c r="E6837" s="538" t="n">
        <v>77</v>
      </c>
    </row>
    <row r="6838">
      <c r="A6838" s="544" t="n">
        <v>38782</v>
      </c>
      <c r="B6838" s="538" t="n">
        <v>61.41</v>
      </c>
      <c r="C6838" s="538" t="n">
        <v>62.46</v>
      </c>
      <c r="D6838" s="538" t="n">
        <v>56.25</v>
      </c>
      <c r="E6838" s="538" t="n">
        <v>76.59999999999999</v>
      </c>
    </row>
    <row r="6839">
      <c r="A6839" s="544" t="n">
        <v>38783</v>
      </c>
      <c r="B6839" s="538" t="n">
        <v>59.79</v>
      </c>
      <c r="C6839" s="538" t="n">
        <v>61.51</v>
      </c>
      <c r="D6839" s="538" t="n">
        <v>55.43</v>
      </c>
      <c r="E6839" s="538" t="n">
        <v>75</v>
      </c>
    </row>
    <row r="6840">
      <c r="A6840" s="544" t="n">
        <v>38784</v>
      </c>
      <c r="B6840" s="538" t="n">
        <v>58.42</v>
      </c>
      <c r="C6840" s="538" t="n">
        <v>60.06</v>
      </c>
      <c r="D6840" s="538" t="n">
        <v>56.19</v>
      </c>
      <c r="E6840" s="538" t="n">
        <v>72.2</v>
      </c>
    </row>
    <row r="6841">
      <c r="A6841" s="544" t="n">
        <v>38785</v>
      </c>
      <c r="B6841" s="538" t="n">
        <v>58.82</v>
      </c>
      <c r="C6841" s="538" t="n">
        <v>60.51</v>
      </c>
      <c r="D6841" s="538" t="n">
        <v>55.55</v>
      </c>
      <c r="E6841" s="538" t="n">
        <v>72.2</v>
      </c>
    </row>
    <row r="6842">
      <c r="A6842" s="544" t="n">
        <v>38786</v>
      </c>
      <c r="B6842" s="538" t="n">
        <v>59.04</v>
      </c>
      <c r="C6842" s="538" t="n">
        <v>59.91</v>
      </c>
      <c r="D6842" s="538" t="n">
        <v>56.77</v>
      </c>
      <c r="E6842" s="538" t="n">
        <v>73.90000000000001</v>
      </c>
    </row>
    <row r="6843">
      <c r="A6843" s="544" t="n">
        <v>38789</v>
      </c>
      <c r="B6843" s="538" t="n">
        <v>60.99</v>
      </c>
      <c r="C6843" s="538" t="n">
        <v>61.81</v>
      </c>
      <c r="D6843" s="538" t="n">
        <v>57.94</v>
      </c>
      <c r="E6843" s="538" t="n">
        <v>73.8</v>
      </c>
    </row>
    <row r="6844">
      <c r="A6844" s="544" t="n">
        <v>38790</v>
      </c>
      <c r="B6844" s="538" t="n">
        <v>62.39</v>
      </c>
      <c r="C6844" s="538" t="n">
        <v>63.01</v>
      </c>
      <c r="D6844" s="538" t="n">
        <v>59.27</v>
      </c>
      <c r="E6844" s="538" t="n">
        <v>75.90000000000001</v>
      </c>
    </row>
    <row r="6845">
      <c r="A6845" s="544" t="n">
        <v>38791</v>
      </c>
      <c r="B6845" s="538" t="n">
        <v>63.12</v>
      </c>
      <c r="C6845" s="538" t="n">
        <v>62.11</v>
      </c>
      <c r="D6845" s="538" t="n">
        <v>58.34</v>
      </c>
      <c r="E6845" s="538" t="n">
        <v>76.8</v>
      </c>
    </row>
    <row r="6846">
      <c r="A6846" s="544" t="n">
        <v>38792</v>
      </c>
      <c r="B6846" s="538" t="n">
        <v>62.07</v>
      </c>
      <c r="C6846" s="538" t="n">
        <v>63.46</v>
      </c>
      <c r="D6846" s="538" t="n">
        <v>59.33</v>
      </c>
      <c r="E6846" s="538" t="n">
        <v>76</v>
      </c>
    </row>
    <row r="6847">
      <c r="A6847" s="544" t="n">
        <v>38793</v>
      </c>
      <c r="B6847" s="538" t="n">
        <v>63.54</v>
      </c>
      <c r="C6847" s="538" t="n">
        <v>62.81</v>
      </c>
      <c r="D6847" s="538" t="n">
        <v>58.58</v>
      </c>
      <c r="E6847" s="538" t="n">
        <v>76.7</v>
      </c>
    </row>
    <row r="6848">
      <c r="A6848" s="544" t="n">
        <v>38796</v>
      </c>
      <c r="B6848" s="538" t="n">
        <v>62.3</v>
      </c>
      <c r="C6848" s="538" t="n">
        <v>60.31</v>
      </c>
      <c r="D6848" s="538" t="n">
        <v>56.58</v>
      </c>
      <c r="E6848" s="538" t="n">
        <v>75.65000000000001</v>
      </c>
    </row>
    <row r="6849">
      <c r="A6849" s="544" t="n">
        <v>38797</v>
      </c>
      <c r="B6849" s="538" t="n">
        <v>59.96</v>
      </c>
      <c r="C6849" s="538" t="n">
        <v>60.41</v>
      </c>
      <c r="D6849" s="538" t="n">
        <v>57.23</v>
      </c>
      <c r="E6849" s="538" t="n">
        <v>73.65000000000001</v>
      </c>
    </row>
    <row r="6850">
      <c r="A6850" s="544" t="n">
        <v>38798</v>
      </c>
      <c r="B6850" s="538" t="n">
        <v>61.23</v>
      </c>
      <c r="C6850" s="538" t="n">
        <v>60.03</v>
      </c>
      <c r="D6850" s="538" t="n">
        <v>57.16</v>
      </c>
      <c r="E6850" s="538" t="n">
        <v>75.55</v>
      </c>
    </row>
    <row r="6851">
      <c r="A6851" s="544" t="n">
        <v>38799</v>
      </c>
      <c r="B6851" s="538" t="n">
        <v>61.76</v>
      </c>
      <c r="C6851" s="538" t="n">
        <v>62.13</v>
      </c>
      <c r="D6851" s="538" t="n">
        <v>58.22</v>
      </c>
      <c r="E6851" s="538" t="n">
        <v>75.2</v>
      </c>
    </row>
    <row r="6852">
      <c r="A6852" s="544" t="n">
        <v>38800</v>
      </c>
      <c r="B6852" s="538" t="n">
        <v>62.78</v>
      </c>
      <c r="C6852" s="538" t="n">
        <v>63.9</v>
      </c>
      <c r="D6852" s="538" t="n">
        <v>58.5</v>
      </c>
      <c r="E6852" s="538" t="n">
        <v>75.59999999999999</v>
      </c>
    </row>
    <row r="6853">
      <c r="A6853" s="544" t="n">
        <v>38803</v>
      </c>
      <c r="B6853" s="538" t="n">
        <v>62.59</v>
      </c>
      <c r="C6853" s="538" t="n">
        <v>63.75</v>
      </c>
      <c r="D6853" s="538" t="n">
        <v>58.4</v>
      </c>
      <c r="E6853" s="538" t="n">
        <v>75.7</v>
      </c>
    </row>
    <row r="6854">
      <c r="A6854" s="544" t="n">
        <v>38804</v>
      </c>
      <c r="B6854" s="538" t="n">
        <v>64.31</v>
      </c>
      <c r="C6854" s="538" t="n">
        <v>65.65000000000001</v>
      </c>
      <c r="D6854" s="538" t="n">
        <v>59.67</v>
      </c>
      <c r="E6854" s="538" t="n">
        <v>75.90000000000001</v>
      </c>
    </row>
    <row r="6855">
      <c r="A6855" s="544" t="n">
        <v>38805</v>
      </c>
      <c r="B6855" s="538" t="n">
        <v>64.88</v>
      </c>
      <c r="C6855" s="538" t="n">
        <v>66</v>
      </c>
      <c r="D6855" s="538" t="n">
        <v>59.56</v>
      </c>
      <c r="E6855" s="538" t="n">
        <v>77.59999999999999</v>
      </c>
    </row>
    <row r="6856">
      <c r="A6856" s="544" t="n">
        <v>38806</v>
      </c>
      <c r="B6856" s="538" t="n">
        <v>65.95</v>
      </c>
      <c r="C6856" s="538" t="n">
        <v>66.7</v>
      </c>
      <c r="D6856" s="538" t="n">
        <v>60.66</v>
      </c>
      <c r="E6856" s="538" t="n">
        <v>77.7</v>
      </c>
    </row>
    <row r="6857">
      <c r="A6857" s="544" t="n">
        <v>38807</v>
      </c>
      <c r="B6857" s="538" t="n">
        <v>66.06</v>
      </c>
      <c r="C6857" s="538" t="n">
        <v>66.25</v>
      </c>
      <c r="D6857" s="538" t="n">
        <v>60.46</v>
      </c>
      <c r="E6857" s="538" t="n">
        <v>79.59999999999999</v>
      </c>
    </row>
    <row r="6858">
      <c r="A6858" s="544" t="n">
        <v>38810</v>
      </c>
      <c r="B6858" s="538" t="n">
        <v>67.28</v>
      </c>
      <c r="C6858" s="538" t="n">
        <v>66.06999999999999</v>
      </c>
      <c r="D6858" s="538" t="n">
        <v>60.02</v>
      </c>
      <c r="E6858" s="538" t="n">
        <v>79.59999999999999</v>
      </c>
    </row>
    <row r="6859">
      <c r="A6859" s="544" t="n">
        <v>38811</v>
      </c>
      <c r="B6859" s="538" t="n">
        <v>65.93000000000001</v>
      </c>
      <c r="C6859" s="538" t="n">
        <v>65.75</v>
      </c>
      <c r="D6859" s="538" t="n">
        <v>59.71</v>
      </c>
      <c r="E6859" s="538" t="n">
        <v>78.34999999999999</v>
      </c>
    </row>
    <row r="6860">
      <c r="A6860" s="544" t="n">
        <v>38812</v>
      </c>
      <c r="B6860" s="538" t="n">
        <v>66.73999999999999</v>
      </c>
      <c r="C6860" s="538" t="n">
        <v>66.76000000000001</v>
      </c>
      <c r="D6860" s="538" t="n">
        <v>61.02</v>
      </c>
      <c r="E6860" s="538" t="n">
        <v>77.7</v>
      </c>
    </row>
    <row r="6861">
      <c r="A6861" s="544" t="n">
        <v>38813</v>
      </c>
      <c r="B6861" s="538" t="n">
        <v>67.58</v>
      </c>
      <c r="C6861" s="538" t="n">
        <v>67.22</v>
      </c>
      <c r="D6861" s="538" t="n">
        <v>61.06</v>
      </c>
      <c r="E6861" s="538" t="n">
        <v>79.7</v>
      </c>
    </row>
    <row r="6862">
      <c r="A6862" s="544" t="n">
        <v>38814</v>
      </c>
      <c r="B6862" s="538" t="n">
        <v>67.11</v>
      </c>
      <c r="C6862" s="538" t="n">
        <v>67.02</v>
      </c>
      <c r="D6862" s="538" t="n">
        <v>60.61</v>
      </c>
      <c r="E6862" s="538" t="n">
        <v>80</v>
      </c>
    </row>
    <row r="6863">
      <c r="A6863" s="544" t="n">
        <v>38817</v>
      </c>
      <c r="B6863" s="538" t="n">
        <v>68.2</v>
      </c>
      <c r="C6863" s="538" t="n">
        <v>68.29000000000001</v>
      </c>
      <c r="D6863" s="538" t="n">
        <v>62.16</v>
      </c>
      <c r="E6863" s="538" t="n">
        <v>80.59999999999999</v>
      </c>
    </row>
    <row r="6864">
      <c r="A6864" s="544" t="n">
        <v>38818</v>
      </c>
      <c r="B6864" s="538" t="n">
        <v>68.52</v>
      </c>
      <c r="C6864" s="538" t="n">
        <v>69.03</v>
      </c>
      <c r="D6864" s="538" t="n">
        <v>62.36</v>
      </c>
      <c r="E6864" s="538" t="n">
        <v>80.59999999999999</v>
      </c>
    </row>
    <row r="6865">
      <c r="A6865" s="544" t="n">
        <v>38819</v>
      </c>
      <c r="B6865" s="538" t="n">
        <v>69.54000000000001</v>
      </c>
      <c r="C6865" s="538" t="n">
        <v>68.53</v>
      </c>
      <c r="D6865" s="538" t="n">
        <v>62</v>
      </c>
      <c r="E6865" s="538" t="n">
        <v>82.15000000000001</v>
      </c>
    </row>
    <row r="6866">
      <c r="A6866" s="544" t="n">
        <v>38820</v>
      </c>
      <c r="B6866" s="538" t="n">
        <v>69.39</v>
      </c>
      <c r="C6866" s="538" t="n">
        <v>69.53</v>
      </c>
      <c r="D6866" s="538" t="n">
        <v>63.85</v>
      </c>
      <c r="E6866" s="538" t="n">
        <v>83</v>
      </c>
    </row>
    <row r="6867">
      <c r="A6867" s="544" t="n">
        <v>38821</v>
      </c>
      <c r="B6867" s="538" t="n">
        <v>69.39</v>
      </c>
      <c r="C6867" s="538" t="n">
        <v>69.53</v>
      </c>
      <c r="D6867" s="538" t="n">
        <v>63.85</v>
      </c>
      <c r="E6867" s="538" t="n">
        <v>83</v>
      </c>
    </row>
    <row r="6868">
      <c r="A6868" s="544" t="n">
        <v>38824</v>
      </c>
      <c r="B6868" s="538" t="n">
        <v>69.39</v>
      </c>
      <c r="C6868" s="538" t="n">
        <v>70.3</v>
      </c>
      <c r="D6868" s="538" t="n">
        <v>64.48999999999999</v>
      </c>
      <c r="E6868" s="538" t="n">
        <v>85.8</v>
      </c>
    </row>
    <row r="6869">
      <c r="A6869" s="544" t="n">
        <v>38825</v>
      </c>
      <c r="B6869" s="538" t="n">
        <v>70.97</v>
      </c>
      <c r="C6869" s="538" t="n">
        <v>71.28</v>
      </c>
      <c r="D6869" s="538" t="n">
        <v>65.11</v>
      </c>
      <c r="E6869" s="538" t="n">
        <v>87.45</v>
      </c>
    </row>
    <row r="6870">
      <c r="A6870" s="544" t="n">
        <v>38826</v>
      </c>
      <c r="B6870" s="538" t="n">
        <v>72.69</v>
      </c>
      <c r="C6870" s="538" t="n">
        <v>72.06999999999999</v>
      </c>
      <c r="D6870" s="538" t="n">
        <v>66.83</v>
      </c>
      <c r="E6870" s="538" t="n">
        <v>88.55</v>
      </c>
    </row>
    <row r="6871">
      <c r="A6871" s="544" t="n">
        <v>38827</v>
      </c>
      <c r="B6871" s="538" t="n">
        <v>72.56999999999999</v>
      </c>
      <c r="C6871" s="538" t="n">
        <v>71.95999999999999</v>
      </c>
      <c r="D6871" s="538" t="n">
        <v>65.65000000000001</v>
      </c>
      <c r="E6871" s="538" t="n">
        <v>89.65000000000001</v>
      </c>
    </row>
    <row r="6872">
      <c r="A6872" s="544" t="n">
        <v>38828</v>
      </c>
      <c r="B6872" s="538" t="n">
        <v>73.94</v>
      </c>
      <c r="C6872" s="538" t="n">
        <v>73.73</v>
      </c>
      <c r="D6872" s="538" t="n">
        <v>67.91</v>
      </c>
      <c r="E6872" s="538" t="n">
        <v>87.8</v>
      </c>
    </row>
    <row r="6873">
      <c r="A6873" s="544" t="n">
        <v>38831</v>
      </c>
      <c r="B6873" s="538" t="n">
        <v>73.95999999999999</v>
      </c>
      <c r="C6873" s="538" t="n">
        <v>70.19</v>
      </c>
      <c r="D6873" s="538" t="n">
        <v>66</v>
      </c>
      <c r="E6873" s="538" t="n">
        <v>89.55</v>
      </c>
    </row>
    <row r="6874">
      <c r="A6874" s="544" t="n">
        <v>38832</v>
      </c>
      <c r="B6874" s="538" t="n">
        <v>72.86</v>
      </c>
      <c r="C6874" s="538" t="n">
        <v>67.43000000000001</v>
      </c>
      <c r="D6874" s="538" t="n">
        <v>66.76000000000001</v>
      </c>
      <c r="E6874" s="538" t="n">
        <v>89.05</v>
      </c>
    </row>
    <row r="6875">
      <c r="A6875" s="544" t="n">
        <v>38833</v>
      </c>
      <c r="B6875" s="538" t="n">
        <v>73.45999999999999</v>
      </c>
      <c r="C6875" s="538" t="n">
        <v>71.70999999999999</v>
      </c>
      <c r="D6875" s="538" t="n">
        <v>65.59</v>
      </c>
      <c r="E6875" s="538" t="n">
        <v>90.15000000000001</v>
      </c>
    </row>
    <row r="6876">
      <c r="A6876" s="544" t="n">
        <v>38834</v>
      </c>
      <c r="B6876" s="538" t="n">
        <v>71.79000000000001</v>
      </c>
      <c r="C6876" s="538" t="n">
        <v>70.76000000000001</v>
      </c>
      <c r="D6876" s="538" t="n">
        <v>64.94</v>
      </c>
      <c r="E6876" s="538" t="n">
        <v>88.65000000000001</v>
      </c>
    </row>
    <row r="6877">
      <c r="A6877" s="544" t="n">
        <v>38835</v>
      </c>
      <c r="B6877" s="538" t="n">
        <v>72.15000000000001</v>
      </c>
      <c r="C6877" s="538" t="n">
        <v>71.8</v>
      </c>
      <c r="D6877" s="538" t="n">
        <v>66.15000000000001</v>
      </c>
      <c r="E6877" s="538" t="n">
        <v>86.5</v>
      </c>
    </row>
    <row r="6878">
      <c r="A6878" s="544" t="n">
        <v>38838</v>
      </c>
      <c r="B6878" s="538" t="n">
        <v>73.37</v>
      </c>
      <c r="C6878" s="538" t="n">
        <v>73.75</v>
      </c>
      <c r="D6878" s="538" t="n">
        <v>66.87</v>
      </c>
      <c r="E6878" s="538" t="n">
        <v>86.5</v>
      </c>
    </row>
    <row r="6879">
      <c r="A6879" s="544" t="n">
        <v>38839</v>
      </c>
      <c r="B6879" s="538" t="n">
        <v>74.45</v>
      </c>
      <c r="C6879" s="538" t="n">
        <v>74.62</v>
      </c>
      <c r="D6879" s="538" t="n">
        <v>67.47</v>
      </c>
      <c r="E6879" s="538" t="n">
        <v>89.59999999999999</v>
      </c>
    </row>
    <row r="6880">
      <c r="A6880" s="544" t="n">
        <v>38840</v>
      </c>
      <c r="B6880" s="538" t="n">
        <v>73.73</v>
      </c>
      <c r="C6880" s="538" t="n">
        <v>72.26000000000001</v>
      </c>
      <c r="D6880" s="538" t="n">
        <v>64.7</v>
      </c>
      <c r="E6880" s="538" t="n">
        <v>90</v>
      </c>
    </row>
    <row r="6881">
      <c r="A6881" s="544" t="n">
        <v>38841</v>
      </c>
      <c r="B6881" s="538" t="n">
        <v>71.84</v>
      </c>
      <c r="C6881" s="538" t="n">
        <v>69.98</v>
      </c>
      <c r="D6881" s="538" t="n">
        <v>63.56</v>
      </c>
      <c r="E6881" s="538" t="n">
        <v>87.40000000000001</v>
      </c>
    </row>
    <row r="6882">
      <c r="A6882" s="544" t="n">
        <v>38842</v>
      </c>
      <c r="B6882" s="538" t="n">
        <v>71.22</v>
      </c>
      <c r="C6882" s="538" t="n">
        <v>70.09</v>
      </c>
      <c r="D6882" s="538" t="n">
        <v>63.59</v>
      </c>
      <c r="E6882" s="538" t="n">
        <v>84.90000000000001</v>
      </c>
    </row>
    <row r="6883">
      <c r="A6883" s="544" t="n">
        <v>38845</v>
      </c>
      <c r="B6883" s="538" t="n">
        <v>68.26000000000001</v>
      </c>
      <c r="C6883" s="538" t="n">
        <v>69.75</v>
      </c>
      <c r="D6883" s="538" t="n">
        <v>63.58</v>
      </c>
      <c r="E6883" s="538" t="n">
        <v>85.34999999999999</v>
      </c>
    </row>
    <row r="6884">
      <c r="A6884" s="544" t="n">
        <v>38846</v>
      </c>
      <c r="B6884" s="538" t="n">
        <v>70.59999999999999</v>
      </c>
      <c r="C6884" s="538" t="n">
        <v>70.70999999999999</v>
      </c>
      <c r="D6884" s="538" t="n">
        <v>64.33</v>
      </c>
      <c r="E6884" s="538" t="n">
        <v>85</v>
      </c>
    </row>
    <row r="6885">
      <c r="A6885" s="544" t="n">
        <v>38847</v>
      </c>
      <c r="B6885" s="538" t="n">
        <v>69.83</v>
      </c>
      <c r="C6885" s="538" t="n">
        <v>72.15000000000001</v>
      </c>
      <c r="D6885" s="538" t="n">
        <v>65.67</v>
      </c>
      <c r="E6885" s="538" t="n">
        <v>85</v>
      </c>
    </row>
    <row r="6886">
      <c r="A6886" s="544" t="n">
        <v>38848</v>
      </c>
      <c r="B6886" s="538" t="n">
        <v>72.2</v>
      </c>
      <c r="C6886" s="538" t="n">
        <v>73</v>
      </c>
      <c r="D6886" s="538" t="n">
        <v>65.81999999999999</v>
      </c>
      <c r="E6886" s="538" t="n">
        <v>87.84999999999999</v>
      </c>
    </row>
    <row r="6887">
      <c r="A6887" s="544" t="n">
        <v>38849</v>
      </c>
      <c r="B6887" s="538" t="n">
        <v>71.3</v>
      </c>
      <c r="C6887" s="538" t="n">
        <v>71.87</v>
      </c>
      <c r="D6887" s="538" t="n">
        <v>65.31</v>
      </c>
      <c r="E6887" s="538" t="n">
        <v>87.84999999999999</v>
      </c>
    </row>
    <row r="6888">
      <c r="A6888" s="544" t="n">
        <v>38852</v>
      </c>
      <c r="B6888" s="538" t="n">
        <v>68.69</v>
      </c>
      <c r="C6888" s="538" t="n">
        <v>69.25</v>
      </c>
      <c r="D6888" s="538" t="n">
        <v>62.5</v>
      </c>
      <c r="E6888" s="538" t="n">
        <v>84.8</v>
      </c>
    </row>
    <row r="6889">
      <c r="A6889" s="544" t="n">
        <v>38853</v>
      </c>
      <c r="B6889" s="538" t="n">
        <v>68.66</v>
      </c>
      <c r="C6889" s="538" t="n">
        <v>69.40000000000001</v>
      </c>
      <c r="D6889" s="538" t="n">
        <v>64.09</v>
      </c>
      <c r="E6889" s="538" t="n">
        <v>83.09999999999999</v>
      </c>
    </row>
    <row r="6890">
      <c r="A6890" s="544" t="n">
        <v>38854</v>
      </c>
      <c r="B6890" s="538" t="n">
        <v>67.52</v>
      </c>
      <c r="C6890" s="538" t="n">
        <v>68.65000000000001</v>
      </c>
      <c r="D6890" s="538" t="n">
        <v>62.69</v>
      </c>
      <c r="E6890" s="538" t="n">
        <v>84.90000000000001</v>
      </c>
    </row>
    <row r="6891">
      <c r="A6891" s="544" t="n">
        <v>38855</v>
      </c>
      <c r="B6891" s="538" t="n">
        <v>67.39</v>
      </c>
      <c r="C6891" s="538" t="n">
        <v>69.63</v>
      </c>
      <c r="D6891" s="538" t="n">
        <v>64.06</v>
      </c>
      <c r="E6891" s="538" t="n">
        <v>82.90000000000001</v>
      </c>
    </row>
    <row r="6892">
      <c r="A6892" s="544" t="n">
        <v>38856</v>
      </c>
      <c r="B6892" s="538" t="n">
        <v>66.93000000000001</v>
      </c>
      <c r="C6892" s="538" t="n">
        <v>68.44</v>
      </c>
      <c r="D6892" s="538" t="n">
        <v>62.86</v>
      </c>
      <c r="E6892" s="538" t="n">
        <v>84.7</v>
      </c>
    </row>
    <row r="6893">
      <c r="A6893" s="544" t="n">
        <v>38859</v>
      </c>
      <c r="B6893" s="538" t="n">
        <v>66.52</v>
      </c>
      <c r="C6893" s="538" t="n">
        <v>69.23</v>
      </c>
      <c r="D6893" s="538" t="n">
        <v>64.09999999999999</v>
      </c>
      <c r="E6893" s="538" t="n">
        <v>83</v>
      </c>
    </row>
    <row r="6894">
      <c r="A6894" s="544" t="n">
        <v>38860</v>
      </c>
      <c r="B6894" s="538" t="n">
        <v>68.97</v>
      </c>
      <c r="C6894" s="538" t="n">
        <v>70.78</v>
      </c>
      <c r="D6894" s="538" t="n">
        <v>64.68000000000001</v>
      </c>
      <c r="E6894" s="538" t="n">
        <v>84.59999999999999</v>
      </c>
    </row>
    <row r="6895">
      <c r="A6895" s="544" t="n">
        <v>38861</v>
      </c>
      <c r="B6895" s="538" t="n">
        <v>68.45</v>
      </c>
      <c r="C6895" s="538" t="n">
        <v>69.47</v>
      </c>
      <c r="D6895" s="538" t="n">
        <v>63.34</v>
      </c>
      <c r="E6895" s="538" t="n">
        <v>86.45</v>
      </c>
    </row>
    <row r="6896">
      <c r="A6896" s="544" t="n">
        <v>38862</v>
      </c>
      <c r="B6896" s="538" t="n">
        <v>68.51000000000001</v>
      </c>
      <c r="C6896" s="538" t="n">
        <v>70.92</v>
      </c>
      <c r="D6896" s="538" t="n">
        <v>65.26000000000001</v>
      </c>
      <c r="E6896" s="538" t="n">
        <v>84.45</v>
      </c>
    </row>
    <row r="6897">
      <c r="A6897" s="544" t="n">
        <v>38863</v>
      </c>
      <c r="B6897" s="538" t="n">
        <v>69.88</v>
      </c>
      <c r="C6897" s="538" t="n">
        <v>71.34999999999999</v>
      </c>
      <c r="D6897" s="538" t="n">
        <v>64.75</v>
      </c>
      <c r="E6897" s="538" t="n">
        <v>86.5</v>
      </c>
    </row>
    <row r="6898">
      <c r="A6898" s="544" t="n">
        <v>38866</v>
      </c>
      <c r="B6898" s="538" t="n">
        <v>69.16</v>
      </c>
      <c r="C6898" s="538" t="n">
        <v>71.34999999999999</v>
      </c>
      <c r="D6898" s="538" t="n">
        <v>64.75</v>
      </c>
      <c r="E6898" s="538" t="n">
        <v>85.8</v>
      </c>
    </row>
    <row r="6899">
      <c r="A6899" s="544" t="n">
        <v>38867</v>
      </c>
      <c r="B6899" s="538" t="n">
        <v>69.81999999999999</v>
      </c>
      <c r="C6899" s="538" t="n">
        <v>71.84999999999999</v>
      </c>
      <c r="D6899" s="538" t="n">
        <v>65.39</v>
      </c>
      <c r="E6899" s="538" t="n">
        <v>86.05</v>
      </c>
    </row>
    <row r="6900">
      <c r="A6900" s="544" t="n">
        <v>38868</v>
      </c>
      <c r="B6900" s="538" t="n">
        <v>67.56999999999999</v>
      </c>
      <c r="C6900" s="538" t="n">
        <v>71.42</v>
      </c>
      <c r="D6900" s="538" t="n">
        <v>64.77</v>
      </c>
      <c r="E6900" s="538" t="n">
        <v>86.55</v>
      </c>
    </row>
    <row r="6901">
      <c r="A6901" s="544" t="n">
        <v>38869</v>
      </c>
      <c r="B6901" s="538" t="n">
        <v>68.77</v>
      </c>
      <c r="C6901" s="538" t="n">
        <v>70.11</v>
      </c>
      <c r="D6901" s="538" t="n">
        <v>63.74</v>
      </c>
      <c r="E6901" s="538" t="n">
        <v>86.34999999999999</v>
      </c>
    </row>
    <row r="6902">
      <c r="A6902" s="544" t="n">
        <v>38870</v>
      </c>
      <c r="B6902" s="538" t="n">
        <v>68.42</v>
      </c>
      <c r="C6902" s="538" t="n">
        <v>72.73</v>
      </c>
      <c r="D6902" s="538" t="n">
        <v>66.59</v>
      </c>
      <c r="E6902" s="538" t="n">
        <v>86.40000000000001</v>
      </c>
    </row>
    <row r="6903">
      <c r="A6903" s="544" t="n">
        <v>38873</v>
      </c>
      <c r="B6903" s="538" t="n">
        <v>69.13</v>
      </c>
      <c r="C6903" s="538" t="n">
        <v>72.5</v>
      </c>
      <c r="D6903" s="538" t="n">
        <v>65.75</v>
      </c>
      <c r="E6903" s="538" t="n">
        <v>88</v>
      </c>
    </row>
    <row r="6904">
      <c r="A6904" s="544" t="n">
        <v>38874</v>
      </c>
      <c r="B6904" s="538" t="n">
        <v>68.25</v>
      </c>
      <c r="C6904" s="538" t="n">
        <v>72.43000000000001</v>
      </c>
      <c r="D6904" s="538" t="n">
        <v>65.72</v>
      </c>
      <c r="E6904" s="538" t="n">
        <v>87.3</v>
      </c>
    </row>
    <row r="6905">
      <c r="A6905" s="544" t="n">
        <v>38875</v>
      </c>
      <c r="B6905" s="538" t="n">
        <v>67.17</v>
      </c>
      <c r="C6905" s="538" t="n">
        <v>70.90000000000001</v>
      </c>
      <c r="D6905" s="538" t="n">
        <v>64.17</v>
      </c>
      <c r="E6905" s="538" t="n">
        <v>87.34999999999999</v>
      </c>
    </row>
    <row r="6906">
      <c r="A6906" s="544" t="n">
        <v>38876</v>
      </c>
      <c r="B6906" s="538" t="n">
        <v>65.76000000000001</v>
      </c>
      <c r="C6906" s="538" t="n">
        <v>70.25</v>
      </c>
      <c r="D6906" s="538" t="n">
        <v>64.51000000000001</v>
      </c>
      <c r="E6906" s="538" t="n">
        <v>85.3</v>
      </c>
    </row>
    <row r="6907">
      <c r="A6907" s="544" t="n">
        <v>38877</v>
      </c>
      <c r="B6907" s="538" t="n">
        <v>69.13</v>
      </c>
      <c r="C6907" s="538" t="n">
        <v>71.62</v>
      </c>
      <c r="D6907" s="538" t="n">
        <v>65.79000000000001</v>
      </c>
      <c r="E6907" s="538" t="n">
        <v>85.90000000000001</v>
      </c>
    </row>
    <row r="6908">
      <c r="A6908" s="544" t="n">
        <v>38880</v>
      </c>
      <c r="B6908" s="538" t="n">
        <v>68.62</v>
      </c>
      <c r="C6908" s="538" t="n">
        <v>70.28</v>
      </c>
      <c r="D6908" s="538" t="n">
        <v>63.66</v>
      </c>
      <c r="E6908" s="538" t="n">
        <v>87.7</v>
      </c>
    </row>
    <row r="6909">
      <c r="A6909" s="544" t="n">
        <v>38881</v>
      </c>
      <c r="B6909" s="538" t="n">
        <v>65.67</v>
      </c>
      <c r="C6909" s="538" t="n">
        <v>68.48</v>
      </c>
      <c r="D6909" s="538" t="n">
        <v>62.97</v>
      </c>
      <c r="E6909" s="538" t="n">
        <v>85.95</v>
      </c>
    </row>
    <row r="6910">
      <c r="A6910" s="544" t="n">
        <v>38882</v>
      </c>
      <c r="B6910" s="538" t="n">
        <v>65.52</v>
      </c>
      <c r="C6910" s="538" t="n">
        <v>69.12</v>
      </c>
      <c r="D6910" s="538" t="n">
        <v>63.43</v>
      </c>
      <c r="E6910" s="538" t="n">
        <v>85.95</v>
      </c>
    </row>
    <row r="6911">
      <c r="A6911" s="544" t="n">
        <v>38883</v>
      </c>
      <c r="B6911" s="538" t="n">
        <v>66.04000000000001</v>
      </c>
      <c r="C6911" s="538" t="n">
        <v>69.78</v>
      </c>
      <c r="D6911" s="538" t="n">
        <v>63.81</v>
      </c>
      <c r="E6911" s="538" t="n">
        <v>86.15000000000001</v>
      </c>
    </row>
    <row r="6912">
      <c r="A6912" s="544" t="n">
        <v>38884</v>
      </c>
      <c r="B6912" s="538" t="n">
        <v>65.01000000000001</v>
      </c>
      <c r="C6912" s="538" t="n">
        <v>69.75</v>
      </c>
      <c r="D6912" s="538" t="n">
        <v>63.83</v>
      </c>
      <c r="E6912" s="538" t="n">
        <v>86.90000000000001</v>
      </c>
    </row>
    <row r="6913">
      <c r="A6913" s="544" t="n">
        <v>38887</v>
      </c>
      <c r="B6913" s="538" t="n">
        <v>66.40000000000001</v>
      </c>
      <c r="C6913" s="538" t="n">
        <v>69.20999999999999</v>
      </c>
      <c r="D6913" s="538" t="n">
        <v>63.09</v>
      </c>
      <c r="E6913" s="538" t="n">
        <v>84.84999999999999</v>
      </c>
    </row>
    <row r="6914">
      <c r="A6914" s="544" t="n">
        <v>38888</v>
      </c>
      <c r="B6914" s="538" t="n">
        <v>67.56999999999999</v>
      </c>
      <c r="C6914" s="538" t="n">
        <v>69.3</v>
      </c>
      <c r="D6914" s="538" t="n">
        <v>63.03</v>
      </c>
      <c r="E6914" s="538" t="n">
        <v>84.45</v>
      </c>
    </row>
    <row r="6915">
      <c r="A6915" s="544" t="n">
        <v>38889</v>
      </c>
      <c r="B6915" s="538" t="n">
        <v>68.17</v>
      </c>
      <c r="C6915" s="538" t="n">
        <v>70.06999999999999</v>
      </c>
      <c r="D6915" s="538" t="n">
        <v>64.41</v>
      </c>
      <c r="E6915" s="538" t="n">
        <v>84.15000000000001</v>
      </c>
    </row>
    <row r="6916">
      <c r="A6916" s="544" t="n">
        <v>38890</v>
      </c>
      <c r="B6916" s="538" t="n">
        <v>69.59999999999999</v>
      </c>
      <c r="C6916" s="538" t="n">
        <v>70.62</v>
      </c>
      <c r="D6916" s="538" t="n">
        <v>65.28</v>
      </c>
      <c r="E6916" s="538" t="n">
        <v>86.2</v>
      </c>
    </row>
    <row r="6917">
      <c r="A6917" s="544" t="n">
        <v>38891</v>
      </c>
      <c r="B6917" s="538" t="n">
        <v>69.91</v>
      </c>
      <c r="C6917" s="538" t="n">
        <v>70.5</v>
      </c>
      <c r="D6917" s="538" t="n">
        <v>65.16</v>
      </c>
      <c r="E6917" s="538" t="n">
        <v>86.06</v>
      </c>
    </row>
    <row r="6918">
      <c r="A6918" s="544" t="n">
        <v>38894</v>
      </c>
      <c r="B6918" s="538" t="n">
        <v>69.84999999999999</v>
      </c>
      <c r="C6918" s="538" t="n">
        <v>71.63</v>
      </c>
      <c r="D6918" s="538" t="n">
        <v>65.91</v>
      </c>
      <c r="E6918" s="538" t="n">
        <v>85.90000000000001</v>
      </c>
    </row>
    <row r="6919">
      <c r="A6919" s="544" t="n">
        <v>38895</v>
      </c>
      <c r="B6919" s="538" t="n">
        <v>71.26000000000001</v>
      </c>
      <c r="C6919" s="538" t="n">
        <v>72.05</v>
      </c>
      <c r="D6919" s="538" t="n">
        <v>66.45</v>
      </c>
      <c r="E6919" s="538" t="n">
        <v>87.09999999999999</v>
      </c>
    </row>
    <row r="6920">
      <c r="A6920" s="544" t="n">
        <v>38896</v>
      </c>
      <c r="B6920" s="538" t="n">
        <v>71.76000000000001</v>
      </c>
      <c r="C6920" s="538" t="n">
        <v>72.15000000000001</v>
      </c>
      <c r="D6920" s="538" t="n">
        <v>66.67</v>
      </c>
      <c r="E6920" s="538" t="n">
        <v>85.8</v>
      </c>
    </row>
    <row r="6921">
      <c r="A6921" s="544" t="n">
        <v>38897</v>
      </c>
      <c r="B6921" s="538" t="n">
        <v>73.02</v>
      </c>
      <c r="C6921" s="538" t="n">
        <v>73.5</v>
      </c>
      <c r="D6921" s="538" t="n">
        <v>67.45</v>
      </c>
      <c r="E6921" s="538" t="n">
        <v>86.06</v>
      </c>
    </row>
    <row r="6922">
      <c r="A6922" s="544" t="n">
        <v>38898</v>
      </c>
      <c r="B6922" s="538" t="n">
        <v>73.2</v>
      </c>
      <c r="C6922" s="538" t="n">
        <v>73.94</v>
      </c>
      <c r="D6922" s="538" t="n">
        <v>67.79000000000001</v>
      </c>
      <c r="E6922" s="538" t="n">
        <v>87.25</v>
      </c>
    </row>
    <row r="6923">
      <c r="A6923" s="544" t="n">
        <v>38901</v>
      </c>
      <c r="B6923" s="538" t="n">
        <v>73.94</v>
      </c>
      <c r="C6923" s="538" t="n">
        <v>73.94</v>
      </c>
      <c r="D6923" s="538" t="n">
        <v>68.09</v>
      </c>
      <c r="E6923" s="538" t="n">
        <v>87.09999999999999</v>
      </c>
    </row>
    <row r="6924">
      <c r="A6924" s="544" t="n">
        <v>38902</v>
      </c>
      <c r="B6924" s="538" t="n">
        <v>73.17</v>
      </c>
      <c r="C6924" s="538" t="n">
        <v>73.94</v>
      </c>
      <c r="D6924" s="538" t="n">
        <v>67.98999999999999</v>
      </c>
      <c r="E6924" s="538" t="n">
        <v>87.59999999999999</v>
      </c>
    </row>
    <row r="6925">
      <c r="A6925" s="544" t="n">
        <v>38903</v>
      </c>
      <c r="B6925" s="538" t="n">
        <v>72.88</v>
      </c>
      <c r="C6925" s="538" t="n">
        <v>75.2</v>
      </c>
      <c r="D6925" s="538" t="n">
        <v>68.45</v>
      </c>
      <c r="E6925" s="538" t="n">
        <v>85.90000000000001</v>
      </c>
    </row>
    <row r="6926">
      <c r="A6926" s="544" t="n">
        <v>38904</v>
      </c>
      <c r="B6926" s="538" t="n">
        <v>73.12</v>
      </c>
      <c r="C6926" s="538" t="n">
        <v>75</v>
      </c>
      <c r="D6926" s="538" t="n">
        <v>68.2</v>
      </c>
      <c r="E6926" s="538" t="n">
        <v>87.2</v>
      </c>
    </row>
    <row r="6927">
      <c r="A6927" s="544" t="n">
        <v>38905</v>
      </c>
      <c r="B6927" s="538" t="n">
        <v>74.14</v>
      </c>
      <c r="C6927" s="538" t="n">
        <v>73.76000000000001</v>
      </c>
      <c r="D6927" s="538" t="n">
        <v>67.27</v>
      </c>
      <c r="E6927" s="538" t="n">
        <v>86.59999999999999</v>
      </c>
    </row>
    <row r="6928">
      <c r="A6928" s="544" t="n">
        <v>38908</v>
      </c>
      <c r="B6928" s="538" t="n">
        <v>72.39</v>
      </c>
      <c r="C6928" s="538" t="n">
        <v>73.5</v>
      </c>
      <c r="D6928" s="538" t="n">
        <v>66.91</v>
      </c>
      <c r="E6928" s="538" t="n">
        <v>85.59999999999999</v>
      </c>
    </row>
    <row r="6929">
      <c r="A6929" s="544" t="n">
        <v>38909</v>
      </c>
      <c r="B6929" s="538" t="n">
        <v>73.14</v>
      </c>
      <c r="C6929" s="538" t="n">
        <v>74.05</v>
      </c>
      <c r="D6929" s="538" t="n">
        <v>67.37</v>
      </c>
      <c r="E6929" s="538" t="n">
        <v>85.7</v>
      </c>
    </row>
    <row r="6930">
      <c r="A6930" s="544" t="n">
        <v>38910</v>
      </c>
      <c r="B6930" s="538" t="n">
        <v>73.04000000000001</v>
      </c>
      <c r="C6930" s="538" t="n">
        <v>74.98999999999999</v>
      </c>
      <c r="D6930" s="538" t="n">
        <v>69.67</v>
      </c>
      <c r="E6930" s="538" t="n">
        <v>86.40000000000001</v>
      </c>
    </row>
    <row r="6931">
      <c r="A6931" s="544" t="n">
        <v>38911</v>
      </c>
      <c r="B6931" s="538" t="n">
        <v>75.23</v>
      </c>
      <c r="C6931" s="538" t="n">
        <v>76.7</v>
      </c>
      <c r="D6931" s="538" t="n">
        <v>72.84</v>
      </c>
      <c r="E6931" s="538" t="n">
        <v>88.05</v>
      </c>
    </row>
    <row r="6932">
      <c r="A6932" s="544" t="n">
        <v>38912</v>
      </c>
      <c r="B6932" s="538" t="n">
        <v>76.13</v>
      </c>
      <c r="C6932" s="538" t="n">
        <v>76.8</v>
      </c>
      <c r="D6932" s="538" t="n">
        <v>71.18000000000001</v>
      </c>
      <c r="E6932" s="538" t="n">
        <v>90.3</v>
      </c>
    </row>
    <row r="6933">
      <c r="A6933" s="544" t="n">
        <v>38915</v>
      </c>
      <c r="B6933" s="538" t="n">
        <v>75.12</v>
      </c>
      <c r="C6933" s="538" t="n">
        <v>75.7</v>
      </c>
      <c r="D6933" s="538" t="n">
        <v>70.20999999999999</v>
      </c>
      <c r="E6933" s="538" t="n">
        <v>90.78</v>
      </c>
    </row>
    <row r="6934">
      <c r="A6934" s="544" t="n">
        <v>38916</v>
      </c>
      <c r="B6934" s="538" t="n">
        <v>75.31999999999999</v>
      </c>
      <c r="C6934" s="538" t="n">
        <v>73.87</v>
      </c>
      <c r="D6934" s="538" t="n">
        <v>69.13</v>
      </c>
      <c r="E6934" s="538" t="n">
        <v>89.3</v>
      </c>
    </row>
    <row r="6935">
      <c r="A6935" s="544" t="n">
        <v>38917</v>
      </c>
      <c r="B6935" s="538" t="n">
        <v>71.62</v>
      </c>
      <c r="C6935" s="538" t="n">
        <v>72.79000000000001</v>
      </c>
      <c r="D6935" s="538" t="n">
        <v>68.87</v>
      </c>
      <c r="E6935" s="538" t="n">
        <v>88.3</v>
      </c>
    </row>
    <row r="6936">
      <c r="A6936" s="544" t="n">
        <v>38918</v>
      </c>
      <c r="B6936" s="538" t="n">
        <v>72.56</v>
      </c>
      <c r="C6936" s="538" t="n">
        <v>74</v>
      </c>
      <c r="D6936" s="538" t="n">
        <v>68.31999999999999</v>
      </c>
      <c r="E6936" s="538" t="n">
        <v>87.59999999999999</v>
      </c>
    </row>
    <row r="6937">
      <c r="A6937" s="544" t="n">
        <v>38919</v>
      </c>
      <c r="B6937" s="538" t="n">
        <v>72.95999999999999</v>
      </c>
      <c r="C6937" s="538" t="n">
        <v>73.52</v>
      </c>
      <c r="D6937" s="538" t="n">
        <v>68.43000000000001</v>
      </c>
      <c r="E6937" s="538" t="n">
        <v>87.2</v>
      </c>
    </row>
    <row r="6938">
      <c r="A6938" s="544" t="n">
        <v>38922</v>
      </c>
      <c r="B6938" s="538" t="n">
        <v>72.09</v>
      </c>
      <c r="C6938" s="538" t="n">
        <v>74.29000000000001</v>
      </c>
      <c r="D6938" s="538" t="n">
        <v>69.38</v>
      </c>
      <c r="E6938" s="538" t="n">
        <v>86.59999999999999</v>
      </c>
    </row>
    <row r="6939">
      <c r="A6939" s="544" t="n">
        <v>38923</v>
      </c>
      <c r="B6939" s="538" t="n">
        <v>72.48999999999999</v>
      </c>
      <c r="C6939" s="538" t="n">
        <v>73.45999999999999</v>
      </c>
      <c r="D6939" s="538" t="n">
        <v>67.69</v>
      </c>
      <c r="E6939" s="538" t="n">
        <v>88.3</v>
      </c>
    </row>
    <row r="6940">
      <c r="A6940" s="544" t="n">
        <v>38924</v>
      </c>
      <c r="B6940" s="538" t="n">
        <v>73.76000000000001</v>
      </c>
      <c r="C6940" s="538" t="n">
        <v>73.81999999999999</v>
      </c>
      <c r="D6940" s="538" t="n">
        <v>68.65000000000001</v>
      </c>
      <c r="E6940" s="538" t="n">
        <v>87.2</v>
      </c>
    </row>
    <row r="6941">
      <c r="A6941" s="544" t="n">
        <v>38925</v>
      </c>
      <c r="B6941" s="538" t="n">
        <v>75.36</v>
      </c>
      <c r="C6941" s="538" t="n">
        <v>74.5</v>
      </c>
      <c r="D6941" s="538" t="n">
        <v>69.48</v>
      </c>
      <c r="E6941" s="538" t="n">
        <v>88.09999999999999</v>
      </c>
    </row>
    <row r="6942">
      <c r="A6942" s="544" t="n">
        <v>38926</v>
      </c>
      <c r="B6942" s="538" t="n">
        <v>73.95</v>
      </c>
      <c r="C6942" s="538" t="n">
        <v>73.3</v>
      </c>
      <c r="D6942" s="538" t="n">
        <v>67.59999999999999</v>
      </c>
      <c r="E6942" s="538" t="n">
        <v>88.40000000000001</v>
      </c>
    </row>
    <row r="6943">
      <c r="A6943" s="544" t="n">
        <v>38929</v>
      </c>
      <c r="B6943" s="538" t="n">
        <v>74.75</v>
      </c>
      <c r="C6943" s="538" t="n">
        <v>74.56</v>
      </c>
      <c r="D6943" s="538" t="n">
        <v>70.02</v>
      </c>
      <c r="E6943" s="538" t="n">
        <v>86.3</v>
      </c>
    </row>
    <row r="6944">
      <c r="A6944" s="544" t="n">
        <v>38930</v>
      </c>
      <c r="B6944" s="538" t="n">
        <v>76.39</v>
      </c>
      <c r="C6944" s="538" t="n">
        <v>74.93000000000001</v>
      </c>
      <c r="D6944" s="538" t="n">
        <v>69.26000000000001</v>
      </c>
      <c r="E6944" s="538" t="n">
        <v>87.5</v>
      </c>
    </row>
    <row r="6945">
      <c r="A6945" s="544" t="n">
        <v>38931</v>
      </c>
      <c r="B6945" s="538" t="n">
        <v>77.63</v>
      </c>
      <c r="C6945" s="538" t="n">
        <v>76.16</v>
      </c>
      <c r="D6945" s="538" t="n">
        <v>70.12</v>
      </c>
      <c r="E6945" s="538" t="n">
        <v>88.8</v>
      </c>
    </row>
    <row r="6946">
      <c r="A6946" s="544" t="n">
        <v>38932</v>
      </c>
      <c r="B6946" s="538" t="n">
        <v>76.28</v>
      </c>
      <c r="C6946" s="538" t="n">
        <v>75.59</v>
      </c>
      <c r="D6946" s="538" t="n">
        <v>69.13</v>
      </c>
      <c r="E6946" s="538" t="n">
        <v>89.95</v>
      </c>
    </row>
    <row r="6947">
      <c r="A6947" s="544" t="n">
        <v>38933</v>
      </c>
      <c r="B6947" s="538" t="n">
        <v>76.53</v>
      </c>
      <c r="C6947" s="538" t="n">
        <v>74.78</v>
      </c>
      <c r="D6947" s="538" t="n">
        <v>68.8</v>
      </c>
      <c r="E6947" s="538" t="n">
        <v>89.95</v>
      </c>
    </row>
    <row r="6948">
      <c r="A6948" s="544" t="n">
        <v>38936</v>
      </c>
      <c r="B6948" s="538" t="n">
        <v>77.81999999999999</v>
      </c>
      <c r="C6948" s="538" t="n">
        <v>77.05</v>
      </c>
      <c r="D6948" s="538" t="n">
        <v>70.84999999999999</v>
      </c>
      <c r="E6948" s="538" t="n">
        <v>89.95</v>
      </c>
    </row>
    <row r="6949">
      <c r="A6949" s="544" t="n">
        <v>38937</v>
      </c>
      <c r="B6949" s="538" t="n">
        <v>77.93000000000001</v>
      </c>
      <c r="C6949" s="538" t="n">
        <v>76.29000000000001</v>
      </c>
      <c r="D6949" s="538" t="n">
        <v>70.29000000000001</v>
      </c>
      <c r="E6949" s="538" t="n">
        <v>93.2</v>
      </c>
    </row>
    <row r="6950">
      <c r="A6950" s="544" t="n">
        <v>38938</v>
      </c>
      <c r="B6950" s="538" t="n">
        <v>78.26000000000001</v>
      </c>
      <c r="C6950" s="538" t="n">
        <v>76.28</v>
      </c>
      <c r="D6950" s="538" t="n">
        <v>70.02</v>
      </c>
      <c r="E6950" s="538" t="n">
        <v>93.2</v>
      </c>
    </row>
    <row r="6951">
      <c r="A6951" s="544" t="n">
        <v>38939</v>
      </c>
      <c r="B6951" s="538" t="n">
        <v>75.69</v>
      </c>
      <c r="C6951" s="538" t="n">
        <v>74.17</v>
      </c>
      <c r="D6951" s="538" t="n">
        <v>69.42</v>
      </c>
      <c r="E6951" s="538" t="n">
        <v>91.09999999999999</v>
      </c>
    </row>
    <row r="6952">
      <c r="A6952" s="544" t="n">
        <v>38940</v>
      </c>
      <c r="B6952" s="538" t="n">
        <v>75.19</v>
      </c>
      <c r="C6952" s="538" t="n">
        <v>74.38</v>
      </c>
      <c r="D6952" s="538" t="n">
        <v>70.33</v>
      </c>
      <c r="E6952" s="538" t="n">
        <v>89.2</v>
      </c>
    </row>
    <row r="6953">
      <c r="A6953" s="544" t="n">
        <v>38943</v>
      </c>
      <c r="B6953" s="538" t="n">
        <v>73.78</v>
      </c>
      <c r="C6953" s="538" t="n">
        <v>73.33</v>
      </c>
      <c r="D6953" s="538" t="n">
        <v>69.28</v>
      </c>
      <c r="E6953" s="538" t="n">
        <v>88.25</v>
      </c>
    </row>
    <row r="6954">
      <c r="A6954" s="544" t="n">
        <v>38944</v>
      </c>
      <c r="B6954" s="538" t="n">
        <v>73.56999999999999</v>
      </c>
      <c r="C6954" s="538" t="n">
        <v>72.95</v>
      </c>
      <c r="D6954" s="538" t="n">
        <v>68.58</v>
      </c>
      <c r="E6954" s="538" t="n">
        <v>89.13</v>
      </c>
    </row>
    <row r="6955">
      <c r="A6955" s="544" t="n">
        <v>38945</v>
      </c>
      <c r="B6955" s="538" t="n">
        <v>72.67</v>
      </c>
      <c r="C6955" s="538" t="n">
        <v>71.64</v>
      </c>
      <c r="D6955" s="538" t="n">
        <v>67.81999999999999</v>
      </c>
      <c r="E6955" s="538" t="n">
        <v>89.54000000000001</v>
      </c>
    </row>
    <row r="6956">
      <c r="A6956" s="544" t="n">
        <v>38946</v>
      </c>
      <c r="B6956" s="538" t="n">
        <v>70.42</v>
      </c>
      <c r="C6956" s="538" t="n">
        <v>70.12</v>
      </c>
      <c r="D6956" s="538" t="n">
        <v>67.37</v>
      </c>
      <c r="E6956" s="538" t="n">
        <v>87.8</v>
      </c>
    </row>
    <row r="6957">
      <c r="A6957" s="544" t="n">
        <v>38947</v>
      </c>
      <c r="B6957" s="538" t="n">
        <v>71.3</v>
      </c>
      <c r="C6957" s="538" t="n">
        <v>70.93000000000001</v>
      </c>
      <c r="D6957" s="538" t="n">
        <v>67.37</v>
      </c>
      <c r="E6957" s="538" t="n">
        <v>87.83</v>
      </c>
    </row>
    <row r="6958">
      <c r="A6958" s="544" t="n">
        <v>38950</v>
      </c>
      <c r="B6958" s="538" t="n">
        <v>72.42</v>
      </c>
      <c r="C6958" s="538" t="n">
        <v>72.45</v>
      </c>
      <c r="D6958" s="538" t="n">
        <v>68.29000000000001</v>
      </c>
      <c r="E6958" s="538" t="n">
        <v>89.34</v>
      </c>
    </row>
    <row r="6959">
      <c r="A6959" s="544" t="n">
        <v>38951</v>
      </c>
      <c r="B6959" s="538" t="n">
        <v>72.06</v>
      </c>
      <c r="C6959" s="538" t="n">
        <v>72.55</v>
      </c>
      <c r="D6959" s="538" t="n">
        <v>68.12</v>
      </c>
      <c r="E6959" s="538" t="n">
        <v>89.56999999999999</v>
      </c>
    </row>
    <row r="6960">
      <c r="A6960" s="544" t="n">
        <v>38952</v>
      </c>
      <c r="B6960" s="538" t="n">
        <v>71.12</v>
      </c>
      <c r="C6960" s="538" t="n">
        <v>71.45</v>
      </c>
      <c r="D6960" s="538" t="n">
        <v>67.01000000000001</v>
      </c>
      <c r="E6960" s="538" t="n">
        <v>90.14</v>
      </c>
    </row>
    <row r="6961">
      <c r="A6961" s="544" t="n">
        <v>38953</v>
      </c>
      <c r="B6961" s="538" t="n">
        <v>71.40000000000001</v>
      </c>
      <c r="C6961" s="538" t="n">
        <v>72.02</v>
      </c>
      <c r="D6961" s="538" t="n">
        <v>68.42</v>
      </c>
      <c r="E6961" s="538" t="n">
        <v>88.83</v>
      </c>
    </row>
    <row r="6962">
      <c r="A6962" s="544" t="n">
        <v>38954</v>
      </c>
      <c r="B6962" s="538" t="n">
        <v>72.58</v>
      </c>
      <c r="C6962" s="538" t="n">
        <v>72.13</v>
      </c>
      <c r="D6962" s="538" t="n">
        <v>67.73999999999999</v>
      </c>
      <c r="E6962" s="538" t="n">
        <v>90.93000000000001</v>
      </c>
    </row>
    <row r="6963">
      <c r="A6963" s="544" t="n">
        <v>38957</v>
      </c>
      <c r="B6963" s="538" t="n">
        <v>69.44</v>
      </c>
      <c r="C6963" s="538" t="n">
        <v>70.47</v>
      </c>
      <c r="D6963" s="538" t="n">
        <v>65.91</v>
      </c>
      <c r="E6963" s="538" t="n">
        <v>88.15000000000001</v>
      </c>
    </row>
    <row r="6964">
      <c r="A6964" s="544" t="n">
        <v>38958</v>
      </c>
      <c r="B6964" s="538" t="n">
        <v>67.01000000000001</v>
      </c>
      <c r="C6964" s="538" t="n">
        <v>69.73999999999999</v>
      </c>
      <c r="D6964" s="538" t="n">
        <v>65.48</v>
      </c>
      <c r="E6964" s="538" t="n">
        <v>88.28</v>
      </c>
    </row>
    <row r="6965">
      <c r="A6965" s="544" t="n">
        <v>38959</v>
      </c>
      <c r="B6965" s="538" t="n">
        <v>67.15000000000001</v>
      </c>
      <c r="C6965" s="538" t="n">
        <v>70.2</v>
      </c>
      <c r="D6965" s="538" t="n">
        <v>66.31</v>
      </c>
      <c r="E6965" s="538" t="n">
        <v>88.20999999999999</v>
      </c>
    </row>
    <row r="6966">
      <c r="A6966" s="544" t="n">
        <v>38960</v>
      </c>
      <c r="B6966" s="538" t="n">
        <v>67.66</v>
      </c>
      <c r="C6966" s="538" t="n">
        <v>70.38</v>
      </c>
      <c r="D6966" s="538" t="n">
        <v>65.84999999999999</v>
      </c>
      <c r="E6966" s="538" t="n">
        <v>88.8</v>
      </c>
    </row>
    <row r="6967">
      <c r="A6967" s="544" t="n">
        <v>38961</v>
      </c>
      <c r="B6967" s="538" t="n">
        <v>70.48999999999999</v>
      </c>
      <c r="C6967" s="538" t="n">
        <v>69.23999999999999</v>
      </c>
      <c r="D6967" s="538" t="n">
        <v>64.08</v>
      </c>
      <c r="E6967" s="538" t="n">
        <v>88.55</v>
      </c>
    </row>
    <row r="6968">
      <c r="A6968" s="544" t="n">
        <v>38964</v>
      </c>
      <c r="B6968" s="538" t="n">
        <v>68.62</v>
      </c>
      <c r="C6968" s="538" t="n">
        <v>69.23999999999999</v>
      </c>
      <c r="D6968" s="538" t="n">
        <v>63.51</v>
      </c>
      <c r="E6968" s="538" t="n">
        <v>88.52</v>
      </c>
    </row>
    <row r="6969">
      <c r="A6969" s="544" t="n">
        <v>38965</v>
      </c>
      <c r="B6969" s="538" t="n">
        <v>65.94</v>
      </c>
      <c r="C6969" s="538" t="n">
        <v>68.7</v>
      </c>
      <c r="D6969" s="538" t="n">
        <v>63.12</v>
      </c>
      <c r="E6969" s="538" t="n">
        <v>87.84999999999999</v>
      </c>
    </row>
    <row r="6970">
      <c r="A6970" s="544" t="n">
        <v>38966</v>
      </c>
      <c r="B6970" s="538" t="n">
        <v>65.41</v>
      </c>
      <c r="C6970" s="538" t="n">
        <v>67.75</v>
      </c>
      <c r="D6970" s="538" t="n">
        <v>62.22</v>
      </c>
      <c r="E6970" s="538" t="n">
        <v>87.75</v>
      </c>
    </row>
    <row r="6971">
      <c r="A6971" s="544" t="n">
        <v>38967</v>
      </c>
      <c r="B6971" s="538" t="n">
        <v>64.52</v>
      </c>
      <c r="C6971" s="538" t="n">
        <v>67.37</v>
      </c>
      <c r="D6971" s="538" t="n">
        <v>61.6</v>
      </c>
      <c r="E6971" s="538" t="n">
        <v>86.27</v>
      </c>
    </row>
    <row r="6972">
      <c r="A6972" s="544" t="n">
        <v>38968</v>
      </c>
      <c r="B6972" s="538" t="n">
        <v>64.3</v>
      </c>
      <c r="C6972" s="538" t="n">
        <v>66.3</v>
      </c>
      <c r="D6972" s="538" t="n">
        <v>60.74</v>
      </c>
      <c r="E6972" s="538" t="n">
        <v>85</v>
      </c>
    </row>
    <row r="6973">
      <c r="A6973" s="544" t="n">
        <v>38971</v>
      </c>
      <c r="B6973" s="538" t="n">
        <v>62.41</v>
      </c>
      <c r="C6973" s="538" t="n">
        <v>65.42</v>
      </c>
      <c r="D6973" s="538" t="n">
        <v>60.1</v>
      </c>
      <c r="E6973" s="538" t="n">
        <v>82.04000000000001</v>
      </c>
    </row>
    <row r="6974">
      <c r="A6974" s="544" t="n">
        <v>38972</v>
      </c>
      <c r="B6974" s="538" t="n">
        <v>62.23</v>
      </c>
      <c r="C6974" s="538" t="n">
        <v>63.81</v>
      </c>
      <c r="D6974" s="538" t="n">
        <v>59.53</v>
      </c>
      <c r="E6974" s="538" t="n">
        <v>82</v>
      </c>
    </row>
    <row r="6975">
      <c r="A6975" s="544" t="n">
        <v>38973</v>
      </c>
      <c r="B6975" s="538" t="n">
        <v>61.28</v>
      </c>
      <c r="C6975" s="538" t="n">
        <v>64.09</v>
      </c>
      <c r="D6975" s="538" t="n">
        <v>59.75</v>
      </c>
      <c r="E6975" s="538" t="n">
        <v>79.55</v>
      </c>
    </row>
    <row r="6976">
      <c r="A6976" s="544" t="n">
        <v>38974</v>
      </c>
      <c r="B6976" s="538" t="n">
        <v>60.75</v>
      </c>
      <c r="C6976" s="538" t="n">
        <v>63.27</v>
      </c>
      <c r="D6976" s="538" t="n">
        <v>58.92</v>
      </c>
      <c r="E6976" s="538" t="n">
        <v>80.43000000000001</v>
      </c>
    </row>
    <row r="6977">
      <c r="A6977" s="544" t="n">
        <v>38975</v>
      </c>
      <c r="B6977" s="538" t="n">
        <v>60.23</v>
      </c>
      <c r="C6977" s="538" t="n">
        <v>63.3</v>
      </c>
      <c r="D6977" s="538" t="n">
        <v>59.13</v>
      </c>
      <c r="E6977" s="538" t="n">
        <v>79.63</v>
      </c>
    </row>
    <row r="6978">
      <c r="A6978" s="544" t="n">
        <v>38978</v>
      </c>
      <c r="B6978" s="538" t="n">
        <v>61.47</v>
      </c>
      <c r="C6978" s="538" t="n">
        <v>63.84</v>
      </c>
      <c r="D6978" s="538" t="n">
        <v>59.82</v>
      </c>
      <c r="E6978" s="538" t="n">
        <v>78.73</v>
      </c>
    </row>
    <row r="6979">
      <c r="A6979" s="544" t="n">
        <v>38979</v>
      </c>
      <c r="B6979" s="538" t="n">
        <v>62.52</v>
      </c>
      <c r="C6979" s="538" t="n">
        <v>61.77</v>
      </c>
      <c r="D6979" s="538" t="n">
        <v>57.31</v>
      </c>
      <c r="E6979" s="538" t="n">
        <v>80.08</v>
      </c>
    </row>
    <row r="6980">
      <c r="A6980" s="544" t="n">
        <v>38980</v>
      </c>
      <c r="B6980" s="538" t="n">
        <v>59.09</v>
      </c>
      <c r="C6980" s="538" t="n">
        <v>60</v>
      </c>
      <c r="D6980" s="538" t="n">
        <v>55</v>
      </c>
      <c r="E6980" s="538" t="n">
        <v>77.20999999999999</v>
      </c>
    </row>
    <row r="6981">
      <c r="A6981" s="544" t="n">
        <v>38981</v>
      </c>
      <c r="B6981" s="538" t="n">
        <v>59.27</v>
      </c>
      <c r="C6981" s="538" t="n">
        <v>61.62</v>
      </c>
      <c r="D6981" s="538" t="n">
        <v>56.91</v>
      </c>
      <c r="E6981" s="538" t="n">
        <v>75.79000000000001</v>
      </c>
    </row>
    <row r="6982">
      <c r="A6982" s="544" t="n">
        <v>38982</v>
      </c>
      <c r="B6982" s="538" t="n">
        <v>58.81</v>
      </c>
      <c r="C6982" s="538" t="n">
        <v>59.79</v>
      </c>
      <c r="D6982" s="538" t="n">
        <v>55.37</v>
      </c>
      <c r="E6982" s="538" t="n">
        <v>76.23</v>
      </c>
    </row>
    <row r="6983">
      <c r="A6983" s="544" t="n">
        <v>38985</v>
      </c>
      <c r="B6983" s="538" t="n">
        <v>57.89</v>
      </c>
      <c r="C6983" s="538" t="n">
        <v>60.74</v>
      </c>
      <c r="D6983" s="538" t="n">
        <v>60.88</v>
      </c>
      <c r="E6983" s="538" t="n">
        <v>74</v>
      </c>
    </row>
    <row r="6984">
      <c r="A6984" s="544" t="n">
        <v>38986</v>
      </c>
      <c r="B6984" s="538" t="n">
        <v>58.53</v>
      </c>
      <c r="C6984" s="538" t="n">
        <v>60.63</v>
      </c>
      <c r="D6984" s="538" t="n">
        <v>55.91</v>
      </c>
      <c r="E6984" s="538" t="n">
        <v>75.2</v>
      </c>
    </row>
    <row r="6985">
      <c r="A6985" s="544" t="n">
        <v>38987</v>
      </c>
      <c r="B6985" s="538" t="n">
        <v>57.6</v>
      </c>
      <c r="C6985" s="538" t="n">
        <v>62.96</v>
      </c>
      <c r="D6985" s="538" t="n">
        <v>58.19</v>
      </c>
      <c r="E6985" s="538" t="n">
        <v>75.01000000000001</v>
      </c>
    </row>
    <row r="6986">
      <c r="A6986" s="544" t="n">
        <v>38988</v>
      </c>
      <c r="B6986" s="538" t="n">
        <v>60.68</v>
      </c>
      <c r="C6986" s="538" t="n">
        <v>62.46</v>
      </c>
      <c r="D6986" s="538" t="n">
        <v>57.99</v>
      </c>
      <c r="E6986" s="538" t="n">
        <v>76.81999999999999</v>
      </c>
    </row>
    <row r="6987">
      <c r="A6987" s="544" t="n">
        <v>38989</v>
      </c>
      <c r="B6987" s="538" t="n">
        <v>59.09</v>
      </c>
      <c r="C6987" s="538" t="n">
        <v>62.9</v>
      </c>
      <c r="D6987" s="538" t="n">
        <v>58.11</v>
      </c>
      <c r="E6987" s="538" t="n">
        <v>77</v>
      </c>
    </row>
    <row r="6988">
      <c r="A6988" s="544" t="n">
        <v>38992</v>
      </c>
      <c r="B6988" s="538" t="n">
        <v>58.8</v>
      </c>
      <c r="C6988" s="538" t="n">
        <v>60.96</v>
      </c>
      <c r="D6988" s="538" t="n">
        <v>55.81</v>
      </c>
      <c r="E6988" s="538" t="n">
        <v>77.2</v>
      </c>
    </row>
    <row r="6989">
      <c r="A6989" s="544" t="n">
        <v>38993</v>
      </c>
      <c r="B6989" s="538" t="n">
        <v>56.28</v>
      </c>
      <c r="C6989" s="538" t="n">
        <v>58.64</v>
      </c>
      <c r="D6989" s="538" t="n">
        <v>54.04</v>
      </c>
      <c r="E6989" s="538" t="n">
        <v>74.2</v>
      </c>
    </row>
    <row r="6990">
      <c r="A6990" s="544" t="n">
        <v>38994</v>
      </c>
      <c r="B6990" s="538" t="n">
        <v>55.82</v>
      </c>
      <c r="C6990" s="538" t="n">
        <v>59.53</v>
      </c>
      <c r="D6990" s="538" t="n">
        <v>55.22</v>
      </c>
      <c r="E6990" s="538" t="n">
        <v>73.8</v>
      </c>
    </row>
    <row r="6991">
      <c r="A6991" s="544" t="n">
        <v>38995</v>
      </c>
      <c r="B6991" s="538" t="n">
        <v>57.93</v>
      </c>
      <c r="C6991" s="538" t="n">
        <v>60.02</v>
      </c>
      <c r="D6991" s="538" t="n">
        <v>55.49</v>
      </c>
      <c r="E6991" s="538" t="n">
        <v>74.8</v>
      </c>
    </row>
    <row r="6992">
      <c r="A6992" s="544" t="n">
        <v>38996</v>
      </c>
      <c r="B6992" s="538" t="n">
        <v>56.9</v>
      </c>
      <c r="C6992" s="538" t="n">
        <v>59.68</v>
      </c>
      <c r="D6992" s="538" t="n">
        <v>55.31</v>
      </c>
      <c r="E6992" s="538" t="n">
        <v>73.8</v>
      </c>
    </row>
    <row r="6993">
      <c r="A6993" s="544" t="n">
        <v>38999</v>
      </c>
      <c r="B6993" s="538" t="n">
        <v>59.25</v>
      </c>
      <c r="C6993" s="538" t="n">
        <v>59.93</v>
      </c>
      <c r="D6993" s="538" t="n">
        <v>55.47</v>
      </c>
      <c r="E6993" s="538" t="n">
        <v>74.97</v>
      </c>
    </row>
    <row r="6994">
      <c r="A6994" s="544" t="n">
        <v>39000</v>
      </c>
      <c r="B6994" s="538" t="n">
        <v>57.8</v>
      </c>
      <c r="C6994" s="538" t="n">
        <v>58.5</v>
      </c>
      <c r="D6994" s="538" t="n">
        <v>53.92</v>
      </c>
      <c r="E6994" s="538" t="n">
        <v>75.77</v>
      </c>
    </row>
    <row r="6995">
      <c r="A6995" s="544" t="n">
        <v>39001</v>
      </c>
      <c r="B6995" s="538" t="n">
        <v>57.75</v>
      </c>
      <c r="C6995" s="538" t="n">
        <v>57.56</v>
      </c>
      <c r="D6995" s="538" t="n">
        <v>53.2</v>
      </c>
      <c r="E6995" s="538" t="n">
        <v>73.23999999999999</v>
      </c>
    </row>
    <row r="6996">
      <c r="A6996" s="544" t="n">
        <v>39002</v>
      </c>
      <c r="B6996" s="538" t="n">
        <v>57.87</v>
      </c>
      <c r="C6996" s="538" t="n">
        <v>58.23</v>
      </c>
      <c r="D6996" s="538" t="n">
        <v>54.34</v>
      </c>
      <c r="E6996" s="538" t="n">
        <v>73.40000000000001</v>
      </c>
    </row>
    <row r="6997">
      <c r="A6997" s="544" t="n">
        <v>39003</v>
      </c>
      <c r="B6997" s="538" t="n">
        <v>58.97</v>
      </c>
      <c r="C6997" s="538" t="n">
        <v>58.69</v>
      </c>
      <c r="D6997" s="538" t="n">
        <v>56.42</v>
      </c>
      <c r="E6997" s="538" t="n">
        <v>74.42</v>
      </c>
    </row>
    <row r="6998">
      <c r="A6998" s="544" t="n">
        <v>39006</v>
      </c>
      <c r="B6998" s="538" t="n">
        <v>58.22</v>
      </c>
      <c r="C6998" s="538" t="n">
        <v>59.91</v>
      </c>
      <c r="D6998" s="538" t="n">
        <v>57.4</v>
      </c>
      <c r="E6998" s="538" t="n">
        <v>75.44</v>
      </c>
    </row>
    <row r="6999">
      <c r="A6999" s="544" t="n">
        <v>39007</v>
      </c>
      <c r="B6999" s="538" t="n">
        <v>60.13</v>
      </c>
      <c r="C6999" s="538" t="n">
        <v>58.91</v>
      </c>
      <c r="D6999" s="538" t="n">
        <v>56.8</v>
      </c>
      <c r="E6999" s="538" t="n">
        <v>74.98999999999999</v>
      </c>
    </row>
    <row r="7000">
      <c r="A7000" s="544" t="n">
        <v>39008</v>
      </c>
      <c r="B7000" s="538" t="n">
        <v>58.51</v>
      </c>
      <c r="C7000" s="538" t="n">
        <v>57.66</v>
      </c>
      <c r="D7000" s="538" t="n">
        <v>55.83</v>
      </c>
      <c r="E7000" s="538" t="n">
        <v>73.42</v>
      </c>
    </row>
    <row r="7001">
      <c r="A7001" s="544" t="n">
        <v>39009</v>
      </c>
      <c r="B7001" s="538" t="n">
        <v>57.74</v>
      </c>
      <c r="C7001" s="538" t="n">
        <v>58.55</v>
      </c>
      <c r="D7001" s="538" t="n">
        <v>57.3</v>
      </c>
      <c r="E7001" s="538" t="n">
        <v>73.17</v>
      </c>
    </row>
    <row r="7002">
      <c r="A7002" s="544" t="n">
        <v>39010</v>
      </c>
      <c r="B7002" s="538" t="n">
        <v>57.94</v>
      </c>
      <c r="C7002" s="538" t="n">
        <v>57.35</v>
      </c>
      <c r="D7002" s="538" t="n">
        <v>55.82</v>
      </c>
      <c r="E7002" s="538" t="n">
        <v>74.23999999999999</v>
      </c>
    </row>
    <row r="7003">
      <c r="A7003" s="544" t="n">
        <v>39013</v>
      </c>
      <c r="B7003" s="538" t="n">
        <v>56.56</v>
      </c>
      <c r="C7003" s="538" t="n">
        <v>56.74</v>
      </c>
      <c r="D7003" s="538" t="n">
        <v>55.57</v>
      </c>
      <c r="E7003" s="538" t="n">
        <v>71.73</v>
      </c>
    </row>
    <row r="7004">
      <c r="A7004" s="544" t="n">
        <v>39014</v>
      </c>
      <c r="B7004" s="538" t="n">
        <v>56.56</v>
      </c>
      <c r="C7004" s="538" t="n">
        <v>57.55</v>
      </c>
      <c r="D7004" s="538" t="n">
        <v>56.32</v>
      </c>
      <c r="E7004" s="538" t="n">
        <v>71.73</v>
      </c>
    </row>
    <row r="7005">
      <c r="A7005" s="544" t="n">
        <v>39015</v>
      </c>
      <c r="B7005" s="538" t="n">
        <v>58.79</v>
      </c>
      <c r="C7005" s="538" t="n">
        <v>59.09</v>
      </c>
      <c r="D7005" s="538" t="n">
        <v>58.3</v>
      </c>
      <c r="E7005" s="538" t="n">
        <v>73.31</v>
      </c>
    </row>
    <row r="7006">
      <c r="A7006" s="544" t="n">
        <v>39016</v>
      </c>
      <c r="B7006" s="538" t="n">
        <v>58.76</v>
      </c>
      <c r="C7006" s="538" t="n">
        <v>60.27</v>
      </c>
      <c r="D7006" s="538" t="n">
        <v>56.57</v>
      </c>
      <c r="E7006" s="538" t="n">
        <v>74.56</v>
      </c>
    </row>
    <row r="7007">
      <c r="A7007" s="544" t="n">
        <v>39017</v>
      </c>
      <c r="B7007" s="538" t="n">
        <v>57.99</v>
      </c>
      <c r="C7007" s="538" t="n">
        <v>60.75</v>
      </c>
      <c r="D7007" s="538" t="n">
        <v>57.31</v>
      </c>
      <c r="E7007" s="538" t="n">
        <v>72.75</v>
      </c>
    </row>
    <row r="7008">
      <c r="A7008" s="544" t="n">
        <v>39020</v>
      </c>
      <c r="B7008" s="538" t="n">
        <v>57.08</v>
      </c>
      <c r="C7008" s="538" t="n">
        <v>58.41</v>
      </c>
      <c r="D7008" s="538" t="n">
        <v>55.01</v>
      </c>
      <c r="E7008" s="538" t="n">
        <v>73.29000000000001</v>
      </c>
    </row>
    <row r="7009">
      <c r="A7009" s="544" t="n">
        <v>39021</v>
      </c>
      <c r="B7009" s="538" t="n">
        <v>56.13</v>
      </c>
      <c r="C7009" s="538" t="n">
        <v>58.72</v>
      </c>
      <c r="D7009" s="538" t="n">
        <v>55.3</v>
      </c>
      <c r="E7009" s="538" t="n">
        <v>71.11</v>
      </c>
    </row>
    <row r="7010">
      <c r="A7010" s="544" t="n">
        <v>39022</v>
      </c>
      <c r="B7010" s="538" t="n">
        <v>56.37</v>
      </c>
      <c r="C7010" s="538" t="n">
        <v>58.64</v>
      </c>
      <c r="D7010" s="538" t="n">
        <v>54.27</v>
      </c>
      <c r="E7010" s="538" t="n">
        <v>71.94</v>
      </c>
    </row>
    <row r="7011">
      <c r="A7011" s="544" t="n">
        <v>39023</v>
      </c>
      <c r="B7011" s="538" t="n">
        <v>56.26</v>
      </c>
      <c r="C7011" s="538" t="n">
        <v>57.87</v>
      </c>
      <c r="D7011" s="538" t="n">
        <v>53.26</v>
      </c>
      <c r="E7011" s="538" t="n">
        <v>71.53</v>
      </c>
    </row>
    <row r="7012">
      <c r="A7012" s="544" t="n">
        <v>39024</v>
      </c>
      <c r="B7012" s="538" t="n">
        <v>56.55</v>
      </c>
      <c r="C7012" s="538" t="n">
        <v>59.13</v>
      </c>
      <c r="D7012" s="538" t="n">
        <v>54.96</v>
      </c>
      <c r="E7012" s="538" t="n">
        <v>70.54000000000001</v>
      </c>
    </row>
    <row r="7013">
      <c r="A7013" s="544" t="n">
        <v>39027</v>
      </c>
      <c r="B7013" s="538" t="n">
        <v>57.02</v>
      </c>
      <c r="C7013" s="538" t="n">
        <v>60.11</v>
      </c>
      <c r="D7013" s="538" t="n">
        <v>55.66</v>
      </c>
      <c r="E7013" s="538" t="n">
        <v>71.65000000000001</v>
      </c>
    </row>
    <row r="7014">
      <c r="A7014" s="544" t="n">
        <v>39028</v>
      </c>
      <c r="B7014" s="538" t="n">
        <v>56.99</v>
      </c>
      <c r="C7014" s="538" t="n">
        <v>58.94</v>
      </c>
      <c r="D7014" s="538" t="n">
        <v>54.9</v>
      </c>
      <c r="E7014" s="538" t="n">
        <v>73.58</v>
      </c>
    </row>
    <row r="7015">
      <c r="A7015" s="544" t="n">
        <v>39029</v>
      </c>
      <c r="B7015" s="538" t="n">
        <v>57.18</v>
      </c>
      <c r="C7015" s="538" t="n">
        <v>59.93</v>
      </c>
      <c r="D7015" s="538" t="n">
        <v>55.75</v>
      </c>
      <c r="E7015" s="538" t="n">
        <v>71.83</v>
      </c>
    </row>
    <row r="7016">
      <c r="A7016" s="544" t="n">
        <v>39030</v>
      </c>
      <c r="B7016" s="538" t="n">
        <v>59.72</v>
      </c>
      <c r="C7016" s="538" t="n">
        <v>61.18</v>
      </c>
      <c r="D7016" s="538" t="n">
        <v>56.77</v>
      </c>
      <c r="E7016" s="538" t="n">
        <v>73.72</v>
      </c>
    </row>
    <row r="7017">
      <c r="A7017" s="544" t="n">
        <v>39031</v>
      </c>
      <c r="B7017" s="538" t="n">
        <v>59.18</v>
      </c>
      <c r="C7017" s="538" t="n">
        <v>59.66</v>
      </c>
      <c r="D7017" s="538" t="n">
        <v>55.11</v>
      </c>
      <c r="E7017" s="538" t="n">
        <v>74.84999999999999</v>
      </c>
    </row>
    <row r="7018">
      <c r="A7018" s="544" t="n">
        <v>39034</v>
      </c>
      <c r="B7018" s="538" t="n">
        <v>56.88</v>
      </c>
      <c r="C7018" s="538" t="n">
        <v>58.59</v>
      </c>
      <c r="D7018" s="538" t="n">
        <v>56.68</v>
      </c>
      <c r="E7018" s="538" t="n">
        <v>73.39</v>
      </c>
    </row>
    <row r="7019">
      <c r="A7019" s="544" t="n">
        <v>39035</v>
      </c>
      <c r="B7019" s="538" t="n">
        <v>57.9</v>
      </c>
      <c r="C7019" s="538" t="n">
        <v>58.28</v>
      </c>
      <c r="D7019" s="538" t="n">
        <v>56.46</v>
      </c>
      <c r="E7019" s="538" t="n">
        <v>72.95</v>
      </c>
    </row>
    <row r="7020">
      <c r="A7020" s="544" t="n">
        <v>39036</v>
      </c>
      <c r="B7020" s="538" t="n">
        <v>57.97</v>
      </c>
      <c r="C7020" s="538" t="n">
        <v>58.79</v>
      </c>
      <c r="D7020" s="538" t="n">
        <v>56.84</v>
      </c>
      <c r="E7020" s="538" t="n">
        <v>73.90000000000001</v>
      </c>
    </row>
    <row r="7021">
      <c r="A7021" s="544" t="n">
        <v>39037</v>
      </c>
      <c r="B7021" s="538" t="n">
        <v>59.5</v>
      </c>
      <c r="C7021" s="538" t="n">
        <v>56.23</v>
      </c>
      <c r="D7021" s="538" t="n">
        <v>54.82</v>
      </c>
      <c r="E7021" s="538" t="n">
        <v>74.17</v>
      </c>
    </row>
    <row r="7022">
      <c r="A7022" s="544" t="n">
        <v>39038</v>
      </c>
      <c r="B7022" s="538" t="n">
        <v>57.01</v>
      </c>
      <c r="C7022" s="538" t="n">
        <v>55.9</v>
      </c>
      <c r="D7022" s="538" t="n">
        <v>55.72</v>
      </c>
      <c r="E7022" s="538" t="n">
        <v>73.33</v>
      </c>
    </row>
    <row r="7023">
      <c r="A7023" s="544" t="n">
        <v>39041</v>
      </c>
      <c r="B7023" s="538" t="n">
        <v>57.38</v>
      </c>
      <c r="C7023" s="538" t="n">
        <v>56.42</v>
      </c>
      <c r="D7023" s="538" t="n">
        <v>55.73</v>
      </c>
      <c r="E7023" s="538" t="n">
        <v>72.8</v>
      </c>
    </row>
    <row r="7024">
      <c r="A7024" s="544" t="n">
        <v>39042</v>
      </c>
      <c r="B7024" s="538" t="n">
        <v>59.53</v>
      </c>
      <c r="C7024" s="538" t="n">
        <v>58.01</v>
      </c>
      <c r="D7024" s="538" t="n">
        <v>56.85</v>
      </c>
      <c r="E7024" s="538" t="n">
        <v>73.79000000000001</v>
      </c>
    </row>
    <row r="7025">
      <c r="A7025" s="544" t="n">
        <v>39043</v>
      </c>
      <c r="B7025" s="538" t="n">
        <v>58.66</v>
      </c>
      <c r="C7025" s="538" t="n">
        <v>57.28</v>
      </c>
      <c r="D7025" s="538" t="n">
        <v>56.08</v>
      </c>
      <c r="E7025" s="538" t="n">
        <v>74.87</v>
      </c>
    </row>
    <row r="7026">
      <c r="A7026" s="544" t="n">
        <v>39044</v>
      </c>
      <c r="B7026" s="538" t="n">
        <v>59.7</v>
      </c>
      <c r="C7026" s="538" t="n">
        <v>57.28</v>
      </c>
      <c r="D7026" s="538" t="n">
        <v>55.85</v>
      </c>
      <c r="E7026" s="538" t="n">
        <v>74.40000000000001</v>
      </c>
    </row>
    <row r="7027">
      <c r="A7027" s="544" t="n">
        <v>39045</v>
      </c>
      <c r="B7027" s="538" t="n">
        <v>60.72</v>
      </c>
      <c r="C7027" s="538" t="n">
        <v>57.28</v>
      </c>
      <c r="D7027" s="538" t="n">
        <v>56.83</v>
      </c>
      <c r="E7027" s="538" t="n">
        <v>74.2</v>
      </c>
    </row>
    <row r="7028">
      <c r="A7028" s="544" t="n">
        <v>39048</v>
      </c>
      <c r="B7028" s="538" t="n">
        <v>60.52</v>
      </c>
      <c r="C7028" s="538" t="n">
        <v>60.3</v>
      </c>
      <c r="D7028" s="538" t="n">
        <v>57.07</v>
      </c>
      <c r="E7028" s="538" t="n">
        <v>75.09999999999999</v>
      </c>
    </row>
    <row r="7029">
      <c r="A7029" s="544" t="n">
        <v>39049</v>
      </c>
      <c r="B7029" s="538" t="n">
        <v>61.22</v>
      </c>
      <c r="C7029" s="538" t="n">
        <v>60.97</v>
      </c>
      <c r="D7029" s="538" t="n">
        <v>57.66</v>
      </c>
      <c r="E7029" s="538" t="n">
        <v>75.55</v>
      </c>
    </row>
    <row r="7030">
      <c r="A7030" s="544" t="n">
        <v>39050</v>
      </c>
      <c r="B7030" s="538" t="n">
        <v>62.13</v>
      </c>
      <c r="C7030" s="538" t="n">
        <v>62.45</v>
      </c>
      <c r="D7030" s="538" t="n">
        <v>59.19</v>
      </c>
      <c r="E7030" s="538" t="n">
        <v>76.11</v>
      </c>
    </row>
    <row r="7031">
      <c r="A7031" s="544" t="n">
        <v>39051</v>
      </c>
      <c r="B7031" s="538" t="n">
        <v>64.36</v>
      </c>
      <c r="C7031" s="538" t="n">
        <v>62.97</v>
      </c>
      <c r="D7031" s="538" t="n">
        <v>59.75</v>
      </c>
      <c r="E7031" s="538" t="n">
        <v>78.13</v>
      </c>
    </row>
    <row r="7032">
      <c r="A7032" s="544" t="n">
        <v>39052</v>
      </c>
      <c r="B7032" s="538" t="n">
        <v>64.73999999999999</v>
      </c>
      <c r="C7032" s="538" t="n">
        <v>63.43</v>
      </c>
      <c r="D7032" s="538" t="n">
        <v>59.23</v>
      </c>
      <c r="E7032" s="538" t="n">
        <v>79.79000000000001</v>
      </c>
    </row>
    <row r="7033">
      <c r="A7033" s="544" t="n">
        <v>39055</v>
      </c>
      <c r="B7033" s="538" t="n">
        <v>63.97</v>
      </c>
      <c r="C7033" s="538" t="n">
        <v>62.39</v>
      </c>
      <c r="D7033" s="538" t="n">
        <v>58.09</v>
      </c>
      <c r="E7033" s="538" t="n">
        <v>79.3</v>
      </c>
    </row>
    <row r="7034">
      <c r="A7034" s="544" t="n">
        <v>39056</v>
      </c>
      <c r="B7034" s="538" t="n">
        <v>63.65</v>
      </c>
      <c r="C7034" s="538" t="n">
        <v>62.4</v>
      </c>
      <c r="D7034" s="538" t="n">
        <v>58.43</v>
      </c>
      <c r="E7034" s="538" t="n">
        <v>78.20999999999999</v>
      </c>
    </row>
    <row r="7035">
      <c r="A7035" s="544" t="n">
        <v>39057</v>
      </c>
      <c r="B7035" s="538" t="n">
        <v>63.7</v>
      </c>
      <c r="C7035" s="538" t="n">
        <v>62.2</v>
      </c>
      <c r="D7035" s="538" t="n">
        <v>58.38</v>
      </c>
      <c r="E7035" s="538" t="n">
        <v>79.28</v>
      </c>
    </row>
    <row r="7036">
      <c r="A7036" s="544" t="n">
        <v>39058</v>
      </c>
      <c r="B7036" s="538" t="n">
        <v>63.17</v>
      </c>
      <c r="C7036" s="538" t="n">
        <v>62.54</v>
      </c>
      <c r="D7036" s="538" t="n">
        <v>58.02</v>
      </c>
      <c r="E7036" s="538" t="n">
        <v>79.58</v>
      </c>
    </row>
    <row r="7037">
      <c r="A7037" s="544" t="n">
        <v>39059</v>
      </c>
      <c r="B7037" s="538" t="n">
        <v>63.67</v>
      </c>
      <c r="C7037" s="538" t="n">
        <v>62.06</v>
      </c>
      <c r="D7037" s="538" t="n">
        <v>57.2</v>
      </c>
      <c r="E7037" s="538" t="n">
        <v>78.59</v>
      </c>
    </row>
    <row r="7038">
      <c r="A7038" s="544" t="n">
        <v>39062</v>
      </c>
      <c r="B7038" s="538" t="n">
        <v>62.59</v>
      </c>
      <c r="C7038" s="538" t="n">
        <v>61.26</v>
      </c>
      <c r="D7038" s="538" t="n">
        <v>56.89</v>
      </c>
      <c r="E7038" s="538" t="n">
        <v>78.04000000000001</v>
      </c>
    </row>
    <row r="7039">
      <c r="A7039" s="544" t="n">
        <v>39063</v>
      </c>
      <c r="B7039" s="538" t="n">
        <v>62.58</v>
      </c>
      <c r="C7039" s="538" t="n">
        <v>61.06</v>
      </c>
      <c r="D7039" s="538" t="n">
        <v>57.27</v>
      </c>
      <c r="E7039" s="538" t="n">
        <v>77.29000000000001</v>
      </c>
    </row>
    <row r="7040">
      <c r="A7040" s="544" t="n">
        <v>39064</v>
      </c>
      <c r="B7040" s="538" t="n">
        <v>61.89</v>
      </c>
      <c r="C7040" s="538" t="n">
        <v>61.34</v>
      </c>
      <c r="D7040" s="538" t="n">
        <v>57.45</v>
      </c>
      <c r="E7040" s="538" t="n">
        <v>77.47</v>
      </c>
    </row>
    <row r="7041">
      <c r="A7041" s="544" t="n">
        <v>39065</v>
      </c>
      <c r="B7041" s="538" t="n">
        <v>62.85</v>
      </c>
      <c r="C7041" s="538" t="n">
        <v>62.48</v>
      </c>
      <c r="D7041" s="538" t="n">
        <v>58.41</v>
      </c>
      <c r="E7041" s="538" t="n">
        <v>77.79000000000001</v>
      </c>
    </row>
    <row r="7042">
      <c r="A7042" s="544" t="n">
        <v>39066</v>
      </c>
      <c r="B7042" s="538" t="n">
        <v>62.91</v>
      </c>
      <c r="C7042" s="538" t="n">
        <v>63.4</v>
      </c>
      <c r="D7042" s="538" t="n">
        <v>58.82</v>
      </c>
      <c r="E7042" s="538" t="n">
        <v>78.90000000000001</v>
      </c>
    </row>
    <row r="7043">
      <c r="A7043" s="544" t="n">
        <v>39069</v>
      </c>
      <c r="B7043" s="538" t="n">
        <v>62.81</v>
      </c>
      <c r="C7043" s="538" t="n">
        <v>62.19</v>
      </c>
      <c r="D7043" s="538" t="n">
        <v>57.96</v>
      </c>
      <c r="E7043" s="538" t="n">
        <v>78.75</v>
      </c>
    </row>
    <row r="7044">
      <c r="A7044" s="544" t="n">
        <v>39070</v>
      </c>
      <c r="B7044" s="538" t="n">
        <v>62.19</v>
      </c>
      <c r="C7044" s="538" t="n">
        <v>62.87</v>
      </c>
      <c r="D7044" s="538" t="n">
        <v>58.18</v>
      </c>
      <c r="E7044" s="538" t="n">
        <v>77.40000000000001</v>
      </c>
    </row>
    <row r="7045">
      <c r="A7045" s="544" t="n">
        <v>39071</v>
      </c>
      <c r="B7045" s="538" t="n">
        <v>63.13</v>
      </c>
      <c r="C7045" s="538" t="n">
        <v>63.08</v>
      </c>
      <c r="D7045" s="538" t="n">
        <v>59.16</v>
      </c>
      <c r="E7045" s="538" t="n">
        <v>77.3</v>
      </c>
    </row>
    <row r="7046">
      <c r="A7046" s="544" t="n">
        <v>39072</v>
      </c>
      <c r="B7046" s="538" t="n">
        <v>62.13</v>
      </c>
      <c r="C7046" s="538" t="n">
        <v>62.05</v>
      </c>
      <c r="D7046" s="538" t="n">
        <v>58.55</v>
      </c>
      <c r="E7046" s="538" t="n">
        <v>76.90000000000001</v>
      </c>
    </row>
    <row r="7047">
      <c r="A7047" s="544" t="n">
        <v>39073</v>
      </c>
      <c r="B7047" s="538" t="n">
        <v>61.92</v>
      </c>
      <c r="C7047" s="538" t="n">
        <v>61.81</v>
      </c>
      <c r="D7047" s="538" t="n">
        <v>58.5</v>
      </c>
      <c r="E7047" s="538" t="n">
        <v>76</v>
      </c>
    </row>
    <row r="7048">
      <c r="A7048" s="544" t="n">
        <v>39076</v>
      </c>
      <c r="B7048" s="538" t="n">
        <v>61.92</v>
      </c>
      <c r="C7048" s="538" t="n">
        <v>61.81</v>
      </c>
      <c r="D7048" s="538" t="n">
        <v>58.5</v>
      </c>
      <c r="E7048" s="538" t="n">
        <v>76</v>
      </c>
    </row>
    <row r="7049">
      <c r="A7049" s="544" t="n">
        <v>39077</v>
      </c>
      <c r="B7049" s="538" t="n">
        <v>61.92</v>
      </c>
      <c r="C7049" s="538" t="n">
        <v>61.07</v>
      </c>
      <c r="D7049" s="538" t="n">
        <v>56.79</v>
      </c>
      <c r="E7049" s="538" t="n">
        <v>76.2</v>
      </c>
    </row>
    <row r="7050">
      <c r="A7050" s="544" t="n">
        <v>39078</v>
      </c>
      <c r="B7050" s="538" t="n">
        <v>60.7</v>
      </c>
      <c r="C7050" s="538" t="n">
        <v>60.31</v>
      </c>
      <c r="D7050" s="538" t="n">
        <v>56.43</v>
      </c>
      <c r="E7050" s="538" t="n">
        <v>74.2</v>
      </c>
    </row>
    <row r="7051">
      <c r="A7051" s="544" t="n">
        <v>39079</v>
      </c>
      <c r="B7051" s="538" t="n">
        <v>59.41</v>
      </c>
      <c r="C7051" s="538" t="n">
        <v>60.39</v>
      </c>
      <c r="D7051" s="538" t="n">
        <v>56.5</v>
      </c>
      <c r="E7051" s="538" t="n">
        <v>73.61</v>
      </c>
    </row>
    <row r="7052">
      <c r="A7052" s="544" t="n">
        <v>39080</v>
      </c>
      <c r="B7052" s="538" t="n">
        <v>58.96</v>
      </c>
      <c r="C7052" s="538" t="n">
        <v>60.85</v>
      </c>
      <c r="D7052" s="538" t="n">
        <v>56.83</v>
      </c>
      <c r="E7052" s="538" t="n">
        <v>72.90000000000001</v>
      </c>
    </row>
    <row r="7053">
      <c r="A7053" s="544" t="n">
        <v>39083</v>
      </c>
      <c r="B7053" s="538" t="n">
        <v>58.96</v>
      </c>
      <c r="C7053" s="538" t="n">
        <v>60.85</v>
      </c>
      <c r="D7053" s="538" t="n">
        <v>56.83</v>
      </c>
      <c r="E7053" s="538" t="n">
        <v>72.90000000000001</v>
      </c>
    </row>
    <row r="7054">
      <c r="A7054" s="544" t="n">
        <v>39084</v>
      </c>
      <c r="B7054" s="538" t="n">
        <v>58.49</v>
      </c>
      <c r="C7054" s="538" t="n">
        <v>60.77</v>
      </c>
      <c r="D7054" s="538" t="n">
        <v>55.28</v>
      </c>
      <c r="E7054" s="538" t="n">
        <v>72.90000000000001</v>
      </c>
    </row>
    <row r="7055">
      <c r="A7055" s="544" t="n">
        <v>39085</v>
      </c>
      <c r="B7055" s="538" t="n">
        <v>56.63</v>
      </c>
      <c r="C7055" s="538" t="n">
        <v>58.31</v>
      </c>
      <c r="D7055" s="538" t="n">
        <v>53.83</v>
      </c>
      <c r="E7055" s="538" t="n">
        <v>73.09999999999999</v>
      </c>
    </row>
    <row r="7056">
      <c r="A7056" s="544" t="n">
        <v>39086</v>
      </c>
      <c r="B7056" s="538" t="n">
        <v>54.58</v>
      </c>
      <c r="C7056" s="538" t="n">
        <v>55.65</v>
      </c>
      <c r="D7056" s="538" t="n">
        <v>50.84</v>
      </c>
      <c r="E7056" s="538" t="n">
        <v>72.59999999999999</v>
      </c>
    </row>
    <row r="7057">
      <c r="A7057" s="544" t="n">
        <v>39087</v>
      </c>
      <c r="B7057" s="538" t="n">
        <v>52.82</v>
      </c>
      <c r="C7057" s="538" t="n">
        <v>56.29</v>
      </c>
      <c r="D7057" s="538" t="n">
        <v>51.65</v>
      </c>
      <c r="E7057" s="538" t="n">
        <v>70.15000000000001</v>
      </c>
    </row>
    <row r="7058">
      <c r="A7058" s="544" t="n">
        <v>39090</v>
      </c>
      <c r="B7058" s="538" t="n">
        <v>52.82</v>
      </c>
      <c r="C7058" s="538" t="n">
        <v>56.08</v>
      </c>
      <c r="D7058" s="538" t="n">
        <v>51.63</v>
      </c>
      <c r="E7058" s="538" t="n">
        <v>71.40000000000001</v>
      </c>
    </row>
    <row r="7059">
      <c r="A7059" s="544" t="n">
        <v>39091</v>
      </c>
      <c r="B7059" s="538" t="n">
        <v>52.38</v>
      </c>
      <c r="C7059" s="538" t="n">
        <v>55.65</v>
      </c>
      <c r="D7059" s="538" t="n">
        <v>51.7</v>
      </c>
      <c r="E7059" s="538" t="n">
        <v>70.95</v>
      </c>
    </row>
    <row r="7060">
      <c r="A7060" s="544" t="n">
        <v>39092</v>
      </c>
      <c r="B7060" s="538" t="n">
        <v>52.11</v>
      </c>
      <c r="C7060" s="538" t="n">
        <v>53.95</v>
      </c>
      <c r="D7060" s="538" t="n">
        <v>49.6</v>
      </c>
      <c r="E7060" s="538" t="n">
        <v>70.09999999999999</v>
      </c>
    </row>
    <row r="7061">
      <c r="A7061" s="544" t="n">
        <v>39093</v>
      </c>
      <c r="B7061" s="538" t="n">
        <v>51.68</v>
      </c>
      <c r="C7061" s="538" t="n">
        <v>51.91</v>
      </c>
      <c r="D7061" s="538" t="n">
        <v>48.05</v>
      </c>
      <c r="E7061" s="538" t="n">
        <v>68.5</v>
      </c>
    </row>
    <row r="7062">
      <c r="A7062" s="544" t="n">
        <v>39094</v>
      </c>
      <c r="B7062" s="538" t="n">
        <v>49.95</v>
      </c>
      <c r="C7062" s="538" t="n">
        <v>52.96</v>
      </c>
      <c r="D7062" s="538" t="n">
        <v>49.39</v>
      </c>
      <c r="E7062" s="538" t="n">
        <v>69.38</v>
      </c>
    </row>
    <row r="7063">
      <c r="A7063" s="544" t="n">
        <v>39097</v>
      </c>
      <c r="B7063" s="538" t="n">
        <v>49.95</v>
      </c>
      <c r="C7063" s="538" t="n">
        <v>52.96</v>
      </c>
      <c r="D7063" s="538" t="n">
        <v>50.13</v>
      </c>
      <c r="E7063" s="538" t="n">
        <v>68.3</v>
      </c>
    </row>
    <row r="7064">
      <c r="A7064" s="544" t="n">
        <v>39098</v>
      </c>
      <c r="B7064" s="538" t="n">
        <v>51.28</v>
      </c>
      <c r="C7064" s="538" t="n">
        <v>51.23</v>
      </c>
      <c r="D7064" s="538" t="n">
        <v>48.43</v>
      </c>
      <c r="E7064" s="538" t="n">
        <v>68.59999999999999</v>
      </c>
    </row>
    <row r="7065">
      <c r="A7065" s="544" t="n">
        <v>39099</v>
      </c>
      <c r="B7065" s="538" t="n">
        <v>51.19</v>
      </c>
      <c r="C7065" s="538" t="n">
        <v>52.3</v>
      </c>
      <c r="D7065" s="538" t="n">
        <v>50.37</v>
      </c>
      <c r="E7065" s="538" t="n">
        <v>67.7</v>
      </c>
    </row>
    <row r="7066">
      <c r="A7066" s="544" t="n">
        <v>39100</v>
      </c>
      <c r="B7066" s="538" t="n">
        <v>50.83</v>
      </c>
      <c r="C7066" s="538" t="n">
        <v>50.51</v>
      </c>
      <c r="D7066" s="538" t="n">
        <v>48.58</v>
      </c>
      <c r="E7066" s="538" t="n">
        <v>68.45</v>
      </c>
    </row>
    <row r="7067">
      <c r="A7067" s="544" t="n">
        <v>39101</v>
      </c>
      <c r="B7067" s="538" t="n">
        <v>52.29</v>
      </c>
      <c r="C7067" s="538" t="n">
        <v>51.98</v>
      </c>
      <c r="D7067" s="538" t="n">
        <v>50.52</v>
      </c>
      <c r="E7067" s="538" t="n">
        <v>67.45</v>
      </c>
    </row>
    <row r="7068">
      <c r="A7068" s="544" t="n">
        <v>39104</v>
      </c>
      <c r="B7068" s="538" t="n">
        <v>54.34</v>
      </c>
      <c r="C7068" s="538" t="n">
        <v>51.11</v>
      </c>
      <c r="D7068" s="538" t="n">
        <v>48.21</v>
      </c>
      <c r="E7068" s="538" t="n">
        <v>69.09999999999999</v>
      </c>
    </row>
    <row r="7069">
      <c r="A7069" s="544" t="n">
        <v>39105</v>
      </c>
      <c r="B7069" s="538" t="n">
        <v>53.93</v>
      </c>
      <c r="C7069" s="538" t="n">
        <v>53.61</v>
      </c>
      <c r="D7069" s="538" t="n">
        <v>52.31</v>
      </c>
      <c r="E7069" s="538" t="n">
        <v>68.95</v>
      </c>
    </row>
    <row r="7070">
      <c r="A7070" s="544" t="n">
        <v>39106</v>
      </c>
      <c r="B7070" s="538" t="n">
        <v>55.11</v>
      </c>
      <c r="C7070" s="538" t="n">
        <v>54.24</v>
      </c>
      <c r="D7070" s="538" t="n">
        <v>52.38</v>
      </c>
      <c r="E7070" s="538" t="n">
        <v>69.63</v>
      </c>
    </row>
    <row r="7071">
      <c r="A7071" s="544" t="n">
        <v>39107</v>
      </c>
      <c r="B7071" s="538" t="n">
        <v>55.67</v>
      </c>
      <c r="C7071" s="538" t="n">
        <v>53.49</v>
      </c>
      <c r="D7071" s="538" t="n">
        <v>50.85</v>
      </c>
      <c r="E7071" s="538" t="n">
        <v>69.55</v>
      </c>
    </row>
    <row r="7072">
      <c r="A7072" s="544" t="n">
        <v>39108</v>
      </c>
      <c r="B7072" s="538" t="n">
        <v>55.29</v>
      </c>
      <c r="C7072" s="538" t="n">
        <v>55.38</v>
      </c>
      <c r="D7072" s="538" t="n">
        <v>52.38</v>
      </c>
      <c r="E7072" s="538" t="n">
        <v>69.3</v>
      </c>
    </row>
    <row r="7073">
      <c r="A7073" s="544" t="n">
        <v>39111</v>
      </c>
      <c r="B7073" s="538" t="n">
        <v>54.71</v>
      </c>
      <c r="C7073" s="538" t="n">
        <v>54.01</v>
      </c>
      <c r="D7073" s="538" t="n">
        <v>50.39</v>
      </c>
      <c r="E7073" s="538" t="n">
        <v>70.05</v>
      </c>
    </row>
    <row r="7074">
      <c r="A7074" s="544" t="n">
        <v>39112</v>
      </c>
      <c r="B7074" s="538" t="n">
        <v>54.69</v>
      </c>
      <c r="C7074" s="538" t="n">
        <v>57.03</v>
      </c>
      <c r="D7074" s="538" t="n">
        <v>53.33</v>
      </c>
      <c r="E7074" s="538" t="n">
        <v>68.5</v>
      </c>
    </row>
    <row r="7075">
      <c r="A7075" s="544" t="n">
        <v>39113</v>
      </c>
      <c r="B7075" s="538" t="n">
        <v>56.52</v>
      </c>
      <c r="C7075" s="538" t="n">
        <v>58.17</v>
      </c>
      <c r="D7075" s="538" t="n">
        <v>54.33</v>
      </c>
      <c r="E7075" s="538" t="n">
        <v>70.84999999999999</v>
      </c>
    </row>
    <row r="7076">
      <c r="A7076" s="544" t="n">
        <v>39114</v>
      </c>
      <c r="B7076" s="538" t="n">
        <v>56.74</v>
      </c>
      <c r="C7076" s="538" t="n">
        <v>57.35</v>
      </c>
      <c r="D7076" s="538" t="n">
        <v>53.64</v>
      </c>
      <c r="E7076" s="538" t="n">
        <v>71.34999999999999</v>
      </c>
    </row>
    <row r="7077">
      <c r="A7077" s="544" t="n">
        <v>39115</v>
      </c>
      <c r="B7077" s="538" t="n">
        <v>56.93</v>
      </c>
      <c r="C7077" s="538" t="n">
        <v>59.01</v>
      </c>
      <c r="D7077" s="538" t="n">
        <v>55.38</v>
      </c>
      <c r="E7077" s="538" t="n">
        <v>70.8</v>
      </c>
    </row>
    <row r="7078">
      <c r="A7078" s="544" t="n">
        <v>39118</v>
      </c>
      <c r="B7078" s="538" t="n">
        <v>58.67</v>
      </c>
      <c r="C7078" s="538" t="n">
        <v>58.69</v>
      </c>
      <c r="D7078" s="538" t="n">
        <v>54.91</v>
      </c>
      <c r="E7078" s="538" t="n">
        <v>71.45</v>
      </c>
    </row>
    <row r="7079">
      <c r="A7079" s="544" t="n">
        <v>39119</v>
      </c>
      <c r="B7079" s="538" t="n">
        <v>58.04</v>
      </c>
      <c r="C7079" s="538" t="n">
        <v>58.91</v>
      </c>
      <c r="D7079" s="538" t="n">
        <v>55.48</v>
      </c>
      <c r="E7079" s="538" t="n">
        <v>72.59999999999999</v>
      </c>
    </row>
    <row r="7080">
      <c r="A7080" s="544" t="n">
        <v>39120</v>
      </c>
      <c r="B7080" s="538" t="n">
        <v>58.35</v>
      </c>
      <c r="C7080" s="538" t="n">
        <v>57.75</v>
      </c>
      <c r="D7080" s="538" t="n">
        <v>53.61</v>
      </c>
      <c r="E7080" s="538" t="n">
        <v>71.8</v>
      </c>
    </row>
    <row r="7081">
      <c r="A7081" s="544" t="n">
        <v>39121</v>
      </c>
      <c r="B7081" s="538" t="n">
        <v>57.24</v>
      </c>
      <c r="C7081" s="538" t="n">
        <v>59.76</v>
      </c>
      <c r="D7081" s="538" t="n">
        <v>55.35</v>
      </c>
      <c r="E7081" s="538" t="n">
        <v>70.66</v>
      </c>
    </row>
    <row r="7082">
      <c r="A7082" s="544" t="n">
        <v>39122</v>
      </c>
      <c r="B7082" s="538" t="n">
        <v>57.21</v>
      </c>
      <c r="C7082" s="538" t="n">
        <v>59.86</v>
      </c>
      <c r="D7082" s="538" t="n">
        <v>56.14</v>
      </c>
      <c r="E7082" s="538" t="n">
        <v>72.81</v>
      </c>
    </row>
    <row r="7083">
      <c r="A7083" s="544" t="n">
        <v>39125</v>
      </c>
      <c r="B7083" s="538" t="n">
        <v>55.52</v>
      </c>
      <c r="C7083" s="538" t="n">
        <v>57.76</v>
      </c>
      <c r="D7083" s="538" t="n">
        <v>53.91</v>
      </c>
      <c r="E7083" s="538" t="n">
        <v>71.78</v>
      </c>
    </row>
    <row r="7084">
      <c r="A7084" s="544" t="n">
        <v>39126</v>
      </c>
      <c r="B7084" s="538" t="n">
        <v>56.12</v>
      </c>
      <c r="C7084" s="538" t="n">
        <v>58.98</v>
      </c>
      <c r="D7084" s="538" t="n">
        <v>55.7</v>
      </c>
      <c r="E7084" s="538" t="n">
        <v>70.65000000000001</v>
      </c>
    </row>
    <row r="7085">
      <c r="A7085" s="544" t="n">
        <v>39127</v>
      </c>
      <c r="B7085" s="538" t="n">
        <v>55.05</v>
      </c>
      <c r="C7085" s="538" t="n">
        <v>58</v>
      </c>
      <c r="D7085" s="538" t="n">
        <v>54.3</v>
      </c>
      <c r="E7085" s="538" t="n">
        <v>70.8</v>
      </c>
    </row>
    <row r="7086">
      <c r="A7086" s="544" t="n">
        <v>39128</v>
      </c>
      <c r="B7086" s="538" t="n">
        <v>54.25</v>
      </c>
      <c r="C7086" s="538" t="n">
        <v>57.92</v>
      </c>
      <c r="D7086" s="538" t="n">
        <v>54.23</v>
      </c>
      <c r="E7086" s="538" t="n">
        <v>70</v>
      </c>
    </row>
    <row r="7087">
      <c r="A7087" s="544" t="n">
        <v>39129</v>
      </c>
      <c r="B7087" s="538" t="n">
        <v>56.78</v>
      </c>
      <c r="C7087" s="538" t="n">
        <v>59.38</v>
      </c>
      <c r="D7087" s="538" t="n">
        <v>55.5</v>
      </c>
      <c r="E7087" s="538" t="n">
        <v>70</v>
      </c>
    </row>
    <row r="7088">
      <c r="A7088" s="544" t="n">
        <v>39132</v>
      </c>
      <c r="B7088" s="538" t="n">
        <v>56.78</v>
      </c>
      <c r="C7088" s="538" t="n">
        <v>59.38</v>
      </c>
      <c r="D7088" s="538" t="n">
        <v>55.08</v>
      </c>
      <c r="E7088" s="538" t="n">
        <v>70</v>
      </c>
    </row>
    <row r="7089">
      <c r="A7089" s="544" t="n">
        <v>39133</v>
      </c>
      <c r="B7089" s="538" t="n">
        <v>55.91</v>
      </c>
      <c r="C7089" s="538" t="n">
        <v>58.32</v>
      </c>
      <c r="D7089" s="538" t="n">
        <v>54.07</v>
      </c>
      <c r="E7089" s="538" t="n">
        <v>70</v>
      </c>
    </row>
    <row r="7090">
      <c r="A7090" s="544" t="n">
        <v>39134</v>
      </c>
      <c r="B7090" s="538" t="n">
        <v>57.74</v>
      </c>
      <c r="C7090" s="538" t="n">
        <v>59.4</v>
      </c>
      <c r="D7090" s="538" t="n">
        <v>56.12</v>
      </c>
      <c r="E7090" s="538" t="n">
        <v>69.59999999999999</v>
      </c>
    </row>
    <row r="7091">
      <c r="A7091" s="544" t="n">
        <v>39135</v>
      </c>
      <c r="B7091" s="538" t="n">
        <v>58.62</v>
      </c>
      <c r="C7091" s="538" t="n">
        <v>60.28</v>
      </c>
      <c r="D7091" s="538" t="n">
        <v>57.05</v>
      </c>
      <c r="E7091" s="538" t="n">
        <v>70.8</v>
      </c>
    </row>
    <row r="7092">
      <c r="A7092" s="544" t="n">
        <v>39136</v>
      </c>
      <c r="B7092" s="538" t="n">
        <v>60.38</v>
      </c>
      <c r="C7092" s="538" t="n">
        <v>60.28</v>
      </c>
      <c r="D7092" s="538" t="n">
        <v>57.4</v>
      </c>
      <c r="E7092" s="538" t="n">
        <v>72.90000000000001</v>
      </c>
    </row>
    <row r="7093">
      <c r="A7093" s="544" t="n">
        <v>39139</v>
      </c>
      <c r="B7093" s="538" t="n">
        <v>60.34</v>
      </c>
      <c r="C7093" s="538" t="n">
        <v>61.41</v>
      </c>
      <c r="D7093" s="538" t="n">
        <v>58.41</v>
      </c>
      <c r="E7093" s="538" t="n">
        <v>74.7</v>
      </c>
    </row>
    <row r="7094">
      <c r="A7094" s="544" t="n">
        <v>39140</v>
      </c>
      <c r="B7094" s="538" t="n">
        <v>60.28</v>
      </c>
      <c r="C7094" s="538" t="n">
        <v>61.46</v>
      </c>
      <c r="D7094" s="538" t="n">
        <v>56.96</v>
      </c>
      <c r="E7094" s="538" t="n">
        <v>74.5</v>
      </c>
    </row>
    <row r="7095">
      <c r="A7095" s="544" t="n">
        <v>39141</v>
      </c>
      <c r="B7095" s="538" t="n">
        <v>59.39</v>
      </c>
      <c r="C7095" s="538" t="n">
        <v>61.78</v>
      </c>
      <c r="D7095" s="538" t="n">
        <v>58.66</v>
      </c>
      <c r="E7095" s="538" t="n">
        <v>74.45999999999999</v>
      </c>
    </row>
    <row r="7096">
      <c r="A7096" s="544" t="n">
        <v>39142</v>
      </c>
      <c r="B7096" s="538" t="n">
        <v>61.18</v>
      </c>
      <c r="C7096" s="538" t="n">
        <v>61.97</v>
      </c>
      <c r="D7096" s="538" t="n">
        <v>58.11</v>
      </c>
      <c r="E7096" s="538" t="n">
        <v>74.7</v>
      </c>
    </row>
    <row r="7097">
      <c r="A7097" s="544" t="n">
        <v>39143</v>
      </c>
      <c r="B7097" s="538" t="n">
        <v>61.92</v>
      </c>
      <c r="C7097" s="538" t="n">
        <v>61.58</v>
      </c>
      <c r="D7097" s="538" t="n">
        <v>57.34</v>
      </c>
      <c r="E7097" s="538" t="n">
        <v>74.7</v>
      </c>
    </row>
    <row r="7098">
      <c r="A7098" s="544" t="n">
        <v>39146</v>
      </c>
      <c r="B7098" s="538" t="n">
        <v>59.78</v>
      </c>
      <c r="C7098" s="538" t="n">
        <v>60.05</v>
      </c>
      <c r="D7098" s="538" t="n">
        <v>56.11</v>
      </c>
      <c r="E7098" s="538" t="n">
        <v>73.8</v>
      </c>
    </row>
    <row r="7099">
      <c r="A7099" s="544" t="n">
        <v>39147</v>
      </c>
      <c r="B7099" s="538" t="n">
        <v>59.68</v>
      </c>
      <c r="C7099" s="538" t="n">
        <v>60.66</v>
      </c>
      <c r="D7099" s="538" t="n">
        <v>57.13</v>
      </c>
      <c r="E7099" s="538" t="n">
        <v>73.45</v>
      </c>
    </row>
    <row r="7100">
      <c r="A7100" s="544" t="n">
        <v>39148</v>
      </c>
      <c r="B7100" s="538" t="n">
        <v>61.13</v>
      </c>
      <c r="C7100" s="538" t="n">
        <v>61.85</v>
      </c>
      <c r="D7100" s="538" t="n">
        <v>57.86</v>
      </c>
      <c r="E7100" s="538" t="n">
        <v>73.34999999999999</v>
      </c>
    </row>
    <row r="7101">
      <c r="A7101" s="544" t="n">
        <v>39149</v>
      </c>
      <c r="B7101" s="538" t="n">
        <v>60.9</v>
      </c>
      <c r="C7101" s="538" t="n">
        <v>61.63</v>
      </c>
      <c r="D7101" s="538" t="n">
        <v>57.79</v>
      </c>
      <c r="E7101" s="538" t="n">
        <v>75.90000000000001</v>
      </c>
    </row>
    <row r="7102">
      <c r="A7102" s="544" t="n">
        <v>39150</v>
      </c>
      <c r="B7102" s="538" t="n">
        <v>60.25</v>
      </c>
      <c r="C7102" s="538" t="n">
        <v>60.06</v>
      </c>
      <c r="D7102" s="538" t="n">
        <v>56.39</v>
      </c>
      <c r="E7102" s="538" t="n">
        <v>75.25</v>
      </c>
    </row>
    <row r="7103">
      <c r="A7103" s="544" t="n">
        <v>39153</v>
      </c>
      <c r="B7103" s="538" t="n">
        <v>60.59</v>
      </c>
      <c r="C7103" s="538" t="n">
        <v>58.94</v>
      </c>
      <c r="D7103" s="538" t="n">
        <v>55.85</v>
      </c>
      <c r="E7103" s="538" t="n">
        <v>74.05</v>
      </c>
    </row>
    <row r="7104">
      <c r="A7104" s="544" t="n">
        <v>39154</v>
      </c>
      <c r="B7104" s="538" t="n">
        <v>61.52</v>
      </c>
      <c r="C7104" s="538" t="n">
        <v>58.03</v>
      </c>
      <c r="D7104" s="538" t="n">
        <v>55.7</v>
      </c>
      <c r="E7104" s="538" t="n">
        <v>73.75</v>
      </c>
    </row>
    <row r="7105">
      <c r="A7105" s="544" t="n">
        <v>39155</v>
      </c>
      <c r="B7105" s="538" t="n">
        <v>60.89</v>
      </c>
      <c r="C7105" s="538" t="n">
        <v>58.15</v>
      </c>
      <c r="D7105" s="538" t="n">
        <v>57.57</v>
      </c>
      <c r="E7105" s="538" t="n">
        <v>74.05</v>
      </c>
    </row>
    <row r="7106">
      <c r="A7106" s="544" t="n">
        <v>39156</v>
      </c>
      <c r="B7106" s="538" t="n">
        <v>60.4</v>
      </c>
      <c r="C7106" s="538" t="n">
        <v>57.52</v>
      </c>
      <c r="D7106" s="538" t="n">
        <v>57.15</v>
      </c>
      <c r="E7106" s="538" t="n">
        <v>73.90000000000001</v>
      </c>
    </row>
    <row r="7107">
      <c r="A7107" s="544" t="n">
        <v>39157</v>
      </c>
      <c r="B7107" s="538" t="n">
        <v>60.93</v>
      </c>
      <c r="C7107" s="538" t="n">
        <v>57.06</v>
      </c>
      <c r="D7107" s="538" t="n">
        <v>56.79</v>
      </c>
      <c r="E7107" s="538" t="n">
        <v>73.84999999999999</v>
      </c>
    </row>
    <row r="7108">
      <c r="A7108" s="544" t="n">
        <v>39160</v>
      </c>
      <c r="B7108" s="538" t="n">
        <v>60.49</v>
      </c>
      <c r="C7108" s="538" t="n">
        <v>56.65</v>
      </c>
      <c r="D7108" s="538" t="n">
        <v>57.03</v>
      </c>
      <c r="E7108" s="538" t="n">
        <v>73.95</v>
      </c>
    </row>
    <row r="7109">
      <c r="A7109" s="544" t="n">
        <v>39161</v>
      </c>
      <c r="B7109" s="538" t="n">
        <v>60.11</v>
      </c>
      <c r="C7109" s="538" t="n">
        <v>56.41</v>
      </c>
      <c r="D7109" s="538" t="n">
        <v>57.17</v>
      </c>
      <c r="E7109" s="538" t="n">
        <v>73.8</v>
      </c>
    </row>
    <row r="7110">
      <c r="A7110" s="544" t="n">
        <v>39162</v>
      </c>
      <c r="B7110" s="538" t="n">
        <v>60.18</v>
      </c>
      <c r="C7110" s="538" t="n">
        <v>56.98</v>
      </c>
      <c r="D7110" s="538" t="n">
        <v>58.09</v>
      </c>
      <c r="E7110" s="538" t="n">
        <v>73.63</v>
      </c>
    </row>
    <row r="7111">
      <c r="A7111" s="544" t="n">
        <v>39163</v>
      </c>
      <c r="B7111" s="538" t="n">
        <v>61.57</v>
      </c>
      <c r="C7111" s="538" t="n">
        <v>60.21</v>
      </c>
      <c r="D7111" s="538" t="n">
        <v>59.27</v>
      </c>
      <c r="E7111" s="538" t="n">
        <v>74.15000000000001</v>
      </c>
    </row>
    <row r="7112">
      <c r="A7112" s="544" t="n">
        <v>39164</v>
      </c>
      <c r="B7112" s="538" t="n">
        <v>63.1</v>
      </c>
      <c r="C7112" s="538" t="n">
        <v>61.07</v>
      </c>
      <c r="D7112" s="538" t="n">
        <v>59.45</v>
      </c>
      <c r="E7112" s="538" t="n">
        <v>76</v>
      </c>
    </row>
    <row r="7113">
      <c r="A7113" s="544" t="n">
        <v>39167</v>
      </c>
      <c r="B7113" s="538" t="n">
        <v>64.43000000000001</v>
      </c>
      <c r="C7113" s="538" t="n">
        <v>61.77</v>
      </c>
      <c r="D7113" s="538" t="n">
        <v>60.32</v>
      </c>
      <c r="E7113" s="538" t="n">
        <v>76.25</v>
      </c>
    </row>
    <row r="7114">
      <c r="A7114" s="544" t="n">
        <v>39168</v>
      </c>
      <c r="B7114" s="538" t="n">
        <v>64.25</v>
      </c>
      <c r="C7114" s="538" t="n">
        <v>62.98</v>
      </c>
      <c r="D7114" s="538" t="n">
        <v>62.32</v>
      </c>
      <c r="E7114" s="538" t="n">
        <v>76.7</v>
      </c>
    </row>
    <row r="7115">
      <c r="A7115" s="544" t="n">
        <v>39169</v>
      </c>
      <c r="B7115" s="538" t="n">
        <v>66.15000000000001</v>
      </c>
      <c r="C7115" s="538" t="n">
        <v>64.11</v>
      </c>
      <c r="D7115" s="538" t="n">
        <v>61.77</v>
      </c>
      <c r="E7115" s="538" t="n">
        <v>78.15000000000001</v>
      </c>
    </row>
    <row r="7116">
      <c r="A7116" s="544" t="n">
        <v>39170</v>
      </c>
      <c r="B7116" s="538" t="n">
        <v>67.19</v>
      </c>
      <c r="C7116" s="538" t="n">
        <v>66.09999999999999</v>
      </c>
      <c r="D7116" s="538" t="n">
        <v>63.9</v>
      </c>
      <c r="E7116" s="538" t="n">
        <v>78.40000000000001</v>
      </c>
    </row>
    <row r="7117">
      <c r="A7117" s="544" t="n">
        <v>39171</v>
      </c>
      <c r="B7117" s="538" t="n">
        <v>68.47</v>
      </c>
      <c r="C7117" s="538" t="n">
        <v>65.94</v>
      </c>
      <c r="D7117" s="538" t="n">
        <v>62.81</v>
      </c>
      <c r="E7117" s="538" t="n">
        <v>80.25</v>
      </c>
    </row>
    <row r="7118">
      <c r="A7118" s="544" t="n">
        <v>39174</v>
      </c>
      <c r="B7118" s="538" t="n">
        <v>68.94</v>
      </c>
      <c r="C7118" s="538" t="n">
        <v>66.03</v>
      </c>
      <c r="D7118" s="538" t="n">
        <v>62.47</v>
      </c>
      <c r="E7118" s="538" t="n">
        <v>78.8</v>
      </c>
    </row>
    <row r="7119">
      <c r="A7119" s="544" t="n">
        <v>39175</v>
      </c>
      <c r="B7119" s="538" t="n">
        <v>68</v>
      </c>
      <c r="C7119" s="538" t="n">
        <v>64.59</v>
      </c>
      <c r="D7119" s="538" t="n">
        <v>61.46</v>
      </c>
      <c r="E7119" s="538" t="n">
        <v>79.2</v>
      </c>
    </row>
    <row r="7120">
      <c r="A7120" s="544" t="n">
        <v>39176</v>
      </c>
      <c r="B7120" s="538" t="n">
        <v>68.09</v>
      </c>
      <c r="C7120" s="538" t="n">
        <v>64.40000000000001</v>
      </c>
      <c r="D7120" s="538" t="n">
        <v>62.29</v>
      </c>
      <c r="E7120" s="538" t="n">
        <v>78.84999999999999</v>
      </c>
    </row>
    <row r="7121">
      <c r="A7121" s="544" t="n">
        <v>39177</v>
      </c>
      <c r="B7121" s="538" t="n">
        <v>69.15000000000001</v>
      </c>
      <c r="C7121" s="538" t="n">
        <v>64.26000000000001</v>
      </c>
      <c r="D7121" s="538" t="n">
        <v>61.65</v>
      </c>
      <c r="E7121" s="538" t="n">
        <v>80.40000000000001</v>
      </c>
    </row>
    <row r="7122">
      <c r="A7122" s="544" t="n">
        <v>39178</v>
      </c>
      <c r="B7122" s="538" t="n">
        <v>69.15000000000001</v>
      </c>
      <c r="C7122" s="538" t="n">
        <v>64.26000000000001</v>
      </c>
      <c r="D7122" s="538" t="n">
        <v>61.65</v>
      </c>
      <c r="E7122" s="538" t="n">
        <v>80.40000000000001</v>
      </c>
    </row>
    <row r="7123">
      <c r="A7123" s="544" t="n">
        <v>39181</v>
      </c>
      <c r="B7123" s="538" t="n">
        <v>69.15000000000001</v>
      </c>
      <c r="C7123" s="538" t="n">
        <v>61.51</v>
      </c>
      <c r="D7123" s="538" t="n">
        <v>61.65</v>
      </c>
      <c r="E7123" s="538" t="n">
        <v>80.25</v>
      </c>
    </row>
    <row r="7124">
      <c r="A7124" s="544" t="n">
        <v>39182</v>
      </c>
      <c r="B7124" s="538" t="n">
        <v>67.64</v>
      </c>
      <c r="C7124" s="538" t="n">
        <v>61.92</v>
      </c>
      <c r="D7124" s="538" t="n">
        <v>60.85</v>
      </c>
      <c r="E7124" s="538" t="n">
        <v>79.3</v>
      </c>
    </row>
    <row r="7125">
      <c r="A7125" s="544" t="n">
        <v>39183</v>
      </c>
      <c r="B7125" s="538" t="n">
        <v>68.59999999999999</v>
      </c>
      <c r="C7125" s="538" t="n">
        <v>61.98</v>
      </c>
      <c r="D7125" s="538" t="n">
        <v>61.35</v>
      </c>
      <c r="E7125" s="538" t="n">
        <v>80.2</v>
      </c>
    </row>
    <row r="7126">
      <c r="A7126" s="544" t="n">
        <v>39184</v>
      </c>
      <c r="B7126" s="538" t="n">
        <v>67.79000000000001</v>
      </c>
      <c r="C7126" s="538" t="n">
        <v>63.87</v>
      </c>
      <c r="D7126" s="538" t="n">
        <v>62.46</v>
      </c>
      <c r="E7126" s="538" t="n">
        <v>81.09999999999999</v>
      </c>
    </row>
    <row r="7127">
      <c r="A7127" s="544" t="n">
        <v>39185</v>
      </c>
      <c r="B7127" s="538" t="n">
        <v>68.78</v>
      </c>
      <c r="C7127" s="538" t="n">
        <v>63.63</v>
      </c>
      <c r="D7127" s="538" t="n">
        <v>64.45999999999999</v>
      </c>
      <c r="E7127" s="538" t="n">
        <v>83.23</v>
      </c>
    </row>
    <row r="7128">
      <c r="A7128" s="544" t="n">
        <v>39188</v>
      </c>
      <c r="B7128" s="538" t="n">
        <v>67.09999999999999</v>
      </c>
      <c r="C7128" s="538" t="n">
        <v>63.63</v>
      </c>
      <c r="D7128" s="538" t="n">
        <v>63.36</v>
      </c>
      <c r="E7128" s="538" t="n">
        <v>83.34999999999999</v>
      </c>
    </row>
    <row r="7129">
      <c r="A7129" s="544" t="n">
        <v>39189</v>
      </c>
      <c r="B7129" s="538" t="n">
        <v>66.34</v>
      </c>
      <c r="C7129" s="538" t="n">
        <v>63.14</v>
      </c>
      <c r="D7129" s="538" t="n">
        <v>62.34</v>
      </c>
      <c r="E7129" s="538" t="n">
        <v>82.06</v>
      </c>
    </row>
    <row r="7130">
      <c r="A7130" s="544" t="n">
        <v>39190</v>
      </c>
      <c r="B7130" s="538" t="n">
        <v>65.09</v>
      </c>
      <c r="C7130" s="538" t="n">
        <v>63.14</v>
      </c>
      <c r="D7130" s="538" t="n">
        <v>62.49</v>
      </c>
      <c r="E7130" s="538" t="n">
        <v>81.03</v>
      </c>
    </row>
    <row r="7131">
      <c r="A7131" s="544" t="n">
        <v>39191</v>
      </c>
      <c r="B7131" s="538" t="n">
        <v>66.17</v>
      </c>
      <c r="C7131" s="538" t="n">
        <v>61.81</v>
      </c>
      <c r="D7131" s="538" t="n">
        <v>62.07</v>
      </c>
      <c r="E7131" s="538" t="n">
        <v>79.90000000000001</v>
      </c>
    </row>
    <row r="7132">
      <c r="A7132" s="544" t="n">
        <v>39192</v>
      </c>
      <c r="B7132" s="538" t="n">
        <v>66.34</v>
      </c>
      <c r="C7132" s="538" t="n">
        <v>63.56</v>
      </c>
      <c r="D7132" s="538" t="n">
        <v>62.85</v>
      </c>
      <c r="E7132" s="538" t="n">
        <v>79.40000000000001</v>
      </c>
    </row>
    <row r="7133">
      <c r="A7133" s="544" t="n">
        <v>39195</v>
      </c>
      <c r="B7133" s="538" t="n">
        <v>66.8</v>
      </c>
      <c r="C7133" s="538" t="n">
        <v>65.33</v>
      </c>
      <c r="D7133" s="538" t="n">
        <v>64.28</v>
      </c>
      <c r="E7133" s="538" t="n">
        <v>80.09</v>
      </c>
    </row>
    <row r="7134">
      <c r="A7134" s="544" t="n">
        <v>39196</v>
      </c>
      <c r="B7134" s="538" t="n">
        <v>67.94</v>
      </c>
      <c r="C7134" s="538" t="n">
        <v>64.09999999999999</v>
      </c>
      <c r="D7134" s="538" t="n">
        <v>63.56</v>
      </c>
      <c r="E7134" s="538" t="n">
        <v>81.98999999999999</v>
      </c>
    </row>
    <row r="7135">
      <c r="A7135" s="544" t="n">
        <v>39197</v>
      </c>
      <c r="B7135" s="538" t="n">
        <v>67.44</v>
      </c>
      <c r="C7135" s="538" t="n">
        <v>65.33</v>
      </c>
      <c r="D7135" s="538" t="n">
        <v>64.75</v>
      </c>
      <c r="E7135" s="538" t="n">
        <v>80.90000000000001</v>
      </c>
    </row>
    <row r="7136">
      <c r="A7136" s="544" t="n">
        <v>39198</v>
      </c>
      <c r="B7136" s="538" t="n">
        <v>67.51000000000001</v>
      </c>
      <c r="C7136" s="538" t="n">
        <v>65.08</v>
      </c>
      <c r="D7136" s="538" t="n">
        <v>64.17</v>
      </c>
      <c r="E7136" s="538" t="n">
        <v>81.75</v>
      </c>
    </row>
    <row r="7137">
      <c r="A7137" s="544" t="n">
        <v>39199</v>
      </c>
      <c r="B7137" s="538" t="n">
        <v>67.28</v>
      </c>
      <c r="C7137" s="538" t="n">
        <v>66.45</v>
      </c>
      <c r="D7137" s="538" t="n">
        <v>65.22</v>
      </c>
      <c r="E7137" s="538" t="n">
        <v>82.65000000000001</v>
      </c>
    </row>
    <row r="7138">
      <c r="A7138" s="544" t="n">
        <v>39202</v>
      </c>
      <c r="B7138" s="538" t="n">
        <v>67.23</v>
      </c>
      <c r="C7138" s="538" t="n">
        <v>65.78</v>
      </c>
      <c r="D7138" s="538" t="n">
        <v>64.3</v>
      </c>
      <c r="E7138" s="538" t="n">
        <v>82.67</v>
      </c>
    </row>
    <row r="7139">
      <c r="A7139" s="544" t="n">
        <v>39203</v>
      </c>
      <c r="B7139" s="538" t="n">
        <v>67.40000000000001</v>
      </c>
      <c r="C7139" s="538" t="n">
        <v>64.43000000000001</v>
      </c>
      <c r="D7139" s="538" t="n">
        <v>64.23999999999999</v>
      </c>
      <c r="E7139" s="538" t="n">
        <v>82.67</v>
      </c>
    </row>
    <row r="7140">
      <c r="A7140" s="544" t="n">
        <v>39204</v>
      </c>
      <c r="B7140" s="538" t="n">
        <v>65.56999999999999</v>
      </c>
      <c r="C7140" s="538" t="n">
        <v>63.78</v>
      </c>
      <c r="D7140" s="538" t="n">
        <v>61.54</v>
      </c>
      <c r="E7140" s="538" t="n">
        <v>82.09999999999999</v>
      </c>
    </row>
    <row r="7141">
      <c r="A7141" s="544" t="n">
        <v>39205</v>
      </c>
      <c r="B7141" s="538" t="n">
        <v>64.84999999999999</v>
      </c>
      <c r="C7141" s="538" t="n">
        <v>63.23</v>
      </c>
      <c r="D7141" s="538" t="n">
        <v>61.34</v>
      </c>
      <c r="E7141" s="538" t="n">
        <v>80.65000000000001</v>
      </c>
    </row>
    <row r="7142">
      <c r="A7142" s="544" t="n">
        <v>39206</v>
      </c>
      <c r="B7142" s="538" t="n">
        <v>65.14</v>
      </c>
      <c r="C7142" s="538" t="n">
        <v>61.89</v>
      </c>
      <c r="D7142" s="538" t="n">
        <v>60.34</v>
      </c>
      <c r="E7142" s="538" t="n">
        <v>82.95</v>
      </c>
    </row>
    <row r="7143">
      <c r="A7143" s="544" t="n">
        <v>39209</v>
      </c>
      <c r="B7143" s="538" t="n">
        <v>62.7</v>
      </c>
      <c r="C7143" s="538" t="n">
        <v>61.48</v>
      </c>
      <c r="D7143" s="538" t="n">
        <v>60.26</v>
      </c>
      <c r="E7143" s="538" t="n">
        <v>82.55</v>
      </c>
    </row>
    <row r="7144">
      <c r="A7144" s="544" t="n">
        <v>39210</v>
      </c>
      <c r="B7144" s="538" t="n">
        <v>63.55</v>
      </c>
      <c r="C7144" s="538" t="n">
        <v>62.26</v>
      </c>
      <c r="D7144" s="538" t="n">
        <v>61.28</v>
      </c>
      <c r="E7144" s="538" t="n">
        <v>80.47</v>
      </c>
    </row>
    <row r="7145">
      <c r="A7145" s="544" t="n">
        <v>39211</v>
      </c>
      <c r="B7145" s="538" t="n">
        <v>63.5</v>
      </c>
      <c r="C7145" s="538" t="n">
        <v>61.54</v>
      </c>
      <c r="D7145" s="538" t="n">
        <v>60.95</v>
      </c>
      <c r="E7145" s="538" t="n">
        <v>80.09999999999999</v>
      </c>
    </row>
    <row r="7146">
      <c r="A7146" s="544" t="n">
        <v>39212</v>
      </c>
      <c r="B7146" s="538" t="n">
        <v>64.63</v>
      </c>
      <c r="C7146" s="538" t="n">
        <v>61.85</v>
      </c>
      <c r="D7146" s="538" t="n">
        <v>61.56</v>
      </c>
      <c r="E7146" s="538" t="n">
        <v>79.84999999999999</v>
      </c>
    </row>
    <row r="7147">
      <c r="A7147" s="544" t="n">
        <v>39213</v>
      </c>
      <c r="B7147" s="538" t="n">
        <v>65.18000000000001</v>
      </c>
      <c r="C7147" s="538" t="n">
        <v>62.35</v>
      </c>
      <c r="D7147" s="538" t="n">
        <v>62.42</v>
      </c>
      <c r="E7147" s="538" t="n">
        <v>81.7</v>
      </c>
    </row>
    <row r="7148">
      <c r="A7148" s="544" t="n">
        <v>39216</v>
      </c>
      <c r="B7148" s="538" t="n">
        <v>65.86</v>
      </c>
      <c r="C7148" s="538" t="n">
        <v>62.55</v>
      </c>
      <c r="D7148" s="538" t="n">
        <v>64.09</v>
      </c>
      <c r="E7148" s="538" t="n">
        <v>81.90000000000001</v>
      </c>
    </row>
    <row r="7149">
      <c r="A7149" s="544" t="n">
        <v>39217</v>
      </c>
      <c r="B7149" s="538" t="n">
        <v>66.73999999999999</v>
      </c>
      <c r="C7149" s="538" t="n">
        <v>63.16</v>
      </c>
      <c r="D7149" s="538" t="n">
        <v>65.09999999999999</v>
      </c>
      <c r="E7149" s="538" t="n">
        <v>81.15000000000001</v>
      </c>
    </row>
    <row r="7150">
      <c r="A7150" s="544" t="n">
        <v>39218</v>
      </c>
      <c r="B7150" s="538" t="n">
        <v>66.83</v>
      </c>
      <c r="C7150" s="538" t="n">
        <v>62.57</v>
      </c>
      <c r="D7150" s="538" t="n">
        <v>64.29000000000001</v>
      </c>
      <c r="E7150" s="538" t="n">
        <v>82.25</v>
      </c>
    </row>
    <row r="7151">
      <c r="A7151" s="544" t="n">
        <v>39219</v>
      </c>
      <c r="B7151" s="538" t="n">
        <v>69.08</v>
      </c>
      <c r="C7151" s="538" t="n">
        <v>64.83</v>
      </c>
      <c r="D7151" s="538" t="n">
        <v>66.39</v>
      </c>
      <c r="E7151" s="538" t="n">
        <v>82.33</v>
      </c>
    </row>
    <row r="7152">
      <c r="A7152" s="544" t="n">
        <v>39220</v>
      </c>
      <c r="B7152" s="538" t="n">
        <v>69.26000000000001</v>
      </c>
      <c r="C7152" s="538" t="n">
        <v>64.93000000000001</v>
      </c>
      <c r="D7152" s="538" t="n">
        <v>65.52</v>
      </c>
      <c r="E7152" s="538" t="n">
        <v>83.2</v>
      </c>
    </row>
    <row r="7153">
      <c r="A7153" s="544" t="n">
        <v>39223</v>
      </c>
      <c r="B7153" s="538" t="n">
        <v>69.51000000000001</v>
      </c>
      <c r="C7153" s="538" t="n">
        <v>66.25</v>
      </c>
      <c r="D7153" s="538" t="n">
        <v>66.70999999999999</v>
      </c>
      <c r="E7153" s="538" t="n">
        <v>82.84999999999999</v>
      </c>
    </row>
    <row r="7154">
      <c r="A7154" s="544" t="n">
        <v>39224</v>
      </c>
      <c r="B7154" s="538" t="n">
        <v>70.05</v>
      </c>
      <c r="C7154" s="538" t="n">
        <v>64.91</v>
      </c>
      <c r="D7154" s="538" t="n">
        <v>65.13</v>
      </c>
      <c r="E7154" s="538" t="n">
        <v>83.55</v>
      </c>
    </row>
    <row r="7155">
      <c r="A7155" s="544" t="n">
        <v>39225</v>
      </c>
      <c r="B7155" s="538" t="n">
        <v>71.01000000000001</v>
      </c>
      <c r="C7155" s="538" t="n">
        <v>65.09999999999999</v>
      </c>
      <c r="D7155" s="538" t="n">
        <v>66.48999999999999</v>
      </c>
      <c r="E7155" s="538" t="n">
        <v>82.3</v>
      </c>
    </row>
    <row r="7156">
      <c r="A7156" s="544" t="n">
        <v>39226</v>
      </c>
      <c r="B7156" s="538" t="n">
        <v>71.95999999999999</v>
      </c>
      <c r="C7156" s="538" t="n">
        <v>63.62</v>
      </c>
      <c r="D7156" s="538" t="n">
        <v>66.79000000000001</v>
      </c>
      <c r="E7156" s="538" t="n">
        <v>83.5</v>
      </c>
    </row>
    <row r="7157">
      <c r="A7157" s="544" t="n">
        <v>39227</v>
      </c>
      <c r="B7157" s="538" t="n">
        <v>70.72</v>
      </c>
      <c r="C7157" s="538" t="n">
        <v>64.59</v>
      </c>
      <c r="D7157" s="538" t="n">
        <v>66.45999999999999</v>
      </c>
      <c r="E7157" s="538" t="n">
        <v>83.3</v>
      </c>
    </row>
    <row r="7158">
      <c r="A7158" s="544" t="n">
        <v>39230</v>
      </c>
      <c r="B7158" s="538" t="n">
        <v>70.72</v>
      </c>
      <c r="C7158" s="538" t="n">
        <v>64.59</v>
      </c>
      <c r="D7158" s="538" t="n">
        <v>65.62</v>
      </c>
      <c r="E7158" s="538" t="n">
        <v>83.05</v>
      </c>
    </row>
    <row r="7159">
      <c r="A7159" s="544" t="n">
        <v>39231</v>
      </c>
      <c r="B7159" s="538" t="n">
        <v>69.31</v>
      </c>
      <c r="C7159" s="538" t="n">
        <v>63.19</v>
      </c>
      <c r="D7159" s="538" t="n">
        <v>64.09</v>
      </c>
      <c r="E7159" s="538" t="n">
        <v>82.3</v>
      </c>
    </row>
    <row r="7160">
      <c r="A7160" s="544" t="n">
        <v>39232</v>
      </c>
      <c r="B7160" s="538" t="n">
        <v>67.64</v>
      </c>
      <c r="C7160" s="538" t="n">
        <v>63.47</v>
      </c>
      <c r="D7160" s="538" t="n">
        <v>63.48</v>
      </c>
      <c r="E7160" s="538" t="n">
        <v>81.95</v>
      </c>
    </row>
    <row r="7161">
      <c r="A7161" s="544" t="n">
        <v>39233</v>
      </c>
      <c r="B7161" s="538" t="n">
        <v>68.18000000000001</v>
      </c>
      <c r="C7161" s="538" t="n">
        <v>64.02</v>
      </c>
      <c r="D7161" s="538" t="n">
        <v>64.09999999999999</v>
      </c>
      <c r="E7161" s="538" t="n">
        <v>81.95</v>
      </c>
    </row>
    <row r="7162">
      <c r="A7162" s="544" t="n">
        <v>39234</v>
      </c>
      <c r="B7162" s="538" t="n">
        <v>68.65000000000001</v>
      </c>
      <c r="C7162" s="538" t="n">
        <v>65.09</v>
      </c>
      <c r="D7162" s="538" t="n">
        <v>64.02</v>
      </c>
      <c r="E7162" s="538" t="n">
        <v>81.45</v>
      </c>
    </row>
    <row r="7163">
      <c r="A7163" s="544" t="n">
        <v>39237</v>
      </c>
      <c r="B7163" s="538" t="n">
        <v>70.90000000000001</v>
      </c>
      <c r="C7163" s="538" t="n">
        <v>66.17</v>
      </c>
      <c r="D7163" s="538" t="n">
        <v>64.98</v>
      </c>
      <c r="E7163" s="538" t="n">
        <v>82.5</v>
      </c>
    </row>
    <row r="7164">
      <c r="A7164" s="544" t="n">
        <v>39238</v>
      </c>
      <c r="B7164" s="538" t="n">
        <v>71.36</v>
      </c>
      <c r="C7164" s="538" t="n">
        <v>65.63</v>
      </c>
      <c r="D7164" s="538" t="n">
        <v>64.88</v>
      </c>
      <c r="E7164" s="538" t="n">
        <v>83.2</v>
      </c>
    </row>
    <row r="7165">
      <c r="A7165" s="544" t="n">
        <v>39239</v>
      </c>
      <c r="B7165" s="538" t="n">
        <v>71.5</v>
      </c>
      <c r="C7165" s="538" t="n">
        <v>65.97</v>
      </c>
      <c r="D7165" s="538" t="n">
        <v>65.15000000000001</v>
      </c>
      <c r="E7165" s="538" t="n">
        <v>82.8</v>
      </c>
    </row>
    <row r="7166">
      <c r="A7166" s="544" t="n">
        <v>39240</v>
      </c>
      <c r="B7166" s="538" t="n">
        <v>72.36</v>
      </c>
      <c r="C7166" s="538" t="n">
        <v>66.93000000000001</v>
      </c>
      <c r="D7166" s="538" t="n">
        <v>65.52</v>
      </c>
      <c r="E7166" s="538" t="n">
        <v>83</v>
      </c>
    </row>
    <row r="7167">
      <c r="A7167" s="544" t="n">
        <v>39241</v>
      </c>
      <c r="B7167" s="538" t="n">
        <v>70.04000000000001</v>
      </c>
      <c r="C7167" s="538" t="n">
        <v>64.78</v>
      </c>
      <c r="D7167" s="538" t="n">
        <v>63.27</v>
      </c>
      <c r="E7167" s="538" t="n">
        <v>81.7</v>
      </c>
    </row>
    <row r="7168">
      <c r="A7168" s="544" t="n">
        <v>39244</v>
      </c>
      <c r="B7168" s="538" t="n">
        <v>68.84999999999999</v>
      </c>
      <c r="C7168" s="538" t="n">
        <v>65.93000000000001</v>
      </c>
      <c r="D7168" s="538" t="n">
        <v>64.61</v>
      </c>
      <c r="E7168" s="538" t="n">
        <v>81.34999999999999</v>
      </c>
    </row>
    <row r="7169">
      <c r="A7169" s="544" t="n">
        <v>39245</v>
      </c>
      <c r="B7169" s="538" t="n">
        <v>68.56</v>
      </c>
      <c r="C7169" s="538" t="n">
        <v>65.36</v>
      </c>
      <c r="D7169" s="538" t="n">
        <v>63.74</v>
      </c>
      <c r="E7169" s="538" t="n">
        <v>81.8</v>
      </c>
    </row>
    <row r="7170">
      <c r="A7170" s="544" t="n">
        <v>39246</v>
      </c>
      <c r="B7170" s="538" t="n">
        <v>69.23999999999999</v>
      </c>
      <c r="C7170" s="538" t="n">
        <v>66.17</v>
      </c>
      <c r="D7170" s="538" t="n">
        <v>65.13</v>
      </c>
      <c r="E7170" s="538" t="n">
        <v>81.84999999999999</v>
      </c>
    </row>
    <row r="7171">
      <c r="A7171" s="544" t="n">
        <v>39247</v>
      </c>
      <c r="B7171" s="538" t="n">
        <v>71.18000000000001</v>
      </c>
      <c r="C7171" s="538" t="n">
        <v>67.62</v>
      </c>
      <c r="D7171" s="538" t="n">
        <v>66.48</v>
      </c>
      <c r="E7171" s="538" t="n">
        <v>83.3</v>
      </c>
    </row>
    <row r="7172">
      <c r="A7172" s="544" t="n">
        <v>39248</v>
      </c>
      <c r="B7172" s="538" t="n">
        <v>71.63</v>
      </c>
      <c r="C7172" s="538" t="n">
        <v>68.04000000000001</v>
      </c>
      <c r="D7172" s="538" t="n">
        <v>67.40000000000001</v>
      </c>
      <c r="E7172" s="538" t="n">
        <v>84.15000000000001</v>
      </c>
    </row>
    <row r="7173">
      <c r="A7173" s="544" t="n">
        <v>39251</v>
      </c>
      <c r="B7173" s="538" t="n">
        <v>72.33</v>
      </c>
      <c r="C7173" s="538" t="n">
        <v>69.06</v>
      </c>
      <c r="D7173" s="538" t="n">
        <v>67.73999999999999</v>
      </c>
      <c r="E7173" s="538" t="n">
        <v>84.55</v>
      </c>
    </row>
    <row r="7174">
      <c r="A7174" s="544" t="n">
        <v>39252</v>
      </c>
      <c r="B7174" s="538" t="n">
        <v>72.17</v>
      </c>
      <c r="C7174" s="538" t="n">
        <v>69.15000000000001</v>
      </c>
      <c r="D7174" s="538" t="n">
        <v>67.34999999999999</v>
      </c>
      <c r="E7174" s="538" t="n">
        <v>85.09999999999999</v>
      </c>
    </row>
    <row r="7175">
      <c r="A7175" s="544" t="n">
        <v>39253</v>
      </c>
      <c r="B7175" s="538" t="n">
        <v>70.55</v>
      </c>
      <c r="C7175" s="538" t="n">
        <v>68.5</v>
      </c>
      <c r="D7175" s="538" t="n">
        <v>65.79000000000001</v>
      </c>
      <c r="E7175" s="538" t="n">
        <v>85.05</v>
      </c>
    </row>
    <row r="7176">
      <c r="A7176" s="544" t="n">
        <v>39254</v>
      </c>
      <c r="B7176" s="538" t="n">
        <v>71.81</v>
      </c>
      <c r="C7176" s="538" t="n">
        <v>68.34999999999999</v>
      </c>
      <c r="D7176" s="538" t="n">
        <v>65.55</v>
      </c>
      <c r="E7176" s="538" t="n">
        <v>85.45</v>
      </c>
    </row>
    <row r="7177">
      <c r="A7177" s="544" t="n">
        <v>39255</v>
      </c>
      <c r="B7177" s="538" t="n">
        <v>72.04000000000001</v>
      </c>
      <c r="C7177" s="538" t="n">
        <v>68.84999999999999</v>
      </c>
      <c r="D7177" s="538" t="n">
        <v>67.04000000000001</v>
      </c>
      <c r="E7177" s="538" t="n">
        <v>85.25</v>
      </c>
    </row>
    <row r="7178">
      <c r="A7178" s="544" t="n">
        <v>39258</v>
      </c>
      <c r="B7178" s="538" t="n">
        <v>71.36</v>
      </c>
      <c r="C7178" s="538" t="n">
        <v>68.83</v>
      </c>
      <c r="D7178" s="538" t="n">
        <v>67.14</v>
      </c>
      <c r="E7178" s="538" t="n">
        <v>84.75</v>
      </c>
    </row>
    <row r="7179">
      <c r="A7179" s="544" t="n">
        <v>39259</v>
      </c>
      <c r="B7179" s="538" t="n">
        <v>71.41</v>
      </c>
      <c r="C7179" s="538" t="n">
        <v>67.78</v>
      </c>
      <c r="D7179" s="538" t="n">
        <v>66.09999999999999</v>
      </c>
      <c r="E7179" s="538" t="n">
        <v>85.34999999999999</v>
      </c>
    </row>
    <row r="7180">
      <c r="A7180" s="544" t="n">
        <v>39260</v>
      </c>
      <c r="B7180" s="538" t="n">
        <v>71.84</v>
      </c>
      <c r="C7180" s="538" t="n">
        <v>68.98</v>
      </c>
      <c r="D7180" s="538" t="n">
        <v>66.13</v>
      </c>
      <c r="E7180" s="538" t="n">
        <v>84.3</v>
      </c>
    </row>
    <row r="7181">
      <c r="A7181" s="544" t="n">
        <v>39261</v>
      </c>
      <c r="B7181" s="538" t="n">
        <v>71.95999999999999</v>
      </c>
      <c r="C7181" s="538" t="n">
        <v>69.61</v>
      </c>
      <c r="D7181" s="538" t="n">
        <v>66.04000000000001</v>
      </c>
      <c r="E7181" s="538" t="n">
        <v>85.34999999999999</v>
      </c>
    </row>
    <row r="7182">
      <c r="A7182" s="544" t="n">
        <v>39262</v>
      </c>
      <c r="B7182" s="538" t="n">
        <v>72.22</v>
      </c>
      <c r="C7182" s="538" t="n">
        <v>70.47</v>
      </c>
      <c r="D7182" s="538" t="n">
        <v>67.14</v>
      </c>
      <c r="E7182" s="538" t="n">
        <v>84.09999999999999</v>
      </c>
    </row>
    <row r="7183">
      <c r="A7183" s="544" t="n">
        <v>39265</v>
      </c>
      <c r="B7183" s="538" t="n">
        <v>72.90000000000001</v>
      </c>
      <c r="C7183" s="538" t="n">
        <v>71.11</v>
      </c>
      <c r="D7183" s="538" t="n">
        <v>68.48999999999999</v>
      </c>
      <c r="E7183" s="538" t="n">
        <v>85.05</v>
      </c>
    </row>
    <row r="7184">
      <c r="A7184" s="544" t="n">
        <v>39266</v>
      </c>
      <c r="B7184" s="538" t="n">
        <v>74.26000000000001</v>
      </c>
      <c r="C7184" s="538" t="n">
        <v>71.41</v>
      </c>
      <c r="D7184" s="538" t="n">
        <v>68.41</v>
      </c>
      <c r="E7184" s="538" t="n">
        <v>84.45</v>
      </c>
    </row>
    <row r="7185">
      <c r="A7185" s="544" t="n">
        <v>39267</v>
      </c>
      <c r="B7185" s="538" t="n">
        <v>74.26000000000001</v>
      </c>
      <c r="C7185" s="538" t="n">
        <v>71.41</v>
      </c>
      <c r="D7185" s="538" t="n">
        <v>68.34</v>
      </c>
      <c r="E7185" s="538" t="n">
        <v>85.3</v>
      </c>
    </row>
    <row r="7186">
      <c r="A7186" s="544" t="n">
        <v>39268</v>
      </c>
      <c r="B7186" s="538" t="n">
        <v>75.40000000000001</v>
      </c>
      <c r="C7186" s="538" t="n">
        <v>71.81</v>
      </c>
      <c r="D7186" s="538" t="n">
        <v>70.37</v>
      </c>
      <c r="E7186" s="538" t="n">
        <v>85.40000000000001</v>
      </c>
    </row>
    <row r="7187">
      <c r="A7187" s="544" t="n">
        <v>39269</v>
      </c>
      <c r="B7187" s="538" t="n">
        <v>76.58</v>
      </c>
      <c r="C7187" s="538" t="n">
        <v>72.8</v>
      </c>
      <c r="D7187" s="538" t="n">
        <v>70.98999999999999</v>
      </c>
      <c r="E7187" s="538" t="n">
        <v>85.75</v>
      </c>
    </row>
    <row r="7188">
      <c r="A7188" s="544" t="n">
        <v>39272</v>
      </c>
      <c r="B7188" s="538" t="n">
        <v>77.09999999999999</v>
      </c>
      <c r="C7188" s="538" t="n">
        <v>72.14</v>
      </c>
      <c r="D7188" s="538" t="n">
        <v>69.55</v>
      </c>
      <c r="E7188" s="538" t="n">
        <v>85.8</v>
      </c>
    </row>
    <row r="7189">
      <c r="A7189" s="544" t="n">
        <v>39273</v>
      </c>
      <c r="B7189" s="538" t="n">
        <v>77.88</v>
      </c>
      <c r="C7189" s="538" t="n">
        <v>72.8</v>
      </c>
      <c r="D7189" s="538" t="n">
        <v>70.43000000000001</v>
      </c>
      <c r="E7189" s="538" t="n">
        <v>86.90000000000001</v>
      </c>
    </row>
    <row r="7190">
      <c r="A7190" s="544" t="n">
        <v>39274</v>
      </c>
      <c r="B7190" s="538" t="n">
        <v>77.44</v>
      </c>
      <c r="C7190" s="538" t="n">
        <v>72.58</v>
      </c>
      <c r="D7190" s="538" t="n">
        <v>69.62</v>
      </c>
      <c r="E7190" s="538" t="n">
        <v>88.05</v>
      </c>
    </row>
    <row r="7191">
      <c r="A7191" s="544" t="n">
        <v>39275</v>
      </c>
      <c r="B7191" s="538" t="n">
        <v>78.23999999999999</v>
      </c>
      <c r="C7191" s="538" t="n">
        <v>72.55</v>
      </c>
      <c r="D7191" s="538" t="n">
        <v>70.65000000000001</v>
      </c>
      <c r="E7191" s="538" t="n">
        <v>87.8</v>
      </c>
    </row>
    <row r="7192">
      <c r="A7192" s="544" t="n">
        <v>39276</v>
      </c>
      <c r="B7192" s="538" t="n">
        <v>78.12</v>
      </c>
      <c r="C7192" s="538" t="n">
        <v>73.89</v>
      </c>
      <c r="D7192" s="538" t="n">
        <v>71.09</v>
      </c>
      <c r="E7192" s="538" t="n">
        <v>88.09999999999999</v>
      </c>
    </row>
    <row r="7193">
      <c r="A7193" s="544" t="n">
        <v>39279</v>
      </c>
      <c r="B7193" s="538" t="n">
        <v>78.17</v>
      </c>
      <c r="C7193" s="538" t="n">
        <v>74.11</v>
      </c>
      <c r="D7193" s="538" t="n">
        <v>69.59</v>
      </c>
      <c r="E7193" s="538" t="n">
        <v>89.5</v>
      </c>
    </row>
    <row r="7194">
      <c r="A7194" s="544" t="n">
        <v>39280</v>
      </c>
      <c r="B7194" s="538" t="n">
        <v>77.59</v>
      </c>
      <c r="C7194" s="538" t="n">
        <v>74.03</v>
      </c>
      <c r="D7194" s="538" t="n">
        <v>69.38</v>
      </c>
      <c r="E7194" s="538" t="n">
        <v>88.09999999999999</v>
      </c>
    </row>
    <row r="7195">
      <c r="A7195" s="544" t="n">
        <v>39281</v>
      </c>
      <c r="B7195" s="538" t="n">
        <v>78</v>
      </c>
      <c r="C7195" s="538" t="n">
        <v>75.03</v>
      </c>
      <c r="D7195" s="538" t="n">
        <v>70.43000000000001</v>
      </c>
      <c r="E7195" s="538" t="n">
        <v>87.65000000000001</v>
      </c>
    </row>
    <row r="7196">
      <c r="A7196" s="544" t="n">
        <v>39282</v>
      </c>
      <c r="B7196" s="538" t="n">
        <v>78.37</v>
      </c>
      <c r="C7196" s="538" t="n">
        <v>75.90000000000001</v>
      </c>
      <c r="D7196" s="538" t="n">
        <v>71.12</v>
      </c>
      <c r="E7196" s="538" t="n">
        <v>89.2</v>
      </c>
    </row>
    <row r="7197">
      <c r="A7197" s="544" t="n">
        <v>39283</v>
      </c>
      <c r="B7197" s="538" t="n">
        <v>79.09</v>
      </c>
      <c r="C7197" s="538" t="n">
        <v>75.53</v>
      </c>
      <c r="D7197" s="538" t="n">
        <v>71.2</v>
      </c>
      <c r="E7197" s="538" t="n">
        <v>89.55</v>
      </c>
    </row>
    <row r="7198">
      <c r="A7198" s="544" t="n">
        <v>39286</v>
      </c>
      <c r="B7198" s="538" t="n">
        <v>78.36</v>
      </c>
      <c r="C7198" s="538" t="n">
        <v>74.65000000000001</v>
      </c>
      <c r="D7198" s="538" t="n">
        <v>70.87</v>
      </c>
      <c r="E7198" s="538" t="n">
        <v>88.45</v>
      </c>
    </row>
    <row r="7199">
      <c r="A7199" s="544" t="n">
        <v>39287</v>
      </c>
      <c r="B7199" s="538" t="n">
        <v>75.88</v>
      </c>
      <c r="C7199" s="538" t="n">
        <v>73.38</v>
      </c>
      <c r="D7199" s="538" t="n">
        <v>68.97</v>
      </c>
      <c r="E7199" s="538" t="n">
        <v>87.09999999999999</v>
      </c>
    </row>
    <row r="7200">
      <c r="A7200" s="544" t="n">
        <v>39288</v>
      </c>
      <c r="B7200" s="538" t="n">
        <v>75.20999999999999</v>
      </c>
      <c r="C7200" s="538" t="n">
        <v>75.73999999999999</v>
      </c>
      <c r="D7200" s="538" t="n">
        <v>71.48</v>
      </c>
      <c r="E7200" s="538" t="n">
        <v>86.5</v>
      </c>
    </row>
    <row r="7201">
      <c r="A7201" s="544" t="n">
        <v>39289</v>
      </c>
      <c r="B7201" s="538" t="n">
        <v>77.28</v>
      </c>
      <c r="C7201" s="538" t="n">
        <v>74.95999999999999</v>
      </c>
      <c r="D7201" s="538" t="n">
        <v>69.20999999999999</v>
      </c>
      <c r="E7201" s="538" t="n">
        <v>88.5</v>
      </c>
    </row>
    <row r="7202">
      <c r="A7202" s="544" t="n">
        <v>39290</v>
      </c>
      <c r="B7202" s="538" t="n">
        <v>76.58</v>
      </c>
      <c r="C7202" s="538" t="n">
        <v>77.03</v>
      </c>
      <c r="D7202" s="538" t="n">
        <v>70.36</v>
      </c>
      <c r="E7202" s="538" t="n">
        <v>86.95</v>
      </c>
    </row>
    <row r="7203">
      <c r="A7203" s="544" t="n">
        <v>39293</v>
      </c>
      <c r="B7203" s="538" t="n">
        <v>76.06999999999999</v>
      </c>
      <c r="C7203" s="538" t="n">
        <v>76.81999999999999</v>
      </c>
      <c r="D7203" s="538" t="n">
        <v>69.40000000000001</v>
      </c>
      <c r="E7203" s="538" t="n">
        <v>87.3</v>
      </c>
    </row>
    <row r="7204">
      <c r="A7204" s="544" t="n">
        <v>39294</v>
      </c>
      <c r="B7204" s="538" t="n">
        <v>77.01000000000001</v>
      </c>
      <c r="C7204" s="538" t="n">
        <v>78.2</v>
      </c>
      <c r="D7204" s="538" t="n">
        <v>70.66</v>
      </c>
      <c r="E7204" s="538" t="n">
        <v>87.55</v>
      </c>
    </row>
    <row r="7205">
      <c r="A7205" s="544" t="n">
        <v>39295</v>
      </c>
      <c r="B7205" s="538" t="n">
        <v>77.11</v>
      </c>
      <c r="C7205" s="538" t="n">
        <v>76.48999999999999</v>
      </c>
      <c r="D7205" s="538" t="n">
        <v>70.01000000000001</v>
      </c>
      <c r="E7205" s="538" t="n">
        <v>87.8</v>
      </c>
    </row>
    <row r="7206">
      <c r="A7206" s="544" t="n">
        <v>39296</v>
      </c>
      <c r="B7206" s="538" t="n">
        <v>76.14</v>
      </c>
      <c r="C7206" s="538" t="n">
        <v>76.84</v>
      </c>
      <c r="D7206" s="538" t="n">
        <v>70.59999999999999</v>
      </c>
      <c r="E7206" s="538" t="n">
        <v>86.40000000000001</v>
      </c>
    </row>
    <row r="7207">
      <c r="A7207" s="544" t="n">
        <v>39297</v>
      </c>
      <c r="B7207" s="538" t="n">
        <v>75.36</v>
      </c>
      <c r="C7207" s="538" t="n">
        <v>75.41</v>
      </c>
      <c r="D7207" s="538" t="n">
        <v>68.95</v>
      </c>
      <c r="E7207" s="538" t="n">
        <v>86.65000000000001</v>
      </c>
    </row>
    <row r="7208">
      <c r="A7208" s="544" t="n">
        <v>39300</v>
      </c>
      <c r="B7208" s="538" t="n">
        <v>72.69</v>
      </c>
      <c r="C7208" s="538" t="n">
        <v>72.03</v>
      </c>
      <c r="D7208" s="538" t="n">
        <v>66.37</v>
      </c>
      <c r="E7208" s="538" t="n">
        <v>85.45</v>
      </c>
    </row>
    <row r="7209">
      <c r="A7209" s="544" t="n">
        <v>39301</v>
      </c>
      <c r="B7209" s="538" t="n">
        <v>70.42</v>
      </c>
      <c r="C7209" s="538" t="n">
        <v>72.25</v>
      </c>
      <c r="D7209" s="538" t="n">
        <v>67.27</v>
      </c>
      <c r="E7209" s="538" t="n">
        <v>83.55</v>
      </c>
    </row>
    <row r="7210">
      <c r="A7210" s="544" t="n">
        <v>39302</v>
      </c>
      <c r="B7210" s="538" t="n">
        <v>70.73</v>
      </c>
      <c r="C7210" s="538" t="n">
        <v>72.23</v>
      </c>
      <c r="D7210" s="538" t="n">
        <v>66.84</v>
      </c>
      <c r="E7210" s="538" t="n">
        <v>83.75</v>
      </c>
    </row>
    <row r="7211">
      <c r="A7211" s="544" t="n">
        <v>39303</v>
      </c>
      <c r="B7211" s="538" t="n">
        <v>70.08</v>
      </c>
      <c r="C7211" s="538" t="n">
        <v>71.62</v>
      </c>
      <c r="D7211" s="538" t="n">
        <v>65.97</v>
      </c>
      <c r="E7211" s="538" t="n">
        <v>83.75</v>
      </c>
    </row>
    <row r="7212">
      <c r="A7212" s="544" t="n">
        <v>39304</v>
      </c>
      <c r="B7212" s="538" t="n">
        <v>69.56999999999999</v>
      </c>
      <c r="C7212" s="538" t="n">
        <v>71.48999999999999</v>
      </c>
      <c r="D7212" s="538" t="n">
        <v>67.15000000000001</v>
      </c>
      <c r="E7212" s="538" t="n">
        <v>83.65000000000001</v>
      </c>
    </row>
    <row r="7213">
      <c r="A7213" s="544" t="n">
        <v>39307</v>
      </c>
      <c r="B7213" s="538" t="n">
        <v>71.3</v>
      </c>
      <c r="C7213" s="538" t="n">
        <v>71.59999999999999</v>
      </c>
      <c r="D7213" s="538" t="n">
        <v>66.2</v>
      </c>
      <c r="E7213" s="538" t="n">
        <v>83.75</v>
      </c>
    </row>
    <row r="7214">
      <c r="A7214" s="544" t="n">
        <v>39308</v>
      </c>
      <c r="B7214" s="538" t="n">
        <v>69.29000000000001</v>
      </c>
      <c r="C7214" s="538" t="n">
        <v>72.40000000000001</v>
      </c>
      <c r="D7214" s="538" t="n">
        <v>67.20999999999999</v>
      </c>
      <c r="E7214" s="538" t="n">
        <v>83.55</v>
      </c>
    </row>
    <row r="7215">
      <c r="A7215" s="544" t="n">
        <v>39309</v>
      </c>
      <c r="B7215" s="538" t="n">
        <v>71.3</v>
      </c>
      <c r="C7215" s="538" t="n">
        <v>73.36</v>
      </c>
      <c r="D7215" s="538" t="n">
        <v>67.86</v>
      </c>
      <c r="E7215" s="538" t="n">
        <v>83.34999999999999</v>
      </c>
    </row>
    <row r="7216">
      <c r="A7216" s="544" t="n">
        <v>39310</v>
      </c>
      <c r="B7216" s="538" t="n">
        <v>68.77</v>
      </c>
      <c r="C7216" s="538" t="n">
        <v>70.98999999999999</v>
      </c>
      <c r="D7216" s="538" t="n">
        <v>66.43000000000001</v>
      </c>
      <c r="E7216" s="538" t="n">
        <v>83.65000000000001</v>
      </c>
    </row>
    <row r="7217">
      <c r="A7217" s="544" t="n">
        <v>39311</v>
      </c>
      <c r="B7217" s="538" t="n">
        <v>69.8</v>
      </c>
      <c r="C7217" s="538" t="n">
        <v>71.90000000000001</v>
      </c>
      <c r="D7217" s="538" t="n">
        <v>67.02</v>
      </c>
      <c r="E7217" s="538" t="n">
        <v>83.2</v>
      </c>
    </row>
    <row r="7218">
      <c r="A7218" s="544" t="n">
        <v>39314</v>
      </c>
      <c r="B7218" s="538" t="n">
        <v>68.37</v>
      </c>
      <c r="C7218" s="538" t="n">
        <v>71.12</v>
      </c>
      <c r="D7218" s="538" t="n">
        <v>66.68000000000001</v>
      </c>
      <c r="E7218" s="538" t="n">
        <v>84.09999999999999</v>
      </c>
    </row>
    <row r="7219">
      <c r="A7219" s="544" t="n">
        <v>39315</v>
      </c>
      <c r="B7219" s="538" t="n">
        <v>67.88</v>
      </c>
      <c r="C7219" s="538" t="n">
        <v>69.48999999999999</v>
      </c>
      <c r="D7219" s="538" t="n">
        <v>65.64</v>
      </c>
      <c r="E7219" s="538" t="n">
        <v>83.90000000000001</v>
      </c>
    </row>
    <row r="7220">
      <c r="A7220" s="544" t="n">
        <v>39316</v>
      </c>
      <c r="B7220" s="538" t="n">
        <v>67.73</v>
      </c>
      <c r="C7220" s="538" t="n">
        <v>69.3</v>
      </c>
      <c r="D7220" s="538" t="n">
        <v>66.06999999999999</v>
      </c>
      <c r="E7220" s="538" t="n">
        <v>82.95</v>
      </c>
    </row>
    <row r="7221">
      <c r="A7221" s="544" t="n">
        <v>39317</v>
      </c>
      <c r="B7221" s="538" t="n">
        <v>68.73</v>
      </c>
      <c r="C7221" s="538" t="n">
        <v>69.86</v>
      </c>
      <c r="D7221" s="538" t="n">
        <v>67.23</v>
      </c>
      <c r="E7221" s="538" t="n">
        <v>82.5</v>
      </c>
    </row>
    <row r="7222">
      <c r="A7222" s="544" t="n">
        <v>39318</v>
      </c>
      <c r="B7222" s="538" t="n">
        <v>69.48999999999999</v>
      </c>
      <c r="C7222" s="538" t="n">
        <v>71.17</v>
      </c>
      <c r="D7222" s="538" t="n">
        <v>67.59999999999999</v>
      </c>
      <c r="E7222" s="538" t="n">
        <v>82.5</v>
      </c>
    </row>
    <row r="7223">
      <c r="A7223" s="544" t="n">
        <v>39321</v>
      </c>
      <c r="B7223" s="538" t="n">
        <v>68.84999999999999</v>
      </c>
      <c r="C7223" s="538" t="n">
        <v>71.98</v>
      </c>
      <c r="D7223" s="538" t="n">
        <v>67.95</v>
      </c>
      <c r="E7223" s="538" t="n">
        <v>83.55</v>
      </c>
    </row>
    <row r="7224">
      <c r="A7224" s="544" t="n">
        <v>39322</v>
      </c>
      <c r="B7224" s="538" t="n">
        <v>69.66</v>
      </c>
      <c r="C7224" s="538" t="n">
        <v>71.79000000000001</v>
      </c>
      <c r="D7224" s="538" t="n">
        <v>67.23999999999999</v>
      </c>
      <c r="E7224" s="538" t="n">
        <v>84.2</v>
      </c>
    </row>
    <row r="7225">
      <c r="A7225" s="544" t="n">
        <v>39323</v>
      </c>
      <c r="B7225" s="538" t="n">
        <v>70.48</v>
      </c>
      <c r="C7225" s="538" t="n">
        <v>73.52</v>
      </c>
      <c r="D7225" s="538" t="n">
        <v>68.83</v>
      </c>
      <c r="E7225" s="538" t="n">
        <v>84.34999999999999</v>
      </c>
    </row>
    <row r="7226">
      <c r="A7226" s="544" t="n">
        <v>39324</v>
      </c>
      <c r="B7226" s="538" t="n">
        <v>71.45999999999999</v>
      </c>
      <c r="C7226" s="538" t="n">
        <v>73.37</v>
      </c>
      <c r="D7226" s="538" t="n">
        <v>68.03</v>
      </c>
      <c r="E7226" s="538" t="n">
        <v>85.40000000000001</v>
      </c>
    </row>
    <row r="7227">
      <c r="A7227" s="544" t="n">
        <v>39325</v>
      </c>
      <c r="B7227" s="538" t="n">
        <v>72.29000000000001</v>
      </c>
      <c r="C7227" s="538" t="n">
        <v>73.98</v>
      </c>
      <c r="D7227" s="538" t="n">
        <v>68.56999999999999</v>
      </c>
      <c r="E7227" s="538" t="n">
        <v>85.5</v>
      </c>
    </row>
    <row r="7228">
      <c r="A7228" s="544" t="n">
        <v>39328</v>
      </c>
      <c r="B7228" s="538" t="n">
        <v>72.29000000000001</v>
      </c>
      <c r="C7228" s="538" t="n">
        <v>73.98</v>
      </c>
      <c r="D7228" s="538" t="n">
        <v>69.89</v>
      </c>
      <c r="E7228" s="538" t="n">
        <v>85.7</v>
      </c>
    </row>
    <row r="7229">
      <c r="A7229" s="544" t="n">
        <v>39329</v>
      </c>
      <c r="B7229" s="538" t="n">
        <v>74.22</v>
      </c>
      <c r="C7229" s="538" t="n">
        <v>75.06999999999999</v>
      </c>
      <c r="D7229" s="538" t="n">
        <v>70.7</v>
      </c>
      <c r="E7229" s="538" t="n">
        <v>85.8</v>
      </c>
    </row>
    <row r="7230">
      <c r="A7230" s="544" t="n">
        <v>39330</v>
      </c>
      <c r="B7230" s="538" t="n">
        <v>74.72</v>
      </c>
      <c r="C7230" s="538" t="n">
        <v>75.73999999999999</v>
      </c>
      <c r="D7230" s="538" t="n">
        <v>71.31</v>
      </c>
      <c r="E7230" s="538" t="n">
        <v>86.15000000000001</v>
      </c>
    </row>
    <row r="7231">
      <c r="A7231" s="544" t="n">
        <v>39331</v>
      </c>
      <c r="B7231" s="538" t="n">
        <v>76.20999999999999</v>
      </c>
      <c r="C7231" s="538" t="n">
        <v>76.34</v>
      </c>
      <c r="D7231" s="538" t="n">
        <v>71.62</v>
      </c>
      <c r="E7231" s="538" t="n">
        <v>87.45</v>
      </c>
    </row>
    <row r="7232">
      <c r="A7232" s="544" t="n">
        <v>39332</v>
      </c>
      <c r="B7232" s="538" t="n">
        <v>75.08</v>
      </c>
      <c r="C7232" s="538" t="n">
        <v>76.7</v>
      </c>
      <c r="D7232" s="538" t="n">
        <v>72.15000000000001</v>
      </c>
      <c r="E7232" s="538" t="n">
        <v>88.45</v>
      </c>
    </row>
    <row r="7233">
      <c r="A7233" s="544" t="n">
        <v>39335</v>
      </c>
      <c r="B7233" s="538" t="n">
        <v>74.97</v>
      </c>
      <c r="C7233" s="538" t="n">
        <v>77.53</v>
      </c>
      <c r="D7233" s="538" t="n">
        <v>73.52</v>
      </c>
      <c r="E7233" s="538" t="n">
        <v>89.34999999999999</v>
      </c>
    </row>
    <row r="7234">
      <c r="A7234" s="544" t="n">
        <v>39336</v>
      </c>
      <c r="B7234" s="538" t="n">
        <v>76.23</v>
      </c>
      <c r="C7234" s="538" t="n">
        <v>78.16</v>
      </c>
      <c r="D7234" s="538" t="n">
        <v>74.34999999999999</v>
      </c>
      <c r="E7234" s="538" t="n">
        <v>90.25</v>
      </c>
    </row>
    <row r="7235">
      <c r="A7235" s="544" t="n">
        <v>39337</v>
      </c>
      <c r="B7235" s="538" t="n">
        <v>77.15000000000001</v>
      </c>
      <c r="C7235" s="538" t="n">
        <v>79.84999999999999</v>
      </c>
      <c r="D7235" s="538" t="n">
        <v>75.29000000000001</v>
      </c>
      <c r="E7235" s="538" t="n">
        <v>90.90000000000001</v>
      </c>
    </row>
    <row r="7236">
      <c r="A7236" s="544" t="n">
        <v>39338</v>
      </c>
      <c r="B7236" s="538" t="n">
        <v>77.84</v>
      </c>
      <c r="C7236" s="538" t="n">
        <v>80.05</v>
      </c>
      <c r="D7236" s="538" t="n">
        <v>75.11</v>
      </c>
      <c r="E7236" s="538" t="n">
        <v>91.3</v>
      </c>
    </row>
    <row r="7237">
      <c r="A7237" s="544" t="n">
        <v>39339</v>
      </c>
      <c r="B7237" s="538" t="n">
        <v>78.27</v>
      </c>
      <c r="C7237" s="538" t="n">
        <v>79.14</v>
      </c>
      <c r="D7237" s="538" t="n">
        <v>72.93000000000001</v>
      </c>
      <c r="E7237" s="538" t="n">
        <v>91.2</v>
      </c>
    </row>
    <row r="7238">
      <c r="A7238" s="544" t="n">
        <v>39342</v>
      </c>
      <c r="B7238" s="538" t="n">
        <v>77.98999999999999</v>
      </c>
      <c r="C7238" s="538" t="n">
        <v>80.55</v>
      </c>
      <c r="D7238" s="538" t="n">
        <v>74.11</v>
      </c>
      <c r="E7238" s="538" t="n">
        <v>90.75</v>
      </c>
    </row>
    <row r="7239">
      <c r="A7239" s="544" t="n">
        <v>39343</v>
      </c>
      <c r="B7239" s="538" t="n">
        <v>77</v>
      </c>
      <c r="C7239" s="538" t="n">
        <v>81.51000000000001</v>
      </c>
      <c r="D7239" s="538" t="n">
        <v>75.13</v>
      </c>
      <c r="E7239" s="538" t="n">
        <v>92.8</v>
      </c>
    </row>
    <row r="7240">
      <c r="A7240" s="544" t="n">
        <v>39344</v>
      </c>
      <c r="B7240" s="538" t="n">
        <v>78.47</v>
      </c>
      <c r="C7240" s="538" t="n">
        <v>81.98999999999999</v>
      </c>
      <c r="D7240" s="538" t="n">
        <v>74.72</v>
      </c>
      <c r="E7240" s="538" t="n">
        <v>93.15000000000001</v>
      </c>
    </row>
    <row r="7241">
      <c r="A7241" s="544" t="n">
        <v>39345</v>
      </c>
      <c r="B7241" s="538" t="n">
        <v>78.48</v>
      </c>
      <c r="C7241" s="538" t="n">
        <v>83.84999999999999</v>
      </c>
      <c r="D7241" s="538" t="n">
        <v>75.65000000000001</v>
      </c>
      <c r="E7241" s="538" t="n">
        <v>92.65000000000001</v>
      </c>
    </row>
    <row r="7242">
      <c r="A7242" s="544" t="n">
        <v>39346</v>
      </c>
      <c r="B7242" s="538" t="n">
        <v>78.91</v>
      </c>
      <c r="C7242" s="538" t="n">
        <v>83.38</v>
      </c>
      <c r="D7242" s="538" t="n">
        <v>75.56</v>
      </c>
      <c r="E7242" s="538" t="n">
        <v>93.2</v>
      </c>
    </row>
    <row r="7243">
      <c r="A7243" s="544" t="n">
        <v>39349</v>
      </c>
      <c r="B7243" s="538" t="n">
        <v>77.87</v>
      </c>
      <c r="C7243" s="538" t="n">
        <v>82.51000000000001</v>
      </c>
      <c r="D7243" s="538" t="n">
        <v>75.56999999999999</v>
      </c>
      <c r="E7243" s="538" t="n">
        <v>92.72</v>
      </c>
    </row>
    <row r="7244">
      <c r="A7244" s="544" t="n">
        <v>39350</v>
      </c>
      <c r="B7244" s="538" t="n">
        <v>76.81999999999999</v>
      </c>
      <c r="C7244" s="538" t="n">
        <v>81.2</v>
      </c>
      <c r="D7244" s="538" t="n">
        <v>74.41</v>
      </c>
      <c r="E7244" s="538" t="n">
        <v>91.90000000000001</v>
      </c>
    </row>
    <row r="7245">
      <c r="A7245" s="544" t="n">
        <v>39351</v>
      </c>
      <c r="B7245" s="538" t="n">
        <v>76.20999999999999</v>
      </c>
      <c r="C7245" s="538" t="n">
        <v>80.31</v>
      </c>
      <c r="D7245" s="538" t="n">
        <v>74.64</v>
      </c>
      <c r="E7245" s="538" t="n">
        <v>90.90000000000001</v>
      </c>
    </row>
    <row r="7246">
      <c r="A7246" s="544" t="n">
        <v>39352</v>
      </c>
      <c r="B7246" s="538" t="n">
        <v>78.88</v>
      </c>
      <c r="C7246" s="538" t="n">
        <v>82.86</v>
      </c>
      <c r="D7246" s="538" t="n">
        <v>76.88</v>
      </c>
      <c r="E7246" s="538" t="n">
        <v>91.65000000000001</v>
      </c>
    </row>
    <row r="7247">
      <c r="A7247" s="544" t="n">
        <v>39353</v>
      </c>
      <c r="B7247" s="538" t="n">
        <v>80.97</v>
      </c>
      <c r="C7247" s="538" t="n">
        <v>81.64</v>
      </c>
      <c r="D7247" s="538" t="n">
        <v>75.94</v>
      </c>
      <c r="E7247" s="538" t="n">
        <v>93.09999999999999</v>
      </c>
    </row>
    <row r="7248">
      <c r="A7248" s="544" t="n">
        <v>39356</v>
      </c>
      <c r="B7248" s="538" t="n">
        <v>78.33</v>
      </c>
      <c r="C7248" s="538" t="n">
        <v>80.31</v>
      </c>
      <c r="D7248" s="538" t="n">
        <v>74</v>
      </c>
      <c r="E7248" s="538" t="n">
        <v>91.8</v>
      </c>
    </row>
    <row r="7249">
      <c r="A7249" s="544" t="n">
        <v>39357</v>
      </c>
      <c r="B7249" s="538" t="n">
        <v>76.87</v>
      </c>
      <c r="C7249" s="538" t="n">
        <v>80</v>
      </c>
      <c r="D7249" s="538" t="n">
        <v>74.51000000000001</v>
      </c>
      <c r="E7249" s="538" t="n">
        <v>90.45</v>
      </c>
    </row>
    <row r="7250">
      <c r="A7250" s="544" t="n">
        <v>39358</v>
      </c>
      <c r="B7250" s="538" t="n">
        <v>77.8</v>
      </c>
      <c r="C7250" s="538" t="n">
        <v>79.97</v>
      </c>
      <c r="D7250" s="538" t="n">
        <v>73.27</v>
      </c>
      <c r="E7250" s="538" t="n">
        <v>90.45</v>
      </c>
    </row>
    <row r="7251">
      <c r="A7251" s="544" t="n">
        <v>39359</v>
      </c>
      <c r="B7251" s="538" t="n">
        <v>77.84</v>
      </c>
      <c r="C7251" s="538" t="n">
        <v>81.48</v>
      </c>
      <c r="D7251" s="538" t="n">
        <v>75.36</v>
      </c>
      <c r="E7251" s="538" t="n">
        <v>90.84999999999999</v>
      </c>
    </row>
    <row r="7252">
      <c r="A7252" s="544" t="n">
        <v>39360</v>
      </c>
      <c r="B7252" s="538" t="n">
        <v>79.05</v>
      </c>
      <c r="C7252" s="538" t="n">
        <v>81.2</v>
      </c>
      <c r="D7252" s="538" t="n">
        <v>74.94</v>
      </c>
      <c r="E7252" s="538" t="n">
        <v>92.84999999999999</v>
      </c>
    </row>
    <row r="7253">
      <c r="A7253" s="544" t="n">
        <v>39363</v>
      </c>
      <c r="B7253" s="538" t="n">
        <v>76.94</v>
      </c>
      <c r="C7253" s="538" t="n">
        <v>78.97</v>
      </c>
      <c r="D7253" s="538" t="n">
        <v>73.62</v>
      </c>
      <c r="E7253" s="538" t="n">
        <v>92.75</v>
      </c>
    </row>
    <row r="7254">
      <c r="A7254" s="544" t="n">
        <v>39364</v>
      </c>
      <c r="B7254" s="538" t="n">
        <v>77.81999999999999</v>
      </c>
      <c r="C7254" s="538" t="n">
        <v>80.23</v>
      </c>
      <c r="D7254" s="538" t="n">
        <v>74.37</v>
      </c>
      <c r="E7254" s="538" t="n">
        <v>91.8</v>
      </c>
    </row>
    <row r="7255">
      <c r="A7255" s="544" t="n">
        <v>39365</v>
      </c>
      <c r="B7255" s="538" t="n">
        <v>77.84999999999999</v>
      </c>
      <c r="C7255" s="538" t="n">
        <v>81.3</v>
      </c>
      <c r="D7255" s="538" t="n">
        <v>75.45</v>
      </c>
      <c r="E7255" s="538" t="n">
        <v>92.55</v>
      </c>
    </row>
    <row r="7256">
      <c r="A7256" s="544" t="n">
        <v>39366</v>
      </c>
      <c r="B7256" s="538" t="n">
        <v>80.83</v>
      </c>
      <c r="C7256" s="538" t="n">
        <v>83.05</v>
      </c>
      <c r="D7256" s="538" t="n">
        <v>77.01000000000001</v>
      </c>
      <c r="E7256" s="538" t="n">
        <v>93.75</v>
      </c>
    </row>
    <row r="7257">
      <c r="A7257" s="544" t="n">
        <v>39367</v>
      </c>
      <c r="B7257" s="538" t="n">
        <v>80.81999999999999</v>
      </c>
      <c r="C7257" s="538" t="n">
        <v>83.73</v>
      </c>
      <c r="D7257" s="538" t="n">
        <v>77.09</v>
      </c>
      <c r="E7257" s="538" t="n">
        <v>94.45</v>
      </c>
    </row>
    <row r="7258">
      <c r="A7258" s="544" t="n">
        <v>39370</v>
      </c>
      <c r="B7258" s="538" t="n">
        <v>82.5</v>
      </c>
      <c r="C7258" s="538" t="n">
        <v>86.19</v>
      </c>
      <c r="D7258" s="538" t="n">
        <v>79.52</v>
      </c>
      <c r="E7258" s="538" t="n">
        <v>95.45</v>
      </c>
    </row>
    <row r="7259">
      <c r="A7259" s="544" t="n">
        <v>39371</v>
      </c>
      <c r="B7259" s="538" t="n">
        <v>84.43000000000001</v>
      </c>
      <c r="C7259" s="538" t="n">
        <v>87.58</v>
      </c>
      <c r="D7259" s="538" t="n">
        <v>79.06</v>
      </c>
      <c r="E7259" s="538" t="n">
        <v>98.40000000000001</v>
      </c>
    </row>
    <row r="7260">
      <c r="A7260" s="544" t="n">
        <v>39372</v>
      </c>
      <c r="B7260" s="538" t="n">
        <v>85.23999999999999</v>
      </c>
      <c r="C7260" s="538" t="n">
        <v>87.19</v>
      </c>
      <c r="D7260" s="538" t="n">
        <v>78.03</v>
      </c>
      <c r="E7260" s="538" t="n">
        <v>98.84999999999999</v>
      </c>
    </row>
    <row r="7261">
      <c r="A7261" s="544" t="n">
        <v>39373</v>
      </c>
      <c r="B7261" s="538" t="n">
        <v>85.03</v>
      </c>
      <c r="C7261" s="538" t="n">
        <v>89.48</v>
      </c>
      <c r="D7261" s="538" t="n">
        <v>79.89</v>
      </c>
      <c r="E7261" s="538" t="n">
        <v>99</v>
      </c>
    </row>
    <row r="7262">
      <c r="A7262" s="544" t="n">
        <v>39374</v>
      </c>
      <c r="B7262" s="538" t="n">
        <v>84.25</v>
      </c>
      <c r="C7262" s="538" t="n">
        <v>88.58</v>
      </c>
      <c r="D7262" s="538" t="n">
        <v>78.47</v>
      </c>
      <c r="E7262" s="538" t="n">
        <v>99.92</v>
      </c>
    </row>
    <row r="7263">
      <c r="A7263" s="544" t="n">
        <v>39377</v>
      </c>
      <c r="B7263" s="538" t="n">
        <v>82.72</v>
      </c>
      <c r="C7263" s="538" t="n">
        <v>87.59999999999999</v>
      </c>
      <c r="D7263" s="538" t="n">
        <v>78.25</v>
      </c>
      <c r="E7263" s="538" t="n">
        <v>98.5</v>
      </c>
    </row>
    <row r="7264">
      <c r="A7264" s="544" t="n">
        <v>39378</v>
      </c>
      <c r="B7264" s="538" t="n">
        <v>82.31</v>
      </c>
      <c r="C7264" s="538" t="n">
        <v>86.45</v>
      </c>
      <c r="D7264" s="538" t="n">
        <v>78.09999999999999</v>
      </c>
      <c r="E7264" s="538" t="n">
        <v>98</v>
      </c>
    </row>
    <row r="7265">
      <c r="A7265" s="544" t="n">
        <v>39379</v>
      </c>
      <c r="B7265" s="538" t="n">
        <v>83.47</v>
      </c>
      <c r="C7265" s="538" t="n">
        <v>88.3</v>
      </c>
      <c r="D7265" s="538" t="n">
        <v>80.72</v>
      </c>
      <c r="E7265" s="538" t="n">
        <v>97.95</v>
      </c>
    </row>
    <row r="7266">
      <c r="A7266" s="544" t="n">
        <v>39380</v>
      </c>
      <c r="B7266" s="538" t="n">
        <v>85.40000000000001</v>
      </c>
      <c r="C7266" s="538" t="n">
        <v>92.09</v>
      </c>
      <c r="D7266" s="538" t="n">
        <v>82.44</v>
      </c>
      <c r="E7266" s="538" t="n">
        <v>101.3</v>
      </c>
    </row>
    <row r="7267">
      <c r="A7267" s="544" t="n">
        <v>39381</v>
      </c>
      <c r="B7267" s="538" t="n">
        <v>84.70999999999999</v>
      </c>
      <c r="C7267" s="538" t="n">
        <v>91.73</v>
      </c>
      <c r="D7267" s="538" t="n">
        <v>83.73999999999999</v>
      </c>
      <c r="E7267" s="538" t="n">
        <v>102.85</v>
      </c>
    </row>
    <row r="7268">
      <c r="A7268" s="544" t="n">
        <v>39384</v>
      </c>
      <c r="B7268" s="538" t="n">
        <v>89.87</v>
      </c>
      <c r="C7268" s="538" t="n">
        <v>93.45</v>
      </c>
      <c r="D7268" s="538" t="n">
        <v>84.53</v>
      </c>
      <c r="E7268" s="538" t="n">
        <v>104</v>
      </c>
    </row>
    <row r="7269">
      <c r="A7269" s="544" t="n">
        <v>39385</v>
      </c>
      <c r="B7269" s="538" t="n">
        <v>89.87</v>
      </c>
      <c r="C7269" s="538" t="n">
        <v>90.33</v>
      </c>
      <c r="D7269" s="538" t="n">
        <v>81.55</v>
      </c>
      <c r="E7269" s="538" t="n">
        <v>104.4</v>
      </c>
    </row>
    <row r="7270">
      <c r="A7270" s="544" t="n">
        <v>39386</v>
      </c>
      <c r="B7270" s="538" t="n">
        <v>89.87</v>
      </c>
      <c r="C7270" s="538" t="n">
        <v>94.16</v>
      </c>
      <c r="D7270" s="538" t="n">
        <v>81.41</v>
      </c>
      <c r="E7270" s="538" t="n">
        <v>103.9</v>
      </c>
    </row>
    <row r="7271">
      <c r="A7271" s="544" t="n">
        <v>39387</v>
      </c>
      <c r="B7271" s="538" t="n">
        <v>90.36</v>
      </c>
      <c r="C7271" s="538" t="n">
        <v>93.53</v>
      </c>
      <c r="D7271" s="538" t="n">
        <v>82.11</v>
      </c>
      <c r="E7271" s="538" t="n">
        <v>110.4</v>
      </c>
    </row>
    <row r="7272">
      <c r="A7272" s="544" t="n">
        <v>39388</v>
      </c>
      <c r="B7272" s="538" t="n">
        <v>92.11</v>
      </c>
      <c r="C7272" s="538" t="n">
        <v>95.81</v>
      </c>
      <c r="D7272" s="538" t="n">
        <v>87.45</v>
      </c>
      <c r="E7272" s="538" t="n">
        <v>111.3</v>
      </c>
    </row>
    <row r="7273">
      <c r="A7273" s="544" t="n">
        <v>39391</v>
      </c>
      <c r="B7273" s="538" t="n">
        <v>92.16</v>
      </c>
      <c r="C7273" s="538" t="n">
        <v>94.06</v>
      </c>
      <c r="D7273" s="538" t="n">
        <v>86.31999999999999</v>
      </c>
      <c r="E7273" s="538" t="n">
        <v>112.8</v>
      </c>
    </row>
    <row r="7274">
      <c r="A7274" s="544" t="n">
        <v>39392</v>
      </c>
      <c r="B7274" s="538" t="n">
        <v>93.98999999999999</v>
      </c>
      <c r="C7274" s="538" t="n">
        <v>96.65000000000001</v>
      </c>
      <c r="D7274" s="538" t="n">
        <v>88.95999999999999</v>
      </c>
      <c r="E7274" s="538" t="n">
        <v>111.7</v>
      </c>
    </row>
    <row r="7275">
      <c r="A7275" s="544" t="n">
        <v>39393</v>
      </c>
      <c r="B7275" s="538" t="n">
        <v>94.84999999999999</v>
      </c>
      <c r="C7275" s="538" t="n">
        <v>96.45999999999999</v>
      </c>
      <c r="D7275" s="538" t="n">
        <v>88.73999999999999</v>
      </c>
      <c r="E7275" s="538" t="n">
        <v>115.2</v>
      </c>
    </row>
    <row r="7276">
      <c r="A7276" s="544" t="n">
        <v>39394</v>
      </c>
      <c r="B7276" s="538" t="n">
        <v>94.40000000000001</v>
      </c>
      <c r="C7276" s="538" t="n">
        <v>95.51000000000001</v>
      </c>
      <c r="D7276" s="538" t="n">
        <v>89.18000000000001</v>
      </c>
      <c r="E7276" s="538" t="n">
        <v>115.2</v>
      </c>
    </row>
    <row r="7277">
      <c r="A7277" s="544" t="n">
        <v>39395</v>
      </c>
      <c r="B7277" s="538" t="n">
        <v>92.31999999999999</v>
      </c>
      <c r="C7277" s="538" t="n">
        <v>96.36</v>
      </c>
      <c r="D7277" s="538" t="n">
        <v>88.8</v>
      </c>
      <c r="E7277" s="538" t="n">
        <v>113.5</v>
      </c>
    </row>
    <row r="7278">
      <c r="A7278" s="544" t="n">
        <v>39398</v>
      </c>
      <c r="B7278" s="538" t="n">
        <v>91.56</v>
      </c>
      <c r="C7278" s="538" t="n">
        <v>94.40000000000001</v>
      </c>
      <c r="D7278" s="538" t="n">
        <v>86.45999999999999</v>
      </c>
      <c r="E7278" s="538" t="n">
        <v>112.55</v>
      </c>
    </row>
    <row r="7279">
      <c r="A7279" s="544" t="n">
        <v>39399</v>
      </c>
      <c r="B7279" s="538" t="n">
        <v>89.09</v>
      </c>
      <c r="C7279" s="538" t="n">
        <v>91.18000000000001</v>
      </c>
      <c r="D7279" s="538" t="n">
        <v>84.38</v>
      </c>
      <c r="E7279" s="538" t="n">
        <v>110.8</v>
      </c>
    </row>
    <row r="7280">
      <c r="A7280" s="544" t="n">
        <v>39400</v>
      </c>
      <c r="B7280" s="538" t="n">
        <v>90.73</v>
      </c>
      <c r="C7280" s="538" t="n">
        <v>94.02</v>
      </c>
      <c r="D7280" s="538" t="n">
        <v>86.95999999999999</v>
      </c>
      <c r="E7280" s="538" t="n">
        <v>108.65</v>
      </c>
    </row>
    <row r="7281">
      <c r="A7281" s="544" t="n">
        <v>39401</v>
      </c>
      <c r="B7281" s="538" t="n">
        <v>90.31999999999999</v>
      </c>
      <c r="C7281" s="538" t="n">
        <v>93.37</v>
      </c>
      <c r="D7281" s="538" t="n">
        <v>85.04000000000001</v>
      </c>
      <c r="E7281" s="538" t="n">
        <v>110.85</v>
      </c>
    </row>
    <row r="7282">
      <c r="A7282" s="544" t="n">
        <v>39402</v>
      </c>
      <c r="B7282" s="538" t="n">
        <v>91.98999999999999</v>
      </c>
      <c r="C7282" s="538" t="n">
        <v>94.81</v>
      </c>
      <c r="D7282" s="538" t="n">
        <v>85.95</v>
      </c>
      <c r="E7282" s="538" t="n">
        <v>110.5</v>
      </c>
    </row>
    <row r="7283">
      <c r="A7283" s="544" t="n">
        <v>39405</v>
      </c>
      <c r="B7283" s="538" t="n">
        <v>91.59</v>
      </c>
      <c r="C7283" s="538" t="n">
        <v>95.75</v>
      </c>
      <c r="D7283" s="538" t="n">
        <v>87.02</v>
      </c>
      <c r="E7283" s="538" t="n">
        <v>112.25</v>
      </c>
    </row>
    <row r="7284">
      <c r="A7284" s="544" t="n">
        <v>39406</v>
      </c>
      <c r="B7284" s="538" t="n">
        <v>94.13</v>
      </c>
      <c r="C7284" s="538" t="n">
        <v>99.16</v>
      </c>
      <c r="D7284" s="538" t="n">
        <v>89.98999999999999</v>
      </c>
      <c r="E7284" s="538" t="n">
        <v>112.75</v>
      </c>
    </row>
    <row r="7285">
      <c r="A7285" s="544" t="n">
        <v>39407</v>
      </c>
      <c r="B7285" s="538" t="n">
        <v>94.97</v>
      </c>
      <c r="C7285" s="538" t="n">
        <v>98.56999999999999</v>
      </c>
      <c r="D7285" s="538" t="n">
        <v>88.87</v>
      </c>
      <c r="E7285" s="538" t="n">
        <v>115.55</v>
      </c>
    </row>
    <row r="7286">
      <c r="A7286" s="544" t="n">
        <v>39408</v>
      </c>
      <c r="B7286" s="538" t="n">
        <v>94.97</v>
      </c>
      <c r="C7286" s="538" t="n">
        <v>98.56999999999999</v>
      </c>
      <c r="D7286" s="538" t="n">
        <v>88.34</v>
      </c>
      <c r="E7286" s="538" t="n">
        <v>116.05</v>
      </c>
    </row>
    <row r="7287">
      <c r="A7287" s="544" t="n">
        <v>39409</v>
      </c>
      <c r="B7287" s="538" t="n">
        <v>95.33</v>
      </c>
      <c r="C7287" s="538" t="n">
        <v>98.23999999999999</v>
      </c>
      <c r="D7287" s="538" t="n">
        <v>89.8</v>
      </c>
      <c r="E7287" s="538" t="n">
        <v>115.8</v>
      </c>
    </row>
    <row r="7288">
      <c r="A7288" s="544" t="n">
        <v>39412</v>
      </c>
      <c r="B7288" s="538" t="n">
        <v>94.88</v>
      </c>
      <c r="C7288" s="538" t="n">
        <v>97.66</v>
      </c>
      <c r="D7288" s="538" t="n">
        <v>88.27</v>
      </c>
      <c r="E7288" s="538" t="n">
        <v>116.45</v>
      </c>
    </row>
    <row r="7289">
      <c r="A7289" s="544" t="n">
        <v>39413</v>
      </c>
      <c r="B7289" s="538" t="n">
        <v>93.23</v>
      </c>
      <c r="C7289" s="538" t="n">
        <v>94.39</v>
      </c>
      <c r="D7289" s="538" t="n">
        <v>86.69</v>
      </c>
      <c r="E7289" s="538" t="n">
        <v>115.25</v>
      </c>
    </row>
    <row r="7290">
      <c r="A7290" s="544" t="n">
        <v>39414</v>
      </c>
      <c r="B7290" s="538" t="n">
        <v>91.64</v>
      </c>
      <c r="C7290" s="538" t="n">
        <v>90.70999999999999</v>
      </c>
      <c r="D7290" s="538" t="n">
        <v>84.55</v>
      </c>
      <c r="E7290" s="538" t="n">
        <v>113.25</v>
      </c>
    </row>
    <row r="7291">
      <c r="A7291" s="544" t="n">
        <v>39415</v>
      </c>
      <c r="B7291" s="538" t="n">
        <v>92.34</v>
      </c>
      <c r="C7291" s="538" t="n">
        <v>90.98</v>
      </c>
      <c r="D7291" s="538" t="n">
        <v>84.56</v>
      </c>
      <c r="E7291" s="538" t="n">
        <v>112.35</v>
      </c>
    </row>
    <row r="7292">
      <c r="A7292" s="544" t="n">
        <v>39416</v>
      </c>
      <c r="B7292" s="538" t="n">
        <v>88.70999999999999</v>
      </c>
      <c r="C7292" s="538" t="n">
        <v>88.59999999999999</v>
      </c>
      <c r="D7292" s="538" t="n">
        <v>83.28</v>
      </c>
      <c r="E7292" s="538" t="n">
        <v>110.27</v>
      </c>
    </row>
    <row r="7293">
      <c r="A7293" s="544" t="n">
        <v>39419</v>
      </c>
      <c r="B7293" s="538" t="n">
        <v>87.84999999999999</v>
      </c>
      <c r="C7293" s="538" t="n">
        <v>89.29000000000001</v>
      </c>
      <c r="D7293" s="538" t="n">
        <v>85.48</v>
      </c>
      <c r="E7293" s="538" t="n">
        <v>107.7</v>
      </c>
    </row>
    <row r="7294">
      <c r="A7294" s="544" t="n">
        <v>39420</v>
      </c>
      <c r="B7294" s="538" t="n">
        <v>89.97</v>
      </c>
      <c r="C7294" s="538" t="n">
        <v>88.31</v>
      </c>
      <c r="D7294" s="538" t="n">
        <v>84.45999999999999</v>
      </c>
      <c r="E7294" s="538" t="n">
        <v>107.45</v>
      </c>
    </row>
    <row r="7295">
      <c r="A7295" s="544" t="n">
        <v>39421</v>
      </c>
      <c r="B7295" s="538" t="n">
        <v>90.7</v>
      </c>
      <c r="C7295" s="538" t="n">
        <v>87.45</v>
      </c>
      <c r="D7295" s="538" t="n">
        <v>83.37</v>
      </c>
      <c r="E7295" s="538" t="n">
        <v>107.15</v>
      </c>
    </row>
    <row r="7296">
      <c r="A7296" s="544" t="n">
        <v>39422</v>
      </c>
      <c r="B7296" s="538" t="n">
        <v>88.45999999999999</v>
      </c>
      <c r="C7296" s="538" t="n">
        <v>90.25</v>
      </c>
      <c r="D7296" s="538" t="n">
        <v>86.09</v>
      </c>
      <c r="E7296" s="538" t="n">
        <v>105</v>
      </c>
    </row>
    <row r="7297">
      <c r="A7297" s="544" t="n">
        <v>39423</v>
      </c>
      <c r="B7297" s="538" t="n">
        <v>88.45999999999999</v>
      </c>
      <c r="C7297" s="538" t="n">
        <v>88.23</v>
      </c>
      <c r="D7297" s="538" t="n">
        <v>83.70999999999999</v>
      </c>
      <c r="E7297" s="538" t="n">
        <v>107.35</v>
      </c>
    </row>
    <row r="7298">
      <c r="A7298" s="544" t="n">
        <v>39426</v>
      </c>
      <c r="B7298" s="538" t="n">
        <v>87.33</v>
      </c>
      <c r="C7298" s="538" t="n">
        <v>87.72</v>
      </c>
      <c r="D7298" s="538" t="n">
        <v>83.88</v>
      </c>
      <c r="E7298" s="538" t="n">
        <v>105.35</v>
      </c>
    </row>
    <row r="7299">
      <c r="A7299" s="544" t="n">
        <v>39427</v>
      </c>
      <c r="B7299" s="538" t="n">
        <v>87.77</v>
      </c>
      <c r="C7299" s="538" t="n">
        <v>90.12</v>
      </c>
      <c r="D7299" s="538" t="n">
        <v>84.67</v>
      </c>
      <c r="E7299" s="538" t="n">
        <v>105.65</v>
      </c>
    </row>
    <row r="7300">
      <c r="A7300" s="544" t="n">
        <v>39428</v>
      </c>
      <c r="B7300" s="538" t="n">
        <v>91.69</v>
      </c>
      <c r="C7300" s="538" t="n">
        <v>94.41</v>
      </c>
      <c r="D7300" s="538" t="n">
        <v>83.95</v>
      </c>
      <c r="E7300" s="538" t="n">
        <v>106.75</v>
      </c>
    </row>
    <row r="7301">
      <c r="A7301" s="544" t="n">
        <v>39429</v>
      </c>
      <c r="B7301" s="538" t="n">
        <v>92.56999999999999</v>
      </c>
      <c r="C7301" s="538" t="n">
        <v>92.34999999999999</v>
      </c>
      <c r="D7301" s="538" t="n">
        <v>86.31999999999999</v>
      </c>
      <c r="E7301" s="538" t="n">
        <v>110.45</v>
      </c>
    </row>
    <row r="7302">
      <c r="A7302" s="544" t="n">
        <v>39430</v>
      </c>
      <c r="B7302" s="538" t="n">
        <v>91.86</v>
      </c>
      <c r="C7302" s="538" t="n">
        <v>91.31</v>
      </c>
      <c r="D7302" s="538" t="n">
        <v>86.64</v>
      </c>
      <c r="E7302" s="538" t="n">
        <v>111</v>
      </c>
    </row>
    <row r="7303">
      <c r="A7303" s="544" t="n">
        <v>39433</v>
      </c>
      <c r="B7303" s="538" t="n">
        <v>90.31999999999999</v>
      </c>
      <c r="C7303" s="538" t="n">
        <v>90.69</v>
      </c>
      <c r="D7303" s="538" t="n">
        <v>86.53</v>
      </c>
      <c r="E7303" s="538" t="n">
        <v>110.95</v>
      </c>
    </row>
    <row r="7304">
      <c r="A7304" s="544" t="n">
        <v>39434</v>
      </c>
      <c r="B7304" s="538" t="n">
        <v>90.70999999999999</v>
      </c>
      <c r="C7304" s="538" t="n">
        <v>89.93000000000001</v>
      </c>
      <c r="D7304" s="538" t="n">
        <v>85.37</v>
      </c>
      <c r="E7304" s="538" t="n">
        <v>109.8</v>
      </c>
    </row>
    <row r="7305">
      <c r="A7305" s="544" t="n">
        <v>39435</v>
      </c>
      <c r="B7305" s="538" t="n">
        <v>90.98</v>
      </c>
      <c r="C7305" s="538" t="n">
        <v>91.11</v>
      </c>
      <c r="D7305" s="538" t="n">
        <v>86.59999999999999</v>
      </c>
      <c r="E7305" s="538" t="n">
        <v>107.9</v>
      </c>
    </row>
    <row r="7306">
      <c r="A7306" s="544" t="n">
        <v>39436</v>
      </c>
      <c r="B7306" s="538" t="n">
        <v>91.06</v>
      </c>
      <c r="C7306" s="538" t="n">
        <v>90.88</v>
      </c>
      <c r="D7306" s="538" t="n">
        <v>85.92</v>
      </c>
      <c r="E7306" s="538" t="n">
        <v>107.9</v>
      </c>
    </row>
    <row r="7307">
      <c r="A7307" s="544" t="n">
        <v>39437</v>
      </c>
      <c r="B7307" s="538" t="n">
        <v>91.03</v>
      </c>
      <c r="C7307" s="538" t="n">
        <v>93.19</v>
      </c>
      <c r="D7307" s="538" t="n">
        <v>87.5</v>
      </c>
      <c r="E7307" s="538" t="n">
        <v>108</v>
      </c>
    </row>
    <row r="7308">
      <c r="A7308" s="544" t="n">
        <v>39440</v>
      </c>
      <c r="B7308" s="538" t="n">
        <v>91.59</v>
      </c>
      <c r="C7308" s="538" t="n">
        <v>94</v>
      </c>
      <c r="D7308" s="538" t="n">
        <v>87.59</v>
      </c>
      <c r="E7308" s="538" t="n">
        <v>108</v>
      </c>
    </row>
    <row r="7309">
      <c r="A7309" s="544" t="n">
        <v>39441</v>
      </c>
      <c r="B7309" s="538" t="n">
        <v>91.59</v>
      </c>
      <c r="C7309" s="538" t="n">
        <v>94</v>
      </c>
      <c r="D7309" s="538" t="n">
        <v>87.59</v>
      </c>
      <c r="E7309" s="538" t="n">
        <v>108</v>
      </c>
    </row>
    <row r="7310">
      <c r="A7310" s="544" t="n">
        <v>39442</v>
      </c>
      <c r="B7310" s="538" t="n">
        <v>91.59</v>
      </c>
      <c r="C7310" s="538" t="n">
        <v>95.89</v>
      </c>
      <c r="D7310" s="538" t="n">
        <v>87.59</v>
      </c>
      <c r="E7310" s="538" t="n">
        <v>109.6</v>
      </c>
    </row>
    <row r="7311">
      <c r="A7311" s="544" t="n">
        <v>39443</v>
      </c>
      <c r="B7311" s="538" t="n">
        <v>95.66</v>
      </c>
      <c r="C7311" s="538" t="n">
        <v>96.63</v>
      </c>
      <c r="D7311" s="538" t="n">
        <v>89.33</v>
      </c>
      <c r="E7311" s="538" t="n">
        <v>110.3</v>
      </c>
    </row>
    <row r="7312">
      <c r="A7312" s="544" t="n">
        <v>39444</v>
      </c>
      <c r="B7312" s="538" t="n">
        <v>95.92</v>
      </c>
      <c r="C7312" s="538" t="n">
        <v>96.03</v>
      </c>
      <c r="D7312" s="538" t="n">
        <v>88.29000000000001</v>
      </c>
      <c r="E7312" s="538" t="n">
        <v>110.5</v>
      </c>
    </row>
    <row r="7313">
      <c r="A7313" s="544" t="n">
        <v>39447</v>
      </c>
      <c r="B7313" s="538" t="n">
        <v>93.68000000000001</v>
      </c>
      <c r="C7313" s="538" t="n">
        <v>95.95</v>
      </c>
      <c r="D7313" s="538" t="n">
        <v>88.45999999999999</v>
      </c>
      <c r="E7313" s="538" t="n">
        <v>110.5</v>
      </c>
    </row>
    <row r="7314">
      <c r="A7314" s="544" t="n">
        <v>39448</v>
      </c>
      <c r="B7314" s="538" t="n">
        <v>93.68000000000001</v>
      </c>
      <c r="C7314" s="538" t="n">
        <v>95.95</v>
      </c>
      <c r="D7314" s="538" t="n">
        <v>88.45999999999999</v>
      </c>
      <c r="E7314" s="538" t="n">
        <v>110.5</v>
      </c>
    </row>
    <row r="7315">
      <c r="A7315" s="544" t="n">
        <v>39449</v>
      </c>
      <c r="B7315" s="538" t="n">
        <v>97.01000000000001</v>
      </c>
      <c r="C7315" s="538" t="n">
        <v>99.64</v>
      </c>
      <c r="D7315" s="538" t="n">
        <v>92.36</v>
      </c>
      <c r="E7315" s="538" t="n">
        <v>110.6</v>
      </c>
    </row>
    <row r="7316">
      <c r="A7316" s="544" t="n">
        <v>39450</v>
      </c>
      <c r="B7316" s="538" t="n">
        <v>98.45</v>
      </c>
      <c r="C7316" s="538" t="n">
        <v>99.17</v>
      </c>
      <c r="D7316" s="538" t="n">
        <v>92.28</v>
      </c>
      <c r="E7316" s="538" t="n">
        <v>113.7</v>
      </c>
    </row>
    <row r="7317">
      <c r="A7317" s="544" t="n">
        <v>39451</v>
      </c>
      <c r="B7317" s="538" t="n">
        <v>96.87</v>
      </c>
      <c r="C7317" s="538" t="n">
        <v>97.90000000000001</v>
      </c>
      <c r="D7317" s="538" t="n">
        <v>91.63</v>
      </c>
      <c r="E7317" s="538" t="n">
        <v>112.39</v>
      </c>
    </row>
    <row r="7318">
      <c r="A7318" s="544" t="n">
        <v>39454</v>
      </c>
      <c r="B7318" s="538" t="n">
        <v>94.19</v>
      </c>
      <c r="C7318" s="538" t="n">
        <v>95.08</v>
      </c>
      <c r="D7318" s="538" t="n">
        <v>89.45999999999999</v>
      </c>
      <c r="E7318" s="538" t="n">
        <v>110.74</v>
      </c>
    </row>
    <row r="7319">
      <c r="A7319" s="544" t="n">
        <v>39455</v>
      </c>
      <c r="B7319" s="538" t="n">
        <v>96.37</v>
      </c>
      <c r="C7319" s="538" t="n">
        <v>96.43000000000001</v>
      </c>
      <c r="D7319" s="538" t="n">
        <v>90.45999999999999</v>
      </c>
      <c r="E7319" s="538" t="n">
        <v>108.54</v>
      </c>
    </row>
    <row r="7320">
      <c r="A7320" s="544" t="n">
        <v>39456</v>
      </c>
      <c r="B7320" s="538" t="n">
        <v>96.76000000000001</v>
      </c>
      <c r="C7320" s="538" t="n">
        <v>95.64</v>
      </c>
      <c r="D7320" s="538" t="n">
        <v>89.58</v>
      </c>
      <c r="E7320" s="538" t="n">
        <v>109.7</v>
      </c>
    </row>
    <row r="7321">
      <c r="A7321" s="544" t="n">
        <v>39457</v>
      </c>
      <c r="B7321" s="538" t="n">
        <v>92.8</v>
      </c>
      <c r="C7321" s="538" t="n">
        <v>93.92</v>
      </c>
      <c r="D7321" s="538" t="n">
        <v>87.59</v>
      </c>
      <c r="E7321" s="538" t="n">
        <v>108.86</v>
      </c>
    </row>
    <row r="7322">
      <c r="A7322" s="544" t="n">
        <v>39458</v>
      </c>
      <c r="B7322" s="538" t="n">
        <v>91.86</v>
      </c>
      <c r="C7322" s="538" t="n">
        <v>92.73999999999999</v>
      </c>
      <c r="D7322" s="538" t="n">
        <v>86.44</v>
      </c>
      <c r="E7322" s="538" t="n">
        <v>106.95</v>
      </c>
    </row>
    <row r="7323">
      <c r="A7323" s="544" t="n">
        <v>39461</v>
      </c>
      <c r="B7323" s="538" t="n">
        <v>92.58</v>
      </c>
      <c r="C7323" s="538" t="n">
        <v>94.23</v>
      </c>
      <c r="D7323" s="538" t="n">
        <v>88.53</v>
      </c>
      <c r="E7323" s="538" t="n">
        <v>105.58</v>
      </c>
    </row>
    <row r="7324">
      <c r="A7324" s="544" t="n">
        <v>39462</v>
      </c>
      <c r="B7324" s="538" t="n">
        <v>90.87</v>
      </c>
      <c r="C7324" s="538" t="n">
        <v>91.87</v>
      </c>
      <c r="D7324" s="538" t="n">
        <v>85.84999999999999</v>
      </c>
      <c r="E7324" s="538" t="n">
        <v>106.72</v>
      </c>
    </row>
    <row r="7325">
      <c r="A7325" s="544" t="n">
        <v>39463</v>
      </c>
      <c r="B7325" s="538" t="n">
        <v>88.09999999999999</v>
      </c>
      <c r="C7325" s="538" t="n">
        <v>90.8</v>
      </c>
      <c r="D7325" s="538" t="n">
        <v>85.39</v>
      </c>
      <c r="E7325" s="538" t="n">
        <v>104.42</v>
      </c>
    </row>
    <row r="7326">
      <c r="A7326" s="544" t="n">
        <v>39464</v>
      </c>
      <c r="B7326" s="538" t="n">
        <v>88.95999999999999</v>
      </c>
      <c r="C7326" s="538" t="n">
        <v>90.11</v>
      </c>
      <c r="D7326" s="538" t="n">
        <v>84.25</v>
      </c>
      <c r="E7326" s="538" t="n">
        <v>104.7</v>
      </c>
    </row>
    <row r="7327">
      <c r="A7327" s="544" t="n">
        <v>39465</v>
      </c>
      <c r="B7327" s="538" t="n">
        <v>89.66</v>
      </c>
      <c r="C7327" s="538" t="n">
        <v>90.55</v>
      </c>
      <c r="D7327" s="538" t="n">
        <v>85.06</v>
      </c>
      <c r="E7327" s="538" t="n">
        <v>103.5</v>
      </c>
    </row>
    <row r="7328">
      <c r="A7328" s="544" t="n">
        <v>39468</v>
      </c>
      <c r="B7328" s="538" t="n">
        <v>89.66</v>
      </c>
      <c r="C7328" s="538" t="n">
        <v>90.55</v>
      </c>
      <c r="D7328" s="538" t="n">
        <v>83.15000000000001</v>
      </c>
      <c r="E7328" s="538" t="n">
        <v>102.2</v>
      </c>
    </row>
    <row r="7329">
      <c r="A7329" s="544" t="n">
        <v>39469</v>
      </c>
      <c r="B7329" s="538" t="n">
        <v>88.11</v>
      </c>
      <c r="C7329" s="538" t="n">
        <v>89.64</v>
      </c>
      <c r="D7329" s="538" t="n">
        <v>84.63</v>
      </c>
      <c r="E7329" s="538" t="n">
        <v>99.2</v>
      </c>
    </row>
    <row r="7330">
      <c r="A7330" s="544" t="n">
        <v>39470</v>
      </c>
      <c r="B7330" s="538" t="n">
        <v>87.06</v>
      </c>
      <c r="C7330" s="538" t="n">
        <v>87.65000000000001</v>
      </c>
      <c r="D7330" s="538" t="n">
        <v>83.38</v>
      </c>
      <c r="E7330" s="538" t="n">
        <v>102.68</v>
      </c>
    </row>
    <row r="7331">
      <c r="A7331" s="544" t="n">
        <v>39471</v>
      </c>
      <c r="B7331" s="538" t="n">
        <v>87.69</v>
      </c>
      <c r="C7331" s="538" t="n">
        <v>89.98</v>
      </c>
      <c r="D7331" s="538" t="n">
        <v>85.01000000000001</v>
      </c>
      <c r="E7331" s="538" t="n">
        <v>101.87</v>
      </c>
    </row>
    <row r="7332">
      <c r="A7332" s="544" t="n">
        <v>39472</v>
      </c>
      <c r="B7332" s="538" t="n">
        <v>90.95999999999999</v>
      </c>
      <c r="C7332" s="538" t="n">
        <v>90.37</v>
      </c>
      <c r="D7332" s="538" t="n">
        <v>86.84</v>
      </c>
      <c r="E7332" s="538" t="n">
        <v>103.7</v>
      </c>
    </row>
    <row r="7333">
      <c r="A7333" s="544" t="n">
        <v>39475</v>
      </c>
      <c r="B7333" s="538" t="n">
        <v>90.91</v>
      </c>
      <c r="C7333" s="538" t="n">
        <v>90.98999999999999</v>
      </c>
      <c r="D7333" s="538" t="n">
        <v>87.12</v>
      </c>
      <c r="E7333" s="538" t="n">
        <v>102.96</v>
      </c>
    </row>
    <row r="7334">
      <c r="A7334" s="544" t="n">
        <v>39476</v>
      </c>
      <c r="B7334" s="538" t="n">
        <v>92.48999999999999</v>
      </c>
      <c r="C7334" s="538" t="n">
        <v>91.66</v>
      </c>
      <c r="D7334" s="538" t="n">
        <v>88.25</v>
      </c>
      <c r="E7334" s="538" t="n">
        <v>104.71</v>
      </c>
    </row>
    <row r="7335">
      <c r="A7335" s="544" t="n">
        <v>39477</v>
      </c>
      <c r="B7335" s="538" t="n">
        <v>92.45999999999999</v>
      </c>
      <c r="C7335" s="538" t="n">
        <v>92.34</v>
      </c>
      <c r="D7335" s="538" t="n">
        <v>87.42</v>
      </c>
      <c r="E7335" s="538" t="n">
        <v>105.84</v>
      </c>
    </row>
    <row r="7336">
      <c r="A7336" s="544" t="n">
        <v>39478</v>
      </c>
      <c r="B7336" s="538" t="n">
        <v>91.58</v>
      </c>
      <c r="C7336" s="538" t="n">
        <v>91.67</v>
      </c>
      <c r="D7336" s="538" t="n">
        <v>87.44</v>
      </c>
      <c r="E7336" s="538" t="n">
        <v>104.74</v>
      </c>
    </row>
    <row r="7337">
      <c r="A7337" s="544" t="n">
        <v>39479</v>
      </c>
      <c r="B7337" s="538" t="n">
        <v>91.41</v>
      </c>
      <c r="C7337" s="538" t="n">
        <v>89.03</v>
      </c>
      <c r="D7337" s="538" t="n">
        <v>84.70999999999999</v>
      </c>
      <c r="E7337" s="538" t="n">
        <v>105.4</v>
      </c>
    </row>
    <row r="7338">
      <c r="A7338" s="544" t="n">
        <v>39482</v>
      </c>
      <c r="B7338" s="538" t="n">
        <v>91.09</v>
      </c>
      <c r="C7338" s="538" t="n">
        <v>90.06999999999999</v>
      </c>
      <c r="D7338" s="538" t="n">
        <v>86.03</v>
      </c>
      <c r="E7338" s="538" t="n">
        <v>102.77</v>
      </c>
    </row>
    <row r="7339">
      <c r="A7339" s="544" t="n">
        <v>39483</v>
      </c>
      <c r="B7339" s="538" t="n">
        <v>89.59999999999999</v>
      </c>
      <c r="C7339" s="538" t="n">
        <v>88.31999999999999</v>
      </c>
      <c r="D7339" s="538" t="n">
        <v>84.34</v>
      </c>
      <c r="E7339" s="538" t="n">
        <v>104.35</v>
      </c>
    </row>
    <row r="7340">
      <c r="A7340" s="544" t="n">
        <v>39484</v>
      </c>
      <c r="B7340" s="538" t="n">
        <v>88.73</v>
      </c>
      <c r="C7340" s="538" t="n">
        <v>87.16</v>
      </c>
      <c r="D7340" s="538" t="n">
        <v>83.31999999999999</v>
      </c>
      <c r="E7340" s="538" t="n">
        <v>104.1</v>
      </c>
    </row>
    <row r="7341">
      <c r="A7341" s="544" t="n">
        <v>39485</v>
      </c>
      <c r="B7341" s="538" t="n">
        <v>88.55</v>
      </c>
      <c r="C7341" s="538" t="n">
        <v>88.06999999999999</v>
      </c>
      <c r="D7341" s="538" t="n">
        <v>84.47</v>
      </c>
      <c r="E7341" s="538" t="n">
        <v>104.1</v>
      </c>
    </row>
    <row r="7342">
      <c r="A7342" s="544" t="n">
        <v>39486</v>
      </c>
      <c r="B7342" s="538" t="n">
        <v>91.45</v>
      </c>
      <c r="C7342" s="538" t="n">
        <v>91.77</v>
      </c>
      <c r="D7342" s="538" t="n">
        <v>87.62</v>
      </c>
      <c r="E7342" s="538" t="n">
        <v>104.1</v>
      </c>
    </row>
    <row r="7343">
      <c r="A7343" s="544" t="n">
        <v>39489</v>
      </c>
      <c r="B7343" s="538" t="n">
        <v>93.93000000000001</v>
      </c>
      <c r="C7343" s="538" t="n">
        <v>93.56</v>
      </c>
      <c r="D7343" s="538" t="n">
        <v>89.34</v>
      </c>
      <c r="E7343" s="538" t="n">
        <v>106.39</v>
      </c>
    </row>
    <row r="7344">
      <c r="A7344" s="544" t="n">
        <v>39490</v>
      </c>
      <c r="B7344" s="538" t="n">
        <v>94.28</v>
      </c>
      <c r="C7344" s="538" t="n">
        <v>92.81999999999999</v>
      </c>
      <c r="D7344" s="538" t="n">
        <v>88.13</v>
      </c>
      <c r="E7344" s="538" t="n">
        <v>108.5</v>
      </c>
    </row>
    <row r="7345">
      <c r="A7345" s="544" t="n">
        <v>39491</v>
      </c>
      <c r="B7345" s="538" t="n">
        <v>93.81999999999999</v>
      </c>
      <c r="C7345" s="538" t="n">
        <v>93.28</v>
      </c>
      <c r="D7345" s="538" t="n">
        <v>88.81</v>
      </c>
      <c r="E7345" s="538" t="n">
        <v>108.03</v>
      </c>
    </row>
    <row r="7346">
      <c r="A7346" s="544" t="n">
        <v>39492</v>
      </c>
      <c r="B7346" s="538" t="n">
        <v>95.92</v>
      </c>
      <c r="C7346" s="538" t="n">
        <v>95.42</v>
      </c>
      <c r="D7346" s="538" t="n">
        <v>90.25</v>
      </c>
      <c r="E7346" s="538" t="n">
        <v>110.26</v>
      </c>
    </row>
    <row r="7347">
      <c r="A7347" s="544" t="n">
        <v>39493</v>
      </c>
      <c r="B7347" s="538" t="n">
        <v>96.95999999999999</v>
      </c>
      <c r="C7347" s="538" t="n">
        <v>95.56999999999999</v>
      </c>
      <c r="D7347" s="538" t="n">
        <v>90.40000000000001</v>
      </c>
      <c r="E7347" s="538" t="n">
        <v>111.68</v>
      </c>
    </row>
    <row r="7348">
      <c r="A7348" s="544" t="n">
        <v>39496</v>
      </c>
      <c r="B7348" s="538" t="n">
        <v>96.95999999999999</v>
      </c>
      <c r="C7348" s="538" t="n">
        <v>95.56999999999999</v>
      </c>
      <c r="D7348" s="538" t="n">
        <v>90.47</v>
      </c>
      <c r="E7348" s="538" t="n">
        <v>112.06</v>
      </c>
    </row>
    <row r="7349">
      <c r="A7349" s="544" t="n">
        <v>39497</v>
      </c>
      <c r="B7349" s="538" t="n">
        <v>97.03</v>
      </c>
      <c r="C7349" s="538" t="n">
        <v>99.98999999999999</v>
      </c>
      <c r="D7349" s="538" t="n">
        <v>94.13</v>
      </c>
      <c r="E7349" s="538" t="n">
        <v>113.18</v>
      </c>
    </row>
    <row r="7350">
      <c r="A7350" s="544" t="n">
        <v>39498</v>
      </c>
      <c r="B7350" s="538" t="n">
        <v>97.88</v>
      </c>
      <c r="C7350" s="538" t="n">
        <v>100.86</v>
      </c>
      <c r="D7350" s="538" t="n">
        <v>94.89</v>
      </c>
      <c r="E7350" s="538" t="n">
        <v>113.18</v>
      </c>
    </row>
    <row r="7351">
      <c r="A7351" s="544" t="n">
        <v>39499</v>
      </c>
      <c r="B7351" s="538" t="n">
        <v>97.52</v>
      </c>
      <c r="C7351" s="538" t="n">
        <v>98.56999999999999</v>
      </c>
      <c r="D7351" s="538" t="n">
        <v>91.05</v>
      </c>
      <c r="E7351" s="538" t="n">
        <v>117.18</v>
      </c>
    </row>
    <row r="7352">
      <c r="A7352" s="544" t="n">
        <v>39500</v>
      </c>
      <c r="B7352" s="538" t="n">
        <v>96.06999999999999</v>
      </c>
      <c r="C7352" s="538" t="n">
        <v>99.03</v>
      </c>
      <c r="D7352" s="538" t="n">
        <v>93</v>
      </c>
      <c r="E7352" s="538" t="n">
        <v>112.95</v>
      </c>
    </row>
    <row r="7353">
      <c r="A7353" s="544" t="n">
        <v>39503</v>
      </c>
      <c r="B7353" s="538" t="n">
        <v>97.43000000000001</v>
      </c>
      <c r="C7353" s="538" t="n">
        <v>99.40000000000001</v>
      </c>
      <c r="D7353" s="538" t="n">
        <v>92.86</v>
      </c>
      <c r="E7353" s="538" t="n">
        <v>115.5</v>
      </c>
    </row>
    <row r="7354">
      <c r="A7354" s="544" t="n">
        <v>39504</v>
      </c>
      <c r="B7354" s="538" t="n">
        <v>99.05</v>
      </c>
      <c r="C7354" s="538" t="n">
        <v>100.83</v>
      </c>
      <c r="D7354" s="538" t="n">
        <v>95.2</v>
      </c>
      <c r="E7354" s="538" t="n">
        <v>114.7</v>
      </c>
    </row>
    <row r="7355">
      <c r="A7355" s="544" t="n">
        <v>39505</v>
      </c>
      <c r="B7355" s="538" t="n">
        <v>98.28</v>
      </c>
      <c r="C7355" s="538" t="n">
        <v>99.59</v>
      </c>
      <c r="D7355" s="538" t="n">
        <v>92.84999999999999</v>
      </c>
      <c r="E7355" s="538" t="n">
        <v>117.21</v>
      </c>
    </row>
    <row r="7356">
      <c r="A7356" s="544" t="n">
        <v>39506</v>
      </c>
      <c r="B7356" s="538" t="n">
        <v>99.83</v>
      </c>
      <c r="C7356" s="538" t="n">
        <v>102.6</v>
      </c>
      <c r="D7356" s="538" t="n">
        <v>95.33</v>
      </c>
      <c r="E7356" s="538" t="n">
        <v>115.25</v>
      </c>
    </row>
    <row r="7357">
      <c r="A7357" s="544" t="n">
        <v>39507</v>
      </c>
      <c r="B7357" s="538" t="n">
        <v>100.9</v>
      </c>
      <c r="C7357" s="538" t="n">
        <v>101.78</v>
      </c>
      <c r="D7357" s="538" t="n">
        <v>94.25</v>
      </c>
      <c r="E7357" s="538" t="n">
        <v>117.64</v>
      </c>
    </row>
    <row r="7358">
      <c r="A7358" s="544" t="n">
        <v>39510</v>
      </c>
      <c r="B7358" s="538" t="n">
        <v>101.83</v>
      </c>
      <c r="C7358" s="538" t="n">
        <v>102.42</v>
      </c>
      <c r="D7358" s="538" t="n">
        <v>95.95</v>
      </c>
      <c r="E7358" s="538" t="n">
        <v>117.88</v>
      </c>
    </row>
    <row r="7359">
      <c r="A7359" s="544" t="n">
        <v>39511</v>
      </c>
      <c r="B7359" s="538" t="n">
        <v>98.59999999999999</v>
      </c>
      <c r="C7359" s="538" t="n">
        <v>99.72</v>
      </c>
      <c r="D7359" s="538" t="n">
        <v>93.45</v>
      </c>
      <c r="E7359" s="538" t="n">
        <v>118.3</v>
      </c>
    </row>
    <row r="7360">
      <c r="A7360" s="544" t="n">
        <v>39512</v>
      </c>
      <c r="B7360" s="538" t="n">
        <v>100.95</v>
      </c>
      <c r="C7360" s="538" t="n">
        <v>104.45</v>
      </c>
      <c r="D7360" s="538" t="n">
        <v>97.78</v>
      </c>
      <c r="E7360" s="538" t="n">
        <v>117.48</v>
      </c>
    </row>
    <row r="7361">
      <c r="A7361" s="544" t="n">
        <v>39513</v>
      </c>
      <c r="B7361" s="538" t="n">
        <v>103.47</v>
      </c>
      <c r="C7361" s="538" t="n">
        <v>105.51</v>
      </c>
      <c r="D7361" s="538" t="n">
        <v>97.95</v>
      </c>
      <c r="E7361" s="538" t="n">
        <v>121.78</v>
      </c>
    </row>
    <row r="7362">
      <c r="A7362" s="544" t="n">
        <v>39514</v>
      </c>
      <c r="B7362" s="538" t="n">
        <v>104.66</v>
      </c>
      <c r="C7362" s="538" t="n">
        <v>105.12</v>
      </c>
      <c r="D7362" s="538" t="n">
        <v>97.48999999999999</v>
      </c>
      <c r="E7362" s="538" t="n">
        <v>123.16</v>
      </c>
    </row>
    <row r="7363">
      <c r="A7363" s="544" t="n">
        <v>39517</v>
      </c>
      <c r="B7363" s="538" t="n">
        <v>105.33</v>
      </c>
      <c r="C7363" s="538" t="n">
        <v>107.9</v>
      </c>
      <c r="D7363" s="538" t="n">
        <v>98.51000000000001</v>
      </c>
      <c r="E7363" s="538" t="n">
        <v>124.8</v>
      </c>
    </row>
    <row r="7364">
      <c r="A7364" s="544" t="n">
        <v>39518</v>
      </c>
      <c r="B7364" s="538" t="n">
        <v>106.78</v>
      </c>
      <c r="C7364" s="538" t="n">
        <v>108.73</v>
      </c>
      <c r="D7364" s="538" t="n">
        <v>99.02</v>
      </c>
      <c r="E7364" s="538" t="n">
        <v>127.66</v>
      </c>
    </row>
    <row r="7365">
      <c r="A7365" s="544" t="n">
        <v>39519</v>
      </c>
      <c r="B7365" s="538" t="n">
        <v>107.99</v>
      </c>
      <c r="C7365" s="538" t="n">
        <v>109.86</v>
      </c>
      <c r="D7365" s="538" t="n">
        <v>100.42</v>
      </c>
      <c r="E7365" s="538" t="n">
        <v>128.13</v>
      </c>
    </row>
    <row r="7366">
      <c r="A7366" s="544" t="n">
        <v>39520</v>
      </c>
      <c r="B7366" s="538" t="n">
        <v>109.18</v>
      </c>
      <c r="C7366" s="538" t="n">
        <v>110.21</v>
      </c>
      <c r="D7366" s="538" t="n">
        <v>101.35</v>
      </c>
      <c r="E7366" s="538" t="n">
        <v>127.47</v>
      </c>
    </row>
    <row r="7367">
      <c r="A7367" s="544" t="n">
        <v>39521</v>
      </c>
      <c r="B7367" s="538" t="n">
        <v>109.16</v>
      </c>
      <c r="C7367" s="538" t="n">
        <v>110.03</v>
      </c>
      <c r="D7367" s="538" t="n">
        <v>101.93</v>
      </c>
      <c r="E7367" s="538" t="n">
        <v>130.9</v>
      </c>
    </row>
    <row r="7368">
      <c r="A7368" s="544" t="n">
        <v>39524</v>
      </c>
      <c r="B7368" s="538" t="n">
        <v>104.41</v>
      </c>
      <c r="C7368" s="538" t="n">
        <v>105.74</v>
      </c>
      <c r="D7368" s="538" t="n">
        <v>96.38</v>
      </c>
      <c r="E7368" s="538" t="n">
        <v>132.49</v>
      </c>
    </row>
    <row r="7369">
      <c r="A7369" s="544" t="n">
        <v>39525</v>
      </c>
      <c r="B7369" s="538" t="n">
        <v>105.35</v>
      </c>
      <c r="C7369" s="538" t="n">
        <v>109.57</v>
      </c>
      <c r="D7369" s="538" t="n">
        <v>98.5</v>
      </c>
      <c r="E7369" s="538" t="n">
        <v>126.36</v>
      </c>
    </row>
    <row r="7370">
      <c r="A7370" s="544" t="n">
        <v>39526</v>
      </c>
      <c r="B7370" s="538" t="n">
        <v>102.65</v>
      </c>
      <c r="C7370" s="538" t="n">
        <v>103.25</v>
      </c>
      <c r="D7370" s="538" t="n">
        <v>93.64</v>
      </c>
      <c r="E7370" s="538" t="n">
        <v>130.34</v>
      </c>
    </row>
    <row r="7371">
      <c r="A7371" s="544" t="n">
        <v>39527</v>
      </c>
      <c r="B7371" s="538" t="n">
        <v>99.78</v>
      </c>
      <c r="C7371" s="538" t="n">
        <v>102.57</v>
      </c>
      <c r="D7371" s="538" t="n">
        <v>92.68000000000001</v>
      </c>
      <c r="E7371" s="538" t="n">
        <v>125.41</v>
      </c>
    </row>
    <row r="7372">
      <c r="A7372" s="544" t="n">
        <v>39528</v>
      </c>
      <c r="B7372" s="538" t="n">
        <v>99.78</v>
      </c>
      <c r="C7372" s="538" t="n">
        <v>102.57</v>
      </c>
      <c r="D7372" s="538" t="n">
        <v>92.68000000000001</v>
      </c>
      <c r="E7372" s="538" t="n">
        <v>125.41</v>
      </c>
    </row>
    <row r="7373">
      <c r="A7373" s="544" t="n">
        <v>39531</v>
      </c>
      <c r="B7373" s="538" t="n">
        <v>100.93</v>
      </c>
      <c r="C7373" s="538" t="n">
        <v>101.7</v>
      </c>
      <c r="D7373" s="538" t="n">
        <v>92.68000000000001</v>
      </c>
      <c r="E7373" s="538" t="n">
        <v>123.65</v>
      </c>
    </row>
    <row r="7374">
      <c r="A7374" s="544" t="n">
        <v>39532</v>
      </c>
      <c r="B7374" s="538" t="n">
        <v>99.91</v>
      </c>
      <c r="C7374" s="538" t="n">
        <v>101.78</v>
      </c>
      <c r="D7374" s="538" t="n">
        <v>95.25</v>
      </c>
      <c r="E7374" s="538" t="n">
        <v>124.46</v>
      </c>
    </row>
    <row r="7375">
      <c r="A7375" s="544" t="n">
        <v>39533</v>
      </c>
      <c r="B7375" s="538" t="n">
        <v>102.83</v>
      </c>
      <c r="C7375" s="538" t="n">
        <v>105.83</v>
      </c>
      <c r="D7375" s="538" t="n">
        <v>98.58</v>
      </c>
      <c r="E7375" s="538" t="n">
        <v>124.1</v>
      </c>
    </row>
    <row r="7376">
      <c r="A7376" s="544" t="n">
        <v>39534</v>
      </c>
      <c r="B7376" s="538" t="n">
        <v>103.89</v>
      </c>
      <c r="C7376" s="538" t="n">
        <v>107.56</v>
      </c>
      <c r="D7376" s="538" t="n">
        <v>98.72</v>
      </c>
      <c r="E7376" s="538" t="n">
        <v>128.05</v>
      </c>
    </row>
    <row r="7377">
      <c r="A7377" s="544" t="n">
        <v>39535</v>
      </c>
      <c r="B7377" s="538" t="n">
        <v>102.68</v>
      </c>
      <c r="C7377" s="538" t="n">
        <v>105.59</v>
      </c>
      <c r="D7377" s="538" t="n">
        <v>97.31999999999999</v>
      </c>
      <c r="E7377" s="538" t="n">
        <v>130.21</v>
      </c>
    </row>
    <row r="7378">
      <c r="A7378" s="544" t="n">
        <v>39538</v>
      </c>
      <c r="B7378" s="538" t="n">
        <v>102.33</v>
      </c>
      <c r="C7378" s="538" t="n">
        <v>101.54</v>
      </c>
      <c r="D7378" s="538" t="n">
        <v>97.76000000000001</v>
      </c>
      <c r="E7378" s="538" t="n">
        <v>129.16</v>
      </c>
    </row>
    <row r="7379">
      <c r="A7379" s="544" t="n">
        <v>39539</v>
      </c>
      <c r="B7379" s="538" t="n">
        <v>98.69</v>
      </c>
      <c r="C7379" s="538" t="n">
        <v>100.92</v>
      </c>
      <c r="D7379" s="538" t="n">
        <v>94.94</v>
      </c>
      <c r="E7379" s="538" t="n">
        <v>124.83</v>
      </c>
    </row>
    <row r="7380">
      <c r="A7380" s="544" t="n">
        <v>39540</v>
      </c>
      <c r="B7380" s="538" t="n">
        <v>98.84999999999999</v>
      </c>
      <c r="C7380" s="538" t="n">
        <v>104.83</v>
      </c>
      <c r="D7380" s="538" t="n">
        <v>98.44</v>
      </c>
      <c r="E7380" s="538" t="n">
        <v>126.33</v>
      </c>
    </row>
    <row r="7381">
      <c r="A7381" s="544" t="n">
        <v>39541</v>
      </c>
      <c r="B7381" s="538" t="n">
        <v>102.31</v>
      </c>
      <c r="C7381" s="538" t="n">
        <v>103.92</v>
      </c>
      <c r="D7381" s="538" t="n">
        <v>97.73</v>
      </c>
      <c r="E7381" s="538" t="n">
        <v>130.32</v>
      </c>
    </row>
    <row r="7382">
      <c r="A7382" s="544" t="n">
        <v>39542</v>
      </c>
      <c r="B7382" s="538" t="n">
        <v>102.21</v>
      </c>
      <c r="C7382" s="538" t="n">
        <v>106.09</v>
      </c>
      <c r="D7382" s="538" t="n">
        <v>99.40000000000001</v>
      </c>
      <c r="E7382" s="538" t="n">
        <v>130.34</v>
      </c>
    </row>
    <row r="7383">
      <c r="A7383" s="544" t="n">
        <v>39545</v>
      </c>
      <c r="B7383" s="538" t="n">
        <v>105.98</v>
      </c>
      <c r="C7383" s="538" t="n">
        <v>108.91</v>
      </c>
      <c r="D7383" s="538" t="n">
        <v>101.34</v>
      </c>
      <c r="E7383" s="538" t="n">
        <v>134.03</v>
      </c>
    </row>
    <row r="7384">
      <c r="A7384" s="544" t="n">
        <v>39546</v>
      </c>
      <c r="B7384" s="538" t="n">
        <v>105.05</v>
      </c>
      <c r="C7384" s="538" t="n">
        <v>108.54</v>
      </c>
      <c r="D7384" s="538" t="n">
        <v>101.09</v>
      </c>
      <c r="E7384" s="538" t="n">
        <v>138.38</v>
      </c>
    </row>
    <row r="7385">
      <c r="A7385" s="544" t="n">
        <v>39547</v>
      </c>
      <c r="B7385" s="538" t="n">
        <v>107.46</v>
      </c>
      <c r="C7385" s="538" t="n">
        <v>110.89</v>
      </c>
      <c r="D7385" s="538" t="n">
        <v>102.48</v>
      </c>
      <c r="E7385" s="538" t="n">
        <v>137.13</v>
      </c>
    </row>
    <row r="7386">
      <c r="A7386" s="544" t="n">
        <v>39548</v>
      </c>
      <c r="B7386" s="538" t="n">
        <v>107.37</v>
      </c>
      <c r="C7386" s="538" t="n">
        <v>110.07</v>
      </c>
      <c r="D7386" s="538" t="n">
        <v>101.94</v>
      </c>
      <c r="E7386" s="538" t="n">
        <v>140.08</v>
      </c>
    </row>
    <row r="7387">
      <c r="A7387" s="544" t="n">
        <v>39549</v>
      </c>
      <c r="B7387" s="538" t="n">
        <v>107.15</v>
      </c>
      <c r="C7387" s="538" t="n">
        <v>110.14</v>
      </c>
      <c r="D7387" s="538" t="n">
        <v>102.73</v>
      </c>
      <c r="E7387" s="538" t="n">
        <v>139.93</v>
      </c>
    </row>
    <row r="7388">
      <c r="A7388" s="544" t="n">
        <v>39552</v>
      </c>
      <c r="B7388" s="538" t="n">
        <v>108.32</v>
      </c>
      <c r="C7388" s="538" t="n">
        <v>111.71</v>
      </c>
      <c r="D7388" s="538" t="n">
        <v>103.82</v>
      </c>
      <c r="E7388" s="538" t="n">
        <v>138.08</v>
      </c>
    </row>
    <row r="7389">
      <c r="A7389" s="544" t="n">
        <v>39553</v>
      </c>
      <c r="B7389" s="538" t="n">
        <v>110.84</v>
      </c>
      <c r="C7389" s="538" t="n">
        <v>113.77</v>
      </c>
      <c r="D7389" s="538" t="n">
        <v>104.91</v>
      </c>
      <c r="E7389" s="538" t="n">
        <v>140</v>
      </c>
    </row>
    <row r="7390">
      <c r="A7390" s="544" t="n">
        <v>39554</v>
      </c>
      <c r="B7390" s="538" t="n">
        <v>110.95</v>
      </c>
      <c r="C7390" s="538" t="n">
        <v>114.8</v>
      </c>
      <c r="D7390" s="538" t="n">
        <v>105.88</v>
      </c>
      <c r="E7390" s="538" t="n">
        <v>142.37</v>
      </c>
    </row>
    <row r="7391">
      <c r="A7391" s="544" t="n">
        <v>39555</v>
      </c>
      <c r="B7391" s="538" t="n">
        <v>111.34</v>
      </c>
      <c r="C7391" s="538" t="n">
        <v>114.8</v>
      </c>
      <c r="D7391" s="538" t="n">
        <v>105.74</v>
      </c>
      <c r="E7391" s="538" t="n">
        <v>143.45</v>
      </c>
    </row>
    <row r="7392">
      <c r="A7392" s="544" t="n">
        <v>39556</v>
      </c>
      <c r="B7392" s="538" t="n">
        <v>110.67</v>
      </c>
      <c r="C7392" s="538" t="n">
        <v>116.56</v>
      </c>
      <c r="D7392" s="538" t="n">
        <v>107.4</v>
      </c>
      <c r="E7392" s="538" t="n">
        <v>140.92</v>
      </c>
    </row>
    <row r="7393">
      <c r="A7393" s="544" t="n">
        <v>39559</v>
      </c>
      <c r="B7393" s="538" t="n">
        <v>111.35</v>
      </c>
      <c r="C7393" s="538" t="n">
        <v>117.48</v>
      </c>
      <c r="D7393" s="538" t="n">
        <v>107.69</v>
      </c>
      <c r="E7393" s="538" t="n">
        <v>144.09</v>
      </c>
    </row>
    <row r="7394">
      <c r="A7394" s="544" t="n">
        <v>39560</v>
      </c>
      <c r="B7394" s="538" t="n">
        <v>113.54</v>
      </c>
      <c r="C7394" s="538" t="n">
        <v>119.17</v>
      </c>
      <c r="D7394" s="538" t="n">
        <v>109.5</v>
      </c>
      <c r="E7394" s="538" t="n">
        <v>143.74</v>
      </c>
    </row>
    <row r="7395">
      <c r="A7395" s="544" t="n">
        <v>39561</v>
      </c>
      <c r="B7395" s="538" t="n">
        <v>115.34</v>
      </c>
      <c r="C7395" s="538" t="n">
        <v>119.28</v>
      </c>
      <c r="D7395" s="538" t="n">
        <v>109.26</v>
      </c>
      <c r="E7395" s="538" t="n">
        <v>143.54</v>
      </c>
    </row>
    <row r="7396">
      <c r="A7396" s="544" t="n">
        <v>39562</v>
      </c>
      <c r="B7396" s="538" t="n">
        <v>114.85</v>
      </c>
      <c r="C7396" s="538" t="n">
        <v>117.1</v>
      </c>
      <c r="D7396" s="538" t="n">
        <v>107.32</v>
      </c>
      <c r="E7396" s="538" t="n">
        <v>144.49</v>
      </c>
    </row>
    <row r="7397">
      <c r="A7397" s="544" t="n">
        <v>39563</v>
      </c>
      <c r="B7397" s="538" t="n">
        <v>116.62</v>
      </c>
      <c r="C7397" s="538" t="n">
        <v>119.64</v>
      </c>
      <c r="D7397" s="538" t="n">
        <v>109.92</v>
      </c>
      <c r="E7397" s="538" t="n">
        <v>140.98</v>
      </c>
    </row>
    <row r="7398">
      <c r="A7398" s="544" t="n">
        <v>39566</v>
      </c>
      <c r="B7398" s="538" t="n">
        <v>115.7</v>
      </c>
      <c r="C7398" s="538" t="n">
        <v>118.78</v>
      </c>
      <c r="D7398" s="538" t="n">
        <v>109.82</v>
      </c>
      <c r="E7398" s="538" t="n">
        <v>144.51</v>
      </c>
    </row>
    <row r="7399">
      <c r="A7399" s="544" t="n">
        <v>39567</v>
      </c>
      <c r="B7399" s="538" t="n">
        <v>113.86</v>
      </c>
      <c r="C7399" s="538" t="n">
        <v>115.67</v>
      </c>
      <c r="D7399" s="538" t="n">
        <v>106.34</v>
      </c>
      <c r="E7399" s="538" t="n">
        <v>143.56</v>
      </c>
    </row>
    <row r="7400">
      <c r="A7400" s="544" t="n">
        <v>39568</v>
      </c>
      <c r="B7400" s="538" t="n">
        <v>111.12</v>
      </c>
      <c r="C7400" s="538" t="n">
        <v>113.7</v>
      </c>
      <c r="D7400" s="538" t="n">
        <v>106.09</v>
      </c>
      <c r="E7400" s="538" t="n">
        <v>142.05</v>
      </c>
    </row>
    <row r="7401">
      <c r="A7401" s="544" t="n">
        <v>39569</v>
      </c>
      <c r="B7401" s="538" t="n">
        <v>107.3</v>
      </c>
      <c r="C7401" s="538" t="n">
        <v>112.6</v>
      </c>
      <c r="D7401" s="538" t="n">
        <v>103.95</v>
      </c>
      <c r="E7401" s="538" t="n">
        <v>142.05</v>
      </c>
    </row>
    <row r="7402">
      <c r="A7402" s="544" t="n">
        <v>39570</v>
      </c>
      <c r="B7402" s="538" t="n">
        <v>111.92</v>
      </c>
      <c r="C7402" s="538" t="n">
        <v>116.36</v>
      </c>
      <c r="D7402" s="538" t="n">
        <v>109.56</v>
      </c>
      <c r="E7402" s="538" t="n">
        <v>138.16</v>
      </c>
    </row>
    <row r="7403">
      <c r="A7403" s="544" t="n">
        <v>39573</v>
      </c>
      <c r="B7403" s="538" t="n">
        <v>115.68</v>
      </c>
      <c r="C7403" s="538" t="n">
        <v>119.94</v>
      </c>
      <c r="D7403" s="538" t="n">
        <v>109.56</v>
      </c>
      <c r="E7403" s="538" t="n">
        <v>141.38</v>
      </c>
    </row>
    <row r="7404">
      <c r="A7404" s="544" t="n">
        <v>39574</v>
      </c>
      <c r="B7404" s="538" t="n">
        <v>119.88</v>
      </c>
      <c r="C7404" s="538" t="n">
        <v>121.82</v>
      </c>
      <c r="D7404" s="538" t="n">
        <v>114.71</v>
      </c>
      <c r="E7404" s="538" t="n">
        <v>143.25</v>
      </c>
    </row>
    <row r="7405">
      <c r="A7405" s="544" t="n">
        <v>39575</v>
      </c>
      <c r="B7405" s="538" t="n">
        <v>120.27</v>
      </c>
      <c r="C7405" s="538" t="n">
        <v>123.56</v>
      </c>
      <c r="D7405" s="538" t="n">
        <v>117.11</v>
      </c>
      <c r="E7405" s="538" t="n">
        <v>143.99</v>
      </c>
    </row>
    <row r="7406">
      <c r="A7406" s="544" t="n">
        <v>39576</v>
      </c>
      <c r="B7406" s="538" t="n">
        <v>119.85</v>
      </c>
      <c r="C7406" s="538" t="n">
        <v>123.77</v>
      </c>
      <c r="D7406" s="538" t="n">
        <v>117.73</v>
      </c>
      <c r="E7406" s="538" t="n">
        <v>148.89</v>
      </c>
    </row>
    <row r="7407">
      <c r="A7407" s="544" t="n">
        <v>39577</v>
      </c>
      <c r="B7407" s="538" t="n">
        <v>123.54</v>
      </c>
      <c r="C7407" s="538" t="n">
        <v>125.94</v>
      </c>
      <c r="D7407" s="538" t="n">
        <v>119.71</v>
      </c>
      <c r="E7407" s="538" t="n">
        <v>156.3</v>
      </c>
    </row>
    <row r="7408">
      <c r="A7408" s="544" t="n">
        <v>39580</v>
      </c>
      <c r="B7408" s="538" t="n">
        <v>122.89</v>
      </c>
      <c r="C7408" s="538" t="n">
        <v>124.02</v>
      </c>
      <c r="D7408" s="538" t="n">
        <v>117.5</v>
      </c>
      <c r="E7408" s="538" t="n">
        <v>159.1</v>
      </c>
    </row>
    <row r="7409">
      <c r="A7409" s="544" t="n">
        <v>39581</v>
      </c>
      <c r="B7409" s="538" t="n">
        <v>123.11</v>
      </c>
      <c r="C7409" s="538" t="n">
        <v>125.83</v>
      </c>
      <c r="D7409" s="538" t="n">
        <v>119.33</v>
      </c>
      <c r="E7409" s="538" t="n">
        <v>158.2</v>
      </c>
    </row>
    <row r="7410">
      <c r="A7410" s="544" t="n">
        <v>39582</v>
      </c>
      <c r="B7410" s="538" t="n">
        <v>121.18</v>
      </c>
      <c r="C7410" s="538" t="n">
        <v>124.21</v>
      </c>
      <c r="D7410" s="538" t="n">
        <v>116.56</v>
      </c>
      <c r="E7410" s="538" t="n">
        <v>162.13</v>
      </c>
    </row>
    <row r="7411">
      <c r="A7411" s="544" t="n">
        <v>39583</v>
      </c>
      <c r="B7411" s="538" t="n">
        <v>122.76</v>
      </c>
      <c r="C7411" s="538" t="n">
        <v>124.25</v>
      </c>
      <c r="D7411" s="538" t="n">
        <v>119.04</v>
      </c>
      <c r="E7411" s="538" t="n">
        <v>160.55</v>
      </c>
    </row>
    <row r="7412">
      <c r="A7412" s="544" t="n">
        <v>39584</v>
      </c>
      <c r="B7412" s="538" t="n">
        <v>122.98</v>
      </c>
      <c r="C7412" s="538" t="n">
        <v>126.5</v>
      </c>
      <c r="D7412" s="538" t="n">
        <v>120.59</v>
      </c>
      <c r="E7412" s="538" t="n">
        <v>161.1</v>
      </c>
    </row>
    <row r="7413">
      <c r="A7413" s="544" t="n">
        <v>39587</v>
      </c>
      <c r="B7413" s="538" t="n">
        <v>122.19</v>
      </c>
      <c r="C7413" s="538" t="n">
        <v>127.15</v>
      </c>
      <c r="D7413" s="538" t="n">
        <v>120.68</v>
      </c>
      <c r="E7413" s="538" t="n">
        <v>161.1</v>
      </c>
    </row>
    <row r="7414">
      <c r="A7414" s="544" t="n">
        <v>39588</v>
      </c>
      <c r="B7414" s="538" t="n">
        <v>124.12</v>
      </c>
      <c r="C7414" s="538" t="n">
        <v>128.93</v>
      </c>
      <c r="D7414" s="538" t="n">
        <v>123.63</v>
      </c>
      <c r="E7414" s="538" t="n">
        <v>162.59</v>
      </c>
    </row>
    <row r="7415">
      <c r="A7415" s="544" t="n">
        <v>39589</v>
      </c>
      <c r="B7415" s="538" t="n">
        <v>127.28</v>
      </c>
      <c r="C7415" s="538" t="n">
        <v>132.99</v>
      </c>
      <c r="D7415" s="538" t="n">
        <v>129.24</v>
      </c>
      <c r="E7415" s="538" t="n">
        <v>166.74</v>
      </c>
    </row>
    <row r="7416">
      <c r="A7416" s="544" t="n">
        <v>39590</v>
      </c>
      <c r="B7416" s="538" t="n">
        <v>129.04</v>
      </c>
      <c r="C7416" s="538" t="n">
        <v>130.04</v>
      </c>
      <c r="D7416" s="538" t="n">
        <v>125.07</v>
      </c>
      <c r="E7416" s="538" t="n">
        <v>172.64</v>
      </c>
    </row>
    <row r="7417">
      <c r="A7417" s="544" t="n">
        <v>39591</v>
      </c>
      <c r="B7417" s="538" t="n">
        <v>129.72</v>
      </c>
      <c r="C7417" s="538" t="n">
        <v>131.58</v>
      </c>
      <c r="D7417" s="538" t="n">
        <v>125.15</v>
      </c>
      <c r="E7417" s="538" t="n">
        <v>172.76</v>
      </c>
    </row>
    <row r="7418">
      <c r="A7418" s="544" t="n">
        <v>39594</v>
      </c>
      <c r="B7418" s="538" t="n">
        <v>129.72</v>
      </c>
      <c r="C7418" s="538" t="n">
        <v>131.58</v>
      </c>
      <c r="D7418" s="538" t="n">
        <v>126.6</v>
      </c>
      <c r="E7418" s="538" t="n">
        <v>173.7</v>
      </c>
    </row>
    <row r="7419">
      <c r="A7419" s="544" t="n">
        <v>39595</v>
      </c>
      <c r="B7419" s="538" t="n">
        <v>128.92</v>
      </c>
      <c r="C7419" s="538" t="n">
        <v>128.81</v>
      </c>
      <c r="D7419" s="538" t="n">
        <v>121.66</v>
      </c>
      <c r="E7419" s="538" t="n">
        <v>174.3</v>
      </c>
    </row>
    <row r="7420">
      <c r="A7420" s="544" t="n">
        <v>39596</v>
      </c>
      <c r="B7420" s="538" t="n">
        <v>128.93</v>
      </c>
      <c r="C7420" s="538" t="n">
        <v>131</v>
      </c>
      <c r="D7420" s="538" t="n">
        <v>124.77</v>
      </c>
      <c r="E7420" s="538" t="n">
        <v>165.58</v>
      </c>
    </row>
    <row r="7421">
      <c r="A7421" s="544" t="n">
        <v>39597</v>
      </c>
      <c r="B7421" s="538" t="n">
        <v>129.33</v>
      </c>
      <c r="C7421" s="538" t="n">
        <v>126.7</v>
      </c>
      <c r="D7421" s="538" t="n">
        <v>120.32</v>
      </c>
      <c r="E7421" s="538" t="n">
        <v>167.83</v>
      </c>
    </row>
    <row r="7422">
      <c r="A7422" s="544" t="n">
        <v>39598</v>
      </c>
      <c r="B7422" s="538" t="n">
        <v>127.85</v>
      </c>
      <c r="C7422" s="538" t="n">
        <v>127.35</v>
      </c>
      <c r="D7422" s="538" t="n">
        <v>122.31</v>
      </c>
      <c r="E7422" s="538" t="n">
        <v>159.64</v>
      </c>
    </row>
    <row r="7423">
      <c r="A7423" s="544" t="n">
        <v>39601</v>
      </c>
      <c r="B7423" s="538" t="n">
        <v>128.5</v>
      </c>
      <c r="C7423" s="538" t="n">
        <v>127.75</v>
      </c>
      <c r="D7423" s="538" t="n">
        <v>121.2</v>
      </c>
      <c r="E7423" s="538" t="n">
        <v>160.11</v>
      </c>
    </row>
    <row r="7424">
      <c r="A7424" s="544" t="n">
        <v>39602</v>
      </c>
      <c r="B7424" s="538" t="n">
        <v>126.28</v>
      </c>
      <c r="C7424" s="538" t="n">
        <v>124.33</v>
      </c>
      <c r="D7424" s="538" t="n">
        <v>118.75</v>
      </c>
      <c r="E7424" s="538" t="n">
        <v>162.21</v>
      </c>
    </row>
    <row r="7425">
      <c r="A7425" s="544" t="n">
        <v>39603</v>
      </c>
      <c r="B7425" s="538" t="n">
        <v>121.72</v>
      </c>
      <c r="C7425" s="538" t="n">
        <v>122.3</v>
      </c>
      <c r="D7425" s="538" t="n">
        <v>116.74</v>
      </c>
      <c r="E7425" s="538" t="n">
        <v>158.2</v>
      </c>
    </row>
    <row r="7426">
      <c r="A7426" s="544" t="n">
        <v>39604</v>
      </c>
      <c r="B7426" s="538" t="n">
        <v>122.36</v>
      </c>
      <c r="C7426" s="538" t="n">
        <v>127.93</v>
      </c>
      <c r="D7426" s="538" t="n">
        <v>122.67</v>
      </c>
      <c r="E7426" s="538" t="n">
        <v>156.38</v>
      </c>
    </row>
    <row r="7427">
      <c r="A7427" s="544" t="n">
        <v>39605</v>
      </c>
      <c r="B7427" s="538" t="n">
        <v>132.81</v>
      </c>
      <c r="C7427" s="538" t="n">
        <v>138.51</v>
      </c>
      <c r="D7427" s="538" t="n">
        <v>131.91</v>
      </c>
      <c r="E7427" s="538" t="n">
        <v>162.07</v>
      </c>
    </row>
    <row r="7428">
      <c r="A7428" s="544" t="n">
        <v>39608</v>
      </c>
      <c r="B7428" s="538" t="n">
        <v>134.43</v>
      </c>
      <c r="C7428" s="538" t="n">
        <v>134.44</v>
      </c>
      <c r="D7428" s="538" t="n">
        <v>127.99</v>
      </c>
      <c r="E7428" s="538" t="n">
        <v>170.84</v>
      </c>
    </row>
    <row r="7429">
      <c r="A7429" s="544" t="n">
        <v>39609</v>
      </c>
      <c r="B7429" s="538" t="n">
        <v>135.24</v>
      </c>
      <c r="C7429" s="538" t="n">
        <v>131.38</v>
      </c>
      <c r="D7429" s="538" t="n">
        <v>125.05</v>
      </c>
      <c r="E7429" s="538" t="n">
        <v>166.7</v>
      </c>
    </row>
    <row r="7430">
      <c r="A7430" s="544" t="n">
        <v>39610</v>
      </c>
      <c r="B7430" s="538" t="n">
        <v>134.52</v>
      </c>
      <c r="C7430" s="538" t="n">
        <v>136.43</v>
      </c>
      <c r="D7430" s="538" t="n">
        <v>129.68</v>
      </c>
      <c r="E7430" s="538" t="n">
        <v>165.14</v>
      </c>
    </row>
    <row r="7431">
      <c r="A7431" s="544" t="n">
        <v>39611</v>
      </c>
      <c r="B7431" s="538" t="n">
        <v>132.11</v>
      </c>
      <c r="C7431" s="538" t="n">
        <v>136.91</v>
      </c>
      <c r="D7431" s="538" t="n">
        <v>131.27</v>
      </c>
      <c r="E7431" s="538" t="n">
        <v>168.54</v>
      </c>
    </row>
    <row r="7432">
      <c r="A7432" s="544" t="n">
        <v>39612</v>
      </c>
      <c r="B7432" s="538" t="n">
        <v>134.29</v>
      </c>
      <c r="C7432" s="538" t="n">
        <v>134.84</v>
      </c>
      <c r="D7432" s="538" t="n">
        <v>128.69</v>
      </c>
      <c r="E7432" s="538" t="n">
        <v>167.94</v>
      </c>
    </row>
    <row r="7433">
      <c r="A7433" s="544" t="n">
        <v>39615</v>
      </c>
      <c r="B7433" s="538" t="n">
        <v>133.9</v>
      </c>
      <c r="C7433" s="538" t="n">
        <v>134.52</v>
      </c>
      <c r="D7433" s="538" t="n">
        <v>128.17</v>
      </c>
      <c r="E7433" s="538" t="n">
        <v>164.59</v>
      </c>
    </row>
    <row r="7434">
      <c r="A7434" s="544" t="n">
        <v>39616</v>
      </c>
      <c r="B7434" s="538" t="n">
        <v>131.27</v>
      </c>
      <c r="C7434" s="538" t="n">
        <v>133.99</v>
      </c>
      <c r="D7434" s="538" t="n">
        <v>128.29</v>
      </c>
      <c r="E7434" s="538" t="n">
        <v>164.59</v>
      </c>
    </row>
    <row r="7435">
      <c r="A7435" s="544" t="n">
        <v>39617</v>
      </c>
      <c r="B7435" s="538" t="n">
        <v>129.12</v>
      </c>
      <c r="C7435" s="538" t="n">
        <v>136.54</v>
      </c>
      <c r="D7435" s="538" t="n">
        <v>130.9</v>
      </c>
      <c r="E7435" s="538" t="n">
        <v>164.19</v>
      </c>
    </row>
    <row r="7436">
      <c r="A7436" s="544" t="n">
        <v>39618</v>
      </c>
      <c r="B7436" s="538" t="n">
        <v>131.84</v>
      </c>
      <c r="C7436" s="538" t="n">
        <v>131.88</v>
      </c>
      <c r="D7436" s="538" t="n">
        <v>126.11</v>
      </c>
      <c r="E7436" s="538" t="n">
        <v>167.04</v>
      </c>
    </row>
    <row r="7437">
      <c r="A7437" s="544" t="n">
        <v>39619</v>
      </c>
      <c r="B7437" s="538" t="n">
        <v>134.28</v>
      </c>
      <c r="C7437" s="538" t="n">
        <v>134.78</v>
      </c>
      <c r="D7437" s="538" t="n">
        <v>128.27</v>
      </c>
      <c r="E7437" s="538" t="n">
        <v>162.04</v>
      </c>
    </row>
    <row r="7438">
      <c r="A7438" s="544" t="n">
        <v>39622</v>
      </c>
      <c r="B7438" s="538" t="n">
        <v>134.54</v>
      </c>
      <c r="C7438" s="538" t="n">
        <v>135.98</v>
      </c>
      <c r="D7438" s="538" t="n">
        <v>130.44</v>
      </c>
      <c r="E7438" s="538" t="n">
        <v>164.89</v>
      </c>
    </row>
    <row r="7439">
      <c r="A7439" s="544" t="n">
        <v>39623</v>
      </c>
      <c r="B7439" s="538" t="n">
        <v>135.37</v>
      </c>
      <c r="C7439" s="538" t="n">
        <v>136.49</v>
      </c>
      <c r="D7439" s="538" t="n">
        <v>130.81</v>
      </c>
      <c r="E7439" s="538" t="n">
        <v>165.78</v>
      </c>
    </row>
    <row r="7440">
      <c r="A7440" s="544" t="n">
        <v>39624</v>
      </c>
      <c r="B7440" s="538" t="n">
        <v>131.59</v>
      </c>
      <c r="C7440" s="538" t="n">
        <v>133.92</v>
      </c>
      <c r="D7440" s="538" t="n">
        <v>128.54</v>
      </c>
      <c r="E7440" s="538" t="n">
        <v>165.38</v>
      </c>
    </row>
    <row r="7441">
      <c r="A7441" s="544" t="n">
        <v>39625</v>
      </c>
      <c r="B7441" s="538" t="n">
        <v>136.82</v>
      </c>
      <c r="C7441" s="538" t="n">
        <v>138.91</v>
      </c>
      <c r="D7441" s="538" t="n">
        <v>133.83</v>
      </c>
      <c r="E7441" s="538" t="n">
        <v>162.98</v>
      </c>
    </row>
    <row r="7442">
      <c r="A7442" s="544" t="n">
        <v>39626</v>
      </c>
      <c r="B7442" s="538" t="n">
        <v>139.38</v>
      </c>
      <c r="C7442" s="538" t="n">
        <v>139.69</v>
      </c>
      <c r="D7442" s="538" t="n">
        <v>134.1</v>
      </c>
      <c r="E7442" s="538" t="n">
        <v>170.88</v>
      </c>
    </row>
    <row r="7443">
      <c r="A7443" s="544" t="n">
        <v>39629</v>
      </c>
      <c r="B7443" s="538" t="n">
        <v>138.4</v>
      </c>
      <c r="C7443" s="538" t="n">
        <v>139.96</v>
      </c>
      <c r="D7443" s="538" t="n">
        <v>133.75</v>
      </c>
      <c r="E7443" s="538" t="n">
        <v>171.26</v>
      </c>
    </row>
    <row r="7444">
      <c r="A7444" s="544" t="n">
        <v>39630</v>
      </c>
      <c r="B7444" s="538" t="n">
        <v>140.67</v>
      </c>
      <c r="C7444" s="538" t="n">
        <v>141.06</v>
      </c>
      <c r="D7444" s="538" t="n">
        <v>135.73</v>
      </c>
      <c r="E7444" s="538" t="n">
        <v>171.1</v>
      </c>
    </row>
    <row r="7445">
      <c r="A7445" s="544" t="n">
        <v>39631</v>
      </c>
      <c r="B7445" s="538" t="n">
        <v>141.24</v>
      </c>
      <c r="C7445" s="538" t="n">
        <v>143.74</v>
      </c>
      <c r="D7445" s="538" t="n">
        <v>139.27</v>
      </c>
      <c r="E7445" s="538" t="n">
        <v>172.49</v>
      </c>
    </row>
    <row r="7446">
      <c r="A7446" s="544" t="n">
        <v>39632</v>
      </c>
      <c r="B7446" s="538" t="n">
        <v>143.95</v>
      </c>
      <c r="C7446" s="538" t="n">
        <v>145.31</v>
      </c>
      <c r="D7446" s="538" t="n">
        <v>140.11</v>
      </c>
      <c r="E7446" s="538" t="n">
        <v>181.65</v>
      </c>
    </row>
    <row r="7447">
      <c r="A7447" s="544" t="n">
        <v>39633</v>
      </c>
      <c r="B7447" s="538" t="n">
        <v>143.95</v>
      </c>
      <c r="C7447" s="538" t="n">
        <v>145.31</v>
      </c>
      <c r="D7447" s="538" t="n">
        <v>138.51</v>
      </c>
      <c r="E7447" s="538" t="n">
        <v>180.75</v>
      </c>
    </row>
    <row r="7448">
      <c r="A7448" s="544" t="n">
        <v>39636</v>
      </c>
      <c r="B7448" s="538" t="n">
        <v>139.62</v>
      </c>
      <c r="C7448" s="538" t="n">
        <v>141.38</v>
      </c>
      <c r="D7448" s="538" t="n">
        <v>136.54</v>
      </c>
      <c r="E7448" s="538" t="n">
        <v>175.6</v>
      </c>
    </row>
    <row r="7449">
      <c r="A7449" s="544" t="n">
        <v>39637</v>
      </c>
      <c r="B7449" s="538" t="n">
        <v>134.15</v>
      </c>
      <c r="C7449" s="538" t="n">
        <v>136.06</v>
      </c>
      <c r="D7449" s="538" t="n">
        <v>130.91</v>
      </c>
      <c r="E7449" s="538" t="n">
        <v>172.22</v>
      </c>
    </row>
    <row r="7450">
      <c r="A7450" s="544" t="n">
        <v>39638</v>
      </c>
      <c r="B7450" s="538" t="n">
        <v>133.91</v>
      </c>
      <c r="C7450" s="538" t="n">
        <v>135.88</v>
      </c>
      <c r="D7450" s="538" t="n">
        <v>130.85</v>
      </c>
      <c r="E7450" s="538" t="n">
        <v>170.49</v>
      </c>
    </row>
    <row r="7451">
      <c r="A7451" s="544" t="n">
        <v>39639</v>
      </c>
      <c r="B7451" s="538" t="n">
        <v>135.81</v>
      </c>
      <c r="C7451" s="538" t="n">
        <v>141.47</v>
      </c>
      <c r="D7451" s="538" t="n">
        <v>137.14</v>
      </c>
      <c r="E7451" s="538" t="n">
        <v>169.63</v>
      </c>
    </row>
    <row r="7452">
      <c r="A7452" s="544" t="n">
        <v>39640</v>
      </c>
      <c r="B7452" s="538" t="n">
        <v>143.68</v>
      </c>
      <c r="C7452" s="538" t="n">
        <v>144.96</v>
      </c>
      <c r="D7452" s="538" t="n">
        <v>138.73</v>
      </c>
      <c r="E7452" s="538" t="n">
        <v>175.38</v>
      </c>
    </row>
    <row r="7453">
      <c r="A7453" s="544" t="n">
        <v>39643</v>
      </c>
      <c r="B7453" s="538" t="n">
        <v>142.43</v>
      </c>
      <c r="C7453" s="538" t="n">
        <v>145.16</v>
      </c>
      <c r="D7453" s="538" t="n">
        <v>138.84</v>
      </c>
      <c r="E7453" s="538" t="n">
        <v>174.31</v>
      </c>
    </row>
    <row r="7454">
      <c r="A7454" s="544" t="n">
        <v>39644</v>
      </c>
      <c r="B7454" s="538" t="n">
        <v>136.02</v>
      </c>
      <c r="C7454" s="538" t="n">
        <v>138.68</v>
      </c>
      <c r="D7454" s="538" t="n">
        <v>134.09</v>
      </c>
      <c r="E7454" s="538" t="n">
        <v>175.13</v>
      </c>
    </row>
    <row r="7455">
      <c r="A7455" s="544" t="n">
        <v>39645</v>
      </c>
      <c r="B7455" s="538" t="n">
        <v>133.31</v>
      </c>
      <c r="C7455" s="538" t="n">
        <v>134.63</v>
      </c>
      <c r="D7455" s="538" t="n">
        <v>131.03</v>
      </c>
      <c r="E7455" s="538" t="n">
        <v>170.49</v>
      </c>
    </row>
    <row r="7456">
      <c r="A7456" s="544" t="n">
        <v>39646</v>
      </c>
      <c r="B7456" s="538" t="n">
        <v>134.16</v>
      </c>
      <c r="C7456" s="538" t="n">
        <v>129.43</v>
      </c>
      <c r="D7456" s="538" t="n">
        <v>126.52</v>
      </c>
      <c r="E7456" s="538" t="n">
        <v>166.79</v>
      </c>
    </row>
    <row r="7457">
      <c r="A7457" s="544" t="n">
        <v>39647</v>
      </c>
      <c r="B7457" s="538" t="n">
        <v>129.34</v>
      </c>
      <c r="C7457" s="538" t="n">
        <v>128.94</v>
      </c>
      <c r="D7457" s="538" t="n">
        <v>125.06</v>
      </c>
      <c r="E7457" s="538" t="n">
        <v>167.2</v>
      </c>
    </row>
    <row r="7458">
      <c r="A7458" s="544" t="n">
        <v>39650</v>
      </c>
      <c r="B7458" s="538" t="n">
        <v>129.34</v>
      </c>
      <c r="C7458" s="538" t="n">
        <v>131.43</v>
      </c>
      <c r="D7458" s="538" t="n">
        <v>128.31</v>
      </c>
      <c r="E7458" s="538" t="n">
        <v>164.38</v>
      </c>
    </row>
    <row r="7459">
      <c r="A7459" s="544" t="n">
        <v>39651</v>
      </c>
      <c r="B7459" s="538" t="n">
        <v>127.18</v>
      </c>
      <c r="C7459" s="538" t="n">
        <v>127.25</v>
      </c>
      <c r="D7459" s="538" t="n">
        <v>123.75</v>
      </c>
      <c r="E7459" s="538" t="n">
        <v>165.1</v>
      </c>
    </row>
    <row r="7460">
      <c r="A7460" s="544" t="n">
        <v>39652</v>
      </c>
      <c r="B7460" s="538" t="n">
        <v>126.86</v>
      </c>
      <c r="C7460" s="538" t="n">
        <v>123.73</v>
      </c>
      <c r="D7460" s="538" t="n">
        <v>121.18</v>
      </c>
      <c r="E7460" s="538" t="n">
        <v>158.15</v>
      </c>
    </row>
    <row r="7461">
      <c r="A7461" s="544" t="n">
        <v>39653</v>
      </c>
      <c r="B7461" s="538" t="n">
        <v>125.43</v>
      </c>
      <c r="C7461" s="538" t="n">
        <v>124.62</v>
      </c>
      <c r="D7461" s="538" t="n">
        <v>122.69</v>
      </c>
      <c r="E7461" s="538" t="n">
        <v>154.85</v>
      </c>
    </row>
    <row r="7462">
      <c r="A7462" s="544" t="n">
        <v>39654</v>
      </c>
      <c r="B7462" s="538" t="n">
        <v>124.7</v>
      </c>
      <c r="C7462" s="538" t="n">
        <v>122.59</v>
      </c>
      <c r="D7462" s="538" t="n">
        <v>120.27</v>
      </c>
      <c r="E7462" s="538" t="n">
        <v>156.83</v>
      </c>
    </row>
    <row r="7463">
      <c r="A7463" s="544" t="n">
        <v>39657</v>
      </c>
      <c r="B7463" s="538" t="n">
        <v>125.67</v>
      </c>
      <c r="C7463" s="538" t="n">
        <v>124.72</v>
      </c>
      <c r="D7463" s="538" t="n">
        <v>121.94</v>
      </c>
      <c r="E7463" s="538" t="n">
        <v>156.3</v>
      </c>
    </row>
    <row r="7464">
      <c r="A7464" s="544" t="n">
        <v>39658</v>
      </c>
      <c r="B7464" s="538" t="n">
        <v>125.77</v>
      </c>
      <c r="C7464" s="538" t="n">
        <v>122.21</v>
      </c>
      <c r="D7464" s="538" t="n">
        <v>118.6</v>
      </c>
      <c r="E7464" s="538" t="n">
        <v>156.9</v>
      </c>
    </row>
    <row r="7465">
      <c r="A7465" s="544" t="n">
        <v>39659</v>
      </c>
      <c r="B7465" s="538" t="n">
        <v>122.46</v>
      </c>
      <c r="C7465" s="538" t="n">
        <v>126.74</v>
      </c>
      <c r="D7465" s="538" t="n">
        <v>124.05</v>
      </c>
      <c r="E7465" s="538" t="n">
        <v>152.95</v>
      </c>
    </row>
    <row r="7466">
      <c r="A7466" s="544" t="n">
        <v>39660</v>
      </c>
      <c r="B7466" s="538" t="n">
        <v>124.1</v>
      </c>
      <c r="C7466" s="538" t="n">
        <v>124.17</v>
      </c>
      <c r="D7466" s="538" t="n">
        <v>120.96</v>
      </c>
      <c r="E7466" s="538" t="n">
        <v>154.7</v>
      </c>
    </row>
    <row r="7467">
      <c r="A7467" s="544" t="n">
        <v>39661</v>
      </c>
      <c r="B7467" s="538" t="n">
        <v>124.16</v>
      </c>
      <c r="C7467" s="538" t="n">
        <v>125.03</v>
      </c>
      <c r="D7467" s="538" t="n">
        <v>121.64</v>
      </c>
      <c r="E7467" s="538" t="n">
        <v>150.35</v>
      </c>
    </row>
    <row r="7468">
      <c r="A7468" s="544" t="n">
        <v>39664</v>
      </c>
      <c r="B7468" s="538" t="n">
        <v>121.87</v>
      </c>
      <c r="C7468" s="538" t="n">
        <v>121.45</v>
      </c>
      <c r="D7468" s="538" t="n">
        <v>117.46</v>
      </c>
      <c r="E7468" s="538" t="n">
        <v>149.96</v>
      </c>
    </row>
    <row r="7469">
      <c r="A7469" s="544" t="n">
        <v>39665</v>
      </c>
      <c r="B7469" s="538" t="n">
        <v>116.5</v>
      </c>
      <c r="C7469" s="538" t="n">
        <v>118.71</v>
      </c>
      <c r="D7469" s="538" t="n">
        <v>115.03</v>
      </c>
      <c r="E7469" s="538" t="n">
        <v>144</v>
      </c>
    </row>
    <row r="7470">
      <c r="A7470" s="544" t="n">
        <v>39666</v>
      </c>
      <c r="B7470" s="538" t="n">
        <v>114.47</v>
      </c>
      <c r="C7470" s="538" t="n">
        <v>118.57</v>
      </c>
      <c r="D7470" s="538" t="n">
        <v>115.43</v>
      </c>
      <c r="E7470" s="538" t="n">
        <v>141.57</v>
      </c>
    </row>
    <row r="7471">
      <c r="A7471" s="544" t="n">
        <v>39667</v>
      </c>
      <c r="B7471" s="538" t="n">
        <v>116.94</v>
      </c>
      <c r="C7471" s="538" t="n">
        <v>119.84</v>
      </c>
      <c r="D7471" s="538" t="n">
        <v>115.93</v>
      </c>
      <c r="E7471" s="538" t="n">
        <v>140.26</v>
      </c>
    </row>
    <row r="7472">
      <c r="A7472" s="544" t="n">
        <v>39668</v>
      </c>
      <c r="B7472" s="538" t="n">
        <v>113.03</v>
      </c>
      <c r="C7472" s="538" t="n">
        <v>115.42</v>
      </c>
      <c r="D7472" s="538" t="n">
        <v>110.62</v>
      </c>
      <c r="E7472" s="538" t="n">
        <v>137.7</v>
      </c>
    </row>
    <row r="7473">
      <c r="A7473" s="544" t="n">
        <v>39671</v>
      </c>
      <c r="B7473" s="538" t="n">
        <v>110.54</v>
      </c>
      <c r="C7473" s="538" t="n">
        <v>114.44</v>
      </c>
      <c r="D7473" s="538" t="n">
        <v>111.04</v>
      </c>
      <c r="E7473" s="538" t="n">
        <v>137.9</v>
      </c>
    </row>
    <row r="7474">
      <c r="A7474" s="544" t="n">
        <v>39672</v>
      </c>
      <c r="B7474" s="538" t="n">
        <v>108.98</v>
      </c>
      <c r="C7474" s="538" t="n">
        <v>113.1</v>
      </c>
      <c r="D7474" s="538" t="n">
        <v>109.89</v>
      </c>
      <c r="E7474" s="538" t="n">
        <v>134.8</v>
      </c>
    </row>
    <row r="7475">
      <c r="A7475" s="544" t="n">
        <v>39673</v>
      </c>
      <c r="B7475" s="538" t="n">
        <v>110.68</v>
      </c>
      <c r="C7475" s="538" t="n">
        <v>115.96</v>
      </c>
      <c r="D7475" s="538" t="n">
        <v>112.57</v>
      </c>
      <c r="E7475" s="538" t="n">
        <v>135.3</v>
      </c>
    </row>
    <row r="7476">
      <c r="A7476" s="544" t="n">
        <v>39674</v>
      </c>
      <c r="B7476" s="538" t="n">
        <v>111.82</v>
      </c>
      <c r="C7476" s="538" t="n">
        <v>115.05</v>
      </c>
      <c r="D7476" s="538" t="n">
        <v>109.66</v>
      </c>
      <c r="E7476" s="538" t="n">
        <v>137.15</v>
      </c>
    </row>
    <row r="7477">
      <c r="A7477" s="544" t="n">
        <v>39675</v>
      </c>
      <c r="B7477" s="538" t="n">
        <v>108.8</v>
      </c>
      <c r="C7477" s="538" t="n">
        <v>113.46</v>
      </c>
      <c r="D7477" s="538" t="n">
        <v>109.16</v>
      </c>
      <c r="E7477" s="538" t="n">
        <v>133.25</v>
      </c>
    </row>
    <row r="7478">
      <c r="A7478" s="544" t="n">
        <v>39678</v>
      </c>
      <c r="B7478" s="538" t="n">
        <v>109.33</v>
      </c>
      <c r="C7478" s="538" t="n">
        <v>112.92</v>
      </c>
      <c r="D7478" s="538" t="n">
        <v>108.59</v>
      </c>
      <c r="E7478" s="538" t="n">
        <v>134</v>
      </c>
    </row>
    <row r="7479">
      <c r="A7479" s="544" t="n">
        <v>39679</v>
      </c>
      <c r="B7479" s="538" t="n">
        <v>109.02</v>
      </c>
      <c r="C7479" s="538" t="n">
        <v>114.39</v>
      </c>
      <c r="D7479" s="538" t="n">
        <v>110.67</v>
      </c>
      <c r="E7479" s="538" t="n">
        <v>132.21</v>
      </c>
    </row>
    <row r="7480">
      <c r="A7480" s="544" t="n">
        <v>39680</v>
      </c>
      <c r="B7480" s="538" t="n">
        <v>108.72</v>
      </c>
      <c r="C7480" s="538" t="n">
        <v>115.48</v>
      </c>
      <c r="D7480" s="538" t="n">
        <v>111.63</v>
      </c>
      <c r="E7480" s="538" t="n">
        <v>135.3</v>
      </c>
    </row>
    <row r="7481">
      <c r="A7481" s="544" t="n">
        <v>39681</v>
      </c>
      <c r="B7481" s="538" t="n">
        <v>117.24</v>
      </c>
      <c r="C7481" s="538" t="n">
        <v>121.23</v>
      </c>
      <c r="D7481" s="538" t="n">
        <v>118.04</v>
      </c>
      <c r="E7481" s="538" t="n">
        <v>128.4</v>
      </c>
    </row>
    <row r="7482">
      <c r="A7482" s="544" t="n">
        <v>39682</v>
      </c>
      <c r="B7482" s="538" t="n">
        <v>113.99</v>
      </c>
      <c r="C7482" s="538" t="n">
        <v>114.48</v>
      </c>
      <c r="D7482" s="538" t="n">
        <v>111.12</v>
      </c>
      <c r="E7482" s="538" t="n">
        <v>138.15</v>
      </c>
    </row>
    <row r="7483">
      <c r="A7483" s="544" t="n">
        <v>39685</v>
      </c>
      <c r="B7483" s="538" t="n">
        <v>109.74</v>
      </c>
      <c r="C7483" s="538" t="n">
        <v>114.85</v>
      </c>
      <c r="D7483" s="538" t="n">
        <v>111.82</v>
      </c>
      <c r="E7483" s="538" t="n">
        <v>133.21</v>
      </c>
    </row>
    <row r="7484">
      <c r="A7484" s="544" t="n">
        <v>39686</v>
      </c>
      <c r="B7484" s="538" t="n">
        <v>112.2</v>
      </c>
      <c r="C7484" s="538" t="n">
        <v>116.31</v>
      </c>
      <c r="D7484" s="538" t="n">
        <v>111.65</v>
      </c>
      <c r="E7484" s="538" t="n">
        <v>133.8</v>
      </c>
    </row>
    <row r="7485">
      <c r="A7485" s="544" t="n">
        <v>39687</v>
      </c>
      <c r="B7485" s="538" t="n">
        <v>113.05</v>
      </c>
      <c r="C7485" s="538" t="n">
        <v>118.17</v>
      </c>
      <c r="D7485" s="538" t="n">
        <v>113.32</v>
      </c>
      <c r="E7485" s="538" t="n">
        <v>135.95</v>
      </c>
    </row>
    <row r="7486">
      <c r="A7486" s="544" t="n">
        <v>39688</v>
      </c>
      <c r="B7486" s="538" t="n">
        <v>113.54</v>
      </c>
      <c r="C7486" s="538" t="n">
        <v>115.58</v>
      </c>
      <c r="D7486" s="538" t="n">
        <v>110.5</v>
      </c>
      <c r="E7486" s="538" t="n">
        <v>138.7</v>
      </c>
    </row>
    <row r="7487">
      <c r="A7487" s="544" t="n">
        <v>39689</v>
      </c>
      <c r="B7487" s="538" t="n">
        <v>113.49</v>
      </c>
      <c r="C7487" s="538" t="n">
        <v>115.55</v>
      </c>
      <c r="D7487" s="538" t="n">
        <v>110.28</v>
      </c>
      <c r="E7487" s="538" t="n">
        <v>135.45</v>
      </c>
    </row>
    <row r="7488">
      <c r="A7488" s="544" t="n">
        <v>39692</v>
      </c>
      <c r="B7488" s="538" t="n">
        <v>113.49</v>
      </c>
      <c r="C7488" s="538" t="n">
        <v>115.55</v>
      </c>
      <c r="D7488" s="538" t="n">
        <v>105.35</v>
      </c>
      <c r="E7488" s="538" t="n">
        <v>133.7</v>
      </c>
    </row>
    <row r="7489">
      <c r="A7489" s="544" t="n">
        <v>39693</v>
      </c>
      <c r="B7489" s="538" t="n">
        <v>104.94</v>
      </c>
      <c r="C7489" s="538" t="n">
        <v>109.63</v>
      </c>
      <c r="D7489" s="538" t="n">
        <v>104.89</v>
      </c>
      <c r="E7489" s="538" t="n">
        <v>122.73</v>
      </c>
    </row>
    <row r="7490">
      <c r="A7490" s="544" t="n">
        <v>39694</v>
      </c>
      <c r="B7490" s="538" t="n">
        <v>103.88</v>
      </c>
      <c r="C7490" s="538" t="n">
        <v>109.38</v>
      </c>
      <c r="D7490" s="538" t="n">
        <v>104.23</v>
      </c>
      <c r="E7490" s="538" t="n">
        <v>121.7</v>
      </c>
    </row>
    <row r="7491">
      <c r="A7491" s="544" t="n">
        <v>39695</v>
      </c>
      <c r="B7491" s="538" t="n">
        <v>103.41</v>
      </c>
      <c r="C7491" s="538" t="n">
        <v>107.99</v>
      </c>
      <c r="D7491" s="538" t="n">
        <v>101.63</v>
      </c>
      <c r="E7491" s="538" t="n">
        <v>127.6</v>
      </c>
    </row>
    <row r="7492">
      <c r="A7492" s="544" t="n">
        <v>39696</v>
      </c>
      <c r="B7492" s="538" t="n">
        <v>102.51</v>
      </c>
      <c r="C7492" s="538" t="n">
        <v>106.47</v>
      </c>
      <c r="D7492" s="538" t="n">
        <v>100.72</v>
      </c>
      <c r="E7492" s="538" t="n">
        <v>122.1</v>
      </c>
    </row>
    <row r="7493">
      <c r="A7493" s="544" t="n">
        <v>39699</v>
      </c>
      <c r="B7493" s="538" t="n">
        <v>101.08</v>
      </c>
      <c r="C7493" s="538" t="n">
        <v>106.35</v>
      </c>
      <c r="D7493" s="538" t="n">
        <v>100.25</v>
      </c>
      <c r="E7493" s="538" t="n">
        <v>124.1</v>
      </c>
    </row>
    <row r="7494">
      <c r="A7494" s="544" t="n">
        <v>39700</v>
      </c>
      <c r="B7494" s="538" t="n">
        <v>98.94</v>
      </c>
      <c r="C7494" s="538" t="n">
        <v>103.23</v>
      </c>
      <c r="D7494" s="538" t="n">
        <v>96.14</v>
      </c>
      <c r="E7494" s="538" t="n">
        <v>122.25</v>
      </c>
    </row>
    <row r="7495">
      <c r="A7495" s="544" t="n">
        <v>39701</v>
      </c>
      <c r="B7495" s="538" t="n">
        <v>96</v>
      </c>
      <c r="C7495" s="538" t="n">
        <v>102.66</v>
      </c>
      <c r="D7495" s="538" t="n">
        <v>95.98</v>
      </c>
      <c r="E7495" s="538" t="n">
        <v>123.3</v>
      </c>
    </row>
    <row r="7496">
      <c r="A7496" s="544" t="n">
        <v>39702</v>
      </c>
      <c r="B7496" s="538" t="n">
        <v>96.01000000000001</v>
      </c>
      <c r="C7496" s="538" t="n">
        <v>100.95</v>
      </c>
      <c r="D7496" s="538" t="n">
        <v>94.98</v>
      </c>
      <c r="E7496" s="538" t="n">
        <v>118.9</v>
      </c>
    </row>
    <row r="7497">
      <c r="A7497" s="544" t="n">
        <v>39703</v>
      </c>
      <c r="B7497" s="538" t="n">
        <v>94.37</v>
      </c>
      <c r="C7497" s="538" t="n">
        <v>101.19</v>
      </c>
      <c r="D7497" s="538" t="n">
        <v>94.36</v>
      </c>
      <c r="E7497" s="538" t="n">
        <v>122.19</v>
      </c>
    </row>
    <row r="7498">
      <c r="A7498" s="544" t="n">
        <v>39706</v>
      </c>
      <c r="B7498" s="538" t="n">
        <v>90.45</v>
      </c>
      <c r="C7498" s="538" t="n">
        <v>95.52</v>
      </c>
      <c r="D7498" s="538" t="n">
        <v>87.45999999999999</v>
      </c>
      <c r="E7498" s="538" t="n">
        <v>117.4</v>
      </c>
    </row>
    <row r="7499">
      <c r="A7499" s="544" t="n">
        <v>39707</v>
      </c>
      <c r="B7499" s="538" t="n">
        <v>85.84999999999999</v>
      </c>
      <c r="C7499" s="538" t="n">
        <v>91.48999999999999</v>
      </c>
      <c r="D7499" s="538" t="n">
        <v>86.68000000000001</v>
      </c>
      <c r="E7499" s="538" t="n">
        <v>115.55</v>
      </c>
    </row>
    <row r="7500">
      <c r="A7500" s="544" t="n">
        <v>39708</v>
      </c>
      <c r="B7500" s="538" t="n">
        <v>86.09</v>
      </c>
      <c r="C7500" s="538" t="n">
        <v>97.39</v>
      </c>
      <c r="D7500" s="538" t="n">
        <v>89.90000000000001</v>
      </c>
      <c r="E7500" s="538" t="n">
        <v>116.3</v>
      </c>
    </row>
    <row r="7501">
      <c r="A7501" s="544" t="n">
        <v>39709</v>
      </c>
      <c r="B7501" s="538" t="n">
        <v>90.89</v>
      </c>
      <c r="C7501" s="538" t="n">
        <v>97.5</v>
      </c>
      <c r="D7501" s="538" t="n">
        <v>90.48999999999999</v>
      </c>
      <c r="E7501" s="538" t="n">
        <v>116.2</v>
      </c>
    </row>
    <row r="7502">
      <c r="A7502" s="544" t="n">
        <v>39710</v>
      </c>
      <c r="B7502" s="538" t="n">
        <v>93.45999999999999</v>
      </c>
      <c r="C7502" s="538" t="n">
        <v>104.05</v>
      </c>
      <c r="D7502" s="538" t="n">
        <v>94.87</v>
      </c>
      <c r="E7502" s="538" t="n">
        <v>116.28</v>
      </c>
    </row>
    <row r="7503">
      <c r="A7503" s="544" t="n">
        <v>39713</v>
      </c>
      <c r="B7503" s="538" t="n">
        <v>100.43</v>
      </c>
      <c r="C7503" s="538" t="n">
        <v>122.61</v>
      </c>
      <c r="D7503" s="538" t="n">
        <v>100.19</v>
      </c>
      <c r="E7503" s="538" t="n">
        <v>120.9</v>
      </c>
    </row>
    <row r="7504">
      <c r="A7504" s="544" t="n">
        <v>39714</v>
      </c>
      <c r="B7504" s="538" t="n">
        <v>100.72</v>
      </c>
      <c r="C7504" s="538" t="n">
        <v>107.85</v>
      </c>
      <c r="D7504" s="538" t="n">
        <v>97</v>
      </c>
      <c r="E7504" s="538" t="n">
        <v>124.5</v>
      </c>
    </row>
    <row r="7505">
      <c r="A7505" s="544" t="n">
        <v>39715</v>
      </c>
      <c r="B7505" s="538" t="n">
        <v>102.09</v>
      </c>
      <c r="C7505" s="538" t="n">
        <v>106.84</v>
      </c>
      <c r="D7505" s="538" t="n">
        <v>94.87</v>
      </c>
      <c r="E7505" s="538" t="n">
        <v>125.25</v>
      </c>
    </row>
    <row r="7506">
      <c r="A7506" s="544" t="n">
        <v>39716</v>
      </c>
      <c r="B7506" s="538" t="n">
        <v>100.45</v>
      </c>
      <c r="C7506" s="538" t="n">
        <v>111.54</v>
      </c>
      <c r="D7506" s="538" t="n">
        <v>97.20999999999999</v>
      </c>
      <c r="E7506" s="538" t="n">
        <v>123.65</v>
      </c>
    </row>
    <row r="7507">
      <c r="A7507" s="544" t="n">
        <v>39717</v>
      </c>
      <c r="B7507" s="538" t="n">
        <v>100.88</v>
      </c>
      <c r="C7507" s="538" t="n">
        <v>106.77</v>
      </c>
      <c r="D7507" s="538" t="n">
        <v>96.88</v>
      </c>
      <c r="E7507" s="538" t="n">
        <v>120.2</v>
      </c>
    </row>
    <row r="7508">
      <c r="A7508" s="544" t="n">
        <v>39720</v>
      </c>
      <c r="B7508" s="538" t="n">
        <v>95.95999999999999</v>
      </c>
      <c r="C7508" s="538" t="n">
        <v>96.29000000000001</v>
      </c>
      <c r="D7508" s="538" t="n">
        <v>86.55</v>
      </c>
      <c r="E7508" s="538" t="n">
        <v>118.15</v>
      </c>
    </row>
    <row r="7509">
      <c r="A7509" s="544" t="n">
        <v>39721</v>
      </c>
      <c r="B7509" s="538" t="n">
        <v>93.52</v>
      </c>
      <c r="C7509" s="538" t="n">
        <v>100.7</v>
      </c>
      <c r="D7509" s="538" t="n">
        <v>94.17</v>
      </c>
      <c r="E7509" s="538" t="n">
        <v>111.13</v>
      </c>
    </row>
    <row r="7510">
      <c r="A7510" s="544" t="n">
        <v>39722</v>
      </c>
      <c r="B7510" s="538" t="n">
        <v>92.19</v>
      </c>
      <c r="C7510" s="538" t="n">
        <v>98.23</v>
      </c>
      <c r="D7510" s="538" t="n">
        <v>92.08</v>
      </c>
      <c r="E7510" s="538" t="n">
        <v>111.13</v>
      </c>
    </row>
    <row r="7511">
      <c r="A7511" s="544" t="n">
        <v>39723</v>
      </c>
      <c r="B7511" s="538" t="n">
        <v>88.88</v>
      </c>
      <c r="C7511" s="538" t="n">
        <v>93.84</v>
      </c>
      <c r="D7511" s="538" t="n">
        <v>86.91</v>
      </c>
      <c r="E7511" s="538" t="n">
        <v>112.4</v>
      </c>
    </row>
    <row r="7512">
      <c r="A7512" s="544" t="n">
        <v>39724</v>
      </c>
      <c r="B7512" s="538" t="n">
        <v>88.95</v>
      </c>
      <c r="C7512" s="538" t="n">
        <v>93.91</v>
      </c>
      <c r="D7512" s="538" t="n">
        <v>85.58</v>
      </c>
      <c r="E7512" s="538" t="n">
        <v>107.8</v>
      </c>
    </row>
    <row r="7513">
      <c r="A7513" s="544" t="n">
        <v>39727</v>
      </c>
      <c r="B7513" s="538" t="n">
        <v>84.70999999999999</v>
      </c>
      <c r="C7513" s="538" t="n">
        <v>88.15000000000001</v>
      </c>
      <c r="D7513" s="538" t="n">
        <v>80.63</v>
      </c>
      <c r="E7513" s="538" t="n">
        <v>99.84999999999999</v>
      </c>
    </row>
    <row r="7514">
      <c r="A7514" s="544" t="n">
        <v>39728</v>
      </c>
      <c r="B7514" s="538" t="n">
        <v>83.17</v>
      </c>
      <c r="C7514" s="538" t="n">
        <v>90.18000000000001</v>
      </c>
      <c r="D7514" s="538" t="n">
        <v>79.91</v>
      </c>
      <c r="E7514" s="538" t="n">
        <v>99.25</v>
      </c>
    </row>
    <row r="7515">
      <c r="A7515" s="544" t="n">
        <v>39729</v>
      </c>
      <c r="B7515" s="538" t="n">
        <v>80.77</v>
      </c>
      <c r="C7515" s="538" t="n">
        <v>88.94</v>
      </c>
      <c r="D7515" s="538" t="n">
        <v>78.04000000000001</v>
      </c>
      <c r="E7515" s="538" t="n">
        <v>94.23999999999999</v>
      </c>
    </row>
    <row r="7516">
      <c r="A7516" s="544" t="n">
        <v>39730</v>
      </c>
      <c r="B7516" s="538" t="n">
        <v>81.65000000000001</v>
      </c>
      <c r="C7516" s="538" t="n">
        <v>86.5</v>
      </c>
      <c r="D7516" s="538" t="n">
        <v>74.40000000000001</v>
      </c>
      <c r="E7516" s="538" t="n">
        <v>96.75</v>
      </c>
    </row>
    <row r="7517">
      <c r="A7517" s="544" t="n">
        <v>39731</v>
      </c>
      <c r="B7517" s="538" t="n">
        <v>74.58</v>
      </c>
      <c r="C7517" s="538" t="n">
        <v>77.44</v>
      </c>
      <c r="D7517" s="538" t="n">
        <v>69.12</v>
      </c>
      <c r="E7517" s="538" t="n">
        <v>92.08</v>
      </c>
    </row>
    <row r="7518">
      <c r="A7518" s="544" t="n">
        <v>39734</v>
      </c>
      <c r="B7518" s="538" t="n">
        <v>74.37</v>
      </c>
      <c r="C7518" s="538" t="n">
        <v>81.17</v>
      </c>
      <c r="D7518" s="538" t="n">
        <v>71.68000000000001</v>
      </c>
      <c r="E7518" s="538" t="n">
        <v>91.05</v>
      </c>
    </row>
    <row r="7519">
      <c r="A7519" s="544" t="n">
        <v>39735</v>
      </c>
      <c r="B7519" s="538" t="n">
        <v>74.98</v>
      </c>
      <c r="C7519" s="538" t="n">
        <v>78.69</v>
      </c>
      <c r="D7519" s="538" t="n">
        <v>68.23999999999999</v>
      </c>
      <c r="E7519" s="538" t="n">
        <v>95</v>
      </c>
    </row>
    <row r="7520">
      <c r="A7520" s="544" t="n">
        <v>39736</v>
      </c>
      <c r="B7520" s="538" t="n">
        <v>66.86</v>
      </c>
      <c r="C7520" s="538" t="n">
        <v>74.38</v>
      </c>
      <c r="D7520" s="538" t="n">
        <v>64.05</v>
      </c>
      <c r="E7520" s="538" t="n">
        <v>90.3</v>
      </c>
    </row>
    <row r="7521">
      <c r="A7521" s="544" t="n">
        <v>39737</v>
      </c>
      <c r="B7521" s="538" t="n">
        <v>64.14</v>
      </c>
      <c r="C7521" s="538" t="n">
        <v>69.81</v>
      </c>
      <c r="D7521" s="538" t="n">
        <v>62.92</v>
      </c>
      <c r="E7521" s="538" t="n">
        <v>85.59999999999999</v>
      </c>
    </row>
    <row r="7522">
      <c r="A7522" s="544" t="n">
        <v>39738</v>
      </c>
      <c r="B7522" s="538" t="n">
        <v>66.05</v>
      </c>
      <c r="C7522" s="538" t="n">
        <v>71.90000000000001</v>
      </c>
      <c r="D7522" s="538" t="n">
        <v>62.04</v>
      </c>
      <c r="E7522" s="538" t="n">
        <v>84.40000000000001</v>
      </c>
    </row>
    <row r="7523">
      <c r="A7523" s="544" t="n">
        <v>39741</v>
      </c>
      <c r="B7523" s="538" t="n">
        <v>67.45</v>
      </c>
      <c r="C7523" s="538" t="n">
        <v>74.08</v>
      </c>
      <c r="D7523" s="538" t="n">
        <v>66.25</v>
      </c>
      <c r="E7523" s="538" t="n">
        <v>84.8</v>
      </c>
    </row>
    <row r="7524">
      <c r="A7524" s="544" t="n">
        <v>39742</v>
      </c>
      <c r="B7524" s="538" t="n">
        <v>65.98999999999999</v>
      </c>
      <c r="C7524" s="538" t="n">
        <v>71.29000000000001</v>
      </c>
      <c r="D7524" s="538" t="n">
        <v>61.73</v>
      </c>
      <c r="E7524" s="538" t="n">
        <v>87.81999999999999</v>
      </c>
    </row>
    <row r="7525">
      <c r="A7525" s="544" t="n">
        <v>39743</v>
      </c>
      <c r="B7525" s="538" t="n">
        <v>62.95</v>
      </c>
      <c r="C7525" s="538" t="n">
        <v>66.92</v>
      </c>
      <c r="D7525" s="538" t="n">
        <v>57.95</v>
      </c>
      <c r="E7525" s="538" t="n">
        <v>83.59999999999999</v>
      </c>
    </row>
    <row r="7526">
      <c r="A7526" s="544" t="n">
        <v>39744</v>
      </c>
      <c r="B7526" s="538" t="n">
        <v>65.06</v>
      </c>
      <c r="C7526" s="538" t="n">
        <v>67.17</v>
      </c>
      <c r="D7526" s="538" t="n">
        <v>60.7</v>
      </c>
      <c r="E7526" s="538" t="n">
        <v>83.15000000000001</v>
      </c>
    </row>
    <row r="7527">
      <c r="A7527" s="544" t="n">
        <v>39745</v>
      </c>
      <c r="B7527" s="538" t="n">
        <v>60.57</v>
      </c>
      <c r="C7527" s="538" t="n">
        <v>63.34</v>
      </c>
      <c r="D7527" s="538" t="n">
        <v>55.7</v>
      </c>
      <c r="E7527" s="538" t="n">
        <v>79.90000000000001</v>
      </c>
    </row>
    <row r="7528">
      <c r="A7528" s="544" t="n">
        <v>39748</v>
      </c>
      <c r="B7528" s="538" t="n">
        <v>59.34</v>
      </c>
      <c r="C7528" s="538" t="n">
        <v>61.92</v>
      </c>
      <c r="D7528" s="538" t="n">
        <v>53.13</v>
      </c>
      <c r="E7528" s="538" t="n">
        <v>79.90000000000001</v>
      </c>
    </row>
    <row r="7529">
      <c r="A7529" s="544" t="n">
        <v>39749</v>
      </c>
      <c r="B7529" s="538" t="n">
        <v>58.87</v>
      </c>
      <c r="C7529" s="538" t="n">
        <v>62.8</v>
      </c>
      <c r="D7529" s="538" t="n">
        <v>56.08</v>
      </c>
      <c r="E7529" s="538" t="n">
        <v>77.25</v>
      </c>
    </row>
    <row r="7530">
      <c r="A7530" s="544" t="n">
        <v>39750</v>
      </c>
      <c r="B7530" s="538" t="n">
        <v>64</v>
      </c>
      <c r="C7530" s="538" t="n">
        <v>67.45</v>
      </c>
      <c r="D7530" s="538" t="n">
        <v>59.68</v>
      </c>
      <c r="E7530" s="538" t="n">
        <v>76.59999999999999</v>
      </c>
    </row>
    <row r="7531">
      <c r="A7531" s="544" t="n">
        <v>39751</v>
      </c>
      <c r="B7531" s="538" t="n">
        <v>60.86</v>
      </c>
      <c r="C7531" s="538" t="n">
        <v>65.79000000000001</v>
      </c>
      <c r="D7531" s="538" t="n">
        <v>56.44</v>
      </c>
      <c r="E7531" s="538" t="n">
        <v>80.90000000000001</v>
      </c>
    </row>
    <row r="7532">
      <c r="A7532" s="544" t="n">
        <v>39752</v>
      </c>
      <c r="B7532" s="538" t="n">
        <v>60</v>
      </c>
      <c r="C7532" s="538" t="n">
        <v>68.09999999999999</v>
      </c>
      <c r="D7532" s="538" t="n">
        <v>59.32</v>
      </c>
      <c r="E7532" s="538" t="n">
        <v>82.25</v>
      </c>
    </row>
    <row r="7533">
      <c r="A7533" s="544" t="n">
        <v>39755</v>
      </c>
      <c r="B7533" s="538" t="n">
        <v>60.32</v>
      </c>
      <c r="C7533" s="538" t="n">
        <v>63.93</v>
      </c>
      <c r="D7533" s="538" t="n">
        <v>55.55</v>
      </c>
      <c r="E7533" s="538" t="n">
        <v>82.5</v>
      </c>
    </row>
    <row r="7534">
      <c r="A7534" s="544" t="n">
        <v>39756</v>
      </c>
      <c r="B7534" s="538" t="n">
        <v>62.78</v>
      </c>
      <c r="C7534" s="538" t="n">
        <v>70.41</v>
      </c>
      <c r="D7534" s="538" t="n">
        <v>61.03</v>
      </c>
      <c r="E7534" s="538" t="n">
        <v>81.5</v>
      </c>
    </row>
    <row r="7535">
      <c r="A7535" s="544" t="n">
        <v>39757</v>
      </c>
      <c r="B7535" s="538" t="n">
        <v>61.09</v>
      </c>
      <c r="C7535" s="538" t="n">
        <v>65.41</v>
      </c>
      <c r="D7535" s="538" t="n">
        <v>57.12</v>
      </c>
      <c r="E7535" s="538" t="n">
        <v>86.55</v>
      </c>
    </row>
    <row r="7536">
      <c r="A7536" s="544" t="n">
        <v>39758</v>
      </c>
      <c r="B7536" s="538" t="n">
        <v>56.14</v>
      </c>
      <c r="C7536" s="538" t="n">
        <v>60.72</v>
      </c>
      <c r="D7536" s="538" t="n">
        <v>52.51</v>
      </c>
      <c r="E7536" s="538" t="n">
        <v>84.68000000000001</v>
      </c>
    </row>
    <row r="7537">
      <c r="A7537" s="544" t="n">
        <v>39759</v>
      </c>
      <c r="B7537" s="538" t="n">
        <v>56.84</v>
      </c>
      <c r="C7537" s="538" t="n">
        <v>61.06</v>
      </c>
      <c r="D7537" s="538" t="n">
        <v>52.87</v>
      </c>
      <c r="E7537" s="538" t="n">
        <v>78</v>
      </c>
    </row>
    <row r="7538">
      <c r="A7538" s="544" t="n">
        <v>39762</v>
      </c>
      <c r="B7538" s="538" t="n">
        <v>57.08</v>
      </c>
      <c r="C7538" s="538" t="n">
        <v>62.19</v>
      </c>
      <c r="D7538" s="538" t="n">
        <v>53.63</v>
      </c>
      <c r="E7538" s="538" t="n">
        <v>81.3</v>
      </c>
    </row>
    <row r="7539">
      <c r="A7539" s="544" t="n">
        <v>39763</v>
      </c>
      <c r="B7539" s="538" t="n">
        <v>54.76</v>
      </c>
      <c r="C7539" s="538" t="n">
        <v>59.38</v>
      </c>
      <c r="D7539" s="538" t="n">
        <v>51.19</v>
      </c>
      <c r="E7539" s="538" t="n">
        <v>78.90000000000001</v>
      </c>
    </row>
    <row r="7540">
      <c r="A7540" s="544" t="n">
        <v>39764</v>
      </c>
      <c r="B7540" s="538" t="n">
        <v>52.47</v>
      </c>
      <c r="C7540" s="538" t="n">
        <v>55.95</v>
      </c>
      <c r="D7540" s="538" t="n">
        <v>47.88</v>
      </c>
      <c r="E7540" s="538" t="n">
        <v>77.40000000000001</v>
      </c>
    </row>
    <row r="7541">
      <c r="A7541" s="544" t="n">
        <v>39765</v>
      </c>
      <c r="B7541" s="538" t="n">
        <v>51.32</v>
      </c>
      <c r="C7541" s="538" t="n">
        <v>58.31</v>
      </c>
      <c r="D7541" s="538" t="n">
        <v>51.76</v>
      </c>
      <c r="E7541" s="538" t="n">
        <v>72.05</v>
      </c>
    </row>
    <row r="7542">
      <c r="A7542" s="544" t="n">
        <v>39766</v>
      </c>
      <c r="B7542" s="538" t="n">
        <v>50.7</v>
      </c>
      <c r="C7542" s="538" t="n">
        <v>57.18</v>
      </c>
      <c r="D7542" s="538" t="n">
        <v>47.86</v>
      </c>
      <c r="E7542" s="538" t="n">
        <v>73.95</v>
      </c>
    </row>
    <row r="7543">
      <c r="A7543" s="544" t="n">
        <v>39769</v>
      </c>
      <c r="B7543" s="538" t="n">
        <v>50.82</v>
      </c>
      <c r="C7543" s="538" t="n">
        <v>55.14</v>
      </c>
      <c r="D7543" s="538" t="n">
        <v>46.78</v>
      </c>
      <c r="E7543" s="538" t="n">
        <v>74.09999999999999</v>
      </c>
    </row>
    <row r="7544">
      <c r="A7544" s="544" t="n">
        <v>39770</v>
      </c>
      <c r="B7544" s="538" t="n">
        <v>49.1</v>
      </c>
      <c r="C7544" s="538" t="n">
        <v>54.42</v>
      </c>
      <c r="D7544" s="538" t="n">
        <v>46.2</v>
      </c>
      <c r="E7544" s="538" t="n">
        <v>73.40000000000001</v>
      </c>
    </row>
    <row r="7545">
      <c r="A7545" s="544" t="n">
        <v>39771</v>
      </c>
      <c r="B7545" s="538" t="n">
        <v>48.35</v>
      </c>
      <c r="C7545" s="538" t="n">
        <v>53.64</v>
      </c>
      <c r="D7545" s="538" t="n">
        <v>45.71</v>
      </c>
      <c r="E7545" s="538" t="n">
        <v>71.65000000000001</v>
      </c>
    </row>
    <row r="7546">
      <c r="A7546" s="544" t="n">
        <v>39772</v>
      </c>
      <c r="B7546" s="538" t="n">
        <v>45.79</v>
      </c>
      <c r="C7546" s="538" t="n">
        <v>48.86</v>
      </c>
      <c r="D7546" s="538" t="n">
        <v>41.35</v>
      </c>
      <c r="E7546" s="538" t="n">
        <v>70.59999999999999</v>
      </c>
    </row>
    <row r="7547">
      <c r="A7547" s="544" t="n">
        <v>39773</v>
      </c>
      <c r="B7547" s="538" t="n">
        <v>44.91</v>
      </c>
      <c r="C7547" s="538" t="n">
        <v>49.22</v>
      </c>
      <c r="D7547" s="538" t="n">
        <v>43.64</v>
      </c>
      <c r="E7547" s="538" t="n">
        <v>68.95</v>
      </c>
    </row>
    <row r="7548">
      <c r="A7548" s="544" t="n">
        <v>39776</v>
      </c>
      <c r="B7548" s="538" t="n">
        <v>49.51</v>
      </c>
      <c r="C7548" s="538" t="n">
        <v>53.63</v>
      </c>
      <c r="D7548" s="538" t="n">
        <v>47.64</v>
      </c>
      <c r="E7548" s="538" t="n">
        <v>67.34999999999999</v>
      </c>
    </row>
    <row r="7549">
      <c r="A7549" s="544" t="n">
        <v>39777</v>
      </c>
      <c r="B7549" s="538" t="n">
        <v>47.51</v>
      </c>
      <c r="C7549" s="538" t="n">
        <v>50.02</v>
      </c>
      <c r="D7549" s="538" t="n">
        <v>44.21</v>
      </c>
      <c r="E7549" s="538" t="n">
        <v>72</v>
      </c>
    </row>
    <row r="7550">
      <c r="A7550" s="544" t="n">
        <v>39778</v>
      </c>
      <c r="B7550" s="538" t="n">
        <v>49.39</v>
      </c>
      <c r="C7550" s="538" t="n">
        <v>54.2</v>
      </c>
      <c r="D7550" s="538" t="n">
        <v>48.44</v>
      </c>
      <c r="E7550" s="538" t="n">
        <v>69.09999999999999</v>
      </c>
    </row>
    <row r="7551">
      <c r="A7551" s="544" t="n">
        <v>39779</v>
      </c>
      <c r="B7551" s="538" t="n">
        <v>49.39</v>
      </c>
      <c r="C7551" s="538" t="n">
        <v>54.2</v>
      </c>
      <c r="D7551" s="538" t="n">
        <v>47.57</v>
      </c>
      <c r="E7551" s="538" t="n">
        <v>70.05</v>
      </c>
    </row>
    <row r="7552">
      <c r="A7552" s="544" t="n">
        <v>39780</v>
      </c>
      <c r="B7552" s="538" t="n">
        <v>47.72</v>
      </c>
      <c r="C7552" s="538" t="n">
        <v>55.21</v>
      </c>
      <c r="D7552" s="538" t="n">
        <v>48.88</v>
      </c>
      <c r="E7552" s="538" t="n">
        <v>69.2</v>
      </c>
    </row>
    <row r="7553">
      <c r="A7553" s="544" t="n">
        <v>39783</v>
      </c>
      <c r="B7553" s="538" t="n">
        <v>47.58</v>
      </c>
      <c r="C7553" s="538" t="n">
        <v>49.34</v>
      </c>
      <c r="D7553" s="538" t="n">
        <v>42.37</v>
      </c>
      <c r="E7553" s="538" t="n">
        <v>65.09999999999999</v>
      </c>
    </row>
    <row r="7554">
      <c r="A7554" s="544" t="n">
        <v>39784</v>
      </c>
      <c r="B7554" s="538" t="n">
        <v>45.64</v>
      </c>
      <c r="C7554" s="538" t="n">
        <v>47.05</v>
      </c>
      <c r="D7554" s="538" t="n">
        <v>40.83</v>
      </c>
      <c r="E7554" s="538" t="n">
        <v>61.3</v>
      </c>
    </row>
    <row r="7555">
      <c r="A7555" s="544" t="n">
        <v>39785</v>
      </c>
      <c r="B7555" s="538" t="n">
        <v>44.39</v>
      </c>
      <c r="C7555" s="538" t="n">
        <v>46.79</v>
      </c>
      <c r="D7555" s="538" t="n">
        <v>40.49</v>
      </c>
      <c r="E7555" s="538" t="n">
        <v>59.85</v>
      </c>
    </row>
    <row r="7556">
      <c r="A7556" s="544" t="n">
        <v>39786</v>
      </c>
      <c r="B7556" s="538" t="n">
        <v>43.83</v>
      </c>
      <c r="C7556" s="538" t="n">
        <v>43.8</v>
      </c>
      <c r="D7556" s="538" t="n">
        <v>37.58</v>
      </c>
      <c r="E7556" s="538" t="n">
        <v>58.2</v>
      </c>
    </row>
    <row r="7557">
      <c r="A7557" s="544" t="n">
        <v>39787</v>
      </c>
      <c r="B7557" s="538" t="n">
        <v>37.04</v>
      </c>
      <c r="C7557" s="538" t="n">
        <v>41.01</v>
      </c>
      <c r="D7557" s="538" t="n">
        <v>35.44</v>
      </c>
      <c r="E7557" s="538" t="n">
        <v>58.3</v>
      </c>
    </row>
    <row r="7558">
      <c r="A7558" s="544" t="n">
        <v>39790</v>
      </c>
      <c r="B7558" s="538" t="n">
        <v>40.02</v>
      </c>
      <c r="C7558" s="538" t="n">
        <v>43.69</v>
      </c>
      <c r="D7558" s="538" t="n">
        <v>38.06</v>
      </c>
      <c r="E7558" s="538" t="n">
        <v>58.3</v>
      </c>
    </row>
    <row r="7559">
      <c r="A7559" s="544" t="n">
        <v>39791</v>
      </c>
      <c r="B7559" s="538" t="n">
        <v>39.77</v>
      </c>
      <c r="C7559" s="538" t="n">
        <v>42</v>
      </c>
      <c r="D7559" s="538" t="n">
        <v>36.08</v>
      </c>
      <c r="E7559" s="538" t="n">
        <v>58</v>
      </c>
    </row>
    <row r="7560">
      <c r="A7560" s="544" t="n">
        <v>39792</v>
      </c>
      <c r="B7560" s="538" t="n">
        <v>39.34</v>
      </c>
      <c r="C7560" s="538" t="n">
        <v>43.1</v>
      </c>
      <c r="D7560" s="538" t="n">
        <v>37.62</v>
      </c>
      <c r="E7560" s="538" t="n">
        <v>57.2</v>
      </c>
    </row>
    <row r="7561">
      <c r="A7561" s="544" t="n">
        <v>39793</v>
      </c>
      <c r="B7561" s="538" t="n">
        <v>43.54</v>
      </c>
      <c r="C7561" s="538" t="n">
        <v>47.77</v>
      </c>
      <c r="D7561" s="538" t="n">
        <v>41.37</v>
      </c>
      <c r="E7561" s="538" t="n">
        <v>56</v>
      </c>
    </row>
    <row r="7562">
      <c r="A7562" s="544" t="n">
        <v>39794</v>
      </c>
      <c r="B7562" s="538" t="n">
        <v>42.38</v>
      </c>
      <c r="C7562" s="538" t="n">
        <v>46.27</v>
      </c>
      <c r="D7562" s="538" t="n">
        <v>44.03</v>
      </c>
      <c r="E7562" s="538" t="n">
        <v>59.1</v>
      </c>
    </row>
    <row r="7563">
      <c r="A7563" s="544" t="n">
        <v>39797</v>
      </c>
      <c r="B7563" s="538" t="n">
        <v>45.02</v>
      </c>
      <c r="C7563" s="538" t="n">
        <v>44.61</v>
      </c>
      <c r="D7563" s="538" t="n">
        <v>42.51</v>
      </c>
      <c r="E7563" s="538" t="n">
        <v>60.15</v>
      </c>
    </row>
    <row r="7564">
      <c r="A7564" s="544" t="n">
        <v>39798</v>
      </c>
      <c r="B7564" s="538" t="n">
        <v>42</v>
      </c>
      <c r="C7564" s="538" t="n">
        <v>43.84</v>
      </c>
      <c r="D7564" s="538" t="n">
        <v>42.17</v>
      </c>
      <c r="E7564" s="538" t="n">
        <v>60.45</v>
      </c>
    </row>
    <row r="7565">
      <c r="A7565" s="544" t="n">
        <v>39799</v>
      </c>
      <c r="B7565" s="538" t="n">
        <v>41.84</v>
      </c>
      <c r="C7565" s="538" t="n">
        <v>40.17</v>
      </c>
      <c r="D7565" s="538" t="n">
        <v>40.9</v>
      </c>
      <c r="E7565" s="538" t="n">
        <v>62.4</v>
      </c>
    </row>
    <row r="7566">
      <c r="A7566" s="544" t="n">
        <v>39800</v>
      </c>
      <c r="B7566" s="538" t="n">
        <v>40.19</v>
      </c>
      <c r="C7566" s="538" t="n">
        <v>36.73</v>
      </c>
      <c r="D7566" s="538" t="n">
        <v>40.9</v>
      </c>
      <c r="E7566" s="538" t="n">
        <v>61.4</v>
      </c>
    </row>
    <row r="7567">
      <c r="A7567" s="544" t="n">
        <v>39801</v>
      </c>
      <c r="B7567" s="538" t="n">
        <v>39.52</v>
      </c>
      <c r="C7567" s="538" t="n">
        <v>33.17</v>
      </c>
      <c r="D7567" s="538" t="n">
        <v>41.31</v>
      </c>
      <c r="E7567" s="538" t="n">
        <v>60.5</v>
      </c>
    </row>
    <row r="7568">
      <c r="A7568" s="544" t="n">
        <v>39804</v>
      </c>
      <c r="B7568" s="538" t="n">
        <v>38.08</v>
      </c>
      <c r="C7568" s="538" t="n">
        <v>31.1</v>
      </c>
      <c r="D7568" s="538" t="n">
        <v>37.19</v>
      </c>
      <c r="E7568" s="538" t="n">
        <v>60.15</v>
      </c>
    </row>
    <row r="7569">
      <c r="A7569" s="544" t="n">
        <v>39805</v>
      </c>
      <c r="B7569" s="538" t="n">
        <v>35.27</v>
      </c>
      <c r="C7569" s="538" t="n">
        <v>30.28</v>
      </c>
      <c r="D7569" s="538" t="n">
        <v>36.88</v>
      </c>
      <c r="E7569" s="538" t="n">
        <v>57.5</v>
      </c>
    </row>
    <row r="7570">
      <c r="A7570" s="544" t="n">
        <v>39806</v>
      </c>
      <c r="B7570" s="538" t="n">
        <v>34.45</v>
      </c>
      <c r="C7570" s="538" t="n">
        <v>32.94</v>
      </c>
      <c r="D7570" s="538" t="n">
        <v>32.83</v>
      </c>
      <c r="E7570" s="538" t="n">
        <v>56.2</v>
      </c>
    </row>
    <row r="7571">
      <c r="A7571" s="544" t="n">
        <v>39807</v>
      </c>
      <c r="B7571" s="538" t="n">
        <v>34.45</v>
      </c>
      <c r="C7571" s="538" t="n">
        <v>32.94</v>
      </c>
      <c r="D7571" s="538" t="n">
        <v>32.83</v>
      </c>
      <c r="E7571" s="538" t="n">
        <v>56.2</v>
      </c>
    </row>
    <row r="7572">
      <c r="A7572" s="544" t="n">
        <v>39808</v>
      </c>
      <c r="B7572" s="538" t="n">
        <v>33.73</v>
      </c>
      <c r="C7572" s="538" t="n">
        <v>37.58</v>
      </c>
      <c r="D7572" s="538" t="n">
        <v>35.12</v>
      </c>
      <c r="E7572" s="538" t="n">
        <v>56.2</v>
      </c>
    </row>
    <row r="7573">
      <c r="A7573" s="544" t="n">
        <v>39811</v>
      </c>
      <c r="B7573" s="538" t="n">
        <v>34.16</v>
      </c>
      <c r="C7573" s="538" t="n">
        <v>39.89</v>
      </c>
      <c r="D7573" s="538" t="n">
        <v>37.03</v>
      </c>
      <c r="E7573" s="538" t="n">
        <v>55</v>
      </c>
    </row>
    <row r="7574">
      <c r="A7574" s="544" t="n">
        <v>39812</v>
      </c>
      <c r="B7574" s="538" t="n">
        <v>35.22</v>
      </c>
      <c r="C7574" s="538" t="n">
        <v>38.95</v>
      </c>
      <c r="D7574" s="538" t="n">
        <v>37.03</v>
      </c>
      <c r="E7574" s="538" t="n">
        <v>54.4</v>
      </c>
    </row>
    <row r="7575">
      <c r="A7575" s="544" t="n">
        <v>39813</v>
      </c>
      <c r="B7575" s="538" t="n">
        <v>35.82</v>
      </c>
      <c r="C7575" s="538" t="n">
        <v>44.6</v>
      </c>
      <c r="D7575" s="538" t="n">
        <v>41.19</v>
      </c>
      <c r="E7575" s="538" t="n">
        <v>53.9</v>
      </c>
    </row>
    <row r="7576">
      <c r="A7576" s="544" t="n">
        <v>39814</v>
      </c>
      <c r="B7576" s="538" t="n">
        <v>35.82</v>
      </c>
      <c r="C7576" s="538" t="n">
        <v>44.6</v>
      </c>
      <c r="D7576" s="538" t="n">
        <v>41.19</v>
      </c>
      <c r="E7576" s="538" t="n">
        <v>53.9</v>
      </c>
    </row>
    <row r="7577">
      <c r="A7577" s="544" t="n">
        <v>39815</v>
      </c>
      <c r="B7577" s="538" t="n">
        <v>42.94</v>
      </c>
      <c r="C7577" s="538" t="n">
        <v>46.17</v>
      </c>
      <c r="D7577" s="538" t="n">
        <v>41.71</v>
      </c>
      <c r="E7577" s="538" t="n">
        <v>57.8</v>
      </c>
    </row>
    <row r="7578">
      <c r="A7578" s="544" t="n">
        <v>39818</v>
      </c>
      <c r="B7578" s="538" t="n">
        <v>45.84</v>
      </c>
      <c r="C7578" s="538" t="n">
        <v>48.61</v>
      </c>
      <c r="D7578" s="538" t="n">
        <v>43.71</v>
      </c>
      <c r="E7578" s="538" t="n">
        <v>60.46</v>
      </c>
    </row>
    <row r="7579">
      <c r="A7579" s="544" t="n">
        <v>39819</v>
      </c>
      <c r="B7579" s="538" t="n">
        <v>48.89</v>
      </c>
      <c r="C7579" s="538" t="n">
        <v>48.56</v>
      </c>
      <c r="D7579" s="538" t="n">
        <v>44.96</v>
      </c>
      <c r="E7579" s="538" t="n">
        <v>65.45</v>
      </c>
    </row>
    <row r="7580">
      <c r="A7580" s="544" t="n">
        <v>39820</v>
      </c>
      <c r="B7580" s="538" t="n">
        <v>46.23</v>
      </c>
      <c r="C7580" s="538" t="n">
        <v>42.75</v>
      </c>
      <c r="D7580" s="538" t="n">
        <v>40.07</v>
      </c>
      <c r="E7580" s="538" t="n">
        <v>67.40000000000001</v>
      </c>
    </row>
    <row r="7581">
      <c r="A7581" s="544" t="n">
        <v>39821</v>
      </c>
      <c r="B7581" s="538" t="n">
        <v>42.94</v>
      </c>
      <c r="C7581" s="538" t="n">
        <v>41.68</v>
      </c>
      <c r="D7581" s="538" t="n">
        <v>40.21</v>
      </c>
      <c r="E7581" s="538" t="n">
        <v>64.55</v>
      </c>
    </row>
    <row r="7582">
      <c r="A7582" s="544" t="n">
        <v>39822</v>
      </c>
      <c r="B7582" s="538" t="n">
        <v>42.34</v>
      </c>
      <c r="C7582" s="538" t="n">
        <v>40.69</v>
      </c>
      <c r="D7582" s="538" t="n">
        <v>38.88</v>
      </c>
      <c r="E7582" s="538" t="n">
        <v>63.35</v>
      </c>
    </row>
    <row r="7583">
      <c r="A7583" s="544" t="n">
        <v>39825</v>
      </c>
      <c r="B7583" s="538" t="n">
        <v>40.86</v>
      </c>
      <c r="C7583" s="538" t="n">
        <v>37.65</v>
      </c>
      <c r="D7583" s="538" t="n">
        <v>36.83</v>
      </c>
      <c r="E7583" s="538" t="n">
        <v>58.2</v>
      </c>
    </row>
    <row r="7584">
      <c r="A7584" s="544" t="n">
        <v>39826</v>
      </c>
      <c r="B7584" s="538" t="n">
        <v>43.05</v>
      </c>
      <c r="C7584" s="538" t="n">
        <v>37.77</v>
      </c>
      <c r="D7584" s="538" t="n">
        <v>38.55</v>
      </c>
      <c r="E7584" s="538" t="n">
        <v>56.9</v>
      </c>
    </row>
    <row r="7585">
      <c r="A7585" s="544" t="n">
        <v>39827</v>
      </c>
      <c r="B7585" s="538" t="n">
        <v>42.27</v>
      </c>
      <c r="C7585" s="538" t="n">
        <v>37.43</v>
      </c>
      <c r="D7585" s="538" t="n">
        <v>37.69</v>
      </c>
      <c r="E7585" s="538" t="n">
        <v>61.2</v>
      </c>
    </row>
    <row r="7586">
      <c r="A7586" s="544" t="n">
        <v>39828</v>
      </c>
      <c r="B7586" s="538" t="n">
        <v>42.32</v>
      </c>
      <c r="C7586" s="538" t="n">
        <v>35.41</v>
      </c>
      <c r="D7586" s="538" t="n">
        <v>43.91</v>
      </c>
      <c r="E7586" s="538" t="n">
        <v>59.15</v>
      </c>
    </row>
    <row r="7587">
      <c r="A7587" s="544" t="n">
        <v>39829</v>
      </c>
      <c r="B7587" s="538" t="n">
        <v>43.42</v>
      </c>
      <c r="C7587" s="538" t="n">
        <v>35.38</v>
      </c>
      <c r="D7587" s="538" t="n">
        <v>43.02</v>
      </c>
      <c r="E7587" s="538" t="n">
        <v>61</v>
      </c>
    </row>
    <row r="7588">
      <c r="A7588" s="544" t="n">
        <v>39832</v>
      </c>
      <c r="B7588" s="538" t="n">
        <v>43.42</v>
      </c>
      <c r="C7588" s="538" t="n">
        <v>35.38</v>
      </c>
      <c r="D7588" s="538" t="n">
        <v>41.47</v>
      </c>
      <c r="E7588" s="538" t="n">
        <v>59.85</v>
      </c>
    </row>
    <row r="7589">
      <c r="A7589" s="544" t="n">
        <v>39833</v>
      </c>
      <c r="B7589" s="538" t="n">
        <v>41.22</v>
      </c>
      <c r="C7589" s="538" t="n">
        <v>38.57</v>
      </c>
      <c r="D7589" s="538" t="n">
        <v>40.34</v>
      </c>
      <c r="E7589" s="538" t="n">
        <v>56.05</v>
      </c>
    </row>
    <row r="7590">
      <c r="A7590" s="544" t="n">
        <v>39834</v>
      </c>
      <c r="B7590" s="538" t="n">
        <v>39.9</v>
      </c>
      <c r="C7590" s="538" t="n">
        <v>42.56</v>
      </c>
      <c r="D7590" s="538" t="n">
        <v>42.61</v>
      </c>
      <c r="E7590" s="538" t="n">
        <v>56.1</v>
      </c>
    </row>
    <row r="7591">
      <c r="A7591" s="544" t="n">
        <v>39835</v>
      </c>
      <c r="B7591" s="538" t="n">
        <v>42.42</v>
      </c>
      <c r="C7591" s="538" t="n">
        <v>42.33</v>
      </c>
      <c r="D7591" s="538" t="n">
        <v>41.94</v>
      </c>
      <c r="E7591" s="538" t="n">
        <v>57</v>
      </c>
    </row>
    <row r="7592">
      <c r="A7592" s="544" t="n">
        <v>39836</v>
      </c>
      <c r="B7592" s="538" t="n">
        <v>43.13</v>
      </c>
      <c r="C7592" s="538" t="n">
        <v>45.12</v>
      </c>
      <c r="D7592" s="538" t="n">
        <v>44.88</v>
      </c>
      <c r="E7592" s="538" t="n">
        <v>55.6</v>
      </c>
    </row>
    <row r="7593">
      <c r="A7593" s="544" t="n">
        <v>39839</v>
      </c>
      <c r="B7593" s="538" t="n">
        <v>48</v>
      </c>
      <c r="C7593" s="538" t="n">
        <v>46.5</v>
      </c>
      <c r="D7593" s="538" t="n">
        <v>43.74</v>
      </c>
      <c r="E7593" s="538" t="n">
        <v>55.6</v>
      </c>
    </row>
    <row r="7594">
      <c r="A7594" s="544" t="n">
        <v>39840</v>
      </c>
      <c r="B7594" s="538" t="n">
        <v>42.86</v>
      </c>
      <c r="C7594" s="538" t="n">
        <v>41.67</v>
      </c>
      <c r="D7594" s="538" t="n">
        <v>41.09</v>
      </c>
      <c r="E7594" s="538" t="n">
        <v>55.6</v>
      </c>
    </row>
    <row r="7595">
      <c r="A7595" s="544" t="n">
        <v>39841</v>
      </c>
      <c r="B7595" s="538" t="n">
        <v>42.86</v>
      </c>
      <c r="C7595" s="538" t="n">
        <v>42.04</v>
      </c>
      <c r="D7595" s="538" t="n">
        <v>43.17</v>
      </c>
      <c r="E7595" s="538" t="n">
        <v>56.6</v>
      </c>
    </row>
    <row r="7596">
      <c r="A7596" s="544" t="n">
        <v>39842</v>
      </c>
      <c r="B7596" s="538" t="n">
        <v>43.13</v>
      </c>
      <c r="C7596" s="538" t="n">
        <v>41.58</v>
      </c>
      <c r="D7596" s="538" t="n">
        <v>43.29</v>
      </c>
      <c r="E7596" s="538" t="n">
        <v>58.05</v>
      </c>
    </row>
    <row r="7597">
      <c r="A7597" s="544" t="n">
        <v>39843</v>
      </c>
      <c r="B7597" s="538" t="n">
        <v>44.17</v>
      </c>
      <c r="C7597" s="538" t="n">
        <v>41.73</v>
      </c>
      <c r="D7597" s="538" t="n">
        <v>43.54</v>
      </c>
      <c r="E7597" s="538" t="n">
        <v>59.37</v>
      </c>
    </row>
    <row r="7598">
      <c r="A7598" s="544" t="n">
        <v>39846</v>
      </c>
      <c r="B7598" s="538" t="n">
        <v>42.96</v>
      </c>
      <c r="C7598" s="538" t="n">
        <v>41.35</v>
      </c>
      <c r="D7598" s="538" t="n">
        <v>38.28</v>
      </c>
      <c r="E7598" s="538" t="n">
        <v>58.75</v>
      </c>
    </row>
    <row r="7599">
      <c r="A7599" s="544" t="n">
        <v>39847</v>
      </c>
      <c r="B7599" s="538" t="n">
        <v>43.15</v>
      </c>
      <c r="C7599" s="538" t="n">
        <v>40.87</v>
      </c>
      <c r="D7599" s="538" t="n">
        <v>38.74</v>
      </c>
      <c r="E7599" s="538" t="n">
        <v>55.8</v>
      </c>
    </row>
    <row r="7600">
      <c r="A7600" s="544" t="n">
        <v>39848</v>
      </c>
      <c r="B7600" s="538" t="n">
        <v>43.68</v>
      </c>
      <c r="C7600" s="538" t="n">
        <v>40.27</v>
      </c>
      <c r="D7600" s="538" t="n">
        <v>38.26</v>
      </c>
      <c r="E7600" s="538" t="n">
        <v>54.85</v>
      </c>
    </row>
    <row r="7601">
      <c r="A7601" s="544" t="n">
        <v>39849</v>
      </c>
      <c r="B7601" s="538" t="n">
        <v>43.92</v>
      </c>
      <c r="C7601" s="538" t="n">
        <v>41.15</v>
      </c>
      <c r="D7601" s="538" t="n">
        <v>40.35</v>
      </c>
      <c r="E7601" s="538" t="n">
        <v>55.4</v>
      </c>
    </row>
    <row r="7602">
      <c r="A7602" s="544" t="n">
        <v>39850</v>
      </c>
      <c r="B7602" s="538" t="n">
        <v>44.49</v>
      </c>
      <c r="C7602" s="538" t="n">
        <v>40.24</v>
      </c>
      <c r="D7602" s="538" t="n">
        <v>38.58</v>
      </c>
      <c r="E7602" s="538" t="n">
        <v>55.4</v>
      </c>
    </row>
    <row r="7603">
      <c r="A7603" s="544" t="n">
        <v>39853</v>
      </c>
      <c r="B7603" s="538" t="n">
        <v>47.23</v>
      </c>
      <c r="C7603" s="538" t="n">
        <v>39.58</v>
      </c>
      <c r="D7603" s="538" t="n">
        <v>38.63</v>
      </c>
      <c r="E7603" s="538" t="n">
        <v>54.45</v>
      </c>
    </row>
    <row r="7604">
      <c r="A7604" s="544" t="n">
        <v>39854</v>
      </c>
      <c r="B7604" s="538" t="n">
        <v>45.88</v>
      </c>
      <c r="C7604" s="538" t="n">
        <v>37.54</v>
      </c>
      <c r="D7604" s="538" t="n">
        <v>37.63</v>
      </c>
      <c r="E7604" s="538" t="n">
        <v>55.2</v>
      </c>
    </row>
    <row r="7605">
      <c r="A7605" s="544" t="n">
        <v>39855</v>
      </c>
      <c r="B7605" s="538" t="n">
        <v>44.24</v>
      </c>
      <c r="C7605" s="538" t="n">
        <v>35.93</v>
      </c>
      <c r="D7605" s="538" t="n">
        <v>42.6</v>
      </c>
      <c r="E7605" s="538" t="n">
        <v>52.7</v>
      </c>
    </row>
    <row r="7606">
      <c r="A7606" s="544" t="n">
        <v>39856</v>
      </c>
      <c r="B7606" s="538" t="n">
        <v>47.23</v>
      </c>
      <c r="C7606" s="538" t="n">
        <v>34.03</v>
      </c>
      <c r="D7606" s="538" t="n">
        <v>43.85</v>
      </c>
      <c r="E7606" s="538" t="n">
        <v>53.25</v>
      </c>
    </row>
    <row r="7607">
      <c r="A7607" s="544" t="n">
        <v>39857</v>
      </c>
      <c r="B7607" s="538" t="n">
        <v>43.36</v>
      </c>
      <c r="C7607" s="538" t="n">
        <v>37.63</v>
      </c>
      <c r="D7607" s="538" t="n">
        <v>42.73</v>
      </c>
      <c r="E7607" s="538" t="n">
        <v>53.65</v>
      </c>
    </row>
    <row r="7608">
      <c r="A7608" s="544" t="n">
        <v>39860</v>
      </c>
      <c r="B7608" s="538" t="n">
        <v>43.36</v>
      </c>
      <c r="C7608" s="538" t="n">
        <v>37.63</v>
      </c>
      <c r="D7608" s="538" t="n">
        <v>41.7</v>
      </c>
      <c r="E7608" s="538" t="n">
        <v>53.7</v>
      </c>
    </row>
    <row r="7609">
      <c r="A7609" s="544" t="n">
        <v>39861</v>
      </c>
      <c r="B7609" s="538" t="n">
        <v>39.69</v>
      </c>
      <c r="C7609" s="538" t="n">
        <v>34.96</v>
      </c>
      <c r="D7609" s="538" t="n">
        <v>38.69</v>
      </c>
      <c r="E7609" s="538" t="n">
        <v>52.95</v>
      </c>
    </row>
    <row r="7610">
      <c r="A7610" s="544" t="n">
        <v>39862</v>
      </c>
      <c r="B7610" s="538" t="n">
        <v>39.41</v>
      </c>
      <c r="C7610" s="538" t="n">
        <v>34.67</v>
      </c>
      <c r="D7610" s="538" t="n">
        <v>38.34</v>
      </c>
      <c r="E7610" s="538" t="n">
        <v>50</v>
      </c>
    </row>
    <row r="7611">
      <c r="A7611" s="544" t="n">
        <v>39863</v>
      </c>
      <c r="B7611" s="538" t="n">
        <v>42.36</v>
      </c>
      <c r="C7611" s="538" t="n">
        <v>39.6</v>
      </c>
      <c r="D7611" s="538" t="n">
        <v>40.02</v>
      </c>
      <c r="E7611" s="538" t="n">
        <v>48.85</v>
      </c>
    </row>
    <row r="7612">
      <c r="A7612" s="544" t="n">
        <v>39864</v>
      </c>
      <c r="B7612" s="538" t="n">
        <v>42.19</v>
      </c>
      <c r="C7612" s="538" t="n">
        <v>39.35</v>
      </c>
      <c r="D7612" s="538" t="n">
        <v>39.79</v>
      </c>
      <c r="E7612" s="538" t="n">
        <v>50.25</v>
      </c>
    </row>
    <row r="7613">
      <c r="A7613" s="544" t="n">
        <v>39867</v>
      </c>
      <c r="B7613" s="538" t="n">
        <v>41.27</v>
      </c>
      <c r="C7613" s="538" t="n">
        <v>37.66</v>
      </c>
      <c r="D7613" s="538" t="n">
        <v>38.73</v>
      </c>
      <c r="E7613" s="538" t="n">
        <v>50.58</v>
      </c>
    </row>
    <row r="7614">
      <c r="A7614" s="544" t="n">
        <v>39868</v>
      </c>
      <c r="B7614" s="538" t="n">
        <v>40.18</v>
      </c>
      <c r="C7614" s="538" t="n">
        <v>38.86</v>
      </c>
      <c r="D7614" s="538" t="n">
        <v>40.65</v>
      </c>
      <c r="E7614" s="538" t="n">
        <v>48.3</v>
      </c>
    </row>
    <row r="7615">
      <c r="A7615" s="544" t="n">
        <v>39869</v>
      </c>
      <c r="B7615" s="538" t="n">
        <v>42.37</v>
      </c>
      <c r="C7615" s="538" t="n">
        <v>41.64</v>
      </c>
      <c r="D7615" s="538" t="n">
        <v>42.11</v>
      </c>
      <c r="E7615" s="538" t="n">
        <v>49.6</v>
      </c>
    </row>
    <row r="7616">
      <c r="A7616" s="544" t="n">
        <v>39870</v>
      </c>
      <c r="B7616" s="538" t="n">
        <v>45.15</v>
      </c>
      <c r="C7616" s="538" t="n">
        <v>43.18</v>
      </c>
      <c r="D7616" s="538" t="n">
        <v>43.77</v>
      </c>
      <c r="E7616" s="538" t="n">
        <v>51.5</v>
      </c>
    </row>
    <row r="7617">
      <c r="A7617" s="544" t="n">
        <v>39871</v>
      </c>
      <c r="B7617" s="538" t="n">
        <v>44.41</v>
      </c>
      <c r="C7617" s="538" t="n">
        <v>44.15</v>
      </c>
      <c r="D7617" s="538" t="n">
        <v>43.42</v>
      </c>
      <c r="E7617" s="538" t="n">
        <v>51.3</v>
      </c>
    </row>
    <row r="7618">
      <c r="A7618" s="544" t="n">
        <v>39874</v>
      </c>
      <c r="B7618" s="538" t="n">
        <v>42.6</v>
      </c>
      <c r="C7618" s="538" t="n">
        <v>40.07</v>
      </c>
      <c r="D7618" s="538" t="n">
        <v>37</v>
      </c>
      <c r="E7618" s="538" t="n">
        <v>49.9</v>
      </c>
    </row>
    <row r="7619">
      <c r="A7619" s="544" t="n">
        <v>39875</v>
      </c>
      <c r="B7619" s="538" t="n">
        <v>42.72</v>
      </c>
      <c r="C7619" s="538" t="n">
        <v>41.57</v>
      </c>
      <c r="D7619" s="538" t="n">
        <v>38.8</v>
      </c>
      <c r="E7619" s="538" t="n">
        <v>46.7</v>
      </c>
    </row>
    <row r="7620">
      <c r="A7620" s="544" t="n">
        <v>39876</v>
      </c>
      <c r="B7620" s="538" t="n">
        <v>46.07</v>
      </c>
      <c r="C7620" s="538" t="n">
        <v>45.28</v>
      </c>
      <c r="D7620" s="538" t="n">
        <v>41.38</v>
      </c>
      <c r="E7620" s="538" t="n">
        <v>48.06</v>
      </c>
    </row>
    <row r="7621">
      <c r="A7621" s="544" t="n">
        <v>39877</v>
      </c>
      <c r="B7621" s="538" t="n">
        <v>44.45</v>
      </c>
      <c r="C7621" s="538" t="n">
        <v>43.54</v>
      </c>
      <c r="D7621" s="538" t="n">
        <v>38.88</v>
      </c>
      <c r="E7621" s="538" t="n">
        <v>49.2</v>
      </c>
    </row>
    <row r="7622">
      <c r="A7622" s="544" t="n">
        <v>39878</v>
      </c>
      <c r="B7622" s="538" t="n">
        <v>43.48</v>
      </c>
      <c r="C7622" s="538" t="n">
        <v>45.43</v>
      </c>
      <c r="D7622" s="538" t="n">
        <v>40.87</v>
      </c>
      <c r="E7622" s="538" t="n">
        <v>47.15</v>
      </c>
    </row>
    <row r="7623">
      <c r="A7623" s="544" t="n">
        <v>39881</v>
      </c>
      <c r="B7623" s="538" t="n">
        <v>44.55</v>
      </c>
      <c r="C7623" s="538" t="n">
        <v>47.01</v>
      </c>
      <c r="D7623" s="538" t="n">
        <v>40.98</v>
      </c>
      <c r="E7623" s="538" t="n">
        <v>48.58</v>
      </c>
    </row>
    <row r="7624">
      <c r="A7624" s="544" t="n">
        <v>39882</v>
      </c>
      <c r="B7624" s="538" t="n">
        <v>44.99</v>
      </c>
      <c r="C7624" s="538" t="n">
        <v>45.68</v>
      </c>
      <c r="D7624" s="538" t="n">
        <v>40.44</v>
      </c>
      <c r="E7624" s="538" t="n">
        <v>47.85</v>
      </c>
    </row>
    <row r="7625">
      <c r="A7625" s="544" t="n">
        <v>39883</v>
      </c>
      <c r="B7625" s="538" t="n">
        <v>43.2</v>
      </c>
      <c r="C7625" s="538" t="n">
        <v>42.46</v>
      </c>
      <c r="D7625" s="538" t="n">
        <v>38.15</v>
      </c>
      <c r="E7625" s="538" t="n">
        <v>48.75</v>
      </c>
    </row>
    <row r="7626">
      <c r="A7626" s="544" t="n">
        <v>39884</v>
      </c>
      <c r="B7626" s="538" t="n">
        <v>42.19</v>
      </c>
      <c r="C7626" s="538" t="n">
        <v>46.91</v>
      </c>
      <c r="D7626" s="538" t="n">
        <v>41.74</v>
      </c>
      <c r="E7626" s="538" t="n">
        <v>46.4</v>
      </c>
    </row>
    <row r="7627">
      <c r="A7627" s="544" t="n">
        <v>39885</v>
      </c>
      <c r="B7627" s="538" t="n">
        <v>44.97</v>
      </c>
      <c r="C7627" s="538" t="n">
        <v>46.22</v>
      </c>
      <c r="D7627" s="538" t="n">
        <v>41.37</v>
      </c>
      <c r="E7627" s="538" t="n">
        <v>49.25</v>
      </c>
    </row>
    <row r="7628">
      <c r="A7628" s="544" t="n">
        <v>39888</v>
      </c>
      <c r="B7628" s="538" t="n">
        <v>44.12</v>
      </c>
      <c r="C7628" s="538" t="n">
        <v>47.33</v>
      </c>
      <c r="D7628" s="538" t="n">
        <v>42.88</v>
      </c>
      <c r="E7628" s="538" t="n">
        <v>48.1</v>
      </c>
    </row>
    <row r="7629">
      <c r="A7629" s="544" t="n">
        <v>39889</v>
      </c>
      <c r="B7629" s="538" t="n">
        <v>45.53</v>
      </c>
      <c r="C7629" s="538" t="n">
        <v>48.97</v>
      </c>
      <c r="D7629" s="538" t="n">
        <v>44.72</v>
      </c>
      <c r="E7629" s="538" t="n">
        <v>50.05</v>
      </c>
    </row>
    <row r="7630">
      <c r="A7630" s="544" t="n">
        <v>39890</v>
      </c>
      <c r="B7630" s="538" t="n">
        <v>45.22</v>
      </c>
      <c r="C7630" s="538" t="n">
        <v>48.12</v>
      </c>
      <c r="D7630" s="538" t="n">
        <v>45.93</v>
      </c>
      <c r="E7630" s="538" t="n">
        <v>53.4</v>
      </c>
    </row>
    <row r="7631">
      <c r="A7631" s="544" t="n">
        <v>39891</v>
      </c>
      <c r="B7631" s="538" t="n">
        <v>48.03</v>
      </c>
      <c r="C7631" s="538" t="n">
        <v>51.46</v>
      </c>
      <c r="D7631" s="538" t="n">
        <v>47.13</v>
      </c>
      <c r="E7631" s="538" t="n">
        <v>54.2</v>
      </c>
    </row>
    <row r="7632">
      <c r="A7632" s="544" t="n">
        <v>39892</v>
      </c>
      <c r="B7632" s="538" t="n">
        <v>49.27</v>
      </c>
      <c r="C7632" s="538" t="n">
        <v>51.55</v>
      </c>
      <c r="D7632" s="538" t="n">
        <v>48.26</v>
      </c>
      <c r="E7632" s="538" t="n">
        <v>57.8</v>
      </c>
    </row>
    <row r="7633">
      <c r="A7633" s="544" t="n">
        <v>39895</v>
      </c>
      <c r="B7633" s="538" t="n">
        <v>51.84</v>
      </c>
      <c r="C7633" s="538" t="n">
        <v>53.05</v>
      </c>
      <c r="D7633" s="538" t="n">
        <v>50.08</v>
      </c>
      <c r="E7633" s="538" t="n">
        <v>59.55</v>
      </c>
    </row>
    <row r="7634">
      <c r="A7634" s="544" t="n">
        <v>39896</v>
      </c>
      <c r="B7634" s="538" t="n">
        <v>51.32</v>
      </c>
      <c r="C7634" s="538" t="n">
        <v>53.36</v>
      </c>
      <c r="D7634" s="538" t="n">
        <v>49.78</v>
      </c>
      <c r="E7634" s="538" t="n">
        <v>61.83</v>
      </c>
    </row>
    <row r="7635">
      <c r="A7635" s="544" t="n">
        <v>39897</v>
      </c>
      <c r="B7635" s="538" t="n">
        <v>51.46</v>
      </c>
      <c r="C7635" s="538" t="n">
        <v>52.24</v>
      </c>
      <c r="D7635" s="538" t="n">
        <v>48.34</v>
      </c>
      <c r="E7635" s="538" t="n">
        <v>62.47</v>
      </c>
    </row>
    <row r="7636">
      <c r="A7636" s="544" t="n">
        <v>39898</v>
      </c>
      <c r="B7636" s="538" t="n">
        <v>51.89</v>
      </c>
      <c r="C7636" s="538" t="n">
        <v>53.87</v>
      </c>
      <c r="D7636" s="538" t="n">
        <v>49.93</v>
      </c>
      <c r="E7636" s="538" t="n">
        <v>63.02</v>
      </c>
    </row>
    <row r="7637">
      <c r="A7637" s="544" t="n">
        <v>39899</v>
      </c>
      <c r="B7637" s="538" t="n">
        <v>50.81</v>
      </c>
      <c r="C7637" s="538" t="n">
        <v>52.41</v>
      </c>
      <c r="D7637" s="538" t="n">
        <v>48.7</v>
      </c>
      <c r="E7637" s="538" t="n">
        <v>62.72</v>
      </c>
    </row>
    <row r="7638">
      <c r="A7638" s="544" t="n">
        <v>39902</v>
      </c>
      <c r="B7638" s="538" t="n">
        <v>49.05</v>
      </c>
      <c r="C7638" s="538" t="n">
        <v>48.49</v>
      </c>
      <c r="D7638" s="538" t="n">
        <v>45.12</v>
      </c>
      <c r="E7638" s="538" t="n">
        <v>59.22</v>
      </c>
    </row>
    <row r="7639">
      <c r="A7639" s="544" t="n">
        <v>39903</v>
      </c>
      <c r="B7639" s="538" t="n">
        <v>46.13</v>
      </c>
      <c r="C7639" s="538" t="n">
        <v>49.64</v>
      </c>
      <c r="D7639" s="538" t="n">
        <v>45.55</v>
      </c>
      <c r="E7639" s="538" t="n">
        <v>57.25</v>
      </c>
    </row>
    <row r="7640">
      <c r="A7640" s="544" t="n">
        <v>39904</v>
      </c>
      <c r="B7640" s="538" t="n">
        <v>45.92</v>
      </c>
      <c r="C7640" s="538" t="n">
        <v>48.46</v>
      </c>
      <c r="D7640" s="538" t="n">
        <v>44.28</v>
      </c>
      <c r="E7640" s="538" t="n">
        <v>56.6</v>
      </c>
    </row>
    <row r="7641">
      <c r="A7641" s="544" t="n">
        <v>39905</v>
      </c>
      <c r="B7641" s="538" t="n">
        <v>50.89</v>
      </c>
      <c r="C7641" s="538" t="n">
        <v>52.61</v>
      </c>
      <c r="D7641" s="538" t="n">
        <v>48.21</v>
      </c>
      <c r="E7641" s="538" t="n">
        <v>57.85</v>
      </c>
    </row>
    <row r="7642">
      <c r="A7642" s="544" t="n">
        <v>39906</v>
      </c>
      <c r="B7642" s="538" t="n">
        <v>50.48</v>
      </c>
      <c r="C7642" s="538" t="n">
        <v>52.52</v>
      </c>
      <c r="D7642" s="538" t="n">
        <v>48.74</v>
      </c>
      <c r="E7642" s="538" t="n">
        <v>60.35</v>
      </c>
    </row>
    <row r="7643">
      <c r="A7643" s="544" t="n">
        <v>39909</v>
      </c>
      <c r="B7643" s="538" t="n">
        <v>50.91</v>
      </c>
      <c r="C7643" s="538" t="n">
        <v>51.1</v>
      </c>
      <c r="D7643" s="538" t="n">
        <v>47.65</v>
      </c>
      <c r="E7643" s="538" t="n">
        <v>61.9</v>
      </c>
    </row>
    <row r="7644">
      <c r="A7644" s="544" t="n">
        <v>39910</v>
      </c>
      <c r="B7644" s="538" t="n">
        <v>50.62</v>
      </c>
      <c r="C7644" s="538" t="n">
        <v>49.13</v>
      </c>
      <c r="D7644" s="538" t="n">
        <v>45.35</v>
      </c>
      <c r="E7644" s="538" t="n">
        <v>60.15</v>
      </c>
    </row>
    <row r="7645">
      <c r="A7645" s="544" t="n">
        <v>39911</v>
      </c>
      <c r="B7645" s="538" t="n">
        <v>52.06</v>
      </c>
      <c r="C7645" s="538" t="n">
        <v>49.37</v>
      </c>
      <c r="D7645" s="538" t="n">
        <v>47.21</v>
      </c>
      <c r="E7645" s="538" t="n">
        <v>58.25</v>
      </c>
    </row>
    <row r="7646">
      <c r="A7646" s="544" t="n">
        <v>39912</v>
      </c>
      <c r="B7646" s="538" t="n">
        <v>52.33</v>
      </c>
      <c r="C7646" s="538" t="n">
        <v>52.24</v>
      </c>
      <c r="D7646" s="538" t="n">
        <v>49.16</v>
      </c>
      <c r="E7646" s="538" t="n">
        <v>61.19</v>
      </c>
    </row>
    <row r="7647">
      <c r="A7647" s="544" t="n">
        <v>39913</v>
      </c>
      <c r="B7647" s="538" t="n">
        <v>52.33</v>
      </c>
      <c r="C7647" s="538" t="n">
        <v>52.24</v>
      </c>
      <c r="D7647" s="538" t="n">
        <v>49.16</v>
      </c>
      <c r="E7647" s="538" t="n">
        <v>61.19</v>
      </c>
    </row>
    <row r="7648">
      <c r="A7648" s="544" t="n">
        <v>39916</v>
      </c>
      <c r="B7648" s="538" t="n">
        <v>50.73</v>
      </c>
      <c r="C7648" s="538" t="n">
        <v>50.22</v>
      </c>
      <c r="D7648" s="538" t="n">
        <v>46.36</v>
      </c>
      <c r="E7648" s="538" t="n">
        <v>60.37</v>
      </c>
    </row>
    <row r="7649">
      <c r="A7649" s="544" t="n">
        <v>39917</v>
      </c>
      <c r="B7649" s="538" t="n">
        <v>52.06</v>
      </c>
      <c r="C7649" s="538" t="n">
        <v>49.51</v>
      </c>
      <c r="D7649" s="538" t="n">
        <v>49.23</v>
      </c>
      <c r="E7649" s="538" t="n">
        <v>60.38</v>
      </c>
    </row>
    <row r="7650">
      <c r="A7650" s="544" t="n">
        <v>39918</v>
      </c>
      <c r="B7650" s="538" t="n">
        <v>51.31</v>
      </c>
      <c r="C7650" s="538" t="n">
        <v>49.26</v>
      </c>
      <c r="D7650" s="538" t="n">
        <v>49.99</v>
      </c>
      <c r="E7650" s="538" t="n">
        <v>61.2</v>
      </c>
    </row>
    <row r="7651">
      <c r="A7651" s="544" t="n">
        <v>39919</v>
      </c>
      <c r="B7651" s="538" t="n">
        <v>51.83</v>
      </c>
      <c r="C7651" s="538" t="n">
        <v>49.97</v>
      </c>
      <c r="D7651" s="538" t="n">
        <v>49.85</v>
      </c>
      <c r="E7651" s="538" t="n">
        <v>62.44</v>
      </c>
    </row>
    <row r="7652">
      <c r="A7652" s="544" t="n">
        <v>39920</v>
      </c>
      <c r="B7652" s="538" t="n">
        <v>52.02</v>
      </c>
      <c r="C7652" s="538" t="n">
        <v>50.36</v>
      </c>
      <c r="D7652" s="538" t="n">
        <v>50.29</v>
      </c>
      <c r="E7652" s="538" t="n">
        <v>61.02</v>
      </c>
    </row>
    <row r="7653">
      <c r="A7653" s="544" t="n">
        <v>39923</v>
      </c>
      <c r="B7653" s="538" t="n">
        <v>49.06</v>
      </c>
      <c r="C7653" s="538" t="n">
        <v>45.82</v>
      </c>
      <c r="D7653" s="538" t="n">
        <v>46.72</v>
      </c>
      <c r="E7653" s="538" t="n">
        <v>59.75</v>
      </c>
    </row>
    <row r="7654">
      <c r="A7654" s="544" t="n">
        <v>39924</v>
      </c>
      <c r="B7654" s="538" t="n">
        <v>48.69</v>
      </c>
      <c r="C7654" s="538" t="n">
        <v>46.65</v>
      </c>
      <c r="D7654" s="538" t="n">
        <v>47.43</v>
      </c>
      <c r="E7654" s="538" t="n">
        <v>58.1</v>
      </c>
    </row>
    <row r="7655">
      <c r="A7655" s="544" t="n">
        <v>39925</v>
      </c>
      <c r="B7655" s="538" t="n">
        <v>48.5</v>
      </c>
      <c r="C7655" s="538" t="n">
        <v>47.41</v>
      </c>
      <c r="D7655" s="538" t="n">
        <v>46.94</v>
      </c>
      <c r="E7655" s="538" t="n">
        <v>57.5</v>
      </c>
    </row>
    <row r="7656">
      <c r="A7656" s="544" t="n">
        <v>39926</v>
      </c>
      <c r="B7656" s="538" t="n">
        <v>48.29</v>
      </c>
      <c r="C7656" s="538" t="n">
        <v>48.46</v>
      </c>
      <c r="D7656" s="538" t="n">
        <v>47.42</v>
      </c>
      <c r="E7656" s="538" t="n">
        <v>57.7</v>
      </c>
    </row>
    <row r="7657">
      <c r="A7657" s="544" t="n">
        <v>39927</v>
      </c>
      <c r="B7657" s="538" t="n">
        <v>50.29</v>
      </c>
      <c r="C7657" s="538" t="n">
        <v>50.65</v>
      </c>
      <c r="D7657" s="538" t="n">
        <v>48.96</v>
      </c>
      <c r="E7657" s="538" t="n">
        <v>57.14</v>
      </c>
    </row>
    <row r="7658">
      <c r="A7658" s="544" t="n">
        <v>39930</v>
      </c>
      <c r="B7658" s="538" t="n">
        <v>48.67</v>
      </c>
      <c r="C7658" s="538" t="n">
        <v>49.29</v>
      </c>
      <c r="D7658" s="538" t="n">
        <v>47.77</v>
      </c>
      <c r="E7658" s="538" t="n">
        <v>57.25</v>
      </c>
    </row>
    <row r="7659">
      <c r="A7659" s="544" t="n">
        <v>39931</v>
      </c>
      <c r="B7659" s="538" t="n">
        <v>48.64</v>
      </c>
      <c r="C7659" s="538" t="n">
        <v>49.01</v>
      </c>
      <c r="D7659" s="538" t="n">
        <v>46.7</v>
      </c>
      <c r="E7659" s="538" t="n">
        <v>56.55</v>
      </c>
    </row>
    <row r="7660">
      <c r="A7660" s="544" t="n">
        <v>39932</v>
      </c>
      <c r="B7660" s="538" t="n">
        <v>50.22</v>
      </c>
      <c r="C7660" s="538" t="n">
        <v>50.19</v>
      </c>
      <c r="D7660" s="538" t="n">
        <v>48.38</v>
      </c>
      <c r="E7660" s="538" t="n">
        <v>57.5</v>
      </c>
    </row>
    <row r="7661">
      <c r="A7661" s="544" t="n">
        <v>39933</v>
      </c>
      <c r="B7661" s="538" t="n">
        <v>50.3</v>
      </c>
      <c r="C7661" s="538" t="n">
        <v>50.35</v>
      </c>
      <c r="D7661" s="538" t="n">
        <v>48.35</v>
      </c>
      <c r="E7661" s="538" t="n">
        <v>58</v>
      </c>
    </row>
    <row r="7662">
      <c r="A7662" s="544" t="n">
        <v>39934</v>
      </c>
      <c r="B7662" s="538" t="n">
        <v>51.75</v>
      </c>
      <c r="C7662" s="538" t="n">
        <v>52.18</v>
      </c>
      <c r="D7662" s="538" t="n">
        <v>49.78</v>
      </c>
      <c r="E7662" s="538" t="n">
        <v>58</v>
      </c>
    </row>
    <row r="7663">
      <c r="A7663" s="544" t="n">
        <v>39937</v>
      </c>
      <c r="B7663" s="538" t="n">
        <v>53.26</v>
      </c>
      <c r="C7663" s="538" t="n">
        <v>54.45</v>
      </c>
      <c r="D7663" s="538" t="n">
        <v>51.69</v>
      </c>
      <c r="E7663" s="538" t="n">
        <v>59.49</v>
      </c>
    </row>
    <row r="7664">
      <c r="A7664" s="544" t="n">
        <v>39938</v>
      </c>
      <c r="B7664" s="538" t="n">
        <v>53.16</v>
      </c>
      <c r="C7664" s="538" t="n">
        <v>53.81</v>
      </c>
      <c r="D7664" s="538" t="n">
        <v>51.74</v>
      </c>
      <c r="E7664" s="538" t="n">
        <v>60.2</v>
      </c>
    </row>
    <row r="7665">
      <c r="A7665" s="544" t="n">
        <v>39939</v>
      </c>
      <c r="B7665" s="538" t="n">
        <v>55.07</v>
      </c>
      <c r="C7665" s="538" t="n">
        <v>56.29</v>
      </c>
      <c r="D7665" s="538" t="n">
        <v>54.01</v>
      </c>
      <c r="E7665" s="538" t="n">
        <v>61.1</v>
      </c>
    </row>
    <row r="7666">
      <c r="A7666" s="544" t="n">
        <v>39940</v>
      </c>
      <c r="B7666" s="538" t="n">
        <v>56.63</v>
      </c>
      <c r="C7666" s="538" t="n">
        <v>56.67</v>
      </c>
      <c r="D7666" s="538" t="n">
        <v>53.92</v>
      </c>
      <c r="E7666" s="538" t="n">
        <v>64.15000000000001</v>
      </c>
    </row>
    <row r="7667">
      <c r="A7667" s="544" t="n">
        <v>39941</v>
      </c>
      <c r="B7667" s="538" t="n">
        <v>56.02</v>
      </c>
      <c r="C7667" s="538" t="n">
        <v>58.58</v>
      </c>
      <c r="D7667" s="538" t="n">
        <v>56.17</v>
      </c>
      <c r="E7667" s="538" t="n">
        <v>64.2</v>
      </c>
    </row>
    <row r="7668">
      <c r="A7668" s="544" t="n">
        <v>39944</v>
      </c>
      <c r="B7668" s="538" t="n">
        <v>55.99</v>
      </c>
      <c r="C7668" s="538" t="n">
        <v>57.79</v>
      </c>
      <c r="D7668" s="538" t="n">
        <v>55.04</v>
      </c>
      <c r="E7668" s="538" t="n">
        <v>63.8</v>
      </c>
    </row>
    <row r="7669">
      <c r="A7669" s="544" t="n">
        <v>39945</v>
      </c>
      <c r="B7669" s="538" t="n">
        <v>56.52</v>
      </c>
      <c r="C7669" s="538" t="n">
        <v>58.81</v>
      </c>
      <c r="D7669" s="538" t="n">
        <v>56.58</v>
      </c>
      <c r="E7669" s="538" t="n">
        <v>63.9</v>
      </c>
    </row>
    <row r="7670">
      <c r="A7670" s="544" t="n">
        <v>39946</v>
      </c>
      <c r="B7670" s="538" t="n">
        <v>56.84</v>
      </c>
      <c r="C7670" s="538" t="n">
        <v>58</v>
      </c>
      <c r="D7670" s="538" t="n">
        <v>55.24</v>
      </c>
      <c r="E7670" s="538" t="n">
        <v>64.45</v>
      </c>
    </row>
    <row r="7671">
      <c r="A7671" s="544" t="n">
        <v>39947</v>
      </c>
      <c r="B7671" s="538" t="n">
        <v>56.25</v>
      </c>
      <c r="C7671" s="538" t="n">
        <v>58.58</v>
      </c>
      <c r="D7671" s="538" t="n">
        <v>55.29</v>
      </c>
      <c r="E7671" s="538" t="n">
        <v>63.5</v>
      </c>
    </row>
    <row r="7672">
      <c r="A7672" s="544" t="n">
        <v>39948</v>
      </c>
      <c r="B7672" s="538" t="n">
        <v>56.33</v>
      </c>
      <c r="C7672" s="538" t="n">
        <v>56.52</v>
      </c>
      <c r="D7672" s="538" t="n">
        <v>54.63</v>
      </c>
      <c r="E7672" s="538" t="n">
        <v>64</v>
      </c>
    </row>
    <row r="7673">
      <c r="A7673" s="544" t="n">
        <v>39951</v>
      </c>
      <c r="B7673" s="538" t="n">
        <v>56.51</v>
      </c>
      <c r="C7673" s="538" t="n">
        <v>58.99</v>
      </c>
      <c r="D7673" s="538" t="n">
        <v>57.22</v>
      </c>
      <c r="E7673" s="538" t="n">
        <v>61.85</v>
      </c>
    </row>
    <row r="7674">
      <c r="A7674" s="544" t="n">
        <v>39952</v>
      </c>
      <c r="B7674" s="538" t="n">
        <v>57.12</v>
      </c>
      <c r="C7674" s="538" t="n">
        <v>59.52</v>
      </c>
      <c r="D7674" s="538" t="n">
        <v>57.13</v>
      </c>
      <c r="E7674" s="538" t="n">
        <v>64.45</v>
      </c>
    </row>
    <row r="7675">
      <c r="A7675" s="544" t="n">
        <v>39953</v>
      </c>
      <c r="B7675" s="538" t="n">
        <v>59.1</v>
      </c>
      <c r="C7675" s="538" t="n">
        <v>61.45</v>
      </c>
      <c r="D7675" s="538" t="n">
        <v>58.97</v>
      </c>
      <c r="E7675" s="538" t="n">
        <v>64.7</v>
      </c>
    </row>
    <row r="7676">
      <c r="A7676" s="544" t="n">
        <v>39954</v>
      </c>
      <c r="B7676" s="538" t="n">
        <v>58.02</v>
      </c>
      <c r="C7676" s="538" t="n">
        <v>60.49</v>
      </c>
      <c r="D7676" s="538" t="n">
        <v>58.53</v>
      </c>
      <c r="E7676" s="538" t="n">
        <v>65.7</v>
      </c>
    </row>
    <row r="7677">
      <c r="A7677" s="544" t="n">
        <v>39955</v>
      </c>
      <c r="B7677" s="538" t="n">
        <v>58.7</v>
      </c>
      <c r="C7677" s="538" t="n">
        <v>61.15</v>
      </c>
      <c r="D7677" s="538" t="n">
        <v>59.31</v>
      </c>
      <c r="E7677" s="538" t="n">
        <v>65.95</v>
      </c>
    </row>
    <row r="7678">
      <c r="A7678" s="544" t="n">
        <v>39958</v>
      </c>
      <c r="B7678" s="538" t="n">
        <v>58.7</v>
      </c>
      <c r="C7678" s="538" t="n">
        <v>61.15</v>
      </c>
      <c r="D7678" s="538" t="n">
        <v>58.74</v>
      </c>
      <c r="E7678" s="538" t="n">
        <v>65.05</v>
      </c>
    </row>
    <row r="7679">
      <c r="A7679" s="544" t="n">
        <v>39959</v>
      </c>
      <c r="B7679" s="538" t="n">
        <v>59.05</v>
      </c>
      <c r="C7679" s="538" t="n">
        <v>62.48</v>
      </c>
      <c r="D7679" s="538" t="n">
        <v>59.78</v>
      </c>
      <c r="E7679" s="538" t="n">
        <v>65.15000000000001</v>
      </c>
    </row>
    <row r="7680">
      <c r="A7680" s="544" t="n">
        <v>39960</v>
      </c>
      <c r="B7680" s="538" t="n">
        <v>61.28</v>
      </c>
      <c r="C7680" s="538" t="n">
        <v>63.41</v>
      </c>
      <c r="D7680" s="538" t="n">
        <v>60.22</v>
      </c>
      <c r="E7680" s="538" t="n">
        <v>66.84999999999999</v>
      </c>
    </row>
    <row r="7681">
      <c r="A7681" s="544" t="n">
        <v>39961</v>
      </c>
      <c r="B7681" s="538" t="n">
        <v>63.47</v>
      </c>
      <c r="C7681" s="538" t="n">
        <v>65.09</v>
      </c>
      <c r="D7681" s="538" t="n">
        <v>62.44</v>
      </c>
      <c r="E7681" s="538" t="n">
        <v>66.95</v>
      </c>
    </row>
    <row r="7682">
      <c r="A7682" s="544" t="n">
        <v>39962</v>
      </c>
      <c r="B7682" s="538" t="n">
        <v>64.98</v>
      </c>
      <c r="C7682" s="538" t="n">
        <v>66.31</v>
      </c>
      <c r="D7682" s="538" t="n">
        <v>64.39</v>
      </c>
      <c r="E7682" s="538" t="n">
        <v>69.38</v>
      </c>
    </row>
    <row r="7683">
      <c r="A7683" s="544" t="n">
        <v>39965</v>
      </c>
      <c r="B7683" s="538" t="n">
        <v>66.59999999999999</v>
      </c>
      <c r="C7683" s="538" t="n">
        <v>68.59</v>
      </c>
      <c r="D7683" s="538" t="n">
        <v>64.44</v>
      </c>
      <c r="E7683" s="538" t="n">
        <v>72.40000000000001</v>
      </c>
    </row>
    <row r="7684">
      <c r="A7684" s="544" t="n">
        <v>39966</v>
      </c>
      <c r="B7684" s="538" t="n">
        <v>67.67</v>
      </c>
      <c r="C7684" s="538" t="n">
        <v>68.58</v>
      </c>
      <c r="D7684" s="538" t="n">
        <v>64.76000000000001</v>
      </c>
      <c r="E7684" s="538" t="n">
        <v>73.40000000000001</v>
      </c>
    </row>
    <row r="7685">
      <c r="A7685" s="544" t="n">
        <v>39967</v>
      </c>
      <c r="B7685" s="538" t="n">
        <v>66.15000000000001</v>
      </c>
      <c r="C7685" s="538" t="n">
        <v>66.14</v>
      </c>
      <c r="D7685" s="538" t="n">
        <v>63.11</v>
      </c>
      <c r="E7685" s="538" t="n">
        <v>74.7</v>
      </c>
    </row>
    <row r="7686">
      <c r="A7686" s="544" t="n">
        <v>39968</v>
      </c>
      <c r="B7686" s="538" t="n">
        <v>67.68000000000001</v>
      </c>
      <c r="C7686" s="538" t="n">
        <v>68.8</v>
      </c>
      <c r="D7686" s="538" t="n">
        <v>66.34</v>
      </c>
      <c r="E7686" s="538" t="n">
        <v>73.84999999999999</v>
      </c>
    </row>
    <row r="7687">
      <c r="A7687" s="544" t="n">
        <v>39969</v>
      </c>
      <c r="B7687" s="538" t="n">
        <v>67.77</v>
      </c>
      <c r="C7687" s="538" t="n">
        <v>68.43000000000001</v>
      </c>
      <c r="D7687" s="538" t="n">
        <v>65.88</v>
      </c>
      <c r="E7687" s="538" t="n">
        <v>74</v>
      </c>
    </row>
    <row r="7688">
      <c r="A7688" s="544" t="n">
        <v>39972</v>
      </c>
      <c r="B7688" s="538" t="n">
        <v>67.61</v>
      </c>
      <c r="C7688" s="538" t="n">
        <v>68.05</v>
      </c>
      <c r="D7688" s="538" t="n">
        <v>66.26000000000001</v>
      </c>
      <c r="E7688" s="538" t="n">
        <v>72.34999999999999</v>
      </c>
    </row>
    <row r="7689">
      <c r="A7689" s="544" t="n">
        <v>39973</v>
      </c>
      <c r="B7689" s="538" t="n">
        <v>68.94</v>
      </c>
      <c r="C7689" s="538" t="n">
        <v>70.02</v>
      </c>
      <c r="D7689" s="538" t="n">
        <v>68.51000000000001</v>
      </c>
      <c r="E7689" s="538" t="n">
        <v>75</v>
      </c>
    </row>
    <row r="7690">
      <c r="A7690" s="544" t="n">
        <v>39974</v>
      </c>
      <c r="B7690" s="538" t="n">
        <v>70.52</v>
      </c>
      <c r="C7690" s="538" t="n">
        <v>71.38</v>
      </c>
      <c r="D7690" s="538" t="n">
        <v>69</v>
      </c>
      <c r="E7690" s="538" t="n">
        <v>78.84999999999999</v>
      </c>
    </row>
    <row r="7691">
      <c r="A7691" s="544" t="n">
        <v>39975</v>
      </c>
      <c r="B7691" s="538" t="n">
        <v>71.70999999999999</v>
      </c>
      <c r="C7691" s="538" t="n">
        <v>72.69</v>
      </c>
      <c r="D7691" s="538" t="n">
        <v>69.38</v>
      </c>
      <c r="E7691" s="538" t="n">
        <v>78.05</v>
      </c>
    </row>
    <row r="7692">
      <c r="A7692" s="544" t="n">
        <v>39976</v>
      </c>
      <c r="B7692" s="538" t="n">
        <v>70.62</v>
      </c>
      <c r="C7692" s="538" t="n">
        <v>72.13</v>
      </c>
      <c r="D7692" s="538" t="n">
        <v>69.25</v>
      </c>
      <c r="E7692" s="538" t="n">
        <v>78.3</v>
      </c>
    </row>
    <row r="7693">
      <c r="A7693" s="544" t="n">
        <v>39979</v>
      </c>
      <c r="B7693" s="538" t="n">
        <v>68.48999999999999</v>
      </c>
      <c r="C7693" s="538" t="n">
        <v>70.54000000000001</v>
      </c>
      <c r="D7693" s="538" t="n">
        <v>68.03</v>
      </c>
      <c r="E7693" s="538" t="n">
        <v>78.34999999999999</v>
      </c>
    </row>
    <row r="7694">
      <c r="A7694" s="544" t="n">
        <v>39980</v>
      </c>
      <c r="B7694" s="538" t="n">
        <v>70.52</v>
      </c>
      <c r="C7694" s="538" t="n">
        <v>70.47</v>
      </c>
      <c r="D7694" s="538" t="n">
        <v>68.27</v>
      </c>
      <c r="E7694" s="538" t="n">
        <v>78.7</v>
      </c>
    </row>
    <row r="7695">
      <c r="A7695" s="544" t="n">
        <v>39981</v>
      </c>
      <c r="B7695" s="538" t="n">
        <v>68.95</v>
      </c>
      <c r="C7695" s="538" t="n">
        <v>71.06999999999999</v>
      </c>
      <c r="D7695" s="538" t="n">
        <v>69.25</v>
      </c>
      <c r="E7695" s="538" t="n">
        <v>78.40000000000001</v>
      </c>
    </row>
    <row r="7696">
      <c r="A7696" s="544" t="n">
        <v>39982</v>
      </c>
      <c r="B7696" s="538" t="n">
        <v>69.95999999999999</v>
      </c>
      <c r="C7696" s="538" t="n">
        <v>71.42</v>
      </c>
      <c r="D7696" s="538" t="n">
        <v>69.36</v>
      </c>
      <c r="E7696" s="538" t="n">
        <v>80.59999999999999</v>
      </c>
    </row>
    <row r="7697">
      <c r="A7697" s="544" t="n">
        <v>39983</v>
      </c>
      <c r="B7697" s="538" t="n">
        <v>70.48</v>
      </c>
      <c r="C7697" s="538" t="n">
        <v>69.59999999999999</v>
      </c>
      <c r="D7697" s="538" t="n">
        <v>67.66</v>
      </c>
      <c r="E7697" s="538" t="n">
        <v>79.59999999999999</v>
      </c>
    </row>
    <row r="7698">
      <c r="A7698" s="544" t="n">
        <v>39986</v>
      </c>
      <c r="B7698" s="538" t="n">
        <v>66.13</v>
      </c>
      <c r="C7698" s="538" t="n">
        <v>67.09</v>
      </c>
      <c r="D7698" s="538" t="n">
        <v>65.15000000000001</v>
      </c>
      <c r="E7698" s="538" t="n">
        <v>77.45</v>
      </c>
    </row>
    <row r="7699">
      <c r="A7699" s="544" t="n">
        <v>39987</v>
      </c>
      <c r="B7699" s="538" t="n">
        <v>66.36</v>
      </c>
      <c r="C7699" s="538" t="n">
        <v>68.81</v>
      </c>
      <c r="D7699" s="538" t="n">
        <v>66.53</v>
      </c>
      <c r="E7699" s="538" t="n">
        <v>74.65000000000001</v>
      </c>
    </row>
    <row r="7700">
      <c r="A7700" s="544" t="n">
        <v>39988</v>
      </c>
      <c r="B7700" s="538" t="n">
        <v>68.47</v>
      </c>
      <c r="C7700" s="538" t="n">
        <v>68.14</v>
      </c>
      <c r="D7700" s="538" t="n">
        <v>66.63</v>
      </c>
      <c r="E7700" s="538" t="n">
        <v>76.8</v>
      </c>
    </row>
    <row r="7701">
      <c r="A7701" s="544" t="n">
        <v>39989</v>
      </c>
      <c r="B7701" s="538" t="n">
        <v>68.81999999999999</v>
      </c>
      <c r="C7701" s="538" t="n">
        <v>69.7</v>
      </c>
      <c r="D7701" s="538" t="n">
        <v>68.95</v>
      </c>
      <c r="E7701" s="538" t="n">
        <v>76.45</v>
      </c>
    </row>
    <row r="7702">
      <c r="A7702" s="544" t="n">
        <v>39990</v>
      </c>
      <c r="B7702" s="538" t="n">
        <v>68.09999999999999</v>
      </c>
      <c r="C7702" s="538" t="n">
        <v>69.16</v>
      </c>
      <c r="D7702" s="538" t="n">
        <v>68.13</v>
      </c>
      <c r="E7702" s="538" t="n">
        <v>77.90000000000001</v>
      </c>
    </row>
    <row r="7703">
      <c r="A7703" s="544" t="n">
        <v>39993</v>
      </c>
      <c r="B7703" s="538" t="n">
        <v>69.75</v>
      </c>
      <c r="C7703" s="538" t="n">
        <v>71.47</v>
      </c>
      <c r="D7703" s="538" t="n">
        <v>70.12</v>
      </c>
      <c r="E7703" s="538" t="n">
        <v>75.59999999999999</v>
      </c>
    </row>
    <row r="7704">
      <c r="A7704" s="544" t="n">
        <v>39994</v>
      </c>
      <c r="B7704" s="538" t="n">
        <v>68.11</v>
      </c>
      <c r="C7704" s="538" t="n">
        <v>69.81999999999999</v>
      </c>
      <c r="D7704" s="538" t="n">
        <v>68.91</v>
      </c>
      <c r="E7704" s="538" t="n">
        <v>78.40000000000001</v>
      </c>
    </row>
    <row r="7705">
      <c r="A7705" s="544" t="n">
        <v>39995</v>
      </c>
      <c r="B7705" s="538" t="n">
        <v>68.52</v>
      </c>
      <c r="C7705" s="538" t="n">
        <v>69.31999999999999</v>
      </c>
      <c r="D7705" s="538" t="n">
        <v>67.48999999999999</v>
      </c>
      <c r="E7705" s="538" t="n">
        <v>76.8</v>
      </c>
    </row>
    <row r="7706">
      <c r="A7706" s="544" t="n">
        <v>39996</v>
      </c>
      <c r="B7706" s="538" t="n">
        <v>65.73999999999999</v>
      </c>
      <c r="C7706" s="538" t="n">
        <v>66.68000000000001</v>
      </c>
      <c r="D7706" s="538" t="n">
        <v>65.09999999999999</v>
      </c>
      <c r="E7706" s="538" t="n">
        <v>73.65000000000001</v>
      </c>
    </row>
    <row r="7707">
      <c r="A7707" s="544" t="n">
        <v>39997</v>
      </c>
      <c r="B7707" s="538" t="n">
        <v>65.73999999999999</v>
      </c>
      <c r="C7707" s="538" t="n">
        <v>66.68000000000001</v>
      </c>
      <c r="D7707" s="538" t="n">
        <v>65.93000000000001</v>
      </c>
      <c r="E7707" s="538" t="n">
        <v>72.34999999999999</v>
      </c>
    </row>
    <row r="7708">
      <c r="A7708" s="544" t="n">
        <v>40000</v>
      </c>
      <c r="B7708" s="538" t="n">
        <v>63.12</v>
      </c>
      <c r="C7708" s="538" t="n">
        <v>64.06</v>
      </c>
      <c r="D7708" s="538" t="n">
        <v>63.38</v>
      </c>
      <c r="E7708" s="538" t="n">
        <v>70.05</v>
      </c>
    </row>
    <row r="7709">
      <c r="A7709" s="544" t="n">
        <v>40001</v>
      </c>
      <c r="B7709" s="538" t="n">
        <v>61.54</v>
      </c>
      <c r="C7709" s="538" t="n">
        <v>62.88</v>
      </c>
      <c r="D7709" s="538" t="n">
        <v>61.73</v>
      </c>
      <c r="E7709" s="538" t="n">
        <v>71.5</v>
      </c>
    </row>
    <row r="7710">
      <c r="A7710" s="544" t="n">
        <v>40002</v>
      </c>
      <c r="B7710" s="538" t="n">
        <v>59.71</v>
      </c>
      <c r="C7710" s="538" t="n">
        <v>60.15</v>
      </c>
      <c r="D7710" s="538" t="n">
        <v>59.85</v>
      </c>
      <c r="E7710" s="538" t="n">
        <v>70.04000000000001</v>
      </c>
    </row>
    <row r="7711">
      <c r="A7711" s="544" t="n">
        <v>40003</v>
      </c>
      <c r="B7711" s="538" t="n">
        <v>59.17</v>
      </c>
      <c r="C7711" s="538" t="n">
        <v>60.36</v>
      </c>
      <c r="D7711" s="538" t="n">
        <v>60.3</v>
      </c>
      <c r="E7711" s="538" t="n">
        <v>68.59999999999999</v>
      </c>
    </row>
    <row r="7712">
      <c r="A7712" s="544" t="n">
        <v>40004</v>
      </c>
      <c r="B7712" s="538" t="n">
        <v>58.43</v>
      </c>
      <c r="C7712" s="538" t="n">
        <v>59.93</v>
      </c>
      <c r="D7712" s="538" t="n">
        <v>59.6</v>
      </c>
      <c r="E7712" s="538" t="n">
        <v>68.40000000000001</v>
      </c>
    </row>
    <row r="7713">
      <c r="A7713" s="544" t="n">
        <v>40007</v>
      </c>
      <c r="B7713" s="538" t="n">
        <v>58.25</v>
      </c>
      <c r="C7713" s="538" t="n">
        <v>59.69</v>
      </c>
      <c r="D7713" s="538" t="n">
        <v>60.45</v>
      </c>
      <c r="E7713" s="538" t="n">
        <v>66.78</v>
      </c>
    </row>
    <row r="7714">
      <c r="A7714" s="544" t="n">
        <v>40008</v>
      </c>
      <c r="B7714" s="538" t="n">
        <v>60.48</v>
      </c>
      <c r="C7714" s="538" t="n">
        <v>59.62</v>
      </c>
      <c r="D7714" s="538" t="n">
        <v>60.47</v>
      </c>
      <c r="E7714" s="538" t="n">
        <v>67.15000000000001</v>
      </c>
    </row>
    <row r="7715">
      <c r="A7715" s="544" t="n">
        <v>40009</v>
      </c>
      <c r="B7715" s="538" t="n">
        <v>61.25</v>
      </c>
      <c r="C7715" s="538" t="n">
        <v>61.49</v>
      </c>
      <c r="D7715" s="538" t="n">
        <v>64.54000000000001</v>
      </c>
      <c r="E7715" s="538" t="n">
        <v>68</v>
      </c>
    </row>
    <row r="7716">
      <c r="A7716" s="544" t="n">
        <v>40010</v>
      </c>
      <c r="B7716" s="538" t="n">
        <v>62.02</v>
      </c>
      <c r="C7716" s="538" t="n">
        <v>62.07</v>
      </c>
      <c r="D7716" s="538" t="n">
        <v>64.3</v>
      </c>
      <c r="E7716" s="538" t="n">
        <v>69.5</v>
      </c>
    </row>
    <row r="7717">
      <c r="A7717" s="544" t="n">
        <v>40011</v>
      </c>
      <c r="B7717" s="538" t="n">
        <v>63.54</v>
      </c>
      <c r="C7717" s="538" t="n">
        <v>63.56</v>
      </c>
      <c r="D7717" s="538" t="n">
        <v>65.51000000000001</v>
      </c>
      <c r="E7717" s="538" t="n">
        <v>70.45</v>
      </c>
    </row>
    <row r="7718">
      <c r="A7718" s="544" t="n">
        <v>40014</v>
      </c>
      <c r="B7718" s="538" t="n">
        <v>64.64</v>
      </c>
      <c r="C7718" s="538" t="n">
        <v>63.93</v>
      </c>
      <c r="D7718" s="538" t="n">
        <v>65.86</v>
      </c>
      <c r="E7718" s="538" t="n">
        <v>73.78</v>
      </c>
    </row>
    <row r="7719">
      <c r="A7719" s="544" t="n">
        <v>40015</v>
      </c>
      <c r="B7719" s="538" t="n">
        <v>65.93000000000001</v>
      </c>
      <c r="C7719" s="538" t="n">
        <v>64.81</v>
      </c>
      <c r="D7719" s="538" t="n">
        <v>64.98999999999999</v>
      </c>
      <c r="E7719" s="538" t="n">
        <v>74.62</v>
      </c>
    </row>
    <row r="7720">
      <c r="A7720" s="544" t="n">
        <v>40016</v>
      </c>
      <c r="B7720" s="538" t="n">
        <v>65.36</v>
      </c>
      <c r="C7720" s="538" t="n">
        <v>64.58</v>
      </c>
      <c r="D7720" s="538" t="n">
        <v>66.12</v>
      </c>
      <c r="E7720" s="538" t="n">
        <v>73.8</v>
      </c>
    </row>
    <row r="7721">
      <c r="A7721" s="544" t="n">
        <v>40017</v>
      </c>
      <c r="B7721" s="538" t="n">
        <v>68.06</v>
      </c>
      <c r="C7721" s="538" t="n">
        <v>66.09999999999999</v>
      </c>
      <c r="D7721" s="538" t="n">
        <v>67.87</v>
      </c>
      <c r="E7721" s="538" t="n">
        <v>74.42</v>
      </c>
    </row>
    <row r="7722">
      <c r="A7722" s="544" t="n">
        <v>40018</v>
      </c>
      <c r="B7722" s="538" t="n">
        <v>68.81999999999999</v>
      </c>
      <c r="C7722" s="538" t="n">
        <v>66.95999999999999</v>
      </c>
      <c r="D7722" s="538" t="n">
        <v>69.64</v>
      </c>
      <c r="E7722" s="538" t="n">
        <v>77.2</v>
      </c>
    </row>
    <row r="7723">
      <c r="A7723" s="544" t="n">
        <v>40021</v>
      </c>
      <c r="B7723" s="538" t="n">
        <v>69.78</v>
      </c>
      <c r="C7723" s="538" t="n">
        <v>68.34</v>
      </c>
      <c r="D7723" s="538" t="n">
        <v>69.83</v>
      </c>
      <c r="E7723" s="538" t="n">
        <v>78.25</v>
      </c>
    </row>
    <row r="7724">
      <c r="A7724" s="544" t="n">
        <v>40022</v>
      </c>
      <c r="B7724" s="538" t="n">
        <v>68.53</v>
      </c>
      <c r="C7724" s="538" t="n">
        <v>67.23999999999999</v>
      </c>
      <c r="D7724" s="538" t="n">
        <v>68.67</v>
      </c>
      <c r="E7724" s="538" t="n">
        <v>78.2</v>
      </c>
    </row>
    <row r="7725">
      <c r="A7725" s="544" t="n">
        <v>40023</v>
      </c>
      <c r="B7725" s="538" t="n">
        <v>65.79000000000001</v>
      </c>
      <c r="C7725" s="538" t="n">
        <v>63.42</v>
      </c>
      <c r="D7725" s="538" t="n">
        <v>64.88</v>
      </c>
      <c r="E7725" s="538" t="n">
        <v>76.2</v>
      </c>
    </row>
    <row r="7726">
      <c r="A7726" s="544" t="n">
        <v>40024</v>
      </c>
      <c r="B7726" s="538" t="n">
        <v>68.81999999999999</v>
      </c>
      <c r="C7726" s="538" t="n">
        <v>66.90000000000001</v>
      </c>
      <c r="D7726" s="538" t="n">
        <v>68.95999999999999</v>
      </c>
      <c r="E7726" s="538" t="n">
        <v>72.40000000000001</v>
      </c>
    </row>
    <row r="7727">
      <c r="A7727" s="544" t="n">
        <v>40025</v>
      </c>
      <c r="B7727" s="538" t="n">
        <v>70.08</v>
      </c>
      <c r="C7727" s="538" t="n">
        <v>69.26000000000001</v>
      </c>
      <c r="D7727" s="538" t="n">
        <v>70.86</v>
      </c>
      <c r="E7727" s="538" t="n">
        <v>75.5</v>
      </c>
    </row>
    <row r="7728">
      <c r="A7728" s="544" t="n">
        <v>40028</v>
      </c>
      <c r="B7728" s="538" t="n">
        <v>72.90000000000001</v>
      </c>
      <c r="C7728" s="538" t="n">
        <v>71.59</v>
      </c>
      <c r="D7728" s="538" t="n">
        <v>70.92</v>
      </c>
      <c r="E7728" s="538" t="n">
        <v>77.95</v>
      </c>
    </row>
    <row r="7729">
      <c r="A7729" s="544" t="n">
        <v>40029</v>
      </c>
      <c r="B7729" s="538" t="n">
        <v>73.81999999999999</v>
      </c>
      <c r="C7729" s="538" t="n">
        <v>71.40000000000001</v>
      </c>
      <c r="D7729" s="538" t="n">
        <v>71.84999999999999</v>
      </c>
      <c r="E7729" s="538" t="n">
        <v>78.34999999999999</v>
      </c>
    </row>
    <row r="7730">
      <c r="A7730" s="544" t="n">
        <v>40030</v>
      </c>
      <c r="B7730" s="538" t="n">
        <v>74.39</v>
      </c>
      <c r="C7730" s="538" t="n">
        <v>71.97</v>
      </c>
      <c r="D7730" s="538" t="n">
        <v>72.31999999999999</v>
      </c>
      <c r="E7730" s="538" t="n">
        <v>79.65000000000001</v>
      </c>
    </row>
    <row r="7731">
      <c r="A7731" s="544" t="n">
        <v>40031</v>
      </c>
      <c r="B7731" s="538" t="n">
        <v>74.61</v>
      </c>
      <c r="C7731" s="538" t="n">
        <v>71.95999999999999</v>
      </c>
      <c r="D7731" s="538" t="n">
        <v>70.84</v>
      </c>
      <c r="E7731" s="538" t="n">
        <v>81.8</v>
      </c>
    </row>
    <row r="7732">
      <c r="A7732" s="544" t="n">
        <v>40032</v>
      </c>
      <c r="B7732" s="538" t="n">
        <v>74.20999999999999</v>
      </c>
      <c r="C7732" s="538" t="n">
        <v>70.97</v>
      </c>
      <c r="D7732" s="538" t="n">
        <v>69.51000000000001</v>
      </c>
      <c r="E7732" s="538" t="n">
        <v>80.55</v>
      </c>
    </row>
    <row r="7733">
      <c r="A7733" s="544" t="n">
        <v>40035</v>
      </c>
      <c r="B7733" s="538" t="n">
        <v>73.79000000000001</v>
      </c>
      <c r="C7733" s="538" t="n">
        <v>70.59</v>
      </c>
      <c r="D7733" s="538" t="n">
        <v>69.88</v>
      </c>
      <c r="E7733" s="538" t="n">
        <v>80.55</v>
      </c>
    </row>
    <row r="7734">
      <c r="A7734" s="544" t="n">
        <v>40036</v>
      </c>
      <c r="B7734" s="538" t="n">
        <v>71.58</v>
      </c>
      <c r="C7734" s="538" t="n">
        <v>69.45999999999999</v>
      </c>
      <c r="D7734" s="538" t="n">
        <v>69.20999999999999</v>
      </c>
      <c r="E7734" s="538" t="n">
        <v>79.84999999999999</v>
      </c>
    </row>
    <row r="7735">
      <c r="A7735" s="544" t="n">
        <v>40037</v>
      </c>
      <c r="B7735" s="538" t="n">
        <v>74.03</v>
      </c>
      <c r="C7735" s="538" t="n">
        <v>70.08</v>
      </c>
      <c r="D7735" s="538" t="n">
        <v>72.62</v>
      </c>
      <c r="E7735" s="538" t="n">
        <v>78.15000000000001</v>
      </c>
    </row>
    <row r="7736">
      <c r="A7736" s="544" t="n">
        <v>40038</v>
      </c>
      <c r="B7736" s="538" t="n">
        <v>73.76000000000001</v>
      </c>
      <c r="C7736" s="538" t="n">
        <v>70.56999999999999</v>
      </c>
      <c r="D7736" s="538" t="n">
        <v>73.09</v>
      </c>
      <c r="E7736" s="538" t="n">
        <v>79.25</v>
      </c>
    </row>
    <row r="7737">
      <c r="A7737" s="544" t="n">
        <v>40039</v>
      </c>
      <c r="B7737" s="538" t="n">
        <v>71.33</v>
      </c>
      <c r="C7737" s="538" t="n">
        <v>67.51000000000001</v>
      </c>
      <c r="D7737" s="538" t="n">
        <v>70.13</v>
      </c>
      <c r="E7737" s="538" t="n">
        <v>79.84999999999999</v>
      </c>
    </row>
    <row r="7738">
      <c r="A7738" s="544" t="n">
        <v>40042</v>
      </c>
      <c r="B7738" s="538" t="n">
        <v>68.65000000000001</v>
      </c>
      <c r="C7738" s="538" t="n">
        <v>66.72</v>
      </c>
      <c r="D7738" s="538" t="n">
        <v>69.31</v>
      </c>
      <c r="E7738" s="538" t="n">
        <v>75.75</v>
      </c>
    </row>
    <row r="7739">
      <c r="A7739" s="544" t="n">
        <v>40043</v>
      </c>
      <c r="B7739" s="538" t="n">
        <v>68.66</v>
      </c>
      <c r="C7739" s="538" t="n">
        <v>69.22</v>
      </c>
      <c r="D7739" s="538" t="n">
        <v>69.73999999999999</v>
      </c>
      <c r="E7739" s="538" t="n">
        <v>76.45</v>
      </c>
    </row>
    <row r="7740">
      <c r="A7740" s="544" t="n">
        <v>40044</v>
      </c>
      <c r="B7740" s="538" t="n">
        <v>72.81</v>
      </c>
      <c r="C7740" s="538" t="n">
        <v>72.54000000000001</v>
      </c>
      <c r="D7740" s="538" t="n">
        <v>71.95999999999999</v>
      </c>
      <c r="E7740" s="538" t="n">
        <v>77.05</v>
      </c>
    </row>
    <row r="7741">
      <c r="A7741" s="544" t="n">
        <v>40045</v>
      </c>
      <c r="B7741" s="538" t="n">
        <v>73.75</v>
      </c>
      <c r="C7741" s="538" t="n">
        <v>72.40000000000001</v>
      </c>
      <c r="D7741" s="538" t="n">
        <v>71.88</v>
      </c>
      <c r="E7741" s="538" t="n">
        <v>79.75</v>
      </c>
    </row>
    <row r="7742">
      <c r="A7742" s="544" t="n">
        <v>40046</v>
      </c>
      <c r="B7742" s="538" t="n">
        <v>73.70999999999999</v>
      </c>
      <c r="C7742" s="538" t="n">
        <v>73.12</v>
      </c>
      <c r="D7742" s="538" t="n">
        <v>72.91</v>
      </c>
      <c r="E7742" s="538" t="n">
        <v>78.59999999999999</v>
      </c>
    </row>
    <row r="7743">
      <c r="A7743" s="544" t="n">
        <v>40049</v>
      </c>
      <c r="B7743" s="538" t="n">
        <v>74.34</v>
      </c>
      <c r="C7743" s="538" t="n">
        <v>73.68000000000001</v>
      </c>
      <c r="D7743" s="538" t="n">
        <v>72.64</v>
      </c>
      <c r="E7743" s="538" t="n">
        <v>79.90000000000001</v>
      </c>
    </row>
    <row r="7744">
      <c r="A7744" s="544" t="n">
        <v>40050</v>
      </c>
      <c r="B7744" s="538" t="n">
        <v>73.09999999999999</v>
      </c>
      <c r="C7744" s="538" t="n">
        <v>71.59999999999999</v>
      </c>
      <c r="D7744" s="538" t="n">
        <v>69.78</v>
      </c>
      <c r="E7744" s="538" t="n">
        <v>79.59999999999999</v>
      </c>
    </row>
    <row r="7745">
      <c r="A7745" s="544" t="n">
        <v>40051</v>
      </c>
      <c r="B7745" s="538" t="n">
        <v>70.73999999999999</v>
      </c>
      <c r="C7745" s="538" t="n">
        <v>71.38</v>
      </c>
      <c r="D7745" s="538" t="n">
        <v>70.34999999999999</v>
      </c>
      <c r="E7745" s="538" t="n">
        <v>78.7</v>
      </c>
    </row>
    <row r="7746">
      <c r="A7746" s="544" t="n">
        <v>40052</v>
      </c>
      <c r="B7746" s="538" t="n">
        <v>70.68000000000001</v>
      </c>
      <c r="C7746" s="538" t="n">
        <v>72.48999999999999</v>
      </c>
      <c r="D7746" s="538" t="n">
        <v>71.63</v>
      </c>
      <c r="E7746" s="538" t="n">
        <v>77.45</v>
      </c>
    </row>
    <row r="7747">
      <c r="A7747" s="544" t="n">
        <v>40053</v>
      </c>
      <c r="B7747" s="538" t="n">
        <v>72.8</v>
      </c>
      <c r="C7747" s="538" t="n">
        <v>72.72</v>
      </c>
      <c r="D7747" s="538" t="n">
        <v>71.73</v>
      </c>
      <c r="E7747" s="538" t="n">
        <v>78.55</v>
      </c>
    </row>
    <row r="7748">
      <c r="A7748" s="544" t="n">
        <v>40056</v>
      </c>
      <c r="B7748" s="538" t="n">
        <v>69.02</v>
      </c>
      <c r="C7748" s="538" t="n">
        <v>69.97</v>
      </c>
      <c r="D7748" s="538" t="n">
        <v>68.23</v>
      </c>
      <c r="E7748" s="538" t="n">
        <v>77.25</v>
      </c>
    </row>
    <row r="7749">
      <c r="A7749" s="544" t="n">
        <v>40057</v>
      </c>
      <c r="B7749" s="538" t="n">
        <v>68.78</v>
      </c>
      <c r="C7749" s="538" t="n">
        <v>68.11</v>
      </c>
      <c r="D7749" s="538" t="n">
        <v>66.16</v>
      </c>
      <c r="E7749" s="538" t="n">
        <v>76.90000000000001</v>
      </c>
    </row>
    <row r="7750">
      <c r="A7750" s="544" t="n">
        <v>40058</v>
      </c>
      <c r="B7750" s="538" t="n">
        <v>67.59999999999999</v>
      </c>
      <c r="C7750" s="538" t="n">
        <v>68.03</v>
      </c>
      <c r="D7750" s="538" t="n">
        <v>66.38</v>
      </c>
      <c r="E7750" s="538" t="n">
        <v>75</v>
      </c>
    </row>
    <row r="7751">
      <c r="A7751" s="544" t="n">
        <v>40059</v>
      </c>
      <c r="B7751" s="538" t="n">
        <v>66.78</v>
      </c>
      <c r="C7751" s="538" t="n">
        <v>67.90000000000001</v>
      </c>
      <c r="D7751" s="538" t="n">
        <v>65.94</v>
      </c>
      <c r="E7751" s="538" t="n">
        <v>75.7</v>
      </c>
    </row>
    <row r="7752">
      <c r="A7752" s="544" t="n">
        <v>40060</v>
      </c>
      <c r="B7752" s="538" t="n">
        <v>65.84</v>
      </c>
      <c r="C7752" s="538" t="n">
        <v>67.95</v>
      </c>
      <c r="D7752" s="538" t="n">
        <v>65.43000000000001</v>
      </c>
      <c r="E7752" s="538" t="n">
        <v>75.40000000000001</v>
      </c>
    </row>
    <row r="7753">
      <c r="A7753" s="544" t="n">
        <v>40063</v>
      </c>
      <c r="B7753" s="538" t="n">
        <v>65.84</v>
      </c>
      <c r="C7753" s="538" t="n">
        <v>67.95</v>
      </c>
      <c r="D7753" s="538" t="n">
        <v>66.61</v>
      </c>
      <c r="E7753" s="538" t="n">
        <v>73.45</v>
      </c>
    </row>
    <row r="7754">
      <c r="A7754" s="544" t="n">
        <v>40064</v>
      </c>
      <c r="B7754" s="538" t="n">
        <v>69.2</v>
      </c>
      <c r="C7754" s="538" t="n">
        <v>71.08</v>
      </c>
      <c r="D7754" s="538" t="n">
        <v>68.7</v>
      </c>
      <c r="E7754" s="538" t="n">
        <v>74.05</v>
      </c>
    </row>
    <row r="7755">
      <c r="A7755" s="544" t="n">
        <v>40065</v>
      </c>
      <c r="B7755" s="538" t="n">
        <v>69.76000000000001</v>
      </c>
      <c r="C7755" s="538" t="n">
        <v>71.27</v>
      </c>
      <c r="D7755" s="538" t="n">
        <v>69.34999999999999</v>
      </c>
      <c r="E7755" s="538" t="n">
        <v>75.90000000000001</v>
      </c>
    </row>
    <row r="7756">
      <c r="A7756" s="544" t="n">
        <v>40066</v>
      </c>
      <c r="B7756" s="538" t="n">
        <v>68.95999999999999</v>
      </c>
      <c r="C7756" s="538" t="n">
        <v>71.95</v>
      </c>
      <c r="D7756" s="538" t="n">
        <v>69.17</v>
      </c>
      <c r="E7756" s="538" t="n">
        <v>76.7</v>
      </c>
    </row>
    <row r="7757">
      <c r="A7757" s="544" t="n">
        <v>40067</v>
      </c>
      <c r="B7757" s="538" t="n">
        <v>68.76000000000001</v>
      </c>
      <c r="C7757" s="538" t="n">
        <v>69.34</v>
      </c>
      <c r="D7757" s="538" t="n">
        <v>66.55</v>
      </c>
      <c r="E7757" s="538" t="n">
        <v>75.75</v>
      </c>
    </row>
    <row r="7758">
      <c r="A7758" s="544" t="n">
        <v>40070</v>
      </c>
      <c r="B7758" s="538" t="n">
        <v>66.91</v>
      </c>
      <c r="C7758" s="538" t="n">
        <v>68.86</v>
      </c>
      <c r="D7758" s="538" t="n">
        <v>66.42</v>
      </c>
      <c r="E7758" s="538" t="n">
        <v>73.15000000000001</v>
      </c>
    </row>
    <row r="7759">
      <c r="A7759" s="544" t="n">
        <v>40071</v>
      </c>
      <c r="B7759" s="538" t="n">
        <v>66.53</v>
      </c>
      <c r="C7759" s="538" t="n">
        <v>70.81</v>
      </c>
      <c r="D7759" s="538" t="n">
        <v>66.42</v>
      </c>
      <c r="E7759" s="538" t="n">
        <v>73.65000000000001</v>
      </c>
    </row>
    <row r="7760">
      <c r="A7760" s="544" t="n">
        <v>40072</v>
      </c>
      <c r="B7760" s="538" t="n">
        <v>68.51000000000001</v>
      </c>
      <c r="C7760" s="538" t="n">
        <v>72.5</v>
      </c>
      <c r="D7760" s="538" t="n">
        <v>71.33</v>
      </c>
      <c r="E7760" s="538" t="n">
        <v>75.2</v>
      </c>
    </row>
    <row r="7761">
      <c r="A7761" s="544" t="n">
        <v>40073</v>
      </c>
      <c r="B7761" s="538" t="n">
        <v>71.56</v>
      </c>
      <c r="C7761" s="538" t="n">
        <v>72.48</v>
      </c>
      <c r="D7761" s="538" t="n">
        <v>70.92</v>
      </c>
      <c r="E7761" s="538" t="n">
        <v>77.59999999999999</v>
      </c>
    </row>
    <row r="7762">
      <c r="A7762" s="544" t="n">
        <v>40074</v>
      </c>
      <c r="B7762" s="538" t="n">
        <v>70.72</v>
      </c>
      <c r="C7762" s="538" t="n">
        <v>71.95</v>
      </c>
      <c r="D7762" s="538" t="n">
        <v>70.05</v>
      </c>
      <c r="E7762" s="538" t="n">
        <v>77.45</v>
      </c>
    </row>
    <row r="7763">
      <c r="A7763" s="544" t="n">
        <v>40077</v>
      </c>
      <c r="B7763" s="538" t="n">
        <v>68.11</v>
      </c>
      <c r="C7763" s="538" t="n">
        <v>69.73999999999999</v>
      </c>
      <c r="D7763" s="538" t="n">
        <v>67.59999999999999</v>
      </c>
      <c r="E7763" s="538" t="n">
        <v>77.45</v>
      </c>
    </row>
    <row r="7764">
      <c r="A7764" s="544" t="n">
        <v>40078</v>
      </c>
      <c r="B7764" s="538" t="n">
        <v>69.65000000000001</v>
      </c>
      <c r="C7764" s="538" t="n">
        <v>71.5</v>
      </c>
      <c r="D7764" s="538" t="n">
        <v>69.44</v>
      </c>
      <c r="E7764" s="538" t="n">
        <v>76.05</v>
      </c>
    </row>
    <row r="7765">
      <c r="A7765" s="544" t="n">
        <v>40079</v>
      </c>
      <c r="B7765" s="538" t="n">
        <v>67.43000000000001</v>
      </c>
      <c r="C7765" s="538" t="n">
        <v>68.73999999999999</v>
      </c>
      <c r="D7765" s="538" t="n">
        <v>66.43000000000001</v>
      </c>
      <c r="E7765" s="538" t="n">
        <v>77.65000000000001</v>
      </c>
    </row>
    <row r="7766">
      <c r="A7766" s="544" t="n">
        <v>40080</v>
      </c>
      <c r="B7766" s="538" t="n">
        <v>64.98999999999999</v>
      </c>
      <c r="C7766" s="538" t="n">
        <v>65.73999999999999</v>
      </c>
      <c r="D7766" s="538" t="n">
        <v>64.16</v>
      </c>
      <c r="E7766" s="538" t="n">
        <v>74.40000000000001</v>
      </c>
    </row>
    <row r="7767">
      <c r="A7767" s="544" t="n">
        <v>40081</v>
      </c>
      <c r="B7767" s="538" t="n">
        <v>64.59999999999999</v>
      </c>
      <c r="C7767" s="538" t="n">
        <v>65.91</v>
      </c>
      <c r="D7767" s="538" t="n">
        <v>64.58</v>
      </c>
      <c r="E7767" s="538" t="n">
        <v>72.3</v>
      </c>
    </row>
    <row r="7768">
      <c r="A7768" s="544" t="n">
        <v>40084</v>
      </c>
      <c r="B7768" s="538" t="n">
        <v>65.43000000000001</v>
      </c>
      <c r="C7768" s="538" t="n">
        <v>66.69</v>
      </c>
      <c r="D7768" s="538" t="n">
        <v>65.25</v>
      </c>
      <c r="E7768" s="538" t="n">
        <v>71.40000000000001</v>
      </c>
    </row>
    <row r="7769">
      <c r="A7769" s="544" t="n">
        <v>40085</v>
      </c>
      <c r="B7769" s="538" t="n">
        <v>64.63</v>
      </c>
      <c r="C7769" s="538" t="n">
        <v>66.56</v>
      </c>
      <c r="D7769" s="538" t="n">
        <v>64.83</v>
      </c>
      <c r="E7769" s="538" t="n">
        <v>72.3</v>
      </c>
    </row>
    <row r="7770">
      <c r="A7770" s="544" t="n">
        <v>40086</v>
      </c>
      <c r="B7770" s="538" t="n">
        <v>65.81999999999999</v>
      </c>
      <c r="C7770" s="538" t="n">
        <v>70.45999999999999</v>
      </c>
      <c r="D7770" s="538" t="n">
        <v>68.48999999999999</v>
      </c>
      <c r="E7770" s="538" t="n">
        <v>72.2</v>
      </c>
    </row>
    <row r="7771">
      <c r="A7771" s="544" t="n">
        <v>40087</v>
      </c>
      <c r="B7771" s="538" t="n">
        <v>67.12</v>
      </c>
      <c r="C7771" s="538" t="n">
        <v>70.67</v>
      </c>
      <c r="D7771" s="538" t="n">
        <v>67.89</v>
      </c>
      <c r="E7771" s="538" t="n">
        <v>74.45</v>
      </c>
    </row>
    <row r="7772">
      <c r="A7772" s="544" t="n">
        <v>40088</v>
      </c>
      <c r="B7772" s="538" t="n">
        <v>66.5</v>
      </c>
      <c r="C7772" s="538" t="n">
        <v>69.8</v>
      </c>
      <c r="D7772" s="538" t="n">
        <v>67.16</v>
      </c>
      <c r="E7772" s="538" t="n">
        <v>74.3</v>
      </c>
    </row>
    <row r="7773">
      <c r="A7773" s="544" t="n">
        <v>40091</v>
      </c>
      <c r="B7773" s="538" t="n">
        <v>65.26000000000001</v>
      </c>
      <c r="C7773" s="538" t="n">
        <v>70.26000000000001</v>
      </c>
      <c r="D7773" s="538" t="n">
        <v>67.42</v>
      </c>
      <c r="E7773" s="538" t="n">
        <v>73.65000000000001</v>
      </c>
    </row>
    <row r="7774">
      <c r="A7774" s="544" t="n">
        <v>40092</v>
      </c>
      <c r="B7774" s="538" t="n">
        <v>68.51000000000001</v>
      </c>
      <c r="C7774" s="538" t="n">
        <v>70.70999999999999</v>
      </c>
      <c r="D7774" s="538" t="n">
        <v>68.36</v>
      </c>
      <c r="E7774" s="538" t="n">
        <v>74.25</v>
      </c>
    </row>
    <row r="7775">
      <c r="A7775" s="544" t="n">
        <v>40093</v>
      </c>
      <c r="B7775" s="538" t="n">
        <v>67.65000000000001</v>
      </c>
      <c r="C7775" s="538" t="n">
        <v>69.59999999999999</v>
      </c>
      <c r="D7775" s="538" t="n">
        <v>66.81</v>
      </c>
      <c r="E7775" s="538" t="n">
        <v>75.3</v>
      </c>
    </row>
    <row r="7776">
      <c r="A7776" s="544" t="n">
        <v>40094</v>
      </c>
      <c r="B7776" s="538" t="n">
        <v>68.47</v>
      </c>
      <c r="C7776" s="538" t="n">
        <v>71.69</v>
      </c>
      <c r="D7776" s="538" t="n">
        <v>68.56999999999999</v>
      </c>
      <c r="E7776" s="538" t="n">
        <v>73.84999999999999</v>
      </c>
    </row>
    <row r="7777">
      <c r="A7777" s="544" t="n">
        <v>40095</v>
      </c>
      <c r="B7777" s="538" t="n">
        <v>69.45</v>
      </c>
      <c r="C7777" s="538" t="n">
        <v>71.75</v>
      </c>
      <c r="D7777" s="538" t="n">
        <v>69.59999999999999</v>
      </c>
      <c r="E7777" s="538" t="n">
        <v>75.2</v>
      </c>
    </row>
    <row r="7778">
      <c r="A7778" s="544" t="n">
        <v>40098</v>
      </c>
      <c r="B7778" s="538" t="n">
        <v>70.75</v>
      </c>
      <c r="C7778" s="538" t="n">
        <v>73.23999999999999</v>
      </c>
      <c r="D7778" s="538" t="n">
        <v>70.22</v>
      </c>
      <c r="E7778" s="538" t="n">
        <v>76.95</v>
      </c>
    </row>
    <row r="7779">
      <c r="A7779" s="544" t="n">
        <v>40099</v>
      </c>
      <c r="B7779" s="538" t="n">
        <v>70.81</v>
      </c>
      <c r="C7779" s="538" t="n">
        <v>74.09999999999999</v>
      </c>
      <c r="D7779" s="538" t="n">
        <v>71.62</v>
      </c>
      <c r="E7779" s="538" t="n">
        <v>78.65000000000001</v>
      </c>
    </row>
    <row r="7780">
      <c r="A7780" s="544" t="n">
        <v>40100</v>
      </c>
      <c r="B7780" s="538" t="n">
        <v>72.16</v>
      </c>
      <c r="C7780" s="538" t="n">
        <v>75.2</v>
      </c>
      <c r="D7780" s="538" t="n">
        <v>72.29000000000001</v>
      </c>
      <c r="E7780" s="538" t="n">
        <v>79.45</v>
      </c>
    </row>
    <row r="7781">
      <c r="A7781" s="544" t="n">
        <v>40101</v>
      </c>
      <c r="B7781" s="538" t="n">
        <v>73.14</v>
      </c>
      <c r="C7781" s="538" t="n">
        <v>77.55</v>
      </c>
      <c r="D7781" s="538" t="n">
        <v>73.79000000000001</v>
      </c>
      <c r="E7781" s="538" t="n">
        <v>80.7</v>
      </c>
    </row>
    <row r="7782">
      <c r="A7782" s="544" t="n">
        <v>40102</v>
      </c>
      <c r="B7782" s="538" t="n">
        <v>74.58</v>
      </c>
      <c r="C7782" s="538" t="n">
        <v>78.54000000000001</v>
      </c>
      <c r="D7782" s="538" t="n">
        <v>76.01000000000001</v>
      </c>
      <c r="E7782" s="538" t="n">
        <v>82.5</v>
      </c>
    </row>
    <row r="7783">
      <c r="A7783" s="544" t="n">
        <v>40105</v>
      </c>
      <c r="B7783" s="538" t="n">
        <v>75.86</v>
      </c>
      <c r="C7783" s="538" t="n">
        <v>79.47</v>
      </c>
      <c r="D7783" s="538" t="n">
        <v>76.54000000000001</v>
      </c>
      <c r="E7783" s="538" t="n">
        <v>83.15000000000001</v>
      </c>
    </row>
    <row r="7784">
      <c r="A7784" s="544" t="n">
        <v>40106</v>
      </c>
      <c r="B7784" s="538" t="n">
        <v>76.51000000000001</v>
      </c>
      <c r="C7784" s="538" t="n">
        <v>78.87</v>
      </c>
      <c r="D7784" s="538" t="n">
        <v>75.55</v>
      </c>
      <c r="E7784" s="538" t="n">
        <v>83.59999999999999</v>
      </c>
    </row>
    <row r="7785">
      <c r="A7785" s="544" t="n">
        <v>40107</v>
      </c>
      <c r="B7785" s="538" t="n">
        <v>77.73999999999999</v>
      </c>
      <c r="C7785" s="538" t="n">
        <v>81.03</v>
      </c>
      <c r="D7785" s="538" t="n">
        <v>78.26000000000001</v>
      </c>
      <c r="E7785" s="538" t="n">
        <v>83.34999999999999</v>
      </c>
    </row>
    <row r="7786">
      <c r="A7786" s="544" t="n">
        <v>40108</v>
      </c>
      <c r="B7786" s="538" t="n">
        <v>78.36</v>
      </c>
      <c r="C7786" s="538" t="n">
        <v>80.81999999999999</v>
      </c>
      <c r="D7786" s="538" t="n">
        <v>78.59</v>
      </c>
      <c r="E7786" s="538" t="n">
        <v>85.3</v>
      </c>
    </row>
    <row r="7787">
      <c r="A7787" s="544" t="n">
        <v>40109</v>
      </c>
      <c r="B7787" s="538" t="n">
        <v>77.72</v>
      </c>
      <c r="C7787" s="538" t="n">
        <v>80.11</v>
      </c>
      <c r="D7787" s="538" t="n">
        <v>76.98</v>
      </c>
      <c r="E7787" s="538" t="n">
        <v>86.2</v>
      </c>
    </row>
    <row r="7788">
      <c r="A7788" s="544" t="n">
        <v>40112</v>
      </c>
      <c r="B7788" s="538" t="n">
        <v>76.45</v>
      </c>
      <c r="C7788" s="538" t="n">
        <v>78.61</v>
      </c>
      <c r="D7788" s="538" t="n">
        <v>76.08</v>
      </c>
      <c r="E7788" s="538" t="n">
        <v>86</v>
      </c>
    </row>
    <row r="7789">
      <c r="A7789" s="544" t="n">
        <v>40113</v>
      </c>
      <c r="B7789" s="538" t="n">
        <v>76.69</v>
      </c>
      <c r="C7789" s="538" t="n">
        <v>79.45</v>
      </c>
      <c r="D7789" s="538" t="n">
        <v>77.41</v>
      </c>
      <c r="E7789" s="538" t="n">
        <v>84.59999999999999</v>
      </c>
    </row>
    <row r="7790">
      <c r="A7790" s="544" t="n">
        <v>40114</v>
      </c>
      <c r="B7790" s="538" t="n">
        <v>75.11</v>
      </c>
      <c r="C7790" s="538" t="n">
        <v>77.39</v>
      </c>
      <c r="D7790" s="538" t="n">
        <v>74.68000000000001</v>
      </c>
      <c r="E7790" s="538" t="n">
        <v>84.3</v>
      </c>
    </row>
    <row r="7791">
      <c r="A7791" s="544" t="n">
        <v>40115</v>
      </c>
      <c r="B7791" s="538" t="n">
        <v>77.18000000000001</v>
      </c>
      <c r="C7791" s="538" t="n">
        <v>79.84</v>
      </c>
      <c r="D7791" s="538" t="n">
        <v>77.56999999999999</v>
      </c>
      <c r="E7791" s="538" t="n">
        <v>82.95</v>
      </c>
    </row>
    <row r="7792">
      <c r="A7792" s="544" t="n">
        <v>40116</v>
      </c>
      <c r="B7792" s="538" t="n">
        <v>74.91</v>
      </c>
      <c r="C7792" s="538" t="n">
        <v>77.04000000000001</v>
      </c>
      <c r="D7792" s="538" t="n">
        <v>74.52</v>
      </c>
      <c r="E7792" s="538" t="n">
        <v>84.55</v>
      </c>
    </row>
    <row r="7793">
      <c r="A7793" s="544" t="n">
        <v>40119</v>
      </c>
      <c r="B7793" s="538" t="n">
        <v>75.56</v>
      </c>
      <c r="C7793" s="538" t="n">
        <v>78.08</v>
      </c>
      <c r="D7793" s="538" t="n">
        <v>75.2</v>
      </c>
      <c r="E7793" s="538" t="n">
        <v>82.75</v>
      </c>
    </row>
    <row r="7794">
      <c r="A7794" s="544" t="n">
        <v>40120</v>
      </c>
      <c r="B7794" s="538" t="n">
        <v>75.68000000000001</v>
      </c>
      <c r="C7794" s="538" t="n">
        <v>79.58</v>
      </c>
      <c r="D7794" s="538" t="n">
        <v>76.75</v>
      </c>
      <c r="E7794" s="538" t="n">
        <v>83.59999999999999</v>
      </c>
    </row>
    <row r="7795">
      <c r="A7795" s="544" t="n">
        <v>40121</v>
      </c>
      <c r="B7795" s="538" t="n">
        <v>78.20999999999999</v>
      </c>
      <c r="C7795" s="538" t="n">
        <v>80.3</v>
      </c>
      <c r="D7795" s="538" t="n">
        <v>77.37</v>
      </c>
      <c r="E7795" s="538" t="n">
        <v>85.40000000000001</v>
      </c>
    </row>
    <row r="7796">
      <c r="A7796" s="544" t="n">
        <v>40122</v>
      </c>
      <c r="B7796" s="538" t="n">
        <v>78.02</v>
      </c>
      <c r="C7796" s="538" t="n">
        <v>79.64</v>
      </c>
      <c r="D7796" s="538" t="n">
        <v>77.08</v>
      </c>
      <c r="E7796" s="538" t="n">
        <v>85.65000000000001</v>
      </c>
    </row>
    <row r="7797">
      <c r="A7797" s="544" t="n">
        <v>40123</v>
      </c>
      <c r="B7797" s="538" t="n">
        <v>75.51000000000001</v>
      </c>
      <c r="C7797" s="538" t="n">
        <v>77.40000000000001</v>
      </c>
      <c r="D7797" s="538" t="n">
        <v>74.94</v>
      </c>
      <c r="E7797" s="538" t="n">
        <v>86</v>
      </c>
    </row>
    <row r="7798">
      <c r="A7798" s="544" t="n">
        <v>40126</v>
      </c>
      <c r="B7798" s="538" t="n">
        <v>77.18000000000001</v>
      </c>
      <c r="C7798" s="538" t="n">
        <v>79.44</v>
      </c>
      <c r="D7798" s="538" t="n">
        <v>76.51000000000001</v>
      </c>
      <c r="E7798" s="538" t="n">
        <v>84.8</v>
      </c>
    </row>
    <row r="7799">
      <c r="A7799" s="544" t="n">
        <v>40127</v>
      </c>
      <c r="B7799" s="538" t="n">
        <v>77.06999999999999</v>
      </c>
      <c r="C7799" s="538" t="n">
        <v>79.01000000000001</v>
      </c>
      <c r="D7799" s="538" t="n">
        <v>76.39</v>
      </c>
      <c r="E7799" s="538" t="n">
        <v>85.09999999999999</v>
      </c>
    </row>
    <row r="7800">
      <c r="A7800" s="544" t="n">
        <v>40128</v>
      </c>
      <c r="B7800" s="538" t="n">
        <v>76.98999999999999</v>
      </c>
      <c r="C7800" s="538" t="n">
        <v>79.16</v>
      </c>
      <c r="D7800" s="538" t="n">
        <v>77.09999999999999</v>
      </c>
      <c r="E7800" s="538" t="n">
        <v>86.05</v>
      </c>
    </row>
    <row r="7801">
      <c r="A7801" s="544" t="n">
        <v>40129</v>
      </c>
      <c r="B7801" s="538" t="n">
        <v>75.18000000000001</v>
      </c>
      <c r="C7801" s="538" t="n">
        <v>77.25</v>
      </c>
      <c r="D7801" s="538" t="n">
        <v>75.09</v>
      </c>
      <c r="E7801" s="538" t="n">
        <v>85.3</v>
      </c>
    </row>
    <row r="7802">
      <c r="A7802" s="544" t="n">
        <v>40130</v>
      </c>
      <c r="B7802" s="538" t="n">
        <v>74.81</v>
      </c>
      <c r="C7802" s="538" t="n">
        <v>76.34</v>
      </c>
      <c r="D7802" s="538" t="n">
        <v>75.09999999999999</v>
      </c>
      <c r="E7802" s="538" t="n">
        <v>83.75</v>
      </c>
    </row>
    <row r="7803">
      <c r="A7803" s="544" t="n">
        <v>40133</v>
      </c>
      <c r="B7803" s="538" t="n">
        <v>77.14</v>
      </c>
      <c r="C7803" s="538" t="n">
        <v>78.91</v>
      </c>
      <c r="D7803" s="538" t="n">
        <v>77.83</v>
      </c>
      <c r="E7803" s="538" t="n">
        <v>84.75</v>
      </c>
    </row>
    <row r="7804">
      <c r="A7804" s="544" t="n">
        <v>40134</v>
      </c>
      <c r="B7804" s="538" t="n">
        <v>77.36</v>
      </c>
      <c r="C7804" s="538" t="n">
        <v>79.08</v>
      </c>
      <c r="D7804" s="538" t="n">
        <v>78.7</v>
      </c>
      <c r="E7804" s="538" t="n">
        <v>84.7</v>
      </c>
    </row>
    <row r="7805">
      <c r="A7805" s="544" t="n">
        <v>40135</v>
      </c>
      <c r="B7805" s="538" t="n">
        <v>78.64</v>
      </c>
      <c r="C7805" s="538" t="n">
        <v>79.55</v>
      </c>
      <c r="D7805" s="538" t="n">
        <v>78.91</v>
      </c>
      <c r="E7805" s="538" t="n">
        <v>87.65000000000001</v>
      </c>
    </row>
    <row r="7806">
      <c r="A7806" s="544" t="n">
        <v>40136</v>
      </c>
      <c r="B7806" s="538" t="n">
        <v>76.45</v>
      </c>
      <c r="C7806" s="538" t="n">
        <v>77.47</v>
      </c>
      <c r="D7806" s="538" t="n">
        <v>77.13</v>
      </c>
      <c r="E7806" s="538" t="n">
        <v>86.75</v>
      </c>
    </row>
    <row r="7807">
      <c r="A7807" s="544" t="n">
        <v>40137</v>
      </c>
      <c r="B7807" s="538" t="n">
        <v>75.61</v>
      </c>
      <c r="C7807" s="538" t="n">
        <v>76.83</v>
      </c>
      <c r="D7807" s="538" t="n">
        <v>76.55</v>
      </c>
      <c r="E7807" s="538" t="n">
        <v>85.40000000000001</v>
      </c>
    </row>
    <row r="7808">
      <c r="A7808" s="544" t="n">
        <v>40140</v>
      </c>
      <c r="B7808" s="538" t="n">
        <v>78.14</v>
      </c>
      <c r="C7808" s="538" t="n">
        <v>76.48999999999999</v>
      </c>
      <c r="D7808" s="538" t="n">
        <v>76.79000000000001</v>
      </c>
      <c r="E7808" s="538" t="n">
        <v>85.40000000000001</v>
      </c>
    </row>
    <row r="7809">
      <c r="A7809" s="544" t="n">
        <v>40141</v>
      </c>
      <c r="B7809" s="538" t="n">
        <v>75.34999999999999</v>
      </c>
      <c r="C7809" s="538" t="n">
        <v>74.88</v>
      </c>
      <c r="D7809" s="538" t="n">
        <v>75.73</v>
      </c>
      <c r="E7809" s="538" t="n">
        <v>84.7</v>
      </c>
    </row>
    <row r="7810">
      <c r="A7810" s="544" t="n">
        <v>40142</v>
      </c>
      <c r="B7810" s="538" t="n">
        <v>76.56999999999999</v>
      </c>
      <c r="C7810" s="538" t="n">
        <v>77.25</v>
      </c>
      <c r="D7810" s="538" t="n">
        <v>77.86</v>
      </c>
      <c r="E7810" s="538" t="n">
        <v>84.15000000000001</v>
      </c>
    </row>
    <row r="7811">
      <c r="A7811" s="544" t="n">
        <v>40143</v>
      </c>
      <c r="B7811" s="538" t="n">
        <v>76.56999999999999</v>
      </c>
      <c r="C7811" s="538" t="n">
        <v>77.25</v>
      </c>
      <c r="D7811" s="538" t="n">
        <v>76.7</v>
      </c>
      <c r="E7811" s="538" t="n">
        <v>84.05</v>
      </c>
    </row>
    <row r="7812">
      <c r="A7812" s="544" t="n">
        <v>40144</v>
      </c>
      <c r="B7812" s="538" t="n">
        <v>76</v>
      </c>
      <c r="C7812" s="538" t="n">
        <v>75.95</v>
      </c>
      <c r="D7812" s="538" t="n">
        <v>76.47</v>
      </c>
      <c r="E7812" s="538" t="n">
        <v>84.05</v>
      </c>
    </row>
    <row r="7813">
      <c r="A7813" s="544" t="n">
        <v>40147</v>
      </c>
      <c r="B7813" s="538" t="n">
        <v>77.77</v>
      </c>
      <c r="C7813" s="538" t="n">
        <v>77.19</v>
      </c>
      <c r="D7813" s="538" t="n">
        <v>78.26000000000001</v>
      </c>
      <c r="E7813" s="538" t="n">
        <v>84.59999999999999</v>
      </c>
    </row>
    <row r="7814">
      <c r="A7814" s="544" t="n">
        <v>40148</v>
      </c>
      <c r="B7814" s="538" t="n">
        <v>78.68000000000001</v>
      </c>
      <c r="C7814" s="538" t="n">
        <v>78.39</v>
      </c>
      <c r="D7814" s="538" t="n">
        <v>77.19</v>
      </c>
      <c r="E7814" s="538" t="n">
        <v>86.15000000000001</v>
      </c>
    </row>
    <row r="7815">
      <c r="A7815" s="544" t="n">
        <v>40149</v>
      </c>
      <c r="B7815" s="538" t="n">
        <v>76.95999999999999</v>
      </c>
      <c r="C7815" s="538" t="n">
        <v>76.62</v>
      </c>
      <c r="D7815" s="538" t="n">
        <v>75.98</v>
      </c>
      <c r="E7815" s="538" t="n">
        <v>86.95</v>
      </c>
    </row>
    <row r="7816">
      <c r="A7816" s="544" t="n">
        <v>40150</v>
      </c>
      <c r="B7816" s="538" t="n">
        <v>77.76000000000001</v>
      </c>
      <c r="C7816" s="538" t="n">
        <v>76.42</v>
      </c>
      <c r="D7816" s="538" t="n">
        <v>75.84999999999999</v>
      </c>
      <c r="E7816" s="538" t="n">
        <v>85.3</v>
      </c>
    </row>
    <row r="7817">
      <c r="A7817" s="544" t="n">
        <v>40151</v>
      </c>
      <c r="B7817" s="538" t="n">
        <v>77.73999999999999</v>
      </c>
      <c r="C7817" s="538" t="n">
        <v>75.41</v>
      </c>
      <c r="D7817" s="538" t="n">
        <v>76.09</v>
      </c>
      <c r="E7817" s="538" t="n">
        <v>84.84999999999999</v>
      </c>
    </row>
    <row r="7818">
      <c r="A7818" s="544" t="n">
        <v>40154</v>
      </c>
      <c r="B7818" s="538" t="n">
        <v>76.18000000000001</v>
      </c>
      <c r="C7818" s="538" t="n">
        <v>73.89</v>
      </c>
      <c r="D7818" s="538" t="n">
        <v>74.72</v>
      </c>
      <c r="E7818" s="538" t="n">
        <v>84.65000000000001</v>
      </c>
    </row>
    <row r="7819">
      <c r="A7819" s="544" t="n">
        <v>40155</v>
      </c>
      <c r="B7819" s="538" t="n">
        <v>74.93000000000001</v>
      </c>
      <c r="C7819" s="538" t="n">
        <v>72.59</v>
      </c>
      <c r="D7819" s="538" t="n">
        <v>73.81999999999999</v>
      </c>
      <c r="E7819" s="538" t="n">
        <v>84</v>
      </c>
    </row>
    <row r="7820">
      <c r="A7820" s="544" t="n">
        <v>40156</v>
      </c>
      <c r="B7820" s="538" t="n">
        <v>73.63</v>
      </c>
      <c r="C7820" s="538" t="n">
        <v>70.67</v>
      </c>
      <c r="D7820" s="538" t="n">
        <v>70.59999999999999</v>
      </c>
      <c r="E7820" s="538" t="n">
        <v>83.05</v>
      </c>
    </row>
    <row r="7821">
      <c r="A7821" s="544" t="n">
        <v>40157</v>
      </c>
      <c r="B7821" s="538" t="n">
        <v>70.91</v>
      </c>
      <c r="C7821" s="538" t="n">
        <v>70.54000000000001</v>
      </c>
      <c r="D7821" s="538" t="n">
        <v>70.31999999999999</v>
      </c>
      <c r="E7821" s="538" t="n">
        <v>80.25</v>
      </c>
    </row>
    <row r="7822">
      <c r="A7822" s="544" t="n">
        <v>40158</v>
      </c>
      <c r="B7822" s="538" t="n">
        <v>70.06999999999999</v>
      </c>
      <c r="C7822" s="538" t="n">
        <v>69.86</v>
      </c>
      <c r="D7822" s="538" t="n">
        <v>69.73</v>
      </c>
      <c r="E7822" s="538" t="n">
        <v>79.40000000000001</v>
      </c>
    </row>
    <row r="7823">
      <c r="A7823" s="544" t="n">
        <v>40161</v>
      </c>
      <c r="B7823" s="538" t="n">
        <v>71.19</v>
      </c>
      <c r="C7823" s="538" t="n">
        <v>69.48</v>
      </c>
      <c r="D7823" s="538" t="n">
        <v>69.8</v>
      </c>
      <c r="E7823" s="538" t="n">
        <v>79.05</v>
      </c>
    </row>
    <row r="7824">
      <c r="A7824" s="544" t="n">
        <v>40162</v>
      </c>
      <c r="B7824" s="538" t="n">
        <v>71.33</v>
      </c>
      <c r="C7824" s="538" t="n">
        <v>70.62</v>
      </c>
      <c r="D7824" s="538" t="n">
        <v>70.34</v>
      </c>
      <c r="E7824" s="538" t="n">
        <v>79.34999999999999</v>
      </c>
    </row>
    <row r="7825">
      <c r="A7825" s="544" t="n">
        <v>40163</v>
      </c>
      <c r="B7825" s="538" t="n">
        <v>73.34</v>
      </c>
      <c r="C7825" s="538" t="n">
        <v>72.64</v>
      </c>
      <c r="D7825" s="538" t="n">
        <v>71.95999999999999</v>
      </c>
      <c r="E7825" s="538" t="n">
        <v>80.40000000000001</v>
      </c>
    </row>
    <row r="7826">
      <c r="A7826" s="544" t="n">
        <v>40164</v>
      </c>
      <c r="B7826" s="538" t="n">
        <v>71.28</v>
      </c>
      <c r="C7826" s="538" t="n">
        <v>72.58</v>
      </c>
      <c r="D7826" s="538" t="n">
        <v>71.56</v>
      </c>
      <c r="E7826" s="538" t="n">
        <v>81.7</v>
      </c>
    </row>
    <row r="7827">
      <c r="A7827" s="544" t="n">
        <v>40165</v>
      </c>
      <c r="B7827" s="538" t="n">
        <v>71.87</v>
      </c>
      <c r="C7827" s="538" t="n">
        <v>73.3</v>
      </c>
      <c r="D7827" s="538" t="n">
        <v>72.40000000000001</v>
      </c>
      <c r="E7827" s="538" t="n">
        <v>81.65000000000001</v>
      </c>
    </row>
    <row r="7828">
      <c r="A7828" s="544" t="n">
        <v>40168</v>
      </c>
      <c r="B7828" s="538" t="n">
        <v>72.73999999999999</v>
      </c>
      <c r="C7828" s="538" t="n">
        <v>72.70999999999999</v>
      </c>
      <c r="D7828" s="538" t="n">
        <v>71.40000000000001</v>
      </c>
      <c r="E7828" s="538" t="n">
        <v>81.7</v>
      </c>
    </row>
    <row r="7829">
      <c r="A7829" s="544" t="n">
        <v>40169</v>
      </c>
      <c r="B7829" s="538" t="n">
        <v>71.64</v>
      </c>
      <c r="C7829" s="538" t="n">
        <v>73.48</v>
      </c>
      <c r="D7829" s="538" t="n">
        <v>71.94</v>
      </c>
      <c r="E7829" s="538" t="n">
        <v>81.3</v>
      </c>
    </row>
    <row r="7830">
      <c r="A7830" s="544" t="n">
        <v>40170</v>
      </c>
      <c r="B7830" s="538" t="n">
        <v>73.87</v>
      </c>
      <c r="C7830" s="538" t="n">
        <v>76.03</v>
      </c>
      <c r="D7830" s="538" t="n">
        <v>73.95999999999999</v>
      </c>
      <c r="E7830" s="538" t="n">
        <v>81.7</v>
      </c>
    </row>
    <row r="7831">
      <c r="A7831" s="544" t="n">
        <v>40171</v>
      </c>
      <c r="B7831" s="538" t="n">
        <v>75.15000000000001</v>
      </c>
      <c r="C7831" s="538" t="n">
        <v>76.83</v>
      </c>
      <c r="D7831" s="538" t="n">
        <v>74.45999999999999</v>
      </c>
      <c r="E7831" s="538" t="n">
        <v>84.09999999999999</v>
      </c>
    </row>
    <row r="7832">
      <c r="A7832" s="544" t="n">
        <v>40172</v>
      </c>
      <c r="B7832" s="538" t="n">
        <v>75.15000000000001</v>
      </c>
      <c r="C7832" s="538" t="n">
        <v>76.83</v>
      </c>
      <c r="D7832" s="538" t="n">
        <v>74.45999999999999</v>
      </c>
      <c r="E7832" s="538" t="n">
        <v>84.09999999999999</v>
      </c>
    </row>
    <row r="7833">
      <c r="A7833" s="544" t="n">
        <v>40175</v>
      </c>
      <c r="B7833" s="538" t="n">
        <v>76.59</v>
      </c>
      <c r="C7833" s="538" t="n">
        <v>78.67</v>
      </c>
      <c r="D7833" s="538" t="n">
        <v>75.98</v>
      </c>
      <c r="E7833" s="538" t="n">
        <v>84.5</v>
      </c>
    </row>
    <row r="7834">
      <c r="A7834" s="544" t="n">
        <v>40176</v>
      </c>
      <c r="B7834" s="538" t="n">
        <v>76.65000000000001</v>
      </c>
      <c r="C7834" s="538" t="n">
        <v>78.87</v>
      </c>
      <c r="D7834" s="538" t="n">
        <v>76.31999999999999</v>
      </c>
      <c r="E7834" s="538" t="n">
        <v>86.05</v>
      </c>
    </row>
    <row r="7835">
      <c r="A7835" s="544" t="n">
        <v>40177</v>
      </c>
      <c r="B7835" s="538" t="n">
        <v>77.62</v>
      </c>
      <c r="C7835" s="538" t="n">
        <v>79.34999999999999</v>
      </c>
      <c r="D7835" s="538" t="n">
        <v>77.33</v>
      </c>
      <c r="E7835" s="538" t="n">
        <v>87.05</v>
      </c>
    </row>
    <row r="7836">
      <c r="A7836" s="544" t="n">
        <v>40178</v>
      </c>
      <c r="B7836" s="538" t="n">
        <v>77.91</v>
      </c>
      <c r="C7836" s="538" t="n">
        <v>79.39</v>
      </c>
      <c r="D7836" s="538" t="n">
        <v>77.38</v>
      </c>
      <c r="E7836" s="538" t="n">
        <v>87.25</v>
      </c>
    </row>
    <row r="7837">
      <c r="A7837" s="544" t="n">
        <v>40179</v>
      </c>
      <c r="B7837" s="538" t="n">
        <v>77.91</v>
      </c>
      <c r="C7837" s="538" t="n">
        <v>79.39</v>
      </c>
      <c r="D7837" s="538" t="n">
        <v>77.38</v>
      </c>
      <c r="E7837" s="538" t="n">
        <v>87.25</v>
      </c>
    </row>
    <row r="7838">
      <c r="A7838" s="544" t="n">
        <v>40182</v>
      </c>
      <c r="B7838" s="538" t="n">
        <v>79.05</v>
      </c>
      <c r="C7838" s="538" t="n">
        <v>81.52</v>
      </c>
      <c r="D7838" s="538" t="n">
        <v>79.04000000000001</v>
      </c>
      <c r="E7838" s="538" t="n">
        <v>88.09999999999999</v>
      </c>
    </row>
    <row r="7839">
      <c r="A7839" s="544" t="n">
        <v>40183</v>
      </c>
      <c r="B7839" s="538" t="n">
        <v>79.27</v>
      </c>
      <c r="C7839" s="538" t="n">
        <v>81.73999999999999</v>
      </c>
      <c r="D7839" s="538" t="n">
        <v>78.70999999999999</v>
      </c>
      <c r="E7839" s="538" t="n">
        <v>90.3</v>
      </c>
    </row>
    <row r="7840">
      <c r="A7840" s="544" t="n">
        <v>40184</v>
      </c>
      <c r="B7840" s="538" t="n">
        <v>80.14</v>
      </c>
      <c r="C7840" s="538" t="n">
        <v>83.12</v>
      </c>
      <c r="D7840" s="538" t="n">
        <v>80.39</v>
      </c>
      <c r="E7840" s="538" t="n">
        <v>90.34999999999999</v>
      </c>
    </row>
    <row r="7841">
      <c r="A7841" s="544" t="n">
        <v>40185</v>
      </c>
      <c r="B7841" s="538" t="n">
        <v>80.56999999999999</v>
      </c>
      <c r="C7841" s="538" t="n">
        <v>82.59999999999999</v>
      </c>
      <c r="D7841" s="538" t="n">
        <v>80.14</v>
      </c>
      <c r="E7841" s="538" t="n">
        <v>90.84999999999999</v>
      </c>
    </row>
    <row r="7842">
      <c r="A7842" s="544" t="n">
        <v>40186</v>
      </c>
      <c r="B7842" s="538" t="n">
        <v>80.06</v>
      </c>
      <c r="C7842" s="538" t="n">
        <v>82.73999999999999</v>
      </c>
      <c r="D7842" s="538" t="n">
        <v>80.14</v>
      </c>
      <c r="E7842" s="538" t="n">
        <v>89.95</v>
      </c>
    </row>
    <row r="7843">
      <c r="A7843" s="544" t="n">
        <v>40189</v>
      </c>
      <c r="B7843" s="538" t="n">
        <v>80.14</v>
      </c>
      <c r="C7843" s="538" t="n">
        <v>82.54000000000001</v>
      </c>
      <c r="D7843" s="538" t="n">
        <v>78.89</v>
      </c>
      <c r="E7843" s="538" t="n">
        <v>91.2</v>
      </c>
    </row>
    <row r="7844">
      <c r="A7844" s="544" t="n">
        <v>40190</v>
      </c>
      <c r="B7844" s="538" t="n">
        <v>79.38</v>
      </c>
      <c r="C7844" s="538" t="n">
        <v>80.79000000000001</v>
      </c>
      <c r="D7844" s="538" t="n">
        <v>77.39</v>
      </c>
      <c r="E7844" s="538" t="n">
        <v>89.34999999999999</v>
      </c>
    </row>
    <row r="7845">
      <c r="A7845" s="544" t="n">
        <v>40191</v>
      </c>
      <c r="B7845" s="538" t="n">
        <v>77.56999999999999</v>
      </c>
      <c r="C7845" s="538" t="n">
        <v>79.66</v>
      </c>
      <c r="D7845" s="538" t="n">
        <v>77.17</v>
      </c>
      <c r="E7845" s="538" t="n">
        <v>86.75</v>
      </c>
    </row>
    <row r="7846">
      <c r="A7846" s="544" t="n">
        <v>40192</v>
      </c>
      <c r="B7846" s="538" t="n">
        <v>77.61</v>
      </c>
      <c r="C7846" s="538" t="n">
        <v>79.34999999999999</v>
      </c>
      <c r="D7846" s="538" t="n">
        <v>76.44</v>
      </c>
      <c r="E7846" s="538" t="n">
        <v>86.5</v>
      </c>
    </row>
    <row r="7847">
      <c r="A7847" s="544" t="n">
        <v>40193</v>
      </c>
      <c r="B7847" s="538" t="n">
        <v>76.84999999999999</v>
      </c>
      <c r="C7847" s="538" t="n">
        <v>77.95999999999999</v>
      </c>
      <c r="D7847" s="538" t="n">
        <v>76.17</v>
      </c>
      <c r="E7847" s="538" t="n">
        <v>85.55</v>
      </c>
    </row>
    <row r="7848">
      <c r="A7848" s="544" t="n">
        <v>40196</v>
      </c>
      <c r="B7848" s="538" t="n">
        <v>76.84999999999999</v>
      </c>
      <c r="C7848" s="538" t="n">
        <v>77.95999999999999</v>
      </c>
      <c r="D7848" s="538" t="n">
        <v>76.34999999999999</v>
      </c>
      <c r="E7848" s="538" t="n">
        <v>85.2</v>
      </c>
    </row>
    <row r="7849">
      <c r="A7849" s="544" t="n">
        <v>40197</v>
      </c>
      <c r="B7849" s="538" t="n">
        <v>75.18000000000001</v>
      </c>
      <c r="C7849" s="538" t="n">
        <v>78.98</v>
      </c>
      <c r="D7849" s="538" t="n">
        <v>76.63</v>
      </c>
      <c r="E7849" s="538" t="n">
        <v>84.65000000000001</v>
      </c>
    </row>
    <row r="7850">
      <c r="A7850" s="544" t="n">
        <v>40198</v>
      </c>
      <c r="B7850" s="538" t="n">
        <v>75.09</v>
      </c>
      <c r="C7850" s="538" t="n">
        <v>77.42</v>
      </c>
      <c r="D7850" s="538" t="n">
        <v>74.88</v>
      </c>
      <c r="E7850" s="538" t="n">
        <v>84.95</v>
      </c>
    </row>
    <row r="7851">
      <c r="A7851" s="544" t="n">
        <v>40199</v>
      </c>
      <c r="B7851" s="538" t="n">
        <v>74.13</v>
      </c>
      <c r="C7851" s="538" t="n">
        <v>75.84</v>
      </c>
      <c r="D7851" s="538" t="n">
        <v>73.53</v>
      </c>
      <c r="E7851" s="538" t="n">
        <v>84.59999999999999</v>
      </c>
    </row>
    <row r="7852">
      <c r="A7852" s="544" t="n">
        <v>40200</v>
      </c>
      <c r="B7852" s="538" t="n">
        <v>72.73</v>
      </c>
      <c r="C7852" s="538" t="n">
        <v>74.25</v>
      </c>
      <c r="D7852" s="538" t="n">
        <v>71.67</v>
      </c>
      <c r="E7852" s="538" t="n">
        <v>83.25</v>
      </c>
    </row>
    <row r="7853">
      <c r="A7853" s="544" t="n">
        <v>40203</v>
      </c>
      <c r="B7853" s="538" t="n">
        <v>72.18000000000001</v>
      </c>
      <c r="C7853" s="538" t="n">
        <v>74.90000000000001</v>
      </c>
      <c r="D7853" s="538" t="n">
        <v>72.93000000000001</v>
      </c>
      <c r="E7853" s="538" t="n">
        <v>81.15000000000001</v>
      </c>
    </row>
    <row r="7854">
      <c r="A7854" s="544" t="n">
        <v>40204</v>
      </c>
      <c r="B7854" s="538" t="n">
        <v>72.63</v>
      </c>
      <c r="C7854" s="538" t="n">
        <v>74.67</v>
      </c>
      <c r="D7854" s="538" t="n">
        <v>72.45999999999999</v>
      </c>
      <c r="E7854" s="538" t="n">
        <v>81.40000000000001</v>
      </c>
    </row>
    <row r="7855">
      <c r="A7855" s="544" t="n">
        <v>40205</v>
      </c>
      <c r="B7855" s="538" t="n">
        <v>72.75</v>
      </c>
      <c r="C7855" s="538" t="n">
        <v>73.64</v>
      </c>
      <c r="D7855" s="538" t="n">
        <v>71.48</v>
      </c>
      <c r="E7855" s="538" t="n">
        <v>81.59999999999999</v>
      </c>
    </row>
    <row r="7856">
      <c r="A7856" s="544" t="n">
        <v>40206</v>
      </c>
      <c r="B7856" s="538" t="n">
        <v>70.65000000000001</v>
      </c>
      <c r="C7856" s="538" t="n">
        <v>73.62</v>
      </c>
      <c r="D7856" s="538" t="n">
        <v>71.62</v>
      </c>
      <c r="E7856" s="538" t="n">
        <v>81.7</v>
      </c>
    </row>
    <row r="7857">
      <c r="A7857" s="544" t="n">
        <v>40207</v>
      </c>
      <c r="B7857" s="538" t="n">
        <v>71.2</v>
      </c>
      <c r="C7857" s="538" t="n">
        <v>72.84999999999999</v>
      </c>
      <c r="D7857" s="538" t="n">
        <v>70.61</v>
      </c>
      <c r="E7857" s="538" t="n">
        <v>80.7</v>
      </c>
    </row>
    <row r="7858">
      <c r="A7858" s="544" t="n">
        <v>40210</v>
      </c>
      <c r="B7858" s="538" t="n">
        <v>71.58</v>
      </c>
      <c r="C7858" s="538" t="n">
        <v>74.41</v>
      </c>
      <c r="D7858" s="538" t="n">
        <v>72.83</v>
      </c>
      <c r="E7858" s="538" t="n">
        <v>79.5</v>
      </c>
    </row>
    <row r="7859">
      <c r="A7859" s="544" t="n">
        <v>40211</v>
      </c>
      <c r="B7859" s="538" t="n">
        <v>73.94</v>
      </c>
      <c r="C7859" s="538" t="n">
        <v>77.20999999999999</v>
      </c>
      <c r="D7859" s="538" t="n">
        <v>74.95999999999999</v>
      </c>
      <c r="E7859" s="538" t="n">
        <v>80.45</v>
      </c>
    </row>
    <row r="7860">
      <c r="A7860" s="544" t="n">
        <v>40212</v>
      </c>
      <c r="B7860" s="538" t="n">
        <v>75.77</v>
      </c>
      <c r="C7860" s="538" t="n">
        <v>76.95999999999999</v>
      </c>
      <c r="D7860" s="538" t="n">
        <v>75.13</v>
      </c>
      <c r="E7860" s="538" t="n">
        <v>84.7</v>
      </c>
    </row>
    <row r="7861">
      <c r="A7861" s="544" t="n">
        <v>40213</v>
      </c>
      <c r="B7861" s="538" t="n">
        <v>71.3</v>
      </c>
      <c r="C7861" s="538" t="n">
        <v>73.13</v>
      </c>
      <c r="D7861" s="538" t="n">
        <v>70.84</v>
      </c>
      <c r="E7861" s="538" t="n">
        <v>83.15000000000001</v>
      </c>
    </row>
    <row r="7862">
      <c r="A7862" s="544" t="n">
        <v>40214</v>
      </c>
      <c r="B7862" s="538" t="n">
        <v>70.11</v>
      </c>
      <c r="C7862" s="538" t="n">
        <v>71.15000000000001</v>
      </c>
      <c r="D7862" s="538" t="n">
        <v>68.83</v>
      </c>
      <c r="E7862" s="538" t="n">
        <v>79</v>
      </c>
    </row>
    <row r="7863">
      <c r="A7863" s="544" t="n">
        <v>40217</v>
      </c>
      <c r="B7863" s="538" t="n">
        <v>69.62</v>
      </c>
      <c r="C7863" s="538" t="n">
        <v>71.87</v>
      </c>
      <c r="D7863" s="538" t="n">
        <v>68.73999999999999</v>
      </c>
      <c r="E7863" s="538" t="n">
        <v>78.25</v>
      </c>
    </row>
    <row r="7864">
      <c r="A7864" s="544" t="n">
        <v>40218</v>
      </c>
      <c r="B7864" s="538" t="n">
        <v>70.40000000000001</v>
      </c>
      <c r="C7864" s="538" t="n">
        <v>73.70999999999999</v>
      </c>
      <c r="D7864" s="538" t="n">
        <v>71.23999999999999</v>
      </c>
      <c r="E7864" s="538" t="n">
        <v>78.59999999999999</v>
      </c>
    </row>
    <row r="7865">
      <c r="A7865" s="544" t="n">
        <v>40219</v>
      </c>
      <c r="B7865" s="538" t="n">
        <v>70.40000000000001</v>
      </c>
      <c r="C7865" s="538" t="n">
        <v>74.48</v>
      </c>
      <c r="D7865" s="538" t="n">
        <v>71.88</v>
      </c>
      <c r="E7865" s="538" t="n">
        <v>79.40000000000001</v>
      </c>
    </row>
    <row r="7866">
      <c r="A7866" s="544" t="n">
        <v>40220</v>
      </c>
      <c r="B7866" s="538" t="n">
        <v>72.34999999999999</v>
      </c>
      <c r="C7866" s="538" t="n">
        <v>75.23</v>
      </c>
      <c r="D7866" s="538" t="n">
        <v>72.11</v>
      </c>
      <c r="E7866" s="538" t="n">
        <v>81.25</v>
      </c>
    </row>
    <row r="7867">
      <c r="A7867" s="544" t="n">
        <v>40221</v>
      </c>
      <c r="B7867" s="538" t="n">
        <v>71.48999999999999</v>
      </c>
      <c r="C7867" s="538" t="n">
        <v>74.11</v>
      </c>
      <c r="D7867" s="538" t="n">
        <v>71.92</v>
      </c>
      <c r="E7867" s="538" t="n">
        <v>81.3</v>
      </c>
    </row>
    <row r="7868">
      <c r="A7868" s="544" t="n">
        <v>40224</v>
      </c>
      <c r="B7868" s="538" t="n">
        <v>71.48999999999999</v>
      </c>
      <c r="C7868" s="538" t="n">
        <v>74.11</v>
      </c>
      <c r="D7868" s="538" t="n">
        <v>71.53</v>
      </c>
      <c r="E7868" s="538" t="n">
        <v>81.3</v>
      </c>
    </row>
    <row r="7869">
      <c r="A7869" s="544" t="n">
        <v>40225</v>
      </c>
      <c r="B7869" s="538" t="n">
        <v>74.81999999999999</v>
      </c>
      <c r="C7869" s="538" t="n">
        <v>76.98</v>
      </c>
      <c r="D7869" s="538" t="n">
        <v>74.94</v>
      </c>
      <c r="E7869" s="538" t="n">
        <v>81.3</v>
      </c>
    </row>
    <row r="7870">
      <c r="A7870" s="544" t="n">
        <v>40226</v>
      </c>
      <c r="B7870" s="538" t="n">
        <v>74.89</v>
      </c>
      <c r="C7870" s="538" t="n">
        <v>77.27</v>
      </c>
      <c r="D7870" s="538" t="n">
        <v>75.13</v>
      </c>
      <c r="E7870" s="538" t="n">
        <v>83.90000000000001</v>
      </c>
    </row>
    <row r="7871">
      <c r="A7871" s="544" t="n">
        <v>40227</v>
      </c>
      <c r="B7871" s="538" t="n">
        <v>76.61</v>
      </c>
      <c r="C7871" s="538" t="n">
        <v>78.97</v>
      </c>
      <c r="D7871" s="538" t="n">
        <v>75.59999999999999</v>
      </c>
      <c r="E7871" s="538" t="n">
        <v>82.8</v>
      </c>
    </row>
    <row r="7872">
      <c r="A7872" s="544" t="n">
        <v>40228</v>
      </c>
      <c r="B7872" s="538" t="n">
        <v>76.88</v>
      </c>
      <c r="C7872" s="538" t="n">
        <v>79.77</v>
      </c>
      <c r="D7872" s="538" t="n">
        <v>76.91</v>
      </c>
      <c r="E7872" s="538" t="n">
        <v>84</v>
      </c>
    </row>
    <row r="7873">
      <c r="A7873" s="544" t="n">
        <v>40231</v>
      </c>
      <c r="B7873" s="538" t="n">
        <v>76.95</v>
      </c>
      <c r="C7873" s="538" t="n">
        <v>80.04000000000001</v>
      </c>
      <c r="D7873" s="538" t="n">
        <v>76.78</v>
      </c>
      <c r="E7873" s="538" t="n">
        <v>86.34999999999999</v>
      </c>
    </row>
    <row r="7874">
      <c r="A7874" s="544" t="n">
        <v>40232</v>
      </c>
      <c r="B7874" s="538" t="n">
        <v>76.44</v>
      </c>
      <c r="C7874" s="538" t="n">
        <v>78.61</v>
      </c>
      <c r="D7874" s="538" t="n">
        <v>75.84</v>
      </c>
      <c r="E7874" s="538" t="n">
        <v>86.40000000000001</v>
      </c>
    </row>
    <row r="7875">
      <c r="A7875" s="544" t="n">
        <v>40233</v>
      </c>
      <c r="B7875" s="538" t="n">
        <v>77</v>
      </c>
      <c r="C7875" s="538" t="n">
        <v>79.75</v>
      </c>
      <c r="D7875" s="538" t="n">
        <v>76.68000000000001</v>
      </c>
      <c r="E7875" s="538" t="n">
        <v>84.90000000000001</v>
      </c>
    </row>
    <row r="7876">
      <c r="A7876" s="544" t="n">
        <v>40234</v>
      </c>
      <c r="B7876" s="538" t="n">
        <v>74.38</v>
      </c>
      <c r="C7876" s="538" t="n">
        <v>77.98999999999999</v>
      </c>
      <c r="D7876" s="538" t="n">
        <v>74.59999999999999</v>
      </c>
      <c r="E7876" s="538" t="n">
        <v>85.25</v>
      </c>
    </row>
    <row r="7877">
      <c r="A7877" s="544" t="n">
        <v>40235</v>
      </c>
      <c r="B7877" s="538" t="n">
        <v>76.36</v>
      </c>
      <c r="C7877" s="538" t="n">
        <v>79.72</v>
      </c>
      <c r="D7877" s="538" t="n">
        <v>75.76000000000001</v>
      </c>
      <c r="E7877" s="538" t="n">
        <v>83.40000000000001</v>
      </c>
    </row>
    <row r="7878">
      <c r="A7878" s="544" t="n">
        <v>40238</v>
      </c>
      <c r="B7878" s="538" t="n">
        <v>76.06999999999999</v>
      </c>
      <c r="C7878" s="538" t="n">
        <v>78.70999999999999</v>
      </c>
      <c r="D7878" s="538" t="n">
        <v>76.23</v>
      </c>
      <c r="E7878" s="538" t="n">
        <v>85.95</v>
      </c>
    </row>
    <row r="7879">
      <c r="A7879" s="544" t="n">
        <v>40239</v>
      </c>
      <c r="B7879" s="538" t="n">
        <v>77.5</v>
      </c>
      <c r="C7879" s="538" t="n">
        <v>79.62</v>
      </c>
      <c r="D7879" s="538" t="n">
        <v>76.73</v>
      </c>
      <c r="E7879" s="538" t="n">
        <v>84.84999999999999</v>
      </c>
    </row>
    <row r="7880">
      <c r="A7880" s="544" t="n">
        <v>40240</v>
      </c>
      <c r="B7880" s="538" t="n">
        <v>78.66</v>
      </c>
      <c r="C7880" s="538" t="n">
        <v>80.91</v>
      </c>
      <c r="D7880" s="538" t="n">
        <v>77.94</v>
      </c>
      <c r="E7880" s="538" t="n">
        <v>85.8</v>
      </c>
    </row>
    <row r="7881">
      <c r="A7881" s="544" t="n">
        <v>40241</v>
      </c>
      <c r="B7881" s="538" t="n">
        <v>77.88</v>
      </c>
      <c r="C7881" s="538" t="n">
        <v>80.20999999999999</v>
      </c>
      <c r="D7881" s="538" t="n">
        <v>77.34999999999999</v>
      </c>
      <c r="E7881" s="538" t="n">
        <v>86.15000000000001</v>
      </c>
    </row>
    <row r="7882">
      <c r="A7882" s="544" t="n">
        <v>40242</v>
      </c>
      <c r="B7882" s="538" t="n">
        <v>79.2</v>
      </c>
      <c r="C7882" s="538" t="n">
        <v>81.5</v>
      </c>
      <c r="D7882" s="538" t="n">
        <v>78.63</v>
      </c>
      <c r="E7882" s="538" t="n">
        <v>86.34999999999999</v>
      </c>
    </row>
    <row r="7883">
      <c r="A7883" s="544" t="n">
        <v>40245</v>
      </c>
      <c r="B7883" s="538" t="n">
        <v>78.94</v>
      </c>
      <c r="C7883" s="538" t="n">
        <v>81.84999999999999</v>
      </c>
      <c r="D7883" s="538" t="n">
        <v>78.63</v>
      </c>
      <c r="E7883" s="538" t="n">
        <v>87.59999999999999</v>
      </c>
    </row>
    <row r="7884">
      <c r="A7884" s="544" t="n">
        <v>40246</v>
      </c>
      <c r="B7884" s="538" t="n">
        <v>78.77</v>
      </c>
      <c r="C7884" s="538" t="n">
        <v>81.5</v>
      </c>
      <c r="D7884" s="538" t="n">
        <v>77.97</v>
      </c>
      <c r="E7884" s="538" t="n">
        <v>87.45</v>
      </c>
    </row>
    <row r="7885">
      <c r="A7885" s="544" t="n">
        <v>40247</v>
      </c>
      <c r="B7885" s="538" t="n">
        <v>80.29000000000001</v>
      </c>
      <c r="C7885" s="538" t="n">
        <v>82.06999999999999</v>
      </c>
      <c r="D7885" s="538" t="n">
        <v>78.66</v>
      </c>
      <c r="E7885" s="538" t="n">
        <v>87.5</v>
      </c>
    </row>
    <row r="7886">
      <c r="A7886" s="544" t="n">
        <v>40248</v>
      </c>
      <c r="B7886" s="538" t="n">
        <v>79.44</v>
      </c>
      <c r="C7886" s="538" t="n">
        <v>82.09999999999999</v>
      </c>
      <c r="D7886" s="538" t="n">
        <v>78.93000000000001</v>
      </c>
      <c r="E7886" s="538" t="n">
        <v>88.25</v>
      </c>
    </row>
    <row r="7887">
      <c r="A7887" s="544" t="n">
        <v>40249</v>
      </c>
      <c r="B7887" s="538" t="n">
        <v>79.38</v>
      </c>
      <c r="C7887" s="538" t="n">
        <v>81.26000000000001</v>
      </c>
      <c r="D7887" s="538" t="n">
        <v>77.92</v>
      </c>
      <c r="E7887" s="538" t="n">
        <v>88.8</v>
      </c>
    </row>
    <row r="7888">
      <c r="A7888" s="544" t="n">
        <v>40252</v>
      </c>
      <c r="B7888" s="538" t="n">
        <v>77.08</v>
      </c>
      <c r="C7888" s="538" t="n">
        <v>79.79000000000001</v>
      </c>
      <c r="D7888" s="538" t="n">
        <v>76.81</v>
      </c>
      <c r="E7888" s="538" t="n">
        <v>87.95</v>
      </c>
    </row>
    <row r="7889">
      <c r="A7889" s="544" t="n">
        <v>40253</v>
      </c>
      <c r="B7889" s="538" t="n">
        <v>79.45</v>
      </c>
      <c r="C7889" s="538" t="n">
        <v>81.75</v>
      </c>
      <c r="D7889" s="538" t="n">
        <v>79.34</v>
      </c>
      <c r="E7889" s="538" t="n">
        <v>85.95</v>
      </c>
    </row>
    <row r="7890">
      <c r="A7890" s="544" t="n">
        <v>40254</v>
      </c>
      <c r="B7890" s="538" t="n">
        <v>80.28</v>
      </c>
      <c r="C7890" s="538" t="n">
        <v>82.93000000000001</v>
      </c>
      <c r="D7890" s="538" t="n">
        <v>79.55</v>
      </c>
      <c r="E7890" s="538" t="n">
        <v>89.15000000000001</v>
      </c>
    </row>
    <row r="7891">
      <c r="A7891" s="544" t="n">
        <v>40255</v>
      </c>
      <c r="B7891" s="538" t="n">
        <v>80.09</v>
      </c>
      <c r="C7891" s="538" t="n">
        <v>82.16</v>
      </c>
      <c r="D7891" s="538" t="n">
        <v>78.73</v>
      </c>
      <c r="E7891" s="538" t="n">
        <v>88.7</v>
      </c>
    </row>
    <row r="7892">
      <c r="A7892" s="544" t="n">
        <v>40256</v>
      </c>
      <c r="B7892" s="538" t="n">
        <v>78.37</v>
      </c>
      <c r="C7892" s="538" t="n">
        <v>80.58</v>
      </c>
      <c r="D7892" s="538" t="n">
        <v>77.2</v>
      </c>
      <c r="E7892" s="538" t="n">
        <v>88.8</v>
      </c>
    </row>
    <row r="7893">
      <c r="A7893" s="544" t="n">
        <v>40259</v>
      </c>
      <c r="B7893" s="538" t="n">
        <v>78.09</v>
      </c>
      <c r="C7893" s="538" t="n">
        <v>81.26000000000001</v>
      </c>
      <c r="D7893" s="538" t="n">
        <v>78.36</v>
      </c>
      <c r="E7893" s="538" t="n">
        <v>87.09999999999999</v>
      </c>
    </row>
    <row r="7894">
      <c r="A7894" s="544" t="n">
        <v>40260</v>
      </c>
      <c r="B7894" s="538" t="n">
        <v>79.17</v>
      </c>
      <c r="C7894" s="538" t="n">
        <v>81.68000000000001</v>
      </c>
      <c r="D7894" s="538" t="n">
        <v>78</v>
      </c>
      <c r="E7894" s="538" t="n">
        <v>87.45</v>
      </c>
    </row>
    <row r="7895">
      <c r="A7895" s="544" t="n">
        <v>40261</v>
      </c>
      <c r="B7895" s="538" t="n">
        <v>78.03</v>
      </c>
      <c r="C7895" s="538" t="n">
        <v>80.29000000000001</v>
      </c>
      <c r="D7895" s="538" t="n">
        <v>77.12</v>
      </c>
      <c r="E7895" s="538" t="n">
        <v>87.45</v>
      </c>
    </row>
    <row r="7896">
      <c r="A7896" s="544" t="n">
        <v>40262</v>
      </c>
      <c r="B7896" s="538" t="n">
        <v>78.64</v>
      </c>
      <c r="C7896" s="538" t="n">
        <v>80.25</v>
      </c>
      <c r="D7896" s="538" t="n">
        <v>77.3</v>
      </c>
      <c r="E7896" s="538" t="n">
        <v>87.25</v>
      </c>
    </row>
    <row r="7897">
      <c r="A7897" s="544" t="n">
        <v>40263</v>
      </c>
      <c r="B7897" s="538" t="n">
        <v>77.98</v>
      </c>
      <c r="C7897" s="538" t="n">
        <v>79.75</v>
      </c>
      <c r="D7897" s="538" t="n">
        <v>77.52</v>
      </c>
      <c r="E7897" s="538" t="n">
        <v>87.25</v>
      </c>
    </row>
    <row r="7898">
      <c r="A7898" s="544" t="n">
        <v>40266</v>
      </c>
      <c r="B7898" s="538" t="n">
        <v>79.89</v>
      </c>
      <c r="C7898" s="538" t="n">
        <v>81.92</v>
      </c>
      <c r="D7898" s="538" t="n">
        <v>79.55</v>
      </c>
      <c r="E7898" s="538" t="n">
        <v>88.05</v>
      </c>
    </row>
    <row r="7899">
      <c r="A7899" s="544" t="n">
        <v>40267</v>
      </c>
      <c r="B7899" s="538" t="n">
        <v>79.45999999999999</v>
      </c>
      <c r="C7899" s="538" t="n">
        <v>82.14</v>
      </c>
      <c r="D7899" s="538" t="n">
        <v>79.31</v>
      </c>
      <c r="E7899" s="538" t="n">
        <v>89.09999999999999</v>
      </c>
    </row>
    <row r="7900">
      <c r="A7900" s="544" t="n">
        <v>40268</v>
      </c>
      <c r="B7900" s="538" t="n">
        <v>80.37</v>
      </c>
      <c r="C7900" s="538" t="n">
        <v>83.45</v>
      </c>
      <c r="D7900" s="538" t="n">
        <v>80.18000000000001</v>
      </c>
      <c r="E7900" s="538" t="n">
        <v>89.65000000000001</v>
      </c>
    </row>
    <row r="7901">
      <c r="A7901" s="544" t="n">
        <v>40269</v>
      </c>
      <c r="B7901" s="538" t="n">
        <v>82.63</v>
      </c>
      <c r="C7901" s="538" t="n">
        <v>84.53</v>
      </c>
      <c r="D7901" s="538" t="n">
        <v>80.29000000000001</v>
      </c>
      <c r="E7901" s="538" t="n">
        <v>90.75</v>
      </c>
    </row>
    <row r="7902">
      <c r="A7902" s="544" t="n">
        <v>40270</v>
      </c>
      <c r="B7902" s="538" t="n">
        <v>82.63</v>
      </c>
      <c r="C7902" s="538" t="n">
        <v>84.53</v>
      </c>
      <c r="D7902" s="538" t="n">
        <v>80.29000000000001</v>
      </c>
      <c r="E7902" s="538" t="n">
        <v>90.75</v>
      </c>
    </row>
    <row r="7903">
      <c r="A7903" s="544" t="n">
        <v>40273</v>
      </c>
      <c r="B7903" s="538" t="n">
        <v>84.48</v>
      </c>
      <c r="C7903" s="538" t="n">
        <v>86.36</v>
      </c>
      <c r="D7903" s="538" t="n">
        <v>80.29000000000001</v>
      </c>
      <c r="E7903" s="538" t="n">
        <v>93.45</v>
      </c>
    </row>
    <row r="7904">
      <c r="A7904" s="544" t="n">
        <v>40274</v>
      </c>
      <c r="B7904" s="538" t="n">
        <v>85.05</v>
      </c>
      <c r="C7904" s="538" t="n">
        <v>86.54000000000001</v>
      </c>
      <c r="D7904" s="538" t="n">
        <v>83.09</v>
      </c>
      <c r="E7904" s="538" t="n">
        <v>95.34999999999999</v>
      </c>
    </row>
    <row r="7905">
      <c r="A7905" s="544" t="n">
        <v>40275</v>
      </c>
      <c r="B7905" s="538" t="n">
        <v>84.48999999999999</v>
      </c>
      <c r="C7905" s="538" t="n">
        <v>85.64</v>
      </c>
      <c r="D7905" s="538" t="n">
        <v>82.08</v>
      </c>
      <c r="E7905" s="538" t="n">
        <v>95.65000000000001</v>
      </c>
    </row>
    <row r="7906">
      <c r="A7906" s="544" t="n">
        <v>40276</v>
      </c>
      <c r="B7906" s="538" t="n">
        <v>82.63</v>
      </c>
      <c r="C7906" s="538" t="n">
        <v>85.17</v>
      </c>
      <c r="D7906" s="538" t="n">
        <v>81.98</v>
      </c>
      <c r="E7906" s="538" t="n">
        <v>94.59999999999999</v>
      </c>
    </row>
    <row r="7907">
      <c r="A7907" s="544" t="n">
        <v>40277</v>
      </c>
      <c r="B7907" s="538" t="n">
        <v>82.77</v>
      </c>
      <c r="C7907" s="538" t="n">
        <v>84.59999999999999</v>
      </c>
      <c r="D7907" s="538" t="n">
        <v>81.94</v>
      </c>
      <c r="E7907" s="538" t="n">
        <v>95.59999999999999</v>
      </c>
    </row>
    <row r="7908">
      <c r="A7908" s="544" t="n">
        <v>40280</v>
      </c>
      <c r="B7908" s="538" t="n">
        <v>85.20999999999999</v>
      </c>
      <c r="C7908" s="538" t="n">
        <v>84.06999999999999</v>
      </c>
      <c r="D7908" s="538" t="n">
        <v>81.67</v>
      </c>
      <c r="E7908" s="538" t="n">
        <v>95.65000000000001</v>
      </c>
    </row>
    <row r="7909">
      <c r="A7909" s="544" t="n">
        <v>40281</v>
      </c>
      <c r="B7909" s="538" t="n">
        <v>83.44</v>
      </c>
      <c r="C7909" s="538" t="n">
        <v>83.8</v>
      </c>
      <c r="D7909" s="538" t="n">
        <v>81.28</v>
      </c>
      <c r="E7909" s="538" t="n">
        <v>94.34999999999999</v>
      </c>
    </row>
    <row r="7910">
      <c r="A7910" s="544" t="n">
        <v>40282</v>
      </c>
      <c r="B7910" s="538" t="n">
        <v>85.81</v>
      </c>
      <c r="C7910" s="538" t="n">
        <v>85.62</v>
      </c>
      <c r="D7910" s="538" t="n">
        <v>83.23999999999999</v>
      </c>
      <c r="E7910" s="538" t="n">
        <v>94.90000000000001</v>
      </c>
    </row>
    <row r="7911">
      <c r="A7911" s="544" t="n">
        <v>40283</v>
      </c>
      <c r="B7911" s="538" t="n">
        <v>86.90000000000001</v>
      </c>
      <c r="C7911" s="538" t="n">
        <v>85.25</v>
      </c>
      <c r="D7911" s="538" t="n">
        <v>83.56999999999999</v>
      </c>
      <c r="E7911" s="538" t="n">
        <v>95.7</v>
      </c>
    </row>
    <row r="7912">
      <c r="A7912" s="544" t="n">
        <v>40284</v>
      </c>
      <c r="B7912" s="538" t="n">
        <v>84.81</v>
      </c>
      <c r="C7912" s="538" t="n">
        <v>82.97</v>
      </c>
      <c r="D7912" s="538" t="n">
        <v>83.48</v>
      </c>
      <c r="E7912" s="538" t="n">
        <v>95.8</v>
      </c>
    </row>
    <row r="7913">
      <c r="A7913" s="544" t="n">
        <v>40287</v>
      </c>
      <c r="B7913" s="538" t="n">
        <v>83.09</v>
      </c>
      <c r="C7913" s="538" t="n">
        <v>81.52</v>
      </c>
      <c r="D7913" s="538" t="n">
        <v>82.42</v>
      </c>
      <c r="E7913" s="538" t="n">
        <v>92.59999999999999</v>
      </c>
    </row>
    <row r="7914">
      <c r="A7914" s="544" t="n">
        <v>40288</v>
      </c>
      <c r="B7914" s="538" t="n">
        <v>84.73</v>
      </c>
      <c r="C7914" s="538" t="n">
        <v>82.98</v>
      </c>
      <c r="D7914" s="538" t="n">
        <v>82.06999999999999</v>
      </c>
      <c r="E7914" s="538" t="n">
        <v>93.65000000000001</v>
      </c>
    </row>
    <row r="7915">
      <c r="A7915" s="544" t="n">
        <v>40289</v>
      </c>
      <c r="B7915" s="538" t="n">
        <v>84.55</v>
      </c>
      <c r="C7915" s="538" t="n">
        <v>82.78</v>
      </c>
      <c r="D7915" s="538" t="n">
        <v>83.56999999999999</v>
      </c>
      <c r="E7915" s="538" t="n">
        <v>94.05</v>
      </c>
    </row>
    <row r="7916">
      <c r="A7916" s="544" t="n">
        <v>40290</v>
      </c>
      <c r="B7916" s="538" t="n">
        <v>84.58</v>
      </c>
      <c r="C7916" s="538" t="n">
        <v>82.89</v>
      </c>
      <c r="D7916" s="538" t="n">
        <v>83.88</v>
      </c>
      <c r="E7916" s="538" t="n">
        <v>95</v>
      </c>
    </row>
    <row r="7917">
      <c r="A7917" s="544" t="n">
        <v>40291</v>
      </c>
      <c r="B7917" s="538" t="n">
        <v>86.09</v>
      </c>
      <c r="C7917" s="538" t="n">
        <v>84.34</v>
      </c>
      <c r="D7917" s="538" t="n">
        <v>85.5</v>
      </c>
      <c r="E7917" s="538" t="n">
        <v>94.55</v>
      </c>
    </row>
    <row r="7918">
      <c r="A7918" s="544" t="n">
        <v>40294</v>
      </c>
      <c r="B7918" s="538" t="n">
        <v>86.72</v>
      </c>
      <c r="C7918" s="538" t="n">
        <v>84.2</v>
      </c>
      <c r="D7918" s="538" t="n">
        <v>84.78</v>
      </c>
      <c r="E7918" s="538" t="n">
        <v>96.34999999999999</v>
      </c>
    </row>
    <row r="7919">
      <c r="A7919" s="544" t="n">
        <v>40295</v>
      </c>
      <c r="B7919" s="538" t="n">
        <v>85.59</v>
      </c>
      <c r="C7919" s="538" t="n">
        <v>82.43000000000001</v>
      </c>
      <c r="D7919" s="538" t="n">
        <v>83.33</v>
      </c>
      <c r="E7919" s="538" t="n">
        <v>95.59999999999999</v>
      </c>
    </row>
    <row r="7920">
      <c r="A7920" s="544" t="n">
        <v>40296</v>
      </c>
      <c r="B7920" s="538" t="n">
        <v>84.59</v>
      </c>
      <c r="C7920" s="538" t="n">
        <v>83.22</v>
      </c>
      <c r="D7920" s="538" t="n">
        <v>84.47</v>
      </c>
      <c r="E7920" s="538" t="n">
        <v>94.55</v>
      </c>
    </row>
    <row r="7921">
      <c r="A7921" s="544" t="n">
        <v>40297</v>
      </c>
      <c r="B7921" s="538" t="n">
        <v>86.81999999999999</v>
      </c>
      <c r="C7921" s="538" t="n">
        <v>85.17</v>
      </c>
      <c r="D7921" s="538" t="n">
        <v>85.77</v>
      </c>
      <c r="E7921" s="538" t="n">
        <v>96</v>
      </c>
    </row>
    <row r="7922">
      <c r="A7922" s="544" t="n">
        <v>40298</v>
      </c>
      <c r="B7922" s="538" t="n">
        <v>86.19</v>
      </c>
      <c r="C7922" s="538" t="n">
        <v>86.06999999999999</v>
      </c>
      <c r="D7922" s="538" t="n">
        <v>86.05</v>
      </c>
      <c r="E7922" s="538" t="n">
        <v>97.40000000000001</v>
      </c>
    </row>
    <row r="7923">
      <c r="A7923" s="544" t="n">
        <v>40301</v>
      </c>
      <c r="B7923" s="538" t="n">
        <v>88.09</v>
      </c>
      <c r="C7923" s="538" t="n">
        <v>86.19</v>
      </c>
      <c r="D7923" s="538" t="n">
        <v>84.40000000000001</v>
      </c>
      <c r="E7923" s="538" t="n">
        <v>97.84999999999999</v>
      </c>
    </row>
    <row r="7924">
      <c r="A7924" s="544" t="n">
        <v>40302</v>
      </c>
      <c r="B7924" s="538" t="n">
        <v>85.39</v>
      </c>
      <c r="C7924" s="538" t="n">
        <v>82.73</v>
      </c>
      <c r="D7924" s="538" t="n">
        <v>80.67</v>
      </c>
      <c r="E7924" s="538" t="n">
        <v>99.3</v>
      </c>
    </row>
    <row r="7925">
      <c r="A7925" s="544" t="n">
        <v>40303</v>
      </c>
      <c r="B7925" s="538" t="n">
        <v>82.31</v>
      </c>
      <c r="C7925" s="538" t="n">
        <v>80</v>
      </c>
      <c r="D7925" s="538" t="n">
        <v>77.90000000000001</v>
      </c>
      <c r="E7925" s="538" t="n">
        <v>95.40000000000001</v>
      </c>
    </row>
    <row r="7926">
      <c r="A7926" s="544" t="n">
        <v>40304</v>
      </c>
      <c r="B7926" s="538" t="n">
        <v>80.20999999999999</v>
      </c>
      <c r="C7926" s="538" t="n">
        <v>77.18000000000001</v>
      </c>
      <c r="D7926" s="538" t="n">
        <v>75.31999999999999</v>
      </c>
      <c r="E7926" s="538" t="n">
        <v>93.05</v>
      </c>
    </row>
    <row r="7927">
      <c r="A7927" s="544" t="n">
        <v>40305</v>
      </c>
      <c r="B7927" s="538" t="n">
        <v>76.48</v>
      </c>
      <c r="C7927" s="538" t="n">
        <v>75.09999999999999</v>
      </c>
      <c r="D7927" s="538" t="n">
        <v>74.2</v>
      </c>
      <c r="E7927" s="538" t="n">
        <v>90.5</v>
      </c>
    </row>
    <row r="7928">
      <c r="A7928" s="544" t="n">
        <v>40308</v>
      </c>
      <c r="B7928" s="538" t="n">
        <v>78.08</v>
      </c>
      <c r="C7928" s="538" t="n">
        <v>76.89</v>
      </c>
      <c r="D7928" s="538" t="n">
        <v>76.27</v>
      </c>
      <c r="E7928" s="538" t="n">
        <v>91.2</v>
      </c>
    </row>
    <row r="7929">
      <c r="A7929" s="544" t="n">
        <v>40309</v>
      </c>
      <c r="B7929" s="538" t="n">
        <v>79</v>
      </c>
      <c r="C7929" s="538" t="n">
        <v>76.37</v>
      </c>
      <c r="D7929" s="538" t="n">
        <v>75.81</v>
      </c>
      <c r="E7929" s="538" t="n">
        <v>89.65000000000001</v>
      </c>
    </row>
    <row r="7930">
      <c r="A7930" s="544" t="n">
        <v>40310</v>
      </c>
      <c r="B7930" s="538" t="n">
        <v>78.7</v>
      </c>
      <c r="C7930" s="538" t="n">
        <v>75.65000000000001</v>
      </c>
      <c r="D7930" s="538" t="n">
        <v>76.38</v>
      </c>
      <c r="E7930" s="538" t="n">
        <v>92.15000000000001</v>
      </c>
    </row>
    <row r="7931">
      <c r="A7931" s="544" t="n">
        <v>40311</v>
      </c>
      <c r="B7931" s="538" t="n">
        <v>79.41</v>
      </c>
      <c r="C7931" s="538" t="n">
        <v>74.38</v>
      </c>
      <c r="D7931" s="538" t="n">
        <v>79.68000000000001</v>
      </c>
      <c r="E7931" s="538" t="n">
        <v>92.65000000000001</v>
      </c>
    </row>
    <row r="7932">
      <c r="A7932" s="544" t="n">
        <v>40312</v>
      </c>
      <c r="B7932" s="538" t="n">
        <v>76.43000000000001</v>
      </c>
      <c r="C7932" s="538" t="n">
        <v>71.61</v>
      </c>
      <c r="D7932" s="538" t="n">
        <v>79.68000000000001</v>
      </c>
      <c r="E7932" s="538" t="n">
        <v>92.65000000000001</v>
      </c>
    </row>
    <row r="7933">
      <c r="A7933" s="544" t="n">
        <v>40315</v>
      </c>
      <c r="B7933" s="538" t="n">
        <v>73.87</v>
      </c>
      <c r="C7933" s="538" t="n">
        <v>70.08</v>
      </c>
      <c r="D7933" s="538" t="n">
        <v>74.34</v>
      </c>
      <c r="E7933" s="538" t="n">
        <v>86.95</v>
      </c>
    </row>
    <row r="7934">
      <c r="A7934" s="544" t="n">
        <v>40316</v>
      </c>
      <c r="B7934" s="538" t="n">
        <v>75.12</v>
      </c>
      <c r="C7934" s="538" t="n">
        <v>69.38</v>
      </c>
      <c r="D7934" s="538" t="n">
        <v>73.15000000000001</v>
      </c>
      <c r="E7934" s="538" t="n">
        <v>86.34999999999999</v>
      </c>
    </row>
    <row r="7935">
      <c r="A7935" s="544" t="n">
        <v>40317</v>
      </c>
      <c r="B7935" s="538" t="n">
        <v>71.86</v>
      </c>
      <c r="C7935" s="538" t="n">
        <v>69.91</v>
      </c>
      <c r="D7935" s="538" t="n">
        <v>72.45</v>
      </c>
      <c r="E7935" s="538" t="n">
        <v>83.59999999999999</v>
      </c>
    </row>
    <row r="7936">
      <c r="A7936" s="544" t="n">
        <v>40318</v>
      </c>
      <c r="B7936" s="538" t="n">
        <v>69.56</v>
      </c>
      <c r="C7936" s="538" t="n">
        <v>68.28</v>
      </c>
      <c r="D7936" s="538" t="n">
        <v>67.81</v>
      </c>
      <c r="E7936" s="538" t="n">
        <v>83.15000000000001</v>
      </c>
    </row>
    <row r="7937">
      <c r="A7937" s="544" t="n">
        <v>40319</v>
      </c>
      <c r="B7937" s="538" t="n">
        <v>70.45</v>
      </c>
      <c r="C7937" s="538" t="n">
        <v>68.03</v>
      </c>
      <c r="D7937" s="538" t="n">
        <v>70.87</v>
      </c>
      <c r="E7937" s="538" t="n">
        <v>80.55</v>
      </c>
    </row>
    <row r="7938">
      <c r="A7938" s="544" t="n">
        <v>40322</v>
      </c>
      <c r="B7938" s="538" t="n">
        <v>69.62</v>
      </c>
      <c r="C7938" s="538" t="n">
        <v>68.23</v>
      </c>
      <c r="D7938" s="538" t="n">
        <v>69.77</v>
      </c>
      <c r="E7938" s="538" t="n">
        <v>81</v>
      </c>
    </row>
    <row r="7939">
      <c r="A7939" s="544" t="n">
        <v>40323</v>
      </c>
      <c r="B7939" s="538" t="n">
        <v>67.18000000000001</v>
      </c>
      <c r="C7939" s="538" t="n">
        <v>64.78</v>
      </c>
      <c r="D7939" s="538" t="n">
        <v>69.64</v>
      </c>
      <c r="E7939" s="538" t="n">
        <v>79.53</v>
      </c>
    </row>
    <row r="7940">
      <c r="A7940" s="544" t="n">
        <v>40324</v>
      </c>
      <c r="B7940" s="538" t="n">
        <v>70.59</v>
      </c>
      <c r="C7940" s="538" t="n">
        <v>71.52</v>
      </c>
      <c r="D7940" s="538" t="n">
        <v>69.97</v>
      </c>
      <c r="E7940" s="538" t="n">
        <v>80.95</v>
      </c>
    </row>
    <row r="7941">
      <c r="A7941" s="544" t="n">
        <v>40325</v>
      </c>
      <c r="B7941" s="538" t="n">
        <v>73.56</v>
      </c>
      <c r="C7941" s="538" t="n">
        <v>74.56</v>
      </c>
      <c r="D7941" s="538" t="n">
        <v>73.76000000000001</v>
      </c>
      <c r="E7941" s="538" t="n">
        <v>82.8</v>
      </c>
    </row>
    <row r="7942">
      <c r="A7942" s="544" t="n">
        <v>40326</v>
      </c>
      <c r="B7942" s="538" t="n">
        <v>73</v>
      </c>
      <c r="C7942" s="538" t="n">
        <v>74</v>
      </c>
      <c r="D7942" s="538" t="n">
        <v>72.94</v>
      </c>
      <c r="E7942" s="538" t="n">
        <v>82.8</v>
      </c>
    </row>
    <row r="7943">
      <c r="A7943" s="544" t="n">
        <v>40329</v>
      </c>
      <c r="B7943" s="538" t="n">
        <v>73</v>
      </c>
      <c r="C7943" s="538" t="n">
        <v>74</v>
      </c>
      <c r="D7943" s="538" t="n">
        <v>73.42</v>
      </c>
      <c r="E7943" s="538" t="n">
        <v>85.84999999999999</v>
      </c>
    </row>
    <row r="7944">
      <c r="A7944" s="544" t="n">
        <v>40330</v>
      </c>
      <c r="B7944" s="538" t="n">
        <v>73.08</v>
      </c>
      <c r="C7944" s="538" t="n">
        <v>72.7</v>
      </c>
      <c r="D7944" s="538" t="n">
        <v>71.19</v>
      </c>
      <c r="E7944" s="538" t="n">
        <v>83.8</v>
      </c>
    </row>
    <row r="7945">
      <c r="A7945" s="544" t="n">
        <v>40331</v>
      </c>
      <c r="B7945" s="538" t="n">
        <v>72.78</v>
      </c>
      <c r="C7945" s="538" t="n">
        <v>72.88</v>
      </c>
      <c r="D7945" s="538" t="n">
        <v>74.11</v>
      </c>
      <c r="E7945" s="538" t="n">
        <v>83.7</v>
      </c>
    </row>
    <row r="7946">
      <c r="A7946" s="544" t="n">
        <v>40332</v>
      </c>
      <c r="B7946" s="538" t="n">
        <v>73.12</v>
      </c>
      <c r="C7946" s="538" t="n">
        <v>74.62</v>
      </c>
      <c r="D7946" s="538" t="n">
        <v>75.26000000000001</v>
      </c>
      <c r="E7946" s="538" t="n">
        <v>86.3</v>
      </c>
    </row>
    <row r="7947">
      <c r="A7947" s="544" t="n">
        <v>40333</v>
      </c>
      <c r="B7947" s="538" t="n">
        <v>71.84</v>
      </c>
      <c r="C7947" s="538" t="n">
        <v>71.43000000000001</v>
      </c>
      <c r="D7947" s="538" t="n">
        <v>71.19</v>
      </c>
      <c r="E7947" s="538" t="n">
        <v>86.7</v>
      </c>
    </row>
    <row r="7948">
      <c r="A7948" s="544" t="n">
        <v>40336</v>
      </c>
      <c r="B7948" s="538" t="n">
        <v>71.09</v>
      </c>
      <c r="C7948" s="538" t="n">
        <v>71.55</v>
      </c>
      <c r="D7948" s="538" t="n">
        <v>71.08</v>
      </c>
      <c r="E7948" s="538" t="n">
        <v>82.65000000000001</v>
      </c>
    </row>
    <row r="7949">
      <c r="A7949" s="544" t="n">
        <v>40337</v>
      </c>
      <c r="B7949" s="538" t="n">
        <v>71.43000000000001</v>
      </c>
      <c r="C7949" s="538" t="n">
        <v>71.88</v>
      </c>
      <c r="D7949" s="538" t="n">
        <v>71.98</v>
      </c>
      <c r="E7949" s="538" t="n">
        <v>84.09999999999999</v>
      </c>
    </row>
    <row r="7950">
      <c r="A7950" s="544" t="n">
        <v>40338</v>
      </c>
      <c r="B7950" s="538" t="n">
        <v>73.68000000000001</v>
      </c>
      <c r="C7950" s="538" t="n">
        <v>74.38</v>
      </c>
      <c r="D7950" s="538" t="n">
        <v>72.95999999999999</v>
      </c>
      <c r="E7950" s="538" t="n">
        <v>83.65000000000001</v>
      </c>
    </row>
    <row r="7951">
      <c r="A7951" s="544" t="n">
        <v>40339</v>
      </c>
      <c r="B7951" s="538" t="n">
        <v>74.33</v>
      </c>
      <c r="C7951" s="538" t="n">
        <v>75.48</v>
      </c>
      <c r="D7951" s="538" t="n">
        <v>74.42</v>
      </c>
      <c r="E7951" s="538" t="n">
        <v>84.90000000000001</v>
      </c>
    </row>
    <row r="7952">
      <c r="A7952" s="544" t="n">
        <v>40340</v>
      </c>
      <c r="B7952" s="538" t="n">
        <v>73.28</v>
      </c>
      <c r="C7952" s="538" t="n">
        <v>73.89</v>
      </c>
      <c r="D7952" s="538" t="n">
        <v>74.06</v>
      </c>
      <c r="E7952" s="538" t="n">
        <v>86.2</v>
      </c>
    </row>
    <row r="7953">
      <c r="A7953" s="544" t="n">
        <v>40343</v>
      </c>
      <c r="B7953" s="538" t="n">
        <v>75.11</v>
      </c>
      <c r="C7953" s="538" t="n">
        <v>74.98999999999999</v>
      </c>
      <c r="D7953" s="538" t="n">
        <v>73.73999999999999</v>
      </c>
      <c r="E7953" s="538" t="n">
        <v>86.15000000000001</v>
      </c>
    </row>
    <row r="7954">
      <c r="A7954" s="544" t="n">
        <v>40344</v>
      </c>
      <c r="B7954" s="538" t="n">
        <v>75.29000000000001</v>
      </c>
      <c r="C7954" s="538" t="n">
        <v>76.84</v>
      </c>
      <c r="D7954" s="538" t="n">
        <v>75.66</v>
      </c>
      <c r="E7954" s="538" t="n">
        <v>85.8</v>
      </c>
    </row>
    <row r="7955">
      <c r="A7955" s="544" t="n">
        <v>40345</v>
      </c>
      <c r="B7955" s="538" t="n">
        <v>76.12</v>
      </c>
      <c r="C7955" s="538" t="n">
        <v>77.67</v>
      </c>
      <c r="D7955" s="538" t="n">
        <v>76.17</v>
      </c>
      <c r="E7955" s="538" t="n">
        <v>87.25</v>
      </c>
    </row>
    <row r="7956">
      <c r="A7956" s="544" t="n">
        <v>40346</v>
      </c>
      <c r="B7956" s="538" t="n">
        <v>77.52</v>
      </c>
      <c r="C7956" s="538" t="n">
        <v>76.81999999999999</v>
      </c>
      <c r="D7956" s="538" t="n">
        <v>76.38</v>
      </c>
      <c r="E7956" s="538" t="n">
        <v>89.55</v>
      </c>
    </row>
    <row r="7957">
      <c r="A7957" s="544" t="n">
        <v>40347</v>
      </c>
      <c r="B7957" s="538" t="n">
        <v>77.05</v>
      </c>
      <c r="C7957" s="538" t="n">
        <v>77.18000000000001</v>
      </c>
      <c r="D7957" s="538" t="n">
        <v>76.17</v>
      </c>
      <c r="E7957" s="538" t="n">
        <v>89.95</v>
      </c>
    </row>
    <row r="7958">
      <c r="A7958" s="544" t="n">
        <v>40350</v>
      </c>
      <c r="B7958" s="538" t="n">
        <v>78.53</v>
      </c>
      <c r="C7958" s="538" t="n">
        <v>77.84</v>
      </c>
      <c r="D7958" s="538" t="n">
        <v>76.15000000000001</v>
      </c>
      <c r="E7958" s="538" t="n">
        <v>91.2</v>
      </c>
    </row>
    <row r="7959">
      <c r="A7959" s="544" t="n">
        <v>40351</v>
      </c>
      <c r="B7959" s="538" t="n">
        <v>78.08</v>
      </c>
      <c r="C7959" s="538" t="n">
        <v>77.15000000000001</v>
      </c>
      <c r="D7959" s="538" t="n">
        <v>75.25</v>
      </c>
      <c r="E7959" s="538" t="n">
        <v>90.2</v>
      </c>
    </row>
    <row r="7960">
      <c r="A7960" s="544" t="n">
        <v>40352</v>
      </c>
      <c r="B7960" s="538" t="n">
        <v>75.22</v>
      </c>
      <c r="C7960" s="538" t="n">
        <v>75.90000000000001</v>
      </c>
      <c r="D7960" s="538" t="n">
        <v>73.65000000000001</v>
      </c>
      <c r="E7960" s="538" t="n">
        <v>89.59999999999999</v>
      </c>
    </row>
    <row r="7961">
      <c r="A7961" s="544" t="n">
        <v>40353</v>
      </c>
      <c r="B7961" s="538" t="n">
        <v>75.17</v>
      </c>
      <c r="C7961" s="538" t="n">
        <v>75.95999999999999</v>
      </c>
      <c r="D7961" s="538" t="n">
        <v>74.43000000000001</v>
      </c>
      <c r="E7961" s="538" t="n">
        <v>87.5</v>
      </c>
    </row>
    <row r="7962">
      <c r="A7962" s="544" t="n">
        <v>40354</v>
      </c>
      <c r="B7962" s="538" t="n">
        <v>76.20999999999999</v>
      </c>
      <c r="C7962" s="538" t="n">
        <v>78.45</v>
      </c>
      <c r="D7962" s="538" t="n">
        <v>76.42</v>
      </c>
      <c r="E7962" s="538" t="n">
        <v>87.2</v>
      </c>
    </row>
    <row r="7963">
      <c r="A7963" s="544" t="n">
        <v>40357</v>
      </c>
      <c r="B7963" s="538" t="n">
        <v>76.66</v>
      </c>
      <c r="C7963" s="538" t="n">
        <v>78.26000000000001</v>
      </c>
      <c r="D7963" s="538" t="n">
        <v>75.51000000000001</v>
      </c>
      <c r="E7963" s="538" t="n">
        <v>88.95</v>
      </c>
    </row>
    <row r="7964">
      <c r="A7964" s="544" t="n">
        <v>40358</v>
      </c>
      <c r="B7964" s="538" t="n">
        <v>74.20999999999999</v>
      </c>
      <c r="C7964" s="538" t="n">
        <v>75.93000000000001</v>
      </c>
      <c r="D7964" s="538" t="n">
        <v>72.92</v>
      </c>
      <c r="E7964" s="538" t="n">
        <v>87.34999999999999</v>
      </c>
    </row>
    <row r="7965">
      <c r="A7965" s="544" t="n">
        <v>40359</v>
      </c>
      <c r="B7965" s="538" t="n">
        <v>74.94</v>
      </c>
      <c r="C7965" s="538" t="n">
        <v>75.59</v>
      </c>
      <c r="D7965" s="538" t="n">
        <v>72.48999999999999</v>
      </c>
      <c r="E7965" s="538" t="n">
        <v>86.25</v>
      </c>
    </row>
    <row r="7966">
      <c r="A7966" s="544" t="n">
        <v>40360</v>
      </c>
      <c r="B7966" s="538" t="n">
        <v>71.73</v>
      </c>
      <c r="C7966" s="538" t="n">
        <v>72.95</v>
      </c>
      <c r="D7966" s="538" t="n">
        <v>70.28</v>
      </c>
      <c r="E7966" s="538" t="n">
        <v>86.15000000000001</v>
      </c>
    </row>
    <row r="7967">
      <c r="A7967" s="544" t="n">
        <v>40361</v>
      </c>
      <c r="B7967" s="538" t="n">
        <v>71.75</v>
      </c>
      <c r="C7967" s="538" t="n">
        <v>72.06</v>
      </c>
      <c r="D7967" s="538" t="n">
        <v>69.84999999999999</v>
      </c>
      <c r="E7967" s="538" t="n">
        <v>82.40000000000001</v>
      </c>
    </row>
    <row r="7968">
      <c r="A7968" s="544" t="n">
        <v>40364</v>
      </c>
      <c r="B7968" s="538" t="n">
        <v>71.75</v>
      </c>
      <c r="C7968" s="538" t="n">
        <v>72.06</v>
      </c>
      <c r="D7968" s="538" t="n">
        <v>69.45999999999999</v>
      </c>
      <c r="E7968" s="538" t="n">
        <v>81.8</v>
      </c>
    </row>
    <row r="7969">
      <c r="A7969" s="544" t="n">
        <v>40365</v>
      </c>
      <c r="B7969" s="538" t="n">
        <v>73.08</v>
      </c>
      <c r="C7969" s="538" t="n">
        <v>71.95999999999999</v>
      </c>
      <c r="D7969" s="538" t="n">
        <v>69.62</v>
      </c>
      <c r="E7969" s="538" t="n">
        <v>81.84999999999999</v>
      </c>
    </row>
    <row r="7970">
      <c r="A7970" s="544" t="n">
        <v>40366</v>
      </c>
      <c r="B7970" s="538" t="n">
        <v>72.97</v>
      </c>
      <c r="C7970" s="538" t="n">
        <v>74.05</v>
      </c>
      <c r="D7970" s="538" t="n">
        <v>72.61</v>
      </c>
      <c r="E7970" s="538" t="n">
        <v>81.45</v>
      </c>
    </row>
    <row r="7971">
      <c r="A7971" s="544" t="n">
        <v>40367</v>
      </c>
      <c r="B7971" s="538" t="n">
        <v>74.56</v>
      </c>
      <c r="C7971" s="538" t="n">
        <v>75.45999999999999</v>
      </c>
      <c r="D7971" s="538" t="n">
        <v>73.52</v>
      </c>
      <c r="E7971" s="538" t="n">
        <v>84.7</v>
      </c>
    </row>
    <row r="7972">
      <c r="A7972" s="544" t="n">
        <v>40368</v>
      </c>
      <c r="B7972" s="538" t="n">
        <v>75.2</v>
      </c>
      <c r="C7972" s="538" t="n">
        <v>76.08</v>
      </c>
      <c r="D7972" s="538" t="n">
        <v>73.93000000000001</v>
      </c>
      <c r="E7972" s="538" t="n">
        <v>85.65000000000001</v>
      </c>
    </row>
    <row r="7973">
      <c r="A7973" s="544" t="n">
        <v>40371</v>
      </c>
      <c r="B7973" s="538" t="n">
        <v>74.34999999999999</v>
      </c>
      <c r="C7973" s="538" t="n">
        <v>74.93000000000001</v>
      </c>
      <c r="D7973" s="538" t="n">
        <v>72.40000000000001</v>
      </c>
      <c r="E7973" s="538" t="n">
        <v>85.59999999999999</v>
      </c>
    </row>
    <row r="7974">
      <c r="A7974" s="544" t="n">
        <v>40372</v>
      </c>
      <c r="B7974" s="538" t="n">
        <v>76.45</v>
      </c>
      <c r="C7974" s="538" t="n">
        <v>77.16</v>
      </c>
      <c r="D7974" s="538" t="n">
        <v>74.61</v>
      </c>
      <c r="E7974" s="538" t="n">
        <v>84.25</v>
      </c>
    </row>
    <row r="7975">
      <c r="A7975" s="544" t="n">
        <v>40373</v>
      </c>
      <c r="B7975" s="538" t="n">
        <v>76.63</v>
      </c>
      <c r="C7975" s="538" t="n">
        <v>77.02</v>
      </c>
      <c r="D7975" s="538" t="n">
        <v>74.03</v>
      </c>
      <c r="E7975" s="538" t="n">
        <v>86.84999999999999</v>
      </c>
    </row>
    <row r="7976">
      <c r="A7976" s="544" t="n">
        <v>40374</v>
      </c>
      <c r="B7976" s="538" t="n">
        <v>75.52</v>
      </c>
      <c r="C7976" s="538" t="n">
        <v>76.67</v>
      </c>
      <c r="D7976" s="538" t="n">
        <v>73.93000000000001</v>
      </c>
      <c r="E7976" s="538" t="n">
        <v>86.2</v>
      </c>
    </row>
    <row r="7977">
      <c r="A7977" s="544" t="n">
        <v>40375</v>
      </c>
      <c r="B7977" s="538" t="n">
        <v>75.55</v>
      </c>
      <c r="C7977" s="538" t="n">
        <v>75.95999999999999</v>
      </c>
      <c r="D7977" s="538" t="n">
        <v>72.93000000000001</v>
      </c>
      <c r="E7977" s="538" t="n">
        <v>85.8</v>
      </c>
    </row>
    <row r="7978">
      <c r="A7978" s="544" t="n">
        <v>40378</v>
      </c>
      <c r="B7978" s="538" t="n">
        <v>76.29000000000001</v>
      </c>
      <c r="C7978" s="538" t="n">
        <v>76.53</v>
      </c>
      <c r="D7978" s="538" t="n">
        <v>73.22</v>
      </c>
      <c r="E7978" s="538" t="n">
        <v>85.55</v>
      </c>
    </row>
    <row r="7979">
      <c r="A7979" s="544" t="n">
        <v>40379</v>
      </c>
      <c r="B7979" s="538" t="n">
        <v>76.31</v>
      </c>
      <c r="C7979" s="538" t="n">
        <v>77.31999999999999</v>
      </c>
      <c r="D7979" s="538" t="n">
        <v>73.69</v>
      </c>
      <c r="E7979" s="538" t="n">
        <v>86.40000000000001</v>
      </c>
    </row>
    <row r="7980">
      <c r="A7980" s="544" t="n">
        <v>40380</v>
      </c>
      <c r="B7980" s="538" t="n">
        <v>75.75</v>
      </c>
      <c r="C7980" s="538" t="n">
        <v>76.27</v>
      </c>
      <c r="D7980" s="538" t="n">
        <v>72.8</v>
      </c>
      <c r="E7980" s="538" t="n">
        <v>87</v>
      </c>
    </row>
    <row r="7981">
      <c r="A7981" s="544" t="n">
        <v>40381</v>
      </c>
      <c r="B7981" s="538" t="n">
        <v>77.59</v>
      </c>
      <c r="C7981" s="538" t="n">
        <v>79.01000000000001</v>
      </c>
      <c r="D7981" s="538" t="n">
        <v>75.31999999999999</v>
      </c>
      <c r="E7981" s="538" t="n">
        <v>85.3</v>
      </c>
    </row>
    <row r="7982">
      <c r="A7982" s="544" t="n">
        <v>40382</v>
      </c>
      <c r="B7982" s="538" t="n">
        <v>77.27</v>
      </c>
      <c r="C7982" s="538" t="n">
        <v>78.68000000000001</v>
      </c>
      <c r="D7982" s="538" t="n">
        <v>74.84</v>
      </c>
      <c r="E7982" s="538" t="n">
        <v>88.40000000000001</v>
      </c>
    </row>
    <row r="7983">
      <c r="A7983" s="544" t="n">
        <v>40385</v>
      </c>
      <c r="B7983" s="538" t="n">
        <v>77.90000000000001</v>
      </c>
      <c r="C7983" s="538" t="n">
        <v>78.93000000000001</v>
      </c>
      <c r="D7983" s="538" t="n">
        <v>74.34</v>
      </c>
      <c r="E7983" s="538" t="n">
        <v>86.84999999999999</v>
      </c>
    </row>
    <row r="7984">
      <c r="A7984" s="544" t="n">
        <v>40386</v>
      </c>
      <c r="B7984" s="538" t="n">
        <v>75.52</v>
      </c>
      <c r="C7984" s="538" t="n">
        <v>77.45999999999999</v>
      </c>
      <c r="D7984" s="538" t="n">
        <v>72.98</v>
      </c>
      <c r="E7984" s="538" t="n">
        <v>87.95</v>
      </c>
    </row>
    <row r="7985">
      <c r="A7985" s="544" t="n">
        <v>40387</v>
      </c>
      <c r="B7985" s="538" t="n">
        <v>76.66</v>
      </c>
      <c r="C7985" s="538" t="n">
        <v>77.06</v>
      </c>
      <c r="D7985" s="538" t="n">
        <v>73.25</v>
      </c>
      <c r="E7985" s="538" t="n">
        <v>86.15000000000001</v>
      </c>
    </row>
    <row r="7986">
      <c r="A7986" s="544" t="n">
        <v>40388</v>
      </c>
      <c r="B7986" s="538" t="n">
        <v>78.59999999999999</v>
      </c>
      <c r="C7986" s="538" t="n">
        <v>78.3</v>
      </c>
      <c r="D7986" s="538" t="n">
        <v>74.97</v>
      </c>
      <c r="E7986" s="538" t="n">
        <v>86.5</v>
      </c>
    </row>
    <row r="7987">
      <c r="A7987" s="544" t="n">
        <v>40389</v>
      </c>
      <c r="B7987" s="538" t="n">
        <v>77.5</v>
      </c>
      <c r="C7987" s="538" t="n">
        <v>78.84999999999999</v>
      </c>
      <c r="D7987" s="538" t="n">
        <v>75.42</v>
      </c>
      <c r="E7987" s="538" t="n">
        <v>87.3</v>
      </c>
    </row>
    <row r="7988">
      <c r="A7988" s="544" t="n">
        <v>40392</v>
      </c>
      <c r="B7988" s="538" t="n">
        <v>81.93000000000001</v>
      </c>
      <c r="C7988" s="538" t="n">
        <v>81.25</v>
      </c>
      <c r="D7988" s="538" t="n">
        <v>78.77</v>
      </c>
      <c r="E7988" s="538" t="n">
        <v>89.25</v>
      </c>
    </row>
    <row r="7989">
      <c r="A7989" s="544" t="n">
        <v>40393</v>
      </c>
      <c r="B7989" s="538" t="n">
        <v>83.59999999999999</v>
      </c>
      <c r="C7989" s="538" t="n">
        <v>82.52</v>
      </c>
      <c r="D7989" s="538" t="n">
        <v>79.91</v>
      </c>
      <c r="E7989" s="538" t="n">
        <v>91.25</v>
      </c>
    </row>
    <row r="7990">
      <c r="A7990" s="544" t="n">
        <v>40394</v>
      </c>
      <c r="B7990" s="538" t="n">
        <v>83.76000000000001</v>
      </c>
      <c r="C7990" s="538" t="n">
        <v>82.48999999999999</v>
      </c>
      <c r="D7990" s="538" t="n">
        <v>78.95999999999999</v>
      </c>
      <c r="E7990" s="538" t="n">
        <v>92.5</v>
      </c>
    </row>
    <row r="7991">
      <c r="A7991" s="544" t="n">
        <v>40395</v>
      </c>
      <c r="B7991" s="538" t="n">
        <v>82.90000000000001</v>
      </c>
      <c r="C7991" s="538" t="n">
        <v>82</v>
      </c>
      <c r="D7991" s="538" t="n">
        <v>78.73999999999999</v>
      </c>
      <c r="E7991" s="538" t="n">
        <v>92.8</v>
      </c>
    </row>
    <row r="7992">
      <c r="A7992" s="544" t="n">
        <v>40396</v>
      </c>
      <c r="B7992" s="538" t="n">
        <v>81.28</v>
      </c>
      <c r="C7992" s="538" t="n">
        <v>80.67</v>
      </c>
      <c r="D7992" s="538" t="n">
        <v>77.69</v>
      </c>
      <c r="E7992" s="538" t="n">
        <v>92.34999999999999</v>
      </c>
    </row>
    <row r="7993">
      <c r="A7993" s="544" t="n">
        <v>40399</v>
      </c>
      <c r="B7993" s="538" t="n">
        <v>81.54000000000001</v>
      </c>
      <c r="C7993" s="538" t="n">
        <v>81.45999999999999</v>
      </c>
      <c r="D7993" s="538" t="n">
        <v>78.31999999999999</v>
      </c>
      <c r="E7993" s="538" t="n">
        <v>92.34999999999999</v>
      </c>
    </row>
    <row r="7994">
      <c r="A7994" s="544" t="n">
        <v>40400</v>
      </c>
      <c r="B7994" s="538" t="n">
        <v>79.89</v>
      </c>
      <c r="C7994" s="538" t="n">
        <v>80.23999999999999</v>
      </c>
      <c r="D7994" s="538" t="n">
        <v>77.18000000000001</v>
      </c>
      <c r="E7994" s="538" t="n">
        <v>90.2</v>
      </c>
    </row>
    <row r="7995">
      <c r="A7995" s="544" t="n">
        <v>40401</v>
      </c>
      <c r="B7995" s="538" t="n">
        <v>77.83</v>
      </c>
      <c r="C7995" s="538" t="n">
        <v>78.09</v>
      </c>
      <c r="D7995" s="538" t="n">
        <v>74.03</v>
      </c>
      <c r="E7995" s="538" t="n">
        <v>89.05</v>
      </c>
    </row>
    <row r="7996">
      <c r="A7996" s="544" t="n">
        <v>40402</v>
      </c>
      <c r="B7996" s="538" t="n">
        <v>76.63</v>
      </c>
      <c r="C7996" s="538" t="n">
        <v>75.68000000000001</v>
      </c>
      <c r="D7996" s="538" t="n">
        <v>72.92</v>
      </c>
      <c r="E7996" s="538" t="n">
        <v>87.25</v>
      </c>
    </row>
    <row r="7997">
      <c r="A7997" s="544" t="n">
        <v>40403</v>
      </c>
      <c r="B7997" s="538" t="n">
        <v>75.14</v>
      </c>
      <c r="C7997" s="538" t="n">
        <v>75.39</v>
      </c>
      <c r="D7997" s="538" t="n">
        <v>72.72</v>
      </c>
      <c r="E7997" s="538" t="n">
        <v>85.84999999999999</v>
      </c>
    </row>
    <row r="7998">
      <c r="A7998" s="544" t="n">
        <v>40406</v>
      </c>
      <c r="B7998" s="538" t="n">
        <v>74.56</v>
      </c>
      <c r="C7998" s="538" t="n">
        <v>75.17</v>
      </c>
      <c r="D7998" s="538" t="n">
        <v>72.3</v>
      </c>
      <c r="E7998" s="538" t="n">
        <v>85.45</v>
      </c>
    </row>
    <row r="7999">
      <c r="A7999" s="544" t="n">
        <v>40407</v>
      </c>
      <c r="B7999" s="538" t="n">
        <v>76.73999999999999</v>
      </c>
      <c r="C7999" s="538" t="n">
        <v>75.76000000000001</v>
      </c>
      <c r="D7999" s="538" t="n">
        <v>73.53</v>
      </c>
      <c r="E7999" s="538" t="n">
        <v>85.40000000000001</v>
      </c>
    </row>
    <row r="8000">
      <c r="A8000" s="544" t="n">
        <v>40408</v>
      </c>
      <c r="B8000" s="538" t="n">
        <v>75.09999999999999</v>
      </c>
      <c r="C8000" s="538" t="n">
        <v>75.39</v>
      </c>
      <c r="D8000" s="538" t="n">
        <v>73.56999999999999</v>
      </c>
      <c r="E8000" s="538" t="n">
        <v>85.84999999999999</v>
      </c>
    </row>
    <row r="8001">
      <c r="A8001" s="544" t="n">
        <v>40409</v>
      </c>
      <c r="B8001" s="538" t="n">
        <v>74.84</v>
      </c>
      <c r="C8001" s="538" t="n">
        <v>74.45</v>
      </c>
      <c r="D8001" s="538" t="n">
        <v>72.88</v>
      </c>
      <c r="E8001" s="538" t="n">
        <v>86.55</v>
      </c>
    </row>
    <row r="8002">
      <c r="A8002" s="544" t="n">
        <v>40410</v>
      </c>
      <c r="B8002" s="538" t="n">
        <v>73.48</v>
      </c>
      <c r="C8002" s="538" t="n">
        <v>73.45</v>
      </c>
      <c r="D8002" s="538" t="n">
        <v>71.72</v>
      </c>
      <c r="E8002" s="538" t="n">
        <v>85.59999999999999</v>
      </c>
    </row>
    <row r="8003">
      <c r="A8003" s="544" t="n">
        <v>40413</v>
      </c>
      <c r="B8003" s="538" t="n">
        <v>73.08</v>
      </c>
      <c r="C8003" s="538" t="n">
        <v>72.70999999999999</v>
      </c>
      <c r="D8003" s="538" t="n">
        <v>70.83</v>
      </c>
      <c r="E8003" s="538" t="n">
        <v>84.25</v>
      </c>
    </row>
    <row r="8004">
      <c r="A8004" s="544" t="n">
        <v>40414</v>
      </c>
      <c r="B8004" s="538" t="n">
        <v>70.61</v>
      </c>
      <c r="C8004" s="538" t="n">
        <v>71.23999999999999</v>
      </c>
      <c r="D8004" s="538" t="n">
        <v>69.73</v>
      </c>
      <c r="E8004" s="538" t="n">
        <v>83.09999999999999</v>
      </c>
    </row>
    <row r="8005">
      <c r="A8005" s="544" t="n">
        <v>40415</v>
      </c>
      <c r="B8005" s="538" t="n">
        <v>70.73999999999999</v>
      </c>
      <c r="C8005" s="538" t="n">
        <v>72.06999999999999</v>
      </c>
      <c r="D8005" s="538" t="n">
        <v>71.62</v>
      </c>
      <c r="E8005" s="538" t="n">
        <v>83.45</v>
      </c>
    </row>
    <row r="8006">
      <c r="A8006" s="544" t="n">
        <v>40416</v>
      </c>
      <c r="B8006" s="538" t="n">
        <v>74.5</v>
      </c>
      <c r="C8006" s="538" t="n">
        <v>73.36</v>
      </c>
      <c r="D8006" s="538" t="n">
        <v>72.39</v>
      </c>
      <c r="E8006" s="538" t="n">
        <v>84.25</v>
      </c>
    </row>
    <row r="8007">
      <c r="A8007" s="544" t="n">
        <v>40417</v>
      </c>
      <c r="B8007" s="538" t="n">
        <v>75.16</v>
      </c>
      <c r="C8007" s="538" t="n">
        <v>75.17</v>
      </c>
      <c r="D8007" s="538" t="n">
        <v>74.73999999999999</v>
      </c>
      <c r="E8007" s="538" t="n">
        <v>84.75</v>
      </c>
    </row>
    <row r="8008">
      <c r="A8008" s="544" t="n">
        <v>40420</v>
      </c>
      <c r="B8008" s="538" t="n">
        <v>76.05</v>
      </c>
      <c r="C8008" s="538" t="n">
        <v>74.69</v>
      </c>
      <c r="D8008" s="538" t="n">
        <v>73.73</v>
      </c>
      <c r="E8008" s="538" t="n">
        <v>86.3</v>
      </c>
    </row>
    <row r="8009">
      <c r="A8009" s="544" t="n">
        <v>40421</v>
      </c>
      <c r="B8009" s="538" t="n">
        <v>75.51000000000001</v>
      </c>
      <c r="C8009" s="538" t="n">
        <v>71.93000000000001</v>
      </c>
      <c r="D8009" s="538" t="n">
        <v>72.11</v>
      </c>
      <c r="E8009" s="538" t="n">
        <v>85.55</v>
      </c>
    </row>
    <row r="8010">
      <c r="A8010" s="544" t="n">
        <v>40422</v>
      </c>
      <c r="B8010" s="538" t="n">
        <v>75.53</v>
      </c>
      <c r="C8010" s="538" t="n">
        <v>73.97</v>
      </c>
      <c r="D8010" s="538" t="n">
        <v>74.39</v>
      </c>
      <c r="E8010" s="538" t="n">
        <v>84.95</v>
      </c>
    </row>
    <row r="8011">
      <c r="A8011" s="544" t="n">
        <v>40423</v>
      </c>
      <c r="B8011" s="538" t="n">
        <v>74.93000000000001</v>
      </c>
      <c r="C8011" s="538" t="n">
        <v>74.98999999999999</v>
      </c>
      <c r="D8011" s="538" t="n">
        <v>74.78</v>
      </c>
      <c r="E8011" s="538" t="n">
        <v>86.59999999999999</v>
      </c>
    </row>
    <row r="8012">
      <c r="A8012" s="544" t="n">
        <v>40424</v>
      </c>
      <c r="B8012" s="538" t="n">
        <v>75.03</v>
      </c>
      <c r="C8012" s="538" t="n">
        <v>74.52</v>
      </c>
      <c r="D8012" s="538" t="n">
        <v>74.34999999999999</v>
      </c>
      <c r="E8012" s="538" t="n">
        <v>87.25</v>
      </c>
    </row>
    <row r="8013">
      <c r="A8013" s="544" t="n">
        <v>40427</v>
      </c>
      <c r="B8013" s="538" t="n">
        <v>75.03</v>
      </c>
      <c r="C8013" s="538" t="n">
        <v>74.52</v>
      </c>
      <c r="D8013" s="538" t="n">
        <v>74.51000000000001</v>
      </c>
      <c r="E8013" s="538" t="n">
        <v>86.95</v>
      </c>
    </row>
    <row r="8014">
      <c r="A8014" s="544" t="n">
        <v>40428</v>
      </c>
      <c r="B8014" s="538" t="n">
        <v>75.78</v>
      </c>
      <c r="C8014" s="538" t="n">
        <v>73.98</v>
      </c>
      <c r="D8014" s="538" t="n">
        <v>74.88</v>
      </c>
      <c r="E8014" s="538" t="n">
        <v>86.5</v>
      </c>
    </row>
    <row r="8015">
      <c r="A8015" s="544" t="n">
        <v>40429</v>
      </c>
      <c r="B8015" s="538" t="n">
        <v>77.48</v>
      </c>
      <c r="C8015" s="538" t="n">
        <v>74.65000000000001</v>
      </c>
      <c r="D8015" s="538" t="n">
        <v>75.98999999999999</v>
      </c>
      <c r="E8015" s="538" t="n">
        <v>87.09999999999999</v>
      </c>
    </row>
    <row r="8016">
      <c r="A8016" s="544" t="n">
        <v>40430</v>
      </c>
      <c r="B8016" s="538" t="n">
        <v>77.87</v>
      </c>
      <c r="C8016" s="538" t="n">
        <v>74.25</v>
      </c>
      <c r="D8016" s="538" t="n">
        <v>74.77</v>
      </c>
      <c r="E8016" s="538" t="n">
        <v>88</v>
      </c>
    </row>
    <row r="8017">
      <c r="A8017" s="544" t="n">
        <v>40431</v>
      </c>
      <c r="B8017" s="538" t="n">
        <v>77.54000000000001</v>
      </c>
      <c r="C8017" s="538" t="n">
        <v>76.40000000000001</v>
      </c>
      <c r="D8017" s="538" t="n">
        <v>75.78</v>
      </c>
      <c r="E8017" s="538" t="n">
        <v>88</v>
      </c>
    </row>
    <row r="8018">
      <c r="A8018" s="544" t="n">
        <v>40434</v>
      </c>
      <c r="B8018" s="538" t="n">
        <v>78.52</v>
      </c>
      <c r="C8018" s="538" t="n">
        <v>77.17</v>
      </c>
      <c r="D8018" s="538" t="n">
        <v>76.3</v>
      </c>
      <c r="E8018" s="538" t="n">
        <v>88.09999999999999</v>
      </c>
    </row>
    <row r="8019">
      <c r="A8019" s="544" t="n">
        <v>40435</v>
      </c>
      <c r="B8019" s="538" t="n">
        <v>78.89</v>
      </c>
      <c r="C8019" s="538" t="n">
        <v>76.78</v>
      </c>
      <c r="D8019" s="538" t="n">
        <v>76.26000000000001</v>
      </c>
      <c r="E8019" s="538" t="n">
        <v>88.59999999999999</v>
      </c>
    </row>
    <row r="8020">
      <c r="A8020" s="544" t="n">
        <v>40436</v>
      </c>
      <c r="B8020" s="538" t="n">
        <v>78.45999999999999</v>
      </c>
      <c r="C8020" s="538" t="n">
        <v>75.92</v>
      </c>
      <c r="D8020" s="538" t="n">
        <v>76.41</v>
      </c>
      <c r="E8020" s="538" t="n">
        <v>88.45</v>
      </c>
    </row>
    <row r="8021">
      <c r="A8021" s="544" t="n">
        <v>40437</v>
      </c>
      <c r="B8021" s="538" t="n">
        <v>78.89</v>
      </c>
      <c r="C8021" s="538" t="n">
        <v>74.58</v>
      </c>
      <c r="D8021" s="538" t="n">
        <v>75.86</v>
      </c>
      <c r="E8021" s="538" t="n">
        <v>88.59999999999999</v>
      </c>
    </row>
    <row r="8022">
      <c r="A8022" s="544" t="n">
        <v>40438</v>
      </c>
      <c r="B8022" s="538" t="n">
        <v>77.43000000000001</v>
      </c>
      <c r="C8022" s="538" t="n">
        <v>73.63</v>
      </c>
      <c r="D8022" s="538" t="n">
        <v>75.55</v>
      </c>
      <c r="E8022" s="538" t="n">
        <v>88.40000000000001</v>
      </c>
    </row>
    <row r="8023">
      <c r="A8023" s="544" t="n">
        <v>40441</v>
      </c>
      <c r="B8023" s="538" t="n">
        <v>79.42</v>
      </c>
      <c r="C8023" s="538" t="n">
        <v>74.81</v>
      </c>
      <c r="D8023" s="538" t="n">
        <v>76.65000000000001</v>
      </c>
      <c r="E8023" s="538" t="n">
        <v>87.65000000000001</v>
      </c>
    </row>
    <row r="8024">
      <c r="A8024" s="544" t="n">
        <v>40442</v>
      </c>
      <c r="B8024" s="538" t="n">
        <v>78.76000000000001</v>
      </c>
      <c r="C8024" s="538" t="n">
        <v>72.95999999999999</v>
      </c>
      <c r="D8024" s="538" t="n">
        <v>75.63</v>
      </c>
      <c r="E8024" s="538" t="n">
        <v>88.8</v>
      </c>
    </row>
    <row r="8025">
      <c r="A8025" s="544" t="n">
        <v>40443</v>
      </c>
      <c r="B8025" s="538" t="n">
        <v>77.29000000000001</v>
      </c>
      <c r="C8025" s="538" t="n">
        <v>72.98</v>
      </c>
      <c r="D8025" s="538" t="n">
        <v>75.31</v>
      </c>
      <c r="E8025" s="538" t="n">
        <v>87.90000000000001</v>
      </c>
    </row>
    <row r="8026">
      <c r="A8026" s="544" t="n">
        <v>40444</v>
      </c>
      <c r="B8026" s="538" t="n">
        <v>77.69</v>
      </c>
      <c r="C8026" s="538" t="n">
        <v>73.40000000000001</v>
      </c>
      <c r="D8026" s="538" t="n">
        <v>75.2</v>
      </c>
      <c r="E8026" s="538" t="n">
        <v>87.3</v>
      </c>
    </row>
    <row r="8027">
      <c r="A8027" s="544" t="n">
        <v>40445</v>
      </c>
      <c r="B8027" s="538" t="n">
        <v>78.73</v>
      </c>
      <c r="C8027" s="538" t="n">
        <v>74.63</v>
      </c>
      <c r="D8027" s="538" t="n">
        <v>76.26000000000001</v>
      </c>
      <c r="E8027" s="538" t="n">
        <v>88.22</v>
      </c>
    </row>
    <row r="8028">
      <c r="A8028" s="544" t="n">
        <v>40448</v>
      </c>
      <c r="B8028" s="538" t="n">
        <v>77.70999999999999</v>
      </c>
      <c r="C8028" s="538" t="n">
        <v>76.51000000000001</v>
      </c>
      <c r="D8028" s="538" t="n">
        <v>75.23999999999999</v>
      </c>
      <c r="E8028" s="538" t="n">
        <v>88.5</v>
      </c>
    </row>
    <row r="8029">
      <c r="A8029" s="544" t="n">
        <v>40449</v>
      </c>
      <c r="B8029" s="538" t="n">
        <v>79.14</v>
      </c>
      <c r="C8029" s="538" t="n">
        <v>76.15000000000001</v>
      </c>
      <c r="D8029" s="538" t="n">
        <v>75.58</v>
      </c>
      <c r="E8029" s="538" t="n">
        <v>87.5</v>
      </c>
    </row>
    <row r="8030">
      <c r="A8030" s="544" t="n">
        <v>40450</v>
      </c>
      <c r="B8030" s="538" t="n">
        <v>78.79000000000001</v>
      </c>
      <c r="C8030" s="538" t="n">
        <v>77.84999999999999</v>
      </c>
      <c r="D8030" s="538" t="n">
        <v>77.69</v>
      </c>
      <c r="E8030" s="538" t="n">
        <v>88.5</v>
      </c>
    </row>
    <row r="8031">
      <c r="A8031" s="544" t="n">
        <v>40451</v>
      </c>
      <c r="B8031" s="538" t="n">
        <v>80.77</v>
      </c>
      <c r="C8031" s="538" t="n">
        <v>79.95</v>
      </c>
      <c r="D8031" s="538" t="n">
        <v>78.87</v>
      </c>
      <c r="E8031" s="538" t="n">
        <v>90.5</v>
      </c>
    </row>
    <row r="8032">
      <c r="A8032" s="544" t="n">
        <v>40452</v>
      </c>
      <c r="B8032" s="538" t="n">
        <v>82.69</v>
      </c>
      <c r="C8032" s="538" t="n">
        <v>81.56999999999999</v>
      </c>
      <c r="D8032" s="538" t="n">
        <v>80.15000000000001</v>
      </c>
      <c r="E8032" s="538" t="n">
        <v>92.8</v>
      </c>
    </row>
    <row r="8033">
      <c r="A8033" s="544" t="n">
        <v>40455</v>
      </c>
      <c r="B8033" s="538" t="n">
        <v>83.42</v>
      </c>
      <c r="C8033" s="538" t="n">
        <v>81.43000000000001</v>
      </c>
      <c r="D8033" s="538" t="n">
        <v>79.39</v>
      </c>
      <c r="E8033" s="538" t="n">
        <v>93.34999999999999</v>
      </c>
    </row>
    <row r="8034">
      <c r="A8034" s="544" t="n">
        <v>40456</v>
      </c>
      <c r="B8034" s="538" t="n">
        <v>83.34999999999999</v>
      </c>
      <c r="C8034" s="538" t="n">
        <v>82.83</v>
      </c>
      <c r="D8034" s="538" t="n">
        <v>80.76000000000001</v>
      </c>
      <c r="E8034" s="538" t="n">
        <v>93.65000000000001</v>
      </c>
    </row>
    <row r="8035">
      <c r="A8035" s="544" t="n">
        <v>40457</v>
      </c>
      <c r="B8035" s="538" t="n">
        <v>85.01000000000001</v>
      </c>
      <c r="C8035" s="538" t="n">
        <v>83.20999999999999</v>
      </c>
      <c r="D8035" s="538" t="n">
        <v>81.37</v>
      </c>
      <c r="E8035" s="538" t="n">
        <v>94.95</v>
      </c>
    </row>
    <row r="8036">
      <c r="A8036" s="544" t="n">
        <v>40458</v>
      </c>
      <c r="B8036" s="538" t="n">
        <v>83.67</v>
      </c>
      <c r="C8036" s="538" t="n">
        <v>81.34</v>
      </c>
      <c r="D8036" s="538" t="n">
        <v>79.26000000000001</v>
      </c>
      <c r="E8036" s="538" t="n">
        <v>95.84999999999999</v>
      </c>
    </row>
    <row r="8037">
      <c r="A8037" s="544" t="n">
        <v>40459</v>
      </c>
      <c r="B8037" s="538" t="n">
        <v>83.88</v>
      </c>
      <c r="C8037" s="538" t="n">
        <v>82.66</v>
      </c>
      <c r="D8037" s="538" t="n">
        <v>80.52</v>
      </c>
      <c r="E8037" s="538" t="n">
        <v>93.2</v>
      </c>
    </row>
    <row r="8038">
      <c r="A8038" s="544" t="n">
        <v>40462</v>
      </c>
      <c r="B8038" s="538" t="n">
        <v>83.08</v>
      </c>
      <c r="C8038" s="538" t="n">
        <v>82.18000000000001</v>
      </c>
      <c r="D8038" s="538" t="n">
        <v>79.62</v>
      </c>
      <c r="E8038" s="538" t="n">
        <v>94.75</v>
      </c>
    </row>
    <row r="8039">
      <c r="A8039" s="544" t="n">
        <v>40463</v>
      </c>
      <c r="B8039" s="538" t="n">
        <v>82.98999999999999</v>
      </c>
      <c r="C8039" s="538" t="n">
        <v>81.67</v>
      </c>
      <c r="D8039" s="538" t="n">
        <v>79.81</v>
      </c>
      <c r="E8039" s="538" t="n">
        <v>94.15000000000001</v>
      </c>
    </row>
    <row r="8040">
      <c r="A8040" s="544" t="n">
        <v>40464</v>
      </c>
      <c r="B8040" s="538" t="n">
        <v>84.01000000000001</v>
      </c>
      <c r="C8040" s="538" t="n">
        <v>83.03</v>
      </c>
      <c r="D8040" s="538" t="n">
        <v>81.27</v>
      </c>
      <c r="E8040" s="538" t="n">
        <v>95.40000000000001</v>
      </c>
    </row>
    <row r="8041">
      <c r="A8041" s="544" t="n">
        <v>40465</v>
      </c>
      <c r="B8041" s="538" t="n">
        <v>83.55</v>
      </c>
      <c r="C8041" s="538" t="n">
        <v>82.70999999999999</v>
      </c>
      <c r="D8041" s="538" t="n">
        <v>80.40000000000001</v>
      </c>
      <c r="E8041" s="538" t="n">
        <v>96.59999999999999</v>
      </c>
    </row>
    <row r="8042">
      <c r="A8042" s="544" t="n">
        <v>40466</v>
      </c>
      <c r="B8042" s="538" t="n">
        <v>81.94</v>
      </c>
      <c r="C8042" s="538" t="n">
        <v>81.23</v>
      </c>
      <c r="D8042" s="538" t="n">
        <v>79.45</v>
      </c>
      <c r="E8042" s="538" t="n">
        <v>95.84999999999999</v>
      </c>
    </row>
    <row r="8043">
      <c r="A8043" s="544" t="n">
        <v>40469</v>
      </c>
      <c r="B8043" s="538" t="n">
        <v>82.3</v>
      </c>
      <c r="C8043" s="538" t="n">
        <v>83.06</v>
      </c>
      <c r="D8043" s="538" t="n">
        <v>81.29000000000001</v>
      </c>
      <c r="E8043" s="538" t="n">
        <v>93</v>
      </c>
    </row>
    <row r="8044">
      <c r="A8044" s="544" t="n">
        <v>40470</v>
      </c>
      <c r="B8044" s="538" t="n">
        <v>81.12</v>
      </c>
      <c r="C8044" s="538" t="n">
        <v>79.56999999999999</v>
      </c>
      <c r="D8044" s="538" t="n">
        <v>77.93000000000001</v>
      </c>
      <c r="E8044" s="538" t="n">
        <v>95.09999999999999</v>
      </c>
    </row>
    <row r="8045">
      <c r="A8045" s="544" t="n">
        <v>40471</v>
      </c>
      <c r="B8045" s="538" t="n">
        <v>81.68000000000001</v>
      </c>
      <c r="C8045" s="538" t="n">
        <v>81.93000000000001</v>
      </c>
      <c r="D8045" s="538" t="n">
        <v>80.51000000000001</v>
      </c>
      <c r="E8045" s="538" t="n">
        <v>93.34999999999999</v>
      </c>
    </row>
    <row r="8046">
      <c r="A8046" s="544" t="n">
        <v>40472</v>
      </c>
      <c r="B8046" s="538" t="n">
        <v>81.28</v>
      </c>
      <c r="C8046" s="538" t="n">
        <v>80.03</v>
      </c>
      <c r="D8046" s="538" t="n">
        <v>79.61</v>
      </c>
      <c r="E8046" s="538" t="n">
        <v>94.55</v>
      </c>
    </row>
    <row r="8047">
      <c r="A8047" s="544" t="n">
        <v>40473</v>
      </c>
      <c r="B8047" s="538" t="n">
        <v>80.75</v>
      </c>
      <c r="C8047" s="538" t="n">
        <v>81.15000000000001</v>
      </c>
      <c r="D8047" s="538" t="n">
        <v>80.84999999999999</v>
      </c>
      <c r="E8047" s="538" t="n">
        <v>93.25</v>
      </c>
    </row>
    <row r="8048">
      <c r="A8048" s="544" t="n">
        <v>40476</v>
      </c>
      <c r="B8048" s="538" t="n">
        <v>81.91</v>
      </c>
      <c r="C8048" s="538" t="n">
        <v>82</v>
      </c>
      <c r="D8048" s="538" t="n">
        <v>80.95999999999999</v>
      </c>
      <c r="E8048" s="538" t="n">
        <v>95.5</v>
      </c>
    </row>
    <row r="8049">
      <c r="A8049" s="544" t="n">
        <v>40477</v>
      </c>
      <c r="B8049" s="538" t="n">
        <v>82.62</v>
      </c>
      <c r="C8049" s="538" t="n">
        <v>82.59999999999999</v>
      </c>
      <c r="D8049" s="538" t="n">
        <v>81.11</v>
      </c>
      <c r="E8049" s="538" t="n">
        <v>94.05</v>
      </c>
    </row>
    <row r="8050">
      <c r="A8050" s="544" t="n">
        <v>40478</v>
      </c>
      <c r="B8050" s="538" t="n">
        <v>81.27</v>
      </c>
      <c r="C8050" s="538" t="n">
        <v>81.90000000000001</v>
      </c>
      <c r="D8050" s="538" t="n">
        <v>80.89</v>
      </c>
      <c r="E8050" s="538" t="n">
        <v>93.55</v>
      </c>
    </row>
    <row r="8051">
      <c r="A8051" s="544" t="n">
        <v>40479</v>
      </c>
      <c r="B8051" s="538" t="n">
        <v>82.97</v>
      </c>
      <c r="C8051" s="538" t="n">
        <v>82.2</v>
      </c>
      <c r="D8051" s="538" t="n">
        <v>81.09999999999999</v>
      </c>
      <c r="E8051" s="538" t="n">
        <v>94.09999999999999</v>
      </c>
    </row>
    <row r="8052">
      <c r="A8052" s="544" t="n">
        <v>40480</v>
      </c>
      <c r="B8052" s="538" t="n">
        <v>82.47</v>
      </c>
      <c r="C8052" s="538" t="n">
        <v>81.45</v>
      </c>
      <c r="D8052" s="538" t="n">
        <v>80.7</v>
      </c>
      <c r="E8052" s="538" t="n">
        <v>93.65000000000001</v>
      </c>
    </row>
    <row r="8053">
      <c r="A8053" s="544" t="n">
        <v>40483</v>
      </c>
      <c r="B8053" s="538" t="n">
        <v>84.06</v>
      </c>
      <c r="C8053" s="538" t="n">
        <v>82.94</v>
      </c>
      <c r="D8053" s="538" t="n">
        <v>81.91</v>
      </c>
      <c r="E8053" s="538" t="n">
        <v>93.95</v>
      </c>
    </row>
    <row r="8054">
      <c r="A8054" s="544" t="n">
        <v>40484</v>
      </c>
      <c r="B8054" s="538" t="n">
        <v>84.70999999999999</v>
      </c>
      <c r="C8054" s="538" t="n">
        <v>83.91</v>
      </c>
      <c r="D8054" s="538" t="n">
        <v>82.94</v>
      </c>
      <c r="E8054" s="538" t="n">
        <v>95.7</v>
      </c>
    </row>
    <row r="8055">
      <c r="A8055" s="544" t="n">
        <v>40485</v>
      </c>
      <c r="B8055" s="538" t="n">
        <v>85.33</v>
      </c>
      <c r="C8055" s="538" t="n">
        <v>84.45</v>
      </c>
      <c r="D8055" s="538" t="n">
        <v>83.8</v>
      </c>
      <c r="E8055" s="538" t="n">
        <v>95.90000000000001</v>
      </c>
    </row>
    <row r="8056">
      <c r="A8056" s="544" t="n">
        <v>40486</v>
      </c>
      <c r="B8056" s="538" t="n">
        <v>86.83</v>
      </c>
      <c r="C8056" s="538" t="n">
        <v>86.48999999999999</v>
      </c>
      <c r="D8056" s="538" t="n">
        <v>85.53</v>
      </c>
      <c r="E8056" s="538" t="n">
        <v>97.90000000000001</v>
      </c>
    </row>
    <row r="8057">
      <c r="A8057" s="544" t="n">
        <v>40487</v>
      </c>
      <c r="B8057" s="538" t="n">
        <v>87.05</v>
      </c>
      <c r="C8057" s="538" t="n">
        <v>86.84999999999999</v>
      </c>
      <c r="D8057" s="538" t="n">
        <v>85.89</v>
      </c>
      <c r="E8057" s="538" t="n">
        <v>97.90000000000001</v>
      </c>
    </row>
    <row r="8058">
      <c r="A8058" s="544" t="n">
        <v>40490</v>
      </c>
      <c r="B8058" s="538" t="n">
        <v>87.15000000000001</v>
      </c>
      <c r="C8058" s="538" t="n">
        <v>87.06999999999999</v>
      </c>
      <c r="D8058" s="538" t="n">
        <v>85.28</v>
      </c>
      <c r="E8058" s="538" t="n">
        <v>92.2</v>
      </c>
    </row>
    <row r="8059">
      <c r="A8059" s="544" t="n">
        <v>40491</v>
      </c>
      <c r="B8059" s="538" t="n">
        <v>87.93000000000001</v>
      </c>
      <c r="C8059" s="538" t="n">
        <v>87.04000000000001</v>
      </c>
      <c r="D8059" s="538" t="n">
        <v>85.17</v>
      </c>
      <c r="E8059" s="538" t="n">
        <v>99.90000000000001</v>
      </c>
    </row>
    <row r="8060">
      <c r="A8060" s="544" t="n">
        <v>40492</v>
      </c>
      <c r="B8060" s="538" t="n">
        <v>87.92</v>
      </c>
      <c r="C8060" s="538" t="n">
        <v>87.77</v>
      </c>
      <c r="D8060" s="538" t="n">
        <v>86.15000000000001</v>
      </c>
      <c r="E8060" s="538" t="n">
        <v>101</v>
      </c>
    </row>
    <row r="8061">
      <c r="A8061" s="544" t="n">
        <v>40493</v>
      </c>
      <c r="B8061" s="538" t="n">
        <v>88.08</v>
      </c>
      <c r="C8061" s="538" t="n">
        <v>87.77</v>
      </c>
      <c r="D8061" s="538" t="n">
        <v>85.83</v>
      </c>
      <c r="E8061" s="538" t="n">
        <v>101.9</v>
      </c>
    </row>
    <row r="8062">
      <c r="A8062" s="544" t="n">
        <v>40494</v>
      </c>
      <c r="B8062" s="538" t="n">
        <v>86.06999999999999</v>
      </c>
      <c r="C8062" s="538" t="n">
        <v>84.89</v>
      </c>
      <c r="D8062" s="538" t="n">
        <v>83.31999999999999</v>
      </c>
      <c r="E8062" s="538" t="n">
        <v>100.15</v>
      </c>
    </row>
    <row r="8063">
      <c r="A8063" s="544" t="n">
        <v>40497</v>
      </c>
      <c r="B8063" s="538" t="n">
        <v>85.48999999999999</v>
      </c>
      <c r="C8063" s="538" t="n">
        <v>84.88</v>
      </c>
      <c r="D8063" s="538" t="n">
        <v>83.67</v>
      </c>
      <c r="E8063" s="538" t="n">
        <v>99.34999999999999</v>
      </c>
    </row>
    <row r="8064">
      <c r="A8064" s="544" t="n">
        <v>40498</v>
      </c>
      <c r="B8064" s="538" t="n">
        <v>83.98</v>
      </c>
      <c r="C8064" s="538" t="n">
        <v>82.33</v>
      </c>
      <c r="D8064" s="538" t="n">
        <v>82.14</v>
      </c>
      <c r="E8064" s="538" t="n">
        <v>98.05</v>
      </c>
    </row>
    <row r="8065">
      <c r="A8065" s="544" t="n">
        <v>40499</v>
      </c>
      <c r="B8065" s="538" t="n">
        <v>83.36</v>
      </c>
      <c r="C8065" s="538" t="n">
        <v>80.43000000000001</v>
      </c>
      <c r="D8065" s="538" t="n">
        <v>80.61</v>
      </c>
      <c r="E8065" s="538" t="n">
        <v>98.05</v>
      </c>
    </row>
    <row r="8066">
      <c r="A8066" s="544" t="n">
        <v>40500</v>
      </c>
      <c r="B8066" s="538" t="n">
        <v>83.7</v>
      </c>
      <c r="C8066" s="538" t="n">
        <v>81.88</v>
      </c>
      <c r="D8066" s="538" t="n">
        <v>82.81999999999999</v>
      </c>
      <c r="E8066" s="538" t="n">
        <v>95.95</v>
      </c>
    </row>
    <row r="8067">
      <c r="A8067" s="544" t="n">
        <v>40501</v>
      </c>
      <c r="B8067" s="538" t="n">
        <v>83.17</v>
      </c>
      <c r="C8067" s="538" t="n">
        <v>81.65000000000001</v>
      </c>
      <c r="D8067" s="538" t="n">
        <v>81.36</v>
      </c>
      <c r="E8067" s="538" t="n">
        <v>96.84999999999999</v>
      </c>
    </row>
    <row r="8068">
      <c r="A8068" s="544" t="n">
        <v>40504</v>
      </c>
      <c r="B8068" s="538" t="n">
        <v>82.34</v>
      </c>
      <c r="C8068" s="538" t="n">
        <v>81.23999999999999</v>
      </c>
      <c r="D8068" s="538" t="n">
        <v>81.06999999999999</v>
      </c>
      <c r="E8068" s="538" t="n">
        <v>96.45</v>
      </c>
    </row>
    <row r="8069">
      <c r="A8069" s="544" t="n">
        <v>40505</v>
      </c>
      <c r="B8069" s="538" t="n">
        <v>82.37</v>
      </c>
      <c r="C8069" s="538" t="n">
        <v>80.79000000000001</v>
      </c>
      <c r="D8069" s="538" t="n">
        <v>80.28</v>
      </c>
      <c r="E8069" s="538" t="n">
        <v>94.34999999999999</v>
      </c>
    </row>
    <row r="8070">
      <c r="A8070" s="544" t="n">
        <v>40506</v>
      </c>
      <c r="B8070" s="538" t="n">
        <v>84.53</v>
      </c>
      <c r="C8070" s="538" t="n">
        <v>83.20999999999999</v>
      </c>
      <c r="D8070" s="538" t="n">
        <v>83.68000000000001</v>
      </c>
      <c r="E8070" s="538" t="n">
        <v>95.75</v>
      </c>
    </row>
    <row r="8071">
      <c r="A8071" s="544" t="n">
        <v>40507</v>
      </c>
      <c r="B8071" s="538" t="n">
        <v>84.53</v>
      </c>
      <c r="C8071" s="538" t="n">
        <v>83.20999999999999</v>
      </c>
      <c r="D8071" s="538" t="n">
        <v>83.41</v>
      </c>
      <c r="E8071" s="538" t="n">
        <v>97.84999999999999</v>
      </c>
    </row>
    <row r="8072">
      <c r="A8072" s="544" t="n">
        <v>40508</v>
      </c>
      <c r="B8072" s="538" t="n">
        <v>84.78</v>
      </c>
      <c r="C8072" s="538" t="n">
        <v>83.87</v>
      </c>
      <c r="D8072" s="538" t="n">
        <v>83.12</v>
      </c>
      <c r="E8072" s="538" t="n">
        <v>97.95</v>
      </c>
    </row>
    <row r="8073">
      <c r="A8073" s="544" t="n">
        <v>40511</v>
      </c>
      <c r="B8073" s="538" t="n">
        <v>85.90000000000001</v>
      </c>
      <c r="C8073" s="538" t="n">
        <v>85.73</v>
      </c>
      <c r="D8073" s="538" t="n">
        <v>85.04000000000001</v>
      </c>
      <c r="E8073" s="538" t="n">
        <v>98.55</v>
      </c>
    </row>
    <row r="8074">
      <c r="A8074" s="544" t="n">
        <v>40512</v>
      </c>
      <c r="B8074" s="538" t="n">
        <v>86.02</v>
      </c>
      <c r="C8074" s="538" t="n">
        <v>84.12</v>
      </c>
      <c r="D8074" s="538" t="n">
        <v>85.04000000000001</v>
      </c>
      <c r="E8074" s="538" t="n">
        <v>99.2</v>
      </c>
    </row>
    <row r="8075">
      <c r="A8075" s="544" t="n">
        <v>40513</v>
      </c>
      <c r="B8075" s="538" t="n">
        <v>88.56</v>
      </c>
      <c r="C8075" s="538" t="n">
        <v>86.75</v>
      </c>
      <c r="D8075" s="538" t="n">
        <v>85.04000000000001</v>
      </c>
      <c r="E8075" s="538" t="n">
        <v>98.25</v>
      </c>
    </row>
    <row r="8076">
      <c r="A8076" s="544" t="n">
        <v>40514</v>
      </c>
      <c r="B8076" s="538" t="n">
        <v>89.37</v>
      </c>
      <c r="C8076" s="538" t="n">
        <v>87.98</v>
      </c>
      <c r="D8076" s="538" t="n">
        <v>85.04000000000001</v>
      </c>
      <c r="E8076" s="538" t="n">
        <v>100.55</v>
      </c>
    </row>
    <row r="8077">
      <c r="A8077" s="544" t="n">
        <v>40515</v>
      </c>
      <c r="B8077" s="538" t="n">
        <v>90.65000000000001</v>
      </c>
      <c r="C8077" s="538" t="n">
        <v>89.18000000000001</v>
      </c>
      <c r="D8077" s="538" t="n">
        <v>88.19</v>
      </c>
      <c r="E8077" s="538" t="n">
        <v>102.1</v>
      </c>
    </row>
    <row r="8078">
      <c r="A8078" s="544" t="n">
        <v>40518</v>
      </c>
      <c r="B8078" s="538" t="n">
        <v>91.25</v>
      </c>
      <c r="C8078" s="538" t="n">
        <v>89.33</v>
      </c>
      <c r="D8078" s="538" t="n">
        <v>88.19</v>
      </c>
      <c r="E8078" s="538" t="n">
        <v>104.4</v>
      </c>
    </row>
    <row r="8079">
      <c r="A8079" s="544" t="n">
        <v>40519</v>
      </c>
      <c r="B8079" s="538" t="n">
        <v>90.78</v>
      </c>
      <c r="C8079" s="538" t="n">
        <v>88.69</v>
      </c>
      <c r="D8079" s="538" t="n">
        <v>88.19</v>
      </c>
      <c r="E8079" s="538" t="n">
        <v>103.5</v>
      </c>
    </row>
    <row r="8080">
      <c r="A8080" s="544" t="n">
        <v>40520</v>
      </c>
      <c r="B8080" s="538" t="n">
        <v>89.73999999999999</v>
      </c>
      <c r="C8080" s="538" t="n">
        <v>88.3</v>
      </c>
      <c r="D8080" s="538" t="n">
        <v>88.19</v>
      </c>
      <c r="E8080" s="538" t="n">
        <v>102.8</v>
      </c>
    </row>
    <row r="8081">
      <c r="A8081" s="544" t="n">
        <v>40521</v>
      </c>
      <c r="B8081" s="538" t="n">
        <v>89.93000000000001</v>
      </c>
      <c r="C8081" s="538" t="n">
        <v>88.34999999999999</v>
      </c>
      <c r="D8081" s="538" t="n">
        <v>88.19</v>
      </c>
      <c r="E8081" s="538" t="n">
        <v>103.6</v>
      </c>
    </row>
    <row r="8082">
      <c r="A8082" s="544" t="n">
        <v>40522</v>
      </c>
      <c r="B8082" s="538" t="n">
        <v>89.54000000000001</v>
      </c>
      <c r="C8082" s="538" t="n">
        <v>87.81</v>
      </c>
      <c r="D8082" s="538" t="n">
        <v>87.75</v>
      </c>
      <c r="E8082" s="538" t="n">
        <v>103.25</v>
      </c>
    </row>
    <row r="8083">
      <c r="A8083" s="544" t="n">
        <v>40525</v>
      </c>
      <c r="B8083" s="538" t="n">
        <v>90.40000000000001</v>
      </c>
      <c r="C8083" s="538" t="n">
        <v>88.62</v>
      </c>
      <c r="D8083" s="538" t="n">
        <v>88.18000000000001</v>
      </c>
      <c r="E8083" s="538" t="n">
        <v>102.15</v>
      </c>
    </row>
    <row r="8084">
      <c r="A8084" s="544" t="n">
        <v>40526</v>
      </c>
      <c r="B8084" s="538" t="n">
        <v>90.63</v>
      </c>
      <c r="C8084" s="538" t="n">
        <v>88.33</v>
      </c>
      <c r="D8084" s="538" t="n">
        <v>88.29000000000001</v>
      </c>
      <c r="E8084" s="538" t="n">
        <v>105.2</v>
      </c>
    </row>
    <row r="8085">
      <c r="A8085" s="544" t="n">
        <v>40527</v>
      </c>
      <c r="B8085" s="538" t="n">
        <v>91.33</v>
      </c>
      <c r="C8085" s="538" t="n">
        <v>88.66</v>
      </c>
      <c r="D8085" s="538" t="n">
        <v>89.41</v>
      </c>
      <c r="E8085" s="538" t="n">
        <v>102.15</v>
      </c>
    </row>
    <row r="8086">
      <c r="A8086" s="544" t="n">
        <v>40528</v>
      </c>
      <c r="B8086" s="538" t="n">
        <v>91.09</v>
      </c>
      <c r="C8086" s="538" t="n">
        <v>87.70999999999999</v>
      </c>
      <c r="D8086" s="538" t="n">
        <v>88.75</v>
      </c>
      <c r="E8086" s="538" t="n">
        <v>103.15</v>
      </c>
    </row>
    <row r="8087">
      <c r="A8087" s="544" t="n">
        <v>40529</v>
      </c>
      <c r="B8087" s="538" t="n">
        <v>91.11</v>
      </c>
      <c r="C8087" s="538" t="n">
        <v>88.02</v>
      </c>
      <c r="D8087" s="538" t="n">
        <v>89.05</v>
      </c>
      <c r="E8087" s="538" t="n">
        <v>103.45</v>
      </c>
    </row>
    <row r="8088">
      <c r="A8088" s="544" t="n">
        <v>40532</v>
      </c>
      <c r="B8088" s="538" t="n">
        <v>91.31</v>
      </c>
      <c r="C8088" s="538" t="n">
        <v>88.68000000000001</v>
      </c>
      <c r="D8088" s="538" t="n">
        <v>90.15000000000001</v>
      </c>
      <c r="E8088" s="538" t="n">
        <v>103.3</v>
      </c>
    </row>
    <row r="8089">
      <c r="A8089" s="544" t="n">
        <v>40533</v>
      </c>
      <c r="B8089" s="538" t="n">
        <v>93.11</v>
      </c>
      <c r="C8089" s="538" t="n">
        <v>89.3</v>
      </c>
      <c r="D8089" s="538" t="n">
        <v>90.75</v>
      </c>
      <c r="E8089" s="538" t="n">
        <v>103.9</v>
      </c>
    </row>
    <row r="8090">
      <c r="A8090" s="544" t="n">
        <v>40534</v>
      </c>
      <c r="B8090" s="538" t="n">
        <v>93.55</v>
      </c>
      <c r="C8090" s="538" t="n">
        <v>89.83</v>
      </c>
      <c r="D8090" s="538" t="n">
        <v>90.78</v>
      </c>
      <c r="E8090" s="538" t="n">
        <v>105.35</v>
      </c>
    </row>
    <row r="8091">
      <c r="A8091" s="544" t="n">
        <v>40535</v>
      </c>
      <c r="B8091" s="538" t="n">
        <v>93.63</v>
      </c>
      <c r="C8091" s="538" t="n">
        <v>90.84</v>
      </c>
      <c r="D8091" s="538" t="n">
        <v>91.09</v>
      </c>
      <c r="E8091" s="538" t="n">
        <v>105.4</v>
      </c>
    </row>
    <row r="8092">
      <c r="A8092" s="544" t="n">
        <v>40536</v>
      </c>
      <c r="B8092" s="538" t="n">
        <v>93.63</v>
      </c>
      <c r="C8092" s="538" t="n">
        <v>90.84</v>
      </c>
      <c r="D8092" s="538" t="n">
        <v>90.25</v>
      </c>
      <c r="E8092" s="538" t="n">
        <v>106.25</v>
      </c>
    </row>
    <row r="8093">
      <c r="A8093" s="544" t="n">
        <v>40539</v>
      </c>
      <c r="B8093" s="538" t="n">
        <v>93.08</v>
      </c>
      <c r="C8093" s="538" t="n">
        <v>90.98999999999999</v>
      </c>
      <c r="D8093" s="538" t="n">
        <v>90.25</v>
      </c>
      <c r="E8093" s="538" t="n">
        <v>106.25</v>
      </c>
    </row>
    <row r="8094">
      <c r="A8094" s="544" t="n">
        <v>40540</v>
      </c>
      <c r="B8094" s="538" t="n">
        <v>93.52</v>
      </c>
      <c r="C8094" s="538" t="n">
        <v>91.48</v>
      </c>
      <c r="D8094" s="538" t="n">
        <v>90.25</v>
      </c>
      <c r="E8094" s="538" t="n">
        <v>105.45</v>
      </c>
    </row>
    <row r="8095">
      <c r="A8095" s="544" t="n">
        <v>40541</v>
      </c>
      <c r="B8095" s="538" t="n">
        <v>93.52</v>
      </c>
      <c r="C8095" s="538" t="n">
        <v>91.13</v>
      </c>
      <c r="D8095" s="538" t="n">
        <v>90.70999999999999</v>
      </c>
      <c r="E8095" s="538" t="n">
        <v>105.65</v>
      </c>
    </row>
    <row r="8096">
      <c r="A8096" s="544" t="n">
        <v>40542</v>
      </c>
      <c r="B8096" s="538" t="n">
        <v>92.5</v>
      </c>
      <c r="C8096" s="538" t="n">
        <v>89.84999999999999</v>
      </c>
      <c r="D8096" s="538" t="n">
        <v>89.59</v>
      </c>
      <c r="E8096" s="538" t="n">
        <v>105.6</v>
      </c>
    </row>
    <row r="8097">
      <c r="A8097" s="544" t="n">
        <v>40543</v>
      </c>
      <c r="B8097" s="538" t="n">
        <v>93.23</v>
      </c>
      <c r="C8097" s="538" t="n">
        <v>91.38</v>
      </c>
      <c r="D8097" s="538" t="n">
        <v>91.28</v>
      </c>
      <c r="E8097" s="538" t="n">
        <v>105.6</v>
      </c>
    </row>
    <row r="8098">
      <c r="A8098" s="544" t="n">
        <v>40546</v>
      </c>
      <c r="B8098" s="538" t="n">
        <v>95.81999999999999</v>
      </c>
      <c r="C8098" s="538" t="n">
        <v>91.59</v>
      </c>
      <c r="D8098" s="538" t="n">
        <v>91.55</v>
      </c>
      <c r="E8098" s="538" t="n">
        <v>104.3</v>
      </c>
    </row>
    <row r="8099">
      <c r="A8099" s="544" t="n">
        <v>40547</v>
      </c>
      <c r="B8099" s="538" t="n">
        <v>93.52</v>
      </c>
      <c r="C8099" s="538" t="n">
        <v>89.39</v>
      </c>
      <c r="D8099" s="538" t="n">
        <v>90</v>
      </c>
      <c r="E8099" s="538" t="n">
        <v>106.9</v>
      </c>
    </row>
    <row r="8100">
      <c r="A8100" s="544" t="n">
        <v>40548</v>
      </c>
      <c r="B8100" s="538" t="n">
        <v>95.06999999999999</v>
      </c>
      <c r="C8100" s="538" t="n">
        <v>90.3</v>
      </c>
      <c r="D8100" s="538" t="n">
        <v>92.15000000000001</v>
      </c>
      <c r="E8100" s="538" t="n">
        <v>104.8</v>
      </c>
    </row>
    <row r="8101">
      <c r="A8101" s="544" t="n">
        <v>40549</v>
      </c>
      <c r="B8101" s="538" t="n">
        <v>94.95</v>
      </c>
      <c r="C8101" s="538" t="n">
        <v>88.37</v>
      </c>
      <c r="D8101" s="538" t="n">
        <v>90.59999999999999</v>
      </c>
      <c r="E8101" s="538" t="n">
        <v>107.3</v>
      </c>
    </row>
    <row r="8102">
      <c r="A8102" s="544" t="n">
        <v>40550</v>
      </c>
      <c r="B8102" s="538" t="n">
        <v>94.25</v>
      </c>
      <c r="C8102" s="538" t="n">
        <v>88.06999999999999</v>
      </c>
      <c r="D8102" s="538" t="n">
        <v>89.94</v>
      </c>
      <c r="E8102" s="538" t="n">
        <v>106</v>
      </c>
    </row>
    <row r="8103">
      <c r="A8103" s="544" t="n">
        <v>40553</v>
      </c>
      <c r="B8103" s="538" t="n">
        <v>95.05</v>
      </c>
      <c r="C8103" s="538" t="n">
        <v>89.23999999999999</v>
      </c>
      <c r="D8103" s="538" t="n">
        <v>92.27</v>
      </c>
      <c r="E8103" s="538" t="n">
        <v>106</v>
      </c>
    </row>
    <row r="8104">
      <c r="A8104" s="544" t="n">
        <v>40554</v>
      </c>
      <c r="B8104" s="538" t="n">
        <v>96.8</v>
      </c>
      <c r="C8104" s="538" t="n">
        <v>91.11</v>
      </c>
      <c r="D8104" s="538" t="n">
        <v>93.90000000000001</v>
      </c>
      <c r="E8104" s="538" t="n">
        <v>108.2</v>
      </c>
    </row>
    <row r="8105">
      <c r="A8105" s="544" t="n">
        <v>40555</v>
      </c>
      <c r="B8105" s="538" t="n">
        <v>97.86</v>
      </c>
      <c r="C8105" s="538" t="n">
        <v>91.84999999999999</v>
      </c>
      <c r="D8105" s="538" t="n">
        <v>94.09999999999999</v>
      </c>
      <c r="E8105" s="538" t="n">
        <v>110.65</v>
      </c>
    </row>
    <row r="8106">
      <c r="A8106" s="544" t="n">
        <v>40556</v>
      </c>
      <c r="B8106" s="538" t="n">
        <v>97.86</v>
      </c>
      <c r="C8106" s="538" t="n">
        <v>91.39</v>
      </c>
      <c r="D8106" s="538" t="n">
        <v>92.92</v>
      </c>
      <c r="E8106" s="538" t="n">
        <v>110.65</v>
      </c>
    </row>
    <row r="8107">
      <c r="A8107" s="544" t="n">
        <v>40557</v>
      </c>
      <c r="B8107" s="538" t="n">
        <v>97.86</v>
      </c>
      <c r="C8107" s="538" t="n">
        <v>91.53</v>
      </c>
      <c r="D8107" s="538" t="n">
        <v>93.84</v>
      </c>
      <c r="E8107" s="538" t="n">
        <v>110.35</v>
      </c>
    </row>
    <row r="8108">
      <c r="A8108" s="544" t="n">
        <v>40560</v>
      </c>
      <c r="B8108" s="538" t="n">
        <v>97.86</v>
      </c>
      <c r="C8108" s="538" t="n">
        <v>91.53</v>
      </c>
      <c r="D8108" s="538" t="n">
        <v>93.11</v>
      </c>
      <c r="E8108" s="538" t="n">
        <v>110.9</v>
      </c>
    </row>
    <row r="8109">
      <c r="A8109" s="544" t="n">
        <v>40561</v>
      </c>
      <c r="B8109" s="538" t="n">
        <v>97.83</v>
      </c>
      <c r="C8109" s="538" t="n">
        <v>91.38</v>
      </c>
      <c r="D8109" s="538" t="n">
        <v>93.06999999999999</v>
      </c>
      <c r="E8109" s="538" t="n">
        <v>111.25</v>
      </c>
    </row>
    <row r="8110">
      <c r="A8110" s="544" t="n">
        <v>40562</v>
      </c>
      <c r="B8110" s="538" t="n">
        <v>98.42</v>
      </c>
      <c r="C8110" s="538" t="n">
        <v>90.84999999999999</v>
      </c>
      <c r="D8110" s="538" t="n">
        <v>93.55</v>
      </c>
      <c r="E8110" s="538" t="n">
        <v>111.7</v>
      </c>
    </row>
    <row r="8111">
      <c r="A8111" s="544" t="n">
        <v>40563</v>
      </c>
      <c r="B8111" s="538" t="n">
        <v>96.27</v>
      </c>
      <c r="C8111" s="538" t="n">
        <v>88.56</v>
      </c>
      <c r="D8111" s="538" t="n">
        <v>91.95</v>
      </c>
      <c r="E8111" s="538" t="n">
        <v>111.2</v>
      </c>
    </row>
    <row r="8112">
      <c r="A8112" s="544" t="n">
        <v>40564</v>
      </c>
      <c r="B8112" s="538" t="n">
        <v>96.84</v>
      </c>
      <c r="C8112" s="538" t="n">
        <v>88.22</v>
      </c>
      <c r="D8112" s="538" t="n">
        <v>93.28</v>
      </c>
      <c r="E8112" s="538" t="n">
        <v>111.2</v>
      </c>
    </row>
    <row r="8113">
      <c r="A8113" s="544" t="n">
        <v>40567</v>
      </c>
      <c r="B8113" s="538" t="n">
        <v>96.76000000000001</v>
      </c>
      <c r="C8113" s="538" t="n">
        <v>86.73999999999999</v>
      </c>
      <c r="D8113" s="538" t="n">
        <v>91.94</v>
      </c>
      <c r="E8113" s="538" t="n">
        <v>112.2</v>
      </c>
    </row>
    <row r="8114">
      <c r="A8114" s="544" t="n">
        <v>40568</v>
      </c>
      <c r="B8114" s="538" t="n">
        <v>96.76000000000001</v>
      </c>
      <c r="C8114" s="538" t="n">
        <v>85.08</v>
      </c>
      <c r="D8114" s="538" t="n">
        <v>91.03</v>
      </c>
      <c r="E8114" s="538" t="n">
        <v>110.4</v>
      </c>
    </row>
    <row r="8115">
      <c r="A8115" s="544" t="n">
        <v>40569</v>
      </c>
      <c r="B8115" s="538" t="n">
        <v>96.04000000000001</v>
      </c>
      <c r="C8115" s="538" t="n">
        <v>86.15000000000001</v>
      </c>
      <c r="D8115" s="538" t="n">
        <v>93.86</v>
      </c>
      <c r="E8115" s="538" t="n">
        <v>110.15</v>
      </c>
    </row>
    <row r="8116">
      <c r="A8116" s="544" t="n">
        <v>40570</v>
      </c>
      <c r="B8116" s="538" t="n">
        <v>96.48</v>
      </c>
      <c r="C8116" s="538" t="n">
        <v>84.45</v>
      </c>
      <c r="D8116" s="538" t="n">
        <v>92.62</v>
      </c>
      <c r="E8116" s="538" t="n">
        <v>111.65</v>
      </c>
    </row>
    <row r="8117">
      <c r="A8117" s="544" t="n">
        <v>40571</v>
      </c>
      <c r="B8117" s="538" t="n">
        <v>97.06</v>
      </c>
      <c r="C8117" s="538" t="n">
        <v>88.15000000000001</v>
      </c>
      <c r="D8117" s="538" t="n">
        <v>95.11</v>
      </c>
      <c r="E8117" s="538" t="n">
        <v>111.65</v>
      </c>
    </row>
    <row r="8118">
      <c r="A8118" s="544" t="n">
        <v>40574</v>
      </c>
      <c r="B8118" s="538" t="n">
        <v>98.97</v>
      </c>
      <c r="C8118" s="538" t="n">
        <v>90.98999999999999</v>
      </c>
      <c r="D8118" s="538" t="n">
        <v>96.12</v>
      </c>
      <c r="E8118" s="538" t="n">
        <v>113.5</v>
      </c>
    </row>
    <row r="8119">
      <c r="A8119" s="544" t="n">
        <v>40575</v>
      </c>
      <c r="B8119" s="538" t="n">
        <v>100.4</v>
      </c>
      <c r="C8119" s="538" t="n">
        <v>89.54000000000001</v>
      </c>
      <c r="D8119" s="538" t="n">
        <v>97.14</v>
      </c>
      <c r="E8119" s="538" t="n">
        <v>114.9</v>
      </c>
    </row>
    <row r="8120">
      <c r="A8120" s="544" t="n">
        <v>40576</v>
      </c>
      <c r="B8120" s="538" t="n">
        <v>101.3</v>
      </c>
      <c r="C8120" s="538" t="n">
        <v>89.78</v>
      </c>
      <c r="D8120" s="538" t="n">
        <v>97.90000000000001</v>
      </c>
      <c r="E8120" s="538" t="n">
        <v>116.6</v>
      </c>
    </row>
    <row r="8121">
      <c r="A8121" s="544" t="n">
        <v>40577</v>
      </c>
      <c r="B8121" s="538" t="n">
        <v>101.69</v>
      </c>
      <c r="C8121" s="538" t="n">
        <v>89.42</v>
      </c>
      <c r="D8121" s="538" t="n">
        <v>97.40000000000001</v>
      </c>
      <c r="E8121" s="538" t="n">
        <v>116.6</v>
      </c>
    </row>
    <row r="8122">
      <c r="A8122" s="544" t="n">
        <v>40578</v>
      </c>
      <c r="B8122" s="538" t="n">
        <v>99.43000000000001</v>
      </c>
      <c r="C8122" s="538" t="n">
        <v>87.87</v>
      </c>
      <c r="D8122" s="538" t="n">
        <v>95.56999999999999</v>
      </c>
      <c r="E8122" s="538" t="n">
        <v>116.6</v>
      </c>
    </row>
    <row r="8123">
      <c r="A8123" s="544" t="n">
        <v>40581</v>
      </c>
      <c r="B8123" s="538" t="n">
        <v>99.44</v>
      </c>
      <c r="C8123" s="538" t="n">
        <v>86.3</v>
      </c>
      <c r="D8123" s="538" t="n">
        <v>95.78</v>
      </c>
      <c r="E8123" s="538" t="n">
        <v>116</v>
      </c>
    </row>
    <row r="8124">
      <c r="A8124" s="544" t="n">
        <v>40582</v>
      </c>
      <c r="B8124" s="538" t="n">
        <v>99.25</v>
      </c>
      <c r="C8124" s="538" t="n">
        <v>85.84999999999999</v>
      </c>
      <c r="D8124" s="538" t="n">
        <v>96.93000000000001</v>
      </c>
      <c r="E8124" s="538" t="n">
        <v>116</v>
      </c>
    </row>
    <row r="8125">
      <c r="A8125" s="544" t="n">
        <v>40583</v>
      </c>
      <c r="B8125" s="538" t="n">
        <v>100.16</v>
      </c>
      <c r="C8125" s="538" t="n">
        <v>85.59</v>
      </c>
      <c r="D8125" s="538" t="n">
        <v>98.76000000000001</v>
      </c>
      <c r="E8125" s="538" t="n">
        <v>117</v>
      </c>
    </row>
    <row r="8126">
      <c r="A8126" s="544" t="n">
        <v>40584</v>
      </c>
      <c r="B8126" s="538" t="n">
        <v>100.74</v>
      </c>
      <c r="C8126" s="538" t="n">
        <v>85.44</v>
      </c>
      <c r="D8126" s="538" t="n">
        <v>98.37</v>
      </c>
      <c r="E8126" s="538" t="n">
        <v>117.95</v>
      </c>
    </row>
    <row r="8127">
      <c r="A8127" s="544" t="n">
        <v>40585</v>
      </c>
      <c r="B8127" s="538" t="n">
        <v>99.93000000000001</v>
      </c>
      <c r="C8127" s="538" t="n">
        <v>84.39</v>
      </c>
      <c r="D8127" s="538" t="n">
        <v>96.88</v>
      </c>
      <c r="E8127" s="538" t="n">
        <v>117.55</v>
      </c>
    </row>
    <row r="8128">
      <c r="A8128" s="544" t="n">
        <v>40588</v>
      </c>
      <c r="B8128" s="538" t="n">
        <v>103.12</v>
      </c>
      <c r="C8128" s="538" t="n">
        <v>83.66</v>
      </c>
      <c r="D8128" s="538" t="n">
        <v>99.05</v>
      </c>
      <c r="E8128" s="538" t="n">
        <v>116.7</v>
      </c>
    </row>
    <row r="8129">
      <c r="A8129" s="544" t="n">
        <v>40589</v>
      </c>
      <c r="B8129" s="538" t="n">
        <v>102.48</v>
      </c>
      <c r="C8129" s="538" t="n">
        <v>83.13</v>
      </c>
      <c r="D8129" s="538" t="n">
        <v>97.36</v>
      </c>
      <c r="E8129" s="538" t="n">
        <v>118.95</v>
      </c>
    </row>
    <row r="8130">
      <c r="A8130" s="544" t="n">
        <v>40590</v>
      </c>
      <c r="B8130" s="538" t="n">
        <v>102.78</v>
      </c>
      <c r="C8130" s="538" t="n">
        <v>83.8</v>
      </c>
      <c r="D8130" s="538" t="n">
        <v>99.87</v>
      </c>
      <c r="E8130" s="538" t="n">
        <v>117.45</v>
      </c>
    </row>
    <row r="8131">
      <c r="A8131" s="544" t="n">
        <v>40591</v>
      </c>
      <c r="B8131" s="538" t="n">
        <v>103.45</v>
      </c>
      <c r="C8131" s="538" t="n">
        <v>85.05</v>
      </c>
      <c r="D8131" s="538" t="n">
        <v>98.64</v>
      </c>
      <c r="E8131" s="538" t="n">
        <v>119.6</v>
      </c>
    </row>
    <row r="8132">
      <c r="A8132" s="544" t="n">
        <v>40592</v>
      </c>
      <c r="B8132" s="538" t="n">
        <v>102.2</v>
      </c>
      <c r="C8132" s="538" t="n">
        <v>85.03</v>
      </c>
      <c r="D8132" s="538" t="n">
        <v>98.37</v>
      </c>
      <c r="E8132" s="538" t="n">
        <v>119</v>
      </c>
    </row>
    <row r="8133">
      <c r="A8133" s="544" t="n">
        <v>40595</v>
      </c>
      <c r="B8133" s="538" t="n">
        <v>102.2</v>
      </c>
      <c r="C8133" s="538" t="n">
        <v>85.03</v>
      </c>
      <c r="D8133" s="538" t="n">
        <v>104.87</v>
      </c>
      <c r="E8133" s="538" t="n">
        <v>120.65</v>
      </c>
    </row>
    <row r="8134">
      <c r="A8134" s="544" t="n">
        <v>40596</v>
      </c>
      <c r="B8134" s="538" t="n">
        <v>106.82</v>
      </c>
      <c r="C8134" s="538" t="n">
        <v>92.65000000000001</v>
      </c>
      <c r="D8134" s="538" t="n">
        <v>101.39</v>
      </c>
      <c r="E8134" s="538" t="n">
        <v>123.95</v>
      </c>
    </row>
    <row r="8135">
      <c r="A8135" s="544" t="n">
        <v>40597</v>
      </c>
      <c r="B8135" s="538" t="n">
        <v>109.77</v>
      </c>
      <c r="C8135" s="538" t="n">
        <v>96.04000000000001</v>
      </c>
      <c r="D8135" s="538" t="n">
        <v>107.34</v>
      </c>
      <c r="E8135" s="538" t="n">
        <v>123.6</v>
      </c>
    </row>
    <row r="8136">
      <c r="A8136" s="544" t="n">
        <v>40598</v>
      </c>
      <c r="B8136" s="538" t="n">
        <v>113.91</v>
      </c>
      <c r="C8136" s="538" t="n">
        <v>95.83</v>
      </c>
      <c r="D8136" s="538" t="n">
        <v>104.23</v>
      </c>
      <c r="E8136" s="538" t="n">
        <v>130.6</v>
      </c>
    </row>
    <row r="8137">
      <c r="A8137" s="544" t="n">
        <v>40599</v>
      </c>
      <c r="B8137" s="538" t="n">
        <v>111.47</v>
      </c>
      <c r="C8137" s="538" t="n">
        <v>96.52</v>
      </c>
      <c r="D8137" s="538" t="n">
        <v>106.1</v>
      </c>
      <c r="E8137" s="538" t="n">
        <v>127.05</v>
      </c>
    </row>
    <row r="8138">
      <c r="A8138" s="544" t="n">
        <v>40602</v>
      </c>
      <c r="B8138" s="538" t="n">
        <v>112.27</v>
      </c>
      <c r="C8138" s="538" t="n">
        <v>97.09999999999999</v>
      </c>
      <c r="D8138" s="538" t="n">
        <v>106.41</v>
      </c>
      <c r="E8138" s="538" t="n">
        <v>128.9</v>
      </c>
    </row>
    <row r="8139">
      <c r="A8139" s="544" t="n">
        <v>40603</v>
      </c>
      <c r="B8139" s="538" t="n">
        <v>113.34</v>
      </c>
      <c r="C8139" s="538" t="n">
        <v>99.63</v>
      </c>
      <c r="D8139" s="538" t="n">
        <v>105.38</v>
      </c>
      <c r="E8139" s="538" t="n">
        <v>127.55</v>
      </c>
    </row>
    <row r="8140">
      <c r="A8140" s="544" t="n">
        <v>40604</v>
      </c>
      <c r="B8140" s="538" t="n">
        <v>116.89</v>
      </c>
      <c r="C8140" s="538" t="n">
        <v>102.27</v>
      </c>
      <c r="D8140" s="538" t="n">
        <v>105.38</v>
      </c>
      <c r="E8140" s="538" t="n">
        <v>130.3</v>
      </c>
    </row>
    <row r="8141">
      <c r="A8141" s="544" t="n">
        <v>40605</v>
      </c>
      <c r="B8141" s="538" t="n">
        <v>114.42</v>
      </c>
      <c r="C8141" s="538" t="n">
        <v>101.92</v>
      </c>
      <c r="D8141" s="538" t="n">
        <v>105.38</v>
      </c>
      <c r="E8141" s="538" t="n">
        <v>131.3</v>
      </c>
    </row>
    <row r="8142">
      <c r="A8142" s="544" t="n">
        <v>40606</v>
      </c>
      <c r="B8142" s="538" t="n">
        <v>115.71</v>
      </c>
      <c r="C8142" s="538" t="n">
        <v>104.34</v>
      </c>
      <c r="D8142" s="538" t="n">
        <v>110.04</v>
      </c>
      <c r="E8142" s="538" t="n">
        <v>132.75</v>
      </c>
    </row>
    <row r="8143">
      <c r="A8143" s="544" t="n">
        <v>40609</v>
      </c>
      <c r="B8143" s="538" t="n">
        <v>116.58</v>
      </c>
      <c r="C8143" s="538" t="n">
        <v>105.37</v>
      </c>
      <c r="D8143" s="538" t="n">
        <v>108.43</v>
      </c>
      <c r="E8143" s="538" t="n">
        <v>133.25</v>
      </c>
    </row>
    <row r="8144">
      <c r="A8144" s="544" t="n">
        <v>40610</v>
      </c>
      <c r="B8144" s="538" t="n">
        <v>112.32</v>
      </c>
      <c r="C8144" s="538" t="n">
        <v>105.06</v>
      </c>
      <c r="D8144" s="538" t="n">
        <v>107.31</v>
      </c>
      <c r="E8144" s="538" t="n">
        <v>130.25</v>
      </c>
    </row>
    <row r="8145">
      <c r="A8145" s="544" t="n">
        <v>40611</v>
      </c>
      <c r="B8145" s="538" t="n">
        <v>115.19</v>
      </c>
      <c r="C8145" s="538" t="n">
        <v>104.39</v>
      </c>
      <c r="D8145" s="538" t="n">
        <v>110.91</v>
      </c>
      <c r="E8145" s="538" t="n">
        <v>129.55</v>
      </c>
    </row>
    <row r="8146">
      <c r="A8146" s="544" t="n">
        <v>40612</v>
      </c>
      <c r="B8146" s="538" t="n">
        <v>114.07</v>
      </c>
      <c r="C8146" s="538" t="n">
        <v>102.73</v>
      </c>
      <c r="D8146" s="538" t="n">
        <v>109.65</v>
      </c>
      <c r="E8146" s="538" t="n">
        <v>131.85</v>
      </c>
    </row>
    <row r="8147">
      <c r="A8147" s="544" t="n">
        <v>40613</v>
      </c>
      <c r="B8147" s="538" t="n">
        <v>114.07</v>
      </c>
      <c r="C8147" s="538" t="n">
        <v>101.14</v>
      </c>
      <c r="D8147" s="538" t="n">
        <v>107.88</v>
      </c>
      <c r="E8147" s="538" t="n">
        <v>130.85</v>
      </c>
    </row>
    <row r="8148">
      <c r="A8148" s="544" t="n">
        <v>40616</v>
      </c>
      <c r="B8148" s="538" t="n">
        <v>112.95</v>
      </c>
      <c r="C8148" s="538" t="n">
        <v>101.2</v>
      </c>
      <c r="D8148" s="538" t="n">
        <v>107.16</v>
      </c>
      <c r="E8148" s="538" t="n">
        <v>131.1</v>
      </c>
    </row>
    <row r="8149">
      <c r="A8149" s="544" t="n">
        <v>40617</v>
      </c>
      <c r="B8149" s="538" t="n">
        <v>111.11</v>
      </c>
      <c r="C8149" s="538" t="n">
        <v>97.23</v>
      </c>
      <c r="D8149" s="538" t="n">
        <v>102.59</v>
      </c>
      <c r="E8149" s="538" t="n">
        <v>131.75</v>
      </c>
    </row>
    <row r="8150">
      <c r="A8150" s="544" t="n">
        <v>40618</v>
      </c>
      <c r="B8150" s="538" t="n">
        <v>110.96</v>
      </c>
      <c r="C8150" s="538" t="n">
        <v>97.98999999999999</v>
      </c>
      <c r="D8150" s="538" t="n">
        <v>103.52</v>
      </c>
      <c r="E8150" s="538" t="n">
        <v>129.7</v>
      </c>
    </row>
    <row r="8151">
      <c r="A8151" s="544" t="n">
        <v>40619</v>
      </c>
      <c r="B8151" s="538" t="n">
        <v>114.18</v>
      </c>
      <c r="C8151" s="538" t="n">
        <v>101.47</v>
      </c>
      <c r="D8151" s="538" t="n">
        <v>110.57</v>
      </c>
      <c r="E8151" s="538" t="n">
        <v>131.24</v>
      </c>
    </row>
    <row r="8152">
      <c r="A8152" s="544" t="n">
        <v>40620</v>
      </c>
      <c r="B8152" s="538" t="n">
        <v>114.13</v>
      </c>
      <c r="C8152" s="538" t="n">
        <v>101.06</v>
      </c>
      <c r="D8152" s="538" t="n">
        <v>107.28</v>
      </c>
      <c r="E8152" s="538" t="n">
        <v>134.85</v>
      </c>
    </row>
    <row r="8153">
      <c r="A8153" s="544" t="n">
        <v>40623</v>
      </c>
      <c r="B8153" s="538" t="n">
        <v>114.92</v>
      </c>
      <c r="C8153" s="538" t="n">
        <v>102.36</v>
      </c>
      <c r="D8153" s="538" t="n">
        <v>108.45</v>
      </c>
      <c r="E8153" s="538" t="n">
        <v>132.75</v>
      </c>
    </row>
    <row r="8154">
      <c r="A8154" s="544" t="n">
        <v>40624</v>
      </c>
      <c r="B8154" s="538" t="n">
        <v>115.63</v>
      </c>
      <c r="C8154" s="538" t="n">
        <v>104.53</v>
      </c>
      <c r="D8154" s="538" t="n">
        <v>109.43</v>
      </c>
      <c r="E8154" s="538" t="n">
        <v>132.85</v>
      </c>
    </row>
    <row r="8155">
      <c r="A8155" s="544" t="n">
        <v>40625</v>
      </c>
      <c r="B8155" s="538" t="n">
        <v>115.65</v>
      </c>
      <c r="C8155" s="538" t="n">
        <v>105.21</v>
      </c>
      <c r="D8155" s="538" t="n">
        <v>109</v>
      </c>
      <c r="E8155" s="538" t="n">
        <v>134.35</v>
      </c>
    </row>
    <row r="8156">
      <c r="A8156" s="544" t="n">
        <v>40626</v>
      </c>
      <c r="B8156" s="538" t="n">
        <v>115.41</v>
      </c>
      <c r="C8156" s="538" t="n">
        <v>105.04</v>
      </c>
      <c r="D8156" s="538" t="n">
        <v>109.38</v>
      </c>
      <c r="E8156" s="538" t="n">
        <v>134.35</v>
      </c>
    </row>
    <row r="8157">
      <c r="A8157" s="544" t="n">
        <v>40627</v>
      </c>
      <c r="B8157" s="538" t="n">
        <v>115.45</v>
      </c>
      <c r="C8157" s="538" t="n">
        <v>104.89</v>
      </c>
      <c r="D8157" s="538" t="n">
        <v>109.22</v>
      </c>
      <c r="E8157" s="538" t="n">
        <v>134.05</v>
      </c>
    </row>
    <row r="8158">
      <c r="A8158" s="544" t="n">
        <v>40630</v>
      </c>
      <c r="B8158" s="538" t="n">
        <v>115.95</v>
      </c>
      <c r="C8158" s="538" t="n">
        <v>103.54</v>
      </c>
      <c r="D8158" s="538" t="n">
        <v>108.16</v>
      </c>
      <c r="E8158" s="538" t="n">
        <v>134</v>
      </c>
    </row>
    <row r="8159">
      <c r="A8159" s="544" t="n">
        <v>40631</v>
      </c>
      <c r="B8159" s="538" t="n">
        <v>115.58</v>
      </c>
      <c r="C8159" s="538" t="n">
        <v>104.34</v>
      </c>
      <c r="D8159" s="538" t="n">
        <v>108.32</v>
      </c>
      <c r="E8159" s="538" t="n">
        <v>131.8</v>
      </c>
    </row>
    <row r="8160">
      <c r="A8160" s="544" t="n">
        <v>40632</v>
      </c>
      <c r="B8160" s="538" t="n">
        <v>115.35</v>
      </c>
      <c r="C8160" s="538" t="n">
        <v>103.8</v>
      </c>
      <c r="D8160" s="538" t="n">
        <v>108.54</v>
      </c>
      <c r="E8160" s="538" t="n">
        <v>132.85</v>
      </c>
    </row>
    <row r="8161">
      <c r="A8161" s="544" t="n">
        <v>40633</v>
      </c>
      <c r="B8161" s="538" t="n">
        <v>116.94</v>
      </c>
      <c r="C8161" s="538" t="n">
        <v>106.19</v>
      </c>
      <c r="D8161" s="538" t="n">
        <v>108.54</v>
      </c>
      <c r="E8161" s="538" t="n">
        <v>133.25</v>
      </c>
    </row>
    <row r="8162">
      <c r="A8162" s="544" t="n">
        <v>40634</v>
      </c>
      <c r="B8162" s="538" t="n">
        <v>118.63</v>
      </c>
      <c r="C8162" s="538" t="n">
        <v>107.55</v>
      </c>
      <c r="D8162" s="538" t="n">
        <v>111.86</v>
      </c>
      <c r="E8162" s="538" t="n">
        <v>135.2</v>
      </c>
    </row>
    <row r="8163">
      <c r="A8163" s="544" t="n">
        <v>40637</v>
      </c>
      <c r="B8163" s="538" t="n">
        <v>120.07</v>
      </c>
      <c r="C8163" s="538" t="n">
        <v>108.14</v>
      </c>
      <c r="D8163" s="538" t="n">
        <v>113.46</v>
      </c>
      <c r="E8163" s="538" t="n">
        <v>136.7</v>
      </c>
    </row>
    <row r="8164">
      <c r="A8164" s="544" t="n">
        <v>40638</v>
      </c>
      <c r="B8164" s="538" t="n">
        <v>122.87</v>
      </c>
      <c r="C8164" s="538" t="n">
        <v>107.82</v>
      </c>
      <c r="D8164" s="538" t="n">
        <v>114.37</v>
      </c>
      <c r="E8164" s="538" t="n">
        <v>137.35</v>
      </c>
    </row>
    <row r="8165">
      <c r="A8165" s="544" t="n">
        <v>40639</v>
      </c>
      <c r="B8165" s="538" t="n">
        <v>123.01</v>
      </c>
      <c r="C8165" s="538" t="n">
        <v>108.38</v>
      </c>
      <c r="D8165" s="538" t="n">
        <v>114.42</v>
      </c>
      <c r="E8165" s="538" t="n">
        <v>138.45</v>
      </c>
    </row>
    <row r="8166">
      <c r="A8166" s="544" t="n">
        <v>40640</v>
      </c>
      <c r="B8166" s="538" t="n">
        <v>122.9</v>
      </c>
      <c r="C8166" s="538" t="n">
        <v>109.82</v>
      </c>
      <c r="D8166" s="538" t="n">
        <v>115.49</v>
      </c>
      <c r="E8166" s="538" t="n">
        <v>138.85</v>
      </c>
    </row>
    <row r="8167">
      <c r="A8167" s="544" t="n">
        <v>40641</v>
      </c>
      <c r="B8167" s="538" t="n">
        <v>126.3</v>
      </c>
      <c r="C8167" s="538" t="n">
        <v>112.27</v>
      </c>
      <c r="D8167" s="538" t="n">
        <v>118.95</v>
      </c>
      <c r="E8167" s="538" t="n">
        <v>141</v>
      </c>
    </row>
    <row r="8168">
      <c r="A8168" s="544" t="n">
        <v>40644</v>
      </c>
      <c r="B8168" s="538" t="n">
        <v>126.46</v>
      </c>
      <c r="C8168" s="538" t="n">
        <v>109.5</v>
      </c>
      <c r="D8168" s="538" t="n">
        <v>114.04</v>
      </c>
      <c r="E8168" s="538" t="n">
        <v>142.75</v>
      </c>
    </row>
    <row r="8169">
      <c r="A8169" s="544" t="n">
        <v>40645</v>
      </c>
      <c r="B8169" s="538" t="n">
        <v>121.33</v>
      </c>
      <c r="C8169" s="538" t="n">
        <v>105.75</v>
      </c>
      <c r="D8169" s="538" t="n">
        <v>113.17</v>
      </c>
      <c r="E8169" s="538" t="n">
        <v>140.6</v>
      </c>
    </row>
    <row r="8170">
      <c r="A8170" s="544" t="n">
        <v>40646</v>
      </c>
      <c r="B8170" s="538" t="n">
        <v>122.7</v>
      </c>
      <c r="C8170" s="538" t="n">
        <v>106.6</v>
      </c>
      <c r="D8170" s="538" t="n">
        <v>115.29</v>
      </c>
      <c r="E8170" s="538" t="n">
        <v>137.25</v>
      </c>
    </row>
    <row r="8171">
      <c r="A8171" s="544" t="n">
        <v>40647</v>
      </c>
      <c r="B8171" s="538" t="n">
        <v>122.74</v>
      </c>
      <c r="C8171" s="538" t="n">
        <v>107.73</v>
      </c>
      <c r="D8171" s="538" t="n">
        <v>114.93</v>
      </c>
      <c r="E8171" s="538" t="n">
        <v>138.4</v>
      </c>
    </row>
    <row r="8172">
      <c r="A8172" s="544" t="n">
        <v>40648</v>
      </c>
      <c r="B8172" s="538" t="n">
        <v>124.63</v>
      </c>
      <c r="C8172" s="538" t="n">
        <v>109.17</v>
      </c>
      <c r="D8172" s="538" t="n">
        <v>116.26</v>
      </c>
      <c r="E8172" s="538" t="n">
        <v>137.95</v>
      </c>
    </row>
    <row r="8173">
      <c r="A8173" s="544" t="n">
        <v>40651</v>
      </c>
      <c r="B8173" s="538" t="n">
        <v>121.69</v>
      </c>
      <c r="C8173" s="538" t="n">
        <v>106.7</v>
      </c>
      <c r="D8173" s="538" t="n">
        <v>114.02</v>
      </c>
      <c r="E8173" s="538" t="n">
        <v>138.5</v>
      </c>
    </row>
    <row r="8174">
      <c r="A8174" s="544" t="n">
        <v>40652</v>
      </c>
      <c r="B8174" s="538" t="n">
        <v>121.35</v>
      </c>
      <c r="C8174" s="538" t="n">
        <v>107.18</v>
      </c>
      <c r="D8174" s="538" t="n">
        <v>114.78</v>
      </c>
      <c r="E8174" s="538" t="n">
        <v>136.48</v>
      </c>
    </row>
    <row r="8175">
      <c r="A8175" s="544" t="n">
        <v>40653</v>
      </c>
      <c r="B8175" s="538" t="n">
        <v>124.26</v>
      </c>
      <c r="C8175" s="538" t="n">
        <v>110.84</v>
      </c>
      <c r="D8175" s="538" t="n">
        <v>117.54</v>
      </c>
      <c r="E8175" s="538" t="n">
        <v>136.5</v>
      </c>
    </row>
    <row r="8176">
      <c r="A8176" s="544" t="n">
        <v>40654</v>
      </c>
      <c r="B8176" s="538" t="n">
        <v>123.64</v>
      </c>
      <c r="C8176" s="538" t="n">
        <v>111.72</v>
      </c>
      <c r="D8176" s="538" t="n">
        <v>116.61</v>
      </c>
      <c r="E8176" s="538" t="n">
        <v>139.6</v>
      </c>
    </row>
    <row r="8177">
      <c r="A8177" s="544" t="n">
        <v>40655</v>
      </c>
      <c r="B8177" s="538" t="n">
        <v>123.64</v>
      </c>
      <c r="C8177" s="538" t="n">
        <v>111.72</v>
      </c>
      <c r="D8177" s="538" t="n">
        <v>116.61</v>
      </c>
      <c r="E8177" s="538" t="n">
        <v>139.6</v>
      </c>
    </row>
    <row r="8178">
      <c r="A8178" s="544" t="n">
        <v>40658</v>
      </c>
      <c r="B8178" s="538" t="n">
        <v>123.64</v>
      </c>
      <c r="C8178" s="538" t="n">
        <v>111.68</v>
      </c>
      <c r="D8178" s="538" t="n">
        <v>115.41</v>
      </c>
      <c r="E8178" s="538" t="n">
        <v>138.9</v>
      </c>
    </row>
    <row r="8179">
      <c r="A8179" s="544" t="n">
        <v>40659</v>
      </c>
      <c r="B8179" s="538" t="n">
        <v>124.55</v>
      </c>
      <c r="C8179" s="538" t="n">
        <v>111.72</v>
      </c>
      <c r="D8179" s="538" t="n">
        <v>116.95</v>
      </c>
      <c r="E8179" s="538" t="n">
        <v>138.12</v>
      </c>
    </row>
    <row r="8180">
      <c r="A8180" s="544" t="n">
        <v>40660</v>
      </c>
      <c r="B8180" s="538" t="n">
        <v>124.94</v>
      </c>
      <c r="C8180" s="538" t="n">
        <v>112.31</v>
      </c>
      <c r="D8180" s="538" t="n">
        <v>118.75</v>
      </c>
      <c r="E8180" s="538" t="n">
        <v>138.95</v>
      </c>
    </row>
    <row r="8181">
      <c r="A8181" s="544" t="n">
        <v>40661</v>
      </c>
      <c r="B8181" s="538" t="n">
        <v>126.59</v>
      </c>
      <c r="C8181" s="538" t="n">
        <v>112.38</v>
      </c>
      <c r="D8181" s="538" t="n">
        <v>118.14</v>
      </c>
      <c r="E8181" s="538" t="n">
        <v>140.91</v>
      </c>
    </row>
    <row r="8182">
      <c r="A8182" s="544" t="n">
        <v>40662</v>
      </c>
      <c r="B8182" s="538" t="n">
        <v>126.59</v>
      </c>
      <c r="C8182" s="538" t="n">
        <v>113.39</v>
      </c>
      <c r="D8182" s="538" t="n">
        <v>119.44</v>
      </c>
      <c r="E8182" s="538" t="n">
        <v>140.25</v>
      </c>
    </row>
    <row r="8183">
      <c r="A8183" s="544" t="n">
        <v>40665</v>
      </c>
      <c r="B8183" s="538" t="n">
        <v>126.64</v>
      </c>
      <c r="C8183" s="538" t="n">
        <v>113.03</v>
      </c>
      <c r="D8183" s="538" t="n">
        <v>118.81</v>
      </c>
      <c r="E8183" s="538" t="n">
        <v>140.25</v>
      </c>
    </row>
    <row r="8184">
      <c r="A8184" s="544" t="n">
        <v>40666</v>
      </c>
      <c r="B8184" s="538" t="n">
        <v>124.01</v>
      </c>
      <c r="C8184" s="538" t="n">
        <v>110.6</v>
      </c>
      <c r="D8184" s="538" t="n">
        <v>114.89</v>
      </c>
      <c r="E8184" s="538" t="n">
        <v>139.84</v>
      </c>
    </row>
    <row r="8185">
      <c r="A8185" s="544" t="n">
        <v>40667</v>
      </c>
      <c r="B8185" s="538" t="n">
        <v>121.55</v>
      </c>
      <c r="C8185" s="538" t="n">
        <v>108.79</v>
      </c>
      <c r="D8185" s="538" t="n">
        <v>113.4</v>
      </c>
      <c r="E8185" s="538" t="n">
        <v>137.89</v>
      </c>
    </row>
    <row r="8186">
      <c r="A8186" s="544" t="n">
        <v>40668</v>
      </c>
      <c r="B8186" s="538" t="n">
        <v>111.93</v>
      </c>
      <c r="C8186" s="538" t="n">
        <v>99.89</v>
      </c>
      <c r="D8186" s="538" t="n">
        <v>105.51</v>
      </c>
      <c r="E8186" s="538" t="n">
        <v>136.15</v>
      </c>
    </row>
    <row r="8187">
      <c r="A8187" s="544" t="n">
        <v>40669</v>
      </c>
      <c r="B8187" s="538" t="n">
        <v>113.69</v>
      </c>
      <c r="C8187" s="538" t="n">
        <v>96.87</v>
      </c>
      <c r="D8187" s="538" t="n">
        <v>102.81</v>
      </c>
      <c r="E8187" s="538" t="n">
        <v>121.15</v>
      </c>
    </row>
    <row r="8188">
      <c r="A8188" s="544" t="n">
        <v>40672</v>
      </c>
      <c r="B8188" s="538" t="n">
        <v>113.21</v>
      </c>
      <c r="C8188" s="538" t="n">
        <v>100.32</v>
      </c>
      <c r="D8188" s="538" t="n">
        <v>106.49</v>
      </c>
      <c r="E8188" s="538" t="n">
        <v>125.83</v>
      </c>
    </row>
    <row r="8189">
      <c r="A8189" s="544" t="n">
        <v>40673</v>
      </c>
      <c r="B8189" s="538" t="n">
        <v>117.82</v>
      </c>
      <c r="C8189" s="538" t="n">
        <v>103.39</v>
      </c>
      <c r="D8189" s="538" t="n">
        <v>110.35</v>
      </c>
      <c r="E8189" s="538" t="n">
        <v>127.88</v>
      </c>
    </row>
    <row r="8190">
      <c r="A8190" s="544" t="n">
        <v>40674</v>
      </c>
      <c r="B8190" s="538" t="n">
        <v>115.66</v>
      </c>
      <c r="C8190" s="538" t="n">
        <v>97.88</v>
      </c>
      <c r="D8190" s="538" t="n">
        <v>106.75</v>
      </c>
      <c r="E8190" s="538" t="n">
        <v>130.15</v>
      </c>
    </row>
    <row r="8191">
      <c r="A8191" s="544" t="n">
        <v>40675</v>
      </c>
      <c r="B8191" s="538" t="n">
        <v>112.87</v>
      </c>
      <c r="C8191" s="538" t="n">
        <v>98.53</v>
      </c>
      <c r="D8191" s="538" t="n">
        <v>105.73</v>
      </c>
      <c r="E8191" s="538" t="n">
        <v>125.19</v>
      </c>
    </row>
    <row r="8192">
      <c r="A8192" s="544" t="n">
        <v>40676</v>
      </c>
      <c r="B8192" s="538" t="n">
        <v>113.08</v>
      </c>
      <c r="C8192" s="538" t="n">
        <v>99.20999999999999</v>
      </c>
      <c r="D8192" s="538" t="n">
        <v>107</v>
      </c>
      <c r="E8192" s="538" t="n">
        <v>126.85</v>
      </c>
    </row>
    <row r="8193">
      <c r="A8193" s="544" t="n">
        <v>40679</v>
      </c>
      <c r="B8193" s="538" t="n">
        <v>113.72</v>
      </c>
      <c r="C8193" s="538" t="n">
        <v>96.91</v>
      </c>
      <c r="D8193" s="538" t="n">
        <v>104.1</v>
      </c>
      <c r="E8193" s="538" t="n">
        <v>125.6</v>
      </c>
    </row>
    <row r="8194">
      <c r="A8194" s="544" t="n">
        <v>40680</v>
      </c>
      <c r="B8194" s="538" t="n">
        <v>109.39</v>
      </c>
      <c r="C8194" s="538" t="n">
        <v>96.40000000000001</v>
      </c>
      <c r="D8194" s="538" t="n">
        <v>104.55</v>
      </c>
      <c r="E8194" s="538" t="n">
        <v>125.6</v>
      </c>
    </row>
    <row r="8195">
      <c r="A8195" s="544" t="n">
        <v>40681</v>
      </c>
      <c r="B8195" s="538" t="n">
        <v>112.54</v>
      </c>
      <c r="C8195" s="538" t="n">
        <v>99.52</v>
      </c>
      <c r="D8195" s="538" t="n">
        <v>106.64</v>
      </c>
      <c r="E8195" s="538" t="n">
        <v>124.52</v>
      </c>
    </row>
    <row r="8196">
      <c r="A8196" s="544" t="n">
        <v>40682</v>
      </c>
      <c r="B8196" s="538" t="n">
        <v>113.2</v>
      </c>
      <c r="C8196" s="538" t="n">
        <v>97.98999999999999</v>
      </c>
      <c r="D8196" s="538" t="n">
        <v>106.17</v>
      </c>
      <c r="E8196" s="538" t="n">
        <v>124.51</v>
      </c>
    </row>
    <row r="8197">
      <c r="A8197" s="544" t="n">
        <v>40683</v>
      </c>
      <c r="B8197" s="538" t="n">
        <v>111.25</v>
      </c>
      <c r="C8197" s="538" t="n">
        <v>99.15000000000001</v>
      </c>
      <c r="D8197" s="538" t="n">
        <v>106.48</v>
      </c>
      <c r="E8197" s="538" t="n">
        <v>125.45</v>
      </c>
    </row>
    <row r="8198">
      <c r="A8198" s="544" t="n">
        <v>40686</v>
      </c>
      <c r="B8198" s="538" t="n">
        <v>110.13</v>
      </c>
      <c r="C8198" s="538" t="n">
        <v>97.06</v>
      </c>
      <c r="D8198" s="538" t="n">
        <v>104.52</v>
      </c>
      <c r="E8198" s="538" t="n">
        <v>122.83</v>
      </c>
    </row>
    <row r="8199">
      <c r="A8199" s="544" t="n">
        <v>40687</v>
      </c>
      <c r="B8199" s="538" t="n">
        <v>112.52</v>
      </c>
      <c r="C8199" s="538" t="n">
        <v>99.13</v>
      </c>
      <c r="D8199" s="538" t="n">
        <v>106.17</v>
      </c>
      <c r="E8199" s="538" t="n">
        <v>123.93</v>
      </c>
    </row>
    <row r="8200">
      <c r="A8200" s="544" t="n">
        <v>40688</v>
      </c>
      <c r="B8200" s="538" t="n">
        <v>114.47</v>
      </c>
      <c r="C8200" s="538" t="n">
        <v>100.78</v>
      </c>
      <c r="D8200" s="538" t="n">
        <v>109.54</v>
      </c>
      <c r="E8200" s="538" t="n">
        <v>123.71</v>
      </c>
    </row>
    <row r="8201">
      <c r="A8201" s="544" t="n">
        <v>40689</v>
      </c>
      <c r="B8201" s="538" t="n">
        <v>115.06</v>
      </c>
      <c r="C8201" s="538" t="n">
        <v>100.18</v>
      </c>
      <c r="D8201" s="538" t="n">
        <v>109.02</v>
      </c>
      <c r="E8201" s="538" t="n">
        <v>127.68</v>
      </c>
    </row>
    <row r="8202">
      <c r="A8202" s="544" t="n">
        <v>40690</v>
      </c>
      <c r="B8202" s="538" t="n">
        <v>114.85</v>
      </c>
      <c r="C8202" s="538" t="n">
        <v>100.58</v>
      </c>
      <c r="D8202" s="538" t="n">
        <v>108.76</v>
      </c>
      <c r="E8202" s="538" t="n">
        <v>128.5</v>
      </c>
    </row>
    <row r="8203">
      <c r="A8203" s="544" t="n">
        <v>40693</v>
      </c>
      <c r="B8203" s="538" t="n">
        <v>114.85</v>
      </c>
      <c r="C8203" s="538" t="n">
        <v>100.58</v>
      </c>
      <c r="D8203" s="538" t="n">
        <v>109.34</v>
      </c>
      <c r="E8203" s="538" t="n">
        <v>127.57</v>
      </c>
    </row>
    <row r="8204">
      <c r="A8204" s="544" t="n">
        <v>40694</v>
      </c>
      <c r="B8204" s="538" t="n">
        <v>117.18</v>
      </c>
      <c r="C8204" s="538" t="n">
        <v>102.7</v>
      </c>
      <c r="D8204" s="538" t="n">
        <v>111.57</v>
      </c>
      <c r="E8204" s="538" t="n">
        <v>129.15</v>
      </c>
    </row>
    <row r="8205">
      <c r="A8205" s="544" t="n">
        <v>40695</v>
      </c>
      <c r="B8205" s="538" t="n">
        <v>116.15</v>
      </c>
      <c r="C8205" s="538" t="n">
        <v>100.3</v>
      </c>
      <c r="D8205" s="538" t="n">
        <v>107.82</v>
      </c>
      <c r="E8205" s="538" t="n">
        <v>129.88</v>
      </c>
    </row>
    <row r="8206">
      <c r="A8206" s="544" t="n">
        <v>40696</v>
      </c>
      <c r="B8206" s="538" t="n">
        <v>114.3</v>
      </c>
      <c r="C8206" s="538" t="n">
        <v>100.41</v>
      </c>
      <c r="D8206" s="538" t="n">
        <v>109.77</v>
      </c>
      <c r="E8206" s="538" t="n">
        <v>127.51</v>
      </c>
    </row>
    <row r="8207">
      <c r="A8207" s="544" t="n">
        <v>40697</v>
      </c>
      <c r="B8207" s="538" t="n">
        <v>115.09</v>
      </c>
      <c r="C8207" s="538" t="n">
        <v>100.28</v>
      </c>
      <c r="D8207" s="538" t="n">
        <v>109.22</v>
      </c>
      <c r="E8207" s="538" t="n">
        <v>128.9</v>
      </c>
    </row>
    <row r="8208">
      <c r="A8208" s="544" t="n">
        <v>40700</v>
      </c>
      <c r="B8208" s="538" t="n">
        <v>115.4</v>
      </c>
      <c r="C8208" s="538" t="n">
        <v>99.06999999999999</v>
      </c>
      <c r="D8208" s="538" t="n">
        <v>107.3</v>
      </c>
      <c r="E8208" s="538" t="n">
        <v>128.55</v>
      </c>
    </row>
    <row r="8209">
      <c r="A8209" s="544" t="n">
        <v>40701</v>
      </c>
      <c r="B8209" s="538" t="n">
        <v>116.14</v>
      </c>
      <c r="C8209" s="538" t="n">
        <v>99.18000000000001</v>
      </c>
      <c r="D8209" s="538" t="n">
        <v>109.67</v>
      </c>
      <c r="E8209" s="538" t="n">
        <v>128.15</v>
      </c>
    </row>
    <row r="8210">
      <c r="A8210" s="544" t="n">
        <v>40702</v>
      </c>
      <c r="B8210" s="538" t="n">
        <v>118.43</v>
      </c>
      <c r="C8210" s="538" t="n">
        <v>100.77</v>
      </c>
      <c r="D8210" s="538" t="n">
        <v>111.51</v>
      </c>
      <c r="E8210" s="538" t="n">
        <v>129.2</v>
      </c>
    </row>
    <row r="8211">
      <c r="A8211" s="544" t="n">
        <v>40703</v>
      </c>
      <c r="B8211" s="538" t="n">
        <v>119.95</v>
      </c>
      <c r="C8211" s="538" t="n">
        <v>101.95</v>
      </c>
      <c r="D8211" s="538" t="n">
        <v>112.39</v>
      </c>
      <c r="E8211" s="538" t="n">
        <v>131.27</v>
      </c>
    </row>
    <row r="8212">
      <c r="A8212" s="544" t="n">
        <v>40704</v>
      </c>
      <c r="B8212" s="538" t="n">
        <v>118.71</v>
      </c>
      <c r="C8212" s="538" t="n">
        <v>99.3</v>
      </c>
      <c r="D8212" s="538" t="n">
        <v>111.03</v>
      </c>
      <c r="E8212" s="538" t="n">
        <v>133.3</v>
      </c>
    </row>
    <row r="8213">
      <c r="A8213" s="544" t="n">
        <v>40707</v>
      </c>
      <c r="B8213" s="538" t="n">
        <v>120.49</v>
      </c>
      <c r="C8213" s="538" t="n">
        <v>97.2</v>
      </c>
      <c r="D8213" s="538" t="n">
        <v>111.16</v>
      </c>
      <c r="E8213" s="538" t="n">
        <v>132</v>
      </c>
    </row>
    <row r="8214">
      <c r="A8214" s="544" t="n">
        <v>40708</v>
      </c>
      <c r="B8214" s="538" t="n">
        <v>120.35</v>
      </c>
      <c r="C8214" s="538" t="n">
        <v>99.37</v>
      </c>
      <c r="D8214" s="538" t="n">
        <v>112.04</v>
      </c>
      <c r="E8214" s="538" t="n">
        <v>132.11</v>
      </c>
    </row>
    <row r="8215">
      <c r="A8215" s="544" t="n">
        <v>40709</v>
      </c>
      <c r="B8215" s="538" t="n">
        <v>114.67</v>
      </c>
      <c r="C8215" s="538" t="n">
        <v>94.83</v>
      </c>
      <c r="D8215" s="538" t="n">
        <v>106.75</v>
      </c>
      <c r="E8215" s="538" t="n">
        <v>132.72</v>
      </c>
    </row>
    <row r="8216">
      <c r="A8216" s="544" t="n">
        <v>40710</v>
      </c>
      <c r="B8216" s="538" t="n">
        <v>114.69</v>
      </c>
      <c r="C8216" s="538" t="n">
        <v>94.95</v>
      </c>
      <c r="D8216" s="538" t="n">
        <v>107.15</v>
      </c>
      <c r="E8216" s="538" t="n">
        <v>129.1</v>
      </c>
    </row>
    <row r="8217">
      <c r="A8217" s="544" t="n">
        <v>40711</v>
      </c>
      <c r="B8217" s="538" t="n">
        <v>113.74</v>
      </c>
      <c r="C8217" s="538" t="n">
        <v>93.02</v>
      </c>
      <c r="D8217" s="538" t="n">
        <v>106.74</v>
      </c>
      <c r="E8217" s="538" t="n">
        <v>125.65</v>
      </c>
    </row>
    <row r="8218">
      <c r="A8218" s="544" t="n">
        <v>40714</v>
      </c>
      <c r="B8218" s="538" t="n">
        <v>112.21</v>
      </c>
      <c r="C8218" s="538" t="n">
        <v>93.23</v>
      </c>
      <c r="D8218" s="538" t="n">
        <v>105.72</v>
      </c>
      <c r="E8218" s="538" t="n">
        <v>125.68</v>
      </c>
    </row>
    <row r="8219">
      <c r="A8219" s="544" t="n">
        <v>40715</v>
      </c>
      <c r="B8219" s="538" t="n">
        <v>112.02</v>
      </c>
      <c r="C8219" s="538" t="n">
        <v>93.7</v>
      </c>
      <c r="D8219" s="538" t="n">
        <v>104.37</v>
      </c>
      <c r="E8219" s="538" t="n">
        <v>126.14</v>
      </c>
    </row>
    <row r="8220">
      <c r="A8220" s="544" t="n">
        <v>40716</v>
      </c>
      <c r="B8220" s="538" t="n">
        <v>113.59</v>
      </c>
      <c r="C8220" s="538" t="n">
        <v>94.95999999999999</v>
      </c>
      <c r="D8220" s="538" t="n">
        <v>106.75</v>
      </c>
      <c r="E8220" s="538" t="n">
        <v>123.74</v>
      </c>
    </row>
    <row r="8221">
      <c r="A8221" s="544" t="n">
        <v>40717</v>
      </c>
      <c r="B8221" s="538" t="n">
        <v>108.27</v>
      </c>
      <c r="C8221" s="538" t="n">
        <v>90.7</v>
      </c>
      <c r="D8221" s="538" t="n">
        <v>102.12</v>
      </c>
      <c r="E8221" s="538" t="n">
        <v>124.1</v>
      </c>
    </row>
    <row r="8222">
      <c r="A8222" s="544" t="n">
        <v>40718</v>
      </c>
      <c r="B8222" s="538" t="n">
        <v>104.79</v>
      </c>
      <c r="C8222" s="538" t="n">
        <v>90.89</v>
      </c>
      <c r="D8222" s="538" t="n">
        <v>100.92</v>
      </c>
      <c r="E8222" s="538" t="n">
        <v>119.46</v>
      </c>
    </row>
    <row r="8223">
      <c r="A8223" s="544" t="n">
        <v>40721</v>
      </c>
      <c r="B8223" s="538" t="n">
        <v>104.57</v>
      </c>
      <c r="C8223" s="538" t="n">
        <v>90.65000000000001</v>
      </c>
      <c r="D8223" s="538" t="n">
        <v>103.02</v>
      </c>
      <c r="E8223" s="538" t="n">
        <v>118.27</v>
      </c>
    </row>
    <row r="8224">
      <c r="A8224" s="544" t="n">
        <v>40722</v>
      </c>
      <c r="B8224" s="538" t="n">
        <v>107.57</v>
      </c>
      <c r="C8224" s="538" t="n">
        <v>92.90000000000001</v>
      </c>
      <c r="D8224" s="538" t="n">
        <v>104.2</v>
      </c>
      <c r="E8224" s="538" t="n">
        <v>119.1</v>
      </c>
    </row>
    <row r="8225">
      <c r="A8225" s="544" t="n">
        <v>40723</v>
      </c>
      <c r="B8225" s="538" t="n">
        <v>111.49</v>
      </c>
      <c r="C8225" s="538" t="n">
        <v>94.84999999999999</v>
      </c>
      <c r="D8225" s="538" t="n">
        <v>107.86</v>
      </c>
      <c r="E8225" s="538" t="n">
        <v>122.4</v>
      </c>
    </row>
    <row r="8226">
      <c r="A8226" s="544" t="n">
        <v>40724</v>
      </c>
      <c r="B8226" s="538" t="n">
        <v>111.71</v>
      </c>
      <c r="C8226" s="538" t="n">
        <v>95.3</v>
      </c>
      <c r="D8226" s="538" t="n">
        <v>106.47</v>
      </c>
      <c r="E8226" s="538" t="n">
        <v>124.7</v>
      </c>
    </row>
    <row r="8227">
      <c r="A8227" s="544" t="n">
        <v>40725</v>
      </c>
      <c r="B8227" s="538" t="n">
        <v>109.82</v>
      </c>
      <c r="C8227" s="538" t="n">
        <v>94.81</v>
      </c>
      <c r="D8227" s="538" t="n">
        <v>106.37</v>
      </c>
      <c r="E8227" s="538" t="n">
        <v>124.5</v>
      </c>
    </row>
    <row r="8228">
      <c r="A8228" s="544" t="n">
        <v>40728</v>
      </c>
      <c r="B8228" s="538" t="n">
        <v>109.82</v>
      </c>
      <c r="C8228" s="538" t="n">
        <v>94.81</v>
      </c>
      <c r="D8228" s="538" t="n">
        <v>105.55</v>
      </c>
      <c r="E8228" s="538" t="n">
        <v>124.65</v>
      </c>
    </row>
    <row r="8229">
      <c r="A8229" s="544" t="n">
        <v>40729</v>
      </c>
      <c r="B8229" s="538" t="n">
        <v>113.21</v>
      </c>
      <c r="C8229" s="538" t="n">
        <v>96.92</v>
      </c>
      <c r="D8229" s="538" t="n">
        <v>107.55</v>
      </c>
      <c r="E8229" s="538" t="n">
        <v>123.95</v>
      </c>
    </row>
    <row r="8230">
      <c r="A8230" s="544" t="n">
        <v>40730</v>
      </c>
      <c r="B8230" s="538" t="n">
        <v>113.55</v>
      </c>
      <c r="C8230" s="538" t="n">
        <v>96.67</v>
      </c>
      <c r="D8230" s="538" t="n">
        <v>108.8</v>
      </c>
      <c r="E8230" s="538" t="n">
        <v>125</v>
      </c>
    </row>
    <row r="8231">
      <c r="A8231" s="544" t="n">
        <v>40731</v>
      </c>
      <c r="B8231" s="538" t="n">
        <v>117.4</v>
      </c>
      <c r="C8231" s="538" t="n">
        <v>98.7</v>
      </c>
      <c r="D8231" s="538" t="n">
        <v>112.88</v>
      </c>
      <c r="E8231" s="538" t="n">
        <v>126.95</v>
      </c>
    </row>
    <row r="8232">
      <c r="A8232" s="544" t="n">
        <v>40732</v>
      </c>
      <c r="B8232" s="538" t="n">
        <v>117.4</v>
      </c>
      <c r="C8232" s="538" t="n">
        <v>96.2</v>
      </c>
      <c r="D8232" s="538" t="n">
        <v>112.19</v>
      </c>
      <c r="E8232" s="538" t="n">
        <v>130.3</v>
      </c>
    </row>
    <row r="8233">
      <c r="A8233" s="544" t="n">
        <v>40735</v>
      </c>
      <c r="B8233" s="538" t="n">
        <v>117.35</v>
      </c>
      <c r="C8233" s="538" t="n">
        <v>95.16</v>
      </c>
      <c r="D8233" s="538" t="n">
        <v>110.45</v>
      </c>
      <c r="E8233" s="538" t="n">
        <v>129.35</v>
      </c>
    </row>
    <row r="8234">
      <c r="A8234" s="544" t="n">
        <v>40736</v>
      </c>
      <c r="B8234" s="538" t="n">
        <v>117.36</v>
      </c>
      <c r="C8234" s="538" t="n">
        <v>97.41</v>
      </c>
      <c r="D8234" s="538" t="n">
        <v>111.24</v>
      </c>
      <c r="E8234" s="538" t="n">
        <v>128.35</v>
      </c>
    </row>
    <row r="8235">
      <c r="A8235" s="544" t="n">
        <v>40737</v>
      </c>
      <c r="B8235" s="538" t="n">
        <v>118.46</v>
      </c>
      <c r="C8235" s="538" t="n">
        <v>98.04000000000001</v>
      </c>
      <c r="D8235" s="538" t="n">
        <v>111.47</v>
      </c>
      <c r="E8235" s="538" t="n">
        <v>130.4</v>
      </c>
    </row>
    <row r="8236">
      <c r="A8236" s="544" t="n">
        <v>40738</v>
      </c>
      <c r="B8236" s="538" t="n">
        <v>117.38</v>
      </c>
      <c r="C8236" s="538" t="n">
        <v>95.75</v>
      </c>
      <c r="D8236" s="538" t="n">
        <v>111.59</v>
      </c>
      <c r="E8236" s="538" t="n">
        <v>130.4</v>
      </c>
    </row>
    <row r="8237">
      <c r="A8237" s="544" t="n">
        <v>40739</v>
      </c>
      <c r="B8237" s="538" t="n">
        <v>118.06</v>
      </c>
      <c r="C8237" s="538" t="n">
        <v>97.23999999999999</v>
      </c>
      <c r="D8237" s="538" t="n">
        <v>112.11</v>
      </c>
      <c r="E8237" s="538" t="n">
        <v>128.8</v>
      </c>
    </row>
    <row r="8238">
      <c r="A8238" s="544" t="n">
        <v>40742</v>
      </c>
      <c r="B8238" s="538" t="n">
        <v>117.05</v>
      </c>
      <c r="C8238" s="538" t="n">
        <v>95.94</v>
      </c>
      <c r="D8238" s="538" t="n">
        <v>110.91</v>
      </c>
      <c r="E8238" s="538" t="n">
        <v>130.25</v>
      </c>
    </row>
    <row r="8239">
      <c r="A8239" s="544" t="n">
        <v>40743</v>
      </c>
      <c r="B8239" s="538" t="n">
        <v>118.18</v>
      </c>
      <c r="C8239" s="538" t="n">
        <v>97.48999999999999</v>
      </c>
      <c r="D8239" s="538" t="n">
        <v>112.26</v>
      </c>
      <c r="E8239" s="538" t="n">
        <v>130.35</v>
      </c>
    </row>
    <row r="8240">
      <c r="A8240" s="544" t="n">
        <v>40744</v>
      </c>
      <c r="B8240" s="538" t="n">
        <v>118.52</v>
      </c>
      <c r="C8240" s="538" t="n">
        <v>98.11</v>
      </c>
      <c r="D8240" s="538" t="n">
        <v>112.27</v>
      </c>
      <c r="E8240" s="538" t="n">
        <v>131.7</v>
      </c>
    </row>
    <row r="8241">
      <c r="A8241" s="544" t="n">
        <v>40745</v>
      </c>
      <c r="B8241" s="538" t="n">
        <v>118.25</v>
      </c>
      <c r="C8241" s="538" t="n">
        <v>98.95999999999999</v>
      </c>
      <c r="D8241" s="538" t="n">
        <v>112.61</v>
      </c>
      <c r="E8241" s="538" t="n">
        <v>130.9</v>
      </c>
    </row>
    <row r="8242">
      <c r="A8242" s="544" t="n">
        <v>40746</v>
      </c>
      <c r="B8242" s="538" t="n">
        <v>118.99</v>
      </c>
      <c r="C8242" s="538" t="n">
        <v>99.53</v>
      </c>
      <c r="D8242" s="538" t="n">
        <v>113.17</v>
      </c>
      <c r="E8242" s="538" t="n">
        <v>131.1</v>
      </c>
    </row>
    <row r="8243">
      <c r="A8243" s="544" t="n">
        <v>40749</v>
      </c>
      <c r="B8243" s="538" t="n">
        <v>118.27</v>
      </c>
      <c r="C8243" s="538" t="n">
        <v>98.97</v>
      </c>
      <c r="D8243" s="538" t="n">
        <v>112.43</v>
      </c>
      <c r="E8243" s="538" t="n">
        <v>131.5</v>
      </c>
    </row>
    <row r="8244">
      <c r="A8244" s="544" t="n">
        <v>40750</v>
      </c>
      <c r="B8244" s="538" t="n">
        <v>118.14</v>
      </c>
      <c r="C8244" s="538" t="n">
        <v>99.61</v>
      </c>
      <c r="D8244" s="538" t="n">
        <v>112.62</v>
      </c>
      <c r="E8244" s="538" t="n">
        <v>131.65</v>
      </c>
    </row>
    <row r="8245">
      <c r="A8245" s="544" t="n">
        <v>40751</v>
      </c>
      <c r="B8245" s="538" t="n">
        <v>117.99</v>
      </c>
      <c r="C8245" s="538" t="n">
        <v>97.40000000000001</v>
      </c>
      <c r="D8245" s="538" t="n">
        <v>111.26</v>
      </c>
      <c r="E8245" s="538" t="n">
        <v>131.4</v>
      </c>
    </row>
    <row r="8246">
      <c r="A8246" s="544" t="n">
        <v>40752</v>
      </c>
      <c r="B8246" s="538" t="n">
        <v>118.16</v>
      </c>
      <c r="C8246" s="538" t="n">
        <v>97.48</v>
      </c>
      <c r="D8246" s="538" t="n">
        <v>111.23</v>
      </c>
      <c r="E8246" s="538" t="n">
        <v>131.45</v>
      </c>
    </row>
    <row r="8247">
      <c r="A8247" s="544" t="n">
        <v>40753</v>
      </c>
      <c r="B8247" s="538" t="n">
        <v>115.93</v>
      </c>
      <c r="C8247" s="538" t="n">
        <v>95.68000000000001</v>
      </c>
      <c r="D8247" s="538" t="n">
        <v>111.23</v>
      </c>
      <c r="E8247" s="538" t="n">
        <v>130.75</v>
      </c>
    </row>
    <row r="8248">
      <c r="A8248" s="544" t="n">
        <v>40756</v>
      </c>
      <c r="B8248" s="538" t="n">
        <v>116.37</v>
      </c>
      <c r="C8248" s="538" t="n">
        <v>94.98</v>
      </c>
      <c r="D8248" s="538" t="n">
        <v>111.08</v>
      </c>
      <c r="E8248" s="538" t="n">
        <v>134.15</v>
      </c>
    </row>
    <row r="8249">
      <c r="A8249" s="544" t="n">
        <v>40757</v>
      </c>
      <c r="B8249" s="538" t="n">
        <v>116.02</v>
      </c>
      <c r="C8249" s="538" t="n">
        <v>93.78</v>
      </c>
      <c r="D8249" s="538" t="n">
        <v>109.93</v>
      </c>
      <c r="E8249" s="538" t="n">
        <v>130.25</v>
      </c>
    </row>
    <row r="8250">
      <c r="A8250" s="544" t="n">
        <v>40758</v>
      </c>
      <c r="B8250" s="538" t="n">
        <v>113.74</v>
      </c>
      <c r="C8250" s="538" t="n">
        <v>91.87</v>
      </c>
      <c r="D8250" s="538" t="n">
        <v>107.56</v>
      </c>
      <c r="E8250" s="538" t="n">
        <v>129.85</v>
      </c>
    </row>
    <row r="8251">
      <c r="A8251" s="544" t="n">
        <v>40759</v>
      </c>
      <c r="B8251" s="538" t="n">
        <v>110.22</v>
      </c>
      <c r="C8251" s="538" t="n">
        <v>86.75</v>
      </c>
      <c r="D8251" s="538" t="n">
        <v>101.49</v>
      </c>
      <c r="E8251" s="538" t="n">
        <v>127.8</v>
      </c>
    </row>
    <row r="8252">
      <c r="A8252" s="544" t="n">
        <v>40760</v>
      </c>
      <c r="B8252" s="538" t="n">
        <v>106.92</v>
      </c>
      <c r="C8252" s="538" t="n">
        <v>86.89</v>
      </c>
      <c r="D8252" s="538" t="n">
        <v>104.32</v>
      </c>
      <c r="E8252" s="538" t="n">
        <v>121.7</v>
      </c>
    </row>
    <row r="8253">
      <c r="A8253" s="544" t="n">
        <v>40763</v>
      </c>
      <c r="B8253" s="538" t="n">
        <v>103.06</v>
      </c>
      <c r="C8253" s="538" t="n">
        <v>81.27</v>
      </c>
      <c r="D8253" s="538" t="n">
        <v>93.59</v>
      </c>
      <c r="E8253" s="538" t="n">
        <v>121.6</v>
      </c>
    </row>
    <row r="8254">
      <c r="A8254" s="544" t="n">
        <v>40764</v>
      </c>
      <c r="B8254" s="538" t="n">
        <v>103.63</v>
      </c>
      <c r="C8254" s="538" t="n">
        <v>79.31999999999999</v>
      </c>
      <c r="D8254" s="538" t="n">
        <v>99.78</v>
      </c>
      <c r="E8254" s="538" t="n">
        <v>121.6</v>
      </c>
    </row>
    <row r="8255">
      <c r="A8255" s="544" t="n">
        <v>40765</v>
      </c>
      <c r="B8255" s="538" t="n">
        <v>103.84</v>
      </c>
      <c r="C8255" s="538" t="n">
        <v>83.05</v>
      </c>
      <c r="D8255" s="538" t="n">
        <v>101.44</v>
      </c>
      <c r="E8255" s="538" t="n">
        <v>120.1</v>
      </c>
    </row>
    <row r="8256">
      <c r="A8256" s="544" t="n">
        <v>40766</v>
      </c>
      <c r="B8256" s="538" t="n">
        <v>107.82</v>
      </c>
      <c r="C8256" s="538" t="n">
        <v>85.48</v>
      </c>
      <c r="D8256" s="538" t="n">
        <v>102.08</v>
      </c>
      <c r="E8256" s="538" t="n">
        <v>122.3</v>
      </c>
    </row>
    <row r="8257">
      <c r="A8257" s="544" t="n">
        <v>40767</v>
      </c>
      <c r="B8257" s="538" t="n">
        <v>108.17</v>
      </c>
      <c r="C8257" s="538" t="n">
        <v>85.19</v>
      </c>
      <c r="D8257" s="538" t="n">
        <v>102.58</v>
      </c>
      <c r="E8257" s="538" t="n">
        <v>122.7</v>
      </c>
    </row>
    <row r="8258">
      <c r="A8258" s="544" t="n">
        <v>40770</v>
      </c>
      <c r="B8258" s="538" t="n">
        <v>108.89</v>
      </c>
      <c r="C8258" s="538" t="n">
        <v>87.88</v>
      </c>
      <c r="D8258" s="538" t="n">
        <v>104.02</v>
      </c>
      <c r="E8258" s="538" t="n">
        <v>123.7</v>
      </c>
    </row>
    <row r="8259">
      <c r="A8259" s="544" t="n">
        <v>40771</v>
      </c>
      <c r="B8259" s="538" t="n">
        <v>109.69</v>
      </c>
      <c r="C8259" s="538" t="n">
        <v>86.65000000000001</v>
      </c>
      <c r="D8259" s="538" t="n">
        <v>104.55</v>
      </c>
      <c r="E8259" s="538" t="n">
        <v>123.45</v>
      </c>
    </row>
    <row r="8260">
      <c r="A8260" s="544" t="n">
        <v>40772</v>
      </c>
      <c r="B8260" s="538" t="n">
        <v>111.37</v>
      </c>
      <c r="C8260" s="538" t="n">
        <v>87.58</v>
      </c>
      <c r="D8260" s="538" t="n">
        <v>105.32</v>
      </c>
      <c r="E8260" s="538" t="n">
        <v>124.95</v>
      </c>
    </row>
    <row r="8261">
      <c r="A8261" s="544" t="n">
        <v>40773</v>
      </c>
      <c r="B8261" s="538" t="n">
        <v>108.36</v>
      </c>
      <c r="C8261" s="538" t="n">
        <v>82.38</v>
      </c>
      <c r="D8261" s="538" t="n">
        <v>100.94</v>
      </c>
      <c r="E8261" s="538" t="n">
        <v>124.8</v>
      </c>
    </row>
    <row r="8262">
      <c r="A8262" s="544" t="n">
        <v>40774</v>
      </c>
      <c r="B8262" s="538" t="n">
        <v>109.37</v>
      </c>
      <c r="C8262" s="538" t="n">
        <v>82.33</v>
      </c>
      <c r="D8262" s="538" t="n">
        <v>103.97</v>
      </c>
      <c r="E8262" s="538" t="n">
        <v>121.3</v>
      </c>
    </row>
    <row r="8263">
      <c r="A8263" s="544" t="n">
        <v>40777</v>
      </c>
      <c r="B8263" s="538" t="n">
        <v>108.83</v>
      </c>
      <c r="C8263" s="538" t="n">
        <v>84.42</v>
      </c>
      <c r="D8263" s="538" t="n">
        <v>104.34</v>
      </c>
      <c r="E8263" s="538" t="n">
        <v>121.6</v>
      </c>
    </row>
    <row r="8264">
      <c r="A8264" s="544" t="n">
        <v>40778</v>
      </c>
      <c r="B8264" s="538" t="n">
        <v>110.35</v>
      </c>
      <c r="C8264" s="538" t="n">
        <v>85.34999999999999</v>
      </c>
      <c r="D8264" s="538" t="n">
        <v>104.95</v>
      </c>
      <c r="E8264" s="538" t="n">
        <v>124.15</v>
      </c>
    </row>
    <row r="8265">
      <c r="A8265" s="544" t="n">
        <v>40779</v>
      </c>
      <c r="B8265" s="538" t="n">
        <v>111.91</v>
      </c>
      <c r="C8265" s="538" t="n">
        <v>84.98999999999999</v>
      </c>
      <c r="D8265" s="538" t="n">
        <v>105.76</v>
      </c>
      <c r="E8265" s="538" t="n">
        <v>124.15</v>
      </c>
    </row>
    <row r="8266">
      <c r="A8266" s="544" t="n">
        <v>40780</v>
      </c>
      <c r="B8266" s="538" t="n">
        <v>111.91</v>
      </c>
      <c r="C8266" s="538" t="n">
        <v>85.15000000000001</v>
      </c>
      <c r="D8266" s="538" t="n">
        <v>106.2</v>
      </c>
      <c r="E8266" s="538" t="n">
        <v>125.35</v>
      </c>
    </row>
    <row r="8267">
      <c r="A8267" s="544" t="n">
        <v>40781</v>
      </c>
      <c r="B8267" s="538" t="n">
        <v>112.29</v>
      </c>
      <c r="C8267" s="538" t="n">
        <v>85.37</v>
      </c>
      <c r="D8267" s="538" t="n">
        <v>106.87</v>
      </c>
      <c r="E8267" s="538" t="n">
        <v>124.85</v>
      </c>
    </row>
    <row r="8268">
      <c r="A8268" s="544" t="n">
        <v>40784</v>
      </c>
      <c r="B8268" s="538" t="n">
        <v>112.29</v>
      </c>
      <c r="C8268" s="538" t="n">
        <v>87.27</v>
      </c>
      <c r="D8268" s="538" t="n">
        <v>107.7</v>
      </c>
      <c r="E8268" s="538" t="n">
        <v>126.05</v>
      </c>
    </row>
    <row r="8269">
      <c r="A8269" s="544" t="n">
        <v>40785</v>
      </c>
      <c r="B8269" s="538" t="n">
        <v>115.59</v>
      </c>
      <c r="C8269" s="538" t="n">
        <v>88.90000000000001</v>
      </c>
      <c r="D8269" s="538" t="n">
        <v>109.1</v>
      </c>
      <c r="E8269" s="538" t="n">
        <v>126.05</v>
      </c>
    </row>
    <row r="8270">
      <c r="A8270" s="544" t="n">
        <v>40786</v>
      </c>
      <c r="B8270" s="538" t="n">
        <v>116.48</v>
      </c>
      <c r="C8270" s="538" t="n">
        <v>88.81</v>
      </c>
      <c r="D8270" s="538" t="n">
        <v>110.21</v>
      </c>
      <c r="E8270" s="538" t="n">
        <v>128.85</v>
      </c>
    </row>
    <row r="8271">
      <c r="A8271" s="544" t="n">
        <v>40787</v>
      </c>
      <c r="B8271" s="538" t="n">
        <v>116.43</v>
      </c>
      <c r="C8271" s="538" t="n">
        <v>88.93000000000001</v>
      </c>
      <c r="D8271" s="538" t="n">
        <v>108.7</v>
      </c>
      <c r="E8271" s="538" t="n">
        <v>128.7</v>
      </c>
    </row>
    <row r="8272">
      <c r="A8272" s="544" t="n">
        <v>40788</v>
      </c>
      <c r="B8272" s="538" t="n">
        <v>115.92</v>
      </c>
      <c r="C8272" s="538" t="n">
        <v>86.45</v>
      </c>
      <c r="D8272" s="538" t="n">
        <v>107.26</v>
      </c>
      <c r="E8272" s="538" t="n">
        <v>127.6</v>
      </c>
    </row>
    <row r="8273">
      <c r="A8273" s="544" t="n">
        <v>40791</v>
      </c>
      <c r="B8273" s="538" t="n">
        <v>115.92</v>
      </c>
      <c r="C8273" s="538" t="n">
        <v>86.45</v>
      </c>
      <c r="D8273" s="538" t="n">
        <v>105</v>
      </c>
      <c r="E8273" s="538" t="n">
        <v>124.8</v>
      </c>
    </row>
    <row r="8274">
      <c r="A8274" s="544" t="n">
        <v>40792</v>
      </c>
      <c r="B8274" s="538" t="n">
        <v>113.29</v>
      </c>
      <c r="C8274" s="538" t="n">
        <v>85.98999999999999</v>
      </c>
      <c r="D8274" s="538" t="n">
        <v>107.75</v>
      </c>
      <c r="E8274" s="538" t="n">
        <v>124.35</v>
      </c>
    </row>
    <row r="8275">
      <c r="A8275" s="544" t="n">
        <v>40793</v>
      </c>
      <c r="B8275" s="538" t="n">
        <v>117.5</v>
      </c>
      <c r="C8275" s="538" t="n">
        <v>89.34</v>
      </c>
      <c r="D8275" s="538" t="n">
        <v>110.81</v>
      </c>
      <c r="E8275" s="538" t="n">
        <v>126.6</v>
      </c>
    </row>
    <row r="8276">
      <c r="A8276" s="544" t="n">
        <v>40794</v>
      </c>
      <c r="B8276" s="538" t="n">
        <v>117.99</v>
      </c>
      <c r="C8276" s="538" t="n">
        <v>89.05</v>
      </c>
      <c r="D8276" s="538" t="n">
        <v>109.53</v>
      </c>
      <c r="E8276" s="538" t="n">
        <v>127.25</v>
      </c>
    </row>
    <row r="8277">
      <c r="A8277" s="544" t="n">
        <v>40795</v>
      </c>
      <c r="B8277" s="538" t="n">
        <v>115.1</v>
      </c>
      <c r="C8277" s="538" t="n">
        <v>87.23999999999999</v>
      </c>
      <c r="D8277" s="538" t="n">
        <v>106.93</v>
      </c>
      <c r="E8277" s="538" t="n">
        <v>126.5</v>
      </c>
    </row>
    <row r="8278">
      <c r="A8278" s="544" t="n">
        <v>40798</v>
      </c>
      <c r="B8278" s="538" t="n">
        <v>114.75</v>
      </c>
      <c r="C8278" s="538" t="n">
        <v>88.19</v>
      </c>
      <c r="D8278" s="538" t="n">
        <v>106.36</v>
      </c>
      <c r="E8278" s="538" t="n">
        <v>122.4</v>
      </c>
    </row>
    <row r="8279">
      <c r="A8279" s="544" t="n">
        <v>40799</v>
      </c>
      <c r="B8279" s="538" t="n">
        <v>114.08</v>
      </c>
      <c r="C8279" s="538" t="n">
        <v>90.20999999999999</v>
      </c>
      <c r="D8279" s="538" t="n">
        <v>104.36</v>
      </c>
      <c r="E8279" s="538" t="n">
        <v>122.75</v>
      </c>
    </row>
    <row r="8280">
      <c r="A8280" s="544" t="n">
        <v>40800</v>
      </c>
      <c r="B8280" s="538" t="n">
        <v>113.1</v>
      </c>
      <c r="C8280" s="538" t="n">
        <v>88.91</v>
      </c>
      <c r="D8280" s="538" t="n">
        <v>106.25</v>
      </c>
      <c r="E8280" s="538" t="n">
        <v>122.85</v>
      </c>
    </row>
    <row r="8281">
      <c r="A8281" s="544" t="n">
        <v>40801</v>
      </c>
      <c r="B8281" s="538" t="n">
        <v>116.71</v>
      </c>
      <c r="C8281" s="538" t="n">
        <v>89.40000000000001</v>
      </c>
      <c r="D8281" s="538" t="n">
        <v>105.88</v>
      </c>
      <c r="E8281" s="538" t="n">
        <v>123.9</v>
      </c>
    </row>
    <row r="8282">
      <c r="A8282" s="544" t="n">
        <v>40802</v>
      </c>
      <c r="B8282" s="538" t="n">
        <v>116.26</v>
      </c>
      <c r="C8282" s="538" t="n">
        <v>87.95999999999999</v>
      </c>
      <c r="D8282" s="538" t="n">
        <v>107.68</v>
      </c>
      <c r="E8282" s="538" t="n">
        <v>127.2</v>
      </c>
    </row>
    <row r="8283">
      <c r="A8283" s="544" t="n">
        <v>40805</v>
      </c>
      <c r="B8283" s="538" t="n">
        <v>112.89</v>
      </c>
      <c r="C8283" s="538" t="n">
        <v>85.7</v>
      </c>
      <c r="D8283" s="538" t="n">
        <v>104.53</v>
      </c>
      <c r="E8283" s="538" t="n">
        <v>125.2</v>
      </c>
    </row>
    <row r="8284">
      <c r="A8284" s="544" t="n">
        <v>40806</v>
      </c>
      <c r="B8284" s="538" t="n">
        <v>114.39</v>
      </c>
      <c r="C8284" s="538" t="n">
        <v>86.92</v>
      </c>
      <c r="D8284" s="538" t="n">
        <v>105.97</v>
      </c>
      <c r="E8284" s="538" t="n">
        <v>123.65</v>
      </c>
    </row>
    <row r="8285">
      <c r="A8285" s="544" t="n">
        <v>40807</v>
      </c>
      <c r="B8285" s="538" t="n">
        <v>114.26</v>
      </c>
      <c r="C8285" s="538" t="n">
        <v>85.77</v>
      </c>
      <c r="D8285" s="538" t="n">
        <v>104.82</v>
      </c>
      <c r="E8285" s="538" t="n">
        <v>123.65</v>
      </c>
    </row>
    <row r="8286">
      <c r="A8286" s="544" t="n">
        <v>40808</v>
      </c>
      <c r="B8286" s="538" t="n">
        <v>109.21</v>
      </c>
      <c r="C8286" s="538" t="n">
        <v>80.29000000000001</v>
      </c>
      <c r="D8286" s="538" t="n">
        <v>101.63</v>
      </c>
      <c r="E8286" s="538" t="n">
        <v>120.55</v>
      </c>
    </row>
    <row r="8287">
      <c r="A8287" s="544" t="n">
        <v>40809</v>
      </c>
      <c r="B8287" s="538" t="n">
        <v>109.17</v>
      </c>
      <c r="C8287" s="538" t="n">
        <v>79.58</v>
      </c>
      <c r="D8287" s="538" t="n">
        <v>100.02</v>
      </c>
      <c r="E8287" s="538" t="n">
        <v>120.5</v>
      </c>
    </row>
    <row r="8288">
      <c r="A8288" s="544" t="n">
        <v>40812</v>
      </c>
      <c r="B8288" s="538" t="n">
        <v>107.9</v>
      </c>
      <c r="C8288" s="538" t="n">
        <v>79.97</v>
      </c>
      <c r="D8288" s="538" t="n">
        <v>101.92</v>
      </c>
      <c r="E8288" s="538" t="n">
        <v>116.85</v>
      </c>
    </row>
    <row r="8289">
      <c r="A8289" s="544" t="n">
        <v>40813</v>
      </c>
      <c r="B8289" s="538" t="n">
        <v>109.54</v>
      </c>
      <c r="C8289" s="538" t="n">
        <v>84.18000000000001</v>
      </c>
      <c r="D8289" s="538" t="n">
        <v>102.57</v>
      </c>
      <c r="E8289" s="538" t="n">
        <v>119.7</v>
      </c>
    </row>
    <row r="8290">
      <c r="A8290" s="544" t="n">
        <v>40814</v>
      </c>
      <c r="B8290" s="538" t="n">
        <v>108.52</v>
      </c>
      <c r="C8290" s="538" t="n">
        <v>80.94</v>
      </c>
      <c r="D8290" s="538" t="n">
        <v>99.59999999999999</v>
      </c>
      <c r="E8290" s="538" t="n">
        <v>120.7</v>
      </c>
    </row>
    <row r="8291">
      <c r="A8291" s="544" t="n">
        <v>40815</v>
      </c>
      <c r="B8291" s="538" t="n">
        <v>107.08</v>
      </c>
      <c r="C8291" s="538" t="n">
        <v>81.87</v>
      </c>
      <c r="D8291" s="538" t="n">
        <v>100.77</v>
      </c>
      <c r="E8291" s="538" t="n">
        <v>121.65</v>
      </c>
    </row>
    <row r="8292">
      <c r="A8292" s="544" t="n">
        <v>40816</v>
      </c>
      <c r="B8292" s="538" t="n">
        <v>105.42</v>
      </c>
      <c r="C8292" s="538" t="n">
        <v>78.93000000000001</v>
      </c>
      <c r="D8292" s="538" t="n">
        <v>97.89</v>
      </c>
      <c r="E8292" s="538" t="n">
        <v>120.35</v>
      </c>
    </row>
    <row r="8293">
      <c r="A8293" s="544" t="n">
        <v>40819</v>
      </c>
      <c r="B8293" s="538" t="n">
        <v>103.61</v>
      </c>
      <c r="C8293" s="538" t="n">
        <v>77.34</v>
      </c>
      <c r="D8293" s="538" t="n">
        <v>95.73999999999999</v>
      </c>
      <c r="E8293" s="538" t="n">
        <v>118.6</v>
      </c>
    </row>
    <row r="8294">
      <c r="A8294" s="544" t="n">
        <v>40820</v>
      </c>
      <c r="B8294" s="538" t="n">
        <v>101.84</v>
      </c>
      <c r="C8294" s="538" t="n">
        <v>75.40000000000001</v>
      </c>
      <c r="D8294" s="538" t="n">
        <v>96.83</v>
      </c>
      <c r="E8294" s="538" t="n">
        <v>117.25</v>
      </c>
    </row>
    <row r="8295">
      <c r="A8295" s="544" t="n">
        <v>40821</v>
      </c>
      <c r="B8295" s="538" t="n">
        <v>103.77</v>
      </c>
      <c r="C8295" s="538" t="n">
        <v>79.41</v>
      </c>
      <c r="D8295" s="538" t="n">
        <v>97.54000000000001</v>
      </c>
      <c r="E8295" s="538" t="n">
        <v>117.4</v>
      </c>
    </row>
    <row r="8296">
      <c r="A8296" s="544" t="n">
        <v>40822</v>
      </c>
      <c r="B8296" s="538" t="n">
        <v>104.38</v>
      </c>
      <c r="C8296" s="538" t="n">
        <v>82.31999999999999</v>
      </c>
      <c r="D8296" s="538" t="n">
        <v>100.58</v>
      </c>
      <c r="E8296" s="538" t="n">
        <v>117.7</v>
      </c>
    </row>
    <row r="8297">
      <c r="A8297" s="544" t="n">
        <v>40823</v>
      </c>
      <c r="B8297" s="538" t="n">
        <v>106.56</v>
      </c>
      <c r="C8297" s="538" t="n">
        <v>82.7</v>
      </c>
      <c r="D8297" s="538" t="n">
        <v>100.99</v>
      </c>
      <c r="E8297" s="538" t="n">
        <v>119.85</v>
      </c>
    </row>
    <row r="8298">
      <c r="A8298" s="544" t="n">
        <v>40826</v>
      </c>
      <c r="B8298" s="538" t="n">
        <v>109.49</v>
      </c>
      <c r="C8298" s="538" t="n">
        <v>85.14</v>
      </c>
      <c r="D8298" s="538" t="n">
        <v>103.1</v>
      </c>
      <c r="E8298" s="538" t="n">
        <v>119.99</v>
      </c>
    </row>
    <row r="8299">
      <c r="A8299" s="544" t="n">
        <v>40827</v>
      </c>
      <c r="B8299" s="538" t="n">
        <v>109.22</v>
      </c>
      <c r="C8299" s="538" t="n">
        <v>85.54000000000001</v>
      </c>
      <c r="D8299" s="538" t="n">
        <v>103.3</v>
      </c>
      <c r="E8299" s="538" t="n">
        <v>120.56</v>
      </c>
    </row>
    <row r="8300">
      <c r="A8300" s="544" t="n">
        <v>40828</v>
      </c>
      <c r="B8300" s="538" t="n">
        <v>112.44</v>
      </c>
      <c r="C8300" s="538" t="n">
        <v>85.3</v>
      </c>
      <c r="D8300" s="538" t="n">
        <v>103.4</v>
      </c>
      <c r="E8300" s="538" t="n">
        <v>121.57</v>
      </c>
    </row>
    <row r="8301">
      <c r="A8301" s="544" t="n">
        <v>40829</v>
      </c>
      <c r="B8301" s="538" t="n">
        <v>112.45</v>
      </c>
      <c r="C8301" s="538" t="n">
        <v>83.95999999999999</v>
      </c>
      <c r="D8301" s="538" t="n">
        <v>103.89</v>
      </c>
      <c r="E8301" s="538" t="n">
        <v>122</v>
      </c>
    </row>
    <row r="8302">
      <c r="A8302" s="544" t="n">
        <v>40830</v>
      </c>
      <c r="B8302" s="538" t="n">
        <v>114.33</v>
      </c>
      <c r="C8302" s="538" t="n">
        <v>86.8</v>
      </c>
      <c r="D8302" s="538" t="n">
        <v>107.36</v>
      </c>
      <c r="E8302" s="538" t="n">
        <v>123.8</v>
      </c>
    </row>
    <row r="8303">
      <c r="A8303" s="544" t="n">
        <v>40833</v>
      </c>
      <c r="B8303" s="538" t="n">
        <v>112.92</v>
      </c>
      <c r="C8303" s="538" t="n">
        <v>86.38</v>
      </c>
      <c r="D8303" s="538" t="n">
        <v>105.11</v>
      </c>
      <c r="E8303" s="538" t="n">
        <v>127.9</v>
      </c>
    </row>
    <row r="8304">
      <c r="A8304" s="544" t="n">
        <v>40834</v>
      </c>
      <c r="B8304" s="538" t="n">
        <v>112.08</v>
      </c>
      <c r="C8304" s="538" t="n">
        <v>88.34</v>
      </c>
      <c r="D8304" s="538" t="n">
        <v>106.56</v>
      </c>
      <c r="E8304" s="538" t="n">
        <v>124.5</v>
      </c>
    </row>
    <row r="8305">
      <c r="A8305" s="544" t="n">
        <v>40835</v>
      </c>
      <c r="B8305" s="538" t="n">
        <v>111.76</v>
      </c>
      <c r="C8305" s="538" t="n">
        <v>86.11</v>
      </c>
      <c r="D8305" s="538" t="n">
        <v>103.67</v>
      </c>
      <c r="E8305" s="538" t="n">
        <v>125.67</v>
      </c>
    </row>
    <row r="8306">
      <c r="A8306" s="544" t="n">
        <v>40836</v>
      </c>
      <c r="B8306" s="538" t="n">
        <v>109</v>
      </c>
      <c r="C8306" s="538" t="n">
        <v>86.06999999999999</v>
      </c>
      <c r="D8306" s="538" t="n">
        <v>106.13</v>
      </c>
      <c r="E8306" s="538" t="n">
        <v>124.33</v>
      </c>
    </row>
    <row r="8307">
      <c r="A8307" s="544" t="n">
        <v>40837</v>
      </c>
      <c r="B8307" s="538" t="n">
        <v>111.6</v>
      </c>
      <c r="C8307" s="538" t="n">
        <v>87.19</v>
      </c>
      <c r="D8307" s="538" t="n">
        <v>104.97</v>
      </c>
      <c r="E8307" s="538" t="n">
        <v>125.55</v>
      </c>
    </row>
    <row r="8308">
      <c r="A8308" s="544" t="n">
        <v>40840</v>
      </c>
      <c r="B8308" s="538" t="n">
        <v>111.67</v>
      </c>
      <c r="C8308" s="538" t="n">
        <v>91.12</v>
      </c>
      <c r="D8308" s="538" t="n">
        <v>107.02</v>
      </c>
      <c r="E8308" s="538" t="n">
        <v>126.35</v>
      </c>
    </row>
    <row r="8309">
      <c r="A8309" s="544" t="n">
        <v>40841</v>
      </c>
      <c r="B8309" s="538" t="n">
        <v>112.11</v>
      </c>
      <c r="C8309" s="538" t="n">
        <v>92.98</v>
      </c>
      <c r="D8309" s="538" t="n">
        <v>105.95</v>
      </c>
      <c r="E8309" s="538" t="n">
        <v>127.58</v>
      </c>
    </row>
    <row r="8310">
      <c r="A8310" s="544" t="n">
        <v>40842</v>
      </c>
      <c r="B8310" s="538" t="n">
        <v>110.43</v>
      </c>
      <c r="C8310" s="538" t="n">
        <v>90.2</v>
      </c>
      <c r="D8310" s="538" t="n">
        <v>105.74</v>
      </c>
      <c r="E8310" s="538" t="n">
        <v>127.58</v>
      </c>
    </row>
    <row r="8311">
      <c r="A8311" s="544" t="n">
        <v>40843</v>
      </c>
      <c r="B8311" s="538" t="n">
        <v>112.45</v>
      </c>
      <c r="C8311" s="538" t="n">
        <v>93.95999999999999</v>
      </c>
      <c r="D8311" s="538" t="n">
        <v>107.33</v>
      </c>
      <c r="E8311" s="538" t="n">
        <v>127.42</v>
      </c>
    </row>
    <row r="8312">
      <c r="A8312" s="544" t="n">
        <v>40844</v>
      </c>
      <c r="B8312" s="538" t="n">
        <v>110.01</v>
      </c>
      <c r="C8312" s="538" t="n">
        <v>93.31999999999999</v>
      </c>
      <c r="D8312" s="538" t="n">
        <v>105.89</v>
      </c>
      <c r="E8312" s="538" t="n">
        <v>129.27</v>
      </c>
    </row>
    <row r="8313">
      <c r="A8313" s="544" t="n">
        <v>40847</v>
      </c>
      <c r="B8313" s="538" t="n">
        <v>108.43</v>
      </c>
      <c r="C8313" s="538" t="n">
        <v>93.19</v>
      </c>
      <c r="D8313" s="538" t="n">
        <v>104.34</v>
      </c>
      <c r="E8313" s="538" t="n">
        <v>127.29</v>
      </c>
    </row>
    <row r="8314">
      <c r="A8314" s="544" t="n">
        <v>40848</v>
      </c>
      <c r="B8314" s="538" t="n">
        <v>106.97</v>
      </c>
      <c r="C8314" s="538" t="n">
        <v>92.19</v>
      </c>
      <c r="D8314" s="538" t="n">
        <v>104.4</v>
      </c>
      <c r="E8314" s="538" t="n">
        <v>125.91</v>
      </c>
    </row>
    <row r="8315">
      <c r="A8315" s="544" t="n">
        <v>40849</v>
      </c>
      <c r="B8315" s="538" t="n">
        <v>110.82</v>
      </c>
      <c r="C8315" s="538" t="n">
        <v>92.51000000000001</v>
      </c>
      <c r="D8315" s="538" t="n">
        <v>102.92</v>
      </c>
      <c r="E8315" s="538" t="n">
        <v>126.82</v>
      </c>
    </row>
    <row r="8316">
      <c r="A8316" s="544" t="n">
        <v>40850</v>
      </c>
      <c r="B8316" s="538" t="n">
        <v>110.76</v>
      </c>
      <c r="C8316" s="538" t="n">
        <v>94.06999999999999</v>
      </c>
      <c r="D8316" s="538" t="n">
        <v>105.53</v>
      </c>
      <c r="E8316" s="538" t="n">
        <v>124.6</v>
      </c>
    </row>
    <row r="8317">
      <c r="A8317" s="544" t="n">
        <v>40851</v>
      </c>
      <c r="B8317" s="538" t="n">
        <v>112.22</v>
      </c>
      <c r="C8317" s="538" t="n">
        <v>94.26000000000001</v>
      </c>
      <c r="D8317" s="538" t="n">
        <v>107</v>
      </c>
      <c r="E8317" s="538" t="n">
        <v>127.82</v>
      </c>
    </row>
    <row r="8318">
      <c r="A8318" s="544" t="n">
        <v>40854</v>
      </c>
      <c r="B8318" s="538" t="n">
        <v>114.75</v>
      </c>
      <c r="C8318" s="538" t="n">
        <v>95.52</v>
      </c>
      <c r="D8318" s="538" t="n">
        <v>109.31</v>
      </c>
      <c r="E8318" s="538" t="n">
        <v>127.82</v>
      </c>
    </row>
    <row r="8319">
      <c r="A8319" s="544" t="n">
        <v>40855</v>
      </c>
      <c r="B8319" s="538" t="n">
        <v>115.61</v>
      </c>
      <c r="C8319" s="538" t="n">
        <v>96.8</v>
      </c>
      <c r="D8319" s="538" t="n">
        <v>109.97</v>
      </c>
      <c r="E8319" s="538" t="n">
        <v>131.9</v>
      </c>
    </row>
    <row r="8320">
      <c r="A8320" s="544" t="n">
        <v>40856</v>
      </c>
      <c r="B8320" s="538" t="n">
        <v>115.29</v>
      </c>
      <c r="C8320" s="538" t="n">
        <v>95.73999999999999</v>
      </c>
      <c r="D8320" s="538" t="n">
        <v>106.71</v>
      </c>
      <c r="E8320" s="538" t="n">
        <v>131.14</v>
      </c>
    </row>
    <row r="8321">
      <c r="A8321" s="544" t="n">
        <v>40857</v>
      </c>
      <c r="B8321" s="538" t="n">
        <v>113.32</v>
      </c>
      <c r="C8321" s="538" t="n">
        <v>97.78</v>
      </c>
      <c r="D8321" s="538" t="n">
        <v>108.7</v>
      </c>
      <c r="E8321" s="538" t="n">
        <v>129.1</v>
      </c>
    </row>
    <row r="8322">
      <c r="A8322" s="544" t="n">
        <v>40858</v>
      </c>
      <c r="B8322" s="538" t="n">
        <v>114.43</v>
      </c>
      <c r="C8322" s="538" t="n">
        <v>98.98999999999999</v>
      </c>
      <c r="D8322" s="538" t="n">
        <v>109.27</v>
      </c>
      <c r="E8322" s="538" t="n">
        <v>130.89</v>
      </c>
    </row>
    <row r="8323">
      <c r="A8323" s="544" t="n">
        <v>40861</v>
      </c>
      <c r="B8323" s="538" t="n">
        <v>112.57</v>
      </c>
      <c r="C8323" s="538" t="n">
        <v>98.14</v>
      </c>
      <c r="D8323" s="538" t="n">
        <v>107.46</v>
      </c>
      <c r="E8323" s="538" t="n">
        <v>131.36</v>
      </c>
    </row>
    <row r="8324">
      <c r="A8324" s="544" t="n">
        <v>40862</v>
      </c>
      <c r="B8324" s="538" t="n">
        <v>111.9</v>
      </c>
      <c r="C8324" s="538" t="n">
        <v>99.37</v>
      </c>
      <c r="D8324" s="538" t="n">
        <v>109.62</v>
      </c>
      <c r="E8324" s="538" t="n">
        <v>130.96</v>
      </c>
    </row>
    <row r="8325">
      <c r="A8325" s="544" t="n">
        <v>40863</v>
      </c>
      <c r="B8325" s="538" t="n">
        <v>111.91</v>
      </c>
      <c r="C8325" s="538" t="n">
        <v>102.59</v>
      </c>
      <c r="D8325" s="538" t="n">
        <v>108.44</v>
      </c>
      <c r="E8325" s="538" t="n">
        <v>131.09</v>
      </c>
    </row>
    <row r="8326">
      <c r="A8326" s="544" t="n">
        <v>40864</v>
      </c>
      <c r="B8326" s="538" t="n">
        <v>109.25</v>
      </c>
      <c r="C8326" s="538" t="n">
        <v>98.81999999999999</v>
      </c>
      <c r="D8326" s="538" t="n">
        <v>105.21</v>
      </c>
      <c r="E8326" s="538" t="n">
        <v>130.5</v>
      </c>
    </row>
    <row r="8327">
      <c r="A8327" s="544" t="n">
        <v>40865</v>
      </c>
      <c r="B8327" s="538" t="n">
        <v>107.82</v>
      </c>
      <c r="C8327" s="538" t="n">
        <v>97.67</v>
      </c>
      <c r="D8327" s="538" t="n">
        <v>105.2</v>
      </c>
      <c r="E8327" s="538" t="n">
        <v>128.97</v>
      </c>
    </row>
    <row r="8328">
      <c r="A8328" s="544" t="n">
        <v>40868</v>
      </c>
      <c r="B8328" s="538" t="n">
        <v>105.98</v>
      </c>
      <c r="C8328" s="538" t="n">
        <v>96.73</v>
      </c>
      <c r="D8328" s="538" t="n">
        <v>105.24</v>
      </c>
      <c r="E8328" s="538" t="n">
        <v>126.7</v>
      </c>
    </row>
    <row r="8329">
      <c r="A8329" s="544" t="n">
        <v>40869</v>
      </c>
      <c r="B8329" s="538" t="n">
        <v>107.77</v>
      </c>
      <c r="C8329" s="538" t="n">
        <v>97.76000000000001</v>
      </c>
      <c r="D8329" s="538" t="n">
        <v>105.63</v>
      </c>
      <c r="E8329" s="538" t="n">
        <v>126.5</v>
      </c>
    </row>
    <row r="8330">
      <c r="A8330" s="544" t="n">
        <v>40870</v>
      </c>
      <c r="B8330" s="538" t="n">
        <v>106.83</v>
      </c>
      <c r="C8330" s="538" t="n">
        <v>96.16</v>
      </c>
      <c r="D8330" s="538" t="n">
        <v>104.73</v>
      </c>
      <c r="E8330" s="538" t="n">
        <v>127.15</v>
      </c>
    </row>
    <row r="8331">
      <c r="A8331" s="544" t="n">
        <v>40871</v>
      </c>
      <c r="B8331" s="538" t="n">
        <v>106.83</v>
      </c>
      <c r="C8331" s="538" t="n">
        <v>96.16</v>
      </c>
      <c r="D8331" s="538" t="n">
        <v>105.05</v>
      </c>
      <c r="E8331" s="538" t="n">
        <v>125.85</v>
      </c>
    </row>
    <row r="8332">
      <c r="A8332" s="544" t="n">
        <v>40872</v>
      </c>
      <c r="B8332" s="538" t="n">
        <v>106.08</v>
      </c>
      <c r="C8332" s="538" t="n">
        <v>96.91</v>
      </c>
      <c r="D8332" s="538" t="n">
        <v>104.25</v>
      </c>
      <c r="E8332" s="538" t="n">
        <v>125.05</v>
      </c>
    </row>
    <row r="8333">
      <c r="A8333" s="544" t="n">
        <v>40875</v>
      </c>
      <c r="B8333" s="538" t="n">
        <v>109.38</v>
      </c>
      <c r="C8333" s="538" t="n">
        <v>98.20999999999999</v>
      </c>
      <c r="D8333" s="538" t="n">
        <v>105.65</v>
      </c>
      <c r="E8333" s="538" t="n">
        <v>125.03</v>
      </c>
    </row>
    <row r="8334">
      <c r="A8334" s="544" t="n">
        <v>40876</v>
      </c>
      <c r="B8334" s="538" t="n">
        <v>111.25</v>
      </c>
      <c r="C8334" s="538" t="n">
        <v>99.79000000000001</v>
      </c>
      <c r="D8334" s="538" t="n">
        <v>107.69</v>
      </c>
      <c r="E8334" s="538" t="n">
        <v>124.4</v>
      </c>
    </row>
    <row r="8335">
      <c r="A8335" s="544" t="n">
        <v>40877</v>
      </c>
      <c r="B8335" s="538" t="n">
        <v>111.22</v>
      </c>
      <c r="C8335" s="538" t="n">
        <v>100.36</v>
      </c>
      <c r="D8335" s="538" t="n">
        <v>108.08</v>
      </c>
      <c r="E8335" s="538" t="n">
        <v>125.28</v>
      </c>
    </row>
    <row r="8336">
      <c r="A8336" s="544" t="n">
        <v>40878</v>
      </c>
      <c r="B8336" s="538" t="n">
        <v>108.83</v>
      </c>
      <c r="C8336" s="538" t="n">
        <v>100.2</v>
      </c>
      <c r="D8336" s="538" t="n">
        <v>105.47</v>
      </c>
      <c r="E8336" s="538" t="n">
        <v>125.6</v>
      </c>
    </row>
    <row r="8337">
      <c r="A8337" s="544" t="n">
        <v>40879</v>
      </c>
      <c r="B8337" s="538" t="n">
        <v>109.59</v>
      </c>
      <c r="C8337" s="538" t="n">
        <v>100.97</v>
      </c>
      <c r="D8337" s="538" t="n">
        <v>107.01</v>
      </c>
      <c r="E8337" s="538" t="n">
        <v>125.24</v>
      </c>
    </row>
    <row r="8338">
      <c r="A8338" s="544" t="n">
        <v>40882</v>
      </c>
      <c r="B8338" s="538" t="n">
        <v>110.18</v>
      </c>
      <c r="C8338" s="538" t="n">
        <v>100.94</v>
      </c>
      <c r="D8338" s="538" t="n">
        <v>106.03</v>
      </c>
      <c r="E8338" s="538" t="n">
        <v>125.95</v>
      </c>
    </row>
    <row r="8339">
      <c r="A8339" s="544" t="n">
        <v>40883</v>
      </c>
      <c r="B8339" s="538" t="n">
        <v>110.16</v>
      </c>
      <c r="C8339" s="538" t="n">
        <v>101.25</v>
      </c>
      <c r="D8339" s="538" t="n">
        <v>108.02</v>
      </c>
      <c r="E8339" s="538" t="n">
        <v>124.93</v>
      </c>
    </row>
    <row r="8340">
      <c r="A8340" s="544" t="n">
        <v>40884</v>
      </c>
      <c r="B8340" s="538" t="n">
        <v>110.07</v>
      </c>
      <c r="C8340" s="538" t="n">
        <v>100.45</v>
      </c>
      <c r="D8340" s="538" t="n">
        <v>106.23</v>
      </c>
      <c r="E8340" s="538" t="n">
        <v>127</v>
      </c>
    </row>
    <row r="8341">
      <c r="A8341" s="544" t="n">
        <v>40885</v>
      </c>
      <c r="B8341" s="538" t="n">
        <v>108.23</v>
      </c>
      <c r="C8341" s="538" t="n">
        <v>98.34999999999999</v>
      </c>
      <c r="D8341" s="538" t="n">
        <v>104.92</v>
      </c>
      <c r="E8341" s="538" t="n">
        <v>126.44</v>
      </c>
    </row>
    <row r="8342">
      <c r="A8342" s="544" t="n">
        <v>40886</v>
      </c>
      <c r="B8342" s="538" t="n">
        <v>107.91</v>
      </c>
      <c r="C8342" s="538" t="n">
        <v>99.40000000000001</v>
      </c>
      <c r="D8342" s="538" t="n">
        <v>105.75</v>
      </c>
      <c r="E8342" s="538" t="n">
        <v>123.69</v>
      </c>
    </row>
    <row r="8343">
      <c r="A8343" s="544" t="n">
        <v>40889</v>
      </c>
      <c r="B8343" s="538" t="n">
        <v>107.82</v>
      </c>
      <c r="C8343" s="538" t="n">
        <v>97.77</v>
      </c>
      <c r="D8343" s="538" t="n">
        <v>104.26</v>
      </c>
      <c r="E8343" s="538" t="n">
        <v>122.68</v>
      </c>
    </row>
    <row r="8344">
      <c r="A8344" s="544" t="n">
        <v>40890</v>
      </c>
      <c r="B8344" s="538" t="n">
        <v>109.25</v>
      </c>
      <c r="C8344" s="538" t="n">
        <v>100.24</v>
      </c>
      <c r="D8344" s="538" t="n">
        <v>106.06</v>
      </c>
      <c r="E8344" s="538" t="n">
        <v>122.71</v>
      </c>
    </row>
    <row r="8345">
      <c r="A8345" s="544" t="n">
        <v>40891</v>
      </c>
      <c r="B8345" s="538" t="n">
        <v>105.72</v>
      </c>
      <c r="C8345" s="538" t="n">
        <v>94.92</v>
      </c>
      <c r="D8345" s="538" t="n">
        <v>101.9</v>
      </c>
      <c r="E8345" s="538" t="n">
        <v>124.09</v>
      </c>
    </row>
    <row r="8346">
      <c r="A8346" s="544" t="n">
        <v>40892</v>
      </c>
      <c r="B8346" s="538" t="n">
        <v>104.52</v>
      </c>
      <c r="C8346" s="538" t="n">
        <v>93.84</v>
      </c>
      <c r="D8346" s="538" t="n">
        <v>100.71</v>
      </c>
      <c r="E8346" s="538" t="n">
        <v>120.95</v>
      </c>
    </row>
    <row r="8347">
      <c r="A8347" s="544" t="n">
        <v>40893</v>
      </c>
      <c r="B8347" s="538" t="n">
        <v>104</v>
      </c>
      <c r="C8347" s="538" t="n">
        <v>93.55</v>
      </c>
      <c r="D8347" s="538" t="n">
        <v>100.2</v>
      </c>
      <c r="E8347" s="538" t="n">
        <v>119.6</v>
      </c>
    </row>
    <row r="8348">
      <c r="A8348" s="544" t="n">
        <v>40896</v>
      </c>
      <c r="B8348" s="538" t="n">
        <v>104.55</v>
      </c>
      <c r="C8348" s="538" t="n">
        <v>93.86</v>
      </c>
      <c r="D8348" s="538" t="n">
        <v>100.8</v>
      </c>
      <c r="E8348" s="538" t="n">
        <v>118.5</v>
      </c>
    </row>
    <row r="8349">
      <c r="A8349" s="544" t="n">
        <v>40897</v>
      </c>
      <c r="B8349" s="538" t="n">
        <v>107.8</v>
      </c>
      <c r="C8349" s="538" t="n">
        <v>97.16</v>
      </c>
      <c r="D8349" s="538" t="n">
        <v>104.16</v>
      </c>
      <c r="E8349" s="538" t="n">
        <v>119.13</v>
      </c>
    </row>
    <row r="8350">
      <c r="A8350" s="544" t="n">
        <v>40898</v>
      </c>
      <c r="B8350" s="538" t="n">
        <v>108</v>
      </c>
      <c r="C8350" s="538" t="n">
        <v>98.54000000000001</v>
      </c>
      <c r="D8350" s="538" t="n">
        <v>104.2</v>
      </c>
      <c r="E8350" s="538" t="n">
        <v>121.84</v>
      </c>
    </row>
    <row r="8351">
      <c r="A8351" s="544" t="n">
        <v>40899</v>
      </c>
      <c r="B8351" s="538" t="n">
        <v>108.98</v>
      </c>
      <c r="C8351" s="538" t="n">
        <v>99.42</v>
      </c>
      <c r="D8351" s="538" t="n">
        <v>104.37</v>
      </c>
      <c r="E8351" s="538" t="n">
        <v>122.04</v>
      </c>
    </row>
    <row r="8352">
      <c r="A8352" s="544" t="n">
        <v>40900</v>
      </c>
      <c r="B8352" s="538" t="n">
        <v>109.28</v>
      </c>
      <c r="C8352" s="538" t="n">
        <v>99.72</v>
      </c>
      <c r="D8352" s="538" t="n">
        <v>104.26</v>
      </c>
      <c r="E8352" s="538" t="n">
        <v>122.18</v>
      </c>
    </row>
    <row r="8353">
      <c r="A8353" s="544" t="n">
        <v>40903</v>
      </c>
      <c r="B8353" s="538" t="n">
        <v>109.28</v>
      </c>
      <c r="C8353" s="538" t="n">
        <v>99.72</v>
      </c>
      <c r="D8353" s="538" t="n">
        <v>104.37</v>
      </c>
      <c r="E8353" s="538" t="n">
        <v>122.18</v>
      </c>
    </row>
    <row r="8354">
      <c r="A8354" s="544" t="n">
        <v>40904</v>
      </c>
      <c r="B8354" s="538" t="n">
        <v>109.28</v>
      </c>
      <c r="C8354" s="538" t="n">
        <v>101.29</v>
      </c>
      <c r="D8354" s="538" t="n">
        <v>105.93</v>
      </c>
      <c r="E8354" s="538" t="n">
        <v>121.44</v>
      </c>
    </row>
    <row r="8355">
      <c r="A8355" s="544" t="n">
        <v>40905</v>
      </c>
      <c r="B8355" s="538" t="n">
        <v>107.54</v>
      </c>
      <c r="C8355" s="538" t="n">
        <v>99.44</v>
      </c>
      <c r="D8355" s="538" t="n">
        <v>104.25</v>
      </c>
      <c r="E8355" s="538" t="n">
        <v>121.45</v>
      </c>
    </row>
    <row r="8356">
      <c r="A8356" s="544" t="n">
        <v>40906</v>
      </c>
      <c r="B8356" s="538" t="n">
        <v>106.89</v>
      </c>
      <c r="C8356" s="538" t="n">
        <v>99.68000000000001</v>
      </c>
      <c r="D8356" s="538" t="n">
        <v>105.09</v>
      </c>
      <c r="E8356" s="538" t="n">
        <v>121.49</v>
      </c>
    </row>
    <row r="8357">
      <c r="A8357" s="544" t="n">
        <v>40907</v>
      </c>
      <c r="B8357" s="538" t="n">
        <v>108.09</v>
      </c>
      <c r="C8357" s="538" t="n">
        <v>98.83</v>
      </c>
      <c r="D8357" s="538" t="n">
        <v>104.03</v>
      </c>
      <c r="E8357" s="538" t="n">
        <v>121.64</v>
      </c>
    </row>
    <row r="8358">
      <c r="A8358" s="544" t="n">
        <v>40910</v>
      </c>
      <c r="B8358" s="538" t="n">
        <v>108.09</v>
      </c>
      <c r="C8358" s="538" t="n">
        <v>98.83</v>
      </c>
      <c r="D8358" s="538" t="n">
        <v>105.46</v>
      </c>
      <c r="E8358" s="538" t="n">
        <v>121.64</v>
      </c>
    </row>
    <row r="8359">
      <c r="A8359" s="544" t="n">
        <v>40911</v>
      </c>
      <c r="B8359" s="538" t="n">
        <v>111.12</v>
      </c>
      <c r="C8359" s="538" t="n">
        <v>102.96</v>
      </c>
      <c r="D8359" s="538" t="n">
        <v>108.33</v>
      </c>
      <c r="E8359" s="538" t="n">
        <v>123.07</v>
      </c>
    </row>
    <row r="8360">
      <c r="A8360" s="544" t="n">
        <v>40912</v>
      </c>
      <c r="B8360" s="538" t="n">
        <v>113.37</v>
      </c>
      <c r="C8360" s="538" t="n">
        <v>103.22</v>
      </c>
      <c r="D8360" s="538" t="n">
        <v>109.59</v>
      </c>
      <c r="E8360" s="538" t="n">
        <v>125.75</v>
      </c>
    </row>
    <row r="8361">
      <c r="A8361" s="544" t="n">
        <v>40913</v>
      </c>
      <c r="B8361" s="538" t="n">
        <v>113.59</v>
      </c>
      <c r="C8361" s="538" t="n">
        <v>101.81</v>
      </c>
      <c r="D8361" s="538" t="n">
        <v>108.7</v>
      </c>
      <c r="E8361" s="538" t="n">
        <v>127.4</v>
      </c>
    </row>
    <row r="8362">
      <c r="A8362" s="544" t="n">
        <v>40914</v>
      </c>
      <c r="B8362" s="538" t="n">
        <v>111.96</v>
      </c>
      <c r="C8362" s="538" t="n">
        <v>101.56</v>
      </c>
      <c r="D8362" s="538" t="n">
        <v>109.61</v>
      </c>
      <c r="E8362" s="538" t="n">
        <v>127</v>
      </c>
    </row>
    <row r="8363">
      <c r="A8363" s="544" t="n">
        <v>40917</v>
      </c>
      <c r="B8363" s="538" t="n">
        <v>111.07</v>
      </c>
      <c r="C8363" s="538" t="n">
        <v>101.31</v>
      </c>
      <c r="D8363" s="538" t="n">
        <v>109.27</v>
      </c>
      <c r="E8363" s="538" t="n">
        <v>127.9</v>
      </c>
    </row>
    <row r="8364">
      <c r="A8364" s="544" t="n">
        <v>40918</v>
      </c>
      <c r="B8364" s="538" t="n">
        <v>113.3</v>
      </c>
      <c r="C8364" s="538" t="n">
        <v>102.24</v>
      </c>
      <c r="D8364" s="538" t="n">
        <v>109.94</v>
      </c>
      <c r="E8364" s="538" t="n">
        <v>128.36</v>
      </c>
    </row>
    <row r="8365">
      <c r="A8365" s="544" t="n">
        <v>40919</v>
      </c>
      <c r="B8365" s="538" t="n">
        <v>111.66</v>
      </c>
      <c r="C8365" s="538" t="n">
        <v>100.89</v>
      </c>
      <c r="D8365" s="538" t="n">
        <v>109.71</v>
      </c>
      <c r="E8365" s="538" t="n">
        <v>128.82</v>
      </c>
    </row>
    <row r="8366">
      <c r="A8366" s="544" t="n">
        <v>40920</v>
      </c>
      <c r="B8366" s="538" t="n">
        <v>112.97</v>
      </c>
      <c r="C8366" s="538" t="n">
        <v>99.03</v>
      </c>
      <c r="D8366" s="538" t="n">
        <v>109.13</v>
      </c>
      <c r="E8366" s="538" t="n">
        <v>128.29</v>
      </c>
    </row>
    <row r="8367">
      <c r="A8367" s="544" t="n">
        <v>40921</v>
      </c>
      <c r="B8367" s="538" t="n">
        <v>109.88</v>
      </c>
      <c r="C8367" s="538" t="n">
        <v>98.69</v>
      </c>
      <c r="D8367" s="538" t="n">
        <v>108.01</v>
      </c>
      <c r="E8367" s="538" t="n">
        <v>127.34</v>
      </c>
    </row>
    <row r="8368">
      <c r="A8368" s="544" t="n">
        <v>40924</v>
      </c>
      <c r="B8368" s="538" t="n">
        <v>109.88</v>
      </c>
      <c r="C8368" s="538" t="n">
        <v>98.69</v>
      </c>
      <c r="D8368" s="538" t="n">
        <v>109.2</v>
      </c>
      <c r="E8368" s="538" t="n">
        <v>127.18</v>
      </c>
    </row>
    <row r="8369">
      <c r="A8369" s="544" t="n">
        <v>40925</v>
      </c>
      <c r="B8369" s="538" t="n">
        <v>110.55</v>
      </c>
      <c r="C8369" s="538" t="n">
        <v>100.7</v>
      </c>
      <c r="D8369" s="538" t="n">
        <v>109.57</v>
      </c>
      <c r="E8369" s="538" t="n">
        <v>127.62</v>
      </c>
    </row>
    <row r="8370">
      <c r="A8370" s="544" t="n">
        <v>40926</v>
      </c>
      <c r="B8370" s="538" t="n">
        <v>109.81</v>
      </c>
      <c r="C8370" s="538" t="n">
        <v>100.61</v>
      </c>
      <c r="D8370" s="538" t="n">
        <v>109.26</v>
      </c>
      <c r="E8370" s="538" t="n">
        <v>126.4</v>
      </c>
    </row>
    <row r="8371">
      <c r="A8371" s="544" t="n">
        <v>40927</v>
      </c>
      <c r="B8371" s="538" t="n">
        <v>109.54</v>
      </c>
      <c r="C8371" s="538" t="n">
        <v>100.32</v>
      </c>
      <c r="D8371" s="538" t="n">
        <v>109.17</v>
      </c>
      <c r="E8371" s="538" t="n">
        <v>125.58</v>
      </c>
    </row>
    <row r="8372">
      <c r="A8372" s="544" t="n">
        <v>40928</v>
      </c>
      <c r="B8372" s="538" t="n">
        <v>108.5</v>
      </c>
      <c r="C8372" s="538" t="n">
        <v>98.15000000000001</v>
      </c>
      <c r="D8372" s="538" t="n">
        <v>107.78</v>
      </c>
      <c r="E8372" s="538" t="n">
        <v>126.23</v>
      </c>
    </row>
    <row r="8373">
      <c r="A8373" s="544" t="n">
        <v>40931</v>
      </c>
      <c r="B8373" s="538" t="n">
        <v>109.46</v>
      </c>
      <c r="C8373" s="538" t="n">
        <v>99.47</v>
      </c>
      <c r="D8373" s="538" t="n">
        <v>108.23</v>
      </c>
      <c r="E8373" s="538" t="n">
        <v>126.23</v>
      </c>
    </row>
    <row r="8374">
      <c r="A8374" s="544" t="n">
        <v>40932</v>
      </c>
      <c r="B8374" s="538" t="n">
        <v>108.38</v>
      </c>
      <c r="C8374" s="538" t="n">
        <v>98.84</v>
      </c>
      <c r="D8374" s="538" t="n">
        <v>107.94</v>
      </c>
      <c r="E8374" s="538" t="n">
        <v>126.23</v>
      </c>
    </row>
    <row r="8375">
      <c r="A8375" s="544" t="n">
        <v>40933</v>
      </c>
      <c r="B8375" s="538" t="n">
        <v>108.48</v>
      </c>
      <c r="C8375" s="538" t="n">
        <v>99.23</v>
      </c>
      <c r="D8375" s="538" t="n">
        <v>108.16</v>
      </c>
      <c r="E8375" s="538" t="n">
        <v>125.63</v>
      </c>
    </row>
    <row r="8376">
      <c r="A8376" s="544" t="n">
        <v>40934</v>
      </c>
      <c r="B8376" s="538" t="n">
        <v>109.08</v>
      </c>
      <c r="C8376" s="538" t="n">
        <v>99.76000000000001</v>
      </c>
      <c r="D8376" s="538" t="n">
        <v>109.76</v>
      </c>
      <c r="E8376" s="538" t="n">
        <v>125.86</v>
      </c>
    </row>
    <row r="8377">
      <c r="A8377" s="544" t="n">
        <v>40935</v>
      </c>
      <c r="B8377" s="538" t="n">
        <v>110.5</v>
      </c>
      <c r="C8377" s="538" t="n">
        <v>99.47</v>
      </c>
      <c r="D8377" s="538" t="n">
        <v>109.78</v>
      </c>
      <c r="E8377" s="538" t="n">
        <v>125.74</v>
      </c>
    </row>
    <row r="8378">
      <c r="A8378" s="544" t="n">
        <v>40938</v>
      </c>
      <c r="B8378" s="538" t="n">
        <v>110.24</v>
      </c>
      <c r="C8378" s="538" t="n">
        <v>98.75</v>
      </c>
      <c r="D8378" s="538" t="n">
        <v>109.32</v>
      </c>
      <c r="E8378" s="538" t="n">
        <v>126.4</v>
      </c>
    </row>
    <row r="8379">
      <c r="A8379" s="544" t="n">
        <v>40939</v>
      </c>
      <c r="B8379" s="538" t="n">
        <v>110.26</v>
      </c>
      <c r="C8379" s="538" t="n">
        <v>98.45999999999999</v>
      </c>
      <c r="D8379" s="538" t="n">
        <v>108.05</v>
      </c>
      <c r="E8379" s="538" t="n">
        <v>126.7</v>
      </c>
    </row>
    <row r="8380">
      <c r="A8380" s="544" t="n">
        <v>40940</v>
      </c>
      <c r="B8380" s="538" t="n">
        <v>111.96</v>
      </c>
      <c r="C8380" s="538" t="n">
        <v>97.63</v>
      </c>
      <c r="D8380" s="538" t="n">
        <v>109.26</v>
      </c>
      <c r="E8380" s="538" t="n">
        <v>126.8</v>
      </c>
    </row>
    <row r="8381">
      <c r="A8381" s="544" t="n">
        <v>40941</v>
      </c>
      <c r="B8381" s="538" t="n">
        <v>110.96</v>
      </c>
      <c r="C8381" s="538" t="n">
        <v>96.36</v>
      </c>
      <c r="D8381" s="538" t="n">
        <v>109.8</v>
      </c>
      <c r="E8381" s="538" t="n">
        <v>127.5</v>
      </c>
    </row>
    <row r="8382">
      <c r="A8382" s="544" t="n">
        <v>40942</v>
      </c>
      <c r="B8382" s="538" t="n">
        <v>112.56</v>
      </c>
      <c r="C8382" s="538" t="n">
        <v>97.8</v>
      </c>
      <c r="D8382" s="538" t="n">
        <v>112.47</v>
      </c>
      <c r="E8382" s="538" t="n">
        <v>127.74</v>
      </c>
    </row>
    <row r="8383">
      <c r="A8383" s="544" t="n">
        <v>40945</v>
      </c>
      <c r="B8383" s="538" t="n">
        <v>115.47</v>
      </c>
      <c r="C8383" s="538" t="n">
        <v>96.89</v>
      </c>
      <c r="D8383" s="538" t="n">
        <v>113.74</v>
      </c>
      <c r="E8383" s="538" t="n">
        <v>129.41</v>
      </c>
    </row>
    <row r="8384">
      <c r="A8384" s="544" t="n">
        <v>40946</v>
      </c>
      <c r="B8384" s="538" t="n">
        <v>116.86</v>
      </c>
      <c r="C8384" s="538" t="n">
        <v>98.55</v>
      </c>
      <c r="D8384" s="538" t="n">
        <v>113.96</v>
      </c>
      <c r="E8384" s="538" t="n">
        <v>130.82</v>
      </c>
    </row>
    <row r="8385">
      <c r="A8385" s="544" t="n">
        <v>40947</v>
      </c>
      <c r="B8385" s="538" t="n">
        <v>117.18</v>
      </c>
      <c r="C8385" s="538" t="n">
        <v>98.8</v>
      </c>
      <c r="D8385" s="538" t="n">
        <v>114.61</v>
      </c>
      <c r="E8385" s="538" t="n">
        <v>131.6</v>
      </c>
    </row>
    <row r="8386">
      <c r="A8386" s="544" t="n">
        <v>40948</v>
      </c>
      <c r="B8386" s="538" t="n">
        <v>118.4</v>
      </c>
      <c r="C8386" s="538" t="n">
        <v>99.88</v>
      </c>
      <c r="D8386" s="538" t="n">
        <v>115.21</v>
      </c>
      <c r="E8386" s="538" t="n">
        <v>131.68</v>
      </c>
    </row>
    <row r="8387">
      <c r="A8387" s="544" t="n">
        <v>40949</v>
      </c>
      <c r="B8387" s="538" t="n">
        <v>118.13</v>
      </c>
      <c r="C8387" s="538" t="n">
        <v>98.68000000000001</v>
      </c>
      <c r="D8387" s="538" t="n">
        <v>114.78</v>
      </c>
      <c r="E8387" s="538" t="n">
        <v>131.32</v>
      </c>
    </row>
    <row r="8388">
      <c r="A8388" s="544" t="n">
        <v>40952</v>
      </c>
      <c r="B8388" s="538" t="n">
        <v>118.73</v>
      </c>
      <c r="C8388" s="538" t="n">
        <v>100.39</v>
      </c>
      <c r="D8388" s="538" t="n">
        <v>115.13</v>
      </c>
      <c r="E8388" s="538" t="n">
        <v>131.82</v>
      </c>
    </row>
    <row r="8389">
      <c r="A8389" s="544" t="n">
        <v>40953</v>
      </c>
      <c r="B8389" s="538" t="n">
        <v>118.3</v>
      </c>
      <c r="C8389" s="538" t="n">
        <v>100.82</v>
      </c>
      <c r="D8389" s="538" t="n">
        <v>117.01</v>
      </c>
      <c r="E8389" s="538" t="n">
        <v>130.48</v>
      </c>
    </row>
    <row r="8390">
      <c r="A8390" s="544" t="n">
        <v>40954</v>
      </c>
      <c r="B8390" s="538" t="n">
        <v>120.25</v>
      </c>
      <c r="C8390" s="538" t="n">
        <v>101.82</v>
      </c>
      <c r="D8390" s="538" t="n">
        <v>117.01</v>
      </c>
      <c r="E8390" s="538" t="n">
        <v>132.07</v>
      </c>
    </row>
    <row r="8391">
      <c r="A8391" s="544" t="n">
        <v>40955</v>
      </c>
      <c r="B8391" s="538" t="n">
        <v>121</v>
      </c>
      <c r="C8391" s="538" t="n">
        <v>102.33</v>
      </c>
      <c r="D8391" s="538" t="n">
        <v>117.75</v>
      </c>
      <c r="E8391" s="538" t="n">
        <v>131.84</v>
      </c>
    </row>
    <row r="8392">
      <c r="A8392" s="544" t="n">
        <v>40956</v>
      </c>
      <c r="B8392" s="538" t="n">
        <v>120.69</v>
      </c>
      <c r="C8392" s="538" t="n">
        <v>103.27</v>
      </c>
      <c r="D8392" s="538" t="n">
        <v>116.33</v>
      </c>
      <c r="E8392" s="538" t="n">
        <v>133.28</v>
      </c>
    </row>
    <row r="8393">
      <c r="A8393" s="544" t="n">
        <v>40959</v>
      </c>
      <c r="B8393" s="538" t="n">
        <v>120.69</v>
      </c>
      <c r="C8393" s="538" t="n">
        <v>103.27</v>
      </c>
      <c r="D8393" s="538" t="n">
        <v>117.42</v>
      </c>
      <c r="E8393" s="538" t="n">
        <v>133.36</v>
      </c>
    </row>
    <row r="8394">
      <c r="A8394" s="544" t="n">
        <v>40960</v>
      </c>
      <c r="B8394" s="538" t="n">
        <v>120.85</v>
      </c>
      <c r="C8394" s="538" t="n">
        <v>105.88</v>
      </c>
      <c r="D8394" s="538" t="n">
        <v>119.17</v>
      </c>
      <c r="E8394" s="538" t="n">
        <v>133.77</v>
      </c>
    </row>
    <row r="8395">
      <c r="A8395" s="544" t="n">
        <v>40961</v>
      </c>
      <c r="B8395" s="538" t="n">
        <v>123.07</v>
      </c>
      <c r="C8395" s="538" t="n">
        <v>105.99</v>
      </c>
      <c r="D8395" s="538" t="n">
        <v>120.08</v>
      </c>
      <c r="E8395" s="538" t="n">
        <v>135.18</v>
      </c>
    </row>
    <row r="8396">
      <c r="A8396" s="544" t="n">
        <v>40962</v>
      </c>
      <c r="B8396" s="538" t="n">
        <v>124.53</v>
      </c>
      <c r="C8396" s="538" t="n">
        <v>107.44</v>
      </c>
      <c r="D8396" s="538" t="n">
        <v>121.43</v>
      </c>
      <c r="E8396" s="538" t="n">
        <v>136.33</v>
      </c>
    </row>
    <row r="8397">
      <c r="A8397" s="544" t="n">
        <v>40963</v>
      </c>
      <c r="B8397" s="538" t="n">
        <v>124.89</v>
      </c>
      <c r="C8397" s="538" t="n">
        <v>109.39</v>
      </c>
      <c r="D8397" s="538" t="n">
        <v>123.13</v>
      </c>
      <c r="E8397" s="538" t="n">
        <v>137.28</v>
      </c>
    </row>
    <row r="8398">
      <c r="A8398" s="544" t="n">
        <v>40966</v>
      </c>
      <c r="B8398" s="538" t="n">
        <v>126.46</v>
      </c>
      <c r="C8398" s="538" t="n">
        <v>108.49</v>
      </c>
      <c r="D8398" s="538" t="n">
        <v>121.62</v>
      </c>
      <c r="E8398" s="538" t="n">
        <v>137.19</v>
      </c>
    </row>
    <row r="8399">
      <c r="A8399" s="544" t="n">
        <v>40967</v>
      </c>
      <c r="B8399" s="538" t="n">
        <v>124.02</v>
      </c>
      <c r="C8399" s="538" t="n">
        <v>106.59</v>
      </c>
      <c r="D8399" s="538" t="n">
        <v>119.94</v>
      </c>
      <c r="E8399" s="538" t="n">
        <v>136.73</v>
      </c>
    </row>
    <row r="8400">
      <c r="A8400" s="544" t="n">
        <v>40968</v>
      </c>
      <c r="B8400" s="538" t="n">
        <v>122.23</v>
      </c>
      <c r="C8400" s="538" t="n">
        <v>107.08</v>
      </c>
      <c r="D8400" s="538" t="n">
        <v>119.7</v>
      </c>
      <c r="E8400" s="538" t="n">
        <v>135.38</v>
      </c>
    </row>
    <row r="8401">
      <c r="A8401" s="544" t="n">
        <v>40969</v>
      </c>
      <c r="B8401" s="538" t="n">
        <v>125.76</v>
      </c>
      <c r="C8401" s="538" t="n">
        <v>108.76</v>
      </c>
      <c r="D8401" s="538" t="n">
        <v>123.32</v>
      </c>
      <c r="E8401" s="538" t="n">
        <v>134.1</v>
      </c>
    </row>
    <row r="8402">
      <c r="A8402" s="544" t="n">
        <v>40970</v>
      </c>
      <c r="B8402" s="538" t="n">
        <v>125.93</v>
      </c>
      <c r="C8402" s="538" t="n">
        <v>106.68</v>
      </c>
      <c r="D8402" s="538" t="n">
        <v>120.72</v>
      </c>
      <c r="E8402" s="538" t="n">
        <v>135.38</v>
      </c>
    </row>
    <row r="8403">
      <c r="A8403" s="544" t="n">
        <v>40973</v>
      </c>
      <c r="B8403" s="538" t="n">
        <v>126.68</v>
      </c>
      <c r="C8403" s="538" t="n">
        <v>106.7</v>
      </c>
      <c r="D8403" s="538" t="n">
        <v>121.42</v>
      </c>
      <c r="E8403" s="538" t="n">
        <v>134</v>
      </c>
    </row>
    <row r="8404">
      <c r="A8404" s="544" t="n">
        <v>40974</v>
      </c>
      <c r="B8404" s="538" t="n">
        <v>125.03</v>
      </c>
      <c r="C8404" s="538" t="n">
        <v>104.71</v>
      </c>
      <c r="D8404" s="538" t="n">
        <v>120.51</v>
      </c>
      <c r="E8404" s="538" t="n">
        <v>134.9</v>
      </c>
    </row>
    <row r="8405">
      <c r="A8405" s="544" t="n">
        <v>40975</v>
      </c>
      <c r="B8405" s="538" t="n">
        <v>125.37</v>
      </c>
      <c r="C8405" s="538" t="n">
        <v>106.16</v>
      </c>
      <c r="D8405" s="538" t="n">
        <v>122.29</v>
      </c>
      <c r="E8405" s="538" t="n">
        <v>133.97</v>
      </c>
    </row>
    <row r="8406">
      <c r="A8406" s="544" t="n">
        <v>40976</v>
      </c>
      <c r="B8406" s="538" t="n">
        <v>127.96</v>
      </c>
      <c r="C8406" s="538" t="n">
        <v>106.65</v>
      </c>
      <c r="D8406" s="538" t="n">
        <v>123.77</v>
      </c>
      <c r="E8406" s="538" t="n">
        <v>135.42</v>
      </c>
    </row>
    <row r="8407">
      <c r="A8407" s="544" t="n">
        <v>40977</v>
      </c>
      <c r="B8407" s="538" t="n">
        <v>128.08</v>
      </c>
      <c r="C8407" s="538" t="n">
        <v>107.4</v>
      </c>
      <c r="D8407" s="538" t="n">
        <v>124.41</v>
      </c>
      <c r="E8407" s="538" t="n">
        <v>137.07</v>
      </c>
    </row>
    <row r="8408">
      <c r="A8408" s="544" t="n">
        <v>40980</v>
      </c>
      <c r="B8408" s="538" t="n">
        <v>127.27</v>
      </c>
      <c r="C8408" s="538" t="n">
        <v>106.34</v>
      </c>
      <c r="D8408" s="538" t="n">
        <v>123.92</v>
      </c>
      <c r="E8408" s="538" t="n">
        <v>136.83</v>
      </c>
    </row>
    <row r="8409">
      <c r="A8409" s="544" t="n">
        <v>40981</v>
      </c>
      <c r="B8409" s="538" t="n">
        <v>128.14</v>
      </c>
      <c r="C8409" s="538" t="n">
        <v>106.7</v>
      </c>
      <c r="D8409" s="538" t="n">
        <v>124.33</v>
      </c>
      <c r="E8409" s="538" t="n">
        <v>136.82</v>
      </c>
    </row>
    <row r="8410">
      <c r="A8410" s="544" t="n">
        <v>40982</v>
      </c>
      <c r="B8410" s="538" t="n">
        <v>126.98</v>
      </c>
      <c r="C8410" s="538" t="n">
        <v>105.49</v>
      </c>
      <c r="D8410" s="538" t="n">
        <v>123.49</v>
      </c>
      <c r="E8410" s="538" t="n">
        <v>137.42</v>
      </c>
    </row>
    <row r="8411">
      <c r="A8411" s="544" t="n">
        <v>40983</v>
      </c>
      <c r="B8411" s="538" t="n">
        <v>123.63</v>
      </c>
      <c r="C8411" s="538" t="n">
        <v>105.19</v>
      </c>
      <c r="D8411" s="538" t="n">
        <v>123.28</v>
      </c>
      <c r="E8411" s="538" t="n">
        <v>137.22</v>
      </c>
    </row>
    <row r="8412">
      <c r="A8412" s="544" t="n">
        <v>40984</v>
      </c>
      <c r="B8412" s="538" t="n">
        <v>125.09</v>
      </c>
      <c r="C8412" s="538" t="n">
        <v>107.03</v>
      </c>
      <c r="D8412" s="538" t="n">
        <v>124.7</v>
      </c>
      <c r="E8412" s="538" t="n">
        <v>136.23</v>
      </c>
    </row>
    <row r="8413">
      <c r="A8413" s="544" t="n">
        <v>40987</v>
      </c>
      <c r="B8413" s="538" t="n">
        <v>125.76</v>
      </c>
      <c r="C8413" s="538" t="n">
        <v>108.09</v>
      </c>
      <c r="D8413" s="538" t="n">
        <v>123.66</v>
      </c>
      <c r="E8413" s="538" t="n">
        <v>137.38</v>
      </c>
    </row>
    <row r="8414">
      <c r="A8414" s="544" t="n">
        <v>40988</v>
      </c>
      <c r="B8414" s="538" t="n">
        <v>124.38</v>
      </c>
      <c r="C8414" s="538" t="n">
        <v>105.68</v>
      </c>
      <c r="D8414" s="538" t="n">
        <v>123.73</v>
      </c>
      <c r="E8414" s="538" t="n">
        <v>137.16</v>
      </c>
    </row>
    <row r="8415">
      <c r="A8415" s="544" t="n">
        <v>40989</v>
      </c>
      <c r="B8415" s="538" t="n">
        <v>123.89</v>
      </c>
      <c r="C8415" s="538" t="n">
        <v>106.87</v>
      </c>
      <c r="D8415" s="538" t="n">
        <v>122.5</v>
      </c>
      <c r="E8415" s="538" t="n">
        <v>136.93</v>
      </c>
    </row>
    <row r="8416">
      <c r="A8416" s="544" t="n">
        <v>40990</v>
      </c>
      <c r="B8416" s="538" t="n">
        <v>122.49</v>
      </c>
      <c r="C8416" s="538" t="n">
        <v>104.98</v>
      </c>
      <c r="D8416" s="538" t="n">
        <v>121.82</v>
      </c>
      <c r="E8416" s="538" t="n">
        <v>135.84</v>
      </c>
    </row>
    <row r="8417">
      <c r="A8417" s="544" t="n">
        <v>40991</v>
      </c>
      <c r="B8417" s="538" t="n">
        <v>125.21</v>
      </c>
      <c r="C8417" s="538" t="n">
        <v>106.43</v>
      </c>
      <c r="D8417" s="538" t="n">
        <v>123.63</v>
      </c>
      <c r="E8417" s="538" t="n">
        <v>135.81</v>
      </c>
    </row>
    <row r="8418">
      <c r="A8418" s="544" t="n">
        <v>40994</v>
      </c>
      <c r="B8418" s="538" t="n">
        <v>125.85</v>
      </c>
      <c r="C8418" s="538" t="n">
        <v>107.07</v>
      </c>
      <c r="D8418" s="538" t="n">
        <v>123.49</v>
      </c>
      <c r="E8418" s="538" t="n">
        <v>136.64</v>
      </c>
    </row>
    <row r="8419">
      <c r="A8419" s="544" t="n">
        <v>40995</v>
      </c>
      <c r="B8419" s="538" t="n">
        <v>125.25</v>
      </c>
      <c r="C8419" s="538" t="n">
        <v>107.32</v>
      </c>
      <c r="D8419" s="538" t="n">
        <v>122.54</v>
      </c>
      <c r="E8419" s="538" t="n">
        <v>137.58</v>
      </c>
    </row>
    <row r="8420">
      <c r="A8420" s="544" t="n">
        <v>40996</v>
      </c>
      <c r="B8420" s="538" t="n">
        <v>124.41</v>
      </c>
      <c r="C8420" s="538" t="n">
        <v>105.4</v>
      </c>
      <c r="D8420" s="538" t="n">
        <v>121.33</v>
      </c>
      <c r="E8420" s="538" t="n">
        <v>136.73</v>
      </c>
    </row>
    <row r="8421">
      <c r="A8421" s="544" t="n">
        <v>40997</v>
      </c>
      <c r="B8421" s="538" t="n">
        <v>123.23</v>
      </c>
      <c r="C8421" s="538" t="n">
        <v>102.79</v>
      </c>
      <c r="D8421" s="538" t="n">
        <v>120.28</v>
      </c>
      <c r="E8421" s="538" t="n">
        <v>136.85</v>
      </c>
    </row>
    <row r="8422">
      <c r="A8422" s="544" t="n">
        <v>40998</v>
      </c>
      <c r="B8422" s="538" t="n">
        <v>123.41</v>
      </c>
      <c r="C8422" s="538" t="n">
        <v>103.03</v>
      </c>
      <c r="D8422" s="538" t="n">
        <v>120.29</v>
      </c>
      <c r="E8422" s="538" t="n">
        <v>135.6</v>
      </c>
    </row>
    <row r="8423">
      <c r="A8423" s="544" t="n">
        <v>41001</v>
      </c>
      <c r="B8423" s="538" t="n">
        <v>124.44</v>
      </c>
      <c r="C8423" s="538" t="n">
        <v>105.25</v>
      </c>
      <c r="D8423" s="538" t="n">
        <v>122.36</v>
      </c>
      <c r="E8423" s="538" t="n">
        <v>135.19</v>
      </c>
    </row>
    <row r="8424">
      <c r="A8424" s="544" t="n">
        <v>41002</v>
      </c>
      <c r="B8424" s="538" t="n">
        <v>124.44</v>
      </c>
      <c r="C8424" s="538" t="n">
        <v>104.02</v>
      </c>
      <c r="D8424" s="538" t="n">
        <v>121.77</v>
      </c>
      <c r="E8424" s="538" t="n">
        <v>137.2</v>
      </c>
    </row>
    <row r="8425">
      <c r="A8425" s="544" t="n">
        <v>41003</v>
      </c>
      <c r="B8425" s="538" t="n">
        <v>123.04</v>
      </c>
      <c r="C8425" s="538" t="n">
        <v>101.53</v>
      </c>
      <c r="D8425" s="538" t="n">
        <v>120.26</v>
      </c>
      <c r="E8425" s="538" t="n">
        <v>136.89</v>
      </c>
    </row>
    <row r="8426">
      <c r="A8426" s="544" t="n">
        <v>41004</v>
      </c>
      <c r="B8426" s="538" t="n">
        <v>123.58</v>
      </c>
      <c r="C8426" s="538" t="n">
        <v>103.29</v>
      </c>
      <c r="D8426" s="538" t="n">
        <v>120.87</v>
      </c>
      <c r="E8426" s="538" t="n">
        <v>135.06</v>
      </c>
    </row>
    <row r="8427">
      <c r="A8427" s="544" t="n">
        <v>41005</v>
      </c>
      <c r="B8427" s="538" t="n">
        <v>123.58</v>
      </c>
      <c r="C8427" s="538" t="n">
        <v>103.29</v>
      </c>
      <c r="D8427" s="538" t="n">
        <v>120.75</v>
      </c>
      <c r="E8427" s="538" t="n">
        <v>135.06</v>
      </c>
    </row>
    <row r="8428">
      <c r="A8428" s="544" t="n">
        <v>41008</v>
      </c>
      <c r="B8428" s="538" t="n">
        <v>123.58</v>
      </c>
      <c r="C8428" s="538" t="n">
        <v>102.45</v>
      </c>
      <c r="D8428" s="538" t="n">
        <v>119.98</v>
      </c>
      <c r="E8428" s="538" t="n">
        <v>133.95</v>
      </c>
    </row>
    <row r="8429">
      <c r="A8429" s="544" t="n">
        <v>41009</v>
      </c>
      <c r="B8429" s="538" t="n">
        <v>121.89</v>
      </c>
      <c r="C8429" s="538" t="n">
        <v>101.12</v>
      </c>
      <c r="D8429" s="538" t="n">
        <v>117.1</v>
      </c>
      <c r="E8429" s="538" t="n">
        <v>133.56</v>
      </c>
    </row>
    <row r="8430">
      <c r="A8430" s="544" t="n">
        <v>41010</v>
      </c>
      <c r="B8430" s="538" t="n">
        <v>120.41</v>
      </c>
      <c r="C8430" s="538" t="n">
        <v>102.66</v>
      </c>
      <c r="D8430" s="538" t="n">
        <v>117.3</v>
      </c>
      <c r="E8430" s="538" t="n">
        <v>131.44</v>
      </c>
    </row>
    <row r="8431">
      <c r="A8431" s="544" t="n">
        <v>41011</v>
      </c>
      <c r="B8431" s="538" t="n">
        <v>120.57</v>
      </c>
      <c r="C8431" s="538" t="n">
        <v>103.69</v>
      </c>
      <c r="D8431" s="538" t="n">
        <v>118.76</v>
      </c>
      <c r="E8431" s="538" t="n">
        <v>132.71</v>
      </c>
    </row>
    <row r="8432">
      <c r="A8432" s="544" t="n">
        <v>41012</v>
      </c>
      <c r="B8432" s="538" t="n">
        <v>120.62</v>
      </c>
      <c r="C8432" s="538" t="n">
        <v>102.84</v>
      </c>
      <c r="D8432" s="538" t="n">
        <v>118.85</v>
      </c>
      <c r="E8432" s="538" t="n">
        <v>133.43</v>
      </c>
    </row>
    <row r="8433">
      <c r="A8433" s="544" t="n">
        <v>41015</v>
      </c>
      <c r="B8433" s="538" t="n">
        <v>118.23</v>
      </c>
      <c r="C8433" s="538" t="n">
        <v>102.92</v>
      </c>
      <c r="D8433" s="538" t="n">
        <v>115.13</v>
      </c>
      <c r="E8433" s="538" t="n">
        <v>132.67</v>
      </c>
    </row>
    <row r="8434">
      <c r="A8434" s="544" t="n">
        <v>41016</v>
      </c>
      <c r="B8434" s="538" t="n">
        <v>117.41</v>
      </c>
      <c r="C8434" s="538" t="n">
        <v>104.23</v>
      </c>
      <c r="D8434" s="538" t="n">
        <v>115.21</v>
      </c>
      <c r="E8434" s="538" t="n">
        <v>132.07</v>
      </c>
    </row>
    <row r="8435">
      <c r="A8435" s="544" t="n">
        <v>41017</v>
      </c>
      <c r="B8435" s="538" t="n">
        <v>115.18</v>
      </c>
      <c r="C8435" s="538" t="n">
        <v>102.65</v>
      </c>
      <c r="D8435" s="538" t="n">
        <v>115.2</v>
      </c>
      <c r="E8435" s="538" t="n">
        <v>132</v>
      </c>
    </row>
    <row r="8436">
      <c r="A8436" s="544" t="n">
        <v>41018</v>
      </c>
      <c r="B8436" s="538" t="n">
        <v>117</v>
      </c>
      <c r="C8436" s="538" t="n">
        <v>102.38</v>
      </c>
      <c r="D8436" s="538" t="n">
        <v>114.87</v>
      </c>
      <c r="E8436" s="538" t="n">
        <v>132.46</v>
      </c>
    </row>
    <row r="8437">
      <c r="A8437" s="544" t="n">
        <v>41019</v>
      </c>
      <c r="B8437" s="538" t="n">
        <v>118.08</v>
      </c>
      <c r="C8437" s="538" t="n">
        <v>103.58</v>
      </c>
      <c r="D8437" s="538" t="n">
        <v>116.07</v>
      </c>
      <c r="E8437" s="538" t="n">
        <v>132.31</v>
      </c>
    </row>
    <row r="8438">
      <c r="A8438" s="544" t="n">
        <v>41022</v>
      </c>
      <c r="B8438" s="538" t="n">
        <v>116.66</v>
      </c>
      <c r="C8438" s="538" t="n">
        <v>102.68</v>
      </c>
      <c r="D8438" s="538" t="n">
        <v>115.13</v>
      </c>
      <c r="E8438" s="538" t="n">
        <v>131.7</v>
      </c>
    </row>
    <row r="8439">
      <c r="A8439" s="544" t="n">
        <v>41023</v>
      </c>
      <c r="B8439" s="538" t="n">
        <v>117.74</v>
      </c>
      <c r="C8439" s="538" t="n">
        <v>103.1</v>
      </c>
      <c r="D8439" s="538" t="n">
        <v>114.11</v>
      </c>
      <c r="E8439" s="538" t="n">
        <v>132.12</v>
      </c>
    </row>
    <row r="8440">
      <c r="A8440" s="544" t="n">
        <v>41024</v>
      </c>
      <c r="B8440" s="538" t="n">
        <v>117.45</v>
      </c>
      <c r="C8440" s="538" t="n">
        <v>103.72</v>
      </c>
      <c r="D8440" s="538" t="n">
        <v>115.3</v>
      </c>
      <c r="E8440" s="538" t="n">
        <v>132.45</v>
      </c>
    </row>
    <row r="8441">
      <c r="A8441" s="544" t="n">
        <v>41025</v>
      </c>
      <c r="B8441" s="538" t="n">
        <v>119.33</v>
      </c>
      <c r="C8441" s="538" t="n">
        <v>104.56</v>
      </c>
      <c r="D8441" s="538" t="n">
        <v>115.93</v>
      </c>
      <c r="E8441" s="538" t="n">
        <v>132.82</v>
      </c>
    </row>
    <row r="8442">
      <c r="A8442" s="544" t="n">
        <v>41026</v>
      </c>
      <c r="B8442" s="538" t="n">
        <v>119.3</v>
      </c>
      <c r="C8442" s="538" t="n">
        <v>104.86</v>
      </c>
      <c r="D8442" s="538" t="n">
        <v>116.76</v>
      </c>
      <c r="E8442" s="538" t="n">
        <v>132.76</v>
      </c>
    </row>
    <row r="8443">
      <c r="A8443" s="544" t="n">
        <v>41029</v>
      </c>
      <c r="B8443" s="538" t="n">
        <v>118.66</v>
      </c>
      <c r="C8443" s="538" t="n">
        <v>104.89</v>
      </c>
      <c r="D8443" s="538" t="n">
        <v>115.63</v>
      </c>
      <c r="E8443" s="538" t="n">
        <v>132.93</v>
      </c>
    </row>
    <row r="8444">
      <c r="A8444" s="544" t="n">
        <v>41030</v>
      </c>
      <c r="B8444" s="538" t="n">
        <v>119.57</v>
      </c>
      <c r="C8444" s="538" t="n">
        <v>106.17</v>
      </c>
      <c r="D8444" s="538" t="n">
        <v>116.33</v>
      </c>
      <c r="E8444" s="538" t="n">
        <v>132.93</v>
      </c>
    </row>
    <row r="8445">
      <c r="A8445" s="544" t="n">
        <v>41031</v>
      </c>
      <c r="B8445" s="538" t="n">
        <v>117.57</v>
      </c>
      <c r="C8445" s="538" t="n">
        <v>105.25</v>
      </c>
      <c r="D8445" s="538" t="n">
        <v>115.1</v>
      </c>
      <c r="E8445" s="538" t="n">
        <v>133.14</v>
      </c>
    </row>
    <row r="8446">
      <c r="A8446" s="544" t="n">
        <v>41032</v>
      </c>
      <c r="B8446" s="538" t="n">
        <v>115.91</v>
      </c>
      <c r="C8446" s="538" t="n">
        <v>102.56</v>
      </c>
      <c r="D8446" s="538" t="n">
        <v>113.41</v>
      </c>
      <c r="E8446" s="538" t="n">
        <v>131.67</v>
      </c>
    </row>
    <row r="8447">
      <c r="A8447" s="544" t="n">
        <v>41033</v>
      </c>
      <c r="B8447" s="538" t="n">
        <v>111.66</v>
      </c>
      <c r="C8447" s="538" t="n">
        <v>98.48999999999999</v>
      </c>
      <c r="D8447" s="538" t="n">
        <v>110.57</v>
      </c>
      <c r="E8447" s="538" t="n">
        <v>128.84</v>
      </c>
    </row>
    <row r="8448">
      <c r="A8448" s="544" t="n">
        <v>41036</v>
      </c>
      <c r="B8448" s="538" t="n">
        <v>111.66</v>
      </c>
      <c r="C8448" s="538" t="n">
        <v>97.86</v>
      </c>
      <c r="D8448" s="538" t="n">
        <v>110.3</v>
      </c>
      <c r="E8448" s="538" t="n">
        <v>125.89</v>
      </c>
    </row>
    <row r="8449">
      <c r="A8449" s="544" t="n">
        <v>41037</v>
      </c>
      <c r="B8449" s="538" t="n">
        <v>110.48</v>
      </c>
      <c r="C8449" s="538" t="n">
        <v>97.13</v>
      </c>
      <c r="D8449" s="538" t="n">
        <v>108.71</v>
      </c>
      <c r="E8449" s="538" t="n">
        <v>125.63</v>
      </c>
    </row>
    <row r="8450">
      <c r="A8450" s="544" t="n">
        <v>41038</v>
      </c>
      <c r="B8450" s="538" t="n">
        <v>111.89</v>
      </c>
      <c r="C8450" s="538" t="n">
        <v>96.8</v>
      </c>
      <c r="D8450" s="538" t="n">
        <v>108.71</v>
      </c>
      <c r="E8450" s="538" t="n">
        <v>125.63</v>
      </c>
    </row>
    <row r="8451">
      <c r="A8451" s="544" t="n">
        <v>41039</v>
      </c>
      <c r="B8451" s="538" t="n">
        <v>112.24</v>
      </c>
      <c r="C8451" s="538" t="n">
        <v>97.09999999999999</v>
      </c>
      <c r="D8451" s="538" t="n">
        <v>108.71</v>
      </c>
      <c r="E8451" s="538" t="n">
        <v>125.63</v>
      </c>
    </row>
    <row r="8452">
      <c r="A8452" s="544" t="n">
        <v>41040</v>
      </c>
      <c r="B8452" s="538" t="n">
        <v>112.5</v>
      </c>
      <c r="C8452" s="538" t="n">
        <v>96.03</v>
      </c>
      <c r="D8452" s="538" t="n">
        <v>108.93</v>
      </c>
      <c r="E8452" s="538" t="n">
        <v>124.85</v>
      </c>
    </row>
    <row r="8453">
      <c r="A8453" s="544" t="n">
        <v>41043</v>
      </c>
      <c r="B8453" s="538" t="n">
        <v>110.79</v>
      </c>
      <c r="C8453" s="538" t="n">
        <v>94.75</v>
      </c>
      <c r="D8453" s="538" t="n">
        <v>107.86</v>
      </c>
      <c r="E8453" s="538" t="n">
        <v>123.72</v>
      </c>
    </row>
    <row r="8454">
      <c r="A8454" s="544" t="n">
        <v>41044</v>
      </c>
      <c r="B8454" s="538" t="n">
        <v>111.4</v>
      </c>
      <c r="C8454" s="538" t="n">
        <v>93.97</v>
      </c>
      <c r="D8454" s="538" t="n">
        <v>108.1</v>
      </c>
      <c r="E8454" s="538" t="n">
        <v>124.11</v>
      </c>
    </row>
    <row r="8455">
      <c r="A8455" s="544" t="n">
        <v>41045</v>
      </c>
      <c r="B8455" s="538" t="n">
        <v>109.8</v>
      </c>
      <c r="C8455" s="538" t="n">
        <v>92.78</v>
      </c>
      <c r="D8455" s="538" t="n">
        <v>109.93</v>
      </c>
      <c r="E8455" s="538" t="n">
        <v>123.27</v>
      </c>
    </row>
    <row r="8456">
      <c r="A8456" s="544" t="n">
        <v>41046</v>
      </c>
      <c r="B8456" s="538" t="n">
        <v>109.31</v>
      </c>
      <c r="C8456" s="538" t="n">
        <v>92.53</v>
      </c>
      <c r="D8456" s="538" t="n">
        <v>105.21</v>
      </c>
      <c r="E8456" s="538" t="n">
        <v>122.68</v>
      </c>
    </row>
    <row r="8457">
      <c r="A8457" s="544" t="n">
        <v>41047</v>
      </c>
      <c r="B8457" s="538" t="n">
        <v>108.03</v>
      </c>
      <c r="C8457" s="538" t="n">
        <v>91.51000000000001</v>
      </c>
      <c r="D8457" s="538" t="n">
        <v>104.68</v>
      </c>
      <c r="E8457" s="538" t="n">
        <v>120.68</v>
      </c>
    </row>
    <row r="8458">
      <c r="A8458" s="544" t="n">
        <v>41050</v>
      </c>
      <c r="B8458" s="538" t="n">
        <v>109.02</v>
      </c>
      <c r="C8458" s="538" t="n">
        <v>92.56999999999999</v>
      </c>
      <c r="D8458" s="538" t="n">
        <v>106.1</v>
      </c>
      <c r="E8458" s="538" t="n">
        <v>121.09</v>
      </c>
    </row>
    <row r="8459">
      <c r="A8459" s="544" t="n">
        <v>41051</v>
      </c>
      <c r="B8459" s="538" t="n">
        <v>109.76</v>
      </c>
      <c r="C8459" s="538" t="n">
        <v>91.44</v>
      </c>
      <c r="D8459" s="538" t="n">
        <v>104.96</v>
      </c>
      <c r="E8459" s="538" t="n">
        <v>121.37</v>
      </c>
    </row>
    <row r="8460">
      <c r="A8460" s="544" t="n">
        <v>41052</v>
      </c>
      <c r="B8460" s="538" t="n">
        <v>106.88</v>
      </c>
      <c r="C8460" s="538" t="n">
        <v>89.40000000000001</v>
      </c>
      <c r="D8460" s="538" t="n">
        <v>103.03</v>
      </c>
      <c r="E8460" s="538" t="n">
        <v>120.01</v>
      </c>
    </row>
    <row r="8461">
      <c r="A8461" s="544" t="n">
        <v>41053</v>
      </c>
      <c r="B8461" s="538" t="n">
        <v>107.2</v>
      </c>
      <c r="C8461" s="538" t="n">
        <v>90.36</v>
      </c>
      <c r="D8461" s="538" t="n">
        <v>103.64</v>
      </c>
      <c r="E8461" s="538" t="n">
        <v>118.9</v>
      </c>
    </row>
    <row r="8462">
      <c r="A8462" s="544" t="n">
        <v>41054</v>
      </c>
      <c r="B8462" s="538" t="n">
        <v>107.86</v>
      </c>
      <c r="C8462" s="538" t="n">
        <v>90.64</v>
      </c>
      <c r="D8462" s="538" t="n">
        <v>103.68</v>
      </c>
      <c r="E8462" s="538" t="n">
        <v>120.08</v>
      </c>
    </row>
    <row r="8463">
      <c r="A8463" s="544" t="n">
        <v>41057</v>
      </c>
      <c r="B8463" s="538" t="n">
        <v>107.86</v>
      </c>
      <c r="C8463" s="538" t="n">
        <v>90.64</v>
      </c>
      <c r="D8463" s="538" t="n">
        <v>104.19</v>
      </c>
      <c r="E8463" s="538" t="n">
        <v>120.76</v>
      </c>
    </row>
    <row r="8464">
      <c r="A8464" s="544" t="n">
        <v>41058</v>
      </c>
      <c r="B8464" s="538" t="n">
        <v>107.55</v>
      </c>
      <c r="C8464" s="538" t="n">
        <v>90.75</v>
      </c>
      <c r="D8464" s="538" t="n">
        <v>103.44</v>
      </c>
      <c r="E8464" s="538" t="n">
        <v>120.68</v>
      </c>
    </row>
    <row r="8465">
      <c r="A8465" s="544" t="n">
        <v>41059</v>
      </c>
      <c r="B8465" s="538" t="n">
        <v>103.85</v>
      </c>
      <c r="C8465" s="538" t="n">
        <v>87.79000000000001</v>
      </c>
      <c r="D8465" s="538" t="n">
        <v>101.52</v>
      </c>
      <c r="E8465" s="538" t="n">
        <v>118.24</v>
      </c>
    </row>
    <row r="8466">
      <c r="A8466" s="544" t="n">
        <v>41060</v>
      </c>
      <c r="B8466" s="538" t="n">
        <v>103.86</v>
      </c>
      <c r="C8466" s="538" t="n">
        <v>86.52</v>
      </c>
      <c r="D8466" s="538" t="n">
        <v>99.39</v>
      </c>
      <c r="E8466" s="538" t="n">
        <v>116.47</v>
      </c>
    </row>
    <row r="8467">
      <c r="A8467" s="544" t="n">
        <v>41061</v>
      </c>
      <c r="B8467" s="538" t="n">
        <v>98.63</v>
      </c>
      <c r="C8467" s="538" t="n">
        <v>83.17</v>
      </c>
      <c r="D8467" s="538" t="n">
        <v>96.34999999999999</v>
      </c>
      <c r="E8467" s="538" t="n">
        <v>113.58</v>
      </c>
    </row>
    <row r="8468">
      <c r="A8468" s="544" t="n">
        <v>41064</v>
      </c>
      <c r="B8468" s="538" t="n">
        <v>97.73999999999999</v>
      </c>
      <c r="C8468" s="538" t="n">
        <v>83.95</v>
      </c>
      <c r="D8468" s="538" t="n">
        <v>97.73999999999999</v>
      </c>
      <c r="E8468" s="538" t="n">
        <v>110.11</v>
      </c>
    </row>
    <row r="8469">
      <c r="A8469" s="544" t="n">
        <v>41065</v>
      </c>
      <c r="B8469" s="538" t="n">
        <v>98.65000000000001</v>
      </c>
      <c r="C8469" s="538" t="n">
        <v>84.31</v>
      </c>
      <c r="D8469" s="538" t="n">
        <v>97.13</v>
      </c>
      <c r="E8469" s="538" t="n">
        <v>111.17</v>
      </c>
    </row>
    <row r="8470">
      <c r="A8470" s="544" t="n">
        <v>41066</v>
      </c>
      <c r="B8470" s="538" t="n">
        <v>101.14</v>
      </c>
      <c r="C8470" s="538" t="n">
        <v>85.05</v>
      </c>
      <c r="D8470" s="538" t="n">
        <v>98.56</v>
      </c>
      <c r="E8470" s="538" t="n">
        <v>112.42</v>
      </c>
    </row>
    <row r="8471">
      <c r="A8471" s="544" t="n">
        <v>41067</v>
      </c>
      <c r="B8471" s="538" t="n">
        <v>100.05</v>
      </c>
      <c r="C8471" s="538" t="n">
        <v>84.78</v>
      </c>
      <c r="D8471" s="538" t="n">
        <v>95.51000000000001</v>
      </c>
      <c r="E8471" s="538" t="n">
        <v>113.1</v>
      </c>
    </row>
    <row r="8472">
      <c r="A8472" s="544" t="n">
        <v>41068</v>
      </c>
      <c r="B8472" s="538" t="n">
        <v>97.56999999999999</v>
      </c>
      <c r="C8472" s="538" t="n">
        <v>84.08</v>
      </c>
      <c r="D8472" s="538" t="n">
        <v>97.27</v>
      </c>
      <c r="E8472" s="538" t="n">
        <v>110.94</v>
      </c>
    </row>
    <row r="8473">
      <c r="A8473" s="544" t="n">
        <v>41071</v>
      </c>
      <c r="B8473" s="538" t="n">
        <v>98.59999999999999</v>
      </c>
      <c r="C8473" s="538" t="n">
        <v>82.58</v>
      </c>
      <c r="D8473" s="538" t="n">
        <v>95.04000000000001</v>
      </c>
      <c r="E8473" s="538" t="n">
        <v>113.6</v>
      </c>
    </row>
    <row r="8474">
      <c r="A8474" s="544" t="n">
        <v>41072</v>
      </c>
      <c r="B8474" s="538" t="n">
        <v>96.59</v>
      </c>
      <c r="C8474" s="538" t="n">
        <v>83.34999999999999</v>
      </c>
      <c r="D8474" s="538" t="n">
        <v>94.86</v>
      </c>
      <c r="E8474" s="538" t="n">
        <v>110.87</v>
      </c>
    </row>
    <row r="8475">
      <c r="A8475" s="544" t="n">
        <v>41073</v>
      </c>
      <c r="B8475" s="538" t="n">
        <v>97.29000000000001</v>
      </c>
      <c r="C8475" s="538" t="n">
        <v>82.56</v>
      </c>
      <c r="D8475" s="538" t="n">
        <v>95.45</v>
      </c>
      <c r="E8475" s="538" t="n">
        <v>111.13</v>
      </c>
    </row>
    <row r="8476">
      <c r="A8476" s="544" t="n">
        <v>41074</v>
      </c>
      <c r="B8476" s="538" t="n">
        <v>96.45999999999999</v>
      </c>
      <c r="C8476" s="538" t="n">
        <v>83.83</v>
      </c>
      <c r="D8476" s="538" t="n">
        <v>95.73999999999999</v>
      </c>
      <c r="E8476" s="538" t="n">
        <v>111.4</v>
      </c>
    </row>
    <row r="8477">
      <c r="A8477" s="544" t="n">
        <v>41075</v>
      </c>
      <c r="B8477" s="538" t="n">
        <v>97.13</v>
      </c>
      <c r="C8477" s="538" t="n">
        <v>84.03</v>
      </c>
      <c r="D8477" s="538" t="n">
        <v>95.93000000000001</v>
      </c>
      <c r="E8477" s="538" t="n">
        <v>112.35</v>
      </c>
    </row>
    <row r="8478">
      <c r="A8478" s="544" t="n">
        <v>41078</v>
      </c>
      <c r="B8478" s="538" t="n">
        <v>95.20999999999999</v>
      </c>
      <c r="C8478" s="538" t="n">
        <v>83.26000000000001</v>
      </c>
      <c r="D8478" s="538" t="n">
        <v>94.53</v>
      </c>
      <c r="E8478" s="538" t="n">
        <v>112.1</v>
      </c>
    </row>
    <row r="8479">
      <c r="A8479" s="544" t="n">
        <v>41079</v>
      </c>
      <c r="B8479" s="538" t="n">
        <v>95.14</v>
      </c>
      <c r="C8479" s="538" t="n">
        <v>83.98999999999999</v>
      </c>
      <c r="D8479" s="538" t="n">
        <v>94.53</v>
      </c>
      <c r="E8479" s="538" t="n">
        <v>109.49</v>
      </c>
    </row>
    <row r="8480">
      <c r="A8480" s="544" t="n">
        <v>41080</v>
      </c>
      <c r="B8480" s="538" t="n">
        <v>93.5</v>
      </c>
      <c r="C8480" s="538" t="n">
        <v>81.06</v>
      </c>
      <c r="D8480" s="538" t="n">
        <v>90.79000000000001</v>
      </c>
      <c r="E8480" s="538" t="n">
        <v>111.01</v>
      </c>
    </row>
    <row r="8481">
      <c r="A8481" s="544" t="n">
        <v>41081</v>
      </c>
      <c r="B8481" s="538" t="n">
        <v>89.22</v>
      </c>
      <c r="C8481" s="538" t="n">
        <v>77.91</v>
      </c>
      <c r="D8481" s="538" t="n">
        <v>89.06999999999999</v>
      </c>
      <c r="E8481" s="538" t="n">
        <v>108.09</v>
      </c>
    </row>
    <row r="8482">
      <c r="A8482" s="544" t="n">
        <v>41082</v>
      </c>
      <c r="B8482" s="538" t="n">
        <v>89.22</v>
      </c>
      <c r="C8482" s="538" t="n">
        <v>79.33</v>
      </c>
      <c r="D8482" s="538" t="n">
        <v>90.48999999999999</v>
      </c>
      <c r="E8482" s="538" t="n">
        <v>106.25</v>
      </c>
    </row>
    <row r="8483">
      <c r="A8483" s="544" t="n">
        <v>41085</v>
      </c>
      <c r="B8483" s="538" t="n">
        <v>88.69</v>
      </c>
      <c r="C8483" s="538" t="n">
        <v>78.76000000000001</v>
      </c>
      <c r="D8483" s="538" t="n">
        <v>90.38</v>
      </c>
      <c r="E8483" s="538" t="n">
        <v>106.21</v>
      </c>
    </row>
    <row r="8484">
      <c r="A8484" s="544" t="n">
        <v>41086</v>
      </c>
      <c r="B8484" s="538" t="n">
        <v>90.19</v>
      </c>
      <c r="C8484" s="538" t="n">
        <v>79.34</v>
      </c>
      <c r="D8484" s="538" t="n">
        <v>92.45</v>
      </c>
      <c r="E8484" s="538" t="n">
        <v>107.55</v>
      </c>
    </row>
    <row r="8485">
      <c r="A8485" s="544" t="n">
        <v>41087</v>
      </c>
      <c r="B8485" s="538" t="n">
        <v>92.06</v>
      </c>
      <c r="C8485" s="538" t="n">
        <v>80.27</v>
      </c>
      <c r="D8485" s="538" t="n">
        <v>92.56999999999999</v>
      </c>
      <c r="E8485" s="538" t="n">
        <v>107.78</v>
      </c>
    </row>
    <row r="8486">
      <c r="A8486" s="544" t="n">
        <v>41088</v>
      </c>
      <c r="B8486" s="538" t="n">
        <v>91.02</v>
      </c>
      <c r="C8486" s="538" t="n">
        <v>77.72</v>
      </c>
      <c r="D8486" s="538" t="n">
        <v>91.23999999999999</v>
      </c>
      <c r="E8486" s="538" t="n">
        <v>108.41</v>
      </c>
    </row>
    <row r="8487">
      <c r="A8487" s="544" t="n">
        <v>41089</v>
      </c>
      <c r="B8487" s="538" t="n">
        <v>94.17</v>
      </c>
      <c r="C8487" s="538" t="n">
        <v>85.04000000000001</v>
      </c>
      <c r="D8487" s="538" t="n">
        <v>97.06999999999999</v>
      </c>
      <c r="E8487" s="538" t="n">
        <v>108.85</v>
      </c>
    </row>
    <row r="8488">
      <c r="A8488" s="544" t="n">
        <v>41092</v>
      </c>
      <c r="B8488" s="538" t="n">
        <v>95.28</v>
      </c>
      <c r="C8488" s="538" t="n">
        <v>83.72</v>
      </c>
      <c r="D8488" s="538" t="n">
        <v>96.34</v>
      </c>
      <c r="E8488" s="538" t="n">
        <v>112.11</v>
      </c>
    </row>
    <row r="8489">
      <c r="A8489" s="544" t="n">
        <v>41093</v>
      </c>
      <c r="B8489" s="538" t="n">
        <v>99.89</v>
      </c>
      <c r="C8489" s="538" t="n">
        <v>87.73999999999999</v>
      </c>
      <c r="D8489" s="538" t="n">
        <v>97.75</v>
      </c>
      <c r="E8489" s="538" t="n">
        <v>113.08</v>
      </c>
    </row>
    <row r="8490">
      <c r="A8490" s="544" t="n">
        <v>41094</v>
      </c>
      <c r="B8490" s="538" t="n">
        <v>99.89</v>
      </c>
      <c r="C8490" s="538" t="n">
        <v>87.73999999999999</v>
      </c>
      <c r="D8490" s="538" t="n">
        <v>97.40000000000001</v>
      </c>
      <c r="E8490" s="538" t="n">
        <v>114.91</v>
      </c>
    </row>
    <row r="8491">
      <c r="A8491" s="544" t="n">
        <v>41095</v>
      </c>
      <c r="B8491" s="538" t="n">
        <v>101.54</v>
      </c>
      <c r="C8491" s="538" t="n">
        <v>87.11</v>
      </c>
      <c r="D8491" s="538" t="n">
        <v>97.54000000000001</v>
      </c>
      <c r="E8491" s="538" t="n">
        <v>115.29</v>
      </c>
    </row>
    <row r="8492">
      <c r="A8492" s="544" t="n">
        <v>41096</v>
      </c>
      <c r="B8492" s="538" t="n">
        <v>98.5</v>
      </c>
      <c r="C8492" s="538" t="n">
        <v>84.37</v>
      </c>
      <c r="D8492" s="538" t="n">
        <v>95.84</v>
      </c>
      <c r="E8492" s="538" t="n">
        <v>115.51</v>
      </c>
    </row>
    <row r="8493">
      <c r="A8493" s="544" t="n">
        <v>41099</v>
      </c>
      <c r="B8493" s="538" t="n">
        <v>99.94</v>
      </c>
      <c r="C8493" s="538" t="n">
        <v>85.93000000000001</v>
      </c>
      <c r="D8493" s="538" t="n">
        <v>96.81</v>
      </c>
      <c r="E8493" s="538" t="n">
        <v>114.44</v>
      </c>
    </row>
    <row r="8494">
      <c r="A8494" s="544" t="n">
        <v>41100</v>
      </c>
      <c r="B8494" s="538" t="n">
        <v>99.15000000000001</v>
      </c>
      <c r="C8494" s="538" t="n">
        <v>83.92</v>
      </c>
      <c r="D8494" s="538" t="n">
        <v>96.26000000000001</v>
      </c>
      <c r="E8494" s="538" t="n">
        <v>114.31</v>
      </c>
    </row>
    <row r="8495">
      <c r="A8495" s="544" t="n">
        <v>41101</v>
      </c>
      <c r="B8495" s="538" t="n">
        <v>99.23</v>
      </c>
      <c r="C8495" s="538" t="n">
        <v>85.88</v>
      </c>
      <c r="D8495" s="538" t="n">
        <v>97.78</v>
      </c>
      <c r="E8495" s="538" t="n">
        <v>114.87</v>
      </c>
    </row>
    <row r="8496">
      <c r="A8496" s="544" t="n">
        <v>41102</v>
      </c>
      <c r="B8496" s="538" t="n">
        <v>99.18000000000001</v>
      </c>
      <c r="C8496" s="538" t="n">
        <v>86.02</v>
      </c>
      <c r="D8496" s="538" t="n">
        <v>98.31999999999999</v>
      </c>
      <c r="E8496" s="538" t="n">
        <v>114.77</v>
      </c>
    </row>
    <row r="8497">
      <c r="A8497" s="544" t="n">
        <v>41103</v>
      </c>
      <c r="B8497" s="538" t="n">
        <v>101.91</v>
      </c>
      <c r="C8497" s="538" t="n">
        <v>87.15000000000001</v>
      </c>
      <c r="D8497" s="538" t="n">
        <v>99.11</v>
      </c>
      <c r="E8497" s="538" t="n">
        <v>116.06</v>
      </c>
    </row>
    <row r="8498">
      <c r="A8498" s="544" t="n">
        <v>41106</v>
      </c>
      <c r="B8498" s="538" t="n">
        <v>102.1</v>
      </c>
      <c r="C8498" s="538" t="n">
        <v>88.41</v>
      </c>
      <c r="D8498" s="538" t="n">
        <v>101.54</v>
      </c>
      <c r="E8498" s="538" t="n">
        <v>116.76</v>
      </c>
    </row>
    <row r="8499">
      <c r="A8499" s="544" t="n">
        <v>41107</v>
      </c>
      <c r="B8499" s="538" t="n">
        <v>104.21</v>
      </c>
      <c r="C8499" s="538" t="n">
        <v>89.06999999999999</v>
      </c>
      <c r="D8499" s="538" t="n">
        <v>100.72</v>
      </c>
      <c r="E8499" s="538" t="n">
        <v>118.93</v>
      </c>
    </row>
    <row r="8500">
      <c r="A8500" s="544" t="n">
        <v>41108</v>
      </c>
      <c r="B8500" s="538" t="n">
        <v>105.92</v>
      </c>
      <c r="C8500" s="538" t="n">
        <v>89.88</v>
      </c>
      <c r="D8500" s="538" t="n">
        <v>102.52</v>
      </c>
      <c r="E8500" s="538" t="n">
        <v>119.16</v>
      </c>
    </row>
    <row r="8501">
      <c r="A8501" s="544" t="n">
        <v>41109</v>
      </c>
      <c r="B8501" s="538" t="n">
        <v>107.79</v>
      </c>
      <c r="C8501" s="538" t="n">
        <v>92.78</v>
      </c>
      <c r="D8501" s="538" t="n">
        <v>104.28</v>
      </c>
      <c r="E8501" s="538" t="n">
        <v>121.75</v>
      </c>
    </row>
    <row r="8502">
      <c r="A8502" s="544" t="n">
        <v>41110</v>
      </c>
      <c r="B8502" s="538" t="n">
        <v>106.98</v>
      </c>
      <c r="C8502" s="538" t="n">
        <v>91.56</v>
      </c>
      <c r="D8502" s="538" t="n">
        <v>103.38</v>
      </c>
      <c r="E8502" s="538" t="n">
        <v>122.58</v>
      </c>
    </row>
    <row r="8503">
      <c r="A8503" s="544" t="n">
        <v>41113</v>
      </c>
      <c r="B8503" s="538" t="n">
        <v>103.91</v>
      </c>
      <c r="C8503" s="538" t="n">
        <v>87.77</v>
      </c>
      <c r="D8503" s="538" t="n">
        <v>99.79000000000001</v>
      </c>
      <c r="E8503" s="538" t="n">
        <v>119.31</v>
      </c>
    </row>
    <row r="8504">
      <c r="A8504" s="544" t="n">
        <v>41114</v>
      </c>
      <c r="B8504" s="538" t="n">
        <v>103.57</v>
      </c>
      <c r="C8504" s="538" t="n">
        <v>88.28</v>
      </c>
      <c r="D8504" s="538" t="n">
        <v>99.84999999999999</v>
      </c>
      <c r="E8504" s="538" t="n">
        <v>119.35</v>
      </c>
    </row>
    <row r="8505">
      <c r="A8505" s="544" t="n">
        <v>41115</v>
      </c>
      <c r="B8505" s="538" t="n">
        <v>102.35</v>
      </c>
      <c r="C8505" s="538" t="n">
        <v>88.8</v>
      </c>
      <c r="D8505" s="538" t="n">
        <v>100.9</v>
      </c>
      <c r="E8505" s="538" t="n">
        <v>119.17</v>
      </c>
    </row>
    <row r="8506">
      <c r="A8506" s="544" t="n">
        <v>41116</v>
      </c>
      <c r="B8506" s="538" t="n">
        <v>104.77</v>
      </c>
      <c r="C8506" s="538" t="n">
        <v>89.40000000000001</v>
      </c>
      <c r="D8506" s="538" t="n">
        <v>102.25</v>
      </c>
      <c r="E8506" s="538" t="n">
        <v>119.54</v>
      </c>
    </row>
    <row r="8507">
      <c r="A8507" s="544" t="n">
        <v>41117</v>
      </c>
      <c r="B8507" s="538" t="n">
        <v>106.3</v>
      </c>
      <c r="C8507" s="538" t="n">
        <v>90.13</v>
      </c>
      <c r="D8507" s="538" t="n">
        <v>102.91</v>
      </c>
      <c r="E8507" s="538" t="n">
        <v>121.21</v>
      </c>
    </row>
    <row r="8508">
      <c r="A8508" s="544" t="n">
        <v>41120</v>
      </c>
      <c r="B8508" s="538" t="n">
        <v>106.54</v>
      </c>
      <c r="C8508" s="538" t="n">
        <v>89.8</v>
      </c>
      <c r="D8508" s="538" t="n">
        <v>102.89</v>
      </c>
      <c r="E8508" s="538" t="n">
        <v>121.28</v>
      </c>
    </row>
    <row r="8509">
      <c r="A8509" s="544" t="n">
        <v>41121</v>
      </c>
      <c r="B8509" s="538" t="n">
        <v>105.93</v>
      </c>
      <c r="C8509" s="538" t="n">
        <v>88.08</v>
      </c>
      <c r="D8509" s="538" t="n">
        <v>100.87</v>
      </c>
      <c r="E8509" s="538" t="n">
        <v>120.91</v>
      </c>
    </row>
    <row r="8510">
      <c r="A8510" s="544" t="n">
        <v>41122</v>
      </c>
      <c r="B8510" s="538" t="n">
        <v>106.78</v>
      </c>
      <c r="C8510" s="538" t="n">
        <v>88.98999999999999</v>
      </c>
      <c r="D8510" s="538" t="n">
        <v>101.93</v>
      </c>
      <c r="E8510" s="538" t="n">
        <v>120.62</v>
      </c>
    </row>
    <row r="8511">
      <c r="A8511" s="544" t="n">
        <v>41123</v>
      </c>
      <c r="B8511" s="538" t="n">
        <v>107.55</v>
      </c>
      <c r="C8511" s="538" t="n">
        <v>87.22</v>
      </c>
      <c r="D8511" s="538" t="n">
        <v>101.85</v>
      </c>
      <c r="E8511" s="538" t="n">
        <v>121.41</v>
      </c>
    </row>
    <row r="8512">
      <c r="A8512" s="544" t="n">
        <v>41124</v>
      </c>
      <c r="B8512" s="538" t="n">
        <v>109.57</v>
      </c>
      <c r="C8512" s="538" t="n">
        <v>91.40000000000001</v>
      </c>
      <c r="D8512" s="538" t="n">
        <v>104.58</v>
      </c>
      <c r="E8512" s="538" t="n">
        <v>122</v>
      </c>
    </row>
    <row r="8513">
      <c r="A8513" s="544" t="n">
        <v>41127</v>
      </c>
      <c r="B8513" s="538" t="n">
        <v>110.01</v>
      </c>
      <c r="C8513" s="538" t="n">
        <v>92.3</v>
      </c>
      <c r="D8513" s="538" t="n">
        <v>105.27</v>
      </c>
      <c r="E8513" s="538" t="n">
        <v>124.36</v>
      </c>
    </row>
    <row r="8514">
      <c r="A8514" s="544" t="n">
        <v>41128</v>
      </c>
      <c r="B8514" s="538" t="n">
        <v>112.39</v>
      </c>
      <c r="C8514" s="538" t="n">
        <v>93.68000000000001</v>
      </c>
      <c r="D8514" s="538" t="n">
        <v>107.07</v>
      </c>
      <c r="E8514" s="538" t="n">
        <v>126.04</v>
      </c>
    </row>
    <row r="8515">
      <c r="A8515" s="544" t="n">
        <v>41129</v>
      </c>
      <c r="B8515" s="538" t="n">
        <v>113.42</v>
      </c>
      <c r="C8515" s="538" t="n">
        <v>93.39</v>
      </c>
      <c r="D8515" s="538" t="n">
        <v>107.75</v>
      </c>
      <c r="E8515" s="538" t="n">
        <v>127.45</v>
      </c>
    </row>
    <row r="8516">
      <c r="A8516" s="544" t="n">
        <v>41130</v>
      </c>
      <c r="B8516" s="538" t="n">
        <v>113.52</v>
      </c>
      <c r="C8516" s="538" t="n">
        <v>93.39</v>
      </c>
      <c r="D8516" s="538" t="n">
        <v>108.73</v>
      </c>
      <c r="E8516" s="538" t="n">
        <v>127.45</v>
      </c>
    </row>
    <row r="8517">
      <c r="A8517" s="544" t="n">
        <v>41131</v>
      </c>
      <c r="B8517" s="538" t="n">
        <v>113.13</v>
      </c>
      <c r="C8517" s="538" t="n">
        <v>92.94</v>
      </c>
      <c r="D8517" s="538" t="n">
        <v>108.6</v>
      </c>
      <c r="E8517" s="538" t="n">
        <v>129.38</v>
      </c>
    </row>
    <row r="8518">
      <c r="A8518" s="544" t="n">
        <v>41134</v>
      </c>
      <c r="B8518" s="538" t="n">
        <v>114.48</v>
      </c>
      <c r="C8518" s="538" t="n">
        <v>92.76000000000001</v>
      </c>
      <c r="D8518" s="538" t="n">
        <v>108.69</v>
      </c>
      <c r="E8518" s="538" t="n">
        <v>129.4</v>
      </c>
    </row>
    <row r="8519">
      <c r="A8519" s="544" t="n">
        <v>41135</v>
      </c>
      <c r="B8519" s="538" t="n">
        <v>113.9</v>
      </c>
      <c r="C8519" s="538" t="n">
        <v>93.40000000000001</v>
      </c>
      <c r="D8519" s="538" t="n">
        <v>108.93</v>
      </c>
      <c r="E8519" s="538" t="n">
        <v>129.96</v>
      </c>
    </row>
    <row r="8520">
      <c r="A8520" s="544" t="n">
        <v>41136</v>
      </c>
      <c r="B8520" s="538" t="n">
        <v>115.51</v>
      </c>
      <c r="C8520" s="538" t="n">
        <v>94.34999999999999</v>
      </c>
      <c r="D8520" s="538" t="n">
        <v>111.6</v>
      </c>
      <c r="E8520" s="538" t="n">
        <v>130.48</v>
      </c>
    </row>
    <row r="8521">
      <c r="A8521" s="544" t="n">
        <v>41137</v>
      </c>
      <c r="B8521" s="538" t="n">
        <v>116.12</v>
      </c>
      <c r="C8521" s="538" t="n">
        <v>95.66</v>
      </c>
      <c r="D8521" s="538" t="n">
        <v>113.55</v>
      </c>
      <c r="E8521" s="538" t="n">
        <v>132.5</v>
      </c>
    </row>
    <row r="8522">
      <c r="A8522" s="544" t="n">
        <v>41138</v>
      </c>
      <c r="B8522" s="538" t="n">
        <v>115.2</v>
      </c>
      <c r="C8522" s="538" t="n">
        <v>96</v>
      </c>
      <c r="D8522" s="538" t="n">
        <v>110.72</v>
      </c>
      <c r="E8522" s="538" t="n">
        <v>132.3</v>
      </c>
    </row>
    <row r="8523">
      <c r="A8523" s="544" t="n">
        <v>41141</v>
      </c>
      <c r="B8523" s="538" t="n">
        <v>115.5</v>
      </c>
      <c r="C8523" s="538" t="n">
        <v>96.03</v>
      </c>
      <c r="D8523" s="538" t="n">
        <v>110.62</v>
      </c>
      <c r="E8523" s="538" t="n">
        <v>132.3</v>
      </c>
    </row>
    <row r="8524">
      <c r="A8524" s="544" t="n">
        <v>41142</v>
      </c>
      <c r="B8524" s="538" t="n">
        <v>116.03</v>
      </c>
      <c r="C8524" s="538" t="n">
        <v>96.55</v>
      </c>
      <c r="D8524" s="538" t="n">
        <v>111.43</v>
      </c>
      <c r="E8524" s="538" t="n">
        <v>131.99</v>
      </c>
    </row>
    <row r="8525">
      <c r="A8525" s="544" t="n">
        <v>41143</v>
      </c>
      <c r="B8525" s="538" t="n">
        <v>115.77</v>
      </c>
      <c r="C8525" s="538" t="n">
        <v>96.89</v>
      </c>
      <c r="D8525" s="538" t="n">
        <v>112.73</v>
      </c>
      <c r="E8525" s="538" t="n">
        <v>132.18</v>
      </c>
    </row>
    <row r="8526">
      <c r="A8526" s="544" t="n">
        <v>41144</v>
      </c>
      <c r="B8526" s="538" t="n">
        <v>117.45</v>
      </c>
      <c r="C8526" s="538" t="n">
        <v>95.87</v>
      </c>
      <c r="D8526" s="538" t="n">
        <v>111.56</v>
      </c>
      <c r="E8526" s="538" t="n">
        <v>133.73</v>
      </c>
    </row>
    <row r="8527">
      <c r="A8527" s="544" t="n">
        <v>41145</v>
      </c>
      <c r="B8527" s="538" t="n">
        <v>115.76</v>
      </c>
      <c r="C8527" s="538" t="n">
        <v>95.78</v>
      </c>
      <c r="D8527" s="538" t="n">
        <v>110.66</v>
      </c>
      <c r="E8527" s="538" t="n">
        <v>132.72</v>
      </c>
    </row>
    <row r="8528">
      <c r="A8528" s="544" t="n">
        <v>41148</v>
      </c>
      <c r="B8528" s="538" t="n">
        <v>113.74</v>
      </c>
      <c r="C8528" s="538" t="n">
        <v>95.54000000000001</v>
      </c>
      <c r="D8528" s="538" t="n">
        <v>109.3</v>
      </c>
      <c r="E8528" s="538" t="n">
        <v>133.92</v>
      </c>
    </row>
    <row r="8529">
      <c r="A8529" s="544" t="n">
        <v>41149</v>
      </c>
      <c r="B8529" s="538" t="n">
        <v>112.62</v>
      </c>
      <c r="C8529" s="538" t="n">
        <v>96.3</v>
      </c>
      <c r="D8529" s="538" t="n">
        <v>109.48</v>
      </c>
      <c r="E8529" s="538" t="n">
        <v>132.32</v>
      </c>
    </row>
    <row r="8530">
      <c r="A8530" s="544" t="n">
        <v>41150</v>
      </c>
      <c r="B8530" s="538" t="n">
        <v>112.53</v>
      </c>
      <c r="C8530" s="538" t="n">
        <v>95.5</v>
      </c>
      <c r="D8530" s="538" t="n">
        <v>109.57</v>
      </c>
      <c r="E8530" s="538" t="n">
        <v>131.56</v>
      </c>
    </row>
    <row r="8531">
      <c r="A8531" s="544" t="n">
        <v>41151</v>
      </c>
      <c r="B8531" s="538" t="n">
        <v>112.28</v>
      </c>
      <c r="C8531" s="538" t="n">
        <v>94.61</v>
      </c>
      <c r="D8531" s="538" t="n">
        <v>109.86</v>
      </c>
      <c r="E8531" s="538" t="n">
        <v>132.9</v>
      </c>
    </row>
    <row r="8532">
      <c r="A8532" s="544" t="n">
        <v>41152</v>
      </c>
      <c r="B8532" s="538" t="n">
        <v>113.93</v>
      </c>
      <c r="C8532" s="538" t="n">
        <v>96.47</v>
      </c>
      <c r="D8532" s="538" t="n">
        <v>111.81</v>
      </c>
      <c r="E8532" s="538" t="n">
        <v>133.33</v>
      </c>
    </row>
    <row r="8533">
      <c r="A8533" s="544" t="n">
        <v>41155</v>
      </c>
      <c r="B8533" s="538" t="n">
        <v>113.93</v>
      </c>
      <c r="C8533" s="538" t="n">
        <v>96.47</v>
      </c>
      <c r="D8533" s="538" t="n">
        <v>113.41</v>
      </c>
      <c r="E8533" s="538" t="n">
        <v>134.46</v>
      </c>
    </row>
    <row r="8534">
      <c r="A8534" s="544" t="n">
        <v>41156</v>
      </c>
      <c r="B8534" s="538" t="n">
        <v>114.98</v>
      </c>
      <c r="C8534" s="538" t="n">
        <v>95.34</v>
      </c>
      <c r="D8534" s="538" t="n">
        <v>111.46</v>
      </c>
      <c r="E8534" s="538" t="n">
        <v>136.66</v>
      </c>
    </row>
    <row r="8535">
      <c r="A8535" s="544" t="n">
        <v>41157</v>
      </c>
      <c r="B8535" s="538" t="n">
        <v>113.32</v>
      </c>
      <c r="C8535" s="538" t="n">
        <v>95.37</v>
      </c>
      <c r="D8535" s="538" t="n">
        <v>111.4</v>
      </c>
      <c r="E8535" s="538" t="n">
        <v>134.03</v>
      </c>
    </row>
    <row r="8536">
      <c r="A8536" s="544" t="n">
        <v>41158</v>
      </c>
      <c r="B8536" s="538" t="n">
        <v>114.5</v>
      </c>
      <c r="C8536" s="538" t="n">
        <v>95.58</v>
      </c>
      <c r="D8536" s="538" t="n">
        <v>110.67</v>
      </c>
      <c r="E8536" s="538" t="n">
        <v>134.21</v>
      </c>
    </row>
    <row r="8537">
      <c r="A8537" s="544" t="n">
        <v>41159</v>
      </c>
      <c r="B8537" s="538" t="n">
        <v>113.64</v>
      </c>
      <c r="C8537" s="538" t="n">
        <v>96.41</v>
      </c>
      <c r="D8537" s="538" t="n">
        <v>112.16</v>
      </c>
      <c r="E8537" s="538" t="n">
        <v>133.69</v>
      </c>
    </row>
    <row r="8538">
      <c r="A8538" s="544" t="n">
        <v>41162</v>
      </c>
      <c r="B8538" s="538" t="n">
        <v>113.84</v>
      </c>
      <c r="C8538" s="538" t="n">
        <v>96.52</v>
      </c>
      <c r="D8538" s="538" t="n">
        <v>112.69</v>
      </c>
      <c r="E8538" s="538" t="n">
        <v>134.55</v>
      </c>
    </row>
    <row r="8539">
      <c r="A8539" s="544" t="n">
        <v>41163</v>
      </c>
      <c r="B8539" s="538" t="n">
        <v>114.86</v>
      </c>
      <c r="C8539" s="538" t="n">
        <v>97.03</v>
      </c>
      <c r="D8539" s="538" t="n">
        <v>113.33</v>
      </c>
      <c r="E8539" s="538" t="n">
        <v>134.42</v>
      </c>
    </row>
    <row r="8540">
      <c r="A8540" s="544" t="n">
        <v>41164</v>
      </c>
      <c r="B8540" s="538" t="n">
        <v>114.86</v>
      </c>
      <c r="C8540" s="538" t="n">
        <v>97.02</v>
      </c>
      <c r="D8540" s="538" t="n">
        <v>113.7</v>
      </c>
      <c r="E8540" s="538" t="n">
        <v>135.72</v>
      </c>
    </row>
    <row r="8541">
      <c r="A8541" s="544" t="n">
        <v>41165</v>
      </c>
      <c r="B8541" s="538" t="n">
        <v>116</v>
      </c>
      <c r="C8541" s="538" t="n">
        <v>98.3</v>
      </c>
      <c r="D8541" s="538" t="n">
        <v>116.26</v>
      </c>
      <c r="E8541" s="538" t="n">
        <v>135.22</v>
      </c>
    </row>
    <row r="8542">
      <c r="A8542" s="544" t="n">
        <v>41166</v>
      </c>
      <c r="B8542" s="538" t="n">
        <v>117.48</v>
      </c>
      <c r="C8542" s="538" t="n">
        <v>98.94</v>
      </c>
      <c r="D8542" s="538" t="n">
        <v>114.62</v>
      </c>
      <c r="E8542" s="538" t="n">
        <v>136.6</v>
      </c>
    </row>
    <row r="8543">
      <c r="A8543" s="544" t="n">
        <v>41169</v>
      </c>
      <c r="B8543" s="538" t="n">
        <v>116.7</v>
      </c>
      <c r="C8543" s="538" t="n">
        <v>96.51000000000001</v>
      </c>
      <c r="D8543" s="538" t="n">
        <v>112.26</v>
      </c>
      <c r="E8543" s="538" t="n">
        <v>135.32</v>
      </c>
    </row>
    <row r="8544">
      <c r="A8544" s="544" t="n">
        <v>41170</v>
      </c>
      <c r="B8544" s="538" t="n">
        <v>113.29</v>
      </c>
      <c r="C8544" s="538" t="n">
        <v>95.25</v>
      </c>
      <c r="D8544" s="538" t="n">
        <v>110.78</v>
      </c>
      <c r="E8544" s="538" t="n">
        <v>132.01</v>
      </c>
    </row>
    <row r="8545">
      <c r="A8545" s="544" t="n">
        <v>41171</v>
      </c>
      <c r="B8545" s="538" t="n">
        <v>108.49</v>
      </c>
      <c r="C8545" s="538" t="n">
        <v>91.97</v>
      </c>
      <c r="D8545" s="538" t="n">
        <v>105.84</v>
      </c>
      <c r="E8545" s="538" t="n">
        <v>131.22</v>
      </c>
    </row>
    <row r="8546">
      <c r="A8546" s="544" t="n">
        <v>41172</v>
      </c>
      <c r="B8546" s="538" t="n">
        <v>109.41</v>
      </c>
      <c r="C8546" s="538" t="n">
        <v>92.14</v>
      </c>
      <c r="D8546" s="538" t="n">
        <v>108.67</v>
      </c>
      <c r="E8546" s="538" t="n">
        <v>126.94</v>
      </c>
    </row>
    <row r="8547">
      <c r="A8547" s="544" t="n">
        <v>41173</v>
      </c>
      <c r="B8547" s="538" t="n">
        <v>111.27</v>
      </c>
      <c r="C8547" s="538" t="n">
        <v>92.64</v>
      </c>
      <c r="D8547" s="538" t="n">
        <v>109.25</v>
      </c>
      <c r="E8547" s="538" t="n">
        <v>126.94</v>
      </c>
    </row>
    <row r="8548">
      <c r="A8548" s="544" t="n">
        <v>41176</v>
      </c>
      <c r="B8548" s="538" t="n">
        <v>109.2</v>
      </c>
      <c r="C8548" s="538" t="n">
        <v>91.68000000000001</v>
      </c>
      <c r="D8548" s="538" t="n">
        <v>107.98</v>
      </c>
      <c r="E8548" s="538" t="n">
        <v>129.13</v>
      </c>
    </row>
    <row r="8549">
      <c r="A8549" s="544" t="n">
        <v>41177</v>
      </c>
      <c r="B8549" s="538" t="n">
        <v>110.77</v>
      </c>
      <c r="C8549" s="538" t="n">
        <v>91.06999999999999</v>
      </c>
      <c r="D8549" s="538" t="n">
        <v>108.36</v>
      </c>
      <c r="E8549" s="538" t="n">
        <v>129.69</v>
      </c>
    </row>
    <row r="8550">
      <c r="A8550" s="544" t="n">
        <v>41178</v>
      </c>
      <c r="B8550" s="538" t="n">
        <v>108.99</v>
      </c>
      <c r="C8550" s="538" t="n">
        <v>89.92</v>
      </c>
      <c r="D8550" s="538" t="n">
        <v>108.28</v>
      </c>
      <c r="E8550" s="538" t="n">
        <v>128.52</v>
      </c>
    </row>
    <row r="8551">
      <c r="A8551" s="544" t="n">
        <v>41179</v>
      </c>
      <c r="B8551" s="538" t="n">
        <v>111.45</v>
      </c>
      <c r="C8551" s="538" t="n">
        <v>91.89</v>
      </c>
      <c r="D8551" s="538" t="n">
        <v>110.47</v>
      </c>
      <c r="E8551" s="538" t="n">
        <v>128.93</v>
      </c>
    </row>
    <row r="8552">
      <c r="A8552" s="544" t="n">
        <v>41180</v>
      </c>
      <c r="B8552" s="538" t="n">
        <v>111.36</v>
      </c>
      <c r="C8552" s="538" t="n">
        <v>92.18000000000001</v>
      </c>
      <c r="D8552" s="538" t="n">
        <v>109.89</v>
      </c>
      <c r="E8552" s="538" t="n">
        <v>131.3</v>
      </c>
    </row>
    <row r="8553">
      <c r="A8553" s="544" t="n">
        <v>41183</v>
      </c>
      <c r="B8553" s="538" t="n">
        <v>112.58</v>
      </c>
      <c r="C8553" s="538" t="n">
        <v>92.44</v>
      </c>
      <c r="D8553" s="538" t="n">
        <v>109.2</v>
      </c>
      <c r="E8553" s="538" t="n">
        <v>130.14</v>
      </c>
    </row>
    <row r="8554">
      <c r="A8554" s="544" t="n">
        <v>41184</v>
      </c>
      <c r="B8554" s="538" t="n">
        <v>112.49</v>
      </c>
      <c r="C8554" s="538" t="n">
        <v>91.88</v>
      </c>
      <c r="D8554" s="538" t="n">
        <v>108.56</v>
      </c>
      <c r="E8554" s="538" t="n">
        <v>130.68</v>
      </c>
    </row>
    <row r="8555">
      <c r="A8555" s="544" t="n">
        <v>41185</v>
      </c>
      <c r="B8555" s="538" t="n">
        <v>109.32</v>
      </c>
      <c r="C8555" s="538" t="n">
        <v>88.19</v>
      </c>
      <c r="D8555" s="538" t="n">
        <v>105.5</v>
      </c>
      <c r="E8555" s="538" t="n">
        <v>129.63</v>
      </c>
    </row>
    <row r="8556">
      <c r="A8556" s="544" t="n">
        <v>41186</v>
      </c>
      <c r="B8556" s="538" t="n">
        <v>110.48</v>
      </c>
      <c r="C8556" s="538" t="n">
        <v>91.69</v>
      </c>
      <c r="D8556" s="538" t="n">
        <v>109.55</v>
      </c>
      <c r="E8556" s="538" t="n">
        <v>128.08</v>
      </c>
    </row>
    <row r="8557">
      <c r="A8557" s="544" t="n">
        <v>41187</v>
      </c>
      <c r="B8557" s="538" t="n">
        <v>112.17</v>
      </c>
      <c r="C8557" s="538" t="n">
        <v>89.87</v>
      </c>
      <c r="D8557" s="538" t="n">
        <v>108.89</v>
      </c>
      <c r="E8557" s="538" t="n">
        <v>131.48</v>
      </c>
    </row>
    <row r="8558">
      <c r="A8558" s="544" t="n">
        <v>41190</v>
      </c>
      <c r="B8558" s="538" t="n">
        <v>112.6</v>
      </c>
      <c r="C8558" s="538" t="n">
        <v>89.43000000000001</v>
      </c>
      <c r="D8558" s="538" t="n">
        <v>109.41</v>
      </c>
      <c r="E8558" s="538" t="n">
        <v>130.02</v>
      </c>
    </row>
    <row r="8559">
      <c r="A8559" s="544" t="n">
        <v>41191</v>
      </c>
      <c r="B8559" s="538" t="n">
        <v>114.32</v>
      </c>
      <c r="C8559" s="538" t="n">
        <v>92.42</v>
      </c>
      <c r="D8559" s="538" t="n">
        <v>110.23</v>
      </c>
      <c r="E8559" s="538" t="n">
        <v>131.19</v>
      </c>
    </row>
    <row r="8560">
      <c r="A8560" s="544" t="n">
        <v>41192</v>
      </c>
      <c r="B8560" s="538" t="n">
        <v>116.11</v>
      </c>
      <c r="C8560" s="538" t="n">
        <v>91.23999999999999</v>
      </c>
      <c r="D8560" s="538" t="n">
        <v>110.51</v>
      </c>
      <c r="E8560" s="538" t="n">
        <v>132.73</v>
      </c>
    </row>
    <row r="8561">
      <c r="A8561" s="544" t="n">
        <v>41193</v>
      </c>
      <c r="B8561" s="538" t="n">
        <v>116.18</v>
      </c>
      <c r="C8561" s="538" t="n">
        <v>92.19</v>
      </c>
      <c r="D8561" s="538" t="n">
        <v>111.86</v>
      </c>
      <c r="E8561" s="538" t="n">
        <v>134.15</v>
      </c>
    </row>
    <row r="8562">
      <c r="A8562" s="544" t="n">
        <v>41194</v>
      </c>
      <c r="B8562" s="538" t="n">
        <v>115.17</v>
      </c>
      <c r="C8562" s="538" t="n">
        <v>91.83</v>
      </c>
      <c r="D8562" s="538" t="n">
        <v>110.77</v>
      </c>
      <c r="E8562" s="538" t="n">
        <v>133.63</v>
      </c>
    </row>
    <row r="8563">
      <c r="A8563" s="544" t="n">
        <v>41197</v>
      </c>
      <c r="B8563" s="538" t="n">
        <v>115</v>
      </c>
      <c r="C8563" s="538" t="n">
        <v>91.84</v>
      </c>
      <c r="D8563" s="538" t="n">
        <v>111.94</v>
      </c>
      <c r="E8563" s="538" t="n">
        <v>132.55</v>
      </c>
    </row>
    <row r="8564">
      <c r="A8564" s="544" t="n">
        <v>41198</v>
      </c>
      <c r="B8564" s="538" t="n">
        <v>115</v>
      </c>
      <c r="C8564" s="538" t="n">
        <v>92.06999999999999</v>
      </c>
      <c r="D8564" s="538" t="n">
        <v>112.16</v>
      </c>
      <c r="E8564" s="538" t="n">
        <v>132.61</v>
      </c>
    </row>
    <row r="8565">
      <c r="A8565" s="544" t="n">
        <v>41199</v>
      </c>
      <c r="B8565" s="538" t="n">
        <v>113.49</v>
      </c>
      <c r="C8565" s="538" t="n">
        <v>92.04000000000001</v>
      </c>
      <c r="D8565" s="538" t="n">
        <v>110.33</v>
      </c>
      <c r="E8565" s="538" t="n">
        <v>131.73</v>
      </c>
    </row>
    <row r="8566">
      <c r="A8566" s="544" t="n">
        <v>41200</v>
      </c>
      <c r="B8566" s="538" t="n">
        <v>112.58</v>
      </c>
      <c r="C8566" s="538" t="n">
        <v>92</v>
      </c>
      <c r="D8566" s="538" t="n">
        <v>109.07</v>
      </c>
      <c r="E8566" s="538" t="n">
        <v>131.76</v>
      </c>
    </row>
    <row r="8567">
      <c r="A8567" s="544" t="n">
        <v>41201</v>
      </c>
      <c r="B8567" s="538" t="n">
        <v>111.89</v>
      </c>
      <c r="C8567" s="538" t="n">
        <v>90</v>
      </c>
      <c r="D8567" s="538" t="n">
        <v>107.48</v>
      </c>
      <c r="E8567" s="538" t="n">
        <v>131.33</v>
      </c>
    </row>
    <row r="8568">
      <c r="A8568" s="544" t="n">
        <v>41204</v>
      </c>
      <c r="B8568" s="538" t="n">
        <v>109.62</v>
      </c>
      <c r="C8568" s="538" t="n">
        <v>88.3</v>
      </c>
      <c r="D8568" s="538" t="n">
        <v>107.41</v>
      </c>
      <c r="E8568" s="538" t="n">
        <v>129.18</v>
      </c>
    </row>
    <row r="8569">
      <c r="A8569" s="544" t="n">
        <v>41205</v>
      </c>
      <c r="B8569" s="538" t="n">
        <v>107.53</v>
      </c>
      <c r="C8569" s="538" t="n">
        <v>86.65000000000001</v>
      </c>
      <c r="D8569" s="538" t="n">
        <v>106.39</v>
      </c>
      <c r="E8569" s="538" t="n">
        <v>127.27</v>
      </c>
    </row>
    <row r="8570">
      <c r="A8570" s="544" t="n">
        <v>41206</v>
      </c>
      <c r="B8570" s="538" t="n">
        <v>107.66</v>
      </c>
      <c r="C8570" s="538" t="n">
        <v>85.39</v>
      </c>
      <c r="D8570" s="538" t="n">
        <v>106.23</v>
      </c>
      <c r="E8570" s="538" t="n">
        <v>126.29</v>
      </c>
    </row>
    <row r="8571">
      <c r="A8571" s="544" t="n">
        <v>41207</v>
      </c>
      <c r="B8571" s="538" t="n">
        <v>107.64</v>
      </c>
      <c r="C8571" s="538" t="n">
        <v>85.59</v>
      </c>
      <c r="D8571" s="538" t="n">
        <v>106.47</v>
      </c>
      <c r="E8571" s="538" t="n">
        <v>126.47</v>
      </c>
    </row>
    <row r="8572">
      <c r="A8572" s="544" t="n">
        <v>41208</v>
      </c>
      <c r="B8572" s="538" t="n">
        <v>108.9</v>
      </c>
      <c r="C8572" s="538" t="n">
        <v>85.84</v>
      </c>
      <c r="D8572" s="538" t="n">
        <v>107.63</v>
      </c>
      <c r="E8572" s="538" t="n">
        <v>126.47</v>
      </c>
    </row>
    <row r="8573">
      <c r="A8573" s="544" t="n">
        <v>41211</v>
      </c>
      <c r="B8573" s="538" t="n">
        <v>109.33</v>
      </c>
      <c r="C8573" s="538" t="n">
        <v>85.52</v>
      </c>
      <c r="D8573" s="538" t="n">
        <v>106.31</v>
      </c>
      <c r="E8573" s="538" t="n">
        <v>127.35</v>
      </c>
    </row>
    <row r="8574">
      <c r="A8574" s="544" t="n">
        <v>41212</v>
      </c>
      <c r="B8574" s="538" t="n">
        <v>109.4</v>
      </c>
      <c r="C8574" s="538" t="n">
        <v>85.65000000000001</v>
      </c>
      <c r="D8574" s="538" t="n">
        <v>105.68</v>
      </c>
      <c r="E8574" s="538" t="n">
        <v>127.89</v>
      </c>
    </row>
    <row r="8575">
      <c r="A8575" s="544" t="n">
        <v>41213</v>
      </c>
      <c r="B8575" s="538" t="n">
        <v>109.89</v>
      </c>
      <c r="C8575" s="538" t="n">
        <v>86.23</v>
      </c>
      <c r="D8575" s="538" t="n">
        <v>104.71</v>
      </c>
      <c r="E8575" s="538" t="n">
        <v>127.53</v>
      </c>
    </row>
    <row r="8576">
      <c r="A8576" s="544" t="n">
        <v>41214</v>
      </c>
      <c r="B8576" s="538" t="n">
        <v>108.84</v>
      </c>
      <c r="C8576" s="538" t="n">
        <v>87.05</v>
      </c>
      <c r="D8576" s="538" t="n">
        <v>106.11</v>
      </c>
      <c r="E8576" s="538" t="n">
        <v>126.7</v>
      </c>
    </row>
    <row r="8577">
      <c r="A8577" s="544" t="n">
        <v>41215</v>
      </c>
      <c r="B8577" s="538" t="n">
        <v>106.79</v>
      </c>
      <c r="C8577" s="538" t="n">
        <v>84.90000000000001</v>
      </c>
      <c r="D8577" s="538" t="n">
        <v>103.96</v>
      </c>
      <c r="E8577" s="538" t="n">
        <v>125.07</v>
      </c>
    </row>
    <row r="8578">
      <c r="A8578" s="544" t="n">
        <v>41218</v>
      </c>
      <c r="B8578" s="538" t="n">
        <v>105.59</v>
      </c>
      <c r="C8578" s="538" t="n">
        <v>85.64</v>
      </c>
      <c r="D8578" s="538" t="n">
        <v>105.94</v>
      </c>
      <c r="E8578" s="538" t="n">
        <v>122.38</v>
      </c>
    </row>
    <row r="8579">
      <c r="A8579" s="544" t="n">
        <v>41219</v>
      </c>
      <c r="B8579" s="538" t="n">
        <v>109.27</v>
      </c>
      <c r="C8579" s="538" t="n">
        <v>88.62</v>
      </c>
      <c r="D8579" s="538" t="n">
        <v>108.37</v>
      </c>
      <c r="E8579" s="538" t="n">
        <v>123.9</v>
      </c>
    </row>
    <row r="8580">
      <c r="A8580" s="544" t="n">
        <v>41220</v>
      </c>
      <c r="B8580" s="538" t="n">
        <v>108.21</v>
      </c>
      <c r="C8580" s="538" t="n">
        <v>84.5</v>
      </c>
      <c r="D8580" s="538" t="n">
        <v>104.72</v>
      </c>
      <c r="E8580" s="538" t="n">
        <v>126.52</v>
      </c>
    </row>
    <row r="8581">
      <c r="A8581" s="544" t="n">
        <v>41221</v>
      </c>
      <c r="B8581" s="538" t="n">
        <v>107.23</v>
      </c>
      <c r="C8581" s="538" t="n">
        <v>85.06999999999999</v>
      </c>
      <c r="D8581" s="538" t="n">
        <v>105.25</v>
      </c>
      <c r="E8581" s="538" t="n">
        <v>123.46</v>
      </c>
    </row>
    <row r="8582">
      <c r="A8582" s="544" t="n">
        <v>41222</v>
      </c>
      <c r="B8582" s="538" t="n">
        <v>108.61</v>
      </c>
      <c r="C8582" s="538" t="n">
        <v>86.08</v>
      </c>
      <c r="D8582" s="538" t="n">
        <v>107.19</v>
      </c>
      <c r="E8582" s="538" t="n">
        <v>122.49</v>
      </c>
    </row>
    <row r="8583">
      <c r="A8583" s="544" t="n">
        <v>41225</v>
      </c>
      <c r="B8583" s="538" t="n">
        <v>110.23</v>
      </c>
      <c r="C8583" s="538" t="n">
        <v>85.56</v>
      </c>
      <c r="D8583" s="538" t="n">
        <v>106.04</v>
      </c>
      <c r="E8583" s="538" t="n">
        <v>124.67</v>
      </c>
    </row>
    <row r="8584">
      <c r="A8584" s="544" t="n">
        <v>41226</v>
      </c>
      <c r="B8584" s="538" t="n">
        <v>108.82</v>
      </c>
      <c r="C8584" s="538" t="n">
        <v>85.38</v>
      </c>
      <c r="D8584" s="538" t="n">
        <v>105.65</v>
      </c>
      <c r="E8584" s="538" t="n">
        <v>124.67</v>
      </c>
    </row>
    <row r="8585">
      <c r="A8585" s="544" t="n">
        <v>41227</v>
      </c>
      <c r="B8585" s="538" t="n">
        <v>109.66</v>
      </c>
      <c r="C8585" s="538" t="n">
        <v>86.31999999999999</v>
      </c>
      <c r="D8585" s="538" t="n">
        <v>107.27</v>
      </c>
      <c r="E8585" s="538" t="n">
        <v>124.01</v>
      </c>
    </row>
    <row r="8586">
      <c r="A8586" s="544" t="n">
        <v>41228</v>
      </c>
      <c r="B8586" s="538" t="n">
        <v>110.07</v>
      </c>
      <c r="C8586" s="538" t="n">
        <v>85.45</v>
      </c>
      <c r="D8586" s="538" t="n">
        <v>109.79</v>
      </c>
      <c r="E8586" s="538" t="n">
        <v>124</v>
      </c>
    </row>
    <row r="8587">
      <c r="A8587" s="544" t="n">
        <v>41229</v>
      </c>
      <c r="B8587" s="538" t="n">
        <v>106.81</v>
      </c>
      <c r="C8587" s="538" t="n">
        <v>86.62</v>
      </c>
      <c r="D8587" s="538" t="n">
        <v>107.38</v>
      </c>
      <c r="E8587" s="538" t="n">
        <v>124.89</v>
      </c>
    </row>
    <row r="8588">
      <c r="A8588" s="544" t="n">
        <v>41232</v>
      </c>
      <c r="B8588" s="538" t="n">
        <v>110.06</v>
      </c>
      <c r="C8588" s="538" t="n">
        <v>89.05</v>
      </c>
      <c r="D8588" s="538" t="n">
        <v>109.37</v>
      </c>
      <c r="E8588" s="538" t="n">
        <v>125.78</v>
      </c>
    </row>
    <row r="8589">
      <c r="A8589" s="544" t="n">
        <v>41233</v>
      </c>
      <c r="B8589" s="538" t="n">
        <v>110.01</v>
      </c>
      <c r="C8589" s="538" t="n">
        <v>86.45999999999999</v>
      </c>
      <c r="D8589" s="538" t="n">
        <v>107.85</v>
      </c>
      <c r="E8589" s="538" t="n">
        <v>126.85</v>
      </c>
    </row>
    <row r="8590">
      <c r="A8590" s="544" t="n">
        <v>41234</v>
      </c>
      <c r="B8590" s="538" t="n">
        <v>110.81</v>
      </c>
      <c r="C8590" s="538" t="n">
        <v>87.08</v>
      </c>
      <c r="D8590" s="538" t="n">
        <v>107.94</v>
      </c>
      <c r="E8590" s="538" t="n">
        <v>126.1</v>
      </c>
    </row>
    <row r="8591">
      <c r="A8591" s="544" t="n">
        <v>41235</v>
      </c>
      <c r="B8591" s="538" t="n">
        <v>110.81</v>
      </c>
      <c r="C8591" s="538" t="n">
        <v>87.08</v>
      </c>
      <c r="D8591" s="538" t="n">
        <v>107.85</v>
      </c>
      <c r="E8591" s="538" t="n">
        <v>126.57</v>
      </c>
    </row>
    <row r="8592">
      <c r="A8592" s="544" t="n">
        <v>41236</v>
      </c>
      <c r="B8592" s="538" t="n">
        <v>110.14</v>
      </c>
      <c r="C8592" s="538" t="n">
        <v>87.01000000000001</v>
      </c>
      <c r="D8592" s="538" t="n">
        <v>109.11</v>
      </c>
      <c r="E8592" s="538" t="n">
        <v>126.28</v>
      </c>
    </row>
    <row r="8593">
      <c r="A8593" s="544" t="n">
        <v>41239</v>
      </c>
      <c r="B8593" s="538" t="n">
        <v>110.18</v>
      </c>
      <c r="C8593" s="538" t="n">
        <v>87.28</v>
      </c>
      <c r="D8593" s="538" t="n">
        <v>108.86</v>
      </c>
      <c r="E8593" s="538" t="n">
        <v>126.83</v>
      </c>
    </row>
    <row r="8594">
      <c r="A8594" s="544" t="n">
        <v>41240</v>
      </c>
      <c r="B8594" s="538" t="n">
        <v>109.33</v>
      </c>
      <c r="C8594" s="538" t="n">
        <v>86.81</v>
      </c>
      <c r="D8594" s="538" t="n">
        <v>107.39</v>
      </c>
      <c r="E8594" s="538" t="n">
        <v>126.44</v>
      </c>
    </row>
    <row r="8595">
      <c r="A8595" s="544" t="n">
        <v>41241</v>
      </c>
      <c r="B8595" s="538" t="n">
        <v>108.26</v>
      </c>
      <c r="C8595" s="538" t="n">
        <v>86.09999999999999</v>
      </c>
      <c r="D8595" s="538" t="n">
        <v>107.15</v>
      </c>
      <c r="E8595" s="538" t="n">
        <v>125</v>
      </c>
    </row>
    <row r="8596">
      <c r="A8596" s="544" t="n">
        <v>41242</v>
      </c>
      <c r="B8596" s="538" t="n">
        <v>110.47</v>
      </c>
      <c r="C8596" s="538" t="n">
        <v>87.64</v>
      </c>
      <c r="D8596" s="538" t="n">
        <v>107.48</v>
      </c>
      <c r="E8596" s="538" t="n">
        <v>124.36</v>
      </c>
    </row>
    <row r="8597">
      <c r="A8597" s="544" t="n">
        <v>41243</v>
      </c>
      <c r="B8597" s="538" t="n">
        <v>110.84</v>
      </c>
      <c r="C8597" s="538" t="n">
        <v>88.54000000000001</v>
      </c>
      <c r="D8597" s="538" t="n">
        <v>108.25</v>
      </c>
      <c r="E8597" s="538" t="n">
        <v>125.6</v>
      </c>
    </row>
    <row r="8598">
      <c r="A8598" s="544" t="n">
        <v>41246</v>
      </c>
      <c r="B8598" s="538" t="n">
        <v>111.27</v>
      </c>
      <c r="C8598" s="538" t="n">
        <v>88.69</v>
      </c>
      <c r="D8598" s="538" t="n">
        <v>107.43</v>
      </c>
      <c r="E8598" s="538" t="n">
        <v>126.82</v>
      </c>
    </row>
    <row r="8599">
      <c r="A8599" s="544" t="n">
        <v>41247</v>
      </c>
      <c r="B8599" s="538" t="n">
        <v>109.99</v>
      </c>
      <c r="C8599" s="538" t="n">
        <v>88.04000000000001</v>
      </c>
      <c r="D8599" s="538" t="n">
        <v>107.14</v>
      </c>
      <c r="E8599" s="538" t="n">
        <v>126.15</v>
      </c>
    </row>
    <row r="8600">
      <c r="A8600" s="544" t="n">
        <v>41248</v>
      </c>
      <c r="B8600" s="538" t="n">
        <v>108.96</v>
      </c>
      <c r="C8600" s="538" t="n">
        <v>87.36</v>
      </c>
      <c r="D8600" s="538" t="n">
        <v>106.11</v>
      </c>
      <c r="E8600" s="538" t="n">
        <v>125.94</v>
      </c>
    </row>
    <row r="8601">
      <c r="A8601" s="544" t="n">
        <v>41249</v>
      </c>
      <c r="B8601" s="538" t="n">
        <v>108.01</v>
      </c>
      <c r="C8601" s="538" t="n">
        <v>85.47</v>
      </c>
      <c r="D8601" s="538" t="n">
        <v>105</v>
      </c>
      <c r="E8601" s="538" t="n">
        <v>124.59</v>
      </c>
    </row>
    <row r="8602">
      <c r="A8602" s="544" t="n">
        <v>41250</v>
      </c>
      <c r="B8602" s="538" t="n">
        <v>107.16</v>
      </c>
      <c r="C8602" s="538" t="n">
        <v>85.45</v>
      </c>
      <c r="D8602" s="538" t="n">
        <v>104.45</v>
      </c>
      <c r="E8602" s="538" t="n">
        <v>123.27</v>
      </c>
    </row>
    <row r="8603">
      <c r="A8603" s="544" t="n">
        <v>41253</v>
      </c>
      <c r="B8603" s="538" t="n">
        <v>108.25</v>
      </c>
      <c r="C8603" s="538" t="n">
        <v>85.14</v>
      </c>
      <c r="D8603" s="538" t="n">
        <v>104.37</v>
      </c>
      <c r="E8603" s="538" t="n">
        <v>122.63</v>
      </c>
    </row>
    <row r="8604">
      <c r="A8604" s="544" t="n">
        <v>41254</v>
      </c>
      <c r="B8604" s="538" t="n">
        <v>107.6</v>
      </c>
      <c r="C8604" s="538" t="n">
        <v>85.36</v>
      </c>
      <c r="D8604" s="538" t="n">
        <v>104.66</v>
      </c>
      <c r="E8604" s="538" t="n">
        <v>122.13</v>
      </c>
    </row>
    <row r="8605">
      <c r="A8605" s="544" t="n">
        <v>41255</v>
      </c>
      <c r="B8605" s="538" t="n">
        <v>110.17</v>
      </c>
      <c r="C8605" s="538" t="n">
        <v>86.34999999999999</v>
      </c>
      <c r="D8605" s="538" t="n">
        <v>105.36</v>
      </c>
      <c r="E8605" s="538" t="n">
        <v>122.78</v>
      </c>
    </row>
    <row r="8606">
      <c r="A8606" s="544" t="n">
        <v>41256</v>
      </c>
      <c r="B8606" s="538" t="n">
        <v>110.18</v>
      </c>
      <c r="C8606" s="538" t="n">
        <v>85.39</v>
      </c>
      <c r="D8606" s="538" t="n">
        <v>104.64</v>
      </c>
      <c r="E8606" s="538" t="n">
        <v>123.89</v>
      </c>
    </row>
    <row r="8607">
      <c r="A8607" s="544" t="n">
        <v>41257</v>
      </c>
      <c r="B8607" s="538" t="n">
        <v>109.28</v>
      </c>
      <c r="C8607" s="538" t="n">
        <v>86.31999999999999</v>
      </c>
      <c r="D8607" s="538" t="n">
        <v>105.03</v>
      </c>
      <c r="E8607" s="538" t="n">
        <v>123.49</v>
      </c>
    </row>
    <row r="8608">
      <c r="A8608" s="544" t="n">
        <v>41260</v>
      </c>
      <c r="B8608" s="538" t="n">
        <v>109.35</v>
      </c>
      <c r="C8608" s="538" t="n">
        <v>86.70999999999999</v>
      </c>
      <c r="D8608" s="538" t="n">
        <v>105.58</v>
      </c>
      <c r="E8608" s="538" t="n">
        <v>124.24</v>
      </c>
    </row>
    <row r="8609">
      <c r="A8609" s="544" t="n">
        <v>41261</v>
      </c>
      <c r="B8609" s="538" t="n">
        <v>109.96</v>
      </c>
      <c r="C8609" s="538" t="n">
        <v>87.45999999999999</v>
      </c>
      <c r="D8609" s="538" t="n">
        <v>106.42</v>
      </c>
      <c r="E8609" s="538" t="n">
        <v>123.99</v>
      </c>
    </row>
    <row r="8610">
      <c r="A8610" s="544" t="n">
        <v>41262</v>
      </c>
      <c r="B8610" s="538" t="n">
        <v>109.95</v>
      </c>
      <c r="C8610" s="538" t="n">
        <v>89.09</v>
      </c>
      <c r="D8610" s="538" t="n">
        <v>107.34</v>
      </c>
      <c r="E8610" s="538" t="n">
        <v>124.88</v>
      </c>
    </row>
    <row r="8611">
      <c r="A8611" s="544" t="n">
        <v>41263</v>
      </c>
      <c r="B8611" s="538" t="n">
        <v>110.57</v>
      </c>
      <c r="C8611" s="538" t="n">
        <v>89.76000000000001</v>
      </c>
      <c r="D8611" s="538" t="n">
        <v>106.4</v>
      </c>
      <c r="E8611" s="538" t="n">
        <v>126.17</v>
      </c>
    </row>
    <row r="8612">
      <c r="A8612" s="544" t="n">
        <v>41264</v>
      </c>
      <c r="B8612" s="538" t="n">
        <v>109.13</v>
      </c>
      <c r="C8612" s="538" t="n">
        <v>88.2</v>
      </c>
      <c r="D8612" s="538" t="n">
        <v>106.26</v>
      </c>
      <c r="E8612" s="538" t="n">
        <v>125.96</v>
      </c>
    </row>
    <row r="8613">
      <c r="A8613" s="544" t="n">
        <v>41267</v>
      </c>
      <c r="B8613" s="538" t="n">
        <v>108.44</v>
      </c>
      <c r="C8613" s="538" t="n">
        <v>88.29000000000001</v>
      </c>
      <c r="D8613" s="538" t="n">
        <v>106.24</v>
      </c>
      <c r="E8613" s="538" t="n">
        <v>124.91</v>
      </c>
    </row>
    <row r="8614">
      <c r="A8614" s="544" t="n">
        <v>41268</v>
      </c>
      <c r="B8614" s="538" t="n">
        <v>108.44</v>
      </c>
      <c r="C8614" s="538" t="n">
        <v>88.29000000000001</v>
      </c>
      <c r="D8614" s="538" t="n">
        <v>106.56</v>
      </c>
      <c r="E8614" s="538" t="n">
        <v>124.91</v>
      </c>
    </row>
    <row r="8615">
      <c r="A8615" s="544" t="n">
        <v>41269</v>
      </c>
      <c r="B8615" s="538" t="n">
        <v>110.72</v>
      </c>
      <c r="C8615" s="538" t="n">
        <v>90.70999999999999</v>
      </c>
      <c r="D8615" s="538" t="n">
        <v>108.07</v>
      </c>
      <c r="E8615" s="538" t="n">
        <v>124.84</v>
      </c>
    </row>
    <row r="8616">
      <c r="A8616" s="544" t="n">
        <v>41270</v>
      </c>
      <c r="B8616" s="538" t="n">
        <v>110.04</v>
      </c>
      <c r="C8616" s="538" t="n">
        <v>90.91</v>
      </c>
      <c r="D8616" s="538" t="n">
        <v>108.48</v>
      </c>
      <c r="E8616" s="538" t="n">
        <v>126.56</v>
      </c>
    </row>
    <row r="8617">
      <c r="A8617" s="544" t="n">
        <v>41271</v>
      </c>
      <c r="B8617" s="538" t="n">
        <v>110.05</v>
      </c>
      <c r="C8617" s="538" t="n">
        <v>90.66</v>
      </c>
      <c r="D8617" s="538" t="n">
        <v>107.88</v>
      </c>
      <c r="E8617" s="538" t="n">
        <v>126.45</v>
      </c>
    </row>
    <row r="8618">
      <c r="A8618" s="544" t="n">
        <v>41274</v>
      </c>
      <c r="B8618" s="538" t="n">
        <v>110.8</v>
      </c>
      <c r="C8618" s="538" t="n">
        <v>91.83</v>
      </c>
      <c r="D8618" s="538" t="n">
        <v>108.06</v>
      </c>
      <c r="E8618" s="538" t="n">
        <v>125.36</v>
      </c>
    </row>
    <row r="8619">
      <c r="A8619" s="544" t="n">
        <v>41275</v>
      </c>
      <c r="B8619" s="538" t="n">
        <v>110.8</v>
      </c>
      <c r="C8619" s="538" t="n">
        <v>91.83</v>
      </c>
      <c r="D8619" s="538" t="n">
        <v>108.27</v>
      </c>
      <c r="E8619" s="538" t="n">
        <v>125.36</v>
      </c>
    </row>
    <row r="8620">
      <c r="A8620" s="544" t="n">
        <v>41276</v>
      </c>
      <c r="B8620" s="538" t="n">
        <v>112.98</v>
      </c>
      <c r="C8620" s="538" t="n">
        <v>93.14</v>
      </c>
      <c r="D8620" s="538" t="n">
        <v>108.48</v>
      </c>
      <c r="E8620" s="538" t="n">
        <v>126.15</v>
      </c>
    </row>
    <row r="8621">
      <c r="A8621" s="544" t="n">
        <v>41277</v>
      </c>
      <c r="B8621" s="538" t="n">
        <v>113.03</v>
      </c>
      <c r="C8621" s="538" t="n">
        <v>92.97</v>
      </c>
      <c r="D8621" s="538" t="n">
        <v>107.12</v>
      </c>
      <c r="E8621" s="538" t="n">
        <v>126.51</v>
      </c>
    </row>
    <row r="8622">
      <c r="A8622" s="544" t="n">
        <v>41278</v>
      </c>
      <c r="B8622" s="538" t="n">
        <v>112.58</v>
      </c>
      <c r="C8622" s="538" t="n">
        <v>93.12</v>
      </c>
      <c r="D8622" s="538" t="n">
        <v>106.9</v>
      </c>
      <c r="E8622" s="538" t="n">
        <v>126.31</v>
      </c>
    </row>
    <row r="8623">
      <c r="A8623" s="544" t="n">
        <v>41281</v>
      </c>
      <c r="B8623" s="538" t="n">
        <v>112.49</v>
      </c>
      <c r="C8623" s="538" t="n">
        <v>93.2</v>
      </c>
      <c r="D8623" s="538" t="n">
        <v>107.04</v>
      </c>
      <c r="E8623" s="538" t="n">
        <v>126.17</v>
      </c>
    </row>
    <row r="8624">
      <c r="A8624" s="544" t="n">
        <v>41282</v>
      </c>
      <c r="B8624" s="538" t="n">
        <v>113.03</v>
      </c>
      <c r="C8624" s="538" t="n">
        <v>93.20999999999999</v>
      </c>
      <c r="D8624" s="538" t="n">
        <v>107.87</v>
      </c>
      <c r="E8624" s="538" t="n">
        <v>127.01</v>
      </c>
    </row>
    <row r="8625">
      <c r="A8625" s="544" t="n">
        <v>41283</v>
      </c>
      <c r="B8625" s="538" t="n">
        <v>113.07</v>
      </c>
      <c r="C8625" s="538" t="n">
        <v>93.08</v>
      </c>
      <c r="D8625" s="538" t="n">
        <v>107.64</v>
      </c>
      <c r="E8625" s="538" t="n">
        <v>128.24</v>
      </c>
    </row>
    <row r="8626">
      <c r="A8626" s="544" t="n">
        <v>41284</v>
      </c>
      <c r="B8626" s="538" t="n">
        <v>112.97</v>
      </c>
      <c r="C8626" s="538" t="n">
        <v>93.81</v>
      </c>
      <c r="D8626" s="538" t="n">
        <v>107.46</v>
      </c>
      <c r="E8626" s="538" t="n">
        <v>128.8</v>
      </c>
    </row>
    <row r="8627">
      <c r="A8627" s="544" t="n">
        <v>41285</v>
      </c>
      <c r="B8627" s="538" t="n">
        <v>110.3</v>
      </c>
      <c r="C8627" s="538" t="n">
        <v>93.59999999999999</v>
      </c>
      <c r="D8627" s="538" t="n">
        <v>106.59</v>
      </c>
      <c r="E8627" s="538" t="n">
        <v>128.16</v>
      </c>
    </row>
    <row r="8628">
      <c r="A8628" s="544" t="n">
        <v>41288</v>
      </c>
      <c r="B8628" s="538" t="n">
        <v>111.32</v>
      </c>
      <c r="C8628" s="538" t="n">
        <v>94.27</v>
      </c>
      <c r="D8628" s="538" t="n">
        <v>107.41</v>
      </c>
      <c r="E8628" s="538" t="n">
        <v>127.01</v>
      </c>
    </row>
    <row r="8629">
      <c r="A8629" s="544" t="n">
        <v>41289</v>
      </c>
      <c r="B8629" s="538" t="n">
        <v>111.72</v>
      </c>
      <c r="C8629" s="538" t="n">
        <v>93.26000000000001</v>
      </c>
      <c r="D8629" s="538" t="n">
        <v>106.02</v>
      </c>
      <c r="E8629" s="538" t="n">
        <v>128.38</v>
      </c>
    </row>
    <row r="8630">
      <c r="A8630" s="544" t="n">
        <v>41290</v>
      </c>
      <c r="B8630" s="538" t="n">
        <v>110.97</v>
      </c>
      <c r="C8630" s="538" t="n">
        <v>94.28</v>
      </c>
      <c r="D8630" s="538" t="n">
        <v>107.64</v>
      </c>
      <c r="E8630" s="538" t="n">
        <v>127.05</v>
      </c>
    </row>
    <row r="8631">
      <c r="A8631" s="544" t="n">
        <v>41291</v>
      </c>
      <c r="B8631" s="538" t="n">
        <v>111.01</v>
      </c>
      <c r="C8631" s="538" t="n">
        <v>95.48999999999999</v>
      </c>
      <c r="D8631" s="538" t="n">
        <v>107.58</v>
      </c>
      <c r="E8631" s="538" t="n">
        <v>127.09</v>
      </c>
    </row>
    <row r="8632">
      <c r="A8632" s="544" t="n">
        <v>41292</v>
      </c>
      <c r="B8632" s="538" t="n">
        <v>111.71</v>
      </c>
      <c r="C8632" s="538" t="n">
        <v>95.61</v>
      </c>
      <c r="D8632" s="538" t="n">
        <v>108.32</v>
      </c>
      <c r="E8632" s="538" t="n">
        <v>128.04</v>
      </c>
    </row>
    <row r="8633">
      <c r="A8633" s="544" t="n">
        <v>41295</v>
      </c>
      <c r="B8633" s="538" t="n">
        <v>111.71</v>
      </c>
      <c r="C8633" s="538" t="n">
        <v>95.61</v>
      </c>
      <c r="D8633" s="538" t="n">
        <v>108.04</v>
      </c>
      <c r="E8633" s="538" t="n">
        <v>128.21</v>
      </c>
    </row>
    <row r="8634">
      <c r="A8634" s="544" t="n">
        <v>41296</v>
      </c>
      <c r="B8634" s="538" t="n">
        <v>112.72</v>
      </c>
      <c r="C8634" s="538" t="n">
        <v>96.09</v>
      </c>
      <c r="D8634" s="538" t="n">
        <v>108.48</v>
      </c>
      <c r="E8634" s="538" t="n">
        <v>128.68</v>
      </c>
    </row>
    <row r="8635">
      <c r="A8635" s="544" t="n">
        <v>41297</v>
      </c>
      <c r="B8635" s="538" t="n">
        <v>113.68</v>
      </c>
      <c r="C8635" s="538" t="n">
        <v>95.06</v>
      </c>
      <c r="D8635" s="538" t="n">
        <v>109.02</v>
      </c>
      <c r="E8635" s="538" t="n">
        <v>128.81</v>
      </c>
    </row>
    <row r="8636">
      <c r="A8636" s="544" t="n">
        <v>41298</v>
      </c>
      <c r="B8636" s="538" t="n">
        <v>114.59</v>
      </c>
      <c r="C8636" s="538" t="n">
        <v>95.34999999999999</v>
      </c>
      <c r="D8636" s="538" t="n">
        <v>108.85</v>
      </c>
      <c r="E8636" s="538" t="n">
        <v>129.22</v>
      </c>
    </row>
    <row r="8637">
      <c r="A8637" s="544" t="n">
        <v>41299</v>
      </c>
      <c r="B8637" s="538" t="n">
        <v>113.88</v>
      </c>
      <c r="C8637" s="538" t="n">
        <v>95.15000000000001</v>
      </c>
      <c r="D8637" s="538" t="n">
        <v>109.18</v>
      </c>
      <c r="E8637" s="538" t="n">
        <v>129.41</v>
      </c>
    </row>
    <row r="8638">
      <c r="A8638" s="544" t="n">
        <v>41302</v>
      </c>
      <c r="B8638" s="538" t="n">
        <v>113.92</v>
      </c>
      <c r="C8638" s="538" t="n">
        <v>95.95</v>
      </c>
      <c r="D8638" s="538" t="n">
        <v>110.39</v>
      </c>
      <c r="E8638" s="538" t="n">
        <v>128.42</v>
      </c>
    </row>
    <row r="8639">
      <c r="A8639" s="544" t="n">
        <v>41303</v>
      </c>
      <c r="B8639" s="538" t="n">
        <v>115.22</v>
      </c>
      <c r="C8639" s="538" t="n">
        <v>97.62</v>
      </c>
      <c r="D8639" s="538" t="n">
        <v>109.67</v>
      </c>
      <c r="E8639" s="538" t="n">
        <v>128.66</v>
      </c>
    </row>
    <row r="8640">
      <c r="A8640" s="544" t="n">
        <v>41304</v>
      </c>
      <c r="B8640" s="538" t="n">
        <v>115.42</v>
      </c>
      <c r="C8640" s="538" t="n">
        <v>97.98</v>
      </c>
      <c r="D8640" s="538" t="n">
        <v>110.77</v>
      </c>
      <c r="E8640" s="538" t="n">
        <v>130.7</v>
      </c>
    </row>
    <row r="8641">
      <c r="A8641" s="544" t="n">
        <v>41305</v>
      </c>
      <c r="B8641" s="538" t="n">
        <v>115.55</v>
      </c>
      <c r="C8641" s="538" t="n">
        <v>97.65000000000001</v>
      </c>
      <c r="D8641" s="538" t="n">
        <v>110.14</v>
      </c>
      <c r="E8641" s="538" t="n">
        <v>130.93</v>
      </c>
    </row>
    <row r="8642">
      <c r="A8642" s="544" t="n">
        <v>41306</v>
      </c>
      <c r="B8642" s="538" t="n">
        <v>115.55</v>
      </c>
      <c r="C8642" s="538" t="n">
        <v>97.45999999999999</v>
      </c>
      <c r="D8642" s="538" t="n">
        <v>111.46</v>
      </c>
      <c r="E8642" s="538" t="n">
        <v>131.97</v>
      </c>
    </row>
    <row r="8643">
      <c r="A8643" s="544" t="n">
        <v>41309</v>
      </c>
      <c r="B8643" s="538" t="n">
        <v>116.06</v>
      </c>
      <c r="C8643" s="538" t="n">
        <v>96.20999999999999</v>
      </c>
      <c r="D8643" s="538" t="n">
        <v>110.64</v>
      </c>
      <c r="E8643" s="538" t="n">
        <v>133.19</v>
      </c>
    </row>
    <row r="8644">
      <c r="A8644" s="544" t="n">
        <v>41310</v>
      </c>
      <c r="B8644" s="538" t="n">
        <v>117.03</v>
      </c>
      <c r="C8644" s="538" t="n">
        <v>96.68000000000001</v>
      </c>
      <c r="D8644" s="538" t="n">
        <v>111.56</v>
      </c>
      <c r="E8644" s="538" t="n">
        <v>132.88</v>
      </c>
    </row>
    <row r="8645">
      <c r="A8645" s="544" t="n">
        <v>41311</v>
      </c>
      <c r="B8645" s="538" t="n">
        <v>116.61</v>
      </c>
      <c r="C8645" s="538" t="n">
        <v>96.44</v>
      </c>
      <c r="D8645" s="538" t="n">
        <v>111.72</v>
      </c>
      <c r="E8645" s="538" t="n">
        <v>134.5</v>
      </c>
    </row>
    <row r="8646">
      <c r="A8646" s="544" t="n">
        <v>41312</v>
      </c>
      <c r="B8646" s="538" t="n">
        <v>117.17</v>
      </c>
      <c r="C8646" s="538" t="n">
        <v>95.84</v>
      </c>
      <c r="D8646" s="538" t="n">
        <v>112.48</v>
      </c>
      <c r="E8646" s="538" t="n">
        <v>135.27</v>
      </c>
    </row>
    <row r="8647">
      <c r="A8647" s="544" t="n">
        <v>41313</v>
      </c>
      <c r="B8647" s="538" t="n">
        <v>118.9</v>
      </c>
      <c r="C8647" s="538" t="n">
        <v>95.70999999999999</v>
      </c>
      <c r="D8647" s="538" t="n">
        <v>114.02</v>
      </c>
      <c r="E8647" s="538" t="n">
        <v>136.63</v>
      </c>
    </row>
    <row r="8648">
      <c r="A8648" s="544" t="n">
        <v>41316</v>
      </c>
      <c r="B8648" s="538" t="n">
        <v>118.29</v>
      </c>
      <c r="C8648" s="538" t="n">
        <v>97.01000000000001</v>
      </c>
      <c r="D8648" s="538" t="n">
        <v>112.86</v>
      </c>
      <c r="E8648" s="538" t="n">
        <v>136.63</v>
      </c>
    </row>
    <row r="8649">
      <c r="A8649" s="544" t="n">
        <v>41317</v>
      </c>
      <c r="B8649" s="538" t="n">
        <v>117.89</v>
      </c>
      <c r="C8649" s="538" t="n">
        <v>97.48</v>
      </c>
      <c r="D8649" s="538" t="n">
        <v>113.65</v>
      </c>
      <c r="E8649" s="538" t="n">
        <v>136.63</v>
      </c>
    </row>
    <row r="8650">
      <c r="A8650" s="544" t="n">
        <v>41318</v>
      </c>
      <c r="B8650" s="538" t="n">
        <v>118.43</v>
      </c>
      <c r="C8650" s="538" t="n">
        <v>97.03</v>
      </c>
      <c r="D8650" s="538" t="n">
        <v>115.23</v>
      </c>
      <c r="E8650" s="538" t="n">
        <v>137.48</v>
      </c>
    </row>
    <row r="8651">
      <c r="A8651" s="544" t="n">
        <v>41319</v>
      </c>
      <c r="B8651" s="538" t="n">
        <v>118.48</v>
      </c>
      <c r="C8651" s="538" t="n">
        <v>97.3</v>
      </c>
      <c r="D8651" s="538" t="n">
        <v>113.29</v>
      </c>
      <c r="E8651" s="538" t="n">
        <v>136.81</v>
      </c>
    </row>
    <row r="8652">
      <c r="A8652" s="544" t="n">
        <v>41320</v>
      </c>
      <c r="B8652" s="538" t="n">
        <v>117.4</v>
      </c>
      <c r="C8652" s="538" t="n">
        <v>95.95</v>
      </c>
      <c r="D8652" s="538" t="n">
        <v>113.03</v>
      </c>
      <c r="E8652" s="538" t="n">
        <v>136.45</v>
      </c>
    </row>
    <row r="8653">
      <c r="A8653" s="544" t="n">
        <v>41323</v>
      </c>
      <c r="B8653" s="538" t="n">
        <v>117.4</v>
      </c>
      <c r="C8653" s="538" t="n">
        <v>95.95</v>
      </c>
      <c r="D8653" s="538" t="n">
        <v>112.73</v>
      </c>
      <c r="E8653" s="538" t="n">
        <v>136.01</v>
      </c>
    </row>
    <row r="8654">
      <c r="A8654" s="544" t="n">
        <v>41324</v>
      </c>
      <c r="B8654" s="538" t="n">
        <v>117.04</v>
      </c>
      <c r="C8654" s="538" t="n">
        <v>96.69</v>
      </c>
      <c r="D8654" s="538" t="n">
        <v>112.16</v>
      </c>
      <c r="E8654" s="538" t="n">
        <v>135.53</v>
      </c>
    </row>
    <row r="8655">
      <c r="A8655" s="544" t="n">
        <v>41325</v>
      </c>
      <c r="B8655" s="538" t="n">
        <v>116.23</v>
      </c>
      <c r="C8655" s="538" t="n">
        <v>94.92</v>
      </c>
      <c r="D8655" s="538" t="n">
        <v>109.96</v>
      </c>
      <c r="E8655" s="538" t="n">
        <v>135.32</v>
      </c>
    </row>
    <row r="8656">
      <c r="A8656" s="544" t="n">
        <v>41326</v>
      </c>
      <c r="B8656" s="538" t="n">
        <v>114.19</v>
      </c>
      <c r="C8656" s="538" t="n">
        <v>92.79000000000001</v>
      </c>
      <c r="D8656" s="538" t="n">
        <v>109.05</v>
      </c>
      <c r="E8656" s="538" t="n">
        <v>132.72</v>
      </c>
    </row>
    <row r="8657">
      <c r="A8657" s="544" t="n">
        <v>41327</v>
      </c>
      <c r="B8657" s="538" t="n">
        <v>113.74</v>
      </c>
      <c r="C8657" s="538" t="n">
        <v>93.12</v>
      </c>
      <c r="D8657" s="538" t="n">
        <v>109.17</v>
      </c>
      <c r="E8657" s="538" t="n">
        <v>132.45</v>
      </c>
    </row>
    <row r="8658">
      <c r="A8658" s="544" t="n">
        <v>41330</v>
      </c>
      <c r="B8658" s="538" t="n">
        <v>114.55</v>
      </c>
      <c r="C8658" s="538" t="n">
        <v>92.73999999999999</v>
      </c>
      <c r="D8658" s="538" t="n">
        <v>109.19</v>
      </c>
      <c r="E8658" s="538" t="n">
        <v>132.52</v>
      </c>
    </row>
    <row r="8659">
      <c r="A8659" s="544" t="n">
        <v>41331</v>
      </c>
      <c r="B8659" s="538" t="n">
        <v>112.96</v>
      </c>
      <c r="C8659" s="538" t="n">
        <v>92.63</v>
      </c>
      <c r="D8659" s="538" t="n">
        <v>108.11</v>
      </c>
      <c r="E8659" s="538" t="n">
        <v>130.46</v>
      </c>
    </row>
    <row r="8660">
      <c r="A8660" s="544" t="n">
        <v>41332</v>
      </c>
      <c r="B8660" s="538" t="n">
        <v>112.24</v>
      </c>
      <c r="C8660" s="538" t="n">
        <v>92.84</v>
      </c>
      <c r="D8660" s="538" t="n">
        <v>107.37</v>
      </c>
      <c r="E8660" s="538" t="n">
        <v>129.6</v>
      </c>
    </row>
    <row r="8661">
      <c r="A8661" s="544" t="n">
        <v>41333</v>
      </c>
      <c r="B8661" s="538" t="n">
        <v>112.2</v>
      </c>
      <c r="C8661" s="538" t="n">
        <v>92.03</v>
      </c>
      <c r="D8661" s="538" t="n">
        <v>105.44</v>
      </c>
      <c r="E8661" s="538" t="n">
        <v>127.84</v>
      </c>
    </row>
    <row r="8662">
      <c r="A8662" s="544" t="n">
        <v>41334</v>
      </c>
      <c r="B8662" s="538" t="n">
        <v>110.14</v>
      </c>
      <c r="C8662" s="538" t="n">
        <v>90.70999999999999</v>
      </c>
      <c r="D8662" s="538" t="n">
        <v>105.15</v>
      </c>
      <c r="E8662" s="538" t="n">
        <v>126.33</v>
      </c>
    </row>
    <row r="8663">
      <c r="A8663" s="544" t="n">
        <v>41337</v>
      </c>
      <c r="B8663" s="538" t="n">
        <v>109.9</v>
      </c>
      <c r="C8663" s="538" t="n">
        <v>90.13</v>
      </c>
      <c r="D8663" s="538" t="n">
        <v>104.82</v>
      </c>
      <c r="E8663" s="538" t="n">
        <v>125.19</v>
      </c>
    </row>
    <row r="8664">
      <c r="A8664" s="544" t="n">
        <v>41338</v>
      </c>
      <c r="B8664" s="538" t="n">
        <v>110.42</v>
      </c>
      <c r="C8664" s="538" t="n">
        <v>90.88</v>
      </c>
      <c r="D8664" s="538" t="n">
        <v>106.71</v>
      </c>
      <c r="E8664" s="538" t="n">
        <v>125.64</v>
      </c>
    </row>
    <row r="8665">
      <c r="A8665" s="544" t="n">
        <v>41339</v>
      </c>
      <c r="B8665" s="538" t="n">
        <v>110.27</v>
      </c>
      <c r="C8665" s="538" t="n">
        <v>90.47</v>
      </c>
      <c r="D8665" s="538" t="n">
        <v>106.25</v>
      </c>
      <c r="E8665" s="538" t="n">
        <v>126.58</v>
      </c>
    </row>
    <row r="8666">
      <c r="A8666" s="544" t="n">
        <v>41340</v>
      </c>
      <c r="B8666" s="538" t="n">
        <v>110.42</v>
      </c>
      <c r="C8666" s="538" t="n">
        <v>91.53</v>
      </c>
      <c r="D8666" s="538" t="n">
        <v>106.38</v>
      </c>
      <c r="E8666" s="538" t="n">
        <v>125.88</v>
      </c>
    </row>
    <row r="8667">
      <c r="A8667" s="544" t="n">
        <v>41341</v>
      </c>
      <c r="B8667" s="538" t="n">
        <v>108.91</v>
      </c>
      <c r="C8667" s="538" t="n">
        <v>92.01000000000001</v>
      </c>
      <c r="D8667" s="538" t="n">
        <v>106.75</v>
      </c>
      <c r="E8667" s="538" t="n">
        <v>125.99</v>
      </c>
    </row>
    <row r="8668">
      <c r="A8668" s="544" t="n">
        <v>41344</v>
      </c>
      <c r="B8668" s="538" t="n">
        <v>108.64</v>
      </c>
      <c r="C8668" s="538" t="n">
        <v>92.06999999999999</v>
      </c>
      <c r="D8668" s="538" t="n">
        <v>106.52</v>
      </c>
      <c r="E8668" s="538" t="n">
        <v>125.16</v>
      </c>
    </row>
    <row r="8669">
      <c r="A8669" s="544" t="n">
        <v>41345</v>
      </c>
      <c r="B8669" s="538" t="n">
        <v>108.48</v>
      </c>
      <c r="C8669" s="538" t="n">
        <v>92.44</v>
      </c>
      <c r="D8669" s="538" t="n">
        <v>105.63</v>
      </c>
      <c r="E8669" s="538" t="n">
        <v>124.53</v>
      </c>
    </row>
    <row r="8670">
      <c r="A8670" s="544" t="n">
        <v>41346</v>
      </c>
      <c r="B8670" s="538" t="n">
        <v>107.51</v>
      </c>
      <c r="C8670" s="538" t="n">
        <v>92.47</v>
      </c>
      <c r="D8670" s="538" t="n">
        <v>103.95</v>
      </c>
      <c r="E8670" s="538" t="n">
        <v>124.93</v>
      </c>
    </row>
    <row r="8671">
      <c r="A8671" s="544" t="n">
        <v>41347</v>
      </c>
      <c r="B8671" s="538" t="n">
        <v>108.1</v>
      </c>
      <c r="C8671" s="538" t="n">
        <v>93.03</v>
      </c>
      <c r="D8671" s="538" t="n">
        <v>106.45</v>
      </c>
      <c r="E8671" s="538" t="n">
        <v>123.8</v>
      </c>
    </row>
    <row r="8672">
      <c r="A8672" s="544" t="n">
        <v>41348</v>
      </c>
      <c r="B8672" s="538" t="n">
        <v>109.32</v>
      </c>
      <c r="C8672" s="538" t="n">
        <v>93.48999999999999</v>
      </c>
      <c r="D8672" s="538" t="n">
        <v>105.96</v>
      </c>
      <c r="E8672" s="538" t="n">
        <v>123.75</v>
      </c>
    </row>
    <row r="8673">
      <c r="A8673" s="544" t="n">
        <v>41351</v>
      </c>
      <c r="B8673" s="538" t="n">
        <v>108.54</v>
      </c>
      <c r="C8673" s="538" t="n">
        <v>93.70999999999999</v>
      </c>
      <c r="D8673" s="538" t="n">
        <v>105.94</v>
      </c>
      <c r="E8673" s="538" t="n">
        <v>123.33</v>
      </c>
    </row>
    <row r="8674">
      <c r="A8674" s="544" t="n">
        <v>41352</v>
      </c>
      <c r="B8674" s="538" t="n">
        <v>106.91</v>
      </c>
      <c r="C8674" s="538" t="n">
        <v>92.44</v>
      </c>
      <c r="D8674" s="538" t="n">
        <v>104.61</v>
      </c>
      <c r="E8674" s="538" t="n">
        <v>123.01</v>
      </c>
    </row>
    <row r="8675">
      <c r="A8675" s="544" t="n">
        <v>41353</v>
      </c>
      <c r="B8675" s="538" t="n">
        <v>108.27</v>
      </c>
      <c r="C8675" s="538" t="n">
        <v>93.20999999999999</v>
      </c>
      <c r="D8675" s="538" t="n">
        <v>105.42</v>
      </c>
      <c r="E8675" s="538" t="n">
        <v>120.94</v>
      </c>
    </row>
    <row r="8676">
      <c r="A8676" s="544" t="n">
        <v>41354</v>
      </c>
      <c r="B8676" s="538" t="n">
        <v>106.41</v>
      </c>
      <c r="C8676" s="538" t="n">
        <v>92.45999999999999</v>
      </c>
      <c r="D8676" s="538" t="n">
        <v>104.27</v>
      </c>
      <c r="E8676" s="538" t="n">
        <v>121.22</v>
      </c>
    </row>
    <row r="8677">
      <c r="A8677" s="544" t="n">
        <v>41355</v>
      </c>
      <c r="B8677" s="538" t="n">
        <v>106.51</v>
      </c>
      <c r="C8677" s="538" t="n">
        <v>93.41</v>
      </c>
      <c r="D8677" s="538" t="n">
        <v>104.63</v>
      </c>
      <c r="E8677" s="538" t="n">
        <v>119.81</v>
      </c>
    </row>
    <row r="8678">
      <c r="A8678" s="544" t="n">
        <v>41358</v>
      </c>
      <c r="B8678" s="538" t="n">
        <v>106.66</v>
      </c>
      <c r="C8678" s="538" t="n">
        <v>94.55</v>
      </c>
      <c r="D8678" s="538" t="n">
        <v>105.02</v>
      </c>
      <c r="E8678" s="538" t="n">
        <v>120.33</v>
      </c>
    </row>
    <row r="8679">
      <c r="A8679" s="544" t="n">
        <v>41359</v>
      </c>
      <c r="B8679" s="538" t="n">
        <v>107.1</v>
      </c>
      <c r="C8679" s="538" t="n">
        <v>95.98999999999999</v>
      </c>
      <c r="D8679" s="538" t="n">
        <v>106.63</v>
      </c>
      <c r="E8679" s="538" t="n">
        <v>120.46</v>
      </c>
    </row>
    <row r="8680">
      <c r="A8680" s="544" t="n">
        <v>41360</v>
      </c>
      <c r="B8680" s="538" t="n">
        <v>108.51</v>
      </c>
      <c r="C8680" s="538" t="n">
        <v>96.53</v>
      </c>
      <c r="D8680" s="538" t="n">
        <v>107.03</v>
      </c>
      <c r="E8680" s="538" t="n">
        <v>120.98</v>
      </c>
    </row>
    <row r="8681">
      <c r="A8681" s="544" t="n">
        <v>41361</v>
      </c>
      <c r="B8681" s="538" t="n">
        <v>108.46</v>
      </c>
      <c r="C8681" s="538" t="n">
        <v>97.23999999999999</v>
      </c>
      <c r="D8681" s="538" t="n">
        <v>107.3</v>
      </c>
      <c r="E8681" s="538" t="n">
        <v>122.17</v>
      </c>
    </row>
    <row r="8682">
      <c r="A8682" s="544" t="n">
        <v>41362</v>
      </c>
      <c r="B8682" s="538" t="n">
        <v>108.46</v>
      </c>
      <c r="C8682" s="538" t="n">
        <v>97.23999999999999</v>
      </c>
      <c r="D8682" s="538" t="n">
        <v>107.3</v>
      </c>
      <c r="E8682" s="538" t="n">
        <v>122.17</v>
      </c>
    </row>
    <row r="8683">
      <c r="A8683" s="544" t="n">
        <v>41365</v>
      </c>
      <c r="B8683" s="538" t="n">
        <v>108.76</v>
      </c>
      <c r="C8683" s="538" t="n">
        <v>97.09999999999999</v>
      </c>
      <c r="D8683" s="538" t="n">
        <v>107.12</v>
      </c>
      <c r="E8683" s="538" t="n">
        <v>121.68</v>
      </c>
    </row>
    <row r="8684">
      <c r="A8684" s="544" t="n">
        <v>41366</v>
      </c>
      <c r="B8684" s="538" t="n">
        <v>109.66</v>
      </c>
      <c r="C8684" s="538" t="n">
        <v>97.23</v>
      </c>
      <c r="D8684" s="538" t="n">
        <v>107.56</v>
      </c>
      <c r="E8684" s="538" t="n">
        <v>123.27</v>
      </c>
    </row>
    <row r="8685">
      <c r="A8685" s="544" t="n">
        <v>41367</v>
      </c>
      <c r="B8685" s="538" t="n">
        <v>107.82</v>
      </c>
      <c r="C8685" s="538" t="n">
        <v>95.02</v>
      </c>
      <c r="D8685" s="538" t="n">
        <v>105.54</v>
      </c>
      <c r="E8685" s="538" t="n">
        <v>123.53</v>
      </c>
    </row>
    <row r="8686">
      <c r="A8686" s="544" t="n">
        <v>41368</v>
      </c>
      <c r="B8686" s="538" t="n">
        <v>105.09</v>
      </c>
      <c r="C8686" s="538" t="n">
        <v>93.26000000000001</v>
      </c>
      <c r="D8686" s="538" t="n">
        <v>104.11</v>
      </c>
      <c r="E8686" s="538" t="n">
        <v>120.83</v>
      </c>
    </row>
    <row r="8687">
      <c r="A8687" s="544" t="n">
        <v>41369</v>
      </c>
      <c r="B8687" s="538" t="n">
        <v>103.98</v>
      </c>
      <c r="C8687" s="538" t="n">
        <v>92.76000000000001</v>
      </c>
      <c r="D8687" s="538" t="n">
        <v>101.96</v>
      </c>
      <c r="E8687" s="538" t="n">
        <v>119.83</v>
      </c>
    </row>
    <row r="8688">
      <c r="A8688" s="544" t="n">
        <v>41372</v>
      </c>
      <c r="B8688" s="538" t="n">
        <v>103.16</v>
      </c>
      <c r="C8688" s="538" t="n">
        <v>93.36</v>
      </c>
      <c r="D8688" s="538" t="n">
        <v>102.87</v>
      </c>
      <c r="E8688" s="538" t="n">
        <v>118.44</v>
      </c>
    </row>
    <row r="8689">
      <c r="A8689" s="544" t="n">
        <v>41373</v>
      </c>
      <c r="B8689" s="538" t="n">
        <v>104.08</v>
      </c>
      <c r="C8689" s="538" t="n">
        <v>94.18000000000001</v>
      </c>
      <c r="D8689" s="538" t="n">
        <v>103.6</v>
      </c>
      <c r="E8689" s="538" t="n">
        <v>118.88</v>
      </c>
    </row>
    <row r="8690">
      <c r="A8690" s="544" t="n">
        <v>41374</v>
      </c>
      <c r="B8690" s="538" t="n">
        <v>104.8</v>
      </c>
      <c r="C8690" s="538" t="n">
        <v>94.59</v>
      </c>
      <c r="D8690" s="538" t="n">
        <v>103.12</v>
      </c>
      <c r="E8690" s="538" t="n">
        <v>119.11</v>
      </c>
    </row>
    <row r="8691">
      <c r="A8691" s="544" t="n">
        <v>41375</v>
      </c>
      <c r="B8691" s="538" t="n">
        <v>103.62</v>
      </c>
      <c r="C8691" s="538" t="n">
        <v>93.44</v>
      </c>
      <c r="D8691" s="538" t="n">
        <v>101.81</v>
      </c>
      <c r="E8691" s="538" t="n">
        <v>118.61</v>
      </c>
    </row>
    <row r="8692">
      <c r="A8692" s="544" t="n">
        <v>41376</v>
      </c>
      <c r="B8692" s="538" t="n">
        <v>100.58</v>
      </c>
      <c r="C8692" s="538" t="n">
        <v>91.23</v>
      </c>
      <c r="D8692" s="538" t="n">
        <v>101.23</v>
      </c>
      <c r="E8692" s="538" t="n">
        <v>116.54</v>
      </c>
    </row>
    <row r="8693">
      <c r="A8693" s="544" t="n">
        <v>41379</v>
      </c>
      <c r="B8693" s="538" t="n">
        <v>99.31999999999999</v>
      </c>
      <c r="C8693" s="538" t="n">
        <v>88.75</v>
      </c>
      <c r="D8693" s="538" t="n">
        <v>96.8</v>
      </c>
      <c r="E8693" s="538" t="n">
        <v>113.93</v>
      </c>
    </row>
    <row r="8694">
      <c r="A8694" s="544" t="n">
        <v>41380</v>
      </c>
      <c r="B8694" s="538" t="n">
        <v>97.88</v>
      </c>
      <c r="C8694" s="538" t="n">
        <v>88.73</v>
      </c>
      <c r="D8694" s="538" t="n">
        <v>98.48999999999999</v>
      </c>
      <c r="E8694" s="538" t="n">
        <v>112.28</v>
      </c>
    </row>
    <row r="8695">
      <c r="A8695" s="544" t="n">
        <v>41381</v>
      </c>
      <c r="B8695" s="538" t="n">
        <v>96.84</v>
      </c>
      <c r="C8695" s="538" t="n">
        <v>86.65000000000001</v>
      </c>
      <c r="D8695" s="538" t="n">
        <v>95.55</v>
      </c>
      <c r="E8695" s="538" t="n">
        <v>112.03</v>
      </c>
    </row>
    <row r="8696">
      <c r="A8696" s="544" t="n">
        <v>41382</v>
      </c>
      <c r="B8696" s="538" t="n">
        <v>97.48</v>
      </c>
      <c r="C8696" s="538" t="n">
        <v>87.83</v>
      </c>
      <c r="D8696" s="538" t="n">
        <v>98.09</v>
      </c>
      <c r="E8696" s="538" t="n">
        <v>110.38</v>
      </c>
    </row>
    <row r="8697">
      <c r="A8697" s="544" t="n">
        <v>41383</v>
      </c>
      <c r="B8697" s="538" t="n">
        <v>98.94</v>
      </c>
      <c r="C8697" s="538" t="n">
        <v>88.04000000000001</v>
      </c>
      <c r="D8697" s="538" t="n">
        <v>97.98999999999999</v>
      </c>
      <c r="E8697" s="538" t="n">
        <v>112.08</v>
      </c>
    </row>
    <row r="8698">
      <c r="A8698" s="544" t="n">
        <v>41386</v>
      </c>
      <c r="B8698" s="538" t="n">
        <v>99.06999999999999</v>
      </c>
      <c r="C8698" s="538" t="n">
        <v>88.81</v>
      </c>
      <c r="D8698" s="538" t="n">
        <v>98.52</v>
      </c>
      <c r="E8698" s="538" t="n">
        <v>111.79</v>
      </c>
    </row>
    <row r="8699">
      <c r="A8699" s="544" t="n">
        <v>41387</v>
      </c>
      <c r="B8699" s="538" t="n">
        <v>99.25</v>
      </c>
      <c r="C8699" s="538" t="n">
        <v>89.20999999999999</v>
      </c>
      <c r="D8699" s="538" t="n">
        <v>99.26000000000001</v>
      </c>
      <c r="E8699" s="538" t="n">
        <v>111.54</v>
      </c>
    </row>
    <row r="8700">
      <c r="A8700" s="544" t="n">
        <v>41388</v>
      </c>
      <c r="B8700" s="538" t="n">
        <v>100.71</v>
      </c>
      <c r="C8700" s="538" t="n">
        <v>91.06999999999999</v>
      </c>
      <c r="D8700" s="538" t="n">
        <v>101.12</v>
      </c>
      <c r="E8700" s="538" t="n">
        <v>112.75</v>
      </c>
    </row>
    <row r="8701">
      <c r="A8701" s="544" t="n">
        <v>41389</v>
      </c>
      <c r="B8701" s="538" t="n">
        <v>101.62</v>
      </c>
      <c r="C8701" s="538" t="n">
        <v>93.27</v>
      </c>
      <c r="D8701" s="538" t="n">
        <v>101.82</v>
      </c>
      <c r="E8701" s="538" t="n">
        <v>113.8</v>
      </c>
    </row>
    <row r="8702">
      <c r="A8702" s="544" t="n">
        <v>41390</v>
      </c>
      <c r="B8702" s="538" t="n">
        <v>102.39</v>
      </c>
      <c r="C8702" s="538" t="n">
        <v>92.63</v>
      </c>
      <c r="D8702" s="538" t="n">
        <v>101.46</v>
      </c>
      <c r="E8702" s="538" t="n">
        <v>115.22</v>
      </c>
    </row>
    <row r="8703">
      <c r="A8703" s="544" t="n">
        <v>41393</v>
      </c>
      <c r="B8703" s="538" t="n">
        <v>102.88</v>
      </c>
      <c r="C8703" s="538" t="n">
        <v>94.09</v>
      </c>
      <c r="D8703" s="538" t="n">
        <v>101.83</v>
      </c>
      <c r="E8703" s="538" t="n">
        <v>114.59</v>
      </c>
    </row>
    <row r="8704">
      <c r="A8704" s="544" t="n">
        <v>41394</v>
      </c>
      <c r="B8704" s="538" t="n">
        <v>101.53</v>
      </c>
      <c r="C8704" s="538" t="n">
        <v>93.22</v>
      </c>
      <c r="D8704" s="538" t="n">
        <v>98.2</v>
      </c>
      <c r="E8704" s="538" t="n">
        <v>114.88</v>
      </c>
    </row>
    <row r="8705">
      <c r="A8705" s="544" t="n">
        <v>41395</v>
      </c>
      <c r="B8705" s="538" t="n">
        <v>98.34</v>
      </c>
      <c r="C8705" s="538" t="n">
        <v>90.73999999999999</v>
      </c>
      <c r="D8705" s="538" t="n">
        <v>97.37</v>
      </c>
      <c r="E8705" s="538" t="n">
        <v>114.88</v>
      </c>
    </row>
    <row r="8706">
      <c r="A8706" s="544" t="n">
        <v>41396</v>
      </c>
      <c r="B8706" s="538" t="n">
        <v>100.32</v>
      </c>
      <c r="C8706" s="538" t="n">
        <v>93.7</v>
      </c>
      <c r="D8706" s="538" t="n">
        <v>99.98999999999999</v>
      </c>
      <c r="E8706" s="538" t="n">
        <v>111.72</v>
      </c>
    </row>
    <row r="8707">
      <c r="A8707" s="544" t="n">
        <v>41397</v>
      </c>
      <c r="B8707" s="538" t="n">
        <v>104.6</v>
      </c>
      <c r="C8707" s="538" t="n">
        <v>95.25</v>
      </c>
      <c r="D8707" s="538" t="n">
        <v>101.54</v>
      </c>
      <c r="E8707" s="538" t="n">
        <v>113.62</v>
      </c>
    </row>
    <row r="8708">
      <c r="A8708" s="544" t="n">
        <v>41400</v>
      </c>
      <c r="B8708" s="538" t="n">
        <v>105</v>
      </c>
      <c r="C8708" s="538" t="n">
        <v>95.8</v>
      </c>
      <c r="D8708" s="538" t="n">
        <v>102.54</v>
      </c>
      <c r="E8708" s="538" t="n">
        <v>115.55</v>
      </c>
    </row>
    <row r="8709">
      <c r="A8709" s="544" t="n">
        <v>41401</v>
      </c>
      <c r="B8709" s="538" t="n">
        <v>105.18</v>
      </c>
      <c r="C8709" s="538" t="n">
        <v>95.28</v>
      </c>
      <c r="D8709" s="538" t="n">
        <v>101.31</v>
      </c>
      <c r="E8709" s="538" t="n">
        <v>116.02</v>
      </c>
    </row>
    <row r="8710">
      <c r="A8710" s="544" t="n">
        <v>41402</v>
      </c>
      <c r="B8710" s="538" t="n">
        <v>103.79</v>
      </c>
      <c r="C8710" s="538" t="n">
        <v>96.23999999999999</v>
      </c>
      <c r="D8710" s="538" t="n">
        <v>101.71</v>
      </c>
      <c r="E8710" s="538" t="n">
        <v>115.93</v>
      </c>
    </row>
    <row r="8711">
      <c r="A8711" s="544" t="n">
        <v>41403</v>
      </c>
      <c r="B8711" s="538" t="n">
        <v>103.59</v>
      </c>
      <c r="C8711" s="538" t="n">
        <v>96.09</v>
      </c>
      <c r="D8711" s="538" t="n">
        <v>101.6</v>
      </c>
      <c r="E8711" s="538" t="n">
        <v>116.1</v>
      </c>
    </row>
    <row r="8712">
      <c r="A8712" s="544" t="n">
        <v>41404</v>
      </c>
      <c r="B8712" s="538" t="n">
        <v>101.31</v>
      </c>
      <c r="C8712" s="538" t="n">
        <v>95.81</v>
      </c>
      <c r="D8712" s="538" t="n">
        <v>101.38</v>
      </c>
      <c r="E8712" s="538" t="n">
        <v>116.47</v>
      </c>
    </row>
    <row r="8713">
      <c r="A8713" s="544" t="n">
        <v>41407</v>
      </c>
      <c r="B8713" s="538" t="n">
        <v>102.17</v>
      </c>
      <c r="C8713" s="538" t="n">
        <v>94.76000000000001</v>
      </c>
      <c r="D8713" s="538" t="n">
        <v>100.5</v>
      </c>
      <c r="E8713" s="538" t="n">
        <v>115.42</v>
      </c>
    </row>
    <row r="8714">
      <c r="A8714" s="544" t="n">
        <v>41408</v>
      </c>
      <c r="B8714" s="538" t="n">
        <v>102.7</v>
      </c>
      <c r="C8714" s="538" t="n">
        <v>93.95999999999999</v>
      </c>
      <c r="D8714" s="538" t="n">
        <v>100.26</v>
      </c>
      <c r="E8714" s="538" t="n">
        <v>115.31</v>
      </c>
    </row>
    <row r="8715">
      <c r="A8715" s="544" t="n">
        <v>41409</v>
      </c>
      <c r="B8715" s="538" t="n">
        <v>101.57</v>
      </c>
      <c r="C8715" s="538" t="n">
        <v>93.95</v>
      </c>
      <c r="D8715" s="538" t="n">
        <v>100.6</v>
      </c>
      <c r="E8715" s="538" t="n">
        <v>114.05</v>
      </c>
    </row>
    <row r="8716">
      <c r="A8716" s="544" t="n">
        <v>41410</v>
      </c>
      <c r="B8716" s="538" t="n">
        <v>104.27</v>
      </c>
      <c r="C8716" s="538" t="n">
        <v>94.84999999999999</v>
      </c>
      <c r="D8716" s="538" t="n">
        <v>101.1</v>
      </c>
      <c r="E8716" s="538" t="n">
        <v>114.42</v>
      </c>
    </row>
    <row r="8717">
      <c r="A8717" s="544" t="n">
        <v>41411</v>
      </c>
      <c r="B8717" s="538" t="n">
        <v>103.83</v>
      </c>
      <c r="C8717" s="538" t="n">
        <v>95.72</v>
      </c>
      <c r="D8717" s="538" t="n">
        <v>102.11</v>
      </c>
      <c r="E8717" s="538" t="n">
        <v>116.27</v>
      </c>
    </row>
    <row r="8718">
      <c r="A8718" s="544" t="n">
        <v>41414</v>
      </c>
      <c r="B8718" s="538" t="n">
        <v>104.55</v>
      </c>
      <c r="C8718" s="538" t="n">
        <v>96.29000000000001</v>
      </c>
      <c r="D8718" s="538" t="n">
        <v>102.19</v>
      </c>
      <c r="E8718" s="538" t="n">
        <v>117.04</v>
      </c>
    </row>
    <row r="8719">
      <c r="A8719" s="544" t="n">
        <v>41415</v>
      </c>
      <c r="B8719" s="538" t="n">
        <v>103.1</v>
      </c>
      <c r="C8719" s="538" t="n">
        <v>95.55</v>
      </c>
      <c r="D8719" s="538" t="n">
        <v>100.57</v>
      </c>
      <c r="E8719" s="538" t="n">
        <v>117.42</v>
      </c>
    </row>
    <row r="8720">
      <c r="A8720" s="544" t="n">
        <v>41416</v>
      </c>
      <c r="B8720" s="538" t="n">
        <v>102.14</v>
      </c>
      <c r="C8720" s="538" t="n">
        <v>93.98</v>
      </c>
      <c r="D8720" s="538" t="n">
        <v>99.09999999999999</v>
      </c>
      <c r="E8720" s="538" t="n">
        <v>116.03</v>
      </c>
    </row>
    <row r="8721">
      <c r="A8721" s="544" t="n">
        <v>41417</v>
      </c>
      <c r="B8721" s="538" t="n">
        <v>100.46</v>
      </c>
      <c r="C8721" s="538" t="n">
        <v>94.12</v>
      </c>
      <c r="D8721" s="538" t="n">
        <v>99.76000000000001</v>
      </c>
      <c r="E8721" s="538" t="n">
        <v>113.88</v>
      </c>
    </row>
    <row r="8722">
      <c r="A8722" s="544" t="n">
        <v>41418</v>
      </c>
      <c r="B8722" s="538" t="n">
        <v>101.24</v>
      </c>
      <c r="C8722" s="538" t="n">
        <v>93.84</v>
      </c>
      <c r="D8722" s="538" t="n">
        <v>99.98</v>
      </c>
      <c r="E8722" s="538" t="n">
        <v>113.88</v>
      </c>
    </row>
    <row r="8723">
      <c r="A8723" s="544" t="n">
        <v>41421</v>
      </c>
      <c r="B8723" s="538" t="n">
        <v>101.24</v>
      </c>
      <c r="C8723" s="538" t="n">
        <v>93.84</v>
      </c>
      <c r="D8723" s="538" t="n">
        <v>99.54000000000001</v>
      </c>
      <c r="E8723" s="538" t="n">
        <v>114.54</v>
      </c>
    </row>
    <row r="8724">
      <c r="A8724" s="544" t="n">
        <v>41422</v>
      </c>
      <c r="B8724" s="538" t="n">
        <v>103.77</v>
      </c>
      <c r="C8724" s="538" t="n">
        <v>94.65000000000001</v>
      </c>
      <c r="D8724" s="538" t="n">
        <v>101.18</v>
      </c>
      <c r="E8724" s="538" t="n">
        <v>116.2</v>
      </c>
    </row>
    <row r="8725">
      <c r="A8725" s="544" t="n">
        <v>41423</v>
      </c>
      <c r="B8725" s="538" t="n">
        <v>102.14</v>
      </c>
      <c r="C8725" s="538" t="n">
        <v>93.13</v>
      </c>
      <c r="D8725" s="538" t="n">
        <v>99.27</v>
      </c>
      <c r="E8725" s="538" t="n">
        <v>116.81</v>
      </c>
    </row>
    <row r="8726">
      <c r="A8726" s="544" t="n">
        <v>41424</v>
      </c>
      <c r="B8726" s="538" t="n">
        <v>101.79</v>
      </c>
      <c r="C8726" s="538" t="n">
        <v>93.56999999999999</v>
      </c>
      <c r="D8726" s="538" t="n">
        <v>99.34</v>
      </c>
      <c r="E8726" s="538" t="n">
        <v>115.31</v>
      </c>
    </row>
    <row r="8727">
      <c r="A8727" s="544" t="n">
        <v>41425</v>
      </c>
      <c r="B8727" s="538" t="n">
        <v>100.43</v>
      </c>
      <c r="C8727" s="538" t="n">
        <v>91.93000000000001</v>
      </c>
      <c r="D8727" s="538" t="n">
        <v>97.95999999999999</v>
      </c>
      <c r="E8727" s="538" t="n">
        <v>114.19</v>
      </c>
    </row>
    <row r="8728">
      <c r="A8728" s="544" t="n">
        <v>41428</v>
      </c>
      <c r="B8728" s="538" t="n">
        <v>101.63</v>
      </c>
      <c r="C8728" s="538" t="n">
        <v>93.41</v>
      </c>
      <c r="D8728" s="538" t="n">
        <v>98.90000000000001</v>
      </c>
      <c r="E8728" s="538" t="n">
        <v>112.54</v>
      </c>
    </row>
    <row r="8729">
      <c r="A8729" s="544" t="n">
        <v>41429</v>
      </c>
      <c r="B8729" s="538" t="n">
        <v>102.04</v>
      </c>
      <c r="C8729" s="538" t="n">
        <v>93.36</v>
      </c>
      <c r="D8729" s="538" t="n">
        <v>100.8</v>
      </c>
      <c r="E8729" s="538" t="n">
        <v>114.23</v>
      </c>
    </row>
    <row r="8730">
      <c r="A8730" s="544" t="n">
        <v>41430</v>
      </c>
      <c r="B8730" s="538" t="n">
        <v>103.51</v>
      </c>
      <c r="C8730" s="538" t="n">
        <v>93.66</v>
      </c>
      <c r="D8730" s="538" t="n">
        <v>99.83</v>
      </c>
      <c r="E8730" s="538" t="n">
        <v>115.63</v>
      </c>
    </row>
    <row r="8731">
      <c r="A8731" s="544" t="n">
        <v>41431</v>
      </c>
      <c r="B8731" s="538" t="n">
        <v>103.37</v>
      </c>
      <c r="C8731" s="538" t="n">
        <v>94.70999999999999</v>
      </c>
      <c r="D8731" s="538" t="n">
        <v>100.51</v>
      </c>
      <c r="E8731" s="538" t="n">
        <v>115.83</v>
      </c>
    </row>
    <row r="8732">
      <c r="A8732" s="544" t="n">
        <v>41432</v>
      </c>
      <c r="B8732" s="538" t="n">
        <v>104.07</v>
      </c>
      <c r="C8732" s="538" t="n">
        <v>96.11</v>
      </c>
      <c r="D8732" s="538" t="n">
        <v>101.29</v>
      </c>
      <c r="E8732" s="538" t="n">
        <v>116.56</v>
      </c>
    </row>
    <row r="8733">
      <c r="A8733" s="544" t="n">
        <v>41435</v>
      </c>
      <c r="B8733" s="538" t="n">
        <v>103.87</v>
      </c>
      <c r="C8733" s="538" t="n">
        <v>95.81999999999999</v>
      </c>
      <c r="D8733" s="538" t="n">
        <v>100.74</v>
      </c>
      <c r="E8733" s="538" t="n">
        <v>116.5</v>
      </c>
    </row>
    <row r="8734">
      <c r="A8734" s="544" t="n">
        <v>41436</v>
      </c>
      <c r="B8734" s="538" t="n">
        <v>101.5</v>
      </c>
      <c r="C8734" s="538" t="n">
        <v>95.5</v>
      </c>
      <c r="D8734" s="538" t="n">
        <v>99.41</v>
      </c>
      <c r="E8734" s="538" t="n">
        <v>116.5</v>
      </c>
    </row>
    <row r="8735">
      <c r="A8735" s="544" t="n">
        <v>41437</v>
      </c>
      <c r="B8735" s="538" t="n">
        <v>103.11</v>
      </c>
      <c r="C8735" s="538" t="n">
        <v>95.98</v>
      </c>
      <c r="D8735" s="538" t="n">
        <v>99.95</v>
      </c>
      <c r="E8735" s="538" t="n">
        <v>115.84</v>
      </c>
    </row>
    <row r="8736">
      <c r="A8736" s="544" t="n">
        <v>41438</v>
      </c>
      <c r="B8736" s="538" t="n">
        <v>103.38</v>
      </c>
      <c r="C8736" s="538" t="n">
        <v>96.66</v>
      </c>
      <c r="D8736" s="538" t="n">
        <v>101.62</v>
      </c>
      <c r="E8736" s="538" t="n">
        <v>116.45</v>
      </c>
    </row>
    <row r="8737">
      <c r="A8737" s="544" t="n">
        <v>41439</v>
      </c>
      <c r="B8737" s="538" t="n">
        <v>105.1</v>
      </c>
      <c r="C8737" s="538" t="n">
        <v>97.83</v>
      </c>
      <c r="D8737" s="538" t="n">
        <v>103.06</v>
      </c>
      <c r="E8737" s="538" t="n">
        <v>119.88</v>
      </c>
    </row>
    <row r="8738">
      <c r="A8738" s="544" t="n">
        <v>41442</v>
      </c>
      <c r="B8738" s="538" t="n">
        <v>105.8</v>
      </c>
      <c r="C8738" s="538" t="n">
        <v>97.86</v>
      </c>
      <c r="D8738" s="538" t="n">
        <v>102.53</v>
      </c>
      <c r="E8738" s="538" t="n">
        <v>120.31</v>
      </c>
    </row>
    <row r="8739">
      <c r="A8739" s="544" t="n">
        <v>41443</v>
      </c>
      <c r="B8739" s="538" t="n">
        <v>105.21</v>
      </c>
      <c r="C8739" s="538" t="n">
        <v>98.45999999999999</v>
      </c>
      <c r="D8739" s="538" t="n">
        <v>103.06</v>
      </c>
      <c r="E8739" s="538" t="n">
        <v>118.94</v>
      </c>
    </row>
    <row r="8740">
      <c r="A8740" s="544" t="n">
        <v>41444</v>
      </c>
      <c r="B8740" s="538" t="n">
        <v>105.56</v>
      </c>
      <c r="C8740" s="538" t="n">
        <v>98.23999999999999</v>
      </c>
      <c r="D8740" s="538" t="n">
        <v>102.14</v>
      </c>
      <c r="E8740" s="538" t="n">
        <v>119.99</v>
      </c>
    </row>
    <row r="8741">
      <c r="A8741" s="544" t="n">
        <v>41445</v>
      </c>
      <c r="B8741" s="538" t="n">
        <v>102.72</v>
      </c>
      <c r="C8741" s="538" t="n">
        <v>94.89</v>
      </c>
      <c r="D8741" s="538" t="n">
        <v>99.36</v>
      </c>
      <c r="E8741" s="538" t="n">
        <v>118.41</v>
      </c>
    </row>
    <row r="8742">
      <c r="A8742" s="544" t="n">
        <v>41446</v>
      </c>
      <c r="B8742" s="538" t="n">
        <v>100.36</v>
      </c>
      <c r="C8742" s="538" t="n">
        <v>93.81</v>
      </c>
      <c r="D8742" s="538" t="n">
        <v>97.84999999999999</v>
      </c>
      <c r="E8742" s="538" t="n">
        <v>116.9</v>
      </c>
    </row>
    <row r="8743">
      <c r="A8743" s="544" t="n">
        <v>41449</v>
      </c>
      <c r="B8743" s="538" t="n">
        <v>99.8</v>
      </c>
      <c r="C8743" s="538" t="n">
        <v>95.06999999999999</v>
      </c>
      <c r="D8743" s="538" t="n">
        <v>98.14</v>
      </c>
      <c r="E8743" s="538" t="n">
        <v>114.16</v>
      </c>
    </row>
    <row r="8744">
      <c r="A8744" s="544" t="n">
        <v>41450</v>
      </c>
      <c r="B8744" s="538" t="n">
        <v>101.51</v>
      </c>
      <c r="C8744" s="538" t="n">
        <v>95.25</v>
      </c>
      <c r="D8744" s="538" t="n">
        <v>98.06999999999999</v>
      </c>
      <c r="E8744" s="538" t="n">
        <v>116.08</v>
      </c>
    </row>
    <row r="8745">
      <c r="A8745" s="544" t="n">
        <v>41451</v>
      </c>
      <c r="B8745" s="538" t="n">
        <v>100.62</v>
      </c>
      <c r="C8745" s="538" t="n">
        <v>95.47</v>
      </c>
      <c r="D8745" s="538" t="n">
        <v>99.7</v>
      </c>
      <c r="E8745" s="538" t="n">
        <v>116.12</v>
      </c>
    </row>
    <row r="8746">
      <c r="A8746" s="544" t="n">
        <v>41452</v>
      </c>
      <c r="B8746" s="538" t="n">
        <v>102.74</v>
      </c>
      <c r="C8746" s="538" t="n">
        <v>97</v>
      </c>
      <c r="D8746" s="538" t="n">
        <v>100.16</v>
      </c>
      <c r="E8746" s="538" t="n">
        <v>117.07</v>
      </c>
    </row>
    <row r="8747">
      <c r="A8747" s="544" t="n">
        <v>41453</v>
      </c>
      <c r="B8747" s="538" t="n">
        <v>102.49</v>
      </c>
      <c r="C8747" s="538" t="n">
        <v>96.36</v>
      </c>
      <c r="D8747" s="538" t="n">
        <v>99.17</v>
      </c>
      <c r="E8747" s="538" t="n">
        <v>118.01</v>
      </c>
    </row>
    <row r="8748">
      <c r="A8748" s="544" t="n">
        <v>41456</v>
      </c>
      <c r="B8748" s="538" t="n">
        <v>103.19</v>
      </c>
      <c r="C8748" s="538" t="n">
        <v>97.94</v>
      </c>
      <c r="D8748" s="538" t="n">
        <v>99.68000000000001</v>
      </c>
      <c r="E8748" s="538" t="n">
        <v>116.75</v>
      </c>
    </row>
    <row r="8749">
      <c r="A8749" s="544" t="n">
        <v>41457</v>
      </c>
      <c r="B8749" s="538" t="n">
        <v>103.96</v>
      </c>
      <c r="C8749" s="538" t="n">
        <v>99.65000000000001</v>
      </c>
      <c r="D8749" s="538" t="n">
        <v>102.75</v>
      </c>
      <c r="E8749" s="538" t="n">
        <v>116.64</v>
      </c>
    </row>
    <row r="8750">
      <c r="A8750" s="544" t="n">
        <v>41458</v>
      </c>
      <c r="B8750" s="538" t="n">
        <v>106.12</v>
      </c>
      <c r="C8750" s="538" t="n">
        <v>101.92</v>
      </c>
      <c r="D8750" s="538" t="n">
        <v>102</v>
      </c>
      <c r="E8750" s="538" t="n">
        <v>118.39</v>
      </c>
    </row>
    <row r="8751">
      <c r="A8751" s="544" t="n">
        <v>41459</v>
      </c>
      <c r="B8751" s="538" t="n">
        <v>106.12</v>
      </c>
      <c r="C8751" s="538" t="n">
        <v>101.92</v>
      </c>
      <c r="D8751" s="538" t="n">
        <v>101.66</v>
      </c>
      <c r="E8751" s="538" t="n">
        <v>118.94</v>
      </c>
    </row>
    <row r="8752">
      <c r="A8752" s="544" t="n">
        <v>41460</v>
      </c>
      <c r="B8752" s="538" t="n">
        <v>107.46</v>
      </c>
      <c r="C8752" s="538" t="n">
        <v>103.09</v>
      </c>
      <c r="D8752" s="538" t="n">
        <v>103.78</v>
      </c>
      <c r="E8752" s="538" t="n">
        <v>119.36</v>
      </c>
    </row>
    <row r="8753">
      <c r="A8753" s="544" t="n">
        <v>41463</v>
      </c>
      <c r="B8753" s="538" t="n">
        <v>107.75</v>
      </c>
      <c r="C8753" s="538" t="n">
        <v>103.03</v>
      </c>
      <c r="D8753" s="538" t="n">
        <v>103.2</v>
      </c>
      <c r="E8753" s="538" t="n">
        <v>120.47</v>
      </c>
    </row>
    <row r="8754">
      <c r="A8754" s="544" t="n">
        <v>41464</v>
      </c>
      <c r="B8754" s="538" t="n">
        <v>107.9</v>
      </c>
      <c r="C8754" s="538" t="n">
        <v>103.46</v>
      </c>
      <c r="D8754" s="538" t="n">
        <v>104.43</v>
      </c>
      <c r="E8754" s="538" t="n">
        <v>120.47</v>
      </c>
    </row>
    <row r="8755">
      <c r="A8755" s="544" t="n">
        <v>41465</v>
      </c>
      <c r="B8755" s="538" t="n">
        <v>108.43</v>
      </c>
      <c r="C8755" s="538" t="n">
        <v>106.41</v>
      </c>
      <c r="D8755" s="538" t="n">
        <v>103.8</v>
      </c>
      <c r="E8755" s="538" t="n">
        <v>121.18</v>
      </c>
    </row>
    <row r="8756">
      <c r="A8756" s="544" t="n">
        <v>41466</v>
      </c>
      <c r="B8756" s="538" t="n">
        <v>108.18</v>
      </c>
      <c r="C8756" s="538" t="n">
        <v>104.77</v>
      </c>
      <c r="D8756" s="538" t="n">
        <v>103.05</v>
      </c>
      <c r="E8756" s="538" t="n">
        <v>121.88</v>
      </c>
    </row>
    <row r="8757">
      <c r="A8757" s="544" t="n">
        <v>41467</v>
      </c>
      <c r="B8757" s="538" t="n">
        <v>109.03</v>
      </c>
      <c r="C8757" s="538" t="n">
        <v>105.85</v>
      </c>
      <c r="D8757" s="538" t="n">
        <v>104.71</v>
      </c>
      <c r="E8757" s="538" t="n">
        <v>121.42</v>
      </c>
    </row>
    <row r="8758">
      <c r="A8758" s="544" t="n">
        <v>41470</v>
      </c>
      <c r="B8758" s="538" t="n">
        <v>109.05</v>
      </c>
      <c r="C8758" s="538" t="n">
        <v>106.2</v>
      </c>
      <c r="D8758" s="538" t="n">
        <v>104.54</v>
      </c>
      <c r="E8758" s="538" t="n">
        <v>122.27</v>
      </c>
    </row>
    <row r="8759">
      <c r="A8759" s="544" t="n">
        <v>41471</v>
      </c>
      <c r="B8759" s="538" t="n">
        <v>109.29</v>
      </c>
      <c r="C8759" s="538" t="n">
        <v>105.88</v>
      </c>
      <c r="D8759" s="538" t="n">
        <v>105.24</v>
      </c>
      <c r="E8759" s="538" t="n">
        <v>122.41</v>
      </c>
    </row>
    <row r="8760">
      <c r="A8760" s="544" t="n">
        <v>41472</v>
      </c>
      <c r="B8760" s="538" t="n">
        <v>109.67</v>
      </c>
      <c r="C8760" s="538" t="n">
        <v>106.39</v>
      </c>
      <c r="D8760" s="538" t="n">
        <v>104.86</v>
      </c>
      <c r="E8760" s="538" t="n">
        <v>122.22</v>
      </c>
    </row>
    <row r="8761">
      <c r="A8761" s="544" t="n">
        <v>41473</v>
      </c>
      <c r="B8761" s="538" t="n">
        <v>109.71</v>
      </c>
      <c r="C8761" s="538" t="n">
        <v>107.94</v>
      </c>
      <c r="D8761" s="538" t="n">
        <v>105.04</v>
      </c>
      <c r="E8761" s="538" t="n">
        <v>123.33</v>
      </c>
    </row>
    <row r="8762">
      <c r="A8762" s="544" t="n">
        <v>41474</v>
      </c>
      <c r="B8762" s="538" t="n">
        <v>109.34</v>
      </c>
      <c r="C8762" s="538" t="n">
        <v>108</v>
      </c>
      <c r="D8762" s="538" t="n">
        <v>104.48</v>
      </c>
      <c r="E8762" s="538" t="n">
        <v>123.44</v>
      </c>
    </row>
    <row r="8763">
      <c r="A8763" s="544" t="n">
        <v>41477</v>
      </c>
      <c r="B8763" s="538" t="n">
        <v>108.82</v>
      </c>
      <c r="C8763" s="538" t="n">
        <v>106.61</v>
      </c>
      <c r="D8763" s="538" t="n">
        <v>105.29</v>
      </c>
      <c r="E8763" s="538" t="n">
        <v>123.76</v>
      </c>
    </row>
    <row r="8764">
      <c r="A8764" s="544" t="n">
        <v>41478</v>
      </c>
      <c r="B8764" s="538" t="n">
        <v>109.27</v>
      </c>
      <c r="C8764" s="538" t="n">
        <v>107.13</v>
      </c>
      <c r="D8764" s="538" t="n">
        <v>105.07</v>
      </c>
      <c r="E8764" s="538" t="n">
        <v>122.44</v>
      </c>
    </row>
    <row r="8765">
      <c r="A8765" s="544" t="n">
        <v>41479</v>
      </c>
      <c r="B8765" s="538" t="n">
        <v>108.23</v>
      </c>
      <c r="C8765" s="538" t="n">
        <v>105.41</v>
      </c>
      <c r="D8765" s="538" t="n">
        <v>103.6</v>
      </c>
      <c r="E8765" s="538" t="n">
        <v>122.53</v>
      </c>
    </row>
    <row r="8766">
      <c r="A8766" s="544" t="n">
        <v>41480</v>
      </c>
      <c r="B8766" s="538" t="n">
        <v>108.1</v>
      </c>
      <c r="C8766" s="538" t="n">
        <v>105.47</v>
      </c>
      <c r="D8766" s="538" t="n">
        <v>104.82</v>
      </c>
      <c r="E8766" s="538" t="n">
        <v>121.93</v>
      </c>
    </row>
    <row r="8767">
      <c r="A8767" s="544" t="n">
        <v>41481</v>
      </c>
      <c r="B8767" s="538" t="n">
        <v>107.57</v>
      </c>
      <c r="C8767" s="538" t="n">
        <v>104.76</v>
      </c>
      <c r="D8767" s="538" t="n">
        <v>104.35</v>
      </c>
      <c r="E8767" s="538" t="n">
        <v>121.98</v>
      </c>
    </row>
    <row r="8768">
      <c r="A8768" s="544" t="n">
        <v>41484</v>
      </c>
      <c r="B8768" s="538" t="n">
        <v>108.1</v>
      </c>
      <c r="C8768" s="538" t="n">
        <v>104.61</v>
      </c>
      <c r="D8768" s="538" t="n">
        <v>104.57</v>
      </c>
      <c r="E8768" s="538" t="n">
        <v>121.63</v>
      </c>
    </row>
    <row r="8769">
      <c r="A8769" s="544" t="n">
        <v>41485</v>
      </c>
      <c r="B8769" s="538" t="n">
        <v>107.47</v>
      </c>
      <c r="C8769" s="538" t="n">
        <v>103.14</v>
      </c>
      <c r="D8769" s="538" t="n">
        <v>104.63</v>
      </c>
      <c r="E8769" s="538" t="n">
        <v>122.12</v>
      </c>
    </row>
    <row r="8770">
      <c r="A8770" s="544" t="n">
        <v>41486</v>
      </c>
      <c r="B8770" s="538" t="n">
        <v>107.89</v>
      </c>
      <c r="C8770" s="538" t="n">
        <v>105.1</v>
      </c>
      <c r="D8770" s="538" t="n">
        <v>104.72</v>
      </c>
      <c r="E8770" s="538" t="n">
        <v>121.5</v>
      </c>
    </row>
    <row r="8771">
      <c r="A8771" s="544" t="n">
        <v>41487</v>
      </c>
      <c r="B8771" s="538" t="n">
        <v>109.94</v>
      </c>
      <c r="C8771" s="538" t="n">
        <v>107.93</v>
      </c>
      <c r="D8771" s="538" t="n">
        <v>106.61</v>
      </c>
      <c r="E8771" s="538" t="n">
        <v>123.15</v>
      </c>
    </row>
    <row r="8772">
      <c r="A8772" s="544" t="n">
        <v>41488</v>
      </c>
      <c r="B8772" s="538" t="n">
        <v>109.63</v>
      </c>
      <c r="C8772" s="538" t="n">
        <v>106.94</v>
      </c>
      <c r="D8772" s="538" t="n">
        <v>105.16</v>
      </c>
      <c r="E8772" s="538" t="n">
        <v>124.92</v>
      </c>
    </row>
    <row r="8773">
      <c r="A8773" s="544" t="n">
        <v>41491</v>
      </c>
      <c r="B8773" s="538" t="n">
        <v>109.81</v>
      </c>
      <c r="C8773" s="538" t="n">
        <v>106.61</v>
      </c>
      <c r="D8773" s="538" t="n">
        <v>104.7</v>
      </c>
      <c r="E8773" s="538" t="n">
        <v>124.26</v>
      </c>
    </row>
    <row r="8774">
      <c r="A8774" s="544" t="n">
        <v>41492</v>
      </c>
      <c r="B8774" s="538" t="n">
        <v>108.77</v>
      </c>
      <c r="C8774" s="538" t="n">
        <v>105.32</v>
      </c>
      <c r="D8774" s="538" t="n">
        <v>104.09</v>
      </c>
      <c r="E8774" s="538" t="n">
        <v>122.94</v>
      </c>
    </row>
    <row r="8775">
      <c r="A8775" s="544" t="n">
        <v>41493</v>
      </c>
      <c r="B8775" s="538" t="n">
        <v>108.39</v>
      </c>
      <c r="C8775" s="538" t="n">
        <v>104.41</v>
      </c>
      <c r="D8775" s="538" t="n">
        <v>103.73</v>
      </c>
      <c r="E8775" s="538" t="n">
        <v>122.35</v>
      </c>
    </row>
    <row r="8776">
      <c r="A8776" s="544" t="n">
        <v>41494</v>
      </c>
      <c r="B8776" s="538" t="n">
        <v>107.32</v>
      </c>
      <c r="C8776" s="538" t="n">
        <v>103.45</v>
      </c>
      <c r="D8776" s="538" t="n">
        <v>103.45</v>
      </c>
      <c r="E8776" s="538" t="n">
        <v>122.35</v>
      </c>
    </row>
    <row r="8777">
      <c r="A8777" s="544" t="n">
        <v>41495</v>
      </c>
      <c r="B8777" s="538" t="n">
        <v>108.49</v>
      </c>
      <c r="C8777" s="538" t="n">
        <v>106.04</v>
      </c>
      <c r="D8777" s="538" t="n">
        <v>104.24</v>
      </c>
      <c r="E8777" s="538" t="n">
        <v>122.35</v>
      </c>
    </row>
    <row r="8778">
      <c r="A8778" s="544" t="n">
        <v>41498</v>
      </c>
      <c r="B8778" s="538" t="n">
        <v>109.28</v>
      </c>
      <c r="C8778" s="538" t="n">
        <v>106.19</v>
      </c>
      <c r="D8778" s="538" t="n">
        <v>105.09</v>
      </c>
      <c r="E8778" s="538" t="n">
        <v>122.41</v>
      </c>
    </row>
    <row r="8779">
      <c r="A8779" s="544" t="n">
        <v>41499</v>
      </c>
      <c r="B8779" s="538" t="n">
        <v>110.69</v>
      </c>
      <c r="C8779" s="538" t="n">
        <v>106.78</v>
      </c>
      <c r="D8779" s="538" t="n">
        <v>105.46</v>
      </c>
      <c r="E8779" s="538" t="n">
        <v>124.31</v>
      </c>
    </row>
    <row r="8780">
      <c r="A8780" s="544" t="n">
        <v>41500</v>
      </c>
      <c r="B8780" s="538" t="n">
        <v>110.26</v>
      </c>
      <c r="C8780" s="538" t="n">
        <v>106.89</v>
      </c>
      <c r="D8780" s="538" t="n">
        <v>106.72</v>
      </c>
      <c r="E8780" s="538" t="n">
        <v>124.16</v>
      </c>
    </row>
    <row r="8781">
      <c r="A8781" s="544" t="n">
        <v>41501</v>
      </c>
      <c r="B8781" s="538" t="n">
        <v>111.58</v>
      </c>
      <c r="C8781" s="538" t="n">
        <v>107.43</v>
      </c>
      <c r="D8781" s="538" t="n">
        <v>108.03</v>
      </c>
      <c r="E8781" s="538" t="n">
        <v>125.21</v>
      </c>
    </row>
    <row r="8782">
      <c r="A8782" s="544" t="n">
        <v>41502</v>
      </c>
      <c r="B8782" s="538" t="n">
        <v>111.82</v>
      </c>
      <c r="C8782" s="538" t="n">
        <v>107.58</v>
      </c>
      <c r="D8782" s="538" t="n">
        <v>107.68</v>
      </c>
      <c r="E8782" s="538" t="n">
        <v>124.56</v>
      </c>
    </row>
    <row r="8783">
      <c r="A8783" s="544" t="n">
        <v>41505</v>
      </c>
      <c r="B8783" s="538" t="n">
        <v>111.41</v>
      </c>
      <c r="C8783" s="538" t="n">
        <v>107.14</v>
      </c>
      <c r="D8783" s="538" t="n">
        <v>106.87</v>
      </c>
      <c r="E8783" s="538" t="n">
        <v>125.02</v>
      </c>
    </row>
    <row r="8784">
      <c r="A8784" s="544" t="n">
        <v>41506</v>
      </c>
      <c r="B8784" s="538" t="n">
        <v>110.74</v>
      </c>
      <c r="C8784" s="538" t="n">
        <v>104.9</v>
      </c>
      <c r="D8784" s="538" t="n">
        <v>107.31</v>
      </c>
      <c r="E8784" s="538" t="n">
        <v>123.97</v>
      </c>
    </row>
    <row r="8785">
      <c r="A8785" s="544" t="n">
        <v>41507</v>
      </c>
      <c r="B8785" s="538" t="n">
        <v>110.82</v>
      </c>
      <c r="C8785" s="538" t="n">
        <v>103.93</v>
      </c>
      <c r="D8785" s="538" t="n">
        <v>106.99</v>
      </c>
      <c r="E8785" s="538" t="n">
        <v>124.07</v>
      </c>
    </row>
    <row r="8786">
      <c r="A8786" s="544" t="n">
        <v>41508</v>
      </c>
      <c r="B8786" s="538" t="n">
        <v>110.51</v>
      </c>
      <c r="C8786" s="538" t="n">
        <v>104.93</v>
      </c>
      <c r="D8786" s="538" t="n">
        <v>107.61</v>
      </c>
      <c r="E8786" s="538" t="n">
        <v>124.61</v>
      </c>
    </row>
    <row r="8787">
      <c r="A8787" s="544" t="n">
        <v>41509</v>
      </c>
      <c r="B8787" s="538" t="n">
        <v>112.12</v>
      </c>
      <c r="C8787" s="538" t="n">
        <v>106.48</v>
      </c>
      <c r="D8787" s="538" t="n">
        <v>108.81</v>
      </c>
      <c r="E8787" s="538" t="n">
        <v>124.31</v>
      </c>
    </row>
    <row r="8788">
      <c r="A8788" s="544" t="n">
        <v>41512</v>
      </c>
      <c r="B8788" s="538" t="n">
        <v>112.23</v>
      </c>
      <c r="C8788" s="538" t="n">
        <v>105.88</v>
      </c>
      <c r="D8788" s="538" t="n">
        <v>108.91</v>
      </c>
      <c r="E8788" s="538" t="n">
        <v>124.63</v>
      </c>
    </row>
    <row r="8789">
      <c r="A8789" s="544" t="n">
        <v>41513</v>
      </c>
      <c r="B8789" s="538" t="n">
        <v>115.21</v>
      </c>
      <c r="C8789" s="538" t="n">
        <v>109.11</v>
      </c>
      <c r="D8789" s="538" t="n">
        <v>113.86</v>
      </c>
      <c r="E8789" s="538" t="n">
        <v>124.69</v>
      </c>
    </row>
    <row r="8790">
      <c r="A8790" s="544" t="n">
        <v>41514</v>
      </c>
      <c r="B8790" s="538" t="n">
        <v>116.27</v>
      </c>
      <c r="C8790" s="538" t="n">
        <v>110.17</v>
      </c>
      <c r="D8790" s="538" t="n">
        <v>111.84</v>
      </c>
      <c r="E8790" s="538" t="n">
        <v>128.89</v>
      </c>
    </row>
    <row r="8791">
      <c r="A8791" s="544" t="n">
        <v>41515</v>
      </c>
      <c r="B8791" s="538" t="n">
        <v>116.91</v>
      </c>
      <c r="C8791" s="538" t="n">
        <v>108.51</v>
      </c>
      <c r="D8791" s="538" t="n">
        <v>111.57</v>
      </c>
      <c r="E8791" s="538" t="n">
        <v>128.42</v>
      </c>
    </row>
    <row r="8792">
      <c r="A8792" s="544" t="n">
        <v>41516</v>
      </c>
      <c r="B8792" s="538" t="n">
        <v>115.97</v>
      </c>
      <c r="C8792" s="538" t="n">
        <v>107.98</v>
      </c>
      <c r="D8792" s="538" t="n">
        <v>110.6</v>
      </c>
      <c r="E8792" s="538" t="n">
        <v>128.05</v>
      </c>
    </row>
    <row r="8793">
      <c r="A8793" s="544" t="n">
        <v>41519</v>
      </c>
      <c r="B8793" s="538" t="n">
        <v>115.97</v>
      </c>
      <c r="C8793" s="538" t="n">
        <v>107.98</v>
      </c>
      <c r="D8793" s="538" t="n">
        <v>109.7</v>
      </c>
      <c r="E8793" s="538" t="n">
        <v>125.86</v>
      </c>
    </row>
    <row r="8794">
      <c r="A8794" s="544" t="n">
        <v>41520</v>
      </c>
      <c r="B8794" s="538" t="n">
        <v>115.49</v>
      </c>
      <c r="C8794" s="538" t="n">
        <v>108.67</v>
      </c>
      <c r="D8794" s="538" t="n">
        <v>110.55</v>
      </c>
      <c r="E8794" s="538" t="n">
        <v>126.2</v>
      </c>
    </row>
    <row r="8795">
      <c r="A8795" s="544" t="n">
        <v>41521</v>
      </c>
      <c r="B8795" s="538" t="n">
        <v>115.65</v>
      </c>
      <c r="C8795" s="538" t="n">
        <v>107.29</v>
      </c>
      <c r="D8795" s="538" t="n">
        <v>109.67</v>
      </c>
      <c r="E8795" s="538" t="n">
        <v>126.72</v>
      </c>
    </row>
    <row r="8796">
      <c r="A8796" s="544" t="n">
        <v>41522</v>
      </c>
      <c r="B8796" s="538" t="n">
        <v>115.81</v>
      </c>
      <c r="C8796" s="538" t="n">
        <v>108.5</v>
      </c>
      <c r="D8796" s="538" t="n">
        <v>110.1</v>
      </c>
      <c r="E8796" s="538" t="n">
        <v>126.56</v>
      </c>
    </row>
    <row r="8797">
      <c r="A8797" s="544" t="n">
        <v>41523</v>
      </c>
      <c r="B8797" s="538" t="n">
        <v>117.15</v>
      </c>
      <c r="C8797" s="538" t="n">
        <v>110.62</v>
      </c>
      <c r="D8797" s="538" t="n">
        <v>110.86</v>
      </c>
      <c r="E8797" s="538" t="n">
        <v>126.6</v>
      </c>
    </row>
    <row r="8798">
      <c r="A8798" s="544" t="n">
        <v>41526</v>
      </c>
      <c r="B8798" s="538" t="n">
        <v>115.2</v>
      </c>
      <c r="C8798" s="538" t="n">
        <v>109.62</v>
      </c>
      <c r="D8798" s="538" t="n">
        <v>108.28</v>
      </c>
      <c r="E8798" s="538" t="n">
        <v>126.83</v>
      </c>
    </row>
    <row r="8799">
      <c r="A8799" s="544" t="n">
        <v>41527</v>
      </c>
      <c r="B8799" s="538" t="n">
        <v>112.1</v>
      </c>
      <c r="C8799" s="538" t="n">
        <v>107.48</v>
      </c>
      <c r="D8799" s="538" t="n">
        <v>107.1</v>
      </c>
      <c r="E8799" s="538" t="n">
        <v>125.16</v>
      </c>
    </row>
    <row r="8800">
      <c r="A8800" s="544" t="n">
        <v>41528</v>
      </c>
      <c r="B8800" s="538" t="n">
        <v>112.37</v>
      </c>
      <c r="C8800" s="538" t="n">
        <v>107.65</v>
      </c>
      <c r="D8800" s="538" t="n">
        <v>108.2</v>
      </c>
      <c r="E8800" s="538" t="n">
        <v>124.17</v>
      </c>
    </row>
    <row r="8801">
      <c r="A8801" s="544" t="n">
        <v>41529</v>
      </c>
      <c r="B8801" s="538" t="n">
        <v>113.11</v>
      </c>
      <c r="C8801" s="538" t="n">
        <v>108.72</v>
      </c>
      <c r="D8801" s="538" t="n">
        <v>109.64</v>
      </c>
      <c r="E8801" s="538" t="n">
        <v>124.36</v>
      </c>
    </row>
    <row r="8802">
      <c r="A8802" s="544" t="n">
        <v>41530</v>
      </c>
      <c r="B8802" s="538" t="n">
        <v>113.31</v>
      </c>
      <c r="C8802" s="538" t="n">
        <v>108.31</v>
      </c>
      <c r="D8802" s="538" t="n">
        <v>109.59</v>
      </c>
      <c r="E8802" s="538" t="n">
        <v>124.7</v>
      </c>
    </row>
    <row r="8803">
      <c r="A8803" s="544" t="n">
        <v>41533</v>
      </c>
      <c r="B8803" s="538" t="n">
        <v>110.86</v>
      </c>
      <c r="C8803" s="538" t="n">
        <v>106.54</v>
      </c>
      <c r="D8803" s="538" t="n">
        <v>107.69</v>
      </c>
      <c r="E8803" s="538" t="n">
        <v>124.75</v>
      </c>
    </row>
    <row r="8804">
      <c r="A8804" s="544" t="n">
        <v>41534</v>
      </c>
      <c r="B8804" s="538" t="n">
        <v>109.05</v>
      </c>
      <c r="C8804" s="538" t="n">
        <v>105.36</v>
      </c>
      <c r="D8804" s="538" t="n">
        <v>106.59</v>
      </c>
      <c r="E8804" s="538" t="n">
        <v>123.23</v>
      </c>
    </row>
    <row r="8805">
      <c r="A8805" s="544" t="n">
        <v>41535</v>
      </c>
      <c r="B8805" s="538" t="n">
        <v>109.09</v>
      </c>
      <c r="C8805" s="538" t="n">
        <v>108.23</v>
      </c>
      <c r="D8805" s="538" t="n">
        <v>109.26</v>
      </c>
      <c r="E8805" s="538" t="n">
        <v>121.58</v>
      </c>
    </row>
    <row r="8806">
      <c r="A8806" s="544" t="n">
        <v>41536</v>
      </c>
      <c r="B8806" s="538" t="n">
        <v>110.66</v>
      </c>
      <c r="C8806" s="538" t="n">
        <v>106.26</v>
      </c>
      <c r="D8806" s="538" t="n">
        <v>106.53</v>
      </c>
      <c r="E8806" s="538" t="n">
        <v>123.97</v>
      </c>
    </row>
    <row r="8807">
      <c r="A8807" s="544" t="n">
        <v>41537</v>
      </c>
      <c r="B8807" s="538" t="n">
        <v>110.22</v>
      </c>
      <c r="C8807" s="538" t="n">
        <v>104.7</v>
      </c>
      <c r="D8807" s="538" t="n">
        <v>107.5</v>
      </c>
      <c r="E8807" s="538" t="n">
        <v>122.69</v>
      </c>
    </row>
    <row r="8808">
      <c r="A8808" s="544" t="n">
        <v>41540</v>
      </c>
      <c r="B8808" s="538" t="n">
        <v>108.56</v>
      </c>
      <c r="C8808" s="538" t="n">
        <v>103.62</v>
      </c>
      <c r="D8808" s="538" t="n">
        <v>106.06</v>
      </c>
      <c r="E8808" s="538" t="n">
        <v>122.18</v>
      </c>
    </row>
    <row r="8809">
      <c r="A8809" s="544" t="n">
        <v>41541</v>
      </c>
      <c r="B8809" s="538" t="n">
        <v>107.68</v>
      </c>
      <c r="C8809" s="538" t="n">
        <v>103.22</v>
      </c>
      <c r="D8809" s="538" t="n">
        <v>106.67</v>
      </c>
      <c r="E8809" s="538" t="n">
        <v>120.54</v>
      </c>
    </row>
    <row r="8810">
      <c r="A8810" s="544" t="n">
        <v>41542</v>
      </c>
      <c r="B8810" s="538" t="n">
        <v>109.46</v>
      </c>
      <c r="C8810" s="538" t="n">
        <v>102.68</v>
      </c>
      <c r="D8810" s="538" t="n">
        <v>105.43</v>
      </c>
      <c r="E8810" s="538" t="n">
        <v>121.48</v>
      </c>
    </row>
    <row r="8811">
      <c r="A8811" s="544" t="n">
        <v>41543</v>
      </c>
      <c r="B8811" s="538" t="n">
        <v>108.86</v>
      </c>
      <c r="C8811" s="538" t="n">
        <v>103.1</v>
      </c>
      <c r="D8811" s="538" t="n">
        <v>106.51</v>
      </c>
      <c r="E8811" s="538" t="n">
        <v>121.33</v>
      </c>
    </row>
    <row r="8812">
      <c r="A8812" s="544" t="n">
        <v>41544</v>
      </c>
      <c r="B8812" s="538" t="n">
        <v>109.45</v>
      </c>
      <c r="C8812" s="538" t="n">
        <v>102.86</v>
      </c>
      <c r="D8812" s="538" t="n">
        <v>106.11</v>
      </c>
      <c r="E8812" s="538" t="n">
        <v>122.02</v>
      </c>
    </row>
    <row r="8813">
      <c r="A8813" s="544" t="n">
        <v>41547</v>
      </c>
      <c r="B8813" s="538" t="n">
        <v>107.85</v>
      </c>
      <c r="C8813" s="538" t="n">
        <v>102.36</v>
      </c>
      <c r="D8813" s="538" t="n">
        <v>103.96</v>
      </c>
      <c r="E8813" s="538" t="n">
        <v>120.74</v>
      </c>
    </row>
    <row r="8814">
      <c r="A8814" s="544" t="n">
        <v>41548</v>
      </c>
      <c r="B8814" s="538" t="n">
        <v>107.32</v>
      </c>
      <c r="C8814" s="538" t="n">
        <v>102.09</v>
      </c>
      <c r="D8814" s="538" t="n">
        <v>104.35</v>
      </c>
      <c r="E8814" s="538" t="n">
        <v>120.66</v>
      </c>
    </row>
    <row r="8815">
      <c r="A8815" s="544" t="n">
        <v>41549</v>
      </c>
      <c r="B8815" s="538" t="n">
        <v>109.09</v>
      </c>
      <c r="C8815" s="538" t="n">
        <v>104.15</v>
      </c>
      <c r="D8815" s="538" t="n">
        <v>105.59</v>
      </c>
      <c r="E8815" s="538" t="n">
        <v>120.72</v>
      </c>
    </row>
    <row r="8816">
      <c r="A8816" s="544" t="n">
        <v>41550</v>
      </c>
      <c r="B8816" s="538" t="n">
        <v>109.49</v>
      </c>
      <c r="C8816" s="538" t="n">
        <v>103.29</v>
      </c>
      <c r="D8816" s="538" t="n">
        <v>105.59</v>
      </c>
      <c r="E8816" s="538" t="n">
        <v>122.68</v>
      </c>
    </row>
    <row r="8817">
      <c r="A8817" s="544" t="n">
        <v>41551</v>
      </c>
      <c r="B8817" s="538" t="n">
        <v>109.42</v>
      </c>
      <c r="C8817" s="538" t="n">
        <v>103.83</v>
      </c>
      <c r="D8817" s="538" t="n">
        <v>106.35</v>
      </c>
      <c r="E8817" s="538" t="n">
        <v>122.8</v>
      </c>
    </row>
    <row r="8818">
      <c r="A8818" s="544" t="n">
        <v>41554</v>
      </c>
      <c r="B8818" s="538" t="n">
        <v>109.66</v>
      </c>
      <c r="C8818" s="538" t="n">
        <v>103.07</v>
      </c>
      <c r="D8818" s="538" t="n">
        <v>106.59</v>
      </c>
      <c r="E8818" s="538" t="n">
        <v>121.66</v>
      </c>
    </row>
    <row r="8819">
      <c r="A8819" s="544" t="n">
        <v>41555</v>
      </c>
      <c r="B8819" s="538" t="n">
        <v>110.56</v>
      </c>
      <c r="C8819" s="538" t="n">
        <v>103.54</v>
      </c>
      <c r="D8819" s="538" t="n">
        <v>106.63</v>
      </c>
      <c r="E8819" s="538" t="n">
        <v>123.2</v>
      </c>
    </row>
    <row r="8820">
      <c r="A8820" s="544" t="n">
        <v>41556</v>
      </c>
      <c r="B8820" s="538" t="n">
        <v>109.02</v>
      </c>
      <c r="C8820" s="538" t="n">
        <v>101.63</v>
      </c>
      <c r="D8820" s="538" t="n">
        <v>105.81</v>
      </c>
      <c r="E8820" s="538" t="n">
        <v>123.65</v>
      </c>
    </row>
    <row r="8821">
      <c r="A8821" s="544" t="n">
        <v>41557</v>
      </c>
      <c r="B8821" s="538" t="n">
        <v>111.63</v>
      </c>
      <c r="C8821" s="538" t="n">
        <v>103.08</v>
      </c>
      <c r="D8821" s="538" t="n">
        <v>108.52</v>
      </c>
      <c r="E8821" s="538" t="n">
        <v>123.69</v>
      </c>
    </row>
    <row r="8822">
      <c r="A8822" s="544" t="n">
        <v>41558</v>
      </c>
      <c r="B8822" s="538" t="n">
        <v>110.65</v>
      </c>
      <c r="C8822" s="538" t="n">
        <v>102.17</v>
      </c>
      <c r="D8822" s="538" t="n">
        <v>108.13</v>
      </c>
      <c r="E8822" s="538" t="n">
        <v>124.54</v>
      </c>
    </row>
    <row r="8823">
      <c r="A8823" s="544" t="n">
        <v>41561</v>
      </c>
      <c r="B8823" s="538" t="n">
        <v>110.13</v>
      </c>
      <c r="C8823" s="538" t="n">
        <v>102.46</v>
      </c>
      <c r="D8823" s="538" t="n">
        <v>107.89</v>
      </c>
      <c r="E8823" s="538" t="n">
        <v>124.77</v>
      </c>
    </row>
    <row r="8824">
      <c r="A8824" s="544" t="n">
        <v>41562</v>
      </c>
      <c r="B8824" s="538" t="n">
        <v>110.67</v>
      </c>
      <c r="C8824" s="538" t="n">
        <v>101.15</v>
      </c>
      <c r="D8824" s="538" t="n">
        <v>107.04</v>
      </c>
      <c r="E8824" s="538" t="n">
        <v>124.77</v>
      </c>
    </row>
    <row r="8825">
      <c r="A8825" s="544" t="n">
        <v>41563</v>
      </c>
      <c r="B8825" s="538" t="n">
        <v>110.79</v>
      </c>
      <c r="C8825" s="538" t="n">
        <v>102.34</v>
      </c>
      <c r="D8825" s="538" t="n">
        <v>108.9</v>
      </c>
      <c r="E8825" s="538" t="n">
        <v>124.13</v>
      </c>
    </row>
    <row r="8826">
      <c r="A8826" s="544" t="n">
        <v>41564</v>
      </c>
      <c r="B8826" s="538" t="n">
        <v>109.55</v>
      </c>
      <c r="C8826" s="538" t="n">
        <v>100.72</v>
      </c>
      <c r="D8826" s="538" t="n">
        <v>107.15</v>
      </c>
      <c r="E8826" s="538" t="n">
        <v>124.79</v>
      </c>
    </row>
    <row r="8827">
      <c r="A8827" s="544" t="n">
        <v>41565</v>
      </c>
      <c r="B8827" s="538" t="n">
        <v>109.4</v>
      </c>
      <c r="C8827" s="538" t="n">
        <v>100.87</v>
      </c>
      <c r="D8827" s="538" t="n">
        <v>107.47</v>
      </c>
      <c r="E8827" s="538" t="n">
        <v>123.49</v>
      </c>
    </row>
    <row r="8828">
      <c r="A8828" s="544" t="n">
        <v>41568</v>
      </c>
      <c r="B8828" s="538" t="n">
        <v>109.47</v>
      </c>
      <c r="C8828" s="538" t="n">
        <v>99.28</v>
      </c>
      <c r="D8828" s="538" t="n">
        <v>106.95</v>
      </c>
      <c r="E8828" s="538" t="n">
        <v>124.29</v>
      </c>
    </row>
    <row r="8829">
      <c r="A8829" s="544" t="n">
        <v>41569</v>
      </c>
      <c r="B8829" s="538" t="n">
        <v>109.57</v>
      </c>
      <c r="C8829" s="538" t="n">
        <v>97.63</v>
      </c>
      <c r="D8829" s="538" t="n">
        <v>107.53</v>
      </c>
      <c r="E8829" s="538" t="n">
        <v>123.97</v>
      </c>
    </row>
    <row r="8830">
      <c r="A8830" s="544" t="n">
        <v>41570</v>
      </c>
      <c r="B8830" s="538" t="n">
        <v>107.74</v>
      </c>
      <c r="C8830" s="538" t="n">
        <v>96.90000000000001</v>
      </c>
      <c r="D8830" s="538" t="n">
        <v>106.64</v>
      </c>
      <c r="E8830" s="538" t="n">
        <v>123.06</v>
      </c>
    </row>
    <row r="8831">
      <c r="A8831" s="544" t="n">
        <v>41571</v>
      </c>
      <c r="B8831" s="538" t="n">
        <v>106.63</v>
      </c>
      <c r="C8831" s="538" t="n">
        <v>96.65000000000001</v>
      </c>
      <c r="D8831" s="538" t="n">
        <v>105.84</v>
      </c>
      <c r="E8831" s="538" t="n">
        <v>122.04</v>
      </c>
    </row>
    <row r="8832">
      <c r="A8832" s="544" t="n">
        <v>41572</v>
      </c>
      <c r="B8832" s="538" t="n">
        <v>105.7</v>
      </c>
      <c r="C8832" s="538" t="n">
        <v>97.40000000000001</v>
      </c>
      <c r="D8832" s="538" t="n">
        <v>105.92</v>
      </c>
      <c r="E8832" s="538" t="n">
        <v>120.75</v>
      </c>
    </row>
    <row r="8833">
      <c r="A8833" s="544" t="n">
        <v>41575</v>
      </c>
      <c r="B8833" s="538" t="n">
        <v>108.29</v>
      </c>
      <c r="C8833" s="538" t="n">
        <v>98.73999999999999</v>
      </c>
      <c r="D8833" s="538" t="n">
        <v>107.47</v>
      </c>
      <c r="E8833" s="538" t="n">
        <v>121.76</v>
      </c>
    </row>
    <row r="8834">
      <c r="A8834" s="544" t="n">
        <v>41576</v>
      </c>
      <c r="B8834" s="538" t="n">
        <v>108.04</v>
      </c>
      <c r="C8834" s="538" t="n">
        <v>98.29000000000001</v>
      </c>
      <c r="D8834" s="538" t="n">
        <v>106.16</v>
      </c>
      <c r="E8834" s="538" t="n">
        <v>123.26</v>
      </c>
    </row>
    <row r="8835">
      <c r="A8835" s="544" t="n">
        <v>41577</v>
      </c>
      <c r="B8835" s="538" t="n">
        <v>108.41</v>
      </c>
      <c r="C8835" s="538" t="n">
        <v>96.81</v>
      </c>
      <c r="D8835" s="538" t="n">
        <v>107.73</v>
      </c>
      <c r="E8835" s="538" t="n">
        <v>123.26</v>
      </c>
    </row>
    <row r="8836">
      <c r="A8836" s="544" t="n">
        <v>41578</v>
      </c>
      <c r="B8836" s="538" t="n">
        <v>107.53</v>
      </c>
      <c r="C8836" s="538" t="n">
        <v>96.29000000000001</v>
      </c>
      <c r="D8836" s="538" t="n">
        <v>105.82</v>
      </c>
      <c r="E8836" s="538" t="n">
        <v>123.74</v>
      </c>
    </row>
    <row r="8837">
      <c r="A8837" s="544" t="n">
        <v>41579</v>
      </c>
      <c r="B8837" s="538" t="n">
        <v>105.78</v>
      </c>
      <c r="C8837" s="538" t="n">
        <v>94.56</v>
      </c>
      <c r="D8837" s="538" t="n">
        <v>104.46</v>
      </c>
      <c r="E8837" s="538" t="n">
        <v>124.33</v>
      </c>
    </row>
    <row r="8838">
      <c r="A8838" s="544" t="n">
        <v>41582</v>
      </c>
      <c r="B8838" s="538" t="n">
        <v>104.85</v>
      </c>
      <c r="C8838" s="538" t="n">
        <v>94.58</v>
      </c>
      <c r="D8838" s="538" t="n">
        <v>105.07</v>
      </c>
      <c r="E8838" s="538" t="n">
        <v>121.81</v>
      </c>
    </row>
    <row r="8839">
      <c r="A8839" s="544" t="n">
        <v>41583</v>
      </c>
      <c r="B8839" s="538" t="n">
        <v>105.01</v>
      </c>
      <c r="C8839" s="538" t="n">
        <v>93.40000000000001</v>
      </c>
      <c r="D8839" s="538" t="n">
        <v>104.31</v>
      </c>
      <c r="E8839" s="538" t="n">
        <v>120.96</v>
      </c>
    </row>
    <row r="8840">
      <c r="A8840" s="544" t="n">
        <v>41584</v>
      </c>
      <c r="B8840" s="538" t="n">
        <v>105.46</v>
      </c>
      <c r="C8840" s="538" t="n">
        <v>94.73999999999999</v>
      </c>
      <c r="D8840" s="538" t="n">
        <v>103.81</v>
      </c>
      <c r="E8840" s="538" t="n">
        <v>120.95</v>
      </c>
    </row>
    <row r="8841">
      <c r="A8841" s="544" t="n">
        <v>41585</v>
      </c>
      <c r="B8841" s="538" t="n">
        <v>103.08</v>
      </c>
      <c r="C8841" s="538" t="n">
        <v>94.25</v>
      </c>
      <c r="D8841" s="538" t="n">
        <v>102.36</v>
      </c>
      <c r="E8841" s="538" t="n">
        <v>120.37</v>
      </c>
    </row>
    <row r="8842">
      <c r="A8842" s="544" t="n">
        <v>41586</v>
      </c>
      <c r="B8842" s="538" t="n">
        <v>104.29</v>
      </c>
      <c r="C8842" s="538" t="n">
        <v>94.56</v>
      </c>
      <c r="D8842" s="538" t="n">
        <v>103.89</v>
      </c>
      <c r="E8842" s="538" t="n">
        <v>119.52</v>
      </c>
    </row>
    <row r="8843">
      <c r="A8843" s="544" t="n">
        <v>41589</v>
      </c>
      <c r="B8843" s="538" t="n">
        <v>105.76</v>
      </c>
      <c r="C8843" s="538" t="n">
        <v>95.13</v>
      </c>
      <c r="D8843" s="538" t="n">
        <v>104.1</v>
      </c>
      <c r="E8843" s="538" t="n">
        <v>120.27</v>
      </c>
    </row>
    <row r="8844">
      <c r="A8844" s="544" t="n">
        <v>41590</v>
      </c>
      <c r="B8844" s="538" t="n">
        <v>106.29</v>
      </c>
      <c r="C8844" s="538" t="n">
        <v>93.12</v>
      </c>
      <c r="D8844" s="538" t="n">
        <v>104.06</v>
      </c>
      <c r="E8844" s="538" t="n">
        <v>120.81</v>
      </c>
    </row>
    <row r="8845">
      <c r="A8845" s="544" t="n">
        <v>41591</v>
      </c>
      <c r="B8845" s="538" t="n">
        <v>106.9</v>
      </c>
      <c r="C8845" s="538" t="n">
        <v>93.91</v>
      </c>
      <c r="D8845" s="538" t="n">
        <v>105</v>
      </c>
      <c r="E8845" s="538" t="n">
        <v>120.55</v>
      </c>
    </row>
    <row r="8846">
      <c r="A8846" s="544" t="n">
        <v>41592</v>
      </c>
      <c r="B8846" s="538" t="n">
        <v>108.29</v>
      </c>
      <c r="C8846" s="538" t="n">
        <v>93.76000000000001</v>
      </c>
      <c r="D8846" s="538" t="n">
        <v>107.68</v>
      </c>
      <c r="E8846" s="538" t="n">
        <v>121.45</v>
      </c>
    </row>
    <row r="8847">
      <c r="A8847" s="544" t="n">
        <v>41593</v>
      </c>
      <c r="B8847" s="538" t="n">
        <v>108.25</v>
      </c>
      <c r="C8847" s="538" t="n">
        <v>93.8</v>
      </c>
      <c r="D8847" s="538" t="n">
        <v>106.79</v>
      </c>
      <c r="E8847" s="538" t="n">
        <v>122.18</v>
      </c>
    </row>
    <row r="8848">
      <c r="A8848" s="544" t="n">
        <v>41596</v>
      </c>
      <c r="B8848" s="538" t="n">
        <v>108.8</v>
      </c>
      <c r="C8848" s="538" t="n">
        <v>93.03</v>
      </c>
      <c r="D8848" s="538" t="n">
        <v>106.54</v>
      </c>
      <c r="E8848" s="538" t="n">
        <v>122.2</v>
      </c>
    </row>
    <row r="8849">
      <c r="A8849" s="544" t="n">
        <v>41597</v>
      </c>
      <c r="B8849" s="538" t="n">
        <v>108.29</v>
      </c>
      <c r="C8849" s="538" t="n">
        <v>93.34999999999999</v>
      </c>
      <c r="D8849" s="538" t="n">
        <v>105.12</v>
      </c>
      <c r="E8849" s="538" t="n">
        <v>121.58</v>
      </c>
    </row>
    <row r="8850">
      <c r="A8850" s="544" t="n">
        <v>41598</v>
      </c>
      <c r="B8850" s="538" t="n">
        <v>108.27</v>
      </c>
      <c r="C8850" s="538" t="n">
        <v>93.34</v>
      </c>
      <c r="D8850" s="538" t="n">
        <v>105.89</v>
      </c>
      <c r="E8850" s="538" t="n">
        <v>121.68</v>
      </c>
    </row>
    <row r="8851">
      <c r="A8851" s="544" t="n">
        <v>41599</v>
      </c>
      <c r="B8851" s="538" t="n">
        <v>109.9</v>
      </c>
      <c r="C8851" s="538" t="n">
        <v>95.34999999999999</v>
      </c>
      <c r="D8851" s="538" t="n">
        <v>107.66</v>
      </c>
      <c r="E8851" s="538" t="n">
        <v>122.66</v>
      </c>
    </row>
    <row r="8852">
      <c r="A8852" s="544" t="n">
        <v>41600</v>
      </c>
      <c r="B8852" s="538" t="n">
        <v>111.36</v>
      </c>
      <c r="C8852" s="538" t="n">
        <v>94.53</v>
      </c>
      <c r="D8852" s="538" t="n">
        <v>108.82</v>
      </c>
      <c r="E8852" s="538" t="n">
        <v>124.21</v>
      </c>
    </row>
    <row r="8853">
      <c r="A8853" s="544" t="n">
        <v>41603</v>
      </c>
      <c r="B8853" s="538" t="n">
        <v>110.83</v>
      </c>
      <c r="C8853" s="538" t="n">
        <v>93.86</v>
      </c>
      <c r="D8853" s="538" t="n">
        <v>108.63</v>
      </c>
      <c r="E8853" s="538" t="n">
        <v>123.88</v>
      </c>
    </row>
    <row r="8854">
      <c r="A8854" s="544" t="n">
        <v>41604</v>
      </c>
      <c r="B8854" s="538" t="n">
        <v>112.04</v>
      </c>
      <c r="C8854" s="538" t="n">
        <v>93.41</v>
      </c>
      <c r="D8854" s="538" t="n">
        <v>108.54</v>
      </c>
      <c r="E8854" s="538" t="n">
        <v>125.8</v>
      </c>
    </row>
    <row r="8855">
      <c r="A8855" s="544" t="n">
        <v>41605</v>
      </c>
      <c r="B8855" s="538" t="n">
        <v>111.32</v>
      </c>
      <c r="C8855" s="538" t="n">
        <v>92.05</v>
      </c>
      <c r="D8855" s="538" t="n">
        <v>109.32</v>
      </c>
      <c r="E8855" s="538" t="n">
        <v>126.63</v>
      </c>
    </row>
    <row r="8856">
      <c r="A8856" s="544" t="n">
        <v>41606</v>
      </c>
      <c r="B8856" s="538" t="n">
        <v>111.32</v>
      </c>
      <c r="C8856" s="538" t="n">
        <v>92.05</v>
      </c>
      <c r="D8856" s="538" t="n">
        <v>108.89</v>
      </c>
      <c r="E8856" s="538" t="n">
        <v>126.99</v>
      </c>
    </row>
    <row r="8857">
      <c r="A8857" s="544" t="n">
        <v>41607</v>
      </c>
      <c r="B8857" s="538" t="n">
        <v>111.07</v>
      </c>
      <c r="C8857" s="538" t="n">
        <v>92.55</v>
      </c>
      <c r="D8857" s="538" t="n">
        <v>108.2</v>
      </c>
      <c r="E8857" s="538" t="n">
        <v>126.52</v>
      </c>
    </row>
    <row r="8858">
      <c r="A8858" s="544" t="n">
        <v>41610</v>
      </c>
      <c r="B8858" s="538" t="n">
        <v>111.49</v>
      </c>
      <c r="C8858" s="538" t="n">
        <v>93.61</v>
      </c>
      <c r="D8858" s="538" t="n">
        <v>108.6</v>
      </c>
      <c r="E8858" s="538" t="n">
        <v>126.89</v>
      </c>
    </row>
    <row r="8859">
      <c r="A8859" s="544" t="n">
        <v>41611</v>
      </c>
      <c r="B8859" s="538" t="n">
        <v>113.06</v>
      </c>
      <c r="C8859" s="538" t="n">
        <v>95.83</v>
      </c>
      <c r="D8859" s="538" t="n">
        <v>110.27</v>
      </c>
      <c r="E8859" s="538" t="n">
        <v>127.73</v>
      </c>
    </row>
    <row r="8860">
      <c r="A8860" s="544" t="n">
        <v>41612</v>
      </c>
      <c r="B8860" s="538" t="n">
        <v>113.27</v>
      </c>
      <c r="C8860" s="538" t="n">
        <v>96.97</v>
      </c>
      <c r="D8860" s="538" t="n">
        <v>108.47</v>
      </c>
      <c r="E8860" s="538" t="n">
        <v>128.37</v>
      </c>
    </row>
    <row r="8861">
      <c r="A8861" s="544" t="n">
        <v>41613</v>
      </c>
      <c r="B8861" s="538" t="n">
        <v>112.07</v>
      </c>
      <c r="C8861" s="538" t="n">
        <v>97.14</v>
      </c>
      <c r="D8861" s="538" t="n">
        <v>107.48</v>
      </c>
      <c r="E8861" s="538" t="n">
        <v>128.02</v>
      </c>
    </row>
    <row r="8862">
      <c r="A8862" s="544" t="n">
        <v>41614</v>
      </c>
      <c r="B8862" s="538" t="n">
        <v>111.5</v>
      </c>
      <c r="C8862" s="538" t="n">
        <v>97.48</v>
      </c>
      <c r="D8862" s="538" t="n">
        <v>108.36</v>
      </c>
      <c r="E8862" s="538" t="n">
        <v>127.74</v>
      </c>
    </row>
    <row r="8863">
      <c r="A8863" s="544" t="n">
        <v>41617</v>
      </c>
      <c r="B8863" s="538" t="n">
        <v>110.07</v>
      </c>
      <c r="C8863" s="538" t="n">
        <v>97.09999999999999</v>
      </c>
      <c r="D8863" s="538" t="n">
        <v>106.44</v>
      </c>
      <c r="E8863" s="538" t="n">
        <v>127.42</v>
      </c>
    </row>
    <row r="8864">
      <c r="A8864" s="544" t="n">
        <v>41618</v>
      </c>
      <c r="B8864" s="538" t="n">
        <v>108.91</v>
      </c>
      <c r="C8864" s="538" t="n">
        <v>98.31999999999999</v>
      </c>
      <c r="D8864" s="538" t="n">
        <v>106.84</v>
      </c>
      <c r="E8864" s="538" t="n">
        <v>126.25</v>
      </c>
    </row>
    <row r="8865">
      <c r="A8865" s="544" t="n">
        <v>41619</v>
      </c>
      <c r="B8865" s="538" t="n">
        <v>109.47</v>
      </c>
      <c r="C8865" s="538" t="n">
        <v>97.25</v>
      </c>
      <c r="D8865" s="538" t="n">
        <v>107.3</v>
      </c>
      <c r="E8865" s="538" t="n">
        <v>126.49</v>
      </c>
    </row>
    <row r="8866">
      <c r="A8866" s="544" t="n">
        <v>41620</v>
      </c>
      <c r="B8866" s="538" t="n">
        <v>108.99</v>
      </c>
      <c r="C8866" s="538" t="n">
        <v>97.20999999999999</v>
      </c>
      <c r="D8866" s="538" t="n">
        <v>106.24</v>
      </c>
      <c r="E8866" s="538" t="n">
        <v>126.62</v>
      </c>
    </row>
    <row r="8867">
      <c r="A8867" s="544" t="n">
        <v>41621</v>
      </c>
      <c r="B8867" s="538" t="n">
        <v>108.08</v>
      </c>
      <c r="C8867" s="538" t="n">
        <v>96.27</v>
      </c>
      <c r="D8867" s="538" t="n">
        <v>106.31</v>
      </c>
      <c r="E8867" s="538" t="n">
        <v>125.21</v>
      </c>
    </row>
    <row r="8868">
      <c r="A8868" s="544" t="n">
        <v>41624</v>
      </c>
      <c r="B8868" s="538" t="n">
        <v>110.3</v>
      </c>
      <c r="C8868" s="538" t="n">
        <v>97.18000000000001</v>
      </c>
      <c r="D8868" s="538" t="n">
        <v>108.81</v>
      </c>
      <c r="E8868" s="538" t="n">
        <v>125.2</v>
      </c>
    </row>
    <row r="8869">
      <c r="A8869" s="544" t="n">
        <v>41625</v>
      </c>
      <c r="B8869" s="538" t="n">
        <v>108.91</v>
      </c>
      <c r="C8869" s="538" t="n">
        <v>96.98999999999999</v>
      </c>
      <c r="D8869" s="538" t="n">
        <v>106.31</v>
      </c>
      <c r="E8869" s="538" t="n">
        <v>125.3</v>
      </c>
    </row>
    <row r="8870">
      <c r="A8870" s="544" t="n">
        <v>41626</v>
      </c>
      <c r="B8870" s="538" t="n">
        <v>109.56</v>
      </c>
      <c r="C8870" s="538" t="n">
        <v>97.59</v>
      </c>
      <c r="D8870" s="538" t="n">
        <v>107.28</v>
      </c>
      <c r="E8870" s="538" t="n">
        <v>124.68</v>
      </c>
    </row>
    <row r="8871">
      <c r="A8871" s="544" t="n">
        <v>41627</v>
      </c>
      <c r="B8871" s="538" t="n">
        <v>110.78</v>
      </c>
      <c r="C8871" s="538" t="n">
        <v>98.40000000000001</v>
      </c>
      <c r="D8871" s="538" t="n">
        <v>107.61</v>
      </c>
      <c r="E8871" s="538" t="n">
        <v>125.84</v>
      </c>
    </row>
    <row r="8872">
      <c r="A8872" s="544" t="n">
        <v>41628</v>
      </c>
      <c r="B8872" s="538" t="n">
        <v>112.15</v>
      </c>
      <c r="C8872" s="538" t="n">
        <v>99.11</v>
      </c>
      <c r="D8872" s="538" t="n">
        <v>109.11</v>
      </c>
      <c r="E8872" s="538" t="n">
        <v>126.56</v>
      </c>
    </row>
    <row r="8873">
      <c r="A8873" s="544" t="n">
        <v>41631</v>
      </c>
      <c r="B8873" s="538" t="n">
        <v>111.58</v>
      </c>
      <c r="C8873" s="538" t="n">
        <v>98.62</v>
      </c>
      <c r="D8873" s="538" t="n">
        <v>108.51</v>
      </c>
      <c r="E8873" s="538" t="n">
        <v>127.65</v>
      </c>
    </row>
    <row r="8874">
      <c r="A8874" s="544" t="n">
        <v>41632</v>
      </c>
      <c r="B8874" s="538" t="n">
        <v>111.57</v>
      </c>
      <c r="C8874" s="538" t="n">
        <v>98.87</v>
      </c>
      <c r="D8874" s="538" t="n">
        <v>109.33</v>
      </c>
      <c r="E8874" s="538" t="n">
        <v>126.85</v>
      </c>
    </row>
    <row r="8875">
      <c r="A8875" s="544" t="n">
        <v>41633</v>
      </c>
      <c r="B8875" s="538" t="n">
        <v>111.57</v>
      </c>
      <c r="C8875" s="538" t="n">
        <v>98.87</v>
      </c>
      <c r="D8875" s="538" t="n">
        <v>109.6</v>
      </c>
      <c r="E8875" s="538" t="n">
        <v>126.85</v>
      </c>
    </row>
    <row r="8876">
      <c r="A8876" s="544" t="n">
        <v>41634</v>
      </c>
      <c r="B8876" s="538" t="n">
        <v>111.65</v>
      </c>
      <c r="C8876" s="538" t="n">
        <v>99.18000000000001</v>
      </c>
      <c r="D8876" s="538" t="n">
        <v>109.4</v>
      </c>
      <c r="E8876" s="538" t="n">
        <v>126.81</v>
      </c>
    </row>
    <row r="8877">
      <c r="A8877" s="544" t="n">
        <v>41635</v>
      </c>
      <c r="B8877" s="538" t="n">
        <v>112.06</v>
      </c>
      <c r="C8877" s="538" t="n">
        <v>99.94</v>
      </c>
      <c r="D8877" s="538" t="n">
        <v>109.32</v>
      </c>
      <c r="E8877" s="538" t="n">
        <v>126.75</v>
      </c>
    </row>
    <row r="8878">
      <c r="A8878" s="544" t="n">
        <v>41638</v>
      </c>
      <c r="B8878" s="538" t="n">
        <v>110.47</v>
      </c>
      <c r="C8878" s="538" t="n">
        <v>98.90000000000001</v>
      </c>
      <c r="D8878" s="538" t="n">
        <v>107.79</v>
      </c>
      <c r="E8878" s="538" t="n">
        <v>127.98</v>
      </c>
    </row>
    <row r="8879">
      <c r="A8879" s="544" t="n">
        <v>41639</v>
      </c>
      <c r="B8879" s="538" t="n">
        <v>109.95</v>
      </c>
      <c r="C8879" s="538" t="n">
        <v>98.17</v>
      </c>
      <c r="D8879" s="538" t="n">
        <v>107.4</v>
      </c>
      <c r="E8879" s="538" t="n">
        <v>126.55</v>
      </c>
    </row>
    <row r="8880">
      <c r="A8880" s="544" t="n">
        <v>41640</v>
      </c>
      <c r="B8880" s="538" t="n">
        <v>109.95</v>
      </c>
      <c r="C8880" s="538" t="n">
        <v>98.17</v>
      </c>
      <c r="D8880" s="538" t="n">
        <v>107.55</v>
      </c>
      <c r="E8880" s="538" t="n">
        <v>126.55</v>
      </c>
    </row>
    <row r="8881">
      <c r="A8881" s="544" t="n">
        <v>41641</v>
      </c>
      <c r="B8881" s="538" t="n">
        <v>107.94</v>
      </c>
      <c r="C8881" s="538" t="n">
        <v>95.14</v>
      </c>
      <c r="D8881" s="538" t="n">
        <v>104.46</v>
      </c>
      <c r="E8881" s="538" t="n">
        <v>126.33</v>
      </c>
    </row>
    <row r="8882">
      <c r="A8882" s="544" t="n">
        <v>41642</v>
      </c>
      <c r="B8882" s="538" t="n">
        <v>106.57</v>
      </c>
      <c r="C8882" s="538" t="n">
        <v>93.66</v>
      </c>
      <c r="D8882" s="538" t="n">
        <v>104.97</v>
      </c>
      <c r="E8882" s="538" t="n">
        <v>123.71</v>
      </c>
    </row>
    <row r="8883">
      <c r="A8883" s="544" t="n">
        <v>41645</v>
      </c>
      <c r="B8883" s="538" t="n">
        <v>106.71</v>
      </c>
      <c r="C8883" s="538" t="n">
        <v>93.12</v>
      </c>
      <c r="D8883" s="538" t="n">
        <v>103.72</v>
      </c>
      <c r="E8883" s="538" t="n">
        <v>122.51</v>
      </c>
    </row>
    <row r="8884">
      <c r="A8884" s="544" t="n">
        <v>41646</v>
      </c>
      <c r="B8884" s="538" t="n">
        <v>107.01</v>
      </c>
      <c r="C8884" s="538" t="n">
        <v>93.31</v>
      </c>
      <c r="D8884" s="538" t="n">
        <v>104.14</v>
      </c>
      <c r="E8884" s="538" t="n">
        <v>122.27</v>
      </c>
    </row>
    <row r="8885">
      <c r="A8885" s="544" t="n">
        <v>41647</v>
      </c>
      <c r="B8885" s="538" t="n">
        <v>107.42</v>
      </c>
      <c r="C8885" s="538" t="n">
        <v>91.90000000000001</v>
      </c>
      <c r="D8885" s="538" t="n">
        <v>104.08</v>
      </c>
      <c r="E8885" s="538" t="n">
        <v>121.88</v>
      </c>
    </row>
    <row r="8886">
      <c r="A8886" s="544" t="n">
        <v>41648</v>
      </c>
      <c r="B8886" s="538" t="n">
        <v>107.49</v>
      </c>
      <c r="C8886" s="538" t="n">
        <v>91.36</v>
      </c>
      <c r="D8886" s="538" t="n">
        <v>103.63</v>
      </c>
      <c r="E8886" s="538" t="n">
        <v>121.61</v>
      </c>
    </row>
    <row r="8887">
      <c r="A8887" s="544" t="n">
        <v>41649</v>
      </c>
      <c r="B8887" s="538" t="n">
        <v>106.44</v>
      </c>
      <c r="C8887" s="538" t="n">
        <v>92.39</v>
      </c>
      <c r="D8887" s="538" t="n">
        <v>103.95</v>
      </c>
      <c r="E8887" s="538" t="n">
        <v>121.38</v>
      </c>
    </row>
    <row r="8888">
      <c r="A8888" s="544" t="n">
        <v>41652</v>
      </c>
      <c r="B8888" s="538" t="n">
        <v>108.02</v>
      </c>
      <c r="C8888" s="538" t="n">
        <v>91.45</v>
      </c>
      <c r="D8888" s="538" t="n">
        <v>103.09</v>
      </c>
      <c r="E8888" s="538" t="n">
        <v>121.09</v>
      </c>
    </row>
    <row r="8889">
      <c r="A8889" s="544" t="n">
        <v>41653</v>
      </c>
      <c r="B8889" s="538" t="n">
        <v>107.12</v>
      </c>
      <c r="C8889" s="538" t="n">
        <v>92.15000000000001</v>
      </c>
      <c r="D8889" s="538" t="n">
        <v>102.66</v>
      </c>
      <c r="E8889" s="538" t="n">
        <v>120.37</v>
      </c>
    </row>
    <row r="8890">
      <c r="A8890" s="544" t="n">
        <v>41654</v>
      </c>
      <c r="B8890" s="538" t="n">
        <v>108.09</v>
      </c>
      <c r="C8890" s="538" t="n">
        <v>93.78</v>
      </c>
      <c r="D8890" s="538" t="n">
        <v>103.74</v>
      </c>
      <c r="E8890" s="538" t="n">
        <v>119.95</v>
      </c>
    </row>
    <row r="8891">
      <c r="A8891" s="544" t="n">
        <v>41655</v>
      </c>
      <c r="B8891" s="538" t="n">
        <v>107.46</v>
      </c>
      <c r="C8891" s="538" t="n">
        <v>93.54000000000001</v>
      </c>
      <c r="D8891" s="538" t="n">
        <v>104.37</v>
      </c>
      <c r="E8891" s="538" t="n">
        <v>120.11</v>
      </c>
    </row>
    <row r="8892">
      <c r="A8892" s="544" t="n">
        <v>41656</v>
      </c>
      <c r="B8892" s="538" t="n">
        <v>108.45</v>
      </c>
      <c r="C8892" s="538" t="n">
        <v>93.95999999999999</v>
      </c>
      <c r="D8892" s="538" t="n">
        <v>103.38</v>
      </c>
      <c r="E8892" s="538" t="n">
        <v>120.17</v>
      </c>
    </row>
    <row r="8893">
      <c r="A8893" s="544" t="n">
        <v>41659</v>
      </c>
      <c r="B8893" s="538" t="n">
        <v>108.01</v>
      </c>
      <c r="C8893" s="538" t="n">
        <v>93.95999999999999</v>
      </c>
      <c r="D8893" s="538" t="n">
        <v>103.34</v>
      </c>
      <c r="E8893" s="538" t="n">
        <v>120.58</v>
      </c>
    </row>
    <row r="8894">
      <c r="A8894" s="544" t="n">
        <v>41660</v>
      </c>
      <c r="B8894" s="538" t="n">
        <v>109.17</v>
      </c>
      <c r="C8894" s="538" t="n">
        <v>94.51000000000001</v>
      </c>
      <c r="D8894" s="538" t="n">
        <v>103.84</v>
      </c>
      <c r="E8894" s="538" t="n">
        <v>121.04</v>
      </c>
    </row>
    <row r="8895">
      <c r="A8895" s="544" t="n">
        <v>41661</v>
      </c>
      <c r="B8895" s="538" t="n">
        <v>109.69</v>
      </c>
      <c r="C8895" s="538" t="n">
        <v>96.34999999999999</v>
      </c>
      <c r="D8895" s="538" t="n">
        <v>104.69</v>
      </c>
      <c r="E8895" s="538" t="n">
        <v>121</v>
      </c>
    </row>
    <row r="8896">
      <c r="A8896" s="544" t="n">
        <v>41662</v>
      </c>
      <c r="B8896" s="538" t="n">
        <v>109.69</v>
      </c>
      <c r="C8896" s="538" t="n">
        <v>97.23</v>
      </c>
      <c r="D8896" s="538" t="n">
        <v>104.47</v>
      </c>
      <c r="E8896" s="538" t="n">
        <v>121.52</v>
      </c>
    </row>
    <row r="8897">
      <c r="A8897" s="544" t="n">
        <v>41663</v>
      </c>
      <c r="B8897" s="538" t="n">
        <v>109.14</v>
      </c>
      <c r="C8897" s="538" t="n">
        <v>96.66</v>
      </c>
      <c r="D8897" s="538" t="n">
        <v>104.75</v>
      </c>
      <c r="E8897" s="538" t="n">
        <v>121.59</v>
      </c>
    </row>
    <row r="8898">
      <c r="A8898" s="544" t="n">
        <v>41666</v>
      </c>
      <c r="B8898" s="538" t="n">
        <v>108.72</v>
      </c>
      <c r="C8898" s="538" t="n">
        <v>95.81999999999999</v>
      </c>
      <c r="D8898" s="538" t="n">
        <v>103.39</v>
      </c>
      <c r="E8898" s="538" t="n">
        <v>121.9</v>
      </c>
    </row>
    <row r="8899">
      <c r="A8899" s="544" t="n">
        <v>41667</v>
      </c>
      <c r="B8899" s="538" t="n">
        <v>109.1</v>
      </c>
      <c r="C8899" s="538" t="n">
        <v>97.48999999999999</v>
      </c>
      <c r="D8899" s="538" t="n">
        <v>103.7</v>
      </c>
      <c r="E8899" s="538" t="n">
        <v>121.27</v>
      </c>
    </row>
    <row r="8900">
      <c r="A8900" s="544" t="n">
        <v>41668</v>
      </c>
      <c r="B8900" s="538" t="n">
        <v>108.83</v>
      </c>
      <c r="C8900" s="538" t="n">
        <v>97.34</v>
      </c>
      <c r="D8900" s="538" t="n">
        <v>104.02</v>
      </c>
      <c r="E8900" s="538" t="n">
        <v>122.02</v>
      </c>
    </row>
    <row r="8901">
      <c r="A8901" s="544" t="n">
        <v>41669</v>
      </c>
      <c r="B8901" s="538" t="n">
        <v>109.36</v>
      </c>
      <c r="C8901" s="538" t="n">
        <v>98.25</v>
      </c>
      <c r="D8901" s="538" t="n">
        <v>103.5</v>
      </c>
      <c r="E8901" s="538" t="n">
        <v>122.19</v>
      </c>
    </row>
    <row r="8902">
      <c r="A8902" s="544" t="n">
        <v>41670</v>
      </c>
      <c r="B8902" s="538" t="n">
        <v>108.16</v>
      </c>
      <c r="C8902" s="538" t="n">
        <v>97.55</v>
      </c>
      <c r="D8902" s="538" t="n">
        <v>102.04</v>
      </c>
      <c r="E8902" s="538" t="n">
        <v>122.19</v>
      </c>
    </row>
    <row r="8903">
      <c r="A8903" s="544" t="n">
        <v>41673</v>
      </c>
      <c r="B8903" s="538" t="n">
        <v>106.55</v>
      </c>
      <c r="C8903" s="538" t="n">
        <v>96.44</v>
      </c>
      <c r="D8903" s="538" t="n">
        <v>102.34</v>
      </c>
      <c r="E8903" s="538" t="n">
        <v>120.97</v>
      </c>
    </row>
    <row r="8904">
      <c r="A8904" s="544" t="n">
        <v>41674</v>
      </c>
      <c r="B8904" s="538" t="n">
        <v>107.04</v>
      </c>
      <c r="C8904" s="538" t="n">
        <v>97.23999999999999</v>
      </c>
      <c r="D8904" s="538" t="n">
        <v>102.4</v>
      </c>
      <c r="E8904" s="538" t="n">
        <v>120.64</v>
      </c>
    </row>
    <row r="8905">
      <c r="A8905" s="544" t="n">
        <v>41675</v>
      </c>
      <c r="B8905" s="538" t="n">
        <v>106.81</v>
      </c>
      <c r="C8905" s="538" t="n">
        <v>97.40000000000001</v>
      </c>
      <c r="D8905" s="538" t="n">
        <v>102.57</v>
      </c>
      <c r="E8905" s="538" t="n">
        <v>120.9</v>
      </c>
    </row>
    <row r="8906">
      <c r="A8906" s="544" t="n">
        <v>41676</v>
      </c>
      <c r="B8906" s="538" t="n">
        <v>108.15</v>
      </c>
      <c r="C8906" s="538" t="n">
        <v>97.84</v>
      </c>
      <c r="D8906" s="538" t="n">
        <v>103.33</v>
      </c>
      <c r="E8906" s="538" t="n">
        <v>121.04</v>
      </c>
    </row>
    <row r="8907">
      <c r="A8907" s="544" t="n">
        <v>41677</v>
      </c>
      <c r="B8907" s="538" t="n">
        <v>110.12</v>
      </c>
      <c r="C8907" s="538" t="n">
        <v>99.98</v>
      </c>
      <c r="D8907" s="538" t="n">
        <v>105.64</v>
      </c>
      <c r="E8907" s="538" t="n">
        <v>121.9</v>
      </c>
    </row>
    <row r="8908">
      <c r="A8908" s="544" t="n">
        <v>41680</v>
      </c>
      <c r="B8908" s="538" t="n">
        <v>110.18</v>
      </c>
      <c r="C8908" s="538" t="n">
        <v>100.12</v>
      </c>
      <c r="D8908" s="538" t="n">
        <v>104.63</v>
      </c>
      <c r="E8908" s="538" t="n">
        <v>123.33</v>
      </c>
    </row>
    <row r="8909">
      <c r="A8909" s="544" t="n">
        <v>41681</v>
      </c>
      <c r="B8909" s="538" t="n">
        <v>109.21</v>
      </c>
      <c r="C8909" s="538" t="n">
        <v>99.95999999999999</v>
      </c>
      <c r="D8909" s="538" t="n">
        <v>105.21</v>
      </c>
      <c r="E8909" s="538" t="n">
        <v>123.39</v>
      </c>
    </row>
    <row r="8910">
      <c r="A8910" s="544" t="n">
        <v>41682</v>
      </c>
      <c r="B8910" s="538" t="n">
        <v>108.62</v>
      </c>
      <c r="C8910" s="538" t="n">
        <v>100.38</v>
      </c>
      <c r="D8910" s="538" t="n">
        <v>105.02</v>
      </c>
      <c r="E8910" s="538" t="n">
        <v>123.2</v>
      </c>
    </row>
    <row r="8911">
      <c r="A8911" s="544" t="n">
        <v>41683</v>
      </c>
      <c r="B8911" s="538" t="n">
        <v>108.98</v>
      </c>
      <c r="C8911" s="538" t="n">
        <v>100.27</v>
      </c>
      <c r="D8911" s="538" t="n">
        <v>105.43</v>
      </c>
      <c r="E8911" s="538" t="n">
        <v>122.41</v>
      </c>
    </row>
    <row r="8912">
      <c r="A8912" s="544" t="n">
        <v>41684</v>
      </c>
      <c r="B8912" s="538" t="n">
        <v>108.63</v>
      </c>
      <c r="C8912" s="538" t="n">
        <v>100.31</v>
      </c>
      <c r="D8912" s="538" t="n">
        <v>106.19</v>
      </c>
      <c r="E8912" s="538" t="n">
        <v>122.32</v>
      </c>
    </row>
    <row r="8913">
      <c r="A8913" s="544" t="n">
        <v>41687</v>
      </c>
      <c r="B8913" s="538" t="n">
        <v>108.63</v>
      </c>
      <c r="C8913" s="538" t="n">
        <v>100.31</v>
      </c>
      <c r="D8913" s="538" t="n">
        <v>106.11</v>
      </c>
      <c r="E8913" s="538" t="n">
        <v>122.32</v>
      </c>
    </row>
    <row r="8914">
      <c r="A8914" s="544" t="n">
        <v>41688</v>
      </c>
      <c r="B8914" s="538" t="n">
        <v>110.14</v>
      </c>
      <c r="C8914" s="538" t="n">
        <v>102.54</v>
      </c>
      <c r="D8914" s="538" t="n">
        <v>107.29</v>
      </c>
      <c r="E8914" s="538" t="n">
        <v>123.42</v>
      </c>
    </row>
    <row r="8915">
      <c r="A8915" s="544" t="n">
        <v>41689</v>
      </c>
      <c r="B8915" s="538" t="n">
        <v>110.37</v>
      </c>
      <c r="C8915" s="538" t="n">
        <v>103.46</v>
      </c>
      <c r="D8915" s="538" t="n">
        <v>106.71</v>
      </c>
      <c r="E8915" s="538" t="n">
        <v>124.41</v>
      </c>
    </row>
    <row r="8916">
      <c r="A8916" s="544" t="n">
        <v>41690</v>
      </c>
      <c r="B8916" s="538" t="n">
        <v>109.42</v>
      </c>
      <c r="C8916" s="538" t="n">
        <v>103.2</v>
      </c>
      <c r="D8916" s="538" t="n">
        <v>107</v>
      </c>
      <c r="E8916" s="538" t="n">
        <v>124.72</v>
      </c>
    </row>
    <row r="8917">
      <c r="A8917" s="544" t="n">
        <v>41691</v>
      </c>
      <c r="B8917" s="538" t="n">
        <v>109.03</v>
      </c>
      <c r="C8917" s="538" t="n">
        <v>102.53</v>
      </c>
      <c r="D8917" s="538" t="n">
        <v>106.63</v>
      </c>
      <c r="E8917" s="538" t="n">
        <v>124.94</v>
      </c>
    </row>
    <row r="8918">
      <c r="A8918" s="544" t="n">
        <v>41694</v>
      </c>
      <c r="B8918" s="538" t="n">
        <v>109.76</v>
      </c>
      <c r="C8918" s="538" t="n">
        <v>103.17</v>
      </c>
      <c r="D8918" s="538" t="n">
        <v>106.37</v>
      </c>
      <c r="E8918" s="538" t="n">
        <v>124.08</v>
      </c>
    </row>
    <row r="8919">
      <c r="A8919" s="544" t="n">
        <v>41695</v>
      </c>
      <c r="B8919" s="538" t="n">
        <v>109.19</v>
      </c>
      <c r="C8919" s="538" t="n">
        <v>102.2</v>
      </c>
      <c r="D8919" s="538" t="n">
        <v>105.53</v>
      </c>
      <c r="E8919" s="538" t="n">
        <v>124</v>
      </c>
    </row>
    <row r="8920">
      <c r="A8920" s="544" t="n">
        <v>41696</v>
      </c>
      <c r="B8920" s="538" t="n">
        <v>109.39</v>
      </c>
      <c r="C8920" s="538" t="n">
        <v>102.93</v>
      </c>
      <c r="D8920" s="538" t="n">
        <v>105.42</v>
      </c>
      <c r="E8920" s="538" t="n">
        <v>122.98</v>
      </c>
    </row>
    <row r="8921">
      <c r="A8921" s="544" t="n">
        <v>41697</v>
      </c>
      <c r="B8921" s="538" t="n">
        <v>108.54</v>
      </c>
      <c r="C8921" s="538" t="n">
        <v>102.68</v>
      </c>
      <c r="D8921" s="538" t="n">
        <v>105.18</v>
      </c>
      <c r="E8921" s="538" t="n">
        <v>122.61</v>
      </c>
    </row>
    <row r="8922">
      <c r="A8922" s="544" t="n">
        <v>41698</v>
      </c>
      <c r="B8922" s="538" t="n">
        <v>108.98</v>
      </c>
      <c r="C8922" s="538" t="n">
        <v>102.88</v>
      </c>
      <c r="D8922" s="538" t="n">
        <v>105.19</v>
      </c>
      <c r="E8922" s="538" t="n">
        <v>121.68</v>
      </c>
    </row>
    <row r="8923">
      <c r="A8923" s="544" t="n">
        <v>41701</v>
      </c>
      <c r="B8923" s="538" t="n">
        <v>111.26</v>
      </c>
      <c r="C8923" s="538" t="n">
        <v>105.34</v>
      </c>
      <c r="D8923" s="538" t="n">
        <v>107.27</v>
      </c>
      <c r="E8923" s="538" t="n">
        <v>123.79</v>
      </c>
    </row>
    <row r="8924">
      <c r="A8924" s="544" t="n">
        <v>41702</v>
      </c>
      <c r="B8924" s="538" t="n">
        <v>109.17</v>
      </c>
      <c r="C8924" s="538" t="n">
        <v>103.64</v>
      </c>
      <c r="D8924" s="538" t="n">
        <v>105.66</v>
      </c>
      <c r="E8924" s="538" t="n">
        <v>122.6</v>
      </c>
    </row>
    <row r="8925">
      <c r="A8925" s="544" t="n">
        <v>41703</v>
      </c>
      <c r="B8925" s="538" t="n">
        <v>108.15</v>
      </c>
      <c r="C8925" s="538" t="n">
        <v>101.75</v>
      </c>
      <c r="D8925" s="538" t="n">
        <v>103.66</v>
      </c>
      <c r="E8925" s="538" t="n">
        <v>122.02</v>
      </c>
    </row>
    <row r="8926">
      <c r="A8926" s="544" t="n">
        <v>41704</v>
      </c>
      <c r="B8926" s="538" t="n">
        <v>107.99</v>
      </c>
      <c r="C8926" s="538" t="n">
        <v>101.82</v>
      </c>
      <c r="D8926" s="538" t="n">
        <v>104.6</v>
      </c>
      <c r="E8926" s="538" t="n">
        <v>120.49</v>
      </c>
    </row>
    <row r="8927">
      <c r="A8927" s="544" t="n">
        <v>41705</v>
      </c>
      <c r="B8927" s="538" t="n">
        <v>109.14</v>
      </c>
      <c r="C8927" s="538" t="n">
        <v>102.82</v>
      </c>
      <c r="D8927" s="538" t="n">
        <v>105.13</v>
      </c>
      <c r="E8927" s="538" t="n">
        <v>120.28</v>
      </c>
    </row>
    <row r="8928">
      <c r="A8928" s="544" t="n">
        <v>41708</v>
      </c>
      <c r="B8928" s="538" t="n">
        <v>108.27</v>
      </c>
      <c r="C8928" s="538" t="n">
        <v>101.39</v>
      </c>
      <c r="D8928" s="538" t="n">
        <v>104.12</v>
      </c>
      <c r="E8928" s="538" t="n">
        <v>120.45</v>
      </c>
    </row>
    <row r="8929">
      <c r="A8929" s="544" t="n">
        <v>41709</v>
      </c>
      <c r="B8929" s="538" t="n">
        <v>108.35</v>
      </c>
      <c r="C8929" s="538" t="n">
        <v>100.29</v>
      </c>
      <c r="D8929" s="538" t="n">
        <v>104.09</v>
      </c>
      <c r="E8929" s="538" t="n">
        <v>120.44</v>
      </c>
    </row>
    <row r="8930">
      <c r="A8930" s="544" t="n">
        <v>41710</v>
      </c>
      <c r="B8930" s="538" t="n">
        <v>107.88</v>
      </c>
      <c r="C8930" s="538" t="n">
        <v>98.29000000000001</v>
      </c>
      <c r="D8930" s="538" t="n">
        <v>104.26</v>
      </c>
      <c r="E8930" s="538" t="n">
        <v>119.76</v>
      </c>
    </row>
    <row r="8931">
      <c r="A8931" s="544" t="n">
        <v>41711</v>
      </c>
      <c r="B8931" s="538" t="n">
        <v>107.48</v>
      </c>
      <c r="C8931" s="538" t="n">
        <v>98.56999999999999</v>
      </c>
      <c r="D8931" s="538" t="n">
        <v>103.48</v>
      </c>
      <c r="E8931" s="538" t="n">
        <v>119.46</v>
      </c>
    </row>
    <row r="8932">
      <c r="A8932" s="544" t="n">
        <v>41712</v>
      </c>
      <c r="B8932" s="538" t="n">
        <v>108.08</v>
      </c>
      <c r="C8932" s="538" t="n">
        <v>99.23</v>
      </c>
      <c r="D8932" s="538" t="n">
        <v>104.83</v>
      </c>
      <c r="E8932" s="538" t="n">
        <v>119.1</v>
      </c>
    </row>
    <row r="8933">
      <c r="A8933" s="544" t="n">
        <v>41715</v>
      </c>
      <c r="B8933" s="538" t="n">
        <v>106.99</v>
      </c>
      <c r="C8933" s="538" t="n">
        <v>98.43000000000001</v>
      </c>
      <c r="D8933" s="538" t="n">
        <v>103.04</v>
      </c>
      <c r="E8933" s="538" t="n">
        <v>119.56</v>
      </c>
    </row>
    <row r="8934">
      <c r="A8934" s="544" t="n">
        <v>41716</v>
      </c>
      <c r="B8934" s="538" t="n">
        <v>106.79</v>
      </c>
      <c r="C8934" s="538" t="n">
        <v>100.08</v>
      </c>
      <c r="D8934" s="538" t="n">
        <v>103.34</v>
      </c>
      <c r="E8934" s="538" t="n">
        <v>117.84</v>
      </c>
    </row>
    <row r="8935">
      <c r="A8935" s="544" t="n">
        <v>41717</v>
      </c>
      <c r="B8935" s="538" t="n">
        <v>105.95</v>
      </c>
      <c r="C8935" s="538" t="n">
        <v>100.71</v>
      </c>
      <c r="D8935" s="538" t="n">
        <v>103.12</v>
      </c>
      <c r="E8935" s="538" t="n">
        <v>118.16</v>
      </c>
    </row>
    <row r="8936">
      <c r="A8936" s="544" t="n">
        <v>41718</v>
      </c>
      <c r="B8936" s="538" t="n">
        <v>105.73</v>
      </c>
      <c r="C8936" s="538" t="n">
        <v>99.68000000000001</v>
      </c>
      <c r="D8936" s="538" t="n">
        <v>103.29</v>
      </c>
      <c r="E8936" s="538" t="n">
        <v>118.21</v>
      </c>
    </row>
    <row r="8937">
      <c r="A8937" s="544" t="n">
        <v>41719</v>
      </c>
      <c r="B8937" s="538" t="n">
        <v>107.2</v>
      </c>
      <c r="C8937" s="538" t="n">
        <v>99.97</v>
      </c>
      <c r="D8937" s="538" t="n">
        <v>103.91</v>
      </c>
      <c r="E8937" s="538" t="n">
        <v>119.36</v>
      </c>
    </row>
    <row r="8938">
      <c r="A8938" s="544" t="n">
        <v>41722</v>
      </c>
      <c r="B8938" s="538" t="n">
        <v>106.59</v>
      </c>
      <c r="C8938" s="538" t="n">
        <v>100.05</v>
      </c>
      <c r="D8938" s="538" t="n">
        <v>103.67</v>
      </c>
      <c r="E8938" s="538" t="n">
        <v>119.4</v>
      </c>
    </row>
    <row r="8939">
      <c r="A8939" s="544" t="n">
        <v>41723</v>
      </c>
      <c r="B8939" s="538" t="n">
        <v>107.01</v>
      </c>
      <c r="C8939" s="538" t="n">
        <v>99.66</v>
      </c>
      <c r="D8939" s="538" t="n">
        <v>104.08</v>
      </c>
      <c r="E8939" s="538" t="n">
        <v>119.59</v>
      </c>
    </row>
    <row r="8940">
      <c r="A8940" s="544" t="n">
        <v>41724</v>
      </c>
      <c r="B8940" s="538" t="n">
        <v>105.9</v>
      </c>
      <c r="C8940" s="538" t="n">
        <v>100.61</v>
      </c>
      <c r="D8940" s="538" t="n">
        <v>104.2</v>
      </c>
      <c r="E8940" s="538" t="n">
        <v>119.88</v>
      </c>
    </row>
    <row r="8941">
      <c r="A8941" s="544" t="n">
        <v>41725</v>
      </c>
      <c r="B8941" s="538" t="n">
        <v>106.58</v>
      </c>
      <c r="C8941" s="538" t="n">
        <v>101.25</v>
      </c>
      <c r="D8941" s="538" t="n">
        <v>104.84</v>
      </c>
      <c r="E8941" s="538" t="n">
        <v>119.56</v>
      </c>
    </row>
    <row r="8942">
      <c r="A8942" s="544" t="n">
        <v>41726</v>
      </c>
      <c r="B8942" s="538" t="n">
        <v>106.64</v>
      </c>
      <c r="C8942" s="538" t="n">
        <v>101.73</v>
      </c>
      <c r="D8942" s="538" t="n">
        <v>105.18</v>
      </c>
      <c r="E8942" s="538" t="n">
        <v>120.3</v>
      </c>
    </row>
    <row r="8943">
      <c r="A8943" s="544" t="n">
        <v>41729</v>
      </c>
      <c r="B8943" s="538" t="n">
        <v>105.95</v>
      </c>
      <c r="C8943" s="538" t="n">
        <v>101.57</v>
      </c>
      <c r="D8943" s="538" t="n">
        <v>104.39</v>
      </c>
      <c r="E8943" s="538" t="n">
        <v>120.16</v>
      </c>
    </row>
    <row r="8944">
      <c r="A8944" s="544" t="n">
        <v>41730</v>
      </c>
      <c r="B8944" s="538" t="n">
        <v>105.7</v>
      </c>
      <c r="C8944" s="538" t="n">
        <v>99.69</v>
      </c>
      <c r="D8944" s="538" t="n">
        <v>102.41</v>
      </c>
      <c r="E8944" s="538" t="n">
        <v>120.16</v>
      </c>
    </row>
    <row r="8945">
      <c r="A8945" s="544" t="n">
        <v>41731</v>
      </c>
      <c r="B8945" s="538" t="n">
        <v>103.37</v>
      </c>
      <c r="C8945" s="538" t="n">
        <v>99.59999999999999</v>
      </c>
      <c r="D8945" s="538" t="n">
        <v>101.75</v>
      </c>
      <c r="E8945" s="538" t="n">
        <v>118.69</v>
      </c>
    </row>
    <row r="8946">
      <c r="A8946" s="544" t="n">
        <v>41732</v>
      </c>
      <c r="B8946" s="538" t="n">
        <v>104.88</v>
      </c>
      <c r="C8946" s="538" t="n">
        <v>100.29</v>
      </c>
      <c r="D8946" s="538" t="n">
        <v>102.98</v>
      </c>
      <c r="E8946" s="538" t="n">
        <v>117.67</v>
      </c>
    </row>
    <row r="8947">
      <c r="A8947" s="544" t="n">
        <v>41733</v>
      </c>
      <c r="B8947" s="538" t="n">
        <v>106.41</v>
      </c>
      <c r="C8947" s="538" t="n">
        <v>101.16</v>
      </c>
      <c r="D8947" s="538" t="n">
        <v>103.46</v>
      </c>
      <c r="E8947" s="538" t="n">
        <v>119.69</v>
      </c>
    </row>
    <row r="8948">
      <c r="A8948" s="544" t="n">
        <v>41736</v>
      </c>
      <c r="B8948" s="538" t="n">
        <v>104.89</v>
      </c>
      <c r="C8948" s="538" t="n">
        <v>100.43</v>
      </c>
      <c r="D8948" s="538" t="n">
        <v>103.24</v>
      </c>
      <c r="E8948" s="538" t="n">
        <v>118.1</v>
      </c>
    </row>
    <row r="8949">
      <c r="A8949" s="544" t="n">
        <v>41737</v>
      </c>
      <c r="B8949" s="538" t="n">
        <v>105.83</v>
      </c>
      <c r="C8949" s="538" t="n">
        <v>102.57</v>
      </c>
      <c r="D8949" s="538" t="n">
        <v>104.26</v>
      </c>
      <c r="E8949" s="538" t="n">
        <v>119.06</v>
      </c>
    </row>
    <row r="8950">
      <c r="A8950" s="544" t="n">
        <v>41738</v>
      </c>
      <c r="B8950" s="538" t="n">
        <v>107.39</v>
      </c>
      <c r="C8950" s="538" t="n">
        <v>103.55</v>
      </c>
      <c r="D8950" s="538" t="n">
        <v>104.29</v>
      </c>
      <c r="E8950" s="538" t="n">
        <v>119.47</v>
      </c>
    </row>
    <row r="8951">
      <c r="A8951" s="544" t="n">
        <v>41739</v>
      </c>
      <c r="B8951" s="538" t="n">
        <v>107.1</v>
      </c>
      <c r="C8951" s="538" t="n">
        <v>103.37</v>
      </c>
      <c r="D8951" s="538" t="n">
        <v>104.24</v>
      </c>
      <c r="E8951" s="538" t="n">
        <v>120</v>
      </c>
    </row>
    <row r="8952">
      <c r="A8952" s="544" t="n">
        <v>41740</v>
      </c>
      <c r="B8952" s="538" t="n">
        <v>107.34</v>
      </c>
      <c r="C8952" s="538" t="n">
        <v>103.68</v>
      </c>
      <c r="D8952" s="538" t="n">
        <v>103.89</v>
      </c>
      <c r="E8952" s="538" t="n">
        <v>119.26</v>
      </c>
    </row>
    <row r="8953">
      <c r="A8953" s="544" t="n">
        <v>41743</v>
      </c>
      <c r="B8953" s="538" t="n">
        <v>107.68</v>
      </c>
      <c r="C8953" s="538" t="n">
        <v>104.05</v>
      </c>
      <c r="D8953" s="538" t="n">
        <v>105.27</v>
      </c>
      <c r="E8953" s="538" t="n">
        <v>120.36</v>
      </c>
    </row>
    <row r="8954">
      <c r="A8954" s="544" t="n">
        <v>41744</v>
      </c>
      <c r="B8954" s="538" t="n">
        <v>109.1</v>
      </c>
      <c r="C8954" s="538" t="n">
        <v>103.7</v>
      </c>
      <c r="D8954" s="538" t="n">
        <v>104.75</v>
      </c>
      <c r="E8954" s="538" t="n">
        <v>121.32</v>
      </c>
    </row>
    <row r="8955">
      <c r="A8955" s="544" t="n">
        <v>41745</v>
      </c>
      <c r="B8955" s="538" t="n">
        <v>109.71</v>
      </c>
      <c r="C8955" s="538" t="n">
        <v>103.71</v>
      </c>
      <c r="D8955" s="538" t="n">
        <v>106.21</v>
      </c>
      <c r="E8955" s="538" t="n">
        <v>122.29</v>
      </c>
    </row>
    <row r="8956">
      <c r="A8956" s="544" t="n">
        <v>41746</v>
      </c>
      <c r="B8956" s="538" t="n">
        <v>109.79</v>
      </c>
      <c r="C8956" s="538" t="n">
        <v>104.33</v>
      </c>
      <c r="D8956" s="538" t="n">
        <v>106</v>
      </c>
      <c r="E8956" s="538" t="n">
        <v>122.28</v>
      </c>
    </row>
    <row r="8957">
      <c r="A8957" s="544" t="n">
        <v>41747</v>
      </c>
      <c r="B8957" s="538" t="n">
        <v>109.79</v>
      </c>
      <c r="C8957" s="538" t="n">
        <v>104.33</v>
      </c>
      <c r="D8957" s="538" t="n">
        <v>106</v>
      </c>
      <c r="E8957" s="538" t="n">
        <v>122.28</v>
      </c>
    </row>
    <row r="8958">
      <c r="A8958" s="544" t="n">
        <v>41750</v>
      </c>
      <c r="B8958" s="538" t="n">
        <v>109.69</v>
      </c>
      <c r="C8958" s="538" t="n">
        <v>104.35</v>
      </c>
      <c r="D8958" s="538" t="n">
        <v>106.39</v>
      </c>
      <c r="E8958" s="538" t="n">
        <v>122.08</v>
      </c>
    </row>
    <row r="8959">
      <c r="A8959" s="544" t="n">
        <v>41751</v>
      </c>
      <c r="B8959" s="538" t="n">
        <v>108.54</v>
      </c>
      <c r="C8959" s="538" t="n">
        <v>101.69</v>
      </c>
      <c r="D8959" s="538" t="n">
        <v>105.86</v>
      </c>
      <c r="E8959" s="538" t="n">
        <v>122.55</v>
      </c>
    </row>
    <row r="8960">
      <c r="A8960" s="544" t="n">
        <v>41752</v>
      </c>
      <c r="B8960" s="538" t="n">
        <v>108.48</v>
      </c>
      <c r="C8960" s="538" t="n">
        <v>101.47</v>
      </c>
      <c r="D8960" s="538" t="n">
        <v>105.97</v>
      </c>
      <c r="E8960" s="538" t="n">
        <v>122.32</v>
      </c>
    </row>
    <row r="8961">
      <c r="A8961" s="544" t="n">
        <v>41753</v>
      </c>
      <c r="B8961" s="538" t="n">
        <v>109.79</v>
      </c>
      <c r="C8961" s="538" t="n">
        <v>102.2</v>
      </c>
      <c r="D8961" s="538" t="n">
        <v>106.82</v>
      </c>
      <c r="E8961" s="538" t="n">
        <v>121.66</v>
      </c>
    </row>
    <row r="8962">
      <c r="A8962" s="544" t="n">
        <v>41754</v>
      </c>
      <c r="B8962" s="538" t="n">
        <v>109.53</v>
      </c>
      <c r="C8962" s="538" t="n">
        <v>100.85</v>
      </c>
      <c r="D8962" s="538" t="n">
        <v>105.83</v>
      </c>
      <c r="E8962" s="538" t="n">
        <v>122.27</v>
      </c>
    </row>
    <row r="8963">
      <c r="A8963" s="544" t="n">
        <v>41757</v>
      </c>
      <c r="B8963" s="538" t="n">
        <v>109.12</v>
      </c>
      <c r="C8963" s="538" t="n">
        <v>101.13</v>
      </c>
      <c r="D8963" s="538" t="n">
        <v>104.53</v>
      </c>
      <c r="E8963" s="538" t="n">
        <v>121.97</v>
      </c>
    </row>
    <row r="8964">
      <c r="A8964" s="544" t="n">
        <v>41758</v>
      </c>
      <c r="B8964" s="538" t="n">
        <v>109.89</v>
      </c>
      <c r="C8964" s="538" t="n">
        <v>101.56</v>
      </c>
      <c r="D8964" s="538" t="n">
        <v>104.7</v>
      </c>
      <c r="E8964" s="538" t="n">
        <v>120.68</v>
      </c>
    </row>
    <row r="8965">
      <c r="A8965" s="544" t="n">
        <v>41759</v>
      </c>
      <c r="B8965" s="538" t="n">
        <v>108.63</v>
      </c>
      <c r="C8965" s="538" t="n">
        <v>100.07</v>
      </c>
      <c r="D8965" s="538" t="n">
        <v>103.63</v>
      </c>
      <c r="E8965" s="538" t="n">
        <v>120.39</v>
      </c>
    </row>
    <row r="8966">
      <c r="A8966" s="544" t="n">
        <v>41760</v>
      </c>
      <c r="B8966" s="538" t="n">
        <v>108.63</v>
      </c>
      <c r="C8966" s="538" t="n">
        <v>99.69</v>
      </c>
      <c r="D8966" s="538" t="n">
        <v>104.06</v>
      </c>
      <c r="E8966" s="538" t="n">
        <v>120.39</v>
      </c>
    </row>
    <row r="8967">
      <c r="A8967" s="544" t="n">
        <v>41761</v>
      </c>
      <c r="B8967" s="538" t="n">
        <v>109.48</v>
      </c>
      <c r="C8967" s="538" t="n">
        <v>100.09</v>
      </c>
      <c r="D8967" s="538" t="n">
        <v>104.65</v>
      </c>
      <c r="E8967" s="538" t="n">
        <v>119.81</v>
      </c>
    </row>
    <row r="8968">
      <c r="A8968" s="544" t="n">
        <v>41764</v>
      </c>
      <c r="B8968" s="538" t="n">
        <v>109.48</v>
      </c>
      <c r="C8968" s="538" t="n">
        <v>99.73999999999999</v>
      </c>
      <c r="D8968" s="538" t="n">
        <v>103.65</v>
      </c>
      <c r="E8968" s="538" t="n">
        <v>119.92</v>
      </c>
    </row>
    <row r="8969">
      <c r="A8969" s="544" t="n">
        <v>41765</v>
      </c>
      <c r="B8969" s="538" t="n">
        <v>108.3</v>
      </c>
      <c r="C8969" s="538" t="n">
        <v>99.81</v>
      </c>
      <c r="D8969" s="538" t="n">
        <v>103.69</v>
      </c>
      <c r="E8969" s="538" t="n">
        <v>119.74</v>
      </c>
    </row>
    <row r="8970">
      <c r="A8970" s="544" t="n">
        <v>41766</v>
      </c>
      <c r="B8970" s="538" t="n">
        <v>108.17</v>
      </c>
      <c r="C8970" s="538" t="n">
        <v>101.06</v>
      </c>
      <c r="D8970" s="538" t="n">
        <v>104.44</v>
      </c>
      <c r="E8970" s="538" t="n">
        <v>119.4</v>
      </c>
    </row>
    <row r="8971">
      <c r="A8971" s="544" t="n">
        <v>41767</v>
      </c>
      <c r="B8971" s="538" t="n">
        <v>108.19</v>
      </c>
      <c r="C8971" s="538" t="n">
        <v>100.52</v>
      </c>
      <c r="D8971" s="538" t="n">
        <v>104.3</v>
      </c>
      <c r="E8971" s="538" t="n">
        <v>119.64</v>
      </c>
    </row>
    <row r="8972">
      <c r="A8972" s="544" t="n">
        <v>41768</v>
      </c>
      <c r="B8972" s="538" t="n">
        <v>108.26</v>
      </c>
      <c r="C8972" s="538" t="n">
        <v>100.32</v>
      </c>
      <c r="D8972" s="538" t="n">
        <v>104.1</v>
      </c>
      <c r="E8972" s="538" t="n">
        <v>120.58</v>
      </c>
    </row>
    <row r="8973">
      <c r="A8973" s="544" t="n">
        <v>41771</v>
      </c>
      <c r="B8973" s="538" t="n">
        <v>108.37</v>
      </c>
      <c r="C8973" s="538" t="n">
        <v>100.89</v>
      </c>
      <c r="D8973" s="538" t="n">
        <v>104.48</v>
      </c>
      <c r="E8973" s="538" t="n">
        <v>119.85</v>
      </c>
    </row>
    <row r="8974">
      <c r="A8974" s="544" t="n">
        <v>41772</v>
      </c>
      <c r="B8974" s="538" t="n">
        <v>108.78</v>
      </c>
      <c r="C8974" s="538" t="n">
        <v>102.01</v>
      </c>
      <c r="D8974" s="538" t="n">
        <v>105.64</v>
      </c>
      <c r="E8974" s="538" t="n">
        <v>119.85</v>
      </c>
    </row>
    <row r="8975">
      <c r="A8975" s="544" t="n">
        <v>41773</v>
      </c>
      <c r="B8975" s="538" t="n">
        <v>109.87</v>
      </c>
      <c r="C8975" s="538" t="n">
        <v>102.63</v>
      </c>
      <c r="D8975" s="538" t="n">
        <v>105.84</v>
      </c>
      <c r="E8975" s="538" t="n">
        <v>120.46</v>
      </c>
    </row>
    <row r="8976">
      <c r="A8976" s="544" t="n">
        <v>41774</v>
      </c>
      <c r="B8976" s="538" t="n">
        <v>109.74</v>
      </c>
      <c r="C8976" s="538" t="n">
        <v>101.74</v>
      </c>
      <c r="D8976" s="538" t="n">
        <v>107.34</v>
      </c>
      <c r="E8976" s="538" t="n">
        <v>120.48</v>
      </c>
    </row>
    <row r="8977">
      <c r="A8977" s="544" t="n">
        <v>41775</v>
      </c>
      <c r="B8977" s="538" t="n">
        <v>110.9</v>
      </c>
      <c r="C8977" s="538" t="n">
        <v>102.31</v>
      </c>
      <c r="D8977" s="538" t="n">
        <v>106.33</v>
      </c>
      <c r="E8977" s="538" t="n">
        <v>120.21</v>
      </c>
    </row>
    <row r="8978">
      <c r="A8978" s="544" t="n">
        <v>41778</v>
      </c>
      <c r="B8978" s="538" t="n">
        <v>110.84</v>
      </c>
      <c r="C8978" s="538" t="n">
        <v>102.95</v>
      </c>
      <c r="D8978" s="538" t="n">
        <v>105.93</v>
      </c>
      <c r="E8978" s="538" t="n">
        <v>120.69</v>
      </c>
    </row>
    <row r="8979">
      <c r="A8979" s="544" t="n">
        <v>41779</v>
      </c>
      <c r="B8979" s="538" t="n">
        <v>110.35</v>
      </c>
      <c r="C8979" s="538" t="n">
        <v>102.8</v>
      </c>
      <c r="D8979" s="538" t="n">
        <v>106.78</v>
      </c>
      <c r="E8979" s="538" t="n">
        <v>120.08</v>
      </c>
    </row>
    <row r="8980">
      <c r="A8980" s="544" t="n">
        <v>41780</v>
      </c>
      <c r="B8980" s="538" t="n">
        <v>111.32</v>
      </c>
      <c r="C8980" s="538" t="n">
        <v>104.31</v>
      </c>
      <c r="D8980" s="538" t="n">
        <v>106.99</v>
      </c>
      <c r="E8980" s="538" t="n">
        <v>120.53</v>
      </c>
    </row>
    <row r="8981">
      <c r="A8981" s="544" t="n">
        <v>41781</v>
      </c>
      <c r="B8981" s="538" t="n">
        <v>110.89</v>
      </c>
      <c r="C8981" s="538" t="n">
        <v>104.03</v>
      </c>
      <c r="D8981" s="538" t="n">
        <v>106.86</v>
      </c>
      <c r="E8981" s="538" t="n">
        <v>120.42</v>
      </c>
    </row>
    <row r="8982">
      <c r="A8982" s="544" t="n">
        <v>41782</v>
      </c>
      <c r="B8982" s="538" t="n">
        <v>110.19</v>
      </c>
      <c r="C8982" s="538" t="n">
        <v>105.01</v>
      </c>
      <c r="D8982" s="538" t="n">
        <v>107.12</v>
      </c>
      <c r="E8982" s="538" t="n">
        <v>120</v>
      </c>
    </row>
    <row r="8983">
      <c r="A8983" s="544" t="n">
        <v>41785</v>
      </c>
      <c r="B8983" s="538" t="n">
        <v>110.01</v>
      </c>
      <c r="C8983" s="538" t="n">
        <v>105.01</v>
      </c>
      <c r="D8983" s="538" t="n">
        <v>107.1</v>
      </c>
      <c r="E8983" s="538" t="n">
        <v>119.69</v>
      </c>
    </row>
    <row r="8984">
      <c r="A8984" s="544" t="n">
        <v>41786</v>
      </c>
      <c r="B8984" s="538" t="n">
        <v>109.81</v>
      </c>
      <c r="C8984" s="538" t="n">
        <v>104.78</v>
      </c>
      <c r="D8984" s="538" t="n">
        <v>106.65</v>
      </c>
      <c r="E8984" s="538" t="n">
        <v>120.24</v>
      </c>
    </row>
    <row r="8985">
      <c r="A8985" s="544" t="n">
        <v>41787</v>
      </c>
      <c r="B8985" s="538" t="n">
        <v>109.09</v>
      </c>
      <c r="C8985" s="538" t="n">
        <v>103.37</v>
      </c>
      <c r="D8985" s="538" t="n">
        <v>106.56</v>
      </c>
      <c r="E8985" s="538" t="n">
        <v>119.86</v>
      </c>
    </row>
    <row r="8986">
      <c r="A8986" s="544" t="n">
        <v>41788</v>
      </c>
      <c r="B8986" s="538" t="n">
        <v>109.98</v>
      </c>
      <c r="C8986" s="538" t="n">
        <v>104.26</v>
      </c>
      <c r="D8986" s="538" t="n">
        <v>106.26</v>
      </c>
      <c r="E8986" s="538" t="n">
        <v>119.2</v>
      </c>
    </row>
    <row r="8987">
      <c r="A8987" s="544" t="n">
        <v>41789</v>
      </c>
      <c r="B8987" s="538" t="n">
        <v>109.21</v>
      </c>
      <c r="C8987" s="538" t="n">
        <v>103.4</v>
      </c>
      <c r="D8987" s="538" t="n">
        <v>105.75</v>
      </c>
      <c r="E8987" s="538" t="n">
        <v>118.46</v>
      </c>
    </row>
    <row r="8988">
      <c r="A8988" s="544" t="n">
        <v>41792</v>
      </c>
      <c r="B8988" s="538" t="n">
        <v>109.34</v>
      </c>
      <c r="C8988" s="538" t="n">
        <v>103.07</v>
      </c>
      <c r="D8988" s="538" t="n">
        <v>105.18</v>
      </c>
      <c r="E8988" s="538" t="n">
        <v>117.87</v>
      </c>
    </row>
    <row r="8989">
      <c r="A8989" s="544" t="n">
        <v>41793</v>
      </c>
      <c r="B8989" s="538" t="n">
        <v>108.87</v>
      </c>
      <c r="C8989" s="538" t="n">
        <v>103.34</v>
      </c>
      <c r="D8989" s="538" t="n">
        <v>105.31</v>
      </c>
      <c r="E8989" s="538" t="n">
        <v>117.27</v>
      </c>
    </row>
    <row r="8990">
      <c r="A8990" s="544" t="n">
        <v>41794</v>
      </c>
      <c r="B8990" s="538" t="n">
        <v>109.07</v>
      </c>
      <c r="C8990" s="538" t="n">
        <v>103.27</v>
      </c>
      <c r="D8990" s="538" t="n">
        <v>104.63</v>
      </c>
      <c r="E8990" s="538" t="n">
        <v>116.85</v>
      </c>
    </row>
    <row r="8991">
      <c r="A8991" s="544" t="n">
        <v>41795</v>
      </c>
      <c r="B8991" s="538" t="n">
        <v>108.43</v>
      </c>
      <c r="C8991" s="538" t="n">
        <v>103.17</v>
      </c>
      <c r="D8991" s="538" t="n">
        <v>105.27</v>
      </c>
      <c r="E8991" s="538" t="n">
        <v>116.04</v>
      </c>
    </row>
    <row r="8992">
      <c r="A8992" s="544" t="n">
        <v>41796</v>
      </c>
      <c r="B8992" s="538" t="n">
        <v>109.21</v>
      </c>
      <c r="C8992" s="538" t="n">
        <v>103.32</v>
      </c>
      <c r="D8992" s="538" t="n">
        <v>104.96</v>
      </c>
      <c r="E8992" s="538" t="n">
        <v>117.71</v>
      </c>
    </row>
    <row r="8993">
      <c r="A8993" s="544" t="n">
        <v>41799</v>
      </c>
      <c r="B8993" s="538" t="n">
        <v>110.55</v>
      </c>
      <c r="C8993" s="538" t="n">
        <v>105.09</v>
      </c>
      <c r="D8993" s="538" t="n">
        <v>106.22</v>
      </c>
      <c r="E8993" s="538" t="n">
        <v>117.79</v>
      </c>
    </row>
    <row r="8994">
      <c r="A8994" s="544" t="n">
        <v>41800</v>
      </c>
      <c r="B8994" s="538" t="n">
        <v>109.18</v>
      </c>
      <c r="C8994" s="538" t="n">
        <v>105.02</v>
      </c>
      <c r="D8994" s="538" t="n">
        <v>105.55</v>
      </c>
      <c r="E8994" s="538" t="n">
        <v>118.21</v>
      </c>
    </row>
    <row r="8995">
      <c r="A8995" s="544" t="n">
        <v>41801</v>
      </c>
      <c r="B8995" s="538" t="n">
        <v>109.83</v>
      </c>
      <c r="C8995" s="538" t="n">
        <v>105.04</v>
      </c>
      <c r="D8995" s="538" t="n">
        <v>106.25</v>
      </c>
      <c r="E8995" s="538" t="n">
        <v>118.05</v>
      </c>
    </row>
    <row r="8996">
      <c r="A8996" s="544" t="n">
        <v>41802</v>
      </c>
      <c r="B8996" s="538" t="n">
        <v>112.18</v>
      </c>
      <c r="C8996" s="538" t="n">
        <v>107.2</v>
      </c>
      <c r="D8996" s="538" t="n">
        <v>109.53</v>
      </c>
      <c r="E8996" s="538" t="n">
        <v>119.61</v>
      </c>
    </row>
    <row r="8997">
      <c r="A8997" s="544" t="n">
        <v>41803</v>
      </c>
      <c r="B8997" s="538" t="n">
        <v>113.15</v>
      </c>
      <c r="C8997" s="538" t="n">
        <v>107.49</v>
      </c>
      <c r="D8997" s="538" t="n">
        <v>109.14</v>
      </c>
      <c r="E8997" s="538" t="n">
        <v>122.48</v>
      </c>
    </row>
    <row r="8998">
      <c r="A8998" s="544" t="n">
        <v>41806</v>
      </c>
      <c r="B8998" s="538" t="n">
        <v>113.42</v>
      </c>
      <c r="C8998" s="538" t="n">
        <v>107.52</v>
      </c>
      <c r="D8998" s="538" t="n">
        <v>109.19</v>
      </c>
      <c r="E8998" s="538" t="n">
        <v>122.19</v>
      </c>
    </row>
    <row r="8999">
      <c r="A8999" s="544" t="n">
        <v>41807</v>
      </c>
      <c r="B8999" s="538" t="n">
        <v>114.02</v>
      </c>
      <c r="C8999" s="538" t="n">
        <v>106.95</v>
      </c>
      <c r="D8999" s="538" t="n">
        <v>110.21</v>
      </c>
      <c r="E8999" s="538" t="n">
        <v>121.7</v>
      </c>
    </row>
    <row r="9000">
      <c r="A9000" s="544" t="n">
        <v>41808</v>
      </c>
      <c r="B9000" s="538" t="n">
        <v>114.25</v>
      </c>
      <c r="C9000" s="538" t="n">
        <v>106.64</v>
      </c>
      <c r="D9000" s="538" t="n">
        <v>110.93</v>
      </c>
      <c r="E9000" s="538" t="n">
        <v>123.39</v>
      </c>
    </row>
    <row r="9001">
      <c r="A9001" s="544" t="n">
        <v>41809</v>
      </c>
      <c r="B9001" s="538" t="n">
        <v>115.19</v>
      </c>
      <c r="C9001" s="538" t="n">
        <v>107.08</v>
      </c>
      <c r="D9001" s="538" t="n">
        <v>111.3</v>
      </c>
      <c r="E9001" s="538" t="n">
        <v>124.16</v>
      </c>
    </row>
    <row r="9002">
      <c r="A9002" s="544" t="n">
        <v>41810</v>
      </c>
      <c r="B9002" s="538" t="n">
        <v>114.55</v>
      </c>
      <c r="C9002" s="538" t="n">
        <v>107.95</v>
      </c>
      <c r="D9002" s="538" t="n">
        <v>110.87</v>
      </c>
      <c r="E9002" s="538" t="n">
        <v>124.73</v>
      </c>
    </row>
    <row r="9003">
      <c r="A9003" s="544" t="n">
        <v>41813</v>
      </c>
      <c r="B9003" s="538" t="n">
        <v>113.62</v>
      </c>
      <c r="C9003" s="538" t="n">
        <v>106.83</v>
      </c>
      <c r="D9003" s="538" t="n">
        <v>110</v>
      </c>
      <c r="E9003" s="538" t="n">
        <v>124.87</v>
      </c>
    </row>
    <row r="9004">
      <c r="A9004" s="544" t="n">
        <v>41814</v>
      </c>
      <c r="B9004" s="538" t="n">
        <v>113.74</v>
      </c>
      <c r="C9004" s="538" t="n">
        <v>106.64</v>
      </c>
      <c r="D9004" s="538" t="n">
        <v>110.99</v>
      </c>
      <c r="E9004" s="538" t="n">
        <v>123.21</v>
      </c>
    </row>
    <row r="9005">
      <c r="A9005" s="544" t="n">
        <v>41815</v>
      </c>
      <c r="B9005" s="538" t="n">
        <v>112.84</v>
      </c>
      <c r="C9005" s="538" t="n">
        <v>107.04</v>
      </c>
      <c r="D9005" s="538" t="n">
        <v>110.36</v>
      </c>
      <c r="E9005" s="538" t="n">
        <v>123.61</v>
      </c>
    </row>
    <row r="9006">
      <c r="A9006" s="544" t="n">
        <v>41816</v>
      </c>
      <c r="B9006" s="538" t="n">
        <v>112.61</v>
      </c>
      <c r="C9006" s="538" t="n">
        <v>106.49</v>
      </c>
      <c r="D9006" s="538" t="n">
        <v>109.23</v>
      </c>
      <c r="E9006" s="538" t="n">
        <v>123.35</v>
      </c>
    </row>
    <row r="9007">
      <c r="A9007" s="544" t="n">
        <v>41817</v>
      </c>
      <c r="B9007" s="538" t="n">
        <v>112.62</v>
      </c>
      <c r="C9007" s="538" t="n">
        <v>106.46</v>
      </c>
      <c r="D9007" s="538" t="n">
        <v>109.74</v>
      </c>
      <c r="E9007" s="538" t="n">
        <v>122.8</v>
      </c>
    </row>
    <row r="9008">
      <c r="A9008" s="544" t="n">
        <v>41820</v>
      </c>
      <c r="B9008" s="538" t="n">
        <v>111.03</v>
      </c>
      <c r="C9008" s="538" t="n">
        <v>106.07</v>
      </c>
      <c r="D9008" s="538" t="n">
        <v>108.99</v>
      </c>
      <c r="E9008" s="538" t="n">
        <v>121.48</v>
      </c>
    </row>
    <row r="9009">
      <c r="A9009" s="544" t="n">
        <v>41821</v>
      </c>
      <c r="B9009" s="538" t="n">
        <v>110.84</v>
      </c>
      <c r="C9009" s="538" t="n">
        <v>106.06</v>
      </c>
      <c r="D9009" s="538" t="n">
        <v>108.8</v>
      </c>
      <c r="E9009" s="538" t="n">
        <v>121.83</v>
      </c>
    </row>
    <row r="9010">
      <c r="A9010" s="544" t="n">
        <v>41822</v>
      </c>
      <c r="B9010" s="538" t="n">
        <v>110.18</v>
      </c>
      <c r="C9010" s="538" t="n">
        <v>105.18</v>
      </c>
      <c r="D9010" s="538" t="n">
        <v>107.63</v>
      </c>
      <c r="E9010" s="538" t="n">
        <v>121.92</v>
      </c>
    </row>
    <row r="9011">
      <c r="A9011" s="544" t="n">
        <v>41823</v>
      </c>
      <c r="B9011" s="538" t="n">
        <v>108.98</v>
      </c>
      <c r="C9011" s="538" t="n">
        <v>104.76</v>
      </c>
      <c r="D9011" s="538" t="n">
        <v>107.85</v>
      </c>
      <c r="E9011" s="538" t="n">
        <v>119.82</v>
      </c>
    </row>
    <row r="9012">
      <c r="A9012" s="544" t="n">
        <v>41824</v>
      </c>
      <c r="B9012" s="538" t="n">
        <v>108.98</v>
      </c>
      <c r="C9012" s="538" t="n">
        <v>104.76</v>
      </c>
      <c r="D9012" s="538" t="n">
        <v>107.38</v>
      </c>
      <c r="E9012" s="538" t="n">
        <v>120.03</v>
      </c>
    </row>
    <row r="9013">
      <c r="A9013" s="544" t="n">
        <v>41827</v>
      </c>
      <c r="B9013" s="538" t="n">
        <v>108.7</v>
      </c>
      <c r="C9013" s="538" t="n">
        <v>104.19</v>
      </c>
      <c r="D9013" s="538" t="n">
        <v>107.07</v>
      </c>
      <c r="E9013" s="538" t="n">
        <v>119.39</v>
      </c>
    </row>
    <row r="9014">
      <c r="A9014" s="544" t="n">
        <v>41828</v>
      </c>
      <c r="B9014" s="538" t="n">
        <v>107.65</v>
      </c>
      <c r="C9014" s="538" t="n">
        <v>104.06</v>
      </c>
      <c r="D9014" s="538" t="n">
        <v>106.05</v>
      </c>
      <c r="E9014" s="538" t="n">
        <v>118.73</v>
      </c>
    </row>
    <row r="9015">
      <c r="A9015" s="544" t="n">
        <v>41829</v>
      </c>
      <c r="B9015" s="538" t="n">
        <v>106.84</v>
      </c>
      <c r="C9015" s="538" t="n">
        <v>102.93</v>
      </c>
      <c r="D9015" s="538" t="n">
        <v>105.24</v>
      </c>
      <c r="E9015" s="538" t="n">
        <v>117.6</v>
      </c>
    </row>
    <row r="9016">
      <c r="A9016" s="544" t="n">
        <v>41830</v>
      </c>
      <c r="B9016" s="538" t="n">
        <v>106.2</v>
      </c>
      <c r="C9016" s="538" t="n">
        <v>103.61</v>
      </c>
      <c r="D9016" s="538" t="n">
        <v>106.42</v>
      </c>
      <c r="E9016" s="538" t="n">
        <v>117.65</v>
      </c>
    </row>
    <row r="9017">
      <c r="A9017" s="544" t="n">
        <v>41831</v>
      </c>
      <c r="B9017" s="538" t="n">
        <v>105.77</v>
      </c>
      <c r="C9017" s="538" t="n">
        <v>101.48</v>
      </c>
      <c r="D9017" s="538" t="n">
        <v>104.92</v>
      </c>
      <c r="E9017" s="538" t="n">
        <v>118.57</v>
      </c>
    </row>
    <row r="9018">
      <c r="A9018" s="544" t="n">
        <v>41834</v>
      </c>
      <c r="B9018" s="538" t="n">
        <v>104.73</v>
      </c>
      <c r="C9018" s="538" t="n">
        <v>101.73</v>
      </c>
      <c r="D9018" s="538" t="n">
        <v>105.29</v>
      </c>
      <c r="E9018" s="538" t="n">
        <v>118.12</v>
      </c>
    </row>
    <row r="9019">
      <c r="A9019" s="544" t="n">
        <v>41835</v>
      </c>
      <c r="B9019" s="538" t="n">
        <v>104.73</v>
      </c>
      <c r="C9019" s="538" t="n">
        <v>100.56</v>
      </c>
      <c r="D9019" s="538" t="n">
        <v>104.87</v>
      </c>
      <c r="E9019" s="538" t="n">
        <v>118.3</v>
      </c>
    </row>
    <row r="9020">
      <c r="A9020" s="544" t="n">
        <v>41836</v>
      </c>
      <c r="B9020" s="538" t="n">
        <v>105.41</v>
      </c>
      <c r="C9020" s="538" t="n">
        <v>101.88</v>
      </c>
      <c r="D9020" s="538" t="n">
        <v>102.72</v>
      </c>
      <c r="E9020" s="538" t="n">
        <v>117.96</v>
      </c>
    </row>
    <row r="9021">
      <c r="A9021" s="544" t="n">
        <v>41837</v>
      </c>
      <c r="B9021" s="538" t="n">
        <v>106.04</v>
      </c>
      <c r="C9021" s="538" t="n">
        <v>103.84</v>
      </c>
      <c r="D9021" s="538" t="n">
        <v>105.73</v>
      </c>
      <c r="E9021" s="538" t="n">
        <v>118.22</v>
      </c>
    </row>
    <row r="9022">
      <c r="A9022" s="544" t="n">
        <v>41838</v>
      </c>
      <c r="B9022" s="538" t="n">
        <v>106.03</v>
      </c>
      <c r="C9022" s="538" t="n">
        <v>103.83</v>
      </c>
      <c r="D9022" s="538" t="n">
        <v>104.69</v>
      </c>
      <c r="E9022" s="538" t="n">
        <v>118.25</v>
      </c>
    </row>
    <row r="9023">
      <c r="A9023" s="544" t="n">
        <v>41841</v>
      </c>
      <c r="B9023" s="538" t="n">
        <v>105.71</v>
      </c>
      <c r="C9023" s="538" t="n">
        <v>105.34</v>
      </c>
      <c r="D9023" s="538" t="n">
        <v>105.34</v>
      </c>
      <c r="E9023" s="538" t="n">
        <v>117.43</v>
      </c>
    </row>
    <row r="9024">
      <c r="A9024" s="544" t="n">
        <v>41842</v>
      </c>
      <c r="B9024" s="538" t="n">
        <v>106.48</v>
      </c>
      <c r="C9024" s="538" t="n">
        <v>104.59</v>
      </c>
      <c r="D9024" s="538" t="n">
        <v>105.14</v>
      </c>
      <c r="E9024" s="538" t="n">
        <v>118.27</v>
      </c>
    </row>
    <row r="9025">
      <c r="A9025" s="544" t="n">
        <v>41843</v>
      </c>
      <c r="B9025" s="538" t="n">
        <v>106.85</v>
      </c>
      <c r="C9025" s="538" t="n">
        <v>103.81</v>
      </c>
      <c r="D9025" s="538" t="n">
        <v>105.91</v>
      </c>
      <c r="E9025" s="538" t="n">
        <v>117.72</v>
      </c>
    </row>
    <row r="9026">
      <c r="A9026" s="544" t="n">
        <v>41844</v>
      </c>
      <c r="B9026" s="538" t="n">
        <v>105.78</v>
      </c>
      <c r="C9026" s="538" t="n">
        <v>102.76</v>
      </c>
      <c r="D9026" s="538" t="n">
        <v>105.2</v>
      </c>
      <c r="E9026" s="538" t="n">
        <v>118.81</v>
      </c>
    </row>
    <row r="9027">
      <c r="A9027" s="544" t="n">
        <v>41845</v>
      </c>
      <c r="B9027" s="538" t="n">
        <v>106.89</v>
      </c>
      <c r="C9027" s="538" t="n">
        <v>105.23</v>
      </c>
      <c r="D9027" s="538" t="n">
        <v>106.89</v>
      </c>
      <c r="E9027" s="538" t="n">
        <v>118.75</v>
      </c>
    </row>
    <row r="9028">
      <c r="A9028" s="544" t="n">
        <v>41848</v>
      </c>
      <c r="B9028" s="538" t="n">
        <v>106.7</v>
      </c>
      <c r="C9028" s="538" t="n">
        <v>105.68</v>
      </c>
      <c r="D9028" s="538" t="n">
        <v>105.73</v>
      </c>
      <c r="E9028" s="538" t="n">
        <v>118.75</v>
      </c>
    </row>
    <row r="9029">
      <c r="A9029" s="544" t="n">
        <v>41849</v>
      </c>
      <c r="B9029" s="538" t="n">
        <v>106.98</v>
      </c>
      <c r="C9029" s="538" t="n">
        <v>104.91</v>
      </c>
      <c r="D9029" s="538" t="n">
        <v>106.16</v>
      </c>
      <c r="E9029" s="538" t="n">
        <v>119.13</v>
      </c>
    </row>
    <row r="9030">
      <c r="A9030" s="544" t="n">
        <v>41850</v>
      </c>
      <c r="B9030" s="538" t="n">
        <v>106.47</v>
      </c>
      <c r="C9030" s="538" t="n">
        <v>104.29</v>
      </c>
      <c r="D9030" s="538" t="n">
        <v>104.39</v>
      </c>
      <c r="E9030" s="538" t="n">
        <v>119.48</v>
      </c>
    </row>
    <row r="9031">
      <c r="A9031" s="544" t="n">
        <v>41851</v>
      </c>
      <c r="B9031" s="538" t="n">
        <v>104.94</v>
      </c>
      <c r="C9031" s="538" t="n">
        <v>98.23</v>
      </c>
      <c r="D9031" s="538" t="n">
        <v>104.13</v>
      </c>
      <c r="E9031" s="538" t="n">
        <v>118.08</v>
      </c>
    </row>
    <row r="9032">
      <c r="A9032" s="544" t="n">
        <v>41852</v>
      </c>
      <c r="B9032" s="538" t="n">
        <v>103.45</v>
      </c>
      <c r="C9032" s="538" t="n">
        <v>97.86</v>
      </c>
      <c r="D9032" s="538" t="n">
        <v>103.87</v>
      </c>
      <c r="E9032" s="538" t="n">
        <v>118.66</v>
      </c>
    </row>
    <row r="9033">
      <c r="A9033" s="544" t="n">
        <v>41855</v>
      </c>
      <c r="B9033" s="538" t="n">
        <v>103.63</v>
      </c>
      <c r="C9033" s="538" t="n">
        <v>98.26000000000001</v>
      </c>
      <c r="D9033" s="538" t="n">
        <v>104.14</v>
      </c>
      <c r="E9033" s="538" t="n">
        <v>118.17</v>
      </c>
    </row>
    <row r="9034">
      <c r="A9034" s="544" t="n">
        <v>41856</v>
      </c>
      <c r="B9034" s="538" t="n">
        <v>102.82</v>
      </c>
      <c r="C9034" s="538" t="n">
        <v>97.34</v>
      </c>
      <c r="D9034" s="538" t="n">
        <v>103.29</v>
      </c>
      <c r="E9034" s="538" t="n">
        <v>117.79</v>
      </c>
    </row>
    <row r="9035">
      <c r="A9035" s="544" t="n">
        <v>41857</v>
      </c>
      <c r="B9035" s="538" t="n">
        <v>104.17</v>
      </c>
      <c r="C9035" s="538" t="n">
        <v>96.93000000000001</v>
      </c>
      <c r="D9035" s="538" t="n">
        <v>103.11</v>
      </c>
      <c r="E9035" s="538" t="n">
        <v>117.02</v>
      </c>
    </row>
    <row r="9036">
      <c r="A9036" s="544" t="n">
        <v>41858</v>
      </c>
      <c r="B9036" s="538" t="n">
        <v>104.02</v>
      </c>
      <c r="C9036" s="538" t="n">
        <v>97.34</v>
      </c>
      <c r="D9036" s="538" t="n">
        <v>104.91</v>
      </c>
      <c r="E9036" s="538" t="n">
        <v>117.59</v>
      </c>
    </row>
    <row r="9037">
      <c r="A9037" s="544" t="n">
        <v>41859</v>
      </c>
      <c r="B9037" s="538" t="n">
        <v>103.36</v>
      </c>
      <c r="C9037" s="538" t="n">
        <v>97.61</v>
      </c>
      <c r="D9037" s="538" t="n">
        <v>103.4</v>
      </c>
      <c r="E9037" s="538" t="n">
        <v>118.97</v>
      </c>
    </row>
    <row r="9038">
      <c r="A9038" s="544" t="n">
        <v>41862</v>
      </c>
      <c r="B9038" s="538" t="n">
        <v>103.47</v>
      </c>
      <c r="C9038" s="538" t="n">
        <v>98.09</v>
      </c>
      <c r="D9038" s="538" t="n">
        <v>102.86</v>
      </c>
      <c r="E9038" s="538" t="n">
        <v>117.4</v>
      </c>
    </row>
    <row r="9039">
      <c r="A9039" s="544" t="n">
        <v>41863</v>
      </c>
      <c r="B9039" s="538" t="n">
        <v>101.68</v>
      </c>
      <c r="C9039" s="538" t="n">
        <v>97.36</v>
      </c>
      <c r="D9039" s="538" t="n">
        <v>101.86</v>
      </c>
      <c r="E9039" s="538" t="n">
        <v>116.97</v>
      </c>
    </row>
    <row r="9040">
      <c r="A9040" s="544" t="n">
        <v>41864</v>
      </c>
      <c r="B9040" s="538" t="n">
        <v>102.27</v>
      </c>
      <c r="C9040" s="538" t="n">
        <v>97.56999999999999</v>
      </c>
      <c r="D9040" s="538" t="n">
        <v>102.59</v>
      </c>
      <c r="E9040" s="538" t="n">
        <v>115.99</v>
      </c>
    </row>
    <row r="9041">
      <c r="A9041" s="544" t="n">
        <v>41865</v>
      </c>
      <c r="B9041" s="538" t="n">
        <v>101.15</v>
      </c>
      <c r="C9041" s="538" t="n">
        <v>95.54000000000001</v>
      </c>
      <c r="D9041" s="538" t="n">
        <v>98.81</v>
      </c>
      <c r="E9041" s="538" t="n">
        <v>118.06</v>
      </c>
    </row>
    <row r="9042">
      <c r="A9042" s="544" t="n">
        <v>41866</v>
      </c>
      <c r="B9042" s="538" t="n">
        <v>101.13</v>
      </c>
      <c r="C9042" s="538" t="n">
        <v>97.3</v>
      </c>
      <c r="D9042" s="538" t="n">
        <v>101.66</v>
      </c>
      <c r="E9042" s="538" t="n">
        <v>115.65</v>
      </c>
    </row>
    <row r="9043">
      <c r="A9043" s="544" t="n">
        <v>41869</v>
      </c>
      <c r="B9043" s="538" t="n">
        <v>99.37</v>
      </c>
      <c r="C9043" s="538" t="n">
        <v>96.44</v>
      </c>
      <c r="D9043" s="538" t="n">
        <v>100.11</v>
      </c>
      <c r="E9043" s="538" t="n">
        <v>115.82</v>
      </c>
    </row>
    <row r="9044">
      <c r="A9044" s="544" t="n">
        <v>41870</v>
      </c>
      <c r="B9044" s="538" t="n">
        <v>99.73999999999999</v>
      </c>
      <c r="C9044" s="538" t="n">
        <v>94.34999999999999</v>
      </c>
      <c r="D9044" s="538" t="n">
        <v>99.59</v>
      </c>
      <c r="E9044" s="538" t="n">
        <v>115.53</v>
      </c>
    </row>
    <row r="9045">
      <c r="A9045" s="544" t="n">
        <v>41871</v>
      </c>
      <c r="B9045" s="538" t="n">
        <v>99.92</v>
      </c>
      <c r="C9045" s="538" t="n">
        <v>96.40000000000001</v>
      </c>
      <c r="D9045" s="538" t="n">
        <v>100.02</v>
      </c>
      <c r="E9045" s="538" t="n">
        <v>115.69</v>
      </c>
    </row>
    <row r="9046">
      <c r="A9046" s="544" t="n">
        <v>41872</v>
      </c>
      <c r="B9046" s="538" t="n">
        <v>100.28</v>
      </c>
      <c r="C9046" s="538" t="n">
        <v>93.97</v>
      </c>
      <c r="D9046" s="538" t="n">
        <v>100.16</v>
      </c>
      <c r="E9046" s="538" t="n">
        <v>114.9</v>
      </c>
    </row>
    <row r="9047">
      <c r="A9047" s="544" t="n">
        <v>41873</v>
      </c>
      <c r="B9047" s="538" t="n">
        <v>100.09</v>
      </c>
      <c r="C9047" s="538" t="n">
        <v>93.61</v>
      </c>
      <c r="D9047" s="538" t="n">
        <v>99.77</v>
      </c>
      <c r="E9047" s="538" t="n">
        <v>115.54</v>
      </c>
    </row>
    <row r="9048">
      <c r="A9048" s="544" t="n">
        <v>41876</v>
      </c>
      <c r="B9048" s="538" t="n">
        <v>100.49</v>
      </c>
      <c r="C9048" s="538" t="n">
        <v>95.39</v>
      </c>
      <c r="D9048" s="538" t="n">
        <v>100.58</v>
      </c>
      <c r="E9048" s="538" t="n">
        <v>115.26</v>
      </c>
    </row>
    <row r="9049">
      <c r="A9049" s="544" t="n">
        <v>41877</v>
      </c>
      <c r="B9049" s="538" t="n">
        <v>100.5</v>
      </c>
      <c r="C9049" s="538" t="n">
        <v>95.78</v>
      </c>
      <c r="D9049" s="538" t="n">
        <v>100.65</v>
      </c>
      <c r="E9049" s="538" t="n">
        <v>115.65</v>
      </c>
    </row>
    <row r="9050">
      <c r="A9050" s="544" t="n">
        <v>41878</v>
      </c>
      <c r="B9050" s="538" t="n">
        <v>100.4</v>
      </c>
      <c r="C9050" s="538" t="n">
        <v>95.81999999999999</v>
      </c>
      <c r="D9050" s="538" t="n">
        <v>100.98</v>
      </c>
      <c r="E9050" s="538" t="n">
        <v>116.21</v>
      </c>
    </row>
    <row r="9051">
      <c r="A9051" s="544" t="n">
        <v>41879</v>
      </c>
      <c r="B9051" s="538" t="n">
        <v>100.71</v>
      </c>
      <c r="C9051" s="538" t="n">
        <v>96.44</v>
      </c>
      <c r="D9051" s="538" t="n">
        <v>100.5</v>
      </c>
      <c r="E9051" s="538" t="n">
        <v>116.45</v>
      </c>
    </row>
    <row r="9052">
      <c r="A9052" s="544" t="n">
        <v>41880</v>
      </c>
      <c r="B9052" s="538" t="n">
        <v>101.12</v>
      </c>
      <c r="C9052" s="538" t="n">
        <v>97.86</v>
      </c>
      <c r="D9052" s="538" t="n">
        <v>100.68</v>
      </c>
      <c r="E9052" s="538" t="n">
        <v>116.16</v>
      </c>
    </row>
    <row r="9053">
      <c r="A9053" s="544" t="n">
        <v>41883</v>
      </c>
      <c r="B9053" s="538" t="n">
        <v>101.12</v>
      </c>
      <c r="C9053" s="538" t="n">
        <v>97.86</v>
      </c>
      <c r="D9053" s="538" t="n">
        <v>101.12</v>
      </c>
      <c r="E9053" s="538" t="n">
        <v>116.09</v>
      </c>
    </row>
    <row r="9054">
      <c r="A9054" s="544" t="n">
        <v>41884</v>
      </c>
      <c r="B9054" s="538" t="n">
        <v>100.21</v>
      </c>
      <c r="C9054" s="538" t="n">
        <v>92.92</v>
      </c>
      <c r="D9054" s="538" t="n">
        <v>98.89</v>
      </c>
      <c r="E9054" s="538" t="n">
        <v>115.74</v>
      </c>
    </row>
    <row r="9055">
      <c r="A9055" s="544" t="n">
        <v>41885</v>
      </c>
      <c r="B9055" s="538" t="n">
        <v>100.88</v>
      </c>
      <c r="C9055" s="538" t="n">
        <v>95.5</v>
      </c>
      <c r="D9055" s="538" t="n">
        <v>100.47</v>
      </c>
      <c r="E9055" s="538" t="n">
        <v>115.07</v>
      </c>
    </row>
    <row r="9056">
      <c r="A9056" s="544" t="n">
        <v>41886</v>
      </c>
      <c r="B9056" s="538" t="n">
        <v>101.21</v>
      </c>
      <c r="C9056" s="538" t="n">
        <v>94.51000000000001</v>
      </c>
      <c r="D9056" s="538" t="n">
        <v>99.51000000000001</v>
      </c>
      <c r="E9056" s="538" t="n">
        <v>116.55</v>
      </c>
    </row>
    <row r="9057">
      <c r="A9057" s="544" t="n">
        <v>41887</v>
      </c>
      <c r="B9057" s="538" t="n">
        <v>99.51000000000001</v>
      </c>
      <c r="C9057" s="538" t="n">
        <v>93.31999999999999</v>
      </c>
      <c r="D9057" s="538" t="n">
        <v>98.31999999999999</v>
      </c>
      <c r="E9057" s="538" t="n">
        <v>116.04</v>
      </c>
    </row>
    <row r="9058">
      <c r="A9058" s="544" t="n">
        <v>41890</v>
      </c>
      <c r="B9058" s="538" t="n">
        <v>99.53</v>
      </c>
      <c r="C9058" s="538" t="n">
        <v>92.64</v>
      </c>
      <c r="D9058" s="538" t="n">
        <v>98.43000000000001</v>
      </c>
      <c r="E9058" s="538" t="n">
        <v>114.42</v>
      </c>
    </row>
    <row r="9059">
      <c r="A9059" s="544" t="n">
        <v>41891</v>
      </c>
      <c r="B9059" s="538" t="n">
        <v>98.08</v>
      </c>
      <c r="C9059" s="538" t="n">
        <v>92.73</v>
      </c>
      <c r="D9059" s="538" t="n">
        <v>97.20999999999999</v>
      </c>
      <c r="E9059" s="538" t="n">
        <v>114.23</v>
      </c>
    </row>
    <row r="9060">
      <c r="A9060" s="544" t="n">
        <v>41892</v>
      </c>
      <c r="B9060" s="538" t="n">
        <v>96.26000000000001</v>
      </c>
      <c r="C9060" s="538" t="n">
        <v>91.70999999999999</v>
      </c>
      <c r="D9060" s="538" t="n">
        <v>96.23999999999999</v>
      </c>
      <c r="E9060" s="538" t="n">
        <v>113.48</v>
      </c>
    </row>
    <row r="9061">
      <c r="A9061" s="544" t="n">
        <v>41893</v>
      </c>
      <c r="B9061" s="538" t="n">
        <v>96.42</v>
      </c>
      <c r="C9061" s="538" t="n">
        <v>92.89</v>
      </c>
      <c r="D9061" s="538" t="n">
        <v>96.23</v>
      </c>
      <c r="E9061" s="538" t="n">
        <v>111.89</v>
      </c>
    </row>
    <row r="9062">
      <c r="A9062" s="544" t="n">
        <v>41894</v>
      </c>
      <c r="B9062" s="538" t="n">
        <v>96.31</v>
      </c>
      <c r="C9062" s="538" t="n">
        <v>92.18000000000001</v>
      </c>
      <c r="D9062" s="538" t="n">
        <v>95.52</v>
      </c>
      <c r="E9062" s="538" t="n">
        <v>112.77</v>
      </c>
    </row>
    <row r="9063">
      <c r="A9063" s="544" t="n">
        <v>41897</v>
      </c>
      <c r="B9063" s="538" t="n">
        <v>96.43000000000001</v>
      </c>
      <c r="C9063" s="538" t="n">
        <v>92.86</v>
      </c>
      <c r="D9063" s="538" t="n">
        <v>94.06999999999999</v>
      </c>
      <c r="E9063" s="538" t="n">
        <v>111.19</v>
      </c>
    </row>
    <row r="9064">
      <c r="A9064" s="544" t="n">
        <v>41898</v>
      </c>
      <c r="B9064" s="538" t="n">
        <v>97.39</v>
      </c>
      <c r="C9064" s="538" t="n">
        <v>94.91</v>
      </c>
      <c r="D9064" s="538" t="n">
        <v>96.48</v>
      </c>
      <c r="E9064" s="538" t="n">
        <v>111.12</v>
      </c>
    </row>
    <row r="9065">
      <c r="A9065" s="544" t="n">
        <v>41899</v>
      </c>
      <c r="B9065" s="538" t="n">
        <v>97.7</v>
      </c>
      <c r="C9065" s="538" t="n">
        <v>94.33</v>
      </c>
      <c r="D9065" s="538" t="n">
        <v>95.92</v>
      </c>
      <c r="E9065" s="538" t="n">
        <v>111.21</v>
      </c>
    </row>
    <row r="9066">
      <c r="A9066" s="544" t="n">
        <v>41900</v>
      </c>
      <c r="B9066" s="538" t="n">
        <v>96.81999999999999</v>
      </c>
      <c r="C9066" s="538" t="n">
        <v>93.06999999999999</v>
      </c>
      <c r="D9066" s="538" t="n">
        <v>94.93000000000001</v>
      </c>
      <c r="E9066" s="538" t="n">
        <v>111.75</v>
      </c>
    </row>
    <row r="9067">
      <c r="A9067" s="544" t="n">
        <v>41901</v>
      </c>
      <c r="B9067" s="538" t="n">
        <v>96.75</v>
      </c>
      <c r="C9067" s="538" t="n">
        <v>92.43000000000001</v>
      </c>
      <c r="D9067" s="538" t="n">
        <v>95.8</v>
      </c>
      <c r="E9067" s="538" t="n">
        <v>110.62</v>
      </c>
    </row>
    <row r="9068">
      <c r="A9068" s="544" t="n">
        <v>41904</v>
      </c>
      <c r="B9068" s="538" t="n">
        <v>95.37</v>
      </c>
      <c r="C9068" s="538" t="n">
        <v>91.45999999999999</v>
      </c>
      <c r="D9068" s="538" t="n">
        <v>94.92</v>
      </c>
      <c r="E9068" s="538" t="n">
        <v>110.65</v>
      </c>
    </row>
    <row r="9069">
      <c r="A9069" s="544" t="n">
        <v>41905</v>
      </c>
      <c r="B9069" s="538" t="n">
        <v>94.87</v>
      </c>
      <c r="C9069" s="538" t="n">
        <v>91.55</v>
      </c>
      <c r="D9069" s="538" t="n">
        <v>94.41</v>
      </c>
      <c r="E9069" s="538" t="n">
        <v>110.63</v>
      </c>
    </row>
    <row r="9070">
      <c r="A9070" s="544" t="n">
        <v>41906</v>
      </c>
      <c r="B9070" s="538" t="n">
        <v>94.53</v>
      </c>
      <c r="C9070" s="538" t="n">
        <v>93.59999999999999</v>
      </c>
      <c r="D9070" s="538" t="n">
        <v>94.44</v>
      </c>
      <c r="E9070" s="538" t="n">
        <v>109.91</v>
      </c>
    </row>
    <row r="9071">
      <c r="A9071" s="544" t="n">
        <v>41907</v>
      </c>
      <c r="B9071" s="538" t="n">
        <v>95.2</v>
      </c>
      <c r="C9071" s="538" t="n">
        <v>93.59</v>
      </c>
      <c r="D9071" s="538" t="n">
        <v>94.73</v>
      </c>
      <c r="E9071" s="538" t="n">
        <v>109.87</v>
      </c>
    </row>
    <row r="9072">
      <c r="A9072" s="544" t="n">
        <v>41908</v>
      </c>
      <c r="B9072" s="538" t="n">
        <v>95.08</v>
      </c>
      <c r="C9072" s="538" t="n">
        <v>95.55</v>
      </c>
      <c r="D9072" s="538" t="n">
        <v>94.56999999999999</v>
      </c>
      <c r="E9072" s="538" t="n">
        <v>110.03</v>
      </c>
    </row>
    <row r="9073">
      <c r="A9073" s="544" t="n">
        <v>41911</v>
      </c>
      <c r="B9073" s="538" t="n">
        <v>95.7</v>
      </c>
      <c r="C9073" s="538" t="n">
        <v>94.53</v>
      </c>
      <c r="D9073" s="538" t="n">
        <v>94.65000000000001</v>
      </c>
      <c r="E9073" s="538" t="n">
        <v>109.94</v>
      </c>
    </row>
    <row r="9074">
      <c r="A9074" s="544" t="n">
        <v>41912</v>
      </c>
      <c r="B9074" s="538" t="n">
        <v>94.67</v>
      </c>
      <c r="C9074" s="538" t="n">
        <v>91.17</v>
      </c>
      <c r="D9074" s="538" t="n">
        <v>93.17</v>
      </c>
      <c r="E9074" s="538" t="n">
        <v>110.8</v>
      </c>
    </row>
    <row r="9075">
      <c r="A9075" s="544" t="n">
        <v>41913</v>
      </c>
      <c r="B9075" s="538" t="n">
        <v>94.56999999999999</v>
      </c>
      <c r="C9075" s="538" t="n">
        <v>90.73999999999999</v>
      </c>
      <c r="D9075" s="538" t="n">
        <v>92.81</v>
      </c>
      <c r="E9075" s="538" t="n">
        <v>108.64</v>
      </c>
    </row>
    <row r="9076">
      <c r="A9076" s="544" t="n">
        <v>41914</v>
      </c>
      <c r="B9076" s="538" t="n">
        <v>91.29000000000001</v>
      </c>
      <c r="C9076" s="538" t="n">
        <v>91.02</v>
      </c>
      <c r="D9076" s="538" t="n">
        <v>92.37</v>
      </c>
      <c r="E9076" s="538" t="n">
        <v>106.39</v>
      </c>
    </row>
    <row r="9077">
      <c r="A9077" s="544" t="n">
        <v>41915</v>
      </c>
      <c r="B9077" s="538" t="n">
        <v>90.8</v>
      </c>
      <c r="C9077" s="538" t="n">
        <v>89.76000000000001</v>
      </c>
      <c r="D9077" s="538" t="n">
        <v>91.15000000000001</v>
      </c>
      <c r="E9077" s="538" t="n">
        <v>106.59</v>
      </c>
    </row>
    <row r="9078">
      <c r="A9078" s="544" t="n">
        <v>41918</v>
      </c>
      <c r="B9078" s="538" t="n">
        <v>90.65000000000001</v>
      </c>
      <c r="C9078" s="538" t="n">
        <v>90.33</v>
      </c>
      <c r="D9078" s="538" t="n">
        <v>91.58</v>
      </c>
      <c r="E9078" s="538" t="n">
        <v>106.59</v>
      </c>
    </row>
    <row r="9079">
      <c r="A9079" s="544" t="n">
        <v>41919</v>
      </c>
      <c r="B9079" s="538" t="n">
        <v>90.90000000000001</v>
      </c>
      <c r="C9079" s="538" t="n">
        <v>88.89</v>
      </c>
      <c r="D9079" s="538" t="n">
        <v>90.37</v>
      </c>
      <c r="E9079" s="538" t="n">
        <v>105.16</v>
      </c>
    </row>
    <row r="9080">
      <c r="A9080" s="544" t="n">
        <v>41920</v>
      </c>
      <c r="B9080" s="538" t="n">
        <v>90.25</v>
      </c>
      <c r="C9080" s="538" t="n">
        <v>87.29000000000001</v>
      </c>
      <c r="D9080" s="538" t="n">
        <v>90.3</v>
      </c>
      <c r="E9080" s="538" t="n">
        <v>104.19</v>
      </c>
    </row>
    <row r="9081">
      <c r="A9081" s="544" t="n">
        <v>41921</v>
      </c>
      <c r="B9081" s="538" t="n">
        <v>90.47</v>
      </c>
      <c r="C9081" s="538" t="n">
        <v>85.76000000000001</v>
      </c>
      <c r="D9081" s="538" t="n">
        <v>87.08</v>
      </c>
      <c r="E9081" s="538" t="n">
        <v>103.94</v>
      </c>
    </row>
    <row r="9082">
      <c r="A9082" s="544" t="n">
        <v>41922</v>
      </c>
      <c r="B9082" s="538" t="n">
        <v>88.66</v>
      </c>
      <c r="C9082" s="538" t="n">
        <v>85.87</v>
      </c>
      <c r="D9082" s="538" t="n">
        <v>89.17</v>
      </c>
      <c r="E9082" s="538" t="n">
        <v>101.51</v>
      </c>
    </row>
    <row r="9083">
      <c r="A9083" s="544" t="n">
        <v>41925</v>
      </c>
      <c r="B9083" s="538" t="n">
        <v>87.81999999999999</v>
      </c>
      <c r="C9083" s="538" t="n">
        <v>85.73</v>
      </c>
      <c r="D9083" s="538" t="n">
        <v>86.48</v>
      </c>
      <c r="E9083" s="538" t="n">
        <v>101.35</v>
      </c>
    </row>
    <row r="9084">
      <c r="A9084" s="544" t="n">
        <v>41926</v>
      </c>
      <c r="B9084" s="538" t="n">
        <v>86.36</v>
      </c>
      <c r="C9084" s="538" t="n">
        <v>81.72</v>
      </c>
      <c r="D9084" s="538" t="n">
        <v>84.08</v>
      </c>
      <c r="E9084" s="538" t="n">
        <v>101.66</v>
      </c>
    </row>
    <row r="9085">
      <c r="A9085" s="544" t="n">
        <v>41927</v>
      </c>
      <c r="B9085" s="538" t="n">
        <v>84.02</v>
      </c>
      <c r="C9085" s="538" t="n">
        <v>81.81999999999999</v>
      </c>
      <c r="D9085" s="538" t="n">
        <v>81.97</v>
      </c>
      <c r="E9085" s="538" t="n">
        <v>97.37</v>
      </c>
    </row>
    <row r="9086">
      <c r="A9086" s="544" t="n">
        <v>41928</v>
      </c>
      <c r="B9086" s="538" t="n">
        <v>84.02</v>
      </c>
      <c r="C9086" s="538" t="n">
        <v>82.33</v>
      </c>
      <c r="D9086" s="538" t="n">
        <v>83.05</v>
      </c>
      <c r="E9086" s="538" t="n">
        <v>96.90000000000001</v>
      </c>
    </row>
    <row r="9087">
      <c r="A9087" s="544" t="n">
        <v>41929</v>
      </c>
      <c r="B9087" s="538" t="n">
        <v>85.27</v>
      </c>
      <c r="C9087" s="538" t="n">
        <v>82.8</v>
      </c>
      <c r="D9087" s="538" t="n">
        <v>83.78</v>
      </c>
      <c r="E9087" s="538" t="n">
        <v>99.48999999999999</v>
      </c>
    </row>
    <row r="9088">
      <c r="A9088" s="544" t="n">
        <v>41932</v>
      </c>
      <c r="B9088" s="538" t="n">
        <v>84.42</v>
      </c>
      <c r="C9088" s="538" t="n">
        <v>82.76000000000001</v>
      </c>
      <c r="D9088" s="538" t="n">
        <v>82.88</v>
      </c>
      <c r="E9088" s="538" t="n">
        <v>100.4</v>
      </c>
    </row>
    <row r="9089">
      <c r="A9089" s="544" t="n">
        <v>41933</v>
      </c>
      <c r="B9089" s="538" t="n">
        <v>85.17</v>
      </c>
      <c r="C9089" s="538" t="n">
        <v>83.25</v>
      </c>
      <c r="D9089" s="538" t="n">
        <v>84.53</v>
      </c>
      <c r="E9089" s="538" t="n">
        <v>99.38</v>
      </c>
    </row>
    <row r="9090">
      <c r="A9090" s="544" t="n">
        <v>41934</v>
      </c>
      <c r="B9090" s="538" t="n">
        <v>86.38</v>
      </c>
      <c r="C9090" s="538" t="n">
        <v>80.52</v>
      </c>
      <c r="D9090" s="538" t="n">
        <v>81.48999999999999</v>
      </c>
      <c r="E9090" s="538" t="n">
        <v>99.38</v>
      </c>
    </row>
    <row r="9091">
      <c r="A9091" s="544" t="n">
        <v>41935</v>
      </c>
      <c r="B9091" s="538" t="n">
        <v>85.94</v>
      </c>
      <c r="C9091" s="538" t="n">
        <v>82.81</v>
      </c>
      <c r="D9091" s="538" t="n">
        <v>83.48999999999999</v>
      </c>
      <c r="E9091" s="538" t="n">
        <v>98.84999999999999</v>
      </c>
    </row>
    <row r="9092">
      <c r="A9092" s="544" t="n">
        <v>41936</v>
      </c>
      <c r="B9092" s="538" t="n">
        <v>86</v>
      </c>
      <c r="C9092" s="538" t="n">
        <v>81.27</v>
      </c>
      <c r="D9092" s="538" t="n">
        <v>84.39</v>
      </c>
      <c r="E9092" s="538" t="n">
        <v>99.83</v>
      </c>
    </row>
    <row r="9093">
      <c r="A9093" s="544" t="n">
        <v>41939</v>
      </c>
      <c r="B9093" s="538" t="n">
        <v>85.64</v>
      </c>
      <c r="C9093" s="538" t="n">
        <v>81.26000000000001</v>
      </c>
      <c r="D9093" s="538" t="n">
        <v>83.45</v>
      </c>
      <c r="E9093" s="538" t="n">
        <v>99.59999999999999</v>
      </c>
    </row>
    <row r="9094">
      <c r="A9094" s="544" t="n">
        <v>41940</v>
      </c>
      <c r="B9094" s="538" t="n">
        <v>85.56999999999999</v>
      </c>
      <c r="C9094" s="538" t="n">
        <v>81.36</v>
      </c>
      <c r="D9094" s="538" t="n">
        <v>84.43000000000001</v>
      </c>
      <c r="E9094" s="538" t="n">
        <v>99.81</v>
      </c>
    </row>
    <row r="9095">
      <c r="A9095" s="544" t="n">
        <v>41941</v>
      </c>
      <c r="B9095" s="538" t="n">
        <v>86.91</v>
      </c>
      <c r="C9095" s="538" t="n">
        <v>82.25</v>
      </c>
      <c r="D9095" s="538" t="n">
        <v>84.93000000000001</v>
      </c>
      <c r="E9095" s="538" t="n">
        <v>100.81</v>
      </c>
    </row>
    <row r="9096">
      <c r="A9096" s="544" t="n">
        <v>41942</v>
      </c>
      <c r="B9096" s="538" t="n">
        <v>85.5</v>
      </c>
      <c r="C9096" s="538" t="n">
        <v>81.06</v>
      </c>
      <c r="D9096" s="538" t="n">
        <v>83.64</v>
      </c>
      <c r="E9096" s="538" t="n">
        <v>101.21</v>
      </c>
    </row>
    <row r="9097">
      <c r="A9097" s="544" t="n">
        <v>41943</v>
      </c>
      <c r="B9097" s="538" t="n">
        <v>84.17</v>
      </c>
      <c r="C9097" s="538" t="n">
        <v>80.53</v>
      </c>
      <c r="D9097" s="538" t="n">
        <v>85.16</v>
      </c>
      <c r="E9097" s="538" t="n">
        <v>100.74</v>
      </c>
    </row>
    <row r="9098">
      <c r="A9098" s="544" t="n">
        <v>41946</v>
      </c>
      <c r="B9098" s="538" t="n">
        <v>84.90000000000001</v>
      </c>
      <c r="C9098" s="538" t="n">
        <v>78.77</v>
      </c>
      <c r="D9098" s="538" t="n">
        <v>81.59999999999999</v>
      </c>
      <c r="E9098" s="538" t="n">
        <v>101.01</v>
      </c>
    </row>
    <row r="9099">
      <c r="A9099" s="544" t="n">
        <v>41947</v>
      </c>
      <c r="B9099" s="538" t="n">
        <v>82.12</v>
      </c>
      <c r="C9099" s="538" t="n">
        <v>77.15000000000001</v>
      </c>
      <c r="D9099" s="538" t="n">
        <v>80.23</v>
      </c>
      <c r="E9099" s="538" t="n">
        <v>99.8</v>
      </c>
    </row>
    <row r="9100">
      <c r="A9100" s="544" t="n">
        <v>41948</v>
      </c>
      <c r="B9100" s="538" t="n">
        <v>82.88</v>
      </c>
      <c r="C9100" s="538" t="n">
        <v>78.70999999999999</v>
      </c>
      <c r="D9100" s="538" t="n">
        <v>80.40000000000001</v>
      </c>
      <c r="E9100" s="538" t="n">
        <v>98.52</v>
      </c>
    </row>
    <row r="9101">
      <c r="A9101" s="544" t="n">
        <v>41949</v>
      </c>
      <c r="B9101" s="538" t="n">
        <v>82.08</v>
      </c>
      <c r="C9101" s="538" t="n">
        <v>77.87</v>
      </c>
      <c r="D9101" s="538" t="n">
        <v>79.81999999999999</v>
      </c>
      <c r="E9101" s="538" t="n">
        <v>99.17</v>
      </c>
    </row>
    <row r="9102">
      <c r="A9102" s="544" t="n">
        <v>41950</v>
      </c>
      <c r="B9102" s="538" t="n">
        <v>83.2</v>
      </c>
      <c r="C9102" s="538" t="n">
        <v>78.70999999999999</v>
      </c>
      <c r="D9102" s="538" t="n">
        <v>80.84999999999999</v>
      </c>
      <c r="E9102" s="538" t="n">
        <v>99.06999999999999</v>
      </c>
    </row>
    <row r="9103">
      <c r="A9103" s="544" t="n">
        <v>41953</v>
      </c>
      <c r="B9103" s="538" t="n">
        <v>82.90000000000001</v>
      </c>
      <c r="C9103" s="538" t="n">
        <v>77.43000000000001</v>
      </c>
      <c r="D9103" s="538" t="n">
        <v>79.18000000000001</v>
      </c>
      <c r="E9103" s="538" t="n">
        <v>101.24</v>
      </c>
    </row>
    <row r="9104">
      <c r="A9104" s="544" t="n">
        <v>41954</v>
      </c>
      <c r="B9104" s="538" t="n">
        <v>80.94</v>
      </c>
      <c r="C9104" s="538" t="n">
        <v>77.84999999999999</v>
      </c>
      <c r="D9104" s="538" t="n">
        <v>78.19</v>
      </c>
      <c r="E9104" s="538" t="n">
        <v>99.65000000000001</v>
      </c>
    </row>
    <row r="9105">
      <c r="A9105" s="544" t="n">
        <v>41955</v>
      </c>
      <c r="B9105" s="538" t="n">
        <v>80.42</v>
      </c>
      <c r="C9105" s="538" t="n">
        <v>77.16</v>
      </c>
      <c r="D9105" s="538" t="n">
        <v>77.01000000000001</v>
      </c>
      <c r="E9105" s="538" t="n">
        <v>99.78</v>
      </c>
    </row>
    <row r="9106">
      <c r="A9106" s="544" t="n">
        <v>41956</v>
      </c>
      <c r="B9106" s="538" t="n">
        <v>77.73999999999999</v>
      </c>
      <c r="C9106" s="538" t="n">
        <v>74.13</v>
      </c>
      <c r="D9106" s="538" t="n">
        <v>74.34999999999999</v>
      </c>
      <c r="E9106" s="538" t="n">
        <v>97.95999999999999</v>
      </c>
    </row>
    <row r="9107">
      <c r="A9107" s="544" t="n">
        <v>41957</v>
      </c>
      <c r="B9107" s="538" t="n">
        <v>77.51000000000001</v>
      </c>
      <c r="C9107" s="538" t="n">
        <v>75.91</v>
      </c>
      <c r="D9107" s="538" t="n">
        <v>75.5</v>
      </c>
      <c r="E9107" s="538" t="n">
        <v>93.8</v>
      </c>
    </row>
    <row r="9108">
      <c r="A9108" s="544" t="n">
        <v>41960</v>
      </c>
      <c r="B9108" s="538" t="n">
        <v>76.86</v>
      </c>
      <c r="C9108" s="538" t="n">
        <v>75.64</v>
      </c>
      <c r="D9108" s="538" t="n">
        <v>75.09</v>
      </c>
      <c r="E9108" s="538" t="n">
        <v>94.72</v>
      </c>
    </row>
    <row r="9109">
      <c r="A9109" s="544" t="n">
        <v>41961</v>
      </c>
      <c r="B9109" s="538" t="n">
        <v>77.23</v>
      </c>
      <c r="C9109" s="538" t="n">
        <v>74.55</v>
      </c>
      <c r="D9109" s="538" t="n">
        <v>74.20999999999999</v>
      </c>
      <c r="E9109" s="538" t="n">
        <v>95.92</v>
      </c>
    </row>
    <row r="9110">
      <c r="A9110" s="544" t="n">
        <v>41962</v>
      </c>
      <c r="B9110" s="538" t="n">
        <v>77.20999999999999</v>
      </c>
      <c r="C9110" s="538" t="n">
        <v>74.55</v>
      </c>
      <c r="D9110" s="538" t="n">
        <v>74.04000000000001</v>
      </c>
      <c r="E9110" s="538" t="n">
        <v>94.83</v>
      </c>
    </row>
    <row r="9111">
      <c r="A9111" s="544" t="n">
        <v>41963</v>
      </c>
      <c r="B9111" s="538" t="n">
        <v>77.61</v>
      </c>
      <c r="C9111" s="538" t="n">
        <v>75.63</v>
      </c>
      <c r="D9111" s="538" t="n">
        <v>75.67</v>
      </c>
      <c r="E9111" s="538" t="n">
        <v>94.17</v>
      </c>
    </row>
    <row r="9112">
      <c r="A9112" s="544" t="n">
        <v>41964</v>
      </c>
      <c r="B9112" s="538" t="n">
        <v>79.2</v>
      </c>
      <c r="C9112" s="538" t="n">
        <v>76.52</v>
      </c>
      <c r="D9112" s="538" t="n">
        <v>76.43000000000001</v>
      </c>
      <c r="E9112" s="538" t="n">
        <v>94.91</v>
      </c>
    </row>
    <row r="9113">
      <c r="A9113" s="544" t="n">
        <v>41967</v>
      </c>
      <c r="B9113" s="538" t="n">
        <v>79.62</v>
      </c>
      <c r="C9113" s="538" t="n">
        <v>75.73999999999999</v>
      </c>
      <c r="D9113" s="538" t="n">
        <v>75.70999999999999</v>
      </c>
      <c r="E9113" s="538" t="n">
        <v>95.64</v>
      </c>
    </row>
    <row r="9114">
      <c r="A9114" s="544" t="n">
        <v>41968</v>
      </c>
      <c r="B9114" s="538" t="n">
        <v>77.62</v>
      </c>
      <c r="C9114" s="538" t="n">
        <v>74.04000000000001</v>
      </c>
      <c r="D9114" s="538" t="n">
        <v>74.02</v>
      </c>
      <c r="E9114" s="538" t="n">
        <v>94.73999999999999</v>
      </c>
    </row>
    <row r="9115">
      <c r="A9115" s="544" t="n">
        <v>41969</v>
      </c>
      <c r="B9115" s="538" t="n">
        <v>77.39</v>
      </c>
      <c r="C9115" s="538" t="n">
        <v>73.7</v>
      </c>
      <c r="D9115" s="538" t="n">
        <v>73.37</v>
      </c>
      <c r="E9115" s="538" t="n">
        <v>93.79000000000001</v>
      </c>
    </row>
    <row r="9116">
      <c r="A9116" s="544" t="n">
        <v>41970</v>
      </c>
      <c r="B9116" s="538" t="n">
        <v>77.39</v>
      </c>
      <c r="C9116" s="538" t="n">
        <v>73.7</v>
      </c>
      <c r="D9116" s="538" t="n">
        <v>68.88</v>
      </c>
      <c r="E9116" s="538" t="n">
        <v>91.84</v>
      </c>
    </row>
    <row r="9117">
      <c r="A9117" s="544" t="n">
        <v>41971</v>
      </c>
      <c r="B9117" s="538" t="n">
        <v>71.89</v>
      </c>
      <c r="C9117" s="538" t="n">
        <v>65.94</v>
      </c>
      <c r="D9117" s="538" t="n">
        <v>66.45</v>
      </c>
      <c r="E9117" s="538" t="n">
        <v>87.38</v>
      </c>
    </row>
    <row r="9118">
      <c r="A9118" s="544" t="n">
        <v>41974</v>
      </c>
      <c r="B9118" s="538" t="n">
        <v>70.87</v>
      </c>
      <c r="C9118" s="538" t="n">
        <v>68.98</v>
      </c>
      <c r="D9118" s="538" t="n">
        <v>70.45</v>
      </c>
      <c r="E9118" s="538" t="n">
        <v>84.06</v>
      </c>
    </row>
    <row r="9119">
      <c r="A9119" s="544" t="n">
        <v>41975</v>
      </c>
      <c r="B9119" s="538" t="n">
        <v>71.13</v>
      </c>
      <c r="C9119" s="538" t="n">
        <v>66.98999999999999</v>
      </c>
      <c r="D9119" s="538" t="n">
        <v>68.48999999999999</v>
      </c>
      <c r="E9119" s="538" t="n">
        <v>87.88</v>
      </c>
    </row>
    <row r="9120">
      <c r="A9120" s="544" t="n">
        <v>41976</v>
      </c>
      <c r="B9120" s="538" t="n">
        <v>70.13</v>
      </c>
      <c r="C9120" s="538" t="n">
        <v>67.3</v>
      </c>
      <c r="D9120" s="538" t="n">
        <v>66.94</v>
      </c>
      <c r="E9120" s="538" t="n">
        <v>86.91</v>
      </c>
    </row>
    <row r="9121">
      <c r="A9121" s="544" t="n">
        <v>41977</v>
      </c>
      <c r="B9121" s="538" t="n">
        <v>68.48</v>
      </c>
      <c r="C9121" s="538" t="n">
        <v>66.73</v>
      </c>
      <c r="D9121" s="538" t="n">
        <v>66.64</v>
      </c>
      <c r="E9121" s="538" t="n">
        <v>85.86</v>
      </c>
    </row>
    <row r="9122">
      <c r="A9122" s="544" t="n">
        <v>41978</v>
      </c>
      <c r="B9122" s="538" t="n">
        <v>68</v>
      </c>
      <c r="C9122" s="538" t="n">
        <v>65.89</v>
      </c>
      <c r="D9122" s="538" t="n">
        <v>65.98999999999999</v>
      </c>
      <c r="E9122" s="538" t="n">
        <v>84.14</v>
      </c>
    </row>
    <row r="9123">
      <c r="A9123" s="544" t="n">
        <v>41981</v>
      </c>
      <c r="B9123" s="538" t="n">
        <v>65.64</v>
      </c>
      <c r="C9123" s="538" t="n">
        <v>63.13</v>
      </c>
      <c r="D9123" s="538" t="n">
        <v>62.93</v>
      </c>
      <c r="E9123" s="538" t="n">
        <v>82.97</v>
      </c>
    </row>
    <row r="9124">
      <c r="A9124" s="544" t="n">
        <v>41982</v>
      </c>
      <c r="B9124" s="538" t="n">
        <v>66.11</v>
      </c>
      <c r="C9124" s="538" t="n">
        <v>63.74</v>
      </c>
      <c r="D9124" s="538" t="n">
        <v>63.63</v>
      </c>
      <c r="E9124" s="538" t="n">
        <v>80.88</v>
      </c>
    </row>
    <row r="9125">
      <c r="A9125" s="544" t="n">
        <v>41983</v>
      </c>
      <c r="B9125" s="538" t="n">
        <v>63.32</v>
      </c>
      <c r="C9125" s="538" t="n">
        <v>60.99</v>
      </c>
      <c r="D9125" s="538" t="n">
        <v>61.54</v>
      </c>
      <c r="E9125" s="538" t="n">
        <v>80.81999999999999</v>
      </c>
    </row>
    <row r="9126">
      <c r="A9126" s="544" t="n">
        <v>41984</v>
      </c>
      <c r="B9126" s="538" t="n">
        <v>63.65</v>
      </c>
      <c r="C9126" s="538" t="n">
        <v>60.01</v>
      </c>
      <c r="D9126" s="538" t="n">
        <v>59.64</v>
      </c>
      <c r="E9126" s="538" t="n">
        <v>79.34</v>
      </c>
    </row>
    <row r="9127">
      <c r="A9127" s="544" t="n">
        <v>41985</v>
      </c>
      <c r="B9127" s="538" t="n">
        <v>61.67</v>
      </c>
      <c r="C9127" s="538" t="n">
        <v>57.81</v>
      </c>
      <c r="D9127" s="538" t="n">
        <v>59.05</v>
      </c>
      <c r="E9127" s="538" t="n">
        <v>77.19</v>
      </c>
    </row>
    <row r="9128">
      <c r="A9128" s="544" t="n">
        <v>41988</v>
      </c>
      <c r="B9128" s="538" t="n">
        <v>61.09</v>
      </c>
      <c r="C9128" s="538" t="n">
        <v>55.96</v>
      </c>
      <c r="D9128" s="538" t="n">
        <v>57.72</v>
      </c>
      <c r="E9128" s="538" t="n">
        <v>77.14</v>
      </c>
    </row>
    <row r="9129">
      <c r="A9129" s="544" t="n">
        <v>41989</v>
      </c>
      <c r="B9129" s="538" t="n">
        <v>60.26</v>
      </c>
      <c r="C9129" s="538" t="n">
        <v>55.97</v>
      </c>
      <c r="D9129" s="538" t="n">
        <v>55.78</v>
      </c>
      <c r="E9129" s="538" t="n">
        <v>74.65000000000001</v>
      </c>
    </row>
    <row r="9130">
      <c r="A9130" s="544" t="n">
        <v>41990</v>
      </c>
      <c r="B9130" s="538" t="n">
        <v>59.84</v>
      </c>
      <c r="C9130" s="538" t="n">
        <v>56.43</v>
      </c>
      <c r="D9130" s="538" t="n">
        <v>57.26</v>
      </c>
      <c r="E9130" s="538" t="n">
        <v>74.31</v>
      </c>
    </row>
    <row r="9131">
      <c r="A9131" s="544" t="n">
        <v>41991</v>
      </c>
      <c r="B9131" s="538" t="n">
        <v>58.81</v>
      </c>
      <c r="C9131" s="538" t="n">
        <v>54.18</v>
      </c>
      <c r="D9131" s="538" t="n">
        <v>56.26</v>
      </c>
      <c r="E9131" s="538" t="n">
        <v>75.95999999999999</v>
      </c>
    </row>
    <row r="9132">
      <c r="A9132" s="544" t="n">
        <v>41992</v>
      </c>
      <c r="B9132" s="538" t="n">
        <v>58.87</v>
      </c>
      <c r="C9132" s="538" t="n">
        <v>56.91</v>
      </c>
      <c r="D9132" s="538" t="n">
        <v>57.63</v>
      </c>
      <c r="E9132" s="538" t="n">
        <v>74.17</v>
      </c>
    </row>
    <row r="9133">
      <c r="A9133" s="544" t="n">
        <v>41995</v>
      </c>
      <c r="B9133" s="538" t="n">
        <v>58.31</v>
      </c>
      <c r="C9133" s="538" t="n">
        <v>55.25</v>
      </c>
      <c r="D9133" s="538" t="n">
        <v>56.36</v>
      </c>
      <c r="E9133" s="538" t="n">
        <v>76.64</v>
      </c>
    </row>
    <row r="9134">
      <c r="A9134" s="544" t="n">
        <v>41996</v>
      </c>
      <c r="B9134" s="538" t="n">
        <v>59.07</v>
      </c>
      <c r="C9134" s="538" t="n">
        <v>56.78</v>
      </c>
      <c r="D9134" s="538" t="n">
        <v>57.33</v>
      </c>
      <c r="E9134" s="538" t="n">
        <v>74.65000000000001</v>
      </c>
    </row>
    <row r="9135">
      <c r="A9135" s="544" t="n">
        <v>41997</v>
      </c>
      <c r="B9135" s="538" t="n">
        <v>58.67</v>
      </c>
      <c r="C9135" s="538" t="n">
        <v>55.7</v>
      </c>
      <c r="D9135" s="538" t="n">
        <v>56.59</v>
      </c>
      <c r="E9135" s="538" t="n">
        <v>75.68000000000001</v>
      </c>
    </row>
    <row r="9136">
      <c r="A9136" s="544" t="n">
        <v>41998</v>
      </c>
      <c r="B9136" s="538" t="n">
        <v>58.67</v>
      </c>
      <c r="C9136" s="538" t="n">
        <v>55.7</v>
      </c>
      <c r="D9136" s="538" t="n">
        <v>56.59</v>
      </c>
      <c r="E9136" s="538" t="n">
        <v>75.68000000000001</v>
      </c>
    </row>
    <row r="9137">
      <c r="A9137" s="544" t="n">
        <v>41999</v>
      </c>
      <c r="B9137" s="538" t="n">
        <v>58.72</v>
      </c>
      <c r="C9137" s="538" t="n">
        <v>54.59</v>
      </c>
      <c r="D9137" s="538" t="n">
        <v>55.84</v>
      </c>
      <c r="E9137" s="538" t="n">
        <v>75.68000000000001</v>
      </c>
    </row>
    <row r="9138">
      <c r="A9138" s="544" t="n">
        <v>42002</v>
      </c>
      <c r="B9138" s="538" t="n">
        <v>57.86</v>
      </c>
      <c r="C9138" s="538" t="n">
        <v>53.46</v>
      </c>
      <c r="D9138" s="538" t="n">
        <v>54.5</v>
      </c>
      <c r="E9138" s="538" t="n">
        <v>73.5</v>
      </c>
    </row>
    <row r="9139">
      <c r="A9139" s="544" t="n">
        <v>42003</v>
      </c>
      <c r="B9139" s="538" t="n">
        <v>55.6</v>
      </c>
      <c r="C9139" s="538" t="n">
        <v>54.14</v>
      </c>
      <c r="D9139" s="538" t="n">
        <v>53.91</v>
      </c>
      <c r="E9139" s="538" t="n">
        <v>70.56999999999999</v>
      </c>
    </row>
    <row r="9140">
      <c r="A9140" s="544" t="n">
        <v>42004</v>
      </c>
      <c r="B9140" s="538" t="n">
        <v>55.27</v>
      </c>
      <c r="C9140" s="538" t="n">
        <v>53.45</v>
      </c>
      <c r="D9140" s="538" t="n">
        <v>53.53</v>
      </c>
      <c r="E9140" s="538" t="n">
        <v>70.68000000000001</v>
      </c>
    </row>
    <row r="9141">
      <c r="A9141" s="544" t="n">
        <v>42005</v>
      </c>
      <c r="B9141" s="538" t="n">
        <v>55.27</v>
      </c>
      <c r="C9141" s="538" t="n">
        <v>53.45</v>
      </c>
      <c r="D9141" s="538" t="n">
        <v>53.53</v>
      </c>
      <c r="E9141" s="538" t="n">
        <v>70.68000000000001</v>
      </c>
    </row>
    <row r="9142">
      <c r="A9142" s="544" t="n">
        <v>42006</v>
      </c>
      <c r="B9142" s="538" t="n">
        <v>55.38</v>
      </c>
      <c r="C9142" s="538" t="n">
        <v>52.72</v>
      </c>
      <c r="D9142" s="538" t="n">
        <v>53.39</v>
      </c>
      <c r="E9142" s="538" t="n">
        <v>70.54000000000001</v>
      </c>
    </row>
    <row r="9143">
      <c r="A9143" s="544" t="n">
        <v>42009</v>
      </c>
      <c r="B9143" s="538" t="n">
        <v>51.08</v>
      </c>
      <c r="C9143" s="538" t="n">
        <v>50.05</v>
      </c>
      <c r="D9143" s="538" t="n">
        <v>52.34</v>
      </c>
      <c r="E9143" s="538" t="n">
        <v>68.84999999999999</v>
      </c>
    </row>
    <row r="9144">
      <c r="A9144" s="544" t="n">
        <v>42010</v>
      </c>
      <c r="B9144" s="538" t="n">
        <v>50.12</v>
      </c>
      <c r="C9144" s="538" t="n">
        <v>47.98</v>
      </c>
      <c r="D9144" s="538" t="n">
        <v>47.55</v>
      </c>
      <c r="E9144" s="538" t="n">
        <v>66.56</v>
      </c>
    </row>
    <row r="9145">
      <c r="A9145" s="544" t="n">
        <v>42011</v>
      </c>
      <c r="B9145" s="538" t="n">
        <v>49.06</v>
      </c>
      <c r="C9145" s="538" t="n">
        <v>48.69</v>
      </c>
      <c r="D9145" s="538" t="n">
        <v>47.45</v>
      </c>
      <c r="E9145" s="538" t="n">
        <v>63.75</v>
      </c>
    </row>
    <row r="9146">
      <c r="A9146" s="544" t="n">
        <v>42012</v>
      </c>
      <c r="B9146" s="538" t="n">
        <v>49.43</v>
      </c>
      <c r="C9146" s="538" t="n">
        <v>48.8</v>
      </c>
      <c r="D9146" s="538" t="n">
        <v>48.13</v>
      </c>
      <c r="E9146" s="538" t="n">
        <v>64.65000000000001</v>
      </c>
    </row>
    <row r="9147">
      <c r="A9147" s="544" t="n">
        <v>42013</v>
      </c>
      <c r="B9147" s="538" t="n">
        <v>47.64</v>
      </c>
      <c r="C9147" s="538" t="n">
        <v>48.35</v>
      </c>
      <c r="D9147" s="538" t="n">
        <v>46.9</v>
      </c>
      <c r="E9147" s="538" t="n">
        <v>64.45</v>
      </c>
    </row>
    <row r="9148">
      <c r="A9148" s="544" t="n">
        <v>42016</v>
      </c>
      <c r="B9148" s="538" t="n">
        <v>46.9</v>
      </c>
      <c r="C9148" s="538" t="n">
        <v>46.06</v>
      </c>
      <c r="D9148" s="538" t="n">
        <v>44.15</v>
      </c>
      <c r="E9148" s="538" t="n">
        <v>62.98</v>
      </c>
    </row>
    <row r="9149">
      <c r="A9149" s="544" t="n">
        <v>42017</v>
      </c>
      <c r="B9149" s="538" t="n">
        <v>45.13</v>
      </c>
      <c r="C9149" s="538" t="n">
        <v>45.92</v>
      </c>
      <c r="D9149" s="538" t="n">
        <v>43.72</v>
      </c>
      <c r="E9149" s="538" t="n">
        <v>60.53</v>
      </c>
    </row>
    <row r="9150">
      <c r="A9150" s="544" t="n">
        <v>42018</v>
      </c>
      <c r="B9150" s="538" t="n">
        <v>45.82</v>
      </c>
      <c r="C9150" s="538" t="n">
        <v>48.49</v>
      </c>
      <c r="D9150" s="538" t="n">
        <v>45.76</v>
      </c>
      <c r="E9150" s="538" t="n">
        <v>60.4</v>
      </c>
    </row>
    <row r="9151">
      <c r="A9151" s="544" t="n">
        <v>42019</v>
      </c>
      <c r="B9151" s="538" t="n">
        <v>47.66</v>
      </c>
      <c r="C9151" s="538" t="n">
        <v>46.37</v>
      </c>
      <c r="D9151" s="538" t="n">
        <v>46.09</v>
      </c>
      <c r="E9151" s="538" t="n">
        <v>60.62</v>
      </c>
    </row>
    <row r="9152">
      <c r="A9152" s="544" t="n">
        <v>42020</v>
      </c>
      <c r="B9152" s="538" t="n">
        <v>47.38</v>
      </c>
      <c r="C9152" s="538" t="n">
        <v>48.49</v>
      </c>
      <c r="D9152" s="538" t="n">
        <v>44.99</v>
      </c>
      <c r="E9152" s="538" t="n">
        <v>62.82</v>
      </c>
    </row>
    <row r="9153">
      <c r="A9153" s="544" t="n">
        <v>42023</v>
      </c>
      <c r="B9153" s="538" t="n">
        <v>47.38</v>
      </c>
      <c r="C9153" s="538" t="n">
        <v>48.49</v>
      </c>
      <c r="D9153" s="538" t="n">
        <v>44.22</v>
      </c>
      <c r="E9153" s="538" t="n">
        <v>63.1</v>
      </c>
    </row>
    <row r="9154">
      <c r="A9154" s="544" t="n">
        <v>42024</v>
      </c>
      <c r="B9154" s="538" t="n">
        <v>46.49</v>
      </c>
      <c r="C9154" s="538" t="n">
        <v>46.79</v>
      </c>
      <c r="D9154" s="538" t="n">
        <v>43.96</v>
      </c>
      <c r="E9154" s="538" t="n">
        <v>62.34</v>
      </c>
    </row>
    <row r="9155">
      <c r="A9155" s="544" t="n">
        <v>42025</v>
      </c>
      <c r="B9155" s="538" t="n">
        <v>46.5</v>
      </c>
      <c r="C9155" s="538" t="n">
        <v>47.85</v>
      </c>
      <c r="D9155" s="538" t="n">
        <v>44.16</v>
      </c>
      <c r="E9155" s="538" t="n">
        <v>62.33</v>
      </c>
    </row>
    <row r="9156">
      <c r="A9156" s="544" t="n">
        <v>42026</v>
      </c>
      <c r="B9156" s="538" t="n">
        <v>46.09</v>
      </c>
      <c r="C9156" s="538" t="n">
        <v>45.93</v>
      </c>
      <c r="D9156" s="538" t="n">
        <v>45.11</v>
      </c>
      <c r="E9156" s="538" t="n">
        <v>62.38</v>
      </c>
    </row>
    <row r="9157">
      <c r="A9157" s="544" t="n">
        <v>42027</v>
      </c>
      <c r="B9157" s="538" t="n">
        <v>46.69</v>
      </c>
      <c r="C9157" s="538" t="n">
        <v>45.26</v>
      </c>
      <c r="D9157" s="538" t="n">
        <v>44.27</v>
      </c>
      <c r="E9157" s="538" t="n">
        <v>63.81</v>
      </c>
    </row>
    <row r="9158">
      <c r="A9158" s="544" t="n">
        <v>42030</v>
      </c>
      <c r="B9158" s="538" t="n">
        <v>46.07</v>
      </c>
      <c r="C9158" s="538" t="n">
        <v>44.8</v>
      </c>
      <c r="D9158" s="538" t="n">
        <v>43.87</v>
      </c>
      <c r="E9158" s="538" t="n">
        <v>62.32</v>
      </c>
    </row>
    <row r="9159">
      <c r="A9159" s="544" t="n">
        <v>42031</v>
      </c>
      <c r="B9159" s="538" t="n">
        <v>46.55</v>
      </c>
      <c r="C9159" s="538" t="n">
        <v>45.84</v>
      </c>
      <c r="D9159" s="538" t="n">
        <v>44.71</v>
      </c>
      <c r="E9159" s="538" t="n">
        <v>62.64</v>
      </c>
    </row>
    <row r="9160">
      <c r="A9160" s="544" t="n">
        <v>42032</v>
      </c>
      <c r="B9160" s="538" t="n">
        <v>47.07</v>
      </c>
      <c r="C9160" s="538" t="n">
        <v>44.08</v>
      </c>
      <c r="D9160" s="538" t="n">
        <v>44.21</v>
      </c>
      <c r="E9160" s="538" t="n">
        <v>63.77</v>
      </c>
    </row>
    <row r="9161">
      <c r="A9161" s="544" t="n">
        <v>42033</v>
      </c>
      <c r="B9161" s="538" t="n">
        <v>46.61</v>
      </c>
      <c r="C9161" s="538" t="n">
        <v>44.12</v>
      </c>
      <c r="D9161" s="538" t="n">
        <v>45.23</v>
      </c>
      <c r="E9161" s="538" t="n">
        <v>63.26</v>
      </c>
    </row>
    <row r="9162">
      <c r="A9162" s="544" t="n">
        <v>42034</v>
      </c>
      <c r="B9162" s="538" t="n">
        <v>47.52</v>
      </c>
      <c r="C9162" s="538" t="n">
        <v>47.79</v>
      </c>
      <c r="D9162" s="538" t="n">
        <v>49.06</v>
      </c>
      <c r="E9162" s="538" t="n">
        <v>63.56</v>
      </c>
    </row>
    <row r="9163">
      <c r="A9163" s="544" t="n">
        <v>42037</v>
      </c>
      <c r="B9163" s="538" t="n">
        <v>51.74</v>
      </c>
      <c r="C9163" s="538" t="n">
        <v>49.25</v>
      </c>
      <c r="D9163" s="538" t="n">
        <v>52.88</v>
      </c>
      <c r="E9163" s="538" t="n">
        <v>66.28</v>
      </c>
    </row>
    <row r="9164">
      <c r="A9164" s="544" t="n">
        <v>42038</v>
      </c>
      <c r="B9164" s="538" t="n">
        <v>54.41</v>
      </c>
      <c r="C9164" s="538" t="n">
        <v>53.04</v>
      </c>
      <c r="D9164" s="538" t="n">
        <v>54.54</v>
      </c>
      <c r="E9164" s="538" t="n">
        <v>69.95</v>
      </c>
    </row>
    <row r="9165">
      <c r="A9165" s="544" t="n">
        <v>42039</v>
      </c>
      <c r="B9165" s="538" t="n">
        <v>55.07</v>
      </c>
      <c r="C9165" s="538" t="n">
        <v>48.45</v>
      </c>
      <c r="D9165" s="538" t="n">
        <v>52.09</v>
      </c>
      <c r="E9165" s="538" t="n">
        <v>72.02</v>
      </c>
    </row>
    <row r="9166">
      <c r="A9166" s="544" t="n">
        <v>42040</v>
      </c>
      <c r="B9166" s="538" t="n">
        <v>55.98</v>
      </c>
      <c r="C9166" s="538" t="n">
        <v>50.48</v>
      </c>
      <c r="D9166" s="538" t="n">
        <v>54.99</v>
      </c>
      <c r="E9166" s="538" t="n">
        <v>69.22</v>
      </c>
    </row>
    <row r="9167">
      <c r="A9167" s="544" t="n">
        <v>42041</v>
      </c>
      <c r="B9167" s="538" t="n">
        <v>55.88</v>
      </c>
      <c r="C9167" s="538" t="n">
        <v>51.66</v>
      </c>
      <c r="D9167" s="538" t="n">
        <v>55.11</v>
      </c>
      <c r="E9167" s="538" t="n">
        <v>72.33</v>
      </c>
    </row>
    <row r="9168">
      <c r="A9168" s="544" t="n">
        <v>42044</v>
      </c>
      <c r="B9168" s="538" t="n">
        <v>57</v>
      </c>
      <c r="C9168" s="538" t="n">
        <v>52.99</v>
      </c>
      <c r="D9168" s="538" t="n">
        <v>55.31</v>
      </c>
      <c r="E9168" s="538" t="n">
        <v>73.63</v>
      </c>
    </row>
    <row r="9169">
      <c r="A9169" s="544" t="n">
        <v>42045</v>
      </c>
      <c r="B9169" s="538" t="n">
        <v>55.79</v>
      </c>
      <c r="C9169" s="538" t="n">
        <v>50.06</v>
      </c>
      <c r="D9169" s="538" t="n">
        <v>54.78</v>
      </c>
      <c r="E9169" s="538" t="n">
        <v>73.27</v>
      </c>
    </row>
    <row r="9170">
      <c r="A9170" s="544" t="n">
        <v>42046</v>
      </c>
      <c r="B9170" s="538" t="n">
        <v>53.48</v>
      </c>
      <c r="C9170" s="538" t="n">
        <v>48.8</v>
      </c>
      <c r="D9170" s="538" t="n">
        <v>53.08</v>
      </c>
      <c r="E9170" s="538" t="n">
        <v>72.72</v>
      </c>
    </row>
    <row r="9171">
      <c r="A9171" s="544" t="n">
        <v>42047</v>
      </c>
      <c r="B9171" s="538" t="n">
        <v>56.23</v>
      </c>
      <c r="C9171" s="538" t="n">
        <v>51.17</v>
      </c>
      <c r="D9171" s="538" t="n">
        <v>55.65</v>
      </c>
      <c r="E9171" s="538" t="n">
        <v>72.2</v>
      </c>
    </row>
    <row r="9172">
      <c r="A9172" s="544" t="n">
        <v>42048</v>
      </c>
      <c r="B9172" s="538" t="n">
        <v>60.33</v>
      </c>
      <c r="C9172" s="538" t="n">
        <v>52.66</v>
      </c>
      <c r="D9172" s="538" t="n">
        <v>58.12</v>
      </c>
      <c r="E9172" s="538" t="n">
        <v>75.7</v>
      </c>
    </row>
    <row r="9173">
      <c r="A9173" s="544" t="n">
        <v>42051</v>
      </c>
      <c r="B9173" s="538" t="n">
        <v>61.57</v>
      </c>
      <c r="C9173" s="538" t="n">
        <v>52.66</v>
      </c>
      <c r="D9173" s="538" t="n">
        <v>58.3</v>
      </c>
      <c r="E9173" s="538" t="n">
        <v>75.90000000000001</v>
      </c>
    </row>
    <row r="9174">
      <c r="A9174" s="544" t="n">
        <v>42052</v>
      </c>
      <c r="B9174" s="538" t="n">
        <v>60.78</v>
      </c>
      <c r="C9174" s="538" t="n">
        <v>53.56</v>
      </c>
      <c r="D9174" s="538" t="n">
        <v>58.93</v>
      </c>
      <c r="E9174" s="538" t="n">
        <v>76.66</v>
      </c>
    </row>
    <row r="9175">
      <c r="A9175" s="544" t="n">
        <v>42053</v>
      </c>
      <c r="B9175" s="538" t="n">
        <v>60.72</v>
      </c>
      <c r="C9175" s="538" t="n">
        <v>52.13</v>
      </c>
      <c r="D9175" s="538" t="n">
        <v>54.94</v>
      </c>
      <c r="E9175" s="538" t="n">
        <v>76.92</v>
      </c>
    </row>
    <row r="9176">
      <c r="A9176" s="544" t="n">
        <v>42054</v>
      </c>
      <c r="B9176" s="538" t="n">
        <v>58.78</v>
      </c>
      <c r="C9176" s="538" t="n">
        <v>51.12</v>
      </c>
      <c r="D9176" s="538" t="n">
        <v>57.61</v>
      </c>
      <c r="E9176" s="538" t="n">
        <v>76.92</v>
      </c>
    </row>
    <row r="9177">
      <c r="A9177" s="544" t="n">
        <v>42055</v>
      </c>
      <c r="B9177" s="538" t="n">
        <v>60.99</v>
      </c>
      <c r="C9177" s="538" t="n">
        <v>49.95</v>
      </c>
      <c r="D9177" s="538" t="n">
        <v>57.14</v>
      </c>
      <c r="E9177" s="538" t="n">
        <v>76.92</v>
      </c>
    </row>
    <row r="9178">
      <c r="A9178" s="544" t="n">
        <v>42058</v>
      </c>
      <c r="B9178" s="538" t="n">
        <v>59.78</v>
      </c>
      <c r="C9178" s="538" t="n">
        <v>49.56</v>
      </c>
      <c r="D9178" s="538" t="n">
        <v>55.25</v>
      </c>
      <c r="E9178" s="538" t="n">
        <v>74.62</v>
      </c>
    </row>
    <row r="9179">
      <c r="A9179" s="544" t="n">
        <v>42059</v>
      </c>
      <c r="B9179" s="538" t="n">
        <v>60.33</v>
      </c>
      <c r="C9179" s="538" t="n">
        <v>48.48</v>
      </c>
      <c r="D9179" s="538" t="n">
        <v>55.42</v>
      </c>
      <c r="E9179" s="538" t="n">
        <v>72.84999999999999</v>
      </c>
    </row>
    <row r="9180">
      <c r="A9180" s="544" t="n">
        <v>42060</v>
      </c>
      <c r="B9180" s="538" t="n">
        <v>59.77</v>
      </c>
      <c r="C9180" s="538" t="n">
        <v>50.25</v>
      </c>
      <c r="D9180" s="538" t="n">
        <v>58.31</v>
      </c>
      <c r="E9180" s="538" t="n">
        <v>73.3</v>
      </c>
    </row>
    <row r="9181">
      <c r="A9181" s="544" t="n">
        <v>42061</v>
      </c>
      <c r="B9181" s="538" t="n">
        <v>61.39</v>
      </c>
      <c r="C9181" s="538" t="n">
        <v>47.65</v>
      </c>
      <c r="D9181" s="538" t="n">
        <v>57.21</v>
      </c>
      <c r="E9181" s="538" t="n">
        <v>75.83</v>
      </c>
    </row>
    <row r="9182">
      <c r="A9182" s="544" t="n">
        <v>42062</v>
      </c>
      <c r="B9182" s="538" t="n">
        <v>61.89</v>
      </c>
      <c r="C9182" s="538" t="n">
        <v>49.84</v>
      </c>
      <c r="D9182" s="538" t="n">
        <v>59.12</v>
      </c>
      <c r="E9182" s="538" t="n">
        <v>75.70999999999999</v>
      </c>
    </row>
    <row r="9183">
      <c r="A9183" s="544" t="n">
        <v>42065</v>
      </c>
      <c r="B9183" s="538" t="n">
        <v>60.75</v>
      </c>
      <c r="C9183" s="538" t="n">
        <v>49.59</v>
      </c>
      <c r="D9183" s="538" t="n">
        <v>57.18</v>
      </c>
      <c r="E9183" s="538" t="n">
        <v>75.73</v>
      </c>
    </row>
    <row r="9184">
      <c r="A9184" s="544" t="n">
        <v>42066</v>
      </c>
      <c r="B9184" s="538" t="n">
        <v>61.18</v>
      </c>
      <c r="C9184" s="538" t="n">
        <v>50.43</v>
      </c>
      <c r="D9184" s="538" t="n">
        <v>58.65</v>
      </c>
      <c r="E9184" s="538" t="n">
        <v>73.84</v>
      </c>
    </row>
    <row r="9185">
      <c r="A9185" s="544" t="n">
        <v>42067</v>
      </c>
      <c r="B9185" s="538" t="n">
        <v>59.18</v>
      </c>
      <c r="C9185" s="538" t="n">
        <v>51.53</v>
      </c>
      <c r="D9185" s="538" t="n">
        <v>58.17</v>
      </c>
      <c r="E9185" s="538" t="n">
        <v>74.79000000000001</v>
      </c>
    </row>
    <row r="9186">
      <c r="A9186" s="544" t="n">
        <v>42068</v>
      </c>
      <c r="B9186" s="538" t="n">
        <v>60.33</v>
      </c>
      <c r="C9186" s="538" t="n">
        <v>50.76</v>
      </c>
      <c r="D9186" s="538" t="n">
        <v>57.88</v>
      </c>
      <c r="E9186" s="538" t="n">
        <v>73.98</v>
      </c>
    </row>
    <row r="9187">
      <c r="A9187" s="544" t="n">
        <v>42069</v>
      </c>
      <c r="B9187" s="538" t="n">
        <v>59.15</v>
      </c>
      <c r="C9187" s="538" t="n">
        <v>49.61</v>
      </c>
      <c r="D9187" s="538" t="n">
        <v>57.22</v>
      </c>
      <c r="E9187" s="538" t="n">
        <v>73.29000000000001</v>
      </c>
    </row>
    <row r="9188">
      <c r="A9188" s="544" t="n">
        <v>42072</v>
      </c>
      <c r="B9188" s="538" t="n">
        <v>58.67</v>
      </c>
      <c r="C9188" s="538" t="n">
        <v>49.95</v>
      </c>
      <c r="D9188" s="538" t="n">
        <v>55.81</v>
      </c>
      <c r="E9188" s="538" t="n">
        <v>71.79000000000001</v>
      </c>
    </row>
    <row r="9189">
      <c r="A9189" s="544" t="n">
        <v>42073</v>
      </c>
      <c r="B9189" s="538" t="n">
        <v>55.95</v>
      </c>
      <c r="C9189" s="538" t="n">
        <v>48.42</v>
      </c>
      <c r="D9189" s="538" t="n">
        <v>54.06</v>
      </c>
      <c r="E9189" s="538" t="n">
        <v>70.8</v>
      </c>
    </row>
    <row r="9190">
      <c r="A9190" s="544" t="n">
        <v>42074</v>
      </c>
      <c r="B9190" s="538" t="n">
        <v>56.46</v>
      </c>
      <c r="C9190" s="538" t="n">
        <v>48.06</v>
      </c>
      <c r="D9190" s="538" t="n">
        <v>55.27</v>
      </c>
      <c r="E9190" s="538" t="n">
        <v>69.34</v>
      </c>
    </row>
    <row r="9191">
      <c r="A9191" s="544" t="n">
        <v>42075</v>
      </c>
      <c r="B9191" s="538" t="n">
        <v>56.66</v>
      </c>
      <c r="C9191" s="538" t="n">
        <v>47.12</v>
      </c>
      <c r="D9191" s="538" t="n">
        <v>54.5</v>
      </c>
      <c r="E9191" s="538" t="n">
        <v>70.98</v>
      </c>
    </row>
    <row r="9192">
      <c r="A9192" s="544" t="n">
        <v>42076</v>
      </c>
      <c r="B9192" s="538" t="n">
        <v>54.8</v>
      </c>
      <c r="C9192" s="538" t="n">
        <v>44.88</v>
      </c>
      <c r="D9192" s="538" t="n">
        <v>51.78</v>
      </c>
      <c r="E9192" s="538" t="n">
        <v>68.84999999999999</v>
      </c>
    </row>
    <row r="9193">
      <c r="A9193" s="544" t="n">
        <v>42079</v>
      </c>
      <c r="B9193" s="538" t="n">
        <v>52</v>
      </c>
      <c r="C9193" s="538" t="n">
        <v>43.93</v>
      </c>
      <c r="D9193" s="538" t="n">
        <v>51.49</v>
      </c>
      <c r="E9193" s="538" t="n">
        <v>66.62</v>
      </c>
    </row>
    <row r="9194">
      <c r="A9194" s="544" t="n">
        <v>42080</v>
      </c>
      <c r="B9194" s="538" t="n">
        <v>52.17</v>
      </c>
      <c r="C9194" s="538" t="n">
        <v>43.39</v>
      </c>
      <c r="D9194" s="538" t="n">
        <v>50.37</v>
      </c>
      <c r="E9194" s="538" t="n">
        <v>66.45</v>
      </c>
    </row>
    <row r="9195">
      <c r="A9195" s="544" t="n">
        <v>42081</v>
      </c>
      <c r="B9195" s="538" t="n">
        <v>52.59</v>
      </c>
      <c r="C9195" s="538" t="n">
        <v>44.63</v>
      </c>
      <c r="D9195" s="538" t="n">
        <v>52.78</v>
      </c>
      <c r="E9195" s="538" t="n">
        <v>66.3</v>
      </c>
    </row>
    <row r="9196">
      <c r="A9196" s="544" t="n">
        <v>42082</v>
      </c>
      <c r="B9196" s="538" t="n">
        <v>52.96</v>
      </c>
      <c r="C9196" s="538" t="n">
        <v>44.02</v>
      </c>
      <c r="D9196" s="538" t="n">
        <v>51.72</v>
      </c>
      <c r="E9196" s="538" t="n">
        <v>68.37</v>
      </c>
    </row>
    <row r="9197">
      <c r="A9197" s="544" t="n">
        <v>42083</v>
      </c>
      <c r="B9197" s="538" t="n">
        <v>53.88</v>
      </c>
      <c r="C9197" s="538" t="n">
        <v>46</v>
      </c>
      <c r="D9197" s="538" t="n">
        <v>52.63</v>
      </c>
      <c r="E9197" s="538" t="n">
        <v>66.84999999999999</v>
      </c>
    </row>
    <row r="9198">
      <c r="A9198" s="544" t="n">
        <v>42086</v>
      </c>
      <c r="B9198" s="538" t="n">
        <v>53.82</v>
      </c>
      <c r="C9198" s="538" t="n">
        <v>47.4</v>
      </c>
      <c r="D9198" s="538" t="n">
        <v>53.34</v>
      </c>
      <c r="E9198" s="538" t="n">
        <v>67.23999999999999</v>
      </c>
    </row>
    <row r="9199">
      <c r="A9199" s="544" t="n">
        <v>42087</v>
      </c>
      <c r="B9199" s="538" t="n">
        <v>53.61</v>
      </c>
      <c r="C9199" s="538" t="n">
        <v>47.03</v>
      </c>
      <c r="D9199" s="538" t="n">
        <v>52.59</v>
      </c>
      <c r="E9199" s="538" t="n">
        <v>68.28</v>
      </c>
    </row>
    <row r="9200">
      <c r="A9200" s="544" t="n">
        <v>42088</v>
      </c>
      <c r="B9200" s="538" t="n">
        <v>54.18</v>
      </c>
      <c r="C9200" s="538" t="n">
        <v>48.75</v>
      </c>
      <c r="D9200" s="538" t="n">
        <v>53.49</v>
      </c>
      <c r="E9200" s="538" t="n">
        <v>67.87</v>
      </c>
    </row>
    <row r="9201">
      <c r="A9201" s="544" t="n">
        <v>42089</v>
      </c>
      <c r="B9201" s="538" t="n">
        <v>57.02</v>
      </c>
      <c r="C9201" s="538" t="n">
        <v>51.41</v>
      </c>
      <c r="D9201" s="538" t="n">
        <v>56.36</v>
      </c>
      <c r="E9201" s="538" t="n">
        <v>71.48</v>
      </c>
    </row>
    <row r="9202">
      <c r="A9202" s="544" t="n">
        <v>42090</v>
      </c>
      <c r="B9202" s="538" t="n">
        <v>56.44</v>
      </c>
      <c r="C9202" s="538" t="n">
        <v>48.83</v>
      </c>
      <c r="D9202" s="538" t="n">
        <v>53.17</v>
      </c>
      <c r="E9202" s="538" t="n">
        <v>70.31999999999999</v>
      </c>
    </row>
    <row r="9203">
      <c r="A9203" s="544" t="n">
        <v>42093</v>
      </c>
      <c r="B9203" s="538" t="n">
        <v>53.99</v>
      </c>
      <c r="C9203" s="538" t="n">
        <v>48.66</v>
      </c>
      <c r="D9203" s="538" t="n">
        <v>52.99</v>
      </c>
      <c r="E9203" s="538" t="n">
        <v>69.39</v>
      </c>
    </row>
    <row r="9204">
      <c r="A9204" s="544" t="n">
        <v>42094</v>
      </c>
      <c r="B9204" s="538" t="n">
        <v>53.69</v>
      </c>
      <c r="C9204" s="538" t="n">
        <v>47.72</v>
      </c>
      <c r="D9204" s="538" t="n">
        <v>53.22</v>
      </c>
      <c r="E9204" s="538" t="n">
        <v>68.01000000000001</v>
      </c>
    </row>
    <row r="9205">
      <c r="A9205" s="544" t="n">
        <v>42095</v>
      </c>
      <c r="B9205" s="538" t="n">
        <v>55.73</v>
      </c>
      <c r="C9205" s="538" t="n">
        <v>50.12</v>
      </c>
      <c r="D9205" s="538" t="n">
        <v>54.9</v>
      </c>
      <c r="E9205" s="538" t="n">
        <v>68.09</v>
      </c>
    </row>
    <row r="9206">
      <c r="A9206" s="544" t="n">
        <v>42096</v>
      </c>
      <c r="B9206" s="538" t="n">
        <v>55.73</v>
      </c>
      <c r="C9206" s="538" t="n">
        <v>49.13</v>
      </c>
      <c r="D9206" s="538" t="n">
        <v>53.12</v>
      </c>
      <c r="E9206" s="538" t="n">
        <v>69.37</v>
      </c>
    </row>
    <row r="9207">
      <c r="A9207" s="544" t="n">
        <v>42097</v>
      </c>
      <c r="B9207" s="538" t="n">
        <v>55.73</v>
      </c>
      <c r="C9207" s="538" t="n">
        <v>49.13</v>
      </c>
      <c r="D9207" s="538" t="n">
        <v>53.12</v>
      </c>
      <c r="E9207" s="538" t="n">
        <v>69.37</v>
      </c>
    </row>
    <row r="9208">
      <c r="A9208" s="544" t="n">
        <v>42100</v>
      </c>
      <c r="B9208" s="538" t="n">
        <v>55.73</v>
      </c>
      <c r="C9208" s="538" t="n">
        <v>52.08</v>
      </c>
      <c r="D9208" s="538" t="n">
        <v>56.32</v>
      </c>
      <c r="E9208" s="538" t="n">
        <v>68.59</v>
      </c>
    </row>
    <row r="9209">
      <c r="A9209" s="544" t="n">
        <v>42101</v>
      </c>
      <c r="B9209" s="538" t="n">
        <v>57.55</v>
      </c>
      <c r="C9209" s="538" t="n">
        <v>53.95</v>
      </c>
      <c r="D9209" s="538" t="n">
        <v>55.79</v>
      </c>
      <c r="E9209" s="538" t="n">
        <v>69.44</v>
      </c>
    </row>
    <row r="9210">
      <c r="A9210" s="544" t="n">
        <v>42102</v>
      </c>
      <c r="B9210" s="538" t="n">
        <v>56.42</v>
      </c>
      <c r="C9210" s="538" t="n">
        <v>50.44</v>
      </c>
      <c r="D9210" s="538" t="n">
        <v>54.01</v>
      </c>
      <c r="E9210" s="538" t="n">
        <v>70.16</v>
      </c>
    </row>
    <row r="9211">
      <c r="A9211" s="544" t="n">
        <v>42103</v>
      </c>
      <c r="B9211" s="538" t="n">
        <v>56.04</v>
      </c>
      <c r="C9211" s="538" t="n">
        <v>50.79</v>
      </c>
      <c r="D9211" s="538" t="n">
        <v>54.69</v>
      </c>
      <c r="E9211" s="538" t="n">
        <v>68.44</v>
      </c>
    </row>
    <row r="9212">
      <c r="A9212" s="544" t="n">
        <v>42104</v>
      </c>
      <c r="B9212" s="538" t="n">
        <v>56.82</v>
      </c>
      <c r="C9212" s="538" t="n">
        <v>51.63</v>
      </c>
      <c r="D9212" s="538" t="n">
        <v>56.25</v>
      </c>
      <c r="E9212" s="538" t="n">
        <v>68.28</v>
      </c>
    </row>
    <row r="9213">
      <c r="A9213" s="544" t="n">
        <v>42107</v>
      </c>
      <c r="B9213" s="538" t="n">
        <v>57.14</v>
      </c>
      <c r="C9213" s="538" t="n">
        <v>51.95</v>
      </c>
      <c r="D9213" s="538" t="n">
        <v>56.68</v>
      </c>
      <c r="E9213" s="538" t="n">
        <v>71.48</v>
      </c>
    </row>
    <row r="9214">
      <c r="A9214" s="544" t="n">
        <v>42108</v>
      </c>
      <c r="B9214" s="538" t="n">
        <v>57.69</v>
      </c>
      <c r="C9214" s="538" t="n">
        <v>53.3</v>
      </c>
      <c r="D9214" s="538" t="n">
        <v>57.64</v>
      </c>
      <c r="E9214" s="538" t="n">
        <v>70.51000000000001</v>
      </c>
    </row>
    <row r="9215">
      <c r="A9215" s="544" t="n">
        <v>42109</v>
      </c>
      <c r="B9215" s="538" t="n">
        <v>59.32</v>
      </c>
      <c r="C9215" s="538" t="n">
        <v>56.25</v>
      </c>
      <c r="D9215" s="538" t="n">
        <v>59.22</v>
      </c>
      <c r="E9215" s="538" t="n">
        <v>71.26000000000001</v>
      </c>
    </row>
    <row r="9216">
      <c r="A9216" s="544" t="n">
        <v>42110</v>
      </c>
      <c r="B9216" s="538" t="n">
        <v>60.13</v>
      </c>
      <c r="C9216" s="538" t="n">
        <v>56.69</v>
      </c>
      <c r="D9216" s="538" t="n">
        <v>60.88</v>
      </c>
      <c r="E9216" s="538" t="n">
        <v>73.36</v>
      </c>
    </row>
    <row r="9217">
      <c r="A9217" s="544" t="n">
        <v>42111</v>
      </c>
      <c r="B9217" s="538" t="n">
        <v>61.31</v>
      </c>
      <c r="C9217" s="538" t="n">
        <v>55.71</v>
      </c>
      <c r="D9217" s="538" t="n">
        <v>60.23</v>
      </c>
      <c r="E9217" s="538" t="n">
        <v>74.29000000000001</v>
      </c>
    </row>
    <row r="9218">
      <c r="A9218" s="544" t="n">
        <v>42114</v>
      </c>
      <c r="B9218" s="538" t="n">
        <v>61.2</v>
      </c>
      <c r="C9218" s="538" t="n">
        <v>56.37</v>
      </c>
      <c r="D9218" s="538" t="n">
        <v>60.4</v>
      </c>
      <c r="E9218" s="538" t="n">
        <v>74.28</v>
      </c>
    </row>
    <row r="9219">
      <c r="A9219" s="544" t="n">
        <v>42115</v>
      </c>
      <c r="B9219" s="538" t="n">
        <v>60.12</v>
      </c>
      <c r="C9219" s="538" t="n">
        <v>55.58</v>
      </c>
      <c r="D9219" s="538" t="n">
        <v>58.74</v>
      </c>
      <c r="E9219" s="538" t="n">
        <v>74</v>
      </c>
    </row>
    <row r="9220">
      <c r="A9220" s="544" t="n">
        <v>42116</v>
      </c>
      <c r="B9220" s="538" t="n">
        <v>60.12</v>
      </c>
      <c r="C9220" s="538" t="n">
        <v>56.17</v>
      </c>
      <c r="D9220" s="538" t="n">
        <v>59.79</v>
      </c>
      <c r="E9220" s="538" t="n">
        <v>72.88</v>
      </c>
    </row>
    <row r="9221">
      <c r="A9221" s="544" t="n">
        <v>42117</v>
      </c>
      <c r="B9221" s="538" t="n">
        <v>62.66</v>
      </c>
      <c r="C9221" s="538" t="n">
        <v>56.59</v>
      </c>
      <c r="D9221" s="538" t="n">
        <v>61.37</v>
      </c>
      <c r="E9221" s="538" t="n">
        <v>73.3</v>
      </c>
    </row>
    <row r="9222">
      <c r="A9222" s="544" t="n">
        <v>42118</v>
      </c>
      <c r="B9222" s="538" t="n">
        <v>62.96</v>
      </c>
      <c r="C9222" s="538" t="n">
        <v>55.98</v>
      </c>
      <c r="D9222" s="538" t="n">
        <v>61.76</v>
      </c>
      <c r="E9222" s="538" t="n">
        <v>75.95</v>
      </c>
    </row>
    <row r="9223">
      <c r="A9223" s="544" t="n">
        <v>42121</v>
      </c>
      <c r="B9223" s="538" t="n">
        <v>62.86</v>
      </c>
      <c r="C9223" s="538" t="n">
        <v>55.56</v>
      </c>
      <c r="D9223" s="538" t="n">
        <v>61.1</v>
      </c>
      <c r="E9223" s="538" t="n">
        <v>76</v>
      </c>
    </row>
    <row r="9224">
      <c r="A9224" s="544" t="n">
        <v>42122</v>
      </c>
      <c r="B9224" s="538" t="n">
        <v>62.61</v>
      </c>
      <c r="C9224" s="538" t="n">
        <v>57.05</v>
      </c>
      <c r="D9224" s="538" t="n">
        <v>61.09</v>
      </c>
      <c r="E9224" s="538" t="n">
        <v>74.84999999999999</v>
      </c>
    </row>
    <row r="9225">
      <c r="A9225" s="544" t="n">
        <v>42123</v>
      </c>
      <c r="B9225" s="538" t="n">
        <v>63.97</v>
      </c>
      <c r="C9225" s="538" t="n">
        <v>58.55</v>
      </c>
      <c r="D9225" s="538" t="n">
        <v>62.45</v>
      </c>
      <c r="E9225" s="538" t="n">
        <v>74.65000000000001</v>
      </c>
    </row>
    <row r="9226">
      <c r="A9226" s="544" t="n">
        <v>42124</v>
      </c>
      <c r="B9226" s="538" t="n">
        <v>63.9</v>
      </c>
      <c r="C9226" s="538" t="n">
        <v>59.62</v>
      </c>
      <c r="D9226" s="538" t="n">
        <v>63.52</v>
      </c>
      <c r="E9226" s="538" t="n">
        <v>76.84999999999999</v>
      </c>
    </row>
    <row r="9227">
      <c r="A9227" s="544" t="n">
        <v>42125</v>
      </c>
      <c r="B9227" s="538" t="n">
        <v>64.13</v>
      </c>
      <c r="C9227" s="538" t="n">
        <v>59.1</v>
      </c>
      <c r="D9227" s="538" t="n">
        <v>63.92</v>
      </c>
      <c r="E9227" s="538" t="n">
        <v>76.84999999999999</v>
      </c>
    </row>
    <row r="9228">
      <c r="A9228" s="544" t="n">
        <v>42128</v>
      </c>
      <c r="B9228" s="538" t="n">
        <v>64.62</v>
      </c>
      <c r="C9228" s="538" t="n">
        <v>58.92</v>
      </c>
      <c r="D9228" s="538" t="n">
        <v>64.08</v>
      </c>
      <c r="E9228" s="538" t="n">
        <v>77.73999999999999</v>
      </c>
    </row>
    <row r="9229">
      <c r="A9229" s="544" t="n">
        <v>42129</v>
      </c>
      <c r="B9229" s="538" t="n">
        <v>65.44</v>
      </c>
      <c r="C9229" s="538" t="n">
        <v>60.38</v>
      </c>
      <c r="D9229" s="538" t="n">
        <v>65.84999999999999</v>
      </c>
      <c r="E9229" s="538" t="n">
        <v>77.68000000000001</v>
      </c>
    </row>
    <row r="9230">
      <c r="A9230" s="544" t="n">
        <v>42130</v>
      </c>
      <c r="B9230" s="538" t="n">
        <v>66.22</v>
      </c>
      <c r="C9230" s="538" t="n">
        <v>60.93</v>
      </c>
      <c r="D9230" s="538" t="n">
        <v>65.5</v>
      </c>
      <c r="E9230" s="538" t="n">
        <v>80.09</v>
      </c>
    </row>
    <row r="9231">
      <c r="A9231" s="544" t="n">
        <v>42131</v>
      </c>
      <c r="B9231" s="538" t="n">
        <v>64.93000000000001</v>
      </c>
      <c r="C9231" s="538" t="n">
        <v>58.99</v>
      </c>
      <c r="D9231" s="538" t="n">
        <v>63.58</v>
      </c>
      <c r="E9231" s="538" t="n">
        <v>80.41</v>
      </c>
    </row>
    <row r="9232">
      <c r="A9232" s="544" t="n">
        <v>42132</v>
      </c>
      <c r="B9232" s="538" t="n">
        <v>63.82</v>
      </c>
      <c r="C9232" s="538" t="n">
        <v>59.41</v>
      </c>
      <c r="D9232" s="538" t="n">
        <v>63.52</v>
      </c>
      <c r="E9232" s="538" t="n">
        <v>78.40000000000001</v>
      </c>
    </row>
    <row r="9233">
      <c r="A9233" s="544" t="n">
        <v>42135</v>
      </c>
      <c r="B9233" s="538" t="n">
        <v>62.82</v>
      </c>
      <c r="C9233" s="538" t="n">
        <v>59.23</v>
      </c>
      <c r="D9233" s="538" t="n">
        <v>63.11</v>
      </c>
      <c r="E9233" s="538" t="n">
        <v>78.15000000000001</v>
      </c>
    </row>
    <row r="9234">
      <c r="A9234" s="544" t="n">
        <v>42136</v>
      </c>
      <c r="B9234" s="538" t="n">
        <v>65.09</v>
      </c>
      <c r="C9234" s="538" t="n">
        <v>60.72</v>
      </c>
      <c r="D9234" s="538" t="n">
        <v>65.55</v>
      </c>
      <c r="E9234" s="538" t="n">
        <v>78.14</v>
      </c>
    </row>
    <row r="9235">
      <c r="A9235" s="544" t="n">
        <v>42137</v>
      </c>
      <c r="B9235" s="538" t="n">
        <v>66.33</v>
      </c>
      <c r="C9235" s="538" t="n">
        <v>60.5</v>
      </c>
      <c r="D9235" s="538" t="n">
        <v>64.28</v>
      </c>
      <c r="E9235" s="538" t="n">
        <v>79.88</v>
      </c>
    </row>
    <row r="9236">
      <c r="A9236" s="544" t="n">
        <v>42138</v>
      </c>
      <c r="B9236" s="538" t="n">
        <v>65.58</v>
      </c>
      <c r="C9236" s="538" t="n">
        <v>59.89</v>
      </c>
      <c r="D9236" s="538" t="n">
        <v>64.31999999999999</v>
      </c>
      <c r="E9236" s="538" t="n">
        <v>79.04000000000001</v>
      </c>
    </row>
    <row r="9237">
      <c r="A9237" s="544" t="n">
        <v>42139</v>
      </c>
      <c r="B9237" s="538" t="n">
        <v>64.69</v>
      </c>
      <c r="C9237" s="538" t="n">
        <v>59.73</v>
      </c>
      <c r="D9237" s="538" t="n">
        <v>64.43000000000001</v>
      </c>
      <c r="E9237" s="538" t="n">
        <v>79.18000000000001</v>
      </c>
    </row>
    <row r="9238">
      <c r="A9238" s="544" t="n">
        <v>42142</v>
      </c>
      <c r="B9238" s="538" t="n">
        <v>65.15000000000001</v>
      </c>
      <c r="C9238" s="538" t="n">
        <v>59.44</v>
      </c>
      <c r="D9238" s="538" t="n">
        <v>63.5</v>
      </c>
      <c r="E9238" s="538" t="n">
        <v>79.66</v>
      </c>
    </row>
    <row r="9239">
      <c r="A9239" s="544" t="n">
        <v>42143</v>
      </c>
      <c r="B9239" s="538" t="n">
        <v>63.48</v>
      </c>
      <c r="C9239" s="538" t="n">
        <v>57.3</v>
      </c>
      <c r="D9239" s="538" t="n">
        <v>61.93</v>
      </c>
      <c r="E9239" s="538" t="n">
        <v>77.41</v>
      </c>
    </row>
    <row r="9240">
      <c r="A9240" s="544" t="n">
        <v>42144</v>
      </c>
      <c r="B9240" s="538" t="n">
        <v>63.52</v>
      </c>
      <c r="C9240" s="538" t="n">
        <v>58.96</v>
      </c>
      <c r="D9240" s="538" t="n">
        <v>61.85</v>
      </c>
      <c r="E9240" s="538" t="n">
        <v>76.53</v>
      </c>
    </row>
    <row r="9241">
      <c r="A9241" s="544" t="n">
        <v>42145</v>
      </c>
      <c r="B9241" s="538" t="n">
        <v>64.7</v>
      </c>
      <c r="C9241" s="538" t="n">
        <v>60.18</v>
      </c>
      <c r="D9241" s="538" t="n">
        <v>63.42</v>
      </c>
      <c r="E9241" s="538" t="n">
        <v>76.77</v>
      </c>
    </row>
    <row r="9242">
      <c r="A9242" s="544" t="n">
        <v>42146</v>
      </c>
      <c r="B9242" s="538" t="n">
        <v>64.7</v>
      </c>
      <c r="C9242" s="538" t="n">
        <v>58.88</v>
      </c>
      <c r="D9242" s="538" t="n">
        <v>62.42</v>
      </c>
      <c r="E9242" s="538" t="n">
        <v>78.06</v>
      </c>
    </row>
    <row r="9243">
      <c r="A9243" s="544" t="n">
        <v>42149</v>
      </c>
      <c r="B9243" s="538" t="n">
        <v>64.7</v>
      </c>
      <c r="C9243" s="538" t="n">
        <v>58.88</v>
      </c>
      <c r="D9243" s="538" t="n">
        <v>62.92</v>
      </c>
      <c r="E9243" s="538" t="n">
        <v>76.33</v>
      </c>
    </row>
    <row r="9244">
      <c r="A9244" s="544" t="n">
        <v>42150</v>
      </c>
      <c r="B9244" s="538" t="n">
        <v>61.65</v>
      </c>
      <c r="C9244" s="538" t="n">
        <v>57.29</v>
      </c>
      <c r="D9244" s="538" t="n">
        <v>61.12</v>
      </c>
      <c r="E9244" s="538" t="n">
        <v>76.8</v>
      </c>
    </row>
    <row r="9245">
      <c r="A9245" s="544" t="n">
        <v>42151</v>
      </c>
      <c r="B9245" s="538" t="n">
        <v>61.35</v>
      </c>
      <c r="C9245" s="538" t="n">
        <v>57.51</v>
      </c>
      <c r="D9245" s="538" t="n">
        <v>58.98</v>
      </c>
      <c r="E9245" s="538" t="n">
        <v>76.01000000000001</v>
      </c>
    </row>
    <row r="9246">
      <c r="A9246" s="544" t="n">
        <v>42152</v>
      </c>
      <c r="B9246" s="538" t="n">
        <v>60.12</v>
      </c>
      <c r="C9246" s="538" t="n">
        <v>57.69</v>
      </c>
      <c r="D9246" s="538" t="n">
        <v>60.07</v>
      </c>
      <c r="E9246" s="538" t="n">
        <v>74.19</v>
      </c>
    </row>
    <row r="9247">
      <c r="A9247" s="544" t="n">
        <v>42153</v>
      </c>
      <c r="B9247" s="538" t="n">
        <v>63.16</v>
      </c>
      <c r="C9247" s="538" t="n">
        <v>60.25</v>
      </c>
      <c r="D9247" s="538" t="n">
        <v>63.37</v>
      </c>
      <c r="E9247" s="538" t="n">
        <v>74.68000000000001</v>
      </c>
    </row>
    <row r="9248">
      <c r="A9248" s="544" t="n">
        <v>42156</v>
      </c>
      <c r="B9248" s="538" t="n">
        <v>62.87</v>
      </c>
      <c r="C9248" s="538" t="n">
        <v>60.24</v>
      </c>
      <c r="D9248" s="538" t="n">
        <v>63.05</v>
      </c>
      <c r="E9248" s="538" t="n">
        <v>74.68000000000001</v>
      </c>
    </row>
    <row r="9249">
      <c r="A9249" s="544" t="n">
        <v>42157</v>
      </c>
      <c r="B9249" s="538" t="n">
        <v>63.14</v>
      </c>
      <c r="C9249" s="538" t="n">
        <v>61.3</v>
      </c>
      <c r="D9249" s="538" t="n">
        <v>63.28</v>
      </c>
      <c r="E9249" s="538" t="n">
        <v>77.31999999999999</v>
      </c>
    </row>
    <row r="9250">
      <c r="A9250" s="544" t="n">
        <v>42158</v>
      </c>
      <c r="B9250" s="538" t="n">
        <v>62.78</v>
      </c>
      <c r="C9250" s="538" t="n">
        <v>59.67</v>
      </c>
      <c r="D9250" s="538" t="n">
        <v>61.83</v>
      </c>
      <c r="E9250" s="538" t="n">
        <v>76.77</v>
      </c>
    </row>
    <row r="9251">
      <c r="A9251" s="544" t="n">
        <v>42159</v>
      </c>
      <c r="B9251" s="538" t="n">
        <v>60.34</v>
      </c>
      <c r="C9251" s="538" t="n">
        <v>58</v>
      </c>
      <c r="D9251" s="538" t="n">
        <v>60.2</v>
      </c>
      <c r="E9251" s="538" t="n">
        <v>74.48999999999999</v>
      </c>
    </row>
    <row r="9252">
      <c r="A9252" s="544" t="n">
        <v>42160</v>
      </c>
      <c r="B9252" s="538" t="n">
        <v>60.36</v>
      </c>
      <c r="C9252" s="538" t="n">
        <v>59.11</v>
      </c>
      <c r="D9252" s="538" t="n">
        <v>61.48</v>
      </c>
      <c r="E9252" s="538" t="n">
        <v>72.25</v>
      </c>
    </row>
    <row r="9253">
      <c r="A9253" s="544" t="n">
        <v>42163</v>
      </c>
      <c r="B9253" s="538" t="n">
        <v>61.33</v>
      </c>
      <c r="C9253" s="538" t="n">
        <v>58.15</v>
      </c>
      <c r="D9253" s="538" t="n">
        <v>60.74</v>
      </c>
      <c r="E9253" s="538" t="n">
        <v>73.36</v>
      </c>
    </row>
    <row r="9254">
      <c r="A9254" s="544" t="n">
        <v>42164</v>
      </c>
      <c r="B9254" s="538" t="n">
        <v>63.23</v>
      </c>
      <c r="C9254" s="538" t="n">
        <v>60.15</v>
      </c>
      <c r="D9254" s="538" t="n">
        <v>63.15</v>
      </c>
      <c r="E9254" s="538" t="n">
        <v>73.73</v>
      </c>
    </row>
    <row r="9255">
      <c r="A9255" s="544" t="n">
        <v>42165</v>
      </c>
      <c r="B9255" s="538" t="n">
        <v>64.68000000000001</v>
      </c>
      <c r="C9255" s="538" t="n">
        <v>61.36</v>
      </c>
      <c r="D9255" s="538" t="n">
        <v>63.3</v>
      </c>
      <c r="E9255" s="538" t="n">
        <v>77</v>
      </c>
    </row>
    <row r="9256">
      <c r="A9256" s="544" t="n">
        <v>42166</v>
      </c>
      <c r="B9256" s="538" t="n">
        <v>63.76</v>
      </c>
      <c r="C9256" s="538" t="n">
        <v>60.74</v>
      </c>
      <c r="D9256" s="538" t="n">
        <v>63.16</v>
      </c>
      <c r="E9256" s="538" t="n">
        <v>76.88</v>
      </c>
    </row>
    <row r="9257">
      <c r="A9257" s="544" t="n">
        <v>42167</v>
      </c>
      <c r="B9257" s="538" t="n">
        <v>63.19</v>
      </c>
      <c r="C9257" s="538" t="n">
        <v>59.96</v>
      </c>
      <c r="D9257" s="538" t="n">
        <v>62.07</v>
      </c>
      <c r="E9257" s="538" t="n">
        <v>75.45</v>
      </c>
    </row>
    <row r="9258">
      <c r="A9258" s="544" t="n">
        <v>42170</v>
      </c>
      <c r="B9258" s="538" t="n">
        <v>60.99</v>
      </c>
      <c r="C9258" s="538" t="n">
        <v>59.53</v>
      </c>
      <c r="D9258" s="538" t="n">
        <v>61.6</v>
      </c>
      <c r="E9258" s="538" t="n">
        <v>74.38</v>
      </c>
    </row>
    <row r="9259">
      <c r="A9259" s="544" t="n">
        <v>42171</v>
      </c>
      <c r="B9259" s="538" t="n">
        <v>60.75</v>
      </c>
      <c r="C9259" s="538" t="n">
        <v>60.01</v>
      </c>
      <c r="D9259" s="538" t="n">
        <v>61.43</v>
      </c>
      <c r="E9259" s="538" t="n">
        <v>74.20999999999999</v>
      </c>
    </row>
    <row r="9260">
      <c r="A9260" s="544" t="n">
        <v>42172</v>
      </c>
      <c r="B9260" s="538" t="n">
        <v>60.75</v>
      </c>
      <c r="C9260" s="538" t="n">
        <v>59.89</v>
      </c>
      <c r="D9260" s="538" t="n">
        <v>61.34</v>
      </c>
      <c r="E9260" s="538" t="n">
        <v>74.93000000000001</v>
      </c>
    </row>
    <row r="9261">
      <c r="A9261" s="544" t="n">
        <v>42173</v>
      </c>
      <c r="B9261" s="538" t="n">
        <v>61.37</v>
      </c>
      <c r="C9261" s="538" t="n">
        <v>60.41</v>
      </c>
      <c r="D9261" s="538" t="n">
        <v>62.25</v>
      </c>
      <c r="E9261" s="538" t="n">
        <v>75.54000000000001</v>
      </c>
    </row>
    <row r="9262">
      <c r="A9262" s="544" t="n">
        <v>42174</v>
      </c>
      <c r="B9262" s="538" t="n">
        <v>59.41</v>
      </c>
      <c r="C9262" s="538" t="n">
        <v>59.62</v>
      </c>
      <c r="D9262" s="538" t="n">
        <v>61.18</v>
      </c>
      <c r="E9262" s="538" t="n">
        <v>75.31</v>
      </c>
    </row>
    <row r="9263">
      <c r="A9263" s="544" t="n">
        <v>42177</v>
      </c>
      <c r="B9263" s="538" t="n">
        <v>60.54</v>
      </c>
      <c r="C9263" s="538" t="n">
        <v>60.01</v>
      </c>
      <c r="D9263" s="538" t="n">
        <v>61.41</v>
      </c>
      <c r="E9263" s="538" t="n">
        <v>74.31999999999999</v>
      </c>
    </row>
    <row r="9264">
      <c r="A9264" s="544" t="n">
        <v>42178</v>
      </c>
      <c r="B9264" s="538" t="n">
        <v>61.67</v>
      </c>
      <c r="C9264" s="538" t="n">
        <v>61.05</v>
      </c>
      <c r="D9264" s="538" t="n">
        <v>62.31</v>
      </c>
      <c r="E9264" s="538" t="n">
        <v>73.76000000000001</v>
      </c>
    </row>
    <row r="9265">
      <c r="A9265" s="544" t="n">
        <v>42179</v>
      </c>
      <c r="B9265" s="538" t="n">
        <v>61.63</v>
      </c>
      <c r="C9265" s="538" t="n">
        <v>60.01</v>
      </c>
      <c r="D9265" s="538" t="n">
        <v>61.08</v>
      </c>
      <c r="E9265" s="538" t="n">
        <v>75.76000000000001</v>
      </c>
    </row>
    <row r="9266">
      <c r="A9266" s="544" t="n">
        <v>42180</v>
      </c>
      <c r="B9266" s="538" t="n">
        <v>60.24</v>
      </c>
      <c r="C9266" s="538" t="n">
        <v>59.59</v>
      </c>
      <c r="D9266" s="538" t="n">
        <v>60.81</v>
      </c>
      <c r="E9266" s="538" t="n">
        <v>73.98999999999999</v>
      </c>
    </row>
    <row r="9267">
      <c r="A9267" s="544" t="n">
        <v>42181</v>
      </c>
      <c r="B9267" s="538" t="n">
        <v>60.14</v>
      </c>
      <c r="C9267" s="538" t="n">
        <v>59.41</v>
      </c>
      <c r="D9267" s="538" t="n">
        <v>61.16</v>
      </c>
      <c r="E9267" s="538" t="n">
        <v>73.38</v>
      </c>
    </row>
    <row r="9268">
      <c r="A9268" s="544" t="n">
        <v>42184</v>
      </c>
      <c r="B9268" s="538" t="n">
        <v>59.03</v>
      </c>
      <c r="C9268" s="538" t="n">
        <v>58.34</v>
      </c>
      <c r="D9268" s="538" t="n">
        <v>59.81</v>
      </c>
      <c r="E9268" s="538" t="n">
        <v>71.84999999999999</v>
      </c>
    </row>
    <row r="9269">
      <c r="A9269" s="544" t="n">
        <v>42185</v>
      </c>
      <c r="B9269" s="538" t="n">
        <v>60.31</v>
      </c>
      <c r="C9269" s="538" t="n">
        <v>59.48</v>
      </c>
      <c r="D9269" s="538" t="n">
        <v>61.62</v>
      </c>
      <c r="E9269" s="538" t="n">
        <v>72.56999999999999</v>
      </c>
    </row>
    <row r="9270">
      <c r="A9270" s="544" t="n">
        <v>42186</v>
      </c>
      <c r="B9270" s="538" t="n">
        <v>61.65</v>
      </c>
      <c r="C9270" s="538" t="n">
        <v>56.94</v>
      </c>
      <c r="D9270" s="538" t="n">
        <v>61.03</v>
      </c>
      <c r="E9270" s="538" t="n">
        <v>73.18000000000001</v>
      </c>
    </row>
    <row r="9271">
      <c r="A9271" s="544" t="n">
        <v>42187</v>
      </c>
      <c r="B9271" s="538" t="n">
        <v>61.73</v>
      </c>
      <c r="C9271" s="538" t="n">
        <v>56.93</v>
      </c>
      <c r="D9271" s="538" t="n">
        <v>60.61</v>
      </c>
      <c r="E9271" s="538" t="n">
        <v>71.93000000000001</v>
      </c>
    </row>
    <row r="9272">
      <c r="A9272" s="544" t="n">
        <v>42188</v>
      </c>
      <c r="B9272" s="538" t="n">
        <v>59.06</v>
      </c>
      <c r="C9272" s="538" t="n">
        <v>56.93</v>
      </c>
      <c r="D9272" s="538" t="n">
        <v>59.29</v>
      </c>
      <c r="E9272" s="538" t="n">
        <v>71.67</v>
      </c>
    </row>
    <row r="9273">
      <c r="A9273" s="544" t="n">
        <v>42191</v>
      </c>
      <c r="B9273" s="538" t="n">
        <v>57.19</v>
      </c>
      <c r="C9273" s="538" t="n">
        <v>52.48</v>
      </c>
      <c r="D9273" s="538" t="n">
        <v>55.71</v>
      </c>
      <c r="E9273" s="538" t="n">
        <v>69.03</v>
      </c>
    </row>
    <row r="9274">
      <c r="A9274" s="544" t="n">
        <v>42192</v>
      </c>
      <c r="B9274" s="538" t="n">
        <v>54.72</v>
      </c>
      <c r="C9274" s="538" t="n">
        <v>52.33</v>
      </c>
      <c r="D9274" s="538" t="n">
        <v>56.6</v>
      </c>
      <c r="E9274" s="538" t="n">
        <v>66.92</v>
      </c>
    </row>
    <row r="9275">
      <c r="A9275" s="544" t="n">
        <v>42193</v>
      </c>
      <c r="B9275" s="538" t="n">
        <v>55.7</v>
      </c>
      <c r="C9275" s="538" t="n">
        <v>51.61</v>
      </c>
      <c r="D9275" s="538" t="n">
        <v>56.45</v>
      </c>
      <c r="E9275" s="538" t="n">
        <v>65.26000000000001</v>
      </c>
    </row>
    <row r="9276">
      <c r="A9276" s="544" t="n">
        <v>42194</v>
      </c>
      <c r="B9276" s="538" t="n">
        <v>57.83</v>
      </c>
      <c r="C9276" s="538" t="n">
        <v>52.76</v>
      </c>
      <c r="D9276" s="538" t="n">
        <v>57.9</v>
      </c>
      <c r="E9276" s="538" t="n">
        <v>66.70999999999999</v>
      </c>
    </row>
    <row r="9277">
      <c r="A9277" s="544" t="n">
        <v>42195</v>
      </c>
      <c r="B9277" s="538" t="n">
        <v>57.72</v>
      </c>
      <c r="C9277" s="538" t="n">
        <v>52.74</v>
      </c>
      <c r="D9277" s="538" t="n">
        <v>58.16</v>
      </c>
      <c r="E9277" s="538" t="n">
        <v>66.84999999999999</v>
      </c>
    </row>
    <row r="9278">
      <c r="A9278" s="544" t="n">
        <v>42198</v>
      </c>
      <c r="B9278" s="538" t="n">
        <v>57.63</v>
      </c>
      <c r="C9278" s="538" t="n">
        <v>52.19</v>
      </c>
      <c r="D9278" s="538" t="n">
        <v>57.13</v>
      </c>
      <c r="E9278" s="538" t="n">
        <v>66.59</v>
      </c>
    </row>
    <row r="9279">
      <c r="A9279" s="544" t="n">
        <v>42199</v>
      </c>
      <c r="B9279" s="538" t="n">
        <v>57.2</v>
      </c>
      <c r="C9279" s="538" t="n">
        <v>53.05</v>
      </c>
      <c r="D9279" s="538" t="n">
        <v>57.9</v>
      </c>
      <c r="E9279" s="538" t="n">
        <v>66.03</v>
      </c>
    </row>
    <row r="9280">
      <c r="A9280" s="544" t="n">
        <v>42200</v>
      </c>
      <c r="B9280" s="538" t="n">
        <v>57.34</v>
      </c>
      <c r="C9280" s="538" t="n">
        <v>51.4</v>
      </c>
      <c r="D9280" s="538" t="n">
        <v>56.01</v>
      </c>
      <c r="E9280" s="538" t="n">
        <v>66.83</v>
      </c>
    </row>
    <row r="9281">
      <c r="A9281" s="544" t="n">
        <v>42201</v>
      </c>
      <c r="B9281" s="538" t="n">
        <v>57.31</v>
      </c>
      <c r="C9281" s="538" t="n">
        <v>50.9</v>
      </c>
      <c r="D9281" s="538" t="n">
        <v>56.04</v>
      </c>
      <c r="E9281" s="538" t="n">
        <v>65.52</v>
      </c>
    </row>
    <row r="9282">
      <c r="A9282" s="544" t="n">
        <v>42202</v>
      </c>
      <c r="B9282" s="538" t="n">
        <v>56.38</v>
      </c>
      <c r="C9282" s="538" t="n">
        <v>50.88</v>
      </c>
      <c r="D9282" s="538" t="n">
        <v>55.88</v>
      </c>
      <c r="E9282" s="538" t="n">
        <v>65.52</v>
      </c>
    </row>
    <row r="9283">
      <c r="A9283" s="544" t="n">
        <v>42205</v>
      </c>
      <c r="B9283" s="538" t="n">
        <v>56.42</v>
      </c>
      <c r="C9283" s="538" t="n">
        <v>50.11</v>
      </c>
      <c r="D9283" s="538" t="n">
        <v>55.36</v>
      </c>
      <c r="E9283" s="538" t="n">
        <v>64.92</v>
      </c>
    </row>
    <row r="9284">
      <c r="A9284" s="544" t="n">
        <v>42206</v>
      </c>
      <c r="B9284" s="538" t="n">
        <v>55.94</v>
      </c>
      <c r="C9284" s="538" t="n">
        <v>50.59</v>
      </c>
      <c r="D9284" s="538" t="n">
        <v>55.97</v>
      </c>
      <c r="E9284" s="538" t="n">
        <v>64.38</v>
      </c>
    </row>
    <row r="9285">
      <c r="A9285" s="544" t="n">
        <v>42207</v>
      </c>
      <c r="B9285" s="538" t="n">
        <v>56.36</v>
      </c>
      <c r="C9285" s="538" t="n">
        <v>49.27</v>
      </c>
      <c r="D9285" s="538" t="n">
        <v>55.36</v>
      </c>
      <c r="E9285" s="538" t="n">
        <v>64.5</v>
      </c>
    </row>
    <row r="9286">
      <c r="A9286" s="544" t="n">
        <v>42208</v>
      </c>
      <c r="B9286" s="538" t="n">
        <v>55.76</v>
      </c>
      <c r="C9286" s="538" t="n">
        <v>48.11</v>
      </c>
      <c r="D9286" s="538" t="n">
        <v>54.83</v>
      </c>
      <c r="E9286" s="538" t="n">
        <v>64.78</v>
      </c>
    </row>
    <row r="9287">
      <c r="A9287" s="544" t="n">
        <v>42209</v>
      </c>
      <c r="B9287" s="538" t="n">
        <v>54.29</v>
      </c>
      <c r="C9287" s="538" t="n">
        <v>47.98</v>
      </c>
      <c r="D9287" s="538" t="n">
        <v>53.79</v>
      </c>
      <c r="E9287" s="538" t="n">
        <v>64.2</v>
      </c>
    </row>
    <row r="9288">
      <c r="A9288" s="544" t="n">
        <v>42212</v>
      </c>
      <c r="B9288" s="538" t="n">
        <v>54.07</v>
      </c>
      <c r="C9288" s="538" t="n">
        <v>47.17</v>
      </c>
      <c r="D9288" s="538" t="n">
        <v>52.41</v>
      </c>
      <c r="E9288" s="538" t="n">
        <v>64.75</v>
      </c>
    </row>
    <row r="9289">
      <c r="A9289" s="544" t="n">
        <v>42213</v>
      </c>
      <c r="B9289" s="538" t="n">
        <v>54.3</v>
      </c>
      <c r="C9289" s="538" t="n">
        <v>47.97</v>
      </c>
      <c r="D9289" s="538" t="n">
        <v>52.46</v>
      </c>
      <c r="E9289" s="538" t="n">
        <v>61.16</v>
      </c>
    </row>
    <row r="9290">
      <c r="A9290" s="544" t="n">
        <v>42214</v>
      </c>
      <c r="B9290" s="538" t="n">
        <v>54.73</v>
      </c>
      <c r="C9290" s="538" t="n">
        <v>48.77</v>
      </c>
      <c r="D9290" s="538" t="n">
        <v>53.54</v>
      </c>
      <c r="E9290" s="538" t="n">
        <v>61.16</v>
      </c>
    </row>
    <row r="9291">
      <c r="A9291" s="544" t="n">
        <v>42215</v>
      </c>
      <c r="B9291" s="538" t="n">
        <v>54.29</v>
      </c>
      <c r="C9291" s="538" t="n">
        <v>48.53</v>
      </c>
      <c r="D9291" s="538" t="n">
        <v>53.46</v>
      </c>
      <c r="E9291" s="538" t="n">
        <v>62.3</v>
      </c>
    </row>
    <row r="9292">
      <c r="A9292" s="544" t="n">
        <v>42216</v>
      </c>
      <c r="B9292" s="538" t="n">
        <v>53.29</v>
      </c>
      <c r="C9292" s="538" t="n">
        <v>47.11</v>
      </c>
      <c r="D9292" s="538" t="n">
        <v>52.34</v>
      </c>
      <c r="E9292" s="538" t="n">
        <v>61.38</v>
      </c>
    </row>
    <row r="9293">
      <c r="A9293" s="544" t="n">
        <v>42219</v>
      </c>
      <c r="B9293" s="538" t="n">
        <v>49.49</v>
      </c>
      <c r="C9293" s="538" t="n">
        <v>45.25</v>
      </c>
      <c r="D9293" s="538" t="n">
        <v>49.98</v>
      </c>
      <c r="E9293" s="538" t="n">
        <v>59.68</v>
      </c>
    </row>
    <row r="9294">
      <c r="A9294" s="544" t="n">
        <v>42220</v>
      </c>
      <c r="B9294" s="538" t="n">
        <v>49.08</v>
      </c>
      <c r="C9294" s="538" t="n">
        <v>45.75</v>
      </c>
      <c r="D9294" s="538" t="n">
        <v>50.23</v>
      </c>
      <c r="E9294" s="538" t="n">
        <v>58.82</v>
      </c>
    </row>
    <row r="9295">
      <c r="A9295" s="544" t="n">
        <v>42221</v>
      </c>
      <c r="B9295" s="538" t="n">
        <v>49.04</v>
      </c>
      <c r="C9295" s="538" t="n">
        <v>45.13</v>
      </c>
      <c r="D9295" s="538" t="n">
        <v>49.82</v>
      </c>
      <c r="E9295" s="538" t="n">
        <v>58.64</v>
      </c>
    </row>
    <row r="9296">
      <c r="A9296" s="544" t="n">
        <v>42222</v>
      </c>
      <c r="B9296" s="538" t="n">
        <v>47.8</v>
      </c>
      <c r="C9296" s="538" t="n">
        <v>44.69</v>
      </c>
      <c r="D9296" s="538" t="n">
        <v>49.91</v>
      </c>
      <c r="E9296" s="538" t="n">
        <v>57.92</v>
      </c>
    </row>
    <row r="9297">
      <c r="A9297" s="544" t="n">
        <v>42223</v>
      </c>
      <c r="B9297" s="538" t="n">
        <v>47.54</v>
      </c>
      <c r="C9297" s="538" t="n">
        <v>43.87</v>
      </c>
      <c r="D9297" s="538" t="n">
        <v>49.01</v>
      </c>
      <c r="E9297" s="538" t="n">
        <v>57.92</v>
      </c>
    </row>
    <row r="9298">
      <c r="A9298" s="544" t="n">
        <v>42226</v>
      </c>
      <c r="B9298" s="538" t="n">
        <v>48.3</v>
      </c>
      <c r="C9298" s="538" t="n">
        <v>44.94</v>
      </c>
      <c r="D9298" s="538" t="n">
        <v>50.7</v>
      </c>
      <c r="E9298" s="538" t="n">
        <v>57.92</v>
      </c>
    </row>
    <row r="9299">
      <c r="A9299" s="544" t="n">
        <v>42227</v>
      </c>
      <c r="B9299" s="538" t="n">
        <v>47.33</v>
      </c>
      <c r="C9299" s="538" t="n">
        <v>43.11</v>
      </c>
      <c r="D9299" s="538" t="n">
        <v>49.52</v>
      </c>
      <c r="E9299" s="538" t="n">
        <v>59.79</v>
      </c>
    </row>
    <row r="9300">
      <c r="A9300" s="544" t="n">
        <v>42228</v>
      </c>
      <c r="B9300" s="538" t="n">
        <v>48.29</v>
      </c>
      <c r="C9300" s="538" t="n">
        <v>43.22</v>
      </c>
      <c r="D9300" s="538" t="n">
        <v>50.08</v>
      </c>
      <c r="E9300" s="538" t="n">
        <v>58.15</v>
      </c>
    </row>
    <row r="9301">
      <c r="A9301" s="544" t="n">
        <v>42229</v>
      </c>
      <c r="B9301" s="538" t="n">
        <v>48.01</v>
      </c>
      <c r="C9301" s="538" t="n">
        <v>42.27</v>
      </c>
      <c r="D9301" s="538" t="n">
        <v>49.22</v>
      </c>
      <c r="E9301" s="538" t="n">
        <v>59.56</v>
      </c>
    </row>
    <row r="9302">
      <c r="A9302" s="544" t="n">
        <v>42230</v>
      </c>
      <c r="B9302" s="538" t="n">
        <v>47.79</v>
      </c>
      <c r="C9302" s="538" t="n">
        <v>42.45</v>
      </c>
      <c r="D9302" s="538" t="n">
        <v>49.22</v>
      </c>
      <c r="E9302" s="538" t="n">
        <v>59.56</v>
      </c>
    </row>
    <row r="9303">
      <c r="A9303" s="544" t="n">
        <v>42233</v>
      </c>
      <c r="B9303" s="538" t="n">
        <v>47.77</v>
      </c>
      <c r="C9303" s="538" t="n">
        <v>41.93</v>
      </c>
      <c r="D9303" s="538" t="n">
        <v>48.47</v>
      </c>
      <c r="E9303" s="538" t="n">
        <v>58.17</v>
      </c>
    </row>
    <row r="9304">
      <c r="A9304" s="544" t="n">
        <v>42234</v>
      </c>
      <c r="B9304" s="538" t="n">
        <v>47</v>
      </c>
      <c r="C9304" s="538" t="n">
        <v>42.58</v>
      </c>
      <c r="D9304" s="538" t="n">
        <v>48.14</v>
      </c>
      <c r="E9304" s="538" t="n">
        <v>57.97</v>
      </c>
    </row>
    <row r="9305">
      <c r="A9305" s="544" t="n">
        <v>42235</v>
      </c>
      <c r="B9305" s="538" t="n">
        <v>45.75</v>
      </c>
      <c r="C9305" s="538" t="n">
        <v>40.75</v>
      </c>
      <c r="D9305" s="538" t="n">
        <v>46.17</v>
      </c>
      <c r="E9305" s="538" t="n">
        <v>58.81</v>
      </c>
    </row>
    <row r="9306">
      <c r="A9306" s="544" t="n">
        <v>42236</v>
      </c>
      <c r="B9306" s="538" t="n">
        <v>45.63</v>
      </c>
      <c r="C9306" s="538" t="n">
        <v>41</v>
      </c>
      <c r="D9306" s="538" t="n">
        <v>45.69</v>
      </c>
      <c r="E9306" s="538" t="n">
        <v>57.04</v>
      </c>
    </row>
    <row r="9307">
      <c r="A9307" s="544" t="n">
        <v>42237</v>
      </c>
      <c r="B9307" s="538" t="n">
        <v>43.84</v>
      </c>
      <c r="C9307" s="538" t="n">
        <v>40.45</v>
      </c>
      <c r="D9307" s="538" t="n">
        <v>44.6</v>
      </c>
      <c r="E9307" s="538" t="n">
        <v>56.15</v>
      </c>
    </row>
    <row r="9308">
      <c r="A9308" s="544" t="n">
        <v>42240</v>
      </c>
      <c r="B9308" s="538" t="n">
        <v>41.59</v>
      </c>
      <c r="C9308" s="538" t="n">
        <v>38.22</v>
      </c>
      <c r="D9308" s="538" t="n">
        <v>41.83</v>
      </c>
      <c r="E9308" s="538" t="n">
        <v>53.96</v>
      </c>
    </row>
    <row r="9309">
      <c r="A9309" s="544" t="n">
        <v>42241</v>
      </c>
      <c r="B9309" s="538" t="n">
        <v>41.86</v>
      </c>
      <c r="C9309" s="538" t="n">
        <v>39.15</v>
      </c>
      <c r="D9309" s="538" t="n">
        <v>43.63</v>
      </c>
      <c r="E9309" s="538" t="n">
        <v>53.16</v>
      </c>
    </row>
    <row r="9310">
      <c r="A9310" s="544" t="n">
        <v>42242</v>
      </c>
      <c r="B9310" s="538" t="n">
        <v>41.76</v>
      </c>
      <c r="C9310" s="538" t="n">
        <v>38.5</v>
      </c>
      <c r="D9310" s="538" t="n">
        <v>42.62</v>
      </c>
      <c r="E9310" s="538" t="n">
        <v>53.14</v>
      </c>
    </row>
    <row r="9311">
      <c r="A9311" s="544" t="n">
        <v>42243</v>
      </c>
      <c r="B9311" s="538" t="n">
        <v>44.46</v>
      </c>
      <c r="C9311" s="538" t="n">
        <v>42.47</v>
      </c>
      <c r="D9311" s="538" t="n">
        <v>46.97</v>
      </c>
      <c r="E9311" s="538" t="n">
        <v>53.97</v>
      </c>
    </row>
    <row r="9312">
      <c r="A9312" s="544" t="n">
        <v>42244</v>
      </c>
      <c r="B9312" s="538" t="n">
        <v>47.97</v>
      </c>
      <c r="C9312" s="538" t="n">
        <v>45.29</v>
      </c>
      <c r="D9312" s="538" t="n">
        <v>49.05</v>
      </c>
      <c r="E9312" s="538" t="n">
        <v>56.38</v>
      </c>
    </row>
    <row r="9313">
      <c r="A9313" s="544" t="n">
        <v>42247</v>
      </c>
      <c r="B9313" s="538" t="n">
        <v>47.97</v>
      </c>
      <c r="C9313" s="538" t="n">
        <v>49.2</v>
      </c>
      <c r="D9313" s="538" t="n">
        <v>51.88</v>
      </c>
      <c r="E9313" s="538" t="n">
        <v>58.3</v>
      </c>
    </row>
    <row r="9314">
      <c r="A9314" s="544" t="n">
        <v>42248</v>
      </c>
      <c r="B9314" s="538" t="n">
        <v>48.8</v>
      </c>
      <c r="C9314" s="538" t="n">
        <v>45.38</v>
      </c>
      <c r="D9314" s="538" t="n">
        <v>46.02</v>
      </c>
      <c r="E9314" s="538" t="n">
        <v>60.29</v>
      </c>
    </row>
    <row r="9315">
      <c r="A9315" s="544" t="n">
        <v>42249</v>
      </c>
      <c r="B9315" s="538" t="n">
        <v>47.67</v>
      </c>
      <c r="C9315" s="538" t="n">
        <v>46.3</v>
      </c>
      <c r="D9315" s="538" t="n">
        <v>48.02</v>
      </c>
      <c r="E9315" s="538" t="n">
        <v>57.37</v>
      </c>
    </row>
    <row r="9316">
      <c r="A9316" s="544" t="n">
        <v>42250</v>
      </c>
      <c r="B9316" s="538" t="n">
        <v>50.41</v>
      </c>
      <c r="C9316" s="538" t="n">
        <v>46.75</v>
      </c>
      <c r="D9316" s="538" t="n">
        <v>48.37</v>
      </c>
      <c r="E9316" s="538" t="n">
        <v>59.48</v>
      </c>
    </row>
    <row r="9317">
      <c r="A9317" s="544" t="n">
        <v>42251</v>
      </c>
      <c r="B9317" s="538" t="n">
        <v>48.59</v>
      </c>
      <c r="C9317" s="538" t="n">
        <v>46.02</v>
      </c>
      <c r="D9317" s="538" t="n">
        <v>47.28</v>
      </c>
      <c r="E9317" s="538" t="n">
        <v>60.48</v>
      </c>
    </row>
    <row r="9318">
      <c r="A9318" s="544" t="n">
        <v>42254</v>
      </c>
      <c r="B9318" s="538" t="n">
        <v>46.42</v>
      </c>
      <c r="C9318" s="538" t="n">
        <v>46.02</v>
      </c>
      <c r="D9318" s="538" t="n">
        <v>43.69</v>
      </c>
      <c r="E9318" s="538" t="n">
        <v>59.11</v>
      </c>
    </row>
    <row r="9319">
      <c r="A9319" s="544" t="n">
        <v>42255</v>
      </c>
      <c r="B9319" s="538" t="n">
        <v>48.88</v>
      </c>
      <c r="C9319" s="538" t="n">
        <v>45.92</v>
      </c>
      <c r="D9319" s="538" t="n">
        <v>46.78</v>
      </c>
      <c r="E9319" s="538" t="n">
        <v>58.01</v>
      </c>
    </row>
    <row r="9320">
      <c r="A9320" s="544" t="n">
        <v>42256</v>
      </c>
      <c r="B9320" s="538" t="n">
        <v>48.04</v>
      </c>
      <c r="C9320" s="538" t="n">
        <v>44.13</v>
      </c>
      <c r="D9320" s="538" t="n">
        <v>45.17</v>
      </c>
      <c r="E9320" s="538" t="n">
        <v>60.68</v>
      </c>
    </row>
    <row r="9321">
      <c r="A9321" s="544" t="n">
        <v>42257</v>
      </c>
      <c r="B9321" s="538" t="n">
        <v>47.77</v>
      </c>
      <c r="C9321" s="538" t="n">
        <v>45.85</v>
      </c>
      <c r="D9321" s="538" t="n">
        <v>46.41</v>
      </c>
      <c r="E9321" s="538" t="n">
        <v>57.46</v>
      </c>
    </row>
    <row r="9322">
      <c r="A9322" s="544" t="n">
        <v>42258</v>
      </c>
      <c r="B9322" s="538" t="n">
        <v>46.87</v>
      </c>
      <c r="C9322" s="538" t="n">
        <v>44.75</v>
      </c>
      <c r="D9322" s="538" t="n">
        <v>45.88</v>
      </c>
      <c r="E9322" s="538" t="n">
        <v>57.46</v>
      </c>
    </row>
    <row r="9323">
      <c r="A9323" s="544" t="n">
        <v>42261</v>
      </c>
      <c r="B9323" s="538" t="n">
        <v>45.87</v>
      </c>
      <c r="C9323" s="538" t="n">
        <v>44.07</v>
      </c>
      <c r="D9323" s="538" t="n">
        <v>43.72</v>
      </c>
      <c r="E9323" s="538" t="n">
        <v>56.81</v>
      </c>
    </row>
    <row r="9324">
      <c r="A9324" s="544" t="n">
        <v>42262</v>
      </c>
      <c r="B9324" s="538" t="n">
        <v>45.91</v>
      </c>
      <c r="C9324" s="538" t="n">
        <v>44.58</v>
      </c>
      <c r="D9324" s="538" t="n">
        <v>43.45</v>
      </c>
      <c r="E9324" s="538" t="n">
        <v>55.89</v>
      </c>
    </row>
    <row r="9325">
      <c r="A9325" s="544" t="n">
        <v>42263</v>
      </c>
      <c r="B9325" s="538" t="n">
        <v>49.35</v>
      </c>
      <c r="C9325" s="538" t="n">
        <v>47.12</v>
      </c>
      <c r="D9325" s="538" t="n">
        <v>45.54</v>
      </c>
      <c r="E9325" s="538" t="n">
        <v>58.16</v>
      </c>
    </row>
    <row r="9326">
      <c r="A9326" s="544" t="n">
        <v>42264</v>
      </c>
      <c r="B9326" s="538" t="n">
        <v>48.27</v>
      </c>
      <c r="C9326" s="538" t="n">
        <v>46.93</v>
      </c>
      <c r="D9326" s="538" t="n">
        <v>44.87</v>
      </c>
      <c r="E9326" s="538" t="n">
        <v>59.4</v>
      </c>
    </row>
    <row r="9327">
      <c r="A9327" s="544" t="n">
        <v>42265</v>
      </c>
      <c r="B9327" s="538" t="n">
        <v>47.28</v>
      </c>
      <c r="C9327" s="538" t="n">
        <v>44.71</v>
      </c>
      <c r="D9327" s="538" t="n">
        <v>43.34</v>
      </c>
      <c r="E9327" s="538" t="n">
        <v>58.99</v>
      </c>
    </row>
    <row r="9328">
      <c r="A9328" s="544" t="n">
        <v>42268</v>
      </c>
      <c r="B9328" s="538" t="n">
        <v>47.64</v>
      </c>
      <c r="C9328" s="538" t="n">
        <v>46.67</v>
      </c>
      <c r="D9328" s="538" t="n">
        <v>44.75</v>
      </c>
      <c r="E9328" s="538" t="n">
        <v>57.67</v>
      </c>
    </row>
    <row r="9329">
      <c r="A9329" s="544" t="n">
        <v>42269</v>
      </c>
      <c r="B9329" s="538" t="n">
        <v>46.69</v>
      </c>
      <c r="C9329" s="538" t="n">
        <v>46.17</v>
      </c>
      <c r="D9329" s="538" t="n">
        <v>45.3</v>
      </c>
      <c r="E9329" s="538" t="n">
        <v>57.95</v>
      </c>
    </row>
    <row r="9330">
      <c r="A9330" s="544" t="n">
        <v>42270</v>
      </c>
      <c r="B9330" s="538" t="n">
        <v>48</v>
      </c>
      <c r="C9330" s="538" t="n">
        <v>44.53</v>
      </c>
      <c r="D9330" s="538" t="n">
        <v>43.86</v>
      </c>
      <c r="E9330" s="538" t="n">
        <v>59.92</v>
      </c>
    </row>
    <row r="9331">
      <c r="A9331" s="544" t="n">
        <v>42271</v>
      </c>
      <c r="B9331" s="538" t="n">
        <v>47.06</v>
      </c>
      <c r="C9331" s="538" t="n">
        <v>44.94</v>
      </c>
      <c r="D9331" s="538" t="n">
        <v>44.07</v>
      </c>
      <c r="E9331" s="538" t="n">
        <v>59.92</v>
      </c>
    </row>
    <row r="9332">
      <c r="A9332" s="544" t="n">
        <v>42272</v>
      </c>
      <c r="B9332" s="538" t="n">
        <v>47.28</v>
      </c>
      <c r="C9332" s="538" t="n">
        <v>45.55</v>
      </c>
      <c r="D9332" s="538" t="n">
        <v>44.15</v>
      </c>
      <c r="E9332" s="538" t="n">
        <v>58.7</v>
      </c>
    </row>
    <row r="9333">
      <c r="A9333" s="544" t="n">
        <v>42275</v>
      </c>
      <c r="B9333" s="538" t="n">
        <v>46.04</v>
      </c>
      <c r="C9333" s="538" t="n">
        <v>44.4</v>
      </c>
      <c r="D9333" s="538" t="n">
        <v>42.95</v>
      </c>
      <c r="E9333" s="538" t="n">
        <v>58.6</v>
      </c>
    </row>
    <row r="9334">
      <c r="A9334" s="544" t="n">
        <v>42276</v>
      </c>
      <c r="B9334" s="538" t="n">
        <v>47.58</v>
      </c>
      <c r="C9334" s="538" t="n">
        <v>45.24</v>
      </c>
      <c r="D9334" s="538" t="n">
        <v>43.5</v>
      </c>
      <c r="E9334" s="538" t="n">
        <v>58.17</v>
      </c>
    </row>
    <row r="9335">
      <c r="A9335" s="544" t="n">
        <v>42277</v>
      </c>
      <c r="B9335" s="538" t="n">
        <v>47.29</v>
      </c>
      <c r="C9335" s="538" t="n">
        <v>45.06</v>
      </c>
      <c r="D9335" s="538" t="n">
        <v>43.76</v>
      </c>
      <c r="E9335" s="538" t="n">
        <v>58.71</v>
      </c>
    </row>
    <row r="9336">
      <c r="A9336" s="544" t="n">
        <v>42278</v>
      </c>
      <c r="B9336" s="538" t="n">
        <v>47.48</v>
      </c>
      <c r="C9336" s="538" t="n">
        <v>44.75</v>
      </c>
      <c r="D9336" s="538" t="n">
        <v>45.22</v>
      </c>
      <c r="E9336" s="538" t="n">
        <v>59.67</v>
      </c>
    </row>
    <row r="9337">
      <c r="A9337" s="544" t="n">
        <v>42279</v>
      </c>
      <c r="B9337" s="538" t="n">
        <v>46.55</v>
      </c>
      <c r="C9337" s="538" t="n">
        <v>45.54</v>
      </c>
      <c r="D9337" s="538" t="n">
        <v>45.41</v>
      </c>
      <c r="E9337" s="538" t="n">
        <v>59.42</v>
      </c>
    </row>
    <row r="9338">
      <c r="A9338" s="544" t="n">
        <v>42282</v>
      </c>
      <c r="B9338" s="538" t="n">
        <v>49.45</v>
      </c>
      <c r="C9338" s="538" t="n">
        <v>46.28</v>
      </c>
      <c r="D9338" s="538" t="n">
        <v>46.61</v>
      </c>
      <c r="E9338" s="538" t="n">
        <v>59.85</v>
      </c>
    </row>
    <row r="9339">
      <c r="A9339" s="544" t="n">
        <v>42283</v>
      </c>
      <c r="B9339" s="538" t="n">
        <v>51.34</v>
      </c>
      <c r="C9339" s="538" t="n">
        <v>48.53</v>
      </c>
      <c r="D9339" s="538" t="n">
        <v>49.54</v>
      </c>
      <c r="E9339" s="538" t="n">
        <v>60.5</v>
      </c>
    </row>
    <row r="9340">
      <c r="A9340" s="544" t="n">
        <v>42284</v>
      </c>
      <c r="B9340" s="538" t="n">
        <v>51.66</v>
      </c>
      <c r="C9340" s="538" t="n">
        <v>47.86</v>
      </c>
      <c r="D9340" s="538" t="n">
        <v>48.78</v>
      </c>
      <c r="E9340" s="538" t="n">
        <v>64.65000000000001</v>
      </c>
    </row>
    <row r="9341">
      <c r="A9341" s="544" t="n">
        <v>42285</v>
      </c>
      <c r="B9341" s="538" t="n">
        <v>52.13</v>
      </c>
      <c r="C9341" s="538" t="n">
        <v>49.46</v>
      </c>
      <c r="D9341" s="538" t="n">
        <v>50.28</v>
      </c>
      <c r="E9341" s="538" t="n">
        <v>62.25</v>
      </c>
    </row>
    <row r="9342">
      <c r="A9342" s="544" t="n">
        <v>42286</v>
      </c>
      <c r="B9342" s="538" t="n">
        <v>52.08</v>
      </c>
      <c r="C9342" s="538" t="n">
        <v>49.67</v>
      </c>
      <c r="D9342" s="538" t="n">
        <v>49.43</v>
      </c>
      <c r="E9342" s="538" t="n">
        <v>62.47</v>
      </c>
    </row>
    <row r="9343">
      <c r="A9343" s="544" t="n">
        <v>42289</v>
      </c>
      <c r="B9343" s="538" t="n">
        <v>50.95</v>
      </c>
      <c r="C9343" s="538" t="n">
        <v>47.09</v>
      </c>
      <c r="D9343" s="538" t="n">
        <v>47.16</v>
      </c>
      <c r="E9343" s="538" t="n">
        <v>62.51</v>
      </c>
    </row>
    <row r="9344">
      <c r="A9344" s="544" t="n">
        <v>42290</v>
      </c>
      <c r="B9344" s="538" t="n">
        <v>48.94</v>
      </c>
      <c r="C9344" s="538" t="n">
        <v>46.7</v>
      </c>
      <c r="D9344" s="538" t="n">
        <v>46.14</v>
      </c>
      <c r="E9344" s="538" t="n">
        <v>59.64</v>
      </c>
    </row>
    <row r="9345">
      <c r="A9345" s="544" t="n">
        <v>42291</v>
      </c>
      <c r="B9345" s="538" t="n">
        <v>48.25</v>
      </c>
      <c r="C9345" s="538" t="n">
        <v>46.63</v>
      </c>
      <c r="D9345" s="538" t="n">
        <v>45.87</v>
      </c>
      <c r="E9345" s="538" t="n">
        <v>58.33</v>
      </c>
    </row>
    <row r="9346">
      <c r="A9346" s="544" t="n">
        <v>42292</v>
      </c>
      <c r="B9346" s="538" t="n">
        <v>47.87</v>
      </c>
      <c r="C9346" s="538" t="n">
        <v>46.38</v>
      </c>
      <c r="D9346" s="538" t="n">
        <v>46.36</v>
      </c>
      <c r="E9346" s="538" t="n">
        <v>58.38</v>
      </c>
    </row>
    <row r="9347">
      <c r="A9347" s="544" t="n">
        <v>42293</v>
      </c>
      <c r="B9347" s="538" t="n">
        <v>48.96</v>
      </c>
      <c r="C9347" s="538" t="n">
        <v>47.3</v>
      </c>
      <c r="D9347" s="538" t="n">
        <v>46.77</v>
      </c>
      <c r="E9347" s="538" t="n">
        <v>59.44</v>
      </c>
    </row>
    <row r="9348">
      <c r="A9348" s="544" t="n">
        <v>42296</v>
      </c>
      <c r="B9348" s="538" t="n">
        <v>47.51</v>
      </c>
      <c r="C9348" s="538" t="n">
        <v>45.91</v>
      </c>
      <c r="D9348" s="538" t="n">
        <v>44.77</v>
      </c>
      <c r="E9348" s="538" t="n">
        <v>58.25</v>
      </c>
    </row>
    <row r="9349">
      <c r="A9349" s="544" t="n">
        <v>42297</v>
      </c>
      <c r="B9349" s="538" t="n">
        <v>46.93</v>
      </c>
      <c r="C9349" s="538" t="n">
        <v>45.84</v>
      </c>
      <c r="D9349" s="538" t="n">
        <v>44.54</v>
      </c>
      <c r="E9349" s="538" t="n">
        <v>57.63</v>
      </c>
    </row>
    <row r="9350">
      <c r="A9350" s="544" t="n">
        <v>42298</v>
      </c>
      <c r="B9350" s="538" t="n">
        <v>46.72</v>
      </c>
      <c r="C9350" s="538" t="n">
        <v>45.22</v>
      </c>
      <c r="D9350" s="538" t="n">
        <v>44.08</v>
      </c>
      <c r="E9350" s="538" t="n">
        <v>57.32</v>
      </c>
    </row>
    <row r="9351">
      <c r="A9351" s="544" t="n">
        <v>42299</v>
      </c>
      <c r="B9351" s="538" t="n">
        <v>46.59</v>
      </c>
      <c r="C9351" s="538" t="n">
        <v>44.9</v>
      </c>
      <c r="D9351" s="538" t="n">
        <v>43.84</v>
      </c>
      <c r="E9351" s="538" t="n">
        <v>57.94</v>
      </c>
    </row>
    <row r="9352">
      <c r="A9352" s="544" t="n">
        <v>42300</v>
      </c>
      <c r="B9352" s="538" t="n">
        <v>46.3</v>
      </c>
      <c r="C9352" s="538" t="n">
        <v>43.91</v>
      </c>
      <c r="D9352" s="538" t="n">
        <v>43.84</v>
      </c>
      <c r="E9352" s="538" t="n">
        <v>58.37</v>
      </c>
    </row>
    <row r="9353">
      <c r="A9353" s="544" t="n">
        <v>42303</v>
      </c>
      <c r="B9353" s="538" t="n">
        <v>46.57</v>
      </c>
      <c r="C9353" s="538" t="n">
        <v>43.19</v>
      </c>
      <c r="D9353" s="538" t="n">
        <v>43.14</v>
      </c>
      <c r="E9353" s="538" t="n">
        <v>57.64</v>
      </c>
    </row>
    <row r="9354">
      <c r="A9354" s="544" t="n">
        <v>42304</v>
      </c>
      <c r="B9354" s="538" t="n">
        <v>45.54</v>
      </c>
      <c r="C9354" s="538" t="n">
        <v>43.21</v>
      </c>
      <c r="D9354" s="538" t="n">
        <v>43.23</v>
      </c>
      <c r="E9354" s="538" t="n">
        <v>56.56</v>
      </c>
    </row>
    <row r="9355">
      <c r="A9355" s="544" t="n">
        <v>42305</v>
      </c>
      <c r="B9355" s="538" t="n">
        <v>47.6</v>
      </c>
      <c r="C9355" s="538" t="n">
        <v>45.93</v>
      </c>
      <c r="D9355" s="538" t="n">
        <v>45.56</v>
      </c>
      <c r="E9355" s="538" t="n">
        <v>57</v>
      </c>
    </row>
    <row r="9356">
      <c r="A9356" s="544" t="n">
        <v>42306</v>
      </c>
      <c r="B9356" s="538" t="n">
        <v>48.04</v>
      </c>
      <c r="C9356" s="538" t="n">
        <v>46.02</v>
      </c>
      <c r="D9356" s="538" t="n">
        <v>44.81</v>
      </c>
      <c r="E9356" s="538" t="n">
        <v>58.56</v>
      </c>
    </row>
    <row r="9357">
      <c r="A9357" s="544" t="n">
        <v>42307</v>
      </c>
      <c r="B9357" s="538" t="n">
        <v>48</v>
      </c>
      <c r="C9357" s="538" t="n">
        <v>46.6</v>
      </c>
      <c r="D9357" s="538" t="n">
        <v>45.47</v>
      </c>
      <c r="E9357" s="538" t="n">
        <v>58.74</v>
      </c>
    </row>
    <row r="9358">
      <c r="A9358" s="544" t="n">
        <v>42310</v>
      </c>
      <c r="B9358" s="538" t="n">
        <v>47.91</v>
      </c>
      <c r="C9358" s="538" t="n">
        <v>46.12</v>
      </c>
      <c r="D9358" s="538" t="n">
        <v>45.48</v>
      </c>
      <c r="E9358" s="538" t="n">
        <v>59.95</v>
      </c>
    </row>
    <row r="9359">
      <c r="A9359" s="544" t="n">
        <v>42311</v>
      </c>
      <c r="B9359" s="538" t="n">
        <v>48</v>
      </c>
      <c r="C9359" s="538" t="n">
        <v>47.88</v>
      </c>
      <c r="D9359" s="538" t="n">
        <v>46.95</v>
      </c>
      <c r="E9359" s="538" t="n">
        <v>59.81</v>
      </c>
    </row>
    <row r="9360">
      <c r="A9360" s="544" t="n">
        <v>42312</v>
      </c>
      <c r="B9360" s="538" t="n">
        <v>46.96</v>
      </c>
      <c r="C9360" s="538" t="n">
        <v>46.32</v>
      </c>
      <c r="D9360" s="538" t="n">
        <v>45.3</v>
      </c>
      <c r="E9360" s="538" t="n">
        <v>61.7</v>
      </c>
    </row>
    <row r="9361">
      <c r="A9361" s="544" t="n">
        <v>42313</v>
      </c>
      <c r="B9361" s="538" t="n">
        <v>47.19</v>
      </c>
      <c r="C9361" s="538" t="n">
        <v>45.27</v>
      </c>
      <c r="D9361" s="538" t="n">
        <v>44.58</v>
      </c>
      <c r="E9361" s="538" t="n">
        <v>59.81</v>
      </c>
    </row>
    <row r="9362">
      <c r="A9362" s="544" t="n">
        <v>42314</v>
      </c>
      <c r="B9362" s="538" t="n">
        <v>46.09</v>
      </c>
      <c r="C9362" s="538" t="n">
        <v>44.32</v>
      </c>
      <c r="D9362" s="538" t="n">
        <v>43.92</v>
      </c>
      <c r="E9362" s="538" t="n">
        <v>59.31</v>
      </c>
    </row>
    <row r="9363">
      <c r="A9363" s="544" t="n">
        <v>42317</v>
      </c>
      <c r="B9363" s="538" t="n">
        <v>45.38</v>
      </c>
      <c r="C9363" s="538" t="n">
        <v>43.87</v>
      </c>
      <c r="D9363" s="538" t="n">
        <v>43.82</v>
      </c>
      <c r="E9363" s="538" t="n">
        <v>59.47</v>
      </c>
    </row>
    <row r="9364">
      <c r="A9364" s="544" t="n">
        <v>42318</v>
      </c>
      <c r="B9364" s="538" t="n">
        <v>46.44</v>
      </c>
      <c r="C9364" s="538" t="n">
        <v>44.23</v>
      </c>
      <c r="D9364" s="538" t="n">
        <v>43.27</v>
      </c>
      <c r="E9364" s="538" t="n">
        <v>59.47</v>
      </c>
    </row>
    <row r="9365">
      <c r="A9365" s="544" t="n">
        <v>42319</v>
      </c>
      <c r="B9365" s="538" t="n">
        <v>44.98</v>
      </c>
      <c r="C9365" s="538" t="n">
        <v>42.95</v>
      </c>
      <c r="D9365" s="538" t="n">
        <v>42.14</v>
      </c>
      <c r="E9365" s="538" t="n">
        <v>58.86</v>
      </c>
    </row>
    <row r="9366">
      <c r="A9366" s="544" t="n">
        <v>42320</v>
      </c>
      <c r="B9366" s="538" t="n">
        <v>44.98</v>
      </c>
      <c r="C9366" s="538" t="n">
        <v>41.74</v>
      </c>
      <c r="D9366" s="538" t="n">
        <v>40.44</v>
      </c>
      <c r="E9366" s="538" t="n">
        <v>58.13</v>
      </c>
    </row>
    <row r="9367">
      <c r="A9367" s="544" t="n">
        <v>42321</v>
      </c>
      <c r="B9367" s="538" t="n">
        <v>41.98</v>
      </c>
      <c r="C9367" s="538" t="n">
        <v>40.69</v>
      </c>
      <c r="D9367" s="538" t="n">
        <v>39.82</v>
      </c>
      <c r="E9367" s="538" t="n">
        <v>57.25</v>
      </c>
    </row>
    <row r="9368">
      <c r="A9368" s="544" t="n">
        <v>42324</v>
      </c>
      <c r="B9368" s="538" t="n">
        <v>40.28</v>
      </c>
      <c r="C9368" s="538" t="n">
        <v>41.68</v>
      </c>
      <c r="D9368" s="538" t="n">
        <v>39.6</v>
      </c>
      <c r="E9368" s="538" t="n">
        <v>55.92</v>
      </c>
    </row>
    <row r="9369">
      <c r="A9369" s="544" t="n">
        <v>42325</v>
      </c>
      <c r="B9369" s="538" t="n">
        <v>41.28</v>
      </c>
      <c r="C9369" s="538" t="n">
        <v>40.73</v>
      </c>
      <c r="D9369" s="538" t="n">
        <v>38.78</v>
      </c>
      <c r="E9369" s="538" t="n">
        <v>55.85</v>
      </c>
    </row>
    <row r="9370">
      <c r="A9370" s="544" t="n">
        <v>42326</v>
      </c>
      <c r="B9370" s="538" t="n">
        <v>41.45</v>
      </c>
      <c r="C9370" s="538" t="n">
        <v>40.75</v>
      </c>
      <c r="D9370" s="538" t="n">
        <v>39.5</v>
      </c>
      <c r="E9370" s="538" t="n">
        <v>55.71</v>
      </c>
    </row>
    <row r="9371">
      <c r="A9371" s="544" t="n">
        <v>42327</v>
      </c>
      <c r="B9371" s="538" t="n">
        <v>42.22</v>
      </c>
      <c r="C9371" s="538" t="n">
        <v>40.55</v>
      </c>
      <c r="D9371" s="538" t="n">
        <v>39.58</v>
      </c>
      <c r="E9371" s="538" t="n">
        <v>55.95</v>
      </c>
    </row>
    <row r="9372">
      <c r="A9372" s="544" t="n">
        <v>42328</v>
      </c>
      <c r="B9372" s="538" t="n">
        <v>42.49</v>
      </c>
      <c r="C9372" s="538" t="n">
        <v>39.39</v>
      </c>
      <c r="D9372" s="538" t="n">
        <v>39.74</v>
      </c>
      <c r="E9372" s="538" t="n">
        <v>55.68</v>
      </c>
    </row>
    <row r="9373">
      <c r="A9373" s="544" t="n">
        <v>42331</v>
      </c>
      <c r="B9373" s="538" t="n">
        <v>43.7</v>
      </c>
      <c r="C9373" s="538" t="n">
        <v>39.27</v>
      </c>
      <c r="D9373" s="538" t="n">
        <v>40.16</v>
      </c>
      <c r="E9373" s="538" t="n">
        <v>54.85</v>
      </c>
    </row>
    <row r="9374">
      <c r="A9374" s="544" t="n">
        <v>42332</v>
      </c>
      <c r="B9374" s="538" t="n">
        <v>44.38</v>
      </c>
      <c r="C9374" s="538" t="n">
        <v>40.89</v>
      </c>
      <c r="D9374" s="538" t="n">
        <v>40.98</v>
      </c>
      <c r="E9374" s="538" t="n">
        <v>56.47</v>
      </c>
    </row>
    <row r="9375">
      <c r="A9375" s="544" t="n">
        <v>42333</v>
      </c>
      <c r="B9375" s="538" t="n">
        <v>43.56</v>
      </c>
      <c r="C9375" s="538" t="n">
        <v>41.22</v>
      </c>
      <c r="D9375" s="538" t="n">
        <v>41.27</v>
      </c>
      <c r="E9375" s="538" t="n">
        <v>56.74</v>
      </c>
    </row>
    <row r="9376">
      <c r="A9376" s="544" t="n">
        <v>42334</v>
      </c>
      <c r="B9376" s="538" t="n">
        <v>43.55</v>
      </c>
      <c r="C9376" s="538" t="n">
        <v>41.22</v>
      </c>
      <c r="D9376" s="538" t="n">
        <v>40.36</v>
      </c>
      <c r="E9376" s="538" t="n">
        <v>56.55</v>
      </c>
    </row>
    <row r="9377">
      <c r="A9377" s="544" t="n">
        <v>42335</v>
      </c>
      <c r="B9377" s="538" t="n">
        <v>43.07</v>
      </c>
      <c r="C9377" s="538" t="n">
        <v>40.57</v>
      </c>
      <c r="D9377" s="538" t="n">
        <v>39.36</v>
      </c>
      <c r="E9377" s="538" t="n">
        <v>55.75</v>
      </c>
    </row>
    <row r="9378">
      <c r="A9378" s="544" t="n">
        <v>42338</v>
      </c>
      <c r="B9378" s="538" t="n">
        <v>43.73</v>
      </c>
      <c r="C9378" s="538" t="n">
        <v>40.43</v>
      </c>
      <c r="D9378" s="538" t="n">
        <v>39.71</v>
      </c>
      <c r="E9378" s="538" t="n">
        <v>55.77</v>
      </c>
    </row>
    <row r="9379">
      <c r="A9379" s="544" t="n">
        <v>42339</v>
      </c>
      <c r="B9379" s="538" t="n">
        <v>42.97</v>
      </c>
      <c r="C9379" s="538" t="n">
        <v>40.58</v>
      </c>
      <c r="D9379" s="538" t="n">
        <v>40.24</v>
      </c>
      <c r="E9379" s="538" t="n">
        <v>54.9</v>
      </c>
    </row>
    <row r="9380">
      <c r="A9380" s="544" t="n">
        <v>42340</v>
      </c>
      <c r="B9380" s="538" t="n">
        <v>41.92</v>
      </c>
      <c r="C9380" s="538" t="n">
        <v>39.93</v>
      </c>
      <c r="D9380" s="538" t="n">
        <v>38.52</v>
      </c>
      <c r="E9380" s="538" t="n">
        <v>54.24</v>
      </c>
    </row>
    <row r="9381">
      <c r="A9381" s="544" t="n">
        <v>42341</v>
      </c>
      <c r="B9381" s="538" t="n">
        <v>42</v>
      </c>
      <c r="C9381" s="538" t="n">
        <v>41.08</v>
      </c>
      <c r="D9381" s="538" t="n">
        <v>40</v>
      </c>
      <c r="E9381" s="538" t="n">
        <v>52.83</v>
      </c>
    </row>
    <row r="9382">
      <c r="A9382" s="544" t="n">
        <v>42342</v>
      </c>
      <c r="B9382" s="538" t="n">
        <v>41.44</v>
      </c>
      <c r="C9382" s="538" t="n">
        <v>40</v>
      </c>
      <c r="D9382" s="538" t="n">
        <v>38.43</v>
      </c>
      <c r="E9382" s="538" t="n">
        <v>53.22</v>
      </c>
    </row>
    <row r="9383">
      <c r="A9383" s="544" t="n">
        <v>42345</v>
      </c>
      <c r="B9383" s="538" t="n">
        <v>39.69</v>
      </c>
      <c r="C9383" s="538" t="n">
        <v>37.64</v>
      </c>
      <c r="D9383" s="538" t="n">
        <v>35.79</v>
      </c>
      <c r="E9383" s="538" t="n">
        <v>52.12</v>
      </c>
    </row>
    <row r="9384">
      <c r="A9384" s="544" t="n">
        <v>42346</v>
      </c>
      <c r="B9384" s="538" t="n">
        <v>39.44</v>
      </c>
      <c r="C9384" s="538" t="n">
        <v>37.46</v>
      </c>
      <c r="D9384" s="538" t="n">
        <v>35.84</v>
      </c>
      <c r="E9384" s="538" t="n">
        <v>49.9</v>
      </c>
    </row>
    <row r="9385">
      <c r="A9385" s="544" t="n">
        <v>42347</v>
      </c>
      <c r="B9385" s="538" t="n">
        <v>39.04</v>
      </c>
      <c r="C9385" s="538" t="n">
        <v>37.16</v>
      </c>
      <c r="D9385" s="538" t="n">
        <v>35.35</v>
      </c>
      <c r="E9385" s="538" t="n">
        <v>49.29</v>
      </c>
    </row>
    <row r="9386">
      <c r="A9386" s="544" t="n">
        <v>42348</v>
      </c>
      <c r="B9386" s="538" t="n">
        <v>38.65</v>
      </c>
      <c r="C9386" s="538" t="n">
        <v>36.76</v>
      </c>
      <c r="D9386" s="538" t="n">
        <v>35.09</v>
      </c>
      <c r="E9386" s="538" t="n">
        <v>49.4</v>
      </c>
    </row>
    <row r="9387">
      <c r="A9387" s="544" t="n">
        <v>42349</v>
      </c>
      <c r="B9387" s="538" t="n">
        <v>36.99</v>
      </c>
      <c r="C9387" s="538" t="n">
        <v>35.65</v>
      </c>
      <c r="D9387" s="538" t="n">
        <v>33.51</v>
      </c>
      <c r="E9387" s="538" t="n">
        <v>48.39</v>
      </c>
    </row>
    <row r="9388">
      <c r="A9388" s="544" t="n">
        <v>42352</v>
      </c>
      <c r="B9388" s="538" t="n">
        <v>36.51</v>
      </c>
      <c r="C9388" s="538" t="n">
        <v>36.31</v>
      </c>
      <c r="D9388" s="538" t="n">
        <v>33.04</v>
      </c>
      <c r="E9388" s="538" t="n">
        <v>47.01</v>
      </c>
    </row>
    <row r="9389">
      <c r="A9389" s="544" t="n">
        <v>42353</v>
      </c>
      <c r="B9389" s="538" t="n">
        <v>37.66</v>
      </c>
      <c r="C9389" s="538" t="n">
        <v>37.32</v>
      </c>
      <c r="D9389" s="538" t="n">
        <v>33.11</v>
      </c>
      <c r="E9389" s="538" t="n">
        <v>45.68</v>
      </c>
    </row>
    <row r="9390">
      <c r="A9390" s="544" t="n">
        <v>42354</v>
      </c>
      <c r="B9390" s="538" t="n">
        <v>36.96</v>
      </c>
      <c r="C9390" s="538" t="n">
        <v>35.55</v>
      </c>
      <c r="D9390" s="538" t="n">
        <v>32.72</v>
      </c>
      <c r="E9390" s="538" t="n">
        <v>46.01</v>
      </c>
    </row>
    <row r="9391">
      <c r="A9391" s="544" t="n">
        <v>42355</v>
      </c>
      <c r="B9391" s="538" t="n">
        <v>36.29</v>
      </c>
      <c r="C9391" s="538" t="n">
        <v>34.98</v>
      </c>
      <c r="D9391" s="538" t="n">
        <v>31.97</v>
      </c>
      <c r="E9391" s="538" t="n">
        <v>45.25</v>
      </c>
    </row>
    <row r="9392">
      <c r="A9392" s="544" t="n">
        <v>42356</v>
      </c>
      <c r="B9392" s="538" t="n">
        <v>36.76</v>
      </c>
      <c r="C9392" s="538" t="n">
        <v>34.72</v>
      </c>
      <c r="D9392" s="538" t="n">
        <v>31.96</v>
      </c>
      <c r="E9392" s="538" t="n">
        <v>45.3</v>
      </c>
    </row>
    <row r="9393">
      <c r="A9393" s="544" t="n">
        <v>42359</v>
      </c>
      <c r="B9393" s="538" t="n">
        <v>35.34</v>
      </c>
      <c r="C9393" s="538" t="n">
        <v>34.55</v>
      </c>
      <c r="D9393" s="538" t="n">
        <v>31.62</v>
      </c>
      <c r="E9393" s="538" t="n">
        <v>44.8</v>
      </c>
    </row>
    <row r="9394">
      <c r="A9394" s="544" t="n">
        <v>42360</v>
      </c>
      <c r="B9394" s="538" t="n">
        <v>35.26</v>
      </c>
      <c r="C9394" s="538" t="n">
        <v>36.12</v>
      </c>
      <c r="D9394" s="538" t="n">
        <v>31.39</v>
      </c>
      <c r="E9394" s="538" t="n">
        <v>44.65</v>
      </c>
    </row>
    <row r="9395">
      <c r="A9395" s="544" t="n">
        <v>42361</v>
      </c>
      <c r="B9395" s="538" t="n">
        <v>35.79</v>
      </c>
      <c r="C9395" s="538" t="n">
        <v>36.76</v>
      </c>
      <c r="D9395" s="538" t="n">
        <v>32.85</v>
      </c>
      <c r="E9395" s="538" t="n">
        <v>44.59</v>
      </c>
    </row>
    <row r="9396">
      <c r="A9396" s="544" t="n">
        <v>42362</v>
      </c>
      <c r="B9396" s="538" t="n">
        <v>37.22</v>
      </c>
      <c r="C9396" s="538" t="n">
        <v>37.62</v>
      </c>
      <c r="D9396" s="538" t="n">
        <v>33.14</v>
      </c>
      <c r="E9396" s="538" t="n">
        <v>45.46</v>
      </c>
    </row>
    <row r="9397">
      <c r="A9397" s="544" t="n">
        <v>42363</v>
      </c>
      <c r="B9397" s="538" t="n">
        <v>37.22</v>
      </c>
      <c r="C9397" s="538" t="n">
        <v>37.62</v>
      </c>
      <c r="D9397" s="538" t="n">
        <v>33.14</v>
      </c>
      <c r="E9397" s="538" t="n">
        <v>45.46</v>
      </c>
    </row>
    <row r="9398">
      <c r="A9398" s="544" t="n">
        <v>42366</v>
      </c>
      <c r="B9398" s="538" t="n">
        <v>37.08</v>
      </c>
      <c r="C9398" s="538" t="n">
        <v>36.36</v>
      </c>
      <c r="D9398" s="538" t="n">
        <v>31.85</v>
      </c>
      <c r="E9398" s="538" t="n">
        <v>44.09</v>
      </c>
    </row>
    <row r="9399">
      <c r="A9399" s="544" t="n">
        <v>42367</v>
      </c>
      <c r="B9399" s="538" t="n">
        <v>36.85</v>
      </c>
      <c r="C9399" s="538" t="n">
        <v>37.88</v>
      </c>
      <c r="D9399" s="538" t="n">
        <v>32.24</v>
      </c>
      <c r="E9399" s="538" t="n">
        <v>44</v>
      </c>
    </row>
    <row r="9400">
      <c r="A9400" s="544" t="n">
        <v>42368</v>
      </c>
      <c r="B9400" s="538" t="n">
        <v>35.65</v>
      </c>
      <c r="C9400" s="538" t="n">
        <v>36.59</v>
      </c>
      <c r="D9400" s="538" t="n">
        <v>31.68</v>
      </c>
      <c r="E9400" s="538" t="n">
        <v>44.56</v>
      </c>
    </row>
    <row r="9401">
      <c r="A9401" s="544" t="n">
        <v>42369</v>
      </c>
      <c r="B9401" s="538" t="n">
        <v>36.61</v>
      </c>
      <c r="C9401" s="538" t="n">
        <v>37.13</v>
      </c>
      <c r="D9401" s="538" t="n">
        <v>32.46</v>
      </c>
      <c r="E9401" s="538" t="n">
        <v>43.45</v>
      </c>
    </row>
    <row r="9402">
      <c r="A9402" s="544" t="n">
        <v>42370</v>
      </c>
      <c r="B9402" s="538" t="n">
        <v>36.61</v>
      </c>
      <c r="C9402" s="538" t="n">
        <v>37.13</v>
      </c>
      <c r="D9402" s="538" t="n">
        <v>33.46</v>
      </c>
      <c r="E9402" s="538" t="n">
        <v>43.45</v>
      </c>
    </row>
    <row r="9403">
      <c r="A9403" s="544" t="n">
        <v>42373</v>
      </c>
      <c r="B9403" s="538" t="n">
        <v>36.28</v>
      </c>
      <c r="C9403" s="538" t="n">
        <v>36.81</v>
      </c>
      <c r="D9403" s="538" t="n">
        <v>32.25</v>
      </c>
      <c r="E9403" s="538" t="n">
        <v>43.49</v>
      </c>
    </row>
    <row r="9404">
      <c r="A9404" s="544" t="n">
        <v>42374</v>
      </c>
      <c r="B9404" s="538" t="n">
        <v>35.56</v>
      </c>
      <c r="C9404" s="538" t="n">
        <v>35.97</v>
      </c>
      <c r="D9404" s="538" t="n">
        <v>31.28</v>
      </c>
      <c r="E9404" s="538" t="n">
        <v>43.06</v>
      </c>
    </row>
    <row r="9405">
      <c r="A9405" s="544" t="n">
        <v>42375</v>
      </c>
      <c r="B9405" s="538" t="n">
        <v>33.89</v>
      </c>
      <c r="C9405" s="538" t="n">
        <v>33.97</v>
      </c>
      <c r="D9405" s="538" t="n">
        <v>30.03</v>
      </c>
      <c r="E9405" s="538" t="n">
        <v>43.14</v>
      </c>
    </row>
    <row r="9406">
      <c r="A9406" s="544" t="n">
        <v>42376</v>
      </c>
      <c r="B9406" s="538" t="n">
        <v>33.57</v>
      </c>
      <c r="C9406" s="538" t="n">
        <v>33.29</v>
      </c>
      <c r="D9406" s="538" t="n">
        <v>28.83</v>
      </c>
      <c r="E9406" s="538" t="n">
        <v>39.99</v>
      </c>
    </row>
    <row r="9407">
      <c r="A9407" s="544" t="n">
        <v>42377</v>
      </c>
      <c r="B9407" s="538" t="n">
        <v>31.67</v>
      </c>
      <c r="C9407" s="538" t="n">
        <v>33.2</v>
      </c>
      <c r="D9407" s="538" t="n">
        <v>28.99</v>
      </c>
      <c r="E9407" s="538" t="n">
        <v>43.09</v>
      </c>
    </row>
    <row r="9408">
      <c r="A9408" s="544" t="n">
        <v>42380</v>
      </c>
      <c r="B9408" s="538" t="n">
        <v>30.14</v>
      </c>
      <c r="C9408" s="538" t="n">
        <v>31.42</v>
      </c>
      <c r="D9408" s="538" t="n">
        <v>26.62</v>
      </c>
      <c r="E9408" s="538" t="n">
        <v>39.53</v>
      </c>
    </row>
    <row r="9409">
      <c r="A9409" s="544" t="n">
        <v>42381</v>
      </c>
      <c r="B9409" s="538" t="n">
        <v>29.14</v>
      </c>
      <c r="C9409" s="538" t="n">
        <v>30.42</v>
      </c>
      <c r="D9409" s="538" t="n">
        <v>26.62</v>
      </c>
      <c r="E9409" s="538" t="n">
        <v>37.97</v>
      </c>
    </row>
    <row r="9410">
      <c r="A9410" s="544" t="n">
        <v>42382</v>
      </c>
      <c r="B9410" s="538" t="n">
        <v>28.58</v>
      </c>
      <c r="C9410" s="538" t="n">
        <v>30.42</v>
      </c>
      <c r="D9410" s="538" t="n">
        <v>25.86</v>
      </c>
      <c r="E9410" s="538" t="n">
        <v>38.23</v>
      </c>
    </row>
    <row r="9411">
      <c r="A9411" s="544" t="n">
        <v>42383</v>
      </c>
      <c r="B9411" s="538" t="n">
        <v>28.84</v>
      </c>
      <c r="C9411" s="538" t="n">
        <v>31.22</v>
      </c>
      <c r="D9411" s="538" t="n">
        <v>25.94</v>
      </c>
      <c r="E9411" s="538" t="n">
        <v>36.66</v>
      </c>
    </row>
    <row r="9412">
      <c r="A9412" s="544" t="n">
        <v>42384</v>
      </c>
      <c r="B9412" s="538" t="n">
        <v>28.8</v>
      </c>
      <c r="C9412" s="538" t="n">
        <v>29.45</v>
      </c>
      <c r="D9412" s="538" t="n">
        <v>24.44</v>
      </c>
      <c r="E9412" s="538" t="n">
        <v>36.57</v>
      </c>
    </row>
    <row r="9413">
      <c r="A9413" s="544" t="n">
        <v>42387</v>
      </c>
      <c r="B9413" s="538" t="n">
        <v>27.36</v>
      </c>
      <c r="C9413" s="538" t="n">
        <v>29.45</v>
      </c>
      <c r="D9413" s="538" t="n">
        <v>24.11</v>
      </c>
      <c r="E9413" s="538" t="n">
        <v>34.66</v>
      </c>
    </row>
    <row r="9414">
      <c r="A9414" s="544" t="n">
        <v>42388</v>
      </c>
      <c r="B9414" s="538" t="n">
        <v>27.36</v>
      </c>
      <c r="C9414" s="538" t="n">
        <v>28.47</v>
      </c>
      <c r="D9414" s="538" t="n">
        <v>23.61</v>
      </c>
      <c r="E9414" s="538" t="n">
        <v>35.69</v>
      </c>
    </row>
    <row r="9415">
      <c r="A9415" s="544" t="n">
        <v>42389</v>
      </c>
      <c r="B9415" s="538" t="n">
        <v>26.01</v>
      </c>
      <c r="C9415" s="538" t="n">
        <v>26.68</v>
      </c>
      <c r="D9415" s="538" t="n">
        <v>23.01</v>
      </c>
      <c r="E9415" s="538" t="n">
        <v>33.18</v>
      </c>
    </row>
    <row r="9416">
      <c r="A9416" s="544" t="n">
        <v>42390</v>
      </c>
      <c r="B9416" s="538" t="n">
        <v>27.59</v>
      </c>
      <c r="C9416" s="538" t="n">
        <v>29.55</v>
      </c>
      <c r="D9416" s="538" t="n">
        <v>24.25</v>
      </c>
      <c r="E9416" s="538" t="n">
        <v>32.17</v>
      </c>
    </row>
    <row r="9417">
      <c r="A9417" s="544" t="n">
        <v>42391</v>
      </c>
      <c r="B9417" s="538" t="n">
        <v>30.46</v>
      </c>
      <c r="C9417" s="538" t="n">
        <v>32.07</v>
      </c>
      <c r="D9417" s="538" t="n">
        <v>26.92</v>
      </c>
      <c r="E9417" s="538" t="n">
        <v>35.34</v>
      </c>
    </row>
    <row r="9418">
      <c r="A9418" s="544" t="n">
        <v>42394</v>
      </c>
      <c r="B9418" s="538" t="n">
        <v>29.82</v>
      </c>
      <c r="C9418" s="538" t="n">
        <v>30.31</v>
      </c>
      <c r="D9418" s="538" t="n">
        <v>25</v>
      </c>
      <c r="E9418" s="538" t="n">
        <v>37.2</v>
      </c>
    </row>
    <row r="9419">
      <c r="A9419" s="544" t="n">
        <v>42395</v>
      </c>
      <c r="B9419" s="538" t="n">
        <v>30.94</v>
      </c>
      <c r="C9419" s="538" t="n">
        <v>29.54</v>
      </c>
      <c r="D9419" s="538" t="n">
        <v>25.86</v>
      </c>
      <c r="E9419" s="538" t="n">
        <v>34.7</v>
      </c>
    </row>
    <row r="9420">
      <c r="A9420" s="544" t="n">
        <v>42396</v>
      </c>
      <c r="B9420" s="538" t="n">
        <v>31.83</v>
      </c>
      <c r="C9420" s="538" t="n">
        <v>32.32</v>
      </c>
      <c r="D9420" s="538" t="n">
        <v>28.33</v>
      </c>
      <c r="E9420" s="538" t="n">
        <v>36.97</v>
      </c>
    </row>
    <row r="9421">
      <c r="A9421" s="544" t="n">
        <v>42397</v>
      </c>
      <c r="B9421" s="538" t="n">
        <v>33.01</v>
      </c>
      <c r="C9421" s="538" t="n">
        <v>33.21</v>
      </c>
      <c r="D9421" s="538" t="n">
        <v>29.64</v>
      </c>
      <c r="E9421" s="538" t="n">
        <v>39.09</v>
      </c>
    </row>
    <row r="9422">
      <c r="A9422" s="544" t="n">
        <v>42398</v>
      </c>
      <c r="B9422" s="538" t="n">
        <v>33.14</v>
      </c>
      <c r="C9422" s="538" t="n">
        <v>33.66</v>
      </c>
      <c r="D9422" s="538" t="n">
        <v>30.41</v>
      </c>
      <c r="E9422" s="538" t="n">
        <v>40.6</v>
      </c>
    </row>
    <row r="9423">
      <c r="A9423" s="544" t="n">
        <v>42401</v>
      </c>
      <c r="B9423" s="538" t="n">
        <v>32.45</v>
      </c>
      <c r="C9423" s="538" t="n">
        <v>31.62</v>
      </c>
      <c r="D9423" s="538" t="n">
        <v>32.53</v>
      </c>
      <c r="E9423" s="538" t="n">
        <v>40.63</v>
      </c>
    </row>
    <row r="9424">
      <c r="A9424" s="544" t="n">
        <v>42402</v>
      </c>
      <c r="B9424" s="538" t="n">
        <v>30.98</v>
      </c>
      <c r="C9424" s="538" t="n">
        <v>29.9</v>
      </c>
      <c r="D9424" s="538" t="n">
        <v>31.15</v>
      </c>
      <c r="E9424" s="538" t="n">
        <v>40.01</v>
      </c>
    </row>
    <row r="9425">
      <c r="A9425" s="544" t="n">
        <v>42403</v>
      </c>
      <c r="B9425" s="538" t="n">
        <v>32.38</v>
      </c>
      <c r="C9425" s="538" t="n">
        <v>32.29</v>
      </c>
      <c r="D9425" s="538" t="n">
        <v>31.36</v>
      </c>
      <c r="E9425" s="538" t="n">
        <v>40.11</v>
      </c>
    </row>
    <row r="9426">
      <c r="A9426" s="544" t="n">
        <v>42404</v>
      </c>
      <c r="B9426" s="538" t="n">
        <v>32.76</v>
      </c>
      <c r="C9426" s="538" t="n">
        <v>31.63</v>
      </c>
      <c r="D9426" s="538" t="n">
        <v>30.25</v>
      </c>
      <c r="E9426" s="538" t="n">
        <v>42.39</v>
      </c>
    </row>
    <row r="9427">
      <c r="A9427" s="544" t="n">
        <v>42405</v>
      </c>
      <c r="B9427" s="538" t="n">
        <v>32.35</v>
      </c>
      <c r="C9427" s="538" t="n">
        <v>30.86</v>
      </c>
      <c r="D9427" s="538" t="n">
        <v>30.02</v>
      </c>
      <c r="E9427" s="538" t="n">
        <v>41.09</v>
      </c>
    </row>
    <row r="9428">
      <c r="A9428" s="544" t="n">
        <v>42408</v>
      </c>
      <c r="B9428" s="538" t="n">
        <v>31.64</v>
      </c>
      <c r="C9428" s="538" t="n">
        <v>29.71</v>
      </c>
      <c r="D9428" s="538" t="n">
        <v>29.24</v>
      </c>
      <c r="E9428" s="538" t="n">
        <v>41.09</v>
      </c>
    </row>
    <row r="9429">
      <c r="A9429" s="544" t="n">
        <v>42409</v>
      </c>
      <c r="B9429" s="538" t="n">
        <v>30.15</v>
      </c>
      <c r="C9429" s="538" t="n">
        <v>27.96</v>
      </c>
      <c r="D9429" s="538" t="n">
        <v>26.78</v>
      </c>
      <c r="E9429" s="538" t="n">
        <v>41.09</v>
      </c>
    </row>
    <row r="9430">
      <c r="A9430" s="544" t="n">
        <v>42410</v>
      </c>
      <c r="B9430" s="538" t="n">
        <v>29.64</v>
      </c>
      <c r="C9430" s="538" t="n">
        <v>27.54</v>
      </c>
      <c r="D9430" s="538" t="n">
        <v>26.93</v>
      </c>
      <c r="E9430" s="538" t="n">
        <v>37.86</v>
      </c>
    </row>
    <row r="9431">
      <c r="A9431" s="544" t="n">
        <v>42411</v>
      </c>
      <c r="B9431" s="538" t="n">
        <v>28.82</v>
      </c>
      <c r="C9431" s="538" t="n">
        <v>26.19</v>
      </c>
      <c r="D9431" s="538" t="n">
        <v>27.23</v>
      </c>
      <c r="E9431" s="538" t="n">
        <v>37.49</v>
      </c>
    </row>
    <row r="9432">
      <c r="A9432" s="544" t="n">
        <v>42412</v>
      </c>
      <c r="B9432" s="538" t="n">
        <v>31.8</v>
      </c>
      <c r="C9432" s="538" t="n">
        <v>29.32</v>
      </c>
      <c r="D9432" s="538" t="n">
        <v>29.44</v>
      </c>
      <c r="E9432" s="538" t="n">
        <v>39.29</v>
      </c>
    </row>
    <row r="9433">
      <c r="A9433" s="544" t="n">
        <v>42415</v>
      </c>
      <c r="B9433" s="538" t="n">
        <v>31.8</v>
      </c>
      <c r="C9433" s="538" t="n">
        <v>29.32</v>
      </c>
      <c r="D9433" s="538" t="n">
        <v>30.47</v>
      </c>
      <c r="E9433" s="538" t="n">
        <v>41.25</v>
      </c>
    </row>
    <row r="9434">
      <c r="A9434" s="544" t="n">
        <v>42416</v>
      </c>
      <c r="B9434" s="538" t="n">
        <v>31.09</v>
      </c>
      <c r="C9434" s="538" t="n">
        <v>29.05</v>
      </c>
      <c r="D9434" s="538" t="n">
        <v>28.63</v>
      </c>
      <c r="E9434" s="538" t="n">
        <v>43.01</v>
      </c>
    </row>
    <row r="9435">
      <c r="A9435" s="544" t="n">
        <v>42417</v>
      </c>
      <c r="B9435" s="538" t="n">
        <v>33.21</v>
      </c>
      <c r="C9435" s="538" t="n">
        <v>30.68</v>
      </c>
      <c r="D9435" s="538" t="n">
        <v>31.47</v>
      </c>
      <c r="E9435" s="538" t="n">
        <v>40.07</v>
      </c>
    </row>
    <row r="9436">
      <c r="A9436" s="544" t="n">
        <v>42418</v>
      </c>
      <c r="B9436" s="538" t="n">
        <v>33.2</v>
      </c>
      <c r="C9436" s="538" t="n">
        <v>30.77</v>
      </c>
      <c r="D9436" s="538" t="n">
        <v>30.06</v>
      </c>
      <c r="E9436" s="538" t="n">
        <v>42.86</v>
      </c>
    </row>
    <row r="9437">
      <c r="A9437" s="544" t="n">
        <v>42419</v>
      </c>
      <c r="B9437" s="538" t="n">
        <v>31.66</v>
      </c>
      <c r="C9437" s="538" t="n">
        <v>29.59</v>
      </c>
      <c r="D9437" s="538" t="n">
        <v>29.16</v>
      </c>
      <c r="E9437" s="538" t="n">
        <v>42.59</v>
      </c>
    </row>
    <row r="9438">
      <c r="A9438" s="544" t="n">
        <v>42422</v>
      </c>
      <c r="B9438" s="538" t="n">
        <v>33.59</v>
      </c>
      <c r="C9438" s="538" t="n">
        <v>31.37</v>
      </c>
      <c r="D9438" s="538" t="n">
        <v>30.5</v>
      </c>
      <c r="E9438" s="538" t="n">
        <v>41.93</v>
      </c>
    </row>
    <row r="9439">
      <c r="A9439" s="544" t="n">
        <v>42423</v>
      </c>
      <c r="B9439" s="538" t="n">
        <v>31.9</v>
      </c>
      <c r="C9439" s="538" t="n">
        <v>31.84</v>
      </c>
      <c r="D9439" s="538" t="n">
        <v>28.51</v>
      </c>
      <c r="E9439" s="538" t="n">
        <v>41.48</v>
      </c>
    </row>
    <row r="9440">
      <c r="A9440" s="544" t="n">
        <v>42424</v>
      </c>
      <c r="B9440" s="538" t="n">
        <v>31.5</v>
      </c>
      <c r="C9440" s="538" t="n">
        <v>30.35</v>
      </c>
      <c r="D9440" s="538" t="n">
        <v>30.2</v>
      </c>
      <c r="E9440" s="538" t="n">
        <v>40.26</v>
      </c>
    </row>
    <row r="9441">
      <c r="A9441" s="544" t="n">
        <v>42425</v>
      </c>
      <c r="B9441" s="538" t="n">
        <v>32.83</v>
      </c>
      <c r="C9441" s="538" t="n">
        <v>31.4</v>
      </c>
      <c r="D9441" s="538" t="n">
        <v>30.89</v>
      </c>
      <c r="E9441" s="538" t="n">
        <v>41.45</v>
      </c>
    </row>
    <row r="9442">
      <c r="A9442" s="544" t="n">
        <v>42426</v>
      </c>
      <c r="B9442" s="538" t="n">
        <v>35.76</v>
      </c>
      <c r="C9442" s="538" t="n">
        <v>31.65</v>
      </c>
      <c r="D9442" s="538" t="n">
        <v>30.39</v>
      </c>
      <c r="E9442" s="538" t="n">
        <v>42.78</v>
      </c>
    </row>
    <row r="9443">
      <c r="A9443" s="544" t="n">
        <v>42429</v>
      </c>
      <c r="B9443" s="538" t="n">
        <v>35.92</v>
      </c>
      <c r="C9443" s="538" t="n">
        <v>32.74</v>
      </c>
      <c r="D9443" s="538" t="n">
        <v>31.21</v>
      </c>
      <c r="E9443" s="538" t="n">
        <v>42.38</v>
      </c>
    </row>
    <row r="9444">
      <c r="A9444" s="544" t="n">
        <v>42430</v>
      </c>
      <c r="B9444" s="538" t="n">
        <v>35.73</v>
      </c>
      <c r="C9444" s="538" t="n">
        <v>34.39</v>
      </c>
      <c r="D9444" s="538" t="n">
        <v>31.7</v>
      </c>
      <c r="E9444" s="538" t="n">
        <v>44.12</v>
      </c>
    </row>
    <row r="9445">
      <c r="A9445" s="544" t="n">
        <v>42431</v>
      </c>
      <c r="B9445" s="538" t="n">
        <v>36.38</v>
      </c>
      <c r="C9445" s="538" t="n">
        <v>34.57</v>
      </c>
      <c r="D9445" s="538" t="n">
        <v>32.17</v>
      </c>
      <c r="E9445" s="538" t="n">
        <v>44.36</v>
      </c>
    </row>
    <row r="9446">
      <c r="A9446" s="544" t="n">
        <v>42432</v>
      </c>
      <c r="B9446" s="538" t="n">
        <v>35.75</v>
      </c>
      <c r="C9446" s="538" t="n">
        <v>34.56</v>
      </c>
      <c r="D9446" s="538" t="n">
        <v>32.38</v>
      </c>
      <c r="E9446" s="538" t="n">
        <v>44.32</v>
      </c>
    </row>
    <row r="9447">
      <c r="A9447" s="544" t="n">
        <v>42433</v>
      </c>
      <c r="B9447" s="538" t="n">
        <v>37.61</v>
      </c>
      <c r="C9447" s="538" t="n">
        <v>35.91</v>
      </c>
      <c r="D9447" s="538" t="n">
        <v>34.07</v>
      </c>
      <c r="E9447" s="538" t="n">
        <v>44.51</v>
      </c>
    </row>
    <row r="9448">
      <c r="A9448" s="544" t="n">
        <v>42436</v>
      </c>
      <c r="B9448" s="538" t="n">
        <v>39.02</v>
      </c>
      <c r="C9448" s="538" t="n">
        <v>37.9</v>
      </c>
      <c r="D9448" s="538" t="n">
        <v>36.06</v>
      </c>
      <c r="E9448" s="538" t="n">
        <v>46.48</v>
      </c>
    </row>
    <row r="9449">
      <c r="A9449" s="544" t="n">
        <v>42437</v>
      </c>
      <c r="B9449" s="538" t="n">
        <v>39.16</v>
      </c>
      <c r="C9449" s="538" t="n">
        <v>36.67</v>
      </c>
      <c r="D9449" s="538" t="n">
        <v>34.81</v>
      </c>
      <c r="E9449" s="538" t="n">
        <v>48.12</v>
      </c>
    </row>
    <row r="9450">
      <c r="A9450" s="544" t="n">
        <v>42438</v>
      </c>
      <c r="B9450" s="538" t="n">
        <v>40.26</v>
      </c>
      <c r="C9450" s="538" t="n">
        <v>37.62</v>
      </c>
      <c r="D9450" s="538" t="n">
        <v>36.16</v>
      </c>
      <c r="E9450" s="538" t="n">
        <v>47.54</v>
      </c>
    </row>
    <row r="9451">
      <c r="A9451" s="544" t="n">
        <v>42439</v>
      </c>
      <c r="B9451" s="538" t="n">
        <v>38.63</v>
      </c>
      <c r="C9451" s="538" t="n">
        <v>37.77</v>
      </c>
      <c r="D9451" s="538" t="n">
        <v>35.57</v>
      </c>
      <c r="E9451" s="538" t="n">
        <v>48.24</v>
      </c>
    </row>
    <row r="9452">
      <c r="A9452" s="544" t="n">
        <v>42440</v>
      </c>
      <c r="B9452" s="538" t="n">
        <v>39.41</v>
      </c>
      <c r="C9452" s="538" t="n">
        <v>38.51</v>
      </c>
      <c r="D9452" s="538" t="n">
        <v>35.79</v>
      </c>
      <c r="E9452" s="538" t="n">
        <v>48.63</v>
      </c>
    </row>
    <row r="9453">
      <c r="A9453" s="544" t="n">
        <v>42443</v>
      </c>
      <c r="B9453" s="538" t="n">
        <v>38.06</v>
      </c>
      <c r="C9453" s="538" t="n">
        <v>37.2</v>
      </c>
      <c r="D9453" s="538" t="n">
        <v>35.05</v>
      </c>
      <c r="E9453" s="538" t="n">
        <v>47.73</v>
      </c>
    </row>
    <row r="9454">
      <c r="A9454" s="544" t="n">
        <v>42444</v>
      </c>
      <c r="B9454" s="538" t="n">
        <v>37.49</v>
      </c>
      <c r="C9454" s="538" t="n">
        <v>36.32</v>
      </c>
      <c r="D9454" s="538" t="n">
        <v>34.88</v>
      </c>
      <c r="E9454" s="538" t="n">
        <v>46.59</v>
      </c>
    </row>
    <row r="9455">
      <c r="A9455" s="544" t="n">
        <v>42445</v>
      </c>
      <c r="B9455" s="538" t="n">
        <v>38.38</v>
      </c>
      <c r="C9455" s="538" t="n">
        <v>38.43</v>
      </c>
      <c r="D9455" s="538" t="n">
        <v>36.25</v>
      </c>
      <c r="E9455" s="538" t="n">
        <v>47.27</v>
      </c>
    </row>
    <row r="9456">
      <c r="A9456" s="544" t="n">
        <v>42446</v>
      </c>
      <c r="B9456" s="538" t="n">
        <v>39.29</v>
      </c>
      <c r="C9456" s="538" t="n">
        <v>40.17</v>
      </c>
      <c r="D9456" s="538" t="n">
        <v>37.58</v>
      </c>
      <c r="E9456" s="538" t="n">
        <v>49.81</v>
      </c>
    </row>
    <row r="9457">
      <c r="A9457" s="544" t="n">
        <v>42447</v>
      </c>
      <c r="B9457" s="538" t="n">
        <v>39.26</v>
      </c>
      <c r="C9457" s="538" t="n">
        <v>39.47</v>
      </c>
      <c r="D9457" s="538" t="n">
        <v>37.46</v>
      </c>
      <c r="E9457" s="538" t="n">
        <v>49.65</v>
      </c>
    </row>
    <row r="9458">
      <c r="A9458" s="544" t="n">
        <v>42450</v>
      </c>
      <c r="B9458" s="538" t="n">
        <v>39.91</v>
      </c>
      <c r="C9458" s="538" t="n">
        <v>39.91</v>
      </c>
      <c r="D9458" s="538" t="n">
        <v>37.8</v>
      </c>
      <c r="E9458" s="538" t="n">
        <v>48.56</v>
      </c>
    </row>
    <row r="9459">
      <c r="A9459" s="544" t="n">
        <v>42451</v>
      </c>
      <c r="B9459" s="538" t="n">
        <v>40.54</v>
      </c>
      <c r="C9459" s="538" t="n">
        <v>41.45</v>
      </c>
      <c r="D9459" s="538" t="n">
        <v>37.79</v>
      </c>
      <c r="E9459" s="538" t="n">
        <v>48.65</v>
      </c>
    </row>
    <row r="9460">
      <c r="A9460" s="544" t="n">
        <v>42452</v>
      </c>
      <c r="B9460" s="538" t="n">
        <v>38.84</v>
      </c>
      <c r="C9460" s="538" t="n">
        <v>38.28</v>
      </c>
      <c r="D9460" s="538" t="n">
        <v>36</v>
      </c>
      <c r="E9460" s="538" t="n">
        <v>49.19</v>
      </c>
    </row>
    <row r="9461">
      <c r="A9461" s="544" t="n">
        <v>42453</v>
      </c>
      <c r="B9461" s="538" t="n">
        <v>38.33</v>
      </c>
      <c r="C9461" s="538" t="n">
        <v>38.14</v>
      </c>
      <c r="D9461" s="538" t="n">
        <v>35.88</v>
      </c>
      <c r="E9461" s="538" t="n">
        <v>47.83</v>
      </c>
    </row>
    <row r="9462">
      <c r="A9462" s="544" t="n">
        <v>42454</v>
      </c>
      <c r="B9462" s="538" t="n">
        <v>38.33</v>
      </c>
      <c r="C9462" s="538" t="n">
        <v>38.14</v>
      </c>
      <c r="D9462" s="538" t="n">
        <v>35.88</v>
      </c>
      <c r="E9462" s="538" t="n">
        <v>47.83</v>
      </c>
    </row>
    <row r="9463">
      <c r="A9463" s="544" t="n">
        <v>42457</v>
      </c>
      <c r="B9463" s="538" t="n">
        <v>38.33</v>
      </c>
      <c r="C9463" s="538" t="n">
        <v>37.99</v>
      </c>
      <c r="D9463" s="538" t="n">
        <v>35.82</v>
      </c>
      <c r="E9463" s="538" t="n">
        <v>48.21</v>
      </c>
    </row>
    <row r="9464">
      <c r="A9464" s="544" t="n">
        <v>42458</v>
      </c>
      <c r="B9464" s="538" t="n">
        <v>36.75</v>
      </c>
      <c r="C9464" s="538" t="n">
        <v>36.91</v>
      </c>
      <c r="D9464" s="538" t="n">
        <v>35.44</v>
      </c>
      <c r="E9464" s="538" t="n">
        <v>47.17</v>
      </c>
    </row>
    <row r="9465">
      <c r="A9465" s="544" t="n">
        <v>42459</v>
      </c>
      <c r="B9465" s="538" t="n">
        <v>36.75</v>
      </c>
      <c r="C9465" s="538" t="n">
        <v>36.91</v>
      </c>
      <c r="D9465" s="538" t="n">
        <v>35.24</v>
      </c>
      <c r="E9465" s="538" t="n">
        <v>47.62</v>
      </c>
    </row>
    <row r="9466">
      <c r="A9466" s="544" t="n">
        <v>42460</v>
      </c>
      <c r="B9466" s="538" t="n">
        <v>36.75</v>
      </c>
      <c r="C9466" s="538" t="n">
        <v>36.94</v>
      </c>
      <c r="D9466" s="538" t="n">
        <v>35.24</v>
      </c>
      <c r="E9466" s="538" t="n">
        <v>47.06</v>
      </c>
    </row>
    <row r="9467">
      <c r="A9467" s="544" t="n">
        <v>42461</v>
      </c>
      <c r="B9467" s="538" t="n">
        <v>36.42</v>
      </c>
      <c r="C9467" s="538" t="n">
        <v>35.36</v>
      </c>
      <c r="D9467" s="538" t="n">
        <v>34.78</v>
      </c>
      <c r="E9467" s="538" t="n">
        <v>45.96</v>
      </c>
    </row>
    <row r="9468">
      <c r="A9468" s="544" t="n">
        <v>42464</v>
      </c>
      <c r="B9468" s="538" t="n">
        <v>36.05</v>
      </c>
      <c r="C9468" s="538" t="n">
        <v>34.3</v>
      </c>
      <c r="D9468" s="538" t="n">
        <v>33.63</v>
      </c>
      <c r="E9468" s="538" t="n">
        <v>45.96</v>
      </c>
    </row>
    <row r="9469">
      <c r="A9469" s="544" t="n">
        <v>42465</v>
      </c>
      <c r="B9469" s="538" t="n">
        <v>35.88</v>
      </c>
      <c r="C9469" s="538" t="n">
        <v>34.52</v>
      </c>
      <c r="D9469" s="538" t="n">
        <v>34.57</v>
      </c>
      <c r="E9469" s="538" t="n">
        <v>45.71</v>
      </c>
    </row>
    <row r="9470">
      <c r="A9470" s="544" t="n">
        <v>42466</v>
      </c>
      <c r="B9470" s="538" t="n">
        <v>37.77</v>
      </c>
      <c r="C9470" s="538" t="n">
        <v>37.74</v>
      </c>
      <c r="D9470" s="538" t="n">
        <v>35.9</v>
      </c>
      <c r="E9470" s="538" t="n">
        <v>43.85</v>
      </c>
    </row>
    <row r="9471">
      <c r="A9471" s="544" t="n">
        <v>42467</v>
      </c>
      <c r="B9471" s="538" t="n">
        <v>37.15</v>
      </c>
      <c r="C9471" s="538" t="n">
        <v>37.3</v>
      </c>
      <c r="D9471" s="538" t="n">
        <v>35.75</v>
      </c>
      <c r="E9471" s="538" t="n">
        <v>46.88</v>
      </c>
    </row>
    <row r="9472">
      <c r="A9472" s="544" t="n">
        <v>42468</v>
      </c>
      <c r="B9472" s="538" t="n">
        <v>40.71</v>
      </c>
      <c r="C9472" s="538" t="n">
        <v>39.74</v>
      </c>
      <c r="D9472" s="538" t="n">
        <v>37.84</v>
      </c>
      <c r="E9472" s="538" t="n">
        <v>47.27</v>
      </c>
    </row>
    <row r="9473">
      <c r="A9473" s="544" t="n">
        <v>42471</v>
      </c>
      <c r="B9473" s="538" t="n">
        <v>41.58</v>
      </c>
      <c r="C9473" s="538" t="n">
        <v>40.46</v>
      </c>
      <c r="D9473" s="538" t="n">
        <v>38.63</v>
      </c>
      <c r="E9473" s="538" t="n">
        <v>48.03</v>
      </c>
    </row>
    <row r="9474">
      <c r="A9474" s="544" t="n">
        <v>42472</v>
      </c>
      <c r="B9474" s="538" t="n">
        <v>43.02</v>
      </c>
      <c r="C9474" s="538" t="n">
        <v>42.12</v>
      </c>
      <c r="D9474" s="538" t="n">
        <v>40.25</v>
      </c>
      <c r="E9474" s="538" t="n">
        <v>49.23</v>
      </c>
    </row>
    <row r="9475">
      <c r="A9475" s="544" t="n">
        <v>42473</v>
      </c>
      <c r="B9475" s="538" t="n">
        <v>42.81</v>
      </c>
      <c r="C9475" s="538" t="n">
        <v>41.7</v>
      </c>
      <c r="D9475" s="538" t="n">
        <v>40</v>
      </c>
      <c r="E9475" s="538" t="n">
        <v>50.32</v>
      </c>
    </row>
    <row r="9476">
      <c r="A9476" s="544" t="n">
        <v>42474</v>
      </c>
      <c r="B9476" s="538" t="n">
        <v>43.02</v>
      </c>
      <c r="C9476" s="538" t="n">
        <v>41.45</v>
      </c>
      <c r="D9476" s="538" t="n">
        <v>39.64</v>
      </c>
      <c r="E9476" s="538" t="n">
        <v>49.92</v>
      </c>
    </row>
    <row r="9477">
      <c r="A9477" s="544" t="n">
        <v>42475</v>
      </c>
      <c r="B9477" s="538" t="n">
        <v>41.32</v>
      </c>
      <c r="C9477" s="538" t="n">
        <v>40.4</v>
      </c>
      <c r="D9477" s="538" t="n">
        <v>39.11</v>
      </c>
      <c r="E9477" s="538" t="n">
        <v>49.42</v>
      </c>
    </row>
    <row r="9478">
      <c r="A9478" s="544" t="n">
        <v>42478</v>
      </c>
      <c r="B9478" s="538" t="n">
        <v>41.64</v>
      </c>
      <c r="C9478" s="538" t="n">
        <v>39.74</v>
      </c>
      <c r="D9478" s="538" t="n">
        <v>39.11</v>
      </c>
      <c r="E9478" s="538" t="n">
        <v>47.93</v>
      </c>
    </row>
    <row r="9479">
      <c r="A9479" s="544" t="n">
        <v>42479</v>
      </c>
      <c r="B9479" s="538" t="n">
        <v>43.02</v>
      </c>
      <c r="C9479" s="538" t="n">
        <v>40.88</v>
      </c>
      <c r="D9479" s="538" t="n">
        <v>39.62</v>
      </c>
      <c r="E9479" s="538" t="n">
        <v>49.46</v>
      </c>
    </row>
    <row r="9480">
      <c r="A9480" s="544" t="n">
        <v>42480</v>
      </c>
      <c r="B9480" s="538" t="n">
        <v>43.09</v>
      </c>
      <c r="C9480" s="538" t="n">
        <v>42.72</v>
      </c>
      <c r="D9480" s="538" t="n">
        <v>41.59</v>
      </c>
      <c r="E9480" s="538" t="n">
        <v>49.18</v>
      </c>
    </row>
    <row r="9481">
      <c r="A9481" s="544" t="n">
        <v>42481</v>
      </c>
      <c r="B9481" s="538" t="n">
        <v>43.48</v>
      </c>
      <c r="C9481" s="538" t="n">
        <v>43.18</v>
      </c>
      <c r="D9481" s="538" t="n">
        <v>40.7</v>
      </c>
      <c r="E9481" s="538" t="n">
        <v>51.96</v>
      </c>
    </row>
    <row r="9482">
      <c r="A9482" s="544" t="n">
        <v>42482</v>
      </c>
      <c r="B9482" s="538" t="n">
        <v>43.97</v>
      </c>
      <c r="C9482" s="538" t="n">
        <v>42.76</v>
      </c>
      <c r="D9482" s="538" t="n">
        <v>41.02</v>
      </c>
      <c r="E9482" s="538" t="n">
        <v>51.68</v>
      </c>
    </row>
    <row r="9483">
      <c r="A9483" s="544" t="n">
        <v>42485</v>
      </c>
      <c r="B9483" s="538" t="n">
        <v>42.97</v>
      </c>
      <c r="C9483" s="538" t="n">
        <v>41.67</v>
      </c>
      <c r="D9483" s="538" t="n">
        <v>40.9</v>
      </c>
      <c r="E9483" s="538" t="n">
        <v>51.6</v>
      </c>
    </row>
    <row r="9484">
      <c r="A9484" s="544" t="n">
        <v>42486</v>
      </c>
      <c r="B9484" s="538" t="n">
        <v>43.94</v>
      </c>
      <c r="C9484" s="538" t="n">
        <v>42.52</v>
      </c>
      <c r="D9484" s="538" t="n">
        <v>42.26</v>
      </c>
      <c r="E9484" s="538" t="n">
        <v>51.83</v>
      </c>
    </row>
    <row r="9485">
      <c r="A9485" s="544" t="n">
        <v>42487</v>
      </c>
      <c r="B9485" s="538" t="n">
        <v>44.17</v>
      </c>
      <c r="C9485" s="538" t="n">
        <v>45.29</v>
      </c>
      <c r="D9485" s="538" t="n">
        <v>43.06</v>
      </c>
      <c r="E9485" s="538" t="n">
        <v>53.67</v>
      </c>
    </row>
    <row r="9486">
      <c r="A9486" s="544" t="n">
        <v>42488</v>
      </c>
      <c r="B9486" s="538" t="n">
        <v>45.6</v>
      </c>
      <c r="C9486" s="538" t="n">
        <v>46.03</v>
      </c>
      <c r="D9486" s="538" t="n">
        <v>43.66</v>
      </c>
      <c r="E9486" s="538" t="n">
        <v>53.78</v>
      </c>
    </row>
    <row r="9487">
      <c r="A9487" s="544" t="n">
        <v>42489</v>
      </c>
      <c r="B9487" s="538" t="n">
        <v>45.64</v>
      </c>
      <c r="C9487" s="538" t="n">
        <v>45.98</v>
      </c>
      <c r="D9487" s="538" t="n">
        <v>43.89</v>
      </c>
      <c r="E9487" s="538" t="n">
        <v>55.54</v>
      </c>
    </row>
    <row r="9488">
      <c r="A9488" s="544" t="n">
        <v>42492</v>
      </c>
      <c r="B9488" s="538" t="n">
        <v>45.82</v>
      </c>
      <c r="C9488" s="538" t="n">
        <v>44.75</v>
      </c>
      <c r="D9488" s="538" t="n">
        <v>41.85</v>
      </c>
      <c r="E9488" s="538" t="n">
        <v>55.54</v>
      </c>
    </row>
    <row r="9489">
      <c r="A9489" s="544" t="n">
        <v>42493</v>
      </c>
      <c r="B9489" s="538" t="n">
        <v>43.09</v>
      </c>
      <c r="C9489" s="538" t="n">
        <v>43.65</v>
      </c>
      <c r="D9489" s="538" t="n">
        <v>42.03</v>
      </c>
      <c r="E9489" s="538" t="n">
        <v>53.13</v>
      </c>
    </row>
    <row r="9490">
      <c r="A9490" s="544" t="n">
        <v>42494</v>
      </c>
      <c r="B9490" s="538" t="n">
        <v>43.08</v>
      </c>
      <c r="C9490" s="538" t="n">
        <v>43.77</v>
      </c>
      <c r="D9490" s="538" t="n">
        <v>42.05</v>
      </c>
      <c r="E9490" s="538" t="n">
        <v>51.82</v>
      </c>
    </row>
    <row r="9491">
      <c r="A9491" s="544" t="n">
        <v>42495</v>
      </c>
      <c r="B9491" s="538" t="n">
        <v>44.39</v>
      </c>
      <c r="C9491" s="538" t="n">
        <v>44.33</v>
      </c>
      <c r="D9491" s="538" t="n">
        <v>42.06</v>
      </c>
      <c r="E9491" s="538" t="n">
        <v>52.43</v>
      </c>
    </row>
    <row r="9492">
      <c r="A9492" s="544" t="n">
        <v>42496</v>
      </c>
      <c r="B9492" s="538" t="n">
        <v>44.6</v>
      </c>
      <c r="C9492" s="538" t="n">
        <v>44.58</v>
      </c>
      <c r="D9492" s="538" t="n">
        <v>42.12</v>
      </c>
      <c r="E9492" s="538" t="n">
        <v>51.14</v>
      </c>
    </row>
    <row r="9493">
      <c r="A9493" s="544" t="n">
        <v>42499</v>
      </c>
      <c r="B9493" s="538" t="n">
        <v>42.43</v>
      </c>
      <c r="C9493" s="538" t="n">
        <v>43.45</v>
      </c>
      <c r="D9493" s="538" t="n">
        <v>40.26</v>
      </c>
      <c r="E9493" s="538" t="n">
        <v>52</v>
      </c>
    </row>
    <row r="9494">
      <c r="A9494" s="544" t="n">
        <v>42500</v>
      </c>
      <c r="B9494" s="538" t="n">
        <v>44.01</v>
      </c>
      <c r="C9494" s="538" t="n">
        <v>44.68</v>
      </c>
      <c r="D9494" s="538" t="n">
        <v>42.24</v>
      </c>
      <c r="E9494" s="538" t="n">
        <v>50.66</v>
      </c>
    </row>
    <row r="9495">
      <c r="A9495" s="544" t="n">
        <v>42501</v>
      </c>
      <c r="B9495" s="538" t="n">
        <v>46.08</v>
      </c>
      <c r="C9495" s="538" t="n">
        <v>46.21</v>
      </c>
      <c r="D9495" s="538" t="n">
        <v>43.97</v>
      </c>
      <c r="E9495" s="538" t="n">
        <v>51.91</v>
      </c>
    </row>
    <row r="9496">
      <c r="A9496" s="544" t="n">
        <v>42502</v>
      </c>
      <c r="B9496" s="538" t="n">
        <v>46.43</v>
      </c>
      <c r="C9496" s="538" t="n">
        <v>46.64</v>
      </c>
      <c r="D9496" s="538" t="n">
        <v>44.57</v>
      </c>
      <c r="E9496" s="538" t="n">
        <v>54.27</v>
      </c>
    </row>
    <row r="9497">
      <c r="A9497" s="544" t="n">
        <v>42503</v>
      </c>
      <c r="B9497" s="538" t="n">
        <v>47.05</v>
      </c>
      <c r="C9497" s="538" t="n">
        <v>46.22</v>
      </c>
      <c r="D9497" s="538" t="n">
        <v>44.51</v>
      </c>
      <c r="E9497" s="538" t="n">
        <v>53.89</v>
      </c>
    </row>
    <row r="9498">
      <c r="A9498" s="544" t="n">
        <v>42506</v>
      </c>
      <c r="B9498" s="538" t="n">
        <v>48.49</v>
      </c>
      <c r="C9498" s="538" t="n">
        <v>47.72</v>
      </c>
      <c r="D9498" s="538" t="n">
        <v>45.62</v>
      </c>
      <c r="E9498" s="538" t="n">
        <v>55.24</v>
      </c>
    </row>
    <row r="9499">
      <c r="A9499" s="544" t="n">
        <v>42507</v>
      </c>
      <c r="B9499" s="538" t="n">
        <v>48.71</v>
      </c>
      <c r="C9499" s="538" t="n">
        <v>48.29</v>
      </c>
      <c r="D9499" s="538" t="n">
        <v>45.94</v>
      </c>
      <c r="E9499" s="538" t="n">
        <v>56.35</v>
      </c>
    </row>
    <row r="9500">
      <c r="A9500" s="544" t="n">
        <v>42508</v>
      </c>
      <c r="B9500" s="538" t="n">
        <v>48.93</v>
      </c>
      <c r="C9500" s="538" t="n">
        <v>48.12</v>
      </c>
      <c r="D9500" s="538" t="n">
        <v>45.41</v>
      </c>
      <c r="E9500" s="538" t="n">
        <v>56.77</v>
      </c>
    </row>
    <row r="9501">
      <c r="A9501" s="544" t="n">
        <v>42509</v>
      </c>
      <c r="B9501" s="538" t="n">
        <v>47.01</v>
      </c>
      <c r="C9501" s="538" t="n">
        <v>48.16</v>
      </c>
      <c r="D9501" s="538" t="n">
        <v>45.74</v>
      </c>
      <c r="E9501" s="538" t="n">
        <v>56.07</v>
      </c>
    </row>
    <row r="9502">
      <c r="A9502" s="544" t="n">
        <v>42510</v>
      </c>
      <c r="B9502" s="538" t="n">
        <v>48.54</v>
      </c>
      <c r="C9502" s="538" t="n">
        <v>47.67</v>
      </c>
      <c r="D9502" s="538" t="n">
        <v>45.37</v>
      </c>
      <c r="E9502" s="538" t="n">
        <v>57.3</v>
      </c>
    </row>
    <row r="9503">
      <c r="A9503" s="544" t="n">
        <v>42513</v>
      </c>
      <c r="B9503" s="538" t="n">
        <v>47.77</v>
      </c>
      <c r="C9503" s="538" t="n">
        <v>48.12</v>
      </c>
      <c r="D9503" s="538" t="n">
        <v>45.05</v>
      </c>
      <c r="E9503" s="538" t="n">
        <v>57.35</v>
      </c>
    </row>
    <row r="9504">
      <c r="A9504" s="544" t="n">
        <v>42514</v>
      </c>
      <c r="B9504" s="538" t="n">
        <v>48.42</v>
      </c>
      <c r="C9504" s="538" t="n">
        <v>48.04</v>
      </c>
      <c r="D9504" s="538" t="n">
        <v>45.71</v>
      </c>
      <c r="E9504" s="538" t="n">
        <v>56.78</v>
      </c>
    </row>
    <row r="9505">
      <c r="A9505" s="544" t="n">
        <v>42515</v>
      </c>
      <c r="B9505" s="538" t="n">
        <v>48.87</v>
      </c>
      <c r="C9505" s="538" t="n">
        <v>49.1</v>
      </c>
      <c r="D9505" s="538" t="n">
        <v>46.27</v>
      </c>
      <c r="E9505" s="538" t="n">
        <v>58.93</v>
      </c>
    </row>
    <row r="9506">
      <c r="A9506" s="544" t="n">
        <v>42516</v>
      </c>
      <c r="B9506" s="538" t="n">
        <v>49.52</v>
      </c>
      <c r="C9506" s="538" t="n">
        <v>49</v>
      </c>
      <c r="D9506" s="538" t="n">
        <v>45.89</v>
      </c>
      <c r="E9506" s="538" t="n">
        <v>58.82</v>
      </c>
    </row>
    <row r="9507">
      <c r="A9507" s="544" t="n">
        <v>42517</v>
      </c>
      <c r="B9507" s="538" t="n">
        <v>49.09</v>
      </c>
      <c r="C9507" s="538" t="n">
        <v>49.36</v>
      </c>
      <c r="D9507" s="538" t="n">
        <v>45.55</v>
      </c>
      <c r="E9507" s="538" t="n">
        <v>57.79</v>
      </c>
    </row>
    <row r="9508">
      <c r="A9508" s="544" t="n">
        <v>42520</v>
      </c>
      <c r="B9508" s="538" t="n">
        <v>49.09</v>
      </c>
      <c r="C9508" s="538" t="n">
        <v>49.36</v>
      </c>
      <c r="D9508" s="538" t="n">
        <v>46.26</v>
      </c>
      <c r="E9508" s="538" t="n">
        <v>58.02</v>
      </c>
    </row>
    <row r="9509">
      <c r="A9509" s="544" t="n">
        <v>42521</v>
      </c>
      <c r="B9509" s="538" t="n">
        <v>49.26</v>
      </c>
      <c r="C9509" s="538" t="n">
        <v>49.1</v>
      </c>
      <c r="D9509" s="538" t="n">
        <v>45.72</v>
      </c>
      <c r="E9509" s="538" t="n">
        <v>58.24</v>
      </c>
    </row>
    <row r="9510">
      <c r="A9510" s="544" t="n">
        <v>42522</v>
      </c>
      <c r="B9510" s="538" t="n">
        <v>48.81</v>
      </c>
      <c r="C9510" s="538" t="n">
        <v>49.07</v>
      </c>
      <c r="D9510" s="538" t="n">
        <v>45.96</v>
      </c>
      <c r="E9510" s="538" t="n">
        <v>57.82</v>
      </c>
    </row>
    <row r="9511">
      <c r="A9511" s="544" t="n">
        <v>42523</v>
      </c>
      <c r="B9511" s="538" t="n">
        <v>49.05</v>
      </c>
      <c r="C9511" s="538" t="n">
        <v>49.14</v>
      </c>
      <c r="D9511" s="538" t="n">
        <v>46.4</v>
      </c>
      <c r="E9511" s="538" t="n">
        <v>58.4</v>
      </c>
    </row>
    <row r="9512">
      <c r="A9512" s="544" t="n">
        <v>42524</v>
      </c>
      <c r="B9512" s="538" t="n">
        <v>48.5</v>
      </c>
      <c r="C9512" s="538" t="n">
        <v>48.69</v>
      </c>
      <c r="D9512" s="538" t="n">
        <v>45.9</v>
      </c>
      <c r="E9512" s="538" t="n">
        <v>58.66</v>
      </c>
    </row>
    <row r="9513">
      <c r="A9513" s="544" t="n">
        <v>42527</v>
      </c>
      <c r="B9513" s="538" t="n">
        <v>48.94</v>
      </c>
      <c r="C9513" s="538" t="n">
        <v>49.71</v>
      </c>
      <c r="D9513" s="538" t="n">
        <v>46.72</v>
      </c>
      <c r="E9513" s="538" t="n">
        <v>58.02</v>
      </c>
    </row>
    <row r="9514">
      <c r="A9514" s="544" t="n">
        <v>42528</v>
      </c>
      <c r="B9514" s="538" t="n">
        <v>49.76</v>
      </c>
      <c r="C9514" s="538" t="n">
        <v>50.37</v>
      </c>
      <c r="D9514" s="538" t="n">
        <v>47.79</v>
      </c>
      <c r="E9514" s="538" t="n">
        <v>58.45</v>
      </c>
    </row>
    <row r="9515">
      <c r="A9515" s="544" t="n">
        <v>42529</v>
      </c>
      <c r="B9515" s="538" t="n">
        <v>50.73</v>
      </c>
      <c r="C9515" s="538" t="n">
        <v>51.23</v>
      </c>
      <c r="D9515" s="538" t="n">
        <v>49.1</v>
      </c>
      <c r="E9515" s="538" t="n">
        <v>60.28</v>
      </c>
    </row>
    <row r="9516">
      <c r="A9516" s="544" t="n">
        <v>42530</v>
      </c>
      <c r="B9516" s="538" t="n">
        <v>50.59</v>
      </c>
      <c r="C9516" s="538" t="n">
        <v>50.52</v>
      </c>
      <c r="D9516" s="538" t="n">
        <v>48.13</v>
      </c>
      <c r="E9516" s="538" t="n">
        <v>60.72</v>
      </c>
    </row>
    <row r="9517">
      <c r="A9517" s="544" t="n">
        <v>42531</v>
      </c>
      <c r="B9517" s="538" t="n">
        <v>49.7</v>
      </c>
      <c r="C9517" s="538" t="n">
        <v>49.09</v>
      </c>
      <c r="D9517" s="538" t="n">
        <v>47.08</v>
      </c>
      <c r="E9517" s="538" t="n">
        <v>59.83</v>
      </c>
    </row>
    <row r="9518">
      <c r="A9518" s="544" t="n">
        <v>42534</v>
      </c>
      <c r="B9518" s="538" t="n">
        <v>49.36</v>
      </c>
      <c r="C9518" s="538" t="n">
        <v>48.89</v>
      </c>
      <c r="D9518" s="538" t="n">
        <v>46.52</v>
      </c>
      <c r="E9518" s="538" t="n">
        <v>58.46</v>
      </c>
    </row>
    <row r="9519">
      <c r="A9519" s="544" t="n">
        <v>42535</v>
      </c>
      <c r="B9519" s="538" t="n">
        <v>47.88</v>
      </c>
      <c r="C9519" s="538" t="n">
        <v>48.49</v>
      </c>
      <c r="D9519" s="538" t="n">
        <v>45.82</v>
      </c>
      <c r="E9519" s="538" t="n">
        <v>58.27</v>
      </c>
    </row>
    <row r="9520">
      <c r="A9520" s="544" t="n">
        <v>42536</v>
      </c>
      <c r="B9520" s="538" t="n">
        <v>47.47</v>
      </c>
      <c r="C9520" s="538" t="n">
        <v>47.92</v>
      </c>
      <c r="D9520" s="538" t="n">
        <v>45.12</v>
      </c>
      <c r="E9520" s="538" t="n">
        <v>58.23</v>
      </c>
    </row>
    <row r="9521">
      <c r="A9521" s="544" t="n">
        <v>42537</v>
      </c>
      <c r="B9521" s="538" t="n">
        <v>45.66</v>
      </c>
      <c r="C9521" s="538" t="n">
        <v>46.14</v>
      </c>
      <c r="D9521" s="538" t="n">
        <v>43.76</v>
      </c>
      <c r="E9521" s="538" t="n">
        <v>57.02</v>
      </c>
    </row>
    <row r="9522">
      <c r="A9522" s="544" t="n">
        <v>42538</v>
      </c>
      <c r="B9522" s="538" t="n">
        <v>46.57</v>
      </c>
      <c r="C9522" s="538" t="n">
        <v>48</v>
      </c>
      <c r="D9522" s="538" t="n">
        <v>45.61</v>
      </c>
      <c r="E9522" s="538" t="n">
        <v>56.25</v>
      </c>
    </row>
    <row r="9523">
      <c r="A9523" s="544" t="n">
        <v>42541</v>
      </c>
      <c r="B9523" s="538" t="n">
        <v>48.68</v>
      </c>
      <c r="C9523" s="538" t="n">
        <v>49.4</v>
      </c>
      <c r="D9523" s="538" t="n">
        <v>46.86</v>
      </c>
      <c r="E9523" s="538" t="n">
        <v>59.02</v>
      </c>
    </row>
    <row r="9524">
      <c r="A9524" s="544" t="n">
        <v>42542</v>
      </c>
      <c r="B9524" s="538" t="n">
        <v>48.18</v>
      </c>
      <c r="C9524" s="538" t="n">
        <v>48.95</v>
      </c>
      <c r="D9524" s="538" t="n">
        <v>47.27</v>
      </c>
      <c r="E9524" s="538" t="n">
        <v>59.01</v>
      </c>
    </row>
    <row r="9525">
      <c r="A9525" s="544" t="n">
        <v>42543</v>
      </c>
      <c r="B9525" s="538" t="n">
        <v>48.43</v>
      </c>
      <c r="C9525" s="538" t="n">
        <v>49.16</v>
      </c>
      <c r="D9525" s="538" t="n">
        <v>46.33</v>
      </c>
      <c r="E9525" s="538" t="n">
        <v>59.49</v>
      </c>
    </row>
    <row r="9526">
      <c r="A9526" s="544" t="n">
        <v>42544</v>
      </c>
      <c r="B9526" s="538" t="n">
        <v>48.63</v>
      </c>
      <c r="C9526" s="538" t="n">
        <v>49.34</v>
      </c>
      <c r="D9526" s="538" t="n">
        <v>47.42</v>
      </c>
      <c r="E9526" s="538" t="n">
        <v>58.52</v>
      </c>
    </row>
    <row r="9527">
      <c r="A9527" s="544" t="n">
        <v>42545</v>
      </c>
      <c r="B9527" s="538" t="n">
        <v>46.69</v>
      </c>
      <c r="C9527" s="538" t="n">
        <v>46.7</v>
      </c>
      <c r="D9527" s="538" t="n">
        <v>44.94</v>
      </c>
      <c r="E9527" s="538" t="n">
        <v>56.97</v>
      </c>
    </row>
    <row r="9528">
      <c r="A9528" s="544" t="n">
        <v>42548</v>
      </c>
      <c r="B9528" s="538" t="n">
        <v>45.07</v>
      </c>
      <c r="C9528" s="538" t="n">
        <v>45.8</v>
      </c>
      <c r="D9528" s="538" t="n">
        <v>44.02</v>
      </c>
      <c r="E9528" s="538" t="n">
        <v>56.81</v>
      </c>
    </row>
    <row r="9529">
      <c r="A9529" s="544" t="n">
        <v>42549</v>
      </c>
      <c r="B9529" s="538" t="n">
        <v>46.29</v>
      </c>
      <c r="C9529" s="538" t="n">
        <v>47.93</v>
      </c>
      <c r="D9529" s="538" t="n">
        <v>45.74</v>
      </c>
      <c r="E9529" s="538" t="n">
        <v>56.59</v>
      </c>
    </row>
    <row r="9530">
      <c r="A9530" s="544" t="n">
        <v>42550</v>
      </c>
      <c r="B9530" s="538" t="n">
        <v>48.4</v>
      </c>
      <c r="C9530" s="538" t="n">
        <v>49.85</v>
      </c>
      <c r="D9530" s="538" t="n">
        <v>47.03</v>
      </c>
      <c r="E9530" s="538" t="n">
        <v>57.69</v>
      </c>
    </row>
    <row r="9531">
      <c r="A9531" s="544" t="n">
        <v>42551</v>
      </c>
      <c r="B9531" s="538" t="n">
        <v>48.05</v>
      </c>
      <c r="C9531" s="538" t="n">
        <v>48.27</v>
      </c>
      <c r="D9531" s="538" t="n">
        <v>46.38</v>
      </c>
      <c r="E9531" s="538" t="n">
        <v>58.79</v>
      </c>
    </row>
    <row r="9532">
      <c r="A9532" s="544" t="n">
        <v>42552</v>
      </c>
      <c r="B9532" s="538" t="n">
        <v>47.65</v>
      </c>
      <c r="C9532" s="538" t="n">
        <v>49.02</v>
      </c>
      <c r="D9532" s="538" t="n">
        <v>46.05</v>
      </c>
      <c r="E9532" s="538" t="n">
        <v>57.38</v>
      </c>
    </row>
    <row r="9533">
      <c r="A9533" s="544" t="n">
        <v>42555</v>
      </c>
      <c r="B9533" s="538" t="n">
        <v>48.02</v>
      </c>
      <c r="C9533" s="538" t="n">
        <v>49.02</v>
      </c>
      <c r="D9533" s="538" t="n">
        <v>45.61</v>
      </c>
      <c r="E9533" s="538" t="n">
        <v>58.83</v>
      </c>
    </row>
    <row r="9534">
      <c r="A9534" s="544" t="n">
        <v>42556</v>
      </c>
      <c r="B9534" s="538" t="n">
        <v>45.64</v>
      </c>
      <c r="C9534" s="538" t="n">
        <v>46.73</v>
      </c>
      <c r="D9534" s="538" t="n">
        <v>43.91</v>
      </c>
      <c r="E9534" s="538" t="n">
        <v>57.04</v>
      </c>
    </row>
    <row r="9535">
      <c r="A9535" s="544" t="n">
        <v>42557</v>
      </c>
      <c r="B9535" s="538" t="n">
        <v>45.7</v>
      </c>
      <c r="C9535" s="538" t="n">
        <v>47.37</v>
      </c>
      <c r="D9535" s="538" t="n">
        <v>44.93</v>
      </c>
      <c r="E9535" s="538" t="n">
        <v>57.04</v>
      </c>
    </row>
    <row r="9536">
      <c r="A9536" s="544" t="n">
        <v>42558</v>
      </c>
      <c r="B9536" s="538" t="n">
        <v>45.93</v>
      </c>
      <c r="C9536" s="538" t="n">
        <v>45.22</v>
      </c>
      <c r="D9536" s="538" t="n">
        <v>42.36</v>
      </c>
      <c r="E9536" s="538" t="n">
        <v>57.72</v>
      </c>
    </row>
    <row r="9537">
      <c r="A9537" s="544" t="n">
        <v>42559</v>
      </c>
      <c r="B9537" s="538" t="n">
        <v>44.53</v>
      </c>
      <c r="C9537" s="538" t="n">
        <v>45.37</v>
      </c>
      <c r="D9537" s="538" t="n">
        <v>42.68</v>
      </c>
      <c r="E9537" s="538" t="n">
        <v>55.72</v>
      </c>
    </row>
    <row r="9538">
      <c r="A9538" s="544" t="n">
        <v>42562</v>
      </c>
      <c r="B9538" s="538" t="n">
        <v>44.04</v>
      </c>
      <c r="C9538" s="538" t="n">
        <v>44.73</v>
      </c>
      <c r="D9538" s="538" t="n">
        <v>42.34</v>
      </c>
      <c r="E9538" s="538" t="n">
        <v>55.82</v>
      </c>
    </row>
    <row r="9539">
      <c r="A9539" s="544" t="n">
        <v>42563</v>
      </c>
      <c r="B9539" s="538" t="n">
        <v>46.72</v>
      </c>
      <c r="C9539" s="538" t="n">
        <v>46.82</v>
      </c>
      <c r="D9539" s="538" t="n">
        <v>44.03</v>
      </c>
      <c r="E9539" s="538" t="n">
        <v>55.75</v>
      </c>
    </row>
    <row r="9540">
      <c r="A9540" s="544" t="n">
        <v>42564</v>
      </c>
      <c r="B9540" s="538" t="n">
        <v>44.67</v>
      </c>
      <c r="C9540" s="538" t="n">
        <v>44.87</v>
      </c>
      <c r="D9540" s="538" t="n">
        <v>42.49</v>
      </c>
      <c r="E9540" s="538" t="n">
        <v>55.93</v>
      </c>
    </row>
    <row r="9541">
      <c r="A9541" s="544" t="n">
        <v>42565</v>
      </c>
      <c r="B9541" s="538" t="n">
        <v>46.01</v>
      </c>
      <c r="C9541" s="538" t="n">
        <v>45.64</v>
      </c>
      <c r="D9541" s="538" t="n">
        <v>43.21</v>
      </c>
      <c r="E9541" s="538" t="n">
        <v>54.05</v>
      </c>
    </row>
    <row r="9542">
      <c r="A9542" s="544" t="n">
        <v>42566</v>
      </c>
      <c r="B9542" s="538" t="n">
        <v>46.25</v>
      </c>
      <c r="C9542" s="538" t="n">
        <v>45.93</v>
      </c>
      <c r="D9542" s="538" t="n">
        <v>43.42</v>
      </c>
      <c r="E9542" s="538" t="n">
        <v>53.81</v>
      </c>
    </row>
    <row r="9543">
      <c r="A9543" s="544" t="n">
        <v>42569</v>
      </c>
      <c r="B9543" s="538" t="n">
        <v>45.35</v>
      </c>
      <c r="C9543" s="538" t="n">
        <v>45.23</v>
      </c>
      <c r="D9543" s="538" t="n">
        <v>42.7</v>
      </c>
      <c r="E9543" s="538" t="n">
        <v>54.63</v>
      </c>
    </row>
    <row r="9544">
      <c r="A9544" s="544" t="n">
        <v>42570</v>
      </c>
      <c r="B9544" s="538" t="n">
        <v>45.7</v>
      </c>
      <c r="C9544" s="538" t="n">
        <v>44.64</v>
      </c>
      <c r="D9544" s="538" t="n">
        <v>42.41</v>
      </c>
      <c r="E9544" s="538" t="n">
        <v>53.69</v>
      </c>
    </row>
    <row r="9545">
      <c r="A9545" s="544" t="n">
        <v>42571</v>
      </c>
      <c r="B9545" s="538" t="n">
        <v>45.82</v>
      </c>
      <c r="C9545" s="538" t="n">
        <v>44.96</v>
      </c>
      <c r="D9545" s="538" t="n">
        <v>42.91</v>
      </c>
      <c r="E9545" s="538" t="n">
        <v>53.53</v>
      </c>
    </row>
    <row r="9546">
      <c r="A9546" s="544" t="n">
        <v>42572</v>
      </c>
      <c r="B9546" s="538" t="n">
        <v>44.99</v>
      </c>
      <c r="C9546" s="538" t="n">
        <v>43.96</v>
      </c>
      <c r="D9546" s="538" t="n">
        <v>41.84</v>
      </c>
      <c r="E9546" s="538" t="n">
        <v>55.17</v>
      </c>
    </row>
    <row r="9547">
      <c r="A9547" s="544" t="n">
        <v>42573</v>
      </c>
      <c r="B9547" s="538" t="n">
        <v>44.24</v>
      </c>
      <c r="C9547" s="538" t="n">
        <v>43.41</v>
      </c>
      <c r="D9547" s="538" t="n">
        <v>41.52</v>
      </c>
      <c r="E9547" s="538" t="n">
        <v>53.2</v>
      </c>
    </row>
    <row r="9548">
      <c r="A9548" s="544" t="n">
        <v>42576</v>
      </c>
      <c r="B9548" s="538" t="n">
        <v>43.76</v>
      </c>
      <c r="C9548" s="538" t="n">
        <v>42.4</v>
      </c>
      <c r="D9548" s="538" t="n">
        <v>40.69</v>
      </c>
      <c r="E9548" s="538" t="n">
        <v>53.3</v>
      </c>
    </row>
    <row r="9549">
      <c r="A9549" s="544" t="n">
        <v>42577</v>
      </c>
      <c r="B9549" s="538" t="n">
        <v>43.56</v>
      </c>
      <c r="C9549" s="538" t="n">
        <v>42.16</v>
      </c>
      <c r="D9549" s="538" t="n">
        <v>40.47</v>
      </c>
      <c r="E9549" s="538" t="n">
        <v>51.55</v>
      </c>
    </row>
    <row r="9550">
      <c r="A9550" s="544" t="n">
        <v>42578</v>
      </c>
      <c r="B9550" s="538" t="n">
        <v>42.78</v>
      </c>
      <c r="C9550" s="538" t="n">
        <v>41.9</v>
      </c>
      <c r="D9550" s="538" t="n">
        <v>39.71</v>
      </c>
      <c r="E9550" s="538" t="n">
        <v>51.46</v>
      </c>
    </row>
    <row r="9551">
      <c r="A9551" s="544" t="n">
        <v>42579</v>
      </c>
      <c r="B9551" s="538" t="n">
        <v>41.87</v>
      </c>
      <c r="C9551" s="538" t="n">
        <v>41.13</v>
      </c>
      <c r="D9551" s="538" t="n">
        <v>39.12</v>
      </c>
      <c r="E9551" s="538" t="n">
        <v>50.69</v>
      </c>
    </row>
    <row r="9552">
      <c r="A9552" s="544" t="n">
        <v>42580</v>
      </c>
      <c r="B9552" s="538" t="n">
        <v>40.76</v>
      </c>
      <c r="C9552" s="538" t="n">
        <v>41.54</v>
      </c>
      <c r="D9552" s="538" t="n">
        <v>39.22</v>
      </c>
      <c r="E9552" s="538" t="n">
        <v>50.48</v>
      </c>
    </row>
    <row r="9553">
      <c r="A9553" s="544" t="n">
        <v>42583</v>
      </c>
      <c r="B9553" s="538" t="n">
        <v>40.17</v>
      </c>
      <c r="C9553" s="538" t="n">
        <v>40.05</v>
      </c>
      <c r="D9553" s="538" t="n">
        <v>38.88</v>
      </c>
      <c r="E9553" s="538" t="n">
        <v>49.6</v>
      </c>
    </row>
    <row r="9554">
      <c r="A9554" s="544" t="n">
        <v>42584</v>
      </c>
      <c r="B9554" s="538" t="n">
        <v>40</v>
      </c>
      <c r="C9554" s="538" t="n">
        <v>39.5</v>
      </c>
      <c r="D9554" s="538" t="n">
        <v>38.76</v>
      </c>
      <c r="E9554" s="538" t="n">
        <v>48.68</v>
      </c>
    </row>
    <row r="9555">
      <c r="A9555" s="544" t="n">
        <v>42585</v>
      </c>
      <c r="B9555" s="538" t="n">
        <v>40.45</v>
      </c>
      <c r="C9555" s="538" t="n">
        <v>40.8</v>
      </c>
      <c r="D9555" s="538" t="n">
        <v>40.12</v>
      </c>
      <c r="E9555" s="538" t="n">
        <v>47.66</v>
      </c>
    </row>
    <row r="9556">
      <c r="A9556" s="544" t="n">
        <v>42586</v>
      </c>
      <c r="B9556" s="538" t="n">
        <v>41.33</v>
      </c>
      <c r="C9556" s="538" t="n">
        <v>41.92</v>
      </c>
      <c r="D9556" s="538" t="n">
        <v>41.02</v>
      </c>
      <c r="E9556" s="538" t="n">
        <v>49.09</v>
      </c>
    </row>
    <row r="9557">
      <c r="A9557" s="544" t="n">
        <v>42587</v>
      </c>
      <c r="B9557" s="538" t="n">
        <v>42.47</v>
      </c>
      <c r="C9557" s="538" t="n">
        <v>41.83</v>
      </c>
      <c r="D9557" s="538" t="n">
        <v>41.03</v>
      </c>
      <c r="E9557" s="538" t="n">
        <v>49.97</v>
      </c>
    </row>
    <row r="9558">
      <c r="A9558" s="544" t="n">
        <v>42590</v>
      </c>
      <c r="B9558" s="538" t="n">
        <v>43.24</v>
      </c>
      <c r="C9558" s="538" t="n">
        <v>43.06</v>
      </c>
      <c r="D9558" s="538" t="n">
        <v>41.91</v>
      </c>
      <c r="E9558" s="538" t="n">
        <v>49.96</v>
      </c>
    </row>
    <row r="9559">
      <c r="A9559" s="544" t="n">
        <v>42591</v>
      </c>
      <c r="B9559" s="538" t="n">
        <v>43.37</v>
      </c>
      <c r="C9559" s="538" t="n">
        <v>42.78</v>
      </c>
      <c r="D9559" s="538" t="n">
        <v>41.66</v>
      </c>
      <c r="E9559" s="538" t="n">
        <v>49.96</v>
      </c>
    </row>
    <row r="9560">
      <c r="A9560" s="544" t="n">
        <v>42592</v>
      </c>
      <c r="B9560" s="538" t="n">
        <v>42.19</v>
      </c>
      <c r="C9560" s="538" t="n">
        <v>41.75</v>
      </c>
      <c r="D9560" s="538" t="n">
        <v>40.59</v>
      </c>
      <c r="E9560" s="538" t="n">
        <v>50.48</v>
      </c>
    </row>
    <row r="9561">
      <c r="A9561" s="544" t="n">
        <v>42593</v>
      </c>
      <c r="B9561" s="538" t="n">
        <v>44.23</v>
      </c>
      <c r="C9561" s="538" t="n">
        <v>43.51</v>
      </c>
      <c r="D9561" s="538" t="n">
        <v>42.91</v>
      </c>
      <c r="E9561" s="538" t="n">
        <v>49.92</v>
      </c>
    </row>
    <row r="9562">
      <c r="A9562" s="544" t="n">
        <v>42594</v>
      </c>
      <c r="B9562" s="538" t="n">
        <v>45.12</v>
      </c>
      <c r="C9562" s="538" t="n">
        <v>44.47</v>
      </c>
      <c r="D9562" s="538" t="n">
        <v>43.67</v>
      </c>
      <c r="E9562" s="538" t="n">
        <v>52.92</v>
      </c>
    </row>
    <row r="9563">
      <c r="A9563" s="544" t="n">
        <v>42597</v>
      </c>
      <c r="B9563" s="538" t="n">
        <v>47.31</v>
      </c>
      <c r="C9563" s="538" t="n">
        <v>45.72</v>
      </c>
      <c r="D9563" s="538" t="n">
        <v>45.16</v>
      </c>
      <c r="E9563" s="538" t="n">
        <v>54.44</v>
      </c>
    </row>
    <row r="9564">
      <c r="A9564" s="544" t="n">
        <v>42598</v>
      </c>
      <c r="B9564" s="538" t="n">
        <v>48.27</v>
      </c>
      <c r="C9564" s="538" t="n">
        <v>46.57</v>
      </c>
      <c r="D9564" s="538" t="n">
        <v>46.13</v>
      </c>
      <c r="E9564" s="538" t="n">
        <v>55.4</v>
      </c>
    </row>
    <row r="9565">
      <c r="A9565" s="544" t="n">
        <v>42599</v>
      </c>
      <c r="B9565" s="538" t="n">
        <v>48.58</v>
      </c>
      <c r="C9565" s="538" t="n">
        <v>46.81</v>
      </c>
      <c r="D9565" s="538" t="n">
        <v>47.15</v>
      </c>
      <c r="E9565" s="538" t="n">
        <v>55.3</v>
      </c>
    </row>
    <row r="9566">
      <c r="A9566" s="544" t="n">
        <v>42600</v>
      </c>
      <c r="B9566" s="538" t="n">
        <v>49.46</v>
      </c>
      <c r="C9566" s="538" t="n">
        <v>48.2</v>
      </c>
      <c r="D9566" s="538" t="n">
        <v>47.95</v>
      </c>
      <c r="E9566" s="538" t="n">
        <v>56.94</v>
      </c>
    </row>
    <row r="9567">
      <c r="A9567" s="544" t="n">
        <v>42601</v>
      </c>
      <c r="B9567" s="538" t="n">
        <v>49.39</v>
      </c>
      <c r="C9567" s="538" t="n">
        <v>48.48</v>
      </c>
      <c r="D9567" s="538" t="n">
        <v>47.79</v>
      </c>
      <c r="E9567" s="538" t="n">
        <v>57.55</v>
      </c>
    </row>
    <row r="9568">
      <c r="A9568" s="544" t="n">
        <v>42604</v>
      </c>
      <c r="B9568" s="538" t="n">
        <v>48.1</v>
      </c>
      <c r="C9568" s="538" t="n">
        <v>46.8</v>
      </c>
      <c r="D9568" s="538" t="n">
        <v>45.98</v>
      </c>
      <c r="E9568" s="538" t="n">
        <v>57.32</v>
      </c>
    </row>
    <row r="9569">
      <c r="A9569" s="544" t="n">
        <v>42605</v>
      </c>
      <c r="B9569" s="538" t="n">
        <v>48.7</v>
      </c>
      <c r="C9569" s="538" t="n">
        <v>47.54</v>
      </c>
      <c r="D9569" s="538" t="n">
        <v>45.99</v>
      </c>
      <c r="E9569" s="538" t="n">
        <v>55.93</v>
      </c>
    </row>
    <row r="9570">
      <c r="A9570" s="544" t="n">
        <v>42606</v>
      </c>
      <c r="B9570" s="538" t="n">
        <v>47.56</v>
      </c>
      <c r="C9570" s="538" t="n">
        <v>46.29</v>
      </c>
      <c r="D9570" s="538" t="n">
        <v>45.78</v>
      </c>
      <c r="E9570" s="538" t="n">
        <v>56.19</v>
      </c>
    </row>
    <row r="9571">
      <c r="A9571" s="544" t="n">
        <v>42607</v>
      </c>
      <c r="B9571" s="538" t="n">
        <v>49.25</v>
      </c>
      <c r="C9571" s="538" t="n">
        <v>46.97</v>
      </c>
      <c r="D9571" s="538" t="n">
        <v>46.26</v>
      </c>
      <c r="E9571" s="538" t="n">
        <v>55.99</v>
      </c>
    </row>
    <row r="9572">
      <c r="A9572" s="544" t="n">
        <v>42608</v>
      </c>
      <c r="B9572" s="538" t="n">
        <v>49.66</v>
      </c>
      <c r="C9572" s="538" t="n">
        <v>47.64</v>
      </c>
      <c r="D9572" s="538" t="n">
        <v>46.68</v>
      </c>
      <c r="E9572" s="538" t="n">
        <v>56.32</v>
      </c>
    </row>
    <row r="9573">
      <c r="A9573" s="544" t="n">
        <v>42611</v>
      </c>
      <c r="B9573" s="538" t="n">
        <v>49.66</v>
      </c>
      <c r="C9573" s="538" t="n">
        <v>46.97</v>
      </c>
      <c r="D9573" s="538" t="n">
        <v>46.05</v>
      </c>
      <c r="E9573" s="538" t="n">
        <v>55.81</v>
      </c>
    </row>
    <row r="9574">
      <c r="A9574" s="544" t="n">
        <v>42612</v>
      </c>
      <c r="B9574" s="538" t="n">
        <v>47.94</v>
      </c>
      <c r="C9574" s="538" t="n">
        <v>46.32</v>
      </c>
      <c r="D9574" s="538" t="n">
        <v>44.86</v>
      </c>
      <c r="E9574" s="538" t="n">
        <v>56.75</v>
      </c>
    </row>
    <row r="9575">
      <c r="A9575" s="544" t="n">
        <v>42613</v>
      </c>
      <c r="B9575" s="538" t="n">
        <v>47.94</v>
      </c>
      <c r="C9575" s="538" t="n">
        <v>44.68</v>
      </c>
      <c r="D9575" s="538" t="n">
        <v>43.76</v>
      </c>
      <c r="E9575" s="538" t="n">
        <v>55.5</v>
      </c>
    </row>
    <row r="9576">
      <c r="A9576" s="544" t="n">
        <v>42614</v>
      </c>
      <c r="B9576" s="538" t="n">
        <v>45.05</v>
      </c>
      <c r="C9576" s="538" t="n">
        <v>43.17</v>
      </c>
      <c r="D9576" s="538" t="n">
        <v>42.33</v>
      </c>
      <c r="E9576" s="538" t="n">
        <v>54.02</v>
      </c>
    </row>
    <row r="9577">
      <c r="A9577" s="544" t="n">
        <v>42615</v>
      </c>
      <c r="B9577" s="538" t="n">
        <v>45.96</v>
      </c>
      <c r="C9577" s="538" t="n">
        <v>44.39</v>
      </c>
      <c r="D9577" s="538" t="n">
        <v>43.29</v>
      </c>
      <c r="E9577" s="538" t="n">
        <v>52.82</v>
      </c>
    </row>
    <row r="9578">
      <c r="A9578" s="544" t="n">
        <v>42618</v>
      </c>
      <c r="B9578" s="538" t="n">
        <v>46.72</v>
      </c>
      <c r="C9578" s="538" t="n">
        <v>44.39</v>
      </c>
      <c r="D9578" s="538" t="n">
        <v>43.71</v>
      </c>
      <c r="E9578" s="538" t="n">
        <v>55.61</v>
      </c>
    </row>
    <row r="9579">
      <c r="A9579" s="544" t="n">
        <v>42619</v>
      </c>
      <c r="B9579" s="538" t="n">
        <v>46.21</v>
      </c>
      <c r="C9579" s="538" t="n">
        <v>44.85</v>
      </c>
      <c r="D9579" s="538" t="n">
        <v>43.61</v>
      </c>
      <c r="E9579" s="538" t="n">
        <v>54.23</v>
      </c>
    </row>
    <row r="9580">
      <c r="A9580" s="544" t="n">
        <v>42620</v>
      </c>
      <c r="B9580" s="538" t="n">
        <v>47</v>
      </c>
      <c r="C9580" s="538" t="n">
        <v>45.47</v>
      </c>
      <c r="D9580" s="538" t="n">
        <v>44.96</v>
      </c>
      <c r="E9580" s="538" t="n">
        <v>54.54</v>
      </c>
    </row>
    <row r="9581">
      <c r="A9581" s="544" t="n">
        <v>42621</v>
      </c>
      <c r="B9581" s="538" t="n">
        <v>49.23</v>
      </c>
      <c r="C9581" s="538" t="n">
        <v>47.63</v>
      </c>
      <c r="D9581" s="538" t="n">
        <v>45.94</v>
      </c>
      <c r="E9581" s="538" t="n">
        <v>55.69</v>
      </c>
    </row>
    <row r="9582">
      <c r="A9582" s="544" t="n">
        <v>42622</v>
      </c>
      <c r="B9582" s="538" t="n">
        <v>48.37</v>
      </c>
      <c r="C9582" s="538" t="n">
        <v>45.88</v>
      </c>
      <c r="D9582" s="538" t="n">
        <v>44.34</v>
      </c>
      <c r="E9582" s="538" t="n">
        <v>56.23</v>
      </c>
    </row>
    <row r="9583">
      <c r="A9583" s="544" t="n">
        <v>42625</v>
      </c>
      <c r="B9583" s="538" t="n">
        <v>47.82</v>
      </c>
      <c r="C9583" s="538" t="n">
        <v>46.28</v>
      </c>
      <c r="D9583" s="538" t="n">
        <v>44.44</v>
      </c>
      <c r="E9583" s="538" t="n">
        <v>56.23</v>
      </c>
    </row>
    <row r="9584">
      <c r="A9584" s="544" t="n">
        <v>42626</v>
      </c>
      <c r="B9584" s="538" t="n">
        <v>46.48</v>
      </c>
      <c r="C9584" s="538" t="n">
        <v>44.91</v>
      </c>
      <c r="D9584" s="538" t="n">
        <v>43.8</v>
      </c>
      <c r="E9584" s="538" t="n">
        <v>54.75</v>
      </c>
    </row>
    <row r="9585">
      <c r="A9585" s="544" t="n">
        <v>42627</v>
      </c>
      <c r="B9585" s="538" t="n">
        <v>45.65</v>
      </c>
      <c r="C9585" s="538" t="n">
        <v>43.62</v>
      </c>
      <c r="D9585" s="538" t="n">
        <v>42.54</v>
      </c>
      <c r="E9585" s="538" t="n">
        <v>54.89</v>
      </c>
    </row>
    <row r="9586">
      <c r="A9586" s="544" t="n">
        <v>42628</v>
      </c>
      <c r="B9586" s="538" t="n">
        <v>45.83</v>
      </c>
      <c r="C9586" s="538" t="n">
        <v>43.85</v>
      </c>
      <c r="D9586" s="538" t="n">
        <v>42.78</v>
      </c>
      <c r="E9586" s="538" t="n">
        <v>53</v>
      </c>
    </row>
    <row r="9587">
      <c r="A9587" s="544" t="n">
        <v>42629</v>
      </c>
      <c r="B9587" s="538" t="n">
        <v>45.26</v>
      </c>
      <c r="C9587" s="538" t="n">
        <v>43.04</v>
      </c>
      <c r="D9587" s="538" t="n">
        <v>42.37</v>
      </c>
      <c r="E9587" s="538" t="n">
        <v>53.96</v>
      </c>
    </row>
    <row r="9588">
      <c r="A9588" s="544" t="n">
        <v>42632</v>
      </c>
      <c r="B9588" s="538" t="n">
        <v>46.04</v>
      </c>
      <c r="C9588" s="538" t="n">
        <v>43.34</v>
      </c>
      <c r="D9588" s="538" t="n">
        <v>42.35</v>
      </c>
      <c r="E9588" s="538" t="n">
        <v>54.27</v>
      </c>
    </row>
    <row r="9589">
      <c r="A9589" s="544" t="n">
        <v>42633</v>
      </c>
      <c r="B9589" s="538" t="n">
        <v>45.24</v>
      </c>
      <c r="C9589" s="538" t="n">
        <v>43.85</v>
      </c>
      <c r="D9589" s="538" t="n">
        <v>43.36</v>
      </c>
      <c r="E9589" s="538" t="n">
        <v>53.44</v>
      </c>
    </row>
    <row r="9590">
      <c r="A9590" s="544" t="n">
        <v>42634</v>
      </c>
      <c r="B9590" s="538" t="n">
        <v>45.99</v>
      </c>
      <c r="C9590" s="538" t="n">
        <v>45.33</v>
      </c>
      <c r="D9590" s="538" t="n">
        <v>43.75</v>
      </c>
      <c r="E9590" s="538" t="n">
        <v>55.09</v>
      </c>
    </row>
    <row r="9591">
      <c r="A9591" s="544" t="n">
        <v>42635</v>
      </c>
      <c r="B9591" s="538" t="n">
        <v>47.21</v>
      </c>
      <c r="C9591" s="538" t="n">
        <v>46.1</v>
      </c>
      <c r="D9591" s="538" t="n">
        <v>44.07</v>
      </c>
      <c r="E9591" s="538" t="n">
        <v>55.58</v>
      </c>
    </row>
    <row r="9592">
      <c r="A9592" s="544" t="n">
        <v>42636</v>
      </c>
      <c r="B9592" s="538" t="n">
        <v>46.71</v>
      </c>
      <c r="C9592" s="538" t="n">
        <v>44.36</v>
      </c>
      <c r="D9592" s="538" t="n">
        <v>42.63</v>
      </c>
      <c r="E9592" s="538" t="n">
        <v>55.71</v>
      </c>
    </row>
    <row r="9593">
      <c r="A9593" s="544" t="n">
        <v>42639</v>
      </c>
      <c r="B9593" s="538" t="n">
        <v>46.61</v>
      </c>
      <c r="C9593" s="538" t="n">
        <v>45.6</v>
      </c>
      <c r="D9593" s="538" t="n">
        <v>43.56</v>
      </c>
      <c r="E9593" s="538" t="n">
        <v>54.04</v>
      </c>
    </row>
    <row r="9594">
      <c r="A9594" s="544" t="n">
        <v>42640</v>
      </c>
      <c r="B9594" s="538" t="n">
        <v>44.95</v>
      </c>
      <c r="C9594" s="538" t="n">
        <v>44.65</v>
      </c>
      <c r="D9594" s="538" t="n">
        <v>42.75</v>
      </c>
      <c r="E9594" s="538" t="n">
        <v>55.03</v>
      </c>
    </row>
    <row r="9595">
      <c r="A9595" s="544" t="n">
        <v>42641</v>
      </c>
      <c r="B9595" s="538" t="n">
        <v>45.49</v>
      </c>
      <c r="C9595" s="538" t="n">
        <v>47.07</v>
      </c>
      <c r="D9595" s="538" t="n">
        <v>45.14</v>
      </c>
      <c r="E9595" s="538" t="n">
        <v>54.48</v>
      </c>
    </row>
    <row r="9596">
      <c r="A9596" s="544" t="n">
        <v>42642</v>
      </c>
      <c r="B9596" s="538" t="n">
        <v>48.43</v>
      </c>
      <c r="C9596" s="538" t="n">
        <v>47.72</v>
      </c>
      <c r="D9596" s="538" t="n">
        <v>45.81</v>
      </c>
      <c r="E9596" s="538" t="n">
        <v>56.81</v>
      </c>
    </row>
    <row r="9597">
      <c r="A9597" s="544" t="n">
        <v>42643</v>
      </c>
      <c r="B9597" s="538" t="n">
        <v>48.24</v>
      </c>
      <c r="C9597" s="538" t="n">
        <v>47.72</v>
      </c>
      <c r="D9597" s="538" t="n">
        <v>45.62</v>
      </c>
      <c r="E9597" s="538" t="n">
        <v>57.41</v>
      </c>
    </row>
    <row r="9598">
      <c r="A9598" s="544" t="n">
        <v>42646</v>
      </c>
      <c r="B9598" s="538" t="n">
        <v>48.61</v>
      </c>
      <c r="C9598" s="538" t="n">
        <v>48.8</v>
      </c>
      <c r="D9598" s="538" t="n">
        <v>48.03</v>
      </c>
      <c r="E9598" s="538" t="n">
        <v>59.14</v>
      </c>
    </row>
    <row r="9599">
      <c r="A9599" s="544" t="n">
        <v>42647</v>
      </c>
      <c r="B9599" s="538" t="n">
        <v>48.81</v>
      </c>
      <c r="C9599" s="538" t="n">
        <v>48.67</v>
      </c>
      <c r="D9599" s="538" t="n">
        <v>48.56</v>
      </c>
      <c r="E9599" s="538" t="n">
        <v>58.71</v>
      </c>
    </row>
    <row r="9600">
      <c r="A9600" s="544" t="n">
        <v>42648</v>
      </c>
      <c r="B9600" s="538" t="n">
        <v>49.57</v>
      </c>
      <c r="C9600" s="538" t="n">
        <v>49.75</v>
      </c>
      <c r="D9600" s="538" t="n">
        <v>48.78</v>
      </c>
      <c r="E9600" s="538" t="n">
        <v>60.52</v>
      </c>
    </row>
    <row r="9601">
      <c r="A9601" s="544" t="n">
        <v>42649</v>
      </c>
      <c r="B9601" s="538" t="n">
        <v>50.14</v>
      </c>
      <c r="C9601" s="538" t="n">
        <v>50.44</v>
      </c>
      <c r="D9601" s="538" t="n">
        <v>49.81</v>
      </c>
      <c r="E9601" s="538" t="n">
        <v>60.41</v>
      </c>
    </row>
    <row r="9602">
      <c r="A9602" s="544" t="n">
        <v>42650</v>
      </c>
      <c r="B9602" s="538" t="n">
        <v>50.49</v>
      </c>
      <c r="C9602" s="538" t="n">
        <v>49.76</v>
      </c>
      <c r="D9602" s="538" t="n">
        <v>49.18</v>
      </c>
      <c r="E9602" s="538" t="n">
        <v>61.86</v>
      </c>
    </row>
    <row r="9603">
      <c r="A9603" s="544" t="n">
        <v>42653</v>
      </c>
      <c r="B9603" s="538" t="n">
        <v>51.54</v>
      </c>
      <c r="C9603" s="538" t="n">
        <v>49.76</v>
      </c>
      <c r="D9603" s="538" t="n">
        <v>50.33</v>
      </c>
      <c r="E9603" s="538" t="n">
        <v>60.68</v>
      </c>
    </row>
    <row r="9604">
      <c r="A9604" s="544" t="n">
        <v>42654</v>
      </c>
      <c r="B9604" s="538" t="n">
        <v>50.48</v>
      </c>
      <c r="C9604" s="538" t="n">
        <v>50.72</v>
      </c>
      <c r="D9604" s="538" t="n">
        <v>49.68</v>
      </c>
      <c r="E9604" s="538" t="n">
        <v>61.78</v>
      </c>
    </row>
    <row r="9605">
      <c r="A9605" s="544" t="n">
        <v>42655</v>
      </c>
      <c r="B9605" s="538" t="n">
        <v>49.53</v>
      </c>
      <c r="C9605" s="538" t="n">
        <v>50.14</v>
      </c>
      <c r="D9605" s="538" t="n">
        <v>48.84</v>
      </c>
      <c r="E9605" s="538" t="n">
        <v>61.98</v>
      </c>
    </row>
    <row r="9606">
      <c r="A9606" s="544" t="n">
        <v>42656</v>
      </c>
      <c r="B9606" s="538" t="n">
        <v>49.29</v>
      </c>
      <c r="C9606" s="538" t="n">
        <v>50.47</v>
      </c>
      <c r="D9606" s="538" t="n">
        <v>49.62</v>
      </c>
      <c r="E9606" s="538" t="n">
        <v>61.08</v>
      </c>
    </row>
    <row r="9607">
      <c r="A9607" s="544" t="n">
        <v>42657</v>
      </c>
      <c r="B9607" s="538" t="n">
        <v>48.87</v>
      </c>
      <c r="C9607" s="538" t="n">
        <v>50.35</v>
      </c>
      <c r="D9607" s="538" t="n">
        <v>49.5</v>
      </c>
      <c r="E9607" s="538" t="n">
        <v>61.89</v>
      </c>
    </row>
    <row r="9608">
      <c r="A9608" s="544" t="n">
        <v>42660</v>
      </c>
      <c r="B9608" s="538" t="n">
        <v>49.31</v>
      </c>
      <c r="C9608" s="538" t="n">
        <v>49.97</v>
      </c>
      <c r="D9608" s="538" t="n">
        <v>48.98</v>
      </c>
      <c r="E9608" s="538" t="n">
        <v>61.12</v>
      </c>
    </row>
    <row r="9609">
      <c r="A9609" s="544" t="n">
        <v>42661</v>
      </c>
      <c r="B9609" s="538" t="n">
        <v>49.81</v>
      </c>
      <c r="C9609" s="538" t="n">
        <v>50.3</v>
      </c>
      <c r="D9609" s="538" t="n">
        <v>49.44</v>
      </c>
      <c r="E9609" s="538" t="n">
        <v>61.13</v>
      </c>
    </row>
    <row r="9610">
      <c r="A9610" s="544" t="n">
        <v>42662</v>
      </c>
      <c r="B9610" s="538" t="n">
        <v>51.85</v>
      </c>
      <c r="C9610" s="538" t="n">
        <v>51.59</v>
      </c>
      <c r="D9610" s="538" t="n">
        <v>49.8</v>
      </c>
      <c r="E9610" s="538" t="n">
        <v>61.88</v>
      </c>
    </row>
    <row r="9611">
      <c r="A9611" s="544" t="n">
        <v>42663</v>
      </c>
      <c r="B9611" s="538" t="n">
        <v>50.42</v>
      </c>
      <c r="C9611" s="538" t="n">
        <v>50.31</v>
      </c>
      <c r="D9611" s="538" t="n">
        <v>48.93</v>
      </c>
      <c r="E9611" s="538" t="n">
        <v>61.4</v>
      </c>
    </row>
    <row r="9612">
      <c r="A9612" s="544" t="n">
        <v>42664</v>
      </c>
      <c r="B9612" s="538" t="n">
        <v>50.28</v>
      </c>
      <c r="C9612" s="538" t="n">
        <v>50.61</v>
      </c>
      <c r="D9612" s="538" t="n">
        <v>49.25</v>
      </c>
      <c r="E9612" s="538" t="n">
        <v>60.79</v>
      </c>
    </row>
    <row r="9613">
      <c r="A9613" s="544" t="n">
        <v>42667</v>
      </c>
      <c r="B9613" s="538" t="n">
        <v>49.8</v>
      </c>
      <c r="C9613" s="538" t="n">
        <v>50.18</v>
      </c>
      <c r="D9613" s="538" t="n">
        <v>48.87</v>
      </c>
      <c r="E9613" s="538" t="n">
        <v>61.72</v>
      </c>
    </row>
    <row r="9614">
      <c r="A9614" s="544" t="n">
        <v>42668</v>
      </c>
      <c r="B9614" s="538" t="n">
        <v>49.08</v>
      </c>
      <c r="C9614" s="538" t="n">
        <v>49.45</v>
      </c>
      <c r="D9614" s="538" t="n">
        <v>47.5</v>
      </c>
      <c r="E9614" s="538" t="n">
        <v>60.93</v>
      </c>
    </row>
    <row r="9615">
      <c r="A9615" s="544" t="n">
        <v>42669</v>
      </c>
      <c r="B9615" s="538" t="n">
        <v>48.98</v>
      </c>
      <c r="C9615" s="538" t="n">
        <v>48.75</v>
      </c>
      <c r="D9615" s="538" t="n">
        <v>47.75</v>
      </c>
      <c r="E9615" s="538" t="n">
        <v>60.46</v>
      </c>
    </row>
    <row r="9616">
      <c r="A9616" s="544" t="n">
        <v>42670</v>
      </c>
      <c r="B9616" s="538" t="n">
        <v>49.13</v>
      </c>
      <c r="C9616" s="538" t="n">
        <v>49.71</v>
      </c>
      <c r="D9616" s="538" t="n">
        <v>48.27</v>
      </c>
      <c r="E9616" s="538" t="n">
        <v>60.95</v>
      </c>
    </row>
    <row r="9617">
      <c r="A9617" s="544" t="n">
        <v>42671</v>
      </c>
      <c r="B9617" s="538" t="n">
        <v>47.78</v>
      </c>
      <c r="C9617" s="538" t="n">
        <v>48.72</v>
      </c>
      <c r="D9617" s="538" t="n">
        <v>47.46</v>
      </c>
      <c r="E9617" s="538" t="n">
        <v>60.93</v>
      </c>
    </row>
    <row r="9618">
      <c r="A9618" s="544" t="n">
        <v>42674</v>
      </c>
      <c r="B9618" s="538" t="n">
        <v>46.2</v>
      </c>
      <c r="C9618" s="538" t="n">
        <v>46.83</v>
      </c>
      <c r="D9618" s="538" t="n">
        <v>46.52</v>
      </c>
      <c r="E9618" s="538" t="n">
        <v>60.69</v>
      </c>
    </row>
    <row r="9619">
      <c r="A9619" s="544" t="n">
        <v>42675</v>
      </c>
      <c r="B9619" s="538" t="n">
        <v>45.77</v>
      </c>
      <c r="C9619" s="538" t="n">
        <v>46.66</v>
      </c>
      <c r="D9619" s="538" t="n">
        <v>44.45</v>
      </c>
      <c r="E9619" s="538" t="n">
        <v>59.28</v>
      </c>
    </row>
    <row r="9620">
      <c r="A9620" s="544" t="n">
        <v>42676</v>
      </c>
      <c r="B9620" s="538" t="n">
        <v>44.26</v>
      </c>
      <c r="C9620" s="538" t="n">
        <v>45.32</v>
      </c>
      <c r="D9620" s="538" t="n">
        <v>43.91</v>
      </c>
      <c r="E9620" s="538" t="n">
        <v>56.98</v>
      </c>
    </row>
    <row r="9621">
      <c r="A9621" s="544" t="n">
        <v>42677</v>
      </c>
      <c r="B9621" s="538" t="n">
        <v>43.84</v>
      </c>
      <c r="C9621" s="538" t="n">
        <v>44.66</v>
      </c>
      <c r="D9621" s="538" t="n">
        <v>43.02</v>
      </c>
      <c r="E9621" s="538" t="n">
        <v>56.12</v>
      </c>
    </row>
    <row r="9622">
      <c r="A9622" s="544" t="n">
        <v>42678</v>
      </c>
      <c r="B9622" s="538" t="n">
        <v>43.06</v>
      </c>
      <c r="C9622" s="538" t="n">
        <v>44.07</v>
      </c>
      <c r="D9622" s="538" t="n">
        <v>42.11</v>
      </c>
      <c r="E9622" s="538" t="n">
        <v>55.82</v>
      </c>
    </row>
    <row r="9623">
      <c r="A9623" s="544" t="n">
        <v>42681</v>
      </c>
      <c r="B9623" s="538" t="n">
        <v>42.83</v>
      </c>
      <c r="C9623" s="538" t="n">
        <v>44.88</v>
      </c>
      <c r="D9623" s="538" t="n">
        <v>42.7</v>
      </c>
      <c r="E9623" s="538" t="n">
        <v>55.12</v>
      </c>
    </row>
    <row r="9624">
      <c r="A9624" s="544" t="n">
        <v>42682</v>
      </c>
      <c r="B9624" s="538" t="n">
        <v>43.47</v>
      </c>
      <c r="C9624" s="538" t="n">
        <v>44.96</v>
      </c>
      <c r="D9624" s="538" t="n">
        <v>42.67</v>
      </c>
      <c r="E9624" s="538" t="n">
        <v>55.71</v>
      </c>
    </row>
    <row r="9625">
      <c r="A9625" s="544" t="n">
        <v>42683</v>
      </c>
      <c r="B9625" s="538" t="n">
        <v>43.88</v>
      </c>
      <c r="C9625" s="538" t="n">
        <v>45.2</v>
      </c>
      <c r="D9625" s="538" t="n">
        <v>43.3</v>
      </c>
      <c r="E9625" s="538" t="n">
        <v>55.53</v>
      </c>
    </row>
    <row r="9626">
      <c r="A9626" s="544" t="n">
        <v>42684</v>
      </c>
      <c r="B9626" s="538" t="n">
        <v>43.67</v>
      </c>
      <c r="C9626" s="538" t="n">
        <v>44.62</v>
      </c>
      <c r="D9626" s="538" t="n">
        <v>42.56</v>
      </c>
      <c r="E9626" s="538" t="n">
        <v>56.15</v>
      </c>
    </row>
    <row r="9627">
      <c r="A9627" s="544" t="n">
        <v>42685</v>
      </c>
      <c r="B9627" s="538" t="n">
        <v>41.61</v>
      </c>
      <c r="C9627" s="538" t="n">
        <v>43.39</v>
      </c>
      <c r="D9627" s="538" t="n">
        <v>41.93</v>
      </c>
      <c r="E9627" s="538" t="n">
        <v>55.44</v>
      </c>
    </row>
    <row r="9628">
      <c r="A9628" s="544" t="n">
        <v>42688</v>
      </c>
      <c r="B9628" s="538" t="n">
        <v>41.83</v>
      </c>
      <c r="C9628" s="538" t="n">
        <v>43.29</v>
      </c>
      <c r="D9628" s="538" t="n">
        <v>41.81</v>
      </c>
      <c r="E9628" s="538" t="n">
        <v>54.77</v>
      </c>
    </row>
    <row r="9629">
      <c r="A9629" s="544" t="n">
        <v>42689</v>
      </c>
      <c r="B9629" s="538" t="n">
        <v>44.15</v>
      </c>
      <c r="C9629" s="538" t="n">
        <v>45.86</v>
      </c>
      <c r="D9629" s="538" t="n">
        <v>43.74</v>
      </c>
      <c r="E9629" s="538" t="n">
        <v>54.35</v>
      </c>
    </row>
    <row r="9630">
      <c r="A9630" s="544" t="n">
        <v>42690</v>
      </c>
      <c r="B9630" s="538" t="n">
        <v>45.07</v>
      </c>
      <c r="C9630" s="538" t="n">
        <v>45.56</v>
      </c>
      <c r="D9630" s="538" t="n">
        <v>43.46</v>
      </c>
      <c r="E9630" s="538" t="n">
        <v>55.8</v>
      </c>
    </row>
    <row r="9631">
      <c r="A9631" s="544" t="n">
        <v>42691</v>
      </c>
      <c r="B9631" s="538" t="n">
        <v>44.57</v>
      </c>
      <c r="C9631" s="538" t="n">
        <v>45.37</v>
      </c>
      <c r="D9631" s="538" t="n">
        <v>43.13</v>
      </c>
      <c r="E9631" s="538" t="n">
        <v>55.76</v>
      </c>
    </row>
    <row r="9632">
      <c r="A9632" s="544" t="n">
        <v>42692</v>
      </c>
      <c r="B9632" s="538" t="n">
        <v>44.41</v>
      </c>
      <c r="C9632" s="538" t="n">
        <v>45.69</v>
      </c>
      <c r="D9632" s="538" t="n">
        <v>43.98</v>
      </c>
      <c r="E9632" s="538" t="n">
        <v>55.25</v>
      </c>
    </row>
    <row r="9633">
      <c r="A9633" s="544" t="n">
        <v>42695</v>
      </c>
      <c r="B9633" s="538" t="n">
        <v>45.96</v>
      </c>
      <c r="C9633" s="538" t="n">
        <v>47.48</v>
      </c>
      <c r="D9633" s="538" t="n">
        <v>46.22</v>
      </c>
      <c r="E9633" s="538" t="n">
        <v>57.37</v>
      </c>
    </row>
    <row r="9634">
      <c r="A9634" s="544" t="n">
        <v>42696</v>
      </c>
      <c r="B9634" s="538" t="n">
        <v>46.1</v>
      </c>
      <c r="C9634" s="538" t="n">
        <v>48.07</v>
      </c>
      <c r="D9634" s="538" t="n">
        <v>46.1</v>
      </c>
      <c r="E9634" s="538" t="n">
        <v>59.1</v>
      </c>
    </row>
    <row r="9635">
      <c r="A9635" s="544" t="n">
        <v>42697</v>
      </c>
      <c r="B9635" s="538" t="n">
        <v>46.54</v>
      </c>
      <c r="C9635" s="538" t="n">
        <v>46.72</v>
      </c>
      <c r="D9635" s="538" t="n">
        <v>46.07</v>
      </c>
      <c r="E9635" s="538" t="n">
        <v>59.01</v>
      </c>
    </row>
    <row r="9636">
      <c r="A9636" s="544" t="n">
        <v>42698</v>
      </c>
      <c r="B9636" s="538" t="n">
        <v>47.54</v>
      </c>
      <c r="C9636" s="538" t="n">
        <v>46.72</v>
      </c>
      <c r="D9636" s="538" t="n">
        <v>45.99</v>
      </c>
      <c r="E9636" s="538" t="n">
        <v>58.46</v>
      </c>
    </row>
    <row r="9637">
      <c r="A9637" s="544" t="n">
        <v>42699</v>
      </c>
      <c r="B9637" s="538" t="n">
        <v>46.32</v>
      </c>
      <c r="C9637" s="538" t="n">
        <v>46.72</v>
      </c>
      <c r="D9637" s="538" t="n">
        <v>44.44</v>
      </c>
      <c r="E9637" s="538" t="n">
        <v>58.4</v>
      </c>
    </row>
    <row r="9638">
      <c r="A9638" s="544" t="n">
        <v>42702</v>
      </c>
      <c r="B9638" s="538" t="n">
        <v>46.64</v>
      </c>
      <c r="C9638" s="538" t="n">
        <v>45.66</v>
      </c>
      <c r="D9638" s="538" t="n">
        <v>45.34</v>
      </c>
      <c r="E9638" s="538" t="n">
        <v>55.95</v>
      </c>
    </row>
    <row r="9639">
      <c r="A9639" s="544" t="n">
        <v>42703</v>
      </c>
      <c r="B9639" s="538" t="n">
        <v>44.68</v>
      </c>
      <c r="C9639" s="538" t="n">
        <v>45.29</v>
      </c>
      <c r="D9639" s="538" t="n">
        <v>43.63</v>
      </c>
      <c r="E9639" s="538" t="n">
        <v>57.98</v>
      </c>
    </row>
    <row r="9640">
      <c r="A9640" s="544" t="n">
        <v>42704</v>
      </c>
      <c r="B9640" s="538" t="n">
        <v>47.95</v>
      </c>
      <c r="C9640" s="538" t="n">
        <v>49.41</v>
      </c>
      <c r="D9640" s="538" t="n">
        <v>47.49</v>
      </c>
      <c r="E9640" s="538" t="n">
        <v>57.18</v>
      </c>
    </row>
    <row r="9641">
      <c r="A9641" s="544" t="n">
        <v>42705</v>
      </c>
      <c r="B9641" s="538" t="n">
        <v>52.28</v>
      </c>
      <c r="C9641" s="538" t="n">
        <v>51.08</v>
      </c>
      <c r="D9641" s="538" t="n">
        <v>51.07</v>
      </c>
      <c r="E9641" s="538" t="n">
        <v>60.45</v>
      </c>
    </row>
    <row r="9642">
      <c r="A9642" s="544" t="n">
        <v>42706</v>
      </c>
      <c r="B9642" s="538" t="n">
        <v>52.35</v>
      </c>
      <c r="C9642" s="538" t="n">
        <v>51.7</v>
      </c>
      <c r="D9642" s="538" t="n">
        <v>51.17</v>
      </c>
      <c r="E9642" s="538" t="n">
        <v>62.35</v>
      </c>
    </row>
    <row r="9643">
      <c r="A9643" s="544" t="n">
        <v>42709</v>
      </c>
      <c r="B9643" s="538" t="n">
        <v>53.3</v>
      </c>
      <c r="C9643" s="538" t="n">
        <v>51.72</v>
      </c>
      <c r="D9643" s="538" t="n">
        <v>51.36</v>
      </c>
      <c r="E9643" s="538" t="n">
        <v>63.27</v>
      </c>
    </row>
    <row r="9644">
      <c r="A9644" s="544" t="n">
        <v>42710</v>
      </c>
      <c r="B9644" s="538" t="n">
        <v>52.31</v>
      </c>
      <c r="C9644" s="538" t="n">
        <v>50.95</v>
      </c>
      <c r="D9644" s="538" t="n">
        <v>51.27</v>
      </c>
      <c r="E9644" s="538" t="n">
        <v>62.79</v>
      </c>
    </row>
    <row r="9645">
      <c r="A9645" s="544" t="n">
        <v>42711</v>
      </c>
      <c r="B9645" s="538" t="n">
        <v>51.9</v>
      </c>
      <c r="C9645" s="538" t="n">
        <v>49.85</v>
      </c>
      <c r="D9645" s="538" t="n">
        <v>50.37</v>
      </c>
      <c r="E9645" s="538" t="n">
        <v>62.17</v>
      </c>
    </row>
    <row r="9646">
      <c r="A9646" s="544" t="n">
        <v>42712</v>
      </c>
      <c r="B9646" s="538" t="n">
        <v>51.6</v>
      </c>
      <c r="C9646" s="538" t="n">
        <v>50.84</v>
      </c>
      <c r="D9646" s="538" t="n">
        <v>51.38</v>
      </c>
      <c r="E9646" s="538" t="n">
        <v>62.05</v>
      </c>
    </row>
    <row r="9647">
      <c r="A9647" s="544" t="n">
        <v>42713</v>
      </c>
      <c r="B9647" s="538" t="n">
        <v>52.19</v>
      </c>
      <c r="C9647" s="538" t="n">
        <v>51.51</v>
      </c>
      <c r="D9647" s="538" t="n">
        <v>51.61</v>
      </c>
      <c r="E9647" s="538" t="n">
        <v>63.31</v>
      </c>
    </row>
    <row r="9648">
      <c r="A9648" s="544" t="n">
        <v>42716</v>
      </c>
      <c r="B9648" s="538" t="n">
        <v>53.99</v>
      </c>
      <c r="C9648" s="538" t="n">
        <v>52.74</v>
      </c>
      <c r="D9648" s="538" t="n">
        <v>52.73</v>
      </c>
      <c r="E9648" s="538" t="n">
        <v>66.03</v>
      </c>
    </row>
    <row r="9649">
      <c r="A9649" s="544" t="n">
        <v>42717</v>
      </c>
      <c r="B9649" s="538" t="n">
        <v>53.28</v>
      </c>
      <c r="C9649" s="538" t="n">
        <v>52.99</v>
      </c>
      <c r="D9649" s="538" t="n">
        <v>52.5</v>
      </c>
      <c r="E9649" s="538" t="n">
        <v>64.75</v>
      </c>
    </row>
    <row r="9650">
      <c r="A9650" s="544" t="n">
        <v>42718</v>
      </c>
      <c r="B9650" s="538" t="n">
        <v>53.15</v>
      </c>
      <c r="C9650" s="538" t="n">
        <v>51.01</v>
      </c>
      <c r="D9650" s="538" t="n">
        <v>51.09</v>
      </c>
      <c r="E9650" s="538" t="n">
        <v>64.59999999999999</v>
      </c>
    </row>
    <row r="9651">
      <c r="A9651" s="544" t="n">
        <v>42719</v>
      </c>
      <c r="B9651" s="538" t="n">
        <v>51.72</v>
      </c>
      <c r="C9651" s="538" t="n">
        <v>50.9</v>
      </c>
      <c r="D9651" s="538" t="n">
        <v>51.61</v>
      </c>
      <c r="E9651" s="538" t="n">
        <v>63.67</v>
      </c>
    </row>
    <row r="9652">
      <c r="A9652" s="544" t="n">
        <v>42720</v>
      </c>
      <c r="B9652" s="538" t="n">
        <v>54.15</v>
      </c>
      <c r="C9652" s="538" t="n">
        <v>51.93</v>
      </c>
      <c r="D9652" s="538" t="n">
        <v>52.48</v>
      </c>
      <c r="E9652" s="538" t="n">
        <v>63.3</v>
      </c>
    </row>
    <row r="9653">
      <c r="A9653" s="544" t="n">
        <v>42723</v>
      </c>
      <c r="B9653" s="538" t="n">
        <v>53.53</v>
      </c>
      <c r="C9653" s="538" t="n">
        <v>52.13</v>
      </c>
      <c r="D9653" s="538" t="n">
        <v>51.98</v>
      </c>
      <c r="E9653" s="538" t="n">
        <v>65.33</v>
      </c>
    </row>
    <row r="9654">
      <c r="A9654" s="544" t="n">
        <v>42724</v>
      </c>
      <c r="B9654" s="538" t="n">
        <v>54.56</v>
      </c>
      <c r="C9654" s="538" t="n">
        <v>52.22</v>
      </c>
      <c r="D9654" s="538" t="n">
        <v>52.57</v>
      </c>
      <c r="E9654" s="538" t="n">
        <v>64.43000000000001</v>
      </c>
    </row>
    <row r="9655">
      <c r="A9655" s="544" t="n">
        <v>42725</v>
      </c>
      <c r="B9655" s="538" t="n">
        <v>53.01</v>
      </c>
      <c r="C9655" s="538" t="n">
        <v>51.44</v>
      </c>
      <c r="D9655" s="538" t="n">
        <v>51.78</v>
      </c>
      <c r="E9655" s="538" t="n">
        <v>65.3</v>
      </c>
    </row>
    <row r="9656">
      <c r="A9656" s="544" t="n">
        <v>42726</v>
      </c>
      <c r="B9656" s="538" t="n">
        <v>54.04</v>
      </c>
      <c r="C9656" s="538" t="n">
        <v>51.98</v>
      </c>
      <c r="D9656" s="538" t="n">
        <v>51.98</v>
      </c>
      <c r="E9656" s="538" t="n">
        <v>63.98</v>
      </c>
    </row>
    <row r="9657">
      <c r="A9657" s="544" t="n">
        <v>42727</v>
      </c>
      <c r="B9657" s="538" t="n">
        <v>53.93</v>
      </c>
      <c r="C9657" s="538" t="n">
        <v>52.01</v>
      </c>
      <c r="D9657" s="538" t="n">
        <v>52.4</v>
      </c>
      <c r="E9657" s="538" t="n">
        <v>64.28</v>
      </c>
    </row>
    <row r="9658">
      <c r="A9658" s="544" t="n">
        <v>42730</v>
      </c>
      <c r="B9658" s="538" t="n">
        <v>53.93</v>
      </c>
      <c r="C9658" s="538" t="n">
        <v>52.01</v>
      </c>
      <c r="D9658" s="538" t="n">
        <v>52.62</v>
      </c>
      <c r="E9658" s="538" t="n">
        <v>64.28</v>
      </c>
    </row>
    <row r="9659">
      <c r="A9659" s="544" t="n">
        <v>42731</v>
      </c>
      <c r="B9659" s="538" t="n">
        <v>53.93</v>
      </c>
      <c r="C9659" s="538" t="n">
        <v>52.82</v>
      </c>
      <c r="D9659" s="538" t="n">
        <v>53.36</v>
      </c>
      <c r="E9659" s="538" t="n">
        <v>65.09999999999999</v>
      </c>
    </row>
    <row r="9660">
      <c r="A9660" s="544" t="n">
        <v>42732</v>
      </c>
      <c r="B9660" s="538" t="n">
        <v>54.95</v>
      </c>
      <c r="C9660" s="538" t="n">
        <v>54.01</v>
      </c>
      <c r="D9660" s="538" t="n">
        <v>53.31</v>
      </c>
      <c r="E9660" s="538" t="n">
        <v>66.65000000000001</v>
      </c>
    </row>
    <row r="9661">
      <c r="A9661" s="544" t="n">
        <v>42733</v>
      </c>
      <c r="B9661" s="538" t="n">
        <v>54.97</v>
      </c>
      <c r="C9661" s="538" t="n">
        <v>53.8</v>
      </c>
      <c r="D9661" s="538" t="n">
        <v>53.75</v>
      </c>
      <c r="E9661" s="538" t="n">
        <v>66.72</v>
      </c>
    </row>
    <row r="9662">
      <c r="A9662" s="544" t="n">
        <v>42734</v>
      </c>
      <c r="B9662" s="538" t="n">
        <v>54.96</v>
      </c>
      <c r="C9662" s="538" t="n">
        <v>53.75</v>
      </c>
      <c r="D9662" s="538" t="n">
        <v>54.17</v>
      </c>
      <c r="E9662" s="538" t="n">
        <v>66.34</v>
      </c>
    </row>
    <row r="9663">
      <c r="A9663" s="544" t="n">
        <v>42737</v>
      </c>
      <c r="B9663" s="538" t="n">
        <v>54.96</v>
      </c>
      <c r="C9663" s="538" t="n">
        <v>53.75</v>
      </c>
      <c r="D9663" s="538" t="n">
        <v>54.53</v>
      </c>
      <c r="E9663" s="538" t="n">
        <v>66.34</v>
      </c>
    </row>
    <row r="9664">
      <c r="A9664" s="544" t="n">
        <v>42738</v>
      </c>
      <c r="B9664" s="538" t="n">
        <v>55.05</v>
      </c>
      <c r="C9664" s="538" t="n">
        <v>52.36</v>
      </c>
      <c r="D9664" s="538" t="n">
        <v>53.39</v>
      </c>
      <c r="E9664" s="538" t="n">
        <v>66.56</v>
      </c>
    </row>
    <row r="9665">
      <c r="A9665" s="544" t="n">
        <v>42739</v>
      </c>
      <c r="B9665" s="538" t="n">
        <v>54.57</v>
      </c>
      <c r="C9665" s="538" t="n">
        <v>53.26</v>
      </c>
      <c r="D9665" s="538" t="n">
        <v>54.46</v>
      </c>
      <c r="E9665" s="538" t="n">
        <v>65.66</v>
      </c>
    </row>
    <row r="9666">
      <c r="A9666" s="544" t="n">
        <v>42740</v>
      </c>
      <c r="B9666" s="538" t="n">
        <v>54.99</v>
      </c>
      <c r="C9666" s="538" t="n">
        <v>53.77</v>
      </c>
      <c r="D9666" s="538" t="n">
        <v>54.87</v>
      </c>
      <c r="E9666" s="538" t="n">
        <v>65.61</v>
      </c>
    </row>
    <row r="9667">
      <c r="A9667" s="544" t="n">
        <v>42741</v>
      </c>
      <c r="B9667" s="538" t="n">
        <v>55.9</v>
      </c>
      <c r="C9667" s="538" t="n">
        <v>53.98</v>
      </c>
      <c r="D9667" s="538" t="n">
        <v>54.87</v>
      </c>
      <c r="E9667" s="538" t="n">
        <v>66.20999999999999</v>
      </c>
    </row>
    <row r="9668">
      <c r="A9668" s="544" t="n">
        <v>42744</v>
      </c>
      <c r="B9668" s="538" t="n">
        <v>54.39</v>
      </c>
      <c r="C9668" s="538" t="n">
        <v>51.95</v>
      </c>
      <c r="D9668" s="538" t="n">
        <v>52.67</v>
      </c>
      <c r="E9668" s="538" t="n">
        <v>66.20999999999999</v>
      </c>
    </row>
    <row r="9669">
      <c r="A9669" s="544" t="n">
        <v>42745</v>
      </c>
      <c r="B9669" s="538" t="n">
        <v>53.2</v>
      </c>
      <c r="C9669" s="538" t="n">
        <v>50.82</v>
      </c>
      <c r="D9669" s="538" t="n">
        <v>51.64</v>
      </c>
      <c r="E9669" s="538" t="n">
        <v>64.53</v>
      </c>
    </row>
    <row r="9670">
      <c r="A9670" s="544" t="n">
        <v>42746</v>
      </c>
      <c r="B9670" s="538" t="n">
        <v>53.61</v>
      </c>
      <c r="C9670" s="538" t="n">
        <v>52.19</v>
      </c>
      <c r="D9670" s="538" t="n">
        <v>53.1</v>
      </c>
      <c r="E9670" s="538" t="n">
        <v>62.97</v>
      </c>
    </row>
    <row r="9671">
      <c r="A9671" s="544" t="n">
        <v>42747</v>
      </c>
      <c r="B9671" s="538" t="n">
        <v>54.51</v>
      </c>
      <c r="C9671" s="538" t="n">
        <v>53.01</v>
      </c>
      <c r="D9671" s="538" t="n">
        <v>54.18</v>
      </c>
      <c r="E9671" s="538" t="n">
        <v>65.45</v>
      </c>
    </row>
    <row r="9672">
      <c r="A9672" s="544" t="n">
        <v>42748</v>
      </c>
      <c r="B9672" s="538" t="n">
        <v>54.37</v>
      </c>
      <c r="C9672" s="538" t="n">
        <v>52.36</v>
      </c>
      <c r="D9672" s="538" t="n">
        <v>53.51</v>
      </c>
      <c r="E9672" s="538" t="n">
        <v>65.97</v>
      </c>
    </row>
    <row r="9673">
      <c r="A9673" s="544" t="n">
        <v>42751</v>
      </c>
      <c r="B9673" s="538" t="n">
        <v>54.3</v>
      </c>
      <c r="C9673" s="538" t="n">
        <v>52.36</v>
      </c>
      <c r="D9673" s="538" t="n">
        <v>53.85</v>
      </c>
      <c r="E9673" s="538" t="n">
        <v>65.56</v>
      </c>
    </row>
    <row r="9674">
      <c r="A9674" s="544" t="n">
        <v>42752</v>
      </c>
      <c r="B9674" s="538" t="n">
        <v>54.68</v>
      </c>
      <c r="C9674" s="538" t="n">
        <v>52.45</v>
      </c>
      <c r="D9674" s="538" t="n">
        <v>53.67</v>
      </c>
      <c r="E9674" s="538" t="n">
        <v>65.68000000000001</v>
      </c>
    </row>
    <row r="9675">
      <c r="A9675" s="544" t="n">
        <v>42753</v>
      </c>
      <c r="B9675" s="538" t="n">
        <v>53.77</v>
      </c>
      <c r="C9675" s="538" t="n">
        <v>51.12</v>
      </c>
      <c r="D9675" s="538" t="n">
        <v>52.33</v>
      </c>
      <c r="E9675" s="538" t="n">
        <v>65.03</v>
      </c>
    </row>
    <row r="9676">
      <c r="A9676" s="544" t="n">
        <v>42754</v>
      </c>
      <c r="B9676" s="538" t="n">
        <v>53.18</v>
      </c>
      <c r="C9676" s="538" t="n">
        <v>51.39</v>
      </c>
      <c r="D9676" s="538" t="n">
        <v>52.64</v>
      </c>
      <c r="E9676" s="538" t="n">
        <v>64.31999999999999</v>
      </c>
    </row>
    <row r="9677">
      <c r="A9677" s="544" t="n">
        <v>42755</v>
      </c>
      <c r="B9677" s="538" t="n">
        <v>55.04</v>
      </c>
      <c r="C9677" s="538" t="n">
        <v>52.33</v>
      </c>
      <c r="D9677" s="538" t="n">
        <v>54.39</v>
      </c>
      <c r="E9677" s="538" t="n">
        <v>64.08</v>
      </c>
    </row>
    <row r="9678">
      <c r="A9678" s="544" t="n">
        <v>42758</v>
      </c>
      <c r="B9678" s="538" t="n">
        <v>54.8</v>
      </c>
      <c r="C9678" s="538" t="n">
        <v>52.77</v>
      </c>
      <c r="D9678" s="538" t="n">
        <v>53.44</v>
      </c>
      <c r="E9678" s="538" t="n">
        <v>64.77</v>
      </c>
    </row>
    <row r="9679">
      <c r="A9679" s="544" t="n">
        <v>42759</v>
      </c>
      <c r="B9679" s="538" t="n">
        <v>54.7</v>
      </c>
      <c r="C9679" s="538" t="n">
        <v>52.38</v>
      </c>
      <c r="D9679" s="538" t="n">
        <v>53.49</v>
      </c>
      <c r="E9679" s="538" t="n">
        <v>65.09</v>
      </c>
    </row>
    <row r="9680">
      <c r="A9680" s="544" t="n">
        <v>42760</v>
      </c>
      <c r="B9680" s="538" t="n">
        <v>54.34</v>
      </c>
      <c r="C9680" s="538" t="n">
        <v>52.14</v>
      </c>
      <c r="D9680" s="538" t="n">
        <v>53.73</v>
      </c>
      <c r="E9680" s="538" t="n">
        <v>64.59</v>
      </c>
    </row>
    <row r="9681">
      <c r="A9681" s="544" t="n">
        <v>42761</v>
      </c>
      <c r="B9681" s="538" t="n">
        <v>55.89</v>
      </c>
      <c r="C9681" s="538" t="n">
        <v>53.24</v>
      </c>
      <c r="D9681" s="538" t="n">
        <v>54.31</v>
      </c>
      <c r="E9681" s="538" t="n">
        <v>64.84999999999999</v>
      </c>
    </row>
    <row r="9682">
      <c r="A9682" s="544" t="n">
        <v>42762</v>
      </c>
      <c r="B9682" s="538" t="n">
        <v>54.8</v>
      </c>
      <c r="C9682" s="538" t="n">
        <v>53.18</v>
      </c>
      <c r="D9682" s="538" t="n">
        <v>53.64</v>
      </c>
      <c r="E9682" s="538" t="n">
        <v>65.11</v>
      </c>
    </row>
    <row r="9683">
      <c r="A9683" s="544" t="n">
        <v>42765</v>
      </c>
      <c r="B9683" s="538" t="n">
        <v>54.77</v>
      </c>
      <c r="C9683" s="538" t="n">
        <v>52.63</v>
      </c>
      <c r="D9683" s="538" t="n">
        <v>53.31</v>
      </c>
      <c r="E9683" s="538" t="n">
        <v>65.11</v>
      </c>
    </row>
    <row r="9684">
      <c r="A9684" s="544" t="n">
        <v>42766</v>
      </c>
      <c r="B9684" s="538" t="n">
        <v>55.25</v>
      </c>
      <c r="C9684" s="538" t="n">
        <v>52.75</v>
      </c>
      <c r="D9684" s="538" t="n">
        <v>54.46</v>
      </c>
      <c r="E9684" s="538" t="n">
        <v>64.31</v>
      </c>
    </row>
    <row r="9685">
      <c r="A9685" s="544" t="n">
        <v>42767</v>
      </c>
      <c r="B9685" s="538" t="n">
        <v>55.79</v>
      </c>
      <c r="C9685" s="538" t="n">
        <v>53.9</v>
      </c>
      <c r="D9685" s="538" t="n">
        <v>54.43</v>
      </c>
      <c r="E9685" s="538" t="n">
        <v>64.65000000000001</v>
      </c>
    </row>
    <row r="9686">
      <c r="A9686" s="544" t="n">
        <v>42768</v>
      </c>
      <c r="B9686" s="538" t="n">
        <v>55.94</v>
      </c>
      <c r="C9686" s="538" t="n">
        <v>53.55</v>
      </c>
      <c r="D9686" s="538" t="n">
        <v>55.08</v>
      </c>
      <c r="E9686" s="538" t="n">
        <v>66.28</v>
      </c>
    </row>
    <row r="9687">
      <c r="A9687" s="544" t="n">
        <v>42769</v>
      </c>
      <c r="B9687" s="538" t="n">
        <v>55.92</v>
      </c>
      <c r="C9687" s="538" t="n">
        <v>53.81</v>
      </c>
      <c r="D9687" s="538" t="n">
        <v>55.14</v>
      </c>
      <c r="E9687" s="538" t="n">
        <v>66.69</v>
      </c>
    </row>
    <row r="9688">
      <c r="A9688" s="544" t="n">
        <v>42772</v>
      </c>
      <c r="B9688" s="538" t="n">
        <v>55.02</v>
      </c>
      <c r="C9688" s="538" t="n">
        <v>53.01</v>
      </c>
      <c r="D9688" s="538" t="n">
        <v>54.37</v>
      </c>
      <c r="E9688" s="538" t="n">
        <v>66.88</v>
      </c>
    </row>
    <row r="9689">
      <c r="A9689" s="544" t="n">
        <v>42773</v>
      </c>
      <c r="B9689" s="538" t="n">
        <v>53.79</v>
      </c>
      <c r="C9689" s="538" t="n">
        <v>52.19</v>
      </c>
      <c r="D9689" s="538" t="n">
        <v>52.56</v>
      </c>
      <c r="E9689" s="538" t="n">
        <v>65.76000000000001</v>
      </c>
    </row>
    <row r="9690">
      <c r="A9690" s="544" t="n">
        <v>42774</v>
      </c>
      <c r="B9690" s="538" t="n">
        <v>54.42</v>
      </c>
      <c r="C9690" s="538" t="n">
        <v>52.37</v>
      </c>
      <c r="D9690" s="538" t="n">
        <v>53.63</v>
      </c>
      <c r="E9690" s="538" t="n">
        <v>64.92</v>
      </c>
    </row>
    <row r="9691">
      <c r="A9691" s="544" t="n">
        <v>42775</v>
      </c>
      <c r="B9691" s="538" t="n">
        <v>53.98</v>
      </c>
      <c r="C9691" s="538" t="n">
        <v>52.99</v>
      </c>
      <c r="D9691" s="538" t="n">
        <v>53.97</v>
      </c>
      <c r="E9691" s="538" t="n">
        <v>65.73999999999999</v>
      </c>
    </row>
    <row r="9692">
      <c r="A9692" s="544" t="n">
        <v>42776</v>
      </c>
      <c r="B9692" s="538" t="n">
        <v>55.2</v>
      </c>
      <c r="C9692" s="538" t="n">
        <v>53.84</v>
      </c>
      <c r="D9692" s="538" t="n">
        <v>54.8</v>
      </c>
      <c r="E9692" s="538" t="n">
        <v>66.2</v>
      </c>
    </row>
    <row r="9693">
      <c r="A9693" s="544" t="n">
        <v>42779</v>
      </c>
      <c r="B9693" s="538" t="n">
        <v>54.15</v>
      </c>
      <c r="C9693" s="538" t="n">
        <v>52.96</v>
      </c>
      <c r="D9693" s="538" t="n">
        <v>53.92</v>
      </c>
      <c r="E9693" s="538" t="n">
        <v>67.02</v>
      </c>
    </row>
    <row r="9694">
      <c r="A9694" s="544" t="n">
        <v>42780</v>
      </c>
      <c r="B9694" s="538" t="n">
        <v>54.96</v>
      </c>
      <c r="C9694" s="538" t="n">
        <v>53.21</v>
      </c>
      <c r="D9694" s="538" t="n">
        <v>53.98</v>
      </c>
      <c r="E9694" s="538" t="n">
        <v>66.01000000000001</v>
      </c>
    </row>
    <row r="9695">
      <c r="A9695" s="544" t="n">
        <v>42781</v>
      </c>
      <c r="B9695" s="538" t="n">
        <v>54.57</v>
      </c>
      <c r="C9695" s="538" t="n">
        <v>53.11</v>
      </c>
      <c r="D9695" s="538" t="n">
        <v>53.94</v>
      </c>
      <c r="E9695" s="538" t="n">
        <v>65.88</v>
      </c>
    </row>
    <row r="9696">
      <c r="A9696" s="544" t="n">
        <v>42782</v>
      </c>
      <c r="B9696" s="538" t="n">
        <v>54.16</v>
      </c>
      <c r="C9696" s="538" t="n">
        <v>53.41</v>
      </c>
      <c r="D9696" s="538" t="n">
        <v>53.94</v>
      </c>
      <c r="E9696" s="538" t="n">
        <v>66.27</v>
      </c>
    </row>
    <row r="9697">
      <c r="A9697" s="544" t="n">
        <v>42783</v>
      </c>
      <c r="B9697" s="538" t="n">
        <v>54.48</v>
      </c>
      <c r="C9697" s="538" t="n">
        <v>53.41</v>
      </c>
      <c r="D9697" s="538" t="n">
        <v>54.11</v>
      </c>
      <c r="E9697" s="538" t="n">
        <v>66.05</v>
      </c>
    </row>
    <row r="9698">
      <c r="A9698" s="544" t="n">
        <v>42786</v>
      </c>
      <c r="B9698" s="538" t="n">
        <v>55.25</v>
      </c>
      <c r="C9698" s="538" t="n">
        <v>53.41</v>
      </c>
      <c r="D9698" s="538" t="n">
        <v>54.48</v>
      </c>
      <c r="E9698" s="538" t="n">
        <v>66.5</v>
      </c>
    </row>
    <row r="9699">
      <c r="A9699" s="544" t="n">
        <v>42787</v>
      </c>
      <c r="B9699" s="538" t="n">
        <v>56.34</v>
      </c>
      <c r="C9699" s="538" t="n">
        <v>54.02</v>
      </c>
      <c r="D9699" s="538" t="n">
        <v>54.71</v>
      </c>
      <c r="E9699" s="538" t="n">
        <v>66.69</v>
      </c>
    </row>
    <row r="9700">
      <c r="A9700" s="544" t="n">
        <v>42788</v>
      </c>
      <c r="B9700" s="538" t="n">
        <v>54.9</v>
      </c>
      <c r="C9700" s="538" t="n">
        <v>53.61</v>
      </c>
      <c r="D9700" s="538" t="n">
        <v>54.4</v>
      </c>
      <c r="E9700" s="538" t="n">
        <v>66.84</v>
      </c>
    </row>
    <row r="9701">
      <c r="A9701" s="544" t="n">
        <v>42789</v>
      </c>
      <c r="B9701" s="538" t="n">
        <v>55.82</v>
      </c>
      <c r="C9701" s="538" t="n">
        <v>54.48</v>
      </c>
      <c r="D9701" s="538" t="n">
        <v>54.91</v>
      </c>
      <c r="E9701" s="538" t="n">
        <v>66.88</v>
      </c>
    </row>
    <row r="9702">
      <c r="A9702" s="544" t="n">
        <v>42790</v>
      </c>
      <c r="B9702" s="538" t="n">
        <v>54.69</v>
      </c>
      <c r="C9702" s="538" t="n">
        <v>53.99</v>
      </c>
      <c r="D9702" s="538" t="n">
        <v>54.42</v>
      </c>
      <c r="E9702" s="538" t="n">
        <v>66.59999999999999</v>
      </c>
    </row>
    <row r="9703">
      <c r="A9703" s="544" t="n">
        <v>42793</v>
      </c>
      <c r="B9703" s="538" t="n">
        <v>54.65</v>
      </c>
      <c r="C9703" s="538" t="n">
        <v>54.04</v>
      </c>
      <c r="D9703" s="538" t="n">
        <v>54.74</v>
      </c>
      <c r="E9703" s="538" t="n">
        <v>66.84</v>
      </c>
    </row>
    <row r="9704">
      <c r="A9704" s="544" t="n">
        <v>42794</v>
      </c>
      <c r="B9704" s="538" t="n">
        <v>53.36</v>
      </c>
      <c r="C9704" s="538" t="n">
        <v>54</v>
      </c>
      <c r="D9704" s="538" t="n">
        <v>54.47</v>
      </c>
      <c r="E9704" s="538" t="n">
        <v>66.31999999999999</v>
      </c>
    </row>
    <row r="9705">
      <c r="A9705" s="544" t="n">
        <v>42795</v>
      </c>
      <c r="B9705" s="538" t="n">
        <v>55.72</v>
      </c>
      <c r="C9705" s="538" t="n">
        <v>53.82</v>
      </c>
      <c r="D9705" s="538" t="n">
        <v>54.86</v>
      </c>
      <c r="E9705" s="538" t="n">
        <v>66.34999999999999</v>
      </c>
    </row>
    <row r="9706">
      <c r="A9706" s="544" t="n">
        <v>42796</v>
      </c>
      <c r="B9706" s="538" t="n">
        <v>54.16</v>
      </c>
      <c r="C9706" s="538" t="n">
        <v>52.63</v>
      </c>
      <c r="D9706" s="538" t="n">
        <v>53.66</v>
      </c>
      <c r="E9706" s="538" t="n">
        <v>65.55</v>
      </c>
    </row>
    <row r="9707">
      <c r="A9707" s="544" t="n">
        <v>42797</v>
      </c>
      <c r="B9707" s="538" t="n">
        <v>54.12</v>
      </c>
      <c r="C9707" s="538" t="n">
        <v>53.33</v>
      </c>
      <c r="D9707" s="538" t="n">
        <v>54.16</v>
      </c>
      <c r="E9707" s="538" t="n">
        <v>64.68000000000001</v>
      </c>
    </row>
    <row r="9708">
      <c r="A9708" s="544" t="n">
        <v>42800</v>
      </c>
      <c r="B9708" s="538" t="n">
        <v>54.73</v>
      </c>
      <c r="C9708" s="538" t="n">
        <v>53.19</v>
      </c>
      <c r="D9708" s="538" t="n">
        <v>54.22</v>
      </c>
      <c r="E9708" s="538" t="n">
        <v>64.55</v>
      </c>
    </row>
    <row r="9709">
      <c r="A9709" s="544" t="n">
        <v>42801</v>
      </c>
      <c r="B9709" s="538" t="n">
        <v>54.61</v>
      </c>
      <c r="C9709" s="538" t="n">
        <v>52.68</v>
      </c>
      <c r="D9709" s="538" t="n">
        <v>53.98</v>
      </c>
      <c r="E9709" s="538" t="n">
        <v>65.25</v>
      </c>
    </row>
    <row r="9710">
      <c r="A9710" s="544" t="n">
        <v>42802</v>
      </c>
      <c r="B9710" s="538" t="n">
        <v>53.3</v>
      </c>
      <c r="C9710" s="538" t="n">
        <v>49.83</v>
      </c>
      <c r="D9710" s="538" t="n">
        <v>51.64</v>
      </c>
      <c r="E9710" s="538" t="n">
        <v>64.81</v>
      </c>
    </row>
    <row r="9711">
      <c r="A9711" s="544" t="n">
        <v>42803</v>
      </c>
      <c r="B9711" s="538" t="n">
        <v>50.65</v>
      </c>
      <c r="C9711" s="538" t="n">
        <v>48.75</v>
      </c>
      <c r="D9711" s="538" t="n">
        <v>51.16</v>
      </c>
      <c r="E9711" s="538" t="n">
        <v>62.41</v>
      </c>
    </row>
    <row r="9712">
      <c r="A9712" s="544" t="n">
        <v>42804</v>
      </c>
      <c r="B9712" s="538" t="n">
        <v>50.63</v>
      </c>
      <c r="C9712" s="538" t="n">
        <v>48.05</v>
      </c>
      <c r="D9712" s="538" t="n">
        <v>50.09</v>
      </c>
      <c r="E9712" s="538" t="n">
        <v>61.21</v>
      </c>
    </row>
    <row r="9713">
      <c r="A9713" s="544" t="n">
        <v>42807</v>
      </c>
      <c r="B9713" s="538" t="n">
        <v>50.1</v>
      </c>
      <c r="C9713" s="538" t="n">
        <v>47.95</v>
      </c>
      <c r="D9713" s="538" t="n">
        <v>49.97</v>
      </c>
      <c r="E9713" s="538" t="n">
        <v>60.11</v>
      </c>
    </row>
    <row r="9714">
      <c r="A9714" s="544" t="n">
        <v>42808</v>
      </c>
      <c r="B9714" s="538" t="n">
        <v>49.6</v>
      </c>
      <c r="C9714" s="538" t="n">
        <v>47.24</v>
      </c>
      <c r="D9714" s="538" t="n">
        <v>49.98</v>
      </c>
      <c r="E9714" s="538" t="n">
        <v>59.59</v>
      </c>
    </row>
    <row r="9715">
      <c r="A9715" s="544" t="n">
        <v>42809</v>
      </c>
      <c r="B9715" s="538" t="n">
        <v>50.63</v>
      </c>
      <c r="C9715" s="538" t="n">
        <v>48.34</v>
      </c>
      <c r="D9715" s="538" t="n">
        <v>50.46</v>
      </c>
      <c r="E9715" s="538" t="n">
        <v>59.71</v>
      </c>
    </row>
    <row r="9716">
      <c r="A9716" s="544" t="n">
        <v>42810</v>
      </c>
      <c r="B9716" s="538" t="n">
        <v>50.56</v>
      </c>
      <c r="C9716" s="538" t="n">
        <v>48.3</v>
      </c>
      <c r="D9716" s="538" t="n">
        <v>50.09</v>
      </c>
      <c r="E9716" s="538" t="n">
        <v>61.09</v>
      </c>
    </row>
    <row r="9717">
      <c r="A9717" s="544" t="n">
        <v>42811</v>
      </c>
      <c r="B9717" s="538" t="n">
        <v>50.58</v>
      </c>
      <c r="C9717" s="538" t="n">
        <v>48.34</v>
      </c>
      <c r="D9717" s="538" t="n">
        <v>50.15</v>
      </c>
      <c r="E9717" s="538" t="n">
        <v>60.42</v>
      </c>
    </row>
    <row r="9718">
      <c r="A9718" s="544" t="n">
        <v>42814</v>
      </c>
      <c r="B9718" s="538" t="n">
        <v>50.67</v>
      </c>
      <c r="C9718" s="538" t="n">
        <v>47.79</v>
      </c>
      <c r="D9718" s="538" t="n">
        <v>50.12</v>
      </c>
      <c r="E9718" s="538" t="n">
        <v>60.45</v>
      </c>
    </row>
    <row r="9719">
      <c r="A9719" s="544" t="n">
        <v>42815</v>
      </c>
      <c r="B9719" s="538" t="n">
        <v>50.14</v>
      </c>
      <c r="C9719" s="538" t="n">
        <v>47.02</v>
      </c>
      <c r="D9719" s="538" t="n">
        <v>49.33</v>
      </c>
      <c r="E9719" s="538" t="n">
        <v>61.01</v>
      </c>
    </row>
    <row r="9720">
      <c r="A9720" s="544" t="n">
        <v>42816</v>
      </c>
      <c r="B9720" s="538" t="n">
        <v>49.56</v>
      </c>
      <c r="C9720" s="538" t="n">
        <v>47.29</v>
      </c>
      <c r="D9720" s="538" t="n">
        <v>49.29</v>
      </c>
      <c r="E9720" s="538" t="n">
        <v>59.78</v>
      </c>
    </row>
    <row r="9721">
      <c r="A9721" s="544" t="n">
        <v>42817</v>
      </c>
      <c r="B9721" s="538" t="n">
        <v>50.17</v>
      </c>
      <c r="C9721" s="538" t="n">
        <v>47</v>
      </c>
      <c r="D9721" s="538" t="n">
        <v>48.86</v>
      </c>
      <c r="E9721" s="538" t="n">
        <v>59.78</v>
      </c>
    </row>
    <row r="9722">
      <c r="A9722" s="544" t="n">
        <v>42818</v>
      </c>
      <c r="B9722" s="538" t="n">
        <v>49.97</v>
      </c>
      <c r="C9722" s="538" t="n">
        <v>47.3</v>
      </c>
      <c r="D9722" s="538" t="n">
        <v>49.14</v>
      </c>
      <c r="E9722" s="538" t="n">
        <v>59.8</v>
      </c>
    </row>
    <row r="9723">
      <c r="A9723" s="544" t="n">
        <v>42821</v>
      </c>
      <c r="B9723" s="538" t="n">
        <v>50.12</v>
      </c>
      <c r="C9723" s="538" t="n">
        <v>47.02</v>
      </c>
      <c r="D9723" s="538" t="n">
        <v>49.12</v>
      </c>
      <c r="E9723" s="538" t="n">
        <v>59.56</v>
      </c>
    </row>
    <row r="9724">
      <c r="A9724" s="544" t="n">
        <v>42822</v>
      </c>
      <c r="B9724" s="538" t="n">
        <v>50.72</v>
      </c>
      <c r="C9724" s="538" t="n">
        <v>48.36</v>
      </c>
      <c r="D9724" s="538" t="n">
        <v>49.69</v>
      </c>
      <c r="E9724" s="538" t="n">
        <v>60.64</v>
      </c>
    </row>
    <row r="9725">
      <c r="A9725" s="544" t="n">
        <v>42823</v>
      </c>
      <c r="B9725" s="538" t="n">
        <v>51.36</v>
      </c>
      <c r="C9725" s="538" t="n">
        <v>49.47</v>
      </c>
      <c r="D9725" s="538" t="n">
        <v>50.71</v>
      </c>
      <c r="E9725" s="538" t="n">
        <v>61.63</v>
      </c>
    </row>
    <row r="9726">
      <c r="A9726" s="544" t="n">
        <v>42824</v>
      </c>
      <c r="B9726" s="538" t="n">
        <v>52.25</v>
      </c>
      <c r="C9726" s="538" t="n">
        <v>50.3</v>
      </c>
      <c r="D9726" s="538" t="n">
        <v>51.25</v>
      </c>
      <c r="E9726" s="538" t="n">
        <v>61.96</v>
      </c>
    </row>
    <row r="9727">
      <c r="A9727" s="544" t="n">
        <v>42825</v>
      </c>
      <c r="B9727" s="538" t="n">
        <v>52.2</v>
      </c>
      <c r="C9727" s="538" t="n">
        <v>50.54</v>
      </c>
      <c r="D9727" s="538" t="n">
        <v>52.55</v>
      </c>
      <c r="E9727" s="538" t="n">
        <v>62.25</v>
      </c>
    </row>
    <row r="9728">
      <c r="A9728" s="544" t="n">
        <v>42828</v>
      </c>
      <c r="B9728" s="538" t="n">
        <v>52.04</v>
      </c>
      <c r="C9728" s="538" t="n">
        <v>50.25</v>
      </c>
      <c r="D9728" s="538" t="n">
        <v>51.58</v>
      </c>
      <c r="E9728" s="538" t="n">
        <v>62.7</v>
      </c>
    </row>
    <row r="9729">
      <c r="A9729" s="544" t="n">
        <v>42829</v>
      </c>
      <c r="B9729" s="538" t="n">
        <v>53.08</v>
      </c>
      <c r="C9729" s="538" t="n">
        <v>50.99</v>
      </c>
      <c r="D9729" s="538" t="n">
        <v>52.6</v>
      </c>
      <c r="E9729" s="538" t="n">
        <v>61.98</v>
      </c>
    </row>
    <row r="9730">
      <c r="A9730" s="544" t="n">
        <v>42830</v>
      </c>
      <c r="B9730" s="538" t="n">
        <v>53.41</v>
      </c>
      <c r="C9730" s="538" t="n">
        <v>51.14</v>
      </c>
      <c r="D9730" s="538" t="n">
        <v>52.57</v>
      </c>
      <c r="E9730" s="538" t="n">
        <v>64.04000000000001</v>
      </c>
    </row>
    <row r="9731">
      <c r="A9731" s="544" t="n">
        <v>42831</v>
      </c>
      <c r="B9731" s="538" t="n">
        <v>53.62</v>
      </c>
      <c r="C9731" s="538" t="n">
        <v>51.69</v>
      </c>
      <c r="D9731" s="538" t="n">
        <v>53.24</v>
      </c>
      <c r="E9731" s="538" t="n">
        <v>63.98</v>
      </c>
    </row>
    <row r="9732">
      <c r="A9732" s="544" t="n">
        <v>42832</v>
      </c>
      <c r="B9732" s="538" t="n">
        <v>54.24</v>
      </c>
      <c r="C9732" s="538" t="n">
        <v>52.25</v>
      </c>
      <c r="D9732" s="538" t="n">
        <v>53.65</v>
      </c>
      <c r="E9732" s="538" t="n">
        <v>64.03</v>
      </c>
    </row>
    <row r="9733">
      <c r="A9733" s="544" t="n">
        <v>42835</v>
      </c>
      <c r="B9733" s="538" t="n">
        <v>54.79</v>
      </c>
      <c r="C9733" s="538" t="n">
        <v>53.06</v>
      </c>
      <c r="D9733" s="538" t="n">
        <v>54.57</v>
      </c>
      <c r="E9733" s="538" t="n">
        <v>65.34999999999999</v>
      </c>
    </row>
    <row r="9734">
      <c r="A9734" s="544" t="n">
        <v>42836</v>
      </c>
      <c r="B9734" s="538" t="n">
        <v>54.73</v>
      </c>
      <c r="C9734" s="538" t="n">
        <v>53.38</v>
      </c>
      <c r="D9734" s="538" t="n">
        <v>54.87</v>
      </c>
      <c r="E9734" s="538" t="n">
        <v>65.73999999999999</v>
      </c>
    </row>
    <row r="9735">
      <c r="A9735" s="544" t="n">
        <v>42837</v>
      </c>
      <c r="B9735" s="538" t="n">
        <v>54.75</v>
      </c>
      <c r="C9735" s="538" t="n">
        <v>53.12</v>
      </c>
      <c r="D9735" s="538" t="n">
        <v>54.21</v>
      </c>
      <c r="E9735" s="538" t="n">
        <v>66.48999999999999</v>
      </c>
    </row>
    <row r="9736">
      <c r="A9736" s="544" t="n">
        <v>42838</v>
      </c>
      <c r="B9736" s="538" t="n">
        <v>55.05</v>
      </c>
      <c r="C9736" s="538" t="n">
        <v>53.19</v>
      </c>
      <c r="D9736" s="538" t="n">
        <v>54.49</v>
      </c>
      <c r="E9736" s="538" t="n">
        <v>66.45999999999999</v>
      </c>
    </row>
    <row r="9737">
      <c r="A9737" s="544" t="n">
        <v>42839</v>
      </c>
      <c r="B9737" s="538" t="n">
        <v>55.05</v>
      </c>
      <c r="C9737" s="538" t="n">
        <v>53.19</v>
      </c>
      <c r="D9737" s="538" t="n">
        <v>54.49</v>
      </c>
      <c r="E9737" s="538" t="n">
        <v>66.45999999999999</v>
      </c>
    </row>
    <row r="9738">
      <c r="A9738" s="544" t="n">
        <v>42842</v>
      </c>
      <c r="B9738" s="538" t="n">
        <v>54.79</v>
      </c>
      <c r="C9738" s="538" t="n">
        <v>52.62</v>
      </c>
      <c r="D9738" s="538" t="n">
        <v>53.56</v>
      </c>
      <c r="E9738" s="538" t="n">
        <v>65.59</v>
      </c>
    </row>
    <row r="9739">
      <c r="A9739" s="544" t="n">
        <v>42843</v>
      </c>
      <c r="B9739" s="538" t="n">
        <v>52.6</v>
      </c>
      <c r="C9739" s="538" t="n">
        <v>52.46</v>
      </c>
      <c r="D9739" s="538" t="n">
        <v>53.33</v>
      </c>
      <c r="E9739" s="538" t="n">
        <v>65.29000000000001</v>
      </c>
    </row>
    <row r="9740">
      <c r="A9740" s="544" t="n">
        <v>42844</v>
      </c>
      <c r="B9740" s="538" t="n">
        <v>52.43</v>
      </c>
      <c r="C9740" s="538" t="n">
        <v>50.49</v>
      </c>
      <c r="D9740" s="538" t="n">
        <v>51.65</v>
      </c>
      <c r="E9740" s="538" t="n">
        <v>65.31999999999999</v>
      </c>
    </row>
    <row r="9741">
      <c r="A9741" s="544" t="n">
        <v>42845</v>
      </c>
      <c r="B9741" s="538" t="n">
        <v>50.66</v>
      </c>
      <c r="C9741" s="538" t="n">
        <v>50.26</v>
      </c>
      <c r="D9741" s="538" t="n">
        <v>51.75</v>
      </c>
      <c r="E9741" s="538" t="n">
        <v>63.78</v>
      </c>
    </row>
    <row r="9742">
      <c r="A9742" s="544" t="n">
        <v>42846</v>
      </c>
      <c r="B9742" s="538" t="n">
        <v>49.93</v>
      </c>
      <c r="C9742" s="538" t="n">
        <v>49.64</v>
      </c>
      <c r="D9742" s="538" t="n">
        <v>50.78</v>
      </c>
      <c r="E9742" s="538" t="n">
        <v>63.39</v>
      </c>
    </row>
    <row r="9743">
      <c r="A9743" s="544" t="n">
        <v>42849</v>
      </c>
      <c r="B9743" s="538" t="n">
        <v>49.45</v>
      </c>
      <c r="C9743" s="538" t="n">
        <v>48.9</v>
      </c>
      <c r="D9743" s="538" t="n">
        <v>50.6</v>
      </c>
      <c r="E9743" s="538" t="n">
        <v>63.89</v>
      </c>
    </row>
    <row r="9744">
      <c r="A9744" s="544" t="n">
        <v>42850</v>
      </c>
      <c r="B9744" s="538" t="n">
        <v>49.37</v>
      </c>
      <c r="C9744" s="538" t="n">
        <v>49.22</v>
      </c>
      <c r="D9744" s="538" t="n">
        <v>50.72</v>
      </c>
      <c r="E9744" s="538" t="n">
        <v>61.96</v>
      </c>
    </row>
    <row r="9745">
      <c r="A9745" s="544" t="n">
        <v>42851</v>
      </c>
      <c r="B9745" s="538" t="n">
        <v>49.99</v>
      </c>
      <c r="C9745" s="538" t="n">
        <v>49.22</v>
      </c>
      <c r="D9745" s="538" t="n">
        <v>50.44</v>
      </c>
      <c r="E9745" s="538" t="n">
        <v>62.46</v>
      </c>
    </row>
    <row r="9746">
      <c r="A9746" s="544" t="n">
        <v>42852</v>
      </c>
      <c r="B9746" s="538" t="n">
        <v>49.46</v>
      </c>
      <c r="C9746" s="538" t="n">
        <v>48.96</v>
      </c>
      <c r="D9746" s="538" t="n">
        <v>50.46</v>
      </c>
      <c r="E9746" s="538" t="n">
        <v>61</v>
      </c>
    </row>
    <row r="9747">
      <c r="A9747" s="544" t="n">
        <v>42853</v>
      </c>
      <c r="B9747" s="538" t="n">
        <v>49.46</v>
      </c>
      <c r="C9747" s="538" t="n">
        <v>49.31</v>
      </c>
      <c r="D9747" s="538" t="n">
        <v>50.62</v>
      </c>
      <c r="E9747" s="538" t="n">
        <v>60.95</v>
      </c>
    </row>
    <row r="9748">
      <c r="A9748" s="544" t="n">
        <v>42856</v>
      </c>
      <c r="B9748" s="538" t="n">
        <v>50.41</v>
      </c>
      <c r="C9748" s="538" t="n">
        <v>48.83</v>
      </c>
      <c r="D9748" s="538" t="n">
        <v>50.35</v>
      </c>
      <c r="E9748" s="538" t="n">
        <v>60.95</v>
      </c>
    </row>
    <row r="9749">
      <c r="A9749" s="544" t="n">
        <v>42857</v>
      </c>
      <c r="B9749" s="538" t="n">
        <v>49.31</v>
      </c>
      <c r="C9749" s="538" t="n">
        <v>47.65</v>
      </c>
      <c r="D9749" s="538" t="n">
        <v>49.81</v>
      </c>
      <c r="E9749" s="538" t="n">
        <v>60.78</v>
      </c>
    </row>
    <row r="9750">
      <c r="A9750" s="544" t="n">
        <v>42858</v>
      </c>
      <c r="B9750" s="538" t="n">
        <v>48.82</v>
      </c>
      <c r="C9750" s="538" t="n">
        <v>47.79</v>
      </c>
      <c r="D9750" s="538" t="n">
        <v>49.57</v>
      </c>
      <c r="E9750" s="538" t="n">
        <v>59.69</v>
      </c>
    </row>
    <row r="9751">
      <c r="A9751" s="544" t="n">
        <v>42859</v>
      </c>
      <c r="B9751" s="538" t="n">
        <v>47.53</v>
      </c>
      <c r="C9751" s="538" t="n">
        <v>45.55</v>
      </c>
      <c r="D9751" s="538" t="n">
        <v>47.4</v>
      </c>
      <c r="E9751" s="538" t="n">
        <v>58.74</v>
      </c>
    </row>
    <row r="9752">
      <c r="A9752" s="544" t="n">
        <v>42860</v>
      </c>
      <c r="B9752" s="538" t="n">
        <v>47.45</v>
      </c>
      <c r="C9752" s="538" t="n">
        <v>46.23</v>
      </c>
      <c r="D9752" s="538" t="n">
        <v>48.17</v>
      </c>
      <c r="E9752" s="538" t="n">
        <v>57.35</v>
      </c>
    </row>
    <row r="9753">
      <c r="A9753" s="544" t="n">
        <v>42863</v>
      </c>
      <c r="B9753" s="538" t="n">
        <v>46.61</v>
      </c>
      <c r="C9753" s="538" t="n">
        <v>46.46</v>
      </c>
      <c r="D9753" s="538" t="n">
        <v>48.38</v>
      </c>
      <c r="E9753" s="538" t="n">
        <v>58.35</v>
      </c>
    </row>
    <row r="9754">
      <c r="A9754" s="544" t="n">
        <v>42864</v>
      </c>
      <c r="B9754" s="538" t="n">
        <v>47.06</v>
      </c>
      <c r="C9754" s="538" t="n">
        <v>45.84</v>
      </c>
      <c r="D9754" s="538" t="n">
        <v>47.95</v>
      </c>
      <c r="E9754" s="538" t="n">
        <v>58.64</v>
      </c>
    </row>
    <row r="9755">
      <c r="A9755" s="544" t="n">
        <v>42865</v>
      </c>
      <c r="B9755" s="538" t="n">
        <v>48.09</v>
      </c>
      <c r="C9755" s="538" t="n">
        <v>47.28</v>
      </c>
      <c r="D9755" s="538" t="n">
        <v>49.09</v>
      </c>
      <c r="E9755" s="538" t="n">
        <v>58.64</v>
      </c>
    </row>
    <row r="9756">
      <c r="A9756" s="544" t="n">
        <v>42866</v>
      </c>
      <c r="B9756" s="538" t="n">
        <v>49.18</v>
      </c>
      <c r="C9756" s="538" t="n">
        <v>47.81</v>
      </c>
      <c r="D9756" s="538" t="n">
        <v>49.5</v>
      </c>
      <c r="E9756" s="538" t="n">
        <v>59.45</v>
      </c>
    </row>
    <row r="9757">
      <c r="A9757" s="544" t="n">
        <v>42867</v>
      </c>
      <c r="B9757" s="538" t="n">
        <v>49.08</v>
      </c>
      <c r="C9757" s="538" t="n">
        <v>47.83</v>
      </c>
      <c r="D9757" s="538" t="n">
        <v>49.54</v>
      </c>
      <c r="E9757" s="538" t="n">
        <v>59.29</v>
      </c>
    </row>
    <row r="9758">
      <c r="A9758" s="544" t="n">
        <v>42870</v>
      </c>
      <c r="B9758" s="538" t="n">
        <v>51.29</v>
      </c>
      <c r="C9758" s="538" t="n">
        <v>48.86</v>
      </c>
      <c r="D9758" s="538" t="n">
        <v>50.52</v>
      </c>
      <c r="E9758" s="538" t="n">
        <v>60.87</v>
      </c>
    </row>
    <row r="9759">
      <c r="A9759" s="544" t="n">
        <v>42871</v>
      </c>
      <c r="B9759" s="538" t="n">
        <v>51.21</v>
      </c>
      <c r="C9759" s="538" t="n">
        <v>48.64</v>
      </c>
      <c r="D9759" s="538" t="n">
        <v>50.19</v>
      </c>
      <c r="E9759" s="538" t="n">
        <v>60.99</v>
      </c>
    </row>
    <row r="9760">
      <c r="A9760" s="544" t="n">
        <v>42872</v>
      </c>
      <c r="B9760" s="538" t="n">
        <v>51.76</v>
      </c>
      <c r="C9760" s="538" t="n">
        <v>49.04</v>
      </c>
      <c r="D9760" s="538" t="n">
        <v>51.02</v>
      </c>
      <c r="E9760" s="538" t="n">
        <v>60.42</v>
      </c>
    </row>
    <row r="9761">
      <c r="A9761" s="544" t="n">
        <v>42873</v>
      </c>
      <c r="B9761" s="538" t="n">
        <v>51.71</v>
      </c>
      <c r="C9761" s="538" t="n">
        <v>49.36</v>
      </c>
      <c r="D9761" s="538" t="n">
        <v>51.17</v>
      </c>
      <c r="E9761" s="538" t="n">
        <v>61</v>
      </c>
    </row>
    <row r="9762">
      <c r="A9762" s="544" t="n">
        <v>42874</v>
      </c>
      <c r="B9762" s="538" t="n">
        <v>52.78</v>
      </c>
      <c r="C9762" s="538" t="n">
        <v>50.32</v>
      </c>
      <c r="D9762" s="538" t="n">
        <v>52.33</v>
      </c>
      <c r="E9762" s="538" t="n">
        <v>62.36</v>
      </c>
    </row>
    <row r="9763">
      <c r="A9763" s="544" t="n">
        <v>42877</v>
      </c>
      <c r="B9763" s="538" t="n">
        <v>53.35</v>
      </c>
      <c r="C9763" s="538" t="n">
        <v>50.81</v>
      </c>
      <c r="D9763" s="538" t="n">
        <v>52.53</v>
      </c>
      <c r="E9763" s="538" t="n">
        <v>62.77</v>
      </c>
    </row>
    <row r="9764">
      <c r="A9764" s="544" t="n">
        <v>42878</v>
      </c>
      <c r="B9764" s="538" t="n">
        <v>53.19</v>
      </c>
      <c r="C9764" s="538" t="n">
        <v>51.12</v>
      </c>
      <c r="D9764" s="538" t="n">
        <v>52.71</v>
      </c>
      <c r="E9764" s="538" t="n">
        <v>62.89</v>
      </c>
    </row>
    <row r="9765">
      <c r="A9765" s="544" t="n">
        <v>42879</v>
      </c>
      <c r="B9765" s="538" t="n">
        <v>53.29</v>
      </c>
      <c r="C9765" s="538" t="n">
        <v>50.99</v>
      </c>
      <c r="D9765" s="538" t="n">
        <v>52.47</v>
      </c>
      <c r="E9765" s="538" t="n">
        <v>64.08</v>
      </c>
    </row>
    <row r="9766">
      <c r="A9766" s="544" t="n">
        <v>42880</v>
      </c>
      <c r="B9766" s="538" t="n">
        <v>52.25</v>
      </c>
      <c r="C9766" s="538" t="n">
        <v>48.57</v>
      </c>
      <c r="D9766" s="538" t="n">
        <v>49.94</v>
      </c>
      <c r="E9766" s="538" t="n">
        <v>64.25</v>
      </c>
    </row>
    <row r="9767">
      <c r="A9767" s="544" t="n">
        <v>42881</v>
      </c>
      <c r="B9767" s="538" t="n">
        <v>50.84</v>
      </c>
      <c r="C9767" s="538" t="n">
        <v>49.58</v>
      </c>
      <c r="D9767" s="538" t="n">
        <v>50.66</v>
      </c>
      <c r="E9767" s="538" t="n">
        <v>61.7</v>
      </c>
    </row>
    <row r="9768">
      <c r="A9768" s="544" t="n">
        <v>42884</v>
      </c>
      <c r="B9768" s="538" t="n">
        <v>52.25</v>
      </c>
      <c r="C9768" s="538" t="n">
        <v>49.58</v>
      </c>
      <c r="D9768" s="538" t="n">
        <v>50.66</v>
      </c>
      <c r="E9768" s="538" t="n">
        <v>61.52</v>
      </c>
    </row>
    <row r="9769">
      <c r="A9769" s="544" t="n">
        <v>42885</v>
      </c>
      <c r="B9769" s="538" t="n">
        <v>50.65</v>
      </c>
      <c r="C9769" s="538" t="n">
        <v>49.63</v>
      </c>
      <c r="D9769" s="538" t="n">
        <v>50.33</v>
      </c>
      <c r="E9769" s="538" t="n">
        <v>61.45</v>
      </c>
    </row>
    <row r="9770">
      <c r="A9770" s="544" t="n">
        <v>42886</v>
      </c>
      <c r="B9770" s="538" t="n">
        <v>49.4</v>
      </c>
      <c r="C9770" s="538" t="n">
        <v>48.29</v>
      </c>
      <c r="D9770" s="538" t="n">
        <v>49.94</v>
      </c>
      <c r="E9770" s="538" t="n">
        <v>60.97</v>
      </c>
    </row>
    <row r="9771">
      <c r="A9771" s="544" t="n">
        <v>42887</v>
      </c>
      <c r="B9771" s="538" t="n">
        <v>50.41</v>
      </c>
      <c r="C9771" s="538" t="n">
        <v>48.32</v>
      </c>
      <c r="D9771" s="538" t="n">
        <v>49.1</v>
      </c>
      <c r="E9771" s="538" t="n">
        <v>60.9</v>
      </c>
    </row>
    <row r="9772">
      <c r="A9772" s="544" t="n">
        <v>42888</v>
      </c>
      <c r="B9772" s="538" t="n">
        <v>48.46</v>
      </c>
      <c r="C9772" s="538" t="n">
        <v>47.68</v>
      </c>
      <c r="D9772" s="538" t="n">
        <v>48.63</v>
      </c>
      <c r="E9772" s="538" t="n">
        <v>58.34</v>
      </c>
    </row>
    <row r="9773">
      <c r="A9773" s="544" t="n">
        <v>42891</v>
      </c>
      <c r="B9773" s="538" t="n">
        <v>48.25</v>
      </c>
      <c r="C9773" s="538" t="n">
        <v>47.4</v>
      </c>
      <c r="D9773" s="538" t="n">
        <v>48.35</v>
      </c>
      <c r="E9773" s="538" t="n">
        <v>58.87</v>
      </c>
    </row>
    <row r="9774">
      <c r="A9774" s="544" t="n">
        <v>42892</v>
      </c>
      <c r="B9774" s="538" t="n">
        <v>48.11</v>
      </c>
      <c r="C9774" s="538" t="n">
        <v>48.13</v>
      </c>
      <c r="D9774" s="538" t="n">
        <v>48.68</v>
      </c>
      <c r="E9774" s="538" t="n">
        <v>57.7</v>
      </c>
    </row>
    <row r="9775">
      <c r="A9775" s="544" t="n">
        <v>42893</v>
      </c>
      <c r="B9775" s="538" t="n">
        <v>47.08</v>
      </c>
      <c r="C9775" s="538" t="n">
        <v>45.8</v>
      </c>
      <c r="D9775" s="538" t="n">
        <v>47.04</v>
      </c>
      <c r="E9775" s="538" t="n">
        <v>57.78</v>
      </c>
    </row>
    <row r="9776">
      <c r="A9776" s="544" t="n">
        <v>42894</v>
      </c>
      <c r="B9776" s="538" t="n">
        <v>46.3</v>
      </c>
      <c r="C9776" s="538" t="n">
        <v>45.68</v>
      </c>
      <c r="D9776" s="538" t="n">
        <v>46.78</v>
      </c>
      <c r="E9776" s="538" t="n">
        <v>57</v>
      </c>
    </row>
    <row r="9777">
      <c r="A9777" s="544" t="n">
        <v>42895</v>
      </c>
      <c r="B9777" s="538" t="n">
        <v>46.64</v>
      </c>
      <c r="C9777" s="538" t="n">
        <v>45.82</v>
      </c>
      <c r="D9777" s="538" t="n">
        <v>46.98</v>
      </c>
      <c r="E9777" s="538" t="n">
        <v>56.96</v>
      </c>
    </row>
    <row r="9778">
      <c r="A9778" s="544" t="n">
        <v>42898</v>
      </c>
      <c r="B9778" s="538" t="n">
        <v>47.18</v>
      </c>
      <c r="C9778" s="538" t="n">
        <v>46.1</v>
      </c>
      <c r="D9778" s="538" t="n">
        <v>47.15</v>
      </c>
      <c r="E9778" s="538" t="n">
        <v>56.48</v>
      </c>
    </row>
    <row r="9779">
      <c r="A9779" s="544" t="n">
        <v>42899</v>
      </c>
      <c r="B9779" s="538" t="n">
        <v>46.95</v>
      </c>
      <c r="C9779" s="538" t="n">
        <v>46.41</v>
      </c>
      <c r="D9779" s="538" t="n">
        <v>47.08</v>
      </c>
      <c r="E9779" s="538" t="n">
        <v>57.28</v>
      </c>
    </row>
    <row r="9780">
      <c r="A9780" s="544" t="n">
        <v>42900</v>
      </c>
      <c r="B9780" s="538" t="n">
        <v>45.47</v>
      </c>
      <c r="C9780" s="538" t="n">
        <v>44.79</v>
      </c>
      <c r="D9780" s="538" t="n">
        <v>45.77</v>
      </c>
      <c r="E9780" s="538" t="n">
        <v>57.49</v>
      </c>
    </row>
    <row r="9781">
      <c r="A9781" s="544" t="n">
        <v>42901</v>
      </c>
      <c r="B9781" s="538" t="n">
        <v>45.61</v>
      </c>
      <c r="C9781" s="538" t="n">
        <v>44.47</v>
      </c>
      <c r="D9781" s="538" t="n">
        <v>45.44</v>
      </c>
      <c r="E9781" s="538" t="n">
        <v>57.54</v>
      </c>
    </row>
    <row r="9782">
      <c r="A9782" s="544" t="n">
        <v>42902</v>
      </c>
      <c r="B9782" s="538" t="n">
        <v>45.7</v>
      </c>
      <c r="C9782" s="538" t="n">
        <v>44.73</v>
      </c>
      <c r="D9782" s="538" t="n">
        <v>45.97</v>
      </c>
      <c r="E9782" s="538" t="n">
        <v>56.71</v>
      </c>
    </row>
    <row r="9783">
      <c r="A9783" s="544" t="n">
        <v>42905</v>
      </c>
      <c r="B9783" s="538" t="n">
        <v>45.93</v>
      </c>
      <c r="C9783" s="538" t="n">
        <v>44.24</v>
      </c>
      <c r="D9783" s="538" t="n">
        <v>45.55</v>
      </c>
      <c r="E9783" s="538" t="n">
        <v>56.71</v>
      </c>
    </row>
    <row r="9784">
      <c r="A9784" s="544" t="n">
        <v>42906</v>
      </c>
      <c r="B9784" s="538" t="n">
        <v>43.98</v>
      </c>
      <c r="C9784" s="538" t="n">
        <v>43.34</v>
      </c>
      <c r="D9784" s="538" t="n">
        <v>44.61</v>
      </c>
      <c r="E9784" s="538" t="n">
        <v>56.65</v>
      </c>
    </row>
    <row r="9785">
      <c r="A9785" s="544" t="n">
        <v>42907</v>
      </c>
      <c r="B9785" s="538" t="n">
        <v>44.62</v>
      </c>
      <c r="C9785" s="538" t="n">
        <v>42.48</v>
      </c>
      <c r="D9785" s="538" t="n">
        <v>43.63</v>
      </c>
      <c r="E9785" s="538" t="n">
        <v>55.67</v>
      </c>
    </row>
    <row r="9786">
      <c r="A9786" s="544" t="n">
        <v>42908</v>
      </c>
      <c r="B9786" s="538" t="n">
        <v>44.46</v>
      </c>
      <c r="C9786" s="538" t="n">
        <v>42.53</v>
      </c>
      <c r="D9786" s="538" t="n">
        <v>44.08</v>
      </c>
      <c r="E9786" s="538" t="n">
        <v>54.3</v>
      </c>
    </row>
    <row r="9787">
      <c r="A9787" s="544" t="n">
        <v>42909</v>
      </c>
      <c r="B9787" s="538" t="n">
        <v>44.14</v>
      </c>
      <c r="C9787" s="538" t="n">
        <v>42.86</v>
      </c>
      <c r="D9787" s="538" t="n">
        <v>44.39</v>
      </c>
      <c r="E9787" s="538" t="n">
        <v>55.2</v>
      </c>
    </row>
    <row r="9788">
      <c r="A9788" s="544" t="n">
        <v>42912</v>
      </c>
      <c r="B9788" s="538" t="n">
        <v>44.09</v>
      </c>
      <c r="C9788" s="538" t="n">
        <v>43.24</v>
      </c>
      <c r="D9788" s="538" t="n">
        <v>44.79</v>
      </c>
      <c r="E9788" s="538" t="n">
        <v>55.2</v>
      </c>
    </row>
    <row r="9789">
      <c r="A9789" s="544" t="n">
        <v>42913</v>
      </c>
      <c r="B9789" s="538" t="n">
        <v>46.17</v>
      </c>
      <c r="C9789" s="538" t="n">
        <v>44.25</v>
      </c>
      <c r="D9789" s="538" t="n">
        <v>45.07</v>
      </c>
      <c r="E9789" s="538" t="n">
        <v>55.87</v>
      </c>
    </row>
    <row r="9790">
      <c r="A9790" s="544" t="n">
        <v>42914</v>
      </c>
      <c r="B9790" s="538" t="n">
        <v>46.45</v>
      </c>
      <c r="C9790" s="538" t="n">
        <v>44.74</v>
      </c>
      <c r="D9790" s="538" t="n">
        <v>46.4</v>
      </c>
      <c r="E9790" s="538" t="n">
        <v>56.41</v>
      </c>
    </row>
    <row r="9791">
      <c r="A9791" s="544" t="n">
        <v>42915</v>
      </c>
      <c r="B9791" s="538" t="n">
        <v>47.02</v>
      </c>
      <c r="C9791" s="538" t="n">
        <v>44.88</v>
      </c>
      <c r="D9791" s="538" t="n">
        <v>46.36</v>
      </c>
      <c r="E9791" s="538" t="n">
        <v>57.86</v>
      </c>
    </row>
    <row r="9792">
      <c r="A9792" s="544" t="n">
        <v>42916</v>
      </c>
      <c r="B9792" s="538" t="n">
        <v>47.08</v>
      </c>
      <c r="C9792" s="538" t="n">
        <v>46.02</v>
      </c>
      <c r="D9792" s="538" t="n">
        <v>47.3</v>
      </c>
      <c r="E9792" s="538" t="n">
        <v>57.92</v>
      </c>
    </row>
    <row r="9793">
      <c r="A9793" s="544" t="n">
        <v>42919</v>
      </c>
      <c r="B9793" s="538" t="n">
        <v>49.13</v>
      </c>
      <c r="C9793" s="538" t="n">
        <v>46.02</v>
      </c>
      <c r="D9793" s="538" t="n">
        <v>48.44</v>
      </c>
      <c r="E9793" s="538" t="n">
        <v>59.19</v>
      </c>
    </row>
    <row r="9794">
      <c r="A9794" s="544" t="n">
        <v>42920</v>
      </c>
      <c r="B9794" s="538" t="n">
        <v>49.15</v>
      </c>
      <c r="C9794" s="538" t="n">
        <v>46.02</v>
      </c>
      <c r="D9794" s="538" t="n">
        <v>48.49</v>
      </c>
      <c r="E9794" s="538" t="n">
        <v>60.59</v>
      </c>
    </row>
    <row r="9795">
      <c r="A9795" s="544" t="n">
        <v>42921</v>
      </c>
      <c r="B9795" s="538" t="n">
        <v>47.58</v>
      </c>
      <c r="C9795" s="538" t="n">
        <v>45.11</v>
      </c>
      <c r="D9795" s="538" t="n">
        <v>47.05</v>
      </c>
      <c r="E9795" s="538" t="n">
        <v>60.26</v>
      </c>
    </row>
    <row r="9796">
      <c r="A9796" s="544" t="n">
        <v>42922</v>
      </c>
      <c r="B9796" s="538" t="n">
        <v>48.53</v>
      </c>
      <c r="C9796" s="538" t="n">
        <v>45.52</v>
      </c>
      <c r="D9796" s="538" t="n">
        <v>46.68</v>
      </c>
      <c r="E9796" s="538" t="n">
        <v>60.09</v>
      </c>
    </row>
    <row r="9797">
      <c r="A9797" s="544" t="n">
        <v>42923</v>
      </c>
      <c r="B9797" s="538" t="n">
        <v>46.47</v>
      </c>
      <c r="C9797" s="538" t="n">
        <v>44.25</v>
      </c>
      <c r="D9797" s="538" t="n">
        <v>45.42</v>
      </c>
      <c r="E9797" s="538" t="n">
        <v>57.89</v>
      </c>
    </row>
    <row r="9798">
      <c r="A9798" s="544" t="n">
        <v>42926</v>
      </c>
      <c r="B9798" s="538" t="n">
        <v>46.57</v>
      </c>
      <c r="C9798" s="538" t="n">
        <v>44.4</v>
      </c>
      <c r="D9798" s="538" t="n">
        <v>45.71</v>
      </c>
      <c r="E9798" s="538" t="n">
        <v>57.7</v>
      </c>
    </row>
    <row r="9799">
      <c r="A9799" s="544" t="n">
        <v>42927</v>
      </c>
      <c r="B9799" s="538" t="n">
        <v>46.68</v>
      </c>
      <c r="C9799" s="538" t="n">
        <v>45.06</v>
      </c>
      <c r="D9799" s="538" t="n">
        <v>47.03</v>
      </c>
      <c r="E9799" s="538" t="n">
        <v>57.06</v>
      </c>
    </row>
    <row r="9800">
      <c r="A9800" s="544" t="n">
        <v>42928</v>
      </c>
      <c r="B9800" s="538" t="n">
        <v>46.73</v>
      </c>
      <c r="C9800" s="538" t="n">
        <v>45.48</v>
      </c>
      <c r="D9800" s="538" t="n">
        <v>46.33</v>
      </c>
      <c r="E9800" s="538" t="n">
        <v>59.06</v>
      </c>
    </row>
    <row r="9801">
      <c r="A9801" s="544" t="n">
        <v>42929</v>
      </c>
      <c r="B9801" s="538" t="n">
        <v>47.65</v>
      </c>
      <c r="C9801" s="538" t="n">
        <v>46.06</v>
      </c>
      <c r="D9801" s="538" t="n">
        <v>47.12</v>
      </c>
      <c r="E9801" s="538" t="n">
        <v>57.35</v>
      </c>
    </row>
    <row r="9802">
      <c r="A9802" s="544" t="n">
        <v>42930</v>
      </c>
      <c r="B9802" s="538" t="n">
        <v>47.89</v>
      </c>
      <c r="C9802" s="538" t="n">
        <v>46.53</v>
      </c>
      <c r="D9802" s="538" t="n">
        <v>47.63</v>
      </c>
      <c r="E9802" s="538" t="n">
        <v>58.64</v>
      </c>
    </row>
    <row r="9803">
      <c r="A9803" s="544" t="n">
        <v>42933</v>
      </c>
      <c r="B9803" s="538" t="n">
        <v>47.66</v>
      </c>
      <c r="C9803" s="538" t="n">
        <v>46.02</v>
      </c>
      <c r="D9803" s="538" t="n">
        <v>47.12</v>
      </c>
      <c r="E9803" s="538" t="n">
        <v>59.31</v>
      </c>
    </row>
    <row r="9804">
      <c r="A9804" s="544" t="n">
        <v>42934</v>
      </c>
      <c r="B9804" s="538" t="n">
        <v>47.92</v>
      </c>
      <c r="C9804" s="538" t="n">
        <v>46.4</v>
      </c>
      <c r="D9804" s="538" t="n">
        <v>47.4</v>
      </c>
      <c r="E9804" s="538" t="n">
        <v>59.06</v>
      </c>
    </row>
    <row r="9805">
      <c r="A9805" s="544" t="n">
        <v>42935</v>
      </c>
      <c r="B9805" s="538" t="n">
        <v>48.34</v>
      </c>
      <c r="C9805" s="538" t="n">
        <v>47.1</v>
      </c>
      <c r="D9805" s="538" t="n">
        <v>48.35</v>
      </c>
      <c r="E9805" s="538" t="n">
        <v>59.25</v>
      </c>
    </row>
    <row r="9806">
      <c r="A9806" s="544" t="n">
        <v>42936</v>
      </c>
      <c r="B9806" s="538" t="n">
        <v>48.54</v>
      </c>
      <c r="C9806" s="538" t="n">
        <v>46.73</v>
      </c>
      <c r="D9806" s="538" t="n">
        <v>47.98</v>
      </c>
      <c r="E9806" s="538" t="n">
        <v>61.11</v>
      </c>
    </row>
    <row r="9807">
      <c r="A9807" s="544" t="n">
        <v>42937</v>
      </c>
      <c r="B9807" s="538" t="n">
        <v>47.47</v>
      </c>
      <c r="C9807" s="538" t="n">
        <v>45.78</v>
      </c>
      <c r="D9807" s="538" t="n">
        <v>46.78</v>
      </c>
      <c r="E9807" s="538" t="n">
        <v>60.99</v>
      </c>
    </row>
    <row r="9808">
      <c r="A9808" s="544" t="n">
        <v>42940</v>
      </c>
      <c r="B9808" s="538" t="n">
        <v>47.81</v>
      </c>
      <c r="C9808" s="538" t="n">
        <v>46.21</v>
      </c>
      <c r="D9808" s="538" t="n">
        <v>47.28</v>
      </c>
      <c r="E9808" s="538" t="n">
        <v>59.02</v>
      </c>
    </row>
    <row r="9809">
      <c r="A9809" s="544" t="n">
        <v>42941</v>
      </c>
      <c r="B9809" s="538" t="n">
        <v>49.19</v>
      </c>
      <c r="C9809" s="538" t="n">
        <v>47.77</v>
      </c>
      <c r="D9809" s="538" t="n">
        <v>49.34</v>
      </c>
      <c r="E9809" s="538" t="n">
        <v>59.54</v>
      </c>
    </row>
    <row r="9810">
      <c r="A9810" s="544" t="n">
        <v>42942</v>
      </c>
      <c r="B9810" s="538" t="n">
        <v>50.08</v>
      </c>
      <c r="C9810" s="538" t="n">
        <v>48.58</v>
      </c>
      <c r="D9810" s="538" t="n">
        <v>49.37</v>
      </c>
      <c r="E9810" s="538" t="n">
        <v>61.63</v>
      </c>
    </row>
    <row r="9811">
      <c r="A9811" s="544" t="n">
        <v>42943</v>
      </c>
      <c r="B9811" s="538" t="n">
        <v>50.67</v>
      </c>
      <c r="C9811" s="538" t="n">
        <v>49.05</v>
      </c>
      <c r="D9811" s="538" t="n">
        <v>50.01</v>
      </c>
      <c r="E9811" s="538" t="n">
        <v>62.47</v>
      </c>
    </row>
    <row r="9812">
      <c r="A9812" s="544" t="n">
        <v>42944</v>
      </c>
      <c r="B9812" s="538" t="n">
        <v>52</v>
      </c>
      <c r="C9812" s="538" t="n">
        <v>49.72</v>
      </c>
      <c r="D9812" s="538" t="n">
        <v>50.61</v>
      </c>
      <c r="E9812" s="538" t="n">
        <v>62.88</v>
      </c>
    </row>
    <row r="9813">
      <c r="A9813" s="544" t="n">
        <v>42947</v>
      </c>
      <c r="B9813" s="538" t="n">
        <v>51.99</v>
      </c>
      <c r="C9813" s="538" t="n">
        <v>50.21</v>
      </c>
      <c r="D9813" s="538" t="n">
        <v>51.36</v>
      </c>
      <c r="E9813" s="538" t="n">
        <v>64.25</v>
      </c>
    </row>
    <row r="9814">
      <c r="A9814" s="544" t="n">
        <v>42948</v>
      </c>
      <c r="B9814" s="538" t="n">
        <v>50.77</v>
      </c>
      <c r="C9814" s="538" t="n">
        <v>49.19</v>
      </c>
      <c r="D9814" s="538" t="n">
        <v>50.17</v>
      </c>
      <c r="E9814" s="538" t="n">
        <v>65.05</v>
      </c>
    </row>
    <row r="9815">
      <c r="A9815" s="544" t="n">
        <v>42949</v>
      </c>
      <c r="B9815" s="538" t="n">
        <v>52.09</v>
      </c>
      <c r="C9815" s="538" t="n">
        <v>49.6</v>
      </c>
      <c r="D9815" s="538" t="n">
        <v>50.99</v>
      </c>
      <c r="E9815" s="538" t="n">
        <v>63.3</v>
      </c>
    </row>
    <row r="9816">
      <c r="A9816" s="544" t="n">
        <v>42950</v>
      </c>
      <c r="B9816" s="538" t="n">
        <v>52.88</v>
      </c>
      <c r="C9816" s="538" t="n">
        <v>49.03</v>
      </c>
      <c r="D9816" s="538" t="n">
        <v>50.65</v>
      </c>
      <c r="E9816" s="538" t="n">
        <v>63.89</v>
      </c>
    </row>
    <row r="9817">
      <c r="A9817" s="544" t="n">
        <v>42951</v>
      </c>
      <c r="B9817" s="538" t="n">
        <v>52.48</v>
      </c>
      <c r="C9817" s="538" t="n">
        <v>49.57</v>
      </c>
      <c r="D9817" s="538" t="n">
        <v>51.17</v>
      </c>
      <c r="E9817" s="538" t="n">
        <v>62.8</v>
      </c>
    </row>
    <row r="9818">
      <c r="A9818" s="544" t="n">
        <v>42954</v>
      </c>
      <c r="B9818" s="538" t="n">
        <v>51.42</v>
      </c>
      <c r="C9818" s="538" t="n">
        <v>49.37</v>
      </c>
      <c r="D9818" s="538" t="n">
        <v>50.93</v>
      </c>
      <c r="E9818" s="538" t="n">
        <v>63.44</v>
      </c>
    </row>
    <row r="9819">
      <c r="A9819" s="544" t="n">
        <v>42955</v>
      </c>
      <c r="B9819" s="538" t="n">
        <v>52.18</v>
      </c>
      <c r="C9819" s="538" t="n">
        <v>49.07</v>
      </c>
      <c r="D9819" s="538" t="n">
        <v>50.71</v>
      </c>
      <c r="E9819" s="538" t="n">
        <v>63.57</v>
      </c>
    </row>
    <row r="9820">
      <c r="A9820" s="544" t="n">
        <v>42956</v>
      </c>
      <c r="B9820" s="538" t="n">
        <v>52.16</v>
      </c>
      <c r="C9820" s="538" t="n">
        <v>49.59</v>
      </c>
      <c r="D9820" s="538" t="n">
        <v>51.42</v>
      </c>
      <c r="E9820" s="538" t="n">
        <v>63.57</v>
      </c>
    </row>
    <row r="9821">
      <c r="A9821" s="544" t="n">
        <v>42957</v>
      </c>
      <c r="B9821" s="538" t="n">
        <v>52.59</v>
      </c>
      <c r="C9821" s="538" t="n">
        <v>48.54</v>
      </c>
      <c r="D9821" s="538" t="n">
        <v>50.28</v>
      </c>
      <c r="E9821" s="538" t="n">
        <v>64.02</v>
      </c>
    </row>
    <row r="9822">
      <c r="A9822" s="544" t="n">
        <v>42958</v>
      </c>
      <c r="B9822" s="538" t="n">
        <v>51.47</v>
      </c>
      <c r="C9822" s="538" t="n">
        <v>48.81</v>
      </c>
      <c r="D9822" s="538" t="n">
        <v>50.42</v>
      </c>
      <c r="E9822" s="538" t="n">
        <v>62.18</v>
      </c>
    </row>
    <row r="9823">
      <c r="A9823" s="544" t="n">
        <v>42961</v>
      </c>
      <c r="B9823" s="538" t="n">
        <v>51.29</v>
      </c>
      <c r="C9823" s="538" t="n">
        <v>47.59</v>
      </c>
      <c r="D9823" s="538" t="n">
        <v>49.33</v>
      </c>
      <c r="E9823" s="538" t="n">
        <v>63.07</v>
      </c>
    </row>
    <row r="9824">
      <c r="A9824" s="544" t="n">
        <v>42962</v>
      </c>
      <c r="B9824" s="538" t="n">
        <v>49.9</v>
      </c>
      <c r="C9824" s="538" t="n">
        <v>47.57</v>
      </c>
      <c r="D9824" s="538" t="n">
        <v>49.17</v>
      </c>
      <c r="E9824" s="538" t="n">
        <v>62.06</v>
      </c>
    </row>
    <row r="9825">
      <c r="A9825" s="544" t="n">
        <v>42963</v>
      </c>
      <c r="B9825" s="538" t="n">
        <v>50.39</v>
      </c>
      <c r="C9825" s="538" t="n">
        <v>46.8</v>
      </c>
      <c r="D9825" s="538" t="n">
        <v>48.62</v>
      </c>
      <c r="E9825" s="538" t="n">
        <v>62.31</v>
      </c>
    </row>
    <row r="9826">
      <c r="A9826" s="544" t="n">
        <v>42964</v>
      </c>
      <c r="B9826" s="538" t="n">
        <v>50.37</v>
      </c>
      <c r="C9826" s="538" t="n">
        <v>47.07</v>
      </c>
      <c r="D9826" s="538" t="n">
        <v>48.8</v>
      </c>
      <c r="E9826" s="538" t="n">
        <v>60.94</v>
      </c>
    </row>
    <row r="9827">
      <c r="A9827" s="544" t="n">
        <v>42965</v>
      </c>
      <c r="B9827" s="538" t="n">
        <v>50.96</v>
      </c>
      <c r="C9827" s="538" t="n">
        <v>48.59</v>
      </c>
      <c r="D9827" s="538" t="n">
        <v>50.79</v>
      </c>
      <c r="E9827" s="538" t="n">
        <v>61.68</v>
      </c>
    </row>
    <row r="9828">
      <c r="A9828" s="544" t="n">
        <v>42968</v>
      </c>
      <c r="B9828" s="538" t="n">
        <v>51.94</v>
      </c>
      <c r="C9828" s="538" t="n">
        <v>47.39</v>
      </c>
      <c r="D9828" s="538" t="n">
        <v>49.79</v>
      </c>
      <c r="E9828" s="538" t="n">
        <v>63.14</v>
      </c>
    </row>
    <row r="9829">
      <c r="A9829" s="544" t="n">
        <v>42969</v>
      </c>
      <c r="B9829" s="538" t="n">
        <v>52.29</v>
      </c>
      <c r="C9829" s="538" t="n">
        <v>47.65</v>
      </c>
      <c r="D9829" s="538" t="n">
        <v>49.99</v>
      </c>
      <c r="E9829" s="538" t="n">
        <v>61.98</v>
      </c>
    </row>
    <row r="9830">
      <c r="A9830" s="544" t="n">
        <v>42970</v>
      </c>
      <c r="B9830" s="538" t="n">
        <v>52.31</v>
      </c>
      <c r="C9830" s="538" t="n">
        <v>48.45</v>
      </c>
      <c r="D9830" s="538" t="n">
        <v>50.7</v>
      </c>
      <c r="E9830" s="538" t="n">
        <v>61.86</v>
      </c>
    </row>
    <row r="9831">
      <c r="A9831" s="544" t="n">
        <v>42971</v>
      </c>
      <c r="B9831" s="538" t="n">
        <v>51.73</v>
      </c>
      <c r="C9831" s="538" t="n">
        <v>47.24</v>
      </c>
      <c r="D9831" s="538" t="n">
        <v>50.4</v>
      </c>
      <c r="E9831" s="538" t="n">
        <v>63.25</v>
      </c>
    </row>
    <row r="9832">
      <c r="A9832" s="544" t="n">
        <v>42972</v>
      </c>
      <c r="B9832" s="538" t="n">
        <v>51.87</v>
      </c>
      <c r="C9832" s="538" t="n">
        <v>47.65</v>
      </c>
      <c r="D9832" s="538" t="n">
        <v>50.47</v>
      </c>
      <c r="E9832" s="538" t="n">
        <v>63.25</v>
      </c>
    </row>
    <row r="9833">
      <c r="A9833" s="544" t="n">
        <v>42975</v>
      </c>
      <c r="B9833" s="538" t="n">
        <v>51.87</v>
      </c>
      <c r="C9833" s="538" t="n">
        <v>46.4</v>
      </c>
      <c r="D9833" s="538" t="n">
        <v>50.14</v>
      </c>
      <c r="E9833" s="538" t="n">
        <v>63.71</v>
      </c>
    </row>
    <row r="9834">
      <c r="A9834" s="544" t="n">
        <v>42976</v>
      </c>
      <c r="B9834" s="538" t="n">
        <v>51.64</v>
      </c>
      <c r="C9834" s="538" t="n">
        <v>46.46</v>
      </c>
      <c r="D9834" s="538" t="n">
        <v>50.07</v>
      </c>
      <c r="E9834" s="538" t="n">
        <v>63.58</v>
      </c>
    </row>
    <row r="9835">
      <c r="A9835" s="544" t="n">
        <v>42977</v>
      </c>
      <c r="B9835" s="538" t="n">
        <v>51.91</v>
      </c>
      <c r="C9835" s="538" t="n">
        <v>45.96</v>
      </c>
      <c r="D9835" s="538" t="n">
        <v>49.28</v>
      </c>
      <c r="E9835" s="538" t="n">
        <v>64.8</v>
      </c>
    </row>
    <row r="9836">
      <c r="A9836" s="544" t="n">
        <v>42978</v>
      </c>
      <c r="B9836" s="538" t="n">
        <v>52.69</v>
      </c>
      <c r="C9836" s="538" t="n">
        <v>47.26</v>
      </c>
      <c r="D9836" s="538" t="n">
        <v>50.92</v>
      </c>
      <c r="E9836" s="538" t="n">
        <v>64.5</v>
      </c>
    </row>
    <row r="9837">
      <c r="A9837" s="544" t="n">
        <v>42979</v>
      </c>
      <c r="B9837" s="538" t="n">
        <v>53.15</v>
      </c>
      <c r="C9837" s="538" t="n">
        <v>47.32</v>
      </c>
      <c r="D9837" s="538" t="n">
        <v>51.52</v>
      </c>
      <c r="E9837" s="538" t="n">
        <v>64.5</v>
      </c>
    </row>
    <row r="9838">
      <c r="A9838" s="544" t="n">
        <v>42982</v>
      </c>
      <c r="B9838" s="538" t="n">
        <v>52.6</v>
      </c>
      <c r="C9838" s="538" t="n">
        <v>47.32</v>
      </c>
      <c r="D9838" s="538" t="n">
        <v>50.72</v>
      </c>
      <c r="E9838" s="538" t="n">
        <v>65.70999999999999</v>
      </c>
    </row>
    <row r="9839">
      <c r="A9839" s="544" t="n">
        <v>42983</v>
      </c>
      <c r="B9839" s="538" t="n">
        <v>53.63</v>
      </c>
      <c r="C9839" s="538" t="n">
        <v>48.63</v>
      </c>
      <c r="D9839" s="538" t="n">
        <v>51.89</v>
      </c>
      <c r="E9839" s="538" t="n">
        <v>65.83</v>
      </c>
    </row>
    <row r="9840">
      <c r="A9840" s="544" t="n">
        <v>42984</v>
      </c>
      <c r="B9840" s="538" t="n">
        <v>54.48</v>
      </c>
      <c r="C9840" s="538" t="n">
        <v>49.13</v>
      </c>
      <c r="D9840" s="538" t="n">
        <v>52.71</v>
      </c>
      <c r="E9840" s="538" t="n">
        <v>66.72</v>
      </c>
    </row>
    <row r="9841">
      <c r="A9841" s="544" t="n">
        <v>42985</v>
      </c>
      <c r="B9841" s="538" t="n">
        <v>54.16</v>
      </c>
      <c r="C9841" s="538" t="n">
        <v>49.1</v>
      </c>
      <c r="D9841" s="538" t="n">
        <v>52.97</v>
      </c>
      <c r="E9841" s="538" t="n">
        <v>68.02</v>
      </c>
    </row>
    <row r="9842">
      <c r="A9842" s="544" t="n">
        <v>42986</v>
      </c>
      <c r="B9842" s="538" t="n">
        <v>54.55</v>
      </c>
      <c r="C9842" s="538" t="n">
        <v>47.44</v>
      </c>
      <c r="D9842" s="538" t="n">
        <v>52.24</v>
      </c>
      <c r="E9842" s="538" t="n">
        <v>68.65000000000001</v>
      </c>
    </row>
    <row r="9843">
      <c r="A9843" s="544" t="n">
        <v>42989</v>
      </c>
      <c r="B9843" s="538" t="n">
        <v>54.2</v>
      </c>
      <c r="C9843" s="538" t="n">
        <v>48.06</v>
      </c>
      <c r="D9843" s="538" t="n">
        <v>52.33</v>
      </c>
      <c r="E9843" s="538" t="n">
        <v>66.73</v>
      </c>
    </row>
    <row r="9844">
      <c r="A9844" s="544" t="n">
        <v>42990</v>
      </c>
      <c r="B9844" s="538" t="n">
        <v>55.06</v>
      </c>
      <c r="C9844" s="538" t="n">
        <v>48.21</v>
      </c>
      <c r="D9844" s="538" t="n">
        <v>52.67</v>
      </c>
      <c r="E9844" s="538" t="n">
        <v>65.97</v>
      </c>
    </row>
    <row r="9845">
      <c r="A9845" s="544" t="n">
        <v>42991</v>
      </c>
      <c r="B9845" s="538" t="n">
        <v>55.52</v>
      </c>
      <c r="C9845" s="538" t="n">
        <v>49.3</v>
      </c>
      <c r="D9845" s="538" t="n">
        <v>53.5</v>
      </c>
      <c r="E9845" s="538" t="n">
        <v>66.27</v>
      </c>
    </row>
    <row r="9846">
      <c r="A9846" s="544" t="n">
        <v>42992</v>
      </c>
      <c r="B9846" s="538" t="n">
        <v>56.76</v>
      </c>
      <c r="C9846" s="538" t="n">
        <v>49.86</v>
      </c>
      <c r="D9846" s="538" t="n">
        <v>53.81</v>
      </c>
      <c r="E9846" s="538" t="n">
        <v>67.52</v>
      </c>
    </row>
    <row r="9847">
      <c r="A9847" s="544" t="n">
        <v>42993</v>
      </c>
      <c r="B9847" s="538" t="n">
        <v>56.18</v>
      </c>
      <c r="C9847" s="538" t="n">
        <v>49.9</v>
      </c>
      <c r="D9847" s="538" t="n">
        <v>54.04</v>
      </c>
      <c r="E9847" s="538" t="n">
        <v>67.38</v>
      </c>
    </row>
    <row r="9848">
      <c r="A9848" s="544" t="n">
        <v>42996</v>
      </c>
      <c r="B9848" s="538" t="n">
        <v>55.5</v>
      </c>
      <c r="C9848" s="538" t="n">
        <v>49.88</v>
      </c>
      <c r="D9848" s="538" t="n">
        <v>53.98</v>
      </c>
      <c r="E9848" s="538" t="n">
        <v>68.05</v>
      </c>
    </row>
    <row r="9849">
      <c r="A9849" s="544" t="n">
        <v>42997</v>
      </c>
      <c r="B9849" s="538" t="n">
        <v>56.58</v>
      </c>
      <c r="C9849" s="538" t="n">
        <v>49.54</v>
      </c>
      <c r="D9849" s="538" t="n">
        <v>54.07</v>
      </c>
      <c r="E9849" s="538" t="n">
        <v>67.45999999999999</v>
      </c>
    </row>
    <row r="9850">
      <c r="A9850" s="544" t="n">
        <v>42998</v>
      </c>
      <c r="B9850" s="538" t="n">
        <v>57.2</v>
      </c>
      <c r="C9850" s="538" t="n">
        <v>50.29</v>
      </c>
      <c r="D9850" s="538" t="n">
        <v>54.75</v>
      </c>
      <c r="E9850" s="538" t="n">
        <v>68.13</v>
      </c>
    </row>
    <row r="9851">
      <c r="A9851" s="544" t="n">
        <v>42999</v>
      </c>
      <c r="B9851" s="538" t="n">
        <v>57.73</v>
      </c>
      <c r="C9851" s="538" t="n">
        <v>50.58</v>
      </c>
      <c r="D9851" s="538" t="n">
        <v>55.09</v>
      </c>
      <c r="E9851" s="538" t="n">
        <v>68.72</v>
      </c>
    </row>
    <row r="9852">
      <c r="A9852" s="544" t="n">
        <v>43000</v>
      </c>
      <c r="B9852" s="538" t="n">
        <v>58.16</v>
      </c>
      <c r="C9852" s="538" t="n">
        <v>50.33</v>
      </c>
      <c r="D9852" s="538" t="n">
        <v>55.13</v>
      </c>
      <c r="E9852" s="538" t="n">
        <v>69.16</v>
      </c>
    </row>
    <row r="9853">
      <c r="A9853" s="544" t="n">
        <v>43003</v>
      </c>
      <c r="B9853" s="538" t="n">
        <v>59.42</v>
      </c>
      <c r="C9853" s="538" t="n">
        <v>51.85</v>
      </c>
      <c r="D9853" s="538" t="n">
        <v>56.88</v>
      </c>
      <c r="E9853" s="538" t="n">
        <v>68.73999999999999</v>
      </c>
    </row>
    <row r="9854">
      <c r="A9854" s="544" t="n">
        <v>43004</v>
      </c>
      <c r="B9854" s="538" t="n">
        <v>59.77</v>
      </c>
      <c r="C9854" s="538" t="n">
        <v>51.59</v>
      </c>
      <c r="D9854" s="538" t="n">
        <v>56.62</v>
      </c>
      <c r="E9854" s="538" t="n">
        <v>70.56</v>
      </c>
    </row>
    <row r="9855">
      <c r="A9855" s="544" t="n">
        <v>43005</v>
      </c>
      <c r="B9855" s="538" t="n">
        <v>58.74</v>
      </c>
      <c r="C9855" s="538" t="n">
        <v>52.14</v>
      </c>
      <c r="D9855" s="538" t="n">
        <v>55.97</v>
      </c>
      <c r="E9855" s="538" t="n">
        <v>70.81999999999999</v>
      </c>
    </row>
    <row r="9856">
      <c r="A9856" s="544" t="n">
        <v>43006</v>
      </c>
      <c r="B9856" s="538" t="n">
        <v>58.8</v>
      </c>
      <c r="C9856" s="538" t="n">
        <v>51.62</v>
      </c>
      <c r="D9856" s="538" t="n">
        <v>55.67</v>
      </c>
      <c r="E9856" s="538" t="n">
        <v>70.5</v>
      </c>
    </row>
    <row r="9857">
      <c r="A9857" s="544" t="n">
        <v>43007</v>
      </c>
      <c r="B9857" s="538" t="n">
        <v>57.02</v>
      </c>
      <c r="C9857" s="538" t="n">
        <v>51.67</v>
      </c>
      <c r="D9857" s="538" t="n">
        <v>55.77</v>
      </c>
      <c r="E9857" s="538" t="n">
        <v>68.47</v>
      </c>
    </row>
    <row r="9858">
      <c r="A9858" s="544" t="n">
        <v>43010</v>
      </c>
      <c r="B9858" s="538" t="n">
        <v>55.67</v>
      </c>
      <c r="C9858" s="538" t="n">
        <v>50.59</v>
      </c>
      <c r="D9858" s="538" t="n">
        <v>54.62</v>
      </c>
      <c r="E9858" s="538" t="n">
        <v>69.27</v>
      </c>
    </row>
    <row r="9859">
      <c r="A9859" s="544" t="n">
        <v>43011</v>
      </c>
      <c r="B9859" s="538" t="n">
        <v>56.12</v>
      </c>
      <c r="C9859" s="538" t="n">
        <v>50.44</v>
      </c>
      <c r="D9859" s="538" t="n">
        <v>53.83</v>
      </c>
      <c r="E9859" s="538" t="n">
        <v>67.23999999999999</v>
      </c>
    </row>
    <row r="9860">
      <c r="A9860" s="544" t="n">
        <v>43012</v>
      </c>
      <c r="B9860" s="538" t="n">
        <v>56</v>
      </c>
      <c r="C9860" s="538" t="n">
        <v>50</v>
      </c>
      <c r="D9860" s="538" t="n">
        <v>54.04</v>
      </c>
      <c r="E9860" s="538" t="n">
        <v>66.18000000000001</v>
      </c>
    </row>
    <row r="9861">
      <c r="A9861" s="544" t="n">
        <v>43013</v>
      </c>
      <c r="B9861" s="538" t="n">
        <v>57.09</v>
      </c>
      <c r="C9861" s="538" t="n">
        <v>50.79</v>
      </c>
      <c r="D9861" s="538" t="n">
        <v>55.14</v>
      </c>
      <c r="E9861" s="538" t="n">
        <v>67.51000000000001</v>
      </c>
    </row>
    <row r="9862">
      <c r="A9862" s="544" t="n">
        <v>43014</v>
      </c>
      <c r="B9862" s="538" t="n">
        <v>55.5</v>
      </c>
      <c r="C9862" s="538" t="n">
        <v>49.34</v>
      </c>
      <c r="D9862" s="538" t="n">
        <v>53.74</v>
      </c>
      <c r="E9862" s="538" t="n">
        <v>68.28</v>
      </c>
    </row>
    <row r="9863">
      <c r="A9863" s="544" t="n">
        <v>43017</v>
      </c>
      <c r="B9863" s="538" t="n">
        <v>55.29</v>
      </c>
      <c r="C9863" s="538" t="n">
        <v>49.58</v>
      </c>
      <c r="D9863" s="538" t="n">
        <v>53.76</v>
      </c>
      <c r="E9863" s="538" t="n">
        <v>66.13</v>
      </c>
    </row>
    <row r="9864">
      <c r="A9864" s="544" t="n">
        <v>43018</v>
      </c>
      <c r="B9864" s="538" t="n">
        <v>56.62</v>
      </c>
      <c r="C9864" s="538" t="n">
        <v>50.93</v>
      </c>
      <c r="D9864" s="538" t="n">
        <v>54.49</v>
      </c>
      <c r="E9864" s="538" t="n">
        <v>66.18000000000001</v>
      </c>
    </row>
    <row r="9865">
      <c r="A9865" s="544" t="n">
        <v>43019</v>
      </c>
      <c r="B9865" s="538" t="n">
        <v>56.13</v>
      </c>
      <c r="C9865" s="538" t="n">
        <v>51.3</v>
      </c>
      <c r="D9865" s="538" t="n">
        <v>54.84</v>
      </c>
      <c r="E9865" s="538" t="n">
        <v>67.05</v>
      </c>
    </row>
    <row r="9866">
      <c r="A9866" s="544" t="n">
        <v>43020</v>
      </c>
      <c r="B9866" s="538" t="n">
        <v>56.13</v>
      </c>
      <c r="C9866" s="538" t="n">
        <v>50.61</v>
      </c>
      <c r="D9866" s="538" t="n">
        <v>54.66</v>
      </c>
      <c r="E9866" s="538" t="n">
        <v>67.2</v>
      </c>
    </row>
    <row r="9867">
      <c r="A9867" s="544" t="n">
        <v>43021</v>
      </c>
      <c r="B9867" s="538" t="n">
        <v>56.86</v>
      </c>
      <c r="C9867" s="538" t="n">
        <v>51.43</v>
      </c>
      <c r="D9867" s="538" t="n">
        <v>55.29</v>
      </c>
      <c r="E9867" s="538" t="n">
        <v>67.94</v>
      </c>
    </row>
    <row r="9868">
      <c r="A9868" s="544" t="n">
        <v>43024</v>
      </c>
      <c r="B9868" s="538" t="n">
        <v>57.49</v>
      </c>
      <c r="C9868" s="538" t="n">
        <v>51.86</v>
      </c>
      <c r="D9868" s="538" t="n">
        <v>55.86</v>
      </c>
      <c r="E9868" s="538" t="n">
        <v>67.59999999999999</v>
      </c>
    </row>
    <row r="9869">
      <c r="A9869" s="544" t="n">
        <v>43025</v>
      </c>
      <c r="B9869" s="538" t="n">
        <v>57.63</v>
      </c>
      <c r="C9869" s="538" t="n">
        <v>51.87</v>
      </c>
      <c r="D9869" s="538" t="n">
        <v>55.98</v>
      </c>
      <c r="E9869" s="538" t="n">
        <v>69.09999999999999</v>
      </c>
    </row>
    <row r="9870">
      <c r="A9870" s="544" t="n">
        <v>43026</v>
      </c>
      <c r="B9870" s="538" t="n">
        <v>58.05</v>
      </c>
      <c r="C9870" s="538" t="n">
        <v>52.05</v>
      </c>
      <c r="D9870" s="538" t="n">
        <v>56.29</v>
      </c>
      <c r="E9870" s="538" t="n">
        <v>69.09999999999999</v>
      </c>
    </row>
    <row r="9871">
      <c r="A9871" s="544" t="n">
        <v>43027</v>
      </c>
      <c r="B9871" s="538" t="n">
        <v>57.82</v>
      </c>
      <c r="C9871" s="538" t="n">
        <v>51.29</v>
      </c>
      <c r="D9871" s="538" t="n">
        <v>55.46</v>
      </c>
      <c r="E9871" s="538" t="n">
        <v>67.83</v>
      </c>
    </row>
    <row r="9872">
      <c r="A9872" s="544" t="n">
        <v>43028</v>
      </c>
      <c r="B9872" s="538" t="n">
        <v>57.89</v>
      </c>
      <c r="C9872" s="538" t="n">
        <v>51.63</v>
      </c>
      <c r="D9872" s="538" t="n">
        <v>56.05</v>
      </c>
      <c r="E9872" s="538" t="n">
        <v>67.77</v>
      </c>
    </row>
    <row r="9873">
      <c r="A9873" s="544" t="n">
        <v>43031</v>
      </c>
      <c r="B9873" s="538" t="n">
        <v>57.69</v>
      </c>
      <c r="C9873" s="538" t="n">
        <v>51.91</v>
      </c>
      <c r="D9873" s="538" t="n">
        <v>55.47</v>
      </c>
      <c r="E9873" s="538" t="n">
        <v>68.81999999999999</v>
      </c>
    </row>
    <row r="9874">
      <c r="A9874" s="544" t="n">
        <v>43032</v>
      </c>
      <c r="B9874" s="538" t="n">
        <v>57.84</v>
      </c>
      <c r="C9874" s="538" t="n">
        <v>52.32</v>
      </c>
      <c r="D9874" s="538" t="n">
        <v>56.37</v>
      </c>
      <c r="E9874" s="538" t="n">
        <v>67.95999999999999</v>
      </c>
    </row>
    <row r="9875">
      <c r="A9875" s="544" t="n">
        <v>43033</v>
      </c>
      <c r="B9875" s="538" t="n">
        <v>58.45</v>
      </c>
      <c r="C9875" s="538" t="n">
        <v>51.97</v>
      </c>
      <c r="D9875" s="538" t="n">
        <v>56.44</v>
      </c>
      <c r="E9875" s="538" t="n">
        <v>69.66</v>
      </c>
    </row>
    <row r="9876">
      <c r="A9876" s="544" t="n">
        <v>43034</v>
      </c>
      <c r="B9876" s="538" t="n">
        <v>58.75</v>
      </c>
      <c r="C9876" s="538" t="n">
        <v>52.41</v>
      </c>
      <c r="D9876" s="538" t="n">
        <v>57.47</v>
      </c>
      <c r="E9876" s="538" t="n">
        <v>69.16</v>
      </c>
    </row>
    <row r="9877">
      <c r="A9877" s="544" t="n">
        <v>43035</v>
      </c>
      <c r="B9877" s="538" t="n">
        <v>60.15</v>
      </c>
      <c r="C9877" s="538" t="n">
        <v>53.92</v>
      </c>
      <c r="D9877" s="538" t="n">
        <v>58.47</v>
      </c>
      <c r="E9877" s="538" t="n">
        <v>70.37</v>
      </c>
    </row>
    <row r="9878">
      <c r="A9878" s="544" t="n">
        <v>43038</v>
      </c>
      <c r="B9878" s="538" t="n">
        <v>60.65</v>
      </c>
      <c r="C9878" s="538" t="n">
        <v>54.11</v>
      </c>
      <c r="D9878" s="538" t="n">
        <v>58.94</v>
      </c>
      <c r="E9878" s="538" t="n">
        <v>71.48</v>
      </c>
    </row>
    <row r="9879">
      <c r="A9879" s="544" t="n">
        <v>43039</v>
      </c>
      <c r="B9879" s="538" t="n">
        <v>61.35</v>
      </c>
      <c r="C9879" s="538" t="n">
        <v>54.36</v>
      </c>
      <c r="D9879" s="538" t="n">
        <v>59.69</v>
      </c>
      <c r="E9879" s="538" t="n">
        <v>71.33</v>
      </c>
    </row>
    <row r="9880">
      <c r="A9880" s="544" t="n">
        <v>43040</v>
      </c>
      <c r="B9880" s="538" t="n">
        <v>60.98</v>
      </c>
      <c r="C9880" s="538" t="n">
        <v>54.32</v>
      </c>
      <c r="D9880" s="538" t="n">
        <v>58.49</v>
      </c>
      <c r="E9880" s="538" t="n">
        <v>72.31999999999999</v>
      </c>
    </row>
    <row r="9881">
      <c r="A9881" s="544" t="n">
        <v>43041</v>
      </c>
      <c r="B9881" s="538" t="n">
        <v>60.79</v>
      </c>
      <c r="C9881" s="538" t="n">
        <v>54.55</v>
      </c>
      <c r="D9881" s="538" t="n">
        <v>59.05</v>
      </c>
      <c r="E9881" s="538" t="n">
        <v>71.03</v>
      </c>
    </row>
    <row r="9882">
      <c r="A9882" s="544" t="n">
        <v>43042</v>
      </c>
      <c r="B9882" s="538" t="n">
        <v>61.42</v>
      </c>
      <c r="C9882" s="538" t="n">
        <v>55.63</v>
      </c>
      <c r="D9882" s="538" t="n">
        <v>60.11</v>
      </c>
      <c r="E9882" s="538" t="n">
        <v>71.06999999999999</v>
      </c>
    </row>
    <row r="9883">
      <c r="A9883" s="544" t="n">
        <v>43045</v>
      </c>
      <c r="B9883" s="538" t="n">
        <v>64.27</v>
      </c>
      <c r="C9883" s="538" t="n">
        <v>57.34</v>
      </c>
      <c r="D9883" s="538" t="n">
        <v>61.9</v>
      </c>
      <c r="E9883" s="538" t="n">
        <v>73.36</v>
      </c>
    </row>
    <row r="9884">
      <c r="A9884" s="544" t="n">
        <v>43046</v>
      </c>
      <c r="B9884" s="538" t="n">
        <v>64.36</v>
      </c>
      <c r="C9884" s="538" t="n">
        <v>57.19</v>
      </c>
      <c r="D9884" s="538" t="n">
        <v>61.41</v>
      </c>
      <c r="E9884" s="538" t="n">
        <v>75.23999999999999</v>
      </c>
    </row>
    <row r="9885">
      <c r="A9885" s="544" t="n">
        <v>43047</v>
      </c>
      <c r="B9885" s="538" t="n">
        <v>63.96</v>
      </c>
      <c r="C9885" s="538" t="n">
        <v>56.82</v>
      </c>
      <c r="D9885" s="538" t="n">
        <v>61.36</v>
      </c>
      <c r="E9885" s="538" t="n">
        <v>74.48</v>
      </c>
    </row>
    <row r="9886">
      <c r="A9886" s="544" t="n">
        <v>43048</v>
      </c>
      <c r="B9886" s="538" t="n">
        <v>64.48999999999999</v>
      </c>
      <c r="C9886" s="538" t="n">
        <v>57.16</v>
      </c>
      <c r="D9886" s="538" t="n">
        <v>61.68</v>
      </c>
      <c r="E9886" s="538" t="n">
        <v>74.45999999999999</v>
      </c>
    </row>
    <row r="9887">
      <c r="A9887" s="544" t="n">
        <v>43049</v>
      </c>
      <c r="B9887" s="538" t="n">
        <v>64.34999999999999</v>
      </c>
      <c r="C9887" s="538" t="n">
        <v>56.75</v>
      </c>
      <c r="D9887" s="538" t="n">
        <v>61.51</v>
      </c>
      <c r="E9887" s="538" t="n">
        <v>75.08</v>
      </c>
    </row>
    <row r="9888">
      <c r="A9888" s="544" t="n">
        <v>43052</v>
      </c>
      <c r="B9888" s="538" t="n">
        <v>62.94</v>
      </c>
      <c r="C9888" s="538" t="n">
        <v>56.77</v>
      </c>
      <c r="D9888" s="538" t="n">
        <v>61.19</v>
      </c>
      <c r="E9888" s="538" t="n">
        <v>74.63</v>
      </c>
    </row>
    <row r="9889">
      <c r="A9889" s="544" t="n">
        <v>43053</v>
      </c>
      <c r="B9889" s="538" t="n">
        <v>60.91</v>
      </c>
      <c r="C9889" s="538" t="n">
        <v>55.67</v>
      </c>
      <c r="D9889" s="538" t="n">
        <v>59.58</v>
      </c>
      <c r="E9889" s="538" t="n">
        <v>74.39</v>
      </c>
    </row>
    <row r="9890">
      <c r="A9890" s="544" t="n">
        <v>43054</v>
      </c>
      <c r="B9890" s="538" t="n">
        <v>61.25</v>
      </c>
      <c r="C9890" s="538" t="n">
        <v>55.28</v>
      </c>
      <c r="D9890" s="538" t="n">
        <v>59.86</v>
      </c>
      <c r="E9890" s="538" t="n">
        <v>73.31</v>
      </c>
    </row>
    <row r="9891">
      <c r="A9891" s="544" t="n">
        <v>43055</v>
      </c>
      <c r="B9891" s="538" t="n">
        <v>61.18</v>
      </c>
      <c r="C9891" s="538" t="n">
        <v>55.14</v>
      </c>
      <c r="D9891" s="538" t="n">
        <v>59.44</v>
      </c>
      <c r="E9891" s="538" t="n">
        <v>73.84</v>
      </c>
    </row>
    <row r="9892">
      <c r="A9892" s="544" t="n">
        <v>43056</v>
      </c>
      <c r="B9892" s="538" t="n">
        <v>61.34</v>
      </c>
      <c r="C9892" s="538" t="n">
        <v>56.21</v>
      </c>
      <c r="D9892" s="538" t="n">
        <v>60.64</v>
      </c>
      <c r="E9892" s="538" t="n">
        <v>73.16</v>
      </c>
    </row>
    <row r="9893">
      <c r="A9893" s="544" t="n">
        <v>43059</v>
      </c>
      <c r="B9893" s="538" t="n">
        <v>61.34</v>
      </c>
      <c r="C9893" s="538" t="n">
        <v>56.21</v>
      </c>
      <c r="D9893" s="538" t="n">
        <v>60.12</v>
      </c>
      <c r="E9893" s="538" t="n">
        <v>74.5</v>
      </c>
    </row>
    <row r="9894">
      <c r="A9894" s="544" t="n">
        <v>43060</v>
      </c>
      <c r="B9894" s="538" t="n">
        <v>62.28</v>
      </c>
      <c r="C9894" s="538" t="n">
        <v>56.84</v>
      </c>
      <c r="D9894" s="538" t="n">
        <v>60.44</v>
      </c>
      <c r="E9894" s="538" t="n">
        <v>74.55</v>
      </c>
    </row>
    <row r="9895">
      <c r="A9895" s="544" t="n">
        <v>43061</v>
      </c>
      <c r="B9895" s="538" t="n">
        <v>62.92</v>
      </c>
      <c r="C9895" s="538" t="n">
        <v>57.88</v>
      </c>
      <c r="D9895" s="538" t="n">
        <v>60.84</v>
      </c>
      <c r="E9895" s="538" t="n">
        <v>75.17</v>
      </c>
    </row>
    <row r="9896">
      <c r="A9896" s="544" t="n">
        <v>43062</v>
      </c>
      <c r="B9896" s="538" t="n">
        <v>63.27</v>
      </c>
      <c r="C9896" s="538" t="n">
        <v>57.88</v>
      </c>
      <c r="D9896" s="538" t="n">
        <v>60.85</v>
      </c>
      <c r="E9896" s="538" t="n">
        <v>74.67</v>
      </c>
    </row>
    <row r="9897">
      <c r="A9897" s="544" t="n">
        <v>43063</v>
      </c>
      <c r="B9897" s="538" t="n">
        <v>63.58</v>
      </c>
      <c r="C9897" s="538" t="n">
        <v>58.94</v>
      </c>
      <c r="D9897" s="538" t="n">
        <v>61.21</v>
      </c>
      <c r="E9897" s="538" t="n">
        <v>75.45</v>
      </c>
    </row>
    <row r="9898">
      <c r="A9898" s="544" t="n">
        <v>43066</v>
      </c>
      <c r="B9898" s="538" t="n">
        <v>63.25</v>
      </c>
      <c r="C9898" s="538" t="n">
        <v>58.1</v>
      </c>
      <c r="D9898" s="538" t="n">
        <v>60.81</v>
      </c>
      <c r="E9898" s="538" t="n">
        <v>74.86</v>
      </c>
    </row>
    <row r="9899">
      <c r="A9899" s="544" t="n">
        <v>43067</v>
      </c>
      <c r="B9899" s="538" t="n">
        <v>63.56</v>
      </c>
      <c r="C9899" s="538" t="n">
        <v>57.96</v>
      </c>
      <c r="D9899" s="538" t="n">
        <v>60.46</v>
      </c>
      <c r="E9899" s="538" t="n">
        <v>74.97</v>
      </c>
    </row>
    <row r="9900">
      <c r="A9900" s="544" t="n">
        <v>43068</v>
      </c>
      <c r="B9900" s="538" t="n">
        <v>63.74</v>
      </c>
      <c r="C9900" s="538" t="n">
        <v>57.25</v>
      </c>
      <c r="D9900" s="538" t="n">
        <v>60.31</v>
      </c>
      <c r="E9900" s="538" t="n">
        <v>74.86</v>
      </c>
    </row>
    <row r="9901">
      <c r="A9901" s="544" t="n">
        <v>43069</v>
      </c>
      <c r="B9901" s="538" t="n">
        <v>63.53</v>
      </c>
      <c r="C9901" s="538" t="n">
        <v>57.4</v>
      </c>
      <c r="D9901" s="538" t="n">
        <v>60.08</v>
      </c>
      <c r="E9901" s="538" t="n">
        <v>73.90000000000001</v>
      </c>
    </row>
    <row r="9902">
      <c r="A9902" s="544" t="n">
        <v>43070</v>
      </c>
      <c r="B9902" s="538" t="n">
        <v>64.56999999999999</v>
      </c>
      <c r="C9902" s="538" t="n">
        <v>58.35</v>
      </c>
      <c r="D9902" s="538" t="n">
        <v>61.06</v>
      </c>
      <c r="E9902" s="538" t="n">
        <v>73.95</v>
      </c>
    </row>
    <row r="9903">
      <c r="A9903" s="544" t="n">
        <v>43073</v>
      </c>
      <c r="B9903" s="538" t="n">
        <v>63.45</v>
      </c>
      <c r="C9903" s="538" t="n">
        <v>57.48</v>
      </c>
      <c r="D9903" s="538" t="n">
        <v>59.84</v>
      </c>
      <c r="E9903" s="538" t="n">
        <v>74.52</v>
      </c>
    </row>
    <row r="9904">
      <c r="A9904" s="544" t="n">
        <v>43074</v>
      </c>
      <c r="B9904" s="538" t="n">
        <v>63.45</v>
      </c>
      <c r="C9904" s="538" t="n">
        <v>57.66</v>
      </c>
      <c r="D9904" s="538" t="n">
        <v>60.08</v>
      </c>
      <c r="E9904" s="538" t="n">
        <v>73.17</v>
      </c>
    </row>
    <row r="9905">
      <c r="A9905" s="544" t="n">
        <v>43075</v>
      </c>
      <c r="B9905" s="538" t="n">
        <v>62.25</v>
      </c>
      <c r="C9905" s="538" t="n">
        <v>55.79</v>
      </c>
      <c r="D9905" s="538" t="n">
        <v>59.14</v>
      </c>
      <c r="E9905" s="538" t="n">
        <v>74</v>
      </c>
    </row>
    <row r="9906">
      <c r="A9906" s="544" t="n">
        <v>43076</v>
      </c>
      <c r="B9906" s="538" t="n">
        <v>62.37</v>
      </c>
      <c r="C9906" s="538" t="n">
        <v>56.5</v>
      </c>
      <c r="D9906" s="538" t="n">
        <v>59.63</v>
      </c>
      <c r="E9906" s="538" t="n">
        <v>72.52</v>
      </c>
    </row>
    <row r="9907">
      <c r="A9907" s="544" t="n">
        <v>43077</v>
      </c>
      <c r="B9907" s="538" t="n">
        <v>63.86</v>
      </c>
      <c r="C9907" s="538" t="n">
        <v>57.15</v>
      </c>
      <c r="D9907" s="538" t="n">
        <v>60.85</v>
      </c>
      <c r="E9907" s="538" t="n">
        <v>74</v>
      </c>
    </row>
    <row r="9908">
      <c r="A9908" s="544" t="n">
        <v>43080</v>
      </c>
      <c r="B9908" s="538" t="n">
        <v>65.62</v>
      </c>
      <c r="C9908" s="538" t="n">
        <v>57.84</v>
      </c>
      <c r="D9908" s="538" t="n">
        <v>61.42</v>
      </c>
      <c r="E9908" s="538" t="n">
        <v>74.86</v>
      </c>
    </row>
    <row r="9909">
      <c r="A9909" s="544" t="n">
        <v>43081</v>
      </c>
      <c r="B9909" s="538" t="n">
        <v>64.95999999999999</v>
      </c>
      <c r="C9909" s="538" t="n">
        <v>57.12</v>
      </c>
      <c r="D9909" s="538" t="n">
        <v>60.46</v>
      </c>
      <c r="E9909" s="538" t="n">
        <v>76.72</v>
      </c>
    </row>
    <row r="9910">
      <c r="A9910" s="544" t="n">
        <v>43082</v>
      </c>
      <c r="B9910" s="538" t="n">
        <v>63.66</v>
      </c>
      <c r="C9910" s="538" t="n">
        <v>56.59</v>
      </c>
      <c r="D9910" s="538" t="n">
        <v>59.89</v>
      </c>
      <c r="E9910" s="538" t="n">
        <v>75.69</v>
      </c>
    </row>
    <row r="9911">
      <c r="A9911" s="544" t="n">
        <v>43083</v>
      </c>
      <c r="B9911" s="538" t="n">
        <v>63.72</v>
      </c>
      <c r="C9911" s="538" t="n">
        <v>57</v>
      </c>
      <c r="D9911" s="538" t="n">
        <v>60.48</v>
      </c>
      <c r="E9911" s="538" t="n">
        <v>74.09</v>
      </c>
    </row>
    <row r="9912">
      <c r="A9912" s="544" t="n">
        <v>43084</v>
      </c>
      <c r="B9912" s="538" t="n">
        <v>63.81</v>
      </c>
      <c r="C9912" s="538" t="n">
        <v>57.29</v>
      </c>
      <c r="D9912" s="538" t="n">
        <v>60.41</v>
      </c>
      <c r="E9912" s="538" t="n">
        <v>74.53</v>
      </c>
    </row>
    <row r="9913">
      <c r="A9913" s="544" t="n">
        <v>43087</v>
      </c>
      <c r="B9913" s="538" t="n">
        <v>64.45</v>
      </c>
      <c r="C9913" s="538" t="n">
        <v>57.17</v>
      </c>
      <c r="D9913" s="538" t="n">
        <v>60.89</v>
      </c>
      <c r="E9913" s="538" t="n">
        <v>74.75</v>
      </c>
    </row>
    <row r="9914">
      <c r="A9914" s="544" t="n">
        <v>43088</v>
      </c>
      <c r="B9914" s="538" t="n">
        <v>63.69</v>
      </c>
      <c r="C9914" s="538" t="n">
        <v>57.49</v>
      </c>
      <c r="D9914" s="538" t="n">
        <v>61.26</v>
      </c>
      <c r="E9914" s="538" t="n">
        <v>75.3</v>
      </c>
    </row>
    <row r="9915">
      <c r="A9915" s="544" t="n">
        <v>43089</v>
      </c>
      <c r="B9915" s="538" t="n">
        <v>64.43000000000001</v>
      </c>
      <c r="C9915" s="538" t="n">
        <v>58.09</v>
      </c>
      <c r="D9915" s="538" t="n">
        <v>61.8</v>
      </c>
      <c r="E9915" s="538" t="n">
        <v>75.81999999999999</v>
      </c>
    </row>
    <row r="9916">
      <c r="A9916" s="544" t="n">
        <v>43090</v>
      </c>
      <c r="B9916" s="538" t="n">
        <v>64.64</v>
      </c>
      <c r="C9916" s="538" t="n">
        <v>58.34</v>
      </c>
      <c r="D9916" s="538" t="n">
        <v>61.94</v>
      </c>
      <c r="E9916" s="538" t="n">
        <v>76.81</v>
      </c>
    </row>
    <row r="9917">
      <c r="A9917" s="544" t="n">
        <v>43091</v>
      </c>
      <c r="B9917" s="538" t="n">
        <v>64.61</v>
      </c>
      <c r="C9917" s="538" t="n">
        <v>58.25</v>
      </c>
      <c r="D9917" s="538" t="n">
        <v>62.38</v>
      </c>
      <c r="E9917" s="538" t="n">
        <v>76.18000000000001</v>
      </c>
    </row>
    <row r="9918">
      <c r="A9918" s="544" t="n">
        <v>43094</v>
      </c>
      <c r="B9918" s="538" t="n">
        <v>64.61</v>
      </c>
      <c r="C9918" s="538" t="n">
        <v>58.25</v>
      </c>
      <c r="D9918" s="538" t="n">
        <v>62.5</v>
      </c>
      <c r="E9918" s="538" t="n">
        <v>76.18000000000001</v>
      </c>
    </row>
    <row r="9919">
      <c r="A9919" s="544" t="n">
        <v>43095</v>
      </c>
      <c r="B9919" s="538" t="n">
        <v>64.61</v>
      </c>
      <c r="C9919" s="538" t="n">
        <v>59.55</v>
      </c>
      <c r="D9919" s="538" t="n">
        <v>64.09</v>
      </c>
      <c r="E9919" s="538" t="n">
        <v>77.13</v>
      </c>
    </row>
    <row r="9920">
      <c r="A9920" s="544" t="n">
        <v>43096</v>
      </c>
      <c r="B9920" s="538" t="n">
        <v>66.03</v>
      </c>
      <c r="C9920" s="538" t="n">
        <v>59.67</v>
      </c>
      <c r="D9920" s="538" t="n">
        <v>63.5</v>
      </c>
      <c r="E9920" s="538" t="n">
        <v>79.45999999999999</v>
      </c>
    </row>
    <row r="9921">
      <c r="A9921" s="544" t="n">
        <v>43097</v>
      </c>
      <c r="B9921" s="538" t="n">
        <v>66.8</v>
      </c>
      <c r="C9921" s="538" t="n">
        <v>59.84</v>
      </c>
      <c r="D9921" s="538" t="n">
        <v>64.17</v>
      </c>
      <c r="E9921" s="538" t="n">
        <v>79.23</v>
      </c>
    </row>
    <row r="9922">
      <c r="A9922" s="544" t="n">
        <v>43098</v>
      </c>
      <c r="B9922" s="538" t="n">
        <v>66.73</v>
      </c>
      <c r="C9922" s="538" t="n">
        <v>60.46</v>
      </c>
      <c r="D9922" s="538" t="n">
        <v>64.45999999999999</v>
      </c>
      <c r="E9922" s="538" t="n">
        <v>79.37</v>
      </c>
    </row>
    <row r="9923">
      <c r="A9923" s="544" t="n">
        <v>43101</v>
      </c>
      <c r="B9923" s="538" t="n">
        <v>66.73</v>
      </c>
      <c r="C9923" s="538" t="n">
        <v>60.46</v>
      </c>
      <c r="D9923" s="538" t="n">
        <v>63.89</v>
      </c>
      <c r="E9923" s="538" t="n">
        <v>79.37</v>
      </c>
    </row>
    <row r="9924">
      <c r="A9924" s="544" t="n">
        <v>43102</v>
      </c>
      <c r="B9924" s="538" t="n">
        <v>66.65000000000001</v>
      </c>
      <c r="C9924" s="538" t="n">
        <v>60.37</v>
      </c>
      <c r="D9924" s="538" t="n">
        <v>63.99</v>
      </c>
      <c r="E9924" s="538" t="n">
        <v>79.28</v>
      </c>
    </row>
    <row r="9925">
      <c r="A9925" s="544" t="n">
        <v>43103</v>
      </c>
      <c r="B9925" s="538" t="n">
        <v>67.84999999999999</v>
      </c>
      <c r="C9925" s="538" t="n">
        <v>61.61</v>
      </c>
      <c r="D9925" s="538" t="n">
        <v>65.17</v>
      </c>
      <c r="E9925" s="538" t="n">
        <v>78.84</v>
      </c>
    </row>
    <row r="9926">
      <c r="A9926" s="544" t="n">
        <v>43104</v>
      </c>
      <c r="B9926" s="538" t="n">
        <v>68.73</v>
      </c>
      <c r="C9926" s="538" t="n">
        <v>61.98</v>
      </c>
      <c r="D9926" s="538" t="n">
        <v>65.17</v>
      </c>
      <c r="E9926" s="538" t="n">
        <v>79.31999999999999</v>
      </c>
    </row>
    <row r="9927">
      <c r="A9927" s="544" t="n">
        <v>43105</v>
      </c>
      <c r="B9927" s="538" t="n">
        <v>68.01000000000001</v>
      </c>
      <c r="C9927" s="538" t="n">
        <v>61.49</v>
      </c>
      <c r="D9927" s="538" t="n">
        <v>64.83</v>
      </c>
      <c r="E9927" s="538" t="n">
        <v>79.58</v>
      </c>
    </row>
    <row r="9928">
      <c r="A9928" s="544" t="n">
        <v>43108</v>
      </c>
      <c r="B9928" s="538" t="n">
        <v>68.48</v>
      </c>
      <c r="C9928" s="538" t="n">
        <v>61.73</v>
      </c>
      <c r="D9928" s="538" t="n">
        <v>65.31</v>
      </c>
      <c r="E9928" s="538" t="n">
        <v>79.20999999999999</v>
      </c>
    </row>
    <row r="9929">
      <c r="A9929" s="544" t="n">
        <v>43109</v>
      </c>
      <c r="B9929" s="538" t="n">
        <v>69.08</v>
      </c>
      <c r="C9929" s="538" t="n">
        <v>62.92</v>
      </c>
      <c r="D9929" s="538" t="n">
        <v>66.42</v>
      </c>
      <c r="E9929" s="538" t="n">
        <v>79.38</v>
      </c>
    </row>
    <row r="9930">
      <c r="A9930" s="544" t="n">
        <v>43110</v>
      </c>
      <c r="B9930" s="538" t="n">
        <v>69.79000000000001</v>
      </c>
      <c r="C9930" s="538" t="n">
        <v>63.6</v>
      </c>
      <c r="D9930" s="538" t="n">
        <v>66.09999999999999</v>
      </c>
      <c r="E9930" s="538" t="n">
        <v>80.61</v>
      </c>
    </row>
    <row r="9931">
      <c r="A9931" s="544" t="n">
        <v>43111</v>
      </c>
      <c r="B9931" s="538" t="n">
        <v>70.36</v>
      </c>
      <c r="C9931" s="538" t="n">
        <v>63.81</v>
      </c>
      <c r="D9931" s="538" t="n">
        <v>66.06</v>
      </c>
      <c r="E9931" s="538" t="n">
        <v>80.79000000000001</v>
      </c>
    </row>
    <row r="9932">
      <c r="A9932" s="544" t="n">
        <v>43112</v>
      </c>
      <c r="B9932" s="538" t="n">
        <v>69.64</v>
      </c>
      <c r="C9932" s="538" t="n">
        <v>64.22</v>
      </c>
      <c r="D9932" s="538" t="n">
        <v>66.7</v>
      </c>
      <c r="E9932" s="538" t="n">
        <v>80.98999999999999</v>
      </c>
    </row>
    <row r="9933">
      <c r="A9933" s="544" t="n">
        <v>43115</v>
      </c>
      <c r="B9933" s="538" t="n">
        <v>70.31</v>
      </c>
      <c r="C9933" s="538" t="n">
        <v>64.22</v>
      </c>
      <c r="D9933" s="538" t="n">
        <v>66.97</v>
      </c>
      <c r="E9933" s="538" t="n">
        <v>81.72</v>
      </c>
    </row>
    <row r="9934">
      <c r="A9934" s="544" t="n">
        <v>43116</v>
      </c>
      <c r="B9934" s="538" t="n">
        <v>69.40000000000001</v>
      </c>
      <c r="C9934" s="538" t="n">
        <v>63.82</v>
      </c>
      <c r="D9934" s="538" t="n">
        <v>66.23999999999999</v>
      </c>
      <c r="E9934" s="538" t="n">
        <v>81.92</v>
      </c>
    </row>
    <row r="9935">
      <c r="A9935" s="544" t="n">
        <v>43117</v>
      </c>
      <c r="B9935" s="538" t="n">
        <v>69.19</v>
      </c>
      <c r="C9935" s="538" t="n">
        <v>63.92</v>
      </c>
      <c r="D9935" s="538" t="n">
        <v>66.45999999999999</v>
      </c>
      <c r="E9935" s="538" t="n">
        <v>81.22</v>
      </c>
    </row>
    <row r="9936">
      <c r="A9936" s="544" t="n">
        <v>43118</v>
      </c>
      <c r="B9936" s="538" t="n">
        <v>69.48</v>
      </c>
      <c r="C9936" s="538" t="n">
        <v>63.96</v>
      </c>
      <c r="D9936" s="538" t="n">
        <v>65.94</v>
      </c>
      <c r="E9936" s="538" t="n">
        <v>80.75</v>
      </c>
    </row>
    <row r="9937">
      <c r="A9937" s="544" t="n">
        <v>43119</v>
      </c>
      <c r="B9937" s="538" t="n">
        <v>68.56</v>
      </c>
      <c r="C9937" s="538" t="n">
        <v>63.38</v>
      </c>
      <c r="D9937" s="538" t="n">
        <v>65.7</v>
      </c>
      <c r="E9937" s="538" t="n">
        <v>80.13</v>
      </c>
    </row>
    <row r="9938">
      <c r="A9938" s="544" t="n">
        <v>43122</v>
      </c>
      <c r="B9938" s="538" t="n">
        <v>69.31999999999999</v>
      </c>
      <c r="C9938" s="538" t="n">
        <v>63.66</v>
      </c>
      <c r="D9938" s="538" t="n">
        <v>66.36</v>
      </c>
      <c r="E9938" s="538" t="n">
        <v>80.42</v>
      </c>
    </row>
    <row r="9939">
      <c r="A9939" s="544" t="n">
        <v>43123</v>
      </c>
      <c r="B9939" s="538" t="n">
        <v>69.81</v>
      </c>
      <c r="C9939" s="538" t="n">
        <v>64.45</v>
      </c>
      <c r="D9939" s="538" t="n">
        <v>66.86</v>
      </c>
      <c r="E9939" s="538" t="n">
        <v>80.95</v>
      </c>
    </row>
    <row r="9940">
      <c r="A9940" s="544" t="n">
        <v>43124</v>
      </c>
      <c r="B9940" s="538" t="n">
        <v>69.91</v>
      </c>
      <c r="C9940" s="538" t="n">
        <v>65.69</v>
      </c>
      <c r="D9940" s="538" t="n">
        <v>67.5</v>
      </c>
      <c r="E9940" s="538" t="n">
        <v>81.77</v>
      </c>
    </row>
    <row r="9941">
      <c r="A9941" s="544" t="n">
        <v>43125</v>
      </c>
      <c r="B9941" s="538" t="n">
        <v>71.08</v>
      </c>
      <c r="C9941" s="538" t="n">
        <v>65.62</v>
      </c>
      <c r="D9941" s="538" t="n">
        <v>67.02</v>
      </c>
      <c r="E9941" s="538" t="n">
        <v>83.26000000000001</v>
      </c>
    </row>
    <row r="9942">
      <c r="A9942" s="544" t="n">
        <v>43126</v>
      </c>
      <c r="B9942" s="538" t="n">
        <v>70.08</v>
      </c>
      <c r="C9942" s="538" t="n">
        <v>66.27</v>
      </c>
      <c r="D9942" s="538" t="n">
        <v>67.43000000000001</v>
      </c>
      <c r="E9942" s="538" t="n">
        <v>82.97</v>
      </c>
    </row>
    <row r="9943">
      <c r="A9943" s="544" t="n">
        <v>43129</v>
      </c>
      <c r="B9943" s="538" t="n">
        <v>68.41</v>
      </c>
      <c r="C9943" s="538" t="n">
        <v>65.70999999999999</v>
      </c>
      <c r="D9943" s="538" t="n">
        <v>66.53</v>
      </c>
      <c r="E9943" s="538" t="n">
        <v>83.56999999999999</v>
      </c>
    </row>
    <row r="9944">
      <c r="A9944" s="544" t="n">
        <v>43130</v>
      </c>
      <c r="B9944" s="538" t="n">
        <v>67.78</v>
      </c>
      <c r="C9944" s="538" t="n">
        <v>64.64</v>
      </c>
      <c r="D9944" s="538" t="n">
        <v>65.3</v>
      </c>
      <c r="E9944" s="538" t="n">
        <v>81.95999999999999</v>
      </c>
    </row>
    <row r="9945">
      <c r="A9945" s="544" t="n">
        <v>43131</v>
      </c>
      <c r="B9945" s="538" t="n">
        <v>67.78</v>
      </c>
      <c r="C9945" s="538" t="n">
        <v>64.81999999999999</v>
      </c>
      <c r="D9945" s="538" t="n">
        <v>66.2</v>
      </c>
      <c r="E9945" s="538" t="n">
        <v>81.64</v>
      </c>
    </row>
    <row r="9946">
      <c r="A9946" s="544" t="n">
        <v>43132</v>
      </c>
      <c r="B9946" s="538" t="n">
        <v>68.59999999999999</v>
      </c>
      <c r="C9946" s="538" t="n">
        <v>65.92</v>
      </c>
      <c r="D9946" s="538" t="n">
        <v>67.08</v>
      </c>
      <c r="E9946" s="538" t="n">
        <v>82.77</v>
      </c>
    </row>
    <row r="9947">
      <c r="A9947" s="544" t="n">
        <v>43133</v>
      </c>
      <c r="B9947" s="538" t="n">
        <v>67.45</v>
      </c>
      <c r="C9947" s="538" t="n">
        <v>65.5</v>
      </c>
      <c r="D9947" s="538" t="n">
        <v>65.75</v>
      </c>
      <c r="E9947" s="538" t="n">
        <v>84.39</v>
      </c>
    </row>
    <row r="9948">
      <c r="A9948" s="544" t="n">
        <v>43136</v>
      </c>
      <c r="B9948" s="538" t="n">
        <v>67.69</v>
      </c>
      <c r="C9948" s="538" t="n">
        <v>64.18000000000001</v>
      </c>
      <c r="D9948" s="538" t="n">
        <v>64.20999999999999</v>
      </c>
      <c r="E9948" s="538" t="n">
        <v>82.06999999999999</v>
      </c>
    </row>
    <row r="9949">
      <c r="A9949" s="544" t="n">
        <v>43137</v>
      </c>
      <c r="B9949" s="538" t="n">
        <v>66.75</v>
      </c>
      <c r="C9949" s="538" t="n">
        <v>63.48</v>
      </c>
      <c r="D9949" s="538" t="n">
        <v>64.38</v>
      </c>
      <c r="E9949" s="538" t="n">
        <v>81.44</v>
      </c>
    </row>
    <row r="9950">
      <c r="A9950" s="544" t="n">
        <v>43138</v>
      </c>
      <c r="B9950" s="538" t="n">
        <v>65.73999999999999</v>
      </c>
      <c r="C9950" s="538" t="n">
        <v>61.91</v>
      </c>
      <c r="D9950" s="538" t="n">
        <v>62.28</v>
      </c>
      <c r="E9950" s="538" t="n">
        <v>81.70999999999999</v>
      </c>
    </row>
    <row r="9951">
      <c r="A9951" s="544" t="n">
        <v>43139</v>
      </c>
      <c r="B9951" s="538" t="n">
        <v>64.26000000000001</v>
      </c>
      <c r="C9951" s="538" t="n">
        <v>61.3</v>
      </c>
      <c r="D9951" s="538" t="n">
        <v>61.21</v>
      </c>
      <c r="E9951" s="538" t="n">
        <v>78.95999999999999</v>
      </c>
    </row>
    <row r="9952">
      <c r="A9952" s="544" t="n">
        <v>43140</v>
      </c>
      <c r="B9952" s="538" t="n">
        <v>63.04</v>
      </c>
      <c r="C9952" s="538" t="n">
        <v>59.2</v>
      </c>
      <c r="D9952" s="538" t="n">
        <v>59.5</v>
      </c>
      <c r="E9952" s="538" t="n">
        <v>77.64</v>
      </c>
    </row>
    <row r="9953">
      <c r="A9953" s="544" t="n">
        <v>43143</v>
      </c>
      <c r="B9953" s="538" t="n">
        <v>62.2</v>
      </c>
      <c r="C9953" s="538" t="n">
        <v>59.41</v>
      </c>
      <c r="D9953" s="538" t="n">
        <v>59.59</v>
      </c>
      <c r="E9953" s="538" t="n">
        <v>76.48999999999999</v>
      </c>
    </row>
    <row r="9954">
      <c r="A9954" s="544" t="n">
        <v>43144</v>
      </c>
      <c r="B9954" s="538" t="n">
        <v>61.94</v>
      </c>
      <c r="C9954" s="538" t="n">
        <v>59.33</v>
      </c>
      <c r="D9954" s="538" t="n">
        <v>59.33</v>
      </c>
      <c r="E9954" s="538" t="n">
        <v>76.23999999999999</v>
      </c>
    </row>
    <row r="9955">
      <c r="A9955" s="544" t="n">
        <v>43145</v>
      </c>
      <c r="B9955" s="538" t="n">
        <v>62.29</v>
      </c>
      <c r="C9955" s="538" t="n">
        <v>60.7</v>
      </c>
      <c r="D9955" s="538" t="n">
        <v>61.43</v>
      </c>
      <c r="E9955" s="538" t="n">
        <v>75.40000000000001</v>
      </c>
    </row>
    <row r="9956">
      <c r="A9956" s="544" t="n">
        <v>43146</v>
      </c>
      <c r="B9956" s="538" t="n">
        <v>62.86</v>
      </c>
      <c r="C9956" s="538" t="n">
        <v>61.48</v>
      </c>
      <c r="D9956" s="538" t="n">
        <v>61.3</v>
      </c>
      <c r="E9956" s="538" t="n">
        <v>77.58</v>
      </c>
    </row>
    <row r="9957">
      <c r="A9957" s="544" t="n">
        <v>43147</v>
      </c>
      <c r="B9957" s="538" t="n">
        <v>64.3</v>
      </c>
      <c r="C9957" s="538" t="n">
        <v>61.89</v>
      </c>
      <c r="D9957" s="538" t="n">
        <v>61.66</v>
      </c>
      <c r="E9957" s="538" t="n">
        <v>77.58</v>
      </c>
    </row>
    <row r="9958">
      <c r="A9958" s="544" t="n">
        <v>43150</v>
      </c>
      <c r="B9958" s="538" t="n">
        <v>64.95</v>
      </c>
      <c r="C9958" s="538" t="n">
        <v>61.89</v>
      </c>
      <c r="D9958" s="538" t="n">
        <v>62.46</v>
      </c>
      <c r="E9958" s="538" t="n">
        <v>77.81</v>
      </c>
    </row>
    <row r="9959">
      <c r="A9959" s="544" t="n">
        <v>43151</v>
      </c>
      <c r="B9959" s="538" t="n">
        <v>64.68000000000001</v>
      </c>
      <c r="C9959" s="538" t="n">
        <v>61.91</v>
      </c>
      <c r="D9959" s="538" t="n">
        <v>62.05</v>
      </c>
      <c r="E9959" s="538" t="n">
        <v>78.48</v>
      </c>
    </row>
    <row r="9960">
      <c r="A9960" s="544" t="n">
        <v>43152</v>
      </c>
      <c r="B9960" s="538" t="n">
        <v>64.81</v>
      </c>
      <c r="C9960" s="538" t="n">
        <v>61.73</v>
      </c>
      <c r="D9960" s="538" t="n">
        <v>61.79</v>
      </c>
      <c r="E9960" s="538" t="n">
        <v>78.22</v>
      </c>
    </row>
    <row r="9961">
      <c r="A9961" s="544" t="n">
        <v>43153</v>
      </c>
      <c r="B9961" s="538" t="n">
        <v>66.12</v>
      </c>
      <c r="C9961" s="538" t="n">
        <v>62.72</v>
      </c>
      <c r="D9961" s="538" t="n">
        <v>63.08</v>
      </c>
      <c r="E9961" s="538" t="n">
        <v>78.97</v>
      </c>
    </row>
    <row r="9962">
      <c r="A9962" s="544" t="n">
        <v>43154</v>
      </c>
      <c r="B9962" s="538" t="n">
        <v>67.04000000000001</v>
      </c>
      <c r="C9962" s="538" t="n">
        <v>63.52</v>
      </c>
      <c r="D9962" s="538" t="n">
        <v>64.19</v>
      </c>
      <c r="E9962" s="538" t="n">
        <v>81.47</v>
      </c>
    </row>
    <row r="9963">
      <c r="A9963" s="544" t="n">
        <v>43157</v>
      </c>
      <c r="B9963" s="538" t="n">
        <v>67.95999999999999</v>
      </c>
      <c r="C9963" s="538" t="n">
        <v>63.81</v>
      </c>
      <c r="D9963" s="538" t="n">
        <v>64.47</v>
      </c>
      <c r="E9963" s="538" t="n">
        <v>84.45999999999999</v>
      </c>
    </row>
    <row r="9964">
      <c r="A9964" s="544" t="n">
        <v>43158</v>
      </c>
      <c r="B9964" s="538" t="n">
        <v>67.59</v>
      </c>
      <c r="C9964" s="538" t="n">
        <v>62.94</v>
      </c>
      <c r="D9964" s="538" t="n">
        <v>63.42</v>
      </c>
      <c r="E9964" s="538" t="n">
        <v>84.11</v>
      </c>
    </row>
    <row r="9965">
      <c r="A9965" s="544" t="n">
        <v>43159</v>
      </c>
      <c r="B9965" s="538" t="n">
        <v>66.08</v>
      </c>
      <c r="C9965" s="538" t="n">
        <v>61.43</v>
      </c>
      <c r="D9965" s="538" t="n">
        <v>62.43</v>
      </c>
      <c r="E9965" s="538" t="n">
        <v>81.88</v>
      </c>
    </row>
    <row r="9966">
      <c r="A9966" s="544" t="n">
        <v>43160</v>
      </c>
      <c r="B9966" s="538" t="n">
        <v>64.23</v>
      </c>
      <c r="C9966" s="538" t="n">
        <v>60.98</v>
      </c>
      <c r="D9966" s="538" t="n">
        <v>60.91</v>
      </c>
      <c r="E9966" s="538" t="n">
        <v>80.14</v>
      </c>
    </row>
    <row r="9967">
      <c r="A9967" s="544" t="n">
        <v>43161</v>
      </c>
      <c r="B9967" s="538" t="n">
        <v>64.26000000000001</v>
      </c>
      <c r="C9967" s="538" t="n">
        <v>61.19</v>
      </c>
      <c r="D9967" s="538" t="n">
        <v>61.26</v>
      </c>
      <c r="E9967" s="538" t="n">
        <v>79.3</v>
      </c>
    </row>
    <row r="9968">
      <c r="A9968" s="544" t="n">
        <v>43164</v>
      </c>
      <c r="B9968" s="538" t="n">
        <v>65.78</v>
      </c>
      <c r="C9968" s="538" t="n">
        <v>62.49</v>
      </c>
      <c r="D9968" s="538" t="n">
        <v>62.76</v>
      </c>
      <c r="E9968" s="538" t="n">
        <v>79.51000000000001</v>
      </c>
    </row>
    <row r="9969">
      <c r="A9969" s="544" t="n">
        <v>43165</v>
      </c>
      <c r="B9969" s="538" t="n">
        <v>65.67</v>
      </c>
      <c r="C9969" s="538" t="n">
        <v>62.54</v>
      </c>
      <c r="D9969" s="538" t="n">
        <v>62.42</v>
      </c>
      <c r="E9969" s="538" t="n">
        <v>78.72</v>
      </c>
    </row>
    <row r="9970">
      <c r="A9970" s="544" t="n">
        <v>43166</v>
      </c>
      <c r="B9970" s="538" t="n">
        <v>65.09</v>
      </c>
      <c r="C9970" s="538" t="n">
        <v>61.09</v>
      </c>
      <c r="D9970" s="538" t="n">
        <v>61.57</v>
      </c>
      <c r="E9970" s="538" t="n">
        <v>78.75</v>
      </c>
    </row>
    <row r="9971">
      <c r="A9971" s="544" t="n">
        <v>43167</v>
      </c>
      <c r="B9971" s="538" t="n">
        <v>63.87</v>
      </c>
      <c r="C9971" s="538" t="n">
        <v>60.13</v>
      </c>
      <c r="D9971" s="538" t="n">
        <v>60.9</v>
      </c>
      <c r="E9971" s="538" t="n">
        <v>78.20999999999999</v>
      </c>
    </row>
    <row r="9972">
      <c r="A9972" s="544" t="n">
        <v>43168</v>
      </c>
      <c r="B9972" s="538" t="n">
        <v>65.19</v>
      </c>
      <c r="C9972" s="538" t="n">
        <v>62.02</v>
      </c>
      <c r="D9972" s="538" t="n">
        <v>62.46</v>
      </c>
      <c r="E9972" s="538" t="n">
        <v>76.95999999999999</v>
      </c>
    </row>
    <row r="9973">
      <c r="A9973" s="544" t="n">
        <v>43171</v>
      </c>
      <c r="B9973" s="538" t="n">
        <v>64.53</v>
      </c>
      <c r="C9973" s="538" t="n">
        <v>61.35</v>
      </c>
      <c r="D9973" s="538" t="n">
        <v>62.08</v>
      </c>
      <c r="E9973" s="538" t="n">
        <v>77.59</v>
      </c>
    </row>
    <row r="9974">
      <c r="A9974" s="544" t="n">
        <v>43172</v>
      </c>
      <c r="B9974" s="538" t="n">
        <v>64.2</v>
      </c>
      <c r="C9974" s="538" t="n">
        <v>60.69</v>
      </c>
      <c r="D9974" s="538" t="n">
        <v>61.94</v>
      </c>
      <c r="E9974" s="538" t="n">
        <v>76.73999999999999</v>
      </c>
    </row>
    <row r="9975">
      <c r="A9975" s="544" t="n">
        <v>43173</v>
      </c>
      <c r="B9975" s="538" t="n">
        <v>63.61</v>
      </c>
      <c r="C9975" s="538" t="n">
        <v>60.89</v>
      </c>
      <c r="D9975" s="538" t="n">
        <v>62.05</v>
      </c>
      <c r="E9975" s="538" t="n">
        <v>76.75</v>
      </c>
    </row>
    <row r="9976">
      <c r="A9976" s="544" t="n">
        <v>43174</v>
      </c>
      <c r="B9976" s="538" t="n">
        <v>63.67</v>
      </c>
      <c r="C9976" s="538" t="n">
        <v>61.16</v>
      </c>
      <c r="D9976" s="538" t="n">
        <v>62.36</v>
      </c>
      <c r="E9976" s="538" t="n">
        <v>76.62</v>
      </c>
    </row>
    <row r="9977">
      <c r="A9977" s="544" t="n">
        <v>43175</v>
      </c>
      <c r="B9977" s="538" t="n">
        <v>64.68000000000001</v>
      </c>
      <c r="C9977" s="538" t="n">
        <v>62.29</v>
      </c>
      <c r="D9977" s="538" t="n">
        <v>63.44</v>
      </c>
      <c r="E9977" s="538" t="n">
        <v>76.34999999999999</v>
      </c>
    </row>
    <row r="9978">
      <c r="A9978" s="544" t="n">
        <v>43178</v>
      </c>
      <c r="B9978" s="538" t="n">
        <v>64.81999999999999</v>
      </c>
      <c r="C9978" s="538" t="n">
        <v>62.01</v>
      </c>
      <c r="D9978" s="538" t="n">
        <v>63.41</v>
      </c>
      <c r="E9978" s="538" t="n">
        <v>77.23</v>
      </c>
    </row>
    <row r="9979">
      <c r="A9979" s="544" t="n">
        <v>43179</v>
      </c>
      <c r="B9979" s="538" t="n">
        <v>66</v>
      </c>
      <c r="C9979" s="538" t="n">
        <v>63.37</v>
      </c>
      <c r="D9979" s="538" t="n">
        <v>64.7</v>
      </c>
      <c r="E9979" s="538" t="n">
        <v>78.16</v>
      </c>
    </row>
    <row r="9980">
      <c r="A9980" s="544" t="n">
        <v>43180</v>
      </c>
      <c r="B9980" s="538" t="n">
        <v>68.15000000000001</v>
      </c>
      <c r="C9980" s="538" t="n">
        <v>65.09999999999999</v>
      </c>
      <c r="D9980" s="538" t="n">
        <v>66.69</v>
      </c>
      <c r="E9980" s="538" t="n">
        <v>79.20999999999999</v>
      </c>
    </row>
    <row r="9981">
      <c r="A9981" s="544" t="n">
        <v>43181</v>
      </c>
      <c r="B9981" s="538" t="n">
        <v>68.98</v>
      </c>
      <c r="C9981" s="538" t="n">
        <v>64.25</v>
      </c>
      <c r="D9981" s="538" t="n">
        <v>65.91</v>
      </c>
      <c r="E9981" s="538" t="n">
        <v>80.89</v>
      </c>
    </row>
    <row r="9982">
      <c r="A9982" s="544" t="n">
        <v>43182</v>
      </c>
      <c r="B9982" s="538" t="n">
        <v>69.03</v>
      </c>
      <c r="C9982" s="538" t="n">
        <v>65.8</v>
      </c>
      <c r="D9982" s="538" t="n">
        <v>67.03</v>
      </c>
      <c r="E9982" s="538" t="n">
        <v>80.86</v>
      </c>
    </row>
    <row r="9983">
      <c r="A9983" s="544" t="n">
        <v>43185</v>
      </c>
      <c r="B9983" s="538" t="n">
        <v>68.81</v>
      </c>
      <c r="C9983" s="538" t="n">
        <v>65.48999999999999</v>
      </c>
      <c r="D9983" s="538" t="n">
        <v>66.86</v>
      </c>
      <c r="E9983" s="538" t="n">
        <v>81.53</v>
      </c>
    </row>
    <row r="9984">
      <c r="A9984" s="544" t="n">
        <v>43186</v>
      </c>
      <c r="B9984" s="538" t="n">
        <v>68.63</v>
      </c>
      <c r="C9984" s="538" t="n">
        <v>65.20999999999999</v>
      </c>
      <c r="D9984" s="538" t="n">
        <v>66.20999999999999</v>
      </c>
      <c r="E9984" s="538" t="n">
        <v>82.19</v>
      </c>
    </row>
    <row r="9985">
      <c r="A9985" s="544" t="n">
        <v>43187</v>
      </c>
      <c r="B9985" s="538" t="n">
        <v>68.13</v>
      </c>
      <c r="C9985" s="538" t="n">
        <v>64.3</v>
      </c>
      <c r="D9985" s="538" t="n">
        <v>66.36</v>
      </c>
      <c r="E9985" s="538" t="n">
        <v>81.81999999999999</v>
      </c>
    </row>
    <row r="9986">
      <c r="A9986" s="544" t="n">
        <v>43188</v>
      </c>
      <c r="B9986" s="538" t="n">
        <v>69.02</v>
      </c>
      <c r="C9986" s="538" t="n">
        <v>64.87</v>
      </c>
      <c r="D9986" s="538" t="n">
        <v>66.59</v>
      </c>
      <c r="E9986" s="538" t="n">
        <v>82.05</v>
      </c>
    </row>
    <row r="9987">
      <c r="A9987" s="544" t="n">
        <v>43189</v>
      </c>
      <c r="B9987" s="538" t="n">
        <v>69.02</v>
      </c>
      <c r="C9987" s="538" t="n">
        <v>64.87</v>
      </c>
      <c r="D9987" s="538" t="n">
        <v>67.75</v>
      </c>
      <c r="E9987" s="538" t="n">
        <v>82.05</v>
      </c>
    </row>
    <row r="9988">
      <c r="A9988" s="544" t="n">
        <v>43192</v>
      </c>
      <c r="B9988" s="538" t="n">
        <v>69.02</v>
      </c>
      <c r="C9988" s="538" t="n">
        <v>63.05</v>
      </c>
      <c r="D9988" s="538" t="n">
        <v>65.12</v>
      </c>
      <c r="E9988" s="538" t="n">
        <v>83.18000000000001</v>
      </c>
    </row>
    <row r="9989">
      <c r="A9989" s="544" t="n">
        <v>43193</v>
      </c>
      <c r="B9989" s="538" t="n">
        <v>69.02</v>
      </c>
      <c r="C9989" s="538" t="n">
        <v>63.41</v>
      </c>
      <c r="D9989" s="538" t="n">
        <v>65.51000000000001</v>
      </c>
      <c r="E9989" s="538" t="n">
        <v>82.14</v>
      </c>
    </row>
    <row r="9990">
      <c r="A9990" s="544" t="n">
        <v>43194</v>
      </c>
      <c r="B9990" s="538" t="n">
        <v>66.04000000000001</v>
      </c>
      <c r="C9990" s="538" t="n">
        <v>63.35</v>
      </c>
      <c r="D9990" s="538" t="n">
        <v>65.67</v>
      </c>
      <c r="E9990" s="538" t="n">
        <v>81.97</v>
      </c>
    </row>
    <row r="9991">
      <c r="A9991" s="544" t="n">
        <v>43195</v>
      </c>
      <c r="B9991" s="538" t="n">
        <v>66.54000000000001</v>
      </c>
      <c r="C9991" s="538" t="n">
        <v>63.53</v>
      </c>
      <c r="D9991" s="538" t="n">
        <v>65.92</v>
      </c>
      <c r="E9991" s="538" t="n">
        <v>81.81</v>
      </c>
    </row>
    <row r="9992">
      <c r="A9992" s="544" t="n">
        <v>43196</v>
      </c>
      <c r="B9992" s="538" t="n">
        <v>66.51000000000001</v>
      </c>
      <c r="C9992" s="538" t="n">
        <v>62.03</v>
      </c>
      <c r="D9992" s="538" t="n">
        <v>64.43000000000001</v>
      </c>
      <c r="E9992" s="538" t="n">
        <v>81.40000000000001</v>
      </c>
    </row>
    <row r="9993">
      <c r="A9993" s="544" t="n">
        <v>43199</v>
      </c>
      <c r="B9993" s="538" t="n">
        <v>68.19</v>
      </c>
      <c r="C9993" s="538" t="n">
        <v>63.4</v>
      </c>
      <c r="D9993" s="538" t="n">
        <v>65.92</v>
      </c>
      <c r="E9993" s="538" t="n">
        <v>83.52</v>
      </c>
    </row>
    <row r="9994">
      <c r="A9994" s="544" t="n">
        <v>43200</v>
      </c>
      <c r="B9994" s="538" t="n">
        <v>70.67</v>
      </c>
      <c r="C9994" s="538" t="n">
        <v>65.48</v>
      </c>
      <c r="D9994" s="538" t="n">
        <v>68.11</v>
      </c>
      <c r="E9994" s="538" t="n">
        <v>83.15000000000001</v>
      </c>
    </row>
    <row r="9995">
      <c r="A9995" s="544" t="n">
        <v>43201</v>
      </c>
      <c r="B9995" s="538" t="n">
        <v>72.73999999999999</v>
      </c>
      <c r="C9995" s="538" t="n">
        <v>66.81</v>
      </c>
      <c r="D9995" s="538" t="n">
        <v>69.3</v>
      </c>
      <c r="E9995" s="538" t="n">
        <v>84.8</v>
      </c>
    </row>
    <row r="9996">
      <c r="A9996" s="544" t="n">
        <v>43202</v>
      </c>
      <c r="B9996" s="538" t="n">
        <v>71.44</v>
      </c>
      <c r="C9996" s="538" t="n">
        <v>67.06999999999999</v>
      </c>
      <c r="D9996" s="538" t="n">
        <v>69.08</v>
      </c>
      <c r="E9996" s="538" t="n">
        <v>86.34</v>
      </c>
    </row>
    <row r="9997">
      <c r="A9997" s="544" t="n">
        <v>43203</v>
      </c>
      <c r="B9997" s="538" t="n">
        <v>73.18000000000001</v>
      </c>
      <c r="C9997" s="538" t="n">
        <v>67.34999999999999</v>
      </c>
      <c r="D9997" s="538" t="n">
        <v>69.42</v>
      </c>
      <c r="E9997" s="538" t="n">
        <v>86.27</v>
      </c>
    </row>
    <row r="9998">
      <c r="A9998" s="544" t="n">
        <v>43206</v>
      </c>
      <c r="B9998" s="538" t="n">
        <v>72.05</v>
      </c>
      <c r="C9998" s="538" t="n">
        <v>66.23</v>
      </c>
      <c r="D9998" s="538" t="n">
        <v>68.45999999999999</v>
      </c>
      <c r="E9998" s="538" t="n">
        <v>85.59999999999999</v>
      </c>
    </row>
    <row r="9999">
      <c r="A9999" s="544" t="n">
        <v>43207</v>
      </c>
      <c r="B9999" s="538" t="n">
        <v>71.70999999999999</v>
      </c>
      <c r="C9999" s="538" t="n">
        <v>66.5</v>
      </c>
      <c r="D9999" s="538" t="n">
        <v>68.61</v>
      </c>
      <c r="E9999" s="538" t="n">
        <v>85.18000000000001</v>
      </c>
    </row>
    <row r="10000">
      <c r="A10000" s="544" t="n">
        <v>43208</v>
      </c>
      <c r="B10000" s="538" t="n">
        <v>73.73</v>
      </c>
      <c r="C10000" s="538" t="n">
        <v>68.44</v>
      </c>
      <c r="D10000" s="538" t="n">
        <v>70.5</v>
      </c>
      <c r="E10000" s="538" t="n">
        <v>85.3</v>
      </c>
    </row>
    <row r="10001">
      <c r="A10001" s="544" t="n">
        <v>43209</v>
      </c>
      <c r="B10001" s="538" t="n">
        <v>74.84999999999999</v>
      </c>
      <c r="C10001" s="538" t="n">
        <v>68.3</v>
      </c>
      <c r="D10001" s="538" t="n">
        <v>70.70999999999999</v>
      </c>
      <c r="E10001" s="538" t="n">
        <v>87</v>
      </c>
    </row>
    <row r="10002">
      <c r="A10002" s="544" t="n">
        <v>43210</v>
      </c>
      <c r="B10002" s="538" t="n">
        <v>74.62</v>
      </c>
      <c r="C10002" s="538" t="n">
        <v>68.26000000000001</v>
      </c>
      <c r="D10002" s="538" t="n">
        <v>70.94</v>
      </c>
      <c r="E10002" s="538" t="n">
        <v>86.69</v>
      </c>
    </row>
    <row r="10003">
      <c r="A10003" s="544" t="n">
        <v>43213</v>
      </c>
      <c r="B10003" s="538" t="n">
        <v>74.54000000000001</v>
      </c>
      <c r="C10003" s="538" t="n">
        <v>67.61</v>
      </c>
      <c r="D10003" s="538" t="n">
        <v>72.23</v>
      </c>
      <c r="E10003" s="538" t="n">
        <v>86.81999999999999</v>
      </c>
    </row>
    <row r="10004">
      <c r="A10004" s="544" t="n">
        <v>43214</v>
      </c>
      <c r="B10004" s="538" t="n">
        <v>75.86</v>
      </c>
      <c r="C10004" s="538" t="n">
        <v>67.66</v>
      </c>
      <c r="D10004" s="538" t="n">
        <v>70.61</v>
      </c>
      <c r="E10004" s="538" t="n">
        <v>88.03</v>
      </c>
    </row>
    <row r="10005">
      <c r="A10005" s="544" t="n">
        <v>43215</v>
      </c>
      <c r="B10005" s="538" t="n">
        <v>73.79000000000001</v>
      </c>
      <c r="C10005" s="538" t="n">
        <v>68</v>
      </c>
      <c r="D10005" s="538" t="n">
        <v>70.59999999999999</v>
      </c>
      <c r="E10005" s="538" t="n">
        <v>87.66</v>
      </c>
    </row>
    <row r="10006">
      <c r="A10006" s="544" t="n">
        <v>43216</v>
      </c>
      <c r="B10006" s="538" t="n">
        <v>75.39</v>
      </c>
      <c r="C10006" s="538" t="n">
        <v>68.18000000000001</v>
      </c>
      <c r="D10006" s="538" t="n">
        <v>71.20999999999999</v>
      </c>
      <c r="E10006" s="538" t="n">
        <v>87.90000000000001</v>
      </c>
    </row>
    <row r="10007">
      <c r="A10007" s="544" t="n">
        <v>43217</v>
      </c>
      <c r="B10007" s="538" t="n">
        <v>75.33</v>
      </c>
      <c r="C10007" s="538" t="n">
        <v>68.11</v>
      </c>
      <c r="D10007" s="538" t="n">
        <v>71.11</v>
      </c>
      <c r="E10007" s="538" t="n">
        <v>88.06</v>
      </c>
    </row>
    <row r="10008">
      <c r="A10008" s="544" t="n">
        <v>43220</v>
      </c>
      <c r="B10008" s="538" t="n">
        <v>75.92</v>
      </c>
      <c r="C10008" s="538" t="n">
        <v>68.56</v>
      </c>
      <c r="D10008" s="538" t="n">
        <v>71.45999999999999</v>
      </c>
      <c r="E10008" s="538" t="n">
        <v>87.27</v>
      </c>
    </row>
    <row r="10009">
      <c r="A10009" s="544" t="n">
        <v>43221</v>
      </c>
      <c r="B10009" s="538" t="n">
        <v>74.84999999999999</v>
      </c>
      <c r="C10009" s="538" t="n">
        <v>67.28</v>
      </c>
      <c r="D10009" s="538" t="n">
        <v>70.37</v>
      </c>
      <c r="E10009" s="538" t="n">
        <v>87.27</v>
      </c>
    </row>
    <row r="10010">
      <c r="A10010" s="544" t="n">
        <v>43222</v>
      </c>
      <c r="B10010" s="538" t="n">
        <v>73.14</v>
      </c>
      <c r="C10010" s="538" t="n">
        <v>67.91</v>
      </c>
      <c r="D10010" s="538" t="n">
        <v>70.04000000000001</v>
      </c>
      <c r="E10010" s="538" t="n">
        <v>87.33</v>
      </c>
    </row>
    <row r="10011">
      <c r="A10011" s="544" t="n">
        <v>43223</v>
      </c>
      <c r="B10011" s="538" t="n">
        <v>73.45</v>
      </c>
      <c r="C10011" s="538" t="n">
        <v>68.45</v>
      </c>
      <c r="D10011" s="538" t="n">
        <v>70.62</v>
      </c>
      <c r="E10011" s="538" t="n">
        <v>87.09999999999999</v>
      </c>
    </row>
    <row r="10012">
      <c r="A10012" s="544" t="n">
        <v>43224</v>
      </c>
      <c r="B10012" s="538" t="n">
        <v>74.75</v>
      </c>
      <c r="C10012" s="538" t="n">
        <v>69.70999999999999</v>
      </c>
      <c r="D10012" s="538" t="n">
        <v>71.86</v>
      </c>
      <c r="E10012" s="538" t="n">
        <v>86.41</v>
      </c>
    </row>
    <row r="10013">
      <c r="A10013" s="544" t="n">
        <v>43227</v>
      </c>
      <c r="B10013" s="538" t="n">
        <v>74.75</v>
      </c>
      <c r="C10013" s="538" t="n">
        <v>70.73999999999999</v>
      </c>
      <c r="D10013" s="538" t="n">
        <v>72.62</v>
      </c>
      <c r="E10013" s="538" t="n">
        <v>88.81999999999999</v>
      </c>
    </row>
    <row r="10014">
      <c r="A10014" s="544" t="n">
        <v>43228</v>
      </c>
      <c r="B10014" s="538" t="n">
        <v>74.16</v>
      </c>
      <c r="C10014" s="538" t="n">
        <v>68.83</v>
      </c>
      <c r="D10014" s="538" t="n">
        <v>72.73999999999999</v>
      </c>
      <c r="E10014" s="538" t="n">
        <v>89.15000000000001</v>
      </c>
    </row>
    <row r="10015">
      <c r="A10015" s="544" t="n">
        <v>43229</v>
      </c>
      <c r="B10015" s="538" t="n">
        <v>77.59999999999999</v>
      </c>
      <c r="C10015" s="538" t="n">
        <v>71.16</v>
      </c>
      <c r="D10015" s="538" t="n">
        <v>74.17</v>
      </c>
      <c r="E10015" s="538" t="n">
        <v>89.73999999999999</v>
      </c>
    </row>
    <row r="10016">
      <c r="A10016" s="544" t="n">
        <v>43230</v>
      </c>
      <c r="B10016" s="538" t="n">
        <v>77.59</v>
      </c>
      <c r="C10016" s="538" t="n">
        <v>71.36</v>
      </c>
      <c r="D10016" s="538" t="n">
        <v>74.36</v>
      </c>
      <c r="E10016" s="538" t="n">
        <v>89.89</v>
      </c>
    </row>
    <row r="10017">
      <c r="A10017" s="544" t="n">
        <v>43231</v>
      </c>
      <c r="B10017" s="538" t="n">
        <v>77.37</v>
      </c>
      <c r="C10017" s="538" t="n">
        <v>70.69</v>
      </c>
      <c r="D10017" s="538" t="n">
        <v>73.86</v>
      </c>
      <c r="E10017" s="538" t="n">
        <v>90.09</v>
      </c>
    </row>
    <row r="10018">
      <c r="A10018" s="544" t="n">
        <v>43234</v>
      </c>
      <c r="B10018" s="538" t="n">
        <v>78.17</v>
      </c>
      <c r="C10018" s="538" t="n">
        <v>71.01000000000001</v>
      </c>
      <c r="D10018" s="538" t="n">
        <v>74.93000000000001</v>
      </c>
      <c r="E10018" s="538" t="n">
        <v>89.54000000000001</v>
      </c>
    </row>
    <row r="10019">
      <c r="A10019" s="544" t="n">
        <v>43235</v>
      </c>
      <c r="B10019" s="538" t="n">
        <v>78.94</v>
      </c>
      <c r="C10019" s="538" t="n">
        <v>71.34</v>
      </c>
      <c r="D10019" s="538" t="n">
        <v>74.53</v>
      </c>
      <c r="E10019" s="538" t="n">
        <v>91.01000000000001</v>
      </c>
    </row>
    <row r="10020">
      <c r="A10020" s="544" t="n">
        <v>43236</v>
      </c>
      <c r="B10020" s="538" t="n">
        <v>78.19</v>
      </c>
      <c r="C10020" s="538" t="n">
        <v>71.43000000000001</v>
      </c>
      <c r="D10020" s="538" t="n">
        <v>75.91</v>
      </c>
      <c r="E10020" s="538" t="n">
        <v>90.56</v>
      </c>
    </row>
    <row r="10021">
      <c r="A10021" s="544" t="n">
        <v>43237</v>
      </c>
      <c r="B10021" s="538" t="n">
        <v>80.09</v>
      </c>
      <c r="C10021" s="538" t="n">
        <v>71.47</v>
      </c>
      <c r="D10021" s="538" t="n">
        <v>76.33</v>
      </c>
      <c r="E10021" s="538" t="n">
        <v>92.23999999999999</v>
      </c>
    </row>
    <row r="10022">
      <c r="A10022" s="544" t="n">
        <v>43238</v>
      </c>
      <c r="B10022" s="538" t="n">
        <v>78.38</v>
      </c>
      <c r="C10022" s="538" t="n">
        <v>71.23</v>
      </c>
      <c r="D10022" s="538" t="n">
        <v>75.45</v>
      </c>
      <c r="E10022" s="538" t="n">
        <v>92.83</v>
      </c>
    </row>
    <row r="10023">
      <c r="A10023" s="544" t="n">
        <v>43241</v>
      </c>
      <c r="B10023" s="538" t="n">
        <v>78.34</v>
      </c>
      <c r="C10023" s="538" t="n">
        <v>72.26000000000001</v>
      </c>
      <c r="D10023" s="538" t="n">
        <v>76.48</v>
      </c>
      <c r="E10023" s="538" t="n">
        <v>92.31999999999999</v>
      </c>
    </row>
    <row r="10024">
      <c r="A10024" s="544" t="n">
        <v>43242</v>
      </c>
      <c r="B10024" s="538" t="n">
        <v>80.42</v>
      </c>
      <c r="C10024" s="538" t="n">
        <v>72.09</v>
      </c>
      <c r="D10024" s="538" t="n">
        <v>76.73999999999999</v>
      </c>
      <c r="E10024" s="538" t="n">
        <v>92.70999999999999</v>
      </c>
    </row>
    <row r="10025">
      <c r="A10025" s="544" t="n">
        <v>43243</v>
      </c>
      <c r="B10025" s="538" t="n">
        <v>78.69</v>
      </c>
      <c r="C10025" s="538" t="n">
        <v>71.84999999999999</v>
      </c>
      <c r="D10025" s="538" t="n">
        <v>76.91</v>
      </c>
      <c r="E10025" s="538" t="n">
        <v>91.84</v>
      </c>
    </row>
    <row r="10026">
      <c r="A10026" s="544" t="n">
        <v>43244</v>
      </c>
      <c r="B10026" s="538" t="n">
        <v>78.90000000000001</v>
      </c>
      <c r="C10026" s="538" t="n">
        <v>70.77</v>
      </c>
      <c r="D10026" s="538" t="n">
        <v>76.20999999999999</v>
      </c>
      <c r="E10026" s="538" t="n">
        <v>92.36</v>
      </c>
    </row>
    <row r="10027">
      <c r="A10027" s="544" t="n">
        <v>43245</v>
      </c>
      <c r="B10027" s="538" t="n">
        <v>76.59999999999999</v>
      </c>
      <c r="C10027" s="538" t="n">
        <v>67.92</v>
      </c>
      <c r="D10027" s="538" t="n">
        <v>73.84999999999999</v>
      </c>
      <c r="E10027" s="538" t="n">
        <v>91.06999999999999</v>
      </c>
    </row>
    <row r="10028">
      <c r="A10028" s="544" t="n">
        <v>43248</v>
      </c>
      <c r="B10028" s="538" t="n">
        <v>76.59999999999999</v>
      </c>
      <c r="C10028" s="538" t="n">
        <v>67.92</v>
      </c>
      <c r="D10028" s="538" t="n">
        <v>73.12</v>
      </c>
      <c r="E10028" s="538" t="n">
        <v>88.5</v>
      </c>
    </row>
    <row r="10029">
      <c r="A10029" s="544" t="n">
        <v>43249</v>
      </c>
      <c r="B10029" s="538" t="n">
        <v>74.51000000000001</v>
      </c>
      <c r="C10029" s="538" t="n">
        <v>66.8</v>
      </c>
      <c r="D10029" s="538" t="n">
        <v>73.40000000000001</v>
      </c>
      <c r="E10029" s="538" t="n">
        <v>88.5</v>
      </c>
    </row>
    <row r="10030">
      <c r="A10030" s="544" t="n">
        <v>43250</v>
      </c>
      <c r="B10030" s="538" t="n">
        <v>75.89</v>
      </c>
      <c r="C10030" s="538" t="n">
        <v>68.23999999999999</v>
      </c>
      <c r="D10030" s="538" t="n">
        <v>75.09999999999999</v>
      </c>
      <c r="E10030" s="538" t="n">
        <v>88.93000000000001</v>
      </c>
    </row>
    <row r="10031">
      <c r="A10031" s="544" t="n">
        <v>43251</v>
      </c>
      <c r="B10031" s="538" t="n">
        <v>76.45</v>
      </c>
      <c r="C10031" s="538" t="n">
        <v>66.98</v>
      </c>
      <c r="D10031" s="538" t="n">
        <v>74.98</v>
      </c>
      <c r="E10031" s="538" t="n">
        <v>90.08</v>
      </c>
    </row>
    <row r="10032">
      <c r="A10032" s="544" t="n">
        <v>43252</v>
      </c>
      <c r="B10032" s="538" t="n">
        <v>74.54000000000001</v>
      </c>
      <c r="C10032" s="538" t="n">
        <v>65.81</v>
      </c>
      <c r="D10032" s="538" t="n">
        <v>74.09</v>
      </c>
      <c r="E10032" s="538" t="n">
        <v>89.58</v>
      </c>
    </row>
    <row r="10033">
      <c r="A10033" s="544" t="n">
        <v>43255</v>
      </c>
      <c r="B10033" s="538" t="n">
        <v>73.41</v>
      </c>
      <c r="C10033" s="538" t="n">
        <v>64.76000000000001</v>
      </c>
      <c r="D10033" s="538" t="n">
        <v>73.06</v>
      </c>
      <c r="E10033" s="538" t="n">
        <v>88.36</v>
      </c>
    </row>
    <row r="10034">
      <c r="A10034" s="544" t="n">
        <v>43256</v>
      </c>
      <c r="B10034" s="538" t="n">
        <v>72.91</v>
      </c>
      <c r="C10034" s="538" t="n">
        <v>65.51000000000001</v>
      </c>
      <c r="D10034" s="538" t="n">
        <v>72.66</v>
      </c>
      <c r="E10034" s="538" t="n">
        <v>87.78</v>
      </c>
    </row>
    <row r="10035">
      <c r="A10035" s="544" t="n">
        <v>43257</v>
      </c>
      <c r="B10035" s="538" t="n">
        <v>73.23</v>
      </c>
      <c r="C10035" s="538" t="n">
        <v>64.75</v>
      </c>
      <c r="D10035" s="538" t="n">
        <v>73.01000000000001</v>
      </c>
      <c r="E10035" s="538" t="n">
        <v>87.16</v>
      </c>
    </row>
    <row r="10036">
      <c r="A10036" s="544" t="n">
        <v>43258</v>
      </c>
      <c r="B10036" s="538" t="n">
        <v>75.23</v>
      </c>
      <c r="C10036" s="538" t="n">
        <v>65.95999999999999</v>
      </c>
      <c r="D10036" s="538" t="n">
        <v>74.72</v>
      </c>
      <c r="E10036" s="538" t="n">
        <v>86.89</v>
      </c>
    </row>
    <row r="10037">
      <c r="A10037" s="544" t="n">
        <v>43259</v>
      </c>
      <c r="B10037" s="538" t="n">
        <v>75.11</v>
      </c>
      <c r="C10037" s="538" t="n">
        <v>65.77</v>
      </c>
      <c r="D10037" s="538" t="n">
        <v>73.95999999999999</v>
      </c>
      <c r="E10037" s="538" t="n">
        <v>88.45999999999999</v>
      </c>
    </row>
    <row r="10038">
      <c r="A10038" s="544" t="n">
        <v>43262</v>
      </c>
      <c r="B10038" s="538" t="n">
        <v>74.58</v>
      </c>
      <c r="C10038" s="538" t="n">
        <v>66.09999999999999</v>
      </c>
      <c r="D10038" s="538" t="n">
        <v>74.11</v>
      </c>
      <c r="E10038" s="538" t="n">
        <v>87.98</v>
      </c>
    </row>
    <row r="10039">
      <c r="A10039" s="544" t="n">
        <v>43263</v>
      </c>
      <c r="B10039" s="538" t="n">
        <v>74.86</v>
      </c>
      <c r="C10039" s="538" t="n">
        <v>66.38</v>
      </c>
      <c r="D10039" s="538" t="n">
        <v>73.27</v>
      </c>
      <c r="E10039" s="538" t="n">
        <v>88.48</v>
      </c>
    </row>
    <row r="10040">
      <c r="A10040" s="544" t="n">
        <v>43264</v>
      </c>
      <c r="B10040" s="538" t="n">
        <v>75.06999999999999</v>
      </c>
      <c r="C10040" s="538" t="n">
        <v>66.63</v>
      </c>
      <c r="D10040" s="538" t="n">
        <v>74.25</v>
      </c>
      <c r="E10040" s="538" t="n">
        <v>87.04000000000001</v>
      </c>
    </row>
    <row r="10041">
      <c r="A10041" s="544" t="n">
        <v>43265</v>
      </c>
      <c r="B10041" s="538" t="n">
        <v>74.77</v>
      </c>
      <c r="C10041" s="538" t="n">
        <v>66.91</v>
      </c>
      <c r="D10041" s="538" t="n">
        <v>73.34</v>
      </c>
      <c r="E10041" s="538" t="n">
        <v>87.86</v>
      </c>
    </row>
    <row r="10042">
      <c r="A10042" s="544" t="n">
        <v>43266</v>
      </c>
      <c r="B10042" s="538" t="n">
        <v>72.02</v>
      </c>
      <c r="C10042" s="538" t="n">
        <v>65.01000000000001</v>
      </c>
      <c r="D10042" s="538" t="n">
        <v>70.79000000000001</v>
      </c>
      <c r="E10042" s="538" t="n">
        <v>87.86</v>
      </c>
    </row>
    <row r="10043">
      <c r="A10043" s="544" t="n">
        <v>43269</v>
      </c>
      <c r="B10043" s="538" t="n">
        <v>74.87</v>
      </c>
      <c r="C10043" s="538" t="n">
        <v>65.91</v>
      </c>
      <c r="D10043" s="538" t="n">
        <v>72.34999999999999</v>
      </c>
      <c r="E10043" s="538" t="n">
        <v>84.36</v>
      </c>
    </row>
    <row r="10044">
      <c r="A10044" s="544" t="n">
        <v>43270</v>
      </c>
      <c r="B10044" s="538" t="n">
        <v>74.92</v>
      </c>
      <c r="C10044" s="538" t="n">
        <v>65.09</v>
      </c>
      <c r="D10044" s="538" t="n">
        <v>72.11</v>
      </c>
      <c r="E10044" s="538" t="n">
        <v>85.65000000000001</v>
      </c>
    </row>
    <row r="10045">
      <c r="A10045" s="544" t="n">
        <v>43271</v>
      </c>
      <c r="B10045" s="538" t="n">
        <v>74.25</v>
      </c>
      <c r="C10045" s="538" t="n">
        <v>65.92</v>
      </c>
      <c r="D10045" s="538" t="n">
        <v>71.41</v>
      </c>
      <c r="E10045" s="538" t="n">
        <v>86.61</v>
      </c>
    </row>
    <row r="10046">
      <c r="A10046" s="544" t="n">
        <v>43272</v>
      </c>
      <c r="B10046" s="538" t="n">
        <v>72.87</v>
      </c>
      <c r="C10046" s="538" t="n">
        <v>65.68000000000001</v>
      </c>
      <c r="D10046" s="538" t="n">
        <v>70.86</v>
      </c>
      <c r="E10046" s="538" t="n">
        <v>84.52</v>
      </c>
    </row>
    <row r="10047">
      <c r="A10047" s="544" t="n">
        <v>43273</v>
      </c>
      <c r="B10047" s="538" t="n">
        <v>73.67</v>
      </c>
      <c r="C10047" s="538" t="n">
        <v>69.02</v>
      </c>
      <c r="D10047" s="538" t="n">
        <v>72.72</v>
      </c>
      <c r="E10047" s="538" t="n">
        <v>84.73999999999999</v>
      </c>
    </row>
    <row r="10048">
      <c r="A10048" s="544" t="n">
        <v>43276</v>
      </c>
      <c r="B10048" s="538" t="n">
        <v>72.81999999999999</v>
      </c>
      <c r="C10048" s="538" t="n">
        <v>69.91</v>
      </c>
      <c r="D10048" s="538" t="n">
        <v>72.14</v>
      </c>
      <c r="E10048" s="538" t="n">
        <v>85.7</v>
      </c>
    </row>
    <row r="10049">
      <c r="A10049" s="544" t="n">
        <v>43277</v>
      </c>
      <c r="B10049" s="538" t="n">
        <v>73.58</v>
      </c>
      <c r="C10049" s="538" t="n">
        <v>75.23</v>
      </c>
      <c r="D10049" s="538" t="n">
        <v>73.98</v>
      </c>
      <c r="E10049" s="538" t="n">
        <v>85.7</v>
      </c>
    </row>
    <row r="10050">
      <c r="A10050" s="544" t="n">
        <v>43278</v>
      </c>
      <c r="B10050" s="538" t="n">
        <v>76.09</v>
      </c>
      <c r="C10050" s="538" t="n">
        <v>77.41</v>
      </c>
      <c r="D10050" s="538" t="n">
        <v>74.78</v>
      </c>
      <c r="E10050" s="538" t="n">
        <v>86.45999999999999</v>
      </c>
    </row>
    <row r="10051">
      <c r="A10051" s="544" t="n">
        <v>43279</v>
      </c>
      <c r="B10051" s="538" t="n">
        <v>76.26000000000001</v>
      </c>
      <c r="C10051" s="538" t="n">
        <v>73.45</v>
      </c>
      <c r="D10051" s="538" t="n">
        <v>75.3</v>
      </c>
      <c r="E10051" s="538" t="n">
        <v>87.67</v>
      </c>
    </row>
    <row r="10052">
      <c r="A10052" s="544" t="n">
        <v>43280</v>
      </c>
      <c r="B10052" s="538" t="n">
        <v>77.44</v>
      </c>
      <c r="C10052" s="538" t="n">
        <v>74.13</v>
      </c>
      <c r="D10052" s="538" t="n">
        <v>76.76000000000001</v>
      </c>
      <c r="E10052" s="538" t="n">
        <v>88.23999999999999</v>
      </c>
    </row>
    <row r="10053">
      <c r="A10053" s="544" t="n">
        <v>43283</v>
      </c>
      <c r="B10053" s="538" t="n">
        <v>76.70999999999999</v>
      </c>
      <c r="C10053" s="538" t="n">
        <v>73.89</v>
      </c>
      <c r="D10053" s="538" t="n">
        <v>74.68000000000001</v>
      </c>
      <c r="E10053" s="538" t="n">
        <v>88.68000000000001</v>
      </c>
    </row>
    <row r="10054">
      <c r="A10054" s="544" t="n">
        <v>43284</v>
      </c>
      <c r="B10054" s="538" t="n">
        <v>75.87</v>
      </c>
      <c r="C10054" s="538" t="n">
        <v>74.19</v>
      </c>
      <c r="D10054" s="538" t="n">
        <v>75.13</v>
      </c>
      <c r="E10054" s="538" t="n">
        <v>87.81999999999999</v>
      </c>
    </row>
    <row r="10055">
      <c r="A10055" s="544" t="n">
        <v>43285</v>
      </c>
      <c r="B10055" s="538" t="n">
        <v>76.98999999999999</v>
      </c>
      <c r="C10055" s="538" t="n">
        <v>74.19</v>
      </c>
      <c r="D10055" s="538" t="n">
        <v>74.94</v>
      </c>
      <c r="E10055" s="538" t="n">
        <v>88.11</v>
      </c>
    </row>
    <row r="10056">
      <c r="A10056" s="544" t="n">
        <v>43286</v>
      </c>
      <c r="B10056" s="538" t="n">
        <v>77.09</v>
      </c>
      <c r="C10056" s="538" t="n">
        <v>73.05</v>
      </c>
      <c r="D10056" s="538" t="n">
        <v>74.51000000000001</v>
      </c>
      <c r="E10056" s="538" t="n">
        <v>88.65000000000001</v>
      </c>
    </row>
    <row r="10057">
      <c r="A10057" s="544" t="n">
        <v>43287</v>
      </c>
      <c r="B10057" s="538" t="n">
        <v>74.98</v>
      </c>
      <c r="C10057" s="538" t="n">
        <v>73.78</v>
      </c>
      <c r="D10057" s="538" t="n">
        <v>74.06999999999999</v>
      </c>
      <c r="E10057" s="538" t="n">
        <v>88.98999999999999</v>
      </c>
    </row>
    <row r="10058">
      <c r="A10058" s="544" t="n">
        <v>43290</v>
      </c>
      <c r="B10058" s="538" t="n">
        <v>77.08</v>
      </c>
      <c r="C10058" s="538" t="n">
        <v>73.93000000000001</v>
      </c>
      <c r="D10058" s="538" t="n">
        <v>75.27</v>
      </c>
      <c r="E10058" s="538" t="n">
        <v>89.40000000000001</v>
      </c>
    </row>
    <row r="10059">
      <c r="A10059" s="544" t="n">
        <v>43291</v>
      </c>
      <c r="B10059" s="538" t="n">
        <v>77.8</v>
      </c>
      <c r="C10059" s="538" t="n">
        <v>74.11</v>
      </c>
      <c r="D10059" s="538" t="n">
        <v>75.78</v>
      </c>
      <c r="E10059" s="538" t="n">
        <v>90.68000000000001</v>
      </c>
    </row>
    <row r="10060">
      <c r="A10060" s="544" t="n">
        <v>43292</v>
      </c>
      <c r="B10060" s="538" t="n">
        <v>75.34999999999999</v>
      </c>
      <c r="C10060" s="538" t="n">
        <v>70.47</v>
      </c>
      <c r="D10060" s="538" t="n">
        <v>71.48999999999999</v>
      </c>
      <c r="E10060" s="538" t="n">
        <v>89.40000000000001</v>
      </c>
    </row>
    <row r="10061">
      <c r="A10061" s="544" t="n">
        <v>43293</v>
      </c>
      <c r="B10061" s="538" t="n">
        <v>72.11</v>
      </c>
      <c r="C10061" s="538" t="n">
        <v>70.28</v>
      </c>
      <c r="D10061" s="538" t="n">
        <v>72.12</v>
      </c>
      <c r="E10061" s="538" t="n">
        <v>86.72</v>
      </c>
    </row>
    <row r="10062">
      <c r="A10062" s="544" t="n">
        <v>43294</v>
      </c>
      <c r="B10062" s="538" t="n">
        <v>74.11</v>
      </c>
      <c r="C10062" s="538" t="n">
        <v>71.03</v>
      </c>
      <c r="D10062" s="538" t="n">
        <v>72.92</v>
      </c>
      <c r="E10062" s="538" t="n">
        <v>85.34</v>
      </c>
    </row>
    <row r="10063">
      <c r="A10063" s="544" t="n">
        <v>43297</v>
      </c>
      <c r="B10063" s="538" t="n">
        <v>71.03</v>
      </c>
      <c r="C10063" s="538" t="n">
        <v>68.22</v>
      </c>
      <c r="D10063" s="538" t="n">
        <v>69.95999999999999</v>
      </c>
      <c r="E10063" s="538" t="n">
        <v>86.66</v>
      </c>
    </row>
    <row r="10064">
      <c r="A10064" s="544" t="n">
        <v>43298</v>
      </c>
      <c r="B10064" s="538" t="n">
        <v>70.87</v>
      </c>
      <c r="C10064" s="538" t="n">
        <v>68.03</v>
      </c>
      <c r="D10064" s="538" t="n">
        <v>70.14</v>
      </c>
      <c r="E10064" s="538" t="n">
        <v>84.18000000000001</v>
      </c>
    </row>
    <row r="10065">
      <c r="A10065" s="544" t="n">
        <v>43299</v>
      </c>
      <c r="B10065" s="538" t="n">
        <v>70.52</v>
      </c>
      <c r="C10065" s="538" t="n">
        <v>68.78</v>
      </c>
      <c r="D10065" s="538" t="n">
        <v>71</v>
      </c>
      <c r="E10065" s="538" t="n">
        <v>83.38</v>
      </c>
    </row>
    <row r="10066">
      <c r="A10066" s="544" t="n">
        <v>43300</v>
      </c>
      <c r="B10066" s="538" t="n">
        <v>71.94</v>
      </c>
      <c r="C10066" s="538" t="n">
        <v>69.42</v>
      </c>
      <c r="D10066" s="538" t="n">
        <v>70.38</v>
      </c>
      <c r="E10066" s="538" t="n">
        <v>84.77</v>
      </c>
    </row>
    <row r="10067">
      <c r="A10067" s="544" t="n">
        <v>43301</v>
      </c>
      <c r="B10067" s="538" t="n">
        <v>71.98999999999999</v>
      </c>
      <c r="C10067" s="538" t="n">
        <v>70.31</v>
      </c>
      <c r="D10067" s="538" t="n">
        <v>70.98</v>
      </c>
      <c r="E10067" s="538" t="n">
        <v>85.97</v>
      </c>
    </row>
    <row r="10068">
      <c r="A10068" s="544" t="n">
        <v>43304</v>
      </c>
      <c r="B10068" s="538" t="n">
        <v>73.45</v>
      </c>
      <c r="C10068" s="538" t="n">
        <v>67.90000000000001</v>
      </c>
      <c r="D10068" s="538" t="n">
        <v>71.58</v>
      </c>
      <c r="E10068" s="538" t="n">
        <v>85.94</v>
      </c>
    </row>
    <row r="10069">
      <c r="A10069" s="544" t="n">
        <v>43305</v>
      </c>
      <c r="B10069" s="538" t="n">
        <v>73.53</v>
      </c>
      <c r="C10069" s="538" t="n">
        <v>70.77</v>
      </c>
      <c r="D10069" s="538" t="n">
        <v>71.77</v>
      </c>
      <c r="E10069" s="538" t="n">
        <v>86.23</v>
      </c>
    </row>
    <row r="10070">
      <c r="A10070" s="544" t="n">
        <v>43306</v>
      </c>
      <c r="B10070" s="538" t="n">
        <v>73.67</v>
      </c>
      <c r="C10070" s="538" t="n">
        <v>71.13</v>
      </c>
      <c r="D10070" s="538" t="n">
        <v>72.73999999999999</v>
      </c>
      <c r="E10070" s="538" t="n">
        <v>87.34</v>
      </c>
    </row>
    <row r="10071">
      <c r="A10071" s="544" t="n">
        <v>43307</v>
      </c>
      <c r="B10071" s="538" t="n">
        <v>74.51000000000001</v>
      </c>
      <c r="C10071" s="538" t="n">
        <v>71.59</v>
      </c>
      <c r="D10071" s="538" t="n">
        <v>73.17</v>
      </c>
      <c r="E10071" s="538" t="n">
        <v>88.25</v>
      </c>
    </row>
    <row r="10072">
      <c r="A10072" s="544" t="n">
        <v>43308</v>
      </c>
      <c r="B10072" s="538" t="n">
        <v>74.84</v>
      </c>
      <c r="C10072" s="538" t="n">
        <v>68.66</v>
      </c>
      <c r="D10072" s="538" t="n">
        <v>73.13</v>
      </c>
      <c r="E10072" s="538" t="n">
        <v>88.31</v>
      </c>
    </row>
    <row r="10073">
      <c r="A10073" s="544" t="n">
        <v>43311</v>
      </c>
      <c r="B10073" s="538" t="n">
        <v>74.98999999999999</v>
      </c>
      <c r="C10073" s="538" t="n">
        <v>71.19</v>
      </c>
      <c r="D10073" s="538" t="n">
        <v>73.73</v>
      </c>
      <c r="E10073" s="538" t="n">
        <v>88.3</v>
      </c>
    </row>
    <row r="10074">
      <c r="A10074" s="544" t="n">
        <v>43312</v>
      </c>
      <c r="B10074" s="538" t="n">
        <v>74.16</v>
      </c>
      <c r="C10074" s="538" t="n">
        <v>69.88</v>
      </c>
      <c r="D10074" s="538" t="n">
        <v>72.22</v>
      </c>
      <c r="E10074" s="538" t="n">
        <v>88.2</v>
      </c>
    </row>
    <row r="10075">
      <c r="A10075" s="544" t="n">
        <v>43313</v>
      </c>
      <c r="B10075" s="538" t="n">
        <v>72.28</v>
      </c>
      <c r="C10075" s="538" t="n">
        <v>68.8</v>
      </c>
      <c r="D10075" s="538" t="n">
        <v>71.01000000000001</v>
      </c>
      <c r="E10075" s="538" t="n">
        <v>86.68000000000001</v>
      </c>
    </row>
    <row r="10076">
      <c r="A10076" s="544" t="n">
        <v>43314</v>
      </c>
      <c r="B10076" s="538" t="n">
        <v>72.95</v>
      </c>
      <c r="C10076" s="538" t="n">
        <v>68.95</v>
      </c>
      <c r="D10076" s="538" t="n">
        <v>72.03</v>
      </c>
      <c r="E10076" s="538" t="n">
        <v>85.5</v>
      </c>
    </row>
    <row r="10077">
      <c r="A10077" s="544" t="n">
        <v>43315</v>
      </c>
      <c r="B10077" s="538" t="n">
        <v>72.48</v>
      </c>
      <c r="C10077" s="538" t="n">
        <v>68.48999999999999</v>
      </c>
      <c r="D10077" s="538" t="n">
        <v>72.02</v>
      </c>
      <c r="E10077" s="538" t="n">
        <v>86.44</v>
      </c>
    </row>
    <row r="10078">
      <c r="A10078" s="544" t="n">
        <v>43318</v>
      </c>
      <c r="B10078" s="538" t="n">
        <v>72.51000000000001</v>
      </c>
      <c r="C10078" s="538" t="n">
        <v>69.01000000000001</v>
      </c>
      <c r="D10078" s="538" t="n">
        <v>72.45</v>
      </c>
      <c r="E10078" s="538" t="n">
        <v>87.09999999999999</v>
      </c>
    </row>
    <row r="10079">
      <c r="A10079" s="544" t="n">
        <v>43319</v>
      </c>
      <c r="B10079" s="538" t="n">
        <v>72.31</v>
      </c>
      <c r="C10079" s="538" t="n">
        <v>69.17</v>
      </c>
      <c r="D10079" s="538" t="n">
        <v>73.25</v>
      </c>
      <c r="E10079" s="538" t="n">
        <v>87.62</v>
      </c>
    </row>
    <row r="10080">
      <c r="A10080" s="544" t="n">
        <v>43320</v>
      </c>
      <c r="B10080" s="538" t="n">
        <v>70.70999999999999</v>
      </c>
      <c r="C10080" s="538" t="n">
        <v>66.92</v>
      </c>
      <c r="D10080" s="538" t="n">
        <v>70.95999999999999</v>
      </c>
      <c r="E10080" s="538" t="n">
        <v>88.06999999999999</v>
      </c>
    </row>
    <row r="10081">
      <c r="A10081" s="544" t="n">
        <v>43321</v>
      </c>
      <c r="B10081" s="538" t="n">
        <v>70.55</v>
      </c>
      <c r="C10081" s="538" t="n">
        <v>66.81</v>
      </c>
      <c r="D10081" s="538" t="n">
        <v>70.72</v>
      </c>
      <c r="E10081" s="538" t="n">
        <v>88.06999999999999</v>
      </c>
    </row>
    <row r="10082">
      <c r="A10082" s="544" t="n">
        <v>43322</v>
      </c>
      <c r="B10082" s="538" t="n">
        <v>71</v>
      </c>
      <c r="C10082" s="538" t="n">
        <v>67.61</v>
      </c>
      <c r="D10082" s="538" t="n">
        <v>71.63</v>
      </c>
      <c r="E10082" s="538" t="n">
        <v>85.51000000000001</v>
      </c>
    </row>
    <row r="10083">
      <c r="A10083" s="544" t="n">
        <v>43325</v>
      </c>
      <c r="B10083" s="538" t="n">
        <v>70.62</v>
      </c>
      <c r="C10083" s="538" t="n">
        <v>67.25</v>
      </c>
      <c r="D10083" s="538" t="n">
        <v>71.59</v>
      </c>
      <c r="E10083" s="538" t="n">
        <v>86.63</v>
      </c>
    </row>
    <row r="10084">
      <c r="A10084" s="544" t="n">
        <v>43326</v>
      </c>
      <c r="B10084" s="538" t="n">
        <v>70.77</v>
      </c>
      <c r="C10084" s="538" t="n">
        <v>67.04000000000001</v>
      </c>
      <c r="D10084" s="538" t="n">
        <v>71.15000000000001</v>
      </c>
      <c r="E10084" s="538" t="n">
        <v>86.67</v>
      </c>
    </row>
    <row r="10085">
      <c r="A10085" s="544" t="n">
        <v>43327</v>
      </c>
      <c r="B10085" s="538" t="n">
        <v>68.38</v>
      </c>
      <c r="C10085" s="538" t="n">
        <v>65.06999999999999</v>
      </c>
      <c r="D10085" s="538" t="n">
        <v>69.54000000000001</v>
      </c>
      <c r="E10085" s="538" t="n">
        <v>85.69</v>
      </c>
    </row>
    <row r="10086">
      <c r="A10086" s="544" t="n">
        <v>43328</v>
      </c>
      <c r="B10086" s="538" t="n">
        <v>69.20999999999999</v>
      </c>
      <c r="C10086" s="538" t="n">
        <v>65.44</v>
      </c>
      <c r="D10086" s="538" t="n">
        <v>70.17</v>
      </c>
      <c r="E10086" s="538" t="n">
        <v>85.05</v>
      </c>
    </row>
    <row r="10087">
      <c r="A10087" s="544" t="n">
        <v>43329</v>
      </c>
      <c r="B10087" s="538" t="n">
        <v>70.14</v>
      </c>
      <c r="C10087" s="538" t="n">
        <v>65.93000000000001</v>
      </c>
      <c r="D10087" s="538" t="n">
        <v>70.56</v>
      </c>
      <c r="E10087" s="538" t="n">
        <v>85.65000000000001</v>
      </c>
    </row>
    <row r="10088">
      <c r="A10088" s="544" t="n">
        <v>43332</v>
      </c>
      <c r="B10088" s="538" t="n">
        <v>71.11</v>
      </c>
      <c r="C10088" s="538" t="n">
        <v>66.5</v>
      </c>
      <c r="D10088" s="538" t="n">
        <v>70.92</v>
      </c>
      <c r="E10088" s="538" t="n">
        <v>85.90000000000001</v>
      </c>
    </row>
    <row r="10089">
      <c r="A10089" s="544" t="n">
        <v>43333</v>
      </c>
      <c r="B10089" s="538" t="n">
        <v>71.65000000000001</v>
      </c>
      <c r="C10089" s="538" t="n">
        <v>67.31999999999999</v>
      </c>
      <c r="D10089" s="538" t="n">
        <v>71.59999999999999</v>
      </c>
      <c r="E10089" s="538" t="n">
        <v>85.91</v>
      </c>
    </row>
    <row r="10090">
      <c r="A10090" s="544" t="n">
        <v>43334</v>
      </c>
      <c r="B10090" s="538" t="n">
        <v>72.95999999999999</v>
      </c>
      <c r="C10090" s="538" t="n">
        <v>67.84999999999999</v>
      </c>
      <c r="D10090" s="538" t="n">
        <v>73.73999999999999</v>
      </c>
      <c r="E10090" s="538" t="n">
        <v>85.91</v>
      </c>
    </row>
    <row r="10091">
      <c r="A10091" s="544" t="n">
        <v>43335</v>
      </c>
      <c r="B10091" s="538" t="n">
        <v>73.73</v>
      </c>
      <c r="C10091" s="538" t="n">
        <v>69.13</v>
      </c>
      <c r="D10091" s="538" t="n">
        <v>73.83</v>
      </c>
      <c r="E10091" s="538" t="n">
        <v>87.64</v>
      </c>
    </row>
    <row r="10092">
      <c r="A10092" s="544" t="n">
        <v>43336</v>
      </c>
      <c r="B10092" s="538" t="n">
        <v>74.41</v>
      </c>
      <c r="C10092" s="538" t="n">
        <v>69.70999999999999</v>
      </c>
      <c r="D10092" s="538" t="n">
        <v>74.83</v>
      </c>
      <c r="E10092" s="538" t="n">
        <v>88.81999999999999</v>
      </c>
    </row>
    <row r="10093">
      <c r="A10093" s="544" t="n">
        <v>43339</v>
      </c>
      <c r="B10093" s="538" t="n">
        <v>74.41</v>
      </c>
      <c r="C10093" s="538" t="n">
        <v>69.97</v>
      </c>
      <c r="D10093" s="538" t="n">
        <v>75.29000000000001</v>
      </c>
      <c r="E10093" s="538" t="n">
        <v>88.61</v>
      </c>
    </row>
    <row r="10094">
      <c r="A10094" s="544" t="n">
        <v>43340</v>
      </c>
      <c r="B10094" s="538" t="n">
        <v>75.91</v>
      </c>
      <c r="C10094" s="538" t="n">
        <v>68.54000000000001</v>
      </c>
      <c r="D10094" s="538" t="n">
        <v>74.77</v>
      </c>
      <c r="E10094" s="538" t="n">
        <v>89.81999999999999</v>
      </c>
    </row>
    <row r="10095">
      <c r="A10095" s="544" t="n">
        <v>43341</v>
      </c>
      <c r="B10095" s="538" t="n">
        <v>76.06999999999999</v>
      </c>
      <c r="C10095" s="538" t="n">
        <v>69.68000000000001</v>
      </c>
      <c r="D10095" s="538" t="n">
        <v>75.81999999999999</v>
      </c>
      <c r="E10095" s="538" t="n">
        <v>89.26000000000001</v>
      </c>
    </row>
    <row r="10096">
      <c r="A10096" s="544" t="n">
        <v>43342</v>
      </c>
      <c r="B10096" s="538" t="n">
        <v>77.05</v>
      </c>
      <c r="C10096" s="538" t="n">
        <v>70.25</v>
      </c>
      <c r="D10096" s="538" t="n">
        <v>76.18000000000001</v>
      </c>
      <c r="E10096" s="538" t="n">
        <v>90.48</v>
      </c>
    </row>
    <row r="10097">
      <c r="A10097" s="544" t="n">
        <v>43343</v>
      </c>
      <c r="B10097" s="538" t="n">
        <v>76.94</v>
      </c>
      <c r="C10097" s="538" t="n">
        <v>69.84</v>
      </c>
      <c r="D10097" s="538" t="n">
        <v>75.89</v>
      </c>
      <c r="E10097" s="538" t="n">
        <v>90.37</v>
      </c>
    </row>
    <row r="10098">
      <c r="A10098" s="544" t="n">
        <v>43346</v>
      </c>
      <c r="B10098" s="538" t="n">
        <v>77.81</v>
      </c>
      <c r="C10098" s="538" t="n">
        <v>69.84</v>
      </c>
      <c r="D10098" s="538" t="n">
        <v>75.95999999999999</v>
      </c>
      <c r="E10098" s="538" t="n">
        <v>91.28</v>
      </c>
    </row>
    <row r="10099">
      <c r="A10099" s="544" t="n">
        <v>43347</v>
      </c>
      <c r="B10099" s="538" t="n">
        <v>77.51000000000001</v>
      </c>
      <c r="C10099" s="538" t="n">
        <v>69.81999999999999</v>
      </c>
      <c r="D10099" s="538" t="n">
        <v>75.77</v>
      </c>
      <c r="E10099" s="538" t="n">
        <v>92.56999999999999</v>
      </c>
    </row>
    <row r="10100">
      <c r="A10100" s="544" t="n">
        <v>43348</v>
      </c>
      <c r="B10100" s="538" t="n">
        <v>76.68000000000001</v>
      </c>
      <c r="C10100" s="538" t="n">
        <v>68.69</v>
      </c>
      <c r="D10100" s="538" t="n">
        <v>74.98999999999999</v>
      </c>
      <c r="E10100" s="538" t="n">
        <v>90.86</v>
      </c>
    </row>
    <row r="10101">
      <c r="A10101" s="544" t="n">
        <v>43349</v>
      </c>
      <c r="B10101" s="538" t="n">
        <v>75.67</v>
      </c>
      <c r="C10101" s="538" t="n">
        <v>67.81</v>
      </c>
      <c r="D10101" s="538" t="n">
        <v>74.48</v>
      </c>
      <c r="E10101" s="538" t="n">
        <v>90.33</v>
      </c>
    </row>
    <row r="10102">
      <c r="A10102" s="544" t="n">
        <v>43350</v>
      </c>
      <c r="B10102" s="538" t="n">
        <v>75.55</v>
      </c>
      <c r="C10102" s="538" t="n">
        <v>67.73</v>
      </c>
      <c r="D10102" s="538" t="n">
        <v>74.56</v>
      </c>
      <c r="E10102" s="538" t="n">
        <v>89.67</v>
      </c>
    </row>
    <row r="10103">
      <c r="A10103" s="544" t="n">
        <v>43353</v>
      </c>
      <c r="B10103" s="538" t="n">
        <v>76.77</v>
      </c>
      <c r="C10103" s="538" t="n">
        <v>67.55</v>
      </c>
      <c r="D10103" s="538" t="n">
        <v>75.17</v>
      </c>
      <c r="E10103" s="538" t="n">
        <v>90.73</v>
      </c>
    </row>
    <row r="10104">
      <c r="A10104" s="544" t="n">
        <v>43354</v>
      </c>
      <c r="B10104" s="538" t="n">
        <v>78.22</v>
      </c>
      <c r="C10104" s="538" t="n">
        <v>69.29000000000001</v>
      </c>
      <c r="D10104" s="538" t="n">
        <v>77.47</v>
      </c>
      <c r="E10104" s="538" t="n">
        <v>90.65000000000001</v>
      </c>
    </row>
    <row r="10105">
      <c r="A10105" s="544" t="n">
        <v>43355</v>
      </c>
      <c r="B10105" s="538" t="n">
        <v>80.02</v>
      </c>
      <c r="C10105" s="538" t="n">
        <v>70.37</v>
      </c>
      <c r="D10105" s="538" t="n">
        <v>77.37</v>
      </c>
      <c r="E10105" s="538" t="n">
        <v>91.45</v>
      </c>
    </row>
    <row r="10106">
      <c r="A10106" s="544" t="n">
        <v>43356</v>
      </c>
      <c r="B10106" s="538" t="n">
        <v>77.66</v>
      </c>
      <c r="C10106" s="538" t="n">
        <v>68.59999999999999</v>
      </c>
      <c r="D10106" s="538" t="n">
        <v>76.2</v>
      </c>
      <c r="E10106" s="538" t="n">
        <v>91.12</v>
      </c>
    </row>
    <row r="10107">
      <c r="A10107" s="544" t="n">
        <v>43357</v>
      </c>
      <c r="B10107" s="538" t="n">
        <v>77.87</v>
      </c>
      <c r="C10107" s="538" t="n">
        <v>68.98</v>
      </c>
      <c r="D10107" s="538" t="n">
        <v>75.83</v>
      </c>
      <c r="E10107" s="538" t="n">
        <v>90.53</v>
      </c>
    </row>
    <row r="10108">
      <c r="A10108" s="544" t="n">
        <v>43360</v>
      </c>
      <c r="B10108" s="538" t="n">
        <v>78.22</v>
      </c>
      <c r="C10108" s="538" t="n">
        <v>68.86</v>
      </c>
      <c r="D10108" s="538" t="n">
        <v>75.66</v>
      </c>
      <c r="E10108" s="538" t="n">
        <v>90.48</v>
      </c>
    </row>
    <row r="10109">
      <c r="A10109" s="544" t="n">
        <v>43361</v>
      </c>
      <c r="B10109" s="538" t="n">
        <v>79.25</v>
      </c>
      <c r="C10109" s="538" t="n">
        <v>69.87</v>
      </c>
      <c r="D10109" s="538" t="n">
        <v>76.62</v>
      </c>
      <c r="E10109" s="538" t="n">
        <v>89.87</v>
      </c>
    </row>
    <row r="10110">
      <c r="A10110" s="544" t="n">
        <v>43362</v>
      </c>
      <c r="B10110" s="538" t="n">
        <v>79.43000000000001</v>
      </c>
      <c r="C10110" s="538" t="n">
        <v>71.08</v>
      </c>
      <c r="D10110" s="538" t="n">
        <v>77.3</v>
      </c>
      <c r="E10110" s="538" t="n">
        <v>91.23999999999999</v>
      </c>
    </row>
    <row r="10111">
      <c r="A10111" s="544" t="n">
        <v>43363</v>
      </c>
      <c r="B10111" s="538" t="n">
        <v>79.03</v>
      </c>
      <c r="C10111" s="538" t="n">
        <v>70.77</v>
      </c>
      <c r="D10111" s="538" t="n">
        <v>76.53</v>
      </c>
      <c r="E10111" s="538" t="n">
        <v>92.04000000000001</v>
      </c>
    </row>
    <row r="10112">
      <c r="A10112" s="544" t="n">
        <v>43364</v>
      </c>
      <c r="B10112" s="538" t="n">
        <v>78.90000000000001</v>
      </c>
      <c r="C10112" s="538" t="n">
        <v>70.8</v>
      </c>
      <c r="D10112" s="538" t="n">
        <v>76.58</v>
      </c>
      <c r="E10112" s="538" t="n">
        <v>91.64</v>
      </c>
    </row>
    <row r="10113">
      <c r="A10113" s="544" t="n">
        <v>43367</v>
      </c>
      <c r="B10113" s="538" t="n">
        <v>80.89</v>
      </c>
      <c r="C10113" s="538" t="n">
        <v>73.23</v>
      </c>
      <c r="D10113" s="538" t="n">
        <v>79.15000000000001</v>
      </c>
      <c r="E10113" s="538" t="n">
        <v>92.47</v>
      </c>
    </row>
    <row r="10114">
      <c r="A10114" s="544" t="n">
        <v>43368</v>
      </c>
      <c r="B10114" s="538" t="n">
        <v>82.20999999999999</v>
      </c>
      <c r="C10114" s="538" t="n">
        <v>73.40000000000001</v>
      </c>
      <c r="D10114" s="538" t="n">
        <v>79.15000000000001</v>
      </c>
      <c r="E10114" s="538" t="n">
        <v>93.81</v>
      </c>
    </row>
    <row r="10115">
      <c r="A10115" s="544" t="n">
        <v>43369</v>
      </c>
      <c r="B10115" s="538" t="n">
        <v>81.87</v>
      </c>
      <c r="C10115" s="538" t="n">
        <v>72.22</v>
      </c>
      <c r="D10115" s="538" t="n">
        <v>79.69</v>
      </c>
      <c r="E10115" s="538" t="n">
        <v>94.27</v>
      </c>
    </row>
    <row r="10116">
      <c r="A10116" s="544" t="n">
        <v>43370</v>
      </c>
      <c r="B10116" s="538" t="n">
        <v>81.54000000000001</v>
      </c>
      <c r="C10116" s="538" t="n">
        <v>72.18000000000001</v>
      </c>
      <c r="D10116" s="538" t="n">
        <v>79.73999999999999</v>
      </c>
      <c r="E10116" s="538" t="n">
        <v>94.45999999999999</v>
      </c>
    </row>
    <row r="10117">
      <c r="A10117" s="544" t="n">
        <v>43371</v>
      </c>
      <c r="B10117" s="538" t="n">
        <v>82.72</v>
      </c>
      <c r="C10117" s="538" t="n">
        <v>73.16</v>
      </c>
      <c r="D10117" s="538" t="n">
        <v>81.13</v>
      </c>
      <c r="E10117" s="538" t="n">
        <v>94.08</v>
      </c>
    </row>
    <row r="10118">
      <c r="A10118" s="544" t="n">
        <v>43374</v>
      </c>
      <c r="B10118" s="538" t="n">
        <v>84.94</v>
      </c>
      <c r="C10118" s="538" t="n">
        <v>75.37</v>
      </c>
      <c r="D10118" s="538" t="n">
        <v>82.76000000000001</v>
      </c>
      <c r="E10118" s="538" t="n">
        <v>95.06</v>
      </c>
    </row>
    <row r="10119">
      <c r="A10119" s="544" t="n">
        <v>43375</v>
      </c>
      <c r="B10119" s="538" t="n">
        <v>85.63</v>
      </c>
      <c r="C10119" s="538" t="n">
        <v>75.16</v>
      </c>
      <c r="D10119" s="538" t="n">
        <v>82.43000000000001</v>
      </c>
      <c r="E10119" s="538" t="n">
        <v>97.28</v>
      </c>
    </row>
    <row r="10120">
      <c r="A10120" s="544" t="n">
        <v>43376</v>
      </c>
      <c r="B10120" s="538" t="n">
        <v>85.45</v>
      </c>
      <c r="C10120" s="538" t="n">
        <v>76.40000000000001</v>
      </c>
      <c r="D10120" s="538" t="n">
        <v>83.93000000000001</v>
      </c>
      <c r="E10120" s="538" t="n">
        <v>97.54000000000001</v>
      </c>
    </row>
    <row r="10121">
      <c r="A10121" s="544" t="n">
        <v>43377</v>
      </c>
      <c r="B10121" s="538" t="n">
        <v>86.06999999999999</v>
      </c>
      <c r="C10121" s="538" t="n">
        <v>74.44</v>
      </c>
      <c r="D10121" s="538" t="n">
        <v>82.73999999999999</v>
      </c>
      <c r="E10121" s="538" t="n">
        <v>98.34999999999999</v>
      </c>
    </row>
    <row r="10122">
      <c r="A10122" s="544" t="n">
        <v>43378</v>
      </c>
      <c r="B10122" s="538" t="n">
        <v>85.12</v>
      </c>
      <c r="C10122" s="538" t="n">
        <v>74.26000000000001</v>
      </c>
      <c r="D10122" s="538" t="n">
        <v>82.3</v>
      </c>
      <c r="E10122" s="538" t="n">
        <v>97.59</v>
      </c>
    </row>
    <row r="10123">
      <c r="A10123" s="544" t="n">
        <v>43381</v>
      </c>
      <c r="B10123" s="538" t="n">
        <v>84.22</v>
      </c>
      <c r="C10123" s="538" t="n">
        <v>74.27</v>
      </c>
      <c r="D10123" s="538" t="n">
        <v>81.92</v>
      </c>
      <c r="E10123" s="538" t="n">
        <v>96.16</v>
      </c>
    </row>
    <row r="10124">
      <c r="A10124" s="544" t="n">
        <v>43382</v>
      </c>
      <c r="B10124" s="538" t="n">
        <v>85.16</v>
      </c>
      <c r="C10124" s="538" t="n">
        <v>74.95</v>
      </c>
      <c r="D10124" s="538" t="n">
        <v>82.73999999999999</v>
      </c>
      <c r="E10124" s="538" t="n">
        <v>97.83</v>
      </c>
    </row>
    <row r="10125">
      <c r="A10125" s="544" t="n">
        <v>43383</v>
      </c>
      <c r="B10125" s="538" t="n">
        <v>83.81999999999999</v>
      </c>
      <c r="C10125" s="538" t="n">
        <v>73.18000000000001</v>
      </c>
      <c r="D10125" s="538" t="n">
        <v>80.41</v>
      </c>
      <c r="E10125" s="538" t="n">
        <v>98.28</v>
      </c>
    </row>
    <row r="10126">
      <c r="A10126" s="544" t="n">
        <v>43384</v>
      </c>
      <c r="B10126" s="538" t="n">
        <v>81.34999999999999</v>
      </c>
      <c r="C10126" s="538" t="n">
        <v>70.97</v>
      </c>
      <c r="D10126" s="538" t="n">
        <v>78.69</v>
      </c>
      <c r="E10126" s="538" t="n">
        <v>96.14</v>
      </c>
    </row>
    <row r="10127">
      <c r="A10127" s="544" t="n">
        <v>43385</v>
      </c>
      <c r="B10127" s="538" t="n">
        <v>80.70999999999999</v>
      </c>
      <c r="C10127" s="538" t="n">
        <v>71.41</v>
      </c>
      <c r="D10127" s="538" t="n">
        <v>78.33</v>
      </c>
      <c r="E10127" s="538" t="n">
        <v>95.3</v>
      </c>
    </row>
    <row r="10128">
      <c r="A10128" s="544" t="n">
        <v>43388</v>
      </c>
      <c r="B10128" s="538" t="n">
        <v>80.91</v>
      </c>
      <c r="C10128" s="538" t="n">
        <v>71.84</v>
      </c>
      <c r="D10128" s="538" t="n">
        <v>78.62</v>
      </c>
      <c r="E10128" s="538" t="n">
        <v>94.83</v>
      </c>
    </row>
    <row r="10129">
      <c r="A10129" s="544" t="n">
        <v>43389</v>
      </c>
      <c r="B10129" s="538" t="n">
        <v>80.53</v>
      </c>
      <c r="C10129" s="538" t="n">
        <v>71.93000000000001</v>
      </c>
      <c r="D10129" s="538" t="n">
        <v>79.7</v>
      </c>
      <c r="E10129" s="538" t="n">
        <v>94.20999999999999</v>
      </c>
    </row>
    <row r="10130">
      <c r="A10130" s="544" t="n">
        <v>43390</v>
      </c>
      <c r="B10130" s="538" t="n">
        <v>79.91</v>
      </c>
      <c r="C10130" s="538" t="n">
        <v>69.63</v>
      </c>
      <c r="D10130" s="538" t="n">
        <v>78.23999999999999</v>
      </c>
      <c r="E10130" s="538" t="n">
        <v>95.64</v>
      </c>
    </row>
    <row r="10131">
      <c r="A10131" s="544" t="n">
        <v>43391</v>
      </c>
      <c r="B10131" s="538" t="n">
        <v>80.3</v>
      </c>
      <c r="C10131" s="538" t="n">
        <v>68.63</v>
      </c>
      <c r="D10131" s="538" t="n">
        <v>77.29000000000001</v>
      </c>
      <c r="E10131" s="538" t="n">
        <v>94.23999999999999</v>
      </c>
    </row>
    <row r="10132">
      <c r="A10132" s="544" t="n">
        <v>43392</v>
      </c>
      <c r="B10132" s="538" t="n">
        <v>80.38</v>
      </c>
      <c r="C10132" s="538" t="n">
        <v>69.16</v>
      </c>
      <c r="D10132" s="538" t="n">
        <v>77.89</v>
      </c>
      <c r="E10132" s="538" t="n">
        <v>94.36</v>
      </c>
    </row>
    <row r="10133">
      <c r="A10133" s="544" t="n">
        <v>43395</v>
      </c>
      <c r="B10133" s="538" t="n">
        <v>80.45</v>
      </c>
      <c r="C10133" s="538" t="n">
        <v>69.25</v>
      </c>
      <c r="D10133" s="538" t="n">
        <v>78.23</v>
      </c>
      <c r="E10133" s="538" t="n">
        <v>95.34</v>
      </c>
    </row>
    <row r="10134">
      <c r="A10134" s="544" t="n">
        <v>43396</v>
      </c>
      <c r="B10134" s="538" t="n">
        <v>78.67</v>
      </c>
      <c r="C10134" s="538" t="n">
        <v>66.48999999999999</v>
      </c>
      <c r="D10134" s="538" t="n">
        <v>74.63</v>
      </c>
      <c r="E10134" s="538" t="n">
        <v>94.56999999999999</v>
      </c>
    </row>
    <row r="10135">
      <c r="A10135" s="544" t="n">
        <v>43397</v>
      </c>
      <c r="B10135" s="538" t="n">
        <v>77.34</v>
      </c>
      <c r="C10135" s="538" t="n">
        <v>66.56</v>
      </c>
      <c r="D10135" s="538" t="n">
        <v>74.42</v>
      </c>
      <c r="E10135" s="538" t="n">
        <v>91.81</v>
      </c>
    </row>
    <row r="10136">
      <c r="A10136" s="544" t="n">
        <v>43398</v>
      </c>
      <c r="B10136" s="538" t="n">
        <v>77.3</v>
      </c>
      <c r="C10136" s="538" t="n">
        <v>67.25</v>
      </c>
      <c r="D10136" s="538" t="n">
        <v>74.95999999999999</v>
      </c>
      <c r="E10136" s="538" t="n">
        <v>91.78</v>
      </c>
    </row>
    <row r="10137">
      <c r="A10137" s="544" t="n">
        <v>43399</v>
      </c>
      <c r="B10137" s="538" t="n">
        <v>77.40000000000001</v>
      </c>
      <c r="C10137" s="538" t="n">
        <v>67.58</v>
      </c>
      <c r="D10137" s="538" t="n">
        <v>76.14</v>
      </c>
      <c r="E10137" s="538" t="n">
        <v>92.70999999999999</v>
      </c>
    </row>
    <row r="10138">
      <c r="A10138" s="544" t="n">
        <v>43402</v>
      </c>
      <c r="B10138" s="538" t="n">
        <v>77.56</v>
      </c>
      <c r="C10138" s="538" t="n">
        <v>67</v>
      </c>
      <c r="D10138" s="538" t="n">
        <v>75.52</v>
      </c>
      <c r="E10138" s="538" t="n">
        <v>93.34</v>
      </c>
    </row>
    <row r="10139">
      <c r="A10139" s="544" t="n">
        <v>43403</v>
      </c>
      <c r="B10139" s="538" t="n">
        <v>75.68000000000001</v>
      </c>
      <c r="C10139" s="538" t="n">
        <v>66.18000000000001</v>
      </c>
      <c r="D10139" s="538" t="n">
        <v>74.88</v>
      </c>
      <c r="E10139" s="538" t="n">
        <v>92.68000000000001</v>
      </c>
    </row>
    <row r="10140">
      <c r="A10140" s="544" t="n">
        <v>43404</v>
      </c>
      <c r="B10140" s="538" t="n">
        <v>74.84</v>
      </c>
      <c r="C10140" s="538" t="n">
        <v>65.31</v>
      </c>
      <c r="D10140" s="538" t="n">
        <v>73.87</v>
      </c>
      <c r="E10140" s="538" t="n">
        <v>93.05</v>
      </c>
    </row>
    <row r="10141">
      <c r="A10141" s="544" t="n">
        <v>43405</v>
      </c>
      <c r="B10141" s="538" t="n">
        <v>71.25</v>
      </c>
      <c r="C10141" s="538" t="n">
        <v>63.67</v>
      </c>
      <c r="D10141" s="538" t="n">
        <v>71.31999999999999</v>
      </c>
      <c r="E10141" s="538" t="n">
        <v>91.37</v>
      </c>
    </row>
    <row r="10142">
      <c r="A10142" s="544" t="n">
        <v>43406</v>
      </c>
      <c r="B10142" s="538" t="n">
        <v>71.11</v>
      </c>
      <c r="C10142" s="538" t="n">
        <v>63.12</v>
      </c>
      <c r="D10142" s="538" t="n">
        <v>71.2</v>
      </c>
      <c r="E10142" s="538" t="n">
        <v>89.05</v>
      </c>
    </row>
    <row r="10143">
      <c r="A10143" s="544" t="n">
        <v>43409</v>
      </c>
      <c r="B10143" s="538" t="n">
        <v>72.68000000000001</v>
      </c>
      <c r="C10143" s="538" t="n">
        <v>63.12</v>
      </c>
      <c r="D10143" s="538" t="n">
        <v>71.2</v>
      </c>
      <c r="E10143" s="538" t="n">
        <v>87.37</v>
      </c>
    </row>
    <row r="10144">
      <c r="A10144" s="544" t="n">
        <v>43410</v>
      </c>
      <c r="B10144" s="538" t="n">
        <v>70.64</v>
      </c>
      <c r="C10144" s="538" t="n">
        <v>62.16</v>
      </c>
      <c r="D10144" s="538" t="n">
        <v>70.19</v>
      </c>
      <c r="E10144" s="538" t="n">
        <v>87.37</v>
      </c>
    </row>
    <row r="10145">
      <c r="A10145" s="544" t="n">
        <v>43411</v>
      </c>
      <c r="B10145" s="538" t="n">
        <v>70.09999999999999</v>
      </c>
      <c r="C10145" s="538" t="n">
        <v>61.69</v>
      </c>
      <c r="D10145" s="538" t="n">
        <v>70.59999999999999</v>
      </c>
      <c r="E10145" s="538" t="n">
        <v>87.98999999999999</v>
      </c>
    </row>
    <row r="10146">
      <c r="A10146" s="544" t="n">
        <v>43412</v>
      </c>
      <c r="B10146" s="538" t="n">
        <v>69.29000000000001</v>
      </c>
      <c r="C10146" s="538" t="n">
        <v>60.71</v>
      </c>
      <c r="D10146" s="538" t="n">
        <v>69.45</v>
      </c>
      <c r="E10146" s="538" t="n">
        <v>89.62</v>
      </c>
    </row>
    <row r="10147">
      <c r="A10147" s="544" t="n">
        <v>43413</v>
      </c>
      <c r="B10147" s="538" t="n">
        <v>69.01000000000001</v>
      </c>
      <c r="C10147" s="538" t="n">
        <v>60.19</v>
      </c>
      <c r="D10147" s="538" t="n">
        <v>68.67</v>
      </c>
      <c r="E10147" s="538" t="n">
        <v>86.69</v>
      </c>
    </row>
    <row r="10148">
      <c r="A10148" s="544" t="n">
        <v>43416</v>
      </c>
      <c r="B10148" s="538" t="n">
        <v>69.81</v>
      </c>
      <c r="C10148" s="538" t="n">
        <v>59.85</v>
      </c>
      <c r="D10148" s="538" t="n">
        <v>67.84</v>
      </c>
      <c r="E10148" s="538" t="n">
        <v>88.48999999999999</v>
      </c>
    </row>
    <row r="10149">
      <c r="A10149" s="544" t="n">
        <v>43417</v>
      </c>
      <c r="B10149" s="538" t="n">
        <v>65.45</v>
      </c>
      <c r="C10149" s="538" t="n">
        <v>55.63</v>
      </c>
      <c r="D10149" s="538" t="n">
        <v>64.16</v>
      </c>
      <c r="E10149" s="538" t="n">
        <v>87.06999999999999</v>
      </c>
    </row>
    <row r="10150">
      <c r="A10150" s="544" t="n">
        <v>43418</v>
      </c>
      <c r="B10150" s="538" t="n">
        <v>64.88</v>
      </c>
      <c r="C10150" s="538" t="n">
        <v>56.16</v>
      </c>
      <c r="D10150" s="538" t="n">
        <v>64.47</v>
      </c>
      <c r="E10150" s="538" t="n">
        <v>83.28</v>
      </c>
    </row>
    <row r="10151">
      <c r="A10151" s="544" t="n">
        <v>43419</v>
      </c>
      <c r="B10151" s="538" t="n">
        <v>65.61</v>
      </c>
      <c r="C10151" s="538" t="n">
        <v>56.45</v>
      </c>
      <c r="D10151" s="538" t="n">
        <v>65.15000000000001</v>
      </c>
      <c r="E10151" s="538" t="n">
        <v>84.61</v>
      </c>
    </row>
    <row r="10152">
      <c r="A10152" s="544" t="n">
        <v>43420</v>
      </c>
      <c r="B10152" s="538" t="n">
        <v>65.29000000000001</v>
      </c>
      <c r="C10152" s="538" t="n">
        <v>56.49</v>
      </c>
      <c r="D10152" s="538" t="n">
        <v>65.33</v>
      </c>
      <c r="E10152" s="538" t="n">
        <v>84.89</v>
      </c>
    </row>
    <row r="10153">
      <c r="A10153" s="544" t="n">
        <v>43423</v>
      </c>
      <c r="B10153" s="538" t="n">
        <v>64.14</v>
      </c>
      <c r="C10153" s="538" t="n">
        <v>57.16</v>
      </c>
      <c r="D10153" s="538" t="n">
        <v>65.79000000000001</v>
      </c>
      <c r="E10153" s="538" t="n">
        <v>84.14</v>
      </c>
    </row>
    <row r="10154">
      <c r="A10154" s="544" t="n">
        <v>43424</v>
      </c>
      <c r="B10154" s="538" t="n">
        <v>61.5</v>
      </c>
      <c r="C10154" s="538" t="n">
        <v>53.39</v>
      </c>
      <c r="D10154" s="538" t="n">
        <v>61.47</v>
      </c>
      <c r="E10154" s="538" t="n">
        <v>83.14</v>
      </c>
    </row>
    <row r="10155">
      <c r="A10155" s="544" t="n">
        <v>43425</v>
      </c>
      <c r="B10155" s="538" t="n">
        <v>61.65</v>
      </c>
      <c r="C10155" s="538" t="n">
        <v>54.41</v>
      </c>
      <c r="D10155" s="538" t="n">
        <v>62.48</v>
      </c>
      <c r="E10155" s="538" t="n">
        <v>80.09999999999999</v>
      </c>
    </row>
    <row r="10156">
      <c r="A10156" s="544" t="n">
        <v>43426</v>
      </c>
      <c r="B10156" s="538" t="n">
        <v>61.11</v>
      </c>
      <c r="C10156" s="538" t="n">
        <v>54.41</v>
      </c>
      <c r="D10156" s="538" t="n">
        <v>61.54</v>
      </c>
      <c r="E10156" s="538" t="n">
        <v>78.93000000000001</v>
      </c>
    </row>
    <row r="10157">
      <c r="A10157" s="544" t="n">
        <v>43427</v>
      </c>
      <c r="B10157" s="538" t="n">
        <v>57.69</v>
      </c>
      <c r="C10157" s="538" t="n">
        <v>54.41</v>
      </c>
      <c r="D10157" s="538" t="n">
        <v>58.1</v>
      </c>
      <c r="E10157" s="538" t="n">
        <v>78.04000000000001</v>
      </c>
    </row>
    <row r="10158">
      <c r="A10158" s="544" t="n">
        <v>43430</v>
      </c>
      <c r="B10158" s="538" t="n">
        <v>59.7</v>
      </c>
      <c r="C10158" s="538" t="n">
        <v>51.46</v>
      </c>
      <c r="D10158" s="538" t="n">
        <v>59.19</v>
      </c>
      <c r="E10158" s="538" t="n">
        <v>76.89</v>
      </c>
    </row>
    <row r="10159">
      <c r="A10159" s="544" t="n">
        <v>43431</v>
      </c>
      <c r="B10159" s="538" t="n">
        <v>59.58</v>
      </c>
      <c r="C10159" s="538" t="n">
        <v>51.31</v>
      </c>
      <c r="D10159" s="538" t="n">
        <v>59.62</v>
      </c>
      <c r="E10159" s="538" t="n">
        <v>75.70999999999999</v>
      </c>
    </row>
    <row r="10160">
      <c r="A10160" s="544" t="n">
        <v>43432</v>
      </c>
      <c r="B10160" s="538" t="n">
        <v>57.97</v>
      </c>
      <c r="C10160" s="538" t="n">
        <v>50.06</v>
      </c>
      <c r="D10160" s="538" t="n">
        <v>58.3</v>
      </c>
      <c r="E10160" s="538" t="n">
        <v>76.61</v>
      </c>
    </row>
    <row r="10161">
      <c r="A10161" s="544" t="n">
        <v>43433</v>
      </c>
      <c r="B10161" s="538" t="n">
        <v>58.29</v>
      </c>
      <c r="C10161" s="538" t="n">
        <v>51.46</v>
      </c>
      <c r="D10161" s="538" t="n">
        <v>58.86</v>
      </c>
      <c r="E10161" s="538" t="n">
        <v>74.15000000000001</v>
      </c>
    </row>
    <row r="10162">
      <c r="A10162" s="544" t="n">
        <v>43434</v>
      </c>
      <c r="B10162" s="538" t="n">
        <v>57.71</v>
      </c>
      <c r="C10162" s="538" t="n">
        <v>50.78</v>
      </c>
      <c r="D10162" s="538" t="n">
        <v>57.37</v>
      </c>
      <c r="E10162" s="538" t="n">
        <v>73.95999999999999</v>
      </c>
    </row>
    <row r="10163">
      <c r="A10163" s="544" t="n">
        <v>43437</v>
      </c>
      <c r="B10163" s="538" t="n">
        <v>60.17</v>
      </c>
      <c r="C10163" s="538" t="n">
        <v>52.98</v>
      </c>
      <c r="D10163" s="538" t="n">
        <v>60.69</v>
      </c>
      <c r="E10163" s="538" t="n">
        <v>76.12</v>
      </c>
    </row>
    <row r="10164">
      <c r="A10164" s="544" t="n">
        <v>43438</v>
      </c>
      <c r="B10164" s="538" t="n">
        <v>61.22</v>
      </c>
      <c r="C10164" s="538" t="n">
        <v>53.21</v>
      </c>
      <c r="D10164" s="538" t="n">
        <v>60.14</v>
      </c>
      <c r="E10164" s="538" t="n">
        <v>75.43000000000001</v>
      </c>
    </row>
    <row r="10165">
      <c r="A10165" s="544" t="n">
        <v>43439</v>
      </c>
      <c r="B10165" s="538" t="n">
        <v>61.4</v>
      </c>
      <c r="C10165" s="538" t="n">
        <v>52.64</v>
      </c>
      <c r="D10165" s="538" t="n">
        <v>59.6</v>
      </c>
      <c r="E10165" s="538" t="n">
        <v>73.48</v>
      </c>
    </row>
    <row r="10166">
      <c r="A10166" s="544" t="n">
        <v>43440</v>
      </c>
      <c r="B10166" s="538" t="n">
        <v>57.83</v>
      </c>
      <c r="C10166" s="538" t="n">
        <v>51.54</v>
      </c>
      <c r="D10166" s="538" t="n">
        <v>58.22</v>
      </c>
      <c r="E10166" s="538" t="n">
        <v>73.15000000000001</v>
      </c>
    </row>
    <row r="10167">
      <c r="A10167" s="544" t="n">
        <v>43441</v>
      </c>
      <c r="B10167" s="538" t="n">
        <v>61.71</v>
      </c>
      <c r="C10167" s="538" t="n">
        <v>52.76</v>
      </c>
      <c r="D10167" s="538" t="n">
        <v>59.4</v>
      </c>
      <c r="E10167" s="538" t="n">
        <v>72.23</v>
      </c>
    </row>
    <row r="10168">
      <c r="A10168" s="544" t="n">
        <v>43444</v>
      </c>
      <c r="B10168" s="538" t="n">
        <v>60.29</v>
      </c>
      <c r="C10168" s="538" t="n">
        <v>51.07</v>
      </c>
      <c r="D10168" s="538" t="n">
        <v>57.79</v>
      </c>
      <c r="E10168" s="538" t="n">
        <v>73.94</v>
      </c>
    </row>
    <row r="10169">
      <c r="A10169" s="544" t="n">
        <v>43445</v>
      </c>
      <c r="B10169" s="538" t="n">
        <v>59.73</v>
      </c>
      <c r="C10169" s="538" t="n">
        <v>51.65</v>
      </c>
      <c r="D10169" s="538" t="n">
        <v>58.53</v>
      </c>
      <c r="E10169" s="538" t="n">
        <v>72.25</v>
      </c>
    </row>
    <row r="10170">
      <c r="A10170" s="544" t="n">
        <v>43446</v>
      </c>
      <c r="B10170" s="538" t="n">
        <v>59.94</v>
      </c>
      <c r="C10170" s="538" t="n">
        <v>51.04</v>
      </c>
      <c r="D10170" s="538" t="n">
        <v>58.6</v>
      </c>
      <c r="E10170" s="538" t="n">
        <v>73.01000000000001</v>
      </c>
    </row>
    <row r="10171">
      <c r="A10171" s="544" t="n">
        <v>43447</v>
      </c>
      <c r="B10171" s="538" t="n">
        <v>59.03</v>
      </c>
      <c r="C10171" s="538" t="n">
        <v>52.69</v>
      </c>
      <c r="D10171" s="538" t="n">
        <v>60</v>
      </c>
      <c r="E10171" s="538" t="n">
        <v>72.81</v>
      </c>
    </row>
    <row r="10172">
      <c r="A10172" s="544" t="n">
        <v>43448</v>
      </c>
      <c r="B10172" s="538" t="n">
        <v>58.56</v>
      </c>
      <c r="C10172" s="538" t="n">
        <v>51.26</v>
      </c>
      <c r="D10172" s="538" t="n">
        <v>58.42</v>
      </c>
      <c r="E10172" s="538" t="n">
        <v>73.43000000000001</v>
      </c>
    </row>
    <row r="10173">
      <c r="A10173" s="544" t="n">
        <v>43451</v>
      </c>
      <c r="B10173" s="538" t="n">
        <v>57.59</v>
      </c>
      <c r="C10173" s="538" t="n">
        <v>49.8</v>
      </c>
      <c r="D10173" s="538" t="n">
        <v>57.35</v>
      </c>
      <c r="E10173" s="538" t="n">
        <v>72.75</v>
      </c>
    </row>
    <row r="10174">
      <c r="A10174" s="544" t="n">
        <v>43452</v>
      </c>
      <c r="B10174" s="538" t="n">
        <v>55.26</v>
      </c>
      <c r="C10174" s="538" t="n">
        <v>46.12</v>
      </c>
      <c r="D10174" s="538" t="n">
        <v>54.42</v>
      </c>
      <c r="E10174" s="538" t="n">
        <v>71.05</v>
      </c>
    </row>
    <row r="10175">
      <c r="A10175" s="544" t="n">
        <v>43453</v>
      </c>
      <c r="B10175" s="538" t="n">
        <v>55.6</v>
      </c>
      <c r="C10175" s="538" t="n">
        <v>47.96</v>
      </c>
      <c r="D10175" s="538" t="n">
        <v>54.63</v>
      </c>
      <c r="E10175" s="538" t="n">
        <v>68.95</v>
      </c>
    </row>
    <row r="10176">
      <c r="A10176" s="544" t="n">
        <v>43454</v>
      </c>
      <c r="B10176" s="538" t="n">
        <v>52.84</v>
      </c>
      <c r="C10176" s="538" t="n">
        <v>45.64</v>
      </c>
      <c r="D10176" s="538" t="n">
        <v>53.38</v>
      </c>
      <c r="E10176" s="538" t="n">
        <v>68.86</v>
      </c>
    </row>
    <row r="10177">
      <c r="A10177" s="544" t="n">
        <v>43455</v>
      </c>
      <c r="B10177" s="538" t="n">
        <v>51.93</v>
      </c>
      <c r="C10177" s="538" t="n">
        <v>45.38</v>
      </c>
      <c r="D10177" s="538" t="n">
        <v>52.08</v>
      </c>
      <c r="E10177" s="538" t="n">
        <v>67.5</v>
      </c>
    </row>
    <row r="10178">
      <c r="A10178" s="544" t="n">
        <v>43458</v>
      </c>
      <c r="B10178" s="538" t="n">
        <v>51.93</v>
      </c>
      <c r="C10178" s="538" t="n">
        <v>45.38</v>
      </c>
      <c r="D10178" s="538" t="n">
        <v>48.81</v>
      </c>
      <c r="E10178" s="538" t="n">
        <v>67.5</v>
      </c>
    </row>
    <row r="10179">
      <c r="A10179" s="544" t="n">
        <v>43459</v>
      </c>
      <c r="B10179" s="538" t="n">
        <v>51.93</v>
      </c>
      <c r="C10179" s="538" t="n">
        <v>45.38</v>
      </c>
      <c r="D10179" s="538" t="n">
        <v>49.32</v>
      </c>
      <c r="E10179" s="538" t="n">
        <v>67.5</v>
      </c>
    </row>
    <row r="10180">
      <c r="A10180" s="544" t="n">
        <v>43460</v>
      </c>
      <c r="B10180" s="538" t="n">
        <v>51.93</v>
      </c>
      <c r="C10180" s="538" t="n">
        <v>46.04</v>
      </c>
      <c r="D10180" s="538" t="n">
        <v>53.21</v>
      </c>
      <c r="E10180" s="538" t="n">
        <v>63.28</v>
      </c>
    </row>
    <row r="10181">
      <c r="A10181" s="544" t="n">
        <v>43461</v>
      </c>
      <c r="B10181" s="538" t="n">
        <v>51.49</v>
      </c>
      <c r="C10181" s="538" t="n">
        <v>44.48</v>
      </c>
      <c r="D10181" s="538" t="n">
        <v>52.1</v>
      </c>
      <c r="E10181" s="538" t="n">
        <v>66.42</v>
      </c>
    </row>
    <row r="10182">
      <c r="A10182" s="544" t="n">
        <v>43462</v>
      </c>
      <c r="B10182" s="538" t="n">
        <v>50.57</v>
      </c>
      <c r="C10182" s="538" t="n">
        <v>45.15</v>
      </c>
      <c r="D10182" s="538" t="n">
        <v>51.23</v>
      </c>
      <c r="E10182" s="538" t="n">
        <v>65.73</v>
      </c>
    </row>
    <row r="10183">
      <c r="A10183" s="544" t="n">
        <v>43465</v>
      </c>
      <c r="B10183" s="538" t="n">
        <v>50.57</v>
      </c>
      <c r="C10183" s="538" t="n">
        <v>45.15</v>
      </c>
      <c r="D10183" s="538" t="n">
        <v>53.01</v>
      </c>
      <c r="E10183" s="538" t="n">
        <v>65.73</v>
      </c>
    </row>
    <row r="10184">
      <c r="A10184" s="544" t="n">
        <v>43466</v>
      </c>
      <c r="B10184" s="538" t="n">
        <v>50.57</v>
      </c>
      <c r="C10184" s="538" t="n">
        <v>45.15</v>
      </c>
      <c r="D10184" s="538" t="n">
        <v>53.51</v>
      </c>
      <c r="E10184" s="538" t="n">
        <v>65.73</v>
      </c>
    </row>
    <row r="10185">
      <c r="A10185" s="544" t="n">
        <v>43467</v>
      </c>
      <c r="B10185" s="538" t="n">
        <v>54.06</v>
      </c>
      <c r="C10185" s="538" t="n">
        <v>46.31</v>
      </c>
      <c r="D10185" s="538" t="n">
        <v>53.26</v>
      </c>
      <c r="E10185" s="538" t="n">
        <v>64.54000000000001</v>
      </c>
    </row>
    <row r="10186">
      <c r="A10186" s="544" t="n">
        <v>43468</v>
      </c>
      <c r="B10186" s="538" t="n">
        <v>53.23</v>
      </c>
      <c r="C10186" s="538" t="n">
        <v>46.92</v>
      </c>
      <c r="D10186" s="538" t="n">
        <v>54.68</v>
      </c>
      <c r="E10186" s="538" t="n">
        <v>66.25</v>
      </c>
    </row>
    <row r="10187">
      <c r="A10187" s="544" t="n">
        <v>43469</v>
      </c>
      <c r="B10187" s="538" t="n">
        <v>55.64</v>
      </c>
      <c r="C10187" s="538" t="n">
        <v>47.76</v>
      </c>
      <c r="D10187" s="538" t="n">
        <v>55.57</v>
      </c>
      <c r="E10187" s="538" t="n">
        <v>68.59</v>
      </c>
    </row>
    <row r="10188">
      <c r="A10188" s="544" t="n">
        <v>43472</v>
      </c>
      <c r="B10188" s="538" t="n">
        <v>57.1</v>
      </c>
      <c r="C10188" s="538" t="n">
        <v>48.27</v>
      </c>
      <c r="D10188" s="538" t="n">
        <v>56.26</v>
      </c>
      <c r="E10188" s="538" t="n">
        <v>70.75</v>
      </c>
    </row>
    <row r="10189">
      <c r="A10189" s="544" t="n">
        <v>43473</v>
      </c>
      <c r="B10189" s="538" t="n">
        <v>56.91</v>
      </c>
      <c r="C10189" s="538" t="n">
        <v>49.58</v>
      </c>
      <c r="D10189" s="538" t="n">
        <v>57.35</v>
      </c>
      <c r="E10189" s="538" t="n">
        <v>70.39</v>
      </c>
    </row>
    <row r="10190">
      <c r="A10190" s="544" t="n">
        <v>43474</v>
      </c>
      <c r="B10190" s="538" t="n">
        <v>59.46</v>
      </c>
      <c r="C10190" s="538" t="n">
        <v>52.19</v>
      </c>
      <c r="D10190" s="538" t="n">
        <v>60</v>
      </c>
      <c r="E10190" s="538" t="n">
        <v>71.76000000000001</v>
      </c>
    </row>
    <row r="10191">
      <c r="A10191" s="544" t="n">
        <v>43475</v>
      </c>
      <c r="B10191" s="538" t="n">
        <v>60.47</v>
      </c>
      <c r="C10191" s="538" t="n">
        <v>52.42</v>
      </c>
      <c r="D10191" s="538" t="n">
        <v>60.14</v>
      </c>
      <c r="E10191" s="538" t="n">
        <v>73.12</v>
      </c>
    </row>
    <row r="10192">
      <c r="A10192" s="544" t="n">
        <v>43476</v>
      </c>
      <c r="B10192" s="538" t="n">
        <v>59.24</v>
      </c>
      <c r="C10192" s="538" t="n">
        <v>51.44</v>
      </c>
      <c r="D10192" s="538" t="n">
        <v>59.49</v>
      </c>
      <c r="E10192" s="538" t="n">
        <v>74.88</v>
      </c>
    </row>
    <row r="10193">
      <c r="A10193" s="544" t="n">
        <v>43479</v>
      </c>
      <c r="B10193" s="538" t="n">
        <v>58.8</v>
      </c>
      <c r="C10193" s="538" t="n">
        <v>50.31</v>
      </c>
      <c r="D10193" s="538" t="n">
        <v>58.33</v>
      </c>
      <c r="E10193" s="538" t="n">
        <v>72.67</v>
      </c>
    </row>
    <row r="10194">
      <c r="A10194" s="544" t="n">
        <v>43480</v>
      </c>
      <c r="B10194" s="538" t="n">
        <v>58.65</v>
      </c>
      <c r="C10194" s="538" t="n">
        <v>51.8</v>
      </c>
      <c r="D10194" s="538" t="n">
        <v>59.63</v>
      </c>
      <c r="E10194" s="538" t="n">
        <v>72.06999999999999</v>
      </c>
    </row>
    <row r="10195">
      <c r="A10195" s="544" t="n">
        <v>43481</v>
      </c>
      <c r="B10195" s="538" t="n">
        <v>59.81</v>
      </c>
      <c r="C10195" s="538" t="n">
        <v>52.08</v>
      </c>
      <c r="D10195" s="538" t="n">
        <v>60.24</v>
      </c>
      <c r="E10195" s="538" t="n">
        <v>72.69</v>
      </c>
    </row>
    <row r="10196">
      <c r="A10196" s="544" t="n">
        <v>43482</v>
      </c>
      <c r="B10196" s="538" t="n">
        <v>59.85</v>
      </c>
      <c r="C10196" s="538" t="n">
        <v>51.83</v>
      </c>
      <c r="D10196" s="538" t="n">
        <v>60.42</v>
      </c>
      <c r="E10196" s="538" t="n">
        <v>72.70999999999999</v>
      </c>
    </row>
    <row r="10197">
      <c r="A10197" s="544" t="n">
        <v>43483</v>
      </c>
      <c r="B10197" s="538" t="n">
        <v>62.04</v>
      </c>
      <c r="C10197" s="538" t="n">
        <v>53.6</v>
      </c>
      <c r="D10197" s="538" t="n">
        <v>62.01</v>
      </c>
      <c r="E10197" s="538" t="n">
        <v>73.45</v>
      </c>
    </row>
    <row r="10198">
      <c r="A10198" s="544" t="n">
        <v>43486</v>
      </c>
      <c r="B10198" s="538" t="n">
        <v>62.18</v>
      </c>
      <c r="C10198" s="538" t="n">
        <v>53.6</v>
      </c>
      <c r="D10198" s="538" t="n">
        <v>61.99</v>
      </c>
      <c r="E10198" s="538" t="n">
        <v>73.61</v>
      </c>
    </row>
    <row r="10199">
      <c r="A10199" s="544" t="n">
        <v>43487</v>
      </c>
      <c r="B10199" s="538" t="n">
        <v>60.9</v>
      </c>
      <c r="C10199" s="538" t="n">
        <v>52.59</v>
      </c>
      <c r="D10199" s="538" t="n">
        <v>60.82</v>
      </c>
      <c r="E10199" s="538" t="n">
        <v>73.40000000000001</v>
      </c>
    </row>
    <row r="10200">
      <c r="A10200" s="544" t="n">
        <v>43488</v>
      </c>
      <c r="B10200" s="538" t="n">
        <v>61.05</v>
      </c>
      <c r="C10200" s="538" t="n">
        <v>52.44</v>
      </c>
      <c r="D10200" s="538" t="n">
        <v>60.41</v>
      </c>
      <c r="E10200" s="538" t="n">
        <v>73.14</v>
      </c>
    </row>
    <row r="10201">
      <c r="A10201" s="544" t="n">
        <v>43489</v>
      </c>
      <c r="B10201" s="538" t="n">
        <v>61.09</v>
      </c>
      <c r="C10201" s="538" t="n">
        <v>52.94</v>
      </c>
      <c r="D10201" s="538" t="n">
        <v>60.7</v>
      </c>
      <c r="E10201" s="538" t="n">
        <v>72.16</v>
      </c>
    </row>
    <row r="10202">
      <c r="A10202" s="544" t="n">
        <v>43490</v>
      </c>
      <c r="B10202" s="538" t="n">
        <v>61.49</v>
      </c>
      <c r="C10202" s="538" t="n">
        <v>53.53</v>
      </c>
      <c r="D10202" s="538" t="n">
        <v>61.29</v>
      </c>
      <c r="E10202" s="538" t="n">
        <v>72.79000000000001</v>
      </c>
    </row>
    <row r="10203">
      <c r="A10203" s="544" t="n">
        <v>43493</v>
      </c>
      <c r="B10203" s="538" t="n">
        <v>59.71</v>
      </c>
      <c r="C10203" s="538" t="n">
        <v>51.79</v>
      </c>
      <c r="D10203" s="538" t="n">
        <v>59.68</v>
      </c>
      <c r="E10203" s="538" t="n">
        <v>71.73</v>
      </c>
    </row>
    <row r="10204">
      <c r="A10204" s="544" t="n">
        <v>43494</v>
      </c>
      <c r="B10204" s="538" t="n">
        <v>60.98</v>
      </c>
      <c r="C10204" s="538" t="n">
        <v>53.07</v>
      </c>
      <c r="D10204" s="538" t="n">
        <v>60.98</v>
      </c>
      <c r="E10204" s="538" t="n">
        <v>71.16</v>
      </c>
    </row>
    <row r="10205">
      <c r="A10205" s="544" t="n">
        <v>43495</v>
      </c>
      <c r="B10205" s="538" t="n">
        <v>61.89</v>
      </c>
      <c r="C10205" s="538" t="n">
        <v>54.18</v>
      </c>
      <c r="D10205" s="538" t="n">
        <v>61.63</v>
      </c>
      <c r="E10205" s="538" t="n">
        <v>73.5</v>
      </c>
    </row>
    <row r="10206">
      <c r="A10206" s="544" t="n">
        <v>43496</v>
      </c>
      <c r="B10206" s="538" t="n">
        <v>62.46</v>
      </c>
      <c r="C10206" s="538" t="n">
        <v>53.84</v>
      </c>
      <c r="D10206" s="538" t="n">
        <v>62.1</v>
      </c>
      <c r="E10206" s="538" t="n">
        <v>74.55</v>
      </c>
    </row>
    <row r="10207">
      <c r="A10207" s="544" t="n">
        <v>43497</v>
      </c>
      <c r="B10207" s="538" t="n">
        <v>61.86</v>
      </c>
      <c r="C10207" s="538" t="n">
        <v>55.29</v>
      </c>
      <c r="D10207" s="538" t="n">
        <v>62.75</v>
      </c>
      <c r="E10207" s="538" t="n">
        <v>73.56999999999999</v>
      </c>
    </row>
    <row r="10208">
      <c r="A10208" s="544" t="n">
        <v>43500</v>
      </c>
      <c r="B10208" s="538" t="n">
        <v>62.26</v>
      </c>
      <c r="C10208" s="538" t="n">
        <v>54.57</v>
      </c>
      <c r="D10208" s="538" t="n">
        <v>62.8</v>
      </c>
      <c r="E10208" s="538" t="n">
        <v>75.45</v>
      </c>
    </row>
    <row r="10209">
      <c r="A10209" s="544" t="n">
        <v>43501</v>
      </c>
      <c r="B10209" s="538" t="n">
        <v>61.67</v>
      </c>
      <c r="C10209" s="538" t="n">
        <v>53.69</v>
      </c>
      <c r="D10209" s="538" t="n">
        <v>62.18</v>
      </c>
      <c r="E10209" s="538" t="n">
        <v>75.45</v>
      </c>
    </row>
    <row r="10210">
      <c r="A10210" s="544" t="n">
        <v>43502</v>
      </c>
      <c r="B10210" s="538" t="n">
        <v>62.22</v>
      </c>
      <c r="C10210" s="538" t="n">
        <v>53.94</v>
      </c>
      <c r="D10210" s="538" t="n">
        <v>62.7</v>
      </c>
      <c r="E10210" s="538" t="n">
        <v>75.45</v>
      </c>
    </row>
    <row r="10211">
      <c r="A10211" s="544" t="n">
        <v>43503</v>
      </c>
      <c r="B10211" s="538" t="n">
        <v>61.01</v>
      </c>
      <c r="C10211" s="538" t="n">
        <v>52.68</v>
      </c>
      <c r="D10211" s="538" t="n">
        <v>61.64</v>
      </c>
      <c r="E10211" s="538" t="n">
        <v>75.58</v>
      </c>
    </row>
    <row r="10212">
      <c r="A10212" s="544" t="n">
        <v>43504</v>
      </c>
      <c r="B10212" s="538" t="n">
        <v>61.37</v>
      </c>
      <c r="C10212" s="538" t="n">
        <v>52.75</v>
      </c>
      <c r="D10212" s="538" t="n">
        <v>62.15</v>
      </c>
      <c r="E10212" s="538" t="n">
        <v>74.98999999999999</v>
      </c>
    </row>
    <row r="10213">
      <c r="A10213" s="544" t="n">
        <v>43507</v>
      </c>
      <c r="B10213" s="538" t="n">
        <v>61.3</v>
      </c>
      <c r="C10213" s="538" t="n">
        <v>52.43</v>
      </c>
      <c r="D10213" s="538" t="n">
        <v>61.59</v>
      </c>
      <c r="E10213" s="538" t="n">
        <v>75.48999999999999</v>
      </c>
    </row>
    <row r="10214">
      <c r="A10214" s="544" t="n">
        <v>43508</v>
      </c>
      <c r="B10214" s="538" t="n">
        <v>62.58</v>
      </c>
      <c r="C10214" s="538" t="n">
        <v>53.14</v>
      </c>
      <c r="D10214" s="538" t="n">
        <v>63.09</v>
      </c>
      <c r="E10214" s="538" t="n">
        <v>74.90000000000001</v>
      </c>
    </row>
    <row r="10215">
      <c r="A10215" s="544" t="n">
        <v>43509</v>
      </c>
      <c r="B10215" s="538" t="n">
        <v>63.27</v>
      </c>
      <c r="C10215" s="538" t="n">
        <v>53.84</v>
      </c>
      <c r="D10215" s="538" t="n">
        <v>64.05</v>
      </c>
      <c r="E10215" s="538" t="n">
        <v>76.02</v>
      </c>
    </row>
    <row r="10216">
      <c r="A10216" s="544" t="n">
        <v>43510</v>
      </c>
      <c r="B10216" s="538" t="n">
        <v>64</v>
      </c>
      <c r="C10216" s="538" t="n">
        <v>54.4</v>
      </c>
      <c r="D10216" s="538" t="n">
        <v>65.06999999999999</v>
      </c>
      <c r="E10216" s="538" t="n">
        <v>77.84</v>
      </c>
    </row>
    <row r="10217">
      <c r="A10217" s="544" t="n">
        <v>43511</v>
      </c>
      <c r="B10217" s="538" t="n">
        <v>65.65000000000001</v>
      </c>
      <c r="C10217" s="538" t="n">
        <v>55.58</v>
      </c>
      <c r="D10217" s="538" t="n">
        <v>66.26000000000001</v>
      </c>
      <c r="E10217" s="538" t="n">
        <v>78.56</v>
      </c>
    </row>
    <row r="10218">
      <c r="A10218" s="544" t="n">
        <v>43514</v>
      </c>
      <c r="B10218" s="538" t="n">
        <v>66.41</v>
      </c>
      <c r="C10218" s="538" t="n">
        <v>55.58</v>
      </c>
      <c r="D10218" s="538" t="n">
        <v>66.29000000000001</v>
      </c>
      <c r="E10218" s="538" t="n">
        <v>80.66</v>
      </c>
    </row>
    <row r="10219">
      <c r="A10219" s="544" t="n">
        <v>43515</v>
      </c>
      <c r="B10219" s="538" t="n">
        <v>65.86</v>
      </c>
      <c r="C10219" s="538" t="n">
        <v>56.12</v>
      </c>
      <c r="D10219" s="538" t="n">
        <v>66.17</v>
      </c>
      <c r="E10219" s="538" t="n">
        <v>80.11</v>
      </c>
    </row>
    <row r="10220">
      <c r="A10220" s="544" t="n">
        <v>43516</v>
      </c>
      <c r="B10220" s="538" t="n">
        <v>66.81999999999999</v>
      </c>
      <c r="C10220" s="538" t="n">
        <v>56.9</v>
      </c>
      <c r="D10220" s="538" t="n">
        <v>67.27</v>
      </c>
      <c r="E10220" s="538" t="n">
        <v>79.37</v>
      </c>
    </row>
    <row r="10221">
      <c r="A10221" s="544" t="n">
        <v>43517</v>
      </c>
      <c r="B10221" s="538" t="n">
        <v>66.91</v>
      </c>
      <c r="C10221" s="538" t="n">
        <v>56.95</v>
      </c>
      <c r="D10221" s="538" t="n">
        <v>67.18000000000001</v>
      </c>
      <c r="E10221" s="538" t="n">
        <v>80.22</v>
      </c>
    </row>
    <row r="10222">
      <c r="A10222" s="544" t="n">
        <v>43518</v>
      </c>
      <c r="B10222" s="538" t="n">
        <v>66.91</v>
      </c>
      <c r="C10222" s="538" t="n">
        <v>57.01</v>
      </c>
      <c r="D10222" s="538" t="n">
        <v>67.25</v>
      </c>
      <c r="E10222" s="538" t="n">
        <v>80.59999999999999</v>
      </c>
    </row>
    <row r="10223">
      <c r="A10223" s="544" t="n">
        <v>43521</v>
      </c>
      <c r="B10223" s="538" t="n">
        <v>64.02</v>
      </c>
      <c r="C10223" s="538" t="n">
        <v>55.32</v>
      </c>
      <c r="D10223" s="538" t="n">
        <v>64.87</v>
      </c>
      <c r="E10223" s="538" t="n">
        <v>80.53</v>
      </c>
    </row>
    <row r="10224">
      <c r="A10224" s="544" t="n">
        <v>43522</v>
      </c>
      <c r="B10224" s="538" t="n">
        <v>64.51000000000001</v>
      </c>
      <c r="C10224" s="538" t="n">
        <v>55.4</v>
      </c>
      <c r="D10224" s="538" t="n">
        <v>65.56</v>
      </c>
      <c r="E10224" s="538" t="n">
        <v>78.22</v>
      </c>
    </row>
    <row r="10225">
      <c r="A10225" s="544" t="n">
        <v>43523</v>
      </c>
      <c r="B10225" s="538" t="n">
        <v>65.55</v>
      </c>
      <c r="C10225" s="538" t="n">
        <v>56.92</v>
      </c>
      <c r="D10225" s="538" t="n">
        <v>66.48</v>
      </c>
      <c r="E10225" s="538" t="n">
        <v>79.38</v>
      </c>
    </row>
    <row r="10226">
      <c r="A10226" s="544" t="n">
        <v>43524</v>
      </c>
      <c r="B10226" s="538" t="n">
        <v>65.03</v>
      </c>
      <c r="C10226" s="538" t="n">
        <v>57.21</v>
      </c>
      <c r="D10226" s="538" t="n">
        <v>66.12</v>
      </c>
      <c r="E10226" s="538" t="n">
        <v>79.8</v>
      </c>
    </row>
    <row r="10227">
      <c r="A10227" s="544" t="n">
        <v>43525</v>
      </c>
      <c r="B10227" s="538" t="n">
        <v>63.71</v>
      </c>
      <c r="C10227" s="538" t="n">
        <v>55.76</v>
      </c>
      <c r="D10227" s="538" t="n">
        <v>65.12</v>
      </c>
      <c r="E10227" s="538" t="n">
        <v>80.84999999999999</v>
      </c>
    </row>
    <row r="10228">
      <c r="A10228" s="544" t="n">
        <v>43528</v>
      </c>
      <c r="B10228" s="538" t="n">
        <v>64.44</v>
      </c>
      <c r="C10228" s="538" t="n">
        <v>56.6</v>
      </c>
      <c r="D10228" s="538" t="n">
        <v>65.53</v>
      </c>
      <c r="E10228" s="538" t="n">
        <v>79.20999999999999</v>
      </c>
    </row>
    <row r="10229">
      <c r="A10229" s="544" t="n">
        <v>43529</v>
      </c>
      <c r="B10229" s="538" t="n">
        <v>64.23999999999999</v>
      </c>
      <c r="C10229" s="538" t="n">
        <v>56.55</v>
      </c>
      <c r="D10229" s="538" t="n">
        <v>66.48999999999999</v>
      </c>
      <c r="E10229" s="538" t="n">
        <v>79.06</v>
      </c>
    </row>
    <row r="10230">
      <c r="A10230" s="544" t="n">
        <v>43530</v>
      </c>
      <c r="B10230" s="538" t="n">
        <v>64.51000000000001</v>
      </c>
      <c r="C10230" s="538" t="n">
        <v>56.22</v>
      </c>
      <c r="D10230" s="538" t="n">
        <v>66.12</v>
      </c>
      <c r="E10230" s="538" t="n">
        <v>79.58</v>
      </c>
    </row>
    <row r="10231">
      <c r="A10231" s="544" t="n">
        <v>43531</v>
      </c>
      <c r="B10231" s="538" t="n">
        <v>64.81999999999999</v>
      </c>
      <c r="C10231" s="538" t="n">
        <v>56.6</v>
      </c>
      <c r="D10231" s="538" t="n">
        <v>66.36</v>
      </c>
      <c r="E10231" s="538" t="n">
        <v>79.88</v>
      </c>
    </row>
    <row r="10232">
      <c r="A10232" s="544" t="n">
        <v>43532</v>
      </c>
      <c r="B10232" s="538" t="n">
        <v>65.66</v>
      </c>
      <c r="C10232" s="538" t="n">
        <v>55.77</v>
      </c>
      <c r="D10232" s="538" t="n">
        <v>66.05</v>
      </c>
      <c r="E10232" s="538" t="n">
        <v>78.91</v>
      </c>
    </row>
    <row r="10233">
      <c r="A10233" s="544" t="n">
        <v>43535</v>
      </c>
      <c r="B10233" s="538" t="n">
        <v>65.06</v>
      </c>
      <c r="C10233" s="538" t="n">
        <v>56.79</v>
      </c>
      <c r="D10233" s="538" t="n">
        <v>67.15000000000001</v>
      </c>
      <c r="E10233" s="538" t="n">
        <v>79.91</v>
      </c>
    </row>
    <row r="10234">
      <c r="A10234" s="544" t="n">
        <v>43536</v>
      </c>
      <c r="B10234" s="538" t="n">
        <v>65.33</v>
      </c>
      <c r="C10234" s="538" t="n">
        <v>56.89</v>
      </c>
      <c r="D10234" s="538" t="n">
        <v>67.12</v>
      </c>
      <c r="E10234" s="538" t="n">
        <v>79.87</v>
      </c>
    </row>
    <row r="10235">
      <c r="A10235" s="544" t="n">
        <v>43537</v>
      </c>
      <c r="B10235" s="538" t="n">
        <v>65.89</v>
      </c>
      <c r="C10235" s="538" t="n">
        <v>58.27</v>
      </c>
      <c r="D10235" s="538" t="n">
        <v>67.87</v>
      </c>
      <c r="E10235" s="538" t="n">
        <v>79.42</v>
      </c>
    </row>
    <row r="10236">
      <c r="A10236" s="544" t="n">
        <v>43538</v>
      </c>
      <c r="B10236" s="538" t="n">
        <v>66.18000000000001</v>
      </c>
      <c r="C10236" s="538" t="n">
        <v>58.59</v>
      </c>
      <c r="D10236" s="538" t="n">
        <v>67.34</v>
      </c>
      <c r="E10236" s="538" t="n">
        <v>80.66</v>
      </c>
    </row>
    <row r="10237">
      <c r="A10237" s="544" t="n">
        <v>43539</v>
      </c>
      <c r="B10237" s="538" t="n">
        <v>66.11</v>
      </c>
      <c r="C10237" s="538" t="n">
        <v>58.51</v>
      </c>
      <c r="D10237" s="538" t="n">
        <v>67.23</v>
      </c>
      <c r="E10237" s="538" t="n">
        <v>80.29000000000001</v>
      </c>
    </row>
    <row r="10238">
      <c r="A10238" s="544" t="n">
        <v>43542</v>
      </c>
      <c r="B10238" s="538" t="n">
        <v>66.65000000000001</v>
      </c>
      <c r="C10238" s="538" t="n">
        <v>59.09</v>
      </c>
      <c r="D10238" s="538" t="n">
        <v>67.33</v>
      </c>
      <c r="E10238" s="538" t="n">
        <v>79.43000000000001</v>
      </c>
    </row>
    <row r="10239">
      <c r="A10239" s="544" t="n">
        <v>43543</v>
      </c>
      <c r="B10239" s="538" t="n">
        <v>67.13</v>
      </c>
      <c r="C10239" s="538" t="n">
        <v>59.12</v>
      </c>
      <c r="D10239" s="538" t="n">
        <v>67.59999999999999</v>
      </c>
      <c r="E10239" s="538" t="n">
        <v>79.48999999999999</v>
      </c>
    </row>
    <row r="10240">
      <c r="A10240" s="544" t="n">
        <v>43544</v>
      </c>
      <c r="B10240" s="538" t="n">
        <v>68.34999999999999</v>
      </c>
      <c r="C10240" s="538" t="n">
        <v>60.12</v>
      </c>
      <c r="D10240" s="538" t="n">
        <v>68.3</v>
      </c>
      <c r="E10240" s="538" t="n">
        <v>80.16</v>
      </c>
    </row>
    <row r="10241">
      <c r="A10241" s="544" t="n">
        <v>43545</v>
      </c>
      <c r="B10241" s="538" t="n">
        <v>68.3</v>
      </c>
      <c r="C10241" s="538" t="n">
        <v>59.98</v>
      </c>
      <c r="D10241" s="538" t="n">
        <v>67.64</v>
      </c>
      <c r="E10241" s="538" t="n">
        <v>81</v>
      </c>
    </row>
    <row r="10242">
      <c r="A10242" s="544" t="n">
        <v>43546</v>
      </c>
      <c r="B10242" s="538" t="n">
        <v>66.29000000000001</v>
      </c>
      <c r="C10242" s="538" t="n">
        <v>58.87</v>
      </c>
      <c r="D10242" s="538" t="n">
        <v>66.92</v>
      </c>
      <c r="E10242" s="538" t="n">
        <v>79.73999999999999</v>
      </c>
    </row>
    <row r="10243">
      <c r="A10243" s="544" t="n">
        <v>43549</v>
      </c>
      <c r="B10243" s="538" t="n">
        <v>67.37</v>
      </c>
      <c r="C10243" s="538" t="n">
        <v>58.71</v>
      </c>
      <c r="D10243" s="538" t="n">
        <v>67.19</v>
      </c>
      <c r="E10243" s="538" t="n">
        <v>79.02</v>
      </c>
    </row>
    <row r="10244">
      <c r="A10244" s="544" t="n">
        <v>43550</v>
      </c>
      <c r="B10244" s="538" t="n">
        <v>67.51000000000001</v>
      </c>
      <c r="C10244" s="538" t="n">
        <v>59.87</v>
      </c>
      <c r="D10244" s="538" t="n">
        <v>67.34999999999999</v>
      </c>
      <c r="E10244" s="538" t="n">
        <v>80.19</v>
      </c>
    </row>
    <row r="10245">
      <c r="A10245" s="544" t="n">
        <v>43551</v>
      </c>
      <c r="B10245" s="538" t="n">
        <v>67.34999999999999</v>
      </c>
      <c r="C10245" s="538" t="n">
        <v>59.39</v>
      </c>
      <c r="D10245" s="538" t="n">
        <v>67.12</v>
      </c>
      <c r="E10245" s="538" t="n">
        <v>80.17</v>
      </c>
    </row>
    <row r="10246">
      <c r="A10246" s="544" t="n">
        <v>43552</v>
      </c>
      <c r="B10246" s="538" t="n">
        <v>66.08</v>
      </c>
      <c r="C10246" s="538" t="n">
        <v>59.29</v>
      </c>
      <c r="D10246" s="538" t="n">
        <v>67.3</v>
      </c>
      <c r="E10246" s="538" t="n">
        <v>79.33</v>
      </c>
    </row>
    <row r="10247">
      <c r="A10247" s="544" t="n">
        <v>43553</v>
      </c>
      <c r="B10247" s="538" t="n">
        <v>67.93000000000001</v>
      </c>
      <c r="C10247" s="538" t="n">
        <v>60.19</v>
      </c>
      <c r="D10247" s="538" t="n">
        <v>68.39</v>
      </c>
      <c r="E10247" s="538" t="n">
        <v>79.59999999999999</v>
      </c>
    </row>
    <row r="10248">
      <c r="A10248" s="544" t="n">
        <v>43556</v>
      </c>
      <c r="B10248" s="538" t="n">
        <v>69.08</v>
      </c>
      <c r="C10248" s="538" t="n">
        <v>61.59</v>
      </c>
      <c r="D10248" s="538" t="n">
        <v>68.61</v>
      </c>
      <c r="E10248" s="538" t="n">
        <v>80.41</v>
      </c>
    </row>
    <row r="10249">
      <c r="A10249" s="544" t="n">
        <v>43557</v>
      </c>
      <c r="B10249" s="538" t="n">
        <v>69.68000000000001</v>
      </c>
      <c r="C10249" s="538" t="n">
        <v>62.53</v>
      </c>
      <c r="D10249" s="538" t="n">
        <v>68.93000000000001</v>
      </c>
      <c r="E10249" s="538" t="n">
        <v>80.34</v>
      </c>
    </row>
    <row r="10250">
      <c r="A10250" s="544" t="n">
        <v>43558</v>
      </c>
      <c r="B10250" s="538" t="n">
        <v>69.20999999999999</v>
      </c>
      <c r="C10250" s="538" t="n">
        <v>62.46</v>
      </c>
      <c r="D10250" s="538" t="n">
        <v>68.90000000000001</v>
      </c>
      <c r="E10250" s="538" t="n">
        <v>81.17</v>
      </c>
    </row>
    <row r="10251">
      <c r="A10251" s="544" t="n">
        <v>43559</v>
      </c>
      <c r="B10251" s="538" t="n">
        <v>69.8</v>
      </c>
      <c r="C10251" s="538" t="n">
        <v>62.12</v>
      </c>
      <c r="D10251" s="538" t="n">
        <v>69.04000000000001</v>
      </c>
      <c r="E10251" s="538" t="n">
        <v>79.98</v>
      </c>
    </row>
    <row r="10252">
      <c r="A10252" s="544" t="n">
        <v>43560</v>
      </c>
      <c r="B10252" s="538" t="n">
        <v>69.93000000000001</v>
      </c>
      <c r="C10252" s="538" t="n">
        <v>63.1</v>
      </c>
      <c r="D10252" s="538" t="n">
        <v>69.84999999999999</v>
      </c>
      <c r="E10252" s="538" t="n">
        <v>80.03</v>
      </c>
    </row>
    <row r="10253">
      <c r="A10253" s="544" t="n">
        <v>43563</v>
      </c>
      <c r="B10253" s="538" t="n">
        <v>71.12</v>
      </c>
      <c r="C10253" s="538" t="n">
        <v>64.37</v>
      </c>
      <c r="D10253" s="538" t="n">
        <v>70.45999999999999</v>
      </c>
      <c r="E10253" s="538" t="n">
        <v>82.14</v>
      </c>
    </row>
    <row r="10254">
      <c r="A10254" s="544" t="n">
        <v>43564</v>
      </c>
      <c r="B10254" s="538" t="n">
        <v>71.02</v>
      </c>
      <c r="C10254" s="538" t="n">
        <v>64.05</v>
      </c>
      <c r="D10254" s="538" t="n">
        <v>70.12</v>
      </c>
      <c r="E10254" s="538" t="n">
        <v>82.47</v>
      </c>
    </row>
    <row r="10255">
      <c r="A10255" s="544" t="n">
        <v>43565</v>
      </c>
      <c r="B10255" s="538" t="n">
        <v>71.63</v>
      </c>
      <c r="C10255" s="538" t="n">
        <v>64.62</v>
      </c>
      <c r="D10255" s="538" t="n">
        <v>70.53</v>
      </c>
      <c r="E10255" s="538" t="n">
        <v>82.09</v>
      </c>
    </row>
    <row r="10256">
      <c r="A10256" s="544" t="n">
        <v>43566</v>
      </c>
      <c r="B10256" s="538" t="n">
        <v>71.3</v>
      </c>
      <c r="C10256" s="538" t="n">
        <v>63.61</v>
      </c>
      <c r="D10256" s="538" t="n">
        <v>70.06</v>
      </c>
      <c r="E10256" s="538" t="n">
        <v>83.14</v>
      </c>
    </row>
    <row r="10257">
      <c r="A10257" s="544" t="n">
        <v>43567</v>
      </c>
      <c r="B10257" s="538" t="n">
        <v>71.56999999999999</v>
      </c>
      <c r="C10257" s="538" t="n">
        <v>63.86</v>
      </c>
      <c r="D10257" s="538" t="n">
        <v>70.33</v>
      </c>
      <c r="E10257" s="538" t="n">
        <v>82.93000000000001</v>
      </c>
    </row>
    <row r="10258">
      <c r="A10258" s="544" t="n">
        <v>43570</v>
      </c>
      <c r="B10258" s="538" t="n">
        <v>70.90000000000001</v>
      </c>
      <c r="C10258" s="538" t="n">
        <v>63.43</v>
      </c>
      <c r="D10258" s="538" t="n">
        <v>70.45</v>
      </c>
      <c r="E10258" s="538" t="n">
        <v>82.55</v>
      </c>
    </row>
    <row r="10259">
      <c r="A10259" s="544" t="n">
        <v>43571</v>
      </c>
      <c r="B10259" s="538" t="n">
        <v>70.73999999999999</v>
      </c>
      <c r="C10259" s="538" t="n">
        <v>64.01000000000001</v>
      </c>
      <c r="D10259" s="538" t="n">
        <v>71.31</v>
      </c>
      <c r="E10259" s="538" t="n">
        <v>82.25</v>
      </c>
    </row>
    <row r="10260">
      <c r="A10260" s="544" t="n">
        <v>43572</v>
      </c>
      <c r="B10260" s="538" t="n">
        <v>71.14</v>
      </c>
      <c r="C10260" s="538" t="n">
        <v>63.74</v>
      </c>
      <c r="D10260" s="538" t="n">
        <v>70.86</v>
      </c>
      <c r="E10260" s="538" t="n">
        <v>83.51000000000001</v>
      </c>
    </row>
    <row r="10261">
      <c r="A10261" s="544" t="n">
        <v>43573</v>
      </c>
      <c r="B10261" s="538" t="n">
        <v>70.70999999999999</v>
      </c>
      <c r="C10261" s="538" t="n">
        <v>64.02</v>
      </c>
      <c r="D10261" s="538" t="n">
        <v>71.33</v>
      </c>
      <c r="E10261" s="538" t="n">
        <v>82.95</v>
      </c>
    </row>
    <row r="10262">
      <c r="A10262" s="544" t="n">
        <v>43574</v>
      </c>
      <c r="B10262" s="538" t="n">
        <v>70.70999999999999</v>
      </c>
      <c r="C10262" s="538" t="n">
        <v>64.02</v>
      </c>
      <c r="D10262" s="538" t="n">
        <v>71.34</v>
      </c>
      <c r="E10262" s="538" t="n">
        <v>82.95</v>
      </c>
    </row>
    <row r="10263">
      <c r="A10263" s="544" t="n">
        <v>43577</v>
      </c>
      <c r="B10263" s="538" t="n">
        <v>70.70999999999999</v>
      </c>
      <c r="C10263" s="538" t="n">
        <v>65.66</v>
      </c>
      <c r="D10263" s="538" t="n">
        <v>73.01000000000001</v>
      </c>
      <c r="E10263" s="538" t="n">
        <v>84.63</v>
      </c>
    </row>
    <row r="10264">
      <c r="A10264" s="544" t="n">
        <v>43578</v>
      </c>
      <c r="B10264" s="538" t="n">
        <v>74.39</v>
      </c>
      <c r="C10264" s="538" t="n">
        <v>66.23999999999999</v>
      </c>
      <c r="D10264" s="538" t="n">
        <v>73.55</v>
      </c>
      <c r="E10264" s="538" t="n">
        <v>84.77</v>
      </c>
    </row>
    <row r="10265">
      <c r="A10265" s="544" t="n">
        <v>43579</v>
      </c>
      <c r="B10265" s="538" t="n">
        <v>73.59</v>
      </c>
      <c r="C10265" s="538" t="n">
        <v>65.95999999999999</v>
      </c>
      <c r="D10265" s="538" t="n">
        <v>73.55</v>
      </c>
      <c r="E10265" s="538" t="n">
        <v>84.52</v>
      </c>
    </row>
    <row r="10266">
      <c r="A10266" s="544" t="n">
        <v>43580</v>
      </c>
      <c r="B10266" s="538" t="n">
        <v>74.94</v>
      </c>
      <c r="C10266" s="538" t="n">
        <v>65.23</v>
      </c>
      <c r="D10266" s="538" t="n">
        <v>73.41</v>
      </c>
      <c r="E10266" s="538" t="n">
        <v>84.91</v>
      </c>
    </row>
    <row r="10267">
      <c r="A10267" s="544" t="n">
        <v>43581</v>
      </c>
      <c r="B10267" s="538" t="n">
        <v>71.03</v>
      </c>
      <c r="C10267" s="538" t="n">
        <v>63.29</v>
      </c>
      <c r="D10267" s="538" t="n">
        <v>71.45</v>
      </c>
      <c r="E10267" s="538" t="n">
        <v>84.12</v>
      </c>
    </row>
    <row r="10268">
      <c r="A10268" s="544" t="n">
        <v>43584</v>
      </c>
      <c r="B10268" s="538" t="n">
        <v>71.22</v>
      </c>
      <c r="C10268" s="538" t="n">
        <v>63.39</v>
      </c>
      <c r="D10268" s="538" t="n">
        <v>71.84999999999999</v>
      </c>
      <c r="E10268" s="538" t="n">
        <v>82.28</v>
      </c>
    </row>
    <row r="10269">
      <c r="A10269" s="544" t="n">
        <v>43585</v>
      </c>
      <c r="B10269" s="538" t="n">
        <v>72.19</v>
      </c>
      <c r="C10269" s="538" t="n">
        <v>63.83</v>
      </c>
      <c r="D10269" s="538" t="n">
        <v>70.78</v>
      </c>
      <c r="E10269" s="538" t="n">
        <v>82.92</v>
      </c>
    </row>
    <row r="10270">
      <c r="A10270" s="544" t="n">
        <v>43586</v>
      </c>
      <c r="B10270" s="538" t="n">
        <v>72.01000000000001</v>
      </c>
      <c r="C10270" s="538" t="n">
        <v>63.55</v>
      </c>
      <c r="D10270" s="538" t="n">
        <v>71.23</v>
      </c>
      <c r="E10270" s="538" t="n">
        <v>82.92</v>
      </c>
    </row>
    <row r="10271">
      <c r="A10271" s="544" t="n">
        <v>43587</v>
      </c>
      <c r="B10271" s="538" t="n">
        <v>70.56</v>
      </c>
      <c r="C10271" s="538" t="n">
        <v>61.75</v>
      </c>
      <c r="D10271" s="538" t="n">
        <v>69.97</v>
      </c>
      <c r="E10271" s="538" t="n">
        <v>83.16</v>
      </c>
    </row>
    <row r="10272">
      <c r="A10272" s="544" t="n">
        <v>43588</v>
      </c>
      <c r="B10272" s="538" t="n">
        <v>71.95</v>
      </c>
      <c r="C10272" s="538" t="n">
        <v>61.98</v>
      </c>
      <c r="D10272" s="538" t="n">
        <v>70.12</v>
      </c>
      <c r="E10272" s="538" t="n">
        <v>82.39</v>
      </c>
    </row>
    <row r="10273">
      <c r="A10273" s="544" t="n">
        <v>43591</v>
      </c>
      <c r="B10273" s="538" t="n">
        <v>71.95</v>
      </c>
      <c r="C10273" s="538" t="n">
        <v>62.3</v>
      </c>
      <c r="D10273" s="538" t="n">
        <v>69.95</v>
      </c>
      <c r="E10273" s="538" t="n">
        <v>81.8</v>
      </c>
    </row>
    <row r="10274">
      <c r="A10274" s="544" t="n">
        <v>43592</v>
      </c>
      <c r="B10274" s="538" t="n">
        <v>70.98</v>
      </c>
      <c r="C10274" s="538" t="n">
        <v>61.41</v>
      </c>
      <c r="D10274" s="538" t="n">
        <v>69.56</v>
      </c>
      <c r="E10274" s="538" t="n">
        <v>82.47</v>
      </c>
    </row>
    <row r="10275">
      <c r="A10275" s="544" t="n">
        <v>43593</v>
      </c>
      <c r="B10275" s="538" t="n">
        <v>71.09</v>
      </c>
      <c r="C10275" s="538" t="n">
        <v>62.13</v>
      </c>
      <c r="D10275" s="538" t="n">
        <v>68.79000000000001</v>
      </c>
      <c r="E10275" s="538" t="n">
        <v>81.17</v>
      </c>
    </row>
    <row r="10276">
      <c r="A10276" s="544" t="n">
        <v>43594</v>
      </c>
      <c r="B10276" s="538" t="n">
        <v>70.61</v>
      </c>
      <c r="C10276" s="538" t="n">
        <v>61.58</v>
      </c>
      <c r="D10276" s="538" t="n">
        <v>68.47</v>
      </c>
      <c r="E10276" s="538" t="n">
        <v>81.34</v>
      </c>
    </row>
    <row r="10277">
      <c r="A10277" s="544" t="n">
        <v>43595</v>
      </c>
      <c r="B10277" s="538" t="n">
        <v>71.63</v>
      </c>
      <c r="C10277" s="538" t="n">
        <v>61.65</v>
      </c>
      <c r="D10277" s="538" t="n">
        <v>69.48999999999999</v>
      </c>
      <c r="E10277" s="538" t="n">
        <v>82.06</v>
      </c>
    </row>
    <row r="10278">
      <c r="A10278" s="544" t="n">
        <v>43598</v>
      </c>
      <c r="B10278" s="538" t="n">
        <v>72.34999999999999</v>
      </c>
      <c r="C10278" s="538" t="n">
        <v>60.97</v>
      </c>
      <c r="D10278" s="538" t="n">
        <v>68.95</v>
      </c>
      <c r="E10278" s="538" t="n">
        <v>82.87</v>
      </c>
    </row>
    <row r="10279">
      <c r="A10279" s="544" t="n">
        <v>43599</v>
      </c>
      <c r="B10279" s="538" t="n">
        <v>72.53</v>
      </c>
      <c r="C10279" s="538" t="n">
        <v>61.82</v>
      </c>
      <c r="D10279" s="538" t="n">
        <v>69.59</v>
      </c>
      <c r="E10279" s="538" t="n">
        <v>81.08</v>
      </c>
    </row>
    <row r="10280">
      <c r="A10280" s="544" t="n">
        <v>43600</v>
      </c>
      <c r="B10280" s="538" t="n">
        <v>73.09</v>
      </c>
      <c r="C10280" s="538" t="n">
        <v>62.03</v>
      </c>
      <c r="D10280" s="538" t="n">
        <v>70.8</v>
      </c>
      <c r="E10280" s="538" t="n">
        <v>82.26000000000001</v>
      </c>
    </row>
    <row r="10281">
      <c r="A10281" s="544" t="n">
        <v>43601</v>
      </c>
      <c r="B10281" s="538" t="n">
        <v>74.7</v>
      </c>
      <c r="C10281" s="538" t="n">
        <v>62.93</v>
      </c>
      <c r="D10281" s="538" t="n">
        <v>71.95</v>
      </c>
      <c r="E10281" s="538" t="n">
        <v>84.41</v>
      </c>
    </row>
    <row r="10282">
      <c r="A10282" s="544" t="n">
        <v>43602</v>
      </c>
      <c r="B10282" s="538" t="n">
        <v>73.94</v>
      </c>
      <c r="C10282" s="538" t="n">
        <v>62.77</v>
      </c>
      <c r="D10282" s="538" t="n">
        <v>71.17</v>
      </c>
      <c r="E10282" s="538" t="n">
        <v>85.09999999999999</v>
      </c>
    </row>
    <row r="10283">
      <c r="A10283" s="544" t="n">
        <v>43605</v>
      </c>
      <c r="B10283" s="538" t="n">
        <v>73.20999999999999</v>
      </c>
      <c r="C10283" s="538" t="n">
        <v>63.12</v>
      </c>
      <c r="D10283" s="538" t="n">
        <v>71.09999999999999</v>
      </c>
      <c r="E10283" s="538" t="n">
        <v>85.09999999999999</v>
      </c>
    </row>
    <row r="10284">
      <c r="A10284" s="544" t="n">
        <v>43606</v>
      </c>
      <c r="B10284" s="538" t="n">
        <v>72.94</v>
      </c>
      <c r="C10284" s="538" t="n">
        <v>63.02</v>
      </c>
      <c r="D10284" s="538" t="n">
        <v>70.79000000000001</v>
      </c>
      <c r="E10284" s="538" t="n">
        <v>83.65000000000001</v>
      </c>
    </row>
    <row r="10285">
      <c r="A10285" s="544" t="n">
        <v>43607</v>
      </c>
      <c r="B10285" s="538" t="n">
        <v>71.94</v>
      </c>
      <c r="C10285" s="538" t="n">
        <v>61.42</v>
      </c>
      <c r="D10285" s="538" t="n">
        <v>69.47</v>
      </c>
      <c r="E10285" s="538" t="n">
        <v>82.64</v>
      </c>
    </row>
    <row r="10286">
      <c r="A10286" s="544" t="n">
        <v>43608</v>
      </c>
      <c r="B10286" s="538" t="n">
        <v>68.37</v>
      </c>
      <c r="C10286" s="538" t="n">
        <v>57.65</v>
      </c>
      <c r="D10286" s="538" t="n">
        <v>65.65000000000001</v>
      </c>
      <c r="E10286" s="538" t="n">
        <v>81.41</v>
      </c>
    </row>
    <row r="10287">
      <c r="A10287" s="544" t="n">
        <v>43609</v>
      </c>
      <c r="B10287" s="538" t="n">
        <v>67.98</v>
      </c>
      <c r="C10287" s="538" t="n">
        <v>58.4</v>
      </c>
      <c r="D10287" s="538" t="n">
        <v>66.23999999999999</v>
      </c>
      <c r="E10287" s="538" t="n">
        <v>78.75</v>
      </c>
    </row>
    <row r="10288">
      <c r="A10288" s="544" t="n">
        <v>43612</v>
      </c>
      <c r="B10288" s="538" t="n">
        <v>67.98</v>
      </c>
      <c r="C10288" s="538" t="n">
        <v>58.4</v>
      </c>
      <c r="D10288" s="538" t="n">
        <v>67.59999999999999</v>
      </c>
      <c r="E10288" s="538" t="n">
        <v>79</v>
      </c>
    </row>
    <row r="10289">
      <c r="A10289" s="544" t="n">
        <v>43613</v>
      </c>
      <c r="B10289" s="538" t="n">
        <v>70.19</v>
      </c>
      <c r="C10289" s="538" t="n">
        <v>58.91</v>
      </c>
      <c r="D10289" s="538" t="n">
        <v>67.64</v>
      </c>
      <c r="E10289" s="538" t="n">
        <v>80.86</v>
      </c>
    </row>
    <row r="10290">
      <c r="A10290" s="544" t="n">
        <v>43614</v>
      </c>
      <c r="B10290" s="538" t="n">
        <v>70.64</v>
      </c>
      <c r="C10290" s="538" t="n">
        <v>58.84</v>
      </c>
      <c r="D10290" s="538" t="n">
        <v>67.43000000000001</v>
      </c>
      <c r="E10290" s="538" t="n">
        <v>79.3</v>
      </c>
    </row>
    <row r="10291">
      <c r="A10291" s="544" t="n">
        <v>43615</v>
      </c>
      <c r="B10291" s="538" t="n">
        <v>69.55</v>
      </c>
      <c r="C10291" s="538" t="n">
        <v>56.47</v>
      </c>
      <c r="D10291" s="538" t="n">
        <v>64.67</v>
      </c>
      <c r="E10291" s="538" t="n">
        <v>79.39</v>
      </c>
    </row>
    <row r="10292">
      <c r="A10292" s="544" t="n">
        <v>43616</v>
      </c>
      <c r="B10292" s="538" t="n">
        <v>66.78</v>
      </c>
      <c r="C10292" s="538" t="n">
        <v>53.49</v>
      </c>
      <c r="D10292" s="538" t="n">
        <v>61.01</v>
      </c>
      <c r="E10292" s="538" t="n">
        <v>76.31</v>
      </c>
    </row>
    <row r="10293">
      <c r="A10293" s="544" t="n">
        <v>43619</v>
      </c>
      <c r="B10293" s="538" t="n">
        <v>63.16</v>
      </c>
      <c r="C10293" s="538" t="n">
        <v>53.25</v>
      </c>
      <c r="D10293" s="538" t="n">
        <v>59.53</v>
      </c>
      <c r="E10293" s="538" t="n">
        <v>72.73</v>
      </c>
    </row>
    <row r="10294">
      <c r="A10294" s="544" t="n">
        <v>43620</v>
      </c>
      <c r="B10294" s="538" t="n">
        <v>63.56</v>
      </c>
      <c r="C10294" s="538" t="n">
        <v>53.5</v>
      </c>
      <c r="D10294" s="538" t="n">
        <v>59.45</v>
      </c>
      <c r="E10294" s="538" t="n">
        <v>72.75</v>
      </c>
    </row>
    <row r="10295">
      <c r="A10295" s="544" t="n">
        <v>43621</v>
      </c>
      <c r="B10295" s="538" t="n">
        <v>62.14</v>
      </c>
      <c r="C10295" s="538" t="n">
        <v>51.57</v>
      </c>
      <c r="D10295" s="538" t="n">
        <v>57.89</v>
      </c>
      <c r="E10295" s="538" t="n">
        <v>72.75</v>
      </c>
    </row>
    <row r="10296">
      <c r="A10296" s="544" t="n">
        <v>43622</v>
      </c>
      <c r="B10296" s="538" t="n">
        <v>62.77</v>
      </c>
      <c r="C10296" s="538" t="n">
        <v>52.59</v>
      </c>
      <c r="D10296" s="538" t="n">
        <v>59.46</v>
      </c>
      <c r="E10296" s="538" t="n">
        <v>71.8</v>
      </c>
    </row>
    <row r="10297">
      <c r="A10297" s="544" t="n">
        <v>43623</v>
      </c>
      <c r="B10297" s="538" t="n">
        <v>64.09999999999999</v>
      </c>
      <c r="C10297" s="538" t="n">
        <v>53.95</v>
      </c>
      <c r="D10297" s="538" t="n">
        <v>60.86</v>
      </c>
      <c r="E10297" s="538" t="n">
        <v>73.06</v>
      </c>
    </row>
    <row r="10298">
      <c r="A10298" s="544" t="n">
        <v>43626</v>
      </c>
      <c r="B10298" s="538" t="n">
        <v>64.31</v>
      </c>
      <c r="C10298" s="538" t="n">
        <v>53.33</v>
      </c>
      <c r="D10298" s="538" t="n">
        <v>60.31</v>
      </c>
      <c r="E10298" s="538" t="n">
        <v>73.65000000000001</v>
      </c>
    </row>
    <row r="10299">
      <c r="A10299" s="544" t="n">
        <v>43627</v>
      </c>
      <c r="B10299" s="538" t="n">
        <v>63.56</v>
      </c>
      <c r="C10299" s="538" t="n">
        <v>53.3</v>
      </c>
      <c r="D10299" s="538" t="n">
        <v>59.76</v>
      </c>
      <c r="E10299" s="538" t="n">
        <v>72.77</v>
      </c>
    </row>
    <row r="10300">
      <c r="A10300" s="544" t="n">
        <v>43628</v>
      </c>
      <c r="B10300" s="538" t="n">
        <v>61.66</v>
      </c>
      <c r="C10300" s="538" t="n">
        <v>51.13</v>
      </c>
      <c r="D10300" s="538" t="n">
        <v>58.03</v>
      </c>
      <c r="E10300" s="538" t="n">
        <v>72.65000000000001</v>
      </c>
    </row>
    <row r="10301">
      <c r="A10301" s="544" t="n">
        <v>43629</v>
      </c>
      <c r="B10301" s="538" t="n">
        <v>63.28</v>
      </c>
      <c r="C10301" s="538" t="n">
        <v>52.38</v>
      </c>
      <c r="D10301" s="538" t="n">
        <v>59.01</v>
      </c>
      <c r="E10301" s="538" t="n">
        <v>73.04000000000001</v>
      </c>
    </row>
    <row r="10302">
      <c r="A10302" s="544" t="n">
        <v>43630</v>
      </c>
      <c r="B10302" s="538" t="n">
        <v>63.13</v>
      </c>
      <c r="C10302" s="538" t="n">
        <v>52.47</v>
      </c>
      <c r="D10302" s="538" t="n">
        <v>59.63</v>
      </c>
      <c r="E10302" s="538" t="n">
        <v>72.98999999999999</v>
      </c>
    </row>
    <row r="10303">
      <c r="A10303" s="544" t="n">
        <v>43633</v>
      </c>
      <c r="B10303" s="538" t="n">
        <v>62.56</v>
      </c>
      <c r="C10303" s="538" t="n">
        <v>51.94</v>
      </c>
      <c r="D10303" s="538" t="n">
        <v>58.77</v>
      </c>
      <c r="E10303" s="538" t="n">
        <v>73.81</v>
      </c>
    </row>
    <row r="10304">
      <c r="A10304" s="544" t="n">
        <v>43634</v>
      </c>
      <c r="B10304" s="538" t="n">
        <v>63.35</v>
      </c>
      <c r="C10304" s="538" t="n">
        <v>53.86</v>
      </c>
      <c r="D10304" s="538" t="n">
        <v>60.08</v>
      </c>
      <c r="E10304" s="538" t="n">
        <v>72.78</v>
      </c>
    </row>
    <row r="10305">
      <c r="A10305" s="544" t="n">
        <v>43635</v>
      </c>
      <c r="B10305" s="538" t="n">
        <v>62.85</v>
      </c>
      <c r="C10305" s="538" t="n">
        <v>53.74</v>
      </c>
      <c r="D10305" s="538" t="n">
        <v>60.41</v>
      </c>
      <c r="E10305" s="538" t="n">
        <v>73.89</v>
      </c>
    </row>
    <row r="10306">
      <c r="A10306" s="544" t="n">
        <v>43636</v>
      </c>
      <c r="B10306" s="538" t="n">
        <v>65.44</v>
      </c>
      <c r="C10306" s="538" t="n">
        <v>56.88</v>
      </c>
      <c r="D10306" s="538" t="n">
        <v>63.1</v>
      </c>
      <c r="E10306" s="538" t="n">
        <v>75.23999999999999</v>
      </c>
    </row>
    <row r="10307">
      <c r="A10307" s="544" t="n">
        <v>43637</v>
      </c>
      <c r="B10307" s="538" t="n">
        <v>65.98999999999999</v>
      </c>
      <c r="C10307" s="538" t="n">
        <v>57.35</v>
      </c>
      <c r="D10307" s="538" t="n">
        <v>63.29</v>
      </c>
      <c r="E10307" s="538" t="n">
        <v>76.90000000000001</v>
      </c>
    </row>
    <row r="10308">
      <c r="A10308" s="544" t="n">
        <v>43640</v>
      </c>
      <c r="B10308" s="538" t="n">
        <v>65.16</v>
      </c>
      <c r="C10308" s="538" t="n">
        <v>57.73</v>
      </c>
      <c r="D10308" s="538" t="n">
        <v>62.81</v>
      </c>
      <c r="E10308" s="538" t="n">
        <v>77.59</v>
      </c>
    </row>
    <row r="10309">
      <c r="A10309" s="544" t="n">
        <v>43641</v>
      </c>
      <c r="B10309" s="538" t="n">
        <v>66.23999999999999</v>
      </c>
      <c r="C10309" s="538" t="n">
        <v>57.63</v>
      </c>
      <c r="D10309" s="538" t="n">
        <v>63.77</v>
      </c>
      <c r="E10309" s="538" t="n">
        <v>76.69</v>
      </c>
    </row>
    <row r="10310">
      <c r="A10310" s="544" t="n">
        <v>43642</v>
      </c>
      <c r="B10310" s="538" t="n">
        <v>66.84999999999999</v>
      </c>
      <c r="C10310" s="538" t="n">
        <v>59.17</v>
      </c>
      <c r="D10310" s="538" t="n">
        <v>63.91</v>
      </c>
      <c r="E10310" s="538" t="n">
        <v>78.2</v>
      </c>
    </row>
    <row r="10311">
      <c r="A10311" s="544" t="n">
        <v>43643</v>
      </c>
      <c r="B10311" s="538" t="n">
        <v>66.78</v>
      </c>
      <c r="C10311" s="538" t="n">
        <v>59.18</v>
      </c>
      <c r="D10311" s="538" t="n">
        <v>64.2</v>
      </c>
      <c r="E10311" s="538" t="n">
        <v>78.63</v>
      </c>
    </row>
    <row r="10312">
      <c r="A10312" s="544" t="n">
        <v>43644</v>
      </c>
      <c r="B10312" s="538" t="n">
        <v>67.52</v>
      </c>
      <c r="C10312" s="538" t="n">
        <v>58.2</v>
      </c>
      <c r="D10312" s="538" t="n">
        <v>63.57</v>
      </c>
      <c r="E10312" s="538" t="n">
        <v>78.40000000000001</v>
      </c>
    </row>
    <row r="10313">
      <c r="A10313" s="544" t="n">
        <v>43647</v>
      </c>
      <c r="B10313" s="538" t="n">
        <v>65.09999999999999</v>
      </c>
      <c r="C10313" s="538" t="n">
        <v>58.91</v>
      </c>
      <c r="D10313" s="538" t="n">
        <v>63.09</v>
      </c>
      <c r="E10313" s="538" t="n">
        <v>79.75</v>
      </c>
    </row>
    <row r="10314">
      <c r="A10314" s="544" t="n">
        <v>43648</v>
      </c>
      <c r="B10314" s="538" t="n">
        <v>62.72</v>
      </c>
      <c r="C10314" s="538" t="n">
        <v>56</v>
      </c>
      <c r="D10314" s="538" t="n">
        <v>61.14</v>
      </c>
      <c r="E10314" s="538" t="n">
        <v>78.34</v>
      </c>
    </row>
    <row r="10315">
      <c r="A10315" s="544" t="n">
        <v>43649</v>
      </c>
      <c r="B10315" s="538" t="n">
        <v>63.53</v>
      </c>
      <c r="C10315" s="538" t="n">
        <v>57.06</v>
      </c>
      <c r="D10315" s="538" t="n">
        <v>61.9</v>
      </c>
      <c r="E10315" s="538" t="n">
        <v>75.72</v>
      </c>
    </row>
    <row r="10316">
      <c r="A10316" s="544" t="n">
        <v>43650</v>
      </c>
      <c r="B10316" s="538" t="n">
        <v>63.62</v>
      </c>
      <c r="C10316" s="538" t="n">
        <v>57.06</v>
      </c>
      <c r="D10316" s="538" t="n">
        <v>61.54</v>
      </c>
      <c r="E10316" s="538" t="n">
        <v>76.48</v>
      </c>
    </row>
    <row r="10317">
      <c r="A10317" s="544" t="n">
        <v>43651</v>
      </c>
      <c r="B10317" s="538" t="n">
        <v>64.23</v>
      </c>
      <c r="C10317" s="538" t="n">
        <v>57.06</v>
      </c>
      <c r="D10317" s="538" t="n">
        <v>62.67</v>
      </c>
      <c r="E10317" s="538" t="n">
        <v>76.2</v>
      </c>
    </row>
    <row r="10318">
      <c r="A10318" s="544" t="n">
        <v>43654</v>
      </c>
      <c r="B10318" s="538" t="n">
        <v>64.89</v>
      </c>
      <c r="C10318" s="538" t="n">
        <v>57.35</v>
      </c>
      <c r="D10318" s="538" t="n">
        <v>62.45</v>
      </c>
      <c r="E10318" s="538" t="n">
        <v>77.23</v>
      </c>
    </row>
    <row r="10319">
      <c r="A10319" s="544" t="n">
        <v>43655</v>
      </c>
      <c r="B10319" s="538" t="n">
        <v>64.3</v>
      </c>
      <c r="C10319" s="538" t="n">
        <v>57.57</v>
      </c>
      <c r="D10319" s="538" t="n">
        <v>63.36</v>
      </c>
      <c r="E10319" s="538" t="n">
        <v>76.59999999999999</v>
      </c>
    </row>
    <row r="10320">
      <c r="A10320" s="544" t="n">
        <v>43656</v>
      </c>
      <c r="B10320" s="538" t="n">
        <v>66.41</v>
      </c>
      <c r="C10320" s="538" t="n">
        <v>60.28</v>
      </c>
      <c r="D10320" s="538" t="n">
        <v>65.48</v>
      </c>
      <c r="E10320" s="538" t="n">
        <v>78.70999999999999</v>
      </c>
    </row>
    <row r="10321">
      <c r="A10321" s="544" t="n">
        <v>43657</v>
      </c>
      <c r="B10321" s="538" t="n">
        <v>67.64</v>
      </c>
      <c r="C10321" s="538" t="n">
        <v>59.93</v>
      </c>
      <c r="D10321" s="538" t="n">
        <v>65.06999999999999</v>
      </c>
      <c r="E10321" s="538" t="n">
        <v>81.81999999999999</v>
      </c>
    </row>
    <row r="10322">
      <c r="A10322" s="544" t="n">
        <v>43658</v>
      </c>
      <c r="B10322" s="538" t="n">
        <v>66.65000000000001</v>
      </c>
      <c r="C10322" s="538" t="n">
        <v>59.99</v>
      </c>
      <c r="D10322" s="538" t="n">
        <v>65.09999999999999</v>
      </c>
      <c r="E10322" s="538" t="n">
        <v>80.90000000000001</v>
      </c>
    </row>
    <row r="10323">
      <c r="A10323" s="544" t="n">
        <v>43661</v>
      </c>
      <c r="B10323" s="538" t="n">
        <v>66.86</v>
      </c>
      <c r="C10323" s="538" t="n">
        <v>59.3</v>
      </c>
      <c r="D10323" s="538" t="n">
        <v>64.67</v>
      </c>
      <c r="E10323" s="538" t="n">
        <v>80.19</v>
      </c>
    </row>
    <row r="10324">
      <c r="A10324" s="544" t="n">
        <v>43662</v>
      </c>
      <c r="B10324" s="538" t="n">
        <v>65.87</v>
      </c>
      <c r="C10324" s="538" t="n">
        <v>57.44</v>
      </c>
      <c r="D10324" s="538" t="n">
        <v>62.67</v>
      </c>
      <c r="E10324" s="538" t="n">
        <v>79.31999999999999</v>
      </c>
    </row>
    <row r="10325">
      <c r="A10325" s="544" t="n">
        <v>43663</v>
      </c>
      <c r="B10325" s="538" t="n">
        <v>63.67</v>
      </c>
      <c r="C10325" s="538" t="n">
        <v>56.5</v>
      </c>
      <c r="D10325" s="538" t="n">
        <v>61.95</v>
      </c>
      <c r="E10325" s="538" t="n">
        <v>78.03</v>
      </c>
    </row>
    <row r="10326">
      <c r="A10326" s="544" t="n">
        <v>43664</v>
      </c>
      <c r="B10326" s="538" t="n">
        <v>60.7</v>
      </c>
      <c r="C10326" s="538" t="n">
        <v>55.08</v>
      </c>
      <c r="D10326" s="538" t="n">
        <v>61.03</v>
      </c>
      <c r="E10326" s="538" t="n">
        <v>77.08</v>
      </c>
    </row>
    <row r="10327">
      <c r="A10327" s="544" t="n">
        <v>43665</v>
      </c>
      <c r="B10327" s="538" t="n">
        <v>61.04</v>
      </c>
      <c r="C10327" s="538" t="n">
        <v>55.42</v>
      </c>
      <c r="D10327" s="538" t="n">
        <v>61.29</v>
      </c>
      <c r="E10327" s="538" t="n">
        <v>77.18000000000001</v>
      </c>
    </row>
    <row r="10328">
      <c r="A10328" s="544" t="n">
        <v>43668</v>
      </c>
      <c r="B10328" s="538" t="n">
        <v>61.96</v>
      </c>
      <c r="C10328" s="538" t="n">
        <v>55.87</v>
      </c>
      <c r="D10328" s="538" t="n">
        <v>61.99</v>
      </c>
      <c r="E10328" s="538" t="n">
        <v>78.63</v>
      </c>
    </row>
    <row r="10329">
      <c r="A10329" s="544" t="n">
        <v>43669</v>
      </c>
      <c r="B10329" s="538" t="n">
        <v>62.28</v>
      </c>
      <c r="C10329" s="538" t="n">
        <v>56.58</v>
      </c>
      <c r="D10329" s="538" t="n">
        <v>63.13</v>
      </c>
      <c r="E10329" s="538" t="n">
        <v>77.62</v>
      </c>
    </row>
    <row r="10330">
      <c r="A10330" s="544" t="n">
        <v>43670</v>
      </c>
      <c r="B10330" s="538" t="n">
        <v>63.83</v>
      </c>
      <c r="C10330" s="538" t="n">
        <v>55.9</v>
      </c>
      <c r="D10330" s="538" t="n">
        <v>62.48</v>
      </c>
      <c r="E10330" s="538" t="n">
        <v>78.87</v>
      </c>
    </row>
    <row r="10331">
      <c r="A10331" s="544" t="n">
        <v>43671</v>
      </c>
      <c r="B10331" s="538" t="n">
        <v>63.47</v>
      </c>
      <c r="C10331" s="538" t="n">
        <v>55.88</v>
      </c>
      <c r="D10331" s="538" t="n">
        <v>62.76</v>
      </c>
      <c r="E10331" s="538" t="n">
        <v>78.45</v>
      </c>
    </row>
    <row r="10332">
      <c r="A10332" s="544" t="n">
        <v>43672</v>
      </c>
      <c r="B10332" s="538" t="n">
        <v>62.46</v>
      </c>
      <c r="C10332" s="538" t="n">
        <v>56.04</v>
      </c>
      <c r="D10332" s="538" t="n">
        <v>62.76</v>
      </c>
      <c r="E10332" s="538" t="n">
        <v>78.23</v>
      </c>
    </row>
    <row r="10333">
      <c r="A10333" s="544" t="n">
        <v>43675</v>
      </c>
      <c r="B10333" s="538" t="n">
        <v>62.29</v>
      </c>
      <c r="C10333" s="538" t="n">
        <v>56.85</v>
      </c>
      <c r="D10333" s="538" t="n">
        <v>63.31</v>
      </c>
      <c r="E10333" s="538" t="n">
        <v>78.13</v>
      </c>
    </row>
    <row r="10334">
      <c r="A10334" s="544" t="n">
        <v>43676</v>
      </c>
      <c r="B10334" s="538" t="n">
        <v>62.55</v>
      </c>
      <c r="C10334" s="538" t="n">
        <v>58.04</v>
      </c>
      <c r="D10334" s="538" t="n">
        <v>63.97</v>
      </c>
      <c r="E10334" s="538" t="n">
        <v>79.27</v>
      </c>
    </row>
    <row r="10335">
      <c r="A10335" s="544" t="n">
        <v>43677</v>
      </c>
      <c r="B10335" s="538" t="n">
        <v>64.06999999999999</v>
      </c>
      <c r="C10335" s="538" t="n">
        <v>58.53</v>
      </c>
      <c r="D10335" s="538" t="n">
        <v>63.07</v>
      </c>
      <c r="E10335" s="538" t="n">
        <v>80.53</v>
      </c>
    </row>
    <row r="10336">
      <c r="A10336" s="544" t="n">
        <v>43678</v>
      </c>
      <c r="B10336" s="538" t="n">
        <v>62.9</v>
      </c>
      <c r="C10336" s="538" t="n">
        <v>53.64</v>
      </c>
      <c r="D10336" s="538" t="n">
        <v>59.5</v>
      </c>
      <c r="E10336" s="538" t="n">
        <v>79.31999999999999</v>
      </c>
    </row>
    <row r="10337">
      <c r="A10337" s="544" t="n">
        <v>43679</v>
      </c>
      <c r="B10337" s="538" t="n">
        <v>61.12</v>
      </c>
      <c r="C10337" s="538" t="n">
        <v>55.67</v>
      </c>
      <c r="D10337" s="538" t="n">
        <v>60.37</v>
      </c>
      <c r="E10337" s="538" t="n">
        <v>75.98999999999999</v>
      </c>
    </row>
    <row r="10338">
      <c r="A10338" s="544" t="n">
        <v>43682</v>
      </c>
      <c r="B10338" s="538" t="n">
        <v>59.32</v>
      </c>
      <c r="C10338" s="538" t="n">
        <v>54.63</v>
      </c>
      <c r="D10338" s="538" t="n">
        <v>58.15</v>
      </c>
      <c r="E10338" s="538" t="n">
        <v>75.2</v>
      </c>
    </row>
    <row r="10339">
      <c r="A10339" s="544" t="n">
        <v>43683</v>
      </c>
      <c r="B10339" s="538" t="n">
        <v>58.63</v>
      </c>
      <c r="C10339" s="538" t="n">
        <v>53.6</v>
      </c>
      <c r="D10339" s="538" t="n">
        <v>57.3</v>
      </c>
      <c r="E10339" s="538" t="n">
        <v>74.33</v>
      </c>
    </row>
    <row r="10340">
      <c r="A10340" s="544" t="n">
        <v>43684</v>
      </c>
      <c r="B10340" s="538" t="n">
        <v>55.03</v>
      </c>
      <c r="C10340" s="538" t="n">
        <v>51.14</v>
      </c>
      <c r="D10340" s="538" t="n">
        <v>56.71</v>
      </c>
      <c r="E10340" s="538" t="n">
        <v>73.44</v>
      </c>
    </row>
    <row r="10341">
      <c r="A10341" s="544" t="n">
        <v>43685</v>
      </c>
      <c r="B10341" s="538" t="n">
        <v>56.29</v>
      </c>
      <c r="C10341" s="538" t="n">
        <v>52.6</v>
      </c>
      <c r="D10341" s="538" t="n">
        <v>56.66</v>
      </c>
      <c r="E10341" s="538" t="n">
        <v>71.81</v>
      </c>
    </row>
    <row r="10342">
      <c r="A10342" s="544" t="n">
        <v>43686</v>
      </c>
      <c r="B10342" s="538" t="n">
        <v>57.37</v>
      </c>
      <c r="C10342" s="538" t="n">
        <v>54.41</v>
      </c>
      <c r="D10342" s="538" t="n">
        <v>57.73</v>
      </c>
      <c r="E10342" s="538" t="n">
        <v>71.81</v>
      </c>
    </row>
    <row r="10343">
      <c r="A10343" s="544" t="n">
        <v>43689</v>
      </c>
      <c r="B10343" s="538" t="n">
        <v>57.13</v>
      </c>
      <c r="C10343" s="538" t="n">
        <v>54.98</v>
      </c>
      <c r="D10343" s="538" t="n">
        <v>57.57</v>
      </c>
      <c r="E10343" s="538" t="n">
        <v>71.81</v>
      </c>
    </row>
    <row r="10344">
      <c r="A10344" s="544" t="n">
        <v>43690</v>
      </c>
      <c r="B10344" s="538" t="n">
        <v>59.9</v>
      </c>
      <c r="C10344" s="538" t="n">
        <v>57.05</v>
      </c>
      <c r="D10344" s="538" t="n">
        <v>59.64</v>
      </c>
      <c r="E10344" s="538" t="n">
        <v>73.29000000000001</v>
      </c>
    </row>
    <row r="10345">
      <c r="A10345" s="544" t="n">
        <v>43691</v>
      </c>
      <c r="B10345" s="538" t="n">
        <v>57.86</v>
      </c>
      <c r="C10345" s="538" t="n">
        <v>55.16</v>
      </c>
      <c r="D10345" s="538" t="n">
        <v>57.91</v>
      </c>
      <c r="E10345" s="538" t="n">
        <v>75.75</v>
      </c>
    </row>
    <row r="10346">
      <c r="A10346" s="544" t="n">
        <v>43692</v>
      </c>
      <c r="B10346" s="538" t="n">
        <v>57.37</v>
      </c>
      <c r="C10346" s="538" t="n">
        <v>54.51</v>
      </c>
      <c r="D10346" s="538" t="n">
        <v>57.48</v>
      </c>
      <c r="E10346" s="538" t="n">
        <v>74.34999999999999</v>
      </c>
    </row>
    <row r="10347">
      <c r="A10347" s="544" t="n">
        <v>43693</v>
      </c>
      <c r="B10347" s="538" t="n">
        <v>59</v>
      </c>
      <c r="C10347" s="538" t="n">
        <v>54.83</v>
      </c>
      <c r="D10347" s="538" t="n">
        <v>57.71</v>
      </c>
      <c r="E10347" s="538" t="n">
        <v>73.94</v>
      </c>
    </row>
    <row r="10348">
      <c r="A10348" s="544" t="n">
        <v>43696</v>
      </c>
      <c r="B10348" s="538" t="n">
        <v>59.79</v>
      </c>
      <c r="C10348" s="538" t="n">
        <v>56.24</v>
      </c>
      <c r="D10348" s="538" t="n">
        <v>58.89</v>
      </c>
      <c r="E10348" s="538" t="n">
        <v>74.03</v>
      </c>
    </row>
    <row r="10349">
      <c r="A10349" s="544" t="n">
        <v>43697</v>
      </c>
      <c r="B10349" s="538" t="n">
        <v>59.03</v>
      </c>
      <c r="C10349" s="538" t="n">
        <v>56.18</v>
      </c>
      <c r="D10349" s="538" t="n">
        <v>59.38</v>
      </c>
      <c r="E10349" s="538" t="n">
        <v>74.44</v>
      </c>
    </row>
    <row r="10350">
      <c r="A10350" s="544" t="n">
        <v>43698</v>
      </c>
      <c r="B10350" s="538" t="n">
        <v>60.6</v>
      </c>
      <c r="C10350" s="538" t="n">
        <v>55.65</v>
      </c>
      <c r="D10350" s="538" t="n">
        <v>60.27</v>
      </c>
      <c r="E10350" s="538" t="n">
        <v>75.05</v>
      </c>
    </row>
    <row r="10351">
      <c r="A10351" s="544" t="n">
        <v>43699</v>
      </c>
      <c r="B10351" s="538" t="n">
        <v>59.81</v>
      </c>
      <c r="C10351" s="538" t="n">
        <v>55.33</v>
      </c>
      <c r="D10351" s="538" t="n">
        <v>59.63</v>
      </c>
      <c r="E10351" s="538" t="n">
        <v>75.36</v>
      </c>
    </row>
    <row r="10352">
      <c r="A10352" s="544" t="n">
        <v>43700</v>
      </c>
      <c r="B10352" s="538" t="n">
        <v>58.64</v>
      </c>
      <c r="C10352" s="538" t="n">
        <v>54.08</v>
      </c>
      <c r="D10352" s="538" t="n">
        <v>58.63</v>
      </c>
      <c r="E10352" s="538" t="n">
        <v>74.23</v>
      </c>
    </row>
    <row r="10353">
      <c r="A10353" s="544" t="n">
        <v>43703</v>
      </c>
      <c r="B10353" s="538" t="n">
        <v>58.64</v>
      </c>
      <c r="C10353" s="538" t="n">
        <v>53.54</v>
      </c>
      <c r="D10353" s="538" t="n">
        <v>58.09</v>
      </c>
      <c r="E10353" s="538" t="n">
        <v>73.68000000000001</v>
      </c>
    </row>
    <row r="10354">
      <c r="A10354" s="544" t="n">
        <v>43704</v>
      </c>
      <c r="B10354" s="538" t="n">
        <v>58.44</v>
      </c>
      <c r="C10354" s="538" t="n">
        <v>54.99</v>
      </c>
      <c r="D10354" s="538" t="n">
        <v>59.49</v>
      </c>
      <c r="E10354" s="538" t="n">
        <v>73.15000000000001</v>
      </c>
    </row>
    <row r="10355">
      <c r="A10355" s="544" t="n">
        <v>43705</v>
      </c>
      <c r="B10355" s="538" t="n">
        <v>60.42</v>
      </c>
      <c r="C10355" s="538" t="n">
        <v>55.76</v>
      </c>
      <c r="D10355" s="538" t="n">
        <v>59.68</v>
      </c>
      <c r="E10355" s="538" t="n">
        <v>74.18000000000001</v>
      </c>
    </row>
    <row r="10356">
      <c r="A10356" s="544" t="n">
        <v>43706</v>
      </c>
      <c r="B10356" s="538" t="n">
        <v>60.59</v>
      </c>
      <c r="C10356" s="538" t="n">
        <v>56.67</v>
      </c>
      <c r="D10356" s="538" t="n">
        <v>60.12</v>
      </c>
      <c r="E10356" s="538" t="n">
        <v>75.04000000000001</v>
      </c>
    </row>
    <row r="10357">
      <c r="A10357" s="544" t="n">
        <v>43707</v>
      </c>
      <c r="B10357" s="538" t="n">
        <v>61.04</v>
      </c>
      <c r="C10357" s="538" t="n">
        <v>55.07</v>
      </c>
      <c r="D10357" s="538" t="n">
        <v>58.88</v>
      </c>
      <c r="E10357" s="538" t="n">
        <v>75.41</v>
      </c>
    </row>
    <row r="10358">
      <c r="A10358" s="544" t="n">
        <v>43710</v>
      </c>
      <c r="B10358" s="538" t="n">
        <v>58.55</v>
      </c>
      <c r="C10358" s="538" t="n">
        <v>55.07</v>
      </c>
      <c r="D10358" s="538" t="n">
        <v>57.07</v>
      </c>
      <c r="E10358" s="538" t="n">
        <v>73.54000000000001</v>
      </c>
    </row>
    <row r="10359">
      <c r="A10359" s="544" t="n">
        <v>43711</v>
      </c>
      <c r="B10359" s="538" t="n">
        <v>57.93</v>
      </c>
      <c r="C10359" s="538" t="n">
        <v>53.91</v>
      </c>
      <c r="D10359" s="538" t="n">
        <v>56.46</v>
      </c>
      <c r="E10359" s="538" t="n">
        <v>72.33</v>
      </c>
    </row>
    <row r="10360">
      <c r="A10360" s="544" t="n">
        <v>43712</v>
      </c>
      <c r="B10360" s="538" t="n">
        <v>60.68</v>
      </c>
      <c r="C10360" s="538" t="n">
        <v>56.22</v>
      </c>
      <c r="D10360" s="538" t="n">
        <v>58.41</v>
      </c>
      <c r="E10360" s="538" t="n">
        <v>73.08</v>
      </c>
    </row>
    <row r="10361">
      <c r="A10361" s="544" t="n">
        <v>43713</v>
      </c>
      <c r="B10361" s="538" t="n">
        <v>62.7</v>
      </c>
      <c r="C10361" s="538" t="n">
        <v>56.33</v>
      </c>
      <c r="D10361" s="538" t="n">
        <v>58.87</v>
      </c>
      <c r="E10361" s="538" t="n">
        <v>75.22</v>
      </c>
    </row>
    <row r="10362">
      <c r="A10362" s="544" t="n">
        <v>43714</v>
      </c>
      <c r="B10362" s="538" t="n">
        <v>61.28</v>
      </c>
      <c r="C10362" s="538" t="n">
        <v>56.45</v>
      </c>
      <c r="D10362" s="538" t="n">
        <v>59.78</v>
      </c>
      <c r="E10362" s="538" t="n">
        <v>75.42</v>
      </c>
    </row>
    <row r="10363">
      <c r="A10363" s="544" t="n">
        <v>43717</v>
      </c>
      <c r="B10363" s="538" t="n">
        <v>63.99</v>
      </c>
      <c r="C10363" s="538" t="n">
        <v>57.88</v>
      </c>
      <c r="D10363" s="538" t="n">
        <v>61.08</v>
      </c>
      <c r="E10363" s="538" t="n">
        <v>76.48999999999999</v>
      </c>
    </row>
    <row r="10364">
      <c r="A10364" s="544" t="n">
        <v>43718</v>
      </c>
      <c r="B10364" s="538" t="n">
        <v>64.67</v>
      </c>
      <c r="C10364" s="538" t="n">
        <v>57.37</v>
      </c>
      <c r="D10364" s="538" t="n">
        <v>61.17</v>
      </c>
      <c r="E10364" s="538" t="n">
        <v>77.78</v>
      </c>
    </row>
    <row r="10365">
      <c r="A10365" s="544" t="n">
        <v>43719</v>
      </c>
      <c r="B10365" s="538" t="n">
        <v>63.02</v>
      </c>
      <c r="C10365" s="538" t="n">
        <v>55.66</v>
      </c>
      <c r="D10365" s="538" t="n">
        <v>59.06</v>
      </c>
      <c r="E10365" s="538" t="n">
        <v>77.98999999999999</v>
      </c>
    </row>
    <row r="10366">
      <c r="A10366" s="544" t="n">
        <v>43720</v>
      </c>
      <c r="B10366" s="538" t="n">
        <v>60.76</v>
      </c>
      <c r="C10366" s="538" t="n">
        <v>55.13</v>
      </c>
      <c r="D10366" s="538" t="n">
        <v>58.3</v>
      </c>
      <c r="E10366" s="538" t="n">
        <v>76.56</v>
      </c>
    </row>
    <row r="10367">
      <c r="A10367" s="544" t="n">
        <v>43721</v>
      </c>
      <c r="B10367" s="538" t="n">
        <v>61.25</v>
      </c>
      <c r="C10367" s="538" t="n">
        <v>54.76</v>
      </c>
      <c r="D10367" s="538" t="n">
        <v>58.31</v>
      </c>
      <c r="E10367" s="538" t="n">
        <v>74.88</v>
      </c>
    </row>
    <row r="10368">
      <c r="A10368" s="544" t="n">
        <v>43724</v>
      </c>
      <c r="B10368" s="538" t="n">
        <v>68.42</v>
      </c>
      <c r="C10368" s="538" t="n">
        <v>63.1</v>
      </c>
      <c r="D10368" s="538" t="n">
        <v>66.52</v>
      </c>
      <c r="E10368" s="538" t="n">
        <v>80.69</v>
      </c>
    </row>
    <row r="10369">
      <c r="A10369" s="544" t="n">
        <v>43725</v>
      </c>
      <c r="B10369" s="538" t="n">
        <v>65.59</v>
      </c>
      <c r="C10369" s="538" t="n">
        <v>59.26</v>
      </c>
      <c r="D10369" s="538" t="n">
        <v>62.79</v>
      </c>
      <c r="E10369" s="538" t="n">
        <v>85.22</v>
      </c>
    </row>
    <row r="10370">
      <c r="A10370" s="544" t="n">
        <v>43726</v>
      </c>
      <c r="B10370" s="538" t="n">
        <v>64.29000000000001</v>
      </c>
      <c r="C10370" s="538" t="n">
        <v>58.19</v>
      </c>
      <c r="D10370" s="538" t="n">
        <v>62.28</v>
      </c>
      <c r="E10370" s="538" t="n">
        <v>80.28</v>
      </c>
    </row>
    <row r="10371">
      <c r="A10371" s="544" t="n">
        <v>43727</v>
      </c>
      <c r="B10371" s="538" t="n">
        <v>64.25</v>
      </c>
      <c r="C10371" s="538" t="n">
        <v>58.19</v>
      </c>
      <c r="D10371" s="538" t="n">
        <v>64.58</v>
      </c>
      <c r="E10371" s="538" t="n">
        <v>79.87</v>
      </c>
    </row>
    <row r="10372">
      <c r="A10372" s="544" t="n">
        <v>43728</v>
      </c>
      <c r="B10372" s="538" t="n">
        <v>65.23</v>
      </c>
      <c r="C10372" s="538" t="n">
        <v>57.92</v>
      </c>
      <c r="D10372" s="538" t="n">
        <v>63.7</v>
      </c>
      <c r="E10372" s="538" t="n">
        <v>81.14</v>
      </c>
    </row>
    <row r="10373">
      <c r="A10373" s="544" t="n">
        <v>43731</v>
      </c>
      <c r="B10373" s="538" t="n">
        <v>64.66</v>
      </c>
      <c r="C10373" s="538" t="n">
        <v>58.69</v>
      </c>
      <c r="D10373" s="538" t="n">
        <v>63.46</v>
      </c>
      <c r="E10373" s="538" t="n">
        <v>80.06999999999999</v>
      </c>
    </row>
    <row r="10374">
      <c r="A10374" s="544" t="n">
        <v>43732</v>
      </c>
      <c r="B10374" s="538" t="n">
        <v>64.13</v>
      </c>
      <c r="C10374" s="538" t="n">
        <v>57.22</v>
      </c>
      <c r="D10374" s="538" t="n">
        <v>61.71</v>
      </c>
      <c r="E10374" s="538" t="n">
        <v>79.54000000000001</v>
      </c>
    </row>
    <row r="10375">
      <c r="A10375" s="544" t="n">
        <v>43733</v>
      </c>
      <c r="B10375" s="538" t="n">
        <v>62.41</v>
      </c>
      <c r="C10375" s="538" t="n">
        <v>56.38</v>
      </c>
      <c r="D10375" s="538" t="n">
        <v>61.78</v>
      </c>
      <c r="E10375" s="538" t="n">
        <v>77.72</v>
      </c>
    </row>
    <row r="10376">
      <c r="A10376" s="544" t="n">
        <v>43734</v>
      </c>
      <c r="B10376" s="538" t="n">
        <v>62.08</v>
      </c>
      <c r="C10376" s="538" t="n">
        <v>56.24</v>
      </c>
      <c r="D10376" s="538" t="n">
        <v>62.01</v>
      </c>
      <c r="E10376" s="538" t="n">
        <v>78.25</v>
      </c>
    </row>
    <row r="10377">
      <c r="A10377" s="544" t="n">
        <v>43735</v>
      </c>
      <c r="B10377" s="538" t="n">
        <v>62.48</v>
      </c>
      <c r="C10377" s="538" t="n">
        <v>55.95</v>
      </c>
      <c r="D10377" s="538" t="n">
        <v>61</v>
      </c>
      <c r="E10377" s="538" t="n">
        <v>78.72</v>
      </c>
    </row>
    <row r="10378">
      <c r="A10378" s="544" t="n">
        <v>43738</v>
      </c>
      <c r="B10378" s="538" t="n">
        <v>60.99</v>
      </c>
      <c r="C10378" s="538" t="n">
        <v>54.09</v>
      </c>
      <c r="D10378" s="538" t="n">
        <v>59.55</v>
      </c>
      <c r="E10378" s="538" t="n">
        <v>77.83</v>
      </c>
    </row>
    <row r="10379">
      <c r="A10379" s="544" t="n">
        <v>43739</v>
      </c>
      <c r="B10379" s="538" t="n">
        <v>60.06</v>
      </c>
      <c r="C10379" s="538" t="n">
        <v>53.6</v>
      </c>
      <c r="D10379" s="538" t="n">
        <v>58.21</v>
      </c>
      <c r="E10379" s="538" t="n">
        <v>77.18000000000001</v>
      </c>
    </row>
    <row r="10380">
      <c r="A10380" s="544" t="n">
        <v>43740</v>
      </c>
      <c r="B10380" s="538" t="n">
        <v>57.92</v>
      </c>
      <c r="C10380" s="538" t="n">
        <v>52.67</v>
      </c>
      <c r="D10380" s="538" t="n">
        <v>56.75</v>
      </c>
      <c r="E10380" s="538" t="n">
        <v>76.34</v>
      </c>
    </row>
    <row r="10381">
      <c r="A10381" s="544" t="n">
        <v>43741</v>
      </c>
      <c r="B10381" s="538" t="n">
        <v>58.01</v>
      </c>
      <c r="C10381" s="538" t="n">
        <v>52.41</v>
      </c>
      <c r="D10381" s="538" t="n">
        <v>56.76</v>
      </c>
      <c r="E10381" s="538" t="n">
        <v>74.54000000000001</v>
      </c>
    </row>
    <row r="10382">
      <c r="A10382" s="544" t="n">
        <v>43742</v>
      </c>
      <c r="B10382" s="538" t="n">
        <v>59.13</v>
      </c>
      <c r="C10382" s="538" t="n">
        <v>52.84</v>
      </c>
      <c r="D10382" s="538" t="n">
        <v>57.46</v>
      </c>
      <c r="E10382" s="538" t="n">
        <v>74.94</v>
      </c>
    </row>
    <row r="10383">
      <c r="A10383" s="544" t="n">
        <v>43745</v>
      </c>
      <c r="B10383" s="538" t="n">
        <v>59.46</v>
      </c>
      <c r="C10383" s="538" t="n">
        <v>52.76</v>
      </c>
      <c r="D10383" s="538" t="n">
        <v>57.94</v>
      </c>
      <c r="E10383" s="538" t="n">
        <v>75.19</v>
      </c>
    </row>
    <row r="10384">
      <c r="A10384" s="544" t="n">
        <v>43746</v>
      </c>
      <c r="B10384" s="538" t="n">
        <v>58.14</v>
      </c>
      <c r="C10384" s="538" t="n">
        <v>52.64</v>
      </c>
      <c r="D10384" s="538" t="n">
        <v>57.08</v>
      </c>
      <c r="E10384" s="538" t="n">
        <v>75.01000000000001</v>
      </c>
    </row>
    <row r="10385">
      <c r="A10385" s="544" t="n">
        <v>43747</v>
      </c>
      <c r="B10385" s="538" t="n">
        <v>59.7</v>
      </c>
      <c r="C10385" s="538" t="n">
        <v>52.63</v>
      </c>
      <c r="D10385" s="538" t="n">
        <v>56.6</v>
      </c>
      <c r="E10385" s="538" t="n">
        <v>74.56999999999999</v>
      </c>
    </row>
    <row r="10386">
      <c r="A10386" s="544" t="n">
        <v>43748</v>
      </c>
      <c r="B10386" s="538" t="n">
        <v>59.08</v>
      </c>
      <c r="C10386" s="538" t="n">
        <v>53.57</v>
      </c>
      <c r="D10386" s="538" t="n">
        <v>58.55</v>
      </c>
      <c r="E10386" s="538" t="n">
        <v>74.7</v>
      </c>
    </row>
    <row r="10387">
      <c r="A10387" s="544" t="n">
        <v>43749</v>
      </c>
      <c r="B10387" s="538" t="n">
        <v>60.59</v>
      </c>
      <c r="C10387" s="538" t="n">
        <v>54.76</v>
      </c>
      <c r="D10387" s="538" t="n">
        <v>59.65</v>
      </c>
      <c r="E10387" s="538" t="n">
        <v>76.87</v>
      </c>
    </row>
    <row r="10388">
      <c r="A10388" s="544" t="n">
        <v>43752</v>
      </c>
      <c r="B10388" s="538" t="n">
        <v>58.81</v>
      </c>
      <c r="C10388" s="538" t="n">
        <v>53.57</v>
      </c>
      <c r="D10388" s="538" t="n">
        <v>58.18</v>
      </c>
      <c r="E10388" s="538" t="n">
        <v>75.89</v>
      </c>
    </row>
    <row r="10389">
      <c r="A10389" s="544" t="n">
        <v>43753</v>
      </c>
      <c r="B10389" s="538" t="n">
        <v>59.19</v>
      </c>
      <c r="C10389" s="538" t="n">
        <v>52.81</v>
      </c>
      <c r="D10389" s="538" t="n">
        <v>58.51</v>
      </c>
      <c r="E10389" s="538" t="n">
        <v>74.22</v>
      </c>
    </row>
    <row r="10390">
      <c r="A10390" s="544" t="n">
        <v>43754</v>
      </c>
      <c r="B10390" s="538" t="n">
        <v>59.3</v>
      </c>
      <c r="C10390" s="538" t="n">
        <v>53.42</v>
      </c>
      <c r="D10390" s="538" t="n">
        <v>58.59</v>
      </c>
      <c r="E10390" s="538" t="n">
        <v>74.59</v>
      </c>
    </row>
    <row r="10391">
      <c r="A10391" s="544" t="n">
        <v>43755</v>
      </c>
      <c r="B10391" s="538" t="n">
        <v>59.35</v>
      </c>
      <c r="C10391" s="538" t="n">
        <v>53.89</v>
      </c>
      <c r="D10391" s="538" t="n">
        <v>59.46</v>
      </c>
      <c r="E10391" s="538" t="n">
        <v>74.79000000000001</v>
      </c>
    </row>
    <row r="10392">
      <c r="A10392" s="544" t="n">
        <v>43756</v>
      </c>
      <c r="B10392" s="538" t="n">
        <v>59.96</v>
      </c>
      <c r="C10392" s="538" t="n">
        <v>53.75</v>
      </c>
      <c r="D10392" s="538" t="n">
        <v>58.7</v>
      </c>
      <c r="E10392" s="538" t="n">
        <v>75.03</v>
      </c>
    </row>
    <row r="10393">
      <c r="A10393" s="544" t="n">
        <v>43759</v>
      </c>
      <c r="B10393" s="538" t="n">
        <v>58.95</v>
      </c>
      <c r="C10393" s="538" t="n">
        <v>53.28</v>
      </c>
      <c r="D10393" s="538" t="n">
        <v>58.39</v>
      </c>
      <c r="E10393" s="538" t="n">
        <v>74.58</v>
      </c>
    </row>
    <row r="10394">
      <c r="A10394" s="544" t="n">
        <v>43760</v>
      </c>
      <c r="B10394" s="538" t="n">
        <v>60.5</v>
      </c>
      <c r="C10394" s="538" t="n">
        <v>54.21</v>
      </c>
      <c r="D10394" s="538" t="n">
        <v>58.75</v>
      </c>
      <c r="E10394" s="538" t="n">
        <v>74.31999999999999</v>
      </c>
    </row>
    <row r="10395">
      <c r="A10395" s="544" t="n">
        <v>43761</v>
      </c>
      <c r="B10395" s="538" t="n">
        <v>60.52</v>
      </c>
      <c r="C10395" s="538" t="n">
        <v>55.9</v>
      </c>
      <c r="D10395" s="538" t="n">
        <v>60.26</v>
      </c>
      <c r="E10395" s="538" t="n">
        <v>74.70999999999999</v>
      </c>
    </row>
    <row r="10396">
      <c r="A10396" s="544" t="n">
        <v>43762</v>
      </c>
      <c r="B10396" s="538" t="n">
        <v>61.71</v>
      </c>
      <c r="C10396" s="538" t="n">
        <v>56.11</v>
      </c>
      <c r="D10396" s="538" t="n">
        <v>60.77</v>
      </c>
      <c r="E10396" s="538" t="n">
        <v>75.70999999999999</v>
      </c>
    </row>
    <row r="10397">
      <c r="A10397" s="544" t="n">
        <v>43763</v>
      </c>
      <c r="B10397" s="538" t="n">
        <v>62.06</v>
      </c>
      <c r="C10397" s="538" t="n">
        <v>56.52</v>
      </c>
      <c r="D10397" s="538" t="n">
        <v>61.27</v>
      </c>
      <c r="E10397" s="538" t="n">
        <v>76.95999999999999</v>
      </c>
    </row>
    <row r="10398">
      <c r="A10398" s="544" t="n">
        <v>43766</v>
      </c>
      <c r="B10398" s="538" t="n">
        <v>60.39</v>
      </c>
      <c r="C10398" s="538" t="n">
        <v>55.6</v>
      </c>
      <c r="D10398" s="538" t="n">
        <v>60.78</v>
      </c>
      <c r="E10398" s="538" t="n">
        <v>76.95999999999999</v>
      </c>
    </row>
    <row r="10399">
      <c r="A10399" s="544" t="n">
        <v>43767</v>
      </c>
      <c r="B10399" s="538" t="n">
        <v>61.05</v>
      </c>
      <c r="C10399" s="538" t="n">
        <v>55.34</v>
      </c>
      <c r="D10399" s="538" t="n">
        <v>60.86</v>
      </c>
      <c r="E10399" s="538" t="n">
        <v>75.95999999999999</v>
      </c>
    </row>
    <row r="10400">
      <c r="A10400" s="544" t="n">
        <v>43768</v>
      </c>
      <c r="B10400" s="538" t="n">
        <v>60.22</v>
      </c>
      <c r="C10400" s="538" t="n">
        <v>54.85</v>
      </c>
      <c r="D10400" s="538" t="n">
        <v>60.09</v>
      </c>
      <c r="E10400" s="538" t="n">
        <v>75.97</v>
      </c>
    </row>
    <row r="10401">
      <c r="A10401" s="544" t="n">
        <v>43769</v>
      </c>
      <c r="B10401" s="538" t="n">
        <v>59.3</v>
      </c>
      <c r="C10401" s="538" t="n">
        <v>54.02</v>
      </c>
      <c r="D10401" s="538" t="n">
        <v>58.41</v>
      </c>
      <c r="E10401" s="538" t="n">
        <v>75.63</v>
      </c>
    </row>
    <row r="10402">
      <c r="A10402" s="544" t="n">
        <v>43770</v>
      </c>
      <c r="B10402" s="538" t="n">
        <v>60.17</v>
      </c>
      <c r="C10402" s="538" t="n">
        <v>56.04</v>
      </c>
      <c r="D10402" s="538" t="n">
        <v>60.08</v>
      </c>
      <c r="E10402" s="538" t="n">
        <v>73.78</v>
      </c>
    </row>
    <row r="10403">
      <c r="A10403" s="544" t="n">
        <v>43773</v>
      </c>
      <c r="B10403" s="538" t="n">
        <v>62.52</v>
      </c>
      <c r="C10403" s="538" t="n">
        <v>56.33</v>
      </c>
      <c r="D10403" s="538" t="n">
        <v>60.31</v>
      </c>
      <c r="E10403" s="538" t="n">
        <v>75.84</v>
      </c>
    </row>
    <row r="10404">
      <c r="A10404" s="544" t="n">
        <v>43774</v>
      </c>
      <c r="B10404" s="538" t="n">
        <v>62.72</v>
      </c>
      <c r="C10404" s="538" t="n">
        <v>57.04</v>
      </c>
      <c r="D10404" s="538" t="n">
        <v>61.07</v>
      </c>
      <c r="E10404" s="538" t="n">
        <v>76.34</v>
      </c>
    </row>
    <row r="10405">
      <c r="A10405" s="544" t="n">
        <v>43775</v>
      </c>
      <c r="B10405" s="538" t="n">
        <v>62.11</v>
      </c>
      <c r="C10405" s="538" t="n">
        <v>56.15</v>
      </c>
      <c r="D10405" s="538" t="n">
        <v>60.02</v>
      </c>
      <c r="E10405" s="538" t="n">
        <v>76.06999999999999</v>
      </c>
    </row>
    <row r="10406">
      <c r="A10406" s="544" t="n">
        <v>43776</v>
      </c>
      <c r="B10406" s="538" t="n">
        <v>62.6</v>
      </c>
      <c r="C10406" s="538" t="n">
        <v>56.91</v>
      </c>
      <c r="D10406" s="538" t="n">
        <v>60.58</v>
      </c>
      <c r="E10406" s="538" t="n">
        <v>75.18000000000001</v>
      </c>
    </row>
    <row r="10407">
      <c r="A10407" s="544" t="n">
        <v>43777</v>
      </c>
      <c r="B10407" s="538" t="n">
        <v>62</v>
      </c>
      <c r="C10407" s="538" t="n">
        <v>57.02</v>
      </c>
      <c r="D10407" s="538" t="n">
        <v>61</v>
      </c>
      <c r="E10407" s="538" t="n">
        <v>74.5</v>
      </c>
    </row>
    <row r="10408">
      <c r="A10408" s="544" t="n">
        <v>43780</v>
      </c>
      <c r="B10408" s="538" t="n">
        <v>62.58</v>
      </c>
      <c r="C10408" s="538" t="n">
        <v>56.61</v>
      </c>
      <c r="D10408" s="538" t="n">
        <v>60.65</v>
      </c>
      <c r="E10408" s="538" t="n">
        <v>74.36</v>
      </c>
    </row>
    <row r="10409">
      <c r="A10409" s="544" t="n">
        <v>43781</v>
      </c>
      <c r="B10409" s="538" t="n">
        <v>62.19</v>
      </c>
      <c r="C10409" s="538" t="n">
        <v>56.67</v>
      </c>
      <c r="D10409" s="538" t="n">
        <v>60.8</v>
      </c>
      <c r="E10409" s="538" t="n">
        <v>74.77</v>
      </c>
    </row>
    <row r="10410">
      <c r="A10410" s="544" t="n">
        <v>43782</v>
      </c>
      <c r="B10410" s="538" t="n">
        <v>62.27</v>
      </c>
      <c r="C10410" s="538" t="n">
        <v>56.88</v>
      </c>
      <c r="D10410" s="538" t="n">
        <v>61.4</v>
      </c>
      <c r="E10410" s="538" t="n">
        <v>73.61</v>
      </c>
    </row>
    <row r="10411">
      <c r="A10411" s="544" t="n">
        <v>43783</v>
      </c>
      <c r="B10411" s="538" t="n">
        <v>62.46</v>
      </c>
      <c r="C10411" s="538" t="n">
        <v>56.57</v>
      </c>
      <c r="D10411" s="538" t="n">
        <v>61.12</v>
      </c>
      <c r="E10411" s="538" t="n">
        <v>74.78</v>
      </c>
    </row>
    <row r="10412">
      <c r="A10412" s="544" t="n">
        <v>43784</v>
      </c>
      <c r="B10412" s="538" t="n">
        <v>63.32</v>
      </c>
      <c r="C10412" s="538" t="n">
        <v>57.54</v>
      </c>
      <c r="D10412" s="538" t="n">
        <v>61.96</v>
      </c>
      <c r="E10412" s="538" t="n">
        <v>75.05</v>
      </c>
    </row>
    <row r="10413">
      <c r="A10413" s="544" t="n">
        <v>43787</v>
      </c>
      <c r="B10413" s="538" t="n">
        <v>62.82</v>
      </c>
      <c r="C10413" s="538" t="n">
        <v>56.82</v>
      </c>
      <c r="D10413" s="538" t="n">
        <v>60.9</v>
      </c>
      <c r="E10413" s="538" t="n">
        <v>75.75</v>
      </c>
    </row>
    <row r="10414">
      <c r="A10414" s="544" t="n">
        <v>43788</v>
      </c>
      <c r="B10414" s="538" t="n">
        <v>62.37</v>
      </c>
      <c r="C10414" s="538" t="n">
        <v>54.93</v>
      </c>
      <c r="D10414" s="538" t="n">
        <v>59.45</v>
      </c>
      <c r="E10414" s="538" t="n">
        <v>73.76000000000001</v>
      </c>
    </row>
    <row r="10415">
      <c r="A10415" s="544" t="n">
        <v>43789</v>
      </c>
      <c r="B10415" s="538" t="n">
        <v>63.8</v>
      </c>
      <c r="C10415" s="538" t="n">
        <v>56.71</v>
      </c>
      <c r="D10415" s="538" t="n">
        <v>61.35</v>
      </c>
      <c r="E10415" s="538" t="n">
        <v>72.23999999999999</v>
      </c>
    </row>
    <row r="10416">
      <c r="A10416" s="544" t="n">
        <v>43790</v>
      </c>
      <c r="B10416" s="538" t="n">
        <v>64.98999999999999</v>
      </c>
      <c r="C10416" s="538" t="n">
        <v>58.36</v>
      </c>
      <c r="D10416" s="538" t="n">
        <v>62.87</v>
      </c>
      <c r="E10416" s="538" t="n">
        <v>73.66</v>
      </c>
    </row>
    <row r="10417">
      <c r="A10417" s="544" t="n">
        <v>43791</v>
      </c>
      <c r="B10417" s="538" t="n">
        <v>64.83</v>
      </c>
      <c r="C10417" s="538" t="n">
        <v>57.68</v>
      </c>
      <c r="D10417" s="538" t="n">
        <v>62.78</v>
      </c>
      <c r="E10417" s="538" t="n">
        <v>75.27</v>
      </c>
    </row>
    <row r="10418">
      <c r="A10418" s="544" t="n">
        <v>43794</v>
      </c>
      <c r="B10418" s="538" t="n">
        <v>64.67</v>
      </c>
      <c r="C10418" s="538" t="n">
        <v>57.79</v>
      </c>
      <c r="D10418" s="538" t="n">
        <v>62.52</v>
      </c>
      <c r="E10418" s="538" t="n">
        <v>75.02</v>
      </c>
    </row>
    <row r="10419">
      <c r="A10419" s="544" t="n">
        <v>43795</v>
      </c>
      <c r="B10419" s="538" t="n">
        <v>64.81999999999999</v>
      </c>
      <c r="C10419" s="538" t="n">
        <v>58.25</v>
      </c>
      <c r="D10419" s="538" t="n">
        <v>63.08</v>
      </c>
      <c r="E10419" s="538" t="n">
        <v>75.14</v>
      </c>
    </row>
    <row r="10420">
      <c r="A10420" s="544" t="n">
        <v>43796</v>
      </c>
      <c r="B10420" s="538" t="n">
        <v>65.03</v>
      </c>
      <c r="C10420" s="538" t="n">
        <v>58.12</v>
      </c>
      <c r="D10420" s="538" t="n">
        <v>63.07</v>
      </c>
      <c r="E10420" s="538" t="n">
        <v>76.02</v>
      </c>
    </row>
    <row r="10421">
      <c r="A10421" s="544" t="n">
        <v>43797</v>
      </c>
      <c r="B10421" s="538" t="n">
        <v>64.68000000000001</v>
      </c>
      <c r="C10421" s="538" t="n">
        <v>58.12</v>
      </c>
      <c r="D10421" s="538" t="n">
        <v>63.45</v>
      </c>
      <c r="E10421" s="538" t="n">
        <v>75.62</v>
      </c>
    </row>
    <row r="10422">
      <c r="A10422" s="544" t="n">
        <v>43798</v>
      </c>
      <c r="B10422" s="538" t="n">
        <v>64.5</v>
      </c>
      <c r="C10422" s="538" t="n">
        <v>58.12</v>
      </c>
      <c r="D10422" s="538" t="n">
        <v>60.19</v>
      </c>
      <c r="E10422" s="538" t="n">
        <v>76.09</v>
      </c>
    </row>
    <row r="10423">
      <c r="A10423" s="544" t="n">
        <v>43801</v>
      </c>
      <c r="B10423" s="538" t="n">
        <v>63.2</v>
      </c>
      <c r="C10423" s="538" t="n">
        <v>55.97</v>
      </c>
      <c r="D10423" s="538" t="n">
        <v>59.8</v>
      </c>
      <c r="E10423" s="538" t="n">
        <v>73.76000000000001</v>
      </c>
    </row>
    <row r="10424">
      <c r="A10424" s="544" t="n">
        <v>43802</v>
      </c>
      <c r="B10424" s="538" t="n">
        <v>62.95</v>
      </c>
      <c r="C10424" s="538" t="n">
        <v>56.15</v>
      </c>
      <c r="D10424" s="538" t="n">
        <v>60.13</v>
      </c>
      <c r="E10424" s="538" t="n">
        <v>73.78</v>
      </c>
    </row>
    <row r="10425">
      <c r="A10425" s="544" t="n">
        <v>43803</v>
      </c>
      <c r="B10425" s="538" t="n">
        <v>65.25</v>
      </c>
      <c r="C10425" s="538" t="n">
        <v>58.46</v>
      </c>
      <c r="D10425" s="538" t="n">
        <v>61.96</v>
      </c>
      <c r="E10425" s="538" t="n">
        <v>73.88</v>
      </c>
    </row>
    <row r="10426">
      <c r="A10426" s="544" t="n">
        <v>43804</v>
      </c>
      <c r="B10426" s="538" t="n">
        <v>65.67</v>
      </c>
      <c r="C10426" s="538" t="n">
        <v>58.42</v>
      </c>
      <c r="D10426" s="538" t="n">
        <v>62.44</v>
      </c>
      <c r="E10426" s="538" t="n">
        <v>74.91</v>
      </c>
    </row>
    <row r="10427">
      <c r="A10427" s="544" t="n">
        <v>43805</v>
      </c>
      <c r="B10427" s="538" t="n">
        <v>66.5</v>
      </c>
      <c r="C10427" s="538" t="n">
        <v>59.2</v>
      </c>
      <c r="D10427" s="538" t="n">
        <v>63.23</v>
      </c>
      <c r="E10427" s="538" t="n">
        <v>75.48999999999999</v>
      </c>
    </row>
    <row r="10428">
      <c r="A10428" s="544" t="n">
        <v>43808</v>
      </c>
      <c r="B10428" s="538" t="n">
        <v>66.44</v>
      </c>
      <c r="C10428" s="538" t="n">
        <v>58.99</v>
      </c>
      <c r="D10428" s="538" t="n">
        <v>63.14</v>
      </c>
      <c r="E10428" s="538" t="n">
        <v>75.72</v>
      </c>
    </row>
    <row r="10429">
      <c r="A10429" s="544" t="n">
        <v>43809</v>
      </c>
      <c r="B10429" s="538" t="n">
        <v>66.56999999999999</v>
      </c>
      <c r="C10429" s="538" t="n">
        <v>59.22</v>
      </c>
      <c r="D10429" s="538" t="n">
        <v>63.23</v>
      </c>
      <c r="E10429" s="538" t="n">
        <v>75.34999999999999</v>
      </c>
    </row>
    <row r="10430">
      <c r="A10430" s="544" t="n">
        <v>43810</v>
      </c>
      <c r="B10430" s="538" t="n">
        <v>65.37</v>
      </c>
      <c r="C10430" s="538" t="n">
        <v>58.74</v>
      </c>
      <c r="D10430" s="538" t="n">
        <v>62.95</v>
      </c>
      <c r="E10430" s="538" t="n">
        <v>76.31</v>
      </c>
    </row>
    <row r="10431">
      <c r="A10431" s="544" t="n">
        <v>43811</v>
      </c>
      <c r="B10431" s="538" t="n">
        <v>66.67</v>
      </c>
      <c r="C10431" s="538" t="n">
        <v>59.18</v>
      </c>
      <c r="D10431" s="538" t="n">
        <v>63.69</v>
      </c>
      <c r="E10431" s="538" t="n">
        <v>75.94</v>
      </c>
    </row>
    <row r="10432">
      <c r="A10432" s="544" t="n">
        <v>43812</v>
      </c>
      <c r="B10432" s="538" t="n">
        <v>67.44</v>
      </c>
      <c r="C10432" s="538" t="n">
        <v>60.11</v>
      </c>
      <c r="D10432" s="538" t="n">
        <v>64.63</v>
      </c>
      <c r="E10432" s="538" t="n">
        <v>77.59999999999999</v>
      </c>
    </row>
    <row r="10433">
      <c r="A10433" s="544" t="n">
        <v>43815</v>
      </c>
      <c r="B10433" s="538" t="n">
        <v>68.04000000000001</v>
      </c>
      <c r="C10433" s="538" t="n">
        <v>60.21</v>
      </c>
      <c r="D10433" s="538" t="n">
        <v>64.76000000000001</v>
      </c>
      <c r="E10433" s="538" t="n">
        <v>79</v>
      </c>
    </row>
    <row r="10434">
      <c r="A10434" s="544" t="n">
        <v>43816</v>
      </c>
      <c r="B10434" s="538" t="n">
        <v>68.98999999999999</v>
      </c>
      <c r="C10434" s="538" t="n">
        <v>60.88</v>
      </c>
      <c r="D10434" s="538" t="n">
        <v>65.02</v>
      </c>
      <c r="E10434" s="538" t="n">
        <v>79.15000000000001</v>
      </c>
    </row>
    <row r="10435">
      <c r="A10435" s="544" t="n">
        <v>43817</v>
      </c>
      <c r="B10435" s="538" t="n">
        <v>69.12</v>
      </c>
      <c r="C10435" s="538" t="n">
        <v>60.93</v>
      </c>
      <c r="D10435" s="538" t="n">
        <v>65.54000000000001</v>
      </c>
      <c r="E10435" s="538" t="n">
        <v>79.67</v>
      </c>
    </row>
    <row r="10436">
      <c r="A10436" s="544" t="n">
        <v>43818</v>
      </c>
      <c r="B10436" s="538" t="n">
        <v>69.7</v>
      </c>
      <c r="C10436" s="538" t="n">
        <v>61.3</v>
      </c>
      <c r="D10436" s="538" t="n">
        <v>65.76000000000001</v>
      </c>
      <c r="E10436" s="538" t="n">
        <v>79.23</v>
      </c>
    </row>
    <row r="10437">
      <c r="A10437" s="544" t="n">
        <v>43819</v>
      </c>
      <c r="B10437" s="538" t="n">
        <v>68.66</v>
      </c>
      <c r="C10437" s="538" t="n">
        <v>60.43</v>
      </c>
      <c r="D10437" s="538" t="n">
        <v>65.58</v>
      </c>
      <c r="E10437" s="538" t="n">
        <v>80.19</v>
      </c>
    </row>
    <row r="10438">
      <c r="A10438" s="544" t="n">
        <v>43822</v>
      </c>
      <c r="B10438" s="538" t="n">
        <v>67.48999999999999</v>
      </c>
      <c r="C10438" s="538" t="n">
        <v>60.51</v>
      </c>
      <c r="D10438" s="538" t="n">
        <v>66.02</v>
      </c>
      <c r="E10438" s="538" t="n">
        <v>79.28</v>
      </c>
    </row>
    <row r="10439">
      <c r="A10439" s="544" t="n">
        <v>43823</v>
      </c>
      <c r="B10439" s="538" t="n">
        <v>69.26000000000001</v>
      </c>
      <c r="C10439" s="538" t="n">
        <v>61.17</v>
      </c>
      <c r="D10439" s="538" t="n">
        <v>66.59</v>
      </c>
      <c r="E10439" s="538" t="n">
        <v>79.79000000000001</v>
      </c>
    </row>
    <row r="10440">
      <c r="A10440" s="544" t="n">
        <v>43824</v>
      </c>
      <c r="B10440" s="538" t="n">
        <v>69.26000000000001</v>
      </c>
      <c r="C10440" s="538" t="n">
        <v>61.17</v>
      </c>
      <c r="D10440" s="538" t="n">
        <v>66.70999999999999</v>
      </c>
      <c r="E10440" s="538" t="n">
        <v>79.79000000000001</v>
      </c>
    </row>
    <row r="10441">
      <c r="A10441" s="544" t="n">
        <v>43825</v>
      </c>
      <c r="B10441" s="538" t="n">
        <v>69.26000000000001</v>
      </c>
      <c r="C10441" s="538" t="n">
        <v>61.72</v>
      </c>
      <c r="D10441" s="538" t="n">
        <v>67.29000000000001</v>
      </c>
      <c r="E10441" s="538" t="n">
        <v>80.34</v>
      </c>
    </row>
    <row r="10442">
      <c r="A10442" s="544" t="n">
        <v>43826</v>
      </c>
      <c r="B10442" s="538" t="n">
        <v>68.91</v>
      </c>
      <c r="C10442" s="538" t="n">
        <v>61.76</v>
      </c>
      <c r="D10442" s="538" t="n">
        <v>67.29000000000001</v>
      </c>
      <c r="E10442" s="538" t="n">
        <v>80.95</v>
      </c>
    </row>
    <row r="10443">
      <c r="A10443" s="544" t="n">
        <v>43829</v>
      </c>
      <c r="B10443" s="538" t="n">
        <v>68.3</v>
      </c>
      <c r="C10443" s="538" t="n">
        <v>61.66</v>
      </c>
      <c r="D10443" s="538" t="n">
        <v>68.48</v>
      </c>
      <c r="E10443" s="538" t="n">
        <v>80.95999999999999</v>
      </c>
    </row>
    <row r="10444">
      <c r="A10444" s="544" t="n">
        <v>43830</v>
      </c>
      <c r="B10444" s="538" t="n">
        <v>67.77</v>
      </c>
      <c r="C10444" s="538" t="n">
        <v>61.14</v>
      </c>
      <c r="D10444" s="538" t="n">
        <v>64.98999999999999</v>
      </c>
      <c r="E10444" s="538" t="n">
        <v>80.54000000000001</v>
      </c>
    </row>
    <row r="10445">
      <c r="A10445" s="544" t="n">
        <v>43831</v>
      </c>
      <c r="B10445" s="538" t="n">
        <v>67.77</v>
      </c>
      <c r="C10445" s="538" t="n">
        <v>61.14</v>
      </c>
      <c r="D10445" s="538" t="n">
        <v>65.40000000000001</v>
      </c>
      <c r="E10445" s="538" t="n">
        <v>80.54000000000001</v>
      </c>
    </row>
    <row r="10446">
      <c r="A10446" s="544" t="n">
        <v>43832</v>
      </c>
      <c r="B10446" s="538" t="n">
        <v>67.05</v>
      </c>
      <c r="C10446" s="538" t="n">
        <v>61.17</v>
      </c>
      <c r="D10446" s="538" t="n">
        <v>65.41</v>
      </c>
      <c r="E10446" s="538" t="n">
        <v>80.2</v>
      </c>
    </row>
    <row r="10447">
      <c r="A10447" s="544" t="n">
        <v>43833</v>
      </c>
      <c r="B10447" s="538" t="n">
        <v>69.08</v>
      </c>
      <c r="C10447" s="538" t="n">
        <v>63</v>
      </c>
      <c r="D10447" s="538" t="n">
        <v>67.95</v>
      </c>
      <c r="E10447" s="538" t="n">
        <v>82.38</v>
      </c>
    </row>
    <row r="10448">
      <c r="A10448" s="544" t="n">
        <v>43836</v>
      </c>
      <c r="B10448" s="538" t="n">
        <v>70.25</v>
      </c>
      <c r="C10448" s="538" t="n">
        <v>63.27</v>
      </c>
      <c r="D10448" s="538" t="n">
        <v>68.16</v>
      </c>
      <c r="E10448" s="538" t="n">
        <v>82.70999999999999</v>
      </c>
    </row>
    <row r="10449">
      <c r="A10449" s="544" t="n">
        <v>43837</v>
      </c>
      <c r="B10449" s="538" t="n">
        <v>68.73999999999999</v>
      </c>
      <c r="C10449" s="538" t="n">
        <v>62.7</v>
      </c>
      <c r="D10449" s="538" t="n">
        <v>69.34999999999999</v>
      </c>
      <c r="E10449" s="538" t="n">
        <v>80.59999999999999</v>
      </c>
    </row>
    <row r="10450">
      <c r="A10450" s="544" t="n">
        <v>43838</v>
      </c>
      <c r="B10450" s="538" t="n">
        <v>67.31</v>
      </c>
      <c r="C10450" s="538" t="n">
        <v>59.65</v>
      </c>
      <c r="D10450" s="538" t="n">
        <v>65.44</v>
      </c>
      <c r="E10450" s="538" t="n">
        <v>81.54000000000001</v>
      </c>
    </row>
    <row r="10451">
      <c r="A10451" s="544" t="n">
        <v>43839</v>
      </c>
      <c r="B10451" s="538" t="n">
        <v>66.58</v>
      </c>
      <c r="C10451" s="538" t="n">
        <v>59.56</v>
      </c>
      <c r="D10451" s="538" t="n">
        <v>65.18000000000001</v>
      </c>
      <c r="E10451" s="538" t="n">
        <v>78.12</v>
      </c>
    </row>
    <row r="10452">
      <c r="A10452" s="544" t="n">
        <v>43840</v>
      </c>
      <c r="B10452" s="538" t="n">
        <v>66.77</v>
      </c>
      <c r="C10452" s="538" t="n">
        <v>59.02</v>
      </c>
      <c r="D10452" s="538" t="n">
        <v>65.04000000000001</v>
      </c>
      <c r="E10452" s="538" t="n">
        <v>77.11</v>
      </c>
    </row>
    <row r="10453">
      <c r="A10453" s="544" t="n">
        <v>43843</v>
      </c>
      <c r="B10453" s="538" t="n">
        <v>64.14</v>
      </c>
      <c r="C10453" s="538" t="n">
        <v>58.17</v>
      </c>
      <c r="D10453" s="538" t="n">
        <v>64.31999999999999</v>
      </c>
      <c r="E10453" s="538" t="n">
        <v>76.91</v>
      </c>
    </row>
    <row r="10454">
      <c r="A10454" s="544" t="n">
        <v>43844</v>
      </c>
      <c r="B10454" s="538" t="n">
        <v>64.45</v>
      </c>
      <c r="C10454" s="538" t="n">
        <v>58.34</v>
      </c>
      <c r="D10454" s="538" t="n">
        <v>64.34</v>
      </c>
      <c r="E10454" s="538" t="n">
        <v>75.26000000000001</v>
      </c>
    </row>
    <row r="10455">
      <c r="A10455" s="544" t="n">
        <v>43845</v>
      </c>
      <c r="B10455" s="538" t="n">
        <v>63.29</v>
      </c>
      <c r="C10455" s="538" t="n">
        <v>57.86</v>
      </c>
      <c r="D10455" s="538" t="n">
        <v>64.23</v>
      </c>
      <c r="E10455" s="538" t="n">
        <v>75.56</v>
      </c>
    </row>
    <row r="10456">
      <c r="A10456" s="544" t="n">
        <v>43846</v>
      </c>
      <c r="B10456" s="538" t="n">
        <v>64.63</v>
      </c>
      <c r="C10456" s="538" t="n">
        <v>58.52</v>
      </c>
      <c r="D10456" s="538" t="n">
        <v>64.48999999999999</v>
      </c>
      <c r="E10456" s="538" t="n">
        <v>74.97</v>
      </c>
    </row>
    <row r="10457">
      <c r="A10457" s="544" t="n">
        <v>43847</v>
      </c>
      <c r="B10457" s="538" t="n">
        <v>64.05</v>
      </c>
      <c r="C10457" s="538" t="n">
        <v>58.55</v>
      </c>
      <c r="D10457" s="538" t="n">
        <v>64.16</v>
      </c>
      <c r="E10457" s="538" t="n">
        <v>75.27</v>
      </c>
    </row>
    <row r="10458">
      <c r="A10458" s="544" t="n">
        <v>43850</v>
      </c>
      <c r="B10458" s="538" t="n">
        <v>64.63</v>
      </c>
      <c r="C10458" s="538" t="n">
        <v>58.55</v>
      </c>
      <c r="D10458" s="538" t="n">
        <v>64.56</v>
      </c>
      <c r="E10458" s="538" t="n">
        <v>76.27</v>
      </c>
    </row>
    <row r="10459">
      <c r="A10459" s="544" t="n">
        <v>43851</v>
      </c>
      <c r="B10459" s="538" t="n">
        <v>63.66</v>
      </c>
      <c r="C10459" s="538" t="n">
        <v>58.25</v>
      </c>
      <c r="D10459" s="538" t="n">
        <v>63.97</v>
      </c>
      <c r="E10459" s="538" t="n">
        <v>75.2</v>
      </c>
    </row>
    <row r="10460">
      <c r="A10460" s="544" t="n">
        <v>43852</v>
      </c>
      <c r="B10460" s="538" t="n">
        <v>62.11</v>
      </c>
      <c r="C10460" s="538" t="n">
        <v>56.76</v>
      </c>
      <c r="D10460" s="538" t="n">
        <v>62.44</v>
      </c>
      <c r="E10460" s="538" t="n">
        <v>74.23</v>
      </c>
    </row>
    <row r="10461">
      <c r="A10461" s="544" t="n">
        <v>43853</v>
      </c>
      <c r="B10461" s="538" t="n">
        <v>61.26</v>
      </c>
      <c r="C10461" s="538" t="n">
        <v>55.51</v>
      </c>
      <c r="D10461" s="538" t="n">
        <v>61.81</v>
      </c>
      <c r="E10461" s="538" t="n">
        <v>72.73</v>
      </c>
    </row>
    <row r="10462">
      <c r="A10462" s="544" t="n">
        <v>43854</v>
      </c>
      <c r="B10462" s="538" t="n">
        <v>59.34</v>
      </c>
      <c r="C10462" s="538" t="n">
        <v>54.09</v>
      </c>
      <c r="D10462" s="538" t="n">
        <v>60.12</v>
      </c>
      <c r="E10462" s="538" t="n">
        <v>73</v>
      </c>
    </row>
    <row r="10463">
      <c r="A10463" s="544" t="n">
        <v>43857</v>
      </c>
      <c r="B10463" s="538" t="n">
        <v>58.54</v>
      </c>
      <c r="C10463" s="538" t="n">
        <v>53.09</v>
      </c>
      <c r="D10463" s="538" t="n">
        <v>58.43</v>
      </c>
      <c r="E10463" s="538" t="n">
        <v>73</v>
      </c>
    </row>
    <row r="10464">
      <c r="A10464" s="544" t="n">
        <v>43858</v>
      </c>
      <c r="B10464" s="538" t="n">
        <v>59.37</v>
      </c>
      <c r="C10464" s="538" t="n">
        <v>53.33</v>
      </c>
      <c r="D10464" s="538" t="n">
        <v>58.73</v>
      </c>
      <c r="E10464" s="538" t="n">
        <v>67.42</v>
      </c>
    </row>
    <row r="10465">
      <c r="A10465" s="544" t="n">
        <v>43859</v>
      </c>
      <c r="B10465" s="538" t="n">
        <v>59.46</v>
      </c>
      <c r="C10465" s="538" t="n">
        <v>53.29</v>
      </c>
      <c r="D10465" s="538" t="n">
        <v>58.41</v>
      </c>
      <c r="E10465" s="538" t="n">
        <v>69.75</v>
      </c>
    </row>
    <row r="10466">
      <c r="A10466" s="544" t="n">
        <v>43860</v>
      </c>
      <c r="B10466" s="538" t="n">
        <v>57.72</v>
      </c>
      <c r="C10466" s="538" t="n">
        <v>52.19</v>
      </c>
      <c r="D10466" s="538" t="n">
        <v>57.85</v>
      </c>
      <c r="E10466" s="538" t="n">
        <v>66.83</v>
      </c>
    </row>
    <row r="10467">
      <c r="A10467" s="544" t="n">
        <v>43861</v>
      </c>
      <c r="B10467" s="538" t="n">
        <v>57.77</v>
      </c>
      <c r="C10467" s="538" t="n">
        <v>51.58</v>
      </c>
      <c r="D10467" s="538" t="n">
        <v>55.93</v>
      </c>
      <c r="E10467" s="538" t="n">
        <v>66.7</v>
      </c>
    </row>
    <row r="10468">
      <c r="A10468" s="544" t="n">
        <v>43864</v>
      </c>
      <c r="B10468" s="538" t="n">
        <v>54</v>
      </c>
      <c r="C10468" s="538" t="n">
        <v>50.06</v>
      </c>
      <c r="D10468" s="538" t="n">
        <v>53.31</v>
      </c>
      <c r="E10468" s="538" t="n">
        <v>63.51</v>
      </c>
    </row>
    <row r="10469">
      <c r="A10469" s="544" t="n">
        <v>43865</v>
      </c>
      <c r="B10469" s="538" t="n">
        <v>53.9</v>
      </c>
      <c r="C10469" s="538" t="n">
        <v>49.59</v>
      </c>
      <c r="D10469" s="538" t="n">
        <v>52.68</v>
      </c>
      <c r="E10469" s="538" t="n">
        <v>63.25</v>
      </c>
    </row>
    <row r="10470">
      <c r="A10470" s="544" t="n">
        <v>43866</v>
      </c>
      <c r="B10470" s="538" t="n">
        <v>55.36</v>
      </c>
      <c r="C10470" s="538" t="n">
        <v>50.87</v>
      </c>
      <c r="D10470" s="538" t="n">
        <v>55.12</v>
      </c>
      <c r="E10470" s="538" t="n">
        <v>62.8</v>
      </c>
    </row>
    <row r="10471">
      <c r="A10471" s="544" t="n">
        <v>43867</v>
      </c>
      <c r="B10471" s="538" t="n">
        <v>55.18</v>
      </c>
      <c r="C10471" s="538" t="n">
        <v>50.94</v>
      </c>
      <c r="D10471" s="538" t="n">
        <v>54.74</v>
      </c>
      <c r="E10471" s="538" t="n">
        <v>65.38</v>
      </c>
    </row>
    <row r="10472">
      <c r="A10472" s="544" t="n">
        <v>43868</v>
      </c>
      <c r="B10472" s="538" t="n">
        <v>54.53</v>
      </c>
      <c r="C10472" s="538" t="n">
        <v>50.34</v>
      </c>
      <c r="D10472" s="538" t="n">
        <v>53.51</v>
      </c>
      <c r="E10472" s="538" t="n">
        <v>64.09</v>
      </c>
    </row>
    <row r="10473">
      <c r="A10473" s="544" t="n">
        <v>43871</v>
      </c>
      <c r="B10473" s="538" t="n">
        <v>53.39</v>
      </c>
      <c r="C10473" s="538" t="n">
        <v>49.59</v>
      </c>
      <c r="D10473" s="538" t="n">
        <v>52.15</v>
      </c>
      <c r="E10473" s="538" t="n">
        <v>63.03</v>
      </c>
    </row>
    <row r="10474">
      <c r="A10474" s="544" t="n">
        <v>43872</v>
      </c>
      <c r="B10474" s="538" t="n">
        <v>54</v>
      </c>
      <c r="C10474" s="538" t="n">
        <v>50</v>
      </c>
      <c r="D10474" s="538" t="n">
        <v>52.83</v>
      </c>
      <c r="E10474" s="538" t="n">
        <v>62.98</v>
      </c>
    </row>
    <row r="10475">
      <c r="A10475" s="544" t="n">
        <v>43873</v>
      </c>
      <c r="B10475" s="538" t="n">
        <v>55.54</v>
      </c>
      <c r="C10475" s="538" t="n">
        <v>51.13</v>
      </c>
      <c r="D10475" s="538" t="n">
        <v>55.42</v>
      </c>
      <c r="E10475" s="538" t="n">
        <v>64.45999999999999</v>
      </c>
    </row>
    <row r="10476">
      <c r="A10476" s="544" t="n">
        <v>43874</v>
      </c>
      <c r="B10476" s="538" t="n">
        <v>56.34</v>
      </c>
      <c r="C10476" s="538" t="n">
        <v>51.41</v>
      </c>
      <c r="D10476" s="538" t="n">
        <v>55.47</v>
      </c>
      <c r="E10476" s="538" t="n">
        <v>64.28</v>
      </c>
    </row>
    <row r="10477">
      <c r="A10477" s="544" t="n">
        <v>43875</v>
      </c>
      <c r="B10477" s="538" t="n">
        <v>57.37</v>
      </c>
      <c r="C10477" s="538" t="n">
        <v>52.03</v>
      </c>
      <c r="D10477" s="538" t="n">
        <v>55.94</v>
      </c>
      <c r="E10477" s="538" t="n">
        <v>64.89</v>
      </c>
    </row>
    <row r="10478">
      <c r="A10478" s="544" t="n">
        <v>43878</v>
      </c>
      <c r="B10478" s="538" t="n">
        <v>57.83</v>
      </c>
      <c r="C10478" s="538" t="n">
        <v>52.03</v>
      </c>
      <c r="D10478" s="538" t="n">
        <v>55.89</v>
      </c>
      <c r="E10478" s="538" t="n">
        <v>64.98</v>
      </c>
    </row>
    <row r="10479">
      <c r="A10479" s="544" t="n">
        <v>43879</v>
      </c>
      <c r="B10479" s="538" t="n">
        <v>57.35</v>
      </c>
      <c r="C10479" s="538" t="n">
        <v>52.1</v>
      </c>
      <c r="D10479" s="538" t="n">
        <v>55.93</v>
      </c>
      <c r="E10479" s="538" t="n">
        <v>64.27</v>
      </c>
    </row>
    <row r="10480">
      <c r="A10480" s="544" t="n">
        <v>43880</v>
      </c>
      <c r="B10480" s="538" t="n">
        <v>59.72</v>
      </c>
      <c r="C10480" s="538" t="n">
        <v>53.31</v>
      </c>
      <c r="D10480" s="538" t="n">
        <v>57.9</v>
      </c>
      <c r="E10480" s="538" t="n">
        <v>64.48999999999999</v>
      </c>
    </row>
    <row r="10481">
      <c r="A10481" s="544" t="n">
        <v>43881</v>
      </c>
      <c r="B10481" s="538" t="n">
        <v>59.72</v>
      </c>
      <c r="C10481" s="538" t="n">
        <v>53.77</v>
      </c>
      <c r="D10481" s="538" t="n">
        <v>57.42</v>
      </c>
      <c r="E10481" s="538" t="n">
        <v>65.5</v>
      </c>
    </row>
    <row r="10482">
      <c r="A10482" s="544" t="n">
        <v>43882</v>
      </c>
      <c r="B10482" s="538" t="n">
        <v>58.6</v>
      </c>
      <c r="C10482" s="538" t="n">
        <v>53.36</v>
      </c>
      <c r="D10482" s="538" t="n">
        <v>56.7</v>
      </c>
      <c r="E10482" s="538" t="n">
        <v>64.56999999999999</v>
      </c>
    </row>
    <row r="10483">
      <c r="A10483" s="544" t="n">
        <v>43885</v>
      </c>
      <c r="B10483" s="538" t="n">
        <v>56.04</v>
      </c>
      <c r="C10483" s="538" t="n">
        <v>51.36</v>
      </c>
      <c r="D10483" s="538" t="n">
        <v>54.47</v>
      </c>
      <c r="E10483" s="538" t="n">
        <v>63.22</v>
      </c>
    </row>
    <row r="10484">
      <c r="A10484" s="544" t="n">
        <v>43886</v>
      </c>
      <c r="B10484" s="538" t="n">
        <v>56.71</v>
      </c>
      <c r="C10484" s="538" t="n">
        <v>49.78</v>
      </c>
      <c r="D10484" s="538" t="n">
        <v>53.17</v>
      </c>
      <c r="E10484" s="538" t="n">
        <v>62.76</v>
      </c>
    </row>
    <row r="10485">
      <c r="A10485" s="544" t="n">
        <v>43887</v>
      </c>
      <c r="B10485" s="538" t="n">
        <v>54.96</v>
      </c>
      <c r="C10485" s="538" t="n">
        <v>48.67</v>
      </c>
      <c r="D10485" s="538" t="n">
        <v>51.61</v>
      </c>
      <c r="E10485" s="538" t="n">
        <v>60.04</v>
      </c>
    </row>
    <row r="10486">
      <c r="A10486" s="544" t="n">
        <v>43888</v>
      </c>
      <c r="B10486" s="538" t="n">
        <v>52.19</v>
      </c>
      <c r="C10486" s="538" t="n">
        <v>47.17</v>
      </c>
      <c r="D10486" s="538" t="n">
        <v>49.69</v>
      </c>
      <c r="E10486" s="538" t="n">
        <v>56.9</v>
      </c>
    </row>
    <row r="10487">
      <c r="A10487" s="544" t="n">
        <v>43889</v>
      </c>
      <c r="B10487" s="538" t="n">
        <v>51.31</v>
      </c>
      <c r="C10487" s="538" t="n">
        <v>44.83</v>
      </c>
      <c r="D10487" s="538" t="n">
        <v>49.43</v>
      </c>
      <c r="E10487" s="538" t="n">
        <v>56.11</v>
      </c>
    </row>
    <row r="10488">
      <c r="A10488" s="544" t="n">
        <v>43892</v>
      </c>
      <c r="B10488" s="538" t="n">
        <v>52.52</v>
      </c>
      <c r="C10488" s="538" t="n">
        <v>46.78</v>
      </c>
      <c r="D10488" s="538" t="n">
        <v>52.17</v>
      </c>
      <c r="E10488" s="538" t="n">
        <v>58</v>
      </c>
    </row>
    <row r="10489">
      <c r="A10489" s="544" t="n">
        <v>43893</v>
      </c>
      <c r="B10489" s="538" t="n">
        <v>52.24</v>
      </c>
      <c r="C10489" s="538" t="n">
        <v>47.27</v>
      </c>
      <c r="D10489" s="538" t="n">
        <v>51.96</v>
      </c>
      <c r="E10489" s="538" t="n">
        <v>58.27</v>
      </c>
    </row>
    <row r="10490">
      <c r="A10490" s="544" t="n">
        <v>43894</v>
      </c>
      <c r="B10490" s="538" t="n">
        <v>51.86</v>
      </c>
      <c r="C10490" s="538" t="n">
        <v>46.78</v>
      </c>
      <c r="D10490" s="538" t="n">
        <v>51.38</v>
      </c>
      <c r="E10490" s="538" t="n">
        <v>57.31</v>
      </c>
    </row>
    <row r="10491">
      <c r="A10491" s="544" t="n">
        <v>43895</v>
      </c>
      <c r="B10491" s="538" t="n">
        <v>51.29</v>
      </c>
      <c r="C10491" s="538" t="n">
        <v>45.9</v>
      </c>
      <c r="D10491" s="538" t="n">
        <v>49.51</v>
      </c>
      <c r="E10491" s="538" t="n">
        <v>57.51</v>
      </c>
    </row>
    <row r="10492">
      <c r="A10492" s="544" t="n">
        <v>43896</v>
      </c>
      <c r="B10492" s="538" t="n">
        <v>45.6</v>
      </c>
      <c r="C10492" s="538" t="n">
        <v>41.14</v>
      </c>
      <c r="D10492" s="538" t="n">
        <v>44.54</v>
      </c>
      <c r="E10492" s="538" t="n">
        <v>55.23</v>
      </c>
    </row>
    <row r="10493">
      <c r="A10493" s="544" t="n">
        <v>43899</v>
      </c>
      <c r="B10493" s="538" t="n">
        <v>35.33</v>
      </c>
      <c r="C10493" s="538" t="n">
        <v>31.05</v>
      </c>
      <c r="D10493" s="538" t="n">
        <v>33.55</v>
      </c>
      <c r="E10493" s="538" t="n">
        <v>43.71</v>
      </c>
    </row>
    <row r="10494">
      <c r="A10494" s="544" t="n">
        <v>43900</v>
      </c>
      <c r="B10494" s="538" t="n">
        <v>35.57</v>
      </c>
      <c r="C10494" s="538" t="n">
        <v>34.47</v>
      </c>
      <c r="D10494" s="538" t="n">
        <v>35.67</v>
      </c>
      <c r="E10494" s="538" t="n">
        <v>45.4</v>
      </c>
    </row>
    <row r="10495">
      <c r="A10495" s="544" t="n">
        <v>43901</v>
      </c>
      <c r="B10495" s="538" t="n">
        <v>34.45</v>
      </c>
      <c r="C10495" s="538" t="n">
        <v>33.13</v>
      </c>
      <c r="D10495" s="538" t="n">
        <v>33.22</v>
      </c>
      <c r="E10495" s="538" t="n">
        <v>46.15</v>
      </c>
    </row>
    <row r="10496">
      <c r="A10496" s="544" t="n">
        <v>43902</v>
      </c>
      <c r="B10496" s="538" t="n">
        <v>31.02</v>
      </c>
      <c r="C10496" s="538" t="n">
        <v>31.56</v>
      </c>
      <c r="D10496" s="538" t="n">
        <v>31.93</v>
      </c>
      <c r="E10496" s="538" t="n">
        <v>41.07</v>
      </c>
    </row>
    <row r="10497">
      <c r="A10497" s="544" t="n">
        <v>43903</v>
      </c>
      <c r="B10497" s="538" t="n">
        <v>32.25</v>
      </c>
      <c r="C10497" s="538" t="n">
        <v>31.72</v>
      </c>
      <c r="D10497" s="538" t="n">
        <v>33.3</v>
      </c>
      <c r="E10497" s="538" t="n">
        <v>42.69</v>
      </c>
    </row>
    <row r="10498">
      <c r="A10498" s="544" t="n">
        <v>43906</v>
      </c>
      <c r="B10498" s="538" t="n">
        <v>27.98</v>
      </c>
      <c r="C10498" s="538" t="n">
        <v>28.96</v>
      </c>
      <c r="D10498" s="538" t="n">
        <v>31.05</v>
      </c>
      <c r="E10498" s="538" t="n">
        <v>36.6</v>
      </c>
    </row>
    <row r="10499">
      <c r="A10499" s="544" t="n">
        <v>43907</v>
      </c>
      <c r="B10499" s="538" t="n">
        <v>27.97</v>
      </c>
      <c r="C10499" s="538" t="n">
        <v>26.96</v>
      </c>
      <c r="D10499" s="538" t="n">
        <v>29.36</v>
      </c>
      <c r="E10499" s="538" t="n">
        <v>35.75</v>
      </c>
    </row>
    <row r="10500">
      <c r="A10500" s="544" t="n">
        <v>43908</v>
      </c>
      <c r="B10500" s="538" t="n">
        <v>22.79</v>
      </c>
      <c r="C10500" s="538" t="n">
        <v>20.48</v>
      </c>
      <c r="D10500" s="538" t="n">
        <v>28.11</v>
      </c>
      <c r="E10500" s="538" t="n">
        <v>31.94</v>
      </c>
    </row>
    <row r="10501">
      <c r="A10501" s="544" t="n">
        <v>43909</v>
      </c>
      <c r="B10501" s="538" t="n">
        <v>23.3</v>
      </c>
      <c r="C10501" s="538" t="n">
        <v>25.09</v>
      </c>
      <c r="D10501" s="538" t="n">
        <v>28.34</v>
      </c>
      <c r="E10501" s="538" t="n">
        <v>29.02</v>
      </c>
    </row>
    <row r="10502">
      <c r="A10502" s="544" t="n">
        <v>43910</v>
      </c>
      <c r="B10502" s="538" t="n">
        <v>25.4</v>
      </c>
      <c r="C10502" s="538" t="n">
        <v>19.48</v>
      </c>
      <c r="D10502" s="538" t="n">
        <v>26.4</v>
      </c>
      <c r="E10502" s="538" t="n">
        <v>33.58</v>
      </c>
    </row>
    <row r="10503">
      <c r="A10503" s="544" t="n">
        <v>43913</v>
      </c>
      <c r="B10503" s="538" t="n">
        <v>25.06</v>
      </c>
      <c r="C10503" s="538" t="n">
        <v>23.33</v>
      </c>
      <c r="D10503" s="538" t="n">
        <v>27.49</v>
      </c>
      <c r="E10503" s="538" t="n">
        <v>26.02</v>
      </c>
    </row>
    <row r="10504">
      <c r="A10504" s="544" t="n">
        <v>43914</v>
      </c>
      <c r="B10504" s="538" t="n">
        <v>23.75</v>
      </c>
      <c r="C10504" s="538" t="n">
        <v>21.03</v>
      </c>
      <c r="D10504" s="538" t="n">
        <v>27.94</v>
      </c>
      <c r="E10504" s="538" t="n">
        <v>28.53</v>
      </c>
    </row>
    <row r="10505">
      <c r="A10505" s="544" t="n">
        <v>43915</v>
      </c>
      <c r="B10505" s="538" t="n">
        <v>25.62</v>
      </c>
      <c r="C10505" s="538" t="n">
        <v>20.75</v>
      </c>
      <c r="D10505" s="538" t="n">
        <v>26.59</v>
      </c>
      <c r="E10505" s="538" t="n">
        <v>30.04</v>
      </c>
    </row>
    <row r="10506">
      <c r="A10506" s="544" t="n">
        <v>43916</v>
      </c>
      <c r="B10506" s="538" t="n">
        <v>23.55</v>
      </c>
      <c r="C10506" s="538" t="n">
        <v>16.6</v>
      </c>
      <c r="D10506" s="538" t="n">
        <v>26.27</v>
      </c>
      <c r="E10506" s="538" t="n">
        <v>28.3</v>
      </c>
    </row>
    <row r="10507">
      <c r="A10507" s="544" t="n">
        <v>43917</v>
      </c>
      <c r="B10507" s="538" t="n">
        <v>22.39</v>
      </c>
      <c r="C10507" s="538" t="n">
        <v>15.48</v>
      </c>
      <c r="D10507" s="538" t="n">
        <v>24.66</v>
      </c>
      <c r="E10507" s="538" t="n">
        <v>28.42</v>
      </c>
    </row>
    <row r="10508">
      <c r="A10508" s="544" t="n">
        <v>43920</v>
      </c>
      <c r="B10508" s="538" t="n">
        <v>19.07</v>
      </c>
      <c r="C10508" s="538" t="n">
        <v>14.1</v>
      </c>
      <c r="D10508" s="538" t="n">
        <v>23.77</v>
      </c>
      <c r="E10508" s="538" t="n">
        <v>28.26</v>
      </c>
    </row>
    <row r="10509">
      <c r="A10509" s="544" t="n">
        <v>43921</v>
      </c>
      <c r="B10509" s="538" t="n">
        <v>14.85</v>
      </c>
      <c r="C10509" s="538" t="n">
        <v>20.51</v>
      </c>
      <c r="D10509" s="538" t="n">
        <v>26.9</v>
      </c>
      <c r="E10509" s="538" t="n">
        <v>27.53</v>
      </c>
    </row>
    <row r="10510">
      <c r="A10510" s="544" t="n">
        <v>43922</v>
      </c>
      <c r="B10510" s="538" t="n">
        <v>14.97</v>
      </c>
      <c r="C10510" s="538" t="n">
        <v>20.28</v>
      </c>
      <c r="D10510" s="538" t="n">
        <v>24.49</v>
      </c>
      <c r="E10510" s="538" t="n">
        <v>24.47</v>
      </c>
    </row>
    <row r="10511">
      <c r="A10511" s="544" t="n">
        <v>43923</v>
      </c>
      <c r="B10511" s="538" t="n">
        <v>20.24</v>
      </c>
      <c r="C10511" s="538" t="n">
        <v>25.18</v>
      </c>
      <c r="D10511" s="538" t="n">
        <v>27.88</v>
      </c>
      <c r="E10511" s="538" t="n">
        <v>24.81</v>
      </c>
    </row>
    <row r="10512">
      <c r="A10512" s="544" t="n">
        <v>43924</v>
      </c>
      <c r="B10512" s="538" t="n">
        <v>24.33</v>
      </c>
      <c r="C10512" s="538" t="n">
        <v>28.36</v>
      </c>
      <c r="D10512" s="538" t="n">
        <v>33.76</v>
      </c>
      <c r="E10512" s="538" t="n">
        <v>23.57</v>
      </c>
    </row>
    <row r="10513">
      <c r="A10513" s="544" t="n">
        <v>43927</v>
      </c>
      <c r="B10513" s="538" t="n">
        <v>22.58</v>
      </c>
      <c r="C10513" s="538" t="n">
        <v>26.21</v>
      </c>
      <c r="D10513" s="538" t="n">
        <v>33.61</v>
      </c>
      <c r="E10513" s="538" t="n">
        <v>27.21</v>
      </c>
    </row>
    <row r="10514">
      <c r="A10514" s="544" t="n">
        <v>43928</v>
      </c>
      <c r="B10514" s="538" t="n">
        <v>22.1</v>
      </c>
      <c r="C10514" s="538" t="n">
        <v>23.54</v>
      </c>
      <c r="D10514" s="538" t="n">
        <v>32.43</v>
      </c>
      <c r="E10514" s="538" t="n">
        <v>26.34</v>
      </c>
    </row>
    <row r="10515">
      <c r="A10515" s="544" t="n">
        <v>43929</v>
      </c>
      <c r="B10515" s="538" t="n">
        <v>25.22</v>
      </c>
      <c r="C10515" s="538" t="n">
        <v>24.97</v>
      </c>
      <c r="D10515" s="538" t="n">
        <v>30.85</v>
      </c>
      <c r="E10515" s="538" t="n">
        <v>25.38</v>
      </c>
    </row>
    <row r="10516">
      <c r="A10516" s="544" t="n">
        <v>43930</v>
      </c>
      <c r="B10516" s="538" t="n">
        <v>20.23</v>
      </c>
      <c r="C10516" s="538" t="n">
        <v>22.9</v>
      </c>
      <c r="D10516" s="538" t="n">
        <v>28.81</v>
      </c>
      <c r="E10516" s="538" t="n">
        <v>24.57</v>
      </c>
    </row>
    <row r="10517">
      <c r="A10517" s="544" t="n">
        <v>43931</v>
      </c>
      <c r="B10517" s="538" t="n">
        <v>20.23</v>
      </c>
      <c r="C10517" s="538" t="n">
        <v>22.9</v>
      </c>
      <c r="D10517" s="538" t="n">
        <v>28.81</v>
      </c>
      <c r="E10517" s="538" t="n">
        <v>24.57</v>
      </c>
    </row>
    <row r="10518">
      <c r="A10518" s="544" t="n">
        <v>43934</v>
      </c>
      <c r="B10518" s="538" t="n">
        <v>20.23</v>
      </c>
      <c r="C10518" s="538" t="n">
        <v>22.36</v>
      </c>
      <c r="D10518" s="538" t="n">
        <v>30.94</v>
      </c>
      <c r="E10518" s="538" t="n">
        <v>23.32</v>
      </c>
    </row>
    <row r="10519">
      <c r="A10519" s="544" t="n">
        <v>43935</v>
      </c>
      <c r="B10519" s="538" t="n">
        <v>21.74</v>
      </c>
      <c r="C10519" s="538" t="n">
        <v>20.15</v>
      </c>
      <c r="D10519" s="538" t="n">
        <v>26.71</v>
      </c>
      <c r="E10519" s="538" t="n">
        <v>25.06</v>
      </c>
    </row>
    <row r="10520">
      <c r="A10520" s="544" t="n">
        <v>43936</v>
      </c>
      <c r="B10520" s="538" t="n">
        <v>19.8</v>
      </c>
      <c r="C10520" s="538" t="n">
        <v>19.96</v>
      </c>
      <c r="D10520" s="538" t="n">
        <v>24.54</v>
      </c>
      <c r="E10520" s="538" t="n">
        <v>22.9</v>
      </c>
    </row>
    <row r="10521">
      <c r="A10521" s="544" t="n">
        <v>43937</v>
      </c>
      <c r="B10521" s="538" t="n">
        <v>18.69</v>
      </c>
      <c r="C10521" s="538" t="n">
        <v>19.82</v>
      </c>
      <c r="D10521" s="538" t="n">
        <v>26.53</v>
      </c>
      <c r="E10521" s="538" t="n">
        <v>23.94</v>
      </c>
    </row>
    <row r="10522">
      <c r="A10522" s="544" t="n">
        <v>43938</v>
      </c>
      <c r="B10522" s="538" t="n">
        <v>19.75</v>
      </c>
      <c r="C10522" s="538" t="n">
        <v>18.31</v>
      </c>
      <c r="D10522" s="538" t="n">
        <v>26.98</v>
      </c>
      <c r="E10522" s="538" t="n">
        <v>25.14</v>
      </c>
    </row>
    <row r="10523">
      <c r="A10523" s="544" t="n">
        <v>43941</v>
      </c>
      <c r="B10523" s="538" t="n">
        <v>17.36</v>
      </c>
      <c r="C10523" s="538" t="n">
        <v>-36.98</v>
      </c>
      <c r="D10523" s="538" t="n">
        <v>25.48</v>
      </c>
      <c r="E10523" s="538" t="n">
        <v>24.33</v>
      </c>
    </row>
    <row r="10524">
      <c r="A10524" s="544" t="n">
        <v>43942</v>
      </c>
      <c r="B10524" s="538" t="n">
        <v>9.119999999999999</v>
      </c>
      <c r="C10524" s="538" t="n">
        <v>8.91</v>
      </c>
      <c r="D10524" s="538" t="n">
        <v>18.35</v>
      </c>
      <c r="E10524" s="538" t="n">
        <v>17.59</v>
      </c>
    </row>
    <row r="10525">
      <c r="A10525" s="544" t="n">
        <v>43943</v>
      </c>
      <c r="B10525" s="538" t="n">
        <v>13.77</v>
      </c>
      <c r="C10525" s="538" t="n">
        <v>13.64</v>
      </c>
      <c r="D10525" s="538" t="n">
        <v>20.68</v>
      </c>
      <c r="E10525" s="538" t="n">
        <v>14.68</v>
      </c>
    </row>
    <row r="10526">
      <c r="A10526" s="544" t="n">
        <v>43944</v>
      </c>
      <c r="B10526" s="538" t="n">
        <v>15.06</v>
      </c>
      <c r="C10526" s="538" t="n">
        <v>15.06</v>
      </c>
      <c r="D10526" s="538" t="n">
        <v>22.24</v>
      </c>
      <c r="E10526" s="538" t="n">
        <v>18.03</v>
      </c>
    </row>
    <row r="10527">
      <c r="A10527" s="544" t="n">
        <v>43945</v>
      </c>
      <c r="B10527" s="538" t="n">
        <v>15.87</v>
      </c>
      <c r="C10527" s="538" t="n">
        <v>15.99</v>
      </c>
      <c r="D10527" s="538" t="n">
        <v>21.87</v>
      </c>
      <c r="E10527" s="538" t="n">
        <v>16.7</v>
      </c>
    </row>
    <row r="10528">
      <c r="A10528" s="544" t="n">
        <v>43948</v>
      </c>
      <c r="B10528" s="538" t="n">
        <v>15.17</v>
      </c>
      <c r="C10528" s="538" t="n">
        <v>12.17</v>
      </c>
      <c r="D10528" s="538" t="n">
        <v>20.46</v>
      </c>
      <c r="E10528" s="538" t="n">
        <v>15.63</v>
      </c>
    </row>
    <row r="10529">
      <c r="A10529" s="544" t="n">
        <v>43949</v>
      </c>
      <c r="B10529" s="538" t="n">
        <v>15.6</v>
      </c>
      <c r="C10529" s="538" t="n">
        <v>12.4</v>
      </c>
      <c r="D10529" s="538" t="n">
        <v>21.97</v>
      </c>
      <c r="E10529" s="538" t="n">
        <v>14.31</v>
      </c>
    </row>
    <row r="10530">
      <c r="A10530" s="544" t="n">
        <v>43950</v>
      </c>
      <c r="B10530" s="538" t="n">
        <v>17.86</v>
      </c>
      <c r="C10530" s="538" t="n">
        <v>15.04</v>
      </c>
      <c r="D10530" s="538" t="n">
        <v>24.07</v>
      </c>
      <c r="E10530" s="538" t="n">
        <v>15.64</v>
      </c>
    </row>
    <row r="10531">
      <c r="A10531" s="544" t="n">
        <v>43951</v>
      </c>
      <c r="B10531" s="538" t="n">
        <v>18.11</v>
      </c>
      <c r="C10531" s="538" t="n">
        <v>19.23</v>
      </c>
      <c r="D10531" s="538" t="n">
        <v>29.67</v>
      </c>
      <c r="E10531" s="538" t="n">
        <v>18.71</v>
      </c>
    </row>
    <row r="10532">
      <c r="A10532" s="544" t="n">
        <v>43952</v>
      </c>
      <c r="B10532" s="538" t="n">
        <v>18.49</v>
      </c>
      <c r="C10532" s="538" t="n">
        <v>19.72</v>
      </c>
      <c r="D10532" s="538" t="n">
        <v>27.02</v>
      </c>
      <c r="E10532" s="538" t="n">
        <v>18.71</v>
      </c>
    </row>
    <row r="10533">
      <c r="A10533" s="544" t="n">
        <v>43955</v>
      </c>
      <c r="B10533" s="538" t="n">
        <v>20.4</v>
      </c>
      <c r="C10533" s="538" t="n">
        <v>20.47</v>
      </c>
      <c r="D10533" s="538" t="n">
        <v>28.58</v>
      </c>
      <c r="E10533" s="538" t="n">
        <v>16.58</v>
      </c>
    </row>
    <row r="10534">
      <c r="A10534" s="544" t="n">
        <v>43956</v>
      </c>
      <c r="B10534" s="538" t="n">
        <v>25.46</v>
      </c>
      <c r="C10534" s="538" t="n">
        <v>24.56</v>
      </c>
      <c r="D10534" s="538" t="n">
        <v>31.83</v>
      </c>
      <c r="E10534" s="538" t="n">
        <v>15.86</v>
      </c>
    </row>
    <row r="10535">
      <c r="A10535" s="544" t="n">
        <v>43957</v>
      </c>
      <c r="B10535" s="538" t="n">
        <v>24.2</v>
      </c>
      <c r="C10535" s="538" t="n">
        <v>23.88</v>
      </c>
      <c r="D10535" s="538" t="n">
        <v>29.01</v>
      </c>
      <c r="E10535" s="538" t="n">
        <v>21.71</v>
      </c>
    </row>
    <row r="10536">
      <c r="A10536" s="544" t="n">
        <v>43958</v>
      </c>
      <c r="B10536" s="538" t="n">
        <v>24.23</v>
      </c>
      <c r="C10536" s="538" t="n">
        <v>23.68</v>
      </c>
      <c r="D10536" s="538" t="n">
        <v>29.94</v>
      </c>
      <c r="E10536" s="538" t="n">
        <v>21.71</v>
      </c>
    </row>
    <row r="10537">
      <c r="A10537" s="544" t="n">
        <v>43959</v>
      </c>
      <c r="B10537" s="538" t="n">
        <v>24.23</v>
      </c>
      <c r="C10537" s="538" t="n">
        <v>24.73</v>
      </c>
      <c r="D10537" s="538" t="n">
        <v>31.1</v>
      </c>
      <c r="E10537" s="538" t="n">
        <v>20.9</v>
      </c>
    </row>
    <row r="10538">
      <c r="A10538" s="544" t="n">
        <v>43962</v>
      </c>
      <c r="B10538" s="538" t="n">
        <v>25.53</v>
      </c>
      <c r="C10538" s="538" t="n">
        <v>24.02</v>
      </c>
      <c r="D10538" s="538" t="n">
        <v>30.19</v>
      </c>
      <c r="E10538" s="538" t="n">
        <v>26.17</v>
      </c>
    </row>
    <row r="10539">
      <c r="A10539" s="544" t="n">
        <v>43963</v>
      </c>
      <c r="B10539" s="538" t="n">
        <v>26.67</v>
      </c>
      <c r="C10539" s="538" t="n">
        <v>25.76</v>
      </c>
      <c r="D10539" s="538" t="n">
        <v>29.47</v>
      </c>
      <c r="E10539" s="538" t="n">
        <v>25.12</v>
      </c>
    </row>
    <row r="10540">
      <c r="A10540" s="544" t="n">
        <v>43964</v>
      </c>
      <c r="B10540" s="538" t="n">
        <v>27.89</v>
      </c>
      <c r="C10540" s="538" t="n">
        <v>25.37</v>
      </c>
      <c r="D10540" s="538" t="n">
        <v>30.03</v>
      </c>
      <c r="E10540" s="538" t="n">
        <v>23.82</v>
      </c>
    </row>
    <row r="10541">
      <c r="A10541" s="544" t="n">
        <v>43965</v>
      </c>
      <c r="B10541" s="538" t="n">
        <v>29.87</v>
      </c>
      <c r="C10541" s="538" t="n">
        <v>27.4</v>
      </c>
      <c r="D10541" s="538" t="n">
        <v>32.56</v>
      </c>
      <c r="E10541" s="538" t="n">
        <v>26.41</v>
      </c>
    </row>
    <row r="10542">
      <c r="A10542" s="544" t="n">
        <v>43966</v>
      </c>
      <c r="B10542" s="538" t="n">
        <v>30.95</v>
      </c>
      <c r="C10542" s="538" t="n">
        <v>29.44</v>
      </c>
      <c r="D10542" s="538" t="n">
        <v>32.79</v>
      </c>
      <c r="E10542" s="538" t="n">
        <v>29.87</v>
      </c>
    </row>
    <row r="10543">
      <c r="A10543" s="544" t="n">
        <v>43969</v>
      </c>
      <c r="B10543" s="538" t="n">
        <v>33.3</v>
      </c>
      <c r="C10543" s="538" t="n">
        <v>31.83</v>
      </c>
      <c r="D10543" s="538" t="n">
        <v>35.65</v>
      </c>
      <c r="E10543" s="538" t="n">
        <v>30.92</v>
      </c>
    </row>
    <row r="10544">
      <c r="A10544" s="544" t="n">
        <v>43970</v>
      </c>
      <c r="B10544" s="538" t="n">
        <v>33.06</v>
      </c>
      <c r="C10544" s="538" t="n">
        <v>32.3</v>
      </c>
      <c r="D10544" s="538" t="n">
        <v>34.06</v>
      </c>
      <c r="E10544" s="538" t="n">
        <v>34.42</v>
      </c>
    </row>
    <row r="10545">
      <c r="A10545" s="544" t="n">
        <v>43971</v>
      </c>
      <c r="B10545" s="538" t="n">
        <v>34.76</v>
      </c>
      <c r="C10545" s="538" t="n">
        <v>33.56</v>
      </c>
      <c r="D10545" s="538" t="n">
        <v>35.37</v>
      </c>
      <c r="E10545" s="538" t="n">
        <v>33.46</v>
      </c>
    </row>
    <row r="10546">
      <c r="A10546" s="544" t="n">
        <v>43972</v>
      </c>
      <c r="B10546" s="538" t="n">
        <v>34.78</v>
      </c>
      <c r="C10546" s="538" t="n">
        <v>34.3</v>
      </c>
      <c r="D10546" s="538" t="n">
        <v>35.16</v>
      </c>
      <c r="E10546" s="538" t="n">
        <v>34.83</v>
      </c>
    </row>
    <row r="10547">
      <c r="A10547" s="544" t="n">
        <v>43973</v>
      </c>
      <c r="B10547" s="538" t="n">
        <v>33.8</v>
      </c>
      <c r="C10547" s="538" t="n">
        <v>33.49</v>
      </c>
      <c r="D10547" s="538" t="n">
        <v>35.4</v>
      </c>
      <c r="E10547" s="538" t="n">
        <v>33.99</v>
      </c>
    </row>
    <row r="10548">
      <c r="A10548" s="544" t="n">
        <v>43976</v>
      </c>
      <c r="B10548" s="538" t="n">
        <v>33.8</v>
      </c>
      <c r="C10548" s="538" t="n">
        <v>33.49</v>
      </c>
      <c r="D10548" s="538" t="n">
        <v>35.92</v>
      </c>
      <c r="E10548" s="538" t="n">
        <v>33.99</v>
      </c>
    </row>
    <row r="10549">
      <c r="A10549" s="544" t="n">
        <v>43977</v>
      </c>
      <c r="B10549" s="538" t="n">
        <v>33.95</v>
      </c>
      <c r="C10549" s="538" t="n">
        <v>34.7</v>
      </c>
      <c r="D10549" s="538" t="n">
        <v>36.1</v>
      </c>
      <c r="E10549" s="538" t="n">
        <v>37.31</v>
      </c>
    </row>
    <row r="10550">
      <c r="A10550" s="544" t="n">
        <v>43978</v>
      </c>
      <c r="B10550" s="538" t="n">
        <v>32.73</v>
      </c>
      <c r="C10550" s="538" t="n">
        <v>32.8</v>
      </c>
      <c r="D10550" s="538" t="n">
        <v>34.11</v>
      </c>
      <c r="E10550" s="538" t="n">
        <v>36.96</v>
      </c>
    </row>
    <row r="10551">
      <c r="A10551" s="544" t="n">
        <v>43979</v>
      </c>
      <c r="B10551" s="538" t="n">
        <v>33.98</v>
      </c>
      <c r="C10551" s="538" t="n">
        <v>33.67</v>
      </c>
      <c r="D10551" s="538" t="n">
        <v>35.74</v>
      </c>
      <c r="E10551" s="538" t="n">
        <v>33.85</v>
      </c>
    </row>
    <row r="10552">
      <c r="A10552" s="544" t="n">
        <v>43980</v>
      </c>
      <c r="B10552" s="538" t="n">
        <v>34.15</v>
      </c>
      <c r="C10552" s="538" t="n">
        <v>35.57</v>
      </c>
      <c r="D10552" s="538" t="n">
        <v>37.64</v>
      </c>
      <c r="E10552" s="538" t="n">
        <v>33.97</v>
      </c>
    </row>
    <row r="10553">
      <c r="A10553" s="544" t="n">
        <v>43983</v>
      </c>
      <c r="B10553" s="538" t="n">
        <v>36.74</v>
      </c>
      <c r="C10553" s="538" t="n">
        <v>35.49</v>
      </c>
      <c r="D10553" s="538" t="n">
        <v>37.72</v>
      </c>
      <c r="E10553" s="538" t="n">
        <v>37.56</v>
      </c>
    </row>
    <row r="10554">
      <c r="A10554" s="544" t="n">
        <v>43984</v>
      </c>
      <c r="B10554" s="538" t="n">
        <v>37.72</v>
      </c>
      <c r="C10554" s="538" t="n">
        <v>36.88</v>
      </c>
      <c r="D10554" s="538" t="n">
        <v>39.69</v>
      </c>
      <c r="E10554" s="538" t="n">
        <v>38.79</v>
      </c>
    </row>
    <row r="10555">
      <c r="A10555" s="544" t="n">
        <v>43985</v>
      </c>
      <c r="B10555" s="538" t="n">
        <v>37.98</v>
      </c>
      <c r="C10555" s="538" t="n">
        <v>37.33</v>
      </c>
      <c r="D10555" s="538" t="n">
        <v>37.91</v>
      </c>
      <c r="E10555" s="538" t="n">
        <v>39.79</v>
      </c>
    </row>
    <row r="10556">
      <c r="A10556" s="544" t="n">
        <v>43986</v>
      </c>
      <c r="B10556" s="538" t="n">
        <v>38.41</v>
      </c>
      <c r="C10556" s="538" t="n">
        <v>37.42</v>
      </c>
      <c r="D10556" s="538" t="n">
        <v>39.11</v>
      </c>
      <c r="E10556" s="538" t="n">
        <v>38.86</v>
      </c>
    </row>
    <row r="10557">
      <c r="A10557" s="544" t="n">
        <v>43987</v>
      </c>
      <c r="B10557" s="538" t="n">
        <v>41</v>
      </c>
      <c r="C10557" s="538" t="n">
        <v>39.49</v>
      </c>
      <c r="D10557" s="538" t="n">
        <v>41.29</v>
      </c>
      <c r="E10557" s="538" t="n">
        <v>39.47</v>
      </c>
    </row>
    <row r="10558">
      <c r="A10558" s="544" t="n">
        <v>43990</v>
      </c>
      <c r="B10558" s="538" t="n">
        <v>39.66</v>
      </c>
      <c r="C10558" s="538" t="n">
        <v>38.17</v>
      </c>
      <c r="D10558" s="538" t="n">
        <v>40.69</v>
      </c>
      <c r="E10558" s="538" t="n">
        <v>43.33</v>
      </c>
    </row>
    <row r="10559">
      <c r="A10559" s="544" t="n">
        <v>43991</v>
      </c>
      <c r="B10559" s="538" t="n">
        <v>40.45</v>
      </c>
      <c r="C10559" s="538" t="n">
        <v>38.98</v>
      </c>
      <c r="D10559" s="538" t="n">
        <v>39.73</v>
      </c>
      <c r="E10559" s="538" t="n">
        <v>41.89</v>
      </c>
    </row>
    <row r="10560">
      <c r="A10560" s="544" t="n">
        <v>43992</v>
      </c>
      <c r="B10560" s="538" t="n">
        <v>41.18</v>
      </c>
      <c r="C10560" s="538" t="n">
        <v>39.54</v>
      </c>
      <c r="D10560" s="538" t="n">
        <v>40.08</v>
      </c>
      <c r="E10560" s="538" t="n">
        <v>42.53</v>
      </c>
    </row>
    <row r="10561">
      <c r="A10561" s="544" t="n">
        <v>43993</v>
      </c>
      <c r="B10561" s="538" t="n">
        <v>37.76</v>
      </c>
      <c r="C10561" s="538" t="n">
        <v>36.43</v>
      </c>
      <c r="D10561" s="538" t="n">
        <v>37.3</v>
      </c>
      <c r="E10561" s="538" t="n">
        <v>41.84</v>
      </c>
    </row>
    <row r="10562">
      <c r="A10562" s="544" t="n">
        <v>43994</v>
      </c>
      <c r="B10562" s="538" t="n">
        <v>38.54</v>
      </c>
      <c r="C10562" s="538" t="n">
        <v>36.24</v>
      </c>
      <c r="D10562" s="538" t="n">
        <v>38.17</v>
      </c>
      <c r="E10562" s="538" t="n">
        <v>39.57</v>
      </c>
    </row>
    <row r="10563">
      <c r="A10563" s="544" t="n">
        <v>43997</v>
      </c>
      <c r="B10563" s="538" t="n">
        <v>39.44</v>
      </c>
      <c r="C10563" s="538" t="n">
        <v>37.07</v>
      </c>
      <c r="D10563" s="538" t="n">
        <v>38.88</v>
      </c>
      <c r="E10563" s="538" t="n">
        <v>39.57</v>
      </c>
    </row>
    <row r="10564">
      <c r="A10564" s="544" t="n">
        <v>43998</v>
      </c>
      <c r="B10564" s="538" t="n">
        <v>40.75</v>
      </c>
      <c r="C10564" s="538" t="n">
        <v>38.26</v>
      </c>
      <c r="D10564" s="538" t="n">
        <v>38.91</v>
      </c>
      <c r="E10564" s="538" t="n">
        <v>40.93</v>
      </c>
    </row>
    <row r="10565">
      <c r="A10565" s="544" t="n">
        <v>43999</v>
      </c>
      <c r="B10565" s="538" t="n">
        <v>40.47</v>
      </c>
      <c r="C10565" s="538" t="n">
        <v>37.91</v>
      </c>
      <c r="D10565" s="538" t="n">
        <v>38.93</v>
      </c>
      <c r="E10565" s="538" t="n">
        <v>41.86</v>
      </c>
    </row>
    <row r="10566">
      <c r="A10566" s="544" t="n">
        <v>44000</v>
      </c>
      <c r="B10566" s="538" t="n">
        <v>41.75</v>
      </c>
      <c r="C10566" s="538" t="n">
        <v>38.79</v>
      </c>
      <c r="D10566" s="538" t="n">
        <v>41.16</v>
      </c>
      <c r="E10566" s="538" t="n">
        <v>42.15</v>
      </c>
    </row>
    <row r="10567">
      <c r="A10567" s="544" t="n">
        <v>44001</v>
      </c>
      <c r="B10567" s="538" t="n">
        <v>42.33</v>
      </c>
      <c r="C10567" s="538" t="n">
        <v>39.72</v>
      </c>
      <c r="D10567" s="538" t="n">
        <v>41.26</v>
      </c>
      <c r="E10567" s="538" t="n">
        <v>44.26</v>
      </c>
    </row>
    <row r="10568">
      <c r="A10568" s="544" t="n">
        <v>44004</v>
      </c>
      <c r="B10568" s="538" t="n">
        <v>43.2</v>
      </c>
      <c r="C10568" s="538" t="n">
        <v>40.6</v>
      </c>
      <c r="D10568" s="538" t="n">
        <v>42.19</v>
      </c>
      <c r="E10568" s="538" t="n">
        <v>44.24</v>
      </c>
    </row>
    <row r="10569">
      <c r="A10569" s="544" t="n">
        <v>44005</v>
      </c>
      <c r="B10569" s="538" t="n">
        <v>42.72</v>
      </c>
      <c r="C10569" s="538" t="n">
        <v>40.4</v>
      </c>
      <c r="D10569" s="538" t="n">
        <v>41.66</v>
      </c>
      <c r="E10569" s="538" t="n">
        <v>44.49</v>
      </c>
    </row>
    <row r="10570">
      <c r="A10570" s="544" t="n">
        <v>44006</v>
      </c>
      <c r="B10570" s="538" t="n">
        <v>40.4</v>
      </c>
      <c r="C10570" s="538" t="n">
        <v>37.91</v>
      </c>
      <c r="D10570" s="538" t="n">
        <v>39.85</v>
      </c>
      <c r="E10570" s="538" t="n">
        <v>43.03</v>
      </c>
    </row>
    <row r="10571">
      <c r="A10571" s="544" t="n">
        <v>44007</v>
      </c>
      <c r="B10571" s="538" t="n">
        <v>41.18</v>
      </c>
      <c r="C10571" s="538" t="n">
        <v>38.66</v>
      </c>
      <c r="D10571" s="538" t="n">
        <v>41.04</v>
      </c>
      <c r="E10571" s="538" t="n">
        <v>41.33</v>
      </c>
    </row>
    <row r="10572">
      <c r="A10572" s="544" t="n">
        <v>44008</v>
      </c>
      <c r="B10572" s="538" t="n">
        <v>40.97</v>
      </c>
      <c r="C10572" s="538" t="n">
        <v>38.53</v>
      </c>
      <c r="D10572" s="538" t="n">
        <v>40.61</v>
      </c>
      <c r="E10572" s="538" t="n">
        <v>41.79</v>
      </c>
    </row>
    <row r="10573">
      <c r="A10573" s="544" t="n">
        <v>44011</v>
      </c>
      <c r="B10573" s="538" t="n">
        <v>41.58</v>
      </c>
      <c r="C10573" s="538" t="n">
        <v>39.67</v>
      </c>
      <c r="D10573" s="538" t="n">
        <v>41.15</v>
      </c>
      <c r="E10573" s="538" t="n">
        <v>40.43</v>
      </c>
    </row>
    <row r="10574">
      <c r="A10574" s="544" t="n">
        <v>44012</v>
      </c>
      <c r="B10574" s="538" t="n">
        <v>41.64</v>
      </c>
      <c r="C10574" s="538" t="n">
        <v>39.27</v>
      </c>
      <c r="D10574" s="538" t="n">
        <v>41.03</v>
      </c>
      <c r="E10574" s="538" t="n">
        <v>41.85</v>
      </c>
    </row>
    <row r="10575">
      <c r="A10575" s="544" t="n">
        <v>44013</v>
      </c>
      <c r="B10575" s="538" t="n">
        <v>42.18</v>
      </c>
      <c r="C10575" s="538" t="n">
        <v>39.88</v>
      </c>
      <c r="D10575" s="538" t="n">
        <v>41.44</v>
      </c>
      <c r="E10575" s="538" t="n">
        <v>43.51</v>
      </c>
    </row>
    <row r="10576">
      <c r="A10576" s="544" t="n">
        <v>44014</v>
      </c>
      <c r="B10576" s="538" t="n">
        <v>43.19</v>
      </c>
      <c r="C10576" s="538" t="n">
        <v>40.57</v>
      </c>
      <c r="D10576" s="538" t="n">
        <v>42.33</v>
      </c>
      <c r="E10576" s="538" t="n">
        <v>42.37</v>
      </c>
    </row>
    <row r="10577">
      <c r="A10577" s="544" t="n">
        <v>44015</v>
      </c>
      <c r="B10577" s="538" t="n">
        <v>42.92</v>
      </c>
      <c r="C10577" s="538" t="n">
        <v>40.57</v>
      </c>
      <c r="D10577" s="538" t="n">
        <v>42.09</v>
      </c>
      <c r="E10577" s="538" t="n">
        <v>42.8</v>
      </c>
    </row>
    <row r="10578">
      <c r="A10578" s="544" t="n">
        <v>44018</v>
      </c>
      <c r="B10578" s="538" t="n">
        <v>42.73</v>
      </c>
      <c r="C10578" s="538" t="n">
        <v>40.51</v>
      </c>
      <c r="D10578" s="538" t="n">
        <v>42.19</v>
      </c>
      <c r="E10578" s="538" t="n">
        <v>43.67</v>
      </c>
    </row>
    <row r="10579">
      <c r="A10579" s="544" t="n">
        <v>44019</v>
      </c>
      <c r="B10579" s="538" t="n">
        <v>43.28</v>
      </c>
      <c r="C10579" s="538" t="n">
        <v>40.59</v>
      </c>
      <c r="D10579" s="538" t="n">
        <v>42.25</v>
      </c>
      <c r="E10579" s="538" t="n">
        <v>43.13</v>
      </c>
    </row>
    <row r="10580">
      <c r="A10580" s="544" t="n">
        <v>44020</v>
      </c>
      <c r="B10580" s="538" t="n">
        <v>43.67</v>
      </c>
      <c r="C10580" s="538" t="n">
        <v>40.91</v>
      </c>
      <c r="D10580" s="538" t="n">
        <v>42.61</v>
      </c>
      <c r="E10580" s="538" t="n">
        <v>43.06</v>
      </c>
    </row>
    <row r="10581">
      <c r="A10581" s="544" t="n">
        <v>44021</v>
      </c>
      <c r="B10581" s="538" t="n">
        <v>42.35</v>
      </c>
      <c r="C10581" s="538" t="n">
        <v>39.64</v>
      </c>
      <c r="D10581" s="538" t="n">
        <v>41.7</v>
      </c>
      <c r="E10581" s="538" t="n">
        <v>43.33</v>
      </c>
    </row>
    <row r="10582">
      <c r="A10582" s="544" t="n">
        <v>44022</v>
      </c>
      <c r="B10582" s="538" t="n">
        <v>43.27</v>
      </c>
      <c r="C10582" s="538" t="n">
        <v>40.56</v>
      </c>
      <c r="D10582" s="538" t="n">
        <v>42.95</v>
      </c>
      <c r="E10582" s="538" t="n">
        <v>43.33</v>
      </c>
    </row>
    <row r="10583">
      <c r="A10583" s="544" t="n">
        <v>44025</v>
      </c>
      <c r="B10583" s="538" t="n">
        <v>42.85</v>
      </c>
      <c r="C10583" s="538" t="n">
        <v>40.06</v>
      </c>
      <c r="D10583" s="538" t="n">
        <v>41.55</v>
      </c>
      <c r="E10583" s="538" t="n">
        <v>43.21</v>
      </c>
    </row>
    <row r="10584">
      <c r="A10584" s="544" t="n">
        <v>44026</v>
      </c>
      <c r="B10584" s="538" t="n">
        <v>42.97</v>
      </c>
      <c r="C10584" s="538" t="n">
        <v>40.3</v>
      </c>
      <c r="D10584" s="538" t="n">
        <v>42.74</v>
      </c>
      <c r="E10584" s="538" t="n">
        <v>42.74</v>
      </c>
    </row>
    <row r="10585">
      <c r="A10585" s="544" t="n">
        <v>44027</v>
      </c>
      <c r="B10585" s="538" t="n">
        <v>43.96</v>
      </c>
      <c r="C10585" s="538" t="n">
        <v>41.2</v>
      </c>
      <c r="D10585" s="538" t="n">
        <v>43.06</v>
      </c>
      <c r="E10585" s="538" t="n">
        <v>43.92</v>
      </c>
    </row>
    <row r="10586">
      <c r="A10586" s="544" t="n">
        <v>44028</v>
      </c>
      <c r="B10586" s="538" t="n">
        <v>43.71</v>
      </c>
      <c r="C10586" s="538" t="n">
        <v>40.74</v>
      </c>
      <c r="D10586" s="538" t="n">
        <v>42.56</v>
      </c>
      <c r="E10586" s="538" t="n">
        <v>44.05</v>
      </c>
    </row>
    <row r="10587">
      <c r="A10587" s="544" t="n">
        <v>44029</v>
      </c>
      <c r="B10587" s="538" t="n">
        <v>43.53</v>
      </c>
      <c r="C10587" s="538" t="n">
        <v>40.55</v>
      </c>
      <c r="D10587" s="538" t="n">
        <v>42.03</v>
      </c>
      <c r="E10587" s="538" t="n">
        <v>44.06</v>
      </c>
    </row>
    <row r="10588">
      <c r="A10588" s="544" t="n">
        <v>44032</v>
      </c>
      <c r="B10588" s="538" t="n">
        <v>43.3</v>
      </c>
      <c r="C10588" s="538" t="n">
        <v>40.83</v>
      </c>
      <c r="D10588" s="538" t="n">
        <v>42.25</v>
      </c>
      <c r="E10588" s="538" t="n">
        <v>43.61</v>
      </c>
    </row>
    <row r="10589">
      <c r="A10589" s="544" t="n">
        <v>44033</v>
      </c>
      <c r="B10589" s="538" t="n">
        <v>44.31</v>
      </c>
      <c r="C10589" s="538" t="n">
        <v>41.76</v>
      </c>
      <c r="D10589" s="538" t="n">
        <v>43.39</v>
      </c>
      <c r="E10589" s="538" t="n">
        <v>45.14</v>
      </c>
    </row>
    <row r="10590">
      <c r="A10590" s="544" t="n">
        <v>44034</v>
      </c>
      <c r="B10590" s="538" t="n">
        <v>43.98</v>
      </c>
      <c r="C10590" s="538" t="n">
        <v>41.88</v>
      </c>
      <c r="D10590" s="538" t="n">
        <v>43.81</v>
      </c>
      <c r="E10590" s="538" t="n">
        <v>45.36</v>
      </c>
    </row>
    <row r="10591">
      <c r="A10591" s="544" t="n">
        <v>44035</v>
      </c>
      <c r="B10591" s="538" t="n">
        <v>42.96</v>
      </c>
      <c r="C10591" s="538" t="n">
        <v>40.99</v>
      </c>
      <c r="D10591" s="538" t="n">
        <v>42.82</v>
      </c>
      <c r="E10591" s="538" t="n">
        <v>45.65</v>
      </c>
    </row>
    <row r="10592">
      <c r="A10592" s="544" t="n">
        <v>44036</v>
      </c>
      <c r="B10592" s="538" t="n">
        <v>43.29</v>
      </c>
      <c r="C10592" s="538" t="n">
        <v>41.23</v>
      </c>
      <c r="D10592" s="538" t="n">
        <v>42.71</v>
      </c>
      <c r="E10592" s="538" t="n">
        <v>43.84</v>
      </c>
    </row>
    <row r="10593">
      <c r="A10593" s="544" t="n">
        <v>44039</v>
      </c>
      <c r="B10593" s="538" t="n">
        <v>43.39</v>
      </c>
      <c r="C10593" s="538" t="n">
        <v>41.46</v>
      </c>
      <c r="D10593" s="538" t="n">
        <v>42.66</v>
      </c>
      <c r="E10593" s="538" t="n">
        <v>44.17</v>
      </c>
    </row>
    <row r="10594">
      <c r="A10594" s="544" t="n">
        <v>44040</v>
      </c>
      <c r="B10594" s="538" t="n">
        <v>43.11</v>
      </c>
      <c r="C10594" s="538" t="n">
        <v>40.89</v>
      </c>
      <c r="D10594" s="538" t="n">
        <v>42.41</v>
      </c>
      <c r="E10594" s="538" t="n">
        <v>45.03</v>
      </c>
    </row>
    <row r="10595">
      <c r="A10595" s="544" t="n">
        <v>44041</v>
      </c>
      <c r="B10595" s="538" t="n">
        <v>43.51</v>
      </c>
      <c r="C10595" s="538" t="n">
        <v>41.13</v>
      </c>
      <c r="D10595" s="538" t="n">
        <v>42.86</v>
      </c>
      <c r="E10595" s="538" t="n">
        <v>44.59</v>
      </c>
    </row>
    <row r="10596">
      <c r="A10596" s="544" t="n">
        <v>44042</v>
      </c>
      <c r="B10596" s="538" t="n">
        <v>42.98</v>
      </c>
      <c r="C10596" s="538" t="n">
        <v>39.85</v>
      </c>
      <c r="D10596" s="538" t="n">
        <v>42.32</v>
      </c>
      <c r="E10596" s="538" t="n">
        <v>43.98</v>
      </c>
    </row>
    <row r="10597">
      <c r="A10597" s="544" t="n">
        <v>44043</v>
      </c>
      <c r="B10597" s="538" t="n">
        <v>43.13</v>
      </c>
      <c r="C10597" s="538" t="n">
        <v>40.1</v>
      </c>
      <c r="D10597" s="538" t="n">
        <v>43.19</v>
      </c>
      <c r="E10597" s="538" t="n">
        <v>43.98</v>
      </c>
    </row>
    <row r="10598">
      <c r="A10598" s="544" t="n">
        <v>44046</v>
      </c>
      <c r="B10598" s="538" t="n">
        <v>43.76</v>
      </c>
      <c r="C10598" s="538" t="n">
        <v>40.83</v>
      </c>
      <c r="D10598" s="538" t="n">
        <v>43.01</v>
      </c>
      <c r="E10598" s="538" t="n">
        <v>42.74</v>
      </c>
    </row>
    <row r="10599">
      <c r="A10599" s="544" t="n">
        <v>44047</v>
      </c>
      <c r="B10599" s="538" t="n">
        <v>43.99</v>
      </c>
      <c r="C10599" s="538" t="n">
        <v>41.67</v>
      </c>
      <c r="D10599" s="538" t="n">
        <v>43.33</v>
      </c>
      <c r="E10599" s="538" t="n">
        <v>42.8</v>
      </c>
    </row>
    <row r="10600">
      <c r="A10600" s="544" t="n">
        <v>44048</v>
      </c>
      <c r="B10600" s="538" t="n">
        <v>44.92</v>
      </c>
      <c r="C10600" s="538" t="n">
        <v>42.25</v>
      </c>
      <c r="D10600" s="538" t="n">
        <v>43.86</v>
      </c>
      <c r="E10600" s="538" t="n">
        <v>44.35</v>
      </c>
    </row>
    <row r="10601">
      <c r="A10601" s="544" t="n">
        <v>44049</v>
      </c>
      <c r="B10601" s="538" t="n">
        <v>45.04</v>
      </c>
      <c r="C10601" s="538" t="n">
        <v>41.93</v>
      </c>
      <c r="D10601" s="538" t="n">
        <v>43.81</v>
      </c>
      <c r="E10601" s="538" t="n">
        <v>44.11</v>
      </c>
    </row>
    <row r="10602">
      <c r="A10602" s="544" t="n">
        <v>44050</v>
      </c>
      <c r="B10602" s="538" t="n">
        <v>44.07</v>
      </c>
      <c r="C10602" s="538" t="n">
        <v>41.16</v>
      </c>
      <c r="D10602" s="538" t="n">
        <v>43.2</v>
      </c>
      <c r="E10602" s="538" t="n">
        <v>43.66</v>
      </c>
    </row>
    <row r="10603">
      <c r="A10603" s="544" t="n">
        <v>44053</v>
      </c>
      <c r="B10603" s="538" t="n">
        <v>44.19</v>
      </c>
      <c r="C10603" s="538" t="n">
        <v>41.94</v>
      </c>
      <c r="D10603" s="538" t="n">
        <v>44.12</v>
      </c>
      <c r="E10603" s="538" t="n">
        <v>43.66</v>
      </c>
    </row>
    <row r="10604">
      <c r="A10604" s="544" t="n">
        <v>44054</v>
      </c>
      <c r="B10604" s="538" t="n">
        <v>43.68</v>
      </c>
      <c r="C10604" s="538" t="n">
        <v>41.53</v>
      </c>
      <c r="D10604" s="538" t="n">
        <v>43.48</v>
      </c>
      <c r="E10604" s="538" t="n">
        <v>44.07</v>
      </c>
    </row>
    <row r="10605">
      <c r="A10605" s="544" t="n">
        <v>44055</v>
      </c>
      <c r="B10605" s="538" t="n">
        <v>45.09</v>
      </c>
      <c r="C10605" s="538" t="n">
        <v>42.6</v>
      </c>
      <c r="D10605" s="538" t="n">
        <v>43.89</v>
      </c>
      <c r="E10605" s="538" t="n">
        <v>43.57</v>
      </c>
    </row>
    <row r="10606">
      <c r="A10606" s="544" t="n">
        <v>44056</v>
      </c>
      <c r="B10606" s="538" t="n">
        <v>44.87</v>
      </c>
      <c r="C10606" s="538" t="n">
        <v>42.26</v>
      </c>
      <c r="D10606" s="538" t="n">
        <v>43.53</v>
      </c>
      <c r="E10606" s="538" t="n">
        <v>43.86</v>
      </c>
    </row>
    <row r="10607">
      <c r="A10607" s="544" t="n">
        <v>44057</v>
      </c>
      <c r="B10607" s="538" t="n">
        <v>44.86</v>
      </c>
      <c r="C10607" s="538" t="n">
        <v>42.05</v>
      </c>
      <c r="D10607" s="538" t="n">
        <v>43.18</v>
      </c>
      <c r="E10607" s="538" t="n">
        <v>43.29</v>
      </c>
    </row>
    <row r="10608">
      <c r="A10608" s="544" t="n">
        <v>44060</v>
      </c>
      <c r="B10608" s="538" t="n">
        <v>44.91</v>
      </c>
      <c r="C10608" s="538" t="n">
        <v>42.89</v>
      </c>
      <c r="D10608" s="538" t="n">
        <v>43.6</v>
      </c>
      <c r="E10608" s="538" t="n">
        <v>43.29</v>
      </c>
    </row>
    <row r="10609">
      <c r="A10609" s="544" t="n">
        <v>44061</v>
      </c>
      <c r="B10609" s="538" t="n">
        <v>45.34</v>
      </c>
      <c r="C10609" s="538" t="n">
        <v>42.89</v>
      </c>
      <c r="D10609" s="538" t="n">
        <v>43.87</v>
      </c>
      <c r="E10609" s="538" t="n">
        <v>43.06</v>
      </c>
    </row>
    <row r="10610">
      <c r="A10610" s="544" t="n">
        <v>44062</v>
      </c>
      <c r="B10610" s="538" t="n">
        <v>45.21</v>
      </c>
      <c r="C10610" s="538" t="n">
        <v>42.91</v>
      </c>
      <c r="D10610" s="538" t="n">
        <v>43.49</v>
      </c>
      <c r="E10610" s="538" t="n">
        <v>43.48</v>
      </c>
    </row>
    <row r="10611">
      <c r="A10611" s="544" t="n">
        <v>44063</v>
      </c>
      <c r="B10611" s="538" t="n">
        <v>44.56</v>
      </c>
      <c r="C10611" s="538" t="n">
        <v>42.62</v>
      </c>
      <c r="D10611" s="538" t="n">
        <v>43.79</v>
      </c>
      <c r="E10611" s="538" t="n">
        <v>42.91</v>
      </c>
    </row>
    <row r="10612">
      <c r="A10612" s="544" t="n">
        <v>44064</v>
      </c>
      <c r="B10612" s="538" t="n">
        <v>43.94</v>
      </c>
      <c r="C10612" s="538" t="n">
        <v>42.32</v>
      </c>
      <c r="D10612" s="538" t="n">
        <v>43.48</v>
      </c>
      <c r="E10612" s="538" t="n">
        <v>43.07</v>
      </c>
    </row>
    <row r="10613">
      <c r="A10613" s="544" t="n">
        <v>44067</v>
      </c>
      <c r="B10613" s="538" t="n">
        <v>44.43</v>
      </c>
      <c r="C10613" s="538" t="n">
        <v>42.44</v>
      </c>
      <c r="D10613" s="538" t="n">
        <v>44.26</v>
      </c>
      <c r="E10613" s="538" t="n">
        <v>43.39</v>
      </c>
    </row>
    <row r="10614">
      <c r="A10614" s="544" t="n">
        <v>44068</v>
      </c>
      <c r="B10614" s="538" t="n">
        <v>46.01</v>
      </c>
      <c r="C10614" s="538" t="n">
        <v>43.17</v>
      </c>
      <c r="D10614" s="538" t="n">
        <v>45.06</v>
      </c>
      <c r="E10614" s="538" t="n">
        <v>43.81</v>
      </c>
    </row>
    <row r="10615">
      <c r="A10615" s="544" t="n">
        <v>44069</v>
      </c>
      <c r="B10615" s="538" t="n">
        <v>45.79</v>
      </c>
      <c r="C10615" s="538" t="n">
        <v>43.21</v>
      </c>
      <c r="D10615" s="538" t="n">
        <v>44.72</v>
      </c>
      <c r="E10615" s="538" t="n">
        <v>44.01</v>
      </c>
    </row>
    <row r="10616">
      <c r="A10616" s="544" t="n">
        <v>44070</v>
      </c>
      <c r="B10616" s="538" t="n">
        <v>44.84</v>
      </c>
      <c r="C10616" s="538" t="n">
        <v>42.88</v>
      </c>
      <c r="D10616" s="538" t="n">
        <v>44.3</v>
      </c>
      <c r="E10616" s="538" t="n">
        <v>43.05</v>
      </c>
    </row>
    <row r="10617">
      <c r="A10617" s="544" t="n">
        <v>44071</v>
      </c>
      <c r="B10617" s="538" t="n">
        <v>45.22</v>
      </c>
      <c r="C10617" s="538" t="n">
        <v>42.96</v>
      </c>
      <c r="D10617" s="538" t="n">
        <v>44.39</v>
      </c>
      <c r="E10617" s="538" t="n">
        <v>41.63</v>
      </c>
    </row>
    <row r="10618">
      <c r="A10618" s="544" t="n">
        <v>44074</v>
      </c>
      <c r="B10618" s="538" t="n">
        <v>45.22</v>
      </c>
      <c r="C10618" s="538" t="n">
        <v>42.61</v>
      </c>
      <c r="D10618" s="538" t="n">
        <v>44.69</v>
      </c>
      <c r="E10618" s="538" t="n">
        <v>43</v>
      </c>
    </row>
    <row r="10619">
      <c r="A10619" s="544" t="n">
        <v>44075</v>
      </c>
      <c r="B10619" s="538" t="n">
        <v>45.72</v>
      </c>
      <c r="C10619" s="538" t="n">
        <v>42.76</v>
      </c>
      <c r="D10619" s="538" t="n">
        <v>45.31</v>
      </c>
      <c r="E10619" s="538" t="n">
        <v>42.05</v>
      </c>
    </row>
    <row r="10620">
      <c r="A10620" s="544" t="n">
        <v>44076</v>
      </c>
      <c r="B10620" s="538" t="n">
        <v>42.7</v>
      </c>
      <c r="C10620" s="538" t="n">
        <v>42.76</v>
      </c>
      <c r="D10620" s="538" t="n">
        <v>43.85</v>
      </c>
      <c r="E10620" s="538" t="n">
        <v>42.31</v>
      </c>
    </row>
    <row r="10621">
      <c r="A10621" s="544" t="n">
        <v>44077</v>
      </c>
      <c r="B10621" s="538" t="n">
        <v>42.72</v>
      </c>
      <c r="C10621" s="538" t="n">
        <v>41.39</v>
      </c>
      <c r="D10621" s="538" t="n">
        <v>43.03</v>
      </c>
      <c r="E10621" s="538" t="n">
        <v>40.05</v>
      </c>
    </row>
    <row r="10622">
      <c r="A10622" s="544" t="n">
        <v>44078</v>
      </c>
      <c r="B10622" s="538" t="n">
        <v>41.1</v>
      </c>
      <c r="C10622" s="538" t="n">
        <v>39.69</v>
      </c>
      <c r="D10622" s="538" t="n">
        <v>42.08</v>
      </c>
      <c r="E10622" s="538" t="n">
        <v>40.6</v>
      </c>
    </row>
    <row r="10623">
      <c r="A10623" s="544" t="n">
        <v>44081</v>
      </c>
      <c r="B10623" s="538" t="n">
        <v>40.67</v>
      </c>
      <c r="C10623" s="538" t="n">
        <v>39.69</v>
      </c>
      <c r="D10623" s="538" t="n">
        <v>41.36</v>
      </c>
      <c r="E10623" s="538" t="n">
        <v>38.83</v>
      </c>
    </row>
    <row r="10624">
      <c r="A10624" s="544" t="n">
        <v>44082</v>
      </c>
      <c r="B10624" s="538" t="n">
        <v>38.53</v>
      </c>
      <c r="C10624" s="538" t="n">
        <v>36.87</v>
      </c>
      <c r="D10624" s="538" t="n">
        <v>38.86</v>
      </c>
      <c r="E10624" s="538" t="n">
        <v>37.75</v>
      </c>
    </row>
    <row r="10625">
      <c r="A10625" s="544" t="n">
        <v>44083</v>
      </c>
      <c r="B10625" s="538" t="n">
        <v>39.98</v>
      </c>
      <c r="C10625" s="538" t="n">
        <v>38.05</v>
      </c>
      <c r="D10625" s="538" t="n">
        <v>39.64</v>
      </c>
      <c r="E10625" s="538" t="n">
        <v>36.5</v>
      </c>
    </row>
    <row r="10626">
      <c r="A10626" s="544" t="n">
        <v>44084</v>
      </c>
      <c r="B10626" s="538" t="n">
        <v>39.27</v>
      </c>
      <c r="C10626" s="538" t="n">
        <v>37.25</v>
      </c>
      <c r="D10626" s="538" t="n">
        <v>39.12</v>
      </c>
      <c r="E10626" s="538" t="n">
        <v>36.78</v>
      </c>
    </row>
    <row r="10627">
      <c r="A10627" s="544" t="n">
        <v>44085</v>
      </c>
      <c r="B10627" s="538" t="n">
        <v>38.8</v>
      </c>
      <c r="C10627" s="538" t="n">
        <v>37.33</v>
      </c>
      <c r="D10627" s="538" t="n">
        <v>38.93</v>
      </c>
      <c r="E10627" s="538" t="n">
        <v>36.83</v>
      </c>
    </row>
    <row r="10628">
      <c r="A10628" s="544" t="n">
        <v>44088</v>
      </c>
      <c r="B10628" s="538" t="n">
        <v>38.57</v>
      </c>
      <c r="C10628" s="538" t="n">
        <v>37.23</v>
      </c>
      <c r="D10628" s="538" t="n">
        <v>38.78</v>
      </c>
      <c r="E10628" s="538" t="n">
        <v>37.99</v>
      </c>
    </row>
    <row r="10629">
      <c r="A10629" s="544" t="n">
        <v>44089</v>
      </c>
      <c r="B10629" s="538" t="n">
        <v>39.54</v>
      </c>
      <c r="C10629" s="538" t="n">
        <v>38.29</v>
      </c>
      <c r="D10629" s="538" t="n">
        <v>40.5</v>
      </c>
      <c r="E10629" s="538" t="n">
        <v>36.99</v>
      </c>
    </row>
    <row r="10630">
      <c r="A10630" s="544" t="n">
        <v>44090</v>
      </c>
      <c r="B10630" s="538" t="n">
        <v>41.23</v>
      </c>
      <c r="C10630" s="538" t="n">
        <v>40.17</v>
      </c>
      <c r="D10630" s="538" t="n">
        <v>41.62</v>
      </c>
      <c r="E10630" s="538" t="n">
        <v>38.7</v>
      </c>
    </row>
    <row r="10631">
      <c r="A10631" s="544" t="n">
        <v>44091</v>
      </c>
      <c r="B10631" s="538" t="n">
        <v>42.35</v>
      </c>
      <c r="C10631" s="538" t="n">
        <v>40.99</v>
      </c>
      <c r="D10631" s="538" t="n">
        <v>42.91</v>
      </c>
      <c r="E10631" s="538" t="n">
        <v>39.46</v>
      </c>
    </row>
    <row r="10632">
      <c r="A10632" s="544" t="n">
        <v>44092</v>
      </c>
      <c r="B10632" s="538" t="n">
        <v>42.16</v>
      </c>
      <c r="C10632" s="538" t="n">
        <v>41.09</v>
      </c>
      <c r="D10632" s="538" t="n">
        <v>42.87</v>
      </c>
      <c r="E10632" s="538" t="n">
        <v>41.26</v>
      </c>
    </row>
    <row r="10633">
      <c r="A10633" s="544" t="n">
        <v>44095</v>
      </c>
      <c r="B10633" s="538" t="n">
        <v>40.37</v>
      </c>
      <c r="C10633" s="538" t="n">
        <v>39.26</v>
      </c>
      <c r="D10633" s="538" t="n">
        <v>41.25</v>
      </c>
      <c r="E10633" s="538" t="n">
        <v>39.95</v>
      </c>
    </row>
    <row r="10634">
      <c r="A10634" s="544" t="n">
        <v>44096</v>
      </c>
      <c r="B10634" s="538" t="n">
        <v>40.84</v>
      </c>
      <c r="C10634" s="538" t="n">
        <v>39.55</v>
      </c>
      <c r="D10634" s="538" t="n">
        <v>41</v>
      </c>
      <c r="E10634" s="538" t="n">
        <v>39.91</v>
      </c>
    </row>
    <row r="10635">
      <c r="A10635" s="544" t="n">
        <v>44097</v>
      </c>
      <c r="B10635" s="538" t="n">
        <v>41.09</v>
      </c>
      <c r="C10635" s="538" t="n">
        <v>39.92</v>
      </c>
      <c r="D10635" s="538" t="n">
        <v>41.14</v>
      </c>
      <c r="E10635" s="538" t="n">
        <v>39.51</v>
      </c>
    </row>
    <row r="10636">
      <c r="A10636" s="544" t="n">
        <v>44098</v>
      </c>
      <c r="B10636" s="538" t="n">
        <v>41.24</v>
      </c>
      <c r="C10636" s="538" t="n">
        <v>40.11</v>
      </c>
      <c r="D10636" s="538" t="n">
        <v>41.83</v>
      </c>
      <c r="E10636" s="538" t="n">
        <v>39.55</v>
      </c>
    </row>
    <row r="10637">
      <c r="A10637" s="544" t="n">
        <v>44099</v>
      </c>
      <c r="B10637" s="538" t="n">
        <v>40.91</v>
      </c>
      <c r="C10637" s="538" t="n">
        <v>40.06</v>
      </c>
      <c r="D10637" s="538" t="n">
        <v>41.84</v>
      </c>
      <c r="E10637" s="538" t="n">
        <v>40.99</v>
      </c>
    </row>
    <row r="10638">
      <c r="A10638" s="544" t="n">
        <v>44102</v>
      </c>
      <c r="B10638" s="538" t="n">
        <v>41.59</v>
      </c>
      <c r="C10638" s="538" t="n">
        <v>40.47</v>
      </c>
      <c r="D10638" s="538" t="n">
        <v>41.94</v>
      </c>
      <c r="E10638" s="538" t="n">
        <v>40.65</v>
      </c>
    </row>
    <row r="10639">
      <c r="A10639" s="544" t="n">
        <v>44103</v>
      </c>
      <c r="B10639" s="538" t="n">
        <v>40.33</v>
      </c>
      <c r="C10639" s="538" t="n">
        <v>39.03</v>
      </c>
      <c r="D10639" s="538" t="n">
        <v>40.34</v>
      </c>
      <c r="E10639" s="538" t="n">
        <v>40.95</v>
      </c>
    </row>
    <row r="10640">
      <c r="A10640" s="544" t="n">
        <v>44104</v>
      </c>
      <c r="B10640" s="538" t="n">
        <v>40.3</v>
      </c>
      <c r="C10640" s="538" t="n">
        <v>40.05</v>
      </c>
      <c r="D10640" s="538" t="n">
        <v>39.75</v>
      </c>
      <c r="E10640" s="538" t="n">
        <v>40.03</v>
      </c>
    </row>
    <row r="10641">
      <c r="A10641" s="544" t="n">
        <v>44105</v>
      </c>
      <c r="B10641" s="538" t="n">
        <v>39.75</v>
      </c>
      <c r="C10641" s="538" t="n">
        <v>38.51</v>
      </c>
      <c r="D10641" s="538" t="n">
        <v>39.56</v>
      </c>
      <c r="E10641" s="538" t="n">
        <v>41.66</v>
      </c>
    </row>
    <row r="10642">
      <c r="A10642" s="544" t="n">
        <v>44106</v>
      </c>
      <c r="B10642" s="538" t="n">
        <v>38</v>
      </c>
      <c r="C10642" s="538" t="n">
        <v>36.9</v>
      </c>
      <c r="D10642" s="538" t="n">
        <v>38.51</v>
      </c>
      <c r="E10642" s="538" t="n">
        <v>39.14</v>
      </c>
    </row>
    <row r="10643">
      <c r="A10643" s="544" t="n">
        <v>44109</v>
      </c>
      <c r="B10643" s="538" t="n">
        <v>39.78</v>
      </c>
      <c r="C10643" s="538" t="n">
        <v>39.12</v>
      </c>
      <c r="D10643" s="538" t="n">
        <v>40.7</v>
      </c>
      <c r="E10643" s="538" t="n">
        <v>40.19</v>
      </c>
    </row>
    <row r="10644">
      <c r="A10644" s="544" t="n">
        <v>44110</v>
      </c>
      <c r="B10644" s="538" t="n">
        <v>41.27</v>
      </c>
      <c r="C10644" s="538" t="n">
        <v>40.52</v>
      </c>
      <c r="D10644" s="538" t="n">
        <v>41.07</v>
      </c>
      <c r="E10644" s="538" t="n">
        <v>42.35</v>
      </c>
    </row>
    <row r="10645">
      <c r="A10645" s="544" t="n">
        <v>44111</v>
      </c>
      <c r="B10645" s="538" t="n">
        <v>40.62</v>
      </c>
      <c r="C10645" s="538" t="n">
        <v>39.82</v>
      </c>
      <c r="D10645" s="538" t="n">
        <v>41.33</v>
      </c>
      <c r="E10645" s="538" t="n">
        <v>42.81</v>
      </c>
    </row>
    <row r="10646">
      <c r="A10646" s="544" t="n">
        <v>44112</v>
      </c>
      <c r="B10646" s="538" t="n">
        <v>42</v>
      </c>
      <c r="C10646" s="538" t="n">
        <v>41.04</v>
      </c>
      <c r="D10646" s="538" t="n">
        <v>42.32</v>
      </c>
      <c r="E10646" s="538" t="n">
        <v>42.6</v>
      </c>
    </row>
    <row r="10647">
      <c r="A10647" s="544" t="n">
        <v>44113</v>
      </c>
      <c r="B10647" s="538" t="n">
        <v>41.63</v>
      </c>
      <c r="C10647" s="538" t="n">
        <v>40.44</v>
      </c>
      <c r="D10647" s="538" t="n">
        <v>42.08</v>
      </c>
      <c r="E10647" s="538" t="n">
        <v>43.17</v>
      </c>
    </row>
    <row r="10648">
      <c r="A10648" s="544" t="n">
        <v>44116</v>
      </c>
      <c r="B10648" s="538" t="n">
        <v>40.5</v>
      </c>
      <c r="C10648" s="538" t="n">
        <v>39.22</v>
      </c>
      <c r="D10648" s="538" t="n">
        <v>41.02</v>
      </c>
      <c r="E10648" s="538" t="n">
        <v>42.34</v>
      </c>
    </row>
    <row r="10649">
      <c r="A10649" s="544" t="n">
        <v>44117</v>
      </c>
      <c r="B10649" s="538" t="n">
        <v>41.34</v>
      </c>
      <c r="C10649" s="538" t="n">
        <v>40.03</v>
      </c>
      <c r="D10649" s="538" t="n">
        <v>41.54</v>
      </c>
      <c r="E10649" s="538" t="n">
        <v>42.31</v>
      </c>
    </row>
    <row r="10650">
      <c r="A10650" s="544" t="n">
        <v>44118</v>
      </c>
      <c r="B10650" s="538" t="n">
        <v>41.81</v>
      </c>
      <c r="C10650" s="538" t="n">
        <v>40.86</v>
      </c>
      <c r="D10650" s="538" t="n">
        <v>42.48</v>
      </c>
      <c r="E10650" s="538" t="n">
        <v>42.59</v>
      </c>
    </row>
    <row r="10651">
      <c r="A10651" s="544" t="n">
        <v>44119</v>
      </c>
      <c r="B10651" s="538" t="n">
        <v>41.61</v>
      </c>
      <c r="C10651" s="538" t="n">
        <v>40.84</v>
      </c>
      <c r="D10651" s="538" t="n">
        <v>42.16</v>
      </c>
      <c r="E10651" s="538" t="n">
        <v>43.18</v>
      </c>
    </row>
    <row r="10652">
      <c r="A10652" s="544" t="n">
        <v>44120</v>
      </c>
      <c r="B10652" s="538" t="n">
        <v>41.34</v>
      </c>
      <c r="C10652" s="538" t="n">
        <v>40.7</v>
      </c>
      <c r="D10652" s="538" t="n">
        <v>42.05</v>
      </c>
      <c r="E10652" s="538" t="n">
        <v>43.01</v>
      </c>
    </row>
    <row r="10653">
      <c r="A10653" s="544" t="n">
        <v>44123</v>
      </c>
      <c r="B10653" s="538" t="n">
        <v>41.29</v>
      </c>
      <c r="C10653" s="538" t="n">
        <v>40.69</v>
      </c>
      <c r="D10653" s="538" t="n">
        <v>41.51</v>
      </c>
      <c r="E10653" s="538" t="n">
        <v>42.31</v>
      </c>
    </row>
    <row r="10654">
      <c r="A10654" s="544" t="n">
        <v>44124</v>
      </c>
      <c r="B10654" s="538" t="n">
        <v>41.62</v>
      </c>
      <c r="C10654" s="538" t="n">
        <v>41.37</v>
      </c>
      <c r="D10654" s="538" t="n">
        <v>42.1</v>
      </c>
      <c r="E10654" s="538" t="n">
        <v>41.73</v>
      </c>
    </row>
    <row r="10655">
      <c r="A10655" s="544" t="n">
        <v>44125</v>
      </c>
      <c r="B10655" s="538" t="n">
        <v>40.09</v>
      </c>
      <c r="C10655" s="538" t="n">
        <v>39.88</v>
      </c>
      <c r="D10655" s="538" t="n">
        <v>40.67</v>
      </c>
      <c r="E10655" s="538" t="n">
        <v>41.98</v>
      </c>
    </row>
    <row r="10656">
      <c r="A10656" s="544" t="n">
        <v>44126</v>
      </c>
      <c r="B10656" s="538" t="n">
        <v>41.28</v>
      </c>
      <c r="C10656" s="538" t="n">
        <v>40.46</v>
      </c>
      <c r="D10656" s="538" t="n">
        <v>41.72</v>
      </c>
      <c r="E10656" s="538" t="n">
        <v>41.87</v>
      </c>
    </row>
    <row r="10657">
      <c r="A10657" s="544" t="n">
        <v>44127</v>
      </c>
      <c r="B10657" s="538" t="n">
        <v>40.71</v>
      </c>
      <c r="C10657" s="538" t="n">
        <v>39.73</v>
      </c>
      <c r="D10657" s="538" t="n">
        <v>41.03</v>
      </c>
      <c r="E10657" s="538" t="n">
        <v>42.49</v>
      </c>
    </row>
    <row r="10658">
      <c r="A10658" s="544" t="n">
        <v>44130</v>
      </c>
      <c r="B10658" s="538" t="n">
        <v>39.06</v>
      </c>
      <c r="C10658" s="538" t="n">
        <v>38.39</v>
      </c>
      <c r="D10658" s="538" t="n">
        <v>40.02</v>
      </c>
      <c r="E10658" s="538" t="n">
        <v>40.66</v>
      </c>
    </row>
    <row r="10659">
      <c r="A10659" s="544" t="n">
        <v>44131</v>
      </c>
      <c r="B10659" s="538" t="n">
        <v>39.72</v>
      </c>
      <c r="C10659" s="538" t="n">
        <v>39.34</v>
      </c>
      <c r="D10659" s="538" t="n">
        <v>39.67</v>
      </c>
      <c r="E10659" s="538" t="n">
        <v>40.91</v>
      </c>
    </row>
    <row r="10660">
      <c r="A10660" s="544" t="n">
        <v>44132</v>
      </c>
      <c r="B10660" s="538" t="n">
        <v>37.86</v>
      </c>
      <c r="C10660" s="538" t="n">
        <v>37.27</v>
      </c>
      <c r="D10660" s="538" t="n">
        <v>38.72</v>
      </c>
      <c r="E10660" s="538" t="n">
        <v>40.15</v>
      </c>
    </row>
    <row r="10661">
      <c r="A10661" s="544" t="n">
        <v>44133</v>
      </c>
      <c r="B10661" s="538" t="n">
        <v>36.56</v>
      </c>
      <c r="C10661" s="538" t="n">
        <v>35.94</v>
      </c>
      <c r="D10661" s="538" t="n">
        <v>37.75</v>
      </c>
      <c r="E10661" s="538" t="n">
        <v>39.78</v>
      </c>
    </row>
    <row r="10662">
      <c r="A10662" s="544" t="n">
        <v>44134</v>
      </c>
      <c r="B10662" s="538" t="n">
        <v>36.33</v>
      </c>
      <c r="C10662" s="538" t="n">
        <v>35.64</v>
      </c>
      <c r="D10662" s="538" t="n">
        <v>37.45</v>
      </c>
      <c r="E10662" s="538" t="n">
        <v>39.18</v>
      </c>
    </row>
    <row r="10663">
      <c r="A10663" s="544" t="n">
        <v>44137</v>
      </c>
      <c r="B10663" s="538" t="n">
        <v>37.78</v>
      </c>
      <c r="C10663" s="538" t="n">
        <v>36.6</v>
      </c>
      <c r="D10663" s="538" t="n">
        <v>38.37</v>
      </c>
      <c r="E10663" s="538" t="n">
        <v>37.29</v>
      </c>
    </row>
    <row r="10664">
      <c r="A10664" s="544" t="n">
        <v>44138</v>
      </c>
      <c r="B10664" s="538" t="n">
        <v>38.17</v>
      </c>
      <c r="C10664" s="538" t="n">
        <v>37.44</v>
      </c>
      <c r="D10664" s="538" t="n">
        <v>39.55</v>
      </c>
      <c r="E10664" s="538" t="n">
        <v>40.8</v>
      </c>
    </row>
    <row r="10665">
      <c r="A10665" s="544" t="n">
        <v>44139</v>
      </c>
      <c r="B10665" s="538" t="n">
        <v>39.68</v>
      </c>
      <c r="C10665" s="538" t="n">
        <v>38.97</v>
      </c>
      <c r="D10665" s="538" t="n">
        <v>40</v>
      </c>
      <c r="E10665" s="538" t="n">
        <v>41.49</v>
      </c>
    </row>
    <row r="10666">
      <c r="A10666" s="544" t="n">
        <v>44140</v>
      </c>
      <c r="B10666" s="538" t="n">
        <v>39.47</v>
      </c>
      <c r="C10666" s="538" t="n">
        <v>38.56</v>
      </c>
      <c r="D10666" s="538" t="n">
        <v>39.65</v>
      </c>
      <c r="E10666" s="538" t="n">
        <v>42.91</v>
      </c>
    </row>
    <row r="10667">
      <c r="A10667" s="544" t="n">
        <v>44141</v>
      </c>
      <c r="B10667" s="538" t="n">
        <v>38.08</v>
      </c>
      <c r="C10667" s="538" t="n">
        <v>36.97</v>
      </c>
      <c r="D10667" s="538" t="n">
        <v>38.98</v>
      </c>
      <c r="E10667" s="538" t="n">
        <v>42.56</v>
      </c>
    </row>
    <row r="10668">
      <c r="A10668" s="544" t="n">
        <v>44144</v>
      </c>
      <c r="B10668" s="538" t="n">
        <v>40.93</v>
      </c>
      <c r="C10668" s="538" t="n">
        <v>40.05</v>
      </c>
      <c r="D10668" s="538" t="n">
        <v>41.29</v>
      </c>
      <c r="E10668" s="538" t="n">
        <v>42.7</v>
      </c>
    </row>
    <row r="10669">
      <c r="A10669" s="544" t="n">
        <v>44145</v>
      </c>
      <c r="B10669" s="538" t="n">
        <v>42.25</v>
      </c>
      <c r="C10669" s="538" t="n">
        <v>41.18</v>
      </c>
      <c r="D10669" s="538" t="n">
        <v>43.41</v>
      </c>
      <c r="E10669" s="538" t="n">
        <v>45.64</v>
      </c>
    </row>
    <row r="10670">
      <c r="A10670" s="544" t="n">
        <v>44146</v>
      </c>
      <c r="B10670" s="538" t="n">
        <v>42.5</v>
      </c>
      <c r="C10670" s="538" t="n">
        <v>41.23</v>
      </c>
      <c r="D10670" s="538" t="n">
        <v>43.66</v>
      </c>
      <c r="E10670" s="538" t="n">
        <v>47.38</v>
      </c>
    </row>
    <row r="10671">
      <c r="A10671" s="544" t="n">
        <v>44147</v>
      </c>
      <c r="B10671" s="538" t="n">
        <v>42.16</v>
      </c>
      <c r="C10671" s="538" t="n">
        <v>40.9</v>
      </c>
      <c r="D10671" s="538" t="n">
        <v>42.21</v>
      </c>
      <c r="E10671" s="538" t="n">
        <v>46.05</v>
      </c>
    </row>
    <row r="10672">
      <c r="A10672" s="544" t="n">
        <v>44148</v>
      </c>
      <c r="B10672" s="538" t="n">
        <v>41.51</v>
      </c>
      <c r="C10672" s="538" t="n">
        <v>39.93</v>
      </c>
      <c r="D10672" s="538" t="n">
        <v>42.28</v>
      </c>
      <c r="E10672" s="538" t="n">
        <v>44.75</v>
      </c>
    </row>
    <row r="10673">
      <c r="A10673" s="544" t="n">
        <v>44151</v>
      </c>
      <c r="B10673" s="538" t="n">
        <v>42.71</v>
      </c>
      <c r="C10673" s="538" t="n">
        <v>41.14</v>
      </c>
      <c r="D10673" s="538" t="n">
        <v>43.58</v>
      </c>
      <c r="E10673" s="538" t="n">
        <v>45.3</v>
      </c>
    </row>
    <row r="10674">
      <c r="A10674" s="544" t="n">
        <v>44152</v>
      </c>
      <c r="B10674" s="538" t="n">
        <v>42.54</v>
      </c>
      <c r="C10674" s="538" t="n">
        <v>41.24</v>
      </c>
      <c r="D10674" s="538" t="n">
        <v>43.12</v>
      </c>
      <c r="E10674" s="538" t="n">
        <v>45.64</v>
      </c>
    </row>
    <row r="10675">
      <c r="A10675" s="544" t="n">
        <v>44153</v>
      </c>
      <c r="B10675" s="538" t="n">
        <v>42.91</v>
      </c>
      <c r="C10675" s="538" t="n">
        <v>41.64</v>
      </c>
      <c r="D10675" s="538" t="n">
        <v>43.68</v>
      </c>
      <c r="E10675" s="538" t="n">
        <v>45.98</v>
      </c>
    </row>
    <row r="10676">
      <c r="A10676" s="544" t="n">
        <v>44154</v>
      </c>
      <c r="B10676" s="538" t="n">
        <v>43.09</v>
      </c>
      <c r="C10676" s="538" t="n">
        <v>41.57</v>
      </c>
      <c r="D10676" s="538" t="n">
        <v>43.77</v>
      </c>
      <c r="E10676" s="538" t="n">
        <v>46.33</v>
      </c>
    </row>
    <row r="10677">
      <c r="A10677" s="544" t="n">
        <v>44155</v>
      </c>
      <c r="B10677" s="538" t="n">
        <v>43.79</v>
      </c>
      <c r="C10677" s="538" t="n">
        <v>41.99</v>
      </c>
      <c r="D10677" s="538" t="n">
        <v>44.57</v>
      </c>
      <c r="E10677" s="538" t="n">
        <v>46.56</v>
      </c>
    </row>
    <row r="10678">
      <c r="A10678" s="544" t="n">
        <v>44158</v>
      </c>
      <c r="B10678" s="538" t="n">
        <v>45</v>
      </c>
      <c r="C10678" s="538" t="n">
        <v>42.91</v>
      </c>
      <c r="D10678" s="538" t="n">
        <v>45.67</v>
      </c>
      <c r="E10678" s="538" t="n">
        <v>47.83</v>
      </c>
    </row>
    <row r="10679">
      <c r="A10679" s="544" t="n">
        <v>44159</v>
      </c>
      <c r="B10679" s="538" t="n">
        <v>46.63</v>
      </c>
      <c r="C10679" s="538" t="n">
        <v>44.71</v>
      </c>
      <c r="D10679" s="538" t="n">
        <v>47.65</v>
      </c>
      <c r="E10679" s="538" t="n">
        <v>48.67</v>
      </c>
    </row>
    <row r="10680">
      <c r="A10680" s="544" t="n">
        <v>44160</v>
      </c>
      <c r="B10680" s="538" t="n">
        <v>47.3</v>
      </c>
      <c r="C10680" s="538" t="n">
        <v>45.58</v>
      </c>
      <c r="D10680" s="538" t="n">
        <v>48.4</v>
      </c>
      <c r="E10680" s="538" t="n">
        <v>50.36</v>
      </c>
    </row>
    <row r="10681">
      <c r="A10681" s="544" t="n">
        <v>44161</v>
      </c>
      <c r="B10681" s="538" t="n">
        <v>46.32</v>
      </c>
      <c r="C10681" s="538" t="n">
        <v>45.58</v>
      </c>
      <c r="D10681" s="538" t="n">
        <v>47.38</v>
      </c>
      <c r="E10681" s="538" t="n">
        <v>50.33</v>
      </c>
    </row>
    <row r="10682">
      <c r="A10682" s="544" t="n">
        <v>44162</v>
      </c>
      <c r="B10682" s="538" t="n">
        <v>46.88</v>
      </c>
      <c r="C10682" s="538" t="n">
        <v>45.58</v>
      </c>
      <c r="D10682" s="538" t="n">
        <v>47.81</v>
      </c>
      <c r="E10682" s="538" t="n">
        <v>50.15</v>
      </c>
    </row>
    <row r="10683">
      <c r="A10683" s="544" t="n">
        <v>44165</v>
      </c>
      <c r="B10683" s="538" t="n">
        <v>46.84</v>
      </c>
      <c r="C10683" s="538" t="n">
        <v>45.2</v>
      </c>
      <c r="D10683" s="538" t="n">
        <v>46.79</v>
      </c>
      <c r="E10683" s="538" t="n">
        <v>50.23</v>
      </c>
    </row>
    <row r="10684">
      <c r="A10684" s="544" t="n">
        <v>44166</v>
      </c>
      <c r="B10684" s="538" t="n">
        <v>47.03</v>
      </c>
      <c r="C10684" s="538" t="n">
        <v>44.54</v>
      </c>
      <c r="D10684" s="538" t="n">
        <v>46.17</v>
      </c>
      <c r="E10684" s="538" t="n">
        <v>50.89</v>
      </c>
    </row>
    <row r="10685">
      <c r="A10685" s="544" t="n">
        <v>44167</v>
      </c>
      <c r="B10685" s="538" t="n">
        <v>47.8</v>
      </c>
      <c r="C10685" s="538" t="n">
        <v>45.23</v>
      </c>
      <c r="D10685" s="538" t="n">
        <v>47.38</v>
      </c>
      <c r="E10685" s="538" t="n">
        <v>50.17</v>
      </c>
    </row>
    <row r="10686">
      <c r="A10686" s="544" t="n">
        <v>44168</v>
      </c>
      <c r="B10686" s="538" t="n">
        <v>48.37</v>
      </c>
      <c r="C10686" s="538" t="n">
        <v>45.65</v>
      </c>
      <c r="D10686" s="538" t="n">
        <v>48.62</v>
      </c>
      <c r="E10686" s="538" t="n">
        <v>51.38</v>
      </c>
    </row>
    <row r="10687">
      <c r="A10687" s="544" t="n">
        <v>44169</v>
      </c>
      <c r="B10687" s="538" t="n">
        <v>49.1</v>
      </c>
      <c r="C10687" s="538" t="n">
        <v>46.23</v>
      </c>
      <c r="D10687" s="538" t="n">
        <v>48.42</v>
      </c>
      <c r="E10687" s="538" t="n">
        <v>52.96</v>
      </c>
    </row>
    <row r="10688">
      <c r="A10688" s="544" t="n">
        <v>44172</v>
      </c>
      <c r="B10688" s="538" t="n">
        <v>48.63</v>
      </c>
      <c r="C10688" s="538" t="n">
        <v>45.72</v>
      </c>
      <c r="D10688" s="538" t="n">
        <v>47.6</v>
      </c>
      <c r="E10688" s="538" t="n">
        <v>52.08</v>
      </c>
    </row>
    <row r="10689">
      <c r="A10689" s="544" t="n">
        <v>44173</v>
      </c>
      <c r="B10689" s="538" t="n">
        <v>48.84</v>
      </c>
      <c r="C10689" s="538" t="n">
        <v>45.64</v>
      </c>
      <c r="D10689" s="538" t="n">
        <v>47.91</v>
      </c>
      <c r="E10689" s="538" t="n">
        <v>52.63</v>
      </c>
    </row>
    <row r="10690">
      <c r="A10690" s="544" t="n">
        <v>44174</v>
      </c>
      <c r="B10690" s="538" t="n">
        <v>48.81</v>
      </c>
      <c r="C10690" s="538" t="n">
        <v>45.48</v>
      </c>
      <c r="D10690" s="538" t="n">
        <v>48.42</v>
      </c>
      <c r="E10690" s="538" t="n">
        <v>53.15</v>
      </c>
    </row>
    <row r="10691">
      <c r="A10691" s="544" t="n">
        <v>44175</v>
      </c>
      <c r="B10691" s="538" t="n">
        <v>50.33</v>
      </c>
      <c r="C10691" s="538" t="n">
        <v>46.76</v>
      </c>
      <c r="D10691" s="538" t="n">
        <v>49.75</v>
      </c>
      <c r="E10691" s="538" t="n">
        <v>52.22</v>
      </c>
    </row>
    <row r="10692">
      <c r="A10692" s="544" t="n">
        <v>44176</v>
      </c>
      <c r="B10692" s="538" t="n">
        <v>50.01</v>
      </c>
      <c r="C10692" s="538" t="n">
        <v>46.59</v>
      </c>
      <c r="D10692" s="538" t="n">
        <v>49.31</v>
      </c>
      <c r="E10692" s="538" t="n">
        <v>53.76</v>
      </c>
    </row>
    <row r="10693">
      <c r="A10693" s="544" t="n">
        <v>44179</v>
      </c>
      <c r="B10693" s="538" t="n">
        <v>50.27</v>
      </c>
      <c r="C10693" s="538" t="n">
        <v>47.02</v>
      </c>
      <c r="D10693" s="538" t="n">
        <v>49.63</v>
      </c>
      <c r="E10693" s="538" t="n">
        <v>54.4</v>
      </c>
    </row>
    <row r="10694">
      <c r="A10694" s="544" t="n">
        <v>44180</v>
      </c>
      <c r="B10694" s="538" t="n">
        <v>50.77</v>
      </c>
      <c r="C10694" s="538" t="n">
        <v>47.58</v>
      </c>
      <c r="D10694" s="538" t="n">
        <v>50.59</v>
      </c>
      <c r="E10694" s="538" t="n">
        <v>54.3</v>
      </c>
    </row>
    <row r="10695">
      <c r="A10695" s="544" t="n">
        <v>44181</v>
      </c>
      <c r="B10695" s="538" t="n">
        <v>50.83</v>
      </c>
      <c r="C10695" s="538" t="n">
        <v>47.86</v>
      </c>
      <c r="D10695" s="538" t="n">
        <v>51.27</v>
      </c>
      <c r="E10695" s="538" t="n">
        <v>54.93</v>
      </c>
    </row>
    <row r="10696">
      <c r="A10696" s="544" t="n">
        <v>44182</v>
      </c>
      <c r="B10696" s="538" t="n">
        <v>51.2</v>
      </c>
      <c r="C10696" s="538" t="n">
        <v>48.34</v>
      </c>
      <c r="D10696" s="538" t="n">
        <v>50.77</v>
      </c>
      <c r="E10696" s="538" t="n">
        <v>55.98</v>
      </c>
    </row>
    <row r="10697">
      <c r="A10697" s="544" t="n">
        <v>44183</v>
      </c>
      <c r="B10697" s="538" t="n">
        <v>52.17</v>
      </c>
      <c r="C10697" s="538" t="n">
        <v>49.04</v>
      </c>
      <c r="D10697" s="538" t="n">
        <v>51.68</v>
      </c>
      <c r="E10697" s="538" t="n">
        <v>55.9</v>
      </c>
    </row>
    <row r="10698">
      <c r="A10698" s="544" t="n">
        <v>44186</v>
      </c>
      <c r="B10698" s="538" t="n">
        <v>50.61</v>
      </c>
      <c r="C10698" s="538" t="n">
        <v>47.79</v>
      </c>
      <c r="D10698" s="538" t="n">
        <v>50.2</v>
      </c>
      <c r="E10698" s="538" t="n">
        <v>54.43</v>
      </c>
    </row>
    <row r="10699">
      <c r="A10699" s="544" t="n">
        <v>44187</v>
      </c>
      <c r="B10699" s="538" t="n">
        <v>49.88</v>
      </c>
      <c r="C10699" s="538" t="n">
        <v>47.02</v>
      </c>
      <c r="D10699" s="538" t="n">
        <v>48.82</v>
      </c>
      <c r="E10699" s="538" t="n">
        <v>53.73</v>
      </c>
    </row>
    <row r="10700">
      <c r="A10700" s="544" t="n">
        <v>44188</v>
      </c>
      <c r="B10700" s="538" t="n">
        <v>51.05</v>
      </c>
      <c r="C10700" s="538" t="n">
        <v>47.94</v>
      </c>
      <c r="D10700" s="538" t="n">
        <v>50.89</v>
      </c>
      <c r="E10700" s="538" t="n">
        <v>53.82</v>
      </c>
    </row>
    <row r="10701">
      <c r="A10701" s="544" t="n">
        <v>44189</v>
      </c>
      <c r="B10701" s="538" t="n">
        <v>50.88</v>
      </c>
      <c r="C10701" s="538" t="n">
        <v>48.18</v>
      </c>
      <c r="D10701" s="538" t="n">
        <v>50.76</v>
      </c>
      <c r="E10701" s="538" t="n">
        <v>55.79</v>
      </c>
    </row>
    <row r="10702">
      <c r="A10702" s="544" t="n">
        <v>44190</v>
      </c>
      <c r="B10702" s="538" t="n">
        <v>50.88</v>
      </c>
      <c r="C10702" s="538" t="n">
        <v>48.18</v>
      </c>
      <c r="D10702" s="538" t="n">
        <v>50.76</v>
      </c>
      <c r="E10702" s="538" t="n">
        <v>55.79</v>
      </c>
    </row>
    <row r="10703">
      <c r="A10703" s="544" t="n">
        <v>44193</v>
      </c>
      <c r="B10703" s="538" t="n">
        <v>50.88</v>
      </c>
      <c r="C10703" s="538" t="n">
        <v>47.5</v>
      </c>
      <c r="D10703" s="538" t="n">
        <v>50.56</v>
      </c>
      <c r="E10703" s="538" t="n">
        <v>55.5</v>
      </c>
    </row>
    <row r="10704">
      <c r="A10704" s="544" t="n">
        <v>44194</v>
      </c>
      <c r="B10704" s="538" t="n">
        <v>50.44</v>
      </c>
      <c r="C10704" s="538" t="n">
        <v>47.85</v>
      </c>
      <c r="D10704" s="538" t="n">
        <v>50.71</v>
      </c>
      <c r="E10704" s="538" t="n">
        <v>55.66</v>
      </c>
    </row>
    <row r="10705">
      <c r="A10705" s="544" t="n">
        <v>44195</v>
      </c>
      <c r="B10705" s="538" t="n">
        <v>50.74</v>
      </c>
      <c r="C10705" s="538" t="n">
        <v>48.24</v>
      </c>
      <c r="D10705" s="538" t="n">
        <v>50.67</v>
      </c>
      <c r="E10705" s="538" t="n">
        <v>55.46</v>
      </c>
    </row>
    <row r="10706">
      <c r="A10706" s="544" t="n">
        <v>44196</v>
      </c>
      <c r="B10706" s="538" t="n">
        <v>51.22</v>
      </c>
      <c r="C10706" s="538" t="n">
        <v>48.35</v>
      </c>
      <c r="D10706" s="538" t="n">
        <v>51.18</v>
      </c>
      <c r="E10706" s="538" t="n">
        <v>55.38</v>
      </c>
    </row>
    <row r="10707">
      <c r="A10707" s="544" t="n">
        <v>44197</v>
      </c>
      <c r="B10707" s="538" t="n">
        <v>51.22</v>
      </c>
      <c r="C10707" s="538" t="n">
        <v>48.35</v>
      </c>
      <c r="D10707" s="538" t="n">
        <v>51.18</v>
      </c>
      <c r="E10707" s="538" t="n">
        <v>55.38</v>
      </c>
    </row>
    <row r="10708">
      <c r="A10708" s="544" t="n">
        <v>44200</v>
      </c>
      <c r="B10708" s="538" t="n">
        <v>50.37</v>
      </c>
      <c r="C10708" s="538" t="n">
        <v>47.47</v>
      </c>
      <c r="D10708" s="538" t="n">
        <v>50.72</v>
      </c>
      <c r="E10708" s="538" t="n">
        <v>56.75</v>
      </c>
    </row>
    <row r="10709">
      <c r="A10709" s="544" t="n">
        <v>44201</v>
      </c>
      <c r="B10709" s="538" t="n">
        <v>53.16</v>
      </c>
      <c r="C10709" s="538" t="n">
        <v>49.78</v>
      </c>
      <c r="D10709" s="538" t="n">
        <v>53.26</v>
      </c>
      <c r="E10709" s="538" t="n">
        <v>54.11</v>
      </c>
    </row>
    <row r="10710">
      <c r="A10710" s="544" t="n">
        <v>44202</v>
      </c>
      <c r="B10710" s="538" t="n">
        <v>53.8</v>
      </c>
      <c r="C10710" s="538" t="n">
        <v>50.45</v>
      </c>
      <c r="D10710" s="538" t="n">
        <v>54.23</v>
      </c>
      <c r="E10710" s="538" t="n">
        <v>56.46</v>
      </c>
    </row>
    <row r="10711">
      <c r="A10711" s="544" t="n">
        <v>44203</v>
      </c>
      <c r="B10711" s="538" t="n">
        <v>53.7</v>
      </c>
      <c r="C10711" s="538" t="n">
        <v>50.63</v>
      </c>
      <c r="D10711" s="538" t="n">
        <v>54.54</v>
      </c>
      <c r="E10711" s="538" t="n">
        <v>56.87</v>
      </c>
    </row>
    <row r="10712">
      <c r="A10712" s="544" t="n">
        <v>44204</v>
      </c>
      <c r="B10712" s="538" t="n">
        <v>55.51</v>
      </c>
      <c r="C10712" s="538" t="n">
        <v>52.14</v>
      </c>
      <c r="D10712" s="538" t="n">
        <v>55.51</v>
      </c>
      <c r="E10712" s="538" t="n">
        <v>58.13</v>
      </c>
    </row>
    <row r="10713">
      <c r="A10713" s="544" t="n">
        <v>44207</v>
      </c>
      <c r="B10713" s="538" t="n">
        <v>54.84</v>
      </c>
      <c r="C10713" s="538" t="n">
        <v>52.15</v>
      </c>
      <c r="D10713" s="538" t="n">
        <v>55.32</v>
      </c>
      <c r="E10713" s="538" t="n">
        <v>57.93</v>
      </c>
    </row>
    <row r="10714">
      <c r="A10714" s="544" t="n">
        <v>44208</v>
      </c>
      <c r="B10714" s="538" t="n">
        <v>55.98</v>
      </c>
      <c r="C10714" s="538" t="n">
        <v>53.08</v>
      </c>
      <c r="D10714" s="538" t="n">
        <v>56.64</v>
      </c>
      <c r="E10714" s="538" t="n">
        <v>59.01</v>
      </c>
    </row>
    <row r="10715">
      <c r="A10715" s="544" t="n">
        <v>44209</v>
      </c>
      <c r="B10715" s="538" t="n">
        <v>55.52</v>
      </c>
      <c r="C10715" s="538" t="n">
        <v>52.81</v>
      </c>
      <c r="D10715" s="538" t="n">
        <v>55.43</v>
      </c>
      <c r="E10715" s="538" t="n">
        <v>59.76</v>
      </c>
    </row>
    <row r="10716">
      <c r="A10716" s="544" t="n">
        <v>44210</v>
      </c>
      <c r="B10716" s="538" t="n">
        <v>55.76</v>
      </c>
      <c r="C10716" s="538" t="n">
        <v>53.47</v>
      </c>
      <c r="D10716" s="538" t="n">
        <v>55.75</v>
      </c>
      <c r="E10716" s="538" t="n">
        <v>59.18</v>
      </c>
    </row>
    <row r="10717">
      <c r="A10717" s="544" t="n">
        <v>44211</v>
      </c>
      <c r="B10717" s="538" t="n">
        <v>54.8</v>
      </c>
      <c r="C10717" s="538" t="n">
        <v>52.25</v>
      </c>
      <c r="D10717" s="538" t="n">
        <v>54.64</v>
      </c>
      <c r="E10717" s="538" t="n">
        <v>59</v>
      </c>
    </row>
    <row r="10718">
      <c r="A10718" s="544" t="n">
        <v>44214</v>
      </c>
      <c r="B10718" s="538" t="n">
        <v>54.21</v>
      </c>
      <c r="C10718" s="538" t="n">
        <v>52.25</v>
      </c>
      <c r="D10718" s="538" t="n">
        <v>54.47</v>
      </c>
      <c r="E10718" s="538" t="n">
        <v>58.33</v>
      </c>
    </row>
    <row r="10719">
      <c r="A10719" s="544" t="n">
        <v>44215</v>
      </c>
      <c r="B10719" s="538" t="n">
        <v>55.38</v>
      </c>
      <c r="C10719" s="538" t="n">
        <v>52.87</v>
      </c>
      <c r="D10719" s="538" t="n">
        <v>56.03</v>
      </c>
      <c r="E10719" s="538" t="n">
        <v>58.9</v>
      </c>
    </row>
    <row r="10720">
      <c r="A10720" s="544" t="n">
        <v>44216</v>
      </c>
      <c r="B10720" s="538" t="n">
        <v>55.66</v>
      </c>
      <c r="C10720" s="538" t="n">
        <v>53.16</v>
      </c>
      <c r="D10720" s="538" t="n">
        <v>55.41</v>
      </c>
      <c r="E10720" s="538" t="n">
        <v>59.83</v>
      </c>
    </row>
    <row r="10721">
      <c r="A10721" s="544" t="n">
        <v>44217</v>
      </c>
      <c r="B10721" s="538" t="n">
        <v>55.68</v>
      </c>
      <c r="C10721" s="538" t="n">
        <v>53</v>
      </c>
      <c r="D10721" s="538" t="n">
        <v>55.14</v>
      </c>
      <c r="E10721" s="538" t="n">
        <v>58.95</v>
      </c>
    </row>
    <row r="10722">
      <c r="A10722" s="544" t="n">
        <v>44218</v>
      </c>
      <c r="B10722" s="538" t="n">
        <v>55.22</v>
      </c>
      <c r="C10722" s="538" t="n">
        <v>52.28</v>
      </c>
      <c r="D10722" s="538" t="n">
        <v>55.1</v>
      </c>
      <c r="E10722" s="538" t="n">
        <v>57.86</v>
      </c>
    </row>
    <row r="10723">
      <c r="A10723" s="544" t="n">
        <v>44221</v>
      </c>
      <c r="B10723" s="538" t="n">
        <v>55.44</v>
      </c>
      <c r="C10723" s="538" t="n">
        <v>52.78</v>
      </c>
      <c r="D10723" s="538" t="n">
        <v>55.19</v>
      </c>
      <c r="E10723" s="538" t="n">
        <v>58.08</v>
      </c>
    </row>
    <row r="10724">
      <c r="A10724" s="544" t="n">
        <v>44222</v>
      </c>
      <c r="B10724" s="538" t="n">
        <v>55.26</v>
      </c>
      <c r="C10724" s="538" t="n">
        <v>52.61</v>
      </c>
      <c r="D10724" s="538" t="n">
        <v>55.44</v>
      </c>
      <c r="E10724" s="538" t="n">
        <v>57.96</v>
      </c>
    </row>
    <row r="10725">
      <c r="A10725" s="544" t="n">
        <v>44223</v>
      </c>
      <c r="B10725" s="538" t="n">
        <v>55.07</v>
      </c>
      <c r="C10725" s="538" t="n">
        <v>52.81</v>
      </c>
      <c r="D10725" s="538" t="n">
        <v>55.07</v>
      </c>
      <c r="E10725" s="538" t="n">
        <v>58.4</v>
      </c>
    </row>
    <row r="10726">
      <c r="A10726" s="544" t="n">
        <v>44224</v>
      </c>
      <c r="B10726" s="538" t="n">
        <v>54.87</v>
      </c>
      <c r="C10726" s="538" t="n">
        <v>52.26</v>
      </c>
      <c r="D10726" s="538" t="n">
        <v>54.77</v>
      </c>
      <c r="E10726" s="538" t="n">
        <v>58.06</v>
      </c>
    </row>
    <row r="10727">
      <c r="A10727" s="544" t="n">
        <v>44225</v>
      </c>
      <c r="B10727" s="538" t="n">
        <v>55.25</v>
      </c>
      <c r="C10727" s="538" t="n">
        <v>52.16</v>
      </c>
      <c r="D10727" s="538" t="n">
        <v>54.76</v>
      </c>
      <c r="E10727" s="538" t="n">
        <v>57.87</v>
      </c>
    </row>
    <row r="10728">
      <c r="A10728" s="544" t="n">
        <v>44228</v>
      </c>
      <c r="B10728" s="538" t="n">
        <v>56.42</v>
      </c>
      <c r="C10728" s="538" t="n">
        <v>53.55</v>
      </c>
      <c r="D10728" s="538" t="n">
        <v>56.52</v>
      </c>
      <c r="E10728" s="538" t="n">
        <v>58.59</v>
      </c>
    </row>
    <row r="10729">
      <c r="A10729" s="544" t="n">
        <v>44229</v>
      </c>
      <c r="B10729" s="538" t="n">
        <v>57.62</v>
      </c>
      <c r="C10729" s="538" t="n">
        <v>54.77</v>
      </c>
      <c r="D10729" s="538" t="n">
        <v>57.33</v>
      </c>
      <c r="E10729" s="538" t="n">
        <v>60.07</v>
      </c>
    </row>
    <row r="10730">
      <c r="A10730" s="544" t="n">
        <v>44230</v>
      </c>
      <c r="B10730" s="538" t="n">
        <v>58.61</v>
      </c>
      <c r="C10730" s="538" t="n">
        <v>55.67</v>
      </c>
      <c r="D10730" s="538" t="n">
        <v>58.44</v>
      </c>
      <c r="E10730" s="538" t="n">
        <v>61.23</v>
      </c>
    </row>
    <row r="10731">
      <c r="A10731" s="544" t="n">
        <v>44231</v>
      </c>
      <c r="B10731" s="538" t="n">
        <v>58.98</v>
      </c>
      <c r="C10731" s="538" t="n">
        <v>56.19</v>
      </c>
      <c r="D10731" s="538" t="n">
        <v>58.88</v>
      </c>
      <c r="E10731" s="538" t="n">
        <v>61.81</v>
      </c>
    </row>
    <row r="10732">
      <c r="A10732" s="544" t="n">
        <v>44232</v>
      </c>
      <c r="B10732" s="538" t="n">
        <v>59.48</v>
      </c>
      <c r="C10732" s="538" t="n">
        <v>56.8</v>
      </c>
      <c r="D10732" s="538" t="n">
        <v>59.02</v>
      </c>
      <c r="E10732" s="538" t="n">
        <v>62.77</v>
      </c>
    </row>
    <row r="10733">
      <c r="A10733" s="544" t="n">
        <v>44235</v>
      </c>
      <c r="B10733" s="538" t="n">
        <v>60.17</v>
      </c>
      <c r="C10733" s="538" t="n">
        <v>57.95</v>
      </c>
      <c r="D10733" s="538" t="n">
        <v>60.82</v>
      </c>
      <c r="E10733" s="538" t="n">
        <v>63.38</v>
      </c>
    </row>
    <row r="10734">
      <c r="A10734" s="544" t="n">
        <v>44236</v>
      </c>
      <c r="B10734" s="538" t="n">
        <v>60.74</v>
      </c>
      <c r="C10734" s="538" t="n">
        <v>58.34</v>
      </c>
      <c r="D10734" s="538" t="n">
        <v>60.44</v>
      </c>
      <c r="E10734" s="538" t="n">
        <v>64.51000000000001</v>
      </c>
    </row>
    <row r="10735">
      <c r="A10735" s="544" t="n">
        <v>44237</v>
      </c>
      <c r="B10735" s="538" t="n">
        <v>61.17</v>
      </c>
      <c r="C10735" s="538" t="n">
        <v>58.69</v>
      </c>
      <c r="D10735" s="538" t="n">
        <v>60.48</v>
      </c>
      <c r="E10735" s="538" t="n">
        <v>64.51000000000001</v>
      </c>
    </row>
    <row r="10736">
      <c r="A10736" s="544" t="n">
        <v>44238</v>
      </c>
      <c r="B10736" s="538" t="n">
        <v>61.09</v>
      </c>
      <c r="C10736" s="538" t="n">
        <v>58.22</v>
      </c>
      <c r="D10736" s="538" t="n">
        <v>60.11</v>
      </c>
      <c r="E10736" s="538" t="n">
        <v>64.31999999999999</v>
      </c>
    </row>
    <row r="10737">
      <c r="A10737" s="544" t="n">
        <v>44239</v>
      </c>
      <c r="B10737" s="538" t="n">
        <v>62.47</v>
      </c>
      <c r="C10737" s="538" t="n">
        <v>59.5</v>
      </c>
      <c r="D10737" s="538" t="n">
        <v>61.96</v>
      </c>
      <c r="E10737" s="538" t="n">
        <v>64.31999999999999</v>
      </c>
    </row>
    <row r="10738">
      <c r="A10738" s="544" t="n">
        <v>44242</v>
      </c>
      <c r="B10738" s="538" t="n">
        <v>63.58</v>
      </c>
      <c r="C10738" s="538" t="n">
        <v>59.5</v>
      </c>
      <c r="D10738" s="538" t="n">
        <v>62.53</v>
      </c>
      <c r="E10738" s="538" t="n">
        <v>66.72</v>
      </c>
    </row>
    <row r="10739">
      <c r="A10739" s="544" t="n">
        <v>44243</v>
      </c>
      <c r="B10739" s="538" t="n">
        <v>63.96</v>
      </c>
      <c r="C10739" s="538" t="n">
        <v>60.07</v>
      </c>
      <c r="D10739" s="538" t="n">
        <v>62.42</v>
      </c>
      <c r="E10739" s="538" t="n">
        <v>67.08</v>
      </c>
    </row>
    <row r="10740">
      <c r="A10740" s="544" t="n">
        <v>44244</v>
      </c>
      <c r="B10740" s="538" t="n">
        <v>65.02</v>
      </c>
      <c r="C10740" s="538" t="n">
        <v>61.09</v>
      </c>
      <c r="D10740" s="538" t="n">
        <v>64.09999999999999</v>
      </c>
      <c r="E10740" s="538" t="n">
        <v>66.81</v>
      </c>
    </row>
    <row r="10741">
      <c r="A10741" s="544" t="n">
        <v>44245</v>
      </c>
      <c r="B10741" s="538" t="n">
        <v>64.09</v>
      </c>
      <c r="C10741" s="538" t="n">
        <v>60.4</v>
      </c>
      <c r="D10741" s="538" t="n">
        <v>61</v>
      </c>
      <c r="E10741" s="538" t="n">
        <v>67.86</v>
      </c>
    </row>
    <row r="10742">
      <c r="A10742" s="544" t="n">
        <v>44246</v>
      </c>
      <c r="B10742" s="538" t="n">
        <v>62.84</v>
      </c>
      <c r="C10742" s="538" t="n">
        <v>59.12</v>
      </c>
      <c r="D10742" s="538" t="n">
        <v>61.36</v>
      </c>
      <c r="E10742" s="538" t="n">
        <v>65.98999999999999</v>
      </c>
    </row>
    <row r="10743">
      <c r="A10743" s="544" t="n">
        <v>44249</v>
      </c>
      <c r="B10743" s="538" t="n">
        <v>64.73</v>
      </c>
      <c r="C10743" s="538" t="n">
        <v>61.67</v>
      </c>
      <c r="D10743" s="538" t="n">
        <v>64.39</v>
      </c>
      <c r="E10743" s="538" t="n">
        <v>66.18000000000001</v>
      </c>
    </row>
    <row r="10744">
      <c r="A10744" s="544" t="n">
        <v>44250</v>
      </c>
      <c r="B10744" s="538" t="n">
        <v>65.16</v>
      </c>
      <c r="C10744" s="538" t="n">
        <v>61.66</v>
      </c>
      <c r="D10744" s="538" t="n">
        <v>62.77</v>
      </c>
      <c r="E10744" s="538" t="n">
        <v>68.68000000000001</v>
      </c>
    </row>
    <row r="10745">
      <c r="A10745" s="544" t="n">
        <v>44251</v>
      </c>
      <c r="B10745" s="538" t="n">
        <v>66.84999999999999</v>
      </c>
      <c r="C10745" s="538" t="n">
        <v>63.21</v>
      </c>
      <c r="D10745" s="538" t="n">
        <v>65.34</v>
      </c>
      <c r="E10745" s="538" t="n">
        <v>67.87</v>
      </c>
    </row>
    <row r="10746">
      <c r="A10746" s="544" t="n">
        <v>44252</v>
      </c>
      <c r="B10746" s="538" t="n">
        <v>66.69</v>
      </c>
      <c r="C10746" s="538" t="n">
        <v>63.43</v>
      </c>
      <c r="D10746" s="538" t="n">
        <v>64.81999999999999</v>
      </c>
      <c r="E10746" s="538" t="n">
        <v>70.18000000000001</v>
      </c>
    </row>
    <row r="10747">
      <c r="A10747" s="544" t="n">
        <v>44253</v>
      </c>
      <c r="B10747" s="538" t="n">
        <v>65.86</v>
      </c>
      <c r="C10747" s="538" t="n">
        <v>61.55</v>
      </c>
      <c r="D10747" s="538" t="n">
        <v>64.64</v>
      </c>
      <c r="E10747" s="538" t="n">
        <v>68.73999999999999</v>
      </c>
    </row>
    <row r="10748">
      <c r="A10748" s="544" t="n">
        <v>44256</v>
      </c>
      <c r="B10748" s="538" t="n">
        <v>64.56</v>
      </c>
      <c r="C10748" s="538" t="n">
        <v>60.54</v>
      </c>
      <c r="D10748" s="538" t="n">
        <v>61.49</v>
      </c>
      <c r="E10748" s="538" t="n">
        <v>68.34999999999999</v>
      </c>
    </row>
    <row r="10749">
      <c r="A10749" s="544" t="n">
        <v>44257</v>
      </c>
      <c r="B10749" s="538" t="n">
        <v>63.17</v>
      </c>
      <c r="C10749" s="538" t="n">
        <v>59.7</v>
      </c>
      <c r="D10749" s="538" t="n">
        <v>61.66</v>
      </c>
      <c r="E10749" s="538" t="n">
        <v>65.31999999999999</v>
      </c>
    </row>
    <row r="10750">
      <c r="A10750" s="544" t="n">
        <v>44258</v>
      </c>
      <c r="B10750" s="538" t="n">
        <v>64.7</v>
      </c>
      <c r="C10750" s="538" t="n">
        <v>61.33</v>
      </c>
      <c r="D10750" s="538" t="n">
        <v>63.14</v>
      </c>
      <c r="E10750" s="538" t="n">
        <v>65.48999999999999</v>
      </c>
    </row>
    <row r="10751">
      <c r="A10751" s="544" t="n">
        <v>44259</v>
      </c>
      <c r="B10751" s="538" t="n">
        <v>67.31999999999999</v>
      </c>
      <c r="C10751" s="538" t="n">
        <v>63.81</v>
      </c>
      <c r="D10751" s="538" t="n">
        <v>65.90000000000001</v>
      </c>
      <c r="E10751" s="538" t="n">
        <v>66.18000000000001</v>
      </c>
    </row>
    <row r="10752">
      <c r="A10752" s="544" t="n">
        <v>44260</v>
      </c>
      <c r="B10752" s="538" t="n">
        <v>69.95</v>
      </c>
      <c r="C10752" s="538" t="n">
        <v>66.08</v>
      </c>
      <c r="D10752" s="538" t="n">
        <v>68</v>
      </c>
      <c r="E10752" s="538" t="n">
        <v>69.09999999999999</v>
      </c>
    </row>
    <row r="10753">
      <c r="A10753" s="544" t="n">
        <v>44263</v>
      </c>
      <c r="B10753" s="538" t="n">
        <v>68</v>
      </c>
      <c r="C10753" s="538" t="n">
        <v>65.03</v>
      </c>
      <c r="D10753" s="538" t="n">
        <v>67.03</v>
      </c>
      <c r="E10753" s="538" t="n">
        <v>71.16</v>
      </c>
    </row>
    <row r="10754">
      <c r="A10754" s="544" t="n">
        <v>44264</v>
      </c>
      <c r="B10754" s="538" t="n">
        <v>67.03</v>
      </c>
      <c r="C10754" s="538" t="n">
        <v>64.02</v>
      </c>
      <c r="D10754" s="538" t="n">
        <v>65.52</v>
      </c>
      <c r="E10754" s="538" t="n">
        <v>69.08</v>
      </c>
    </row>
    <row r="10755">
      <c r="A10755" s="544" t="n">
        <v>44265</v>
      </c>
      <c r="B10755" s="538" t="n">
        <v>67.53</v>
      </c>
      <c r="C10755" s="538" t="n">
        <v>64.45</v>
      </c>
      <c r="D10755" s="538" t="n">
        <v>66.72</v>
      </c>
      <c r="E10755" s="538" t="n">
        <v>68.12</v>
      </c>
    </row>
    <row r="10756">
      <c r="A10756" s="544" t="n">
        <v>44266</v>
      </c>
      <c r="B10756" s="538" t="n">
        <v>69.34</v>
      </c>
      <c r="C10756" s="538" t="n">
        <v>66.02</v>
      </c>
      <c r="D10756" s="538" t="n">
        <v>67.81999999999999</v>
      </c>
      <c r="E10756" s="538" t="n">
        <v>68.89</v>
      </c>
    </row>
    <row r="10757">
      <c r="A10757" s="544" t="n">
        <v>44267</v>
      </c>
      <c r="B10757" s="538" t="n">
        <v>68.87</v>
      </c>
      <c r="C10757" s="538" t="n">
        <v>65.59</v>
      </c>
      <c r="D10757" s="538" t="n">
        <v>67.86</v>
      </c>
      <c r="E10757" s="538" t="n">
        <v>69.73999999999999</v>
      </c>
    </row>
    <row r="10758">
      <c r="A10758" s="544" t="n">
        <v>44270</v>
      </c>
      <c r="B10758" s="538" t="n">
        <v>68.78</v>
      </c>
      <c r="C10758" s="538" t="n">
        <v>65.36</v>
      </c>
      <c r="D10758" s="538" t="n">
        <v>66.59999999999999</v>
      </c>
      <c r="E10758" s="538" t="n">
        <v>70.5</v>
      </c>
    </row>
    <row r="10759">
      <c r="A10759" s="544" t="n">
        <v>44271</v>
      </c>
      <c r="B10759" s="538" t="n">
        <v>67.95</v>
      </c>
      <c r="C10759" s="538" t="n">
        <v>64.81999999999999</v>
      </c>
      <c r="D10759" s="538" t="n">
        <v>66.69</v>
      </c>
      <c r="E10759" s="538" t="n">
        <v>68.92</v>
      </c>
    </row>
    <row r="10760">
      <c r="A10760" s="544" t="n">
        <v>44272</v>
      </c>
      <c r="B10760" s="538" t="n">
        <v>67.73</v>
      </c>
      <c r="C10760" s="538" t="n">
        <v>64.55</v>
      </c>
      <c r="D10760" s="538" t="n">
        <v>65.83</v>
      </c>
      <c r="E10760" s="538" t="n">
        <v>69.09</v>
      </c>
    </row>
    <row r="10761">
      <c r="A10761" s="544" t="n">
        <v>44273</v>
      </c>
      <c r="B10761" s="538" t="n">
        <v>62.11</v>
      </c>
      <c r="C10761" s="538" t="n">
        <v>59.95</v>
      </c>
      <c r="D10761" s="538" t="n">
        <v>61.61</v>
      </c>
      <c r="E10761" s="538" t="n">
        <v>67.58</v>
      </c>
    </row>
    <row r="10762">
      <c r="A10762" s="544" t="n">
        <v>44274</v>
      </c>
      <c r="B10762" s="538" t="n">
        <v>64</v>
      </c>
      <c r="C10762" s="538" t="n">
        <v>61.43</v>
      </c>
      <c r="D10762" s="538" t="n">
        <v>63.3</v>
      </c>
      <c r="E10762" s="538" t="n">
        <v>64.38</v>
      </c>
    </row>
    <row r="10763">
      <c r="A10763" s="544" t="n">
        <v>44277</v>
      </c>
      <c r="B10763" s="538" t="n">
        <v>63.89</v>
      </c>
      <c r="C10763" s="538" t="n">
        <v>61.48</v>
      </c>
      <c r="D10763" s="538" t="n">
        <v>62.92</v>
      </c>
      <c r="E10763" s="538" t="n">
        <v>65.33</v>
      </c>
    </row>
    <row r="10764">
      <c r="A10764" s="544" t="n">
        <v>44278</v>
      </c>
      <c r="B10764" s="538" t="n">
        <v>59.96</v>
      </c>
      <c r="C10764" s="538" t="n">
        <v>57.75</v>
      </c>
      <c r="D10764" s="538" t="n">
        <v>59.87</v>
      </c>
      <c r="E10764" s="538" t="n">
        <v>64.19</v>
      </c>
    </row>
    <row r="10765">
      <c r="A10765" s="544" t="n">
        <v>44279</v>
      </c>
      <c r="B10765" s="538" t="n">
        <v>63.7</v>
      </c>
      <c r="C10765" s="538" t="n">
        <v>61.12</v>
      </c>
      <c r="D10765" s="538" t="n">
        <v>62.4</v>
      </c>
      <c r="E10765" s="538" t="n">
        <v>62.94</v>
      </c>
    </row>
    <row r="10766">
      <c r="A10766" s="544" t="n">
        <v>44280</v>
      </c>
      <c r="B10766" s="538" t="n">
        <v>61.21</v>
      </c>
      <c r="C10766" s="538" t="n">
        <v>58.47</v>
      </c>
      <c r="D10766" s="538" t="n">
        <v>61.29</v>
      </c>
      <c r="E10766" s="538" t="n">
        <v>64.15000000000001</v>
      </c>
    </row>
    <row r="10767">
      <c r="A10767" s="544" t="n">
        <v>44281</v>
      </c>
      <c r="B10767" s="538" t="n">
        <v>63.77</v>
      </c>
      <c r="C10767" s="538" t="n">
        <v>60.93</v>
      </c>
      <c r="D10767" s="538" t="n">
        <v>63.59</v>
      </c>
      <c r="E10767" s="538" t="n">
        <v>63.7</v>
      </c>
    </row>
    <row r="10768">
      <c r="A10768" s="544" t="n">
        <v>44284</v>
      </c>
      <c r="B10768" s="538" t="n">
        <v>64.06</v>
      </c>
      <c r="C10768" s="538" t="n">
        <v>61.49</v>
      </c>
      <c r="D10768" s="538" t="n">
        <v>64.23999999999999</v>
      </c>
      <c r="E10768" s="538" t="n">
        <v>64.73999999999999</v>
      </c>
    </row>
    <row r="10769">
      <c r="A10769" s="544" t="n">
        <v>44285</v>
      </c>
      <c r="B10769" s="538" t="n">
        <v>63.28</v>
      </c>
      <c r="C10769" s="538" t="n">
        <v>60.55</v>
      </c>
      <c r="D10769" s="538" t="n">
        <v>63.3</v>
      </c>
      <c r="E10769" s="538" t="n">
        <v>65.02</v>
      </c>
    </row>
    <row r="10770">
      <c r="A10770" s="544" t="n">
        <v>44286</v>
      </c>
      <c r="B10770" s="538" t="n">
        <v>63.52</v>
      </c>
      <c r="C10770" s="538" t="n">
        <v>59.19</v>
      </c>
      <c r="D10770" s="538" t="n">
        <v>62.03</v>
      </c>
      <c r="E10770" s="538" t="n">
        <v>64.66</v>
      </c>
    </row>
    <row r="10771">
      <c r="A10771" s="544" t="n">
        <v>44287</v>
      </c>
      <c r="B10771" s="538" t="n">
        <v>63.85</v>
      </c>
      <c r="C10771" s="538" t="n">
        <v>61.41</v>
      </c>
      <c r="D10771" s="538" t="n">
        <v>63.11</v>
      </c>
      <c r="E10771" s="538" t="n">
        <v>62.53</v>
      </c>
    </row>
    <row r="10772">
      <c r="A10772" s="544" t="n">
        <v>44288</v>
      </c>
      <c r="B10772" s="538" t="n">
        <v>63.85</v>
      </c>
      <c r="C10772" s="538" t="n">
        <v>61.41</v>
      </c>
      <c r="D10772" s="538" t="n">
        <v>63.11</v>
      </c>
      <c r="E10772" s="538" t="n">
        <v>62.53</v>
      </c>
    </row>
    <row r="10773">
      <c r="A10773" s="544" t="n">
        <v>44291</v>
      </c>
      <c r="B10773" s="538" t="n">
        <v>63.85</v>
      </c>
      <c r="C10773" s="538" t="n">
        <v>58.73</v>
      </c>
      <c r="D10773" s="538" t="n">
        <v>61.15</v>
      </c>
      <c r="E10773" s="538" t="n">
        <v>63.98</v>
      </c>
    </row>
    <row r="10774">
      <c r="A10774" s="544" t="n">
        <v>44292</v>
      </c>
      <c r="B10774" s="538" t="n">
        <v>61.47</v>
      </c>
      <c r="C10774" s="538" t="n">
        <v>59.34</v>
      </c>
      <c r="D10774" s="538" t="n">
        <v>60.65</v>
      </c>
      <c r="E10774" s="538" t="n">
        <v>63.87</v>
      </c>
    </row>
    <row r="10775">
      <c r="A10775" s="544" t="n">
        <v>44293</v>
      </c>
      <c r="B10775" s="538" t="n">
        <v>61.86</v>
      </c>
      <c r="C10775" s="538" t="n">
        <v>59.77</v>
      </c>
      <c r="D10775" s="538" t="n">
        <v>60.84</v>
      </c>
      <c r="E10775" s="538" t="n">
        <v>63.28</v>
      </c>
    </row>
    <row r="10776">
      <c r="A10776" s="544" t="n">
        <v>44294</v>
      </c>
      <c r="B10776" s="538" t="n">
        <v>62.09</v>
      </c>
      <c r="C10776" s="538" t="n">
        <v>59.61</v>
      </c>
      <c r="D10776" s="538" t="n">
        <v>61.22</v>
      </c>
      <c r="E10776" s="538" t="n">
        <v>64.02</v>
      </c>
    </row>
    <row r="10777">
      <c r="A10777" s="544" t="n">
        <v>44295</v>
      </c>
      <c r="B10777" s="538" t="n">
        <v>61.89</v>
      </c>
      <c r="C10777" s="538" t="n">
        <v>59.29</v>
      </c>
      <c r="D10777" s="538" t="n">
        <v>60.98</v>
      </c>
      <c r="E10777" s="538" t="n">
        <v>63.59</v>
      </c>
    </row>
    <row r="10778">
      <c r="A10778" s="544" t="n">
        <v>44298</v>
      </c>
      <c r="B10778" s="538" t="n">
        <v>62.38</v>
      </c>
      <c r="C10778" s="538" t="n">
        <v>59.7</v>
      </c>
      <c r="D10778" s="538" t="n">
        <v>61.37</v>
      </c>
      <c r="E10778" s="538" t="n">
        <v>64.45999999999999</v>
      </c>
    </row>
    <row r="10779">
      <c r="A10779" s="544" t="n">
        <v>44299</v>
      </c>
      <c r="B10779" s="538" t="n">
        <v>62.83</v>
      </c>
      <c r="C10779" s="538" t="n">
        <v>60.2</v>
      </c>
      <c r="D10779" s="538" t="n">
        <v>62.01</v>
      </c>
      <c r="E10779" s="538" t="n">
        <v>64.56999999999999</v>
      </c>
    </row>
    <row r="10780">
      <c r="A10780" s="544" t="n">
        <v>44300</v>
      </c>
      <c r="B10780" s="538" t="n">
        <v>66.11</v>
      </c>
      <c r="C10780" s="538" t="n">
        <v>63.15</v>
      </c>
      <c r="D10780" s="538" t="n">
        <v>64.37</v>
      </c>
      <c r="E10780" s="538" t="n">
        <v>66.06</v>
      </c>
    </row>
    <row r="10781">
      <c r="A10781" s="544" t="n">
        <v>44301</v>
      </c>
      <c r="B10781" s="538" t="n">
        <v>66.13</v>
      </c>
      <c r="C10781" s="538" t="n">
        <v>63.42</v>
      </c>
      <c r="D10781" s="538" t="n">
        <v>64.89</v>
      </c>
      <c r="E10781" s="538" t="n">
        <v>67.7</v>
      </c>
    </row>
    <row r="10782">
      <c r="A10782" s="544" t="n">
        <v>44302</v>
      </c>
      <c r="B10782" s="538" t="n">
        <v>65.98</v>
      </c>
      <c r="C10782" s="538" t="n">
        <v>63.16</v>
      </c>
      <c r="D10782" s="538" t="n">
        <v>64.97</v>
      </c>
      <c r="E10782" s="538" t="n">
        <v>68.77</v>
      </c>
    </row>
    <row r="10783">
      <c r="A10783" s="544" t="n">
        <v>44305</v>
      </c>
      <c r="B10783" s="538" t="n">
        <v>66.54000000000001</v>
      </c>
      <c r="C10783" s="538" t="n">
        <v>63.33</v>
      </c>
      <c r="D10783" s="538" t="n">
        <v>65.47</v>
      </c>
      <c r="E10783" s="538" t="n">
        <v>68.8</v>
      </c>
    </row>
    <row r="10784">
      <c r="A10784" s="544" t="n">
        <v>44306</v>
      </c>
      <c r="B10784" s="538" t="n">
        <v>65.34</v>
      </c>
      <c r="C10784" s="538" t="n">
        <v>62.61</v>
      </c>
      <c r="D10784" s="538" t="n">
        <v>63.82</v>
      </c>
      <c r="E10784" s="538" t="n">
        <v>69.47</v>
      </c>
    </row>
    <row r="10785">
      <c r="A10785" s="544" t="n">
        <v>44307</v>
      </c>
      <c r="B10785" s="538" t="n">
        <v>64.02</v>
      </c>
      <c r="C10785" s="538" t="n">
        <v>61.34</v>
      </c>
      <c r="D10785" s="538" t="n">
        <v>62.53</v>
      </c>
      <c r="E10785" s="538" t="n">
        <v>67.81999999999999</v>
      </c>
    </row>
    <row r="10786">
      <c r="A10786" s="544" t="n">
        <v>44308</v>
      </c>
      <c r="B10786" s="538" t="n">
        <v>65.06999999999999</v>
      </c>
      <c r="C10786" s="538" t="n">
        <v>61.45</v>
      </c>
      <c r="D10786" s="538" t="n">
        <v>63.43</v>
      </c>
      <c r="E10786" s="538" t="n">
        <v>67.04000000000001</v>
      </c>
    </row>
    <row r="10787">
      <c r="A10787" s="544" t="n">
        <v>44309</v>
      </c>
      <c r="B10787" s="538" t="n">
        <v>65.75</v>
      </c>
      <c r="C10787" s="538" t="n">
        <v>62.18</v>
      </c>
      <c r="D10787" s="538" t="n">
        <v>63.63</v>
      </c>
      <c r="E10787" s="538" t="n">
        <v>68.14</v>
      </c>
    </row>
    <row r="10788">
      <c r="A10788" s="544" t="n">
        <v>44312</v>
      </c>
      <c r="B10788" s="538" t="n">
        <v>65.5</v>
      </c>
      <c r="C10788" s="538" t="n">
        <v>62.02</v>
      </c>
      <c r="D10788" s="538" t="n">
        <v>63.27</v>
      </c>
      <c r="E10788" s="538" t="n">
        <v>67.73</v>
      </c>
    </row>
    <row r="10789">
      <c r="A10789" s="544" t="n">
        <v>44313</v>
      </c>
      <c r="B10789" s="538" t="n">
        <v>66.25</v>
      </c>
      <c r="C10789" s="538" t="n">
        <v>63.03</v>
      </c>
      <c r="D10789" s="538" t="n">
        <v>64.06999999999999</v>
      </c>
      <c r="E10789" s="538" t="n">
        <v>68.52</v>
      </c>
    </row>
    <row r="10790">
      <c r="A10790" s="544" t="n">
        <v>44314</v>
      </c>
      <c r="B10790" s="538" t="n">
        <v>67.08</v>
      </c>
      <c r="C10790" s="538" t="n">
        <v>63.81</v>
      </c>
      <c r="D10790" s="538" t="n">
        <v>65.59</v>
      </c>
      <c r="E10790" s="538" t="n">
        <v>68.8</v>
      </c>
    </row>
    <row r="10791">
      <c r="A10791" s="544" t="n">
        <v>44315</v>
      </c>
      <c r="B10791" s="538" t="n">
        <v>68.26000000000001</v>
      </c>
      <c r="C10791" s="538" t="n">
        <v>65</v>
      </c>
      <c r="D10791" s="538" t="n">
        <v>65.84</v>
      </c>
      <c r="E10791" s="538" t="n">
        <v>70.48999999999999</v>
      </c>
    </row>
    <row r="10792">
      <c r="A10792" s="544" t="n">
        <v>44316</v>
      </c>
      <c r="B10792" s="538" t="n">
        <v>67.73</v>
      </c>
      <c r="C10792" s="538" t="n">
        <v>63.5</v>
      </c>
      <c r="D10792" s="538" t="n">
        <v>64.23</v>
      </c>
      <c r="E10792" s="538" t="n">
        <v>70.91</v>
      </c>
    </row>
    <row r="10793">
      <c r="A10793" s="544" t="n">
        <v>44319</v>
      </c>
      <c r="B10793" s="538" t="n">
        <v>67.73</v>
      </c>
      <c r="C10793" s="538" t="n">
        <v>64.45999999999999</v>
      </c>
      <c r="D10793" s="538" t="n">
        <v>65.06999999999999</v>
      </c>
      <c r="E10793" s="538" t="n">
        <v>69.59999999999999</v>
      </c>
    </row>
    <row r="10794">
      <c r="A10794" s="544" t="n">
        <v>44320</v>
      </c>
      <c r="B10794" s="538" t="n">
        <v>68.91</v>
      </c>
      <c r="C10794" s="538" t="n">
        <v>65.72</v>
      </c>
      <c r="D10794" s="538" t="n">
        <v>67.40000000000001</v>
      </c>
      <c r="E10794" s="538" t="n">
        <v>71.22</v>
      </c>
    </row>
    <row r="10795">
      <c r="A10795" s="544" t="n">
        <v>44321</v>
      </c>
      <c r="B10795" s="538" t="n">
        <v>69.70999999999999</v>
      </c>
      <c r="C10795" s="538" t="n">
        <v>65.63</v>
      </c>
      <c r="D10795" s="538" t="n">
        <v>66.84</v>
      </c>
      <c r="E10795" s="538" t="n">
        <v>73.28</v>
      </c>
    </row>
    <row r="10796">
      <c r="A10796" s="544" t="n">
        <v>44322</v>
      </c>
      <c r="B10796" s="538" t="n">
        <v>68.62</v>
      </c>
      <c r="C10796" s="538" t="n">
        <v>64.73</v>
      </c>
      <c r="D10796" s="538" t="n">
        <v>66.13</v>
      </c>
      <c r="E10796" s="538" t="n">
        <v>72.64</v>
      </c>
    </row>
    <row r="10797">
      <c r="A10797" s="544" t="n">
        <v>44323</v>
      </c>
      <c r="B10797" s="538" t="n">
        <v>68.73</v>
      </c>
      <c r="C10797" s="538" t="n">
        <v>64.95999999999999</v>
      </c>
      <c r="D10797" s="538" t="n">
        <v>66.15000000000001</v>
      </c>
      <c r="E10797" s="538" t="n">
        <v>71.29000000000001</v>
      </c>
    </row>
    <row r="10798">
      <c r="A10798" s="544" t="n">
        <v>44326</v>
      </c>
      <c r="B10798" s="538" t="n">
        <v>68.61</v>
      </c>
      <c r="C10798" s="538" t="n">
        <v>64.92</v>
      </c>
      <c r="D10798" s="538" t="n">
        <v>65.84999999999999</v>
      </c>
      <c r="E10798" s="538" t="n">
        <v>72.59</v>
      </c>
    </row>
    <row r="10799">
      <c r="A10799" s="544" t="n">
        <v>44327</v>
      </c>
      <c r="B10799" s="538" t="n">
        <v>68.83</v>
      </c>
      <c r="C10799" s="538" t="n">
        <v>65.31</v>
      </c>
      <c r="D10799" s="538" t="n">
        <v>66.41</v>
      </c>
      <c r="E10799" s="538" t="n">
        <v>71.47</v>
      </c>
    </row>
    <row r="10800">
      <c r="A10800" s="544" t="n">
        <v>44328</v>
      </c>
      <c r="B10800" s="538" t="n">
        <v>69.62</v>
      </c>
      <c r="C10800" s="538" t="n">
        <v>65.95999999999999</v>
      </c>
      <c r="D10800" s="538" t="n">
        <v>66.88</v>
      </c>
      <c r="E10800" s="538" t="n">
        <v>72.69</v>
      </c>
    </row>
    <row r="10801">
      <c r="A10801" s="544" t="n">
        <v>44329</v>
      </c>
      <c r="B10801" s="538" t="n">
        <v>67.36</v>
      </c>
      <c r="C10801" s="538" t="n">
        <v>63.82</v>
      </c>
      <c r="D10801" s="538" t="n">
        <v>64.56</v>
      </c>
      <c r="E10801" s="538" t="n">
        <v>72.69</v>
      </c>
    </row>
    <row r="10802">
      <c r="A10802" s="544" t="n">
        <v>44330</v>
      </c>
      <c r="B10802" s="538" t="n">
        <v>69.23999999999999</v>
      </c>
      <c r="C10802" s="538" t="n">
        <v>65.31999999999999</v>
      </c>
      <c r="D10802" s="538" t="n">
        <v>66.5</v>
      </c>
      <c r="E10802" s="538" t="n">
        <v>70.73999999999999</v>
      </c>
    </row>
    <row r="10803">
      <c r="A10803" s="544" t="n">
        <v>44333</v>
      </c>
      <c r="B10803" s="538" t="n">
        <v>69.62</v>
      </c>
      <c r="C10803" s="538" t="n">
        <v>66.23999999999999</v>
      </c>
      <c r="D10803" s="538" t="n">
        <v>67.55</v>
      </c>
      <c r="E10803" s="538" t="n">
        <v>72.48999999999999</v>
      </c>
    </row>
    <row r="10804">
      <c r="A10804" s="544" t="n">
        <v>44334</v>
      </c>
      <c r="B10804" s="538" t="n">
        <v>69.01000000000001</v>
      </c>
      <c r="C10804" s="538" t="n">
        <v>65.48999999999999</v>
      </c>
      <c r="D10804" s="538" t="n">
        <v>66.02</v>
      </c>
      <c r="E10804" s="538" t="n">
        <v>73.68000000000001</v>
      </c>
    </row>
    <row r="10805">
      <c r="A10805" s="544" t="n">
        <v>44335</v>
      </c>
      <c r="B10805" s="538" t="n">
        <v>66.88</v>
      </c>
      <c r="C10805" s="538" t="n">
        <v>63.28</v>
      </c>
      <c r="D10805" s="538" t="n">
        <v>64.83</v>
      </c>
      <c r="E10805" s="538" t="n">
        <v>71.56</v>
      </c>
    </row>
    <row r="10806">
      <c r="A10806" s="544" t="n">
        <v>44336</v>
      </c>
      <c r="B10806" s="538" t="n">
        <v>65.18000000000001</v>
      </c>
      <c r="C10806" s="538" t="n">
        <v>61.95</v>
      </c>
      <c r="D10806" s="538" t="n">
        <v>63.2</v>
      </c>
      <c r="E10806" s="538" t="n">
        <v>70.81</v>
      </c>
    </row>
    <row r="10807">
      <c r="A10807" s="544" t="n">
        <v>44337</v>
      </c>
      <c r="B10807" s="538" t="n">
        <v>66.72</v>
      </c>
      <c r="C10807" s="538" t="n">
        <v>63.61</v>
      </c>
      <c r="D10807" s="538" t="n">
        <v>64.56999999999999</v>
      </c>
      <c r="E10807" s="538" t="n">
        <v>68.56</v>
      </c>
    </row>
    <row r="10808">
      <c r="A10808" s="544" t="n">
        <v>44340</v>
      </c>
      <c r="B10808" s="538" t="n">
        <v>68.59</v>
      </c>
      <c r="C10808" s="538" t="n">
        <v>66.13</v>
      </c>
      <c r="D10808" s="538" t="n">
        <v>66.90000000000001</v>
      </c>
      <c r="E10808" s="538" t="n">
        <v>71.12</v>
      </c>
    </row>
    <row r="10809">
      <c r="A10809" s="544" t="n">
        <v>44341</v>
      </c>
      <c r="B10809" s="538" t="n">
        <v>68.8</v>
      </c>
      <c r="C10809" s="538" t="n">
        <v>66.27</v>
      </c>
      <c r="D10809" s="538" t="n">
        <v>66.7</v>
      </c>
      <c r="E10809" s="538" t="n">
        <v>72.01000000000001</v>
      </c>
    </row>
    <row r="10810">
      <c r="A10810" s="544" t="n">
        <v>44342</v>
      </c>
      <c r="B10810" s="538" t="n">
        <v>68.93000000000001</v>
      </c>
      <c r="C10810" s="538" t="n">
        <v>66.41</v>
      </c>
      <c r="D10810" s="538" t="n">
        <v>66.7</v>
      </c>
      <c r="E10810" s="538" t="n">
        <v>72.01000000000001</v>
      </c>
    </row>
    <row r="10811">
      <c r="A10811" s="544" t="n">
        <v>44343</v>
      </c>
      <c r="B10811" s="538" t="n">
        <v>69.43000000000001</v>
      </c>
      <c r="C10811" s="538" t="n">
        <v>66.87</v>
      </c>
      <c r="D10811" s="538" t="n">
        <v>67.79000000000001</v>
      </c>
      <c r="E10811" s="538" t="n">
        <v>71.44</v>
      </c>
    </row>
    <row r="10812">
      <c r="A10812" s="544" t="n">
        <v>44344</v>
      </c>
      <c r="B10812" s="538" t="n">
        <v>69.36</v>
      </c>
      <c r="C10812" s="538" t="n">
        <v>66.31</v>
      </c>
      <c r="D10812" s="538" t="n">
        <v>66.75</v>
      </c>
      <c r="E10812" s="538" t="n">
        <v>72.45999999999999</v>
      </c>
    </row>
    <row r="10813">
      <c r="A10813" s="544" t="n">
        <v>44347</v>
      </c>
      <c r="B10813" s="538" t="n">
        <v>69.36</v>
      </c>
      <c r="C10813" s="538" t="n">
        <v>66.31</v>
      </c>
      <c r="D10813" s="538" t="n">
        <v>67.83</v>
      </c>
      <c r="E10813" s="538" t="n">
        <v>72.72</v>
      </c>
    </row>
    <row r="10814">
      <c r="A10814" s="544" t="n">
        <v>44348</v>
      </c>
      <c r="B10814" s="538" t="n">
        <v>70.03</v>
      </c>
      <c r="C10814" s="538" t="n">
        <v>67.8</v>
      </c>
      <c r="D10814" s="538" t="n">
        <v>68.52</v>
      </c>
      <c r="E10814" s="538" t="n">
        <v>73.97</v>
      </c>
    </row>
    <row r="10815">
      <c r="A10815" s="544" t="n">
        <v>44349</v>
      </c>
      <c r="B10815" s="538" t="n">
        <v>70.59999999999999</v>
      </c>
      <c r="C10815" s="538" t="n">
        <v>68.79000000000001</v>
      </c>
      <c r="D10815" s="538" t="n">
        <v>69.59999999999999</v>
      </c>
      <c r="E10815" s="538" t="n">
        <v>74.11</v>
      </c>
    </row>
    <row r="10816">
      <c r="A10816" s="544" t="n">
        <v>44350</v>
      </c>
      <c r="B10816" s="538" t="n">
        <v>70.70999999999999</v>
      </c>
      <c r="C10816" s="538" t="n">
        <v>68.81</v>
      </c>
      <c r="D10816" s="538" t="n">
        <v>68.73999999999999</v>
      </c>
      <c r="E10816" s="538" t="n">
        <v>74.81999999999999</v>
      </c>
    </row>
    <row r="10817">
      <c r="A10817" s="544" t="n">
        <v>44351</v>
      </c>
      <c r="B10817" s="538" t="n">
        <v>71.3</v>
      </c>
      <c r="C10817" s="538" t="n">
        <v>69.56999999999999</v>
      </c>
      <c r="D10817" s="538" t="n">
        <v>69.86</v>
      </c>
      <c r="E10817" s="538" t="n">
        <v>74.39</v>
      </c>
    </row>
    <row r="10818">
      <c r="A10818" s="544" t="n">
        <v>44354</v>
      </c>
      <c r="B10818" s="538" t="n">
        <v>70.89</v>
      </c>
      <c r="C10818" s="538" t="n">
        <v>69.20999999999999</v>
      </c>
      <c r="D10818" s="538" t="n">
        <v>69.03</v>
      </c>
      <c r="E10818" s="538" t="n">
        <v>74.06</v>
      </c>
    </row>
    <row r="10819">
      <c r="A10819" s="544" t="n">
        <v>44355</v>
      </c>
      <c r="B10819" s="538" t="n">
        <v>71.39</v>
      </c>
      <c r="C10819" s="538" t="n">
        <v>70.11</v>
      </c>
      <c r="D10819" s="538" t="n">
        <v>70.54000000000001</v>
      </c>
      <c r="E10819" s="538" t="n">
        <v>73.56</v>
      </c>
    </row>
    <row r="10820">
      <c r="A10820" s="544" t="n">
        <v>44356</v>
      </c>
      <c r="B10820" s="538" t="n">
        <v>71.31</v>
      </c>
      <c r="C10820" s="538" t="n">
        <v>69.90000000000001</v>
      </c>
      <c r="D10820" s="538" t="n">
        <v>69.73</v>
      </c>
      <c r="E10820" s="538" t="n">
        <v>75.72</v>
      </c>
    </row>
    <row r="10821">
      <c r="A10821" s="544" t="n">
        <v>44357</v>
      </c>
      <c r="B10821" s="538" t="n">
        <v>71.65000000000001</v>
      </c>
      <c r="C10821" s="538" t="n">
        <v>70.34</v>
      </c>
      <c r="D10821" s="538" t="n">
        <v>70.09999999999999</v>
      </c>
      <c r="E10821" s="538" t="n">
        <v>75.41</v>
      </c>
    </row>
    <row r="10822">
      <c r="A10822" s="544" t="n">
        <v>44358</v>
      </c>
      <c r="B10822" s="538" t="n">
        <v>72.05</v>
      </c>
      <c r="C10822" s="538" t="n">
        <v>71</v>
      </c>
      <c r="D10822" s="538" t="n">
        <v>70.75</v>
      </c>
      <c r="E10822" s="538" t="n">
        <v>75.91</v>
      </c>
    </row>
    <row r="10823">
      <c r="A10823" s="544" t="n">
        <v>44361</v>
      </c>
      <c r="B10823" s="538" t="n">
        <v>72.27</v>
      </c>
      <c r="C10823" s="538" t="n">
        <v>70.94</v>
      </c>
      <c r="D10823" s="538" t="n">
        <v>71.01000000000001</v>
      </c>
      <c r="E10823" s="538" t="n">
        <v>76.39</v>
      </c>
    </row>
    <row r="10824">
      <c r="A10824" s="544" t="n">
        <v>44362</v>
      </c>
      <c r="B10824" s="538" t="n">
        <v>73.38</v>
      </c>
      <c r="C10824" s="538" t="n">
        <v>72.06</v>
      </c>
      <c r="D10824" s="538" t="n">
        <v>72.54000000000001</v>
      </c>
      <c r="E10824" s="538" t="n">
        <v>76.13</v>
      </c>
    </row>
    <row r="10825">
      <c r="A10825" s="544" t="n">
        <v>44363</v>
      </c>
      <c r="B10825" s="538" t="n">
        <v>73.88</v>
      </c>
      <c r="C10825" s="538" t="n">
        <v>72.03</v>
      </c>
      <c r="D10825" s="538" t="n">
        <v>71.52</v>
      </c>
      <c r="E10825" s="538" t="n">
        <v>77.15000000000001</v>
      </c>
    </row>
    <row r="10826">
      <c r="A10826" s="544" t="n">
        <v>44364</v>
      </c>
      <c r="B10826" s="538" t="n">
        <v>72.92</v>
      </c>
      <c r="C10826" s="538" t="n">
        <v>71.06</v>
      </c>
      <c r="D10826" s="538" t="n">
        <v>70.23999999999999</v>
      </c>
      <c r="E10826" s="538" t="n">
        <v>76.63</v>
      </c>
    </row>
    <row r="10827">
      <c r="A10827" s="544" t="n">
        <v>44365</v>
      </c>
      <c r="B10827" s="538" t="n">
        <v>73.09999999999999</v>
      </c>
      <c r="C10827" s="538" t="n">
        <v>71.64</v>
      </c>
      <c r="D10827" s="538" t="n">
        <v>71.23999999999999</v>
      </c>
      <c r="E10827" s="538" t="n">
        <v>75.40000000000001</v>
      </c>
    </row>
    <row r="10828">
      <c r="A10828" s="544" t="n">
        <v>44368</v>
      </c>
      <c r="B10828" s="538" t="n">
        <v>74.48999999999999</v>
      </c>
      <c r="C10828" s="538" t="n">
        <v>73.64</v>
      </c>
      <c r="D10828" s="538" t="n">
        <v>72.59</v>
      </c>
      <c r="E10828" s="538" t="n">
        <v>76.27</v>
      </c>
    </row>
    <row r="10829">
      <c r="A10829" s="544" t="n">
        <v>44369</v>
      </c>
      <c r="B10829" s="538" t="n">
        <v>74.92</v>
      </c>
      <c r="C10829" s="538" t="n">
        <v>73.15000000000001</v>
      </c>
      <c r="D10829" s="538" t="n">
        <v>72.78</v>
      </c>
      <c r="E10829" s="538" t="n">
        <v>77.03</v>
      </c>
    </row>
    <row r="10830">
      <c r="A10830" s="544" t="n">
        <v>44370</v>
      </c>
      <c r="B10830" s="538" t="n">
        <v>75.22</v>
      </c>
      <c r="C10830" s="538" t="n">
        <v>73.11</v>
      </c>
      <c r="D10830" s="538" t="n">
        <v>72.92</v>
      </c>
      <c r="E10830" s="538" t="n">
        <v>77.98999999999999</v>
      </c>
    </row>
    <row r="10831">
      <c r="A10831" s="544" t="n">
        <v>44371</v>
      </c>
      <c r="B10831" s="538" t="n">
        <v>75.95</v>
      </c>
      <c r="C10831" s="538" t="n">
        <v>73.31</v>
      </c>
      <c r="D10831" s="538" t="n">
        <v>73.12</v>
      </c>
      <c r="E10831" s="538" t="n">
        <v>77.98</v>
      </c>
    </row>
    <row r="10832">
      <c r="A10832" s="544" t="n">
        <v>44372</v>
      </c>
      <c r="B10832" s="538" t="n">
        <v>76.45</v>
      </c>
      <c r="C10832" s="538" t="n">
        <v>74.20999999999999</v>
      </c>
      <c r="D10832" s="538" t="n">
        <v>73.66</v>
      </c>
      <c r="E10832" s="538" t="n">
        <v>77.75</v>
      </c>
    </row>
    <row r="10833">
      <c r="A10833" s="544" t="n">
        <v>44375</v>
      </c>
      <c r="B10833" s="538" t="n">
        <v>74.78</v>
      </c>
      <c r="C10833" s="538" t="n">
        <v>72.98</v>
      </c>
      <c r="D10833" s="538" t="n">
        <v>72.47</v>
      </c>
      <c r="E10833" s="538" t="n">
        <v>77.59</v>
      </c>
    </row>
    <row r="10834">
      <c r="A10834" s="544" t="n">
        <v>44376</v>
      </c>
      <c r="B10834" s="538" t="n">
        <v>75.38</v>
      </c>
      <c r="C10834" s="538" t="n">
        <v>73.14</v>
      </c>
      <c r="D10834" s="538" t="n">
        <v>73.2</v>
      </c>
      <c r="E10834" s="538" t="n">
        <v>76.31999999999999</v>
      </c>
    </row>
    <row r="10835">
      <c r="A10835" s="544" t="n">
        <v>44377</v>
      </c>
      <c r="B10835" s="538" t="n">
        <v>76.94</v>
      </c>
      <c r="C10835" s="538" t="n">
        <v>73.52</v>
      </c>
      <c r="D10835" s="538" t="n">
        <v>72.06</v>
      </c>
      <c r="E10835" s="538" t="n">
        <v>76.41</v>
      </c>
    </row>
    <row r="10836">
      <c r="A10836" s="544" t="n">
        <v>44378</v>
      </c>
      <c r="B10836" s="538" t="n">
        <v>76.69</v>
      </c>
      <c r="C10836" s="538" t="n">
        <v>75.33</v>
      </c>
      <c r="D10836" s="538" t="n">
        <v>73.79000000000001</v>
      </c>
      <c r="E10836" s="538" t="n">
        <v>77.79000000000001</v>
      </c>
    </row>
    <row r="10837">
      <c r="A10837" s="544" t="n">
        <v>44379</v>
      </c>
      <c r="B10837" s="538" t="n">
        <v>77.51000000000001</v>
      </c>
      <c r="C10837" s="538" t="n">
        <v>75.37</v>
      </c>
      <c r="D10837" s="538" t="n">
        <v>73.92</v>
      </c>
      <c r="E10837" s="538" t="n">
        <v>77.8</v>
      </c>
    </row>
    <row r="10838">
      <c r="A10838" s="544" t="n">
        <v>44382</v>
      </c>
      <c r="B10838" s="538" t="n">
        <v>78.34</v>
      </c>
      <c r="C10838" s="538" t="n">
        <v>75.37</v>
      </c>
      <c r="D10838" s="538" t="n">
        <v>74.91</v>
      </c>
      <c r="E10838" s="538" t="n">
        <v>78.8</v>
      </c>
    </row>
    <row r="10839">
      <c r="A10839" s="544" t="n">
        <v>44383</v>
      </c>
      <c r="B10839" s="538" t="n">
        <v>75.81</v>
      </c>
      <c r="C10839" s="538" t="n">
        <v>73.62</v>
      </c>
      <c r="D10839" s="538" t="n">
        <v>72.02</v>
      </c>
      <c r="E10839" s="538" t="n">
        <v>79.94</v>
      </c>
    </row>
    <row r="10840">
      <c r="A10840" s="544" t="n">
        <v>44384</v>
      </c>
      <c r="B10840" s="538" t="n">
        <v>74.31</v>
      </c>
      <c r="C10840" s="538" t="n">
        <v>72.22</v>
      </c>
      <c r="D10840" s="538" t="n">
        <v>70.48999999999999</v>
      </c>
      <c r="E10840" s="538" t="n">
        <v>77.26000000000001</v>
      </c>
    </row>
    <row r="10841">
      <c r="A10841" s="544" t="n">
        <v>44385</v>
      </c>
      <c r="B10841" s="538" t="n">
        <v>75.06999999999999</v>
      </c>
      <c r="C10841" s="538" t="n">
        <v>72.98</v>
      </c>
      <c r="D10841" s="538" t="n">
        <v>71.8</v>
      </c>
      <c r="E10841" s="538" t="n">
        <v>74.72</v>
      </c>
    </row>
    <row r="10842">
      <c r="A10842" s="544" t="n">
        <v>44386</v>
      </c>
      <c r="B10842" s="538" t="n">
        <v>77.14</v>
      </c>
      <c r="C10842" s="538" t="n">
        <v>74.56</v>
      </c>
      <c r="D10842" s="538" t="n">
        <v>73.31</v>
      </c>
      <c r="E10842" s="538" t="n">
        <v>77.12</v>
      </c>
    </row>
    <row r="10843">
      <c r="A10843" s="544" t="n">
        <v>44389</v>
      </c>
      <c r="B10843" s="538" t="n">
        <v>76.77</v>
      </c>
      <c r="C10843" s="538" t="n">
        <v>74.20999999999999</v>
      </c>
      <c r="D10843" s="538" t="n">
        <v>73.23999999999999</v>
      </c>
      <c r="E10843" s="538" t="n">
        <v>77.73999999999999</v>
      </c>
    </row>
    <row r="10844">
      <c r="A10844" s="544" t="n">
        <v>44390</v>
      </c>
      <c r="B10844" s="538" t="n">
        <v>77.5</v>
      </c>
      <c r="C10844" s="538" t="n">
        <v>75.23999999999999</v>
      </c>
      <c r="D10844" s="538" t="n">
        <v>73.97</v>
      </c>
      <c r="E10844" s="538" t="n">
        <v>78.64</v>
      </c>
    </row>
    <row r="10845">
      <c r="A10845" s="544" t="n">
        <v>44391</v>
      </c>
      <c r="B10845" s="538" t="n">
        <v>75.73999999999999</v>
      </c>
      <c r="C10845" s="538" t="n">
        <v>73.06</v>
      </c>
      <c r="D10845" s="538" t="n">
        <v>71.81999999999999</v>
      </c>
      <c r="E10845" s="538" t="n">
        <v>78.95999999999999</v>
      </c>
    </row>
    <row r="10846">
      <c r="A10846" s="544" t="n">
        <v>44392</v>
      </c>
      <c r="B10846" s="538" t="n">
        <v>74.53</v>
      </c>
      <c r="C10846" s="538" t="n">
        <v>71.67</v>
      </c>
      <c r="D10846" s="538" t="n">
        <v>71.26000000000001</v>
      </c>
      <c r="E10846" s="538" t="n">
        <v>76.38</v>
      </c>
    </row>
    <row r="10847">
      <c r="A10847" s="544" t="n">
        <v>44393</v>
      </c>
      <c r="B10847" s="538" t="n">
        <v>74.45999999999999</v>
      </c>
      <c r="C10847" s="538" t="n">
        <v>71.76000000000001</v>
      </c>
      <c r="D10847" s="538" t="n">
        <v>71.28</v>
      </c>
      <c r="E10847" s="538" t="n">
        <v>76.45</v>
      </c>
    </row>
    <row r="10848">
      <c r="A10848" s="544" t="n">
        <v>44396</v>
      </c>
      <c r="B10848" s="538" t="n">
        <v>69.33</v>
      </c>
      <c r="C10848" s="538" t="n">
        <v>66.45</v>
      </c>
      <c r="D10848" s="538" t="n">
        <v>67.06</v>
      </c>
      <c r="E10848" s="538" t="n">
        <v>75.88</v>
      </c>
    </row>
    <row r="10849">
      <c r="A10849" s="544" t="n">
        <v>44397</v>
      </c>
      <c r="B10849" s="538" t="n">
        <v>70.03</v>
      </c>
      <c r="C10849" s="538" t="n">
        <v>67.31999999999999</v>
      </c>
      <c r="D10849" s="538" t="n">
        <v>66.90000000000001</v>
      </c>
      <c r="E10849" s="538" t="n">
        <v>75.88</v>
      </c>
    </row>
    <row r="10850">
      <c r="A10850" s="544" t="n">
        <v>44398</v>
      </c>
      <c r="B10850" s="538" t="n">
        <v>72.54000000000001</v>
      </c>
      <c r="C10850" s="538" t="n">
        <v>70.26000000000001</v>
      </c>
      <c r="D10850" s="538" t="n">
        <v>70.42</v>
      </c>
      <c r="E10850" s="538" t="n">
        <v>73.19</v>
      </c>
    </row>
    <row r="10851">
      <c r="A10851" s="544" t="n">
        <v>44399</v>
      </c>
      <c r="B10851" s="538" t="n">
        <v>74.25</v>
      </c>
      <c r="C10851" s="538" t="n">
        <v>72.15000000000001</v>
      </c>
      <c r="D10851" s="538" t="n">
        <v>72.23</v>
      </c>
      <c r="E10851" s="538" t="n">
        <v>75.91</v>
      </c>
    </row>
    <row r="10852">
      <c r="A10852" s="544" t="n">
        <v>44400</v>
      </c>
      <c r="B10852" s="538" t="n">
        <v>74.86</v>
      </c>
      <c r="C10852" s="538" t="n">
        <v>72.23999999999999</v>
      </c>
      <c r="D10852" s="538" t="n">
        <v>72.88</v>
      </c>
      <c r="E10852" s="538" t="n">
        <v>77.01000000000001</v>
      </c>
    </row>
    <row r="10853">
      <c r="A10853" s="544" t="n">
        <v>44403</v>
      </c>
      <c r="B10853" s="538" t="n">
        <v>74.79000000000001</v>
      </c>
      <c r="C10853" s="538" t="n">
        <v>72.15000000000001</v>
      </c>
      <c r="D10853" s="538" t="n">
        <v>73.41</v>
      </c>
      <c r="E10853" s="538" t="n">
        <v>76.19</v>
      </c>
    </row>
    <row r="10854">
      <c r="A10854" s="544" t="n">
        <v>44404</v>
      </c>
      <c r="B10854" s="538" t="n">
        <v>74.87</v>
      </c>
      <c r="C10854" s="538" t="n">
        <v>71.68000000000001</v>
      </c>
      <c r="D10854" s="538" t="n">
        <v>73.3</v>
      </c>
      <c r="E10854" s="538" t="n">
        <v>77.42</v>
      </c>
    </row>
    <row r="10855">
      <c r="A10855" s="544" t="n">
        <v>44405</v>
      </c>
      <c r="B10855" s="538" t="n">
        <v>75.09</v>
      </c>
      <c r="C10855" s="538" t="n">
        <v>72.37</v>
      </c>
      <c r="D10855" s="538" t="n">
        <v>73.31999999999999</v>
      </c>
      <c r="E10855" s="538" t="n">
        <v>77.53</v>
      </c>
    </row>
    <row r="10856">
      <c r="A10856" s="544" t="n">
        <v>44406</v>
      </c>
      <c r="B10856" s="538" t="n">
        <v>76.3</v>
      </c>
      <c r="C10856" s="538" t="n">
        <v>73.62</v>
      </c>
      <c r="D10856" s="538" t="n">
        <v>73.98</v>
      </c>
      <c r="E10856" s="538" t="n">
        <v>78.22</v>
      </c>
    </row>
    <row r="10857">
      <c r="A10857" s="544" t="n">
        <v>44407</v>
      </c>
      <c r="B10857" s="538" t="n">
        <v>77.72</v>
      </c>
      <c r="C10857" s="538" t="n">
        <v>73.93000000000001</v>
      </c>
      <c r="D10857" s="538" t="n">
        <v>74.26000000000001</v>
      </c>
      <c r="E10857" s="538" t="n">
        <v>78.75</v>
      </c>
    </row>
    <row r="10858">
      <c r="A10858" s="544" t="n">
        <v>44410</v>
      </c>
      <c r="B10858" s="538" t="n">
        <v>73.91</v>
      </c>
      <c r="C10858" s="538" t="n">
        <v>71.31</v>
      </c>
      <c r="D10858" s="538" t="n">
        <v>71.13</v>
      </c>
      <c r="E10858" s="538" t="n">
        <v>78.33</v>
      </c>
    </row>
    <row r="10859">
      <c r="A10859" s="544" t="n">
        <v>44411</v>
      </c>
      <c r="B10859" s="538" t="n">
        <v>73.23999999999999</v>
      </c>
      <c r="C10859" s="538" t="n">
        <v>70.64</v>
      </c>
      <c r="D10859" s="538" t="n">
        <v>70.61</v>
      </c>
      <c r="E10859" s="538" t="n">
        <v>76.86</v>
      </c>
    </row>
    <row r="10860">
      <c r="A10860" s="544" t="n">
        <v>44412</v>
      </c>
      <c r="B10860" s="538" t="n">
        <v>70.98999999999999</v>
      </c>
      <c r="C10860" s="538" t="n">
        <v>68.19</v>
      </c>
      <c r="D10860" s="538" t="n">
        <v>69.2</v>
      </c>
      <c r="E10860" s="538" t="n">
        <v>76.11</v>
      </c>
    </row>
    <row r="10861">
      <c r="A10861" s="544" t="n">
        <v>44413</v>
      </c>
      <c r="B10861" s="538" t="n">
        <v>72.14</v>
      </c>
      <c r="C10861" s="538" t="n">
        <v>69.09999999999999</v>
      </c>
      <c r="D10861" s="538" t="n">
        <v>69.88</v>
      </c>
      <c r="E10861" s="538" t="n">
        <v>73.23</v>
      </c>
    </row>
    <row r="10862">
      <c r="A10862" s="544" t="n">
        <v>44414</v>
      </c>
      <c r="B10862" s="538" t="n">
        <v>71.02</v>
      </c>
      <c r="C10862" s="538" t="n">
        <v>68.26000000000001</v>
      </c>
      <c r="D10862" s="538" t="n">
        <v>68.81999999999999</v>
      </c>
      <c r="E10862" s="538" t="n">
        <v>75.45999999999999</v>
      </c>
    </row>
    <row r="10863">
      <c r="A10863" s="544" t="n">
        <v>44417</v>
      </c>
      <c r="B10863" s="538" t="n">
        <v>69.65000000000001</v>
      </c>
      <c r="C10863" s="538" t="n">
        <v>66.56</v>
      </c>
      <c r="D10863" s="538" t="n">
        <v>67.73999999999999</v>
      </c>
      <c r="E10863" s="538" t="n">
        <v>75.45999999999999</v>
      </c>
    </row>
    <row r="10864">
      <c r="A10864" s="544" t="n">
        <v>44418</v>
      </c>
      <c r="B10864" s="538" t="n">
        <v>71.14</v>
      </c>
      <c r="C10864" s="538" t="n">
        <v>68.33</v>
      </c>
      <c r="D10864" s="538" t="n">
        <v>69.12</v>
      </c>
      <c r="E10864" s="538" t="n">
        <v>73.45</v>
      </c>
    </row>
    <row r="10865">
      <c r="A10865" s="544" t="n">
        <v>44419</v>
      </c>
      <c r="B10865" s="538" t="n">
        <v>71.98999999999999</v>
      </c>
      <c r="C10865" s="538" t="n">
        <v>69.3</v>
      </c>
      <c r="D10865" s="538" t="n">
        <v>69.89</v>
      </c>
      <c r="E10865" s="538" t="n">
        <v>74.45</v>
      </c>
    </row>
    <row r="10866">
      <c r="A10866" s="544" t="n">
        <v>44420</v>
      </c>
      <c r="B10866" s="538" t="n">
        <v>71.79000000000001</v>
      </c>
      <c r="C10866" s="538" t="n">
        <v>69.12</v>
      </c>
      <c r="D10866" s="538" t="n">
        <v>69.68000000000001</v>
      </c>
      <c r="E10866" s="538" t="n">
        <v>74.61</v>
      </c>
    </row>
    <row r="10867">
      <c r="A10867" s="544" t="n">
        <v>44421</v>
      </c>
      <c r="B10867" s="538" t="n">
        <v>70.90000000000001</v>
      </c>
      <c r="C10867" s="538" t="n">
        <v>68.36</v>
      </c>
      <c r="D10867" s="538" t="n">
        <v>69.12</v>
      </c>
      <c r="E10867" s="538" t="n">
        <v>73.98999999999999</v>
      </c>
    </row>
    <row r="10868">
      <c r="A10868" s="544" t="n">
        <v>44424</v>
      </c>
      <c r="B10868" s="538" t="n">
        <v>70.06999999999999</v>
      </c>
      <c r="C10868" s="538" t="n">
        <v>67.44</v>
      </c>
      <c r="D10868" s="538" t="n">
        <v>68.23</v>
      </c>
      <c r="E10868" s="538" t="n">
        <v>72.83</v>
      </c>
    </row>
    <row r="10869">
      <c r="A10869" s="544" t="n">
        <v>44425</v>
      </c>
      <c r="B10869" s="538" t="n">
        <v>69.40000000000001</v>
      </c>
      <c r="C10869" s="538" t="n">
        <v>66.5</v>
      </c>
      <c r="D10869" s="538" t="n">
        <v>67.67</v>
      </c>
      <c r="E10869" s="538" t="n">
        <v>72.41</v>
      </c>
    </row>
    <row r="10870">
      <c r="A10870" s="544" t="n">
        <v>44426</v>
      </c>
      <c r="B10870" s="538" t="n">
        <v>68.61</v>
      </c>
      <c r="C10870" s="538" t="n">
        <v>65.36</v>
      </c>
      <c r="D10870" s="538" t="n">
        <v>65.43000000000001</v>
      </c>
      <c r="E10870" s="538" t="n">
        <v>72.66</v>
      </c>
    </row>
    <row r="10871">
      <c r="A10871" s="544" t="n">
        <v>44427</v>
      </c>
      <c r="B10871" s="538" t="n">
        <v>66.8</v>
      </c>
      <c r="C10871" s="538" t="n">
        <v>63.69</v>
      </c>
      <c r="D10871" s="538" t="n">
        <v>64.95999999999999</v>
      </c>
      <c r="E10871" s="538" t="n">
        <v>69.72</v>
      </c>
    </row>
    <row r="10872">
      <c r="A10872" s="544" t="n">
        <v>44428</v>
      </c>
      <c r="B10872" s="538" t="n">
        <v>65.51000000000001</v>
      </c>
      <c r="C10872" s="538" t="n">
        <v>62.25</v>
      </c>
      <c r="D10872" s="538" t="n">
        <v>63.54</v>
      </c>
      <c r="E10872" s="538" t="n">
        <v>69.59</v>
      </c>
    </row>
    <row r="10873">
      <c r="A10873" s="544" t="n">
        <v>44431</v>
      </c>
      <c r="B10873" s="538" t="n">
        <v>69.06999999999999</v>
      </c>
      <c r="C10873" s="538" t="n">
        <v>65.65000000000001</v>
      </c>
      <c r="D10873" s="538" t="n">
        <v>67.59</v>
      </c>
      <c r="E10873" s="538" t="n">
        <v>70.56</v>
      </c>
    </row>
    <row r="10874">
      <c r="A10874" s="544" t="n">
        <v>44432</v>
      </c>
      <c r="B10874" s="538" t="n">
        <v>71.20999999999999</v>
      </c>
      <c r="C10874" s="538" t="n">
        <v>67.5</v>
      </c>
      <c r="D10874" s="538" t="n">
        <v>68.83</v>
      </c>
      <c r="E10874" s="538" t="n">
        <v>72.59999999999999</v>
      </c>
    </row>
    <row r="10875">
      <c r="A10875" s="544" t="n">
        <v>44433</v>
      </c>
      <c r="B10875" s="538" t="n">
        <v>72.12</v>
      </c>
      <c r="C10875" s="538" t="n">
        <v>68.54000000000001</v>
      </c>
      <c r="D10875" s="538" t="n">
        <v>69.95</v>
      </c>
      <c r="E10875" s="538" t="n">
        <v>74.36</v>
      </c>
    </row>
    <row r="10876">
      <c r="A10876" s="544" t="n">
        <v>44434</v>
      </c>
      <c r="B10876" s="538" t="n">
        <v>70.42</v>
      </c>
      <c r="C10876" s="538" t="n">
        <v>67.42</v>
      </c>
      <c r="D10876" s="538" t="n">
        <v>69.55</v>
      </c>
      <c r="E10876" s="538" t="n">
        <v>74.95999999999999</v>
      </c>
    </row>
    <row r="10877">
      <c r="A10877" s="544" t="n">
        <v>44435</v>
      </c>
      <c r="B10877" s="538" t="n">
        <v>72.26000000000001</v>
      </c>
      <c r="C10877" s="538" t="n">
        <v>68.84</v>
      </c>
      <c r="D10877" s="538" t="n">
        <v>70.53</v>
      </c>
      <c r="E10877" s="538" t="n">
        <v>75.90000000000001</v>
      </c>
    </row>
    <row r="10878">
      <c r="A10878" s="544" t="n">
        <v>44438</v>
      </c>
      <c r="B10878" s="538" t="n">
        <v>72.26000000000001</v>
      </c>
      <c r="C10878" s="538" t="n">
        <v>69.28</v>
      </c>
      <c r="D10878" s="538" t="n">
        <v>70.72</v>
      </c>
      <c r="E10878" s="538" t="n">
        <v>75.92</v>
      </c>
    </row>
    <row r="10879">
      <c r="A10879" s="544" t="n">
        <v>44439</v>
      </c>
      <c r="B10879" s="538" t="n">
        <v>73.45</v>
      </c>
      <c r="C10879" s="538" t="n">
        <v>68.43000000000001</v>
      </c>
      <c r="D10879" s="538" t="n">
        <v>71.31</v>
      </c>
      <c r="E10879" s="538" t="n">
        <v>75.86</v>
      </c>
    </row>
    <row r="10880">
      <c r="A10880" s="544" t="n">
        <v>44440</v>
      </c>
      <c r="B10880" s="538" t="n">
        <v>71.98999999999999</v>
      </c>
      <c r="C10880" s="538" t="n">
        <v>68.63</v>
      </c>
      <c r="D10880" s="538" t="n">
        <v>69.28</v>
      </c>
      <c r="E10880" s="538" t="n">
        <v>76.58</v>
      </c>
    </row>
    <row r="10881">
      <c r="A10881" s="544" t="n">
        <v>44441</v>
      </c>
      <c r="B10881" s="538" t="n">
        <v>73.56</v>
      </c>
      <c r="C10881" s="538" t="n">
        <v>70.06999999999999</v>
      </c>
      <c r="D10881" s="538" t="n">
        <v>70.93000000000001</v>
      </c>
      <c r="E10881" s="538" t="n">
        <v>75.75</v>
      </c>
    </row>
    <row r="10882">
      <c r="A10882" s="544" t="n">
        <v>44442</v>
      </c>
      <c r="B10882" s="538" t="n">
        <v>73.06999999999999</v>
      </c>
      <c r="C10882" s="538" t="n">
        <v>69.34</v>
      </c>
      <c r="D10882" s="538" t="n">
        <v>70.51000000000001</v>
      </c>
      <c r="E10882" s="538" t="n">
        <v>77.66</v>
      </c>
    </row>
    <row r="10883">
      <c r="A10883" s="544" t="n">
        <v>44445</v>
      </c>
      <c r="B10883" s="538" t="n">
        <v>72.43000000000001</v>
      </c>
      <c r="C10883" s="538" t="n">
        <v>69.34</v>
      </c>
      <c r="D10883" s="538" t="n">
        <v>70.40000000000001</v>
      </c>
      <c r="E10883" s="538" t="n">
        <v>76.27</v>
      </c>
    </row>
    <row r="10884">
      <c r="A10884" s="544" t="n">
        <v>44446</v>
      </c>
      <c r="B10884" s="538" t="n">
        <v>71.52</v>
      </c>
      <c r="C10884" s="538" t="n">
        <v>68.48999999999999</v>
      </c>
      <c r="D10884" s="538" t="n">
        <v>69.56999999999999</v>
      </c>
      <c r="E10884" s="538" t="n">
        <v>76.73</v>
      </c>
    </row>
    <row r="10885">
      <c r="A10885" s="544" t="n">
        <v>44447</v>
      </c>
      <c r="B10885" s="538" t="n">
        <v>72.36</v>
      </c>
      <c r="C10885" s="538" t="n">
        <v>69.36</v>
      </c>
      <c r="D10885" s="538" t="n">
        <v>70.48999999999999</v>
      </c>
      <c r="E10885" s="538" t="n">
        <v>76.14</v>
      </c>
    </row>
    <row r="10886">
      <c r="A10886" s="544" t="n">
        <v>44448</v>
      </c>
      <c r="B10886" s="538" t="n">
        <v>71.31999999999999</v>
      </c>
      <c r="C10886" s="538" t="n">
        <v>68.26000000000001</v>
      </c>
      <c r="D10886" s="538" t="n">
        <v>69.51000000000001</v>
      </c>
      <c r="E10886" s="538" t="n">
        <v>76.48999999999999</v>
      </c>
    </row>
    <row r="10887">
      <c r="A10887" s="544" t="n">
        <v>44449</v>
      </c>
      <c r="B10887" s="538" t="n">
        <v>72.44</v>
      </c>
      <c r="C10887" s="538" t="n">
        <v>69.81999999999999</v>
      </c>
      <c r="D10887" s="538" t="n">
        <v>71.27</v>
      </c>
      <c r="E10887" s="538" t="n">
        <v>77</v>
      </c>
    </row>
    <row r="10888">
      <c r="A10888" s="544" t="n">
        <v>44452</v>
      </c>
      <c r="B10888" s="538" t="n">
        <v>72.97</v>
      </c>
      <c r="C10888" s="538" t="n">
        <v>70.54000000000001</v>
      </c>
      <c r="D10888" s="538" t="n">
        <v>72.22</v>
      </c>
      <c r="E10888" s="538" t="n">
        <v>77.94</v>
      </c>
    </row>
    <row r="10889">
      <c r="A10889" s="544" t="n">
        <v>44453</v>
      </c>
      <c r="B10889" s="538" t="n">
        <v>73.05</v>
      </c>
      <c r="C10889" s="538" t="n">
        <v>70.53</v>
      </c>
      <c r="D10889" s="538" t="n">
        <v>72.19</v>
      </c>
      <c r="E10889" s="538" t="n">
        <v>78.51000000000001</v>
      </c>
    </row>
    <row r="10890">
      <c r="A10890" s="544" t="n">
        <v>44454</v>
      </c>
      <c r="B10890" s="538" t="n">
        <v>74.84</v>
      </c>
      <c r="C10890" s="538" t="n">
        <v>72.59</v>
      </c>
      <c r="D10890" s="538" t="n">
        <v>73.7</v>
      </c>
      <c r="E10890" s="538" t="n">
        <v>78.56</v>
      </c>
    </row>
    <row r="10891">
      <c r="A10891" s="544" t="n">
        <v>44455</v>
      </c>
      <c r="B10891" s="538" t="n">
        <v>75.14</v>
      </c>
      <c r="C10891" s="538" t="n">
        <v>72.69</v>
      </c>
      <c r="D10891" s="538" t="n">
        <v>73.41</v>
      </c>
      <c r="E10891" s="538" t="n">
        <v>79.67</v>
      </c>
    </row>
    <row r="10892">
      <c r="A10892" s="544" t="n">
        <v>44456</v>
      </c>
      <c r="B10892" s="538" t="n">
        <v>74.64</v>
      </c>
      <c r="C10892" s="538" t="n">
        <v>72.09</v>
      </c>
      <c r="D10892" s="538" t="n">
        <v>73.17</v>
      </c>
      <c r="E10892" s="538" t="n">
        <v>80.31999999999999</v>
      </c>
    </row>
    <row r="10893">
      <c r="A10893" s="544" t="n">
        <v>44459</v>
      </c>
      <c r="B10893" s="538" t="n">
        <v>73.59</v>
      </c>
      <c r="C10893" s="538" t="n">
        <v>70.41</v>
      </c>
      <c r="D10893" s="538" t="n">
        <v>72.22</v>
      </c>
      <c r="E10893" s="538" t="n">
        <v>79.18000000000001</v>
      </c>
    </row>
    <row r="10894">
      <c r="A10894" s="544" t="n">
        <v>44460</v>
      </c>
      <c r="B10894" s="538" t="n">
        <v>73.65000000000001</v>
      </c>
      <c r="C10894" s="538" t="n">
        <v>70.51000000000001</v>
      </c>
      <c r="D10894" s="538" t="n">
        <v>72.65000000000001</v>
      </c>
      <c r="E10894" s="538" t="n">
        <v>79.94</v>
      </c>
    </row>
    <row r="10895">
      <c r="A10895" s="544" t="n">
        <v>44461</v>
      </c>
      <c r="B10895" s="538" t="n">
        <v>75.5</v>
      </c>
      <c r="C10895" s="538" t="n">
        <v>72.37</v>
      </c>
      <c r="D10895" s="538" t="n">
        <v>74.45999999999999</v>
      </c>
      <c r="E10895" s="538" t="n">
        <v>80.81999999999999</v>
      </c>
    </row>
    <row r="10896">
      <c r="A10896" s="544" t="n">
        <v>44462</v>
      </c>
      <c r="B10896" s="538" t="n">
        <v>76.44</v>
      </c>
      <c r="C10896" s="538" t="n">
        <v>73.43000000000001</v>
      </c>
      <c r="D10896" s="538" t="n">
        <v>74.94</v>
      </c>
      <c r="E10896" s="538" t="n">
        <v>82.16</v>
      </c>
    </row>
    <row r="10897">
      <c r="A10897" s="544" t="n">
        <v>44463</v>
      </c>
      <c r="B10897" s="538" t="n">
        <v>77.42</v>
      </c>
      <c r="C10897" s="538" t="n">
        <v>74.18000000000001</v>
      </c>
      <c r="D10897" s="538" t="n">
        <v>75.73</v>
      </c>
      <c r="E10897" s="538" t="n">
        <v>83.81</v>
      </c>
    </row>
    <row r="10898">
      <c r="A10898" s="544" t="n">
        <v>44466</v>
      </c>
      <c r="B10898" s="538" t="n">
        <v>78.84999999999999</v>
      </c>
      <c r="C10898" s="538" t="n">
        <v>75.54000000000001</v>
      </c>
      <c r="D10898" s="538" t="n">
        <v>77.56999999999999</v>
      </c>
      <c r="E10898" s="538" t="n">
        <v>85.73999999999999</v>
      </c>
    </row>
    <row r="10899">
      <c r="A10899" s="544" t="n">
        <v>44467</v>
      </c>
      <c r="B10899" s="538" t="n">
        <v>78.3</v>
      </c>
      <c r="C10899" s="538" t="n">
        <v>75.44</v>
      </c>
      <c r="D10899" s="538" t="n">
        <v>76.11</v>
      </c>
      <c r="E10899" s="538" t="n">
        <v>86.37</v>
      </c>
    </row>
    <row r="10900">
      <c r="A10900" s="544" t="n">
        <v>44468</v>
      </c>
      <c r="B10900" s="538" t="n">
        <v>77.86</v>
      </c>
      <c r="C10900" s="538" t="n">
        <v>75.06</v>
      </c>
      <c r="D10900" s="538" t="n">
        <v>76.33</v>
      </c>
      <c r="E10900" s="538" t="n">
        <v>84.95999999999999</v>
      </c>
    </row>
    <row r="10901">
      <c r="A10901" s="544" t="n">
        <v>44469</v>
      </c>
      <c r="B10901" s="538" t="n">
        <v>77.81</v>
      </c>
      <c r="C10901" s="538" t="n">
        <v>75.22</v>
      </c>
      <c r="D10901" s="538" t="n">
        <v>75.48</v>
      </c>
      <c r="E10901" s="538" t="n">
        <v>86.16</v>
      </c>
    </row>
    <row r="10902">
      <c r="A10902" s="544" t="n">
        <v>44470</v>
      </c>
      <c r="B10902" s="538" t="n">
        <v>79.40000000000001</v>
      </c>
      <c r="C10902" s="538" t="n">
        <v>76.01000000000001</v>
      </c>
      <c r="D10902" s="538" t="n">
        <v>76.75</v>
      </c>
      <c r="E10902" s="538" t="n">
        <v>85.61</v>
      </c>
    </row>
    <row r="10903">
      <c r="A10903" s="544" t="n">
        <v>44473</v>
      </c>
      <c r="B10903" s="538" t="n">
        <v>81.44</v>
      </c>
      <c r="C10903" s="538" t="n">
        <v>77.68000000000001</v>
      </c>
      <c r="D10903" s="538" t="n">
        <v>78.98999999999999</v>
      </c>
      <c r="E10903" s="538" t="n">
        <v>87.64</v>
      </c>
    </row>
    <row r="10904">
      <c r="A10904" s="544" t="n">
        <v>44474</v>
      </c>
      <c r="B10904" s="538" t="n">
        <v>82.72</v>
      </c>
      <c r="C10904" s="538" t="n">
        <v>79.17</v>
      </c>
      <c r="D10904" s="538" t="n">
        <v>80.02</v>
      </c>
      <c r="E10904" s="538" t="n">
        <v>90.98</v>
      </c>
    </row>
    <row r="10905">
      <c r="A10905" s="544" t="n">
        <v>44475</v>
      </c>
      <c r="B10905" s="538" t="n">
        <v>81.39</v>
      </c>
      <c r="C10905" s="538" t="n">
        <v>77.66</v>
      </c>
      <c r="D10905" s="538" t="n">
        <v>78.11</v>
      </c>
      <c r="E10905" s="538" t="n">
        <v>92.65000000000001</v>
      </c>
    </row>
    <row r="10906">
      <c r="A10906" s="544" t="n">
        <v>44476</v>
      </c>
      <c r="B10906" s="538" t="n">
        <v>82.34</v>
      </c>
      <c r="C10906" s="538" t="n">
        <v>78.45999999999999</v>
      </c>
      <c r="D10906" s="538" t="n">
        <v>80.62</v>
      </c>
      <c r="E10906" s="538" t="n">
        <v>87.70999999999999</v>
      </c>
    </row>
    <row r="10907">
      <c r="A10907" s="544" t="n">
        <v>44477</v>
      </c>
      <c r="B10907" s="538" t="n">
        <v>82.17</v>
      </c>
      <c r="C10907" s="538" t="n">
        <v>79.55</v>
      </c>
      <c r="D10907" s="538" t="n">
        <v>80.05</v>
      </c>
      <c r="E10907" s="538" t="n">
        <v>92.2</v>
      </c>
    </row>
    <row r="10908">
      <c r="A10908" s="544" t="n">
        <v>44480</v>
      </c>
      <c r="B10908" s="538" t="n">
        <v>83.75</v>
      </c>
      <c r="C10908" s="538" t="n">
        <v>80.64</v>
      </c>
      <c r="D10908" s="538" t="n">
        <v>81.22</v>
      </c>
      <c r="E10908" s="538" t="n">
        <v>93.84</v>
      </c>
    </row>
    <row r="10909">
      <c r="A10909" s="544" t="n">
        <v>44481</v>
      </c>
      <c r="B10909" s="538" t="n">
        <v>83.53</v>
      </c>
      <c r="C10909" s="538" t="n">
        <v>80.75</v>
      </c>
      <c r="D10909" s="538" t="n">
        <v>80.56</v>
      </c>
      <c r="E10909" s="538" t="n">
        <v>94</v>
      </c>
    </row>
    <row r="10910">
      <c r="A10910" s="544" t="n">
        <v>44482</v>
      </c>
      <c r="B10910" s="538" t="n">
        <v>83.53</v>
      </c>
      <c r="C10910" s="538" t="n">
        <v>80.67</v>
      </c>
      <c r="D10910" s="538" t="n">
        <v>80.98999999999999</v>
      </c>
      <c r="E10910" s="538" t="n">
        <v>92.56</v>
      </c>
    </row>
    <row r="10911">
      <c r="A10911" s="544" t="n">
        <v>44483</v>
      </c>
      <c r="B10911" s="538" t="n">
        <v>83.86</v>
      </c>
      <c r="C10911" s="538" t="n">
        <v>81.43000000000001</v>
      </c>
      <c r="D10911" s="538" t="n">
        <v>82.34999999999999</v>
      </c>
      <c r="E10911" s="538" t="n">
        <v>93.90000000000001</v>
      </c>
    </row>
    <row r="10912">
      <c r="A10912" s="544" t="n">
        <v>44484</v>
      </c>
      <c r="B10912" s="538" t="n">
        <v>84.67</v>
      </c>
      <c r="C10912" s="538" t="n">
        <v>82.39</v>
      </c>
      <c r="D10912" s="538" t="n">
        <v>82.81</v>
      </c>
      <c r="E10912" s="538" t="n">
        <v>95.3</v>
      </c>
    </row>
    <row r="10913">
      <c r="A10913" s="544" t="n">
        <v>44487</v>
      </c>
      <c r="B10913" s="538" t="n">
        <v>84.13</v>
      </c>
      <c r="C10913" s="538" t="n">
        <v>82.62</v>
      </c>
      <c r="D10913" s="538" t="n">
        <v>82.28</v>
      </c>
      <c r="E10913" s="538" t="n">
        <v>96.01000000000001</v>
      </c>
    </row>
    <row r="10914">
      <c r="A10914" s="544" t="n">
        <v>44488</v>
      </c>
      <c r="B10914" s="538" t="n">
        <v>85.02</v>
      </c>
      <c r="C10914" s="538" t="n">
        <v>83.19</v>
      </c>
      <c r="D10914" s="538" t="n">
        <v>82.38</v>
      </c>
      <c r="E10914" s="538" t="n">
        <v>95.02</v>
      </c>
    </row>
    <row r="10915">
      <c r="A10915" s="544" t="n">
        <v>44489</v>
      </c>
      <c r="B10915" s="538" t="n">
        <v>85.76000000000001</v>
      </c>
      <c r="C10915" s="538" t="n">
        <v>84.40000000000001</v>
      </c>
      <c r="D10915" s="538" t="n">
        <v>83.77</v>
      </c>
      <c r="E10915" s="538" t="n">
        <v>94.62</v>
      </c>
    </row>
    <row r="10916">
      <c r="A10916" s="544" t="n">
        <v>44490</v>
      </c>
      <c r="B10916" s="538" t="n">
        <v>84.58</v>
      </c>
      <c r="C10916" s="538" t="n">
        <v>82.64</v>
      </c>
      <c r="D10916" s="538" t="n">
        <v>82.02</v>
      </c>
      <c r="E10916" s="538" t="n">
        <v>94.95</v>
      </c>
    </row>
    <row r="10917">
      <c r="A10917" s="544" t="n">
        <v>44491</v>
      </c>
      <c r="B10917" s="538" t="n">
        <v>85.43000000000001</v>
      </c>
      <c r="C10917" s="538" t="n">
        <v>84.53</v>
      </c>
      <c r="D10917" s="538" t="n">
        <v>83.04000000000001</v>
      </c>
      <c r="E10917" s="538" t="n">
        <v>94.59</v>
      </c>
    </row>
    <row r="10918">
      <c r="A10918" s="544" t="n">
        <v>44494</v>
      </c>
      <c r="B10918" s="538" t="n">
        <v>84.84999999999999</v>
      </c>
      <c r="C10918" s="538" t="n">
        <v>84.64</v>
      </c>
      <c r="D10918" s="538" t="n">
        <v>83.91</v>
      </c>
      <c r="E10918" s="538" t="n">
        <v>95.09999999999999</v>
      </c>
    </row>
    <row r="10919">
      <c r="A10919" s="544" t="n">
        <v>44495</v>
      </c>
      <c r="B10919" s="538" t="n">
        <v>85.11</v>
      </c>
      <c r="C10919" s="538" t="n">
        <v>85.64</v>
      </c>
      <c r="D10919" s="538" t="n">
        <v>83.70999999999999</v>
      </c>
      <c r="E10919" s="538" t="n">
        <v>95.25</v>
      </c>
    </row>
    <row r="10920">
      <c r="A10920" s="544" t="n">
        <v>44496</v>
      </c>
      <c r="B10920" s="538" t="n">
        <v>84.12</v>
      </c>
      <c r="C10920" s="538" t="n">
        <v>82.66</v>
      </c>
      <c r="D10920" s="538" t="n">
        <v>80.70999999999999</v>
      </c>
      <c r="E10920" s="538" t="n">
        <v>94.56</v>
      </c>
    </row>
    <row r="10921">
      <c r="A10921" s="544" t="n">
        <v>44497</v>
      </c>
      <c r="B10921" s="538" t="n">
        <v>83.40000000000001</v>
      </c>
      <c r="C10921" s="538" t="n">
        <v>82.78</v>
      </c>
      <c r="D10921" s="538" t="n">
        <v>82.41</v>
      </c>
      <c r="E10921" s="538" t="n">
        <v>92.89</v>
      </c>
    </row>
    <row r="10922">
      <c r="A10922" s="544" t="n">
        <v>44498</v>
      </c>
      <c r="B10922" s="538" t="n">
        <v>83.09999999999999</v>
      </c>
      <c r="C10922" s="538" t="n">
        <v>83.5</v>
      </c>
      <c r="D10922" s="538" t="n">
        <v>82.2</v>
      </c>
      <c r="E10922" s="538" t="n">
        <v>93.33</v>
      </c>
    </row>
    <row r="10923">
      <c r="A10923" s="544" t="n">
        <v>44501</v>
      </c>
      <c r="B10923" s="538" t="n">
        <v>84.51000000000001</v>
      </c>
      <c r="C10923" s="538" t="n">
        <v>84.08</v>
      </c>
      <c r="D10923" s="538" t="n">
        <v>81.59</v>
      </c>
      <c r="E10923" s="538" t="n">
        <v>93.47</v>
      </c>
    </row>
    <row r="10924">
      <c r="A10924" s="544" t="n">
        <v>44502</v>
      </c>
      <c r="B10924" s="538" t="n">
        <v>84.42</v>
      </c>
      <c r="C10924" s="538" t="n">
        <v>83.91</v>
      </c>
      <c r="D10924" s="538" t="n">
        <v>80.95</v>
      </c>
      <c r="E10924" s="538" t="n">
        <v>94.12</v>
      </c>
    </row>
    <row r="10925">
      <c r="A10925" s="544" t="n">
        <v>44503</v>
      </c>
      <c r="B10925" s="538" t="n">
        <v>81.09999999999999</v>
      </c>
      <c r="C10925" s="538" t="n">
        <v>80.81999999999999</v>
      </c>
      <c r="D10925" s="538" t="n">
        <v>79.56</v>
      </c>
      <c r="E10925" s="538" t="n">
        <v>93.05</v>
      </c>
    </row>
    <row r="10926">
      <c r="A10926" s="544" t="n">
        <v>44504</v>
      </c>
      <c r="B10926" s="538" t="n">
        <v>80.15000000000001</v>
      </c>
      <c r="C10926" s="538" t="n">
        <v>78.88</v>
      </c>
      <c r="D10926" s="538" t="n">
        <v>79.11</v>
      </c>
      <c r="E10926" s="538" t="n">
        <v>93.05</v>
      </c>
    </row>
    <row r="10927">
      <c r="A10927" s="544" t="n">
        <v>44505</v>
      </c>
      <c r="B10927" s="538" t="n">
        <v>82.43000000000001</v>
      </c>
      <c r="C10927" s="538" t="n">
        <v>81.25</v>
      </c>
      <c r="D10927" s="538" t="n">
        <v>80.40000000000001</v>
      </c>
      <c r="E10927" s="538" t="n">
        <v>90.63</v>
      </c>
    </row>
    <row r="10928">
      <c r="A10928" s="544" t="n">
        <v>44508</v>
      </c>
      <c r="B10928" s="538" t="n">
        <v>83.22</v>
      </c>
      <c r="C10928" s="538" t="n">
        <v>81.95999999999999</v>
      </c>
      <c r="D10928" s="538" t="n">
        <v>80.75</v>
      </c>
      <c r="E10928" s="538" t="n">
        <v>93.04000000000001</v>
      </c>
    </row>
    <row r="10929">
      <c r="A10929" s="544" t="n">
        <v>44509</v>
      </c>
      <c r="B10929" s="538" t="n">
        <v>84.52</v>
      </c>
      <c r="C10929" s="538" t="n">
        <v>84.12</v>
      </c>
      <c r="D10929" s="538" t="n">
        <v>82.12</v>
      </c>
      <c r="E10929" s="538" t="n">
        <v>93.5</v>
      </c>
    </row>
    <row r="10930">
      <c r="A10930" s="544" t="n">
        <v>44510</v>
      </c>
      <c r="B10930" s="538" t="n">
        <v>82.91</v>
      </c>
      <c r="C10930" s="538" t="n">
        <v>81.23</v>
      </c>
      <c r="D10930" s="538" t="n">
        <v>80.87</v>
      </c>
      <c r="E10930" s="538" t="n">
        <v>95.17</v>
      </c>
    </row>
    <row r="10931">
      <c r="A10931" s="544" t="n">
        <v>44511</v>
      </c>
      <c r="B10931" s="538" t="n">
        <v>83.40000000000001</v>
      </c>
      <c r="C10931" s="538" t="n">
        <v>81.47</v>
      </c>
      <c r="D10931" s="538" t="n">
        <v>80.86</v>
      </c>
      <c r="E10931" s="538" t="n">
        <v>92.04000000000001</v>
      </c>
    </row>
    <row r="10932">
      <c r="A10932" s="544" t="n">
        <v>44512</v>
      </c>
      <c r="B10932" s="538" t="n">
        <v>82.90000000000001</v>
      </c>
      <c r="C10932" s="538" t="n">
        <v>80.87</v>
      </c>
      <c r="D10932" s="538" t="n">
        <v>80.09</v>
      </c>
      <c r="E10932" s="538" t="n">
        <v>90.83</v>
      </c>
    </row>
    <row r="10933">
      <c r="A10933" s="544" t="n">
        <v>44515</v>
      </c>
      <c r="B10933" s="538" t="n">
        <v>81.94</v>
      </c>
      <c r="C10933" s="538" t="n">
        <v>80.84999999999999</v>
      </c>
      <c r="D10933" s="538" t="n">
        <v>80.56999999999999</v>
      </c>
      <c r="E10933" s="538" t="n">
        <v>89.03</v>
      </c>
    </row>
    <row r="10934">
      <c r="A10934" s="544" t="n">
        <v>44516</v>
      </c>
      <c r="B10934" s="538" t="n">
        <v>82.84999999999999</v>
      </c>
      <c r="C10934" s="538" t="n">
        <v>80.76000000000001</v>
      </c>
      <c r="D10934" s="538" t="n">
        <v>79.81999999999999</v>
      </c>
      <c r="E10934" s="538" t="n">
        <v>90.14</v>
      </c>
    </row>
    <row r="10935">
      <c r="A10935" s="544" t="n">
        <v>44517</v>
      </c>
      <c r="B10935" s="538" t="n">
        <v>80.67</v>
      </c>
      <c r="C10935" s="538" t="n">
        <v>78.31999999999999</v>
      </c>
      <c r="D10935" s="538" t="n">
        <v>77.8</v>
      </c>
      <c r="E10935" s="538" t="n">
        <v>89.5</v>
      </c>
    </row>
    <row r="10936">
      <c r="A10936" s="544" t="n">
        <v>44518</v>
      </c>
      <c r="B10936" s="538" t="n">
        <v>82.45</v>
      </c>
      <c r="C10936" s="538" t="n">
        <v>78.92</v>
      </c>
      <c r="D10936" s="538" t="n">
        <v>79.83</v>
      </c>
      <c r="E10936" s="538" t="n">
        <v>86.86</v>
      </c>
    </row>
    <row r="10937">
      <c r="A10937" s="544" t="n">
        <v>44519</v>
      </c>
      <c r="B10937" s="538" t="n">
        <v>80.23999999999999</v>
      </c>
      <c r="C10937" s="538" t="n">
        <v>76.11</v>
      </c>
      <c r="D10937" s="538" t="n">
        <v>77.04000000000001</v>
      </c>
      <c r="E10937" s="538" t="n">
        <v>89.06999999999999</v>
      </c>
    </row>
    <row r="10938">
      <c r="A10938" s="544" t="n">
        <v>44522</v>
      </c>
      <c r="B10938" s="538" t="n">
        <v>80.97</v>
      </c>
      <c r="C10938" s="538" t="n">
        <v>76.73999999999999</v>
      </c>
      <c r="D10938" s="538" t="n">
        <v>77.41</v>
      </c>
      <c r="E10938" s="538" t="n">
        <v>86.23999999999999</v>
      </c>
    </row>
    <row r="10939">
      <c r="A10939" s="544" t="n">
        <v>44523</v>
      </c>
      <c r="B10939" s="538" t="n">
        <v>83.43000000000001</v>
      </c>
      <c r="C10939" s="538" t="n">
        <v>78.31999999999999</v>
      </c>
      <c r="D10939" s="538" t="n">
        <v>80.84</v>
      </c>
      <c r="E10939" s="538" t="n">
        <v>85.98</v>
      </c>
    </row>
    <row r="10940">
      <c r="A10940" s="544" t="n">
        <v>44524</v>
      </c>
      <c r="B10940" s="538" t="n">
        <v>82.37</v>
      </c>
      <c r="C10940" s="538" t="n">
        <v>78.31999999999999</v>
      </c>
      <c r="D10940" s="538" t="n">
        <v>79.92</v>
      </c>
      <c r="E10940" s="538" t="n">
        <v>89.53</v>
      </c>
    </row>
    <row r="10941">
      <c r="A10941" s="544" t="n">
        <v>44525</v>
      </c>
      <c r="B10941" s="538" t="n">
        <v>82.05</v>
      </c>
      <c r="C10941" s="538" t="n">
        <v>78.31999999999999</v>
      </c>
      <c r="D10941" s="538" t="n">
        <v>78.65000000000001</v>
      </c>
      <c r="E10941" s="538" t="n">
        <v>89.29000000000001</v>
      </c>
    </row>
    <row r="10942">
      <c r="A10942" s="544" t="n">
        <v>44526</v>
      </c>
      <c r="B10942" s="538" t="n">
        <v>72.37</v>
      </c>
      <c r="C10942" s="538" t="n">
        <v>78.31999999999999</v>
      </c>
      <c r="D10942" s="538" t="n">
        <v>70.81</v>
      </c>
      <c r="E10942" s="538" t="n">
        <v>82.94</v>
      </c>
    </row>
    <row r="10943">
      <c r="A10943" s="544" t="n">
        <v>44529</v>
      </c>
      <c r="B10943" s="538" t="n">
        <v>73.34</v>
      </c>
      <c r="C10943" s="538" t="n">
        <v>69.88</v>
      </c>
      <c r="D10943" s="538" t="n">
        <v>72.41</v>
      </c>
      <c r="E10943" s="538" t="n">
        <v>80.63</v>
      </c>
    </row>
    <row r="10944">
      <c r="A10944" s="544" t="n">
        <v>44530</v>
      </c>
      <c r="B10944" s="538" t="n">
        <v>70.86</v>
      </c>
      <c r="C10944" s="538" t="n">
        <v>66.14</v>
      </c>
      <c r="D10944" s="538" t="n">
        <v>68.87</v>
      </c>
      <c r="E10944" s="538" t="n">
        <v>78.27</v>
      </c>
    </row>
    <row r="10945">
      <c r="A10945" s="544" t="n">
        <v>44531</v>
      </c>
      <c r="B10945" s="538" t="n">
        <v>69.53</v>
      </c>
      <c r="C10945" s="538" t="n">
        <v>65.44</v>
      </c>
      <c r="D10945" s="538" t="n">
        <v>68.76000000000001</v>
      </c>
      <c r="E10945" s="538" t="n">
        <v>78.73999999999999</v>
      </c>
    </row>
    <row r="10946">
      <c r="A10946" s="544" t="n">
        <v>44532</v>
      </c>
      <c r="B10946" s="538" t="n">
        <v>70.56</v>
      </c>
      <c r="C10946" s="538" t="n">
        <v>66.59999999999999</v>
      </c>
      <c r="D10946" s="538" t="n">
        <v>69.47</v>
      </c>
      <c r="E10946" s="538" t="n">
        <v>78.48999999999999</v>
      </c>
    </row>
    <row r="10947">
      <c r="A10947" s="544" t="n">
        <v>44533</v>
      </c>
      <c r="B10947" s="538" t="n">
        <v>70.70999999999999</v>
      </c>
      <c r="C10947" s="538" t="n">
        <v>66.39</v>
      </c>
      <c r="D10947" s="538" t="n">
        <v>68.62</v>
      </c>
      <c r="E10947" s="538" t="n">
        <v>80.29000000000001</v>
      </c>
    </row>
    <row r="10948">
      <c r="A10948" s="544" t="n">
        <v>44536</v>
      </c>
      <c r="B10948" s="538" t="n">
        <v>73.38</v>
      </c>
      <c r="C10948" s="538" t="n">
        <v>69.62</v>
      </c>
      <c r="D10948" s="538" t="n">
        <v>73.25</v>
      </c>
      <c r="E10948" s="538" t="n">
        <v>79.39</v>
      </c>
    </row>
    <row r="10949">
      <c r="A10949" s="544" t="n">
        <v>44537</v>
      </c>
      <c r="B10949" s="538" t="n">
        <v>75.54000000000001</v>
      </c>
      <c r="C10949" s="538" t="n">
        <v>71.94</v>
      </c>
      <c r="D10949" s="538" t="n">
        <v>73.28</v>
      </c>
      <c r="E10949" s="538" t="n">
        <v>82.56999999999999</v>
      </c>
    </row>
    <row r="10950">
      <c r="A10950" s="544" t="n">
        <v>44538</v>
      </c>
      <c r="B10950" s="538" t="n">
        <v>75.94</v>
      </c>
      <c r="C10950" s="538" t="n">
        <v>72.43000000000001</v>
      </c>
      <c r="D10950" s="538" t="n">
        <v>74.23999999999999</v>
      </c>
      <c r="E10950" s="538" t="n">
        <v>83.45</v>
      </c>
    </row>
    <row r="10951">
      <c r="A10951" s="544" t="n">
        <v>44539</v>
      </c>
      <c r="B10951" s="538" t="n">
        <v>74.09999999999999</v>
      </c>
      <c r="C10951" s="538" t="n">
        <v>70.87</v>
      </c>
      <c r="D10951" s="538" t="n">
        <v>72.23</v>
      </c>
      <c r="E10951" s="538" t="n">
        <v>84.70999999999999</v>
      </c>
    </row>
    <row r="10952">
      <c r="A10952" s="544" t="n">
        <v>44540</v>
      </c>
      <c r="B10952" s="538" t="n">
        <v>74.98</v>
      </c>
      <c r="C10952" s="538" t="n">
        <v>71.70999999999999</v>
      </c>
      <c r="D10952" s="538" t="n">
        <v>73.45999999999999</v>
      </c>
      <c r="E10952" s="538" t="n">
        <v>84.14</v>
      </c>
    </row>
    <row r="10953">
      <c r="A10953" s="544" t="n">
        <v>44543</v>
      </c>
      <c r="B10953" s="538" t="n">
        <v>74.12</v>
      </c>
      <c r="C10953" s="538" t="n">
        <v>71.19</v>
      </c>
      <c r="D10953" s="538" t="n">
        <v>71.65000000000001</v>
      </c>
      <c r="E10953" s="538" t="n">
        <v>85.23</v>
      </c>
    </row>
    <row r="10954">
      <c r="A10954" s="544" t="n">
        <v>44544</v>
      </c>
      <c r="B10954" s="538" t="n">
        <v>73.37</v>
      </c>
      <c r="C10954" s="538" t="n">
        <v>70.56999999999999</v>
      </c>
      <c r="D10954" s="538" t="n">
        <v>70.86</v>
      </c>
      <c r="E10954" s="538" t="n">
        <v>85.08</v>
      </c>
    </row>
    <row r="10955">
      <c r="A10955" s="544" t="n">
        <v>44545</v>
      </c>
      <c r="B10955" s="538" t="n">
        <v>73.70999999999999</v>
      </c>
      <c r="C10955" s="538" t="n">
        <v>70.89</v>
      </c>
      <c r="D10955" s="538" t="n">
        <v>72.52</v>
      </c>
      <c r="E10955" s="538" t="n">
        <v>83.73999999999999</v>
      </c>
    </row>
    <row r="10956">
      <c r="A10956" s="544" t="n">
        <v>44546</v>
      </c>
      <c r="B10956" s="538" t="n">
        <v>74.64</v>
      </c>
      <c r="C10956" s="538" t="n">
        <v>72.34</v>
      </c>
      <c r="D10956" s="538" t="n">
        <v>72.98999999999999</v>
      </c>
      <c r="E10956" s="538" t="n">
        <v>84.65000000000001</v>
      </c>
    </row>
    <row r="10957">
      <c r="A10957" s="544" t="n">
        <v>44547</v>
      </c>
      <c r="B10957" s="538" t="n">
        <v>72.97</v>
      </c>
      <c r="C10957" s="538" t="n">
        <v>70.93000000000001</v>
      </c>
      <c r="D10957" s="538" t="n">
        <v>72.16</v>
      </c>
      <c r="E10957" s="538" t="n">
        <v>84.75</v>
      </c>
    </row>
    <row r="10958">
      <c r="A10958" s="544" t="n">
        <v>44550</v>
      </c>
      <c r="B10958" s="538" t="n">
        <v>70.51000000000001</v>
      </c>
      <c r="C10958" s="538" t="n">
        <v>68.69</v>
      </c>
      <c r="D10958" s="538" t="n">
        <v>70.45999999999999</v>
      </c>
      <c r="E10958" s="538" t="n">
        <v>81.13</v>
      </c>
    </row>
    <row r="10959">
      <c r="A10959" s="544" t="n">
        <v>44551</v>
      </c>
      <c r="B10959" s="538" t="n">
        <v>72.84999999999999</v>
      </c>
      <c r="C10959" s="538" t="n">
        <v>71.09999999999999</v>
      </c>
      <c r="D10959" s="538" t="n">
        <v>72.66</v>
      </c>
      <c r="E10959" s="538" t="n">
        <v>80.94</v>
      </c>
    </row>
    <row r="10960">
      <c r="A10960" s="544" t="n">
        <v>44552</v>
      </c>
      <c r="B10960" s="538" t="n">
        <v>74.69</v>
      </c>
      <c r="C10960" s="538" t="n">
        <v>72.81999999999999</v>
      </c>
      <c r="D10960" s="538" t="n">
        <v>73.98</v>
      </c>
      <c r="E10960" s="538" t="n">
        <v>83.09</v>
      </c>
    </row>
    <row r="10961">
      <c r="A10961" s="544" t="n">
        <v>44553</v>
      </c>
      <c r="B10961" s="538" t="n">
        <v>76.26000000000001</v>
      </c>
      <c r="C10961" s="538" t="n">
        <v>73.89</v>
      </c>
      <c r="D10961" s="538" t="n">
        <v>75.06999999999999</v>
      </c>
      <c r="E10961" s="538" t="n">
        <v>84.83</v>
      </c>
    </row>
    <row r="10962">
      <c r="A10962" s="544" t="n">
        <v>44554</v>
      </c>
      <c r="B10962" s="538" t="n">
        <v>75.23999999999999</v>
      </c>
      <c r="C10962" s="538" t="n">
        <v>73.89</v>
      </c>
      <c r="D10962" s="538" t="n">
        <v>75.06999999999999</v>
      </c>
      <c r="E10962" s="538" t="n">
        <v>85.06</v>
      </c>
    </row>
    <row r="10963">
      <c r="A10963" s="544" t="n">
        <v>44557</v>
      </c>
      <c r="B10963" s="538" t="n">
        <v>75.23999999999999</v>
      </c>
      <c r="C10963" s="538" t="n">
        <v>75.48999999999999</v>
      </c>
      <c r="D10963" s="538" t="n">
        <v>76.76000000000001</v>
      </c>
      <c r="E10963" s="538" t="n">
        <v>85.06</v>
      </c>
    </row>
    <row r="10964">
      <c r="A10964" s="544" t="n">
        <v>44558</v>
      </c>
      <c r="B10964" s="538" t="n">
        <v>75.23999999999999</v>
      </c>
      <c r="C10964" s="538" t="n">
        <v>76.01000000000001</v>
      </c>
      <c r="D10964" s="538" t="n">
        <v>76.79000000000001</v>
      </c>
      <c r="E10964" s="538" t="n">
        <v>87.72</v>
      </c>
    </row>
    <row r="10965">
      <c r="A10965" s="544" t="n">
        <v>44559</v>
      </c>
      <c r="B10965" s="538" t="n">
        <v>78.63</v>
      </c>
      <c r="C10965" s="538" t="n">
        <v>76.58</v>
      </c>
      <c r="D10965" s="538" t="n">
        <v>78.51000000000001</v>
      </c>
      <c r="E10965" s="538" t="n">
        <v>87.72</v>
      </c>
    </row>
    <row r="10966">
      <c r="A10966" s="544" t="n">
        <v>44560</v>
      </c>
      <c r="B10966" s="538" t="n">
        <v>78.61</v>
      </c>
      <c r="C10966" s="538" t="n">
        <v>76.83</v>
      </c>
      <c r="D10966" s="538" t="n">
        <v>77.29000000000001</v>
      </c>
      <c r="E10966" s="538" t="n">
        <v>87.36</v>
      </c>
    </row>
    <row r="10967">
      <c r="A10967" s="544" t="n">
        <v>44561</v>
      </c>
      <c r="B10967" s="538" t="n">
        <v>77.23999999999999</v>
      </c>
      <c r="C10967" s="538" t="n">
        <v>75.33</v>
      </c>
      <c r="D10967" s="538" t="n">
        <v>76</v>
      </c>
      <c r="E10967" s="538" t="n">
        <v>86.93000000000001</v>
      </c>
    </row>
    <row r="10968">
      <c r="A10968" s="544" t="n">
        <v>44564</v>
      </c>
      <c r="B10968" s="538" t="n">
        <v>78.25</v>
      </c>
      <c r="C10968" s="538" t="n">
        <v>75.98999999999999</v>
      </c>
      <c r="D10968" s="538" t="n">
        <v>76.97</v>
      </c>
      <c r="E10968" s="538" t="n">
        <v>86.62</v>
      </c>
    </row>
    <row r="10969">
      <c r="A10969" s="544" t="n">
        <v>44565</v>
      </c>
      <c r="B10969" s="538" t="n">
        <v>79.39</v>
      </c>
      <c r="C10969" s="538" t="n">
        <v>77</v>
      </c>
      <c r="D10969" s="538" t="n">
        <v>78.5</v>
      </c>
      <c r="E10969" s="538" t="n">
        <v>87.62</v>
      </c>
    </row>
    <row r="10970">
      <c r="A10970" s="544" t="n">
        <v>44566</v>
      </c>
      <c r="B10970" s="538" t="n">
        <v>80.59999999999999</v>
      </c>
      <c r="C10970" s="538" t="n">
        <v>77.83</v>
      </c>
      <c r="D10970" s="538" t="n">
        <v>78.5</v>
      </c>
      <c r="E10970" s="538" t="n">
        <v>88.31999999999999</v>
      </c>
    </row>
    <row r="10971">
      <c r="A10971" s="544" t="n">
        <v>44567</v>
      </c>
      <c r="B10971" s="538" t="n">
        <v>81.98999999999999</v>
      </c>
      <c r="C10971" s="538" t="n">
        <v>79.47</v>
      </c>
      <c r="D10971" s="538" t="n">
        <v>80.42</v>
      </c>
      <c r="E10971" s="538" t="n">
        <v>89.45</v>
      </c>
    </row>
    <row r="10972">
      <c r="A10972" s="544" t="n">
        <v>44568</v>
      </c>
      <c r="B10972" s="538" t="n">
        <v>82.28</v>
      </c>
      <c r="C10972" s="538" t="n">
        <v>79</v>
      </c>
      <c r="D10972" s="538" t="n">
        <v>79.5</v>
      </c>
      <c r="E10972" s="538" t="n">
        <v>91.05</v>
      </c>
    </row>
    <row r="10973">
      <c r="A10973" s="544" t="n">
        <v>44571</v>
      </c>
      <c r="B10973" s="538" t="n">
        <v>81.56</v>
      </c>
      <c r="C10973" s="538" t="n">
        <v>78.11</v>
      </c>
      <c r="D10973" s="538" t="n">
        <v>79.09999999999999</v>
      </c>
      <c r="E10973" s="538" t="n">
        <v>92.02</v>
      </c>
    </row>
    <row r="10974">
      <c r="A10974" s="544" t="n">
        <v>44572</v>
      </c>
      <c r="B10974" s="538" t="n">
        <v>84.98</v>
      </c>
      <c r="C10974" s="538" t="n">
        <v>81.17</v>
      </c>
      <c r="D10974" s="538" t="n">
        <v>81.55</v>
      </c>
      <c r="E10974" s="538" t="n">
        <v>92.17</v>
      </c>
    </row>
    <row r="10975">
      <c r="A10975" s="544" t="n">
        <v>44573</v>
      </c>
      <c r="B10975" s="538" t="n">
        <v>85.83</v>
      </c>
      <c r="C10975" s="538" t="n">
        <v>82.51000000000001</v>
      </c>
      <c r="D10975" s="538" t="n">
        <v>82.54000000000001</v>
      </c>
      <c r="E10975" s="538" t="n">
        <v>95.16</v>
      </c>
    </row>
    <row r="10976">
      <c r="A10976" s="544" t="n">
        <v>44574</v>
      </c>
      <c r="B10976" s="538" t="n">
        <v>85.8</v>
      </c>
      <c r="C10976" s="538" t="n">
        <v>81.97</v>
      </c>
      <c r="D10976" s="538" t="n">
        <v>82.15000000000001</v>
      </c>
      <c r="E10976" s="538" t="n">
        <v>95.77</v>
      </c>
    </row>
    <row r="10977">
      <c r="A10977" s="544" t="n">
        <v>44575</v>
      </c>
      <c r="B10977" s="538" t="n">
        <v>87.17</v>
      </c>
      <c r="C10977" s="538" t="n">
        <v>83.81999999999999</v>
      </c>
      <c r="D10977" s="538" t="n">
        <v>84.23</v>
      </c>
      <c r="E10977" s="538" t="n">
        <v>97.13</v>
      </c>
    </row>
    <row r="10978">
      <c r="A10978" s="544" t="n">
        <v>44578</v>
      </c>
      <c r="B10978" s="538" t="n">
        <v>87.81999999999999</v>
      </c>
      <c r="C10978" s="538" t="n">
        <v>83.81999999999999</v>
      </c>
      <c r="D10978" s="538" t="n">
        <v>85.08</v>
      </c>
      <c r="E10978" s="538" t="n">
        <v>97.98999999999999</v>
      </c>
    </row>
    <row r="10979">
      <c r="A10979" s="544" t="n">
        <v>44579</v>
      </c>
      <c r="B10979" s="538" t="n">
        <v>88.83</v>
      </c>
      <c r="C10979" s="538" t="n">
        <v>85.42</v>
      </c>
      <c r="D10979" s="538" t="n">
        <v>86.87</v>
      </c>
      <c r="E10979" s="538" t="n">
        <v>99.81</v>
      </c>
    </row>
    <row r="10980">
      <c r="A10980" s="544" t="n">
        <v>44580</v>
      </c>
      <c r="B10980" s="538" t="n">
        <v>89.64</v>
      </c>
      <c r="C10980" s="538" t="n">
        <v>86.84</v>
      </c>
      <c r="D10980" s="538" t="n">
        <v>86.29000000000001</v>
      </c>
      <c r="E10980" s="538" t="n">
        <v>98.39</v>
      </c>
    </row>
    <row r="10981">
      <c r="A10981" s="544" t="n">
        <v>44581</v>
      </c>
      <c r="B10981" s="538" t="n">
        <v>89.75</v>
      </c>
      <c r="C10981" s="538" t="n">
        <v>86.29000000000001</v>
      </c>
      <c r="D10981" s="538" t="n">
        <v>84.79000000000001</v>
      </c>
      <c r="E10981" s="538" t="n">
        <v>98.02</v>
      </c>
    </row>
    <row r="10982">
      <c r="A10982" s="544" t="n">
        <v>44582</v>
      </c>
      <c r="B10982" s="538" t="n">
        <v>89.75</v>
      </c>
      <c r="C10982" s="538" t="n">
        <v>85.16</v>
      </c>
      <c r="D10982" s="538" t="n">
        <v>86.11</v>
      </c>
      <c r="E10982" s="538" t="n">
        <v>96.55</v>
      </c>
    </row>
    <row r="10983">
      <c r="A10983" s="544" t="n">
        <v>44585</v>
      </c>
      <c r="B10983" s="538" t="n">
        <v>87.73999999999999</v>
      </c>
      <c r="C10983" s="538" t="n">
        <v>84.48</v>
      </c>
      <c r="D10983" s="538" t="n">
        <v>84.86</v>
      </c>
      <c r="E10983" s="538" t="n">
        <v>99.56</v>
      </c>
    </row>
    <row r="10984">
      <c r="A10984" s="544" t="n">
        <v>44586</v>
      </c>
      <c r="B10984" s="538" t="n">
        <v>89.48999999999999</v>
      </c>
      <c r="C10984" s="538" t="n">
        <v>86.61</v>
      </c>
      <c r="D10984" s="538" t="n">
        <v>85.95</v>
      </c>
      <c r="E10984" s="538" t="n">
        <v>97.87</v>
      </c>
    </row>
    <row r="10985">
      <c r="A10985" s="544" t="n">
        <v>44587</v>
      </c>
      <c r="B10985" s="538" t="n">
        <v>91.22</v>
      </c>
      <c r="C10985" s="538" t="n">
        <v>88.33</v>
      </c>
      <c r="D10985" s="538" t="n">
        <v>87.40000000000001</v>
      </c>
      <c r="E10985" s="538" t="n">
        <v>99.19</v>
      </c>
    </row>
    <row r="10986">
      <c r="A10986" s="544" t="n">
        <v>44588</v>
      </c>
      <c r="B10986" s="538" t="n">
        <v>90.7</v>
      </c>
      <c r="C10986" s="538" t="n">
        <v>87.61</v>
      </c>
      <c r="D10986" s="538" t="n">
        <v>87.77</v>
      </c>
      <c r="E10986" s="538" t="n">
        <v>101.18</v>
      </c>
    </row>
    <row r="10987">
      <c r="A10987" s="544" t="n">
        <v>44589</v>
      </c>
      <c r="B10987" s="538" t="n">
        <v>91.47</v>
      </c>
      <c r="C10987" s="538" t="n">
        <v>87.67</v>
      </c>
      <c r="D10987" s="538" t="n">
        <v>88.04000000000001</v>
      </c>
      <c r="E10987" s="538" t="n">
        <v>102.31</v>
      </c>
    </row>
    <row r="10988">
      <c r="A10988" s="544" t="n">
        <v>44592</v>
      </c>
      <c r="B10988" s="538" t="n">
        <v>92.34999999999999</v>
      </c>
      <c r="C10988" s="538" t="n">
        <v>89.16</v>
      </c>
      <c r="D10988" s="538" t="n">
        <v>87.48999999999999</v>
      </c>
      <c r="E10988" s="538" t="n">
        <v>102.75</v>
      </c>
    </row>
    <row r="10989">
      <c r="A10989" s="544" t="n">
        <v>44593</v>
      </c>
      <c r="B10989" s="538" t="n">
        <v>90.23999999999999</v>
      </c>
      <c r="C10989" s="538" t="n">
        <v>88.22</v>
      </c>
      <c r="D10989" s="538" t="n">
        <v>87.48999999999999</v>
      </c>
      <c r="E10989" s="538" t="n">
        <v>102.75</v>
      </c>
    </row>
    <row r="10990">
      <c r="A10990" s="544" t="n">
        <v>44594</v>
      </c>
      <c r="B10990" s="538" t="n">
        <v>91.43000000000001</v>
      </c>
      <c r="C10990" s="538" t="n">
        <v>88.16</v>
      </c>
      <c r="D10990" s="538" t="n">
        <v>86.64</v>
      </c>
      <c r="E10990" s="538" t="n">
        <v>102.75</v>
      </c>
    </row>
    <row r="10991">
      <c r="A10991" s="544" t="n">
        <v>44595</v>
      </c>
      <c r="B10991" s="538" t="n">
        <v>92.98999999999999</v>
      </c>
      <c r="C10991" s="538" t="n">
        <v>90.17</v>
      </c>
      <c r="D10991" s="538" t="n">
        <v>89.36</v>
      </c>
      <c r="E10991" s="538" t="n">
        <v>102.26</v>
      </c>
    </row>
    <row r="10992">
      <c r="A10992" s="544" t="n">
        <v>44596</v>
      </c>
      <c r="B10992" s="538" t="n">
        <v>96.86</v>
      </c>
      <c r="C10992" s="538" t="n">
        <v>92.27</v>
      </c>
      <c r="D10992" s="538" t="n">
        <v>90.84999999999999</v>
      </c>
      <c r="E10992" s="538" t="n">
        <v>106.49</v>
      </c>
    </row>
    <row r="10993">
      <c r="A10993" s="544" t="n">
        <v>44599</v>
      </c>
      <c r="B10993" s="538" t="n">
        <v>97.28</v>
      </c>
      <c r="C10993" s="538" t="n">
        <v>91.25</v>
      </c>
      <c r="D10993" s="538" t="n">
        <v>90.31</v>
      </c>
      <c r="E10993" s="538" t="n">
        <v>108.19</v>
      </c>
    </row>
    <row r="10994">
      <c r="A10994" s="544" t="n">
        <v>44600</v>
      </c>
      <c r="B10994" s="538" t="n">
        <v>96.06999999999999</v>
      </c>
      <c r="C10994" s="538" t="n">
        <v>89.31999999999999</v>
      </c>
      <c r="D10994" s="538" t="n">
        <v>88.62</v>
      </c>
      <c r="E10994" s="538" t="n">
        <v>105.36</v>
      </c>
    </row>
    <row r="10995">
      <c r="A10995" s="544" t="n">
        <v>44601</v>
      </c>
      <c r="B10995" s="538" t="n">
        <v>94.95</v>
      </c>
      <c r="C10995" s="538" t="n">
        <v>89.56999999999999</v>
      </c>
      <c r="D10995" s="538" t="n">
        <v>89.56999999999999</v>
      </c>
      <c r="E10995" s="538" t="n">
        <v>103.25</v>
      </c>
    </row>
    <row r="10996">
      <c r="A10996" s="544" t="n">
        <v>44602</v>
      </c>
      <c r="B10996" s="538" t="n">
        <v>96.37</v>
      </c>
      <c r="C10996" s="538" t="n">
        <v>89.83</v>
      </c>
      <c r="D10996" s="538" t="n">
        <v>90.48</v>
      </c>
      <c r="E10996" s="538" t="n">
        <v>104.42</v>
      </c>
    </row>
    <row r="10997">
      <c r="A10997" s="544" t="n">
        <v>44603</v>
      </c>
      <c r="B10997" s="538" t="n">
        <v>97.5</v>
      </c>
      <c r="C10997" s="538" t="n">
        <v>93.09999999999999</v>
      </c>
      <c r="D10997" s="538" t="n">
        <v>91.09999999999999</v>
      </c>
      <c r="E10997" s="538" t="n">
        <v>104.7</v>
      </c>
    </row>
    <row r="10998">
      <c r="A10998" s="544" t="n">
        <v>44606</v>
      </c>
      <c r="B10998" s="538" t="n">
        <v>101.66</v>
      </c>
      <c r="C10998" s="538" t="n">
        <v>95.52</v>
      </c>
      <c r="D10998" s="538" t="n">
        <v>93.33</v>
      </c>
      <c r="E10998" s="538" t="n">
        <v>108.13</v>
      </c>
    </row>
    <row r="10999">
      <c r="A10999" s="544" t="n">
        <v>44607</v>
      </c>
      <c r="B10999" s="538" t="n">
        <v>98.43000000000001</v>
      </c>
      <c r="C10999" s="538" t="n">
        <v>92.06999999999999</v>
      </c>
      <c r="D10999" s="538" t="n">
        <v>90.28</v>
      </c>
      <c r="E10999" s="538" t="n">
        <v>106.88</v>
      </c>
    </row>
    <row r="11000">
      <c r="A11000" s="544" t="n">
        <v>44608</v>
      </c>
      <c r="B11000" s="538" t="n">
        <v>97.44</v>
      </c>
      <c r="C11000" s="538" t="n">
        <v>93.83</v>
      </c>
      <c r="D11000" s="538" t="n">
        <v>90.81</v>
      </c>
      <c r="E11000" s="538" t="n">
        <v>106.95</v>
      </c>
    </row>
    <row r="11001">
      <c r="A11001" s="544" t="n">
        <v>44609</v>
      </c>
      <c r="B11001" s="538" t="n">
        <v>95.28</v>
      </c>
      <c r="C11001" s="538" t="n">
        <v>91.78</v>
      </c>
      <c r="D11001" s="538" t="n">
        <v>88.53</v>
      </c>
      <c r="E11001" s="538" t="n">
        <v>105.72</v>
      </c>
    </row>
    <row r="11002">
      <c r="A11002" s="544" t="n">
        <v>44610</v>
      </c>
      <c r="B11002" s="538" t="n">
        <v>96.18000000000001</v>
      </c>
      <c r="C11002" s="538" t="n">
        <v>91.26000000000001</v>
      </c>
      <c r="D11002" s="538" t="n">
        <v>90.58</v>
      </c>
      <c r="E11002" s="538" t="n">
        <v>102.95</v>
      </c>
    </row>
    <row r="11003">
      <c r="A11003" s="544" t="n">
        <v>44613</v>
      </c>
      <c r="B11003" s="538" t="n">
        <v>98.95</v>
      </c>
      <c r="C11003" s="538" t="n">
        <v>91.26000000000001</v>
      </c>
      <c r="D11003" s="538" t="n">
        <v>93.51000000000001</v>
      </c>
      <c r="E11003" s="538" t="n">
        <v>103.58</v>
      </c>
    </row>
    <row r="11004">
      <c r="A11004" s="544" t="n">
        <v>44614</v>
      </c>
      <c r="B11004" s="538" t="n">
        <v>98.73</v>
      </c>
      <c r="C11004" s="538" t="n">
        <v>92.11</v>
      </c>
      <c r="D11004" s="538" t="n">
        <v>94.06</v>
      </c>
      <c r="E11004" s="538" t="n">
        <v>109</v>
      </c>
    </row>
    <row r="11005">
      <c r="A11005" s="544" t="n">
        <v>44615</v>
      </c>
      <c r="B11005" s="538" t="n">
        <v>99.29000000000001</v>
      </c>
      <c r="C11005" s="538" t="n">
        <v>92.14</v>
      </c>
      <c r="D11005" s="538" t="n">
        <v>95.36</v>
      </c>
      <c r="E11005" s="538" t="n">
        <v>106.17</v>
      </c>
    </row>
    <row r="11006">
      <c r="A11006" s="544" t="n">
        <v>44616</v>
      </c>
      <c r="B11006" s="538" t="n">
        <v>101.29</v>
      </c>
      <c r="C11006" s="538" t="n">
        <v>92.77</v>
      </c>
      <c r="D11006" s="538" t="n">
        <v>101.04</v>
      </c>
      <c r="E11006" s="538" t="n">
        <v>111.27</v>
      </c>
    </row>
    <row r="11007">
      <c r="A11007" s="544" t="n">
        <v>44617</v>
      </c>
      <c r="B11007" s="538" t="n">
        <v>98.56</v>
      </c>
      <c r="C11007" s="538" t="n">
        <v>91.68000000000001</v>
      </c>
      <c r="D11007" s="538" t="n">
        <v>93.54000000000001</v>
      </c>
      <c r="E11007" s="538" t="n">
        <v>109.84</v>
      </c>
    </row>
    <row r="11008">
      <c r="A11008" s="544" t="n">
        <v>44620</v>
      </c>
      <c r="B11008" s="538" t="n">
        <v>103.08</v>
      </c>
      <c r="C11008" s="538" t="n">
        <v>96.13</v>
      </c>
      <c r="D11008" s="538" t="n">
        <v>98.12</v>
      </c>
      <c r="E11008" s="538" t="n">
        <v>110.71</v>
      </c>
    </row>
    <row r="11009">
      <c r="A11009" s="544" t="n">
        <v>44621</v>
      </c>
      <c r="B11009" s="538" t="n">
        <v>110.93</v>
      </c>
      <c r="C11009" s="538" t="n">
        <v>103.66</v>
      </c>
      <c r="D11009" s="538" t="n">
        <v>106.45</v>
      </c>
      <c r="E11009" s="538" t="n">
        <v>113.43</v>
      </c>
    </row>
    <row r="11010">
      <c r="A11010" s="544" t="n">
        <v>44622</v>
      </c>
      <c r="B11010" s="538" t="n">
        <v>118.94</v>
      </c>
      <c r="C11010" s="538" t="n">
        <v>110.74</v>
      </c>
      <c r="D11010" s="538" t="n">
        <v>106.9</v>
      </c>
      <c r="E11010" s="538" t="n">
        <v>120.81</v>
      </c>
    </row>
    <row r="11011">
      <c r="A11011" s="544" t="n">
        <v>44623</v>
      </c>
      <c r="B11011" s="538" t="n">
        <v>115.36</v>
      </c>
      <c r="C11011" s="538" t="n">
        <v>107.69</v>
      </c>
      <c r="D11011" s="538" t="n">
        <v>108.25</v>
      </c>
      <c r="E11011" s="538" t="n">
        <v>127.1</v>
      </c>
    </row>
    <row r="11012">
      <c r="A11012" s="544" t="n">
        <v>44624</v>
      </c>
      <c r="B11012" s="538" t="n">
        <v>123.86</v>
      </c>
      <c r="C11012" s="538" t="n">
        <v>115.77</v>
      </c>
      <c r="D11012" s="538" t="n">
        <v>114.39</v>
      </c>
      <c r="E11012" s="538" t="n">
        <v>125.07</v>
      </c>
    </row>
    <row r="11013">
      <c r="A11013" s="544" t="n">
        <v>44627</v>
      </c>
      <c r="B11013" s="538" t="n">
        <v>129.02</v>
      </c>
      <c r="C11013" s="538" t="n">
        <v>119.26</v>
      </c>
      <c r="D11013" s="538" t="n">
        <v>122.94</v>
      </c>
      <c r="E11013" s="538" t="n">
        <v>150</v>
      </c>
    </row>
    <row r="11014">
      <c r="A11014" s="544" t="n">
        <v>44628</v>
      </c>
      <c r="B11014" s="538" t="n">
        <v>133.18</v>
      </c>
      <c r="C11014" s="538" t="n">
        <v>123.64</v>
      </c>
      <c r="D11014" s="538" t="n">
        <v>125</v>
      </c>
      <c r="E11014" s="538" t="n">
        <v>148.16</v>
      </c>
    </row>
    <row r="11015">
      <c r="A11015" s="544" t="n">
        <v>44629</v>
      </c>
      <c r="B11015" s="538" t="n">
        <v>116.58</v>
      </c>
      <c r="C11015" s="538" t="n">
        <v>108.81</v>
      </c>
      <c r="D11015" s="538" t="n">
        <v>105.93</v>
      </c>
      <c r="E11015" s="538" t="n">
        <v>167.77</v>
      </c>
    </row>
    <row r="11016">
      <c r="A11016" s="544" t="n">
        <v>44630</v>
      </c>
      <c r="B11016" s="538" t="n">
        <v>114.54</v>
      </c>
      <c r="C11016" s="538" t="n">
        <v>105.93</v>
      </c>
      <c r="D11016" s="538" t="n">
        <v>103.86</v>
      </c>
      <c r="E11016" s="538" t="n">
        <v>143.44</v>
      </c>
    </row>
    <row r="11017">
      <c r="A11017" s="544" t="n">
        <v>44631</v>
      </c>
      <c r="B11017" s="538" t="n">
        <v>118.11</v>
      </c>
      <c r="C11017" s="538" t="n">
        <v>109.31</v>
      </c>
      <c r="D11017" s="538" t="n">
        <v>108</v>
      </c>
      <c r="E11017" s="538" t="n">
        <v>124.44</v>
      </c>
    </row>
    <row r="11018">
      <c r="A11018" s="544" t="n">
        <v>44634</v>
      </c>
      <c r="B11018" s="538" t="n">
        <v>110.39</v>
      </c>
      <c r="C11018" s="538" t="n">
        <v>103.22</v>
      </c>
      <c r="D11018" s="538" t="n">
        <v>97.93000000000001</v>
      </c>
      <c r="E11018" s="538" t="n">
        <v>121.28</v>
      </c>
    </row>
    <row r="11019">
      <c r="A11019" s="544" t="n">
        <v>44635</v>
      </c>
      <c r="B11019" s="538" t="n">
        <v>105.14</v>
      </c>
      <c r="C11019" s="538" t="n">
        <v>96.42</v>
      </c>
      <c r="D11019" s="538" t="n">
        <v>97.02</v>
      </c>
      <c r="E11019" s="538" t="n">
        <v>113.35</v>
      </c>
    </row>
    <row r="11020">
      <c r="A11020" s="544" t="n">
        <v>44636</v>
      </c>
      <c r="B11020" s="538" t="n">
        <v>104.61</v>
      </c>
      <c r="C11020" s="538" t="n">
        <v>94.84999999999999</v>
      </c>
      <c r="D11020" s="538" t="n">
        <v>95.27</v>
      </c>
      <c r="E11020" s="538" t="n">
        <v>115.58</v>
      </c>
    </row>
    <row r="11021">
      <c r="A11021" s="544" t="n">
        <v>44637</v>
      </c>
      <c r="B11021" s="538" t="n">
        <v>113.5</v>
      </c>
      <c r="C11021" s="538" t="n">
        <v>102.97</v>
      </c>
      <c r="D11021" s="538" t="n">
        <v>105.29</v>
      </c>
      <c r="E11021" s="538" t="n">
        <v>120.95</v>
      </c>
    </row>
    <row r="11022">
      <c r="A11022" s="544" t="n">
        <v>44638</v>
      </c>
      <c r="B11022" s="538" t="n">
        <v>114.32</v>
      </c>
      <c r="C11022" s="538" t="n">
        <v>104.69</v>
      </c>
      <c r="D11022" s="538" t="n">
        <v>104.16</v>
      </c>
      <c r="E11022" s="538" t="n">
        <v>127.64</v>
      </c>
    </row>
    <row r="11023">
      <c r="A11023" s="544" t="n">
        <v>44641</v>
      </c>
      <c r="B11023" s="538" t="n">
        <v>122.29</v>
      </c>
      <c r="C11023" s="538" t="n">
        <v>112.14</v>
      </c>
      <c r="D11023" s="538" t="n">
        <v>114.23</v>
      </c>
      <c r="E11023" s="538" t="n">
        <v>137.47</v>
      </c>
    </row>
    <row r="11024">
      <c r="A11024" s="544" t="n">
        <v>44642</v>
      </c>
      <c r="B11024" s="538" t="n">
        <v>121.53</v>
      </c>
      <c r="C11024" s="538" t="n">
        <v>111.03</v>
      </c>
      <c r="D11024" s="538" t="n">
        <v>112.26</v>
      </c>
      <c r="E11024" s="538" t="n">
        <v>135.05</v>
      </c>
    </row>
    <row r="11025">
      <c r="A11025" s="544" t="n">
        <v>44643</v>
      </c>
      <c r="B11025" s="538" t="n">
        <v>127.52</v>
      </c>
      <c r="C11025" s="538" t="n">
        <v>114.89</v>
      </c>
      <c r="D11025" s="538" t="n">
        <v>117.25</v>
      </c>
      <c r="E11025" s="538" t="n">
        <v>141.98</v>
      </c>
    </row>
    <row r="11026">
      <c r="A11026" s="544" t="n">
        <v>44644</v>
      </c>
      <c r="B11026" s="538" t="n">
        <v>123.98</v>
      </c>
      <c r="C11026" s="538" t="n">
        <v>114.2</v>
      </c>
      <c r="D11026" s="538" t="n">
        <v>114.4</v>
      </c>
      <c r="E11026" s="538" t="n">
        <v>149.45</v>
      </c>
    </row>
    <row r="11027">
      <c r="A11027" s="544" t="n">
        <v>44645</v>
      </c>
      <c r="B11027" s="538" t="n">
        <v>122.67</v>
      </c>
      <c r="C11027" s="538" t="n">
        <v>116.2</v>
      </c>
      <c r="D11027" s="538" t="n">
        <v>117</v>
      </c>
      <c r="E11027" s="538" t="n">
        <v>142.03</v>
      </c>
    </row>
    <row r="11028">
      <c r="A11028" s="544" t="n">
        <v>44648</v>
      </c>
      <c r="B11028" s="538" t="n">
        <v>114.5</v>
      </c>
      <c r="C11028" s="538" t="n">
        <v>107.55</v>
      </c>
      <c r="D11028" s="538" t="n">
        <v>107.91</v>
      </c>
      <c r="E11028" s="538" t="n">
        <v>140.32</v>
      </c>
    </row>
    <row r="11029">
      <c r="A11029" s="544" t="n">
        <v>44649</v>
      </c>
      <c r="B11029" s="538" t="n">
        <v>112.79</v>
      </c>
      <c r="C11029" s="538" t="n">
        <v>104.25</v>
      </c>
      <c r="D11029" s="538" t="n">
        <v>107.18</v>
      </c>
      <c r="E11029" s="538" t="n">
        <v>136.93</v>
      </c>
    </row>
    <row r="11030">
      <c r="A11030" s="544" t="n">
        <v>44650</v>
      </c>
      <c r="B11030" s="538" t="n">
        <v>115.59</v>
      </c>
      <c r="C11030" s="538" t="n">
        <v>107.81</v>
      </c>
      <c r="D11030" s="538" t="n">
        <v>105.23</v>
      </c>
      <c r="E11030" s="538" t="n">
        <v>138.13</v>
      </c>
    </row>
    <row r="11031">
      <c r="A11031" s="544" t="n">
        <v>44651</v>
      </c>
      <c r="B11031" s="538" t="n">
        <v>107.29</v>
      </c>
      <c r="C11031" s="538" t="n">
        <v>100.53</v>
      </c>
      <c r="D11031" s="538" t="n">
        <v>101.68</v>
      </c>
      <c r="E11031" s="538" t="n">
        <v>136</v>
      </c>
    </row>
    <row r="11032">
      <c r="A11032" s="544" t="n">
        <v>44652</v>
      </c>
      <c r="B11032" s="538" t="n">
        <v>106.13</v>
      </c>
      <c r="C11032" s="538" t="n">
        <v>99.31999999999999</v>
      </c>
      <c r="D11032" s="538" t="n">
        <v>100.01</v>
      </c>
      <c r="E11032" s="538" t="n">
        <v>134.87</v>
      </c>
    </row>
    <row r="11033">
      <c r="A11033" s="544" t="n">
        <v>44655</v>
      </c>
      <c r="B11033" s="538" t="n">
        <v>108.15</v>
      </c>
      <c r="C11033" s="538" t="n">
        <v>103.29</v>
      </c>
      <c r="D11033" s="538" t="n">
        <v>104.22</v>
      </c>
      <c r="E11033" s="538" t="n">
        <v>138.23</v>
      </c>
    </row>
    <row r="11034">
      <c r="A11034" s="544" t="n">
        <v>44656</v>
      </c>
      <c r="B11034" s="538" t="n">
        <v>106.6</v>
      </c>
      <c r="C11034" s="538" t="n">
        <v>101.98</v>
      </c>
      <c r="D11034" s="538" t="n">
        <v>101.54</v>
      </c>
      <c r="E11034" s="538" t="n">
        <v>134.68</v>
      </c>
    </row>
    <row r="11035">
      <c r="A11035" s="544" t="n">
        <v>44657</v>
      </c>
      <c r="B11035" s="538" t="n">
        <v>100.81</v>
      </c>
      <c r="C11035" s="538" t="n">
        <v>96.39</v>
      </c>
      <c r="D11035" s="538" t="n">
        <v>97.67</v>
      </c>
      <c r="E11035" s="538" t="n">
        <v>133.67</v>
      </c>
    </row>
    <row r="11036">
      <c r="A11036" s="544" t="n">
        <v>44658</v>
      </c>
      <c r="B11036" s="538" t="n">
        <v>99.83</v>
      </c>
      <c r="C11036" s="538" t="n">
        <v>96.05</v>
      </c>
      <c r="D11036" s="538" t="n">
        <v>95.63</v>
      </c>
      <c r="E11036" s="538" t="n">
        <v>126.36</v>
      </c>
    </row>
    <row r="11037">
      <c r="A11037" s="544" t="n">
        <v>44659</v>
      </c>
      <c r="B11037" s="538" t="n">
        <v>101.26</v>
      </c>
      <c r="C11037" s="538" t="n">
        <v>98.34999999999999</v>
      </c>
      <c r="D11037" s="538" t="n">
        <v>98.33</v>
      </c>
      <c r="E11037" s="538" t="n">
        <v>125.65</v>
      </c>
    </row>
    <row r="11038">
      <c r="A11038" s="544" t="n">
        <v>44662</v>
      </c>
      <c r="B11038" s="538" t="n">
        <v>97.92</v>
      </c>
      <c r="C11038" s="538" t="n">
        <v>94.22</v>
      </c>
      <c r="D11038" s="538" t="n">
        <v>96.34999999999999</v>
      </c>
      <c r="E11038" s="538" t="n">
        <v>124.13</v>
      </c>
    </row>
    <row r="11039">
      <c r="A11039" s="544" t="n">
        <v>44663</v>
      </c>
      <c r="B11039" s="538" t="n">
        <v>104.42</v>
      </c>
      <c r="C11039" s="538" t="n">
        <v>100.52</v>
      </c>
      <c r="D11039" s="538" t="n">
        <v>101.81</v>
      </c>
      <c r="E11039" s="538" t="n">
        <v>127.07</v>
      </c>
    </row>
    <row r="11040">
      <c r="A11040" s="544" t="n">
        <v>44664</v>
      </c>
      <c r="B11040" s="538" t="n">
        <v>108.49</v>
      </c>
      <c r="C11040" s="538" t="n">
        <v>104.26</v>
      </c>
      <c r="D11040" s="538" t="n">
        <v>104.42</v>
      </c>
      <c r="E11040" s="538" t="n">
        <v>131.88</v>
      </c>
    </row>
    <row r="11041">
      <c r="A11041" s="544" t="n">
        <v>44665</v>
      </c>
      <c r="B11041" s="538" t="n">
        <v>110.83</v>
      </c>
      <c r="C11041" s="538" t="n">
        <v>106.84</v>
      </c>
      <c r="D11041" s="538" t="n">
        <v>108.39</v>
      </c>
      <c r="E11041" s="538" t="n">
        <v>141.84</v>
      </c>
    </row>
    <row r="11042">
      <c r="A11042" s="544" t="n">
        <v>44666</v>
      </c>
      <c r="B11042" s="538" t="n">
        <v>110.83</v>
      </c>
      <c r="C11042" s="538" t="n">
        <v>106.84</v>
      </c>
      <c r="D11042" s="538" t="n">
        <v>108.39</v>
      </c>
      <c r="E11042" s="538" t="n">
        <v>141.84</v>
      </c>
    </row>
    <row r="11043">
      <c r="A11043" s="544" t="n">
        <v>44669</v>
      </c>
      <c r="B11043" s="538" t="n">
        <v>110.83</v>
      </c>
      <c r="C11043" s="538" t="n">
        <v>108.24</v>
      </c>
      <c r="D11043" s="538" t="n">
        <v>109.08</v>
      </c>
      <c r="E11043" s="538" t="n">
        <v>142.4</v>
      </c>
    </row>
    <row r="11044">
      <c r="A11044" s="544" t="n">
        <v>44670</v>
      </c>
      <c r="B11044" s="538" t="n">
        <v>105.49</v>
      </c>
      <c r="C11044" s="538" t="n">
        <v>102.54</v>
      </c>
      <c r="D11044" s="538" t="n">
        <v>105.24</v>
      </c>
      <c r="E11044" s="538" t="n">
        <v>141.25</v>
      </c>
    </row>
    <row r="11045">
      <c r="A11045" s="544" t="n">
        <v>44671</v>
      </c>
      <c r="B11045" s="538" t="n">
        <v>105.05</v>
      </c>
      <c r="C11045" s="538" t="n">
        <v>102.56</v>
      </c>
      <c r="D11045" s="538" t="n">
        <v>105.74</v>
      </c>
      <c r="E11045" s="538" t="n">
        <v>138.03</v>
      </c>
    </row>
    <row r="11046">
      <c r="A11046" s="544" t="n">
        <v>44672</v>
      </c>
      <c r="B11046" s="538" t="n">
        <v>107.2</v>
      </c>
      <c r="C11046" s="538" t="n">
        <v>103.89</v>
      </c>
      <c r="D11046" s="538" t="n">
        <v>105.5</v>
      </c>
      <c r="E11046" s="538" t="n">
        <v>138.89</v>
      </c>
    </row>
    <row r="11047">
      <c r="A11047" s="544" t="n">
        <v>44673</v>
      </c>
      <c r="B11047" s="538" t="n">
        <v>105.15</v>
      </c>
      <c r="C11047" s="538" t="n">
        <v>102.86</v>
      </c>
      <c r="D11047" s="538" t="n">
        <v>104.24</v>
      </c>
      <c r="E11047" s="538" t="n">
        <v>134.4</v>
      </c>
    </row>
    <row r="11048">
      <c r="A11048" s="544" t="n">
        <v>44676</v>
      </c>
      <c r="B11048" s="538" t="n">
        <v>99.27</v>
      </c>
      <c r="C11048" s="538" t="n">
        <v>99.59999999999999</v>
      </c>
      <c r="D11048" s="538" t="n">
        <v>100.79</v>
      </c>
      <c r="E11048" s="538" t="n">
        <v>128.84</v>
      </c>
    </row>
    <row r="11049">
      <c r="A11049" s="544" t="n">
        <v>44677</v>
      </c>
      <c r="B11049" s="538" t="n">
        <v>102.89</v>
      </c>
      <c r="C11049" s="538" t="n">
        <v>102.62</v>
      </c>
      <c r="D11049" s="538" t="n">
        <v>103.51</v>
      </c>
      <c r="E11049" s="538" t="n">
        <v>131</v>
      </c>
    </row>
    <row r="11050">
      <c r="A11050" s="544" t="n">
        <v>44678</v>
      </c>
      <c r="B11050" s="538" t="n">
        <v>103.3</v>
      </c>
      <c r="C11050" s="538" t="n">
        <v>101.96</v>
      </c>
      <c r="D11050" s="538" t="n">
        <v>102.07</v>
      </c>
      <c r="E11050" s="538" t="n">
        <v>138.48</v>
      </c>
    </row>
    <row r="11051">
      <c r="A11051" s="544" t="n">
        <v>44679</v>
      </c>
      <c r="B11051" s="538" t="n">
        <v>105.78</v>
      </c>
      <c r="C11051" s="538" t="n">
        <v>105.47</v>
      </c>
      <c r="D11051" s="538" t="n">
        <v>105.11</v>
      </c>
      <c r="E11051" s="538" t="n">
        <v>139.39</v>
      </c>
    </row>
    <row r="11052">
      <c r="A11052" s="544" t="n">
        <v>44680</v>
      </c>
      <c r="B11052" s="538" t="n">
        <v>108.36</v>
      </c>
      <c r="C11052" s="538" t="n">
        <v>104.59</v>
      </c>
      <c r="D11052" s="538" t="n">
        <v>106.24</v>
      </c>
      <c r="E11052" s="538" t="n">
        <v>143.98</v>
      </c>
    </row>
    <row r="11053">
      <c r="A11053" s="544" t="n">
        <v>44683</v>
      </c>
      <c r="B11053" s="538" t="n">
        <v>108.36</v>
      </c>
      <c r="C11053" s="538" t="n">
        <v>105.18</v>
      </c>
      <c r="D11053" s="538" t="n">
        <v>106.24</v>
      </c>
      <c r="E11053" s="538" t="n">
        <v>143.98</v>
      </c>
    </row>
    <row r="11054">
      <c r="A11054" s="544" t="n">
        <v>44684</v>
      </c>
      <c r="B11054" s="538" t="n">
        <v>104.94</v>
      </c>
      <c r="C11054" s="538" t="n">
        <v>102.53</v>
      </c>
      <c r="D11054" s="538" t="n">
        <v>102.41</v>
      </c>
      <c r="E11054" s="538" t="n">
        <v>143.98</v>
      </c>
    </row>
    <row r="11055">
      <c r="A11055" s="544" t="n">
        <v>44685</v>
      </c>
      <c r="B11055" s="538" t="n">
        <v>110.53</v>
      </c>
      <c r="C11055" s="538" t="n">
        <v>107.84</v>
      </c>
      <c r="D11055" s="538" t="n">
        <v>106.86</v>
      </c>
      <c r="E11055" s="538" t="n">
        <v>147.78</v>
      </c>
    </row>
    <row r="11056">
      <c r="A11056" s="544" t="n">
        <v>44686</v>
      </c>
      <c r="B11056" s="538" t="n">
        <v>112.11</v>
      </c>
      <c r="C11056" s="538" t="n">
        <v>108.17</v>
      </c>
      <c r="D11056" s="538" t="n">
        <v>107.3</v>
      </c>
      <c r="E11056" s="538" t="n">
        <v>149.98</v>
      </c>
    </row>
    <row r="11057">
      <c r="A11057" s="544" t="n">
        <v>44687</v>
      </c>
      <c r="B11057" s="538" t="n">
        <v>113.86</v>
      </c>
      <c r="C11057" s="538" t="n">
        <v>109.72</v>
      </c>
      <c r="D11057" s="538" t="n">
        <v>108.21</v>
      </c>
      <c r="E11057" s="538" t="n">
        <v>148.41</v>
      </c>
    </row>
    <row r="11058">
      <c r="A11058" s="544" t="n">
        <v>44690</v>
      </c>
      <c r="B11058" s="538" t="n">
        <v>106.67</v>
      </c>
      <c r="C11058" s="538" t="n">
        <v>103.08</v>
      </c>
      <c r="D11058" s="538" t="n">
        <v>100</v>
      </c>
      <c r="E11058" s="538" t="n">
        <v>144.67</v>
      </c>
    </row>
    <row r="11059">
      <c r="A11059" s="544" t="n">
        <v>44691</v>
      </c>
      <c r="B11059" s="538" t="n">
        <v>102.61</v>
      </c>
      <c r="C11059" s="538" t="n">
        <v>99.73999999999999</v>
      </c>
      <c r="D11059" s="538" t="n">
        <v>99.72</v>
      </c>
      <c r="E11059" s="538" t="n">
        <v>143.51</v>
      </c>
    </row>
    <row r="11060">
      <c r="A11060" s="544" t="n">
        <v>44692</v>
      </c>
      <c r="B11060" s="538" t="n">
        <v>107.7</v>
      </c>
      <c r="C11060" s="538" t="n">
        <v>105.5</v>
      </c>
      <c r="D11060" s="538" t="n">
        <v>102.08</v>
      </c>
      <c r="E11060" s="538" t="n">
        <v>143.36</v>
      </c>
    </row>
    <row r="11061">
      <c r="A11061" s="544" t="n">
        <v>44693</v>
      </c>
      <c r="B11061" s="538" t="n">
        <v>108.06</v>
      </c>
      <c r="C11061" s="538" t="n">
        <v>106.15</v>
      </c>
      <c r="D11061" s="538" t="n">
        <v>104.92</v>
      </c>
      <c r="E11061" s="538" t="n">
        <v>139.8</v>
      </c>
    </row>
    <row r="11062">
      <c r="A11062" s="544" t="n">
        <v>44694</v>
      </c>
      <c r="B11062" s="538" t="n">
        <v>112.12</v>
      </c>
      <c r="C11062" s="538" t="n">
        <v>110.52</v>
      </c>
      <c r="D11062" s="538" t="n">
        <v>107.66</v>
      </c>
      <c r="E11062" s="538" t="n">
        <v>138.89</v>
      </c>
    </row>
    <row r="11063">
      <c r="A11063" s="544" t="n">
        <v>44697</v>
      </c>
      <c r="B11063" s="538" t="n">
        <v>114.86</v>
      </c>
      <c r="C11063" s="538" t="n">
        <v>114.07</v>
      </c>
      <c r="D11063" s="538" t="n">
        <v>110</v>
      </c>
      <c r="E11063" s="538" t="n">
        <v>138.89</v>
      </c>
    </row>
    <row r="11064">
      <c r="A11064" s="544" t="n">
        <v>44698</v>
      </c>
      <c r="B11064" s="538" t="n">
        <v>112.89</v>
      </c>
      <c r="C11064" s="538" t="n">
        <v>112.31</v>
      </c>
      <c r="D11064" s="538" t="n">
        <v>109.03</v>
      </c>
      <c r="E11064" s="538" t="n">
        <v>138.04</v>
      </c>
    </row>
    <row r="11065">
      <c r="A11065" s="544" t="n">
        <v>44699</v>
      </c>
      <c r="B11065" s="538" t="n">
        <v>110.04</v>
      </c>
      <c r="C11065" s="538" t="n">
        <v>109.67</v>
      </c>
      <c r="D11065" s="538" t="n">
        <v>106.27</v>
      </c>
      <c r="E11065" s="538" t="n">
        <v>138.72</v>
      </c>
    </row>
    <row r="11066">
      <c r="A11066" s="544" t="n">
        <v>44700</v>
      </c>
      <c r="B11066" s="538" t="n">
        <v>113.22</v>
      </c>
      <c r="C11066" s="538" t="n">
        <v>112.21</v>
      </c>
      <c r="D11066" s="538" t="n">
        <v>106.87</v>
      </c>
      <c r="E11066" s="538" t="n">
        <v>130.47</v>
      </c>
    </row>
    <row r="11067">
      <c r="A11067" s="544" t="n">
        <v>44701</v>
      </c>
      <c r="B11067" s="538" t="n">
        <v>113.63</v>
      </c>
      <c r="C11067" s="538" t="n">
        <v>112.63</v>
      </c>
      <c r="D11067" s="538" t="n">
        <v>109.4</v>
      </c>
      <c r="E11067" s="538" t="n">
        <v>136.4</v>
      </c>
    </row>
    <row r="11068">
      <c r="A11068" s="544" t="n">
        <v>44704</v>
      </c>
      <c r="B11068" s="538" t="n">
        <v>115.13</v>
      </c>
      <c r="C11068" s="538" t="n">
        <v>110.32</v>
      </c>
      <c r="D11068" s="538" t="n">
        <v>108.67</v>
      </c>
      <c r="E11068" s="538" t="n">
        <v>137.01</v>
      </c>
    </row>
    <row r="11069">
      <c r="A11069" s="544" t="n">
        <v>44705</v>
      </c>
      <c r="B11069" s="538" t="n">
        <v>115.77</v>
      </c>
      <c r="C11069" s="538" t="n">
        <v>112.55</v>
      </c>
      <c r="D11069" s="538" t="n">
        <v>110.24</v>
      </c>
      <c r="E11069" s="538" t="n">
        <v>137.76</v>
      </c>
    </row>
    <row r="11070">
      <c r="A11070" s="544" t="n">
        <v>44706</v>
      </c>
      <c r="B11070" s="538" t="n">
        <v>116.41</v>
      </c>
      <c r="C11070" s="538" t="n">
        <v>112.88</v>
      </c>
      <c r="D11070" s="538" t="n">
        <v>109.9</v>
      </c>
      <c r="E11070" s="538" t="n">
        <v>143.04</v>
      </c>
    </row>
    <row r="11071">
      <c r="A11071" s="544" t="n">
        <v>44707</v>
      </c>
      <c r="B11071" s="538" t="n">
        <v>119.81</v>
      </c>
      <c r="C11071" s="538" t="n">
        <v>116.19</v>
      </c>
      <c r="D11071" s="538" t="n">
        <v>112.01</v>
      </c>
      <c r="E11071" s="538" t="n">
        <v>144.73</v>
      </c>
    </row>
    <row r="11072">
      <c r="A11072" s="544" t="n">
        <v>44708</v>
      </c>
      <c r="B11072" s="538" t="n">
        <v>121.19</v>
      </c>
      <c r="C11072" s="538" t="n">
        <v>114.96</v>
      </c>
      <c r="D11072" s="538" t="n">
        <v>113.29</v>
      </c>
      <c r="E11072" s="538" t="n">
        <v>148.54</v>
      </c>
    </row>
    <row r="11073">
      <c r="A11073" s="544" t="n">
        <v>44711</v>
      </c>
      <c r="B11073" s="538" t="n">
        <v>123.01</v>
      </c>
      <c r="C11073" s="538" t="n">
        <v>114.96</v>
      </c>
      <c r="D11073" s="538" t="n">
        <v>116.14</v>
      </c>
      <c r="E11073" s="538" t="n">
        <v>149.21</v>
      </c>
    </row>
    <row r="11074">
      <c r="A11074" s="544" t="n">
        <v>44712</v>
      </c>
      <c r="B11074" s="538" t="n">
        <v>125.53</v>
      </c>
      <c r="C11074" s="538" t="n">
        <v>114.38</v>
      </c>
      <c r="D11074" s="538" t="n">
        <v>114.95</v>
      </c>
      <c r="E11074" s="538" t="n">
        <v>157.17</v>
      </c>
    </row>
    <row r="11075">
      <c r="A11075" s="544" t="n">
        <v>44713</v>
      </c>
      <c r="B11075" s="538" t="n">
        <v>122.2</v>
      </c>
      <c r="C11075" s="538" t="n">
        <v>115.26</v>
      </c>
      <c r="D11075" s="538" t="n">
        <v>108.05</v>
      </c>
      <c r="E11075" s="538" t="n">
        <v>154.76</v>
      </c>
    </row>
    <row r="11076">
      <c r="A11076" s="544" t="n">
        <v>44714</v>
      </c>
      <c r="B11076" s="538" t="n">
        <v>122.2</v>
      </c>
      <c r="C11076" s="538" t="n">
        <v>116.88</v>
      </c>
      <c r="D11076" s="538" t="n">
        <v>110.93</v>
      </c>
      <c r="E11076" s="538" t="n">
        <v>154.05</v>
      </c>
    </row>
    <row r="11077">
      <c r="A11077" s="544" t="n">
        <v>44715</v>
      </c>
      <c r="B11077" s="538" t="n">
        <v>125.68</v>
      </c>
      <c r="C11077" s="538" t="n">
        <v>118.97</v>
      </c>
      <c r="D11077" s="538" t="n">
        <v>113.42</v>
      </c>
      <c r="E11077" s="538" t="n">
        <v>160.77</v>
      </c>
    </row>
    <row r="11078">
      <c r="A11078" s="544" t="n">
        <v>44718</v>
      </c>
      <c r="B11078" s="538" t="n">
        <v>124.99</v>
      </c>
      <c r="C11078" s="538" t="n">
        <v>118.41</v>
      </c>
      <c r="D11078" s="538" t="n">
        <v>114.23</v>
      </c>
      <c r="E11078" s="538" t="n">
        <v>165.9</v>
      </c>
    </row>
    <row r="11079">
      <c r="A11079" s="544" t="n">
        <v>44719</v>
      </c>
      <c r="B11079" s="538" t="n">
        <v>126.89</v>
      </c>
      <c r="C11079" s="538" t="n">
        <v>119.55</v>
      </c>
      <c r="D11079" s="538" t="n">
        <v>114.76</v>
      </c>
      <c r="E11079" s="538" t="n">
        <v>167.35</v>
      </c>
    </row>
    <row r="11080">
      <c r="A11080" s="544" t="n">
        <v>44720</v>
      </c>
      <c r="B11080" s="538" t="n">
        <v>129.2</v>
      </c>
      <c r="C11080" s="538" t="n">
        <v>121.94</v>
      </c>
      <c r="D11080" s="538" t="n">
        <v>117.77</v>
      </c>
      <c r="E11080" s="538" t="n">
        <v>164.4</v>
      </c>
    </row>
    <row r="11081">
      <c r="A11081" s="544" t="n">
        <v>44721</v>
      </c>
      <c r="B11081" s="538" t="n">
        <v>128.47</v>
      </c>
      <c r="C11081" s="538" t="n">
        <v>121.52</v>
      </c>
      <c r="D11081" s="538" t="n">
        <v>116.24</v>
      </c>
      <c r="E11081" s="538" t="n">
        <v>165.74</v>
      </c>
    </row>
    <row r="11082">
      <c r="A11082" s="544" t="n">
        <v>44722</v>
      </c>
      <c r="B11082" s="538" t="n">
        <v>127.44</v>
      </c>
      <c r="C11082" s="538" t="n">
        <v>120.73</v>
      </c>
      <c r="D11082" s="538" t="n">
        <v>116.37</v>
      </c>
      <c r="E11082" s="538" t="n">
        <v>169.61</v>
      </c>
    </row>
    <row r="11083">
      <c r="A11083" s="544" t="n">
        <v>44725</v>
      </c>
      <c r="B11083" s="538" t="n">
        <v>128.44</v>
      </c>
      <c r="C11083" s="538" t="n">
        <v>120.92</v>
      </c>
      <c r="D11083" s="538" t="n">
        <v>116.75</v>
      </c>
      <c r="E11083" s="538" t="n">
        <v>164.5</v>
      </c>
    </row>
    <row r="11084">
      <c r="A11084" s="544" t="n">
        <v>44726</v>
      </c>
      <c r="B11084" s="538" t="n">
        <v>127.02</v>
      </c>
      <c r="C11084" s="538" t="n">
        <v>118.92</v>
      </c>
      <c r="D11084" s="538" t="n">
        <v>114.27</v>
      </c>
      <c r="E11084" s="538" t="n">
        <v>167.67</v>
      </c>
    </row>
    <row r="11085">
      <c r="A11085" s="544" t="n">
        <v>44727</v>
      </c>
      <c r="B11085" s="538" t="n">
        <v>124.96</v>
      </c>
      <c r="C11085" s="538" t="n">
        <v>115.32</v>
      </c>
      <c r="D11085" s="538" t="n">
        <v>114.2</v>
      </c>
      <c r="E11085" s="538" t="n">
        <v>169.27</v>
      </c>
    </row>
    <row r="11086">
      <c r="A11086" s="544" t="n">
        <v>44728</v>
      </c>
      <c r="B11086" s="538" t="n">
        <v>125.78</v>
      </c>
      <c r="C11086" s="538" t="n">
        <v>117.56</v>
      </c>
      <c r="D11086" s="538" t="n">
        <v>114.1</v>
      </c>
      <c r="E11086" s="538" t="n">
        <v>171.42</v>
      </c>
    </row>
    <row r="11087">
      <c r="A11087" s="544" t="n">
        <v>44729</v>
      </c>
      <c r="B11087" s="538" t="n">
        <v>119.22</v>
      </c>
      <c r="C11087" s="538" t="n">
        <v>109.56</v>
      </c>
      <c r="D11087" s="538" t="n">
        <v>108.04</v>
      </c>
      <c r="E11087" s="538" t="n">
        <v>173.69</v>
      </c>
    </row>
    <row r="11088">
      <c r="A11088" s="544" t="n">
        <v>44732</v>
      </c>
      <c r="B11088" s="538" t="n">
        <v>118.25</v>
      </c>
      <c r="C11088" s="538" t="n">
        <v>109.56</v>
      </c>
      <c r="D11088" s="538" t="n">
        <v>110.67</v>
      </c>
      <c r="E11088" s="538" t="n">
        <v>166.21</v>
      </c>
    </row>
    <row r="11089">
      <c r="A11089" s="544" t="n">
        <v>44733</v>
      </c>
      <c r="B11089" s="538" t="n">
        <v>118.51</v>
      </c>
      <c r="C11089" s="538" t="n">
        <v>110.49</v>
      </c>
      <c r="D11089" s="538" t="n">
        <v>105.13</v>
      </c>
      <c r="E11089" s="538" t="n">
        <v>173.43</v>
      </c>
    </row>
    <row r="11090">
      <c r="A11090" s="544" t="n">
        <v>44734</v>
      </c>
      <c r="B11090" s="538" t="n">
        <v>115.54</v>
      </c>
      <c r="C11090" s="538" t="n">
        <v>106.22</v>
      </c>
      <c r="D11090" s="538" t="n">
        <v>103.63</v>
      </c>
      <c r="E11090" s="538" t="n">
        <v>164.95</v>
      </c>
    </row>
    <row r="11091">
      <c r="A11091" s="544" t="n">
        <v>44735</v>
      </c>
      <c r="B11091" s="538" t="n">
        <v>114.5</v>
      </c>
      <c r="C11091" s="538" t="n">
        <v>105.75</v>
      </c>
      <c r="D11091" s="538" t="n">
        <v>104.14</v>
      </c>
      <c r="E11091" s="538" t="n">
        <v>166.41</v>
      </c>
    </row>
    <row r="11092">
      <c r="A11092" s="544" t="n">
        <v>44736</v>
      </c>
      <c r="B11092" s="538" t="n">
        <v>117.36</v>
      </c>
      <c r="C11092" s="538" t="n">
        <v>109.07</v>
      </c>
      <c r="D11092" s="538" t="n">
        <v>107.96</v>
      </c>
      <c r="E11092" s="538" t="n">
        <v>167.34</v>
      </c>
    </row>
    <row r="11093">
      <c r="A11093" s="544" t="n">
        <v>44739</v>
      </c>
      <c r="B11093" s="538" t="n">
        <v>119.69</v>
      </c>
      <c r="C11093" s="538" t="n">
        <v>111.44</v>
      </c>
      <c r="D11093" s="538" t="n">
        <v>111.47</v>
      </c>
      <c r="E11093" s="538" t="n">
        <v>163.41</v>
      </c>
    </row>
    <row r="11094">
      <c r="A11094" s="544" t="n">
        <v>44740</v>
      </c>
      <c r="B11094" s="538" t="n">
        <v>122.21</v>
      </c>
      <c r="C11094" s="538" t="n">
        <v>113.66</v>
      </c>
      <c r="D11094" s="538" t="n">
        <v>112.36</v>
      </c>
      <c r="E11094" s="538" t="n">
        <v>162.03</v>
      </c>
    </row>
    <row r="11095">
      <c r="A11095" s="544" t="n">
        <v>44741</v>
      </c>
      <c r="B11095" s="538" t="n">
        <v>120.8</v>
      </c>
      <c r="C11095" s="538" t="n">
        <v>111.65</v>
      </c>
      <c r="D11095" s="538" t="n">
        <v>111.96</v>
      </c>
      <c r="E11095" s="538" t="n">
        <v>155.96</v>
      </c>
    </row>
    <row r="11096">
      <c r="A11096" s="544" t="n">
        <v>44742</v>
      </c>
      <c r="B11096" s="538" t="n">
        <v>119.78</v>
      </c>
      <c r="C11096" s="538" t="n">
        <v>107.76</v>
      </c>
      <c r="D11096" s="538" t="n">
        <v>107.28</v>
      </c>
      <c r="E11096" s="538" t="n">
        <v>150.6</v>
      </c>
    </row>
    <row r="11097">
      <c r="A11097" s="544" t="n">
        <v>44743</v>
      </c>
      <c r="B11097" s="538" t="n">
        <v>119.21</v>
      </c>
      <c r="C11097" s="538" t="n">
        <v>110.3</v>
      </c>
      <c r="D11097" s="538" t="n">
        <v>105.93</v>
      </c>
      <c r="E11097" s="538" t="n">
        <v>152.2</v>
      </c>
    </row>
    <row r="11098">
      <c r="A11098" s="544" t="n">
        <v>44746</v>
      </c>
      <c r="B11098" s="538" t="n">
        <v>121.8</v>
      </c>
      <c r="C11098" s="538" t="n">
        <v>110.3</v>
      </c>
      <c r="D11098" s="538" t="n">
        <v>108.25</v>
      </c>
      <c r="E11098" s="538" t="n">
        <v>152.92</v>
      </c>
    </row>
    <row r="11099">
      <c r="A11099" s="544" t="n">
        <v>44747</v>
      </c>
      <c r="B11099" s="538" t="n">
        <v>110.49</v>
      </c>
      <c r="C11099" s="538" t="n">
        <v>101.55</v>
      </c>
      <c r="D11099" s="538" t="n">
        <v>98.84</v>
      </c>
      <c r="E11099" s="538" t="n">
        <v>147.99</v>
      </c>
    </row>
    <row r="11100">
      <c r="A11100" s="544" t="n">
        <v>44748</v>
      </c>
      <c r="B11100" s="538" t="n">
        <v>108.54</v>
      </c>
      <c r="C11100" s="538" t="n">
        <v>100.31</v>
      </c>
      <c r="D11100" s="538" t="n">
        <v>94.58</v>
      </c>
      <c r="E11100" s="538" t="n">
        <v>140.83</v>
      </c>
    </row>
    <row r="11101">
      <c r="A11101" s="544" t="n">
        <v>44749</v>
      </c>
      <c r="B11101" s="538" t="n">
        <v>113.4</v>
      </c>
      <c r="C11101" s="538" t="n">
        <v>104.62</v>
      </c>
      <c r="D11101" s="538" t="n">
        <v>99.23999999999999</v>
      </c>
      <c r="E11101" s="538" t="n">
        <v>131.12</v>
      </c>
    </row>
    <row r="11102">
      <c r="A11102" s="544" t="n">
        <v>44750</v>
      </c>
      <c r="B11102" s="538" t="n">
        <v>113.95</v>
      </c>
      <c r="C11102" s="538" t="n">
        <v>106.78</v>
      </c>
      <c r="D11102" s="538" t="n">
        <v>101.9</v>
      </c>
      <c r="E11102" s="538" t="n">
        <v>137.15</v>
      </c>
    </row>
    <row r="11103">
      <c r="A11103" s="544" t="n">
        <v>44753</v>
      </c>
      <c r="B11103" s="538" t="n">
        <v>114.85</v>
      </c>
      <c r="C11103" s="538" t="n">
        <v>106.09</v>
      </c>
      <c r="D11103" s="538" t="n">
        <v>100.6</v>
      </c>
      <c r="E11103" s="538" t="n">
        <v>137.15</v>
      </c>
    </row>
    <row r="11104">
      <c r="A11104" s="544" t="n">
        <v>44754</v>
      </c>
      <c r="B11104" s="538" t="n">
        <v>106.98</v>
      </c>
      <c r="C11104" s="538" t="n">
        <v>97.69</v>
      </c>
      <c r="D11104" s="538" t="n">
        <v>94.8</v>
      </c>
      <c r="E11104" s="538" t="n">
        <v>137.65</v>
      </c>
    </row>
    <row r="11105">
      <c r="A11105" s="544" t="n">
        <v>44755</v>
      </c>
      <c r="B11105" s="538" t="n">
        <v>107.17</v>
      </c>
      <c r="C11105" s="538" t="n">
        <v>98.44</v>
      </c>
      <c r="D11105" s="538" t="n">
        <v>95.31999999999999</v>
      </c>
      <c r="E11105" s="538" t="n">
        <v>137.38</v>
      </c>
    </row>
    <row r="11106">
      <c r="A11106" s="544" t="n">
        <v>44756</v>
      </c>
      <c r="B11106" s="538" t="n">
        <v>107.74</v>
      </c>
      <c r="C11106" s="538" t="n">
        <v>97.79000000000001</v>
      </c>
      <c r="D11106" s="538" t="n">
        <v>95.08</v>
      </c>
      <c r="E11106" s="538" t="n">
        <v>133.22</v>
      </c>
    </row>
    <row r="11107">
      <c r="A11107" s="544" t="n">
        <v>44757</v>
      </c>
      <c r="B11107" s="538" t="n">
        <v>112.26</v>
      </c>
      <c r="C11107" s="538" t="n">
        <v>99.59</v>
      </c>
      <c r="D11107" s="538" t="n">
        <v>97.13</v>
      </c>
      <c r="E11107" s="538" t="n">
        <v>133.54</v>
      </c>
    </row>
    <row r="11108">
      <c r="A11108" s="544" t="n">
        <v>44760</v>
      </c>
      <c r="B11108" s="538" t="n">
        <v>117.27</v>
      </c>
      <c r="C11108" s="538" t="n">
        <v>104.48</v>
      </c>
      <c r="D11108" s="538" t="n">
        <v>102.04</v>
      </c>
      <c r="E11108" s="538" t="n">
        <v>135.35</v>
      </c>
    </row>
    <row r="11109">
      <c r="A11109" s="544" t="n">
        <v>44761</v>
      </c>
      <c r="B11109" s="538" t="n">
        <v>114.96</v>
      </c>
      <c r="C11109" s="538" t="n">
        <v>106.12</v>
      </c>
      <c r="D11109" s="538" t="n">
        <v>102.61</v>
      </c>
      <c r="E11109" s="538" t="n">
        <v>135.05</v>
      </c>
    </row>
    <row r="11110">
      <c r="A11110" s="544" t="n">
        <v>44762</v>
      </c>
      <c r="B11110" s="538" t="n">
        <v>115.86</v>
      </c>
      <c r="C11110" s="538" t="n">
        <v>104.45</v>
      </c>
      <c r="D11110" s="538" t="n">
        <v>101.2</v>
      </c>
      <c r="E11110" s="538" t="n">
        <v>131.76</v>
      </c>
    </row>
    <row r="11111">
      <c r="A11111" s="544" t="n">
        <v>44763</v>
      </c>
      <c r="B11111" s="538" t="n">
        <v>112.81</v>
      </c>
      <c r="C11111" s="538" t="n">
        <v>98.44</v>
      </c>
      <c r="D11111" s="538" t="n">
        <v>100.94</v>
      </c>
      <c r="E11111" s="538" t="n">
        <v>130</v>
      </c>
    </row>
    <row r="11112">
      <c r="A11112" s="544" t="n">
        <v>44764</v>
      </c>
      <c r="B11112" s="538" t="n">
        <v>106.77</v>
      </c>
      <c r="C11112" s="538" t="n">
        <v>97.70999999999999</v>
      </c>
      <c r="D11112" s="538" t="n">
        <v>99.08</v>
      </c>
      <c r="E11112" s="538" t="n">
        <v>130.3</v>
      </c>
    </row>
    <row r="11113">
      <c r="A11113" s="544" t="n">
        <v>44767</v>
      </c>
      <c r="B11113" s="538" t="n">
        <v>108.23</v>
      </c>
      <c r="C11113" s="538" t="n">
        <v>99.83</v>
      </c>
      <c r="D11113" s="538" t="n">
        <v>102.19</v>
      </c>
      <c r="E11113" s="538" t="n">
        <v>124.87</v>
      </c>
    </row>
    <row r="11114">
      <c r="A11114" s="544" t="n">
        <v>44768</v>
      </c>
      <c r="B11114" s="538" t="n">
        <v>107.32</v>
      </c>
      <c r="C11114" s="538" t="n">
        <v>97.73999999999999</v>
      </c>
      <c r="D11114" s="538" t="n">
        <v>99.84</v>
      </c>
      <c r="E11114" s="538" t="n">
        <v>131.56</v>
      </c>
    </row>
    <row r="11115">
      <c r="A11115" s="544" t="n">
        <v>44769</v>
      </c>
      <c r="B11115" s="538" t="n">
        <v>109.64</v>
      </c>
      <c r="C11115" s="538" t="n">
        <v>100.03</v>
      </c>
      <c r="D11115" s="538" t="n">
        <v>103.5</v>
      </c>
      <c r="E11115" s="538" t="n">
        <v>131.77</v>
      </c>
    </row>
    <row r="11116">
      <c r="A11116" s="544" t="n">
        <v>44770</v>
      </c>
      <c r="B11116" s="538" t="n">
        <v>109.68</v>
      </c>
      <c r="C11116" s="538" t="n">
        <v>99.11</v>
      </c>
      <c r="D11116" s="538" t="n">
        <v>102.55</v>
      </c>
      <c r="E11116" s="538" t="n">
        <v>137.87</v>
      </c>
    </row>
    <row r="11117">
      <c r="A11117" s="544" t="n">
        <v>44771</v>
      </c>
      <c r="B11117" s="538" t="n">
        <v>111.51</v>
      </c>
      <c r="C11117" s="538" t="n">
        <v>101.31</v>
      </c>
      <c r="D11117" s="538" t="n">
        <v>104.36</v>
      </c>
      <c r="E11117" s="538" t="n">
        <v>135.57</v>
      </c>
    </row>
    <row r="11118">
      <c r="A11118" s="544" t="n">
        <v>44774</v>
      </c>
      <c r="B11118" s="538" t="n">
        <v>106.09</v>
      </c>
      <c r="C11118" s="538" t="n">
        <v>96.59</v>
      </c>
      <c r="D11118" s="538" t="n">
        <v>95.68000000000001</v>
      </c>
      <c r="E11118" s="538" t="n">
        <v>130.9</v>
      </c>
    </row>
    <row r="11119">
      <c r="A11119" s="544" t="n">
        <v>44775</v>
      </c>
      <c r="B11119" s="538" t="n">
        <v>106.51</v>
      </c>
      <c r="C11119" s="538" t="n">
        <v>97.14</v>
      </c>
      <c r="D11119" s="538" t="n">
        <v>97.01000000000001</v>
      </c>
      <c r="E11119" s="538" t="n">
        <v>124.06</v>
      </c>
    </row>
    <row r="11120">
      <c r="A11120" s="544" t="n">
        <v>44776</v>
      </c>
      <c r="B11120" s="538" t="n">
        <v>101.82</v>
      </c>
      <c r="C11120" s="538" t="n">
        <v>93.25</v>
      </c>
      <c r="D11120" s="538" t="n">
        <v>93.98999999999999</v>
      </c>
      <c r="E11120" s="538" t="n">
        <v>123.64</v>
      </c>
    </row>
    <row r="11121">
      <c r="A11121" s="544" t="n">
        <v>44777</v>
      </c>
      <c r="B11121" s="538" t="n">
        <v>97.98999999999999</v>
      </c>
      <c r="C11121" s="538" t="n">
        <v>91.29000000000001</v>
      </c>
      <c r="D11121" s="538" t="n">
        <v>91.09</v>
      </c>
      <c r="E11121" s="538" t="n">
        <v>127.28</v>
      </c>
    </row>
    <row r="11122">
      <c r="A11122" s="544" t="n">
        <v>44778</v>
      </c>
      <c r="B11122" s="538" t="n">
        <v>100.31</v>
      </c>
      <c r="C11122" s="538" t="n">
        <v>91.77</v>
      </c>
      <c r="D11122" s="538" t="n">
        <v>91.87</v>
      </c>
      <c r="E11122" s="538" t="n">
        <v>122.1</v>
      </c>
    </row>
    <row r="11123">
      <c r="A11123" s="544" t="n">
        <v>44781</v>
      </c>
      <c r="B11123" s="538" t="n">
        <v>103.46</v>
      </c>
      <c r="C11123" s="538" t="n">
        <v>93.52</v>
      </c>
      <c r="D11123" s="538" t="n">
        <v>93.38</v>
      </c>
      <c r="E11123" s="538" t="n">
        <v>116.85</v>
      </c>
    </row>
    <row r="11124">
      <c r="A11124" s="544" t="n">
        <v>44782</v>
      </c>
      <c r="B11124" s="538" t="n">
        <v>103.81</v>
      </c>
      <c r="C11124" s="538" t="n">
        <v>93.18000000000001</v>
      </c>
      <c r="D11124" s="538" t="n">
        <v>93.23</v>
      </c>
      <c r="E11124" s="538" t="n">
        <v>116.85</v>
      </c>
    </row>
    <row r="11125">
      <c r="A11125" s="544" t="n">
        <v>44783</v>
      </c>
      <c r="B11125" s="538" t="n">
        <v>105.06</v>
      </c>
      <c r="C11125" s="538" t="n">
        <v>94.68000000000001</v>
      </c>
      <c r="D11125" s="538" t="n">
        <v>94.90000000000001</v>
      </c>
      <c r="E11125" s="538" t="n">
        <v>121.67</v>
      </c>
    </row>
    <row r="11126">
      <c r="A11126" s="544" t="n">
        <v>44784</v>
      </c>
      <c r="B11126" s="538" t="n">
        <v>107.19</v>
      </c>
      <c r="C11126" s="538" t="n">
        <v>97.02</v>
      </c>
      <c r="D11126" s="538" t="n">
        <v>96.42</v>
      </c>
      <c r="E11126" s="538" t="n">
        <v>126.78</v>
      </c>
    </row>
    <row r="11127">
      <c r="A11127" s="544" t="n">
        <v>44785</v>
      </c>
      <c r="B11127" s="538" t="n">
        <v>103.7</v>
      </c>
      <c r="C11127" s="538" t="n">
        <v>94.86</v>
      </c>
      <c r="D11127" s="538" t="n">
        <v>95.42</v>
      </c>
      <c r="E11127" s="538" t="n">
        <v>130.43</v>
      </c>
    </row>
    <row r="11128">
      <c r="A11128" s="544" t="n">
        <v>44788</v>
      </c>
      <c r="B11128" s="538" t="n">
        <v>98.25</v>
      </c>
      <c r="C11128" s="538" t="n">
        <v>92.23999999999999</v>
      </c>
      <c r="D11128" s="538" t="n">
        <v>92.20999999999999</v>
      </c>
      <c r="E11128" s="538" t="n">
        <v>127.46</v>
      </c>
    </row>
    <row r="11129">
      <c r="A11129" s="544" t="n">
        <v>44789</v>
      </c>
      <c r="B11129" s="538" t="n">
        <v>95.36</v>
      </c>
      <c r="C11129" s="538" t="n">
        <v>89.23</v>
      </c>
      <c r="D11129" s="538" t="n">
        <v>90.20999999999999</v>
      </c>
      <c r="E11129" s="538" t="n">
        <v>128.46</v>
      </c>
    </row>
    <row r="11130">
      <c r="A11130" s="544" t="n">
        <v>44790</v>
      </c>
      <c r="B11130" s="538" t="n">
        <v>97.22</v>
      </c>
      <c r="C11130" s="538" t="n">
        <v>90.84999999999999</v>
      </c>
      <c r="D11130" s="538" t="n">
        <v>91.11</v>
      </c>
      <c r="E11130" s="538" t="n">
        <v>128.41</v>
      </c>
    </row>
    <row r="11131">
      <c r="A11131" s="544" t="n">
        <v>44791</v>
      </c>
      <c r="B11131" s="538" t="n">
        <v>96.34999999999999</v>
      </c>
      <c r="C11131" s="538" t="n">
        <v>93.2</v>
      </c>
      <c r="D11131" s="538" t="n">
        <v>94.33</v>
      </c>
      <c r="E11131" s="538" t="n">
        <v>131.99</v>
      </c>
    </row>
    <row r="11132">
      <c r="A11132" s="544" t="n">
        <v>44792</v>
      </c>
      <c r="B11132" s="538" t="n">
        <v>96.45</v>
      </c>
      <c r="C11132" s="538" t="n">
        <v>93.55</v>
      </c>
      <c r="D11132" s="538" t="n">
        <v>95.45999999999999</v>
      </c>
      <c r="E11132" s="538" t="n">
        <v>133.29</v>
      </c>
    </row>
    <row r="11133">
      <c r="A11133" s="544" t="n">
        <v>44795</v>
      </c>
      <c r="B11133" s="538" t="n">
        <v>95.06</v>
      </c>
      <c r="C11133" s="538" t="n">
        <v>93.42</v>
      </c>
      <c r="D11133" s="538" t="n">
        <v>96</v>
      </c>
      <c r="E11133" s="538" t="n">
        <v>135.55</v>
      </c>
    </row>
    <row r="11134">
      <c r="A11134" s="544" t="n">
        <v>44796</v>
      </c>
      <c r="B11134" s="538" t="n">
        <v>99.48999999999999</v>
      </c>
      <c r="C11134" s="538" t="n">
        <v>96.45999999999999</v>
      </c>
      <c r="D11134" s="538" t="n">
        <v>98.41</v>
      </c>
      <c r="E11134" s="538" t="n">
        <v>141.69</v>
      </c>
    </row>
    <row r="11135">
      <c r="A11135" s="544" t="n">
        <v>44797</v>
      </c>
      <c r="B11135" s="538" t="n">
        <v>99.87</v>
      </c>
      <c r="C11135" s="538" t="n">
        <v>95.52</v>
      </c>
      <c r="D11135" s="538" t="n">
        <v>100.7</v>
      </c>
      <c r="E11135" s="538" t="n">
        <v>143.81</v>
      </c>
    </row>
    <row r="11136">
      <c r="A11136" s="544" t="n">
        <v>44798</v>
      </c>
      <c r="B11136" s="538" t="n">
        <v>98.81</v>
      </c>
      <c r="C11136" s="538" t="n">
        <v>93.33</v>
      </c>
      <c r="D11136" s="538" t="n">
        <v>100.03</v>
      </c>
      <c r="E11136" s="538" t="n">
        <v>149.97</v>
      </c>
    </row>
    <row r="11137">
      <c r="A11137" s="544" t="n">
        <v>44799</v>
      </c>
      <c r="B11137" s="538" t="n">
        <v>101.13</v>
      </c>
      <c r="C11137" s="538" t="n">
        <v>93.63</v>
      </c>
      <c r="D11137" s="538" t="n">
        <v>100.12</v>
      </c>
      <c r="E11137" s="538" t="n">
        <v>147.28</v>
      </c>
    </row>
    <row r="11138">
      <c r="A11138" s="544" t="n">
        <v>44802</v>
      </c>
      <c r="B11138" s="538" t="n">
        <v>101.13</v>
      </c>
      <c r="C11138" s="538" t="n">
        <v>97.40000000000001</v>
      </c>
      <c r="D11138" s="538" t="n">
        <v>104.16</v>
      </c>
      <c r="E11138" s="538" t="n">
        <v>146.48</v>
      </c>
    </row>
    <row r="11139">
      <c r="A11139" s="544" t="n">
        <v>44803</v>
      </c>
      <c r="B11139" s="538" t="n">
        <v>99.34</v>
      </c>
      <c r="C11139" s="538" t="n">
        <v>92.08</v>
      </c>
      <c r="D11139" s="538" t="n">
        <v>99.93000000000001</v>
      </c>
      <c r="E11139" s="538" t="n">
        <v>144.38</v>
      </c>
    </row>
    <row r="11140">
      <c r="A11140" s="544" t="n">
        <v>44804</v>
      </c>
      <c r="B11140" s="538" t="n">
        <v>96.55</v>
      </c>
      <c r="C11140" s="538" t="n">
        <v>90.09</v>
      </c>
      <c r="D11140" s="538" t="n">
        <v>92.58</v>
      </c>
      <c r="E11140" s="538" t="n">
        <v>139.14</v>
      </c>
    </row>
    <row r="11141">
      <c r="A11141" s="544" t="n">
        <v>44805</v>
      </c>
      <c r="B11141" s="538" t="n">
        <v>92.23999999999999</v>
      </c>
      <c r="C11141" s="538" t="n">
        <v>87.09</v>
      </c>
      <c r="D11141" s="538" t="n">
        <v>91.51000000000001</v>
      </c>
      <c r="E11141" s="538" t="n">
        <v>132</v>
      </c>
    </row>
    <row r="11142">
      <c r="A11142" s="544" t="n">
        <v>44806</v>
      </c>
      <c r="B11142" s="538" t="n">
        <v>93.09</v>
      </c>
      <c r="C11142" s="538" t="n">
        <v>87.29000000000001</v>
      </c>
      <c r="D11142" s="538" t="n">
        <v>90.94</v>
      </c>
      <c r="E11142" s="538" t="n">
        <v>132.81</v>
      </c>
    </row>
    <row r="11143">
      <c r="A11143" s="544" t="n">
        <v>44809</v>
      </c>
      <c r="B11143" s="538" t="n">
        <v>94.22</v>
      </c>
      <c r="C11143" s="538" t="n">
        <v>87.29000000000001</v>
      </c>
      <c r="D11143" s="538" t="n">
        <v>93.40000000000001</v>
      </c>
      <c r="E11143" s="538" t="n">
        <v>138.59</v>
      </c>
    </row>
    <row r="11144">
      <c r="A11144" s="544" t="n">
        <v>44810</v>
      </c>
      <c r="B11144" s="538" t="n">
        <v>91.43000000000001</v>
      </c>
      <c r="C11144" s="538" t="n">
        <v>87.34999999999999</v>
      </c>
      <c r="D11144" s="538" t="n">
        <v>90.48</v>
      </c>
      <c r="E11144" s="538" t="n">
        <v>135.61</v>
      </c>
    </row>
    <row r="11145">
      <c r="A11145" s="544" t="n">
        <v>44811</v>
      </c>
      <c r="B11145" s="538" t="n">
        <v>86.83</v>
      </c>
      <c r="C11145" s="538" t="n">
        <v>82.5</v>
      </c>
      <c r="D11145" s="538" t="n">
        <v>87.29000000000001</v>
      </c>
      <c r="E11145" s="538" t="n">
        <v>131.09</v>
      </c>
    </row>
    <row r="11146">
      <c r="A11146" s="544" t="n">
        <v>44812</v>
      </c>
      <c r="B11146" s="538" t="n">
        <v>87.98999999999999</v>
      </c>
      <c r="C11146" s="538" t="n">
        <v>84.04000000000001</v>
      </c>
      <c r="D11146" s="538" t="n">
        <v>88.27</v>
      </c>
      <c r="E11146" s="538" t="n">
        <v>129.87</v>
      </c>
    </row>
    <row r="11147">
      <c r="A11147" s="544" t="n">
        <v>44813</v>
      </c>
      <c r="B11147" s="538" t="n">
        <v>91.68000000000001</v>
      </c>
      <c r="C11147" s="538" t="n">
        <v>87.27</v>
      </c>
      <c r="D11147" s="538" t="n">
        <v>91.45999999999999</v>
      </c>
      <c r="E11147" s="538" t="n">
        <v>130.2</v>
      </c>
    </row>
    <row r="11148">
      <c r="A11148" s="544" t="n">
        <v>44816</v>
      </c>
      <c r="B11148" s="538" t="n">
        <v>93.45</v>
      </c>
      <c r="C11148" s="538" t="n">
        <v>88.18000000000001</v>
      </c>
      <c r="D11148" s="538" t="n">
        <v>92.37</v>
      </c>
      <c r="E11148" s="538" t="n">
        <v>130.2</v>
      </c>
    </row>
    <row r="11149">
      <c r="A11149" s="544" t="n">
        <v>44817</v>
      </c>
      <c r="B11149" s="538" t="n">
        <v>92.04000000000001</v>
      </c>
      <c r="C11149" s="538" t="n">
        <v>87.84</v>
      </c>
      <c r="D11149" s="538" t="n">
        <v>91.7</v>
      </c>
      <c r="E11149" s="538" t="n">
        <v>132.27</v>
      </c>
    </row>
    <row r="11150">
      <c r="A11150" s="544" t="n">
        <v>44818</v>
      </c>
      <c r="B11150" s="538" t="n">
        <v>92.83</v>
      </c>
      <c r="C11150" s="538" t="n">
        <v>88.88</v>
      </c>
      <c r="D11150" s="538" t="n">
        <v>92.36</v>
      </c>
      <c r="E11150" s="538" t="n">
        <v>120.33</v>
      </c>
    </row>
    <row r="11151">
      <c r="A11151" s="544" t="n">
        <v>44819</v>
      </c>
      <c r="B11151" s="538" t="n">
        <v>89.28</v>
      </c>
      <c r="C11151" s="538" t="n">
        <v>85.72</v>
      </c>
      <c r="D11151" s="538" t="n">
        <v>90.34999999999999</v>
      </c>
      <c r="E11151" s="538" t="n">
        <v>111.94</v>
      </c>
    </row>
    <row r="11152">
      <c r="A11152" s="544" t="n">
        <v>44820</v>
      </c>
      <c r="B11152" s="538" t="n">
        <v>89.43000000000001</v>
      </c>
      <c r="C11152" s="538" t="n">
        <v>85.56999999999999</v>
      </c>
      <c r="D11152" s="538" t="n">
        <v>91.15000000000001</v>
      </c>
      <c r="E11152" s="538" t="n">
        <v>110.41</v>
      </c>
    </row>
    <row r="11153">
      <c r="A11153" s="544" t="n">
        <v>44823</v>
      </c>
      <c r="B11153" s="538" t="n">
        <v>89.43000000000001</v>
      </c>
      <c r="C11153" s="538" t="n">
        <v>86.15000000000001</v>
      </c>
      <c r="D11153" s="538" t="n">
        <v>91.33</v>
      </c>
      <c r="E11153" s="538" t="n">
        <v>111.75</v>
      </c>
    </row>
    <row r="11154">
      <c r="A11154" s="544" t="n">
        <v>44824</v>
      </c>
      <c r="B11154" s="538" t="n">
        <v>89.62</v>
      </c>
      <c r="C11154" s="538" t="n">
        <v>84.69</v>
      </c>
      <c r="D11154" s="538" t="n">
        <v>90.70999999999999</v>
      </c>
      <c r="E11154" s="538" t="n">
        <v>119.07</v>
      </c>
    </row>
    <row r="11155">
      <c r="A11155" s="544" t="n">
        <v>44825</v>
      </c>
      <c r="B11155" s="538" t="n">
        <v>89.86</v>
      </c>
      <c r="C11155" s="538" t="n">
        <v>83.38</v>
      </c>
      <c r="D11155" s="538" t="n">
        <v>90.12</v>
      </c>
      <c r="E11155" s="538" t="n">
        <v>122.48</v>
      </c>
    </row>
    <row r="11156">
      <c r="A11156" s="544" t="n">
        <v>44826</v>
      </c>
      <c r="B11156" s="538" t="n">
        <v>90.40000000000001</v>
      </c>
      <c r="C11156" s="538" t="n">
        <v>84.02</v>
      </c>
      <c r="D11156" s="538" t="n">
        <v>90.62</v>
      </c>
      <c r="E11156" s="538" t="n">
        <v>119.36</v>
      </c>
    </row>
    <row r="11157">
      <c r="A11157" s="544" t="n">
        <v>44827</v>
      </c>
      <c r="B11157" s="538" t="n">
        <v>84.29000000000001</v>
      </c>
      <c r="C11157" s="538" t="n">
        <v>79.06999999999999</v>
      </c>
      <c r="D11157" s="538" t="n">
        <v>86.48999999999999</v>
      </c>
      <c r="E11157" s="538" t="n">
        <v>113.9</v>
      </c>
    </row>
    <row r="11158">
      <c r="A11158" s="544" t="n">
        <v>44830</v>
      </c>
      <c r="B11158" s="538" t="n">
        <v>82.55</v>
      </c>
      <c r="C11158" s="538" t="n">
        <v>77.17</v>
      </c>
      <c r="D11158" s="538" t="n">
        <v>84.25</v>
      </c>
      <c r="E11158" s="538" t="n">
        <v>109.77</v>
      </c>
    </row>
    <row r="11159">
      <c r="A11159" s="544" t="n">
        <v>44831</v>
      </c>
      <c r="B11159" s="538" t="n">
        <v>85.97</v>
      </c>
      <c r="C11159" s="538" t="n">
        <v>78.91</v>
      </c>
      <c r="D11159" s="538" t="n">
        <v>84.56999999999999</v>
      </c>
      <c r="E11159" s="538" t="n">
        <v>109.71</v>
      </c>
    </row>
    <row r="11160">
      <c r="A11160" s="544" t="n">
        <v>44832</v>
      </c>
      <c r="B11160" s="538" t="n">
        <v>89.55</v>
      </c>
      <c r="C11160" s="538" t="n">
        <v>82.61</v>
      </c>
      <c r="D11160" s="538" t="n">
        <v>88.98</v>
      </c>
      <c r="E11160" s="538" t="n">
        <v>111.05</v>
      </c>
    </row>
    <row r="11161">
      <c r="A11161" s="544" t="n">
        <v>44833</v>
      </c>
      <c r="B11161" s="538" t="n">
        <v>89.41</v>
      </c>
      <c r="C11161" s="538" t="n">
        <v>81.78</v>
      </c>
      <c r="D11161" s="538" t="n">
        <v>88.43000000000001</v>
      </c>
      <c r="E11161" s="538" t="n">
        <v>117.05</v>
      </c>
    </row>
    <row r="11162">
      <c r="A11162" s="544" t="n">
        <v>44834</v>
      </c>
      <c r="B11162" s="538" t="n">
        <v>88.90000000000001</v>
      </c>
      <c r="C11162" s="538" t="n">
        <v>79.91</v>
      </c>
      <c r="D11162" s="538" t="n">
        <v>83.43000000000001</v>
      </c>
      <c r="E11162" s="538" t="n">
        <v>113.44</v>
      </c>
    </row>
    <row r="11163">
      <c r="A11163" s="544" t="n">
        <v>44837</v>
      </c>
      <c r="B11163" s="538" t="n">
        <v>90.68000000000001</v>
      </c>
      <c r="C11163" s="538" t="n">
        <v>84.05</v>
      </c>
      <c r="D11163" s="538" t="n">
        <v>87.3</v>
      </c>
      <c r="E11163" s="538" t="n">
        <v>115.27</v>
      </c>
    </row>
    <row r="11164">
      <c r="A11164" s="544" t="n">
        <v>44838</v>
      </c>
      <c r="B11164" s="538" t="n">
        <v>93.73999999999999</v>
      </c>
      <c r="C11164" s="538" t="n">
        <v>86.87</v>
      </c>
      <c r="D11164" s="538" t="n">
        <v>89.98999999999999</v>
      </c>
      <c r="E11164" s="538" t="n">
        <v>115.24</v>
      </c>
    </row>
    <row r="11165">
      <c r="A11165" s="544" t="n">
        <v>44839</v>
      </c>
      <c r="B11165" s="538" t="n">
        <v>94.34999999999999</v>
      </c>
      <c r="C11165" s="538" t="n">
        <v>88.22</v>
      </c>
      <c r="D11165" s="538" t="n">
        <v>92.17</v>
      </c>
      <c r="E11165" s="538" t="n">
        <v>117.92</v>
      </c>
    </row>
    <row r="11166">
      <c r="A11166" s="544" t="n">
        <v>44840</v>
      </c>
      <c r="B11166" s="538" t="n">
        <v>95.65000000000001</v>
      </c>
      <c r="C11166" s="538" t="n">
        <v>88.90000000000001</v>
      </c>
      <c r="D11166" s="538" t="n">
        <v>93.39</v>
      </c>
      <c r="E11166" s="538" t="n">
        <v>125.28</v>
      </c>
    </row>
    <row r="11167">
      <c r="A11167" s="544" t="n">
        <v>44841</v>
      </c>
      <c r="B11167" s="538" t="n">
        <v>98.88</v>
      </c>
      <c r="C11167" s="538" t="n">
        <v>93.06999999999999</v>
      </c>
      <c r="D11167" s="538" t="n">
        <v>96.67</v>
      </c>
      <c r="E11167" s="538" t="n">
        <v>129.72</v>
      </c>
    </row>
    <row r="11168">
      <c r="A11168" s="544" t="n">
        <v>44844</v>
      </c>
      <c r="B11168" s="538" t="n">
        <v>97.13</v>
      </c>
      <c r="C11168" s="538" t="n">
        <v>91.59999999999999</v>
      </c>
      <c r="D11168" s="538" t="n">
        <v>94.42</v>
      </c>
      <c r="E11168" s="538" t="n">
        <v>129.85</v>
      </c>
    </row>
    <row r="11169">
      <c r="A11169" s="544" t="n">
        <v>44845</v>
      </c>
      <c r="B11169" s="538" t="n">
        <v>95.17</v>
      </c>
      <c r="C11169" s="538" t="n">
        <v>89.75</v>
      </c>
      <c r="D11169" s="538" t="n">
        <v>91.98</v>
      </c>
      <c r="E11169" s="538" t="n">
        <v>121.79</v>
      </c>
    </row>
    <row r="11170">
      <c r="A11170" s="544" t="n">
        <v>44846</v>
      </c>
      <c r="B11170" s="538" t="n">
        <v>93.44</v>
      </c>
      <c r="C11170" s="538" t="n">
        <v>87.83</v>
      </c>
      <c r="D11170" s="538" t="n">
        <v>90.5</v>
      </c>
      <c r="E11170" s="538" t="n">
        <v>123.35</v>
      </c>
    </row>
    <row r="11171">
      <c r="A11171" s="544" t="n">
        <v>44847</v>
      </c>
      <c r="B11171" s="538" t="n">
        <v>95.16</v>
      </c>
      <c r="C11171" s="538" t="n">
        <v>89.59</v>
      </c>
      <c r="D11171" s="538" t="n">
        <v>92.55</v>
      </c>
      <c r="E11171" s="538" t="n">
        <v>125.88</v>
      </c>
    </row>
    <row r="11172">
      <c r="A11172" s="544" t="n">
        <v>44848</v>
      </c>
      <c r="B11172" s="538" t="n">
        <v>92.22</v>
      </c>
      <c r="C11172" s="538" t="n">
        <v>86.09999999999999</v>
      </c>
      <c r="D11172" s="538" t="n">
        <v>89.45</v>
      </c>
      <c r="E11172" s="538" t="n">
        <v>127.27</v>
      </c>
    </row>
    <row r="11173">
      <c r="A11173" s="544" t="n">
        <v>44851</v>
      </c>
      <c r="B11173" s="538" t="n">
        <v>91.04000000000001</v>
      </c>
      <c r="C11173" s="538" t="n">
        <v>86</v>
      </c>
      <c r="D11173" s="538" t="n">
        <v>88.38</v>
      </c>
      <c r="E11173" s="538" t="n">
        <v>126.16</v>
      </c>
    </row>
    <row r="11174">
      <c r="A11174" s="544" t="n">
        <v>44852</v>
      </c>
      <c r="B11174" s="538" t="n">
        <v>89.45999999999999</v>
      </c>
      <c r="C11174" s="538" t="n">
        <v>83.29000000000001</v>
      </c>
      <c r="D11174" s="538" t="n">
        <v>87.81</v>
      </c>
      <c r="E11174" s="538" t="n">
        <v>127.62</v>
      </c>
    </row>
    <row r="11175">
      <c r="A11175" s="544" t="n">
        <v>44853</v>
      </c>
      <c r="B11175" s="538" t="n">
        <v>91.34</v>
      </c>
      <c r="C11175" s="538" t="n">
        <v>86</v>
      </c>
      <c r="D11175" s="538" t="n">
        <v>88.70999999999999</v>
      </c>
      <c r="E11175" s="538" t="n">
        <v>121.5</v>
      </c>
    </row>
    <row r="11176">
      <c r="A11176" s="544" t="n">
        <v>44854</v>
      </c>
      <c r="B11176" s="538" t="n">
        <v>91.52</v>
      </c>
      <c r="C11176" s="538" t="n">
        <v>86.02</v>
      </c>
      <c r="D11176" s="538" t="n">
        <v>90.01000000000001</v>
      </c>
      <c r="E11176" s="538" t="n">
        <v>125.08</v>
      </c>
    </row>
    <row r="11177">
      <c r="A11177" s="544" t="n">
        <v>44855</v>
      </c>
      <c r="B11177" s="538" t="n">
        <v>91.81999999999999</v>
      </c>
      <c r="C11177" s="538" t="n">
        <v>85.47</v>
      </c>
      <c r="D11177" s="538" t="n">
        <v>90.97</v>
      </c>
      <c r="E11177" s="538" t="n">
        <v>119.96</v>
      </c>
    </row>
    <row r="11178">
      <c r="A11178" s="544" t="n">
        <v>44858</v>
      </c>
      <c r="B11178" s="538" t="n">
        <v>91.56999999999999</v>
      </c>
      <c r="C11178" s="538" t="n">
        <v>86.12</v>
      </c>
      <c r="D11178" s="538" t="n">
        <v>90.69</v>
      </c>
      <c r="E11178" s="538" t="n">
        <v>119.96</v>
      </c>
    </row>
    <row r="11179">
      <c r="A11179" s="544" t="n">
        <v>44859</v>
      </c>
      <c r="B11179" s="538" t="n">
        <v>91.76000000000001</v>
      </c>
      <c r="C11179" s="538" t="n">
        <v>86.93000000000001</v>
      </c>
      <c r="D11179" s="538" t="n">
        <v>90.54000000000001</v>
      </c>
      <c r="E11179" s="538" t="n">
        <v>121.31</v>
      </c>
    </row>
    <row r="11180">
      <c r="A11180" s="544" t="n">
        <v>44860</v>
      </c>
      <c r="B11180" s="538" t="n">
        <v>92.93000000000001</v>
      </c>
      <c r="C11180" s="538" t="n">
        <v>89.39</v>
      </c>
      <c r="D11180" s="538" t="n">
        <v>93.29000000000001</v>
      </c>
      <c r="E11180" s="538" t="n">
        <v>122.09</v>
      </c>
    </row>
    <row r="11181">
      <c r="A11181" s="544" t="n">
        <v>44861</v>
      </c>
      <c r="B11181" s="538" t="n">
        <v>94.17</v>
      </c>
      <c r="C11181" s="538" t="n">
        <v>89.06</v>
      </c>
      <c r="D11181" s="538" t="n">
        <v>92.77</v>
      </c>
      <c r="E11181" s="538" t="n">
        <v>125.32</v>
      </c>
    </row>
    <row r="11182">
      <c r="A11182" s="544" t="n">
        <v>44862</v>
      </c>
      <c r="B11182" s="538" t="n">
        <v>94.64</v>
      </c>
      <c r="C11182" s="538" t="n">
        <v>87.84999999999999</v>
      </c>
      <c r="D11182" s="538" t="n">
        <v>92.51000000000001</v>
      </c>
      <c r="E11182" s="538" t="n">
        <v>126.66</v>
      </c>
    </row>
    <row r="11183">
      <c r="A11183" s="544" t="n">
        <v>44865</v>
      </c>
      <c r="B11183" s="538" t="n">
        <v>93.3</v>
      </c>
      <c r="C11183" s="538" t="n">
        <v>86.54000000000001</v>
      </c>
      <c r="D11183" s="538" t="n">
        <v>90.76000000000001</v>
      </c>
      <c r="E11183" s="538" t="n">
        <v>124.46</v>
      </c>
    </row>
    <row r="11184">
      <c r="A11184" s="544" t="n">
        <v>44866</v>
      </c>
      <c r="B11184" s="538" t="n">
        <v>95.12</v>
      </c>
      <c r="C11184" s="538" t="n">
        <v>88.36</v>
      </c>
      <c r="D11184" s="538" t="n">
        <v>91.34999999999999</v>
      </c>
      <c r="E11184" s="538" t="n">
        <v>123.44</v>
      </c>
    </row>
    <row r="11185">
      <c r="A11185" s="544" t="n">
        <v>44867</v>
      </c>
      <c r="B11185" s="538" t="n">
        <v>96.06999999999999</v>
      </c>
      <c r="C11185" s="538" t="n">
        <v>90.06</v>
      </c>
      <c r="D11185" s="538" t="n">
        <v>90.53</v>
      </c>
      <c r="E11185" s="538" t="n">
        <v>119.11</v>
      </c>
    </row>
    <row r="11186">
      <c r="A11186" s="544" t="n">
        <v>44868</v>
      </c>
      <c r="B11186" s="538" t="n">
        <v>95.29000000000001</v>
      </c>
      <c r="C11186" s="538" t="n">
        <v>88.14</v>
      </c>
      <c r="D11186" s="538" t="n">
        <v>88.73</v>
      </c>
      <c r="E11186" s="538" t="n">
        <v>120.82</v>
      </c>
    </row>
    <row r="11187">
      <c r="A11187" s="544" t="n">
        <v>44869</v>
      </c>
      <c r="B11187" s="538" t="n">
        <v>99.53</v>
      </c>
      <c r="C11187" s="538" t="n">
        <v>92.58</v>
      </c>
      <c r="D11187" s="538" t="n">
        <v>93.36</v>
      </c>
      <c r="E11187" s="538" t="n">
        <v>127.16</v>
      </c>
    </row>
    <row r="11188">
      <c r="A11188" s="544" t="n">
        <v>44872</v>
      </c>
      <c r="B11188" s="538" t="n">
        <v>99.87</v>
      </c>
      <c r="C11188" s="538" t="n">
        <v>91.8</v>
      </c>
      <c r="D11188" s="538" t="n">
        <v>91.68000000000001</v>
      </c>
      <c r="E11188" s="538" t="n">
        <v>126.75</v>
      </c>
    </row>
    <row r="11189">
      <c r="A11189" s="544" t="n">
        <v>44873</v>
      </c>
      <c r="B11189" s="538" t="n">
        <v>96.84999999999999</v>
      </c>
      <c r="C11189" s="538" t="n">
        <v>88.8</v>
      </c>
      <c r="D11189" s="538" t="n">
        <v>89.28</v>
      </c>
      <c r="E11189" s="538" t="n">
        <v>127.3</v>
      </c>
    </row>
    <row r="11190">
      <c r="A11190" s="544" t="n">
        <v>44874</v>
      </c>
      <c r="B11190" s="538" t="n">
        <v>93.05</v>
      </c>
      <c r="C11190" s="538" t="n">
        <v>85.79000000000001</v>
      </c>
      <c r="D11190" s="538" t="n">
        <v>86.61</v>
      </c>
      <c r="E11190" s="538" t="n">
        <v>127.31</v>
      </c>
    </row>
    <row r="11191">
      <c r="A11191" s="544" t="n">
        <v>44875</v>
      </c>
      <c r="B11191" s="538" t="n">
        <v>94.25</v>
      </c>
      <c r="C11191" s="538" t="n">
        <v>86.52</v>
      </c>
      <c r="D11191" s="538" t="n">
        <v>88.19</v>
      </c>
      <c r="E11191" s="538" t="n">
        <v>125.12</v>
      </c>
    </row>
    <row r="11192">
      <c r="A11192" s="544" t="n">
        <v>44876</v>
      </c>
      <c r="B11192" s="538" t="n">
        <v>96.37</v>
      </c>
      <c r="C11192" s="538" t="n">
        <v>89.14</v>
      </c>
      <c r="D11192" s="538" t="n">
        <v>90.56999999999999</v>
      </c>
      <c r="E11192" s="538" t="n">
        <v>127.76</v>
      </c>
    </row>
    <row r="11193">
      <c r="A11193" s="544" t="n">
        <v>44879</v>
      </c>
      <c r="B11193" s="538" t="n">
        <v>93.59</v>
      </c>
      <c r="C11193" s="538" t="n">
        <v>85.84999999999999</v>
      </c>
      <c r="D11193" s="538" t="n">
        <v>87.43000000000001</v>
      </c>
      <c r="E11193" s="538" t="n">
        <v>127.6</v>
      </c>
    </row>
    <row r="11194">
      <c r="A11194" s="544" t="n">
        <v>44880</v>
      </c>
      <c r="B11194" s="538" t="n">
        <v>94.3</v>
      </c>
      <c r="C11194" s="538" t="n">
        <v>86.87</v>
      </c>
      <c r="D11194" s="538" t="n">
        <v>87.23</v>
      </c>
      <c r="E11194" s="538" t="n">
        <v>122.64</v>
      </c>
    </row>
    <row r="11195">
      <c r="A11195" s="544" t="n">
        <v>44881</v>
      </c>
      <c r="B11195" s="538" t="n">
        <v>92.61</v>
      </c>
      <c r="C11195" s="538" t="n">
        <v>85.62</v>
      </c>
      <c r="D11195" s="538" t="n">
        <v>85.67</v>
      </c>
      <c r="E11195" s="538" t="n">
        <v>123.86</v>
      </c>
    </row>
    <row r="11196">
      <c r="A11196" s="544" t="n">
        <v>44882</v>
      </c>
      <c r="B11196" s="538" t="n">
        <v>91</v>
      </c>
      <c r="C11196" s="538" t="n">
        <v>81.69</v>
      </c>
      <c r="D11196" s="538" t="n">
        <v>84.56</v>
      </c>
      <c r="E11196" s="538" t="n">
        <v>122.51</v>
      </c>
    </row>
    <row r="11197">
      <c r="A11197" s="544" t="n">
        <v>44883</v>
      </c>
      <c r="B11197" s="538" t="n">
        <v>88.93000000000001</v>
      </c>
      <c r="C11197" s="538" t="n">
        <v>80.06999999999999</v>
      </c>
      <c r="D11197" s="538" t="n">
        <v>81.7</v>
      </c>
      <c r="E11197" s="538" t="n">
        <v>119.06</v>
      </c>
    </row>
    <row r="11198">
      <c r="A11198" s="544" t="n">
        <v>44886</v>
      </c>
      <c r="B11198" s="538" t="n">
        <v>88.44</v>
      </c>
      <c r="C11198" s="538" t="n">
        <v>79.73999999999999</v>
      </c>
      <c r="D11198" s="538" t="n">
        <v>80.5</v>
      </c>
      <c r="E11198" s="538" t="n">
        <v>117.03</v>
      </c>
    </row>
    <row r="11199">
      <c r="A11199" s="544" t="n">
        <v>44887</v>
      </c>
      <c r="B11199" s="538" t="n">
        <v>88.65000000000001</v>
      </c>
      <c r="C11199" s="538" t="n">
        <v>80.83</v>
      </c>
      <c r="D11199" s="538" t="n">
        <v>80.86</v>
      </c>
      <c r="E11199" s="538" t="n">
        <v>118.85</v>
      </c>
    </row>
    <row r="11200">
      <c r="A11200" s="544" t="n">
        <v>44888</v>
      </c>
      <c r="B11200" s="538" t="n">
        <v>85.90000000000001</v>
      </c>
      <c r="C11200" s="538" t="n">
        <v>77.93000000000001</v>
      </c>
      <c r="D11200" s="538" t="n">
        <v>77.3</v>
      </c>
      <c r="E11200" s="538" t="n">
        <v>119.15</v>
      </c>
    </row>
    <row r="11201">
      <c r="A11201" s="544" t="n">
        <v>44889</v>
      </c>
      <c r="B11201" s="538" t="n">
        <v>85.59</v>
      </c>
      <c r="C11201" s="538" t="n">
        <v>77.93000000000001</v>
      </c>
      <c r="D11201" s="538" t="n">
        <v>77.52</v>
      </c>
      <c r="E11201" s="538" t="n">
        <v>114.51</v>
      </c>
    </row>
    <row r="11202">
      <c r="A11202" s="544" t="n">
        <v>44890</v>
      </c>
      <c r="B11202" s="538" t="n">
        <v>83.40000000000001</v>
      </c>
      <c r="C11202" s="538" t="n">
        <v>76.45</v>
      </c>
      <c r="D11202" s="538" t="n">
        <v>77.09</v>
      </c>
      <c r="E11202" s="538" t="n">
        <v>114.8</v>
      </c>
    </row>
    <row r="11203">
      <c r="A11203" s="544" t="n">
        <v>44893</v>
      </c>
      <c r="B11203" s="538" t="n">
        <v>83.5</v>
      </c>
      <c r="C11203" s="538" t="n">
        <v>77.09999999999999</v>
      </c>
      <c r="D11203" s="538" t="n">
        <v>76.51000000000001</v>
      </c>
      <c r="E11203" s="538" t="n">
        <v>110.55</v>
      </c>
    </row>
    <row r="11204">
      <c r="A11204" s="544" t="n">
        <v>44894</v>
      </c>
      <c r="B11204" s="538" t="n">
        <v>83.22</v>
      </c>
      <c r="C11204" s="538" t="n">
        <v>77.95999999999999</v>
      </c>
      <c r="D11204" s="538" t="n">
        <v>78.08</v>
      </c>
      <c r="E11204" s="538" t="n">
        <v>113.56</v>
      </c>
    </row>
    <row r="11205">
      <c r="A11205" s="544" t="n">
        <v>44895</v>
      </c>
      <c r="B11205" s="538" t="n">
        <v>85.61</v>
      </c>
      <c r="C11205" s="538" t="n">
        <v>80.48</v>
      </c>
      <c r="D11205" s="538" t="n">
        <v>77.87</v>
      </c>
      <c r="E11205" s="538" t="n">
        <v>115.2</v>
      </c>
    </row>
    <row r="11206">
      <c r="A11206" s="544" t="n">
        <v>44896</v>
      </c>
      <c r="B11206" s="538" t="n">
        <v>86.28</v>
      </c>
      <c r="C11206" s="538" t="n">
        <v>81.06</v>
      </c>
      <c r="D11206" s="538" t="n">
        <v>80.59999999999999</v>
      </c>
      <c r="E11206" s="538" t="n">
        <v>117.06</v>
      </c>
    </row>
    <row r="11207">
      <c r="A11207" s="544" t="n">
        <v>44897</v>
      </c>
      <c r="B11207" s="538" t="n">
        <v>86.54000000000001</v>
      </c>
      <c r="C11207" s="538" t="n">
        <v>79.86</v>
      </c>
      <c r="D11207" s="538" t="n">
        <v>79.37</v>
      </c>
      <c r="E11207" s="538" t="n">
        <v>115.18</v>
      </c>
    </row>
    <row r="11208">
      <c r="A11208" s="544" t="n">
        <v>44900</v>
      </c>
      <c r="B11208" s="538" t="n">
        <v>83.36</v>
      </c>
      <c r="C11208" s="538" t="n">
        <v>76.83</v>
      </c>
      <c r="D11208" s="538" t="n">
        <v>77.45</v>
      </c>
      <c r="E11208" s="538" t="n">
        <v>112.57</v>
      </c>
    </row>
    <row r="11209">
      <c r="A11209" s="544" t="n">
        <v>44901</v>
      </c>
      <c r="B11209" s="538" t="n">
        <v>79.92</v>
      </c>
      <c r="C11209" s="538" t="n">
        <v>74.20999999999999</v>
      </c>
      <c r="D11209" s="538" t="n">
        <v>73.39</v>
      </c>
      <c r="E11209" s="538" t="n">
        <v>108.22</v>
      </c>
    </row>
    <row r="11210">
      <c r="A11210" s="544" t="n">
        <v>44902</v>
      </c>
      <c r="B11210" s="538" t="n">
        <v>77.11</v>
      </c>
      <c r="C11210" s="538" t="n">
        <v>71.93000000000001</v>
      </c>
      <c r="D11210" s="538" t="n">
        <v>72.09</v>
      </c>
      <c r="E11210" s="538" t="n">
        <v>104</v>
      </c>
    </row>
    <row r="11211">
      <c r="A11211" s="544" t="n">
        <v>44903</v>
      </c>
      <c r="B11211" s="538" t="n">
        <v>76.02</v>
      </c>
      <c r="C11211" s="538" t="n">
        <v>71.3</v>
      </c>
      <c r="D11211" s="538" t="n">
        <v>71.19</v>
      </c>
      <c r="E11211" s="538" t="n">
        <v>99.58</v>
      </c>
    </row>
    <row r="11212">
      <c r="A11212" s="544" t="n">
        <v>44904</v>
      </c>
      <c r="B11212" s="538" t="n">
        <v>76.37</v>
      </c>
      <c r="C11212" s="538" t="n">
        <v>71.05</v>
      </c>
      <c r="D11212" s="538" t="n">
        <v>70.7</v>
      </c>
      <c r="E11212" s="538" t="n">
        <v>102.7</v>
      </c>
    </row>
    <row r="11213">
      <c r="A11213" s="544" t="n">
        <v>44907</v>
      </c>
      <c r="B11213" s="538" t="n">
        <v>78</v>
      </c>
      <c r="C11213" s="538" t="n">
        <v>72.95999999999999</v>
      </c>
      <c r="D11213" s="538" t="n">
        <v>74.44</v>
      </c>
      <c r="E11213" s="538" t="n">
        <v>99.14</v>
      </c>
    </row>
    <row r="11214">
      <c r="A11214" s="544" t="n">
        <v>44908</v>
      </c>
      <c r="B11214" s="538" t="n">
        <v>80.14</v>
      </c>
      <c r="C11214" s="538" t="n">
        <v>75.44</v>
      </c>
      <c r="D11214" s="538" t="n">
        <v>75.90000000000001</v>
      </c>
      <c r="E11214" s="538" t="n">
        <v>105.54</v>
      </c>
    </row>
    <row r="11215">
      <c r="A11215" s="544" t="n">
        <v>44909</v>
      </c>
      <c r="B11215" s="538" t="n">
        <v>83.33</v>
      </c>
      <c r="C11215" s="538" t="n">
        <v>77.14</v>
      </c>
      <c r="D11215" s="538" t="n">
        <v>77.55</v>
      </c>
      <c r="E11215" s="538" t="n">
        <v>111.54</v>
      </c>
    </row>
    <row r="11216">
      <c r="A11216" s="544" t="n">
        <v>44910</v>
      </c>
      <c r="B11216" s="538" t="n">
        <v>82.34</v>
      </c>
      <c r="C11216" s="538" t="n">
        <v>75.89</v>
      </c>
      <c r="D11216" s="538" t="n">
        <v>77.05</v>
      </c>
      <c r="E11216" s="538" t="n">
        <v>116.31</v>
      </c>
    </row>
    <row r="11217">
      <c r="A11217" s="544" t="n">
        <v>44911</v>
      </c>
      <c r="B11217" s="538" t="n">
        <v>80.2</v>
      </c>
      <c r="C11217" s="538" t="n">
        <v>74.19</v>
      </c>
      <c r="D11217" s="538" t="n">
        <v>75.47</v>
      </c>
      <c r="E11217" s="538" t="n">
        <v>116.1</v>
      </c>
    </row>
    <row r="11218">
      <c r="A11218" s="544" t="n">
        <v>44914</v>
      </c>
      <c r="B11218" s="538" t="n">
        <v>81.66</v>
      </c>
      <c r="C11218" s="538" t="n">
        <v>75.05</v>
      </c>
      <c r="D11218" s="538" t="n">
        <v>76.56999999999999</v>
      </c>
      <c r="E11218" s="538" t="n">
        <v>112</v>
      </c>
    </row>
    <row r="11219">
      <c r="A11219" s="544" t="n">
        <v>44915</v>
      </c>
      <c r="B11219" s="538" t="n">
        <v>79.45</v>
      </c>
      <c r="C11219" s="538" t="n">
        <v>75.92</v>
      </c>
      <c r="D11219" s="538" t="n">
        <v>76.51000000000001</v>
      </c>
      <c r="E11219" s="538" t="n">
        <v>109.15</v>
      </c>
    </row>
    <row r="11220">
      <c r="A11220" s="544" t="n">
        <v>44916</v>
      </c>
      <c r="B11220" s="538" t="n">
        <v>80.25</v>
      </c>
      <c r="C11220" s="538" t="n">
        <v>78.17</v>
      </c>
      <c r="D11220" s="538" t="n">
        <v>78.81</v>
      </c>
      <c r="E11220" s="538" t="n">
        <v>111.91</v>
      </c>
    </row>
    <row r="11221">
      <c r="A11221" s="544" t="n">
        <v>44917</v>
      </c>
      <c r="B11221" s="538" t="n">
        <v>79.58</v>
      </c>
      <c r="C11221" s="538" t="n">
        <v>77.68000000000001</v>
      </c>
      <c r="D11221" s="538" t="n">
        <v>78.25</v>
      </c>
      <c r="E11221" s="538" t="n">
        <v>113.96</v>
      </c>
    </row>
    <row r="11222">
      <c r="A11222" s="544" t="n">
        <v>44918</v>
      </c>
      <c r="B11222" s="538" t="n">
        <v>82.45</v>
      </c>
      <c r="C11222" s="538" t="n">
        <v>79.56999999999999</v>
      </c>
      <c r="D11222" s="538" t="n">
        <v>80.7</v>
      </c>
      <c r="E11222" s="538" t="n">
        <v>112.08</v>
      </c>
    </row>
    <row r="11223">
      <c r="A11223" s="544" t="n">
        <v>44921</v>
      </c>
      <c r="B11223" s="538" t="n">
        <v>82.45</v>
      </c>
      <c r="C11223" s="538" t="n">
        <v>79.56999999999999</v>
      </c>
      <c r="D11223" s="538" t="n">
        <v>81.51000000000001</v>
      </c>
      <c r="E11223" s="538" t="n">
        <v>112.08</v>
      </c>
    </row>
    <row r="11224">
      <c r="A11224" s="544" t="n">
        <v>44922</v>
      </c>
      <c r="B11224" s="538" t="n">
        <v>82.45</v>
      </c>
      <c r="C11224" s="538" t="n">
        <v>79.45</v>
      </c>
      <c r="D11224" s="538" t="n">
        <v>80.73999999999999</v>
      </c>
      <c r="E11224" s="538" t="n">
        <v>118.99</v>
      </c>
    </row>
    <row r="11225">
      <c r="A11225" s="544" t="n">
        <v>44923</v>
      </c>
      <c r="B11225" s="538" t="n">
        <v>81.7</v>
      </c>
      <c r="C11225" s="538" t="n">
        <v>78.89</v>
      </c>
      <c r="D11225" s="538" t="n">
        <v>79.18000000000001</v>
      </c>
      <c r="E11225" s="538" t="n">
        <v>117.95</v>
      </c>
    </row>
    <row r="11226">
      <c r="A11226" s="544" t="n">
        <v>44924</v>
      </c>
      <c r="B11226" s="538" t="n">
        <v>80.95999999999999</v>
      </c>
      <c r="C11226" s="538" t="n">
        <v>78.43000000000001</v>
      </c>
      <c r="D11226" s="538" t="n">
        <v>77.53</v>
      </c>
      <c r="E11226" s="538" t="n">
        <v>116.65</v>
      </c>
    </row>
    <row r="11227">
      <c r="A11227" s="544" t="n">
        <v>44925</v>
      </c>
      <c r="B11227" s="538" t="n">
        <v>82.81999999999999</v>
      </c>
      <c r="C11227" s="538" t="n">
        <v>80.16</v>
      </c>
      <c r="D11227" s="538" t="n">
        <v>80.98</v>
      </c>
      <c r="E11227" s="538" t="n">
        <v>117.89</v>
      </c>
    </row>
    <row r="11228">
      <c r="A11228" s="544" t="n">
        <v>44928</v>
      </c>
      <c r="B11228" s="538" t="n">
        <v>82.81999999999999</v>
      </c>
      <c r="C11228" s="538" t="n">
        <v>80.16</v>
      </c>
      <c r="D11228" s="538" t="n">
        <v>80.15000000000001</v>
      </c>
      <c r="E11228" s="538" t="n">
        <v>117.89</v>
      </c>
    </row>
    <row r="11229">
      <c r="A11229" s="544" t="n">
        <v>44929</v>
      </c>
      <c r="B11229" s="538" t="n">
        <v>80.36</v>
      </c>
      <c r="C11229" s="538" t="n">
        <v>76.87</v>
      </c>
      <c r="D11229" s="538" t="n">
        <v>77.66</v>
      </c>
      <c r="E11229" s="538" t="n">
        <v>115.68</v>
      </c>
    </row>
    <row r="11230">
      <c r="A11230" s="544" t="n">
        <v>44930</v>
      </c>
      <c r="B11230" s="538" t="n">
        <v>75.31</v>
      </c>
      <c r="C11230" s="538" t="n">
        <v>72.81999999999999</v>
      </c>
      <c r="D11230" s="538" t="n">
        <v>74.56</v>
      </c>
      <c r="E11230" s="538" t="n">
        <v>108.42</v>
      </c>
    </row>
    <row r="11231">
      <c r="A11231" s="544" t="n">
        <v>44931</v>
      </c>
      <c r="B11231" s="538" t="n">
        <v>76.73</v>
      </c>
      <c r="C11231" s="538" t="n">
        <v>73.61</v>
      </c>
      <c r="D11231" s="538" t="n">
        <v>75.41</v>
      </c>
      <c r="E11231" s="538" t="n">
        <v>108.44</v>
      </c>
    </row>
    <row r="11232">
      <c r="A11232" s="544" t="n">
        <v>44932</v>
      </c>
      <c r="B11232" s="538" t="n">
        <v>76.41</v>
      </c>
      <c r="C11232" s="538" t="n">
        <v>73.77</v>
      </c>
      <c r="D11232" s="538" t="n">
        <v>74.55</v>
      </c>
      <c r="E11232" s="538" t="n">
        <v>106.9</v>
      </c>
    </row>
    <row r="11233">
      <c r="A11233" s="544" t="n">
        <v>44935</v>
      </c>
      <c r="B11233" s="538" t="n">
        <v>77.5</v>
      </c>
      <c r="C11233" s="538" t="n">
        <v>74.69</v>
      </c>
      <c r="D11233" s="538" t="n">
        <v>75.56999999999999</v>
      </c>
      <c r="E11233" s="538" t="n">
        <v>109.82</v>
      </c>
    </row>
    <row r="11234">
      <c r="A11234" s="544" t="n">
        <v>44936</v>
      </c>
      <c r="B11234" s="538" t="n">
        <v>78.40000000000001</v>
      </c>
      <c r="C11234" s="538" t="n">
        <v>75.11</v>
      </c>
      <c r="D11234" s="538" t="n">
        <v>75.81</v>
      </c>
      <c r="E11234" s="538" t="n">
        <v>108.58</v>
      </c>
    </row>
    <row r="11235">
      <c r="A11235" s="544" t="n">
        <v>44937</v>
      </c>
      <c r="B11235" s="538" t="n">
        <v>81.11</v>
      </c>
      <c r="C11235" s="538" t="n">
        <v>77.45999999999999</v>
      </c>
      <c r="D11235" s="538" t="n">
        <v>79.64</v>
      </c>
      <c r="E11235" s="538" t="n">
        <v>110.06</v>
      </c>
    </row>
    <row r="11236">
      <c r="A11236" s="544" t="n">
        <v>44938</v>
      </c>
      <c r="B11236" s="538" t="n">
        <v>82.59</v>
      </c>
      <c r="C11236" s="538" t="n">
        <v>78.31999999999999</v>
      </c>
      <c r="D11236" s="538" t="n">
        <v>80.58</v>
      </c>
      <c r="E11236" s="538" t="n">
        <v>112.55</v>
      </c>
    </row>
    <row r="11237">
      <c r="A11237" s="544" t="n">
        <v>44939</v>
      </c>
      <c r="B11237" s="538" t="n">
        <v>83.43000000000001</v>
      </c>
      <c r="C11237" s="538" t="n">
        <v>79.90000000000001</v>
      </c>
      <c r="D11237" s="538" t="n">
        <v>82.08</v>
      </c>
      <c r="E11237" s="538" t="n">
        <v>115.68</v>
      </c>
    </row>
    <row r="11238">
      <c r="A11238" s="544" t="n">
        <v>44942</v>
      </c>
      <c r="B11238" s="538" t="n">
        <v>82.65000000000001</v>
      </c>
      <c r="C11238" s="538" t="n">
        <v>79.90000000000001</v>
      </c>
      <c r="D11238" s="538" t="n">
        <v>81.98</v>
      </c>
      <c r="E11238" s="538" t="n">
        <v>116.73</v>
      </c>
    </row>
    <row r="11239">
      <c r="A11239" s="544" t="n">
        <v>44943</v>
      </c>
      <c r="B11239" s="538" t="n">
        <v>84.38</v>
      </c>
      <c r="C11239" s="538" t="n">
        <v>80.25</v>
      </c>
      <c r="D11239" s="538" t="n">
        <v>84.2</v>
      </c>
      <c r="E11239" s="538" t="n">
        <v>117.71</v>
      </c>
    </row>
    <row r="11240">
      <c r="A11240" s="544" t="n">
        <v>44944</v>
      </c>
      <c r="B11240" s="538" t="n">
        <v>83.78</v>
      </c>
      <c r="C11240" s="538" t="n">
        <v>79.53</v>
      </c>
      <c r="D11240" s="538" t="n">
        <v>81.58</v>
      </c>
      <c r="E11240" s="538" t="n">
        <v>117.41</v>
      </c>
    </row>
    <row r="11241">
      <c r="A11241" s="544" t="n">
        <v>44945</v>
      </c>
      <c r="B11241" s="538" t="n">
        <v>85.08</v>
      </c>
      <c r="C11241" s="538" t="n">
        <v>80.31</v>
      </c>
      <c r="D11241" s="538" t="n">
        <v>84.15000000000001</v>
      </c>
      <c r="E11241" s="538" t="n">
        <v>117.79</v>
      </c>
    </row>
    <row r="11242">
      <c r="A11242" s="544" t="n">
        <v>44946</v>
      </c>
      <c r="B11242" s="538" t="n">
        <v>86.95999999999999</v>
      </c>
      <c r="C11242" s="538" t="n">
        <v>81.27</v>
      </c>
      <c r="D11242" s="538" t="n">
        <v>85.39</v>
      </c>
      <c r="E11242" s="538" t="n">
        <v>120.9</v>
      </c>
    </row>
    <row r="11243">
      <c r="A11243" s="544" t="n">
        <v>44949</v>
      </c>
      <c r="B11243" s="538" t="n">
        <v>87.54000000000001</v>
      </c>
      <c r="C11243" s="538" t="n">
        <v>81.62</v>
      </c>
      <c r="D11243" s="538" t="n">
        <v>85.39</v>
      </c>
      <c r="E11243" s="538" t="n">
        <v>120.9</v>
      </c>
    </row>
    <row r="11244">
      <c r="A11244" s="544" t="n">
        <v>44950</v>
      </c>
      <c r="B11244" s="538" t="n">
        <v>85.25</v>
      </c>
      <c r="C11244" s="538" t="n">
        <v>79.86</v>
      </c>
      <c r="D11244" s="538" t="n">
        <v>83.95999999999999</v>
      </c>
      <c r="E11244" s="538" t="n">
        <v>120.9</v>
      </c>
    </row>
    <row r="11245">
      <c r="A11245" s="544" t="n">
        <v>44951</v>
      </c>
      <c r="B11245" s="538" t="n">
        <v>85.08</v>
      </c>
      <c r="C11245" s="538" t="n">
        <v>79.78</v>
      </c>
      <c r="D11245" s="538" t="n">
        <v>83.98</v>
      </c>
      <c r="E11245" s="538" t="n">
        <v>123.43</v>
      </c>
    </row>
    <row r="11246">
      <c r="A11246" s="544" t="n">
        <v>44952</v>
      </c>
      <c r="B11246" s="538" t="n">
        <v>86.29000000000001</v>
      </c>
      <c r="C11246" s="538" t="n">
        <v>80.64</v>
      </c>
      <c r="D11246" s="538" t="n">
        <v>84.59999999999999</v>
      </c>
      <c r="E11246" s="538" t="n">
        <v>119.24</v>
      </c>
    </row>
    <row r="11247">
      <c r="A11247" s="544" t="n">
        <v>44953</v>
      </c>
      <c r="B11247" s="538" t="n">
        <v>85.36</v>
      </c>
      <c r="C11247" s="538" t="n">
        <v>79.73</v>
      </c>
      <c r="D11247" s="538" t="n">
        <v>83.66</v>
      </c>
      <c r="E11247" s="538" t="n">
        <v>122.29</v>
      </c>
    </row>
    <row r="11248">
      <c r="A11248" s="544" t="n">
        <v>44956</v>
      </c>
      <c r="B11248" s="538" t="n">
        <v>84.90000000000001</v>
      </c>
      <c r="C11248" s="538" t="n">
        <v>77.97</v>
      </c>
      <c r="D11248" s="538" t="n">
        <v>81.81999999999999</v>
      </c>
      <c r="E11248" s="538" t="n">
        <v>117.14</v>
      </c>
    </row>
    <row r="11249">
      <c r="A11249" s="544" t="n">
        <v>44957</v>
      </c>
      <c r="B11249" s="538" t="n">
        <v>83.42</v>
      </c>
      <c r="C11249" s="538" t="n">
        <v>78.95</v>
      </c>
      <c r="D11249" s="538" t="n">
        <v>81.73999999999999</v>
      </c>
      <c r="E11249" s="538" t="n">
        <v>113.78</v>
      </c>
    </row>
    <row r="11250">
      <c r="A11250" s="544" t="n">
        <v>44958</v>
      </c>
      <c r="B11250" s="538" t="n">
        <v>81.61</v>
      </c>
      <c r="C11250" s="538" t="n">
        <v>76.34</v>
      </c>
      <c r="D11250" s="538" t="n">
        <v>80.73999999999999</v>
      </c>
      <c r="E11250" s="538" t="n">
        <v>114.34</v>
      </c>
    </row>
    <row r="11251">
      <c r="A11251" s="544" t="n">
        <v>44959</v>
      </c>
      <c r="B11251" s="538" t="n">
        <v>80.56999999999999</v>
      </c>
      <c r="C11251" s="538" t="n">
        <v>75.87</v>
      </c>
      <c r="D11251" s="538" t="n">
        <v>79.5</v>
      </c>
      <c r="E11251" s="538" t="n">
        <v>112.61</v>
      </c>
    </row>
    <row r="11252">
      <c r="A11252" s="544" t="n">
        <v>44960</v>
      </c>
      <c r="B11252" s="538" t="n">
        <v>78.84999999999999</v>
      </c>
      <c r="C11252" s="538" t="n">
        <v>73.40000000000001</v>
      </c>
      <c r="D11252" s="538" t="n">
        <v>77.03</v>
      </c>
      <c r="E11252" s="538" t="n">
        <v>111.6</v>
      </c>
    </row>
    <row r="11253">
      <c r="A11253" s="544" t="n">
        <v>44963</v>
      </c>
      <c r="B11253" s="538" t="n">
        <v>80.48</v>
      </c>
      <c r="C11253" s="538" t="n">
        <v>74.11</v>
      </c>
      <c r="D11253" s="538" t="n">
        <v>79.09999999999999</v>
      </c>
      <c r="E11253" s="538" t="n">
        <v>107.34</v>
      </c>
    </row>
    <row r="11254">
      <c r="A11254" s="544" t="n">
        <v>44964</v>
      </c>
      <c r="B11254" s="538" t="n">
        <v>82.92</v>
      </c>
      <c r="C11254" s="538" t="n">
        <v>77.17</v>
      </c>
      <c r="D11254" s="538" t="n">
        <v>81.45</v>
      </c>
      <c r="E11254" s="538" t="n">
        <v>106.88</v>
      </c>
    </row>
    <row r="11255">
      <c r="A11255" s="544" t="n">
        <v>44965</v>
      </c>
      <c r="B11255" s="538" t="n">
        <v>84.17</v>
      </c>
      <c r="C11255" s="538" t="n">
        <v>78.47</v>
      </c>
      <c r="D11255" s="538" t="n">
        <v>82.51000000000001</v>
      </c>
      <c r="E11255" s="538" t="n">
        <v>106.88</v>
      </c>
    </row>
    <row r="11256">
      <c r="A11256" s="544" t="n">
        <v>44966</v>
      </c>
      <c r="B11256" s="538" t="n">
        <v>83.45999999999999</v>
      </c>
      <c r="C11256" s="538" t="n">
        <v>78.04000000000001</v>
      </c>
      <c r="D11256" s="538" t="n">
        <v>81.78</v>
      </c>
      <c r="E11256" s="538" t="n">
        <v>111.72</v>
      </c>
    </row>
    <row r="11257">
      <c r="A11257" s="544" t="n">
        <v>44967</v>
      </c>
      <c r="B11257" s="538" t="n">
        <v>85.45999999999999</v>
      </c>
      <c r="C11257" s="538" t="n">
        <v>79.73999999999999</v>
      </c>
      <c r="D11257" s="538" t="n">
        <v>83.84</v>
      </c>
      <c r="E11257" s="538" t="n">
        <v>106.68</v>
      </c>
    </row>
    <row r="11258">
      <c r="A11258" s="544" t="n">
        <v>44970</v>
      </c>
      <c r="B11258" s="538" t="n">
        <v>85.98</v>
      </c>
      <c r="C11258" s="538" t="n">
        <v>80.14</v>
      </c>
      <c r="D11258" s="538" t="n">
        <v>83.95999999999999</v>
      </c>
      <c r="E11258" s="538" t="n">
        <v>106.68</v>
      </c>
    </row>
    <row r="11259">
      <c r="A11259" s="544" t="n">
        <v>44971</v>
      </c>
      <c r="B11259" s="538" t="n">
        <v>84.95999999999999</v>
      </c>
      <c r="C11259" s="538" t="n">
        <v>79.08</v>
      </c>
      <c r="D11259" s="538" t="n">
        <v>83.59999999999999</v>
      </c>
      <c r="E11259" s="538" t="n">
        <v>108.78</v>
      </c>
    </row>
    <row r="11260">
      <c r="A11260" s="544" t="n">
        <v>44972</v>
      </c>
      <c r="B11260" s="538" t="n">
        <v>84.11</v>
      </c>
      <c r="C11260" s="538" t="n">
        <v>78.56999999999999</v>
      </c>
      <c r="D11260" s="538" t="n">
        <v>83.33</v>
      </c>
      <c r="E11260" s="538" t="n">
        <v>109.22</v>
      </c>
    </row>
    <row r="11261">
      <c r="A11261" s="544" t="n">
        <v>44973</v>
      </c>
      <c r="B11261" s="538" t="n">
        <v>83.84</v>
      </c>
      <c r="C11261" s="538" t="n">
        <v>78.45</v>
      </c>
      <c r="D11261" s="538" t="n">
        <v>82.28</v>
      </c>
      <c r="E11261" s="538" t="n">
        <v>106.97</v>
      </c>
    </row>
    <row r="11262">
      <c r="A11262" s="544" t="n">
        <v>44974</v>
      </c>
      <c r="B11262" s="538" t="n">
        <v>81.97</v>
      </c>
      <c r="C11262" s="538" t="n">
        <v>76.31</v>
      </c>
      <c r="D11262" s="538" t="n">
        <v>85.01000000000001</v>
      </c>
      <c r="E11262" s="538" t="n">
        <v>102.4</v>
      </c>
    </row>
    <row r="11263">
      <c r="A11263" s="544" t="n">
        <v>44977</v>
      </c>
      <c r="B11263" s="538" t="n">
        <v>82.79000000000001</v>
      </c>
      <c r="C11263" s="538" t="n">
        <v>76.31</v>
      </c>
      <c r="D11263" s="538" t="n">
        <v>82.08</v>
      </c>
      <c r="E11263" s="538" t="n">
        <v>102.59</v>
      </c>
    </row>
    <row r="11264">
      <c r="A11264" s="544" t="n">
        <v>44978</v>
      </c>
      <c r="B11264" s="538" t="n">
        <v>82.14</v>
      </c>
      <c r="C11264" s="538" t="n">
        <v>76.28</v>
      </c>
      <c r="D11264" s="538" t="n">
        <v>81.15000000000001</v>
      </c>
      <c r="E11264" s="538" t="n">
        <v>102.76</v>
      </c>
    </row>
    <row r="11265">
      <c r="A11265" s="544" t="n">
        <v>44979</v>
      </c>
      <c r="B11265" s="538" t="n">
        <v>79.55</v>
      </c>
      <c r="C11265" s="538" t="n">
        <v>73.95</v>
      </c>
      <c r="D11265" s="538" t="n">
        <v>79.48999999999999</v>
      </c>
      <c r="E11265" s="538" t="n">
        <v>102.77</v>
      </c>
    </row>
    <row r="11266">
      <c r="A11266" s="544" t="n">
        <v>44980</v>
      </c>
      <c r="B11266" s="538" t="n">
        <v>82.08</v>
      </c>
      <c r="C11266" s="538" t="n">
        <v>75.26000000000001</v>
      </c>
      <c r="D11266" s="538" t="n">
        <v>81.13</v>
      </c>
      <c r="E11266" s="538" t="n">
        <v>100.45</v>
      </c>
    </row>
    <row r="11267">
      <c r="A11267" s="544" t="n">
        <v>44981</v>
      </c>
      <c r="B11267" s="538" t="n">
        <v>82.31</v>
      </c>
      <c r="C11267" s="538" t="n">
        <v>76.19</v>
      </c>
      <c r="D11267" s="538" t="n">
        <v>81.92</v>
      </c>
      <c r="E11267" s="538" t="n">
        <v>103.37</v>
      </c>
    </row>
    <row r="11268">
      <c r="A11268" s="544" t="n">
        <v>44984</v>
      </c>
      <c r="B11268" s="538" t="n">
        <v>81.23999999999999</v>
      </c>
      <c r="C11268" s="538" t="n">
        <v>75.56999999999999</v>
      </c>
      <c r="D11268" s="538" t="n">
        <v>81.06</v>
      </c>
      <c r="E11268" s="538" t="n">
        <v>104.43</v>
      </c>
    </row>
    <row r="11269">
      <c r="A11269" s="544" t="n">
        <v>44985</v>
      </c>
      <c r="B11269" s="538" t="n">
        <v>83.20999999999999</v>
      </c>
      <c r="C11269" s="538" t="n">
        <v>76.88</v>
      </c>
      <c r="D11269" s="538" t="n">
        <v>81.95</v>
      </c>
      <c r="E11269" s="538" t="n">
        <v>104.36</v>
      </c>
    </row>
    <row r="11270">
      <c r="A11270" s="544" t="n">
        <v>44986</v>
      </c>
      <c r="B11270" s="538" t="n">
        <v>83.68000000000001</v>
      </c>
      <c r="C11270" s="538" t="n">
        <v>77.56999999999999</v>
      </c>
      <c r="D11270" s="538" t="n">
        <v>82.27</v>
      </c>
      <c r="E11270" s="538" t="n">
        <v>106.33</v>
      </c>
    </row>
    <row r="11271">
      <c r="A11271" s="544" t="n">
        <v>44987</v>
      </c>
      <c r="B11271" s="538" t="n">
        <v>84.15000000000001</v>
      </c>
      <c r="C11271" s="538" t="n">
        <v>78.05</v>
      </c>
      <c r="D11271" s="538" t="n">
        <v>82.83</v>
      </c>
      <c r="E11271" s="538" t="n">
        <v>105.89</v>
      </c>
    </row>
    <row r="11272">
      <c r="A11272" s="544" t="n">
        <v>44988</v>
      </c>
      <c r="B11272" s="538" t="n">
        <v>85.73999999999999</v>
      </c>
      <c r="C11272" s="538" t="n">
        <v>79.62</v>
      </c>
      <c r="D11272" s="538" t="n">
        <v>84.06</v>
      </c>
      <c r="E11272" s="538" t="n">
        <v>106.5</v>
      </c>
    </row>
    <row r="11273">
      <c r="A11273" s="544" t="n">
        <v>44991</v>
      </c>
      <c r="B11273" s="538" t="n">
        <v>85.86</v>
      </c>
      <c r="C11273" s="538" t="n">
        <v>80.39</v>
      </c>
      <c r="D11273" s="538" t="n">
        <v>84.40000000000001</v>
      </c>
      <c r="E11273" s="538" t="n">
        <v>108.14</v>
      </c>
    </row>
    <row r="11274">
      <c r="A11274" s="544" t="n">
        <v>44992</v>
      </c>
      <c r="B11274" s="538" t="n">
        <v>83.03</v>
      </c>
      <c r="C11274" s="538" t="n">
        <v>77.45</v>
      </c>
      <c r="D11274" s="538" t="n">
        <v>81.06999999999999</v>
      </c>
      <c r="E11274" s="538" t="n">
        <v>106.95</v>
      </c>
    </row>
    <row r="11275">
      <c r="A11275" s="544" t="n">
        <v>44993</v>
      </c>
      <c r="B11275" s="538" t="n">
        <v>82.09999999999999</v>
      </c>
      <c r="C11275" s="538" t="n">
        <v>76.56</v>
      </c>
      <c r="D11275" s="538" t="n">
        <v>81.22</v>
      </c>
      <c r="E11275" s="538" t="n">
        <v>104.08</v>
      </c>
    </row>
    <row r="11276">
      <c r="A11276" s="544" t="n">
        <v>44994</v>
      </c>
      <c r="B11276" s="538" t="n">
        <v>81</v>
      </c>
      <c r="C11276" s="538" t="n">
        <v>75.59999999999999</v>
      </c>
      <c r="D11276" s="538" t="n">
        <v>80.02</v>
      </c>
      <c r="E11276" s="538" t="n">
        <v>102.29</v>
      </c>
    </row>
    <row r="11277">
      <c r="A11277" s="544" t="n">
        <v>44995</v>
      </c>
      <c r="B11277" s="538" t="n">
        <v>82.3</v>
      </c>
      <c r="C11277" s="538" t="n">
        <v>76.55</v>
      </c>
      <c r="D11277" s="538" t="n">
        <v>81.73999999999999</v>
      </c>
      <c r="E11277" s="538" t="n">
        <v>98.51000000000001</v>
      </c>
    </row>
    <row r="11278">
      <c r="A11278" s="544" t="n">
        <v>44998</v>
      </c>
      <c r="B11278" s="538" t="n">
        <v>79.67</v>
      </c>
      <c r="C11278" s="538" t="n">
        <v>74.68000000000001</v>
      </c>
      <c r="D11278" s="538" t="n">
        <v>79.89</v>
      </c>
      <c r="E11278" s="538" t="n">
        <v>102.8</v>
      </c>
    </row>
    <row r="11279">
      <c r="A11279" s="544" t="n">
        <v>44999</v>
      </c>
      <c r="B11279" s="538" t="n">
        <v>76.77</v>
      </c>
      <c r="C11279" s="538" t="n">
        <v>71.18000000000001</v>
      </c>
      <c r="D11279" s="538" t="n">
        <v>77.38</v>
      </c>
      <c r="E11279" s="538" t="n">
        <v>99.59999999999999</v>
      </c>
    </row>
    <row r="11280">
      <c r="A11280" s="544" t="n">
        <v>45000</v>
      </c>
      <c r="B11280" s="538" t="n">
        <v>74.3</v>
      </c>
      <c r="C11280" s="538" t="n">
        <v>67.38</v>
      </c>
      <c r="D11280" s="538" t="n">
        <v>73.28</v>
      </c>
      <c r="E11280" s="538" t="n">
        <v>99.92</v>
      </c>
    </row>
    <row r="11281">
      <c r="A11281" s="544" t="n">
        <v>45001</v>
      </c>
      <c r="B11281" s="538" t="n">
        <v>73.12</v>
      </c>
      <c r="C11281" s="538" t="n">
        <v>68.15000000000001</v>
      </c>
      <c r="D11281" s="538" t="n">
        <v>74.58</v>
      </c>
      <c r="E11281" s="538" t="n">
        <v>93.62</v>
      </c>
    </row>
    <row r="11282">
      <c r="A11282" s="544" t="n">
        <v>45002</v>
      </c>
      <c r="B11282" s="538" t="n">
        <v>71.03</v>
      </c>
      <c r="C11282" s="538" t="n">
        <v>66.61</v>
      </c>
      <c r="D11282" s="538" t="n">
        <v>72.66</v>
      </c>
      <c r="E11282" s="538" t="n">
        <v>96.73999999999999</v>
      </c>
    </row>
    <row r="11283">
      <c r="A11283" s="544" t="n">
        <v>45005</v>
      </c>
      <c r="B11283" s="538" t="n">
        <v>72.42</v>
      </c>
      <c r="C11283" s="538" t="n">
        <v>67.56</v>
      </c>
      <c r="D11283" s="538" t="n">
        <v>73.3</v>
      </c>
      <c r="E11283" s="538" t="n">
        <v>91.36</v>
      </c>
    </row>
    <row r="11284">
      <c r="A11284" s="544" t="n">
        <v>45006</v>
      </c>
      <c r="B11284" s="538" t="n">
        <v>74.78</v>
      </c>
      <c r="C11284" s="538" t="n">
        <v>69.40000000000001</v>
      </c>
      <c r="D11284" s="538" t="n">
        <v>74.88</v>
      </c>
      <c r="E11284" s="538" t="n">
        <v>93.95999999999999</v>
      </c>
    </row>
    <row r="11285">
      <c r="A11285" s="544" t="n">
        <v>45007</v>
      </c>
      <c r="B11285" s="538" t="n">
        <v>76.08</v>
      </c>
      <c r="C11285" s="538" t="n">
        <v>70.70999999999999</v>
      </c>
      <c r="D11285" s="538" t="n">
        <v>75.7</v>
      </c>
      <c r="E11285" s="538" t="n">
        <v>95.05</v>
      </c>
    </row>
    <row r="11286">
      <c r="A11286" s="544" t="n">
        <v>45008</v>
      </c>
      <c r="B11286" s="538" t="n">
        <v>74.31</v>
      </c>
      <c r="C11286" s="538" t="n">
        <v>69.77</v>
      </c>
      <c r="D11286" s="538" t="n">
        <v>75.33</v>
      </c>
      <c r="E11286" s="538" t="n">
        <v>96.77</v>
      </c>
    </row>
    <row r="11287">
      <c r="A11287" s="544" t="n">
        <v>45009</v>
      </c>
      <c r="B11287" s="538" t="n">
        <v>73.63</v>
      </c>
      <c r="C11287" s="538" t="n">
        <v>69.22</v>
      </c>
      <c r="D11287" s="538" t="n">
        <v>74.59</v>
      </c>
      <c r="E11287" s="538" t="n">
        <v>96.28</v>
      </c>
    </row>
    <row r="11288">
      <c r="A11288" s="544" t="n">
        <v>45012</v>
      </c>
      <c r="B11288" s="538" t="n">
        <v>76.8</v>
      </c>
      <c r="C11288" s="538" t="n">
        <v>72.87</v>
      </c>
      <c r="D11288" s="538" t="n">
        <v>77.76000000000001</v>
      </c>
      <c r="E11288" s="538" t="n">
        <v>94.36</v>
      </c>
    </row>
    <row r="11289">
      <c r="A11289" s="544" t="n">
        <v>45013</v>
      </c>
      <c r="B11289" s="538" t="n">
        <v>78.06999999999999</v>
      </c>
      <c r="C11289" s="538" t="n">
        <v>73.12</v>
      </c>
      <c r="D11289" s="538" t="n">
        <v>78.48999999999999</v>
      </c>
      <c r="E11289" s="538" t="n">
        <v>97.23</v>
      </c>
    </row>
    <row r="11290">
      <c r="A11290" s="544" t="n">
        <v>45014</v>
      </c>
      <c r="B11290" s="538" t="n">
        <v>77.51000000000001</v>
      </c>
      <c r="C11290" s="538" t="n">
        <v>72.95</v>
      </c>
      <c r="D11290" s="538" t="n">
        <v>77.20999999999999</v>
      </c>
      <c r="E11290" s="538" t="n">
        <v>95.90000000000001</v>
      </c>
    </row>
    <row r="11291">
      <c r="A11291" s="544" t="n">
        <v>45015</v>
      </c>
      <c r="B11291" s="538" t="n">
        <v>78.45</v>
      </c>
      <c r="C11291" s="538" t="n">
        <v>74.31999999999999</v>
      </c>
      <c r="D11291" s="538" t="n">
        <v>78.52</v>
      </c>
      <c r="E11291" s="538" t="n">
        <v>95.09999999999999</v>
      </c>
    </row>
    <row r="11292">
      <c r="A11292" s="544" t="n">
        <v>45016</v>
      </c>
      <c r="B11292" s="538" t="n">
        <v>79.19</v>
      </c>
      <c r="C11292" s="538" t="n">
        <v>75.68000000000001</v>
      </c>
      <c r="D11292" s="538" t="n">
        <v>80.29000000000001</v>
      </c>
      <c r="E11292" s="538" t="n">
        <v>94.55</v>
      </c>
    </row>
    <row r="11293">
      <c r="A11293" s="544" t="n">
        <v>45019</v>
      </c>
      <c r="B11293" s="538" t="n">
        <v>85.81</v>
      </c>
      <c r="C11293" s="538" t="n">
        <v>80.40000000000001</v>
      </c>
      <c r="D11293" s="538" t="n">
        <v>85.06999999999999</v>
      </c>
      <c r="E11293" s="538" t="n">
        <v>99.98999999999999</v>
      </c>
    </row>
    <row r="11294">
      <c r="A11294" s="544" t="n">
        <v>45020</v>
      </c>
      <c r="B11294" s="538" t="n">
        <v>85.7</v>
      </c>
      <c r="C11294" s="538" t="n">
        <v>80.7</v>
      </c>
      <c r="D11294" s="538" t="n">
        <v>84.86</v>
      </c>
      <c r="E11294" s="538" t="n">
        <v>100.45</v>
      </c>
    </row>
    <row r="11295">
      <c r="A11295" s="544" t="n">
        <v>45021</v>
      </c>
      <c r="B11295" s="538" t="n">
        <v>85.89</v>
      </c>
      <c r="C11295" s="538" t="n">
        <v>80.69</v>
      </c>
      <c r="D11295" s="538" t="n">
        <v>84.83</v>
      </c>
      <c r="E11295" s="538" t="n">
        <v>99.90000000000001</v>
      </c>
    </row>
    <row r="11296">
      <c r="A11296" s="544" t="n">
        <v>45022</v>
      </c>
      <c r="B11296" s="538" t="n">
        <v>86.56</v>
      </c>
      <c r="C11296" s="538" t="n">
        <v>80.7</v>
      </c>
      <c r="D11296" s="538" t="n">
        <v>85.14</v>
      </c>
      <c r="E11296" s="538" t="n">
        <v>100.24</v>
      </c>
    </row>
    <row r="11297">
      <c r="A11297" s="544" t="n">
        <v>45023</v>
      </c>
      <c r="B11297" s="538" t="n">
        <v>86.56</v>
      </c>
      <c r="C11297" s="538" t="n">
        <v>80.7</v>
      </c>
      <c r="D11297" s="538" t="n">
        <v>85.14</v>
      </c>
      <c r="E11297" s="538" t="n">
        <v>100.24</v>
      </c>
    </row>
    <row r="11298">
      <c r="A11298" s="544" t="n">
        <v>45026</v>
      </c>
      <c r="B11298" s="538" t="n">
        <v>86.56</v>
      </c>
      <c r="C11298" s="538" t="n">
        <v>79.79000000000001</v>
      </c>
      <c r="D11298" s="538" t="n">
        <v>84.34</v>
      </c>
      <c r="E11298" s="538" t="n">
        <v>99.5</v>
      </c>
    </row>
    <row r="11299">
      <c r="A11299" s="544" t="n">
        <v>45027</v>
      </c>
      <c r="B11299" s="538" t="n">
        <v>87.31999999999999</v>
      </c>
      <c r="C11299" s="538" t="n">
        <v>81.54000000000001</v>
      </c>
      <c r="D11299" s="538" t="n">
        <v>85.56999999999999</v>
      </c>
      <c r="E11299" s="538" t="n">
        <v>98.92</v>
      </c>
    </row>
    <row r="11300">
      <c r="A11300" s="544" t="n">
        <v>45028</v>
      </c>
      <c r="B11300" s="538" t="n">
        <v>88.31</v>
      </c>
      <c r="C11300" s="538" t="n">
        <v>83.26000000000001</v>
      </c>
      <c r="D11300" s="538" t="n">
        <v>87.44</v>
      </c>
      <c r="E11300" s="538" t="n">
        <v>98.95</v>
      </c>
    </row>
    <row r="11301">
      <c r="A11301" s="544" t="n">
        <v>45029</v>
      </c>
      <c r="B11301" s="538" t="n">
        <v>86.51000000000001</v>
      </c>
      <c r="C11301" s="538" t="n">
        <v>82.16</v>
      </c>
      <c r="D11301" s="538" t="n">
        <v>86.75</v>
      </c>
      <c r="E11301" s="538" t="n">
        <v>100.33</v>
      </c>
    </row>
    <row r="11302">
      <c r="A11302" s="544" t="n">
        <v>45030</v>
      </c>
      <c r="B11302" s="538" t="n">
        <v>87.31</v>
      </c>
      <c r="C11302" s="538" t="n">
        <v>82.58</v>
      </c>
      <c r="D11302" s="538" t="n">
        <v>86.29000000000001</v>
      </c>
      <c r="E11302" s="538" t="n">
        <v>99.36</v>
      </c>
    </row>
    <row r="11303">
      <c r="A11303" s="544" t="n">
        <v>45033</v>
      </c>
      <c r="B11303" s="538" t="n">
        <v>85.63</v>
      </c>
      <c r="C11303" s="538" t="n">
        <v>80.93000000000001</v>
      </c>
      <c r="D11303" s="538" t="n">
        <v>84.95999999999999</v>
      </c>
      <c r="E11303" s="538" t="n">
        <v>99.05</v>
      </c>
    </row>
    <row r="11304">
      <c r="A11304" s="544" t="n">
        <v>45034</v>
      </c>
      <c r="B11304" s="538" t="n">
        <v>85.48</v>
      </c>
      <c r="C11304" s="538" t="n">
        <v>80.84999999999999</v>
      </c>
      <c r="D11304" s="538" t="n">
        <v>84.92</v>
      </c>
      <c r="E11304" s="538" t="n">
        <v>98.17</v>
      </c>
    </row>
    <row r="11305">
      <c r="A11305" s="544" t="n">
        <v>45035</v>
      </c>
      <c r="B11305" s="538" t="n">
        <v>85.34</v>
      </c>
      <c r="C11305" s="538" t="n">
        <v>79.18000000000001</v>
      </c>
      <c r="D11305" s="538" t="n">
        <v>82.72</v>
      </c>
      <c r="E11305" s="538" t="n">
        <v>96.45</v>
      </c>
    </row>
    <row r="11306">
      <c r="A11306" s="544" t="n">
        <v>45036</v>
      </c>
      <c r="B11306" s="538" t="n">
        <v>83.29000000000001</v>
      </c>
      <c r="C11306" s="538" t="n">
        <v>77.27</v>
      </c>
      <c r="D11306" s="538" t="n">
        <v>80.52</v>
      </c>
      <c r="E11306" s="538" t="n">
        <v>95.05</v>
      </c>
    </row>
    <row r="11307">
      <c r="A11307" s="544" t="n">
        <v>45037</v>
      </c>
      <c r="B11307" s="538" t="n">
        <v>83.36</v>
      </c>
      <c r="C11307" s="538" t="n">
        <v>77.86</v>
      </c>
      <c r="D11307" s="538" t="n">
        <v>81.51000000000001</v>
      </c>
      <c r="E11307" s="538" t="n">
        <v>93.5</v>
      </c>
    </row>
    <row r="11308">
      <c r="A11308" s="544" t="n">
        <v>45040</v>
      </c>
      <c r="B11308" s="538" t="n">
        <v>84.23</v>
      </c>
      <c r="C11308" s="538" t="n">
        <v>78.64</v>
      </c>
      <c r="D11308" s="538" t="n">
        <v>82.26000000000001</v>
      </c>
      <c r="E11308" s="538" t="n">
        <v>93.98999999999999</v>
      </c>
    </row>
    <row r="11309">
      <c r="A11309" s="544" t="n">
        <v>45041</v>
      </c>
      <c r="B11309" s="538" t="n">
        <v>82.13</v>
      </c>
      <c r="C11309" s="538" t="n">
        <v>77.05</v>
      </c>
      <c r="D11309" s="538" t="n">
        <v>80.69</v>
      </c>
      <c r="E11309" s="538" t="n">
        <v>96.45999999999999</v>
      </c>
    </row>
    <row r="11310">
      <c r="A11310" s="544" t="n">
        <v>45042</v>
      </c>
      <c r="B11310" s="538" t="n">
        <v>79.19</v>
      </c>
      <c r="C11310" s="538" t="n">
        <v>74.33</v>
      </c>
      <c r="D11310" s="538" t="n">
        <v>77.56999999999999</v>
      </c>
      <c r="E11310" s="538" t="n">
        <v>94.09999999999999</v>
      </c>
    </row>
    <row r="11311">
      <c r="A11311" s="544" t="n">
        <v>45043</v>
      </c>
      <c r="B11311" s="538" t="n">
        <v>80.11</v>
      </c>
      <c r="C11311" s="538" t="n">
        <v>74.77</v>
      </c>
      <c r="D11311" s="538" t="n">
        <v>78.04000000000001</v>
      </c>
      <c r="E11311" s="538" t="n">
        <v>91.3</v>
      </c>
    </row>
    <row r="11312">
      <c r="A11312" s="544" t="n">
        <v>45044</v>
      </c>
      <c r="B11312" s="538" t="n">
        <v>81.31999999999999</v>
      </c>
      <c r="C11312" s="538" t="n">
        <v>76.78</v>
      </c>
      <c r="D11312" s="538" t="n">
        <v>80.2</v>
      </c>
      <c r="E11312" s="538" t="n">
        <v>90.18000000000001</v>
      </c>
    </row>
    <row r="11313">
      <c r="A11313" s="544" t="n">
        <v>45047</v>
      </c>
      <c r="B11313" s="538" t="n">
        <v>81.31999999999999</v>
      </c>
      <c r="C11313" s="538" t="n">
        <v>75.65000000000001</v>
      </c>
      <c r="D11313" s="538" t="n">
        <v>80.2</v>
      </c>
      <c r="E11313" s="538" t="n">
        <v>90.18000000000001</v>
      </c>
    </row>
    <row r="11314">
      <c r="A11314" s="544" t="n">
        <v>45048</v>
      </c>
      <c r="B11314" s="538" t="n">
        <v>76.70999999999999</v>
      </c>
      <c r="C11314" s="538" t="n">
        <v>71.70999999999999</v>
      </c>
      <c r="D11314" s="538" t="n">
        <v>74.73</v>
      </c>
      <c r="E11314" s="538" t="n">
        <v>90.73999999999999</v>
      </c>
    </row>
    <row r="11315">
      <c r="A11315" s="544" t="n">
        <v>45049</v>
      </c>
      <c r="B11315" s="538" t="n">
        <v>72.91</v>
      </c>
      <c r="C11315" s="538" t="n">
        <v>68.62</v>
      </c>
      <c r="D11315" s="538" t="n">
        <v>70.33</v>
      </c>
      <c r="E11315" s="538" t="n">
        <v>85.39</v>
      </c>
    </row>
    <row r="11316">
      <c r="A11316" s="544" t="n">
        <v>45050</v>
      </c>
      <c r="B11316" s="538" t="n">
        <v>73</v>
      </c>
      <c r="C11316" s="538" t="n">
        <v>68.52</v>
      </c>
      <c r="D11316" s="538" t="n">
        <v>72.25</v>
      </c>
      <c r="E11316" s="538" t="n">
        <v>85.94</v>
      </c>
    </row>
    <row r="11317">
      <c r="A11317" s="544" t="n">
        <v>45051</v>
      </c>
      <c r="B11317" s="538" t="n">
        <v>75.84999999999999</v>
      </c>
      <c r="C11317" s="538" t="n">
        <v>71.31999999999999</v>
      </c>
      <c r="D11317" s="538" t="n">
        <v>74.77</v>
      </c>
      <c r="E11317" s="538" t="n">
        <v>87.38</v>
      </c>
    </row>
    <row r="11318">
      <c r="A11318" s="544" t="n">
        <v>45054</v>
      </c>
      <c r="B11318" s="538" t="n">
        <v>75.84999999999999</v>
      </c>
      <c r="C11318" s="538" t="n">
        <v>73.13</v>
      </c>
      <c r="D11318" s="538" t="n">
        <v>76.38</v>
      </c>
      <c r="E11318" s="538" t="n">
        <v>90.34</v>
      </c>
    </row>
    <row r="11319">
      <c r="A11319" s="544" t="n">
        <v>45055</v>
      </c>
      <c r="B11319" s="538" t="n">
        <v>77.76000000000001</v>
      </c>
      <c r="C11319" s="538" t="n">
        <v>73.68000000000001</v>
      </c>
      <c r="D11319" s="538" t="n">
        <v>76.73999999999999</v>
      </c>
      <c r="E11319" s="538" t="n">
        <v>90.51000000000001</v>
      </c>
    </row>
    <row r="11320">
      <c r="A11320" s="544" t="n">
        <v>45056</v>
      </c>
      <c r="B11320" s="538" t="n">
        <v>76.7</v>
      </c>
      <c r="C11320" s="538" t="n">
        <v>72.53</v>
      </c>
      <c r="D11320" s="538" t="n">
        <v>76.09</v>
      </c>
      <c r="E11320" s="538" t="n">
        <v>90.27</v>
      </c>
    </row>
    <row r="11321">
      <c r="A11321" s="544" t="n">
        <v>45057</v>
      </c>
      <c r="B11321" s="538" t="n">
        <v>75.31999999999999</v>
      </c>
      <c r="C11321" s="538" t="n">
        <v>70.81</v>
      </c>
      <c r="D11321" s="538" t="n">
        <v>74.75</v>
      </c>
      <c r="E11321" s="538" t="n">
        <v>91.40000000000001</v>
      </c>
    </row>
    <row r="11322">
      <c r="A11322" s="544" t="n">
        <v>45058</v>
      </c>
      <c r="B11322" s="538" t="n">
        <v>74.54000000000001</v>
      </c>
      <c r="C11322" s="538" t="n">
        <v>70.02</v>
      </c>
      <c r="D11322" s="538" t="n">
        <v>73.18000000000001</v>
      </c>
      <c r="E11322" s="538" t="n">
        <v>88.63</v>
      </c>
    </row>
    <row r="11323">
      <c r="A11323" s="544" t="n">
        <v>45061</v>
      </c>
      <c r="B11323" s="538" t="n">
        <v>75.45999999999999</v>
      </c>
      <c r="C11323" s="538" t="n">
        <v>71.06999999999999</v>
      </c>
      <c r="D11323" s="538" t="n">
        <v>74.44</v>
      </c>
      <c r="E11323" s="538" t="n">
        <v>87.53</v>
      </c>
    </row>
    <row r="11324">
      <c r="A11324" s="544" t="n">
        <v>45062</v>
      </c>
      <c r="B11324" s="538" t="n">
        <v>75.15000000000001</v>
      </c>
      <c r="C11324" s="538" t="n">
        <v>70.84999999999999</v>
      </c>
      <c r="D11324" s="538" t="n">
        <v>73.89</v>
      </c>
      <c r="E11324" s="538" t="n">
        <v>89.70999999999999</v>
      </c>
    </row>
    <row r="11325">
      <c r="A11325" s="544" t="n">
        <v>45063</v>
      </c>
      <c r="B11325" s="538" t="n">
        <v>76.98</v>
      </c>
      <c r="C11325" s="538" t="n">
        <v>72.78</v>
      </c>
      <c r="D11325" s="538" t="n">
        <v>75.43000000000001</v>
      </c>
      <c r="E11325" s="538" t="n">
        <v>88.45</v>
      </c>
    </row>
    <row r="11326">
      <c r="A11326" s="544" t="n">
        <v>45064</v>
      </c>
      <c r="B11326" s="538" t="n">
        <v>75.75</v>
      </c>
      <c r="C11326" s="538" t="n">
        <v>71.81999999999999</v>
      </c>
      <c r="D11326" s="538" t="n">
        <v>75.12</v>
      </c>
      <c r="E11326" s="538" t="n">
        <v>90.59</v>
      </c>
    </row>
    <row r="11327">
      <c r="A11327" s="544" t="n">
        <v>45065</v>
      </c>
      <c r="B11327" s="538" t="n">
        <v>75.42</v>
      </c>
      <c r="C11327" s="538" t="n">
        <v>71.56999999999999</v>
      </c>
      <c r="D11327" s="538" t="n">
        <v>74.45</v>
      </c>
      <c r="E11327" s="538" t="n">
        <v>90.14</v>
      </c>
    </row>
    <row r="11328">
      <c r="A11328" s="544" t="n">
        <v>45068</v>
      </c>
      <c r="B11328" s="538" t="n">
        <v>75.77</v>
      </c>
      <c r="C11328" s="538" t="n">
        <v>71.81</v>
      </c>
      <c r="D11328" s="538" t="n">
        <v>75.01000000000001</v>
      </c>
      <c r="E11328" s="538" t="n">
        <v>88.22</v>
      </c>
    </row>
    <row r="11329">
      <c r="A11329" s="544" t="n">
        <v>45069</v>
      </c>
      <c r="B11329" s="538" t="n">
        <v>76.66</v>
      </c>
      <c r="C11329" s="538" t="n">
        <v>72.87</v>
      </c>
      <c r="D11329" s="538" t="n">
        <v>76.31</v>
      </c>
      <c r="E11329" s="538" t="n">
        <v>88.76000000000001</v>
      </c>
    </row>
    <row r="11330">
      <c r="A11330" s="544" t="n">
        <v>45070</v>
      </c>
      <c r="B11330" s="538" t="n">
        <v>77.98999999999999</v>
      </c>
      <c r="C11330" s="538" t="n">
        <v>74.37</v>
      </c>
      <c r="D11330" s="538" t="n">
        <v>77.03</v>
      </c>
      <c r="E11330" s="538" t="n">
        <v>89.42</v>
      </c>
    </row>
    <row r="11331">
      <c r="A11331" s="544" t="n">
        <v>45071</v>
      </c>
      <c r="B11331" s="538" t="n">
        <v>75.66</v>
      </c>
      <c r="C11331" s="538" t="n">
        <v>71.68000000000001</v>
      </c>
      <c r="D11331" s="538" t="n">
        <v>75.09</v>
      </c>
      <c r="E11331" s="538" t="n">
        <v>90.03</v>
      </c>
    </row>
    <row r="11332">
      <c r="A11332" s="544" t="n">
        <v>45072</v>
      </c>
      <c r="B11332" s="538" t="n">
        <v>76.33</v>
      </c>
      <c r="C11332" s="538" t="n">
        <v>72.34999999999999</v>
      </c>
      <c r="D11332" s="538" t="n">
        <v>75.89</v>
      </c>
      <c r="E11332" s="538" t="n">
        <v>88.41</v>
      </c>
    </row>
    <row r="11333">
      <c r="A11333" s="544" t="n">
        <v>45075</v>
      </c>
      <c r="B11333" s="538" t="n">
        <v>76.33</v>
      </c>
      <c r="C11333" s="538" t="n">
        <v>72.34999999999999</v>
      </c>
      <c r="D11333" s="538" t="n">
        <v>76.11</v>
      </c>
      <c r="E11333" s="538" t="n">
        <v>89.45</v>
      </c>
    </row>
    <row r="11334">
      <c r="A11334" s="544" t="n">
        <v>45076</v>
      </c>
      <c r="B11334" s="538" t="n">
        <v>73.38</v>
      </c>
      <c r="C11334" s="538" t="n">
        <v>69.45</v>
      </c>
      <c r="D11334" s="538" t="n">
        <v>72.14</v>
      </c>
      <c r="E11334" s="538" t="n">
        <v>88.18000000000001</v>
      </c>
    </row>
    <row r="11335">
      <c r="A11335" s="544" t="n">
        <v>45077</v>
      </c>
      <c r="B11335" s="538" t="n">
        <v>71.98</v>
      </c>
      <c r="C11335" s="538" t="n">
        <v>68.11</v>
      </c>
      <c r="D11335" s="538" t="n">
        <v>71.7</v>
      </c>
      <c r="E11335" s="538" t="n">
        <v>85.18000000000001</v>
      </c>
    </row>
    <row r="11336">
      <c r="A11336" s="544" t="n">
        <v>45078</v>
      </c>
      <c r="B11336" s="538" t="n">
        <v>74.18000000000001</v>
      </c>
      <c r="C11336" s="538" t="n">
        <v>70.09</v>
      </c>
      <c r="D11336" s="538" t="n">
        <v>72.95</v>
      </c>
      <c r="E11336" s="538" t="n">
        <v>85.27</v>
      </c>
    </row>
    <row r="11337">
      <c r="A11337" s="544" t="n">
        <v>45079</v>
      </c>
      <c r="B11337" s="538" t="n">
        <v>76</v>
      </c>
      <c r="C11337" s="538" t="n">
        <v>71.76000000000001</v>
      </c>
      <c r="D11337" s="538" t="n">
        <v>72.92</v>
      </c>
      <c r="E11337" s="538" t="n">
        <v>85.27</v>
      </c>
    </row>
    <row r="11338">
      <c r="A11338" s="544" t="n">
        <v>45082</v>
      </c>
      <c r="B11338" s="538" t="n">
        <v>76.61</v>
      </c>
      <c r="C11338" s="538" t="n">
        <v>72.14</v>
      </c>
      <c r="D11338" s="538" t="n">
        <v>75.13</v>
      </c>
      <c r="E11338" s="538" t="n">
        <v>90.86</v>
      </c>
    </row>
    <row r="11339">
      <c r="A11339" s="544" t="n">
        <v>45083</v>
      </c>
      <c r="B11339" s="538" t="n">
        <v>76.22</v>
      </c>
      <c r="C11339" s="538" t="n">
        <v>71.70999999999999</v>
      </c>
      <c r="D11339" s="538" t="n">
        <v>75.61</v>
      </c>
      <c r="E11339" s="538" t="n">
        <v>88.51000000000001</v>
      </c>
    </row>
    <row r="11340">
      <c r="A11340" s="544" t="n">
        <v>45084</v>
      </c>
      <c r="B11340" s="538" t="n">
        <v>76.84999999999999</v>
      </c>
      <c r="C11340" s="538" t="n">
        <v>72.52</v>
      </c>
      <c r="D11340" s="538" t="n">
        <v>76.2</v>
      </c>
      <c r="E11340" s="538" t="n">
        <v>89.64</v>
      </c>
    </row>
    <row r="11341">
      <c r="A11341" s="544" t="n">
        <v>45085</v>
      </c>
      <c r="B11341" s="538" t="n">
        <v>75.88</v>
      </c>
      <c r="C11341" s="538" t="n">
        <v>71.28</v>
      </c>
      <c r="D11341" s="538" t="n">
        <v>75.20999999999999</v>
      </c>
      <c r="E11341" s="538" t="n">
        <v>91.23</v>
      </c>
    </row>
    <row r="11342">
      <c r="A11342" s="544" t="n">
        <v>45086</v>
      </c>
      <c r="B11342" s="538" t="n">
        <v>74.73999999999999</v>
      </c>
      <c r="C11342" s="538" t="n">
        <v>70.16</v>
      </c>
      <c r="D11342" s="538" t="n">
        <v>74.31999999999999</v>
      </c>
      <c r="E11342" s="538" t="n">
        <v>90.48999999999999</v>
      </c>
    </row>
    <row r="11343">
      <c r="A11343" s="544" t="n">
        <v>45089</v>
      </c>
      <c r="B11343" s="538" t="n">
        <v>71.8</v>
      </c>
      <c r="C11343" s="538" t="n">
        <v>67.08</v>
      </c>
      <c r="D11343" s="538" t="n">
        <v>71.62</v>
      </c>
      <c r="E11343" s="538" t="n">
        <v>87.59</v>
      </c>
    </row>
    <row r="11344">
      <c r="A11344" s="544" t="n">
        <v>45090</v>
      </c>
      <c r="B11344" s="538" t="n">
        <v>74.23999999999999</v>
      </c>
      <c r="C11344" s="538" t="n">
        <v>69.39</v>
      </c>
      <c r="D11344" s="538" t="n">
        <v>73.68000000000001</v>
      </c>
      <c r="E11344" s="538" t="n">
        <v>87.38</v>
      </c>
    </row>
    <row r="11345">
      <c r="A11345" s="544" t="n">
        <v>45091</v>
      </c>
      <c r="B11345" s="538" t="n">
        <v>73.39</v>
      </c>
      <c r="C11345" s="538" t="n">
        <v>68.22</v>
      </c>
      <c r="D11345" s="538" t="n">
        <v>73.3</v>
      </c>
      <c r="E11345" s="538" t="n">
        <v>90.51000000000001</v>
      </c>
    </row>
    <row r="11346">
      <c r="A11346" s="544" t="n">
        <v>45092</v>
      </c>
      <c r="B11346" s="538" t="n">
        <v>75.75</v>
      </c>
      <c r="C11346" s="538" t="n">
        <v>70.61</v>
      </c>
      <c r="D11346" s="538" t="n">
        <v>75.45999999999999</v>
      </c>
      <c r="E11346" s="538" t="n">
        <v>88.90000000000001</v>
      </c>
    </row>
    <row r="11347">
      <c r="A11347" s="544" t="n">
        <v>45093</v>
      </c>
      <c r="B11347" s="538" t="n">
        <v>76.76000000000001</v>
      </c>
      <c r="C11347" s="538" t="n">
        <v>71.81</v>
      </c>
      <c r="D11347" s="538" t="n">
        <v>76.48999999999999</v>
      </c>
      <c r="E11347" s="538" t="n">
        <v>92.98999999999999</v>
      </c>
    </row>
    <row r="11348">
      <c r="A11348" s="544" t="n">
        <v>45096</v>
      </c>
      <c r="B11348" s="538" t="n">
        <v>76.09</v>
      </c>
      <c r="C11348" s="538" t="n">
        <v>71.81</v>
      </c>
      <c r="D11348" s="538" t="n">
        <v>75.78</v>
      </c>
      <c r="E11348" s="538" t="n">
        <v>94.01000000000001</v>
      </c>
    </row>
    <row r="11349">
      <c r="A11349" s="544" t="n">
        <v>45097</v>
      </c>
      <c r="B11349" s="538" t="n">
        <v>75.79000000000001</v>
      </c>
      <c r="C11349" s="538" t="n">
        <v>70.94</v>
      </c>
      <c r="D11349" s="538" t="n">
        <v>76.25</v>
      </c>
      <c r="E11349" s="538" t="n">
        <v>94.01000000000001</v>
      </c>
    </row>
    <row r="11350">
      <c r="A11350" s="544" t="n">
        <v>45098</v>
      </c>
      <c r="B11350" s="538" t="n">
        <v>76.92</v>
      </c>
      <c r="C11350" s="538" t="n">
        <v>72.55</v>
      </c>
      <c r="D11350" s="538" t="n">
        <v>77.28</v>
      </c>
      <c r="E11350" s="538" t="n">
        <v>91.53</v>
      </c>
    </row>
    <row r="11351">
      <c r="A11351" s="544" t="n">
        <v>45099</v>
      </c>
      <c r="B11351" s="538" t="n">
        <v>73.93000000000001</v>
      </c>
      <c r="C11351" s="538" t="n">
        <v>69.22</v>
      </c>
      <c r="D11351" s="538" t="n">
        <v>74.18000000000001</v>
      </c>
      <c r="E11351" s="538" t="n">
        <v>93.48</v>
      </c>
    </row>
    <row r="11352">
      <c r="A11352" s="544" t="n">
        <v>45100</v>
      </c>
      <c r="B11352" s="538" t="n">
        <v>73.56</v>
      </c>
      <c r="C11352" s="538" t="n">
        <v>68.91</v>
      </c>
      <c r="D11352" s="538" t="n">
        <v>74.18000000000001</v>
      </c>
      <c r="E11352" s="538" t="n">
        <v>89.09999999999999</v>
      </c>
    </row>
    <row r="11353">
      <c r="A11353" s="544" t="n">
        <v>45103</v>
      </c>
      <c r="B11353" s="538" t="n">
        <v>73.86</v>
      </c>
      <c r="C11353" s="538" t="n">
        <v>69.09</v>
      </c>
      <c r="D11353" s="538" t="n">
        <v>74.56</v>
      </c>
      <c r="E11353" s="538" t="n">
        <v>89.34</v>
      </c>
    </row>
    <row r="11354">
      <c r="A11354" s="544" t="n">
        <v>45104</v>
      </c>
      <c r="B11354" s="538" t="n">
        <v>71.88</v>
      </c>
      <c r="C11354" s="538" t="n">
        <v>67.68000000000001</v>
      </c>
      <c r="D11354" s="538" t="n">
        <v>73.20999999999999</v>
      </c>
      <c r="E11354" s="538" t="n">
        <v>90.88</v>
      </c>
    </row>
    <row r="11355">
      <c r="A11355" s="544" t="n">
        <v>45105</v>
      </c>
      <c r="B11355" s="538" t="n">
        <v>73.64</v>
      </c>
      <c r="C11355" s="538" t="n">
        <v>69.54000000000001</v>
      </c>
      <c r="D11355" s="538" t="n">
        <v>74.51000000000001</v>
      </c>
      <c r="E11355" s="538" t="n">
        <v>89.33</v>
      </c>
    </row>
    <row r="11356">
      <c r="A11356" s="544" t="n">
        <v>45106</v>
      </c>
      <c r="B11356" s="538" t="n">
        <v>73.86</v>
      </c>
      <c r="C11356" s="538" t="n">
        <v>69.84999999999999</v>
      </c>
      <c r="D11356" s="538" t="n">
        <v>74.51000000000001</v>
      </c>
      <c r="E11356" s="538" t="n">
        <v>89.33</v>
      </c>
    </row>
    <row r="11357">
      <c r="A11357" s="544" t="n">
        <v>45107</v>
      </c>
      <c r="B11357" s="538" t="n">
        <v>74.51000000000001</v>
      </c>
      <c r="C11357" s="538" t="n">
        <v>70.66</v>
      </c>
      <c r="D11357" s="538" t="n">
        <v>76.06999999999999</v>
      </c>
      <c r="E11357" s="538" t="n">
        <v>91.22</v>
      </c>
    </row>
    <row r="11358">
      <c r="A11358" s="544" t="n">
        <v>45110</v>
      </c>
      <c r="B11358" s="538" t="n">
        <v>74.52</v>
      </c>
      <c r="C11358" s="538" t="n">
        <v>69.70999999999999</v>
      </c>
      <c r="D11358" s="538" t="n">
        <v>74.98999999999999</v>
      </c>
      <c r="E11358" s="538" t="n">
        <v>90.45999999999999</v>
      </c>
    </row>
    <row r="11359">
      <c r="A11359" s="544" t="n">
        <v>45111</v>
      </c>
      <c r="B11359" s="538" t="n">
        <v>76.23</v>
      </c>
      <c r="C11359" s="538" t="n">
        <v>69.70999999999999</v>
      </c>
      <c r="D11359" s="538" t="n">
        <v>76.05</v>
      </c>
      <c r="E11359" s="538" t="n">
        <v>90.09999999999999</v>
      </c>
    </row>
    <row r="11360">
      <c r="A11360" s="544" t="n">
        <v>45112</v>
      </c>
      <c r="B11360" s="538" t="n">
        <v>76.73999999999999</v>
      </c>
      <c r="C11360" s="538" t="n">
        <v>71.78</v>
      </c>
      <c r="D11360" s="538" t="n">
        <v>76.86</v>
      </c>
      <c r="E11360" s="538" t="n">
        <v>91.63</v>
      </c>
    </row>
    <row r="11361">
      <c r="A11361" s="544" t="n">
        <v>45113</v>
      </c>
      <c r="B11361" s="538" t="n">
        <v>76.72</v>
      </c>
      <c r="C11361" s="538" t="n">
        <v>71.76000000000001</v>
      </c>
      <c r="D11361" s="538" t="n">
        <v>76.91</v>
      </c>
      <c r="E11361" s="538" t="n">
        <v>92.84999999999999</v>
      </c>
    </row>
    <row r="11362">
      <c r="A11362" s="544" t="n">
        <v>45114</v>
      </c>
      <c r="B11362" s="538" t="n">
        <v>78.77</v>
      </c>
      <c r="C11362" s="538" t="n">
        <v>73.91</v>
      </c>
      <c r="D11362" s="538" t="n">
        <v>78.95</v>
      </c>
      <c r="E11362" s="538" t="n">
        <v>89.33</v>
      </c>
    </row>
    <row r="11363">
      <c r="A11363" s="544" t="n">
        <v>45117</v>
      </c>
      <c r="B11363" s="538" t="n">
        <v>77.83</v>
      </c>
      <c r="C11363" s="538" t="n">
        <v>73.05</v>
      </c>
      <c r="D11363" s="538" t="n">
        <v>77.84999999999999</v>
      </c>
      <c r="E11363" s="538" t="n">
        <v>94.67</v>
      </c>
    </row>
    <row r="11364">
      <c r="A11364" s="544" t="n">
        <v>45118</v>
      </c>
      <c r="B11364" s="538" t="n">
        <v>79.54000000000001</v>
      </c>
      <c r="C11364" s="538" t="n">
        <v>74.87</v>
      </c>
      <c r="D11364" s="538" t="n">
        <v>79.63</v>
      </c>
      <c r="E11364" s="538" t="n">
        <v>95.70999999999999</v>
      </c>
    </row>
    <row r="11365">
      <c r="A11365" s="544" t="n">
        <v>45119</v>
      </c>
      <c r="B11365" s="538" t="n">
        <v>80.34999999999999</v>
      </c>
      <c r="C11365" s="538" t="n">
        <v>75.77</v>
      </c>
      <c r="D11365" s="538" t="n">
        <v>80.39</v>
      </c>
      <c r="E11365" s="538" t="n">
        <v>95.70999999999999</v>
      </c>
    </row>
    <row r="11366">
      <c r="A11366" s="544" t="n">
        <v>45120</v>
      </c>
      <c r="B11366" s="538" t="n">
        <v>81.31</v>
      </c>
      <c r="C11366" s="538" t="n">
        <v>76.86</v>
      </c>
      <c r="D11366" s="538" t="n">
        <v>81.8</v>
      </c>
      <c r="E11366" s="538" t="n">
        <v>98.05</v>
      </c>
    </row>
    <row r="11367">
      <c r="A11367" s="544" t="n">
        <v>45121</v>
      </c>
      <c r="B11367" s="538" t="n">
        <v>79.90000000000001</v>
      </c>
      <c r="C11367" s="538" t="n">
        <v>75.44</v>
      </c>
      <c r="D11367" s="538" t="n">
        <v>80.38</v>
      </c>
      <c r="E11367" s="538" t="n">
        <v>98.04000000000001</v>
      </c>
    </row>
    <row r="11368">
      <c r="A11368" s="544" t="n">
        <v>45124</v>
      </c>
      <c r="B11368" s="538" t="n">
        <v>77.8</v>
      </c>
      <c r="C11368" s="538" t="n">
        <v>74.17</v>
      </c>
      <c r="D11368" s="538" t="n">
        <v>79.19</v>
      </c>
      <c r="E11368" s="538" t="n">
        <v>96.56999999999999</v>
      </c>
    </row>
    <row r="11369">
      <c r="A11369" s="544" t="n">
        <v>45125</v>
      </c>
      <c r="B11369" s="538" t="n">
        <v>79.54000000000001</v>
      </c>
      <c r="C11369" s="538" t="n">
        <v>75.76000000000001</v>
      </c>
      <c r="D11369" s="538" t="n">
        <v>80.56999999999999</v>
      </c>
      <c r="E11369" s="538" t="n">
        <v>96.84999999999999</v>
      </c>
    </row>
    <row r="11370">
      <c r="A11370" s="544" t="n">
        <v>45126</v>
      </c>
      <c r="B11370" s="538" t="n">
        <v>79.38</v>
      </c>
      <c r="C11370" s="538" t="n">
        <v>75.40000000000001</v>
      </c>
      <c r="D11370" s="538" t="n">
        <v>80.29000000000001</v>
      </c>
      <c r="E11370" s="538" t="n">
        <v>98.63</v>
      </c>
    </row>
    <row r="11371">
      <c r="A11371" s="544" t="n">
        <v>45127</v>
      </c>
      <c r="B11371" s="538" t="n">
        <v>79.62</v>
      </c>
      <c r="C11371" s="538" t="n">
        <v>75.65000000000001</v>
      </c>
      <c r="D11371" s="538" t="n">
        <v>80.68000000000001</v>
      </c>
      <c r="E11371" s="538" t="n">
        <v>100.17</v>
      </c>
    </row>
    <row r="11372">
      <c r="A11372" s="544" t="n">
        <v>45128</v>
      </c>
      <c r="B11372" s="538" t="n">
        <v>81.06</v>
      </c>
      <c r="C11372" s="538" t="n">
        <v>77.06</v>
      </c>
      <c r="D11372" s="538" t="n">
        <v>82.23999999999999</v>
      </c>
      <c r="E11372" s="538" t="n">
        <v>101.49</v>
      </c>
    </row>
    <row r="11373">
      <c r="A11373" s="544" t="n">
        <v>45131</v>
      </c>
      <c r="B11373" s="538" t="n">
        <v>82.53</v>
      </c>
      <c r="C11373" s="538" t="n">
        <v>78.81</v>
      </c>
      <c r="D11373" s="538" t="n">
        <v>84.04000000000001</v>
      </c>
      <c r="E11373" s="538" t="n">
        <v>103.47</v>
      </c>
    </row>
    <row r="11374">
      <c r="A11374" s="544" t="n">
        <v>45132</v>
      </c>
      <c r="B11374" s="538" t="n">
        <v>83.45999999999999</v>
      </c>
      <c r="C11374" s="538" t="n">
        <v>79.76000000000001</v>
      </c>
      <c r="D11374" s="538" t="n">
        <v>84.41</v>
      </c>
      <c r="E11374" s="538" t="n">
        <v>105.14</v>
      </c>
    </row>
    <row r="11375">
      <c r="A11375" s="544" t="n">
        <v>45133</v>
      </c>
      <c r="B11375" s="538" t="n">
        <v>82.98</v>
      </c>
      <c r="C11375" s="538" t="n">
        <v>79.11</v>
      </c>
      <c r="D11375" s="538" t="n">
        <v>84.31</v>
      </c>
      <c r="E11375" s="538" t="n">
        <v>105.27</v>
      </c>
    </row>
    <row r="11376">
      <c r="A11376" s="544" t="n">
        <v>45134</v>
      </c>
      <c r="B11376" s="538" t="n">
        <v>84.28</v>
      </c>
      <c r="C11376" s="538" t="n">
        <v>80.17</v>
      </c>
      <c r="D11376" s="538" t="n">
        <v>84.63</v>
      </c>
      <c r="E11376" s="538" t="n">
        <v>108.21</v>
      </c>
    </row>
    <row r="11377">
      <c r="A11377" s="544" t="n">
        <v>45135</v>
      </c>
      <c r="B11377" s="538" t="n">
        <v>84.48999999999999</v>
      </c>
      <c r="C11377" s="538" t="n">
        <v>80.55</v>
      </c>
      <c r="D11377" s="538" t="n">
        <v>85.56999999999999</v>
      </c>
      <c r="E11377" s="538" t="n">
        <v>109.07</v>
      </c>
    </row>
    <row r="11378">
      <c r="A11378" s="544" t="n">
        <v>45138</v>
      </c>
      <c r="B11378" s="538" t="n">
        <v>85.22</v>
      </c>
      <c r="C11378" s="538" t="n">
        <v>81.8</v>
      </c>
      <c r="D11378" s="538" t="n">
        <v>85.83</v>
      </c>
      <c r="E11378" s="538" t="n">
        <v>110.32</v>
      </c>
    </row>
    <row r="11379">
      <c r="A11379" s="544" t="n">
        <v>45139</v>
      </c>
      <c r="B11379" s="538" t="n">
        <v>85.34</v>
      </c>
      <c r="C11379" s="538" t="n">
        <v>81.37</v>
      </c>
      <c r="D11379" s="538" t="n">
        <v>86.42</v>
      </c>
      <c r="E11379" s="538" t="n">
        <v>112.27</v>
      </c>
    </row>
    <row r="11380">
      <c r="A11380" s="544" t="n">
        <v>45140</v>
      </c>
      <c r="B11380" s="538" t="n">
        <v>84.01000000000001</v>
      </c>
      <c r="C11380" s="538" t="n">
        <v>79.5</v>
      </c>
      <c r="D11380" s="538" t="n">
        <v>83.98</v>
      </c>
      <c r="E11380" s="538" t="n">
        <v>113.35</v>
      </c>
    </row>
    <row r="11381">
      <c r="A11381" s="544" t="n">
        <v>45141</v>
      </c>
      <c r="B11381" s="538" t="n">
        <v>86.19</v>
      </c>
      <c r="C11381" s="538" t="n">
        <v>81.56</v>
      </c>
      <c r="D11381" s="538" t="n">
        <v>86.18000000000001</v>
      </c>
      <c r="E11381" s="538" t="n">
        <v>111.74</v>
      </c>
    </row>
    <row r="11382">
      <c r="A11382" s="544" t="n">
        <v>45142</v>
      </c>
      <c r="B11382" s="538" t="n">
        <v>87.38</v>
      </c>
      <c r="C11382" s="538" t="n">
        <v>82.76000000000001</v>
      </c>
      <c r="D11382" s="538" t="n">
        <v>86.72</v>
      </c>
      <c r="E11382" s="538" t="n">
        <v>114.67</v>
      </c>
    </row>
    <row r="11383">
      <c r="A11383" s="544" t="n">
        <v>45145</v>
      </c>
      <c r="B11383" s="538" t="n">
        <v>86.47</v>
      </c>
      <c r="C11383" s="538" t="n">
        <v>81.94</v>
      </c>
      <c r="D11383" s="538" t="n">
        <v>86.95</v>
      </c>
      <c r="E11383" s="538" t="n">
        <v>113.95</v>
      </c>
    </row>
    <row r="11384">
      <c r="A11384" s="544" t="n">
        <v>45146</v>
      </c>
      <c r="B11384" s="538" t="n">
        <v>88</v>
      </c>
      <c r="C11384" s="538" t="n">
        <v>82.94</v>
      </c>
      <c r="D11384" s="538" t="n">
        <v>87.18000000000001</v>
      </c>
      <c r="E11384" s="538" t="n">
        <v>111.87</v>
      </c>
    </row>
    <row r="11385">
      <c r="A11385" s="544" t="n">
        <v>45147</v>
      </c>
      <c r="B11385" s="538" t="n">
        <v>89.31</v>
      </c>
      <c r="C11385" s="538" t="n">
        <v>84.34999999999999</v>
      </c>
      <c r="D11385" s="538" t="n">
        <v>87.15000000000001</v>
      </c>
      <c r="E11385" s="538" t="n">
        <v>111.87</v>
      </c>
    </row>
    <row r="11386">
      <c r="A11386" s="544" t="n">
        <v>45148</v>
      </c>
      <c r="B11386" s="538" t="n">
        <v>87.44</v>
      </c>
      <c r="C11386" s="538" t="n">
        <v>82.81</v>
      </c>
      <c r="D11386" s="538" t="n">
        <v>87.41</v>
      </c>
      <c r="E11386" s="538" t="n">
        <v>119.56</v>
      </c>
    </row>
    <row r="11387">
      <c r="A11387" s="544" t="n">
        <v>45149</v>
      </c>
      <c r="B11387" s="538" t="n">
        <v>87.93000000000001</v>
      </c>
      <c r="C11387" s="538" t="n">
        <v>83.17</v>
      </c>
      <c r="D11387" s="538" t="n">
        <v>87.89</v>
      </c>
      <c r="E11387" s="538" t="n">
        <v>118</v>
      </c>
    </row>
    <row r="11388">
      <c r="A11388" s="544" t="n">
        <v>45152</v>
      </c>
      <c r="B11388" s="538" t="n">
        <v>87.40000000000001</v>
      </c>
      <c r="C11388" s="538" t="n">
        <v>82.5</v>
      </c>
      <c r="D11388" s="538" t="n">
        <v>86.95999999999999</v>
      </c>
      <c r="E11388" s="538" t="n">
        <v>117.1</v>
      </c>
    </row>
    <row r="11389">
      <c r="A11389" s="544" t="n">
        <v>45153</v>
      </c>
      <c r="B11389" s="538" t="n">
        <v>86.28</v>
      </c>
      <c r="C11389" s="538" t="n">
        <v>81.06</v>
      </c>
      <c r="D11389" s="538" t="n">
        <v>85.38</v>
      </c>
      <c r="E11389" s="538" t="n">
        <v>116.37</v>
      </c>
    </row>
    <row r="11390">
      <c r="A11390" s="544" t="n">
        <v>45154</v>
      </c>
      <c r="B11390" s="538" t="n">
        <v>84.48999999999999</v>
      </c>
      <c r="C11390" s="538" t="n">
        <v>79.40000000000001</v>
      </c>
      <c r="D11390" s="538" t="n">
        <v>84.01000000000001</v>
      </c>
      <c r="E11390" s="538" t="n">
        <v>114.32</v>
      </c>
    </row>
    <row r="11391">
      <c r="A11391" s="544" t="n">
        <v>45155</v>
      </c>
      <c r="B11391" s="538" t="n">
        <v>85.23999999999999</v>
      </c>
      <c r="C11391" s="538" t="n">
        <v>80.43000000000001</v>
      </c>
      <c r="D11391" s="538" t="n">
        <v>84.59</v>
      </c>
      <c r="E11391" s="538" t="n">
        <v>115.25</v>
      </c>
    </row>
    <row r="11392">
      <c r="A11392" s="544" t="n">
        <v>45156</v>
      </c>
      <c r="B11392" s="538" t="n">
        <v>85.92</v>
      </c>
      <c r="C11392" s="538" t="n">
        <v>81.25</v>
      </c>
      <c r="D11392" s="538" t="n">
        <v>85.56</v>
      </c>
      <c r="E11392" s="538" t="n">
        <v>117.55</v>
      </c>
    </row>
    <row r="11393">
      <c r="A11393" s="544" t="n">
        <v>45159</v>
      </c>
      <c r="B11393" s="538" t="n">
        <v>85.44</v>
      </c>
      <c r="C11393" s="538" t="n">
        <v>80.70999999999999</v>
      </c>
      <c r="D11393" s="538" t="n">
        <v>85.39</v>
      </c>
      <c r="E11393" s="538" t="n">
        <v>119.37</v>
      </c>
    </row>
    <row r="11394">
      <c r="A11394" s="544" t="n">
        <v>45160</v>
      </c>
      <c r="B11394" s="538" t="n">
        <v>84.7</v>
      </c>
      <c r="C11394" s="538" t="n">
        <v>80.25</v>
      </c>
      <c r="D11394" s="538" t="n">
        <v>85.28</v>
      </c>
      <c r="E11394" s="538" t="n">
        <v>115.75</v>
      </c>
    </row>
    <row r="11395">
      <c r="A11395" s="544" t="n">
        <v>45161</v>
      </c>
      <c r="B11395" s="538" t="n">
        <v>83.94</v>
      </c>
      <c r="C11395" s="538" t="n">
        <v>78.91</v>
      </c>
      <c r="D11395" s="538" t="n">
        <v>84.44</v>
      </c>
      <c r="E11395" s="538" t="n">
        <v>117.11</v>
      </c>
    </row>
    <row r="11396">
      <c r="A11396" s="544" t="n">
        <v>45162</v>
      </c>
      <c r="B11396" s="538" t="n">
        <v>84.06999999999999</v>
      </c>
      <c r="C11396" s="538" t="n">
        <v>79.52</v>
      </c>
      <c r="D11396" s="538" t="n">
        <v>85.36</v>
      </c>
      <c r="E11396" s="538" t="n">
        <v>117.04</v>
      </c>
    </row>
    <row r="11397">
      <c r="A11397" s="544" t="n">
        <v>45163</v>
      </c>
      <c r="B11397" s="538" t="n">
        <v>85.42</v>
      </c>
      <c r="C11397" s="538" t="n">
        <v>80.47</v>
      </c>
      <c r="D11397" s="538" t="n">
        <v>85.79000000000001</v>
      </c>
      <c r="E11397" s="538" t="n">
        <v>119.56</v>
      </c>
    </row>
    <row r="11398">
      <c r="A11398" s="544" t="n">
        <v>45166</v>
      </c>
      <c r="B11398" s="538" t="n">
        <v>85.42</v>
      </c>
      <c r="C11398" s="538" t="n">
        <v>80.65000000000001</v>
      </c>
      <c r="D11398" s="538" t="n">
        <v>85.59</v>
      </c>
      <c r="E11398" s="538" t="n">
        <v>122.62</v>
      </c>
    </row>
    <row r="11399">
      <c r="A11399" s="544" t="n">
        <v>45167</v>
      </c>
      <c r="B11399" s="538" t="n">
        <v>86.37</v>
      </c>
      <c r="C11399" s="538" t="n">
        <v>81.14</v>
      </c>
      <c r="D11399" s="538" t="n">
        <v>87.47</v>
      </c>
      <c r="E11399" s="538" t="n">
        <v>120.02</v>
      </c>
    </row>
    <row r="11400">
      <c r="A11400" s="544" t="n">
        <v>45168</v>
      </c>
      <c r="B11400" s="538" t="n">
        <v>86.62</v>
      </c>
      <c r="C11400" s="538" t="n">
        <v>81.64</v>
      </c>
      <c r="D11400" s="538" t="n">
        <v>86.8</v>
      </c>
      <c r="E11400" s="538" t="n">
        <v>118.02</v>
      </c>
    </row>
    <row r="11401">
      <c r="A11401" s="544" t="n">
        <v>45169</v>
      </c>
      <c r="B11401" s="538" t="n">
        <v>87.29000000000001</v>
      </c>
      <c r="C11401" s="538" t="n">
        <v>83.55</v>
      </c>
      <c r="D11401" s="538" t="n">
        <v>89.12</v>
      </c>
      <c r="E11401" s="538" t="n">
        <v>116.57</v>
      </c>
    </row>
    <row r="11402">
      <c r="A11402" s="544" t="n">
        <v>45170</v>
      </c>
      <c r="B11402" s="538" t="n">
        <v>89.98</v>
      </c>
      <c r="C11402" s="538" t="n">
        <v>85.52</v>
      </c>
      <c r="D11402" s="538" t="n">
        <v>89.65000000000001</v>
      </c>
      <c r="E11402" s="538" t="n">
        <v>116.57</v>
      </c>
    </row>
    <row r="11403">
      <c r="A11403" s="544" t="n">
        <v>45173</v>
      </c>
      <c r="B11403" s="538" t="n">
        <v>90.42</v>
      </c>
      <c r="C11403" s="538" t="n">
        <v>85.52</v>
      </c>
      <c r="D11403" s="538" t="n">
        <v>89.70999999999999</v>
      </c>
      <c r="E11403" s="538" t="n">
        <v>118.1</v>
      </c>
    </row>
    <row r="11404">
      <c r="A11404" s="544" t="n">
        <v>45174</v>
      </c>
      <c r="B11404" s="538" t="n">
        <v>91.25</v>
      </c>
      <c r="C11404" s="538" t="n">
        <v>86.73999999999999</v>
      </c>
      <c r="D11404" s="538" t="n">
        <v>91.2</v>
      </c>
      <c r="E11404" s="538" t="n">
        <v>118.78</v>
      </c>
    </row>
    <row r="11405">
      <c r="A11405" s="544" t="n">
        <v>45175</v>
      </c>
      <c r="B11405" s="538" t="n">
        <v>91.79000000000001</v>
      </c>
      <c r="C11405" s="538" t="n">
        <v>87.55</v>
      </c>
      <c r="D11405" s="538" t="n">
        <v>91.48</v>
      </c>
      <c r="E11405" s="538" t="n">
        <v>121</v>
      </c>
    </row>
    <row r="11406">
      <c r="A11406" s="544" t="n">
        <v>45176</v>
      </c>
      <c r="B11406" s="538" t="n">
        <v>91.16</v>
      </c>
      <c r="C11406" s="538" t="n">
        <v>86.87</v>
      </c>
      <c r="D11406" s="538" t="n">
        <v>90.75</v>
      </c>
      <c r="E11406" s="538" t="n">
        <v>120.48</v>
      </c>
    </row>
    <row r="11407">
      <c r="A11407" s="544" t="n">
        <v>45177</v>
      </c>
      <c r="B11407" s="538" t="n">
        <v>91.84999999999999</v>
      </c>
      <c r="C11407" s="538" t="n">
        <v>87.51000000000001</v>
      </c>
      <c r="D11407" s="538" t="n">
        <v>91.66</v>
      </c>
      <c r="E11407" s="538" t="n">
        <v>122.24</v>
      </c>
    </row>
    <row r="11408">
      <c r="A11408" s="544" t="n">
        <v>45180</v>
      </c>
      <c r="B11408" s="538" t="n">
        <v>91.97</v>
      </c>
      <c r="C11408" s="538" t="n">
        <v>87.3</v>
      </c>
      <c r="D11408" s="538" t="n">
        <v>91.67</v>
      </c>
      <c r="E11408" s="538" t="n">
        <v>123.71</v>
      </c>
    </row>
    <row r="11409">
      <c r="A11409" s="544" t="n">
        <v>45181</v>
      </c>
      <c r="B11409" s="538" t="n">
        <v>93.58</v>
      </c>
      <c r="C11409" s="538" t="n">
        <v>88.87</v>
      </c>
      <c r="D11409" s="538" t="n">
        <v>93.2</v>
      </c>
      <c r="E11409" s="538" t="n">
        <v>124.37</v>
      </c>
    </row>
    <row r="11410">
      <c r="A11410" s="544" t="n">
        <v>45182</v>
      </c>
      <c r="B11410" s="538" t="n">
        <v>93.04000000000001</v>
      </c>
      <c r="C11410" s="538" t="n">
        <v>88.59</v>
      </c>
      <c r="D11410" s="538" t="n">
        <v>93.39</v>
      </c>
      <c r="E11410" s="538" t="n">
        <v>125.1</v>
      </c>
    </row>
    <row r="11411">
      <c r="A11411" s="544" t="n">
        <v>45183</v>
      </c>
      <c r="B11411" s="538" t="n">
        <v>95.2</v>
      </c>
      <c r="C11411" s="538" t="n">
        <v>90.13</v>
      </c>
      <c r="D11411" s="538" t="n">
        <v>95.44</v>
      </c>
      <c r="E11411" s="538" t="n">
        <v>126.38</v>
      </c>
    </row>
    <row r="11412">
      <c r="A11412" s="544" t="n">
        <v>45184</v>
      </c>
      <c r="B11412" s="538" t="n">
        <v>95.55</v>
      </c>
      <c r="C11412" s="538" t="n">
        <v>90.83</v>
      </c>
      <c r="D11412" s="538" t="n">
        <v>95.16</v>
      </c>
      <c r="E11412" s="538" t="n">
        <v>128.36</v>
      </c>
    </row>
    <row r="11413">
      <c r="A11413" s="544" t="n">
        <v>45187</v>
      </c>
      <c r="B11413" s="538" t="n">
        <v>95.95</v>
      </c>
      <c r="C11413" s="538" t="n">
        <v>91.47</v>
      </c>
      <c r="D11413" s="538" t="n">
        <v>95.63</v>
      </c>
      <c r="E11413" s="538" t="n">
        <v>124.03</v>
      </c>
    </row>
    <row r="11414">
      <c r="A11414" s="544" t="n">
        <v>45188</v>
      </c>
      <c r="B11414" s="538" t="n">
        <v>96.11</v>
      </c>
      <c r="C11414" s="538" t="n">
        <v>91.16</v>
      </c>
      <c r="D11414" s="538" t="n">
        <v>94.27</v>
      </c>
      <c r="E11414" s="538" t="n">
        <v>121.01</v>
      </c>
    </row>
    <row r="11415">
      <c r="A11415" s="544" t="n">
        <v>45189</v>
      </c>
      <c r="B11415" s="538" t="n">
        <v>94.56</v>
      </c>
      <c r="C11415" s="538" t="n">
        <v>89.2</v>
      </c>
      <c r="D11415" s="538" t="n">
        <v>93.28</v>
      </c>
      <c r="E11415" s="538" t="n">
        <v>121.76</v>
      </c>
    </row>
    <row r="11416">
      <c r="A11416" s="544" t="n">
        <v>45190</v>
      </c>
      <c r="B11416" s="538" t="n">
        <v>93.7</v>
      </c>
      <c r="C11416" s="538" t="n">
        <v>89.56</v>
      </c>
      <c r="D11416" s="538" t="n">
        <v>94.90000000000001</v>
      </c>
      <c r="E11416" s="538" t="n">
        <v>122.91</v>
      </c>
    </row>
    <row r="11417">
      <c r="A11417" s="544" t="n">
        <v>45191</v>
      </c>
      <c r="B11417" s="538" t="n">
        <v>93.98999999999999</v>
      </c>
      <c r="C11417" s="538" t="n">
        <v>90</v>
      </c>
      <c r="D11417" s="538" t="n">
        <v>93.87</v>
      </c>
      <c r="E11417" s="538" t="n">
        <v>124.59</v>
      </c>
    </row>
    <row r="11418">
      <c r="A11418" s="544" t="n">
        <v>45194</v>
      </c>
      <c r="B11418" s="538" t="n">
        <v>94.01000000000001</v>
      </c>
      <c r="C11418" s="538" t="n">
        <v>89.68000000000001</v>
      </c>
      <c r="D11418" s="538" t="n">
        <v>93.70999999999999</v>
      </c>
      <c r="E11418" s="538" t="n">
        <v>123.65</v>
      </c>
    </row>
    <row r="11419">
      <c r="A11419" s="544" t="n">
        <v>45195</v>
      </c>
      <c r="B11419" s="538" t="n">
        <v>94.45999999999999</v>
      </c>
      <c r="C11419" s="538" t="n">
        <v>91.43000000000001</v>
      </c>
      <c r="D11419" s="538" t="n">
        <v>95.29000000000001</v>
      </c>
      <c r="E11419" s="538" t="n">
        <v>119.51</v>
      </c>
    </row>
    <row r="11420">
      <c r="A11420" s="544" t="n">
        <v>45196</v>
      </c>
      <c r="B11420" s="538" t="n">
        <v>97.09999999999999</v>
      </c>
      <c r="C11420" s="538" t="n">
        <v>93.67</v>
      </c>
      <c r="D11420" s="538" t="n">
        <v>97.77</v>
      </c>
      <c r="E11420" s="538" t="n">
        <v>121.99</v>
      </c>
    </row>
    <row r="11421">
      <c r="A11421" s="544" t="n">
        <v>45197</v>
      </c>
      <c r="B11421" s="538" t="n">
        <v>96.64</v>
      </c>
      <c r="C11421" s="538" t="n">
        <v>91.65000000000001</v>
      </c>
      <c r="D11421" s="538" t="n">
        <v>95.31</v>
      </c>
      <c r="E11421" s="538" t="n">
        <v>124.1</v>
      </c>
    </row>
    <row r="11422">
      <c r="A11422" s="544" t="n">
        <v>45198</v>
      </c>
      <c r="B11422" s="538" t="n">
        <v>95.86</v>
      </c>
      <c r="C11422" s="538" t="n">
        <v>90.77</v>
      </c>
      <c r="D11422" s="538" t="n">
        <v>94</v>
      </c>
      <c r="E11422" s="538" t="n">
        <v>123.84</v>
      </c>
    </row>
    <row r="11423">
      <c r="A11423" s="544" t="n">
        <v>45201</v>
      </c>
      <c r="B11423" s="538" t="n">
        <v>91.20999999999999</v>
      </c>
      <c r="C11423" s="538" t="n">
        <v>88.81</v>
      </c>
      <c r="D11423" s="538" t="n">
        <v>89.37</v>
      </c>
      <c r="E11423" s="538" t="n">
        <v>124.74</v>
      </c>
    </row>
    <row r="11424">
      <c r="A11424" s="544" t="n">
        <v>45202</v>
      </c>
      <c r="B11424" s="538" t="n">
        <v>94.45999999999999</v>
      </c>
      <c r="C11424" s="538" t="n">
        <v>89.26000000000001</v>
      </c>
      <c r="D11424" s="538" t="n">
        <v>90.40000000000001</v>
      </c>
      <c r="E11424" s="538" t="n">
        <v>119.76</v>
      </c>
    </row>
    <row r="11425">
      <c r="A11425" s="544" t="n">
        <v>45203</v>
      </c>
      <c r="B11425" s="538" t="n">
        <v>89.83</v>
      </c>
      <c r="C11425" s="538" t="n">
        <v>84.31999999999999</v>
      </c>
      <c r="D11425" s="538" t="n">
        <v>85.78</v>
      </c>
      <c r="E11425" s="538" t="n">
        <v>116.57</v>
      </c>
    </row>
    <row r="11426">
      <c r="A11426" s="544" t="n">
        <v>45204</v>
      </c>
      <c r="B11426" s="538" t="n">
        <v>88.28</v>
      </c>
      <c r="C11426" s="538" t="n">
        <v>82.3</v>
      </c>
      <c r="D11426" s="538" t="n">
        <v>84.14</v>
      </c>
      <c r="E11426" s="538" t="n">
        <v>110.86</v>
      </c>
    </row>
    <row r="11427">
      <c r="A11427" s="544" t="n">
        <v>45205</v>
      </c>
      <c r="B11427" s="538" t="n">
        <v>87.86</v>
      </c>
      <c r="C11427" s="538" t="n">
        <v>82.83</v>
      </c>
      <c r="D11427" s="538" t="n">
        <v>84.12</v>
      </c>
      <c r="E11427" s="538" t="n">
        <v>107.5</v>
      </c>
    </row>
    <row r="11428">
      <c r="A11428" s="544" t="n">
        <v>45208</v>
      </c>
      <c r="B11428" s="538" t="n">
        <v>91.37</v>
      </c>
      <c r="C11428" s="538" t="n">
        <v>82.83</v>
      </c>
      <c r="D11428" s="538" t="n">
        <v>87.95999999999999</v>
      </c>
      <c r="E11428" s="538" t="n">
        <v>111.66</v>
      </c>
    </row>
    <row r="11429">
      <c r="A11429" s="544" t="n">
        <v>45209</v>
      </c>
      <c r="B11429" s="538" t="n">
        <v>90.7</v>
      </c>
      <c r="C11429" s="538" t="n">
        <v>85.89</v>
      </c>
      <c r="D11429" s="538" t="n">
        <v>87.8</v>
      </c>
      <c r="E11429" s="538" t="n">
        <v>111.3</v>
      </c>
    </row>
    <row r="11430">
      <c r="A11430" s="544" t="n">
        <v>45210</v>
      </c>
      <c r="B11430" s="538" t="n">
        <v>87.58</v>
      </c>
      <c r="C11430" s="538" t="n">
        <v>83.7</v>
      </c>
      <c r="D11430" s="538" t="n">
        <v>85.29000000000001</v>
      </c>
      <c r="E11430" s="538" t="n">
        <v>111.3</v>
      </c>
    </row>
    <row r="11431">
      <c r="A11431" s="544" t="n">
        <v>45211</v>
      </c>
      <c r="B11431" s="538" t="n">
        <v>88.40000000000001</v>
      </c>
      <c r="C11431" s="538" t="n">
        <v>82.87</v>
      </c>
      <c r="D11431" s="538" t="n">
        <v>86.56999999999999</v>
      </c>
      <c r="E11431" s="538" t="n">
        <v>112.97</v>
      </c>
    </row>
    <row r="11432">
      <c r="A11432" s="544" t="n">
        <v>45212</v>
      </c>
      <c r="B11432" s="538" t="n">
        <v>94.33</v>
      </c>
      <c r="C11432" s="538" t="n">
        <v>87.67</v>
      </c>
      <c r="D11432" s="538" t="n">
        <v>90.75</v>
      </c>
      <c r="E11432" s="538" t="n">
        <v>115.37</v>
      </c>
    </row>
    <row r="11433">
      <c r="A11433" s="544" t="n">
        <v>45215</v>
      </c>
      <c r="B11433" s="538" t="n">
        <v>90.98999999999999</v>
      </c>
      <c r="C11433" s="538" t="n">
        <v>86.65000000000001</v>
      </c>
      <c r="D11433" s="538" t="n">
        <v>89.73999999999999</v>
      </c>
      <c r="E11433" s="538" t="n">
        <v>117.98</v>
      </c>
    </row>
    <row r="11434">
      <c r="A11434" s="544" t="n">
        <v>45216</v>
      </c>
      <c r="B11434" s="538" t="n">
        <v>92.52</v>
      </c>
      <c r="C11434" s="538" t="n">
        <v>86.66</v>
      </c>
      <c r="D11434" s="538" t="n">
        <v>92.13</v>
      </c>
      <c r="E11434" s="538" t="n">
        <v>116.21</v>
      </c>
    </row>
    <row r="11435">
      <c r="A11435" s="544" t="n">
        <v>45217</v>
      </c>
      <c r="B11435" s="538" t="n">
        <v>91.98999999999999</v>
      </c>
      <c r="C11435" s="538" t="n">
        <v>88.34999999999999</v>
      </c>
      <c r="D11435" s="538" t="n">
        <v>91.70999999999999</v>
      </c>
      <c r="E11435" s="538" t="n">
        <v>116.89</v>
      </c>
    </row>
    <row r="11436">
      <c r="A11436" s="544" t="n">
        <v>45218</v>
      </c>
      <c r="B11436" s="538" t="n">
        <v>93.12</v>
      </c>
      <c r="C11436" s="538" t="n">
        <v>89.34999999999999</v>
      </c>
      <c r="D11436" s="538" t="n">
        <v>93.75</v>
      </c>
      <c r="E11436" s="538" t="n">
        <v>113.56</v>
      </c>
    </row>
    <row r="11437">
      <c r="A11437" s="544" t="n">
        <v>45219</v>
      </c>
      <c r="B11437" s="538" t="n">
        <v>93.72</v>
      </c>
      <c r="C11437" s="538" t="n">
        <v>89.12</v>
      </c>
      <c r="D11437" s="538" t="n">
        <v>92.56</v>
      </c>
      <c r="E11437" s="538" t="n">
        <v>112.65</v>
      </c>
    </row>
    <row r="11438">
      <c r="A11438" s="544" t="n">
        <v>45222</v>
      </c>
      <c r="B11438" s="538" t="n">
        <v>91.88</v>
      </c>
      <c r="C11438" s="538" t="n">
        <v>85.48999999999999</v>
      </c>
      <c r="D11438" s="538" t="n">
        <v>90.97</v>
      </c>
      <c r="E11438" s="538" t="n">
        <v>115.78</v>
      </c>
    </row>
    <row r="11439">
      <c r="A11439" s="544" t="n">
        <v>45223</v>
      </c>
      <c r="B11439" s="538" t="n">
        <v>88</v>
      </c>
      <c r="C11439" s="538" t="n">
        <v>84.58</v>
      </c>
      <c r="D11439" s="538" t="n">
        <v>88.81999999999999</v>
      </c>
      <c r="E11439" s="538" t="n">
        <v>112.57</v>
      </c>
    </row>
    <row r="11440">
      <c r="A11440" s="544" t="n">
        <v>45224</v>
      </c>
      <c r="B11440" s="538" t="n">
        <v>90.14</v>
      </c>
      <c r="C11440" s="538" t="n">
        <v>86.06999999999999</v>
      </c>
      <c r="D11440" s="538" t="n">
        <v>90.48</v>
      </c>
      <c r="E11440" s="538" t="n">
        <v>110</v>
      </c>
    </row>
    <row r="11441">
      <c r="A11441" s="544" t="n">
        <v>45225</v>
      </c>
      <c r="B11441" s="538" t="n">
        <v>88.45</v>
      </c>
      <c r="C11441" s="538" t="n">
        <v>83.8</v>
      </c>
      <c r="D11441" s="538" t="n">
        <v>89.41</v>
      </c>
      <c r="E11441" s="538" t="n">
        <v>112.03</v>
      </c>
    </row>
    <row r="11442">
      <c r="A11442" s="544" t="n">
        <v>45226</v>
      </c>
      <c r="B11442" s="538" t="n">
        <v>90.73</v>
      </c>
      <c r="C11442" s="538" t="n">
        <v>86.04000000000001</v>
      </c>
      <c r="D11442" s="538" t="n">
        <v>90.20999999999999</v>
      </c>
      <c r="E11442" s="538" t="n">
        <v>112.98</v>
      </c>
    </row>
    <row r="11443">
      <c r="A11443" s="544" t="n">
        <v>45229</v>
      </c>
      <c r="B11443" s="538" t="n">
        <v>90.73</v>
      </c>
      <c r="C11443" s="538" t="n">
        <v>83.03</v>
      </c>
      <c r="D11443" s="538" t="n">
        <v>88.05</v>
      </c>
      <c r="E11443" s="538" t="n">
        <v>110.02</v>
      </c>
    </row>
    <row r="11444">
      <c r="A11444" s="544" t="n">
        <v>45230</v>
      </c>
      <c r="B11444" s="538" t="n">
        <v>86.81999999999999</v>
      </c>
      <c r="C11444" s="538" t="n">
        <v>81.64</v>
      </c>
      <c r="D11444" s="538" t="n">
        <v>87.34999999999999</v>
      </c>
      <c r="E11444" s="538" t="n">
        <v>109.59</v>
      </c>
    </row>
    <row r="11445">
      <c r="A11445" s="544" t="n">
        <v>45231</v>
      </c>
      <c r="B11445" s="538" t="n">
        <v>86.92</v>
      </c>
      <c r="C11445" s="538" t="n">
        <v>81.05</v>
      </c>
      <c r="D11445" s="538" t="n">
        <v>85.95</v>
      </c>
      <c r="E11445" s="538" t="n">
        <v>109.89</v>
      </c>
    </row>
    <row r="11446">
      <c r="A11446" s="544" t="n">
        <v>45232</v>
      </c>
      <c r="B11446" s="538" t="n">
        <v>89.02</v>
      </c>
      <c r="C11446" s="538" t="n">
        <v>83.04000000000001</v>
      </c>
      <c r="D11446" s="538" t="n">
        <v>87.56999999999999</v>
      </c>
      <c r="E11446" s="538" t="n">
        <v>110.74</v>
      </c>
    </row>
    <row r="11447">
      <c r="A11447" s="544" t="n">
        <v>45233</v>
      </c>
      <c r="B11447" s="538" t="n">
        <v>87.55</v>
      </c>
      <c r="C11447" s="538" t="n">
        <v>81.19</v>
      </c>
      <c r="D11447" s="538" t="n">
        <v>85.53</v>
      </c>
      <c r="E11447" s="538" t="n">
        <v>112.98</v>
      </c>
    </row>
    <row r="11448">
      <c r="A11448" s="544" t="n">
        <v>45236</v>
      </c>
      <c r="B11448" s="538" t="n">
        <v>87.31</v>
      </c>
      <c r="C11448" s="538" t="n">
        <v>81.54000000000001</v>
      </c>
      <c r="D11448" s="538" t="n">
        <v>85.56</v>
      </c>
      <c r="E11448" s="538" t="n">
        <v>112.98</v>
      </c>
    </row>
    <row r="11449">
      <c r="A11449" s="544" t="n">
        <v>45237</v>
      </c>
      <c r="B11449" s="538" t="n">
        <v>83.43000000000001</v>
      </c>
      <c r="C11449" s="538" t="n">
        <v>77.95999999999999</v>
      </c>
      <c r="D11449" s="538" t="n">
        <v>82.36</v>
      </c>
      <c r="E11449" s="538" t="n">
        <v>109.02</v>
      </c>
    </row>
    <row r="11450">
      <c r="A11450" s="544" t="n">
        <v>45238</v>
      </c>
      <c r="B11450" s="538" t="n">
        <v>81.45999999999999</v>
      </c>
      <c r="C11450" s="538" t="n">
        <v>75.84999999999999</v>
      </c>
      <c r="D11450" s="538" t="n">
        <v>80.62</v>
      </c>
      <c r="E11450" s="538" t="n">
        <v>105.9</v>
      </c>
    </row>
    <row r="11451">
      <c r="A11451" s="544" t="n">
        <v>45239</v>
      </c>
      <c r="B11451" s="538" t="n">
        <v>81.73999999999999</v>
      </c>
      <c r="C11451" s="538" t="n">
        <v>76.34</v>
      </c>
      <c r="D11451" s="538" t="n">
        <v>81.25</v>
      </c>
      <c r="E11451" s="538" t="n">
        <v>102.1</v>
      </c>
    </row>
    <row r="11452">
      <c r="A11452" s="544" t="n">
        <v>45240</v>
      </c>
      <c r="B11452" s="538" t="n">
        <v>83.66</v>
      </c>
      <c r="C11452" s="538" t="n">
        <v>76.34</v>
      </c>
      <c r="D11452" s="538" t="n">
        <v>82.75</v>
      </c>
      <c r="E11452" s="538" t="n">
        <v>101.28</v>
      </c>
    </row>
    <row r="11453">
      <c r="A11453" s="544" t="n">
        <v>45243</v>
      </c>
      <c r="B11453" s="538" t="n">
        <v>84.09</v>
      </c>
      <c r="C11453" s="538" t="n">
        <v>78.86</v>
      </c>
      <c r="D11453" s="538" t="n">
        <v>83.16</v>
      </c>
      <c r="E11453" s="538" t="n">
        <v>101.28</v>
      </c>
    </row>
    <row r="11454">
      <c r="A11454" s="544" t="n">
        <v>45244</v>
      </c>
      <c r="B11454" s="538" t="n">
        <v>84.2</v>
      </c>
      <c r="C11454" s="538" t="n">
        <v>78.90000000000001</v>
      </c>
      <c r="D11454" s="538" t="n">
        <v>83.14</v>
      </c>
      <c r="E11454" s="538" t="n">
        <v>105.33</v>
      </c>
    </row>
    <row r="11455">
      <c r="A11455" s="544" t="n">
        <v>45245</v>
      </c>
      <c r="B11455" s="538" t="n">
        <v>82.40000000000001</v>
      </c>
      <c r="C11455" s="538" t="n">
        <v>77.15000000000001</v>
      </c>
      <c r="D11455" s="538" t="n">
        <v>80.76000000000001</v>
      </c>
      <c r="E11455" s="538" t="n">
        <v>105.4</v>
      </c>
    </row>
    <row r="11456">
      <c r="A11456" s="544" t="n">
        <v>45246</v>
      </c>
      <c r="B11456" s="538" t="n">
        <v>77.73</v>
      </c>
      <c r="C11456" s="538" t="n">
        <v>73.5</v>
      </c>
      <c r="D11456" s="538" t="n">
        <v>78.19</v>
      </c>
      <c r="E11456" s="538" t="n">
        <v>106.29</v>
      </c>
    </row>
    <row r="11457">
      <c r="A11457" s="544" t="n">
        <v>45247</v>
      </c>
      <c r="B11457" s="538" t="n">
        <v>81.22</v>
      </c>
      <c r="C11457" s="538" t="n">
        <v>76.47</v>
      </c>
      <c r="D11457" s="538" t="n">
        <v>81.3</v>
      </c>
      <c r="E11457" s="538" t="n">
        <v>101.57</v>
      </c>
    </row>
    <row r="11458">
      <c r="A11458" s="544" t="n">
        <v>45250</v>
      </c>
      <c r="B11458" s="538" t="n">
        <v>83.25</v>
      </c>
      <c r="C11458" s="538" t="n">
        <v>78.09999999999999</v>
      </c>
      <c r="D11458" s="538" t="n">
        <v>83.02</v>
      </c>
      <c r="E11458" s="538" t="n">
        <v>104.55</v>
      </c>
    </row>
    <row r="11459">
      <c r="A11459" s="544" t="n">
        <v>45251</v>
      </c>
      <c r="B11459" s="538" t="n">
        <v>82.42</v>
      </c>
      <c r="C11459" s="538" t="n">
        <v>78.34999999999999</v>
      </c>
      <c r="D11459" s="538" t="n">
        <v>83.12</v>
      </c>
      <c r="E11459" s="538" t="n">
        <v>104.73</v>
      </c>
    </row>
    <row r="11460">
      <c r="A11460" s="544" t="n">
        <v>45252</v>
      </c>
      <c r="B11460" s="538" t="n">
        <v>81.76000000000001</v>
      </c>
      <c r="C11460" s="538" t="n">
        <v>76.8</v>
      </c>
      <c r="D11460" s="538" t="n">
        <v>81.93000000000001</v>
      </c>
      <c r="E11460" s="538" t="n">
        <v>108.32</v>
      </c>
    </row>
    <row r="11461">
      <c r="A11461" s="544" t="n">
        <v>45253</v>
      </c>
      <c r="B11461" s="538" t="n">
        <v>80.84999999999999</v>
      </c>
      <c r="C11461" s="538" t="n">
        <v>76.8</v>
      </c>
      <c r="D11461" s="538" t="n">
        <v>82.36</v>
      </c>
      <c r="E11461" s="538" t="n">
        <v>106.15</v>
      </c>
    </row>
    <row r="11462">
      <c r="A11462" s="544" t="n">
        <v>45254</v>
      </c>
      <c r="B11462" s="538" t="n">
        <v>79.81999999999999</v>
      </c>
      <c r="C11462" s="538" t="n">
        <v>74.83</v>
      </c>
      <c r="D11462" s="538" t="n">
        <v>81.26000000000001</v>
      </c>
      <c r="E11462" s="538" t="n">
        <v>106.6</v>
      </c>
    </row>
    <row r="11463">
      <c r="A11463" s="544" t="n">
        <v>45257</v>
      </c>
      <c r="B11463" s="538" t="n">
        <v>79.48999999999999</v>
      </c>
      <c r="C11463" s="538" t="n">
        <v>74.45999999999999</v>
      </c>
      <c r="D11463" s="538" t="n">
        <v>81.45</v>
      </c>
      <c r="E11463" s="538" t="n">
        <v>105.21</v>
      </c>
    </row>
    <row r="11464">
      <c r="A11464" s="544" t="n">
        <v>45258</v>
      </c>
      <c r="B11464" s="538" t="n">
        <v>81.66</v>
      </c>
      <c r="C11464" s="538" t="n">
        <v>76.09</v>
      </c>
      <c r="D11464" s="538" t="n">
        <v>82.79000000000001</v>
      </c>
      <c r="E11464" s="538" t="n">
        <v>105.74</v>
      </c>
    </row>
    <row r="11465">
      <c r="A11465" s="544" t="n">
        <v>45259</v>
      </c>
      <c r="B11465" s="538" t="n">
        <v>82.98</v>
      </c>
      <c r="C11465" s="538" t="n">
        <v>77.56</v>
      </c>
      <c r="D11465" s="538" t="n">
        <v>83.62</v>
      </c>
      <c r="E11465" s="538" t="n">
        <v>107.34</v>
      </c>
    </row>
    <row r="11466">
      <c r="A11466" s="544" t="n">
        <v>45260</v>
      </c>
      <c r="B11466" s="538" t="n">
        <v>81.72</v>
      </c>
      <c r="C11466" s="538" t="n">
        <v>75.66</v>
      </c>
      <c r="D11466" s="538" t="n">
        <v>84.25</v>
      </c>
      <c r="E11466" s="538" t="n">
        <v>107.68</v>
      </c>
    </row>
    <row r="11467">
      <c r="A11467" s="544" t="n">
        <v>45261</v>
      </c>
      <c r="B11467" s="538" t="n">
        <v>78.72</v>
      </c>
      <c r="C11467" s="538" t="n">
        <v>73.7</v>
      </c>
      <c r="D11467" s="538" t="n">
        <v>79.31</v>
      </c>
      <c r="E11467" s="538" t="n">
        <v>105.35</v>
      </c>
    </row>
    <row r="11468">
      <c r="A11468" s="544" t="n">
        <v>45264</v>
      </c>
      <c r="B11468" s="538" t="n">
        <v>78.16</v>
      </c>
      <c r="C11468" s="538" t="n">
        <v>72.73</v>
      </c>
      <c r="D11468" s="538" t="n">
        <v>78.08</v>
      </c>
      <c r="E11468" s="538" t="n">
        <v>103.88</v>
      </c>
    </row>
    <row r="11469">
      <c r="A11469" s="544" t="n">
        <v>45265</v>
      </c>
      <c r="B11469" s="538" t="n">
        <v>77.27</v>
      </c>
      <c r="C11469" s="538" t="n">
        <v>71.95</v>
      </c>
      <c r="D11469" s="538" t="n">
        <v>77.28</v>
      </c>
      <c r="E11469" s="538" t="n">
        <v>103.68</v>
      </c>
    </row>
    <row r="11470">
      <c r="A11470" s="544" t="n">
        <v>45266</v>
      </c>
      <c r="B11470" s="538" t="n">
        <v>74.33</v>
      </c>
      <c r="C11470" s="538" t="n">
        <v>68.98</v>
      </c>
      <c r="D11470" s="538" t="n">
        <v>74.90000000000001</v>
      </c>
      <c r="E11470" s="538" t="n">
        <v>103.17</v>
      </c>
    </row>
    <row r="11471">
      <c r="A11471" s="544" t="n">
        <v>45267</v>
      </c>
      <c r="B11471" s="538" t="n">
        <v>74.20999999999999</v>
      </c>
      <c r="C11471" s="538" t="n">
        <v>69</v>
      </c>
      <c r="D11471" s="538" t="n">
        <v>75.22</v>
      </c>
      <c r="E11471" s="538" t="n">
        <v>100.9</v>
      </c>
    </row>
    <row r="11472">
      <c r="A11472" s="544" t="n">
        <v>45268</v>
      </c>
      <c r="B11472" s="538" t="n">
        <v>75.94</v>
      </c>
      <c r="C11472" s="538" t="n">
        <v>70.87</v>
      </c>
      <c r="D11472" s="538" t="n">
        <v>76.04000000000001</v>
      </c>
      <c r="E11472" s="538" t="n">
        <v>99.41</v>
      </c>
    </row>
    <row r="11473">
      <c r="A11473" s="544" t="n">
        <v>45271</v>
      </c>
      <c r="B11473" s="538" t="n">
        <v>75.75</v>
      </c>
      <c r="C11473" s="538" t="n">
        <v>70.95</v>
      </c>
      <c r="D11473" s="538" t="n">
        <v>76.41</v>
      </c>
      <c r="E11473" s="538" t="n">
        <v>99.64</v>
      </c>
    </row>
    <row r="11474">
      <c r="A11474" s="544" t="n">
        <v>45272</v>
      </c>
      <c r="B11474" s="538" t="n">
        <v>74.11</v>
      </c>
      <c r="C11474" s="538" t="n">
        <v>68.27</v>
      </c>
      <c r="D11474" s="538" t="n">
        <v>73.40000000000001</v>
      </c>
      <c r="E11474" s="538" t="n">
        <v>100.15</v>
      </c>
    </row>
    <row r="11475">
      <c r="A11475" s="544" t="n">
        <v>45273</v>
      </c>
      <c r="B11475" s="538" t="n">
        <v>74.14</v>
      </c>
      <c r="C11475" s="538" t="n">
        <v>69.09</v>
      </c>
      <c r="D11475" s="538" t="n">
        <v>73.98999999999999</v>
      </c>
      <c r="E11475" s="538" t="n">
        <v>96.62</v>
      </c>
    </row>
    <row r="11476">
      <c r="A11476" s="544" t="n">
        <v>45274</v>
      </c>
      <c r="B11476" s="538" t="n">
        <v>77.05</v>
      </c>
      <c r="C11476" s="538" t="n">
        <v>71.20999999999999</v>
      </c>
      <c r="D11476" s="538" t="n">
        <v>76.37</v>
      </c>
      <c r="E11476" s="538" t="n">
        <v>101.17</v>
      </c>
    </row>
    <row r="11477">
      <c r="A11477" s="544" t="n">
        <v>45275</v>
      </c>
      <c r="B11477" s="538" t="n">
        <v>76.84</v>
      </c>
      <c r="C11477" s="538" t="n">
        <v>71.05</v>
      </c>
      <c r="D11477" s="538" t="n">
        <v>76.90000000000001</v>
      </c>
      <c r="E11477" s="538" t="n">
        <v>101.56</v>
      </c>
    </row>
    <row r="11478">
      <c r="A11478" s="544" t="n">
        <v>45278</v>
      </c>
      <c r="B11478" s="538" t="n">
        <v>78.89</v>
      </c>
      <c r="C11478" s="538" t="n">
        <v>72.16</v>
      </c>
      <c r="D11478" s="538" t="n">
        <v>77.93000000000001</v>
      </c>
      <c r="E11478" s="538" t="n">
        <v>101.08</v>
      </c>
    </row>
    <row r="11479">
      <c r="A11479" s="544" t="n">
        <v>45279</v>
      </c>
      <c r="B11479" s="538" t="n">
        <v>79.81999999999999</v>
      </c>
      <c r="C11479" s="538" t="n">
        <v>73.23</v>
      </c>
      <c r="D11479" s="538" t="n">
        <v>79.28</v>
      </c>
      <c r="E11479" s="538" t="n">
        <v>102.46</v>
      </c>
    </row>
    <row r="11480">
      <c r="A11480" s="544" t="n">
        <v>45280</v>
      </c>
      <c r="B11480" s="538" t="n">
        <v>81.09999999999999</v>
      </c>
      <c r="C11480" s="538" t="n">
        <v>73.87</v>
      </c>
      <c r="D11480" s="538" t="n">
        <v>79.15000000000001</v>
      </c>
      <c r="E11480" s="538" t="n">
        <v>105.35</v>
      </c>
    </row>
    <row r="11481">
      <c r="A11481" s="544" t="n">
        <v>45281</v>
      </c>
      <c r="B11481" s="538" t="n">
        <v>80.73</v>
      </c>
      <c r="C11481" s="538" t="n">
        <v>73.59</v>
      </c>
      <c r="D11481" s="538" t="n">
        <v>79.61</v>
      </c>
      <c r="E11481" s="538" t="n">
        <v>103.28</v>
      </c>
    </row>
    <row r="11482">
      <c r="A11482" s="544" t="n">
        <v>45282</v>
      </c>
      <c r="B11482" s="538" t="n">
        <v>80.23</v>
      </c>
      <c r="C11482" s="538" t="n">
        <v>73.29000000000001</v>
      </c>
      <c r="D11482" s="538" t="n">
        <v>79.84999999999999</v>
      </c>
      <c r="E11482" s="538" t="n">
        <v>102.98</v>
      </c>
    </row>
    <row r="11483">
      <c r="A11483" s="544" t="n">
        <v>45285</v>
      </c>
      <c r="B11483" s="538" t="n">
        <v>80.23</v>
      </c>
      <c r="C11483" s="538" t="n">
        <v>73.29000000000001</v>
      </c>
      <c r="D11483" s="538" t="n">
        <v>79.84999999999999</v>
      </c>
      <c r="E11483" s="538" t="n">
        <v>102.98</v>
      </c>
    </row>
    <row r="11484">
      <c r="A11484" s="544" t="n">
        <v>45286</v>
      </c>
      <c r="B11484" s="538" t="n">
        <v>80.23</v>
      </c>
      <c r="C11484" s="538" t="n">
        <v>75.84</v>
      </c>
      <c r="D11484" s="538" t="n">
        <v>81.65000000000001</v>
      </c>
      <c r="E11484" s="538" t="n">
        <v>100.74</v>
      </c>
    </row>
    <row r="11485">
      <c r="A11485" s="544" t="n">
        <v>45287</v>
      </c>
      <c r="B11485" s="538" t="n">
        <v>80.97</v>
      </c>
      <c r="C11485" s="538" t="n">
        <v>74.31</v>
      </c>
      <c r="D11485" s="538" t="n">
        <v>79.98</v>
      </c>
      <c r="E11485" s="538" t="n">
        <v>101.29</v>
      </c>
    </row>
    <row r="11486">
      <c r="A11486" s="544" t="n">
        <v>45288</v>
      </c>
      <c r="B11486" s="538" t="n">
        <v>79.04000000000001</v>
      </c>
      <c r="C11486" s="538" t="n">
        <v>72.02</v>
      </c>
      <c r="D11486" s="538" t="n">
        <v>77.92</v>
      </c>
      <c r="E11486" s="538" t="n">
        <v>100.01</v>
      </c>
    </row>
    <row r="11487">
      <c r="A11487" s="544" t="n">
        <v>45289</v>
      </c>
      <c r="B11487" s="538" t="n">
        <v>77.69</v>
      </c>
      <c r="C11487" s="538" t="n">
        <v>71.89</v>
      </c>
      <c r="D11487" s="538" t="n">
        <v>77.53</v>
      </c>
      <c r="E11487" s="538" t="n">
        <v>98.14</v>
      </c>
    </row>
    <row r="11488">
      <c r="A11488" s="544" t="n">
        <v>45292</v>
      </c>
      <c r="B11488" s="538" t="n">
        <v>77.69</v>
      </c>
      <c r="C11488" s="538" t="n">
        <v>71.89</v>
      </c>
      <c r="D11488" s="538" t="n">
        <v>77.53</v>
      </c>
      <c r="E11488" s="538" t="n">
        <v>98.14</v>
      </c>
    </row>
    <row r="11489">
      <c r="A11489" s="544" t="n">
        <v>45293</v>
      </c>
      <c r="B11489" s="538" t="n">
        <v>76.23999999999999</v>
      </c>
      <c r="C11489" s="538" t="n">
        <v>70.62</v>
      </c>
      <c r="D11489" s="538" t="n">
        <v>76.56</v>
      </c>
      <c r="E11489" s="538" t="n">
        <v>100.7</v>
      </c>
    </row>
    <row r="11490">
      <c r="A11490" s="544" t="n">
        <v>45294</v>
      </c>
      <c r="B11490" s="538" t="n">
        <v>77.18000000000001</v>
      </c>
      <c r="C11490" s="538" t="n">
        <v>72.97</v>
      </c>
      <c r="D11490" s="538" t="n">
        <v>78.70999999999999</v>
      </c>
      <c r="E11490" s="538" t="n">
        <v>97.51000000000001</v>
      </c>
    </row>
    <row r="11491">
      <c r="A11491" s="544" t="n">
        <v>45295</v>
      </c>
      <c r="B11491" s="538" t="n">
        <v>75.79000000000001</v>
      </c>
      <c r="C11491" s="538" t="n">
        <v>72.38</v>
      </c>
      <c r="D11491" s="538" t="n">
        <v>78.17</v>
      </c>
      <c r="E11491" s="538" t="n">
        <v>100.53</v>
      </c>
    </row>
    <row r="11492">
      <c r="A11492" s="544" t="n">
        <v>45296</v>
      </c>
      <c r="B11492" s="538" t="n">
        <v>78.31</v>
      </c>
      <c r="C11492" s="538" t="n">
        <v>74</v>
      </c>
      <c r="D11492" s="538" t="n">
        <v>79.40000000000001</v>
      </c>
      <c r="E11492" s="538" t="n">
        <v>100.16</v>
      </c>
    </row>
    <row r="11493">
      <c r="A11493" s="544" t="n">
        <v>45299</v>
      </c>
      <c r="B11493" s="538" t="n">
        <v>75.47</v>
      </c>
      <c r="C11493" s="538" t="n">
        <v>71.06</v>
      </c>
      <c r="D11493" s="538" t="n">
        <v>76.73999999999999</v>
      </c>
      <c r="E11493" s="538" t="n">
        <v>100.2</v>
      </c>
    </row>
    <row r="11494">
      <c r="A11494" s="544" t="n">
        <v>45300</v>
      </c>
      <c r="B11494" s="538" t="n">
        <v>77.97</v>
      </c>
      <c r="C11494" s="538" t="n">
        <v>72.43000000000001</v>
      </c>
      <c r="D11494" s="538" t="n">
        <v>78.02</v>
      </c>
      <c r="E11494" s="538" t="n">
        <v>99.84</v>
      </c>
    </row>
    <row r="11495">
      <c r="A11495" s="544" t="n">
        <v>45301</v>
      </c>
      <c r="B11495" s="538" t="n">
        <v>78.45999999999999</v>
      </c>
      <c r="C11495" s="538" t="n">
        <v>71.56999999999999</v>
      </c>
      <c r="D11495" s="538" t="n">
        <v>77.43000000000001</v>
      </c>
      <c r="E11495" s="538" t="n">
        <v>101.24</v>
      </c>
    </row>
    <row r="11496">
      <c r="A11496" s="544" t="n">
        <v>45302</v>
      </c>
      <c r="B11496" s="538" t="n">
        <v>80.20999999999999</v>
      </c>
      <c r="C11496" s="538" t="n">
        <v>72.15000000000001</v>
      </c>
      <c r="D11496" s="538" t="n">
        <v>79.04000000000001</v>
      </c>
      <c r="E11496" s="538" t="n">
        <v>100.6</v>
      </c>
    </row>
    <row r="11497">
      <c r="A11497" s="544" t="n">
        <v>45303</v>
      </c>
      <c r="B11497" s="538" t="n">
        <v>79.89</v>
      </c>
      <c r="C11497" s="538" t="n">
        <v>72.94</v>
      </c>
      <c r="D11497" s="538" t="n">
        <v>78.89</v>
      </c>
      <c r="E11497" s="538" t="n">
        <v>103.96</v>
      </c>
    </row>
    <row r="11498">
      <c r="A11498" s="544" t="n">
        <v>45306</v>
      </c>
      <c r="B11498" s="538" t="n">
        <v>79.76000000000001</v>
      </c>
      <c r="C11498" s="538" t="n">
        <v>72.94</v>
      </c>
      <c r="D11498" s="538" t="n">
        <v>79.04000000000001</v>
      </c>
      <c r="E11498" s="538" t="n">
        <v>101.32</v>
      </c>
    </row>
    <row r="11499">
      <c r="A11499" s="544" t="n">
        <v>45307</v>
      </c>
      <c r="B11499" s="538" t="n">
        <v>80.15000000000001</v>
      </c>
      <c r="C11499" s="538" t="n">
        <v>72.63</v>
      </c>
      <c r="D11499" s="538" t="n">
        <v>78.31</v>
      </c>
      <c r="E11499" s="538" t="n">
        <v>100.82</v>
      </c>
    </row>
    <row r="11500">
      <c r="A11500" s="544" t="n">
        <v>45308</v>
      </c>
      <c r="B11500" s="538" t="n">
        <v>78.88</v>
      </c>
      <c r="C11500" s="538" t="n">
        <v>72.79000000000001</v>
      </c>
      <c r="D11500" s="538" t="n">
        <v>78.52</v>
      </c>
      <c r="E11500" s="538" t="n">
        <v>100.61</v>
      </c>
    </row>
    <row r="11501">
      <c r="A11501" s="544" t="n">
        <v>45309</v>
      </c>
      <c r="B11501" s="538" t="n">
        <v>81.04000000000001</v>
      </c>
      <c r="C11501" s="538" t="n">
        <v>74.31999999999999</v>
      </c>
      <c r="D11501" s="538" t="n">
        <v>79.45999999999999</v>
      </c>
      <c r="E11501" s="538" t="n">
        <v>101.62</v>
      </c>
    </row>
    <row r="11502">
      <c r="A11502" s="544" t="n">
        <v>45310</v>
      </c>
      <c r="B11502" s="538" t="n">
        <v>80.70999999999999</v>
      </c>
      <c r="C11502" s="538" t="n">
        <v>73.69</v>
      </c>
      <c r="D11502" s="538" t="n">
        <v>79.20999999999999</v>
      </c>
      <c r="E11502" s="538" t="n">
        <v>102.24</v>
      </c>
    </row>
    <row r="11503">
      <c r="A11503" s="544" t="n">
        <v>45313</v>
      </c>
      <c r="B11503" s="538" t="n">
        <v>81.7</v>
      </c>
      <c r="C11503" s="538" t="n">
        <v>75.26000000000001</v>
      </c>
      <c r="D11503" s="538" t="n">
        <v>80.37</v>
      </c>
      <c r="E11503" s="538" t="n">
        <v>100.16</v>
      </c>
    </row>
    <row r="11504">
      <c r="A11504" s="544" t="n">
        <v>45314</v>
      </c>
      <c r="B11504" s="538" t="n">
        <v>82.04000000000001</v>
      </c>
      <c r="C11504" s="538" t="n">
        <v>74.72</v>
      </c>
      <c r="D11504" s="538" t="n">
        <v>80.26000000000001</v>
      </c>
      <c r="E11504" s="538" t="n">
        <v>102.5</v>
      </c>
    </row>
    <row r="11505">
      <c r="A11505" s="544" t="n">
        <v>45315</v>
      </c>
      <c r="B11505" s="538" t="n">
        <v>82.15000000000001</v>
      </c>
      <c r="C11505" s="538" t="n">
        <v>75.48</v>
      </c>
      <c r="D11505" s="538" t="n">
        <v>80.78</v>
      </c>
      <c r="E11505" s="538" t="n">
        <v>101.34</v>
      </c>
    </row>
    <row r="11506">
      <c r="A11506" s="544" t="n">
        <v>45316</v>
      </c>
      <c r="B11506" s="538" t="n">
        <v>82.33</v>
      </c>
      <c r="C11506" s="538" t="n">
        <v>77.91</v>
      </c>
      <c r="D11506" s="538" t="n">
        <v>82.94</v>
      </c>
      <c r="E11506" s="538" t="n">
        <v>101.78</v>
      </c>
    </row>
    <row r="11507">
      <c r="A11507" s="544" t="n">
        <v>45317</v>
      </c>
      <c r="B11507" s="538" t="n">
        <v>83.34</v>
      </c>
      <c r="C11507" s="538" t="n">
        <v>78.45</v>
      </c>
      <c r="D11507" s="538" t="n">
        <v>84.31</v>
      </c>
      <c r="E11507" s="538" t="n">
        <v>101.36</v>
      </c>
    </row>
    <row r="11508">
      <c r="A11508" s="544" t="n">
        <v>45320</v>
      </c>
      <c r="B11508" s="538" t="n">
        <v>83.98999999999999</v>
      </c>
      <c r="C11508" s="538" t="n">
        <v>77.25</v>
      </c>
      <c r="D11508" s="538" t="n">
        <v>83.17</v>
      </c>
      <c r="E11508" s="538" t="n">
        <v>104.78</v>
      </c>
    </row>
    <row r="11509">
      <c r="A11509" s="544" t="n">
        <v>45321</v>
      </c>
      <c r="B11509" s="538" t="n">
        <v>84.14</v>
      </c>
      <c r="C11509" s="538" t="n">
        <v>78.3</v>
      </c>
      <c r="D11509" s="538" t="n">
        <v>83.45</v>
      </c>
      <c r="E11509" s="538" t="n">
        <v>104.93</v>
      </c>
    </row>
    <row r="11510">
      <c r="A11510" s="544" t="n">
        <v>45322</v>
      </c>
      <c r="B11510" s="538" t="n">
        <v>82.98</v>
      </c>
      <c r="C11510" s="538" t="n">
        <v>76.28</v>
      </c>
      <c r="D11510" s="538" t="n">
        <v>81.45999999999999</v>
      </c>
      <c r="E11510" s="538" t="n">
        <v>105.23</v>
      </c>
    </row>
    <row r="11511">
      <c r="A11511" s="544" t="n">
        <v>45323</v>
      </c>
      <c r="B11511" s="538" t="n">
        <v>82.2</v>
      </c>
      <c r="C11511" s="538" t="n">
        <v>74.36</v>
      </c>
      <c r="D11511" s="538" t="n">
        <v>79.75</v>
      </c>
      <c r="E11511" s="538" t="n">
        <v>104.48</v>
      </c>
    </row>
    <row r="11512">
      <c r="A11512" s="544" t="n">
        <v>45324</v>
      </c>
      <c r="B11512" s="538" t="n">
        <v>79.54000000000001</v>
      </c>
      <c r="C11512" s="538" t="n">
        <v>72.72</v>
      </c>
      <c r="D11512" s="538" t="n">
        <v>78.64</v>
      </c>
      <c r="E11512" s="538" t="n">
        <v>101.94</v>
      </c>
    </row>
    <row r="11513">
      <c r="A11513" s="544" t="n">
        <v>45327</v>
      </c>
      <c r="B11513" s="538" t="n">
        <v>79.3</v>
      </c>
      <c r="C11513" s="538" t="n">
        <v>73.20999999999999</v>
      </c>
      <c r="D11513" s="538" t="n">
        <v>78.79000000000001</v>
      </c>
      <c r="E11513" s="538" t="n">
        <v>100.53</v>
      </c>
    </row>
    <row r="11514">
      <c r="A11514" s="544" t="n">
        <v>45328</v>
      </c>
      <c r="B11514" s="538" t="n">
        <v>80.45999999999999</v>
      </c>
      <c r="C11514" s="538" t="n">
        <v>73.83</v>
      </c>
      <c r="D11514" s="538" t="n">
        <v>79.47</v>
      </c>
      <c r="E11514" s="538" t="n">
        <v>102.35</v>
      </c>
    </row>
    <row r="11515">
      <c r="A11515" s="544" t="n">
        <v>45329</v>
      </c>
      <c r="B11515" s="538" t="n">
        <v>81.18000000000001</v>
      </c>
      <c r="C11515" s="538" t="n">
        <v>74.26000000000001</v>
      </c>
      <c r="D11515" s="538" t="n">
        <v>80.31</v>
      </c>
      <c r="E11515" s="538" t="n">
        <v>102.74</v>
      </c>
    </row>
    <row r="11516">
      <c r="A11516" s="544" t="n">
        <v>45330</v>
      </c>
      <c r="B11516" s="538" t="n">
        <v>83.01000000000001</v>
      </c>
      <c r="C11516" s="538" t="n">
        <v>76.67</v>
      </c>
      <c r="D11516" s="538" t="n">
        <v>82.65000000000001</v>
      </c>
      <c r="E11516" s="538" t="n">
        <v>104.06</v>
      </c>
    </row>
    <row r="11517">
      <c r="A11517" s="544" t="n">
        <v>45331</v>
      </c>
      <c r="B11517" s="538" t="n">
        <v>83.58</v>
      </c>
      <c r="C11517" s="538" t="n">
        <v>77.26000000000001</v>
      </c>
      <c r="D11517" s="538" t="n">
        <v>82.90000000000001</v>
      </c>
      <c r="E11517" s="538" t="n">
        <v>105.78</v>
      </c>
    </row>
    <row r="11518">
      <c r="A11518" s="544" t="n">
        <v>45334</v>
      </c>
      <c r="B11518" s="538" t="n">
        <v>83.88</v>
      </c>
      <c r="C11518" s="538" t="n">
        <v>77.34</v>
      </c>
      <c r="D11518" s="538" t="n">
        <v>82.90000000000001</v>
      </c>
      <c r="E11518" s="538" t="n">
        <v>105.78</v>
      </c>
    </row>
    <row r="11519">
      <c r="A11519" s="544" t="n">
        <v>45335</v>
      </c>
      <c r="B11519" s="538" t="n">
        <v>84.72</v>
      </c>
      <c r="C11519" s="538" t="n">
        <v>78.28</v>
      </c>
      <c r="D11519" s="538" t="n">
        <v>83.68000000000001</v>
      </c>
      <c r="E11519" s="538" t="n">
        <v>107.62</v>
      </c>
    </row>
    <row r="11520">
      <c r="A11520" s="544" t="n">
        <v>45336</v>
      </c>
      <c r="B11520" s="538" t="n">
        <v>84.41</v>
      </c>
      <c r="C11520" s="538" t="n">
        <v>77.09</v>
      </c>
      <c r="D11520" s="538" t="n">
        <v>82.62</v>
      </c>
      <c r="E11520" s="538" t="n">
        <v>107.06</v>
      </c>
    </row>
    <row r="11521">
      <c r="A11521" s="544" t="n">
        <v>45337</v>
      </c>
      <c r="B11521" s="538" t="n">
        <v>84.33</v>
      </c>
      <c r="C11521" s="538" t="n">
        <v>78.47</v>
      </c>
      <c r="D11521" s="538" t="n">
        <v>83.88</v>
      </c>
      <c r="E11521" s="538" t="n">
        <v>104.3</v>
      </c>
    </row>
    <row r="11522">
      <c r="A11522" s="544" t="n">
        <v>45338</v>
      </c>
      <c r="B11522" s="538" t="n">
        <v>84.88</v>
      </c>
      <c r="C11522" s="538" t="n">
        <v>79.65000000000001</v>
      </c>
      <c r="D11522" s="538" t="n">
        <v>84.68000000000001</v>
      </c>
      <c r="E11522" s="538" t="n">
        <v>103.69</v>
      </c>
    </row>
    <row r="11523">
      <c r="A11523" s="544" t="n">
        <v>45341</v>
      </c>
      <c r="B11523" s="538" t="n">
        <v>85.52</v>
      </c>
      <c r="C11523" s="538" t="n">
        <v>79.65000000000001</v>
      </c>
      <c r="D11523" s="538" t="n">
        <v>84.5</v>
      </c>
      <c r="E11523" s="538" t="n">
        <v>103.95</v>
      </c>
    </row>
    <row r="11524">
      <c r="A11524" s="544" t="n">
        <v>45342</v>
      </c>
      <c r="B11524" s="538" t="n">
        <v>84.78</v>
      </c>
      <c r="C11524" s="538" t="n">
        <v>78.72</v>
      </c>
      <c r="D11524" s="538" t="n">
        <v>83.84999999999999</v>
      </c>
      <c r="E11524" s="538" t="n">
        <v>104.65</v>
      </c>
    </row>
    <row r="11525">
      <c r="A11525" s="544" t="n">
        <v>45343</v>
      </c>
      <c r="B11525" s="538" t="n">
        <v>84.77</v>
      </c>
      <c r="C11525" s="538" t="n">
        <v>78.89</v>
      </c>
      <c r="D11525" s="538" t="n">
        <v>84.40000000000001</v>
      </c>
      <c r="E11525" s="538" t="n">
        <v>101.56</v>
      </c>
    </row>
    <row r="11526">
      <c r="A11526" s="544" t="n">
        <v>45344</v>
      </c>
      <c r="B11526" s="538" t="n">
        <v>85.84</v>
      </c>
      <c r="C11526" s="538" t="n">
        <v>79.64</v>
      </c>
      <c r="D11526" s="538" t="n">
        <v>84.81999999999999</v>
      </c>
      <c r="E11526" s="538" t="n">
        <v>105.26</v>
      </c>
    </row>
    <row r="11527">
      <c r="A11527" s="544" t="n">
        <v>45345</v>
      </c>
      <c r="B11527" s="538" t="n">
        <v>84.18000000000001</v>
      </c>
      <c r="C11527" s="538" t="n">
        <v>77.59999999999999</v>
      </c>
      <c r="D11527" s="538" t="n">
        <v>82.94</v>
      </c>
      <c r="E11527" s="538" t="n">
        <v>102.88</v>
      </c>
    </row>
    <row r="11528">
      <c r="A11528" s="544" t="n">
        <v>45348</v>
      </c>
      <c r="B11528" s="538" t="n">
        <v>84.01000000000001</v>
      </c>
      <c r="C11528" s="538" t="n">
        <v>78.53</v>
      </c>
      <c r="D11528" s="538" t="n">
        <v>83.73</v>
      </c>
      <c r="E11528" s="538" t="n">
        <v>100.96</v>
      </c>
    </row>
    <row r="11529">
      <c r="A11529" s="544" t="n">
        <v>45349</v>
      </c>
      <c r="B11529" s="538" t="n">
        <v>83.8</v>
      </c>
      <c r="C11529" s="538" t="n">
        <v>79.8</v>
      </c>
      <c r="D11529" s="538" t="n">
        <v>84.37</v>
      </c>
      <c r="E11529" s="538" t="n">
        <v>103.33</v>
      </c>
    </row>
    <row r="11530">
      <c r="A11530" s="544" t="n">
        <v>45350</v>
      </c>
      <c r="B11530" s="538" t="n">
        <v>84.08</v>
      </c>
      <c r="C11530" s="538" t="n">
        <v>79.44</v>
      </c>
      <c r="D11530" s="538" t="n">
        <v>84.69</v>
      </c>
      <c r="E11530" s="538" t="n">
        <v>102.18</v>
      </c>
    </row>
    <row r="11531">
      <c r="A11531" s="544" t="n">
        <v>45351</v>
      </c>
      <c r="B11531" s="538" t="n">
        <v>84.56999999999999</v>
      </c>
      <c r="C11531" s="538" t="n">
        <v>79.22</v>
      </c>
      <c r="D11531" s="538" t="n">
        <v>85.04000000000001</v>
      </c>
      <c r="E11531" s="538" t="n">
        <v>101.05</v>
      </c>
    </row>
    <row r="11532">
      <c r="A11532" s="544" t="n">
        <v>45352</v>
      </c>
      <c r="B11532" s="538" t="n">
        <v>84.81999999999999</v>
      </c>
      <c r="C11532" s="538" t="n">
        <v>80.90000000000001</v>
      </c>
      <c r="D11532" s="538" t="n">
        <v>84.98999999999999</v>
      </c>
      <c r="E11532" s="538" t="n">
        <v>102.14</v>
      </c>
    </row>
    <row r="11533">
      <c r="A11533" s="544" t="n">
        <v>45355</v>
      </c>
      <c r="B11533" s="538" t="n">
        <v>86.58</v>
      </c>
      <c r="C11533" s="538" t="n">
        <v>79.67</v>
      </c>
      <c r="D11533" s="538" t="n">
        <v>84.66</v>
      </c>
      <c r="E11533" s="538" t="n">
        <v>102.66</v>
      </c>
    </row>
    <row r="11534">
      <c r="A11534" s="544" t="n">
        <v>45356</v>
      </c>
      <c r="B11534" s="538" t="n">
        <v>85.81999999999999</v>
      </c>
      <c r="C11534" s="538" t="n">
        <v>79.11</v>
      </c>
      <c r="D11534" s="538" t="n">
        <v>83.55</v>
      </c>
      <c r="E11534" s="538" t="n">
        <v>100.46</v>
      </c>
    </row>
    <row r="11535">
      <c r="A11535" s="544" t="n">
        <v>45357</v>
      </c>
      <c r="B11535" s="538" t="n">
        <v>86.59</v>
      </c>
      <c r="C11535" s="538" t="n">
        <v>80.08</v>
      </c>
      <c r="D11535" s="538" t="n">
        <v>84.61</v>
      </c>
      <c r="E11535" s="538" t="n">
        <v>100.02</v>
      </c>
    </row>
    <row r="11536">
      <c r="A11536" s="544" t="n">
        <v>45358</v>
      </c>
      <c r="B11536" s="538" t="n">
        <v>84.88</v>
      </c>
      <c r="C11536" s="538" t="n">
        <v>79.81</v>
      </c>
      <c r="D11536" s="538" t="n">
        <v>85.11</v>
      </c>
      <c r="E11536" s="538" t="n">
        <v>100.02</v>
      </c>
    </row>
    <row r="11537">
      <c r="A11537" s="544" t="n">
        <v>45359</v>
      </c>
      <c r="B11537" s="538" t="n">
        <v>84.29000000000001</v>
      </c>
      <c r="C11537" s="538" t="n">
        <v>78.95999999999999</v>
      </c>
      <c r="D11537" s="538" t="n">
        <v>83.84999999999999</v>
      </c>
      <c r="E11537" s="538" t="n">
        <v>101.36</v>
      </c>
    </row>
    <row r="11538">
      <c r="A11538" s="544" t="n">
        <v>45362</v>
      </c>
      <c r="B11538" s="538" t="n">
        <v>83.44</v>
      </c>
      <c r="C11538" s="538" t="n">
        <v>78.87</v>
      </c>
      <c r="D11538" s="538" t="n">
        <v>84.13</v>
      </c>
      <c r="E11538" s="538" t="n">
        <v>101.04</v>
      </c>
    </row>
    <row r="11539">
      <c r="A11539" s="544" t="n">
        <v>45363</v>
      </c>
      <c r="B11539" s="538" t="n">
        <v>83.66</v>
      </c>
      <c r="C11539" s="538" t="n">
        <v>78.51000000000001</v>
      </c>
      <c r="D11539" s="538" t="n">
        <v>84.04000000000001</v>
      </c>
      <c r="E11539" s="538" t="n">
        <v>102.68</v>
      </c>
    </row>
    <row r="11540">
      <c r="A11540" s="544" t="n">
        <v>45364</v>
      </c>
      <c r="B11540" s="538" t="n">
        <v>83.95</v>
      </c>
      <c r="C11540" s="538" t="n">
        <v>80.67</v>
      </c>
      <c r="D11540" s="538" t="n">
        <v>85.59999999999999</v>
      </c>
      <c r="E11540" s="538" t="n">
        <v>101.07</v>
      </c>
    </row>
    <row r="11541">
      <c r="A11541" s="544" t="n">
        <v>45365</v>
      </c>
      <c r="B11541" s="538" t="n">
        <v>86.16</v>
      </c>
      <c r="C11541" s="538" t="n">
        <v>82.16</v>
      </c>
      <c r="D11541" s="538" t="n">
        <v>86.93000000000001</v>
      </c>
      <c r="E11541" s="538" t="n">
        <v>103.58</v>
      </c>
    </row>
    <row r="11542">
      <c r="A11542" s="544" t="n">
        <v>45366</v>
      </c>
      <c r="B11542" s="538" t="n">
        <v>85.39</v>
      </c>
      <c r="C11542" s="538" t="n">
        <v>81.94</v>
      </c>
      <c r="D11542" s="538" t="n">
        <v>87.18000000000001</v>
      </c>
      <c r="E11542" s="538" t="n">
        <v>103.4</v>
      </c>
    </row>
    <row r="11543">
      <c r="A11543" s="544" t="n">
        <v>45369</v>
      </c>
      <c r="B11543" s="538" t="n">
        <v>86.47</v>
      </c>
      <c r="C11543" s="538" t="n">
        <v>83.68000000000001</v>
      </c>
      <c r="D11543" s="538" t="n">
        <v>88.76000000000001</v>
      </c>
      <c r="E11543" s="538" t="n">
        <v>105.47</v>
      </c>
    </row>
    <row r="11544">
      <c r="A11544" s="544" t="n">
        <v>45370</v>
      </c>
      <c r="B11544" s="538" t="n">
        <v>87.36</v>
      </c>
      <c r="C11544" s="538" t="n">
        <v>84.39</v>
      </c>
      <c r="D11544" s="538" t="n">
        <v>89.17</v>
      </c>
      <c r="E11544" s="538" t="n">
        <v>106.12</v>
      </c>
    </row>
    <row r="11545">
      <c r="A11545" s="544" t="n">
        <v>45371</v>
      </c>
      <c r="B11545" s="538" t="n">
        <v>85.77</v>
      </c>
      <c r="C11545" s="538" t="n">
        <v>82.79000000000001</v>
      </c>
      <c r="D11545" s="538" t="n">
        <v>88.03</v>
      </c>
      <c r="E11545" s="538" t="n">
        <v>104.54</v>
      </c>
    </row>
    <row r="11546">
      <c r="A11546" s="544" t="n">
        <v>45372</v>
      </c>
      <c r="B11546" s="538" t="n">
        <v>84.92</v>
      </c>
      <c r="C11546" s="538" t="n">
        <v>81.98999999999999</v>
      </c>
      <c r="D11546" s="538" t="n">
        <v>87.43000000000001</v>
      </c>
      <c r="E11546" s="538" t="n">
        <v>103.81</v>
      </c>
    </row>
    <row r="11547">
      <c r="A11547" s="544" t="n">
        <v>45373</v>
      </c>
      <c r="B11547" s="538" t="n">
        <v>84.87</v>
      </c>
      <c r="C11547" s="538" t="n">
        <v>81.09999999999999</v>
      </c>
      <c r="D11547" s="538" t="n">
        <v>87.31</v>
      </c>
      <c r="E11547" s="538" t="n">
        <v>103.15</v>
      </c>
    </row>
    <row r="11548">
      <c r="A11548" s="544" t="n">
        <v>45376</v>
      </c>
      <c r="B11548" s="538" t="n">
        <v>86.18000000000001</v>
      </c>
      <c r="C11548" s="538" t="n">
        <v>82.41</v>
      </c>
      <c r="D11548" s="538" t="n">
        <v>88.51000000000001</v>
      </c>
      <c r="E11548" s="538" t="n">
        <v>102.15</v>
      </c>
    </row>
    <row r="11549">
      <c r="A11549" s="544" t="n">
        <v>45377</v>
      </c>
      <c r="B11549" s="538" t="n">
        <v>85.91</v>
      </c>
      <c r="C11549" s="538" t="n">
        <v>82.41</v>
      </c>
      <c r="D11549" s="538" t="n">
        <v>87.79000000000001</v>
      </c>
      <c r="E11549" s="538" t="n">
        <v>102.53</v>
      </c>
    </row>
    <row r="11550">
      <c r="A11550" s="544" t="n">
        <v>45378</v>
      </c>
      <c r="B11550" s="538" t="n">
        <v>84.94</v>
      </c>
      <c r="C11550" s="538" t="n">
        <v>82.15000000000001</v>
      </c>
      <c r="D11550" s="538" t="n">
        <v>88.29000000000001</v>
      </c>
      <c r="E11550" s="538" t="n">
        <v>100.59</v>
      </c>
    </row>
    <row r="11551">
      <c r="A11551" s="544" t="n">
        <v>45379</v>
      </c>
      <c r="B11551" s="538" t="n">
        <v>86.17</v>
      </c>
      <c r="C11551" s="538" t="n">
        <v>83.95999999999999</v>
      </c>
      <c r="D11551" s="538" t="n">
        <v>89.45</v>
      </c>
      <c r="E11551" s="538" t="n">
        <v>101.22</v>
      </c>
    </row>
    <row r="11552">
      <c r="A11552" s="544" t="n">
        <v>45380</v>
      </c>
      <c r="B11552" s="538" t="n">
        <v>86.17</v>
      </c>
      <c r="C11552" s="538" t="n">
        <v>83.95999999999999</v>
      </c>
      <c r="D11552" s="538" t="n">
        <v>89.45</v>
      </c>
      <c r="E11552" s="538" t="n">
        <v>101.22</v>
      </c>
    </row>
    <row r="11553">
      <c r="A11553" s="544" t="n">
        <v>45383</v>
      </c>
      <c r="B11553" s="538" t="n">
        <v>86.17</v>
      </c>
      <c r="C11553" s="538" t="n">
        <v>84.54000000000001</v>
      </c>
      <c r="D11553" s="538" t="n">
        <v>89.70999999999999</v>
      </c>
      <c r="E11553" s="538" t="n">
        <v>102.44</v>
      </c>
    </row>
    <row r="11554">
      <c r="A11554" s="544" t="n">
        <v>45384</v>
      </c>
      <c r="B11554" s="538" t="n">
        <v>87.63</v>
      </c>
      <c r="C11554" s="538" t="n">
        <v>85.95</v>
      </c>
      <c r="D11554" s="538" t="n">
        <v>91.45</v>
      </c>
      <c r="E11554" s="538" t="n">
        <v>103.32</v>
      </c>
    </row>
    <row r="11555">
      <c r="A11555" s="544" t="n">
        <v>45385</v>
      </c>
      <c r="B11555" s="538" t="n">
        <v>90.59999999999999</v>
      </c>
      <c r="C11555" s="538" t="n">
        <v>86.22</v>
      </c>
      <c r="D11555" s="538" t="n">
        <v>91.69</v>
      </c>
      <c r="E11555" s="538" t="n">
        <v>105.55</v>
      </c>
    </row>
    <row r="11556">
      <c r="A11556" s="544" t="n">
        <v>45386</v>
      </c>
      <c r="B11556" s="538" t="n">
        <v>90.31999999999999</v>
      </c>
      <c r="C11556" s="538" t="n">
        <v>87.37</v>
      </c>
      <c r="D11556" s="538" t="n">
        <v>93.09999999999999</v>
      </c>
      <c r="E11556" s="538" t="n">
        <v>106.06</v>
      </c>
    </row>
    <row r="11557">
      <c r="A11557" s="544" t="n">
        <v>45387</v>
      </c>
      <c r="B11557" s="538" t="n">
        <v>92.81</v>
      </c>
      <c r="C11557" s="538" t="n">
        <v>87.69</v>
      </c>
      <c r="D11557" s="538" t="n">
        <v>92.93000000000001</v>
      </c>
      <c r="E11557" s="538" t="n">
        <v>107.5</v>
      </c>
    </row>
    <row r="11558">
      <c r="A11558" s="544" t="n">
        <v>45390</v>
      </c>
      <c r="B11558" s="538" t="n">
        <v>91.73</v>
      </c>
      <c r="C11558" s="538" t="n">
        <v>87.23999999999999</v>
      </c>
      <c r="D11558" s="538" t="n">
        <v>92.69</v>
      </c>
      <c r="E11558" s="538" t="n">
        <v>107.23</v>
      </c>
    </row>
    <row r="11559">
      <c r="A11559" s="544" t="n">
        <v>45391</v>
      </c>
      <c r="B11559" s="538" t="n">
        <v>92.13</v>
      </c>
      <c r="C11559" s="538" t="n">
        <v>86.04000000000001</v>
      </c>
      <c r="D11559" s="538" t="n">
        <v>91.68000000000001</v>
      </c>
      <c r="E11559" s="538" t="n">
        <v>107.15</v>
      </c>
    </row>
    <row r="11560">
      <c r="A11560" s="544" t="n">
        <v>45392</v>
      </c>
      <c r="B11560" s="538" t="n">
        <v>91.56999999999999</v>
      </c>
      <c r="C11560" s="538" t="n">
        <v>86.98</v>
      </c>
      <c r="D11560" s="538" t="n">
        <v>91.68000000000001</v>
      </c>
      <c r="E11560" s="538" t="n">
        <v>107.15</v>
      </c>
    </row>
    <row r="11561">
      <c r="A11561" s="544" t="n">
        <v>45393</v>
      </c>
      <c r="B11561" s="538" t="n">
        <v>91.48999999999999</v>
      </c>
      <c r="C11561" s="538" t="n">
        <v>85.79000000000001</v>
      </c>
      <c r="D11561" s="538" t="n">
        <v>92.40000000000001</v>
      </c>
      <c r="E11561" s="538" t="n">
        <v>105.78</v>
      </c>
    </row>
    <row r="11562">
      <c r="A11562" s="544" t="n">
        <v>45394</v>
      </c>
      <c r="B11562" s="538" t="n">
        <v>93.12</v>
      </c>
      <c r="C11562" s="538" t="n">
        <v>86.45999999999999</v>
      </c>
      <c r="D11562" s="538" t="n">
        <v>92.17</v>
      </c>
      <c r="E11562" s="538" t="n">
        <v>105.84</v>
      </c>
    </row>
    <row r="11563">
      <c r="A11563" s="544" t="n">
        <v>45397</v>
      </c>
      <c r="B11563" s="538" t="n">
        <v>90.84</v>
      </c>
      <c r="C11563" s="538" t="n">
        <v>86.20999999999999</v>
      </c>
      <c r="D11563" s="538" t="n">
        <v>92.33</v>
      </c>
      <c r="E11563" s="538" t="n">
        <v>104.49</v>
      </c>
    </row>
    <row r="11564">
      <c r="A11564" s="544" t="n">
        <v>45398</v>
      </c>
      <c r="B11564" s="538" t="n">
        <v>91.29000000000001</v>
      </c>
      <c r="C11564" s="538" t="n">
        <v>86.15000000000001</v>
      </c>
      <c r="D11564" s="538" t="n">
        <v>91.98</v>
      </c>
      <c r="E11564" s="538" t="n">
        <v>104.9</v>
      </c>
    </row>
    <row r="11565">
      <c r="A11565" s="544" t="n">
        <v>45399</v>
      </c>
      <c r="B11565" s="538" t="n">
        <v>89.54000000000001</v>
      </c>
      <c r="C11565" s="538" t="n">
        <v>83.58</v>
      </c>
      <c r="D11565" s="538" t="n">
        <v>89.23999999999999</v>
      </c>
      <c r="E11565" s="538" t="n">
        <v>104.36</v>
      </c>
    </row>
    <row r="11566">
      <c r="A11566" s="544" t="n">
        <v>45400</v>
      </c>
      <c r="B11566" s="538" t="n">
        <v>88.34</v>
      </c>
      <c r="C11566" s="538" t="n">
        <v>83.5</v>
      </c>
      <c r="D11566" s="538" t="n">
        <v>88.47</v>
      </c>
      <c r="E11566" s="538" t="n">
        <v>100.43</v>
      </c>
    </row>
    <row r="11567">
      <c r="A11567" s="544" t="n">
        <v>45401</v>
      </c>
      <c r="B11567" s="538" t="n">
        <v>87.95999999999999</v>
      </c>
      <c r="C11567" s="538" t="n">
        <v>83.79000000000001</v>
      </c>
      <c r="D11567" s="538" t="n">
        <v>89.03</v>
      </c>
      <c r="E11567" s="538" t="n">
        <v>98.88</v>
      </c>
    </row>
    <row r="11568">
      <c r="A11568" s="544" t="n">
        <v>45404</v>
      </c>
      <c r="B11568" s="538" t="n">
        <v>87.3</v>
      </c>
      <c r="C11568" s="538" t="n">
        <v>83.81999999999999</v>
      </c>
      <c r="D11568" s="538" t="n">
        <v>88.84999999999999</v>
      </c>
      <c r="E11568" s="538" t="n">
        <v>98.44</v>
      </c>
    </row>
    <row r="11569">
      <c r="A11569" s="544" t="n">
        <v>45405</v>
      </c>
      <c r="B11569" s="538" t="n">
        <v>88.29000000000001</v>
      </c>
      <c r="C11569" s="538" t="n">
        <v>84.17</v>
      </c>
      <c r="D11569" s="538" t="n">
        <v>90.34</v>
      </c>
      <c r="E11569" s="538" t="n">
        <v>100.29</v>
      </c>
    </row>
    <row r="11570">
      <c r="A11570" s="544" t="n">
        <v>45406</v>
      </c>
      <c r="B11570" s="538" t="n">
        <v>89.02</v>
      </c>
      <c r="C11570" s="538" t="n">
        <v>84.09</v>
      </c>
      <c r="D11570" s="538" t="n">
        <v>89.94</v>
      </c>
      <c r="E11570" s="538" t="n">
        <v>99.84999999999999</v>
      </c>
    </row>
    <row r="11571">
      <c r="A11571" s="544" t="n">
        <v>45407</v>
      </c>
      <c r="B11571" s="538" t="n">
        <v>88.09999999999999</v>
      </c>
      <c r="C11571" s="538" t="n">
        <v>84.92</v>
      </c>
      <c r="D11571" s="538" t="n">
        <v>91.06</v>
      </c>
      <c r="E11571" s="538" t="n">
        <v>99.84</v>
      </c>
    </row>
    <row r="11572">
      <c r="A11572" s="544" t="n">
        <v>45408</v>
      </c>
      <c r="B11572" s="538" t="n">
        <v>89.95</v>
      </c>
      <c r="C11572" s="538" t="n">
        <v>85.38</v>
      </c>
      <c r="D11572" s="538" t="n">
        <v>91.15000000000001</v>
      </c>
      <c r="E11572" s="538" t="n">
        <v>99.75</v>
      </c>
    </row>
    <row r="11573">
      <c r="A11573" s="544" t="n">
        <v>45411</v>
      </c>
      <c r="B11573" s="538" t="n">
        <v>88.44</v>
      </c>
      <c r="C11573" s="538" t="n">
        <v>84.26000000000001</v>
      </c>
      <c r="D11573" s="538" t="n">
        <v>90.36</v>
      </c>
      <c r="E11573" s="538" t="n">
        <v>99.56999999999999</v>
      </c>
    </row>
    <row r="11574">
      <c r="A11574" s="544" t="n">
        <v>45412</v>
      </c>
      <c r="B11574" s="538" t="n">
        <v>88.23</v>
      </c>
      <c r="C11574" s="538" t="n">
        <v>83.48999999999999</v>
      </c>
      <c r="D11574" s="538" t="n">
        <v>89.64</v>
      </c>
      <c r="E11574" s="538" t="n">
        <v>99.05</v>
      </c>
    </row>
    <row r="11575">
      <c r="A11575" s="544" t="n">
        <v>45413</v>
      </c>
      <c r="B11575" s="538" t="n">
        <v>83.55</v>
      </c>
      <c r="C11575" s="538" t="n">
        <v>80.7</v>
      </c>
      <c r="D11575" s="538" t="n">
        <v>89.64</v>
      </c>
      <c r="E11575" s="538" t="n">
        <v>99.05</v>
      </c>
    </row>
    <row r="11576">
      <c r="A11576" s="544" t="n">
        <v>45414</v>
      </c>
      <c r="B11576" s="538" t="n">
        <v>84.81</v>
      </c>
      <c r="C11576" s="538" t="n">
        <v>80.59</v>
      </c>
      <c r="D11576" s="538" t="n">
        <v>85.41</v>
      </c>
      <c r="E11576" s="538" t="n">
        <v>95.61</v>
      </c>
    </row>
    <row r="11577">
      <c r="A11577" s="544" t="n">
        <v>45415</v>
      </c>
      <c r="B11577" s="538" t="n">
        <v>83.59999999999999</v>
      </c>
      <c r="C11577" s="538" t="n">
        <v>79.65000000000001</v>
      </c>
      <c r="D11577" s="538" t="n">
        <v>84.33</v>
      </c>
      <c r="E11577" s="538" t="n">
        <v>94.44</v>
      </c>
    </row>
    <row r="11578">
      <c r="A11578" s="544" t="n">
        <v>45418</v>
      </c>
      <c r="B11578" s="538" t="n">
        <v>83.59999999999999</v>
      </c>
      <c r="C11578" s="538" t="n">
        <v>80.09999999999999</v>
      </c>
      <c r="D11578" s="538" t="n">
        <v>85.14</v>
      </c>
      <c r="E11578" s="538" t="n">
        <v>94.43000000000001</v>
      </c>
    </row>
    <row r="11579">
      <c r="A11579" s="544" t="n">
        <v>45419</v>
      </c>
      <c r="B11579" s="538" t="n">
        <v>82.69</v>
      </c>
      <c r="C11579" s="538" t="n">
        <v>79.97</v>
      </c>
      <c r="D11579" s="538" t="n">
        <v>84.45999999999999</v>
      </c>
      <c r="E11579" s="538" t="n">
        <v>95.23</v>
      </c>
    </row>
    <row r="11580">
      <c r="A11580" s="544" t="n">
        <v>45420</v>
      </c>
      <c r="B11580" s="538" t="n">
        <v>82.44</v>
      </c>
      <c r="C11580" s="538" t="n">
        <v>80.56999999999999</v>
      </c>
      <c r="D11580" s="538" t="n">
        <v>85.26000000000001</v>
      </c>
      <c r="E11580" s="538" t="n">
        <v>94.27</v>
      </c>
    </row>
    <row r="11581">
      <c r="A11581" s="544" t="n">
        <v>45421</v>
      </c>
      <c r="B11581" s="538" t="n">
        <v>83.27</v>
      </c>
      <c r="C11581" s="538" t="n">
        <v>80.86</v>
      </c>
      <c r="D11581" s="538" t="n">
        <v>85.79000000000001</v>
      </c>
      <c r="E11581" s="538" t="n">
        <v>96.52</v>
      </c>
    </row>
    <row r="11582">
      <c r="A11582" s="544" t="n">
        <v>45422</v>
      </c>
      <c r="B11582" s="538" t="n">
        <v>83.39</v>
      </c>
      <c r="C11582" s="538" t="n">
        <v>79.81</v>
      </c>
      <c r="D11582" s="538" t="n">
        <v>84.43000000000001</v>
      </c>
      <c r="E11582" s="538" t="n">
        <v>96.31999999999999</v>
      </c>
    </row>
    <row r="11583">
      <c r="A11583" s="544" t="n">
        <v>45425</v>
      </c>
      <c r="B11583" s="538" t="n">
        <v>83.18000000000001</v>
      </c>
      <c r="C11583" s="538" t="n">
        <v>80.70999999999999</v>
      </c>
      <c r="D11583" s="538" t="n">
        <v>85.06999999999999</v>
      </c>
      <c r="E11583" s="538" t="n">
        <v>94.89</v>
      </c>
    </row>
    <row r="11584">
      <c r="A11584" s="544" t="n">
        <v>45426</v>
      </c>
      <c r="B11584" s="538" t="n">
        <v>81</v>
      </c>
      <c r="C11584" s="538" t="n">
        <v>79.62</v>
      </c>
      <c r="D11584" s="538" t="n">
        <v>84.36</v>
      </c>
      <c r="E11584" s="538" t="n">
        <v>95.34</v>
      </c>
    </row>
    <row r="11585">
      <c r="A11585" s="544" t="n">
        <v>45427</v>
      </c>
      <c r="B11585" s="538" t="n">
        <v>79.98</v>
      </c>
      <c r="C11585" s="538" t="n">
        <v>80.23</v>
      </c>
      <c r="D11585" s="538" t="n">
        <v>84.36</v>
      </c>
      <c r="E11585" s="538" t="n">
        <v>95.04000000000001</v>
      </c>
    </row>
    <row r="11586">
      <c r="A11586" s="544" t="n">
        <v>45428</v>
      </c>
      <c r="B11586" s="538" t="n">
        <v>81.65000000000001</v>
      </c>
      <c r="C11586" s="538" t="n">
        <v>80.84999999999999</v>
      </c>
      <c r="D11586" s="538" t="n">
        <v>84.95999999999999</v>
      </c>
      <c r="E11586" s="538" t="n">
        <v>95.01000000000001</v>
      </c>
    </row>
    <row r="11587">
      <c r="A11587" s="544" t="n">
        <v>45429</v>
      </c>
      <c r="B11587" s="538" t="n">
        <v>82.23999999999999</v>
      </c>
      <c r="C11587" s="538" t="n">
        <v>81.66</v>
      </c>
      <c r="D11587" s="538" t="n">
        <v>85.58</v>
      </c>
      <c r="E11587" s="538" t="n">
        <v>96.08</v>
      </c>
    </row>
    <row r="11588">
      <c r="A11588" s="544" t="n">
        <v>45432</v>
      </c>
      <c r="B11588" s="538" t="n">
        <v>81.91</v>
      </c>
      <c r="C11588" s="538" t="n">
        <v>81.39</v>
      </c>
      <c r="D11588" s="538" t="n">
        <v>85.26000000000001</v>
      </c>
      <c r="E11588" s="538" t="n">
        <v>96.62</v>
      </c>
    </row>
    <row r="11589">
      <c r="A11589" s="544" t="n">
        <v>45433</v>
      </c>
      <c r="B11589" s="538" t="n">
        <v>81.22</v>
      </c>
      <c r="C11589" s="538" t="n">
        <v>80.66</v>
      </c>
      <c r="D11589" s="538" t="n">
        <v>83.84</v>
      </c>
      <c r="E11589" s="538" t="n">
        <v>96.06999999999999</v>
      </c>
    </row>
    <row r="11590">
      <c r="A11590" s="544" t="n">
        <v>45434</v>
      </c>
      <c r="B11590" s="538" t="n">
        <v>79.90000000000001</v>
      </c>
      <c r="C11590" s="538" t="n">
        <v>79.15000000000001</v>
      </c>
      <c r="D11590" s="538" t="n">
        <v>83.84</v>
      </c>
      <c r="E11590" s="538" t="n">
        <v>96.06999999999999</v>
      </c>
    </row>
    <row r="11591">
      <c r="A11591" s="544" t="n">
        <v>45435</v>
      </c>
      <c r="B11591" s="538" t="n">
        <v>79.25</v>
      </c>
      <c r="C11591" s="538" t="n">
        <v>77.47</v>
      </c>
      <c r="D11591" s="538" t="n">
        <v>82.97</v>
      </c>
      <c r="E11591" s="538" t="n">
        <v>94.54000000000001</v>
      </c>
    </row>
    <row r="11592">
      <c r="A11592" s="544" t="n">
        <v>45436</v>
      </c>
      <c r="B11592" s="538" t="n">
        <v>78.92</v>
      </c>
      <c r="C11592" s="538" t="n">
        <v>78.48</v>
      </c>
      <c r="D11592" s="538" t="n">
        <v>83.42</v>
      </c>
      <c r="E11592" s="538" t="n">
        <v>93.81999999999999</v>
      </c>
    </row>
    <row r="11593">
      <c r="A11593" s="544" t="n">
        <v>45439</v>
      </c>
      <c r="B11593" s="538" t="n">
        <v>78.92</v>
      </c>
      <c r="C11593" s="538" t="n">
        <v>78.48</v>
      </c>
      <c r="D11593" s="538" t="n">
        <v>84.31</v>
      </c>
      <c r="E11593" s="538" t="n">
        <v>94.89</v>
      </c>
    </row>
    <row r="11594">
      <c r="A11594" s="544" t="n">
        <v>45440</v>
      </c>
      <c r="B11594" s="538" t="n">
        <v>81.34</v>
      </c>
      <c r="C11594" s="538" t="n">
        <v>80.90000000000001</v>
      </c>
      <c r="D11594" s="538" t="n">
        <v>85.90000000000001</v>
      </c>
      <c r="E11594" s="538" t="n">
        <v>97.09999999999999</v>
      </c>
    </row>
    <row r="11595">
      <c r="A11595" s="544" t="n">
        <v>45441</v>
      </c>
      <c r="B11595" s="538" t="n">
        <v>81.5</v>
      </c>
      <c r="C11595" s="538" t="n">
        <v>80.23999999999999</v>
      </c>
      <c r="D11595" s="538" t="n">
        <v>84.63</v>
      </c>
      <c r="E11595" s="538" t="n">
        <v>98.59999999999999</v>
      </c>
    </row>
    <row r="11596">
      <c r="A11596" s="544" t="n">
        <v>45442</v>
      </c>
      <c r="B11596" s="538" t="n">
        <v>81.42</v>
      </c>
      <c r="C11596" s="538" t="n">
        <v>78.95999999999999</v>
      </c>
      <c r="D11596" s="538" t="n">
        <v>82.93000000000001</v>
      </c>
      <c r="E11596" s="538" t="n">
        <v>96.36</v>
      </c>
    </row>
    <row r="11597">
      <c r="A11597" s="544" t="n">
        <v>45443</v>
      </c>
      <c r="B11597" s="538" t="n">
        <v>79.41</v>
      </c>
      <c r="C11597" s="538" t="n">
        <v>78.95999999999999</v>
      </c>
      <c r="D11597" s="538" t="n">
        <v>82.58</v>
      </c>
      <c r="E11597" s="538" t="n">
        <v>94.93000000000001</v>
      </c>
    </row>
    <row r="11598">
      <c r="A11598" s="544" t="n">
        <v>45446</v>
      </c>
      <c r="B11598" s="538" t="n">
        <v>76.45</v>
      </c>
      <c r="C11598" s="538" t="n">
        <v>78.95999999999999</v>
      </c>
      <c r="D11598" s="538" t="n">
        <v>79.18000000000001</v>
      </c>
      <c r="E11598" s="538" t="n">
        <v>94.5</v>
      </c>
    </row>
    <row r="11599">
      <c r="A11599" s="544" t="n">
        <v>45447</v>
      </c>
      <c r="B11599" s="538" t="n">
        <v>75.33</v>
      </c>
      <c r="C11599" s="538" t="n">
        <v>78.95999999999999</v>
      </c>
      <c r="D11599" s="538" t="n">
        <v>77.91</v>
      </c>
      <c r="E11599" s="538" t="n">
        <v>90.8</v>
      </c>
    </row>
    <row r="11600">
      <c r="A11600" s="544" t="n">
        <v>45448</v>
      </c>
      <c r="B11600" s="538" t="n">
        <v>75.41</v>
      </c>
      <c r="C11600" s="538" t="n">
        <v>78.95999999999999</v>
      </c>
      <c r="D11600" s="538" t="n">
        <v>79.56999999999999</v>
      </c>
      <c r="E11600" s="538" t="n">
        <v>91.81</v>
      </c>
    </row>
    <row r="11601">
      <c r="A11601" s="544" t="n">
        <v>45449</v>
      </c>
      <c r="B11601" s="538" t="n">
        <v>77.62</v>
      </c>
      <c r="C11601" s="538" t="n">
        <v>78.95999999999999</v>
      </c>
      <c r="D11601" s="538" t="n">
        <v>81.03</v>
      </c>
      <c r="E11601" s="538" t="n">
        <v>92.26000000000001</v>
      </c>
    </row>
    <row r="11602">
      <c r="A11602" s="544" t="n">
        <v>45450</v>
      </c>
      <c r="B11602" s="538" t="n">
        <v>78.12</v>
      </c>
      <c r="C11602" s="538" t="n">
        <v>78.95999999999999</v>
      </c>
      <c r="D11602" s="538" t="n">
        <v>80.56999999999999</v>
      </c>
      <c r="E11602" s="538" t="n">
        <v>94.06</v>
      </c>
    </row>
    <row r="11603">
      <c r="A11603" s="544" t="n">
        <v>45453</v>
      </c>
      <c r="B11603" s="538" t="n">
        <v>79.59</v>
      </c>
      <c r="C11603" s="538" t="n">
        <v>78.95999999999999</v>
      </c>
      <c r="D11603" s="538" t="n">
        <v>83</v>
      </c>
      <c r="E11603" s="538" t="n">
        <v>94.47</v>
      </c>
    </row>
    <row r="11604">
      <c r="A11604" s="544" t="n">
        <v>45454</v>
      </c>
      <c r="B11604" s="538" t="n">
        <v>80.15000000000001</v>
      </c>
      <c r="C11604" s="538" t="n">
        <v>78.95999999999999</v>
      </c>
      <c r="D11604" s="538" t="n">
        <v>83.42</v>
      </c>
      <c r="E11604" s="538" t="n">
        <v>97.22</v>
      </c>
    </row>
    <row r="11605">
      <c r="A11605" s="544" t="n">
        <v>45455</v>
      </c>
      <c r="B11605" s="538" t="n">
        <v>80.52</v>
      </c>
      <c r="C11605" s="538" t="n">
        <v>78.95999999999999</v>
      </c>
      <c r="D11605" s="538" t="n">
        <v>83.72</v>
      </c>
      <c r="E11605" s="538" t="n">
        <v>98.33</v>
      </c>
    </row>
    <row r="11606">
      <c r="A11606" s="544" t="n">
        <v>45456</v>
      </c>
      <c r="B11606" s="538" t="n">
        <v>81.44</v>
      </c>
      <c r="C11606" s="538" t="n">
        <v>79.61</v>
      </c>
      <c r="D11606" s="538" t="n">
        <v>83.20999999999999</v>
      </c>
      <c r="E11606" s="538" t="n">
        <v>97.59999999999999</v>
      </c>
    </row>
    <row r="11607">
      <c r="A11607" s="544" t="n">
        <v>45457</v>
      </c>
      <c r="B11607" s="538" t="n">
        <v>81.48999999999999</v>
      </c>
      <c r="C11607" s="538" t="n">
        <v>79.41</v>
      </c>
      <c r="D11607" s="538" t="n">
        <v>83.78</v>
      </c>
      <c r="E11607" s="538" t="n">
        <v>97.95999999999999</v>
      </c>
    </row>
    <row r="11608">
      <c r="A11608" s="544" t="n">
        <v>45460</v>
      </c>
      <c r="B11608" s="538" t="n">
        <v>82.45</v>
      </c>
      <c r="C11608" s="538" t="n">
        <v>81.33</v>
      </c>
      <c r="D11608" s="538" t="n">
        <v>83.78</v>
      </c>
      <c r="E11608" s="538" t="n">
        <v>97.95999999999999</v>
      </c>
    </row>
    <row r="11609">
      <c r="A11609" s="544" t="n">
        <v>45461</v>
      </c>
      <c r="B11609" s="538" t="n">
        <v>84.79000000000001</v>
      </c>
      <c r="C11609" s="538" t="n">
        <v>82.67</v>
      </c>
      <c r="D11609" s="538" t="n">
        <v>86.70999999999999</v>
      </c>
      <c r="E11609" s="538" t="n">
        <v>98.34</v>
      </c>
    </row>
    <row r="11610">
      <c r="A11610" s="544" t="n">
        <v>45462</v>
      </c>
      <c r="B11610" s="538" t="n">
        <v>85.64</v>
      </c>
      <c r="C11610" s="538" t="n">
        <v>82.67</v>
      </c>
      <c r="D11610" s="538" t="n">
        <v>86.64</v>
      </c>
      <c r="E11610" s="538" t="n">
        <v>100.19</v>
      </c>
    </row>
    <row r="11611">
      <c r="A11611" s="544" t="n">
        <v>45463</v>
      </c>
      <c r="B11611" s="538" t="n">
        <v>85.92</v>
      </c>
      <c r="C11611" s="538" t="n">
        <v>83.34</v>
      </c>
      <c r="D11611" s="538" t="n">
        <v>87.11</v>
      </c>
      <c r="E11611" s="538" t="n">
        <v>100.79</v>
      </c>
    </row>
    <row r="11612">
      <c r="A11612" s="544" t="n">
        <v>45464</v>
      </c>
      <c r="B11612" s="538" t="n">
        <v>86.42</v>
      </c>
      <c r="C11612" s="538" t="n">
        <v>81.70999999999999</v>
      </c>
      <c r="D11612" s="538" t="n">
        <v>86.43000000000001</v>
      </c>
      <c r="E11612" s="538" t="n">
        <v>99.76000000000001</v>
      </c>
    </row>
    <row r="11613">
      <c r="A11613" s="544" t="n">
        <v>45467</v>
      </c>
      <c r="B11613" s="538" t="n">
        <v>86.75</v>
      </c>
      <c r="C11613" s="538" t="n">
        <v>82.63</v>
      </c>
      <c r="D11613" s="538" t="n">
        <v>87.61</v>
      </c>
      <c r="E11613" s="538" t="n">
        <v>99.23999999999999</v>
      </c>
    </row>
    <row r="11614">
      <c r="A11614" s="544" t="n">
        <v>45468</v>
      </c>
      <c r="B11614" s="538" t="n">
        <v>86.81</v>
      </c>
      <c r="C11614" s="538" t="n">
        <v>81.97</v>
      </c>
      <c r="D11614" s="538" t="n">
        <v>86.26000000000001</v>
      </c>
      <c r="E11614" s="538" t="n">
        <v>99.97</v>
      </c>
    </row>
    <row r="11615">
      <c r="A11615" s="544" t="n">
        <v>45469</v>
      </c>
      <c r="B11615" s="538" t="n">
        <v>85.76000000000001</v>
      </c>
      <c r="C11615" s="538" t="n">
        <v>82.19</v>
      </c>
      <c r="D11615" s="538" t="n">
        <v>86.47</v>
      </c>
      <c r="E11615" s="538" t="n">
        <v>99.90000000000001</v>
      </c>
    </row>
    <row r="11616">
      <c r="A11616" s="544" t="n">
        <v>45470</v>
      </c>
      <c r="B11616" s="538" t="n">
        <v>87</v>
      </c>
      <c r="C11616" s="538" t="n">
        <v>83.04000000000001</v>
      </c>
      <c r="D11616" s="538" t="n">
        <v>87.62</v>
      </c>
      <c r="E11616" s="538" t="n">
        <v>101.39</v>
      </c>
    </row>
    <row r="11617">
      <c r="A11617" s="544" t="n">
        <v>45471</v>
      </c>
      <c r="B11617" s="538" t="n">
        <v>87.26000000000001</v>
      </c>
      <c r="C11617" s="538" t="n">
        <v>82.83</v>
      </c>
      <c r="D11617" s="538" t="n">
        <v>87.76000000000001</v>
      </c>
      <c r="E11617" s="538" t="n">
        <v>102.06</v>
      </c>
    </row>
    <row r="11618">
      <c r="A11618" s="544" t="n">
        <v>45474</v>
      </c>
      <c r="B11618" s="538" t="n">
        <v>86.56999999999999</v>
      </c>
      <c r="C11618" s="538" t="n">
        <v>84.7</v>
      </c>
      <c r="D11618" s="538" t="n">
        <v>88.09999999999999</v>
      </c>
      <c r="E11618" s="538" t="n">
        <v>100.75</v>
      </c>
    </row>
    <row r="11619">
      <c r="A11619" s="544" t="n">
        <v>45475</v>
      </c>
      <c r="B11619" s="538" t="n">
        <v>88.28</v>
      </c>
      <c r="C11619" s="538" t="n">
        <v>84.09</v>
      </c>
      <c r="D11619" s="538" t="n">
        <v>88.12</v>
      </c>
      <c r="E11619" s="538" t="n">
        <v>102.71</v>
      </c>
    </row>
    <row r="11620">
      <c r="A11620" s="544" t="n">
        <v>45476</v>
      </c>
      <c r="B11620" s="538" t="n">
        <v>88.25</v>
      </c>
      <c r="C11620" s="538" t="n">
        <v>85.19</v>
      </c>
      <c r="D11620" s="538" t="n">
        <v>88.58</v>
      </c>
      <c r="E11620" s="538" t="n">
        <v>102.34</v>
      </c>
    </row>
    <row r="11621">
      <c r="A11621" s="544" t="n">
        <v>45477</v>
      </c>
      <c r="B11621" s="538" t="n">
        <v>88.34</v>
      </c>
      <c r="C11621" s="538" t="n">
        <v>85.19</v>
      </c>
      <c r="D11621" s="538" t="n">
        <v>89.05</v>
      </c>
      <c r="E11621" s="538" t="n">
        <v>102</v>
      </c>
    </row>
    <row r="11622">
      <c r="A11622" s="544" t="n">
        <v>45478</v>
      </c>
      <c r="B11622" s="538" t="n">
        <v>88.66</v>
      </c>
      <c r="C11622" s="538" t="n">
        <v>84.44</v>
      </c>
      <c r="D11622" s="538" t="n">
        <v>88.48999999999999</v>
      </c>
      <c r="E11622" s="538" t="n">
        <v>102.77</v>
      </c>
    </row>
    <row r="11623">
      <c r="A11623" s="544" t="n">
        <v>45481</v>
      </c>
      <c r="B11623" s="538" t="n">
        <v>87.15000000000001</v>
      </c>
      <c r="C11623" s="538" t="n">
        <v>83.63</v>
      </c>
      <c r="D11623" s="538" t="n">
        <v>87.2</v>
      </c>
      <c r="E11623" s="538" t="n">
        <v>100.83</v>
      </c>
    </row>
    <row r="11624">
      <c r="A11624" s="544" t="n">
        <v>45482</v>
      </c>
      <c r="B11624" s="538" t="n">
        <v>86.48</v>
      </c>
      <c r="C11624" s="538" t="n">
        <v>82.78</v>
      </c>
      <c r="D11624" s="538" t="n">
        <v>86.47</v>
      </c>
      <c r="E11624" s="538" t="n">
        <v>99.87</v>
      </c>
    </row>
    <row r="11625">
      <c r="A11625" s="544" t="n">
        <v>45483</v>
      </c>
      <c r="B11625" s="538" t="n">
        <v>86.55</v>
      </c>
      <c r="C11625" s="538" t="n">
        <v>83.39</v>
      </c>
      <c r="D11625" s="538" t="n">
        <v>86.93000000000001</v>
      </c>
      <c r="E11625" s="538" t="n">
        <v>98.54000000000001</v>
      </c>
    </row>
    <row r="11626">
      <c r="A11626" s="544" t="n">
        <v>45484</v>
      </c>
      <c r="B11626" s="538" t="n">
        <v>86.48999999999999</v>
      </c>
      <c r="C11626" s="538" t="n">
        <v>83.92</v>
      </c>
      <c r="D11626" s="538" t="n">
        <v>87.18000000000001</v>
      </c>
      <c r="E11626" s="538" t="n">
        <v>99.40000000000001</v>
      </c>
    </row>
    <row r="11627">
      <c r="A11627" s="544" t="n">
        <v>45485</v>
      </c>
      <c r="B11627" s="538" t="n">
        <v>87.34999999999999</v>
      </c>
      <c r="C11627" s="538" t="n">
        <v>83.48999999999999</v>
      </c>
      <c r="D11627" s="538" t="n">
        <v>86.87</v>
      </c>
      <c r="E11627" s="538" t="n">
        <v>99.69</v>
      </c>
    </row>
    <row r="11628">
      <c r="A11628" s="544" t="n">
        <v>45488</v>
      </c>
      <c r="B11628" s="538" t="n">
        <v>86.42</v>
      </c>
      <c r="C11628" s="538" t="n">
        <v>83.22</v>
      </c>
      <c r="D11628" s="538" t="n">
        <v>86.3</v>
      </c>
      <c r="E11628" s="538" t="n">
        <v>98.72</v>
      </c>
    </row>
    <row r="11629">
      <c r="A11629" s="544" t="n">
        <v>45489</v>
      </c>
      <c r="B11629" s="538" t="n">
        <v>86.59999999999999</v>
      </c>
      <c r="C11629" s="538" t="n">
        <v>81.92</v>
      </c>
      <c r="D11629" s="538" t="n">
        <v>85.28</v>
      </c>
      <c r="E11629" s="538" t="n">
        <v>98.13</v>
      </c>
    </row>
    <row r="11630">
      <c r="A11630" s="544" t="n">
        <v>45490</v>
      </c>
      <c r="B11630" s="538" t="n">
        <v>85.76000000000001</v>
      </c>
      <c r="C11630" s="538" t="n">
        <v>84.16</v>
      </c>
      <c r="D11630" s="538" t="n">
        <v>86.66</v>
      </c>
      <c r="E11630" s="538" t="n">
        <v>97.12</v>
      </c>
    </row>
    <row r="11631">
      <c r="A11631" s="544" t="n">
        <v>45491</v>
      </c>
      <c r="B11631" s="538" t="n">
        <v>86.26000000000001</v>
      </c>
      <c r="C11631" s="538" t="n">
        <v>84.17</v>
      </c>
      <c r="D11631" s="538" t="n">
        <v>86.45999999999999</v>
      </c>
      <c r="E11631" s="538" t="n">
        <v>98.48</v>
      </c>
    </row>
    <row r="11632">
      <c r="A11632" s="544" t="n">
        <v>45492</v>
      </c>
      <c r="B11632" s="538" t="n">
        <v>85.19</v>
      </c>
      <c r="C11632" s="538" t="n">
        <v>81.43000000000001</v>
      </c>
      <c r="D11632" s="538" t="n">
        <v>84.08</v>
      </c>
      <c r="E11632" s="538" t="n">
        <v>98.03</v>
      </c>
    </row>
    <row r="11633">
      <c r="A11633" s="544" t="n">
        <v>45495</v>
      </c>
      <c r="B11633" s="538" t="n">
        <v>83.44</v>
      </c>
      <c r="C11633" s="538" t="n">
        <v>81.25</v>
      </c>
      <c r="D11633" s="538" t="n">
        <v>83.51000000000001</v>
      </c>
      <c r="E11633" s="538" t="n">
        <v>95.53</v>
      </c>
    </row>
    <row r="11634">
      <c r="A11634" s="544" t="n">
        <v>45496</v>
      </c>
      <c r="B11634" s="538" t="n">
        <v>82.2</v>
      </c>
      <c r="C11634" s="538" t="n">
        <v>78.23999999999999</v>
      </c>
      <c r="D11634" s="538" t="n">
        <v>82.78</v>
      </c>
      <c r="E11634" s="538" t="n">
        <v>96.09</v>
      </c>
    </row>
    <row r="11635">
      <c r="A11635" s="544" t="n">
        <v>45497</v>
      </c>
      <c r="B11635" s="538" t="n">
        <v>83.01000000000001</v>
      </c>
      <c r="C11635" s="538" t="n">
        <v>78.78</v>
      </c>
      <c r="D11635" s="538" t="n">
        <v>82.61</v>
      </c>
      <c r="E11635" s="538" t="n">
        <v>95.29000000000001</v>
      </c>
    </row>
    <row r="11636">
      <c r="A11636" s="544" t="n">
        <v>45498</v>
      </c>
      <c r="B11636" s="538" t="n">
        <v>82.58</v>
      </c>
      <c r="C11636" s="538" t="n">
        <v>79.43000000000001</v>
      </c>
      <c r="D11636" s="538" t="n">
        <v>83.36</v>
      </c>
      <c r="E11636" s="538" t="n">
        <v>95.73</v>
      </c>
    </row>
    <row r="11637">
      <c r="A11637" s="544" t="n">
        <v>45499</v>
      </c>
      <c r="B11637" s="538" t="n">
        <v>81.34999999999999</v>
      </c>
      <c r="C11637" s="538" t="n">
        <v>78.58</v>
      </c>
      <c r="D11637" s="538" t="n">
        <v>81.53</v>
      </c>
      <c r="E11637" s="538" t="n">
        <v>96.91</v>
      </c>
    </row>
    <row r="11638">
      <c r="A11638" s="544" t="n">
        <v>45502</v>
      </c>
      <c r="B11638" s="538" t="n">
        <v>80.94</v>
      </c>
      <c r="C11638" s="538" t="n">
        <v>77.27</v>
      </c>
      <c r="D11638" s="538" t="n">
        <v>80.56999999999999</v>
      </c>
      <c r="E11638" s="538" t="n">
        <v>95.69</v>
      </c>
    </row>
    <row r="11639">
      <c r="A11639" s="544" t="n">
        <v>45503</v>
      </c>
      <c r="B11639" s="538" t="n">
        <v>79.26000000000001</v>
      </c>
      <c r="C11639" s="538" t="n">
        <v>76.17</v>
      </c>
      <c r="D11639" s="538" t="n">
        <v>79.84999999999999</v>
      </c>
      <c r="E11639" s="538" t="n">
        <v>93.79000000000001</v>
      </c>
    </row>
    <row r="11640">
      <c r="A11640" s="544" t="n">
        <v>45504</v>
      </c>
      <c r="B11640" s="538" t="n">
        <v>81.39</v>
      </c>
      <c r="C11640" s="538" t="n">
        <v>79.36</v>
      </c>
      <c r="D11640" s="538" t="n">
        <v>81.48999999999999</v>
      </c>
      <c r="E11640" s="538" t="n">
        <v>94.27</v>
      </c>
    </row>
    <row r="11641">
      <c r="A11641" s="544" t="n">
        <v>45505</v>
      </c>
      <c r="B11641" s="538" t="n">
        <v>81.37</v>
      </c>
      <c r="C11641" s="538" t="n">
        <v>77.73999999999999</v>
      </c>
      <c r="D11641" s="538" t="n">
        <v>81.19</v>
      </c>
      <c r="E11641" s="538" t="n">
        <v>95.95</v>
      </c>
    </row>
    <row r="11642">
      <c r="A11642" s="544" t="n">
        <v>45506</v>
      </c>
      <c r="B11642" s="538" t="n">
        <v>78.34999999999999</v>
      </c>
      <c r="C11642" s="538" t="n">
        <v>74.98999999999999</v>
      </c>
      <c r="D11642" s="538" t="n">
        <v>78.56</v>
      </c>
      <c r="E11642" s="538" t="n">
        <v>94.23999999999999</v>
      </c>
    </row>
    <row r="11643">
      <c r="A11643" s="544" t="n">
        <v>45509</v>
      </c>
      <c r="B11643" s="538" t="n">
        <v>77.51000000000001</v>
      </c>
      <c r="C11643" s="538" t="n">
        <v>74.45999999999999</v>
      </c>
      <c r="D11643" s="538" t="n">
        <v>78</v>
      </c>
      <c r="E11643" s="538" t="n">
        <v>89.84999999999999</v>
      </c>
    </row>
    <row r="11644">
      <c r="A11644" s="544" t="n">
        <v>45510</v>
      </c>
      <c r="B11644" s="538" t="n">
        <v>76.62</v>
      </c>
      <c r="C11644" s="538" t="n">
        <v>74.59999999999999</v>
      </c>
      <c r="D11644" s="538" t="n">
        <v>76.7</v>
      </c>
      <c r="E11644" s="538" t="n">
        <v>90.28</v>
      </c>
    </row>
    <row r="11645">
      <c r="A11645" s="544" t="n">
        <v>45511</v>
      </c>
      <c r="B11645" s="538" t="n">
        <v>78.26000000000001</v>
      </c>
      <c r="C11645" s="538" t="n">
        <v>76.68000000000001</v>
      </c>
      <c r="D11645" s="538" t="n">
        <v>79.59999999999999</v>
      </c>
      <c r="E11645" s="538" t="n">
        <v>90.41</v>
      </c>
    </row>
    <row r="11646">
      <c r="A11646" s="544" t="n">
        <v>45512</v>
      </c>
      <c r="B11646" s="538" t="n">
        <v>80.76000000000001</v>
      </c>
      <c r="C11646" s="538" t="n">
        <v>77.64</v>
      </c>
      <c r="D11646" s="538" t="n">
        <v>80.06999999999999</v>
      </c>
      <c r="E11646" s="538" t="n">
        <v>92.01000000000001</v>
      </c>
    </row>
    <row r="11647">
      <c r="A11647" s="544" t="n">
        <v>45513</v>
      </c>
      <c r="B11647" s="538" t="n">
        <v>81.06999999999999</v>
      </c>
      <c r="C11647" s="538" t="n">
        <v>78.28</v>
      </c>
      <c r="D11647" s="538" t="n">
        <v>80.06999999999999</v>
      </c>
      <c r="E11647" s="538" t="n">
        <v>92.01000000000001</v>
      </c>
    </row>
    <row r="11648">
      <c r="A11648" s="544" t="n">
        <v>45516</v>
      </c>
      <c r="B11648" s="538" t="n">
        <v>83.06</v>
      </c>
      <c r="C11648" s="538" t="n">
        <v>81.45</v>
      </c>
      <c r="D11648" s="538" t="n">
        <v>83.23</v>
      </c>
      <c r="E11648" s="538" t="n">
        <v>92.68000000000001</v>
      </c>
    </row>
    <row r="11649">
      <c r="A11649" s="544" t="n">
        <v>45517</v>
      </c>
      <c r="B11649" s="538" t="n">
        <v>82.51000000000001</v>
      </c>
      <c r="C11649" s="538" t="n">
        <v>79.81</v>
      </c>
      <c r="D11649" s="538" t="n">
        <v>82.29000000000001</v>
      </c>
      <c r="E11649" s="538" t="n">
        <v>94.65000000000001</v>
      </c>
    </row>
    <row r="11650">
      <c r="A11650" s="544" t="n">
        <v>45518</v>
      </c>
      <c r="B11650" s="538" t="n">
        <v>82.15000000000001</v>
      </c>
      <c r="C11650" s="538" t="n">
        <v>78.47</v>
      </c>
      <c r="D11650" s="538" t="n">
        <v>81.28</v>
      </c>
      <c r="E11650" s="538" t="n">
        <v>94.36</v>
      </c>
    </row>
    <row r="11651">
      <c r="A11651" s="544" t="n">
        <v>45519</v>
      </c>
      <c r="B11651" s="538" t="n">
        <v>83.09</v>
      </c>
      <c r="C11651" s="538" t="n">
        <v>79.66</v>
      </c>
      <c r="D11651" s="538" t="n">
        <v>82.3</v>
      </c>
      <c r="E11651" s="538" t="n">
        <v>93.31999999999999</v>
      </c>
    </row>
    <row r="11652">
      <c r="A11652" s="544" t="n">
        <v>45520</v>
      </c>
      <c r="B11652" s="538" t="n">
        <v>81.56</v>
      </c>
      <c r="C11652" s="538" t="n">
        <v>78.05</v>
      </c>
      <c r="D11652" s="538" t="n">
        <v>80.87</v>
      </c>
      <c r="E11652" s="538" t="n">
        <v>93.56</v>
      </c>
    </row>
    <row r="11653">
      <c r="A11653" s="544" t="n">
        <v>45523</v>
      </c>
      <c r="B11653" s="538" t="n">
        <v>81.09</v>
      </c>
      <c r="C11653" s="538" t="n">
        <v>75.81999999999999</v>
      </c>
      <c r="D11653" s="538" t="n">
        <v>79.05</v>
      </c>
      <c r="E11653" s="538" t="n">
        <v>93.31999999999999</v>
      </c>
    </row>
    <row r="11654">
      <c r="A11654" s="544" t="n">
        <v>45524</v>
      </c>
      <c r="B11654" s="538" t="n">
        <v>78.84999999999999</v>
      </c>
      <c r="C11654" s="538" t="n">
        <v>75.27</v>
      </c>
      <c r="D11654" s="538" t="n">
        <v>78.48</v>
      </c>
      <c r="E11654" s="538" t="n">
        <v>88.84</v>
      </c>
    </row>
    <row r="11655">
      <c r="A11655" s="544" t="n">
        <v>45525</v>
      </c>
      <c r="B11655" s="538" t="n">
        <v>78.77</v>
      </c>
      <c r="C11655" s="538" t="n">
        <v>72.76000000000001</v>
      </c>
      <c r="D11655" s="538" t="n">
        <v>77.39</v>
      </c>
      <c r="E11655" s="538" t="n">
        <v>93.56</v>
      </c>
    </row>
    <row r="11656">
      <c r="A11656" s="544" t="n">
        <v>45526</v>
      </c>
      <c r="B11656" s="538" t="n">
        <v>78.8</v>
      </c>
      <c r="C11656" s="538" t="n">
        <v>73.72</v>
      </c>
      <c r="D11656" s="538" t="n">
        <v>78.43000000000001</v>
      </c>
      <c r="E11656" s="538" t="n">
        <v>88.77</v>
      </c>
    </row>
    <row r="11657">
      <c r="A11657" s="544" t="n">
        <v>45527</v>
      </c>
      <c r="B11657" s="538" t="n">
        <v>80.34</v>
      </c>
      <c r="C11657" s="538" t="n">
        <v>75.81999999999999</v>
      </c>
      <c r="D11657" s="538" t="n">
        <v>80.34</v>
      </c>
      <c r="E11657" s="538" t="n">
        <v>90.40000000000001</v>
      </c>
    </row>
    <row r="11658">
      <c r="A11658" s="544" t="n">
        <v>45530</v>
      </c>
      <c r="B11658" s="538" t="n">
        <v>80.34</v>
      </c>
      <c r="C11658" s="538" t="n">
        <v>78.40000000000001</v>
      </c>
      <c r="D11658" s="538" t="n">
        <v>82.62</v>
      </c>
      <c r="E11658" s="538" t="n">
        <v>89.94</v>
      </c>
    </row>
    <row r="11659">
      <c r="A11659" s="544" t="n">
        <v>45531</v>
      </c>
      <c r="B11659" s="538" t="n">
        <v>81.51000000000001</v>
      </c>
      <c r="C11659" s="538" t="n">
        <v>76.5</v>
      </c>
      <c r="D11659" s="538" t="n">
        <v>81.17</v>
      </c>
      <c r="E11659" s="538" t="n">
        <v>93.23</v>
      </c>
    </row>
    <row r="11660">
      <c r="A11660" s="544" t="n">
        <v>45532</v>
      </c>
      <c r="B11660" s="538" t="n">
        <v>80.04000000000001</v>
      </c>
      <c r="C11660" s="538" t="n">
        <v>75.48999999999999</v>
      </c>
      <c r="D11660" s="538" t="n">
        <v>79.78</v>
      </c>
      <c r="E11660" s="538" t="n">
        <v>89.77</v>
      </c>
    </row>
    <row r="11661">
      <c r="A11661" s="544" t="n">
        <v>45533</v>
      </c>
      <c r="B11661" s="538" t="n">
        <v>81.55</v>
      </c>
      <c r="C11661" s="538" t="n">
        <v>76.90000000000001</v>
      </c>
      <c r="D11661" s="538" t="n">
        <v>81.68000000000001</v>
      </c>
      <c r="E11661" s="538" t="n">
        <v>89.77</v>
      </c>
    </row>
    <row r="11662">
      <c r="A11662" s="544" t="n">
        <v>45534</v>
      </c>
      <c r="B11662" s="538" t="n">
        <v>80.2</v>
      </c>
      <c r="C11662" s="538" t="n">
        <v>74.52</v>
      </c>
      <c r="D11662" s="538" t="n">
        <v>80.38</v>
      </c>
      <c r="E11662" s="538" t="n">
        <v>91.54000000000001</v>
      </c>
    </row>
    <row r="11663">
      <c r="A11663" s="544" t="n">
        <v>45537</v>
      </c>
      <c r="B11663" s="538" t="n">
        <v>77.81999999999999</v>
      </c>
      <c r="C11663" s="538" t="n">
        <v>74.52</v>
      </c>
      <c r="D11663" s="538" t="n">
        <v>78.15000000000001</v>
      </c>
      <c r="E11663" s="538" t="n">
        <v>89.17</v>
      </c>
    </row>
    <row r="11664">
      <c r="A11664" s="544" t="n">
        <v>45538</v>
      </c>
      <c r="B11664" s="538" t="n">
        <v>76.45999999999999</v>
      </c>
      <c r="C11664" s="538" t="n">
        <v>71.28</v>
      </c>
      <c r="D11664" s="538" t="n">
        <v>74.72</v>
      </c>
      <c r="E11664" s="538" t="n">
        <v>89.66</v>
      </c>
    </row>
    <row r="11665">
      <c r="A11665" s="544" t="n">
        <v>45539</v>
      </c>
      <c r="B11665" s="538" t="n">
        <v>74.67</v>
      </c>
      <c r="C11665" s="538" t="n">
        <v>70.11</v>
      </c>
      <c r="D11665" s="538" t="n">
        <v>73.73999999999999</v>
      </c>
      <c r="E11665" s="538" t="n">
        <v>89.47</v>
      </c>
    </row>
    <row r="11666">
      <c r="A11666" s="544" t="n">
        <v>45540</v>
      </c>
      <c r="B11666" s="538" t="n">
        <v>74.47</v>
      </c>
      <c r="C11666" s="538" t="n">
        <v>70.09</v>
      </c>
      <c r="D11666" s="538" t="n">
        <v>73.8</v>
      </c>
      <c r="E11666" s="538" t="n">
        <v>85.52</v>
      </c>
    </row>
    <row r="11667">
      <c r="A11667" s="544" t="n">
        <v>45541</v>
      </c>
      <c r="B11667" s="538" t="n">
        <v>72.81999999999999</v>
      </c>
      <c r="C11667" s="538" t="n">
        <v>68.58</v>
      </c>
      <c r="D11667" s="538" t="n">
        <v>72.23999999999999</v>
      </c>
      <c r="E11667" s="538" t="n">
        <v>85.51000000000001</v>
      </c>
    </row>
    <row r="11668">
      <c r="A11668" s="544" t="n">
        <v>45544</v>
      </c>
      <c r="B11668" s="538" t="n">
        <v>72.37</v>
      </c>
      <c r="C11668" s="538" t="n">
        <v>69.65000000000001</v>
      </c>
      <c r="D11668" s="538" t="n">
        <v>72.65000000000001</v>
      </c>
      <c r="E11668" s="538" t="n">
        <v>84.62</v>
      </c>
    </row>
    <row r="11669">
      <c r="A11669" s="544" t="n">
        <v>45545</v>
      </c>
      <c r="B11669" s="538" t="n">
        <v>70.34</v>
      </c>
      <c r="C11669" s="538" t="n">
        <v>66.73</v>
      </c>
      <c r="D11669" s="538" t="n">
        <v>70.44</v>
      </c>
      <c r="E11669" s="538" t="n">
        <v>83.06999999999999</v>
      </c>
    </row>
    <row r="11670">
      <c r="A11670" s="544" t="n">
        <v>45546</v>
      </c>
      <c r="B11670" s="538" t="n">
        <v>70.31</v>
      </c>
      <c r="C11670" s="538" t="n">
        <v>68.25</v>
      </c>
      <c r="D11670" s="538" t="n">
        <v>71.45999999999999</v>
      </c>
      <c r="E11670" s="538" t="n">
        <v>81.81</v>
      </c>
    </row>
    <row r="11671">
      <c r="A11671" s="544" t="n">
        <v>45547</v>
      </c>
      <c r="B11671" s="538" t="n">
        <v>73.81</v>
      </c>
      <c r="C11671" s="538" t="n">
        <v>69.89</v>
      </c>
      <c r="D11671" s="538" t="n">
        <v>72.94</v>
      </c>
      <c r="E11671" s="538" t="n">
        <v>82.86</v>
      </c>
    </row>
    <row r="11672">
      <c r="A11672" s="544" t="n">
        <v>45548</v>
      </c>
      <c r="B11672" s="538" t="n">
        <v>73.68000000000001</v>
      </c>
      <c r="C11672" s="538" t="n">
        <v>69.59</v>
      </c>
      <c r="D11672" s="538" t="n">
        <v>73.09999999999999</v>
      </c>
      <c r="E11672" s="538" t="n">
        <v>83.04000000000001</v>
      </c>
    </row>
    <row r="11673">
      <c r="A11673" s="544" t="n">
        <v>45551</v>
      </c>
      <c r="B11673" s="538" t="n">
        <v>73.95999999999999</v>
      </c>
      <c r="C11673" s="538" t="n">
        <v>71.09999999999999</v>
      </c>
      <c r="D11673" s="538" t="n">
        <v>73.95999999999999</v>
      </c>
      <c r="E11673" s="538" t="n">
        <v>83.04000000000001</v>
      </c>
    </row>
    <row r="11674">
      <c r="A11674" s="544" t="n">
        <v>45552</v>
      </c>
      <c r="B11674" s="538" t="n">
        <v>74.55</v>
      </c>
      <c r="C11674" s="538" t="n">
        <v>72.16</v>
      </c>
      <c r="D11674" s="538" t="n">
        <v>74.84999999999999</v>
      </c>
      <c r="E11674" s="538" t="n">
        <v>82.86</v>
      </c>
    </row>
    <row r="11675">
      <c r="A11675" s="544" t="n">
        <v>45553</v>
      </c>
      <c r="B11675" s="538" t="n">
        <v>74.52</v>
      </c>
      <c r="C11675" s="538" t="n">
        <v>71.87</v>
      </c>
      <c r="D11675" s="538" t="n">
        <v>73.73999999999999</v>
      </c>
      <c r="E11675" s="538" t="n">
        <v>84.05</v>
      </c>
    </row>
    <row r="11676">
      <c r="A11676" s="544" t="n">
        <v>45554</v>
      </c>
      <c r="B11676" s="538" t="n">
        <v>75.93000000000001</v>
      </c>
      <c r="C11676" s="538" t="n">
        <v>72.86</v>
      </c>
      <c r="D11676" s="538" t="n">
        <v>76.05</v>
      </c>
      <c r="E11676" s="538" t="n">
        <v>85.17</v>
      </c>
    </row>
    <row r="11677">
      <c r="A11677" s="544" t="n">
        <v>45555</v>
      </c>
      <c r="B11677" s="538" t="n">
        <v>75.95999999999999</v>
      </c>
      <c r="C11677" s="538" t="n">
        <v>72.72</v>
      </c>
      <c r="D11677" s="538" t="n">
        <v>75.89</v>
      </c>
      <c r="E11677" s="538" t="n">
        <v>84.47</v>
      </c>
    </row>
    <row r="11678">
      <c r="A11678" s="544" t="n">
        <v>45558</v>
      </c>
      <c r="B11678" s="538" t="n">
        <v>74.95</v>
      </c>
      <c r="C11678" s="538" t="n">
        <v>71.33</v>
      </c>
      <c r="D11678" s="538" t="n">
        <v>75.34999999999999</v>
      </c>
      <c r="E11678" s="538" t="n">
        <v>84.5</v>
      </c>
    </row>
    <row r="11679">
      <c r="A11679" s="544" t="n">
        <v>45559</v>
      </c>
      <c r="B11679" s="538" t="n">
        <v>75.29000000000001</v>
      </c>
      <c r="C11679" s="538" t="n">
        <v>72.34</v>
      </c>
      <c r="D11679" s="538" t="n">
        <v>76.06999999999999</v>
      </c>
      <c r="E11679" s="538" t="n">
        <v>84.87</v>
      </c>
    </row>
    <row r="11680">
      <c r="A11680" s="544" t="n">
        <v>45560</v>
      </c>
      <c r="B11680" s="538" t="n">
        <v>75.40000000000001</v>
      </c>
      <c r="C11680" s="538" t="n">
        <v>70.42</v>
      </c>
      <c r="D11680" s="538" t="n">
        <v>74.62</v>
      </c>
      <c r="E11680" s="538" t="n">
        <v>85.56999999999999</v>
      </c>
    </row>
    <row r="11681">
      <c r="A11681" s="544" t="n">
        <v>45561</v>
      </c>
      <c r="B11681" s="538" t="n">
        <v>73.06</v>
      </c>
      <c r="C11681" s="538" t="n">
        <v>68.28</v>
      </c>
      <c r="D11681" s="538" t="n">
        <v>72.20999999999999</v>
      </c>
      <c r="E11681" s="538" t="n">
        <v>82.67</v>
      </c>
    </row>
    <row r="11682">
      <c r="A11682" s="544" t="n">
        <v>45562</v>
      </c>
      <c r="B11682" s="538" t="n">
        <v>71.63</v>
      </c>
      <c r="C11682" s="538" t="n">
        <v>68.72</v>
      </c>
      <c r="D11682" s="538" t="n">
        <v>73.29000000000001</v>
      </c>
      <c r="E11682" s="538" t="n">
        <v>83.31999999999999</v>
      </c>
    </row>
    <row r="11683">
      <c r="A11683" s="544" t="n">
        <v>45565</v>
      </c>
      <c r="B11683" s="538" t="n">
        <v>72.34999999999999</v>
      </c>
      <c r="C11683" s="538" t="n">
        <v>68.75</v>
      </c>
      <c r="D11683" s="538" t="n">
        <v>72.53</v>
      </c>
      <c r="E11683" s="538" t="n">
        <v>83.8</v>
      </c>
    </row>
    <row r="11684">
      <c r="A11684" s="544" t="n">
        <v>45566</v>
      </c>
      <c r="B11684" s="538" t="n">
        <v>75.3</v>
      </c>
      <c r="C11684" s="538" t="n">
        <v>70.41</v>
      </c>
      <c r="D11684" s="538" t="n">
        <v>74.84</v>
      </c>
      <c r="E11684" s="538" t="n">
        <v>82.45999999999999</v>
      </c>
    </row>
    <row r="11685">
      <c r="A11685" s="544" t="n">
        <v>45567</v>
      </c>
      <c r="B11685" s="538" t="n">
        <v>74.86</v>
      </c>
      <c r="C11685" s="538" t="n">
        <v>70.73999999999999</v>
      </c>
      <c r="D11685" s="538" t="n">
        <v>75.42</v>
      </c>
      <c r="E11685" s="538" t="n">
        <v>86.86</v>
      </c>
    </row>
    <row r="11686">
      <c r="A11686" s="544" t="n">
        <v>45568</v>
      </c>
      <c r="B11686" s="538" t="n">
        <v>77.56999999999999</v>
      </c>
      <c r="C11686" s="538" t="n">
        <v>74.33</v>
      </c>
      <c r="D11686" s="538" t="n">
        <v>78.64</v>
      </c>
      <c r="E11686" s="538" t="n">
        <v>85.69</v>
      </c>
    </row>
    <row r="11687">
      <c r="A11687" s="544" t="n">
        <v>45569</v>
      </c>
      <c r="B11687" s="538" t="n">
        <v>79.31999999999999</v>
      </c>
      <c r="C11687" s="538" t="n">
        <v>74.93000000000001</v>
      </c>
      <c r="D11687" s="538" t="n">
        <v>78.98</v>
      </c>
      <c r="E11687" s="538" t="n">
        <v>90.54000000000001</v>
      </c>
    </row>
    <row r="11688">
      <c r="A11688" s="544" t="n">
        <v>45572</v>
      </c>
      <c r="B11688" s="538" t="n">
        <v>81.73999999999999</v>
      </c>
      <c r="C11688" s="538" t="n">
        <v>77.76000000000001</v>
      </c>
      <c r="D11688" s="538" t="n">
        <v>82.02</v>
      </c>
      <c r="E11688" s="538" t="n">
        <v>91.27</v>
      </c>
    </row>
    <row r="11689">
      <c r="A11689" s="544" t="n">
        <v>45573</v>
      </c>
      <c r="B11689" s="538" t="n">
        <v>78.19</v>
      </c>
      <c r="C11689" s="538" t="n">
        <v>74.26000000000001</v>
      </c>
      <c r="D11689" s="538" t="n">
        <v>78.42</v>
      </c>
      <c r="E11689" s="538" t="n">
        <v>91.40000000000001</v>
      </c>
    </row>
    <row r="11690">
      <c r="A11690" s="544" t="n">
        <v>45574</v>
      </c>
      <c r="B11690" s="538" t="n">
        <v>77.06</v>
      </c>
      <c r="C11690" s="538" t="n">
        <v>73.84999999999999</v>
      </c>
      <c r="D11690" s="538" t="n">
        <v>77.65000000000001</v>
      </c>
      <c r="E11690" s="538" t="n">
        <v>89.59</v>
      </c>
    </row>
    <row r="11691">
      <c r="A11691" s="544" t="n">
        <v>45575</v>
      </c>
      <c r="B11691" s="538" t="n">
        <v>79.45</v>
      </c>
      <c r="C11691" s="538" t="n">
        <v>76.45999999999999</v>
      </c>
      <c r="D11691" s="538" t="n">
        <v>80.12</v>
      </c>
      <c r="E11691" s="538" t="n">
        <v>89.15000000000001</v>
      </c>
    </row>
    <row r="11692">
      <c r="A11692" s="544" t="n">
        <v>45576</v>
      </c>
      <c r="B11692" s="538" t="n">
        <v>80.27</v>
      </c>
      <c r="C11692" s="538" t="n">
        <v>76.11</v>
      </c>
      <c r="D11692" s="538" t="n">
        <v>79.72</v>
      </c>
      <c r="E11692" s="538" t="n">
        <v>91.2</v>
      </c>
    </row>
    <row r="11693">
      <c r="A11693" s="544" t="n">
        <v>45579</v>
      </c>
      <c r="B11693" s="538" t="n">
        <v>78.47</v>
      </c>
      <c r="C11693" s="538" t="n">
        <v>76.11</v>
      </c>
      <c r="D11693" s="538" t="n">
        <v>76.06999999999999</v>
      </c>
      <c r="E11693" s="538" t="n">
        <v>89.95999999999999</v>
      </c>
    </row>
    <row r="11694">
      <c r="A11694" s="544" t="n">
        <v>45580</v>
      </c>
      <c r="B11694" s="538" t="n">
        <v>73.68000000000001</v>
      </c>
      <c r="C11694" s="538" t="n">
        <v>71.22</v>
      </c>
      <c r="D11694" s="538" t="n">
        <v>75.33</v>
      </c>
      <c r="E11694" s="538" t="n">
        <v>86.04000000000001</v>
      </c>
    </row>
    <row r="11695">
      <c r="A11695" s="544" t="n">
        <v>45581</v>
      </c>
      <c r="B11695" s="538" t="n">
        <v>73.65000000000001</v>
      </c>
      <c r="C11695" s="538" t="n">
        <v>70.97</v>
      </c>
      <c r="D11695" s="538" t="n">
        <v>75.17</v>
      </c>
      <c r="E11695" s="538" t="n">
        <v>85.54000000000001</v>
      </c>
    </row>
    <row r="11696">
      <c r="A11696" s="544" t="n">
        <v>45582</v>
      </c>
      <c r="B11696" s="538" t="n">
        <v>74.37</v>
      </c>
      <c r="C11696" s="538" t="n">
        <v>71.26000000000001</v>
      </c>
      <c r="D11696" s="538" t="n">
        <v>75.20999999999999</v>
      </c>
      <c r="E11696" s="538" t="n">
        <v>86.25</v>
      </c>
    </row>
    <row r="11697">
      <c r="A11697" s="544" t="n">
        <v>45583</v>
      </c>
      <c r="B11697" s="538" t="n">
        <v>72.75</v>
      </c>
      <c r="C11697" s="538" t="n">
        <v>69.78</v>
      </c>
      <c r="D11697" s="538" t="n">
        <v>73.86</v>
      </c>
      <c r="E11697" s="538" t="n">
        <v>86.05</v>
      </c>
    </row>
    <row r="11698">
      <c r="A11698" s="544" t="n">
        <v>45586</v>
      </c>
      <c r="B11698" s="538" t="n">
        <v>73.29000000000001</v>
      </c>
      <c r="C11698" s="538" t="n">
        <v>71.16</v>
      </c>
      <c r="D11698" s="538" t="n">
        <v>74.72</v>
      </c>
      <c r="E11698" s="538" t="n">
        <v>86.2</v>
      </c>
    </row>
    <row r="11699">
      <c r="A11699" s="544" t="n">
        <v>45587</v>
      </c>
      <c r="B11699" s="538" t="n">
        <v>75.59</v>
      </c>
      <c r="C11699" s="538" t="n">
        <v>72.84</v>
      </c>
      <c r="D11699" s="538" t="n">
        <v>76.37</v>
      </c>
      <c r="E11699" s="538" t="n">
        <v>86.04000000000001</v>
      </c>
    </row>
    <row r="11700">
      <c r="A11700" s="544" t="n">
        <v>45588</v>
      </c>
      <c r="B11700" s="538" t="n">
        <v>74.68000000000001</v>
      </c>
      <c r="C11700" s="538" t="n">
        <v>71.37</v>
      </c>
      <c r="D11700" s="538" t="n">
        <v>75.73</v>
      </c>
      <c r="E11700" s="538" t="n">
        <v>88.63</v>
      </c>
    </row>
    <row r="11701">
      <c r="A11701" s="544" t="n">
        <v>45589</v>
      </c>
      <c r="B11701" s="538" t="n">
        <v>74.27</v>
      </c>
      <c r="C11701" s="538" t="n">
        <v>70.58</v>
      </c>
      <c r="D11701" s="538" t="n">
        <v>75.05</v>
      </c>
      <c r="E11701" s="538" t="n">
        <v>89.88</v>
      </c>
    </row>
    <row r="11702">
      <c r="A11702" s="544" t="n">
        <v>45590</v>
      </c>
      <c r="B11702" s="538" t="n">
        <v>75.62</v>
      </c>
      <c r="C11702" s="538" t="n">
        <v>72.02</v>
      </c>
      <c r="D11702" s="538" t="n">
        <v>76.59</v>
      </c>
      <c r="E11702" s="538" t="n">
        <v>88.23999999999999</v>
      </c>
    </row>
    <row r="11703">
      <c r="A11703" s="544" t="n">
        <v>45593</v>
      </c>
      <c r="B11703" s="538" t="n">
        <v>71.87</v>
      </c>
      <c r="C11703" s="538" t="n">
        <v>67.65000000000001</v>
      </c>
      <c r="D11703" s="538" t="n">
        <v>72.48</v>
      </c>
      <c r="E11703" s="538" t="n">
        <v>88.58</v>
      </c>
    </row>
    <row r="11704">
      <c r="A11704" s="544" t="n">
        <v>45594</v>
      </c>
      <c r="B11704" s="538" t="n">
        <v>71.09</v>
      </c>
      <c r="C11704" s="538" t="n">
        <v>67.48</v>
      </c>
      <c r="D11704" s="538" t="n">
        <v>71.77</v>
      </c>
      <c r="E11704" s="538" t="n">
        <v>88.23999999999999</v>
      </c>
    </row>
    <row r="11705">
      <c r="A11705" s="544" t="n">
        <v>45595</v>
      </c>
      <c r="B11705" s="538" t="n">
        <v>73.20999999999999</v>
      </c>
      <c r="C11705" s="538" t="n">
        <v>68.91</v>
      </c>
      <c r="D11705" s="538" t="n">
        <v>73.40000000000001</v>
      </c>
      <c r="E11705" s="538" t="n">
        <v>87.23999999999999</v>
      </c>
    </row>
    <row r="11706">
      <c r="A11706" s="544" t="n">
        <v>45596</v>
      </c>
      <c r="B11706" s="538" t="n">
        <v>73.25</v>
      </c>
      <c r="C11706" s="538" t="n">
        <v>69.58</v>
      </c>
      <c r="D11706" s="538" t="n">
        <v>73.40000000000001</v>
      </c>
      <c r="E11706" s="538" t="n">
        <v>87.23999999999999</v>
      </c>
    </row>
    <row r="11707">
      <c r="A11707" s="544" t="n">
        <v>45597</v>
      </c>
      <c r="B11707" s="538" t="n">
        <v>73.63</v>
      </c>
      <c r="C11707" s="538" t="n">
        <v>69.81</v>
      </c>
      <c r="D11707" s="538" t="n">
        <v>73.69</v>
      </c>
      <c r="E11707" s="538" t="n">
        <v>91.23999999999999</v>
      </c>
    </row>
    <row r="11708">
      <c r="A11708" s="544" t="n">
        <v>45600</v>
      </c>
      <c r="B11708" s="538" t="n">
        <v>74.89</v>
      </c>
      <c r="C11708" s="538" t="n">
        <v>71.83</v>
      </c>
      <c r="D11708" s="538" t="n">
        <v>76.05</v>
      </c>
      <c r="E11708" s="538" t="n">
        <v>90.63</v>
      </c>
    </row>
    <row r="11709">
      <c r="A11709" s="544" t="n">
        <v>45601</v>
      </c>
      <c r="B11709" s="538" t="n">
        <v>76.98</v>
      </c>
      <c r="C11709" s="538" t="n">
        <v>72.26000000000001</v>
      </c>
      <c r="D11709" s="538" t="n">
        <v>76.44</v>
      </c>
      <c r="E11709" s="538" t="n">
        <v>92.12</v>
      </c>
    </row>
    <row r="11710">
      <c r="A11710" s="544" t="n">
        <v>45602</v>
      </c>
      <c r="B11710" s="538" t="n">
        <v>76.52</v>
      </c>
      <c r="C11710" s="538" t="n">
        <v>71.98</v>
      </c>
      <c r="D11710" s="538" t="n">
        <v>76</v>
      </c>
      <c r="E11710" s="538" t="n">
        <v>90.98</v>
      </c>
    </row>
    <row r="11711">
      <c r="A11711" s="544" t="n">
        <v>45603</v>
      </c>
      <c r="B11711" s="538" t="n">
        <v>75.73</v>
      </c>
      <c r="C11711" s="538" t="n">
        <v>72.69</v>
      </c>
      <c r="D11711" s="538" t="n">
        <v>76.31</v>
      </c>
      <c r="E11711" s="538" t="n">
        <v>90.40000000000001</v>
      </c>
    </row>
    <row r="11712">
      <c r="A11712" s="544" t="n">
        <v>45604</v>
      </c>
      <c r="B11712" s="538" t="n">
        <v>74.04000000000001</v>
      </c>
      <c r="C11712" s="538" t="n">
        <v>70.69</v>
      </c>
      <c r="D11712" s="538" t="n">
        <v>74.56</v>
      </c>
      <c r="E11712" s="538" t="n">
        <v>90.41</v>
      </c>
    </row>
    <row r="11713">
      <c r="A11713" s="544" t="n">
        <v>45607</v>
      </c>
      <c r="B11713" s="538" t="n">
        <v>72.19</v>
      </c>
      <c r="C11713" s="538" t="n">
        <v>70.69</v>
      </c>
      <c r="D11713" s="538" t="n">
        <v>72.38</v>
      </c>
      <c r="E11713" s="538" t="n">
        <v>89.53</v>
      </c>
    </row>
    <row r="11714">
      <c r="A11714" s="544" t="n">
        <v>45608</v>
      </c>
      <c r="B11714" s="538" t="n">
        <v>72.56</v>
      </c>
      <c r="C11714" s="538" t="n">
        <v>68.43000000000001</v>
      </c>
      <c r="D11714" s="538" t="n">
        <v>72.26000000000001</v>
      </c>
      <c r="E11714" s="538" t="n">
        <v>87.64</v>
      </c>
    </row>
    <row r="11715">
      <c r="A11715" s="544" t="n">
        <v>45609</v>
      </c>
      <c r="B11715" s="538" t="n">
        <v>72.86</v>
      </c>
      <c r="C11715" s="538" t="n">
        <v>68.76000000000001</v>
      </c>
      <c r="D11715" s="538" t="n">
        <v>72.54000000000001</v>
      </c>
      <c r="E11715" s="538" t="n">
        <v>88</v>
      </c>
    </row>
    <row r="11716">
      <c r="A11716" s="544" t="n">
        <v>45610</v>
      </c>
      <c r="B11716" s="538" t="n">
        <v>73.39</v>
      </c>
      <c r="C11716" s="538" t="n">
        <v>68.98999999999999</v>
      </c>
      <c r="D11716" s="538" t="n">
        <v>72.98</v>
      </c>
      <c r="E11716" s="538" t="n">
        <v>88.48</v>
      </c>
    </row>
    <row r="11717">
      <c r="A11717" s="544" t="n">
        <v>45611</v>
      </c>
      <c r="B11717" s="538" t="n">
        <v>73.45</v>
      </c>
      <c r="C11717" s="538" t="n">
        <v>67.33</v>
      </c>
      <c r="D11717" s="538" t="n">
        <v>71.59</v>
      </c>
      <c r="E11717" s="538" t="n">
        <v>87.2</v>
      </c>
    </row>
    <row r="11718">
      <c r="A11718" s="544" t="n">
        <v>45614</v>
      </c>
      <c r="B11718" s="538" t="n">
        <v>74.34999999999999</v>
      </c>
      <c r="C11718" s="538" t="n">
        <v>69.45999999999999</v>
      </c>
      <c r="D11718" s="538" t="n">
        <v>73.59</v>
      </c>
      <c r="E11718" s="538" t="n">
        <v>87.54000000000001</v>
      </c>
    </row>
    <row r="11719">
      <c r="A11719" s="544" t="n">
        <v>45615</v>
      </c>
      <c r="B11719" s="538" t="n">
        <v>74.31999999999999</v>
      </c>
      <c r="C11719" s="538" t="n">
        <v>69.75</v>
      </c>
      <c r="D11719" s="538" t="n">
        <v>73.76000000000001</v>
      </c>
      <c r="E11719" s="538" t="n">
        <v>89.95999999999999</v>
      </c>
    </row>
    <row r="11720">
      <c r="A11720" s="544" t="n">
        <v>45616</v>
      </c>
      <c r="B11720" s="538" t="n">
        <v>74.33</v>
      </c>
      <c r="C11720" s="538" t="n">
        <v>69.25</v>
      </c>
      <c r="D11720" s="538" t="n">
        <v>73.62</v>
      </c>
      <c r="E11720" s="538" t="n">
        <v>89.73999999999999</v>
      </c>
    </row>
    <row r="11721">
      <c r="A11721" s="544" t="n">
        <v>45617</v>
      </c>
      <c r="B11721" s="538" t="n">
        <v>75.09</v>
      </c>
      <c r="C11721" s="538" t="n">
        <v>70.39</v>
      </c>
      <c r="D11721" s="538" t="n">
        <v>75.09999999999999</v>
      </c>
      <c r="E11721" s="538" t="n">
        <v>90.13</v>
      </c>
    </row>
    <row r="11722">
      <c r="A11722" s="544" t="n">
        <v>45618</v>
      </c>
      <c r="B11722" s="538" t="n">
        <v>76.09999999999999</v>
      </c>
      <c r="C11722" s="538" t="n">
        <v>71.68000000000001</v>
      </c>
      <c r="D11722" s="538" t="n">
        <v>76.06</v>
      </c>
      <c r="E11722" s="538" t="n">
        <v>91.68000000000001</v>
      </c>
    </row>
    <row r="11723">
      <c r="A11723" s="544" t="n">
        <v>45621</v>
      </c>
      <c r="B11723" s="538" t="n">
        <v>74.27</v>
      </c>
      <c r="C11723" s="538" t="n">
        <v>69.41</v>
      </c>
      <c r="D11723" s="538" t="n">
        <v>73.89</v>
      </c>
      <c r="E11723" s="538" t="n">
        <v>90.39</v>
      </c>
    </row>
    <row r="11724">
      <c r="A11724" s="544" t="n">
        <v>45622</v>
      </c>
      <c r="B11724" s="538" t="n">
        <v>74.56</v>
      </c>
      <c r="C11724" s="538" t="n">
        <v>69.05</v>
      </c>
      <c r="D11724" s="538" t="n">
        <v>73.68000000000001</v>
      </c>
      <c r="E11724" s="538" t="n">
        <v>89.48999999999999</v>
      </c>
    </row>
    <row r="11725">
      <c r="A11725" s="544" t="n">
        <v>45623</v>
      </c>
      <c r="B11725" s="538" t="n">
        <v>73.91</v>
      </c>
      <c r="C11725" s="538" t="n">
        <v>69.03</v>
      </c>
      <c r="D11725" s="538" t="n">
        <v>73.8</v>
      </c>
      <c r="E11725" s="538" t="n">
        <v>88.45999999999999</v>
      </c>
    </row>
    <row r="11726">
      <c r="A11726" s="544" t="n">
        <v>45624</v>
      </c>
      <c r="B11726" s="538" t="n">
        <v>73.92</v>
      </c>
      <c r="C11726" s="538" t="n">
        <v>69.03</v>
      </c>
      <c r="D11726" s="538" t="n">
        <v>74.04000000000001</v>
      </c>
      <c r="E11726" s="538" t="n">
        <v>87.51000000000001</v>
      </c>
    </row>
    <row r="11727">
      <c r="A11727" s="544" t="n">
        <v>45625</v>
      </c>
      <c r="B11727" s="538" t="n">
        <v>74.16</v>
      </c>
      <c r="C11727" s="538" t="n">
        <v>68.26000000000001</v>
      </c>
      <c r="D11727" s="538" t="n">
        <v>73.77</v>
      </c>
      <c r="E11727" s="538" t="n">
        <v>88.40000000000001</v>
      </c>
    </row>
    <row r="11728">
      <c r="A11728" s="544" t="n">
        <v>45628</v>
      </c>
      <c r="B11728" s="538" t="n">
        <v>72.81</v>
      </c>
      <c r="C11728" s="538" t="n">
        <v>68.34999999999999</v>
      </c>
      <c r="D11728" s="538" t="n">
        <v>72.59999999999999</v>
      </c>
      <c r="E11728" s="538" t="n">
        <v>88.01000000000001</v>
      </c>
    </row>
    <row r="11729">
      <c r="A11729" s="544" t="n">
        <v>45629</v>
      </c>
      <c r="B11729" s="538" t="n">
        <v>74.8</v>
      </c>
      <c r="C11729" s="538" t="n">
        <v>70.15000000000001</v>
      </c>
      <c r="D11729" s="538" t="n">
        <v>74.36</v>
      </c>
      <c r="E11729" s="538" t="n">
        <v>87.95</v>
      </c>
    </row>
    <row r="11730">
      <c r="A11730" s="544" t="n">
        <v>45630</v>
      </c>
      <c r="B11730" s="538" t="n">
        <v>74.68000000000001</v>
      </c>
      <c r="C11730" s="538" t="n">
        <v>68.81</v>
      </c>
      <c r="D11730" s="538" t="n">
        <v>73.27</v>
      </c>
      <c r="E11730" s="538" t="n">
        <v>88.76000000000001</v>
      </c>
    </row>
    <row r="11731">
      <c r="A11731" s="544" t="n">
        <v>45631</v>
      </c>
      <c r="B11731" s="538" t="n">
        <v>73.78</v>
      </c>
      <c r="C11731" s="538" t="n">
        <v>68.58</v>
      </c>
      <c r="D11731" s="538" t="n">
        <v>72.91</v>
      </c>
      <c r="E11731" s="538" t="n">
        <v>87.08</v>
      </c>
    </row>
    <row r="11732">
      <c r="A11732" s="544" t="n">
        <v>45632</v>
      </c>
      <c r="B11732" s="538" t="n">
        <v>73.78</v>
      </c>
      <c r="C11732" s="538" t="n">
        <v>68.58</v>
      </c>
      <c r="D11732" s="538" t="n">
        <v>72.27</v>
      </c>
      <c r="E11732" s="538" t="n">
        <v>86.7</v>
      </c>
    </row>
    <row r="11733">
      <c r="A11733" s="544" t="n">
        <v>45635</v>
      </c>
      <c r="B11733" s="538" t="n">
        <v>73.73</v>
      </c>
      <c r="C11733" s="538" t="n">
        <v>68.65000000000001</v>
      </c>
      <c r="D11733" s="538" t="n">
        <v>72.55</v>
      </c>
      <c r="E11733" s="538" t="n">
        <v>87.23999999999999</v>
      </c>
    </row>
    <row r="11734">
      <c r="A11734" s="544" t="n">
        <v>45636</v>
      </c>
      <c r="B11734" s="538" t="n">
        <v>73.64</v>
      </c>
      <c r="C11734" s="538" t="n">
        <v>68.84999999999999</v>
      </c>
      <c r="D11734" s="538" t="n">
        <v>72.69</v>
      </c>
      <c r="E11734" s="538" t="n">
        <v>87.13</v>
      </c>
    </row>
    <row r="11735">
      <c r="A11735" s="544" t="n">
        <v>45637</v>
      </c>
      <c r="B11735" s="538" t="n">
        <v>74.38</v>
      </c>
      <c r="C11735" s="538" t="n">
        <v>70.56999999999999</v>
      </c>
      <c r="D11735" s="538" t="n">
        <v>74.34999999999999</v>
      </c>
      <c r="E11735" s="538" t="n">
        <v>87.38</v>
      </c>
    </row>
    <row r="11736">
      <c r="A11736" s="544" t="n">
        <v>45638</v>
      </c>
      <c r="B11736" s="538" t="n">
        <v>73.52</v>
      </c>
      <c r="C11736" s="538" t="n">
        <v>70.25</v>
      </c>
      <c r="D11736" s="538" t="n">
        <v>74.22</v>
      </c>
      <c r="E11736" s="538" t="n">
        <v>88.84</v>
      </c>
    </row>
    <row r="11737">
      <c r="A11737" s="544" t="n">
        <v>45639</v>
      </c>
      <c r="B11737" s="538" t="n">
        <v>74.89</v>
      </c>
      <c r="C11737" s="538" t="n">
        <v>71.54000000000001</v>
      </c>
      <c r="D11737" s="538" t="n">
        <v>75.16</v>
      </c>
      <c r="E11737" s="538" t="n">
        <v>89.65000000000001</v>
      </c>
    </row>
    <row r="11738">
      <c r="A11738" s="544" t="n">
        <v>45642</v>
      </c>
      <c r="B11738" s="538" t="n">
        <v>74.3</v>
      </c>
      <c r="C11738" s="538" t="n">
        <v>71.03</v>
      </c>
      <c r="D11738" s="538" t="n">
        <v>74.72</v>
      </c>
      <c r="E11738" s="538" t="n">
        <v>89.66</v>
      </c>
    </row>
    <row r="11739">
      <c r="A11739" s="544" t="n">
        <v>45643</v>
      </c>
      <c r="B11739" s="538" t="n">
        <v>73.16</v>
      </c>
      <c r="C11739" s="538" t="n">
        <v>70.31</v>
      </c>
      <c r="D11739" s="538" t="n">
        <v>74.12</v>
      </c>
      <c r="E11739" s="538" t="n">
        <v>89.66</v>
      </c>
    </row>
    <row r="11740">
      <c r="A11740" s="544" t="n">
        <v>45644</v>
      </c>
      <c r="B11740" s="538" t="n">
        <v>74.56999999999999</v>
      </c>
      <c r="C11740" s="538" t="n">
        <v>70.8</v>
      </c>
      <c r="D11740" s="538" t="n">
        <v>73.84</v>
      </c>
      <c r="E11740" s="538" t="n">
        <v>88.65000000000001</v>
      </c>
    </row>
    <row r="11741">
      <c r="A11741" s="544" t="n">
        <v>45645</v>
      </c>
      <c r="B11741" s="538" t="n">
        <v>73.75</v>
      </c>
      <c r="C11741" s="538" t="n">
        <v>70.09999999999999</v>
      </c>
      <c r="D11741" s="538" t="n">
        <v>73.55</v>
      </c>
      <c r="E11741" s="538" t="n">
        <v>89.27</v>
      </c>
    </row>
    <row r="11742">
      <c r="A11742" s="544" t="n">
        <v>45646</v>
      </c>
      <c r="B11742" s="538" t="n">
        <v>73.19</v>
      </c>
      <c r="C11742" s="538" t="n">
        <v>69.70999999999999</v>
      </c>
      <c r="D11742" s="538" t="n">
        <v>73.86</v>
      </c>
      <c r="E11742" s="538" t="n">
        <v>87.81</v>
      </c>
    </row>
    <row r="11743">
      <c r="A11743" s="544" t="n">
        <v>45649</v>
      </c>
      <c r="B11743" s="538" t="n">
        <v>72.12</v>
      </c>
      <c r="C11743" s="538" t="n">
        <v>69.5</v>
      </c>
      <c r="D11743" s="538" t="n">
        <v>73.84999999999999</v>
      </c>
      <c r="E11743" s="538" t="n">
        <v>87.56999999999999</v>
      </c>
    </row>
    <row r="11744">
      <c r="A11744" s="544" t="n">
        <v>45650</v>
      </c>
      <c r="B11744" s="538" t="n">
        <v>73.5</v>
      </c>
      <c r="C11744" s="538" t="n">
        <v>70.87</v>
      </c>
      <c r="D11744" s="538" t="n">
        <v>74.59</v>
      </c>
      <c r="E11744" s="538" t="n">
        <v>86.41</v>
      </c>
    </row>
    <row r="11745">
      <c r="A11745" s="544" t="n">
        <v>45651</v>
      </c>
      <c r="B11745" s="538" t="n">
        <v>73.5</v>
      </c>
      <c r="C11745" s="538" t="n">
        <v>70.87</v>
      </c>
      <c r="D11745" s="538" t="n">
        <v>74.59</v>
      </c>
      <c r="E11745" s="538" t="n">
        <v>86.41</v>
      </c>
    </row>
    <row r="11746">
      <c r="A11746" s="544" t="n">
        <v>45652</v>
      </c>
      <c r="B11746" s="538" t="n">
        <v>73.5</v>
      </c>
      <c r="C11746" s="538" t="n">
        <v>70.38</v>
      </c>
      <c r="D11746" s="538" t="n">
        <v>74.28</v>
      </c>
      <c r="E11746" s="538" t="n">
        <v>86.92</v>
      </c>
    </row>
    <row r="11747">
      <c r="A11747" s="544" t="n">
        <v>45653</v>
      </c>
      <c r="B11747" s="538" t="n">
        <v>73.77</v>
      </c>
      <c r="C11747" s="538" t="n">
        <v>71.28</v>
      </c>
      <c r="D11747" s="538" t="n">
        <v>75.09</v>
      </c>
      <c r="E11747" s="538" t="n">
        <v>86.81</v>
      </c>
    </row>
    <row r="11748">
      <c r="A11748" s="544" t="n">
        <v>45656</v>
      </c>
      <c r="B11748" s="538" t="n">
        <v>74.23999999999999</v>
      </c>
      <c r="C11748" s="538" t="n">
        <v>71.73</v>
      </c>
      <c r="D11748" s="538" t="n">
        <v>75.22</v>
      </c>
      <c r="E11748" s="538" t="n">
        <v>88.40000000000001</v>
      </c>
    </row>
    <row r="11749">
      <c r="A11749" s="544" t="n">
        <v>45657</v>
      </c>
      <c r="B11749" s="538" t="n">
        <v>74.58</v>
      </c>
      <c r="C11749" s="538" t="n">
        <v>72.44</v>
      </c>
      <c r="D11749" s="538" t="n">
        <v>75.59999999999999</v>
      </c>
      <c r="E11749" s="538" t="n">
        <v>89.55</v>
      </c>
    </row>
    <row r="11750">
      <c r="A11750" s="544" t="n">
        <v>45658</v>
      </c>
      <c r="B11750" s="538" t="n">
        <v>74.58</v>
      </c>
      <c r="C11750" s="538" t="n">
        <v>72.44</v>
      </c>
      <c r="D11750" s="538" t="n">
        <v>75.59999999999999</v>
      </c>
      <c r="E11750" s="538" t="n">
        <v>89.55</v>
      </c>
    </row>
    <row r="11751">
      <c r="A11751" s="544" t="n">
        <v>45659</v>
      </c>
      <c r="B11751" s="538" t="n">
        <v>76.14</v>
      </c>
      <c r="C11751" s="538" t="n">
        <v>73.79000000000001</v>
      </c>
      <c r="D11751" s="538" t="n">
        <v>77.11</v>
      </c>
      <c r="E11751" s="538" t="n">
        <v>89.31</v>
      </c>
    </row>
    <row r="11752">
      <c r="A11752" s="544" t="n">
        <v>45660</v>
      </c>
      <c r="B11752" s="538" t="n">
        <v>76.72</v>
      </c>
      <c r="C11752" s="538" t="n">
        <v>74.64</v>
      </c>
      <c r="D11752" s="538" t="n">
        <v>77.89</v>
      </c>
      <c r="E11752" s="538" t="n">
        <v>90.23</v>
      </c>
    </row>
    <row r="11753">
      <c r="A11753" s="544" t="n">
        <v>45663</v>
      </c>
      <c r="B11753" s="538" t="n">
        <v>77.27</v>
      </c>
      <c r="C11753" s="538" t="n">
        <v>74.31</v>
      </c>
      <c r="D11753" s="538" t="n">
        <v>77.54000000000001</v>
      </c>
      <c r="E11753" s="538" t="n">
        <v>90.41</v>
      </c>
    </row>
    <row r="11754">
      <c r="A11754" s="544" t="n">
        <v>45664</v>
      </c>
      <c r="B11754" s="538" t="n">
        <v>77.84</v>
      </c>
      <c r="C11754" s="538" t="n">
        <v>74.98999999999999</v>
      </c>
      <c r="D11754" s="538" t="n">
        <v>78.5</v>
      </c>
      <c r="E11754" s="538" t="n">
        <v>89.84999999999999</v>
      </c>
    </row>
    <row r="11755">
      <c r="A11755" s="544" t="n">
        <v>45665</v>
      </c>
      <c r="B11755" s="538" t="n">
        <v>77.37</v>
      </c>
      <c r="C11755" s="538" t="n">
        <v>73.98999999999999</v>
      </c>
      <c r="D11755" s="538" t="n">
        <v>77.53</v>
      </c>
      <c r="E11755" s="538" t="n">
        <v>91.28</v>
      </c>
    </row>
    <row r="11756">
      <c r="A11756" s="544" t="n">
        <v>45666</v>
      </c>
      <c r="B11756" s="538" t="n">
        <v>78.44</v>
      </c>
      <c r="C11756" s="538" t="n">
        <v>73.98999999999999</v>
      </c>
      <c r="D11756" s="538" t="n">
        <v>78.45999999999999</v>
      </c>
      <c r="E11756" s="538" t="n">
        <v>90.43000000000001</v>
      </c>
    </row>
    <row r="11757">
      <c r="A11757" s="544" t="n">
        <v>45667</v>
      </c>
      <c r="B11757" s="538" t="n">
        <v>79.76000000000001</v>
      </c>
      <c r="C11757" s="538" t="n">
        <v>77.27</v>
      </c>
      <c r="D11757" s="538" t="n">
        <v>81.45999999999999</v>
      </c>
      <c r="E11757" s="538" t="n">
        <v>91.95999999999999</v>
      </c>
    </row>
    <row r="11758">
      <c r="A11758" s="544" t="n">
        <v>45670</v>
      </c>
      <c r="B11758" s="538" t="n">
        <v>82.69</v>
      </c>
      <c r="C11758" s="538" t="n">
        <v>79.56999999999999</v>
      </c>
      <c r="D11758" s="538" t="n">
        <v>83.27</v>
      </c>
      <c r="E11758" s="538" t="n">
        <v>96.02</v>
      </c>
    </row>
    <row r="11759">
      <c r="A11759" s="544" t="n">
        <v>45671</v>
      </c>
      <c r="B11759" s="538" t="n">
        <v>82.39</v>
      </c>
      <c r="C11759" s="538" t="n">
        <v>78.2</v>
      </c>
      <c r="D11759" s="538" t="n">
        <v>83.06999999999999</v>
      </c>
      <c r="E11759" s="538" t="n">
        <v>94.78</v>
      </c>
    </row>
    <row r="11760">
      <c r="A11760" s="544" t="n">
        <v>45672</v>
      </c>
      <c r="B11760" s="538" t="n">
        <v>83.48</v>
      </c>
      <c r="C11760" s="538" t="n">
        <v>80.73</v>
      </c>
      <c r="D11760" s="538" t="n">
        <v>85.02</v>
      </c>
      <c r="E11760" s="538" t="n">
        <v>95.40000000000001</v>
      </c>
    </row>
    <row r="11761">
      <c r="A11761" s="544" t="n">
        <v>45673</v>
      </c>
      <c r="B11761" s="538" t="n">
        <v>82.39</v>
      </c>
      <c r="C11761" s="538" t="n">
        <v>79.34999999999999</v>
      </c>
      <c r="D11761" s="538" t="n">
        <v>84.44</v>
      </c>
      <c r="E11761" s="538" t="n">
        <v>97.31999999999999</v>
      </c>
    </row>
    <row r="11762">
      <c r="A11762" s="544" t="n">
        <v>45674</v>
      </c>
      <c r="B11762" s="538" t="n">
        <v>83.02</v>
      </c>
      <c r="C11762" s="538" t="n">
        <v>78.56</v>
      </c>
      <c r="D11762" s="538" t="n">
        <v>83.95</v>
      </c>
      <c r="E11762" s="538" t="n">
        <v>98.25</v>
      </c>
    </row>
    <row r="11763">
      <c r="A11763" s="544" t="n">
        <v>45677</v>
      </c>
      <c r="B11763" s="538" t="n">
        <v>81.68000000000001</v>
      </c>
      <c r="C11763" s="538" t="n">
        <v>78.56</v>
      </c>
      <c r="D11763" s="538" t="n">
        <v>83.06</v>
      </c>
      <c r="E11763" s="538" t="n">
        <v>97.04000000000001</v>
      </c>
    </row>
    <row r="11764">
      <c r="A11764" s="544" t="n">
        <v>45678</v>
      </c>
      <c r="B11764" s="538" t="n">
        <v>80.56999999999999</v>
      </c>
      <c r="C11764" s="538" t="n">
        <v>76.79000000000001</v>
      </c>
      <c r="D11764" s="538" t="n">
        <v>82.52</v>
      </c>
      <c r="E11764" s="538" t="n">
        <v>95.51000000000001</v>
      </c>
    </row>
    <row r="11765">
      <c r="A11765" s="544" t="n">
        <v>45679</v>
      </c>
      <c r="B11765" s="538" t="n">
        <v>80</v>
      </c>
      <c r="C11765" s="538" t="n">
        <v>76.12</v>
      </c>
      <c r="D11765" s="538" t="n">
        <v>82.13</v>
      </c>
      <c r="E11765" s="538" t="n">
        <v>94.67</v>
      </c>
    </row>
    <row r="11766">
      <c r="A11766" s="544" t="n">
        <v>45680</v>
      </c>
      <c r="B11766" s="538" t="n">
        <v>78.62</v>
      </c>
      <c r="C11766" s="538" t="n">
        <v>75.03</v>
      </c>
      <c r="D11766" s="538" t="n">
        <v>81.16</v>
      </c>
      <c r="E11766" s="538" t="n">
        <v>93.86</v>
      </c>
    </row>
    <row r="11767">
      <c r="A11767" s="544" t="n">
        <v>45681</v>
      </c>
      <c r="B11767" s="538" t="n">
        <v>78.70999999999999</v>
      </c>
      <c r="C11767" s="538" t="n">
        <v>74.97</v>
      </c>
      <c r="D11767" s="538" t="n">
        <v>81.97</v>
      </c>
      <c r="E11767" s="538" t="n">
        <v>93.70999999999999</v>
      </c>
    </row>
    <row r="11768">
      <c r="A11768" s="544" t="n">
        <v>45684</v>
      </c>
      <c r="B11768" s="538" t="n">
        <v>77.3</v>
      </c>
      <c r="C11768" s="538" t="n">
        <v>73.51000000000001</v>
      </c>
      <c r="D11768" s="538" t="n">
        <v>80.77</v>
      </c>
      <c r="E11768" s="538" t="n">
        <v>92.88</v>
      </c>
    </row>
    <row r="11769">
      <c r="A11769" s="544" t="n">
        <v>45685</v>
      </c>
      <c r="B11769" s="538" t="n">
        <v>78.01000000000001</v>
      </c>
      <c r="C11769" s="538" t="n">
        <v>74.15000000000001</v>
      </c>
      <c r="D11769" s="538" t="n">
        <v>81.37</v>
      </c>
      <c r="E11769" s="538" t="n">
        <v>93.86</v>
      </c>
    </row>
    <row r="11770">
      <c r="A11770" s="544" t="n">
        <v>45686</v>
      </c>
      <c r="B11770" s="538" t="n">
        <v>77.02</v>
      </c>
      <c r="C11770" s="538" t="n">
        <v>72.94</v>
      </c>
      <c r="D11770" s="538" t="n">
        <v>81.37</v>
      </c>
      <c r="E11770" s="538" t="n">
        <v>93.86</v>
      </c>
    </row>
    <row r="11771">
      <c r="A11771" s="544" t="n">
        <v>45687</v>
      </c>
      <c r="B11771" s="538" t="n">
        <v>77.42</v>
      </c>
      <c r="C11771" s="538" t="n">
        <v>73.09999999999999</v>
      </c>
      <c r="D11771" s="538" t="n">
        <v>81.37</v>
      </c>
      <c r="E11771" s="538" t="n">
        <v>93.86</v>
      </c>
    </row>
    <row r="11772">
      <c r="A11772" s="544" t="n">
        <v>45688</v>
      </c>
      <c r="B11772" s="538" t="n">
        <v>77.11</v>
      </c>
      <c r="C11772" s="538" t="n">
        <v>72.84</v>
      </c>
      <c r="D11772" s="538" t="n">
        <v>80.25</v>
      </c>
      <c r="E11772" s="538" t="n">
        <v>92.45999999999999</v>
      </c>
    </row>
    <row r="11773">
      <c r="A11773" s="544" t="n">
        <v>45691</v>
      </c>
      <c r="B11773" s="538" t="n">
        <v>76.48999999999999</v>
      </c>
      <c r="C11773" s="538" t="n">
        <v>73.52</v>
      </c>
      <c r="D11773" s="538" t="n">
        <v>77.22</v>
      </c>
      <c r="E11773" s="538" t="n">
        <v>92.38</v>
      </c>
    </row>
    <row r="11774">
      <c r="A11774" s="544" t="n">
        <v>45692</v>
      </c>
      <c r="B11774" s="538" t="n">
        <v>76.58</v>
      </c>
      <c r="C11774" s="538" t="n">
        <v>73.04000000000001</v>
      </c>
      <c r="D11774" s="538" t="n">
        <v>77.42</v>
      </c>
      <c r="E11774" s="538" t="n">
        <v>91.87</v>
      </c>
    </row>
    <row r="11775">
      <c r="A11775" s="544" t="n">
        <v>45693</v>
      </c>
      <c r="B11775" s="538" t="n">
        <v>74.70999999999999</v>
      </c>
      <c r="C11775" s="538" t="n">
        <v>71.39</v>
      </c>
      <c r="D11775" s="538" t="n">
        <v>76.28</v>
      </c>
      <c r="E11775" s="538" t="n">
        <v>92.34999999999999</v>
      </c>
    </row>
    <row r="11776">
      <c r="A11776" s="544" t="n">
        <v>45694</v>
      </c>
      <c r="B11776" s="538" t="n">
        <v>74.54000000000001</v>
      </c>
      <c r="C11776" s="538" t="n">
        <v>70.97</v>
      </c>
      <c r="D11776" s="538" t="n">
        <v>75.76000000000001</v>
      </c>
      <c r="E11776" s="538" t="n">
        <v>91.29000000000001</v>
      </c>
    </row>
    <row r="11777">
      <c r="A11777" s="544" t="n">
        <v>45695</v>
      </c>
      <c r="B11777" s="538" t="n">
        <v>74.68000000000001</v>
      </c>
      <c r="C11777" s="538" t="n">
        <v>71.31999999999999</v>
      </c>
      <c r="D11777" s="538" t="n">
        <v>76.12</v>
      </c>
      <c r="E11777" s="538" t="n">
        <v>91.88</v>
      </c>
    </row>
    <row r="11778">
      <c r="A11778" s="544" t="n">
        <v>45698</v>
      </c>
      <c r="B11778" s="538" t="n">
        <v>76.23</v>
      </c>
      <c r="C11778" s="538" t="n">
        <v>72.73</v>
      </c>
      <c r="D11778" s="538" t="n">
        <v>77.47</v>
      </c>
      <c r="E11778" s="538" t="n">
        <v>91.88</v>
      </c>
    </row>
    <row r="11779">
      <c r="A11779" s="544" t="n">
        <v>45699</v>
      </c>
      <c r="B11779" s="538" t="n">
        <v>77.65000000000001</v>
      </c>
      <c r="C11779" s="538" t="n">
        <v>73.67</v>
      </c>
      <c r="D11779" s="538" t="n">
        <v>78.3</v>
      </c>
      <c r="E11779" s="538" t="n">
        <v>93.40000000000001</v>
      </c>
    </row>
    <row r="11780">
      <c r="A11780" s="544" t="n">
        <v>45700</v>
      </c>
      <c r="B11780" s="538" t="n">
        <v>75.38</v>
      </c>
      <c r="C11780" s="538" t="n">
        <v>71.72</v>
      </c>
      <c r="D11780" s="538" t="n">
        <v>76.23</v>
      </c>
      <c r="E11780" s="538" t="n">
        <v>93.75</v>
      </c>
    </row>
    <row r="11781">
      <c r="A11781" s="544" t="n">
        <v>45701</v>
      </c>
      <c r="B11781" s="538" t="n">
        <v>75.61</v>
      </c>
      <c r="C11781" s="538" t="n">
        <v>71.66</v>
      </c>
      <c r="D11781" s="538" t="n">
        <v>76.40000000000001</v>
      </c>
      <c r="E11781" s="538" t="n">
        <v>91.77</v>
      </c>
    </row>
    <row r="11782">
      <c r="A11782" s="544" t="n">
        <v>45702</v>
      </c>
      <c r="B11782" s="538" t="n">
        <v>75.19</v>
      </c>
      <c r="C11782" s="538" t="n">
        <v>71.05</v>
      </c>
      <c r="D11782" s="538" t="n">
        <v>75.84999999999999</v>
      </c>
      <c r="E11782" s="538" t="n">
        <v>92.22</v>
      </c>
    </row>
    <row r="11783">
      <c r="A11783" s="544" t="n">
        <v>45705</v>
      </c>
      <c r="B11783" s="538" t="n">
        <v>75.81</v>
      </c>
      <c r="C11783" s="538" t="n">
        <v>71.05</v>
      </c>
      <c r="D11783" s="538" t="n">
        <v>76.36</v>
      </c>
      <c r="E11783" s="538" t="n">
        <v>91.73999999999999</v>
      </c>
    </row>
    <row r="11784">
      <c r="A11784" s="544" t="n">
        <v>45706</v>
      </c>
      <c r="B11784" s="538" t="n">
        <v>76.45999999999999</v>
      </c>
      <c r="C11784" s="538" t="n">
        <v>72.20999999999999</v>
      </c>
      <c r="D11784" s="538" t="n">
        <v>76.92</v>
      </c>
      <c r="E11784" s="538" t="n">
        <v>91.73999999999999</v>
      </c>
    </row>
    <row r="11785">
      <c r="A11785" s="544" t="n">
        <v>45707</v>
      </c>
      <c r="B11785" s="538" t="n">
        <v>76.34</v>
      </c>
      <c r="C11785" s="538" t="n">
        <v>72.58</v>
      </c>
      <c r="D11785" s="538" t="n">
        <v>77.48999999999999</v>
      </c>
      <c r="E11785" s="538" t="n">
        <v>93.15000000000001</v>
      </c>
    </row>
    <row r="11786">
      <c r="A11786" s="544" t="n">
        <v>45708</v>
      </c>
      <c r="B11786" s="538" t="n">
        <v>76.95</v>
      </c>
      <c r="C11786" s="538" t="n">
        <v>72.88</v>
      </c>
      <c r="D11786" s="538" t="n">
        <v>78.06</v>
      </c>
      <c r="E11786" s="538" t="n">
        <v>93.16</v>
      </c>
    </row>
    <row r="11787">
      <c r="A11787" s="544" t="n">
        <v>45709</v>
      </c>
      <c r="B11787" s="538" t="n">
        <v>74.88</v>
      </c>
      <c r="C11787" s="538" t="n">
        <v>70.72</v>
      </c>
      <c r="D11787" s="538" t="n">
        <v>75.65000000000001</v>
      </c>
      <c r="E11787" s="538" t="n">
        <v>92.81</v>
      </c>
    </row>
    <row r="11788">
      <c r="A11788" s="544" t="n">
        <v>45712</v>
      </c>
      <c r="B11788" s="538" t="n">
        <v>74.89</v>
      </c>
      <c r="C11788" s="538" t="n">
        <v>71.06</v>
      </c>
      <c r="D11788" s="538" t="n">
        <v>76.15000000000001</v>
      </c>
      <c r="E11788" s="538" t="n">
        <v>90.23</v>
      </c>
    </row>
    <row r="11789">
      <c r="A11789" s="544" t="n">
        <v>45713</v>
      </c>
      <c r="B11789" s="538" t="n">
        <v>73.11</v>
      </c>
      <c r="C11789" s="538" t="n">
        <v>69.15000000000001</v>
      </c>
      <c r="D11789" s="538" t="n">
        <v>74.45</v>
      </c>
      <c r="E11789" s="538" t="n">
        <v>90.76000000000001</v>
      </c>
    </row>
    <row r="11790">
      <c r="A11790" s="544" t="n">
        <v>45714</v>
      </c>
      <c r="B11790" s="538" t="n">
        <v>73.48999999999999</v>
      </c>
      <c r="C11790" s="538" t="n">
        <v>68.87</v>
      </c>
      <c r="D11790" s="538" t="n">
        <v>74.17</v>
      </c>
      <c r="E11790" s="538" t="n">
        <v>88.69</v>
      </c>
    </row>
    <row r="11791">
      <c r="A11791" s="544" t="n">
        <v>45715</v>
      </c>
      <c r="B11791" s="538" t="n">
        <v>75.01000000000001</v>
      </c>
      <c r="C11791" s="538" t="n">
        <v>70.62</v>
      </c>
      <c r="D11791" s="538" t="n">
        <v>75.36</v>
      </c>
      <c r="E11791" s="538" t="n">
        <v>87.72</v>
      </c>
    </row>
    <row r="11792">
      <c r="A11792" s="544" t="n">
        <v>45716</v>
      </c>
      <c r="B11792" s="538" t="n">
        <v>74.76000000000001</v>
      </c>
      <c r="C11792" s="538" t="n">
        <v>69.97</v>
      </c>
      <c r="D11792" s="538" t="n">
        <v>74.45999999999999</v>
      </c>
      <c r="E11792" s="538" t="n">
        <v>88.25</v>
      </c>
    </row>
    <row r="11793">
      <c r="A11793" s="544" t="n">
        <v>45719</v>
      </c>
      <c r="B11793" s="538" t="n">
        <v>72.84999999999999</v>
      </c>
      <c r="C11793" s="538" t="n">
        <v>68.63</v>
      </c>
      <c r="D11793" s="538" t="n">
        <v>72.79000000000001</v>
      </c>
      <c r="E11793" s="538" t="n">
        <v>87.33</v>
      </c>
    </row>
    <row r="11794">
      <c r="A11794" s="544" t="n">
        <v>45720</v>
      </c>
      <c r="B11794" s="538" t="n">
        <v>72.31</v>
      </c>
      <c r="C11794" s="538" t="n">
        <v>68.47</v>
      </c>
      <c r="D11794" s="538" t="n">
        <v>72.04000000000001</v>
      </c>
      <c r="E11794" s="538" t="n">
        <v>85.43000000000001</v>
      </c>
    </row>
    <row r="11795">
      <c r="A11795" s="544" t="n">
        <v>45721</v>
      </c>
      <c r="B11795" s="538" t="n">
        <v>70.92</v>
      </c>
      <c r="C11795" s="538" t="n">
        <v>66.58</v>
      </c>
      <c r="D11795" s="538" t="n">
        <v>70.52</v>
      </c>
      <c r="E11795" s="538" t="n">
        <v>85.27</v>
      </c>
    </row>
    <row r="11796">
      <c r="A11796" s="544" t="n">
        <v>45722</v>
      </c>
      <c r="B11796" s="538" t="n">
        <v>71.08</v>
      </c>
      <c r="C11796" s="538" t="n">
        <v>66.62</v>
      </c>
      <c r="D11796" s="538" t="n">
        <v>70.7</v>
      </c>
      <c r="E11796" s="538" t="n">
        <v>84.67</v>
      </c>
    </row>
    <row r="11797">
      <c r="A11797" s="544" t="n">
        <v>45723</v>
      </c>
      <c r="B11797" s="538" t="n">
        <v>72.48999999999999</v>
      </c>
      <c r="C11797" s="538" t="n">
        <v>67.29000000000001</v>
      </c>
      <c r="D11797" s="538" t="n">
        <v>71.92</v>
      </c>
      <c r="E11797" s="538" t="n">
        <v>84.48999999999999</v>
      </c>
    </row>
    <row r="11798">
      <c r="A11798" s="544" t="n">
        <v>45726</v>
      </c>
      <c r="B11798" s="538" t="n">
        <v>71.08</v>
      </c>
      <c r="C11798" s="538" t="n">
        <v>66.31</v>
      </c>
      <c r="D11798" s="538" t="n">
        <v>70.67</v>
      </c>
      <c r="E11798" s="538" t="n">
        <v>84.54000000000001</v>
      </c>
    </row>
    <row r="11799">
      <c r="A11799" s="544" t="n">
        <v>45727</v>
      </c>
      <c r="B11799" s="538" t="n">
        <v>71.51000000000001</v>
      </c>
      <c r="C11799" s="538" t="n">
        <v>66.52</v>
      </c>
      <c r="D11799" s="538" t="n">
        <v>71.39</v>
      </c>
      <c r="E11799" s="538" t="n">
        <v>83.53</v>
      </c>
    </row>
    <row r="11800">
      <c r="A11800" s="544" t="n">
        <v>45728</v>
      </c>
      <c r="B11800" s="538" t="n">
        <v>72.36</v>
      </c>
      <c r="C11800" s="538" t="n">
        <v>67.65000000000001</v>
      </c>
      <c r="D11800" s="538" t="n">
        <v>72.39</v>
      </c>
      <c r="E11800" s="538" t="n">
        <v>83.53</v>
      </c>
    </row>
    <row r="11801">
      <c r="A11801" s="544" t="n">
        <v>45729</v>
      </c>
      <c r="B11801" s="538" t="n">
        <v>70.81999999999999</v>
      </c>
      <c r="C11801" s="538" t="n">
        <v>66.81999999999999</v>
      </c>
      <c r="D11801" s="538" t="n">
        <v>73.48</v>
      </c>
      <c r="E11801" s="538" t="n">
        <v>84.7</v>
      </c>
    </row>
    <row r="11802">
      <c r="A11802" s="544" t="n">
        <v>45730</v>
      </c>
      <c r="B11802" s="538" t="n">
        <v>71.94</v>
      </c>
      <c r="C11802" s="538" t="n">
        <v>67.43000000000001</v>
      </c>
      <c r="D11802" s="538" t="n">
        <v>72.26000000000001</v>
      </c>
      <c r="E11802" s="538" t="n">
        <v>83.87</v>
      </c>
    </row>
    <row r="11803">
      <c r="A11803" s="544" t="n">
        <v>45733</v>
      </c>
      <c r="B11803" s="538" t="n">
        <v>71.93000000000001</v>
      </c>
      <c r="C11803" s="538" t="n">
        <v>67.84</v>
      </c>
      <c r="D11803" s="538" t="n">
        <v>72.67</v>
      </c>
      <c r="E11803" s="538" t="n">
        <v>84.22</v>
      </c>
    </row>
    <row r="11804">
      <c r="A11804" s="544" t="n">
        <v>45734</v>
      </c>
      <c r="B11804" s="538" t="n">
        <v>71.93000000000001</v>
      </c>
      <c r="C11804" s="538" t="n">
        <v>67.48999999999999</v>
      </c>
      <c r="D11804" s="538" t="n">
        <v>72.16</v>
      </c>
      <c r="E11804" s="538" t="n">
        <v>84.77</v>
      </c>
    </row>
    <row r="11805">
      <c r="A11805" s="544" t="n">
        <v>45735</v>
      </c>
      <c r="B11805" s="538" t="n">
        <v>71.94</v>
      </c>
      <c r="C11805" s="538" t="n">
        <v>67.40000000000001</v>
      </c>
      <c r="D11805" s="538" t="n">
        <v>72.31999999999999</v>
      </c>
      <c r="E11805" s="538" t="n">
        <v>83.69</v>
      </c>
    </row>
    <row r="11806">
      <c r="A11806" s="544" t="n">
        <v>45736</v>
      </c>
      <c r="B11806" s="538" t="n">
        <v>72.61</v>
      </c>
      <c r="C11806" s="538" t="n">
        <v>68.55</v>
      </c>
      <c r="D11806" s="538" t="n">
        <v>74.06</v>
      </c>
      <c r="E11806" s="538" t="n">
        <v>85.43000000000001</v>
      </c>
    </row>
    <row r="11807">
      <c r="A11807" s="544" t="n">
        <v>45737</v>
      </c>
      <c r="B11807" s="538" t="n">
        <v>72.64</v>
      </c>
      <c r="C11807" s="538" t="n">
        <v>68.52</v>
      </c>
      <c r="D11807" s="538" t="n">
        <v>73.75</v>
      </c>
      <c r="E11807" s="538" t="n">
        <v>86.04000000000001</v>
      </c>
    </row>
    <row r="11808">
      <c r="A11808" s="544" t="n">
        <v>45740</v>
      </c>
      <c r="B11808" s="538" t="n">
        <v>73.95999999999999</v>
      </c>
      <c r="C11808" s="538" t="n">
        <v>69.45999999999999</v>
      </c>
      <c r="D11808" s="538" t="n">
        <v>74.59</v>
      </c>
      <c r="E11808" s="538" t="n">
        <v>86.27</v>
      </c>
    </row>
    <row r="11809">
      <c r="A11809" s="544" t="n">
        <v>45741</v>
      </c>
      <c r="B11809" s="538" t="n">
        <v>73.78</v>
      </c>
      <c r="C11809" s="538" t="n">
        <v>69.48</v>
      </c>
      <c r="D11809" s="538" t="n">
        <v>74.48999999999999</v>
      </c>
      <c r="E11809" s="538" t="n">
        <v>86.44</v>
      </c>
    </row>
    <row r="11810">
      <c r="A11810" s="544" t="n">
        <v>45742</v>
      </c>
      <c r="B11810" s="538" t="n">
        <v>74.59999999999999</v>
      </c>
      <c r="C11810" s="538" t="n">
        <v>70.05</v>
      </c>
      <c r="D11810" s="538" t="n">
        <v>75.12</v>
      </c>
      <c r="E11810" s="538" t="n">
        <v>87.14</v>
      </c>
    </row>
    <row r="11811">
      <c r="A11811" s="544" t="n">
        <v>45743</v>
      </c>
      <c r="B11811" s="538" t="n">
        <v>74.72</v>
      </c>
      <c r="C11811" s="538" t="n">
        <v>70.3</v>
      </c>
      <c r="D11811" s="538" t="n">
        <v>75.47</v>
      </c>
      <c r="E11811" s="538" t="n">
        <v>87.02</v>
      </c>
    </row>
    <row r="11812">
      <c r="A11812" s="544" t="n">
        <v>45744</v>
      </c>
      <c r="B11812" s="538" t="n">
        <v>74.69</v>
      </c>
      <c r="C11812" s="538" t="n">
        <v>69.73999999999999</v>
      </c>
      <c r="D11812" s="538" t="n">
        <v>74.81</v>
      </c>
      <c r="E11812" s="538" t="n">
        <v>87.25</v>
      </c>
    </row>
    <row r="11813">
      <c r="A11813" s="544" t="n">
        <v>45747</v>
      </c>
      <c r="B11813" s="538" t="n">
        <v>77.23</v>
      </c>
      <c r="C11813" s="538" t="n">
        <v>71.87</v>
      </c>
      <c r="D11813" s="538" t="n">
        <v>74.81</v>
      </c>
      <c r="E11813" s="538" t="n">
        <v>87.25</v>
      </c>
    </row>
    <row r="11814">
      <c r="A11814" s="544" t="n">
        <v>45748</v>
      </c>
      <c r="B11814" s="538" t="n">
        <v>77.78</v>
      </c>
      <c r="C11814" s="538" t="n">
        <v>71.61</v>
      </c>
      <c r="D11814" s="538" t="n">
        <v>76.01000000000001</v>
      </c>
      <c r="E11814" s="538" t="n">
        <v>87.90000000000001</v>
      </c>
    </row>
    <row r="11815">
      <c r="A11815" s="544" t="n">
        <v>45749</v>
      </c>
      <c r="B11815" s="538" t="n">
        <v>77.27</v>
      </c>
      <c r="C11815" s="538" t="n">
        <v>72.12</v>
      </c>
      <c r="D11815" s="538" t="n">
        <v>76.56999999999999</v>
      </c>
      <c r="E11815" s="538" t="n">
        <v>87.7</v>
      </c>
    </row>
    <row r="11816">
      <c r="A11816" s="544" t="n">
        <v>45750</v>
      </c>
      <c r="B11816" s="538" t="n">
        <v>72.54000000000001</v>
      </c>
      <c r="C11816" s="538" t="n">
        <v>67.43000000000001</v>
      </c>
      <c r="D11816" s="538" t="n">
        <v>72.09</v>
      </c>
      <c r="E11816" s="538" t="n">
        <v>86.08</v>
      </c>
    </row>
    <row r="11817">
      <c r="A11817" s="544" t="n">
        <v>45751</v>
      </c>
      <c r="B11817" s="538" t="n">
        <v>68.36</v>
      </c>
      <c r="C11817" s="538" t="n">
        <v>62.42</v>
      </c>
      <c r="D11817" s="538" t="n">
        <v>67.84</v>
      </c>
      <c r="E11817" s="538" t="n">
        <v>81.63</v>
      </c>
    </row>
    <row r="11818">
      <c r="A11818" s="544" t="n">
        <v>45754</v>
      </c>
      <c r="B11818" s="538" t="n">
        <v>66.13</v>
      </c>
      <c r="C11818" s="538" t="n">
        <v>61.05</v>
      </c>
      <c r="D11818" s="538" t="n">
        <v>65.28</v>
      </c>
      <c r="E11818" s="538" t="n">
        <v>77.34999999999999</v>
      </c>
    </row>
    <row r="11819">
      <c r="A11819" s="544" t="n">
        <v>45755</v>
      </c>
      <c r="B11819" s="538" t="n">
        <v>64.86</v>
      </c>
      <c r="C11819" s="538" t="n">
        <v>60.04</v>
      </c>
      <c r="D11819" s="538" t="n">
        <v>64.09</v>
      </c>
      <c r="E11819" s="538" t="n">
        <v>78.45</v>
      </c>
    </row>
    <row r="11820">
      <c r="A11820" s="544" t="n">
        <v>45756</v>
      </c>
      <c r="B11820" s="538" t="n">
        <v>67.3</v>
      </c>
      <c r="C11820" s="538" t="n">
        <v>62.63</v>
      </c>
      <c r="D11820" s="538" t="n">
        <v>61.49</v>
      </c>
      <c r="E11820" s="538" t="n">
        <v>74.92</v>
      </c>
    </row>
    <row r="11821">
      <c r="A11821" s="544" t="n">
        <v>45757</v>
      </c>
      <c r="B11821" s="538" t="n">
        <v>65.37</v>
      </c>
      <c r="C11821" s="538" t="n">
        <v>60.57</v>
      </c>
      <c r="D11821" s="538" t="n">
        <v>64.75</v>
      </c>
      <c r="E11821" s="538" t="n">
        <v>77.77</v>
      </c>
    </row>
    <row r="11822">
      <c r="A11822" s="544" t="n">
        <v>45758</v>
      </c>
      <c r="B11822" s="538" t="n">
        <v>66.83</v>
      </c>
      <c r="C11822" s="538" t="n">
        <v>61.91</v>
      </c>
      <c r="D11822" s="538" t="n">
        <v>65.91</v>
      </c>
      <c r="E11822" s="538" t="n">
        <v>77.19</v>
      </c>
    </row>
    <row r="11823">
      <c r="A11823" s="544" t="n">
        <v>45761</v>
      </c>
      <c r="B11823" s="538" t="n">
        <v>67.18000000000001</v>
      </c>
      <c r="C11823" s="538" t="n">
        <v>61.99</v>
      </c>
      <c r="D11823" s="538" t="n">
        <v>66.06</v>
      </c>
      <c r="E11823" s="538" t="n">
        <v>78.8</v>
      </c>
    </row>
    <row r="11824">
      <c r="A11824" s="544" t="n">
        <v>45762</v>
      </c>
      <c r="B11824" s="538" t="n">
        <v>66.58</v>
      </c>
      <c r="C11824" s="538" t="n">
        <v>61.74</v>
      </c>
      <c r="D11824" s="538" t="n">
        <v>66.19</v>
      </c>
      <c r="E11824" s="538" t="n">
        <v>79.54000000000001</v>
      </c>
    </row>
    <row r="11825">
      <c r="A11825" s="544" t="n">
        <v>45763</v>
      </c>
      <c r="B11825" s="538" t="n">
        <v>67.94</v>
      </c>
      <c r="C11825" s="538" t="n">
        <v>62.88</v>
      </c>
      <c r="D11825" s="538" t="n">
        <v>67.56</v>
      </c>
      <c r="E11825" s="538" t="n">
        <v>79.77</v>
      </c>
    </row>
    <row r="11826">
      <c r="A11826" s="544" t="n">
        <v>45764</v>
      </c>
      <c r="B11826" s="538" t="n">
        <v>69.33</v>
      </c>
      <c r="C11826" s="538" t="n">
        <v>65.06999999999999</v>
      </c>
      <c r="D11826" s="538" t="n">
        <v>69.54000000000001</v>
      </c>
      <c r="E11826" s="538" t="n">
        <v>80.72</v>
      </c>
    </row>
    <row r="11827">
      <c r="A11827" s="544" t="n">
        <v>45765</v>
      </c>
      <c r="B11827" s="538" t="n">
        <v>69.33</v>
      </c>
      <c r="C11827" s="538" t="n">
        <v>65.06999999999999</v>
      </c>
      <c r="D11827" s="538" t="n">
        <v>69.54000000000001</v>
      </c>
      <c r="E11827" s="538" t="n">
        <v>80.72</v>
      </c>
    </row>
    <row r="11828">
      <c r="A11828" s="544" t="n">
        <v>45768</v>
      </c>
      <c r="B11828" s="538" t="n">
        <v>69.33</v>
      </c>
      <c r="C11828" s="538" t="n">
        <v>63.48</v>
      </c>
      <c r="D11828" s="538" t="n">
        <v>67.84999999999999</v>
      </c>
      <c r="E11828" s="538" t="n">
        <v>80.67</v>
      </c>
    </row>
    <row r="11829">
      <c r="A11829" s="544" t="n">
        <v>45769</v>
      </c>
      <c r="B11829" s="538" t="n">
        <v>68.93000000000001</v>
      </c>
      <c r="C11829" s="538" t="n">
        <v>64.59999999999999</v>
      </c>
      <c r="D11829" s="538" t="n">
        <v>68.84999999999999</v>
      </c>
      <c r="E11829" s="538" t="n">
        <v>80.93000000000001</v>
      </c>
    </row>
    <row r="11830">
      <c r="A11830" s="544" t="n">
        <v>45770</v>
      </c>
      <c r="B11830" s="538" t="n">
        <v>68.26000000000001</v>
      </c>
      <c r="C11830" s="538" t="n">
        <v>62.64</v>
      </c>
      <c r="D11830" s="538" t="n">
        <v>67.2</v>
      </c>
      <c r="E11830" s="538" t="n">
        <v>82.55</v>
      </c>
    </row>
    <row r="11831">
      <c r="A11831" s="544" t="n">
        <v>45771</v>
      </c>
      <c r="B11831" s="538" t="n">
        <v>67.5</v>
      </c>
      <c r="C11831" s="538" t="n">
        <v>63.55</v>
      </c>
      <c r="D11831" s="538" t="n">
        <v>67.04000000000001</v>
      </c>
      <c r="E11831" s="538" t="n">
        <v>81.08</v>
      </c>
    </row>
    <row r="11832">
      <c r="A11832" s="544" t="n">
        <v>45772</v>
      </c>
      <c r="B11832" s="538" t="n">
        <v>66.98999999999999</v>
      </c>
      <c r="C11832" s="538" t="n">
        <v>63.85</v>
      </c>
      <c r="D11832" s="538" t="n">
        <v>67.59</v>
      </c>
      <c r="E11832" s="538" t="n">
        <v>81.68000000000001</v>
      </c>
    </row>
    <row r="11833">
      <c r="A11833" s="544" t="n">
        <v>45775</v>
      </c>
      <c r="B11833" s="538" t="n">
        <v>66.13</v>
      </c>
      <c r="C11833" s="538" t="n">
        <v>63.3</v>
      </c>
      <c r="D11833" s="538" t="n">
        <v>66.40000000000001</v>
      </c>
      <c r="E11833" s="538" t="n">
        <v>81.63</v>
      </c>
    </row>
    <row r="11834">
      <c r="A11834" s="544" t="n">
        <v>45776</v>
      </c>
      <c r="B11834" s="538" t="n">
        <v>64.04000000000001</v>
      </c>
      <c r="C11834" s="538" t="n">
        <v>61.84</v>
      </c>
      <c r="D11834" s="538" t="n">
        <v>65.06999999999999</v>
      </c>
      <c r="E11834" s="538" t="n">
        <v>80.58</v>
      </c>
    </row>
    <row r="11835">
      <c r="A11835" s="544" t="n">
        <v>45777</v>
      </c>
      <c r="B11835" s="538" t="n">
        <v>63.37</v>
      </c>
      <c r="C11835" s="538" t="n">
        <v>59.55</v>
      </c>
      <c r="D11835" s="538" t="n">
        <v>61.23</v>
      </c>
      <c r="E11835" s="538" t="n">
        <v>78.28</v>
      </c>
    </row>
    <row r="11836">
      <c r="A11836" s="544" t="n">
        <v>45778</v>
      </c>
      <c r="B11836" s="538" t="n">
        <v>62.37</v>
      </c>
      <c r="C11836" s="538" t="n">
        <v>60.59</v>
      </c>
      <c r="D11836" s="538" t="n">
        <v>61.23</v>
      </c>
      <c r="E11836" s="538" t="n">
        <v>78.28</v>
      </c>
    </row>
    <row r="11837">
      <c r="A11837" s="544" t="n">
        <v>45779</v>
      </c>
      <c r="B11837" s="538" t="n">
        <v>61.57</v>
      </c>
      <c r="C11837" s="538" t="n">
        <v>59.67</v>
      </c>
      <c r="D11837" s="538" t="n">
        <v>61</v>
      </c>
      <c r="E11837" s="538" t="n">
        <v>77.70999999999999</v>
      </c>
    </row>
    <row r="11838">
      <c r="A11838" s="544" t="n">
        <v>45782</v>
      </c>
      <c r="B11838" s="538" t="n">
        <v>61.57</v>
      </c>
      <c r="C11838" s="538" t="n">
        <v>58.5</v>
      </c>
      <c r="D11838" s="538" t="n">
        <v>59.91</v>
      </c>
      <c r="E11838" s="538" t="n">
        <v>77.70999999999999</v>
      </c>
    </row>
    <row r="11839">
      <c r="A11839" s="544" t="n">
        <v>45783</v>
      </c>
      <c r="B11839" s="538" t="n">
        <v>62.37</v>
      </c>
      <c r="C11839" s="538" t="n">
        <v>60.42</v>
      </c>
      <c r="D11839" s="538" t="n">
        <v>62.32</v>
      </c>
      <c r="E11839" s="538" t="n">
        <v>77.05</v>
      </c>
    </row>
    <row r="11840">
      <c r="A11840" s="544" t="n">
        <v>45784</v>
      </c>
      <c r="B11840" s="538" t="n">
        <v>60.31</v>
      </c>
      <c r="C11840" s="538" t="n">
        <v>59.42</v>
      </c>
      <c r="D11840" s="538" t="n">
        <v>61.47</v>
      </c>
      <c r="E11840" s="538" t="n">
        <v>77.95</v>
      </c>
    </row>
    <row r="11841">
      <c r="A11841" s="544" t="n">
        <v>45785</v>
      </c>
      <c r="B11841" s="538" t="n">
        <v>62.22</v>
      </c>
      <c r="C11841" s="538" t="n">
        <v>61.25</v>
      </c>
      <c r="D11841" s="538" t="n">
        <v>63.43</v>
      </c>
      <c r="E11841" s="538" t="n">
        <v>76.31</v>
      </c>
    </row>
    <row r="11842">
      <c r="A11842" s="544" t="n">
        <v>45786</v>
      </c>
      <c r="B11842" s="538" t="n">
        <v>64.26000000000001</v>
      </c>
      <c r="C11842" s="538" t="n">
        <v>62.37</v>
      </c>
      <c r="D11842" s="538" t="n">
        <v>64.44</v>
      </c>
      <c r="E11842" s="538" t="n">
        <v>77.73</v>
      </c>
    </row>
    <row r="11843">
      <c r="A11843" s="544" t="n">
        <v>45789</v>
      </c>
      <c r="B11843" s="538" t="n">
        <v>65.28</v>
      </c>
      <c r="C11843" s="538" t="n">
        <v>63.32</v>
      </c>
      <c r="D11843" s="538" t="n">
        <v>64.44</v>
      </c>
      <c r="E11843" s="538" t="n">
        <v>77.73</v>
      </c>
    </row>
    <row r="11844">
      <c r="A11844" s="544" t="n">
        <v>45790</v>
      </c>
      <c r="B11844" s="538" t="n">
        <v>66.93000000000001</v>
      </c>
      <c r="C11844" s="538" t="n">
        <v>65.04000000000001</v>
      </c>
      <c r="D11844" s="538" t="n">
        <v>66.78</v>
      </c>
      <c r="E11844" s="538" t="n">
        <v>79.45</v>
      </c>
    </row>
    <row r="11845">
      <c r="A11845" s="544" t="n">
        <v>45791</v>
      </c>
      <c r="B11845" s="538" t="n">
        <v>65.91</v>
      </c>
      <c r="C11845" s="538" t="n">
        <v>64.48</v>
      </c>
      <c r="D11845" s="538" t="n">
        <v>65.88</v>
      </c>
      <c r="E11845" s="538" t="n">
        <v>80.88</v>
      </c>
    </row>
    <row r="11846">
      <c r="A11846" s="544" t="n">
        <v>45792</v>
      </c>
      <c r="B11846" s="538" t="n">
        <v>64.36</v>
      </c>
      <c r="C11846" s="538" t="n">
        <v>63.03</v>
      </c>
      <c r="D11846" s="538" t="n">
        <v>64.23</v>
      </c>
      <c r="E11846" s="538" t="n">
        <v>79.28</v>
      </c>
    </row>
    <row r="11847">
      <c r="A11847" s="544" t="n">
        <v>45793</v>
      </c>
      <c r="B11847" s="538" t="n">
        <v>65.2</v>
      </c>
      <c r="C11847" s="538" t="n">
        <v>63.84</v>
      </c>
      <c r="D11847" s="538" t="n">
        <v>64.92</v>
      </c>
      <c r="E11847" s="538" t="n">
        <v>79.04000000000001</v>
      </c>
    </row>
    <row r="11848">
      <c r="A11848" s="544" t="n">
        <v>45796</v>
      </c>
      <c r="B11848" s="538" t="n">
        <v>66.25</v>
      </c>
      <c r="C11848" s="538" t="n">
        <v>63.98</v>
      </c>
      <c r="D11848" s="538" t="n">
        <v>64.97</v>
      </c>
      <c r="E11848" s="538" t="n">
        <v>79.04000000000001</v>
      </c>
    </row>
    <row r="11849">
      <c r="A11849" s="544" t="n">
        <v>45797</v>
      </c>
      <c r="B11849" s="538" t="n">
        <v>66.93000000000001</v>
      </c>
      <c r="C11849" s="538" t="n">
        <v>63.97</v>
      </c>
      <c r="D11849" s="538" t="n">
        <v>65.02</v>
      </c>
      <c r="E11849" s="538" t="n">
        <v>78.78</v>
      </c>
    </row>
    <row r="11850">
      <c r="A11850" s="544" t="n">
        <v>45798</v>
      </c>
      <c r="B11850" s="538" t="n">
        <v>65.86</v>
      </c>
      <c r="C11850" s="538" t="n">
        <v>62.93</v>
      </c>
      <c r="D11850" s="538" t="n">
        <v>64.53</v>
      </c>
      <c r="E11850" s="538" t="n">
        <v>78.78</v>
      </c>
    </row>
    <row r="11851">
      <c r="A11851" s="544" t="n">
        <v>45799</v>
      </c>
      <c r="B11851" s="538" t="n">
        <v>64.87</v>
      </c>
      <c r="C11851" s="538" t="n">
        <v>62.55</v>
      </c>
      <c r="D11851" s="538" t="n">
        <v>63.81</v>
      </c>
      <c r="E11851" s="538" t="n">
        <v>78.78</v>
      </c>
    </row>
    <row r="11852">
      <c r="A11852" s="544" t="n">
        <v>45800</v>
      </c>
      <c r="B11852" s="538" t="n">
        <v>65.41</v>
      </c>
      <c r="C11852" s="538" t="n">
        <v>62.89</v>
      </c>
      <c r="D11852" s="538" t="n">
        <v>63.89</v>
      </c>
      <c r="E11852" s="538" t="n">
        <v>77.33</v>
      </c>
    </row>
    <row r="11853">
      <c r="A11853" s="544" t="n">
        <v>45803</v>
      </c>
      <c r="B11853" s="538" t="n">
        <v>65.41</v>
      </c>
      <c r="C11853" s="538" t="n">
        <v>62.89</v>
      </c>
      <c r="D11853" s="538" t="n">
        <v>63.77</v>
      </c>
      <c r="E11853" s="538" t="n">
        <v>78.09</v>
      </c>
    </row>
    <row r="11854">
      <c r="A11854" s="544" t="n">
        <v>45804</v>
      </c>
      <c r="B11854" s="538" t="n">
        <v>64.31999999999999</v>
      </c>
      <c r="C11854" s="538" t="n">
        <v>61.61</v>
      </c>
      <c r="D11854" s="538" t="n">
        <v>63.28</v>
      </c>
      <c r="E11854" s="538" t="n">
        <v>77.90000000000001</v>
      </c>
    </row>
    <row r="11855">
      <c r="A11855" s="544" t="n">
        <v>45805</v>
      </c>
      <c r="B11855" s="538" t="n">
        <v>65.72</v>
      </c>
      <c r="C11855" s="538" t="n">
        <v>62.54</v>
      </c>
      <c r="D11855" s="538" t="n">
        <v>64.19</v>
      </c>
      <c r="E11855" s="538" t="n">
        <v>77.89</v>
      </c>
    </row>
    <row r="11856">
      <c r="A11856" s="544" t="n">
        <v>45806</v>
      </c>
      <c r="B11856" s="538" t="n">
        <v>64.59999999999999</v>
      </c>
      <c r="C11856" s="538" t="n">
        <v>61.66</v>
      </c>
      <c r="D11856" s="538" t="n">
        <v>63.22</v>
      </c>
      <c r="E11856" s="538" t="n">
        <v>79.40000000000001</v>
      </c>
    </row>
    <row r="11857">
      <c r="A11857" s="544" t="n">
        <v>45807</v>
      </c>
      <c r="B11857" s="538" t="n">
        <v>64.31999999999999</v>
      </c>
      <c r="C11857" s="538" t="n">
        <v>61.46</v>
      </c>
      <c r="D11857" s="538" t="n">
        <v>62.5</v>
      </c>
      <c r="E11857" s="538" t="n">
        <v>77.37</v>
      </c>
    </row>
    <row r="11858">
      <c r="A11858" s="544" t="n">
        <v>45810</v>
      </c>
      <c r="B11858" s="538" t="n">
        <v>66.55</v>
      </c>
      <c r="C11858" s="538" t="n">
        <v>63.27</v>
      </c>
      <c r="D11858" s="538" t="n">
        <v>63.96</v>
      </c>
      <c r="E11858" s="538" t="n">
        <v>78.20999999999999</v>
      </c>
    </row>
    <row r="11859">
      <c r="A11859" s="544" t="n">
        <v>45811</v>
      </c>
      <c r="B11859" s="538" t="n">
        <v>67.48</v>
      </c>
      <c r="C11859" s="538" t="n">
        <v>64.09999999999999</v>
      </c>
      <c r="D11859" s="538" t="n">
        <v>64.94</v>
      </c>
      <c r="E11859" s="538" t="n">
        <v>78.51000000000001</v>
      </c>
    </row>
    <row r="11860">
      <c r="A11860" s="544" t="n">
        <v>45812</v>
      </c>
      <c r="B11860" s="538" t="n">
        <v>66.69</v>
      </c>
      <c r="C11860" s="538" t="n">
        <v>63.57</v>
      </c>
      <c r="D11860" s="538" t="n">
        <v>64.02</v>
      </c>
      <c r="E11860" s="538" t="n">
        <v>79.34</v>
      </c>
    </row>
    <row r="11861">
      <c r="A11861" s="544" t="n">
        <v>45813</v>
      </c>
      <c r="B11861" s="538" t="n">
        <v>67.14</v>
      </c>
      <c r="C11861" s="538" t="n">
        <v>64.06</v>
      </c>
      <c r="D11861" s="538" t="n">
        <v>64.64</v>
      </c>
      <c r="E11861" s="538" t="n">
        <v>78.34</v>
      </c>
    </row>
    <row r="11862">
      <c r="A11862" s="544" t="n">
        <v>45814</v>
      </c>
      <c r="B11862" s="538" t="n">
        <v>68.02</v>
      </c>
      <c r="C11862" s="538" t="n">
        <v>65.3</v>
      </c>
      <c r="D11862" s="538" t="n">
        <v>65.87</v>
      </c>
      <c r="E11862" s="538" t="n">
        <v>78.98999999999999</v>
      </c>
    </row>
    <row r="11863">
      <c r="A11863" s="544" t="n">
        <v>45817</v>
      </c>
      <c r="B11863" s="538" t="n">
        <v>68.73</v>
      </c>
      <c r="C11863" s="538" t="n">
        <v>65.98999999999999</v>
      </c>
      <c r="D11863" s="538" t="n">
        <v>66.55</v>
      </c>
      <c r="E11863" s="538" t="n">
        <v>80.41</v>
      </c>
    </row>
    <row r="11864">
      <c r="A11864" s="544" t="n">
        <v>45818</v>
      </c>
      <c r="B11864" s="538" t="n">
        <v>68.41</v>
      </c>
      <c r="C11864" s="538" t="n">
        <v>65.66</v>
      </c>
      <c r="D11864" s="538" t="n">
        <v>66.5</v>
      </c>
      <c r="E11864" s="538" t="n">
        <v>80.79000000000001</v>
      </c>
    </row>
    <row r="11865">
      <c r="A11865" s="544" t="n">
        <v>45819</v>
      </c>
      <c r="B11865" s="538" t="n">
        <v>71.29000000000001</v>
      </c>
      <c r="C11865" s="538" t="n">
        <v>68.91</v>
      </c>
      <c r="D11865" s="538" t="n">
        <v>69.34</v>
      </c>
      <c r="E11865" s="538" t="n">
        <v>80.43000000000001</v>
      </c>
    </row>
    <row r="11866">
      <c r="A11866" s="544" t="n">
        <v>45820</v>
      </c>
      <c r="B11866" s="538" t="n">
        <v>70.84</v>
      </c>
      <c r="C11866" s="538" t="n">
        <v>68.73</v>
      </c>
      <c r="D11866" s="538" t="n">
        <v>68.87</v>
      </c>
      <c r="E11866" s="538" t="n">
        <v>82.51000000000001</v>
      </c>
    </row>
    <row r="11867">
      <c r="A11867" s="544" t="n">
        <v>45821</v>
      </c>
      <c r="B11867" s="538" t="n">
        <v>76</v>
      </c>
      <c r="C11867" s="538" t="n">
        <v>73.84</v>
      </c>
      <c r="D11867" s="538" t="n">
        <v>73.23999999999999</v>
      </c>
      <c r="E11867" s="538" t="n">
        <v>86.09</v>
      </c>
    </row>
    <row r="11868">
      <c r="A11868" s="544" t="n">
        <v>45824</v>
      </c>
      <c r="B11868" s="538" t="n">
        <v>75.05</v>
      </c>
      <c r="C11868" s="538" t="n">
        <v>72.53</v>
      </c>
      <c r="D11868" s="538" t="n">
        <v>72.15000000000001</v>
      </c>
      <c r="E11868" s="538" t="n">
        <v>88.40000000000001</v>
      </c>
    </row>
    <row r="11869">
      <c r="A11869" s="544" t="n">
        <v>45825</v>
      </c>
      <c r="B11869" s="538" t="n">
        <v>78.7</v>
      </c>
      <c r="C11869" s="538" t="n">
        <v>75.62</v>
      </c>
      <c r="D11869" s="538" t="n">
        <v>75.51000000000001</v>
      </c>
      <c r="E11869" s="538" t="n">
        <v>89.34999999999999</v>
      </c>
    </row>
    <row r="11870">
      <c r="A11870" s="544" t="n">
        <v>45826</v>
      </c>
      <c r="B11870" s="538" t="n">
        <v>78.38</v>
      </c>
      <c r="C11870" s="538" t="n">
        <v>75.89</v>
      </c>
      <c r="D11870" s="538" t="n">
        <v>76.12</v>
      </c>
      <c r="E11870" s="538" t="n">
        <v>92.03</v>
      </c>
    </row>
    <row r="11871">
      <c r="A11871" s="544" t="n">
        <v>45827</v>
      </c>
      <c r="B11871" s="538" t="n">
        <v>80.37</v>
      </c>
      <c r="C11871" s="538" t="n">
        <v>75.89</v>
      </c>
      <c r="D11871" s="538" t="n">
        <v>78.25</v>
      </c>
      <c r="E11871" s="538" t="n">
        <v>95.16</v>
      </c>
    </row>
    <row r="11872">
      <c r="A11872" s="544" t="n">
        <v>45828</v>
      </c>
      <c r="B11872" s="538" t="n">
        <v>78.73</v>
      </c>
      <c r="C11872" s="538" t="n">
        <v>75.72</v>
      </c>
      <c r="D11872" s="538" t="n">
        <v>76.61</v>
      </c>
      <c r="E11872" s="538" t="n">
        <v>94.97</v>
      </c>
    </row>
    <row r="11873">
      <c r="A11873" s="544" t="n">
        <v>45831</v>
      </c>
      <c r="B11873" s="538" t="n">
        <v>74.34</v>
      </c>
      <c r="C11873" s="538" t="n">
        <v>69.36</v>
      </c>
      <c r="D11873" s="538" t="n">
        <v>71.36</v>
      </c>
      <c r="E11873" s="538" t="n">
        <v>92.13</v>
      </c>
    </row>
    <row r="11874">
      <c r="A11874" s="544" t="n">
        <v>45832</v>
      </c>
      <c r="B11874" s="538" t="n">
        <v>69.13</v>
      </c>
      <c r="C11874" s="538" t="n">
        <v>65.45</v>
      </c>
      <c r="D11874" s="538" t="n">
        <v>67.31</v>
      </c>
      <c r="E11874" s="538" t="n">
        <v>84.16</v>
      </c>
    </row>
    <row r="11875">
      <c r="A11875" s="544" t="n">
        <v>45833</v>
      </c>
      <c r="B11875" s="538" t="n">
        <v>68.40000000000001</v>
      </c>
      <c r="C11875" s="538" t="n">
        <v>65.98</v>
      </c>
      <c r="D11875" s="538" t="n">
        <v>67.5</v>
      </c>
      <c r="E11875" s="538" t="n">
        <v>84.16</v>
      </c>
    </row>
    <row r="11876">
      <c r="A11876" s="544" t="n">
        <v>45834</v>
      </c>
      <c r="B11876" s="538" t="n">
        <v>68.56999999999999</v>
      </c>
      <c r="C11876" s="538" t="n">
        <v>66.44</v>
      </c>
      <c r="D11876" s="538" t="n">
        <v>67.63</v>
      </c>
      <c r="E11876" s="538" t="n">
        <v>84.39</v>
      </c>
    </row>
    <row r="11877">
      <c r="A11877" s="544" t="n">
        <v>45835</v>
      </c>
      <c r="B11877" s="538" t="n">
        <v>69.37</v>
      </c>
      <c r="C11877" s="538" t="n">
        <v>66.66</v>
      </c>
      <c r="D11877" s="538" t="n">
        <v>68.11</v>
      </c>
      <c r="E11877" s="538" t="n">
        <v>85.39</v>
      </c>
    </row>
    <row r="11878">
      <c r="A11878" s="544" t="n">
        <v>45838</v>
      </c>
      <c r="B11878" s="538" t="n">
        <v>68.15000000000001</v>
      </c>
      <c r="C11878" s="538" t="n">
        <v>66.3</v>
      </c>
      <c r="D11878" s="538" t="n">
        <v>68.29000000000001</v>
      </c>
      <c r="E11878" s="538" t="n">
        <v>84.43000000000001</v>
      </c>
    </row>
    <row r="11879">
      <c r="A11879" s="544" t="n">
        <v>45839</v>
      </c>
      <c r="B11879" s="538" t="n">
        <v>67.63</v>
      </c>
      <c r="C11879" s="538" t="n">
        <v>66.64</v>
      </c>
      <c r="D11879" s="538" t="n">
        <v>68.23</v>
      </c>
      <c r="E11879" s="538" t="n">
        <v>83.86</v>
      </c>
    </row>
    <row r="11880">
      <c r="A11880" s="544" t="n">
        <v>45840</v>
      </c>
      <c r="B11880" s="538" t="n">
        <v>70.8</v>
      </c>
      <c r="C11880" s="538" t="n">
        <v>68.66</v>
      </c>
      <c r="D11880" s="538" t="n">
        <v>69.65000000000001</v>
      </c>
      <c r="E11880" s="538" t="n">
        <v>84.88</v>
      </c>
    </row>
    <row r="11881">
      <c r="A11881" s="544" t="n">
        <v>45841</v>
      </c>
      <c r="B11881" s="538" t="n">
        <v>70.42</v>
      </c>
      <c r="C11881" s="538" t="n">
        <v>68.13</v>
      </c>
      <c r="D11881" s="538" t="n">
        <v>69.73999999999999</v>
      </c>
      <c r="E11881" s="538" t="n">
        <v>85.76000000000001</v>
      </c>
    </row>
    <row r="11882">
      <c r="A11882" s="544" t="n">
        <v>45842</v>
      </c>
      <c r="B11882" s="538" t="n">
        <v>71.03</v>
      </c>
      <c r="C11882" s="538" t="n">
        <v>68.13</v>
      </c>
      <c r="D11882" s="538" t="n">
        <v>69.27</v>
      </c>
      <c r="E11882" s="538" t="n">
        <v>85.47</v>
      </c>
    </row>
    <row r="11883">
      <c r="A11883" s="544" t="n">
        <v>45845</v>
      </c>
      <c r="B11883" s="538" t="n">
        <v>71.95</v>
      </c>
      <c r="C11883" s="538" t="n">
        <v>69.16</v>
      </c>
      <c r="D11883" s="538" t="n">
        <v>70.70999999999999</v>
      </c>
      <c r="E11883" s="538" t="n">
        <v>86.45</v>
      </c>
    </row>
    <row r="11884">
      <c r="A11884" s="544" t="n">
        <v>45846</v>
      </c>
      <c r="B11884" s="538" t="n">
        <v>72.5</v>
      </c>
      <c r="C11884" s="538" t="n">
        <v>69.55</v>
      </c>
      <c r="D11884" s="538" t="n">
        <v>70.98999999999999</v>
      </c>
      <c r="E11884" s="538" t="n">
        <v>86.39</v>
      </c>
    </row>
    <row r="11885">
      <c r="A11885" s="544" t="n">
        <v>45847</v>
      </c>
      <c r="B11885" s="538" t="n">
        <v>71.98</v>
      </c>
      <c r="C11885" s="538" t="n">
        <v>69.61</v>
      </c>
      <c r="D11885" s="538" t="n">
        <v>71.19</v>
      </c>
      <c r="E11885" s="538" t="n">
        <v>90.56999999999999</v>
      </c>
    </row>
    <row r="11886">
      <c r="A11886" s="544" t="n">
        <v>45848</v>
      </c>
      <c r="B11886" s="538" t="n">
        <v>70.38</v>
      </c>
      <c r="C11886" s="538" t="n">
        <v>67.78</v>
      </c>
      <c r="D11886" s="538" t="n">
        <v>69.83</v>
      </c>
      <c r="E11886" s="538" t="n">
        <v>87.06</v>
      </c>
    </row>
    <row r="11887">
      <c r="A11887" s="544" t="n">
        <v>45849</v>
      </c>
      <c r="B11887" s="538" t="n">
        <v>72.06</v>
      </c>
      <c r="C11887" s="538" t="n">
        <v>69.63</v>
      </c>
      <c r="D11887" s="538" t="n">
        <v>71.23</v>
      </c>
      <c r="E11887" s="538" t="n">
        <v>86.05</v>
      </c>
    </row>
    <row r="11888">
      <c r="A11888" s="544" t="n">
        <v>45852</v>
      </c>
      <c r="B11888" s="538" t="n">
        <v>70.95999999999999</v>
      </c>
      <c r="C11888" s="538" t="n">
        <v>68.19</v>
      </c>
      <c r="D11888" s="538" t="n">
        <v>70.48</v>
      </c>
      <c r="E11888" s="538" t="n">
        <v>88.73999999999999</v>
      </c>
    </row>
    <row r="11889">
      <c r="A11889" s="544" t="n">
        <v>45853</v>
      </c>
      <c r="B11889" s="538" t="n">
        <v>70.27</v>
      </c>
      <c r="C11889" s="538" t="n">
        <v>67.76000000000001</v>
      </c>
      <c r="D11889" s="538" t="n">
        <v>70.01000000000001</v>
      </c>
      <c r="E11889" s="538" t="n">
        <v>86.3</v>
      </c>
    </row>
    <row r="11890">
      <c r="A11890" s="544" t="n">
        <v>45854</v>
      </c>
      <c r="B11890" s="538" t="n">
        <v>69.67</v>
      </c>
      <c r="C11890" s="538" t="n">
        <v>67.13</v>
      </c>
      <c r="D11890" s="538" t="n">
        <v>69.28</v>
      </c>
      <c r="E11890" s="538" t="n">
        <v>86.47</v>
      </c>
    </row>
    <row r="11891">
      <c r="A11891" s="544" t="n">
        <v>45855</v>
      </c>
      <c r="B11891" s="538" t="n">
        <v>71.31999999999999</v>
      </c>
      <c r="C11891" s="538" t="n">
        <v>68.76000000000001</v>
      </c>
      <c r="D11891" s="538" t="n">
        <v>70.73999999999999</v>
      </c>
      <c r="E11891" s="538" t="n">
        <v>86.45</v>
      </c>
    </row>
    <row r="11892">
      <c r="A11892" s="544" t="n">
        <v>45856</v>
      </c>
      <c r="B11892" s="538" t="n">
        <v>71.06</v>
      </c>
      <c r="C11892" s="538" t="n">
        <v>68.53</v>
      </c>
      <c r="D11892" s="538" t="n">
        <v>70.73</v>
      </c>
      <c r="E11892" s="538" t="n">
        <v>89.45999999999999</v>
      </c>
    </row>
    <row r="11893">
      <c r="A11893" s="544" t="n">
        <v>45859</v>
      </c>
      <c r="B11893" s="538" t="n">
        <v>71.92</v>
      </c>
      <c r="C11893" s="538" t="n">
        <v>68.39</v>
      </c>
      <c r="D11893" s="538" t="n">
        <v>70.89</v>
      </c>
      <c r="E11893" s="538" t="n">
        <v>87.64</v>
      </c>
    </row>
    <row r="11894">
      <c r="A11894" s="544" t="n">
        <v>45860</v>
      </c>
      <c r="B11894" s="538" t="n">
        <v>69.69</v>
      </c>
      <c r="C11894" s="538" t="n">
        <v>67.56</v>
      </c>
      <c r="D11894" s="538" t="n">
        <v>70.58</v>
      </c>
      <c r="E11894" s="538" t="n">
        <v>88.40000000000001</v>
      </c>
    </row>
    <row r="11895">
      <c r="A11895" s="544" t="n">
        <v>45861</v>
      </c>
      <c r="B11895" s="538" t="n">
        <v>69.17</v>
      </c>
      <c r="C11895" s="538" t="n">
        <v>66.05</v>
      </c>
      <c r="D11895" s="538" t="n">
        <v>70.72</v>
      </c>
      <c r="E11895" s="538" t="n">
        <v>87.37</v>
      </c>
    </row>
    <row r="11896">
      <c r="A11896" s="544" t="n">
        <v>45862</v>
      </c>
      <c r="B11896" s="538" t="n">
        <v>70.42</v>
      </c>
      <c r="C11896" s="538" t="n">
        <v>67.16</v>
      </c>
      <c r="D11896" s="538" t="n">
        <v>71.54000000000001</v>
      </c>
      <c r="E11896" s="538" t="n">
        <v>88.06999999999999</v>
      </c>
    </row>
    <row r="11897">
      <c r="A11897" s="544" t="n">
        <v>45863</v>
      </c>
      <c r="B11897" s="538" t="n">
        <v>69.23</v>
      </c>
      <c r="C11897" s="538" t="n">
        <v>66.38</v>
      </c>
      <c r="D11897" s="538" t="n">
        <v>70.77</v>
      </c>
      <c r="E11897" s="538" t="n">
        <v>87.5</v>
      </c>
    </row>
    <row r="11898">
      <c r="A11898" s="544" t="n">
        <v>45866</v>
      </c>
      <c r="B11898" s="538" t="n">
        <v>70.87</v>
      </c>
      <c r="C11898" s="538" t="n">
        <v>67.81</v>
      </c>
      <c r="D11898" s="538" t="n">
        <v>72.54000000000001</v>
      </c>
      <c r="E11898" s="538" t="n">
        <v>86.81999999999999</v>
      </c>
    </row>
    <row r="11899">
      <c r="A11899" s="544" t="n">
        <v>45867</v>
      </c>
      <c r="B11899" s="538" t="n">
        <v>73.20999999999999</v>
      </c>
      <c r="C11899" s="538" t="n">
        <v>70.27</v>
      </c>
      <c r="D11899" s="538" t="n">
        <v>72.81999999999999</v>
      </c>
      <c r="E11899" s="538" t="n">
        <v>88.04000000000001</v>
      </c>
    </row>
    <row r="11900">
      <c r="A11900" s="544" t="n">
        <v>45868</v>
      </c>
      <c r="B11900" s="538" t="n">
        <v>73.98</v>
      </c>
      <c r="C11900" s="538" t="n">
        <v>71.09</v>
      </c>
      <c r="D11900" s="538" t="n">
        <v>75.97</v>
      </c>
      <c r="E11900" s="538" t="n">
        <v>89.34999999999999</v>
      </c>
    </row>
    <row r="11901">
      <c r="A11901" s="544" t="n">
        <v>45869</v>
      </c>
      <c r="B11901" s="538" t="n">
        <v>73.43000000000001</v>
      </c>
      <c r="C11901" s="538" t="n">
        <v>70.36</v>
      </c>
      <c r="D11901" s="538" t="n">
        <v>75.36</v>
      </c>
      <c r="E11901" s="538" t="n">
        <v>89.91</v>
      </c>
    </row>
    <row r="11902">
      <c r="A11902" s="544" t="n">
        <v>45870</v>
      </c>
      <c r="B11902" s="538" t="n">
        <v>70.55</v>
      </c>
      <c r="C11902" s="538" t="n">
        <v>68.39</v>
      </c>
      <c r="D11902" s="538" t="n">
        <v>71.23</v>
      </c>
      <c r="E11902" s="538" t="n">
        <v>88.91</v>
      </c>
    </row>
    <row r="11903">
      <c r="A11903" s="544" t="n">
        <v>45873</v>
      </c>
      <c r="B11903" s="538" t="n">
        <v>69.56</v>
      </c>
      <c r="C11903" s="538" t="n">
        <v>67.33</v>
      </c>
      <c r="D11903" s="538" t="n">
        <v>70.26000000000001</v>
      </c>
      <c r="E11903" s="538" t="n">
        <v>86.5</v>
      </c>
    </row>
    <row r="11904">
      <c r="A11904" s="544" t="n">
        <v>45874</v>
      </c>
      <c r="B11904" s="538" t="n">
        <v>69.14</v>
      </c>
      <c r="C11904" s="538" t="n">
        <v>66.2</v>
      </c>
      <c r="D11904" s="538" t="n">
        <v>69.18000000000001</v>
      </c>
      <c r="E11904" s="538" t="n">
        <v>86.75</v>
      </c>
    </row>
    <row r="11905">
      <c r="A11905" s="544" t="n">
        <v>45875</v>
      </c>
      <c r="B11905" s="538" t="n">
        <v>67.97</v>
      </c>
      <c r="C11905" s="538" t="n">
        <v>65.38</v>
      </c>
      <c r="D11905" s="538" t="n">
        <v>68.83</v>
      </c>
      <c r="E11905" s="538" t="n">
        <v>85.97</v>
      </c>
    </row>
    <row r="11906">
      <c r="A11906" s="544" t="n">
        <v>45876</v>
      </c>
      <c r="B11906" s="538" t="n">
        <v>66.98999999999999</v>
      </c>
      <c r="C11906" s="538" t="n">
        <v>64.90000000000001</v>
      </c>
      <c r="D11906" s="538" t="n">
        <v>68.63</v>
      </c>
      <c r="E11906" s="538" t="n">
        <v>84.81999999999999</v>
      </c>
    </row>
    <row r="11907">
      <c r="A11907" s="544" t="n">
        <v>45877</v>
      </c>
      <c r="B11907" s="538" t="n">
        <v>67.17</v>
      </c>
      <c r="C11907" s="538" t="n">
        <v>64.94</v>
      </c>
      <c r="D11907" s="538" t="n">
        <v>68.3</v>
      </c>
      <c r="E11907" s="538" t="n">
        <v>84.18000000000001</v>
      </c>
    </row>
    <row r="11908">
      <c r="A11908" s="544" t="n">
        <v>45880</v>
      </c>
      <c r="B11908" s="538" t="n">
        <v>67.36</v>
      </c>
      <c r="C11908" s="538" t="n">
        <v>65.03</v>
      </c>
      <c r="D11908" s="538" t="n">
        <v>68.48</v>
      </c>
      <c r="E11908" s="538" t="n">
        <v>83.36</v>
      </c>
    </row>
    <row r="11909">
      <c r="A11909" s="544" t="n">
        <v>45881</v>
      </c>
      <c r="B11909" s="538" t="n">
        <v>66.8</v>
      </c>
      <c r="C11909" s="538" t="n">
        <v>64.22</v>
      </c>
      <c r="D11909" s="538" t="n">
        <v>67.92</v>
      </c>
      <c r="E11909" s="538" t="n">
        <v>84.81</v>
      </c>
    </row>
    <row r="11910">
      <c r="A11910" s="544" t="n">
        <v>45882</v>
      </c>
      <c r="B11910" s="538" t="n">
        <v>66.25</v>
      </c>
      <c r="C11910" s="538" t="n">
        <v>63.68</v>
      </c>
      <c r="D11910" s="538" t="n">
        <v>67.37</v>
      </c>
      <c r="E11910" s="538" t="n">
        <v>82.95999999999999</v>
      </c>
    </row>
    <row r="11911">
      <c r="A11911" s="544" t="n">
        <v>45883</v>
      </c>
      <c r="B11911" s="538" t="n">
        <v>68.12</v>
      </c>
      <c r="C11911" s="538" t="n">
        <v>64.98999999999999</v>
      </c>
      <c r="D11911" s="538" t="n">
        <v>68.63</v>
      </c>
      <c r="E11911" s="538" t="n">
        <v>82.89</v>
      </c>
    </row>
    <row r="11912">
      <c r="A11912" s="544" t="n">
        <v>45884</v>
      </c>
      <c r="B11912" s="538" t="n">
        <v>67.3</v>
      </c>
      <c r="C11912" s="538" t="n">
        <v>63.78</v>
      </c>
      <c r="D11912" s="538" t="n">
        <v>67.7</v>
      </c>
      <c r="E11912" s="538" t="n">
        <v>82.44</v>
      </c>
    </row>
    <row r="11913">
      <c r="A11913" s="544" t="n">
        <v>45887</v>
      </c>
      <c r="B11913" s="538" t="n">
        <v>68.18000000000001</v>
      </c>
      <c r="C11913" s="538" t="n">
        <v>64.51000000000001</v>
      </c>
      <c r="D11913" s="538" t="n">
        <v>68.53</v>
      </c>
      <c r="E11913" s="538" t="n">
        <v>82.01000000000001</v>
      </c>
    </row>
    <row r="11914">
      <c r="A11914" s="544" t="n">
        <v>45888</v>
      </c>
      <c r="B11914" s="538" t="n">
        <v>66.62</v>
      </c>
      <c r="C11914" s="538" t="n">
        <v>63.38</v>
      </c>
      <c r="D11914" s="538" t="n">
        <v>67.88</v>
      </c>
      <c r="E11914" s="538" t="n">
        <v>82.44</v>
      </c>
    </row>
    <row r="11915">
      <c r="A11915" s="544" t="n">
        <v>45889</v>
      </c>
      <c r="B11915" s="538" t="n">
        <v>67.61</v>
      </c>
      <c r="C11915" s="538" t="n">
        <v>64.19</v>
      </c>
      <c r="D11915" s="538" t="n">
        <v>69.25</v>
      </c>
      <c r="E11915" s="538" t="n">
        <v>83.65000000000001</v>
      </c>
    </row>
    <row r="11916">
      <c r="A11916" s="544" t="n">
        <v>45890</v>
      </c>
      <c r="B11916" s="538" t="n">
        <v>68.41</v>
      </c>
      <c r="C11916" s="538" t="n">
        <v>64.56</v>
      </c>
      <c r="D11916" s="538" t="n">
        <v>70.25</v>
      </c>
      <c r="E11916" s="538" t="n">
        <v>84.03</v>
      </c>
    </row>
    <row r="11917">
      <c r="A11917" s="544" t="n">
        <v>45891</v>
      </c>
      <c r="B11917" s="538" t="n">
        <v>68.29000000000001</v>
      </c>
      <c r="C11917" s="538" t="n">
        <v>64.08</v>
      </c>
      <c r="D11917" s="538" t="n">
        <v>70.44</v>
      </c>
      <c r="E11917" s="538" t="n">
        <v>85.15000000000001</v>
      </c>
    </row>
    <row r="11918">
      <c r="A11918" s="544" t="n">
        <v>45894</v>
      </c>
      <c r="B11918" s="538" t="n">
        <v>68.29000000000001</v>
      </c>
      <c r="C11918" s="538" t="n">
        <v>65.18000000000001</v>
      </c>
      <c r="D11918" s="538" t="n">
        <v>71.27</v>
      </c>
      <c r="E11918" s="538" t="n">
        <v>85.34999999999999</v>
      </c>
    </row>
    <row r="11919">
      <c r="A11919" s="544" t="n">
        <v>45895</v>
      </c>
      <c r="B11919" s="538" t="n">
        <v>66.89</v>
      </c>
      <c r="C11919" s="538" t="n">
        <v>63.6</v>
      </c>
      <c r="D11919" s="538" t="n">
        <v>69.73</v>
      </c>
      <c r="E11919" s="538" t="n">
        <v>85.36</v>
      </c>
    </row>
    <row r="11920">
      <c r="A11920" s="544" t="n">
        <v>45896</v>
      </c>
      <c r="B11920" s="538" t="n">
        <v>67.75</v>
      </c>
      <c r="C11920" s="538" t="n">
        <v>64.48999999999999</v>
      </c>
      <c r="D11920" s="538" t="n">
        <v>70.42</v>
      </c>
      <c r="E11920" s="538" t="n">
        <v>84.03</v>
      </c>
    </row>
    <row r="11921">
      <c r="A11921" s="544" t="n">
        <v>45897</v>
      </c>
      <c r="B11921" s="538" t="n">
        <v>68.61</v>
      </c>
      <c r="C11921" s="538" t="n">
        <v>64.95999999999999</v>
      </c>
      <c r="D11921" s="538" t="n">
        <v>69.95</v>
      </c>
      <c r="E11921" s="538" t="n">
        <v>84.04000000000001</v>
      </c>
    </row>
    <row r="11922">
      <c r="A11922" s="544" t="n">
        <v>45898</v>
      </c>
      <c r="B11922" s="538" t="n">
        <v>67.83</v>
      </c>
      <c r="C11922" s="538" t="n">
        <v>64.36</v>
      </c>
      <c r="D11922" s="538" t="n">
        <v>70.81</v>
      </c>
      <c r="E11922" s="538" t="n">
        <v>84.62</v>
      </c>
    </row>
    <row r="11923">
      <c r="A11923" s="544" t="n">
        <v>45901</v>
      </c>
      <c r="B11923" s="538" t="n">
        <v>67.09</v>
      </c>
      <c r="C11923" s="538" t="n">
        <v>64.36</v>
      </c>
      <c r="D11923" s="538" t="n">
        <v>70.86</v>
      </c>
      <c r="E11923" s="538" t="n">
        <v>84.53</v>
      </c>
    </row>
    <row r="11924">
      <c r="A11924" s="544" t="n">
        <v>45902</v>
      </c>
      <c r="B11924" s="538" t="n">
        <v>68.09</v>
      </c>
      <c r="C11924" s="538" t="n">
        <v>65.95</v>
      </c>
      <c r="D11924" s="538" t="n">
        <v>71.36</v>
      </c>
      <c r="E11924" s="538" t="n">
        <v>85.89</v>
      </c>
    </row>
    <row r="11925">
      <c r="A11925" s="544" t="n">
        <v>45903</v>
      </c>
      <c r="B11925" s="538" t="n">
        <v>67.76000000000001</v>
      </c>
      <c r="C11925" s="538" t="n">
        <v>64.36</v>
      </c>
      <c r="D11925" s="538" t="n">
        <v>69.86</v>
      </c>
      <c r="E11925" s="538" t="n">
        <v>85.89</v>
      </c>
    </row>
    <row r="11926">
      <c r="A11926" s="544" t="n">
        <v>45904</v>
      </c>
      <c r="B11926" s="538" t="n">
        <v>66.41</v>
      </c>
      <c r="C11926" s="538" t="n">
        <v>63.81</v>
      </c>
      <c r="D11926" s="538" t="n">
        <v>69.09</v>
      </c>
      <c r="E11926" s="538" t="n">
        <v>85.56999999999999</v>
      </c>
    </row>
    <row r="11927">
      <c r="A11927" s="544" t="n">
        <v>45905</v>
      </c>
      <c r="B11927" s="538" t="n">
        <v>64.92</v>
      </c>
      <c r="C11927" s="538" t="n">
        <v>62.22</v>
      </c>
      <c r="D11927" s="538" t="n">
        <v>67.73999999999999</v>
      </c>
      <c r="E11927" s="538" t="n">
        <v>85.5</v>
      </c>
    </row>
    <row r="11928">
      <c r="A11928" s="544" t="n">
        <v>45908</v>
      </c>
      <c r="B11928" s="538" t="n">
        <v>65.44</v>
      </c>
      <c r="C11928" s="538" t="n">
        <v>62.6</v>
      </c>
      <c r="D11928" s="538" t="n">
        <v>68.63</v>
      </c>
      <c r="E11928" s="538" t="n">
        <v>85.17</v>
      </c>
    </row>
    <row r="11929">
      <c r="A11929" s="544" t="n">
        <v>45909</v>
      </c>
      <c r="B11929" s="538" t="n">
        <v>67.97</v>
      </c>
      <c r="C11929" s="538" t="n">
        <v>62.97</v>
      </c>
      <c r="D11929" s="538" t="n">
        <v>69.25</v>
      </c>
      <c r="E11929" s="538" t="n">
        <v>86.05</v>
      </c>
    </row>
    <row r="11930">
      <c r="A11930" s="544" t="n">
        <v>45910</v>
      </c>
      <c r="B11930" s="538" t="n">
        <v>67.62</v>
      </c>
      <c r="C11930" s="538" t="n">
        <v>64.01000000000001</v>
      </c>
      <c r="D11930" s="538" t="n">
        <v>70.79000000000001</v>
      </c>
      <c r="E11930" s="538" t="n">
        <v>85.91</v>
      </c>
    </row>
    <row r="11931">
      <c r="A11931" s="544" t="n">
        <v>45911</v>
      </c>
      <c r="B11931" s="538" t="n">
        <v>67.25</v>
      </c>
      <c r="C11931" s="538" t="n">
        <v>62.71</v>
      </c>
      <c r="D11931" s="538" t="n">
        <v>69.43000000000001</v>
      </c>
      <c r="E11931" s="538" t="n">
        <v>86.47</v>
      </c>
    </row>
    <row r="11932">
      <c r="A11932" s="544" t="n">
        <v>45912</v>
      </c>
      <c r="B11932" s="538" t="n">
        <v>67.87</v>
      </c>
      <c r="C11932" s="538" t="n">
        <v>63.02</v>
      </c>
      <c r="D11932" s="538" t="n">
        <v>70.59</v>
      </c>
      <c r="E11932" s="538" t="n">
        <v>86.47</v>
      </c>
    </row>
    <row r="11933">
      <c r="A11933" s="544" t="n">
        <v>45915</v>
      </c>
      <c r="B11933" s="538" t="n">
        <v>67.88</v>
      </c>
      <c r="C11933" s="538" t="n">
        <v>63.66</v>
      </c>
      <c r="D11933" s="538" t="n">
        <v>71.01000000000001</v>
      </c>
      <c r="E11933" s="538" t="n">
        <v>86.20999999999999</v>
      </c>
    </row>
    <row r="11934">
      <c r="A11934" s="544" t="n">
        <v>45916</v>
      </c>
      <c r="B11934" s="538" t="n">
        <v>69.69</v>
      </c>
      <c r="C11934" s="538" t="n">
        <v>64.89</v>
      </c>
      <c r="D11934" s="538" t="n">
        <v>71.58</v>
      </c>
      <c r="E11934" s="538" t="n">
        <v>86.2</v>
      </c>
    </row>
    <row r="11935">
      <c r="A11935" s="544" t="n">
        <v>45917</v>
      </c>
      <c r="B11935" s="538" t="n">
        <v>69.19</v>
      </c>
      <c r="C11935" s="538" t="n">
        <v>64.41</v>
      </c>
      <c r="D11935" s="538" t="n">
        <v>70.70999999999999</v>
      </c>
      <c r="E11935" s="538" t="n">
        <v>86.2</v>
      </c>
    </row>
    <row r="11936">
      <c r="A11936" s="544" t="n">
        <v>45918</v>
      </c>
      <c r="B11936" s="538" t="n">
        <v>67.83</v>
      </c>
      <c r="C11936" s="538" t="n">
        <v>63.91</v>
      </c>
      <c r="D11936" s="538" t="n">
        <v>69.87</v>
      </c>
      <c r="E11936" s="538" t="n">
        <v>87.51000000000001</v>
      </c>
    </row>
    <row r="11937">
      <c r="A11937" s="544" t="n">
        <v>45919</v>
      </c>
      <c r="B11937" s="538" t="n">
        <v>67.05</v>
      </c>
      <c r="C11937" s="538" t="n">
        <v>63.02</v>
      </c>
      <c r="D11937" s="538" t="n">
        <v>68.81</v>
      </c>
      <c r="E11937" s="538" t="n">
        <v>87.03</v>
      </c>
    </row>
    <row r="11938">
      <c r="A11938" s="544" t="n">
        <v>45922</v>
      </c>
      <c r="B11938" s="538" t="n">
        <v>66.87</v>
      </c>
      <c r="C11938" s="538" t="n">
        <v>62.99</v>
      </c>
      <c r="D11938" s="538" t="n">
        <v>68.23999999999999</v>
      </c>
      <c r="E11938" s="538" t="n">
        <v>86.62</v>
      </c>
    </row>
    <row r="11939">
      <c r="A11939" s="544" t="n">
        <v>45923</v>
      </c>
      <c r="B11939" s="538" t="n">
        <v>67.95999999999999</v>
      </c>
      <c r="C11939" s="538" t="n">
        <v>63.76</v>
      </c>
      <c r="D11939" s="538" t="n">
        <v>69.86</v>
      </c>
      <c r="E11939" s="538" t="n">
        <v>86.41</v>
      </c>
    </row>
    <row r="11940">
      <c r="A11940" s="544" t="n">
        <v>45924</v>
      </c>
      <c r="B11940" s="538" t="n">
        <v>69.64</v>
      </c>
      <c r="C11940" s="538" t="n">
        <v>65.40000000000001</v>
      </c>
      <c r="D11940" s="538" t="n">
        <v>71.41</v>
      </c>
      <c r="E11940" s="538" t="n">
        <v>88.45999999999999</v>
      </c>
    </row>
    <row r="11941">
      <c r="A11941" s="544" t="n">
        <v>45925</v>
      </c>
      <c r="B11941" s="538" t="n">
        <v>70.48</v>
      </c>
      <c r="C11941" s="538" t="n">
        <v>65.51000000000001</v>
      </c>
      <c r="D11941" s="538" t="n">
        <v>71.27</v>
      </c>
      <c r="E11941" s="538" t="n">
        <v>89.25</v>
      </c>
    </row>
    <row r="11942">
      <c r="A11942" s="544" t="n">
        <v>45926</v>
      </c>
      <c r="B11942" s="538" t="n">
        <v>71.15000000000001</v>
      </c>
      <c r="C11942" s="538" t="n">
        <v>66.5</v>
      </c>
      <c r="D11942" s="538" t="n">
        <v>71.04000000000001</v>
      </c>
      <c r="E11942" s="538" t="n">
        <v>91.34</v>
      </c>
    </row>
    <row r="11943">
      <c r="A11943" s="544" t="n">
        <v>45929</v>
      </c>
      <c r="B11943" s="538" t="n">
        <v>69</v>
      </c>
      <c r="C11943" s="538" t="n">
        <v>64.27</v>
      </c>
      <c r="D11943" s="538" t="n">
        <v>69.5</v>
      </c>
      <c r="E11943" s="538" t="n">
        <v>90.40000000000001</v>
      </c>
    </row>
    <row r="11944">
      <c r="A11944" s="544" t="n">
        <v>45930</v>
      </c>
      <c r="B11944" s="538" t="n">
        <v>68.52</v>
      </c>
      <c r="C11944" s="538" t="n">
        <v>63.17</v>
      </c>
      <c r="D11944" s="538" t="n">
        <v>67.66</v>
      </c>
      <c r="E11944" s="538" t="n">
        <v>87.22</v>
      </c>
    </row>
    <row r="11945">
      <c r="A11945" s="544" t="n">
        <v>45931</v>
      </c>
      <c r="B11945" s="538" t="n">
        <v>66.67</v>
      </c>
      <c r="C11945" s="538" t="n">
        <v>62.59</v>
      </c>
      <c r="D11945" s="538" t="n">
        <v>65.48</v>
      </c>
      <c r="E11945" s="538" t="n">
        <v>88.09</v>
      </c>
    </row>
    <row r="11946">
      <c r="A11946" s="544" t="n">
        <v>45932</v>
      </c>
      <c r="B11946" s="538" t="n">
        <v>65.44</v>
      </c>
      <c r="C11946" s="538" t="n">
        <v>61.28</v>
      </c>
      <c r="D11946" s="538" t="n">
        <v>63.89</v>
      </c>
      <c r="E11946" s="538" t="n">
        <v>87.33</v>
      </c>
    </row>
    <row r="11947">
      <c r="A11947" s="544" t="n">
        <v>45933</v>
      </c>
      <c r="B11947" s="538" t="n">
        <v>66.13</v>
      </c>
      <c r="C11947" s="538" t="n">
        <v>61.65</v>
      </c>
      <c r="D11947" s="538" t="n">
        <v>64.5</v>
      </c>
      <c r="E11947" s="538" t="n">
        <v>85.75</v>
      </c>
    </row>
    <row r="11948">
      <c r="A11948" s="544" t="n">
        <v>45936</v>
      </c>
      <c r="B11948" s="538" t="n">
        <v>67.09</v>
      </c>
      <c r="C11948" s="538" t="n">
        <v>62.49</v>
      </c>
      <c r="D11948" s="538" t="n">
        <v>65.70999999999999</v>
      </c>
      <c r="E11948" s="538" t="n">
        <v>86.11</v>
      </c>
    </row>
    <row r="11949">
      <c r="A11949" s="544" t="n">
        <v>45937</v>
      </c>
      <c r="B11949" s="538" t="n">
        <v>67.09999999999999</v>
      </c>
      <c r="C11949" s="538" t="n">
        <v>62.52</v>
      </c>
      <c r="D11949" s="538" t="n">
        <v>64.98</v>
      </c>
      <c r="E11949" s="538" t="n">
        <v>86.19</v>
      </c>
    </row>
    <row r="11950">
      <c r="A11950" s="544" t="n">
        <v>45938</v>
      </c>
      <c r="B11950" s="538" t="n">
        <v>67.42</v>
      </c>
      <c r="C11950" s="538" t="n">
        <v>63.37</v>
      </c>
      <c r="D11950" s="538" t="n">
        <v>66.16</v>
      </c>
      <c r="E11950" s="538" t="n">
        <v>86.98</v>
      </c>
    </row>
    <row r="11951">
      <c r="A11951" s="544" t="n">
        <v>45939</v>
      </c>
      <c r="B11951" s="538" t="n">
        <v>67.23</v>
      </c>
      <c r="C11951" s="538" t="n">
        <v>62.36</v>
      </c>
      <c r="D11951" s="538" t="n">
        <v>65.27</v>
      </c>
      <c r="E11951" s="538" t="n">
        <v>87.66</v>
      </c>
    </row>
    <row r="11952">
      <c r="A11952" s="544" t="n">
        <v>45940</v>
      </c>
      <c r="B11952" s="538" t="n">
        <v>64.41</v>
      </c>
      <c r="C11952" s="538" t="n">
        <v>59.75</v>
      </c>
      <c r="D11952" s="538" t="n">
        <v>62.72</v>
      </c>
      <c r="E11952" s="538" t="n">
        <v>86.59</v>
      </c>
    </row>
    <row r="11953">
      <c r="A11953" s="544" t="n">
        <v>45943</v>
      </c>
      <c r="B11953" s="538" t="n">
        <v>64.15000000000001</v>
      </c>
      <c r="C11953" s="538" t="n">
        <v>59.75</v>
      </c>
      <c r="D11953" s="538" t="n">
        <v>63.59</v>
      </c>
      <c r="E11953" s="538" t="n">
        <v>85.63</v>
      </c>
    </row>
    <row r="11954">
      <c r="A11954" s="544" t="n">
        <v>45944</v>
      </c>
      <c r="B11954" s="538" t="n">
        <v>63</v>
      </c>
      <c r="C11954" s="538" t="n">
        <v>59.52</v>
      </c>
      <c r="D11954" s="538" t="n">
        <v>62.54</v>
      </c>
      <c r="E11954" s="538" t="n">
        <v>85.63</v>
      </c>
    </row>
    <row r="11955">
      <c r="A11955" s="544" t="n">
        <v>45945</v>
      </c>
      <c r="B11955" s="538" t="n">
        <v>62.33</v>
      </c>
      <c r="C11955" s="538" t="n">
        <v>59.08</v>
      </c>
      <c r="D11955" s="538" t="n">
        <v>61.95</v>
      </c>
      <c r="E11955" s="538" t="n">
        <v>84.81999999999999</v>
      </c>
    </row>
    <row r="11956">
      <c r="A11956" s="544" t="n">
        <v>45946</v>
      </c>
      <c r="B11956" s="538" t="n">
        <v>61.08</v>
      </c>
      <c r="C11956" s="538" t="n">
        <v>58.29</v>
      </c>
      <c r="D11956" s="538" t="n">
        <v>61.36</v>
      </c>
      <c r="E11956" s="538" t="n">
        <v>84.37</v>
      </c>
    </row>
    <row r="11957">
      <c r="A11957" s="544" t="n">
        <v>45947</v>
      </c>
      <c r="B11957" s="538" t="n">
        <v>61.23</v>
      </c>
      <c r="C11957" s="538" t="n">
        <v>58.3</v>
      </c>
      <c r="D11957" s="538" t="n">
        <v>61.59</v>
      </c>
      <c r="E11957" s="538" t="n">
        <v>83.31999999999999</v>
      </c>
    </row>
    <row r="11958">
      <c r="A11958" s="544" t="n">
        <v>45950</v>
      </c>
      <c r="B11958" s="538" t="n">
        <v>60.71</v>
      </c>
      <c r="C11958" s="538" t="n">
        <v>58.34</v>
      </c>
      <c r="D11958" s="538" t="n">
        <v>61.59</v>
      </c>
      <c r="E11958" s="538" t="n">
        <v>83.31999999999999</v>
      </c>
    </row>
    <row r="11959">
      <c r="A11959" s="544" t="n">
        <v>45951</v>
      </c>
      <c r="B11959" s="538" t="n">
        <v>61</v>
      </c>
      <c r="C11959" s="538" t="n">
        <v>58.66</v>
      </c>
      <c r="D11959" s="538" t="n">
        <v>61.72</v>
      </c>
      <c r="E11959" s="538" t="n">
        <v>84</v>
      </c>
    </row>
    <row r="11960">
      <c r="A11960" s="544" t="n">
        <v>45952</v>
      </c>
      <c r="B11960" s="538" t="n">
        <v>62.28</v>
      </c>
      <c r="C11960" s="538" t="n">
        <v>59.3</v>
      </c>
      <c r="D11960" s="538" t="n">
        <v>63.5</v>
      </c>
      <c r="E11960" s="538" t="n">
        <v>85.58</v>
      </c>
    </row>
    <row r="11961">
      <c r="A11961" s="544" t="n">
        <v>45953</v>
      </c>
      <c r="B11961" s="538" t="n">
        <v>66.31999999999999</v>
      </c>
      <c r="C11961" s="538" t="n">
        <v>62.44</v>
      </c>
      <c r="D11961" s="538" t="n">
        <v>67.83</v>
      </c>
      <c r="E11961" s="538" t="n">
        <v>89.39</v>
      </c>
    </row>
    <row r="11962">
      <c r="A11962" s="544" t="n">
        <v>45954</v>
      </c>
      <c r="B11962" s="538" t="n">
        <v>65.8</v>
      </c>
      <c r="C11962" s="538" t="n">
        <v>62.27</v>
      </c>
      <c r="D11962" s="538" t="n">
        <v>68.43000000000001</v>
      </c>
      <c r="E11962" s="538" t="n">
        <v>91.16</v>
      </c>
    </row>
    <row r="11963">
      <c r="A11963" s="544" t="n">
        <v>45957</v>
      </c>
      <c r="B11963" s="538" t="n">
        <v>65.52</v>
      </c>
      <c r="C11963" s="538" t="n">
        <v>62.13</v>
      </c>
      <c r="D11963" s="538" t="n">
        <v>67.55</v>
      </c>
      <c r="E11963" s="538" t="n">
        <v>91.3</v>
      </c>
    </row>
    <row r="11964">
      <c r="A11964" s="544" t="n">
        <v>45958</v>
      </c>
      <c r="B11964" s="538" t="n">
        <v>64.03</v>
      </c>
      <c r="C11964" s="538" t="n">
        <v>60.97</v>
      </c>
      <c r="D11964" s="538" t="n">
        <v>65.84</v>
      </c>
      <c r="E11964" s="538" t="n">
        <v>92.06</v>
      </c>
    </row>
    <row r="11965">
      <c r="A11965" s="544" t="n">
        <v>45959</v>
      </c>
      <c r="B11965" s="538" t="n">
        <v>65.01000000000001</v>
      </c>
      <c r="C11965" s="538" t="n">
        <v>61.26</v>
      </c>
      <c r="D11965" s="538" t="n">
        <v>66.51000000000001</v>
      </c>
      <c r="E11965" s="538" t="n">
        <v>90.06999999999999</v>
      </c>
    </row>
    <row r="11966">
      <c r="A11966" s="544" t="n">
        <v>45960</v>
      </c>
      <c r="B11966" s="538" t="n">
        <v>65.11</v>
      </c>
      <c r="C11966" s="538" t="n">
        <v>61.36</v>
      </c>
      <c r="D11966" s="538" t="n">
        <v>66.36</v>
      </c>
      <c r="E11966" s="538" t="n">
        <v>90.73</v>
      </c>
    </row>
    <row r="11967">
      <c r="A11967" s="544" t="n">
        <v>45961</v>
      </c>
      <c r="B11967" s="538" t="n">
        <v>65.44</v>
      </c>
      <c r="C11967" s="538" t="n">
        <v>61.75</v>
      </c>
      <c r="D11967" s="538" t="n">
        <v>67.31</v>
      </c>
      <c r="E11967" s="538" t="n">
        <v>91.48</v>
      </c>
    </row>
    <row r="11968">
      <c r="A11968" s="544" t="n">
        <v>45964</v>
      </c>
      <c r="B11968" s="538" t="n">
        <v>65.79000000000001</v>
      </c>
      <c r="C11968" s="538" t="n">
        <v>61.79</v>
      </c>
      <c r="D11968" s="538" t="n">
        <v>66.17</v>
      </c>
      <c r="E11968" s="538" t="n">
        <v>91.48</v>
      </c>
    </row>
    <row r="11969">
      <c r="A11969" s="544" t="n">
        <v>45965</v>
      </c>
      <c r="B11969" s="538" t="n">
        <v>65.04000000000001</v>
      </c>
      <c r="C11969" s="538" t="n">
        <v>61.38</v>
      </c>
      <c r="D11969" s="538" t="n">
        <v>65.73</v>
      </c>
      <c r="E11969" s="538" t="n">
        <v>91.23999999999999</v>
      </c>
    </row>
    <row r="11970">
      <c r="A11970" s="544" t="n">
        <v>45966</v>
      </c>
      <c r="B11970" s="538" t="n">
        <v>63.54</v>
      </c>
      <c r="C11970" s="538" t="n">
        <v>60.4</v>
      </c>
      <c r="D11970" s="538" t="n">
        <v>64.79000000000001</v>
      </c>
      <c r="E11970" s="538" t="n">
        <v>92.64</v>
      </c>
    </row>
    <row r="11971">
      <c r="A11971" s="544" t="n">
        <v>45967</v>
      </c>
      <c r="B11971" s="538" t="n">
        <v>63.41</v>
      </c>
      <c r="C11971" s="538" t="n">
        <v>60.24</v>
      </c>
      <c r="D11971" s="538" t="n">
        <v>64.61</v>
      </c>
      <c r="E11971" s="538" t="n">
        <v>92.64</v>
      </c>
    </row>
    <row r="11972">
      <c r="A11972" s="544" t="n">
        <v>45968</v>
      </c>
      <c r="B11972" s="538" t="n">
        <v>63.72</v>
      </c>
      <c r="C11972" s="538" t="n">
        <v>60.54</v>
      </c>
      <c r="D11972" s="538" t="n">
        <v>64.97</v>
      </c>
      <c r="E11972" s="538" t="n">
        <v>94.66</v>
      </c>
    </row>
    <row r="11973">
      <c r="A11973" s="544" t="n">
        <v>45971</v>
      </c>
      <c r="B11973" s="538" t="n">
        <v>63.01</v>
      </c>
      <c r="C11973" s="538" t="n">
        <v>60.94</v>
      </c>
      <c r="D11973" s="538" t="n">
        <v>65.09999999999999</v>
      </c>
      <c r="E11973" s="538" t="n">
        <v>93.86</v>
      </c>
    </row>
    <row r="11974">
      <c r="A11974" s="544" t="n">
        <v>45972</v>
      </c>
      <c r="B11974" s="538" t="n">
        <v>63.86</v>
      </c>
      <c r="C11974" s="538" t="n">
        <v>60.94</v>
      </c>
      <c r="D11974" s="538" t="n">
        <v>65.87</v>
      </c>
      <c r="E11974" s="538" t="n">
        <v>94.29000000000001</v>
      </c>
    </row>
    <row r="11975">
      <c r="A11975" s="544" t="n">
        <v>45973</v>
      </c>
      <c r="B11975" s="538" t="n">
        <v>61.88</v>
      </c>
      <c r="C11975" s="538" t="n">
        <v>59.3</v>
      </c>
      <c r="D11975" s="538" t="n">
        <v>63.23</v>
      </c>
      <c r="E11975" s="538" t="n">
        <v>96.5</v>
      </c>
    </row>
    <row r="11976">
      <c r="A11976" s="544" t="n">
        <v>45974</v>
      </c>
      <c r="B11976" s="538" t="n">
        <v>62.14</v>
      </c>
      <c r="C11976" s="538" t="n">
        <v>59.54</v>
      </c>
      <c r="D11976" s="538" t="n">
        <v>63.85</v>
      </c>
      <c r="E11976" s="538" t="n">
        <v>93.65000000000001</v>
      </c>
    </row>
    <row r="11977">
      <c r="A11977" s="544" t="n">
        <v>45975</v>
      </c>
      <c r="B11977" s="538" t="n">
        <v>63.45</v>
      </c>
      <c r="C11977" s="538" t="n">
        <v>60.87</v>
      </c>
      <c r="D11977" s="538" t="n">
        <v>64.90000000000001</v>
      </c>
      <c r="E11977" s="538" t="n">
        <v>94.94</v>
      </c>
    </row>
    <row r="11978">
      <c r="A11978" s="544" t="n">
        <v>45978</v>
      </c>
      <c r="B11978" s="538" t="n">
        <v>63.16</v>
      </c>
      <c r="C11978" s="538" t="n">
        <v>60.66</v>
      </c>
      <c r="D11978" s="538" t="n">
        <v>64.54000000000001</v>
      </c>
      <c r="E11978" s="538" t="n">
        <v>95.28</v>
      </c>
    </row>
    <row r="11979">
      <c r="A11979" s="544" t="n">
        <v>45979</v>
      </c>
      <c r="B11979" s="538" t="n">
        <v>64.86</v>
      </c>
      <c r="C11979" s="538" t="n">
        <v>61.51</v>
      </c>
      <c r="D11979" s="538" t="n">
        <v>65.38</v>
      </c>
      <c r="E11979" s="538" t="n">
        <v>97.12</v>
      </c>
    </row>
    <row r="11980">
      <c r="A11980" s="544" t="n">
        <v>45980</v>
      </c>
      <c r="B11980" s="538" t="n">
        <v>63.78</v>
      </c>
      <c r="C11980" s="538" t="n">
        <v>60.27</v>
      </c>
      <c r="D11980" s="538" t="n">
        <v>64.09</v>
      </c>
      <c r="E11980" s="538" t="n">
        <v>99.92</v>
      </c>
    </row>
    <row r="11981">
      <c r="A11981" s="544" t="n">
        <v>45981</v>
      </c>
      <c r="B11981" s="538" t="n">
        <v>63.64</v>
      </c>
      <c r="C11981" s="538" t="n">
        <v>60.07</v>
      </c>
      <c r="D11981" s="538" t="n">
        <v>63.64</v>
      </c>
      <c r="E11981" s="538" t="n">
        <v>98.59</v>
      </c>
    </row>
    <row r="11982">
      <c r="A11982" s="544" t="n">
        <v>45982</v>
      </c>
      <c r="B11982" s="538" t="n">
        <v>62.78</v>
      </c>
      <c r="C11982" s="538" t="n">
        <v>58.86</v>
      </c>
      <c r="D11982" s="538" t="n">
        <v>62.87</v>
      </c>
      <c r="E11982" s="538" t="n">
        <v>92.15000000000001</v>
      </c>
    </row>
    <row r="11983">
      <c r="A11983" s="544" t="n">
        <v>45985</v>
      </c>
      <c r="B11983" s="538" t="n">
        <v>64.83</v>
      </c>
      <c r="C11983" s="538" t="n">
        <v>59.11</v>
      </c>
      <c r="D11983" s="538" t="n">
        <v>63.67</v>
      </c>
      <c r="E11983" s="538" t="n">
        <v>89.90000000000001</v>
      </c>
    </row>
    <row r="11984">
      <c r="A11984" s="544" t="n">
        <v>45986</v>
      </c>
      <c r="B11984" s="538" t="n">
        <v>63.99</v>
      </c>
      <c r="C11984" s="538" t="n">
        <v>58.25</v>
      </c>
      <c r="D11984" s="538" t="n">
        <v>62.93</v>
      </c>
      <c r="E11984" s="538" t="n">
        <v>89.53</v>
      </c>
    </row>
    <row r="11985">
      <c r="A11985" s="544" t="n">
        <v>45987</v>
      </c>
      <c r="B11985" s="538" t="n">
        <v>64.81</v>
      </c>
      <c r="C11985" s="538" t="n">
        <v>58.81</v>
      </c>
      <c r="D11985" s="538" t="n">
        <v>63.42</v>
      </c>
      <c r="E11985" s="538" t="n">
        <v>87.77</v>
      </c>
    </row>
    <row r="11986">
      <c r="A11986" s="544" t="n">
        <v>45988</v>
      </c>
      <c r="B11986" s="538" t="n">
        <v>64.18000000000001</v>
      </c>
      <c r="C11986" s="538" t="n">
        <v>58.81</v>
      </c>
      <c r="D11986" s="538" t="n">
        <v>63.84</v>
      </c>
      <c r="E11986" s="538" t="n">
        <v>87.70999999999999</v>
      </c>
    </row>
    <row r="11987">
      <c r="A11987" s="544" t="n">
        <v>45989</v>
      </c>
      <c r="B11987" s="538" t="n">
        <v>64.06999999999999</v>
      </c>
      <c r="C11987" s="538" t="n">
        <v>58.58</v>
      </c>
      <c r="D11987" s="538" t="n">
        <v>63.19</v>
      </c>
      <c r="E11987" s="538" t="n">
        <v>89.31</v>
      </c>
    </row>
    <row r="11988">
      <c r="A11988" s="544" t="n">
        <v>45992</v>
      </c>
      <c r="B11988" s="538" t="n">
        <v>64.22</v>
      </c>
      <c r="C11988" s="538" t="n">
        <v>59.47</v>
      </c>
      <c r="D11988" s="538" t="n">
        <v>64.16</v>
      </c>
      <c r="E11988" s="538" t="n">
        <v>89.68000000000001</v>
      </c>
    </row>
    <row r="11989">
      <c r="A11989" s="544" t="n">
        <v>45993</v>
      </c>
      <c r="B11989" s="538" t="n">
        <v>63.37</v>
      </c>
      <c r="C11989" s="538" t="n">
        <v>58.81</v>
      </c>
      <c r="D11989" s="538" t="n">
        <v>63.05</v>
      </c>
      <c r="E11989" s="538" t="n">
        <v>88.93000000000001</v>
      </c>
    </row>
    <row r="11990">
      <c r="A11990" s="544" t="n">
        <v>45994</v>
      </c>
      <c r="B11990" s="538" t="n">
        <v>63.75</v>
      </c>
      <c r="C11990" s="538" t="n">
        <v>59.09</v>
      </c>
      <c r="D11990" s="538" t="n">
        <v>63.46</v>
      </c>
      <c r="E11990" s="538" t="n">
        <v>87.94</v>
      </c>
    </row>
    <row r="11991">
      <c r="A11991" s="544" t="n">
        <v>45995</v>
      </c>
      <c r="B11991" s="538" t="n">
        <v>64.15000000000001</v>
      </c>
      <c r="C11991" s="538" t="n">
        <v>59.82</v>
      </c>
      <c r="D11991" s="538" t="n">
        <v>64.05</v>
      </c>
      <c r="E11991" s="538" t="n">
        <v>87.75</v>
      </c>
    </row>
    <row r="11992">
      <c r="A11992" s="544" t="n">
        <v>45996</v>
      </c>
      <c r="B11992" s="538" t="n">
        <v>64.42</v>
      </c>
      <c r="C11992" s="538" t="n">
        <v>60.23</v>
      </c>
      <c r="D11992" s="538" t="n">
        <v>64.5</v>
      </c>
      <c r="E11992" s="538" t="n">
        <v>87.87</v>
      </c>
    </row>
    <row r="11993">
      <c r="A11993" s="544" t="n">
        <v>45999</v>
      </c>
      <c r="B11993" s="538" t="n">
        <v>63.3</v>
      </c>
      <c r="C11993" s="538" t="n">
        <v>59.04</v>
      </c>
      <c r="D11993" s="538" t="n">
        <v>63.1</v>
      </c>
      <c r="E11993" s="538" t="n">
        <v>88.41</v>
      </c>
    </row>
    <row r="11994">
      <c r="A11994" s="544" t="n">
        <v>46000</v>
      </c>
      <c r="B11994" s="538" t="n">
        <v>62.62</v>
      </c>
      <c r="C11994" s="538" t="n">
        <v>58.4</v>
      </c>
      <c r="D11994" s="538" t="n">
        <v>62.45</v>
      </c>
      <c r="E11994" s="538" t="n">
        <v>86.59999999999999</v>
      </c>
    </row>
    <row r="11995">
      <c r="A11995" s="544" t="n">
        <v>46001</v>
      </c>
      <c r="B11995" s="538" t="n">
        <v>63.12</v>
      </c>
      <c r="C11995" s="538" t="n">
        <v>58.67</v>
      </c>
      <c r="D11995" s="538" t="n">
        <v>62.62</v>
      </c>
      <c r="E11995" s="538" t="n">
        <v>85.81999999999999</v>
      </c>
    </row>
    <row r="11996">
      <c r="A11996" s="544" t="n">
        <v>46002</v>
      </c>
      <c r="B11996" s="538" t="n">
        <v>61.87</v>
      </c>
      <c r="C11996" s="538" t="n">
        <v>57.76</v>
      </c>
      <c r="D11996" s="538" t="n">
        <v>61.65</v>
      </c>
      <c r="E11996" s="538" t="n">
        <v>84.54000000000001</v>
      </c>
    </row>
    <row r="11997">
      <c r="A11997" s="544" t="n">
        <v>46003</v>
      </c>
      <c r="B11997" s="538" t="n">
        <v>62.11</v>
      </c>
      <c r="C11997" s="538" t="n">
        <v>57.61</v>
      </c>
      <c r="D11997" s="538" t="n">
        <v>61.2</v>
      </c>
      <c r="E11997" s="538" t="n">
        <v>84.88</v>
      </c>
    </row>
    <row r="11998">
      <c r="A11998" s="544" t="n">
        <v>46006</v>
      </c>
      <c r="B11998" s="538" t="n">
        <v>61.55</v>
      </c>
      <c r="C11998" s="538" t="n">
        <v>56.97</v>
      </c>
      <c r="D11998" s="538" t="n">
        <v>60.33</v>
      </c>
      <c r="E11998" s="538" t="n">
        <v>83.7</v>
      </c>
    </row>
    <row r="11999">
      <c r="A11999" s="544" t="n">
        <v>46007</v>
      </c>
      <c r="B11999" s="538" t="n">
        <v>59.93</v>
      </c>
      <c r="C11999" s="538" t="n">
        <v>55.44</v>
      </c>
      <c r="D11999" s="538" t="n">
        <v>58.69</v>
      </c>
      <c r="E11999" s="538" t="n">
        <v>81.86</v>
      </c>
    </row>
    <row r="12000">
      <c r="A12000" s="544" t="n">
        <v>46008</v>
      </c>
      <c r="B12000" s="538" t="n">
        <v>60.61</v>
      </c>
      <c r="C12000" s="538" t="n">
        <v>56.07</v>
      </c>
      <c r="D12000" s="538" t="n">
        <v>60.64</v>
      </c>
      <c r="E12000" s="538" t="n">
        <v>81.09999999999999</v>
      </c>
    </row>
    <row r="12001">
      <c r="A12001" s="544" t="n">
        <v>46009</v>
      </c>
      <c r="B12001" s="538" t="n">
        <v>60.69</v>
      </c>
      <c r="C12001" s="538" t="n">
        <v>56.22</v>
      </c>
      <c r="D12001" s="538" t="n">
        <v>59.8</v>
      </c>
      <c r="E12001" s="538" t="n">
        <v>81.09999999999999</v>
      </c>
    </row>
    <row r="12002">
      <c r="A12002" s="544" t="n">
        <v>46010</v>
      </c>
      <c r="B12002" s="538" t="n">
        <v>61.35</v>
      </c>
      <c r="C12002" s="538" t="n">
        <v>56.8</v>
      </c>
      <c r="D12002" s="538" t="n">
        <v>60.7</v>
      </c>
      <c r="E12002" s="538" t="n">
        <v>80.83</v>
      </c>
    </row>
    <row r="12003">
      <c r="A12003" s="544" t="n">
        <v>46013</v>
      </c>
      <c r="B12003" s="538" t="n">
        <v>62.22</v>
      </c>
      <c r="C12003" s="538" t="n">
        <v>58.18</v>
      </c>
      <c r="D12003" s="538" t="n">
        <v>62.01</v>
      </c>
      <c r="E12003" s="538" t="n">
        <v>81.23999999999999</v>
      </c>
    </row>
    <row r="12004">
      <c r="A12004" s="544" t="n">
        <v>46014</v>
      </c>
      <c r="B12004" s="538" t="n">
        <v>63.7</v>
      </c>
      <c r="C12004" s="538" t="n">
        <v>58.55</v>
      </c>
      <c r="D12004" s="538" t="n">
        <v>62.13</v>
      </c>
      <c r="E12004" s="538" t="n">
        <v>81.86</v>
      </c>
    </row>
    <row r="12005">
      <c r="A12005" s="544" t="n">
        <v>46015</v>
      </c>
      <c r="B12005" s="538" t="n">
        <v>63.7</v>
      </c>
      <c r="C12005" s="538" t="n">
        <v>58.72</v>
      </c>
      <c r="D12005" s="538" t="n">
        <v>61.94</v>
      </c>
      <c r="E12005" s="538" t="n">
        <v>83.18000000000001</v>
      </c>
    </row>
    <row r="12006">
      <c r="A12006" s="544" t="n">
        <v>46016</v>
      </c>
      <c r="B12006" s="538" t="n">
        <v>63.7</v>
      </c>
      <c r="C12006" s="538" t="n">
        <v>58.72</v>
      </c>
      <c r="D12006" s="538" t="n">
        <v>61.94</v>
      </c>
      <c r="E12006" s="538" t="n">
        <v>83.18000000000001</v>
      </c>
    </row>
    <row r="12007">
      <c r="A12007" s="544" t="n">
        <v>46017</v>
      </c>
      <c r="B12007" s="538" t="n">
        <v>63.7</v>
      </c>
      <c r="C12007" s="538" t="n">
        <v>56.6</v>
      </c>
      <c r="D12007" s="538" t="n">
        <v>60.59</v>
      </c>
      <c r="E12007" s="538" t="n">
        <v>82.66</v>
      </c>
    </row>
    <row r="12008">
      <c r="A12008" s="544" t="n">
        <v>46020</v>
      </c>
      <c r="B12008" s="538" t="n">
        <v>63.1</v>
      </c>
      <c r="C12008" s="538" t="n">
        <v>57.89</v>
      </c>
      <c r="D12008" s="538" t="n">
        <v>61.51</v>
      </c>
      <c r="E12008" s="538" t="n">
        <v>81.44</v>
      </c>
    </row>
    <row r="12009">
      <c r="A12009" s="544" t="n">
        <v>46021</v>
      </c>
      <c r="B12009" s="538" t="n">
        <v>62.3</v>
      </c>
      <c r="C12009" s="538" t="n">
        <v>57.79</v>
      </c>
      <c r="D12009" s="538" t="n">
        <v>61.4</v>
      </c>
      <c r="E12009" s="538" t="n">
        <v>81.87</v>
      </c>
    </row>
    <row r="12010">
      <c r="A12010" s="544" t="n">
        <v>46022</v>
      </c>
      <c r="B12010" s="538" t="n">
        <v>61.35</v>
      </c>
      <c r="C12010" s="538" t="n">
        <v>57.26</v>
      </c>
      <c r="D12010" s="538" t="n">
        <v>60.95</v>
      </c>
      <c r="E12010" s="538" t="n">
        <v>82.22</v>
      </c>
    </row>
    <row r="12011">
      <c r="A12011" s="544" t="n">
        <v>46023</v>
      </c>
      <c r="B12011" s="538" t="n">
        <v>61.35</v>
      </c>
      <c r="C12011" s="538" t="n">
        <v>57.26</v>
      </c>
      <c r="D12011" s="538" t="n">
        <v>60.95</v>
      </c>
      <c r="E12011" s="538" t="n">
        <v>82.22</v>
      </c>
    </row>
    <row r="12012">
      <c r="A12012" s="544" t="n">
        <v>46024</v>
      </c>
      <c r="B12012" s="538" t="n">
        <v>61.98</v>
      </c>
      <c r="C12012" s="538" t="n">
        <v>57.21</v>
      </c>
      <c r="D12012" s="538" t="n">
        <v>59.94</v>
      </c>
      <c r="E12012" s="538" t="n">
        <v>81.39</v>
      </c>
    </row>
    <row r="12013">
      <c r="A12013" s="544" t="n">
        <v>46027</v>
      </c>
      <c r="B12013" s="538" t="n">
        <v>63</v>
      </c>
      <c r="C12013" s="538" t="n">
        <v>58.1</v>
      </c>
      <c r="D12013" s="538" t="n">
        <v>60.42</v>
      </c>
      <c r="E12013" s="538" t="n">
        <v>80.41</v>
      </c>
    </row>
    <row r="12014">
      <c r="A12014" s="544" t="n">
        <v>46028</v>
      </c>
      <c r="B12014" s="538" t="n">
        <v>62.1</v>
      </c>
      <c r="C12014" s="538" t="n">
        <v>56.97</v>
      </c>
      <c r="D12014" s="538" t="n">
        <v>58.87</v>
      </c>
      <c r="E12014" s="538" t="n">
        <v>82.04000000000001</v>
      </c>
    </row>
    <row r="12015">
      <c r="A12015" s="544" t="n">
        <v>46029</v>
      </c>
      <c r="B12015" s="538" t="n">
        <v>61.08</v>
      </c>
      <c r="C12015" s="538" t="n">
        <v>56.01</v>
      </c>
      <c r="D12015" s="538" t="n">
        <v>58.63</v>
      </c>
      <c r="E12015" s="538" t="n">
        <v>80.59999999999999</v>
      </c>
    </row>
    <row r="12016">
      <c r="A12016" s="544" t="n">
        <v>46030</v>
      </c>
      <c r="B12016" s="538" t="n">
        <v>63.34</v>
      </c>
      <c r="C12016" s="538" t="n">
        <v>57.74</v>
      </c>
      <c r="D12016" s="538" t="n">
        <v>61.2</v>
      </c>
      <c r="E12016" s="538" t="n">
        <v>80.03</v>
      </c>
    </row>
    <row r="12017">
      <c r="A12017" s="544" t="n">
        <v>46031</v>
      </c>
      <c r="B12017" s="538" t="n">
        <v>65.11</v>
      </c>
      <c r="C12017" s="538" t="n">
        <v>58.96</v>
      </c>
      <c r="D12017" s="538" t="n">
        <v>61.37</v>
      </c>
      <c r="E12017" s="538" t="n">
        <v>82.01000000000001</v>
      </c>
    </row>
    <row r="12018">
      <c r="A12018" s="544" t="n">
        <v>46034</v>
      </c>
      <c r="B12018" s="538" t="n">
        <v>65.40000000000001</v>
      </c>
      <c r="C12018" s="538" t="n">
        <v>59.39</v>
      </c>
      <c r="D12018" s="538" t="n">
        <v>62.2</v>
      </c>
      <c r="E12018" s="538" t="n">
        <v>82.05</v>
      </c>
    </row>
    <row r="12019">
      <c r="A12019" s="544" t="n">
        <v>46035</v>
      </c>
      <c r="B12019" s="538" t="n">
        <v>67.58</v>
      </c>
      <c r="C12019" s="538" t="n">
        <v>60.85</v>
      </c>
      <c r="D12019" s="538" t="n">
        <v>62.99</v>
      </c>
      <c r="E12019" s="538" t="n">
        <v>83.11</v>
      </c>
    </row>
    <row r="12020">
      <c r="A12020" s="544" t="n">
        <v>46036</v>
      </c>
      <c r="B12020" s="538" t="n">
        <v>68.87</v>
      </c>
      <c r="C12020" s="538" t="n">
        <v>61.84</v>
      </c>
      <c r="D12020" s="538" t="n">
        <v>63.37</v>
      </c>
      <c r="E12020" s="538" t="n">
        <v>84.18000000000001</v>
      </c>
    </row>
    <row r="12021">
      <c r="A12021" s="544" t="n">
        <v>46037</v>
      </c>
      <c r="B12021" s="538" t="n">
        <v>66.16</v>
      </c>
      <c r="C12021" s="538" t="n">
        <v>59.13</v>
      </c>
      <c r="D12021" s="538" t="n">
        <v>62.48</v>
      </c>
      <c r="E12021" s="538" t="n">
        <v>83.63</v>
      </c>
    </row>
    <row r="12022">
      <c r="A12022" s="544" t="n">
        <v>46038</v>
      </c>
      <c r="B12022" s="538" t="n">
        <v>66.97</v>
      </c>
      <c r="C12022" s="538" t="n">
        <v>59.4</v>
      </c>
      <c r="D12022" s="538" t="n">
        <v>62.97</v>
      </c>
      <c r="E12022" s="538" t="n">
        <v>83.20999999999999</v>
      </c>
    </row>
    <row r="12023">
      <c r="A12023" s="544" t="n">
        <v>46041</v>
      </c>
      <c r="B12023" s="538" t="n">
        <v>66.91</v>
      </c>
      <c r="C12023" s="538" t="n">
        <v>59.4</v>
      </c>
      <c r="D12023" s="538" t="n">
        <v>62.65</v>
      </c>
      <c r="E12023" s="538" t="n">
        <v>83.63</v>
      </c>
    </row>
    <row r="12024">
      <c r="A12024" s="544" t="n">
        <v>46042</v>
      </c>
      <c r="B12024" s="538" t="n">
        <v>67.68000000000001</v>
      </c>
      <c r="C12024" s="538" t="n">
        <v>60.3</v>
      </c>
      <c r="D12024" s="538" t="n">
        <v>62.56</v>
      </c>
      <c r="E12024" s="538" t="n">
        <v>83.63</v>
      </c>
    </row>
    <row r="12025">
      <c r="A12025" s="544" t="n">
        <v>46043</v>
      </c>
      <c r="B12025" s="538" t="n">
        <v>66.72</v>
      </c>
      <c r="C12025" s="538" t="n">
        <v>60.38</v>
      </c>
      <c r="D12025" s="538" t="n">
        <v>63.9</v>
      </c>
      <c r="E12025" s="538" t="n">
        <v>84.68000000000001</v>
      </c>
    </row>
    <row r="12026">
      <c r="A12026" s="544" t="n">
        <v>46044</v>
      </c>
      <c r="B12026" s="538" t="n">
        <v>65.45999999999999</v>
      </c>
      <c r="C12026" s="538" t="n">
        <v>59.24</v>
      </c>
      <c r="D12026" s="538" t="n">
        <v>62.39</v>
      </c>
      <c r="E12026" s="538" t="n">
        <v>85.53</v>
      </c>
    </row>
    <row r="12027">
      <c r="A12027" s="544" t="n">
        <v>46045</v>
      </c>
      <c r="B12027" s="538" t="n">
        <v>68.16</v>
      </c>
      <c r="C12027" s="538" t="n">
        <v>60.7</v>
      </c>
      <c r="D12027" s="538" t="n">
        <v>64.01000000000001</v>
      </c>
      <c r="E12027" s="538" t="n">
        <v>84.59</v>
      </c>
    </row>
    <row r="12028">
      <c r="A12028" s="544" t="n">
        <v>46048</v>
      </c>
      <c r="B12028" s="538" t="n">
        <v>67.7</v>
      </c>
      <c r="C12028" s="538" t="n">
        <v>60.46</v>
      </c>
      <c r="D12028" s="538" t="n">
        <v>63.09</v>
      </c>
      <c r="E12028" s="538" t="n">
        <v>85.58</v>
      </c>
    </row>
    <row r="12029">
      <c r="A12029" s="544" t="n">
        <v>46049</v>
      </c>
      <c r="B12029" s="538" t="n">
        <v>70.28</v>
      </c>
      <c r="C12029" s="538" t="n">
        <v>62.04</v>
      </c>
      <c r="D12029" s="538" t="n">
        <v>65.17</v>
      </c>
      <c r="E12029" s="538" t="n">
        <v>83.86</v>
      </c>
    </row>
    <row r="12030">
      <c r="A12030" s="544" t="n">
        <v>46050</v>
      </c>
      <c r="B12030" s="538" t="n">
        <v>70.90000000000001</v>
      </c>
      <c r="C12030" s="538" t="n">
        <v>62.75</v>
      </c>
      <c r="D12030" s="538" t="n">
        <v>65.91</v>
      </c>
      <c r="E12030" s="538" t="n">
        <v>85.83</v>
      </c>
    </row>
    <row r="12031">
      <c r="A12031" s="544" t="n">
        <v>46051</v>
      </c>
      <c r="B12031" s="538" t="n">
        <v>71</v>
      </c>
      <c r="C12031" s="538" t="n">
        <v>64.77</v>
      </c>
      <c r="D12031" s="538" t="n">
        <v>68.06</v>
      </c>
      <c r="E12031" s="538" t="n">
        <v>87.69</v>
      </c>
    </row>
    <row r="12032">
      <c r="A12032" s="544" t="n">
        <v>46052</v>
      </c>
      <c r="B12032" s="538" t="n">
        <v>72.25</v>
      </c>
      <c r="C12032" s="538" t="n">
        <v>64.5</v>
      </c>
      <c r="D12032" s="538" t="n">
        <v>68.2</v>
      </c>
      <c r="E12032" s="538" t="n">
        <v>87.78</v>
      </c>
    </row>
    <row r="12033">
      <c r="A12033" s="544" t="n">
        <v>46055</v>
      </c>
      <c r="B12033" s="538" t="n">
        <v>67.72</v>
      </c>
      <c r="C12033" s="538" t="n">
        <v>61.6</v>
      </c>
      <c r="D12033" s="538" t="n">
        <v>65.02</v>
      </c>
      <c r="E12033" s="538" t="n">
        <v>85.94</v>
      </c>
    </row>
    <row r="12034">
      <c r="A12034" s="544" t="n">
        <v>46056</v>
      </c>
      <c r="B12034" s="538" t="n">
        <v>70.01000000000001</v>
      </c>
      <c r="C12034" s="538" t="n">
        <v>62.62</v>
      </c>
      <c r="D12034" s="538" t="n">
        <v>66.93000000000001</v>
      </c>
      <c r="E12034" s="538" t="n">
        <v>85.11</v>
      </c>
    </row>
    <row r="12035">
      <c r="A12035" s="544" t="n">
        <v>46057</v>
      </c>
      <c r="B12035" s="538" t="n">
        <v>71.15000000000001</v>
      </c>
      <c r="C12035" s="538" t="n">
        <v>64.56</v>
      </c>
      <c r="D12035" s="538" t="n">
        <v>68.04000000000001</v>
      </c>
      <c r="E12035" s="538" t="n">
        <v>86.64</v>
      </c>
    </row>
    <row r="12036">
      <c r="A12036" s="544" t="n">
        <v>46058</v>
      </c>
      <c r="B12036" s="538" t="n">
        <v>69.87</v>
      </c>
      <c r="C12036" s="538" t="n">
        <v>62.9</v>
      </c>
      <c r="D12036" s="538" t="n">
        <v>66.8</v>
      </c>
      <c r="E12036" s="538" t="n">
        <v>87.15000000000001</v>
      </c>
    </row>
    <row r="12037">
      <c r="A12037" s="544" t="n">
        <v>46059</v>
      </c>
      <c r="B12037" s="538" t="n">
        <v>70.45</v>
      </c>
      <c r="C12037" s="538" t="n">
        <v>63.77</v>
      </c>
      <c r="D12037" s="538" t="n">
        <v>67.59</v>
      </c>
      <c r="E12037" s="538" t="n">
        <v>87.86</v>
      </c>
    </row>
    <row r="12038">
      <c r="A12038" s="544" t="n">
        <v>46062</v>
      </c>
      <c r="B12038" s="538" t="n">
        <v>71.19</v>
      </c>
      <c r="C12038" s="538" t="n">
        <v>64.53</v>
      </c>
      <c r="D12038" s="538" t="n">
        <v>68.44</v>
      </c>
      <c r="E12038" s="538" t="n">
        <v>86.61</v>
      </c>
    </row>
    <row r="12039">
      <c r="A12039" s="544" t="n">
        <v>46063</v>
      </c>
      <c r="B12039" s="538" t="n">
        <v>71.01000000000001</v>
      </c>
      <c r="C12039" s="538" t="n">
        <v>64.2</v>
      </c>
      <c r="D12039" s="538" t="n">
        <v>68.11</v>
      </c>
      <c r="E12039" s="538" t="n">
        <v>87.41</v>
      </c>
    </row>
    <row r="12040">
      <c r="A12040" s="544" t="n">
        <v>46064</v>
      </c>
      <c r="B12040" s="538" t="n">
        <v>71.52</v>
      </c>
      <c r="C12040" s="538" t="n">
        <v>64.8</v>
      </c>
      <c r="D12040" s="538" t="n">
        <v>68.47</v>
      </c>
      <c r="E12040" s="538" t="n">
        <v>88.33</v>
      </c>
    </row>
    <row r="12041">
      <c r="A12041" s="544" t="n">
        <v>46065</v>
      </c>
      <c r="B12041" s="538" t="n">
        <v>69.8</v>
      </c>
      <c r="C12041" s="538" t="n">
        <v>63.08</v>
      </c>
      <c r="D12041" s="538" t="n">
        <v>66.69</v>
      </c>
      <c r="E12041" s="538" t="n">
        <v>88.61</v>
      </c>
    </row>
    <row r="12042">
      <c r="A12042" s="544" t="n">
        <v>46066</v>
      </c>
      <c r="B12042" s="538" t="n">
        <v>69.95999999999999</v>
      </c>
      <c r="C12042" s="538" t="n">
        <v>63.05</v>
      </c>
      <c r="D12042" s="538" t="n">
        <v>66.98999999999999</v>
      </c>
      <c r="E12042" s="538" t="n">
        <v>86.38</v>
      </c>
    </row>
    <row r="12043">
      <c r="A12043" s="544" t="n">
        <v>46069</v>
      </c>
      <c r="B12043" s="538" t="n">
        <v>70.81</v>
      </c>
      <c r="C12043" s="538" t="n">
        <v>63.05</v>
      </c>
      <c r="D12043" s="538" t="n">
        <v>67.88</v>
      </c>
      <c r="E12043" s="538" t="n">
        <v>85.77</v>
      </c>
    </row>
    <row r="12044">
      <c r="A12044" s="544" t="n">
        <v>46070</v>
      </c>
      <c r="B12044" s="538" t="n">
        <v>69.77</v>
      </c>
      <c r="C12044" s="538" t="n">
        <v>62.53</v>
      </c>
      <c r="D12044" s="538" t="n">
        <v>67.88</v>
      </c>
      <c r="E12044" s="538" t="n">
        <v>85.77</v>
      </c>
    </row>
    <row r="12045">
      <c r="A12045" s="544" t="n">
        <v>46071</v>
      </c>
      <c r="B12045" s="538" t="n">
        <v>71.78</v>
      </c>
      <c r="C12045" s="538" t="n">
        <v>65.33</v>
      </c>
      <c r="D12045" s="538" t="n">
        <v>67.88</v>
      </c>
      <c r="E12045" s="538" t="n">
        <v>85.77</v>
      </c>
    </row>
    <row r="12046">
      <c r="A12046" s="544" t="n">
        <v>46072</v>
      </c>
      <c r="B12046" s="538" t="n">
        <v>73.17</v>
      </c>
      <c r="C12046" s="538" t="n">
        <v>66.66</v>
      </c>
      <c r="D12046" s="538" t="n">
        <v>71.06</v>
      </c>
      <c r="E12046" s="538" t="n">
        <v>90.86</v>
      </c>
    </row>
    <row r="12047">
      <c r="A12047" s="544" t="n">
        <v>46073</v>
      </c>
      <c r="B12047" s="538" t="n">
        <v>72.75</v>
      </c>
      <c r="C12047" s="538" t="n">
        <v>66.69</v>
      </c>
      <c r="D12047" s="538" t="n">
        <v>70.68000000000001</v>
      </c>
      <c r="E12047" s="538" t="n">
        <v>92.54000000000001</v>
      </c>
    </row>
    <row r="12048">
      <c r="A12048" s="544" t="n">
        <v>46076</v>
      </c>
      <c r="B12048" s="538" t="n">
        <v>71.90000000000001</v>
      </c>
      <c r="C12048" s="538" t="n">
        <v>66.36</v>
      </c>
      <c r="D12048" s="538" t="n">
        <v>70.61</v>
      </c>
      <c r="E12048" s="538" t="n">
        <v>91.81</v>
      </c>
    </row>
    <row r="12049">
      <c r="A12049" s="544" t="n">
        <v>46077</v>
      </c>
      <c r="B12049" s="538" t="n">
        <v>71.20999999999999</v>
      </c>
      <c r="C12049" s="538" t="n">
        <v>65.62</v>
      </c>
      <c r="D12049" s="538" t="n">
        <v>69.81</v>
      </c>
      <c r="E12049" s="538" t="n">
        <v>92.73999999999999</v>
      </c>
    </row>
    <row r="12050">
      <c r="A12050" s="544" t="n">
        <v>46078</v>
      </c>
      <c r="B12050" s="538" t="n">
        <v>70.69</v>
      </c>
      <c r="C12050" s="538" t="n">
        <v>65.3</v>
      </c>
      <c r="D12050" s="538" t="n">
        <v>69.78</v>
      </c>
      <c r="E12050" s="538" t="n">
        <v>92.67</v>
      </c>
    </row>
    <row r="12051">
      <c r="A12051" s="544" t="n">
        <v>46079</v>
      </c>
      <c r="B12051" s="538" t="n">
        <v>71.66</v>
      </c>
      <c r="C12051" s="538" t="n">
        <v>65.09999999999999</v>
      </c>
      <c r="D12051" s="538" t="n">
        <v>69.59</v>
      </c>
      <c r="E12051" s="538" t="n">
        <v>92.66</v>
      </c>
    </row>
    <row r="12052">
      <c r="A12052" s="544" t="n">
        <v>46080</v>
      </c>
      <c r="B12052" s="538" t="n">
        <v>71.31999999999999</v>
      </c>
      <c r="C12052" s="538" t="n">
        <v>66.95999999999999</v>
      </c>
      <c r="D12052" s="538" t="n">
        <v>71.98</v>
      </c>
      <c r="E12052" s="538" t="n">
        <v>93.45</v>
      </c>
    </row>
    <row r="12053">
      <c r="A12053" s="544" t="n">
        <v>46083</v>
      </c>
      <c r="B12053" s="538" t="n">
        <v>77.23999999999999</v>
      </c>
      <c r="C12053" s="538" t="n">
        <v>71.13</v>
      </c>
      <c r="D12053" s="538" t="n">
        <v>75.81999999999999</v>
      </c>
      <c r="E12053" s="538" t="n">
        <v>117.51</v>
      </c>
    </row>
    <row r="12054">
      <c r="A12054" s="544" t="n">
        <v>46084</v>
      </c>
      <c r="B12054" s="538" t="n">
        <v>83.28</v>
      </c>
      <c r="C12054" s="538" t="n">
        <v>74.48</v>
      </c>
      <c r="D12054" s="538" t="n">
        <v>78.14</v>
      </c>
      <c r="E12054" s="538" t="n">
        <v>131.02</v>
      </c>
    </row>
    <row r="12055">
      <c r="A12055" s="544" t="n">
        <v>46085</v>
      </c>
      <c r="B12055" s="538" t="n">
        <v>81.56</v>
      </c>
      <c r="C12055" s="538" t="n">
        <v>74.58</v>
      </c>
      <c r="D12055" s="538" t="n">
        <v>82.56</v>
      </c>
      <c r="E12055" s="538" t="n">
        <v>225.44</v>
      </c>
    </row>
    <row r="12056">
      <c r="A12056" s="544" t="n">
        <v>46086</v>
      </c>
      <c r="B12056" s="538" t="n">
        <v>88.59</v>
      </c>
      <c r="C12056" s="538" t="n">
        <v>80.88</v>
      </c>
      <c r="D12056" s="538" t="n">
        <v>93.08</v>
      </c>
      <c r="E12056" s="538" t="n">
        <v>194.6</v>
      </c>
    </row>
    <row r="12057">
      <c r="A12057" s="544" t="n">
        <v>46087</v>
      </c>
      <c r="B12057" s="538" t="n">
        <v>95.73999999999999</v>
      </c>
      <c r="C12057" s="538" t="n">
        <v>90.77</v>
      </c>
      <c r="D12057" s="538" t="n">
        <v>103.29</v>
      </c>
      <c r="E12057" s="538" t="n">
        <v>155.82</v>
      </c>
    </row>
    <row r="12058">
      <c r="A12058" s="544" t="n">
        <v>46090</v>
      </c>
      <c r="B12058" s="538" t="n">
        <v>94.34999999999999</v>
      </c>
      <c r="C12058" s="538" t="n">
        <v>94.65000000000001</v>
      </c>
      <c r="D12058" s="538" t="n">
        <v>99.15000000000001</v>
      </c>
      <c r="E12058" s="538" t="n">
        <v>185.64</v>
      </c>
    </row>
    <row r="12059">
      <c r="A12059" s="544" t="n">
        <v>46091</v>
      </c>
      <c r="B12059" s="538" t="n">
        <v>89.84</v>
      </c>
      <c r="C12059" s="538" t="n">
        <v>83.70999999999999</v>
      </c>
      <c r="D12059" s="538" t="n">
        <v>87.62</v>
      </c>
      <c r="E12059" s="538" t="n">
        <v>142.92</v>
      </c>
    </row>
    <row r="12060">
      <c r="A12060" s="544" t="n">
        <v>46092</v>
      </c>
      <c r="B12060" s="538" t="n">
        <v>90.98</v>
      </c>
      <c r="C12060" s="538" t="n">
        <v>86.8</v>
      </c>
      <c r="D12060" s="538" t="n">
        <v>91.92</v>
      </c>
      <c r="E12060" s="538" t="n">
        <v>157.12</v>
      </c>
    </row>
    <row r="12061">
      <c r="A12061" s="544" t="n">
        <v>46093</v>
      </c>
      <c r="B12061" s="538" t="n">
        <v>102.38</v>
      </c>
      <c r="C12061" s="538" t="n">
        <v>95.61</v>
      </c>
      <c r="D12061" s="538" t="n">
        <v>136.95</v>
      </c>
      <c r="E12061" s="538" t="n">
        <v>209.83</v>
      </c>
    </row>
    <row r="12062">
      <c r="A12062" s="544" t="n">
        <v>46094</v>
      </c>
      <c r="B12062" s="538" t="n">
        <v>103.23</v>
      </c>
      <c r="C12062" s="538" t="n">
        <v>98.48</v>
      </c>
      <c r="D12062" s="538" t="n">
        <v>146.12</v>
      </c>
      <c r="E12062" s="538" t="n">
        <v>209.83</v>
      </c>
    </row>
    <row r="12063">
      <c r="A12063" s="544" t="n">
        <v>46097</v>
      </c>
      <c r="B12063" s="538" t="n">
        <v>101.04</v>
      </c>
      <c r="C12063" s="538" t="n">
        <v>93.39</v>
      </c>
      <c r="D12063" s="538" t="n">
        <v>148.58</v>
      </c>
      <c r="E12063" s="538" t="n">
        <v>199.42</v>
      </c>
    </row>
    <row r="12064">
      <c r="A12064" s="544" t="n">
        <v>46098</v>
      </c>
      <c r="B12064" s="538" t="n">
        <v>108.39</v>
      </c>
      <c r="C12064" s="538" t="n">
        <v>96.01000000000001</v>
      </c>
      <c r="D12064" s="538" t="n">
        <v>151.24</v>
      </c>
      <c r="E12064" s="538" t="n">
        <v>200.17</v>
      </c>
    </row>
    <row r="12065">
      <c r="A12065" s="544" t="n">
        <v>46099</v>
      </c>
      <c r="B12065" s="538" t="n">
        <v>118.09</v>
      </c>
      <c r="C12065" s="538" t="n">
        <v>96.12</v>
      </c>
      <c r="D12065" s="538" t="n">
        <v>157.29</v>
      </c>
      <c r="E12065" s="538" t="n">
        <v>200.17</v>
      </c>
    </row>
    <row r="12066">
      <c r="A12066" s="544" t="n">
        <v>46100</v>
      </c>
      <c r="B12066" s="538" t="n">
        <v>111.05</v>
      </c>
      <c r="C12066" s="538" t="n">
        <v>96.11</v>
      </c>
      <c r="D12066" s="538" t="n">
        <v>161.48</v>
      </c>
      <c r="E12066" s="538" t="n">
        <v>225.62</v>
      </c>
    </row>
    <row r="12067">
      <c r="A12067" s="544" t="n">
        <v>46101</v>
      </c>
      <c r="B12067" s="538" t="n">
        <v>118.42</v>
      </c>
      <c r="C12067" s="538" t="n">
        <v>98.70999999999999</v>
      </c>
      <c r="D12067" s="538" t="n">
        <v>164.69</v>
      </c>
      <c r="E12067" s="538" t="n">
        <v>212.65</v>
      </c>
    </row>
    <row r="12068">
      <c r="A12068" s="544" t="n">
        <v>46104</v>
      </c>
      <c r="B12068" s="538" t="n">
        <v>103.79</v>
      </c>
      <c r="C12068" s="538" t="n">
        <v>89.33</v>
      </c>
      <c r="D12068" s="538" t="n">
        <v>130.23</v>
      </c>
      <c r="E12068" s="538" t="n">
        <v>227.98</v>
      </c>
    </row>
    <row r="12069">
      <c r="A12069" s="544" t="n">
        <v>46105</v>
      </c>
      <c r="B12069" s="538" t="n">
        <v>108.42</v>
      </c>
      <c r="C12069" s="538" t="n">
        <v>93.18000000000001</v>
      </c>
      <c r="D12069" s="538" t="n">
        <v>157.55</v>
      </c>
      <c r="E12069" s="538" t="n">
        <v>199.63</v>
      </c>
    </row>
    <row r="12070">
      <c r="A12070" s="544" t="n">
        <v>46106</v>
      </c>
      <c r="B12070" s="538" t="n">
        <v>109.14</v>
      </c>
      <c r="C12070" s="538" t="n">
        <v>91.51000000000001</v>
      </c>
      <c r="D12070" s="538" t="n">
        <v>146.92</v>
      </c>
      <c r="E12070" s="538" t="n">
        <v>178.46</v>
      </c>
    </row>
    <row r="12071">
      <c r="A12071" s="544" t="n">
        <v>46107</v>
      </c>
      <c r="B12071" s="538" t="n">
        <v>113.39</v>
      </c>
      <c r="C12071" s="538" t="n">
        <v>96.18000000000001</v>
      </c>
      <c r="D12071" s="538" t="n">
        <v>122.46</v>
      </c>
      <c r="E12071" s="538" t="n">
        <v>196.21</v>
      </c>
    </row>
    <row r="12072">
      <c r="A12072" s="544" t="n">
        <v>46108</v>
      </c>
      <c r="B12072" s="538" t="n">
        <v>121.47</v>
      </c>
      <c r="C12072" s="538" t="n">
        <v>101.26</v>
      </c>
      <c r="D12072" s="538" t="n">
        <v>125.31</v>
      </c>
      <c r="E12072" s="538" t="n">
        <v>222.77</v>
      </c>
    </row>
    <row r="12073">
      <c r="A12073" s="544" t="n">
        <v>46111</v>
      </c>
      <c r="B12073" s="538" t="n">
        <v>121.88</v>
      </c>
      <c r="C12073" s="538" t="n">
        <v>104.69</v>
      </c>
      <c r="D12073" s="538" t="n">
        <v>127.67</v>
      </c>
      <c r="E12073" s="538" t="n">
        <v>242.06</v>
      </c>
    </row>
    <row r="12074">
      <c r="A12074" s="544" t="n">
        <v>46112</v>
      </c>
      <c r="B12074" s="538" t="n">
        <v>126.69</v>
      </c>
      <c r="C12074" s="538" t="n">
        <v>102.86</v>
      </c>
      <c r="D12074" s="538" t="n">
        <v>118.4</v>
      </c>
      <c r="E12074" s="538" t="n">
        <v>218.14</v>
      </c>
    </row>
    <row r="12075">
      <c r="A12075" s="544" t="n">
        <v>46113</v>
      </c>
      <c r="B12075" s="538" t="n">
        <v>119.56</v>
      </c>
      <c r="C12075" s="538" t="n">
        <v>101.9</v>
      </c>
      <c r="D12075" s="538" t="n">
        <v>106.36</v>
      </c>
      <c r="E12075" s="538" t="n">
        <v>216.91</v>
      </c>
    </row>
    <row r="12076">
      <c r="A12076" s="544" t="n">
        <v>46114</v>
      </c>
      <c r="B12076" s="538" t="n">
        <v>127.61</v>
      </c>
      <c r="C12076" s="538" t="n">
        <v>113.23</v>
      </c>
      <c r="D12076" s="538" t="n">
        <v>121.91</v>
      </c>
      <c r="E12076" s="538" t="n">
        <v>229.4</v>
      </c>
    </row>
    <row r="12077">
      <c r="A12077" s="544" t="n">
        <v>46115</v>
      </c>
      <c r="B12077" s="538" t="n">
        <v>127.61</v>
      </c>
      <c r="C12077" s="538" t="n">
        <v>113.23</v>
      </c>
      <c r="D12077" s="538" t="n">
        <v>121.91</v>
      </c>
      <c r="E12077" s="538" t="n">
        <v>229.4</v>
      </c>
    </row>
    <row r="12078">
      <c r="A12078" s="544" t="n">
        <v>46118</v>
      </c>
      <c r="B12078" s="538" t="n">
        <v>127.61</v>
      </c>
      <c r="C12078" s="538" t="n">
        <v>114.01</v>
      </c>
      <c r="D12078" s="538" t="n">
        <v>120.05</v>
      </c>
      <c r="E12078" s="538" t="n">
        <v>227.52</v>
      </c>
    </row>
    <row r="12079">
      <c r="A12079" s="544" t="n">
        <v>46119</v>
      </c>
      <c r="B12079" s="538" t="n">
        <v>138.21</v>
      </c>
      <c r="C12079" s="538" t="n">
        <v>114.58</v>
      </c>
      <c r="D12079" s="538" t="n">
        <v>118.45</v>
      </c>
      <c r="E12079" s="538" t="n">
        <v>225.63</v>
      </c>
    </row>
    <row r="12080">
      <c r="A12080" s="544" t="n">
        <v>46120</v>
      </c>
      <c r="B12080" s="538" t="n">
        <v>122.11</v>
      </c>
      <c r="C12080" s="538" t="n">
        <v>96.17</v>
      </c>
      <c r="D12080" s="538" t="n">
        <v>98.40000000000001</v>
      </c>
      <c r="E12080" s="538" t="n">
        <v>193.53</v>
      </c>
    </row>
    <row r="12081">
      <c r="A12081" s="544" t="n">
        <v>46121</v>
      </c>
      <c r="B12081" s="538" t="n">
        <v>119.03</v>
      </c>
      <c r="C12081" s="538" t="n">
        <v>99.62</v>
      </c>
      <c r="D12081" s="538" t="n">
        <v>99.26000000000001</v>
      </c>
      <c r="E12081" s="538" t="n">
        <v>216.28</v>
      </c>
    </row>
    <row r="12082">
      <c r="A12082" s="544" t="n">
        <v>46122</v>
      </c>
      <c r="B12082" s="538" t="n">
        <v>119.07</v>
      </c>
      <c r="C12082" s="538" t="n">
        <v>98.34</v>
      </c>
      <c r="D12082" s="538" t="n">
        <v>96.06</v>
      </c>
      <c r="E12082" s="538" t="n">
        <v>211.47</v>
      </c>
    </row>
    <row r="12083">
      <c r="A12083" s="544" t="n">
        <v>46125</v>
      </c>
      <c r="B12083" s="538" t="n">
        <v>123.28</v>
      </c>
      <c r="C12083" s="538" t="n">
        <v>100.72</v>
      </c>
      <c r="D12083" s="538" t="n">
        <v>102.72</v>
      </c>
      <c r="E12083" s="538" t="n">
        <v>212.34</v>
      </c>
    </row>
    <row r="12084">
      <c r="A12084" s="544" t="n">
        <v>46126</v>
      </c>
      <c r="B12084" s="538" t="n">
        <v>118.69</v>
      </c>
      <c r="C12084" s="538" t="n">
        <v>93.06999999999999</v>
      </c>
      <c r="D12084" s="538" t="n">
        <v>99.73999999999999</v>
      </c>
      <c r="E12084" s="538" t="n">
        <v>208.21</v>
      </c>
    </row>
    <row r="12085">
      <c r="A12085" s="544" t="n">
        <v>46127</v>
      </c>
      <c r="B12085" s="538" t="n">
        <v>114.93</v>
      </c>
      <c r="C12085" s="538" t="n">
        <v>93.04000000000001</v>
      </c>
      <c r="D12085" s="538" t="n">
        <v>99.87</v>
      </c>
      <c r="E12085" s="538" t="n">
        <v>198.83</v>
      </c>
    </row>
    <row r="12086">
      <c r="A12086" s="544" t="n">
        <v>46128</v>
      </c>
      <c r="B12086" s="538" t="n">
        <v>116.63</v>
      </c>
      <c r="C12086" s="538" t="n">
        <v>96.45999999999999</v>
      </c>
      <c r="D12086" s="538" t="n">
        <v>102.05</v>
      </c>
      <c r="E12086" s="538" t="n">
        <v>200.73</v>
      </c>
    </row>
    <row r="12087">
      <c r="A12087" s="544" t="n">
        <v>46129</v>
      </c>
      <c r="B12087" s="538" t="n">
        <v>98.63</v>
      </c>
      <c r="C12087" s="538" t="n">
        <v>85.91</v>
      </c>
      <c r="D12087" s="538" t="n">
        <v>89.54000000000001</v>
      </c>
      <c r="E12087" s="538" t="n">
        <v>204.13</v>
      </c>
    </row>
    <row r="12088">
      <c r="A12088" s="544" t="n">
        <v>46132</v>
      </c>
      <c r="B12088" s="538" t="n">
        <v>103.4</v>
      </c>
      <c r="C12088" s="538" t="n">
        <v>91.06</v>
      </c>
      <c r="D12088" s="538" t="n">
        <v>94.72</v>
      </c>
      <c r="E12088" s="538" t="n">
        <v>182.53</v>
      </c>
    </row>
    <row r="12089">
      <c r="A12089" s="544" t="n">
        <v>46133</v>
      </c>
      <c r="B12089" s="538" t="n">
        <v>106.14</v>
      </c>
      <c r="C12089" s="538" t="n">
        <v>93.64</v>
      </c>
      <c r="D12089" s="538" t="n">
        <v>97.92</v>
      </c>
      <c r="E12089" s="538" t="n">
        <v>177.41</v>
      </c>
    </row>
    <row r="12090">
      <c r="A12090" s="544" t="n">
        <v>46134</v>
      </c>
      <c r="B12090" s="538" t="n">
        <v>113.44</v>
      </c>
      <c r="C12090" s="538" t="n">
        <v>94.76000000000001</v>
      </c>
      <c r="D12090" s="538" t="n">
        <v>101.83</v>
      </c>
      <c r="E12090" s="538" t="n">
        <v>184.15</v>
      </c>
    </row>
    <row r="12091">
      <c r="A12091" s="544" t="n">
        <v>46135</v>
      </c>
      <c r="B12091" s="538" t="n">
        <v>113.25</v>
      </c>
      <c r="C12091" s="538" t="n">
        <v>99.27</v>
      </c>
      <c r="D12091" s="538" t="n">
        <v>105.7</v>
      </c>
      <c r="E12091" s="538" t="n">
        <v>178.33</v>
      </c>
    </row>
    <row r="12092">
      <c r="A12092" s="544" t="n">
        <v>46136</v>
      </c>
      <c r="B12092" s="538" t="n">
        <v>111.86</v>
      </c>
      <c r="C12092" s="538" t="n">
        <v>98.42</v>
      </c>
      <c r="D12092" s="538" t="n">
        <v>107.04</v>
      </c>
      <c r="E12092" s="538" t="n">
        <v>185.62</v>
      </c>
    </row>
    <row r="12093">
      <c r="A12093" s="544" t="n">
        <v>46139</v>
      </c>
      <c r="B12093" s="538" t="n">
        <v>113.89</v>
      </c>
      <c r="C12093" s="538" t="n">
        <v>99.89</v>
      </c>
      <c r="D12093" s="538" t="n">
        <v>107.12</v>
      </c>
      <c r="E12093" s="538" t="n">
        <v>188.27</v>
      </c>
    </row>
    <row r="12094">
      <c r="A12094" s="544" t="n">
        <v>46140</v>
      </c>
      <c r="B12094" s="538" t="n">
        <v>117.62</v>
      </c>
      <c r="C12094" s="538" t="n">
        <v>103.45</v>
      </c>
      <c r="D12094" s="538" t="n">
        <v>108.26</v>
      </c>
      <c r="E12094" s="538" t="n">
        <v>176.66</v>
      </c>
    </row>
    <row r="12095">
      <c r="A12095" s="544" t="n">
        <v>46141</v>
      </c>
      <c r="B12095" s="538" t="n">
        <v>124.16</v>
      </c>
      <c r="C12095" s="538" t="n">
        <v>110.47</v>
      </c>
      <c r="D12095" s="538" t="n">
        <v>112.94</v>
      </c>
      <c r="E12095" s="538" t="n">
        <v>178.9</v>
      </c>
    </row>
    <row r="12096">
      <c r="A12096" s="544" t="n">
        <v>46142</v>
      </c>
      <c r="B12096" s="538" t="n">
        <v>124.24</v>
      </c>
      <c r="C12096" s="538" t="n">
        <v>108.64</v>
      </c>
      <c r="D12096" s="538" t="n">
        <v>108.23</v>
      </c>
      <c r="E12096" s="538" t="n">
        <v>188.67</v>
      </c>
    </row>
    <row r="12097">
      <c r="A12097" s="544" t="n">
        <v>46143</v>
      </c>
      <c r="B12097" s="538" t="n">
        <v>118.26</v>
      </c>
      <c r="C12097" s="538" t="n">
        <v>105.38</v>
      </c>
      <c r="D12097" s="538" t="n">
        <v>108.23</v>
      </c>
      <c r="E12097" s="538" t="n">
        <v>188.67</v>
      </c>
    </row>
    <row r="12098">
      <c r="A12098" s="544" t="n">
        <v>46146</v>
      </c>
      <c r="B12098" s="538" t="n">
        <v>118.26</v>
      </c>
      <c r="C12098" s="538" t="n">
        <v>109.76</v>
      </c>
      <c r="D12098" s="538" t="n">
        <v>107.03</v>
      </c>
      <c r="E12098" s="538" t="n">
        <v>170.95</v>
      </c>
    </row>
    <row r="12099">
      <c r="A12099" s="544" t="n">
        <v>46147</v>
      </c>
      <c r="B12099" s="538" t="n">
        <v>114.51</v>
      </c>
      <c r="C12099" s="538" t="n">
        <v>105.66</v>
      </c>
      <c r="D12099" s="538" t="n">
        <v>104.49</v>
      </c>
      <c r="E12099" s="538" t="n">
        <v>167.48</v>
      </c>
    </row>
    <row r="12100">
      <c r="A12100" s="544" t="n">
        <v>46148</v>
      </c>
      <c r="B12100" s="538" t="n">
        <v>103.7</v>
      </c>
      <c r="C12100" s="538" t="n">
        <v>98.75</v>
      </c>
      <c r="D12100" s="538" t="n">
        <v>95.34</v>
      </c>
      <c r="E12100" s="538" t="n">
        <v>158.91</v>
      </c>
    </row>
    <row r="12101">
      <c r="A12101" s="544" t="n">
        <v>46149</v>
      </c>
      <c r="B12101" s="538" t="n">
        <v>101.82</v>
      </c>
      <c r="C12101" s="538" t="n">
        <v>98.38</v>
      </c>
      <c r="D12101" s="538" t="n">
        <v>94.42</v>
      </c>
      <c r="E12101" s="538" t="n">
        <v>150.95</v>
      </c>
    </row>
    <row r="12102">
      <c r="A12102" s="544" t="n">
        <v>46150</v>
      </c>
      <c r="B12102" s="538" t="n">
        <v>103.48</v>
      </c>
      <c r="C12102" s="538" t="n">
        <v>98.87</v>
      </c>
      <c r="D12102" s="538" t="n">
        <v>96.03</v>
      </c>
      <c r="E12102" s="538" t="n">
        <v>152.26</v>
      </c>
    </row>
    <row r="12103">
      <c r="A12103" s="544" t="n">
        <v>46153</v>
      </c>
      <c r="B12103" s="538" t="n">
        <v>106.11</v>
      </c>
      <c r="C12103" s="538" t="n">
        <v>101.56</v>
      </c>
      <c r="D12103" s="538" t="n">
        <v>100.79</v>
      </c>
      <c r="E12103" s="538" t="n">
        <v>154.64</v>
      </c>
    </row>
    <row r="12104">
      <c r="A12104" s="544" t="n">
        <v>46154</v>
      </c>
      <c r="B12104" s="538" t="n">
        <v>111.37</v>
      </c>
      <c r="C12104" s="538" t="n">
        <v>105.78</v>
      </c>
      <c r="D12104" s="538" t="n">
        <v>104.25</v>
      </c>
      <c r="E12104" s="538" t="n">
        <v>159.59</v>
      </c>
    </row>
    <row r="12105">
      <c r="A12105" s="544" t="n">
        <v>46155</v>
      </c>
      <c r="B12105" s="538" t="n">
        <v>110.28</v>
      </c>
      <c r="C12105" s="538" t="n">
        <v>104.52</v>
      </c>
      <c r="D12105" s="538" t="n">
        <v>102.03</v>
      </c>
      <c r="E12105" s="538" t="n">
        <v>161.22</v>
      </c>
    </row>
    <row r="12106">
      <c r="A12106" s="544" t="n">
        <v>46156</v>
      </c>
      <c r="B12106" s="538" t="n">
        <v>110.91</v>
      </c>
      <c r="C12106" s="538" t="n">
        <v>104.66</v>
      </c>
      <c r="D12106" s="538" t="n">
        <v>101.8</v>
      </c>
      <c r="E12106" s="538" t="n">
        <v>153.62</v>
      </c>
    </row>
    <row r="12107">
      <c r="A12107" s="544" t="n">
        <v>46157</v>
      </c>
      <c r="B12107" s="538" t="n">
        <v>113.96</v>
      </c>
      <c r="C12107" s="538" t="n">
        <v>108.99</v>
      </c>
      <c r="D12107" s="538" t="n">
        <v>106.28</v>
      </c>
      <c r="E12107" s="538" t="n">
        <v>156.95</v>
      </c>
    </row>
    <row r="12108">
      <c r="A12108" s="544" t="n">
        <v>46160</v>
      </c>
      <c r="B12108" s="538" t="n">
        <v>116.73</v>
      </c>
      <c r="C12108" s="538" t="n">
        <v>112.25</v>
      </c>
      <c r="D12108" s="538" t="n">
        <v>108.92</v>
      </c>
      <c r="E12108" s="538" t="n">
        <v>162.57</v>
      </c>
    </row>
    <row r="12109">
      <c r="A12109" s="544" t="n">
        <v>46161</v>
      </c>
      <c r="B12109" s="538" t="n">
        <v>114.64</v>
      </c>
      <c r="C12109" s="538" t="n">
        <v>112.09</v>
      </c>
      <c r="D12109" s="538" t="n">
        <v>107.83</v>
      </c>
      <c r="E12109" s="538" t="n">
        <v>164.76</v>
      </c>
    </row>
    <row r="12110">
      <c r="A12110" s="544" t="n">
        <v>46162</v>
      </c>
      <c r="B12110" s="538" t="n">
        <v>108.93</v>
      </c>
      <c r="C12110" s="538" t="n">
        <v>101.69</v>
      </c>
      <c r="D12110" s="538" t="n">
        <v>101.91</v>
      </c>
      <c r="E12110" s="538" t="n">
        <v>162.69</v>
      </c>
    </row>
    <row r="12111">
      <c r="A12111" s="544" t="n">
        <v>46163</v>
      </c>
      <c r="B12111" s="538" t="n">
        <v>105.84</v>
      </c>
      <c r="C12111" s="538" t="n">
        <v>100.2</v>
      </c>
      <c r="D12111" s="538" t="n">
        <v>99.14</v>
      </c>
      <c r="E12111" s="538" t="n">
        <v>153.05</v>
      </c>
    </row>
    <row r="12112">
      <c r="A12112" s="544" t="n">
        <v>46164</v>
      </c>
      <c r="B12112" s="538" t="n">
        <v>106.9</v>
      </c>
      <c r="C12112" s="538" t="n">
        <v>100.35</v>
      </c>
      <c r="D12112" s="538" t="n">
        <v>101.02</v>
      </c>
      <c r="E12112" s="538" t="n">
        <v>149.77</v>
      </c>
    </row>
    <row r="12113">
      <c r="A12113" s="544" t="n">
        <v>46167</v>
      </c>
      <c r="B12113" s="538" t="n">
        <v>106.9</v>
      </c>
      <c r="C12113" s="538" t="n">
        <v>100.35</v>
      </c>
      <c r="D12113" s="538" t="n">
        <v>92.95</v>
      </c>
      <c r="E12113" s="538" t="n">
        <v>138.73</v>
      </c>
    </row>
    <row r="12114">
      <c r="A12114" s="544" t="n">
        <v>46168</v>
      </c>
      <c r="B12114" s="538" t="n">
        <v>102.75</v>
      </c>
      <c r="C12114" s="538" t="n">
        <v>97.63</v>
      </c>
      <c r="D12114" s="538" t="n">
        <v>96.22</v>
      </c>
      <c r="E12114" s="538" t="n">
        <v>139.18</v>
      </c>
    </row>
    <row r="12115">
      <c r="A12115" s="544" t="n">
        <v>46169</v>
      </c>
      <c r="B12115" s="538" t="n">
        <v>97.11</v>
      </c>
      <c r="C12115" s="538" t="n">
        <v>92.34999999999999</v>
      </c>
      <c r="D12115" s="538" t="n">
        <v>96.22</v>
      </c>
      <c r="E12115" s="538" t="n">
        <v>139.18</v>
      </c>
    </row>
    <row r="12116">
      <c r="A12116" s="544" t="n">
        <v>46170</v>
      </c>
      <c r="B12116" s="538" t="n">
        <v>95.47</v>
      </c>
      <c r="C12116" s="538" t="n">
        <v>92.65000000000001</v>
      </c>
      <c r="D12116" s="538" t="n">
        <v>91.93000000000001</v>
      </c>
      <c r="E12116" s="538" t="n">
        <v>135.64</v>
      </c>
    </row>
    <row r="12117">
      <c r="A12117" s="544" t="n">
        <v>46171</v>
      </c>
      <c r="B12117" s="538" t="n">
        <v>92.88</v>
      </c>
      <c r="C12117" s="538" t="n">
        <v>91.16</v>
      </c>
      <c r="D12117" s="538" t="n">
        <v>91.27</v>
      </c>
      <c r="E12117" s="538" t="n">
        <v>130.27</v>
      </c>
    </row>
    <row r="12118">
      <c r="A12118" s="544" t="n">
        <v>46174</v>
      </c>
      <c r="B12118" s="538" t="n">
        <v>98.29000000000001</v>
      </c>
      <c r="C12118" s="538" t="n">
        <v>95.95999999999999</v>
      </c>
      <c r="D12118" s="538" t="n">
        <v>91.27</v>
      </c>
      <c r="E12118" s="538" t="n">
        <v>130.27</v>
      </c>
    </row>
    <row r="12119">
      <c r="A12119" s="544" t="n">
        <v>46175</v>
      </c>
      <c r="B12119" s="538" t="n">
        <v>98.48999999999999</v>
      </c>
      <c r="C12119" s="538" t="n">
        <v>97.47</v>
      </c>
      <c r="D12119" s="538" t="n">
        <v>94.06</v>
      </c>
      <c r="E12119" s="538" t="n">
        <v>139.22</v>
      </c>
    </row>
    <row r="12120">
      <c r="A12120" s="544" t="n">
        <v>46176</v>
      </c>
      <c r="B12120" s="538" t="n">
        <v>101.69</v>
      </c>
      <c r="C12120" s="538" t="n">
        <v>99.76000000000001</v>
      </c>
      <c r="D12120" s="538" t="n">
        <v>95.56</v>
      </c>
      <c r="E12120" s="538" t="n">
        <v>148.81</v>
      </c>
    </row>
    <row r="12121">
      <c r="A12121" s="544" t="n">
        <v>46177</v>
      </c>
      <c r="B12121" s="538" t="n">
        <v>98.98</v>
      </c>
      <c r="C12121" s="538" t="n">
        <v>96.83</v>
      </c>
      <c r="D12121" s="538" t="n">
        <v>92.70999999999999</v>
      </c>
      <c r="E12121" s="538" t="n">
        <v>147.84</v>
      </c>
    </row>
    <row r="12122">
      <c r="A12122" s="544" t="n">
        <v>46178</v>
      </c>
      <c r="B12122" s="538" t="n">
        <v>97.29000000000001</v>
      </c>
      <c r="C12122" s="538" t="n">
        <v>94.31999999999999</v>
      </c>
      <c r="D12122" s="538" t="n">
        <v>89.34999999999999</v>
      </c>
      <c r="E12122" s="538" t="n">
        <v>140.34</v>
      </c>
    </row>
    <row r="12123">
      <c r="A12123" s="544" t="n">
        <v>46181</v>
      </c>
      <c r="B12123" s="538" t="n">
        <v>97.45999999999999</v>
      </c>
      <c r="C12123" s="538" t="n">
        <v>95</v>
      </c>
      <c r="D12123" s="538" t="n">
        <v>90.77</v>
      </c>
      <c r="E12123" s="538" t="n">
        <v>146.92</v>
      </c>
    </row>
    <row r="12124">
      <c r="A12124" s="544" t="n">
        <v>46182</v>
      </c>
      <c r="B12124" s="538" t="n">
        <v>94.15000000000001</v>
      </c>
      <c r="C12124" s="538" t="n">
        <v>91.90000000000001</v>
      </c>
      <c r="D12124" s="538" t="n">
        <v>87.61</v>
      </c>
      <c r="E12124" s="538" t="n">
        <v>139.89</v>
      </c>
    </row>
    <row r="12125">
      <c r="A12125" s="544" t="n">
        <v>46183</v>
      </c>
      <c r="B12125" s="538" t="n">
        <v>95.73</v>
      </c>
      <c r="C12125" s="538" t="n">
        <v>93.68000000000001</v>
      </c>
      <c r="D12125" s="538" t="n">
        <v>89.16</v>
      </c>
      <c r="E12125" s="538" t="n">
        <v>137.89</v>
      </c>
    </row>
    <row r="12126">
      <c r="A12126" s="544" t="n">
        <v>46184</v>
      </c>
      <c r="B12126" s="538" t="n">
        <v>92.84</v>
      </c>
      <c r="C12126" s="538" t="n">
        <v>91.58</v>
      </c>
      <c r="D12126" s="538" t="n">
        <v>86.63</v>
      </c>
      <c r="E12126" s="538" t="n">
        <v>138.79</v>
      </c>
    </row>
    <row r="12127">
      <c r="A12127" s="544" t="n">
        <v>46185</v>
      </c>
      <c r="B12127" s="538" t="n">
        <v>88.64</v>
      </c>
      <c r="C12127" s="538" t="n">
        <v>88.62</v>
      </c>
      <c r="D12127" s="538" t="n">
        <v>84.03</v>
      </c>
      <c r="E12127" s="538" t="n">
        <v>127.31</v>
      </c>
    </row>
    <row r="12128">
      <c r="A12128" s="544" t="n">
        <v>46188</v>
      </c>
      <c r="B12128" s="538" t="n">
        <v>84.36</v>
      </c>
      <c r="C12128" s="538" t="n">
        <v>84.65000000000001</v>
      </c>
      <c r="D12128" s="538" t="n">
        <v>78.95999999999999</v>
      </c>
      <c r="E12128" s="538" t="n">
        <v>118.81</v>
      </c>
    </row>
    <row r="12129">
      <c r="A12129" s="544" t="n">
        <v>46189</v>
      </c>
      <c r="B12129" s="538" t="n">
        <v>80.5</v>
      </c>
      <c r="C12129" s="538" t="n">
        <v>79.8</v>
      </c>
      <c r="D12129" s="538" t="n">
        <v>71.68000000000001</v>
      </c>
      <c r="E12129" s="538" t="n">
        <v>115.81</v>
      </c>
    </row>
    <row r="12130">
      <c r="A12130" s="544" t="n">
        <v>46190</v>
      </c>
      <c r="B12130" s="538" t="n">
        <v>80.33</v>
      </c>
      <c r="C12130" s="538" t="n">
        <v>80.65000000000001</v>
      </c>
      <c r="D12130" s="538" t="n">
        <v>73.5</v>
      </c>
      <c r="E12130" s="538" t="n">
        <v>115.97</v>
      </c>
    </row>
    <row r="12131">
      <c r="A12131" s="544" t="n">
        <v>46191</v>
      </c>
      <c r="B12131" s="538" t="n">
        <v>79.34999999999999</v>
      </c>
      <c r="C12131" s="538" t="n">
        <v>80.34999999999999</v>
      </c>
      <c r="D12131" s="538" t="n">
        <v>73.44</v>
      </c>
      <c r="E12131" s="538" t="n">
        <v>112.33</v>
      </c>
    </row>
    <row r="12132">
      <c r="A12132" s="544" t="n">
        <v>46192</v>
      </c>
      <c r="B12132" s="538" t="n">
        <v>80.45999999999999</v>
      </c>
      <c r="C12132" s="538" t="n">
        <v>80.34999999999999</v>
      </c>
      <c r="D12132" s="538" t="n">
        <v>73.17</v>
      </c>
      <c r="E12132" s="538" t="n">
        <v>112.49</v>
      </c>
    </row>
    <row r="12133">
      <c r="A12133" s="544" t="n">
        <v>46195</v>
      </c>
      <c r="B12133" s="538" t="n">
        <v>76.48999999999999</v>
      </c>
      <c r="C12133" s="538" t="n">
        <v>78.94</v>
      </c>
      <c r="D12133" s="538" t="n">
        <v>70.26000000000001</v>
      </c>
      <c r="E12133" s="538" t="n">
        <v>114.76</v>
      </c>
    </row>
    <row r="12134">
      <c r="A12134" s="544" t="n">
        <v>46196</v>
      </c>
      <c r="B12134" s="538" t="n">
        <v>75.69</v>
      </c>
      <c r="C12134" s="538" t="n">
        <v>74.62</v>
      </c>
      <c r="D12134" s="538" t="n">
        <v>69.47</v>
      </c>
      <c r="E12134" s="538" t="n">
        <v>110.85</v>
      </c>
    </row>
    <row r="12135">
      <c r="A12135" s="544" t="n">
        <v>46197</v>
      </c>
      <c r="B12135" s="538" t="n">
        <v>72.09</v>
      </c>
      <c r="C12135" s="538" t="n">
        <v>71.42</v>
      </c>
      <c r="D12135" s="538" t="n">
        <v>66.54000000000001</v>
      </c>
      <c r="E12135" s="538" t="n">
        <v>111.36</v>
      </c>
    </row>
    <row r="12136">
      <c r="A12136" s="544" t="n">
        <v>46198</v>
      </c>
      <c r="B12136" s="538" t="n">
        <v>73.73999999999999</v>
      </c>
      <c r="C12136" s="538" t="n">
        <v>72.67</v>
      </c>
      <c r="D12136" s="538" t="n">
        <v>68.76000000000001</v>
      </c>
      <c r="E12136" s="538" t="n">
        <v>111.12</v>
      </c>
    </row>
    <row r="12137">
      <c r="A12137" s="544" t="n">
        <v>46199</v>
      </c>
      <c r="B12137" s="538" t="n">
        <v>70.16</v>
      </c>
      <c r="C12137" s="538" t="n">
        <v>70.3</v>
      </c>
      <c r="D12137" s="538" t="n">
        <v>65.48</v>
      </c>
      <c r="E12137" s="538" t="n">
        <v>110.4</v>
      </c>
    </row>
    <row r="12138">
      <c r="A12138" s="544" t="n">
        <v>46202</v>
      </c>
      <c r="B12138" s="538" t="n">
        <v>71.59</v>
      </c>
      <c r="C12138" s="538" t="n">
        <v>71.87</v>
      </c>
      <c r="D12138" s="538" t="n">
        <v>68.8</v>
      </c>
      <c r="E12138" s="538" t="n">
        <v>111.46</v>
      </c>
    </row>
    <row r="12139">
      <c r="A12139" s="544" t="n">
        <v>46203</v>
      </c>
      <c r="B12139" s="538" t="n">
        <v>70.45999999999999</v>
      </c>
      <c r="C12139" s="538" t="n">
        <v>70.56</v>
      </c>
      <c r="D12139" s="538" t="n">
        <v>68.31</v>
      </c>
      <c r="E12139" s="538" t="n">
        <v>112.95</v>
      </c>
    </row>
    <row r="12140">
      <c r="A12140" s="544" t="n">
        <v>46204</v>
      </c>
      <c r="B12140" s="538" t="n">
        <v>69.23999999999999</v>
      </c>
      <c r="C12140" s="538" t="n">
        <v>69.73999999999999</v>
      </c>
      <c r="D12140" s="538" t="n">
        <v>65.59</v>
      </c>
      <c r="E12140" s="538" t="n">
        <v>116.89</v>
      </c>
    </row>
    <row r="12141">
      <c r="A12141" s="544" t="n">
        <v>46205</v>
      </c>
      <c r="B12141" s="538" t="n">
        <v>68.53</v>
      </c>
      <c r="C12141" s="538" t="n">
        <v>69.73</v>
      </c>
      <c r="D12141" s="538" t="n">
        <v>63.67</v>
      </c>
      <c r="E12141" s="538" t="n">
        <v>117.53</v>
      </c>
    </row>
    <row r="12142">
      <c r="A12142" s="544" t="n">
        <v>46206</v>
      </c>
      <c r="B12142" s="538" t="n">
        <v>68.68000000000001</v>
      </c>
      <c r="C12142" s="538" t="n">
        <v>69.73</v>
      </c>
      <c r="D12142" s="538" t="n">
        <v>65.45999999999999</v>
      </c>
      <c r="E12142" s="538" t="n">
        <v>113.69</v>
      </c>
    </row>
    <row r="12143">
      <c r="A12143" s="544" t="n">
        <v>46209</v>
      </c>
      <c r="B12143" s="538" t="n">
        <v>69.56</v>
      </c>
      <c r="C12143" s="538" t="n">
        <v>69.59999999999999</v>
      </c>
      <c r="D12143" s="538" t="n">
        <v>65.48</v>
      </c>
      <c r="E12143" s="538" t="n">
        <v>114.54</v>
      </c>
    </row>
    <row r="12144">
      <c r="A12144" s="544" t="n">
        <v>46210</v>
      </c>
      <c r="B12144" s="538" t="n">
        <v>71.78</v>
      </c>
      <c r="C12144" s="538" t="n">
        <v>71.53</v>
      </c>
      <c r="D12144" s="538" t="n">
        <v>68.25</v>
      </c>
      <c r="E12144" s="538" t="n">
        <v>116.3</v>
      </c>
    </row>
    <row r="12145">
      <c r="A12145" s="544" t="n">
        <v>46211</v>
      </c>
      <c r="B12145" s="538" t="n">
        <v>76.5</v>
      </c>
      <c r="C12145" s="538" t="n">
        <v>74.56</v>
      </c>
      <c r="D12145" s="538" t="n">
        <v>71.90000000000001</v>
      </c>
      <c r="E12145" s="538" t="n">
        <v>119.21</v>
      </c>
    </row>
    <row r="12146">
      <c r="A12146" s="544" t="n">
        <v>46212</v>
      </c>
      <c r="B12146" s="538" t="n">
        <v>74.45999999999999</v>
      </c>
      <c r="C12146" s="538" t="n">
        <v>73.15000000000001</v>
      </c>
      <c r="D12146" s="538" t="n">
        <v>70.25</v>
      </c>
      <c r="E12146" s="538" t="n">
        <v>124.23</v>
      </c>
    </row>
    <row r="12147">
      <c r="A12147" s="544" t="n">
        <v>46213</v>
      </c>
      <c r="B12147" s="538" t="n">
        <v>74.34</v>
      </c>
      <c r="C12147" s="538" t="n">
        <v>72.45</v>
      </c>
      <c r="D12147" s="538" t="n">
        <v>70.25</v>
      </c>
      <c r="E12147" s="538" t="n">
        <v>122.5</v>
      </c>
    </row>
    <row r="12148">
      <c r="A12148" s="544" t="n">
        <v>46216</v>
      </c>
      <c r="B12148" s="538" t="n">
        <v>81.62</v>
      </c>
      <c r="C12148" s="538" t="n">
        <v>79.2</v>
      </c>
      <c r="D12148" s="538" t="n">
        <v>77.59999999999999</v>
      </c>
      <c r="E12148" s="538" t="n">
        <v>129.15</v>
      </c>
    </row>
    <row r="12149">
      <c r="A12149" s="544" t="n">
        <v>46217</v>
      </c>
      <c r="B12149" s="538" t="n">
        <v>83.69</v>
      </c>
      <c r="C12149" s="538" t="n">
        <v>80.44</v>
      </c>
      <c r="D12149" s="538" t="n">
        <v>79.95</v>
      </c>
      <c r="E12149" s="538" t="n">
        <v>157.28</v>
      </c>
    </row>
    <row r="12150">
      <c r="A12150" s="544" t="n">
        <v>46218</v>
      </c>
      <c r="B12150" s="538" t="n">
        <v>83.08</v>
      </c>
      <c r="C12150" s="538" t="n">
        <v>80.73</v>
      </c>
      <c r="D12150" s="538" t="n">
        <v>79.01000000000001</v>
      </c>
      <c r="E12150" s="538" t="n">
        <v>147.6</v>
      </c>
    </row>
    <row r="12151">
      <c r="A12151" s="544" t="n">
        <v>46219</v>
      </c>
      <c r="B12151" s="538" t="n">
        <v>81.23</v>
      </c>
      <c r="C12151" s="538" t="n">
        <v>80.03</v>
      </c>
      <c r="D12151" s="538" t="n">
        <v>76.12</v>
      </c>
      <c r="E12151" s="538" t="n">
        <v>142.33</v>
      </c>
    </row>
    <row r="12152">
      <c r="A12152" s="544" t="n">
        <v>46220</v>
      </c>
      <c r="B12152" s="538" t="n">
        <v>85.01000000000001</v>
      </c>
      <c r="C12152" s="538" t="n">
        <v>83.43000000000001</v>
      </c>
      <c r="D12152" s="538" t="n">
        <v>80.09</v>
      </c>
      <c r="E12152" s="538" t="n">
        <v>145.8</v>
      </c>
    </row>
    <row r="12153">
      <c r="A12153" s="544" t="n">
        <v>46223</v>
      </c>
      <c r="B12153" s="538" t="n">
        <v>86.98999999999999</v>
      </c>
      <c r="C12153" s="538" t="n">
        <v>84.38</v>
      </c>
      <c r="D12153" s="538" t="n">
        <v>81.52</v>
      </c>
      <c r="E12153" s="538" t="n">
        <v>147.55</v>
      </c>
    </row>
    <row r="12154">
      <c r="A12154" s="544" t="n">
        <v>46224</v>
      </c>
      <c r="B12154" s="538" t="n">
        <v>93.84999999999999</v>
      </c>
      <c r="C12154" s="538" t="n">
        <v>86.04000000000001</v>
      </c>
      <c r="D12154" s="538" t="n">
        <v>84.97</v>
      </c>
      <c r="E12154" s="538" t="n">
        <v>149.68</v>
      </c>
    </row>
    <row r="12155">
      <c r="A12155" s="544" t="n">
        <v>46225</v>
      </c>
      <c r="B12155" s="538" t="n">
        <v>94.12</v>
      </c>
      <c r="C12155" s="538" t="n">
        <v>87.66</v>
      </c>
      <c r="D12155" s="538" t="n">
        <v>87.40000000000001</v>
      </c>
      <c r="E12155" s="538" t="n">
        <v>159.94</v>
      </c>
    </row>
    <row r="12156">
      <c r="A12156" s="544" t="n">
        <v>46226</v>
      </c>
      <c r="B12156" s="538" t="n">
        <v>105.32</v>
      </c>
      <c r="C12156" s="538" t="n">
        <v>93.08</v>
      </c>
      <c r="D12156" s="538" t="n">
        <v>98.36</v>
      </c>
      <c r="E12156" s="538" t="n">
        <v>161.27</v>
      </c>
    </row>
    <row r="12157">
      <c r="A12157" s="544" t="n">
        <v>46227</v>
      </c>
      <c r="B12157" s="538" t="n">
        <v>100.31</v>
      </c>
      <c r="C12157" s="538" t="n">
        <v>91.73999999999999</v>
      </c>
      <c r="D12157" s="538" t="n">
        <v>90.08</v>
      </c>
      <c r="E12157" s="538" t="n">
        <v>158.6</v>
      </c>
    </row>
    <row r="12158">
      <c r="A12158" s="544" t="n">
        <v>46230</v>
      </c>
      <c r="B12158" s="538" t="n">
        <v>91.81999999999999</v>
      </c>
      <c r="C12158" s="538" t="n">
        <v>84.25</v>
      </c>
      <c r="D12158" s="538" t="n">
        <v>79.39</v>
      </c>
      <c r="E12158" s="538" t="n">
        <v>149.8</v>
      </c>
    </row>
    <row r="12159">
      <c r="A12159" s="544" t="n">
        <v>46231</v>
      </c>
      <c r="B12159" s="538" t="n">
        <v>91.81999999999999</v>
      </c>
      <c r="C12159" s="538" t="n">
        <v>84.25</v>
      </c>
      <c r="D12159" s="538" t="n">
        <v>77.70999999999999</v>
      </c>
      <c r="E12159" s="538" t="n">
        <v>147.37</v>
      </c>
    </row>
    <row r="12160">
      <c r="A12160" s="544" t="n">
        <v>46232</v>
      </c>
      <c r="B12160" s="538" t="n">
        <v>91.81999999999999</v>
      </c>
      <c r="C12160" s="538" t="n">
        <v>84.25</v>
      </c>
      <c r="D12160" s="538" t="n">
        <v>83.48</v>
      </c>
      <c r="E12160" s="538" t="n">
        <v>151.16</v>
      </c>
    </row>
    <row r="12161">
      <c r="A12161" s="544" t="n">
        <v>46233</v>
      </c>
      <c r="B12161" s="538" t="n">
        <v>91.81999999999999</v>
      </c>
      <c r="C12161" s="538" t="n">
        <v>84.25</v>
      </c>
      <c r="D12161" s="538" t="n">
        <v>80.73</v>
      </c>
      <c r="E12161" s="538" t="n">
        <v>155.47</v>
      </c>
    </row>
    <row r="12162">
      <c r="A12162" s="544" t="n">
        <v>46234</v>
      </c>
      <c r="B12162" s="538" t="n">
        <v>91.81999999999999</v>
      </c>
      <c r="C12162" s="538" t="n">
        <v>84.25</v>
      </c>
      <c r="D12162" s="538" t="n">
        <v>82.95999999999999</v>
      </c>
      <c r="E12162" s="538" t="n">
        <v>153.66</v>
      </c>
    </row>
    <row r="12163">
      <c r="A12163" s="544" t="n">
        <v>46237</v>
      </c>
      <c r="B12163" s="538" t="n">
        <v>91.81999999999999</v>
      </c>
      <c r="C12163" s="538" t="n">
        <v>84.25</v>
      </c>
      <c r="D12163" s="538" t="n">
        <v>77.58</v>
      </c>
      <c r="E12163" s="538" t="n">
        <v>149.37</v>
      </c>
    </row>
    <row r="12164">
      <c r="A12164" s="544" t="n">
        <v>46238</v>
      </c>
      <c r="B12164" s="538" t="n">
        <v>91.81999999999999</v>
      </c>
      <c r="C12164" s="538" t="n">
        <v>84.25</v>
      </c>
      <c r="D12164" s="538" t="n">
        <v>75.51000000000001</v>
      </c>
      <c r="E12164" s="538" t="n">
        <v>139.71</v>
      </c>
    </row>
  </sheetData>
  <dataValidations disablePrompts="1" count="1">
    <dataValidation sqref="A8" showDropDown="0" showInputMessage="0" showErrorMessage="1" allowBlank="1" promptTitle="TRAFO" prompt="$A$8:$E$11833"/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Sheet22">
    <tabColor rgb="FFFFFF00"/>
    <outlinePr summaryBelow="1" summaryRight="1"/>
    <pageSetUpPr/>
  </sheetPr>
  <dimension ref="A1:L10502"/>
  <sheetViews>
    <sheetView zoomScale="115" zoomScaleNormal="115" workbookViewId="0">
      <pane xSplit="1" ySplit="8" topLeftCell="B149" activePane="bottomRight" state="frozen"/>
      <selection activeCell="LO179" sqref="LO179"/>
      <selection pane="topRight" activeCell="LO179" sqref="LO179"/>
      <selection pane="bottomLeft" activeCell="LO179" sqref="LO179"/>
      <selection pane="bottomRight" activeCell="H149" sqref="H149"/>
    </sheetView>
  </sheetViews>
  <sheetFormatPr baseColWidth="8" defaultColWidth="9.140625" defaultRowHeight="15" outlineLevelRow="1"/>
  <cols>
    <col width="11.140625" bestFit="1" customWidth="1" style="534" min="1" max="1"/>
    <col width="15.42578125" bestFit="1" customWidth="1" style="534" min="2" max="2"/>
    <col width="12.140625" customWidth="1" style="534" min="3" max="4"/>
    <col width="11.140625" bestFit="1" customWidth="1" style="534" min="5" max="5"/>
    <col width="12.140625" customWidth="1" style="534" min="6" max="7"/>
    <col width="13.140625" customWidth="1" style="534" min="8" max="8"/>
    <col width="9.28515625" bestFit="1" customWidth="1" style="534" min="9" max="12"/>
    <col width="9.140625" customWidth="1" style="534" min="13" max="16384"/>
  </cols>
  <sheetData>
    <row r="1">
      <c r="A1" s="533" t="inlineStr">
        <is>
          <t>Share Price of Cathay Pacific</t>
        </is>
      </c>
    </row>
    <row r="2" ht="15.75" customHeight="1" s="239" thickBot="1">
      <c r="A2" s="534" t="inlineStr">
        <is>
          <t>Source: Datastream</t>
        </is>
      </c>
    </row>
    <row r="3" ht="15.75" customHeight="1" s="239" thickBot="1">
      <c r="H3" s="549" t="inlineStr">
        <is>
          <t>Stock Beta</t>
        </is>
      </c>
      <c r="I3" s="1359">
        <f>SLOPE($K:$K,$L:$L)</f>
        <v/>
      </c>
    </row>
    <row r="4" ht="15.75" customHeight="1" s="239" thickBot="1">
      <c r="H4" s="549" t="inlineStr">
        <is>
          <t>Risk-free rate</t>
        </is>
      </c>
      <c r="I4" s="551">
        <f>INDEX($F:$F,MATCH(MAX($E:$E),$E:$E,0),1,1)/100</f>
        <v/>
      </c>
    </row>
    <row r="5"/>
    <row r="6">
      <c r="A6" s="536" t="inlineStr">
        <is>
          <t>Data from Datastream</t>
        </is>
      </c>
      <c r="H6" s="556" t="inlineStr">
        <is>
          <t>Monthly since 2015</t>
        </is>
      </c>
      <c r="I6" s="552" t="n"/>
    </row>
    <row r="7" ht="45" customFormat="1" customHeight="1" s="553">
      <c r="B7" s="553" t="inlineStr">
        <is>
          <t>CX Share Price</t>
        </is>
      </c>
      <c r="C7" s="553" t="inlineStr">
        <is>
          <t>Hang Seng Index</t>
        </is>
      </c>
      <c r="F7" s="553" t="inlineStr">
        <is>
          <t>HK 10-year govt bond yield</t>
        </is>
      </c>
      <c r="I7" s="553" t="inlineStr">
        <is>
          <t>CX Share Price</t>
        </is>
      </c>
      <c r="J7" s="553" t="inlineStr">
        <is>
          <t>Hang Seng Index</t>
        </is>
      </c>
      <c r="K7" s="553" t="inlineStr">
        <is>
          <t>CX Monthly Return</t>
        </is>
      </c>
      <c r="L7" s="553" t="inlineStr">
        <is>
          <t>HSI Monthly Return</t>
        </is>
      </c>
    </row>
    <row r="8" outlineLevel="1" s="239">
      <c r="A8" s="534">
        <f>_xll.Thomson.Reuters.AFOSpreadSheetFormulas.DSGRID("0293.HK,.HSI"," ","Base Date","","D","RowHeader=true;ColHeader=true;DispSeriesDescription=false;YearlyTSFormat=false;QuarterlyTSFormat=false;Sym=RIC;MonthlyTSFormat=False","")</f>
        <v/>
      </c>
      <c r="B8" s="636" t="inlineStr">
        <is>
          <t>CATHAY PACIFIC AIRWAYS</t>
        </is>
      </c>
      <c r="C8" s="636" t="inlineStr">
        <is>
          <t>HANG SENG - PRICE INDEX</t>
        </is>
      </c>
      <c r="E8" s="534">
        <f>_xll.Thomson.Reuters.AFOSpreadSheetFormulas.DSGRID("TRHK10T"," ","Base Date","","D","RowHeader=true;ColHeader=true;DispSeriesDescription=false;YearlyTSFormat=false;QuarterlyTSFormat=false;MonthlyTSFormat=False","")</f>
        <v/>
      </c>
      <c r="F8" s="636" t="inlineStr">
        <is>
          <t>HONG KONG GVT BMK BID YLD 10Y - RED. YIELD</t>
        </is>
      </c>
    </row>
    <row r="9">
      <c r="A9" s="535" t="n">
        <v>31547</v>
      </c>
      <c r="B9" s="534" t="n">
        <v>4.791</v>
      </c>
      <c r="C9" s="534" t="n">
        <v>1794.17</v>
      </c>
      <c r="E9" s="535" t="n">
        <v>35367</v>
      </c>
      <c r="F9" s="534" t="n">
        <v>7.6</v>
      </c>
      <c r="G9" s="554" t="n"/>
      <c r="H9" s="535" t="n">
        <v>42004</v>
      </c>
      <c r="I9" s="1360">
        <f>VLOOKUP($H9,$A:$C,2,TRUE)</f>
        <v/>
      </c>
      <c r="J9" s="554">
        <f>VLOOKUP($H9,$A:$C,3,TRUE)</f>
        <v/>
      </c>
    </row>
    <row r="10">
      <c r="A10" s="535" t="n">
        <v>31548</v>
      </c>
      <c r="B10" s="534" t="n">
        <v>4.443</v>
      </c>
      <c r="C10" s="534" t="n">
        <v>1787.08</v>
      </c>
      <c r="E10" s="535" t="n">
        <v>35368</v>
      </c>
      <c r="F10" s="534" t="n">
        <v>7.44</v>
      </c>
      <c r="G10" s="554" t="n"/>
      <c r="H10" s="535">
        <f>EOMONTH(H9,1)</f>
        <v/>
      </c>
      <c r="I10" s="1360">
        <f>VLOOKUP($H10,$A:$C,2,TRUE)</f>
        <v/>
      </c>
      <c r="J10" s="554">
        <f>VLOOKUP($H10,$A:$C,3,TRUE)</f>
        <v/>
      </c>
      <c r="K10" s="555">
        <f>I10/I9-1</f>
        <v/>
      </c>
      <c r="L10" s="555">
        <f>J10/J9-1</f>
        <v/>
      </c>
    </row>
    <row r="11">
      <c r="A11" s="535" t="n">
        <v>31551</v>
      </c>
      <c r="B11" s="534" t="n">
        <v>4.486</v>
      </c>
      <c r="C11" s="534" t="n">
        <v>1765.02</v>
      </c>
      <c r="E11" s="535" t="n">
        <v>35369</v>
      </c>
      <c r="F11" s="534" t="n">
        <v>7.45</v>
      </c>
      <c r="G11" s="554" t="n"/>
      <c r="H11" s="535">
        <f>EOMONTH(H10,1)</f>
        <v/>
      </c>
      <c r="I11" s="1360">
        <f>VLOOKUP($H11,$A:$C,2,TRUE)</f>
        <v/>
      </c>
      <c r="J11" s="554">
        <f>VLOOKUP($H11,$A:$C,3,TRUE)</f>
        <v/>
      </c>
      <c r="K11" s="555">
        <f>I11/I10-1</f>
        <v/>
      </c>
      <c r="L11" s="555">
        <f>J11/J10-1</f>
        <v/>
      </c>
    </row>
    <row r="12">
      <c r="A12" s="535" t="n">
        <v>31552</v>
      </c>
      <c r="B12" s="534" t="n">
        <v>4.66</v>
      </c>
      <c r="C12" s="534" t="n">
        <v>1777.27</v>
      </c>
      <c r="E12" s="535" t="n">
        <v>35370</v>
      </c>
      <c r="F12" s="534" t="n">
        <v>7.36</v>
      </c>
      <c r="G12" s="554" t="n"/>
      <c r="H12" s="535">
        <f>EOMONTH(H11,1)</f>
        <v/>
      </c>
      <c r="I12" s="1360">
        <f>VLOOKUP($H12,$A:$C,2,TRUE)</f>
        <v/>
      </c>
      <c r="J12" s="554">
        <f>VLOOKUP($H12,$A:$C,3,TRUE)</f>
        <v/>
      </c>
      <c r="K12" s="555">
        <f>I12/I11-1</f>
        <v/>
      </c>
      <c r="L12" s="555">
        <f>J12/J11-1</f>
        <v/>
      </c>
    </row>
    <row r="13">
      <c r="A13" s="535" t="n">
        <v>31553</v>
      </c>
      <c r="B13" s="534" t="n">
        <v>4.878</v>
      </c>
      <c r="C13" s="534" t="n">
        <v>1794.94</v>
      </c>
      <c r="E13" s="535" t="n">
        <v>35373</v>
      </c>
      <c r="F13" s="534" t="n">
        <v>7.38</v>
      </c>
      <c r="G13" s="554" t="n"/>
      <c r="H13" s="535">
        <f>EOMONTH(H12,1)</f>
        <v/>
      </c>
      <c r="I13" s="1360">
        <f>VLOOKUP($H13,$A:$C,2,TRUE)</f>
        <v/>
      </c>
      <c r="J13" s="554">
        <f>VLOOKUP($H13,$A:$C,3,TRUE)</f>
        <v/>
      </c>
      <c r="K13" s="555">
        <f>I13/I12-1</f>
        <v/>
      </c>
      <c r="L13" s="555">
        <f>J13/J12-1</f>
        <v/>
      </c>
    </row>
    <row r="14">
      <c r="A14" s="535" t="n">
        <v>31554</v>
      </c>
      <c r="B14" s="534" t="n">
        <v>5.052</v>
      </c>
      <c r="C14" s="534" t="n">
        <v>1820.98</v>
      </c>
      <c r="E14" s="535" t="n">
        <v>35374</v>
      </c>
      <c r="F14" s="534" t="n">
        <v>7.37</v>
      </c>
      <c r="G14" s="554" t="n"/>
      <c r="H14" s="535">
        <f>EOMONTH(H13,1)</f>
        <v/>
      </c>
      <c r="I14" s="1360">
        <f>VLOOKUP($H14,$A:$C,2,TRUE)</f>
        <v/>
      </c>
      <c r="J14" s="554">
        <f>VLOOKUP($H14,$A:$C,3,TRUE)</f>
        <v/>
      </c>
      <c r="K14" s="555">
        <f>I14/I13-1</f>
        <v/>
      </c>
      <c r="L14" s="555">
        <f>J14/J13-1</f>
        <v/>
      </c>
    </row>
    <row r="15">
      <c r="A15" s="535" t="n">
        <v>31555</v>
      </c>
      <c r="B15" s="534" t="n">
        <v>5.009</v>
      </c>
      <c r="C15" s="534" t="n">
        <v>1815.92</v>
      </c>
      <c r="E15" s="535" t="n">
        <v>35375</v>
      </c>
      <c r="F15" s="534" t="n">
        <v>7.3</v>
      </c>
      <c r="G15" s="554" t="n"/>
      <c r="H15" s="535">
        <f>EOMONTH(H14,1)</f>
        <v/>
      </c>
      <c r="I15" s="1360">
        <f>VLOOKUP($H15,$A:$C,2,TRUE)</f>
        <v/>
      </c>
      <c r="J15" s="554">
        <f>VLOOKUP($H15,$A:$C,3,TRUE)</f>
        <v/>
      </c>
      <c r="K15" s="555">
        <f>I15/I14-1</f>
        <v/>
      </c>
      <c r="L15" s="555">
        <f>J15/J14-1</f>
        <v/>
      </c>
    </row>
    <row r="16">
      <c r="A16" s="535" t="n">
        <v>31558</v>
      </c>
      <c r="B16" s="534" t="n">
        <v>5.009</v>
      </c>
      <c r="C16" s="534" t="n">
        <v>1811.87</v>
      </c>
      <c r="E16" s="535" t="n">
        <v>35376</v>
      </c>
      <c r="F16" s="534" t="n">
        <v>7.32</v>
      </c>
      <c r="G16" s="554" t="n"/>
      <c r="H16" s="535">
        <f>EOMONTH(H15,1)</f>
        <v/>
      </c>
      <c r="I16" s="1360">
        <f>VLOOKUP($H16,$A:$C,2,TRUE)</f>
        <v/>
      </c>
      <c r="J16" s="554">
        <f>VLOOKUP($H16,$A:$C,3,TRUE)</f>
        <v/>
      </c>
      <c r="K16" s="555">
        <f>I16/I15-1</f>
        <v/>
      </c>
      <c r="L16" s="555">
        <f>J16/J15-1</f>
        <v/>
      </c>
    </row>
    <row r="17">
      <c r="A17" s="535" t="n">
        <v>31559</v>
      </c>
      <c r="B17" s="534" t="n">
        <v>5.009</v>
      </c>
      <c r="C17" s="534" t="n">
        <v>1816.3</v>
      </c>
      <c r="E17" s="535" t="n">
        <v>35377</v>
      </c>
      <c r="F17" s="534" t="n">
        <v>7.26</v>
      </c>
      <c r="G17" s="554" t="n"/>
      <c r="H17" s="535">
        <f>EOMONTH(H16,1)</f>
        <v/>
      </c>
      <c r="I17" s="1360">
        <f>VLOOKUP($H17,$A:$C,2,TRUE)</f>
        <v/>
      </c>
      <c r="J17" s="554">
        <f>VLOOKUP($H17,$A:$C,3,TRUE)</f>
        <v/>
      </c>
      <c r="K17" s="555">
        <f>I17/I16-1</f>
        <v/>
      </c>
      <c r="L17" s="555">
        <f>J17/J16-1</f>
        <v/>
      </c>
    </row>
    <row r="18">
      <c r="A18" s="535" t="n">
        <v>31560</v>
      </c>
      <c r="B18" s="534" t="n">
        <v>4.835</v>
      </c>
      <c r="C18" s="534" t="n">
        <v>1777.47</v>
      </c>
      <c r="E18" s="535" t="n">
        <v>35380</v>
      </c>
      <c r="F18" s="534" t="n">
        <v>7.27</v>
      </c>
      <c r="G18" s="554" t="n"/>
      <c r="H18" s="535">
        <f>EOMONTH(H17,1)</f>
        <v/>
      </c>
      <c r="I18" s="1360">
        <f>VLOOKUP($H18,$A:$C,2,TRUE)</f>
        <v/>
      </c>
      <c r="J18" s="554">
        <f>VLOOKUP($H18,$A:$C,3,TRUE)</f>
        <v/>
      </c>
      <c r="K18" s="555">
        <f>I18/I17-1</f>
        <v/>
      </c>
      <c r="L18" s="555">
        <f>J18/J17-1</f>
        <v/>
      </c>
    </row>
    <row r="19">
      <c r="A19" s="535" t="n">
        <v>31561</v>
      </c>
      <c r="B19" s="534" t="n">
        <v>4.878</v>
      </c>
      <c r="C19" s="534" t="n">
        <v>1772.76</v>
      </c>
      <c r="E19" s="535" t="n">
        <v>35381</v>
      </c>
      <c r="F19" s="534" t="n">
        <v>7.27</v>
      </c>
      <c r="G19" s="554" t="n"/>
      <c r="H19" s="535">
        <f>EOMONTH(H18,1)</f>
        <v/>
      </c>
      <c r="I19" s="1360">
        <f>VLOOKUP($H19,$A:$C,2,TRUE)</f>
        <v/>
      </c>
      <c r="J19" s="554">
        <f>VLOOKUP($H19,$A:$C,3,TRUE)</f>
        <v/>
      </c>
      <c r="K19" s="555">
        <f>I19/I18-1</f>
        <v/>
      </c>
      <c r="L19" s="555">
        <f>J19/J18-1</f>
        <v/>
      </c>
    </row>
    <row r="20">
      <c r="A20" s="535" t="n">
        <v>31562</v>
      </c>
      <c r="B20" s="534" t="n">
        <v>4.922</v>
      </c>
      <c r="C20" s="534" t="n">
        <v>1787.96</v>
      </c>
      <c r="E20" s="535" t="n">
        <v>35382</v>
      </c>
      <c r="F20" s="534" t="n">
        <v>7.18</v>
      </c>
      <c r="G20" s="554" t="n"/>
      <c r="H20" s="535">
        <f>EOMONTH(H19,1)</f>
        <v/>
      </c>
      <c r="I20" s="1360">
        <f>VLOOKUP($H20,$A:$C,2,TRUE)</f>
        <v/>
      </c>
      <c r="J20" s="554">
        <f>VLOOKUP($H20,$A:$C,3,TRUE)</f>
        <v/>
      </c>
      <c r="K20" s="555">
        <f>I20/I19-1</f>
        <v/>
      </c>
      <c r="L20" s="555">
        <f>J20/J19-1</f>
        <v/>
      </c>
    </row>
    <row r="21">
      <c r="A21" s="535" t="n">
        <v>31565</v>
      </c>
      <c r="B21" s="534" t="n">
        <v>4.878</v>
      </c>
      <c r="C21" s="534" t="n">
        <v>1781.94</v>
      </c>
      <c r="E21" s="535" t="n">
        <v>35383</v>
      </c>
      <c r="F21" s="534" t="n">
        <v>7.24</v>
      </c>
      <c r="G21" s="554" t="n"/>
      <c r="H21" s="535">
        <f>EOMONTH(H20,1)</f>
        <v/>
      </c>
      <c r="I21" s="1360">
        <f>VLOOKUP($H21,$A:$C,2,TRUE)</f>
        <v/>
      </c>
      <c r="J21" s="554">
        <f>VLOOKUP($H21,$A:$C,3,TRUE)</f>
        <v/>
      </c>
      <c r="K21" s="555">
        <f>I21/I20-1</f>
        <v/>
      </c>
      <c r="L21" s="555">
        <f>J21/J20-1</f>
        <v/>
      </c>
    </row>
    <row r="22">
      <c r="A22" s="535" t="n">
        <v>31566</v>
      </c>
      <c r="B22" s="534" t="n">
        <v>4.835</v>
      </c>
      <c r="C22" s="534" t="n">
        <v>1757.91</v>
      </c>
      <c r="E22" s="535" t="n">
        <v>35384</v>
      </c>
      <c r="F22" s="534" t="n">
        <v>7.18</v>
      </c>
      <c r="G22" s="554" t="n"/>
      <c r="H22" s="535">
        <f>EOMONTH(H21,1)</f>
        <v/>
      </c>
      <c r="I22" s="1360">
        <f>VLOOKUP($H22,$A:$C,2,TRUE)</f>
        <v/>
      </c>
      <c r="J22" s="554">
        <f>VLOOKUP($H22,$A:$C,3,TRUE)</f>
        <v/>
      </c>
      <c r="K22" s="555">
        <f>I22/I21-1</f>
        <v/>
      </c>
      <c r="L22" s="555">
        <f>J22/J21-1</f>
        <v/>
      </c>
    </row>
    <row r="23">
      <c r="A23" s="535" t="n">
        <v>31567</v>
      </c>
      <c r="B23" s="534" t="n">
        <v>4.791</v>
      </c>
      <c r="C23" s="534" t="n">
        <v>1756.67</v>
      </c>
      <c r="E23" s="535" t="n">
        <v>35387</v>
      </c>
      <c r="F23" s="534" t="n">
        <v>7.22</v>
      </c>
      <c r="G23" s="554" t="n"/>
      <c r="H23" s="535">
        <f>EOMONTH(H22,1)</f>
        <v/>
      </c>
      <c r="I23" s="1360">
        <f>VLOOKUP($H23,$A:$C,2,TRUE)</f>
        <v/>
      </c>
      <c r="J23" s="554">
        <f>VLOOKUP($H23,$A:$C,3,TRUE)</f>
        <v/>
      </c>
      <c r="K23" s="555">
        <f>I23/I22-1</f>
        <v/>
      </c>
      <c r="L23" s="555">
        <f>J23/J22-1</f>
        <v/>
      </c>
    </row>
    <row r="24">
      <c r="A24" s="535" t="n">
        <v>31568</v>
      </c>
      <c r="B24" s="534" t="n">
        <v>4.791</v>
      </c>
      <c r="C24" s="534" t="n">
        <v>1748.56</v>
      </c>
      <c r="E24" s="535" t="n">
        <v>35388</v>
      </c>
      <c r="F24" s="534" t="n">
        <v>7.23</v>
      </c>
      <c r="G24" s="554" t="n"/>
      <c r="H24" s="535">
        <f>EOMONTH(H23,1)</f>
        <v/>
      </c>
      <c r="I24" s="1360">
        <f>VLOOKUP($H24,$A:$C,2,TRUE)</f>
        <v/>
      </c>
      <c r="J24" s="554">
        <f>VLOOKUP($H24,$A:$C,3,TRUE)</f>
        <v/>
      </c>
      <c r="K24" s="555">
        <f>I24/I23-1</f>
        <v/>
      </c>
      <c r="L24" s="555">
        <f>J24/J23-1</f>
        <v/>
      </c>
    </row>
    <row r="25">
      <c r="A25" s="535" t="n">
        <v>31569</v>
      </c>
      <c r="B25" s="534" t="n">
        <v>4.791</v>
      </c>
      <c r="C25" s="534" t="n">
        <v>1747.09</v>
      </c>
      <c r="E25" s="535" t="n">
        <v>35389</v>
      </c>
      <c r="F25" s="534" t="n">
        <v>7.17</v>
      </c>
      <c r="G25" s="554" t="n"/>
      <c r="H25" s="535">
        <f>EOMONTH(H24,1)</f>
        <v/>
      </c>
      <c r="I25" s="1360">
        <f>VLOOKUP($H25,$A:$C,2,TRUE)</f>
        <v/>
      </c>
      <c r="J25" s="554">
        <f>VLOOKUP($H25,$A:$C,3,TRUE)</f>
        <v/>
      </c>
      <c r="K25" s="555">
        <f>I25/I24-1</f>
        <v/>
      </c>
      <c r="L25" s="555">
        <f>J25/J24-1</f>
        <v/>
      </c>
    </row>
    <row r="26">
      <c r="A26" s="535" t="n">
        <v>31572</v>
      </c>
      <c r="B26" s="534" t="n">
        <v>4.748</v>
      </c>
      <c r="C26" s="534" t="n">
        <v>1748.24</v>
      </c>
      <c r="E26" s="535" t="n">
        <v>35390</v>
      </c>
      <c r="F26" s="534" t="n">
        <v>7.14</v>
      </c>
      <c r="G26" s="554" t="n"/>
      <c r="H26" s="535">
        <f>EOMONTH(H25,1)</f>
        <v/>
      </c>
      <c r="I26" s="1360">
        <f>VLOOKUP($H26,$A:$C,2,TRUE)</f>
        <v/>
      </c>
      <c r="J26" s="554">
        <f>VLOOKUP($H26,$A:$C,3,TRUE)</f>
        <v/>
      </c>
      <c r="K26" s="555">
        <f>I26/I25-1</f>
        <v/>
      </c>
      <c r="L26" s="555">
        <f>J26/J25-1</f>
        <v/>
      </c>
    </row>
    <row r="27">
      <c r="A27" s="535" t="n">
        <v>31573</v>
      </c>
      <c r="B27" s="534" t="n">
        <v>4.748</v>
      </c>
      <c r="C27" s="534" t="n">
        <v>1751.36</v>
      </c>
      <c r="E27" s="535" t="n">
        <v>35391</v>
      </c>
      <c r="F27" s="534" t="n">
        <v>7.15</v>
      </c>
      <c r="G27" s="554" t="n"/>
      <c r="H27" s="535">
        <f>EOMONTH(H26,1)</f>
        <v/>
      </c>
      <c r="I27" s="1360">
        <f>VLOOKUP($H27,$A:$C,2,TRUE)</f>
        <v/>
      </c>
      <c r="J27" s="554">
        <f>VLOOKUP($H27,$A:$C,3,TRUE)</f>
        <v/>
      </c>
      <c r="K27" s="555">
        <f>I27/I26-1</f>
        <v/>
      </c>
      <c r="L27" s="555">
        <f>J27/J26-1</f>
        <v/>
      </c>
    </row>
    <row r="28">
      <c r="A28" s="535" t="n">
        <v>31574</v>
      </c>
      <c r="B28" s="534" t="n">
        <v>4.748</v>
      </c>
      <c r="C28" s="534" t="n">
        <v>1751.36</v>
      </c>
      <c r="E28" s="535" t="n">
        <v>35394</v>
      </c>
      <c r="F28" s="534" t="n">
        <v>7.15</v>
      </c>
      <c r="G28" s="554" t="n"/>
      <c r="H28" s="535">
        <f>EOMONTH(H27,1)</f>
        <v/>
      </c>
      <c r="I28" s="1360">
        <f>VLOOKUP($H28,$A:$C,2,TRUE)</f>
        <v/>
      </c>
      <c r="J28" s="554">
        <f>VLOOKUP($H28,$A:$C,3,TRUE)</f>
        <v/>
      </c>
      <c r="K28" s="555">
        <f>I28/I27-1</f>
        <v/>
      </c>
      <c r="L28" s="555">
        <f>J28/J27-1</f>
        <v/>
      </c>
    </row>
    <row r="29">
      <c r="A29" s="535" t="n">
        <v>31575</v>
      </c>
      <c r="B29" s="534" t="n">
        <v>4.704</v>
      </c>
      <c r="C29" s="534" t="n">
        <v>1752.79</v>
      </c>
      <c r="E29" s="535" t="n">
        <v>35395</v>
      </c>
      <c r="F29" s="534" t="n">
        <v>7.14</v>
      </c>
      <c r="G29" s="554" t="n"/>
      <c r="H29" s="535">
        <f>EOMONTH(H28,1)</f>
        <v/>
      </c>
      <c r="I29" s="1360">
        <f>VLOOKUP($H29,$A:$C,2,TRUE)</f>
        <v/>
      </c>
      <c r="J29" s="554">
        <f>VLOOKUP($H29,$A:$C,3,TRUE)</f>
        <v/>
      </c>
      <c r="K29" s="555">
        <f>I29/I28-1</f>
        <v/>
      </c>
      <c r="L29" s="555">
        <f>J29/J28-1</f>
        <v/>
      </c>
    </row>
    <row r="30">
      <c r="A30" s="535" t="n">
        <v>31576</v>
      </c>
      <c r="B30" s="534" t="n">
        <v>4.791</v>
      </c>
      <c r="C30" s="534" t="n">
        <v>1765.65</v>
      </c>
      <c r="E30" s="535" t="n">
        <v>35396</v>
      </c>
      <c r="F30" s="534" t="n">
        <v>7.13</v>
      </c>
      <c r="G30" s="554" t="n"/>
      <c r="H30" s="535">
        <f>EOMONTH(H29,1)</f>
        <v/>
      </c>
      <c r="I30" s="1360">
        <f>VLOOKUP($H30,$A:$C,2,TRUE)</f>
        <v/>
      </c>
      <c r="J30" s="554">
        <f>VLOOKUP($H30,$A:$C,3,TRUE)</f>
        <v/>
      </c>
      <c r="K30" s="555">
        <f>I30/I29-1</f>
        <v/>
      </c>
      <c r="L30" s="555">
        <f>J30/J29-1</f>
        <v/>
      </c>
    </row>
    <row r="31">
      <c r="A31" s="535" t="n">
        <v>31579</v>
      </c>
      <c r="B31" s="534" t="n">
        <v>4.791</v>
      </c>
      <c r="C31" s="534" t="n">
        <v>1765.65</v>
      </c>
      <c r="E31" s="535" t="n">
        <v>35397</v>
      </c>
      <c r="F31" s="534" t="n">
        <v>7.11</v>
      </c>
      <c r="G31" s="554" t="n"/>
      <c r="H31" s="535">
        <f>EOMONTH(H30,1)</f>
        <v/>
      </c>
      <c r="I31" s="1360">
        <f>VLOOKUP($H31,$A:$C,2,TRUE)</f>
        <v/>
      </c>
      <c r="J31" s="554">
        <f>VLOOKUP($H31,$A:$C,3,TRUE)</f>
        <v/>
      </c>
      <c r="K31" s="555">
        <f>I31/I30-1</f>
        <v/>
      </c>
      <c r="L31" s="555">
        <f>J31/J30-1</f>
        <v/>
      </c>
    </row>
    <row r="32">
      <c r="A32" s="535" t="n">
        <v>31580</v>
      </c>
      <c r="B32" s="534" t="n">
        <v>4.835</v>
      </c>
      <c r="C32" s="534" t="n">
        <v>1789.34</v>
      </c>
      <c r="E32" s="535" t="n">
        <v>35398</v>
      </c>
      <c r="F32" s="534" t="n">
        <v>7.1</v>
      </c>
      <c r="G32" s="554" t="n"/>
      <c r="H32" s="535">
        <f>EOMONTH(H31,1)</f>
        <v/>
      </c>
      <c r="I32" s="1360">
        <f>VLOOKUP($H32,$A:$C,2,TRUE)</f>
        <v/>
      </c>
      <c r="J32" s="554">
        <f>VLOOKUP($H32,$A:$C,3,TRUE)</f>
        <v/>
      </c>
      <c r="K32" s="555">
        <f>I32/I31-1</f>
        <v/>
      </c>
      <c r="L32" s="555">
        <f>J32/J31-1</f>
        <v/>
      </c>
    </row>
    <row r="33">
      <c r="A33" s="535" t="n">
        <v>31581</v>
      </c>
      <c r="B33" s="534" t="n">
        <v>4.878</v>
      </c>
      <c r="C33" s="534" t="n">
        <v>1789.78</v>
      </c>
      <c r="E33" s="535" t="n">
        <v>35401</v>
      </c>
      <c r="F33" s="534" t="n">
        <v>7.03</v>
      </c>
      <c r="G33" s="554" t="n"/>
      <c r="H33" s="535">
        <f>EOMONTH(H32,1)</f>
        <v/>
      </c>
      <c r="I33" s="1360">
        <f>VLOOKUP($H33,$A:$C,2,TRUE)</f>
        <v/>
      </c>
      <c r="J33" s="554">
        <f>VLOOKUP($H33,$A:$C,3,TRUE)</f>
        <v/>
      </c>
      <c r="K33" s="555">
        <f>I33/I32-1</f>
        <v/>
      </c>
      <c r="L33" s="555">
        <f>J33/J32-1</f>
        <v/>
      </c>
    </row>
    <row r="34">
      <c r="A34" s="535" t="n">
        <v>31582</v>
      </c>
      <c r="B34" s="534" t="n">
        <v>4.835</v>
      </c>
      <c r="C34" s="534" t="n">
        <v>1778.29</v>
      </c>
      <c r="E34" s="535" t="n">
        <v>35402</v>
      </c>
      <c r="F34" s="534" t="n">
        <v>7.02</v>
      </c>
      <c r="G34" s="554" t="n"/>
      <c r="H34" s="535">
        <f>EOMONTH(H33,1)</f>
        <v/>
      </c>
      <c r="I34" s="1360">
        <f>VLOOKUP($H34,$A:$C,2,TRUE)</f>
        <v/>
      </c>
      <c r="J34" s="554">
        <f>VLOOKUP($H34,$A:$C,3,TRUE)</f>
        <v/>
      </c>
      <c r="K34" s="555">
        <f>I34/I33-1</f>
        <v/>
      </c>
      <c r="L34" s="555">
        <f>J34/J33-1</f>
        <v/>
      </c>
    </row>
    <row r="35">
      <c r="A35" s="535" t="n">
        <v>31583</v>
      </c>
      <c r="B35" s="534" t="n">
        <v>4.791</v>
      </c>
      <c r="C35" s="534" t="n">
        <v>1781.04</v>
      </c>
      <c r="E35" s="535" t="n">
        <v>35403</v>
      </c>
      <c r="F35" s="534" t="n">
        <v>7.03</v>
      </c>
      <c r="G35" s="554" t="n"/>
      <c r="H35" s="535">
        <f>EOMONTH(H34,1)</f>
        <v/>
      </c>
      <c r="I35" s="1360">
        <f>VLOOKUP($H35,$A:$C,2,TRUE)</f>
        <v/>
      </c>
      <c r="J35" s="554">
        <f>VLOOKUP($H35,$A:$C,3,TRUE)</f>
        <v/>
      </c>
      <c r="K35" s="555">
        <f>I35/I34-1</f>
        <v/>
      </c>
      <c r="L35" s="555">
        <f>J35/J34-1</f>
        <v/>
      </c>
    </row>
    <row r="36">
      <c r="A36" s="535" t="n">
        <v>31586</v>
      </c>
      <c r="B36" s="534" t="n">
        <v>4.748</v>
      </c>
      <c r="C36" s="534" t="n">
        <v>1777.15</v>
      </c>
      <c r="E36" s="535" t="n">
        <v>35404</v>
      </c>
      <c r="F36" s="534" t="n">
        <v>7.09</v>
      </c>
      <c r="G36" s="554" t="n"/>
      <c r="H36" s="535">
        <f>EOMONTH(H35,1)</f>
        <v/>
      </c>
      <c r="I36" s="1360">
        <f>VLOOKUP($H36,$A:$C,2,TRUE)</f>
        <v/>
      </c>
      <c r="J36" s="554">
        <f>VLOOKUP($H36,$A:$C,3,TRUE)</f>
        <v/>
      </c>
      <c r="K36" s="555">
        <f>I36/I35-1</f>
        <v/>
      </c>
      <c r="L36" s="555">
        <f>J36/J35-1</f>
        <v/>
      </c>
    </row>
    <row r="37">
      <c r="A37" s="535" t="n">
        <v>31587</v>
      </c>
      <c r="B37" s="534" t="n">
        <v>4.66</v>
      </c>
      <c r="C37" s="534" t="n">
        <v>1763.9</v>
      </c>
      <c r="E37" s="535" t="n">
        <v>35405</v>
      </c>
      <c r="F37" s="534" t="n">
        <v>7.25</v>
      </c>
      <c r="G37" s="554" t="n"/>
      <c r="H37" s="535">
        <f>EOMONTH(H36,1)</f>
        <v/>
      </c>
      <c r="I37" s="1360">
        <f>VLOOKUP($H37,$A:$C,2,TRUE)</f>
        <v/>
      </c>
      <c r="J37" s="554">
        <f>VLOOKUP($H37,$A:$C,3,TRUE)</f>
        <v/>
      </c>
      <c r="K37" s="555">
        <f>I37/I36-1</f>
        <v/>
      </c>
      <c r="L37" s="555">
        <f>J37/J36-1</f>
        <v/>
      </c>
    </row>
    <row r="38">
      <c r="A38" s="535" t="n">
        <v>31588</v>
      </c>
      <c r="B38" s="534" t="n">
        <v>4.66</v>
      </c>
      <c r="C38" s="534" t="n">
        <v>1759.72</v>
      </c>
      <c r="E38" s="535" t="n">
        <v>35408</v>
      </c>
      <c r="F38" s="534" t="n">
        <v>7.18</v>
      </c>
      <c r="G38" s="554" t="n"/>
      <c r="H38" s="535">
        <f>EOMONTH(H37,1)</f>
        <v/>
      </c>
      <c r="I38" s="1360">
        <f>VLOOKUP($H38,$A:$C,2,TRUE)</f>
        <v/>
      </c>
      <c r="J38" s="554">
        <f>VLOOKUP($H38,$A:$C,3,TRUE)</f>
        <v/>
      </c>
      <c r="K38" s="555">
        <f>I38/I37-1</f>
        <v/>
      </c>
      <c r="L38" s="555">
        <f>J38/J37-1</f>
        <v/>
      </c>
    </row>
    <row r="39">
      <c r="A39" s="535" t="n">
        <v>31589</v>
      </c>
      <c r="B39" s="534" t="n">
        <v>4.617</v>
      </c>
      <c r="C39" s="534" t="n">
        <v>1750.38</v>
      </c>
      <c r="E39" s="535" t="n">
        <v>35409</v>
      </c>
      <c r="F39" s="534" t="n">
        <v>7.17</v>
      </c>
      <c r="G39" s="554" t="n"/>
      <c r="H39" s="535">
        <f>EOMONTH(H38,1)</f>
        <v/>
      </c>
      <c r="I39" s="1360">
        <f>VLOOKUP($H39,$A:$C,2,TRUE)</f>
        <v/>
      </c>
      <c r="J39" s="554">
        <f>VLOOKUP($H39,$A:$C,3,TRUE)</f>
        <v/>
      </c>
      <c r="K39" s="555">
        <f>I39/I38-1</f>
        <v/>
      </c>
      <c r="L39" s="555">
        <f>J39/J38-1</f>
        <v/>
      </c>
    </row>
    <row r="40">
      <c r="A40" s="535" t="n">
        <v>31590</v>
      </c>
      <c r="B40" s="534" t="n">
        <v>4.66</v>
      </c>
      <c r="C40" s="534" t="n">
        <v>1750.98</v>
      </c>
      <c r="E40" s="535" t="n">
        <v>35410</v>
      </c>
      <c r="F40" s="534" t="n">
        <v>7.19</v>
      </c>
      <c r="G40" s="554" t="n"/>
      <c r="H40" s="535">
        <f>EOMONTH(H39,1)</f>
        <v/>
      </c>
      <c r="I40" s="1360">
        <f>VLOOKUP($H40,$A:$C,2,TRUE)</f>
        <v/>
      </c>
      <c r="J40" s="554">
        <f>VLOOKUP($H40,$A:$C,3,TRUE)</f>
        <v/>
      </c>
      <c r="K40" s="555">
        <f>I40/I39-1</f>
        <v/>
      </c>
      <c r="L40" s="555">
        <f>J40/J39-1</f>
        <v/>
      </c>
    </row>
    <row r="41">
      <c r="A41" s="535" t="n">
        <v>31593</v>
      </c>
      <c r="B41" s="534" t="n">
        <v>4.617</v>
      </c>
      <c r="C41" s="534" t="n">
        <v>1739.11</v>
      </c>
      <c r="E41" s="535" t="n">
        <v>35411</v>
      </c>
      <c r="F41" s="534" t="n">
        <v>7.34</v>
      </c>
      <c r="G41" s="554" t="n"/>
      <c r="H41" s="535">
        <f>EOMONTH(H40,1)</f>
        <v/>
      </c>
      <c r="I41" s="1360">
        <f>VLOOKUP($H41,$A:$C,2,TRUE)</f>
        <v/>
      </c>
      <c r="J41" s="554">
        <f>VLOOKUP($H41,$A:$C,3,TRUE)</f>
        <v/>
      </c>
      <c r="K41" s="555">
        <f>I41/I40-1</f>
        <v/>
      </c>
      <c r="L41" s="555">
        <f>J41/J40-1</f>
        <v/>
      </c>
    </row>
    <row r="42">
      <c r="A42" s="535" t="n">
        <v>31594</v>
      </c>
      <c r="B42" s="534" t="n">
        <v>4.573</v>
      </c>
      <c r="C42" s="534" t="n">
        <v>1733.51</v>
      </c>
      <c r="E42" s="535" t="n">
        <v>35412</v>
      </c>
      <c r="F42" s="534" t="n">
        <v>7.37</v>
      </c>
      <c r="G42" s="554" t="n"/>
      <c r="H42" s="535">
        <f>EOMONTH(H41,1)</f>
        <v/>
      </c>
      <c r="I42" s="1360">
        <f>VLOOKUP($H42,$A:$C,2,TRUE)</f>
        <v/>
      </c>
      <c r="J42" s="554">
        <f>VLOOKUP($H42,$A:$C,3,TRUE)</f>
        <v/>
      </c>
      <c r="K42" s="555">
        <f>I42/I41-1</f>
        <v/>
      </c>
      <c r="L42" s="555">
        <f>J42/J41-1</f>
        <v/>
      </c>
    </row>
    <row r="43">
      <c r="A43" s="535" t="n">
        <v>31595</v>
      </c>
      <c r="B43" s="534" t="n">
        <v>4.704</v>
      </c>
      <c r="C43" s="534" t="n">
        <v>1760.21</v>
      </c>
      <c r="E43" s="535" t="n">
        <v>35415</v>
      </c>
      <c r="F43" s="534" t="n">
        <v>7.33</v>
      </c>
      <c r="G43" s="554" t="n"/>
      <c r="H43" s="535">
        <f>EOMONTH(H42,1)</f>
        <v/>
      </c>
      <c r="I43" s="1360">
        <f>VLOOKUP($H43,$A:$C,2,TRUE)</f>
        <v/>
      </c>
      <c r="J43" s="554">
        <f>VLOOKUP($H43,$A:$C,3,TRUE)</f>
        <v/>
      </c>
      <c r="K43" s="555">
        <f>I43/I42-1</f>
        <v/>
      </c>
      <c r="L43" s="555">
        <f>J43/J42-1</f>
        <v/>
      </c>
    </row>
    <row r="44">
      <c r="A44" s="535" t="n">
        <v>31596</v>
      </c>
      <c r="B44" s="534" t="n">
        <v>4.704</v>
      </c>
      <c r="C44" s="534" t="n">
        <v>1757.58</v>
      </c>
      <c r="E44" s="535" t="n">
        <v>35416</v>
      </c>
      <c r="F44" s="534" t="n">
        <v>7.35</v>
      </c>
      <c r="G44" s="554" t="n"/>
      <c r="H44" s="535">
        <f>EOMONTH(H43,1)</f>
        <v/>
      </c>
      <c r="I44" s="1360">
        <f>VLOOKUP($H44,$A:$C,2,TRUE)</f>
        <v/>
      </c>
      <c r="J44" s="554">
        <f>VLOOKUP($H44,$A:$C,3,TRUE)</f>
        <v/>
      </c>
      <c r="K44" s="555">
        <f>I44/I43-1</f>
        <v/>
      </c>
      <c r="L44" s="555">
        <f>J44/J43-1</f>
        <v/>
      </c>
    </row>
    <row r="45">
      <c r="A45" s="535" t="n">
        <v>31597</v>
      </c>
      <c r="B45" s="534" t="n">
        <v>4.704</v>
      </c>
      <c r="C45" s="534" t="n">
        <v>1756.76</v>
      </c>
      <c r="E45" s="535" t="n">
        <v>35417</v>
      </c>
      <c r="F45" s="534" t="n">
        <v>7.39</v>
      </c>
      <c r="G45" s="554" t="n"/>
      <c r="H45" s="535">
        <f>EOMONTH(H44,1)</f>
        <v/>
      </c>
      <c r="I45" s="1360">
        <f>VLOOKUP($H45,$A:$C,2,TRUE)</f>
        <v/>
      </c>
      <c r="J45" s="554">
        <f>VLOOKUP($H45,$A:$C,3,TRUE)</f>
        <v/>
      </c>
      <c r="K45" s="555">
        <f>I45/I44-1</f>
        <v/>
      </c>
      <c r="L45" s="555">
        <f>J45/J44-1</f>
        <v/>
      </c>
    </row>
    <row r="46">
      <c r="A46" s="535" t="n">
        <v>31600</v>
      </c>
      <c r="B46" s="534" t="n">
        <v>4.66</v>
      </c>
      <c r="C46" s="534" t="n">
        <v>1761.52</v>
      </c>
      <c r="E46" s="535" t="n">
        <v>35418</v>
      </c>
      <c r="F46" s="534" t="n">
        <v>7.42</v>
      </c>
      <c r="G46" s="554" t="n"/>
      <c r="H46" s="535">
        <f>EOMONTH(H45,1)</f>
        <v/>
      </c>
      <c r="I46" s="1360">
        <f>VLOOKUP($H46,$A:$C,2,TRUE)</f>
        <v/>
      </c>
      <c r="J46" s="554">
        <f>VLOOKUP($H46,$A:$C,3,TRUE)</f>
        <v/>
      </c>
      <c r="K46" s="555">
        <f>I46/I45-1</f>
        <v/>
      </c>
      <c r="L46" s="555">
        <f>J46/J45-1</f>
        <v/>
      </c>
    </row>
    <row r="47">
      <c r="A47" s="535" t="n">
        <v>31601</v>
      </c>
      <c r="B47" s="534" t="n">
        <v>4.66</v>
      </c>
      <c r="C47" s="534" t="n">
        <v>1752.24</v>
      </c>
      <c r="E47" s="535" t="n">
        <v>35419</v>
      </c>
      <c r="F47" s="534" t="n">
        <v>7.31</v>
      </c>
      <c r="G47" s="554" t="n"/>
      <c r="H47" s="535">
        <f>EOMONTH(H46,1)</f>
        <v/>
      </c>
      <c r="I47" s="1360">
        <f>VLOOKUP($H47,$A:$C,2,TRUE)</f>
        <v/>
      </c>
      <c r="J47" s="554">
        <f>VLOOKUP($H47,$A:$C,3,TRUE)</f>
        <v/>
      </c>
      <c r="K47" s="555">
        <f>I47/I46-1</f>
        <v/>
      </c>
      <c r="L47" s="555">
        <f>J47/J46-1</f>
        <v/>
      </c>
    </row>
    <row r="48">
      <c r="A48" s="535" t="n">
        <v>31602</v>
      </c>
      <c r="B48" s="534" t="n">
        <v>4.66</v>
      </c>
      <c r="C48" s="534" t="n">
        <v>1747.61</v>
      </c>
      <c r="E48" s="535" t="n">
        <v>35422</v>
      </c>
      <c r="F48" s="534" t="n">
        <v>7.35</v>
      </c>
      <c r="G48" s="554" t="n"/>
      <c r="H48" s="535">
        <f>EOMONTH(H47,1)</f>
        <v/>
      </c>
      <c r="I48" s="1360">
        <f>VLOOKUP($H48,$A:$C,2,TRUE)</f>
        <v/>
      </c>
      <c r="J48" s="554">
        <f>VLOOKUP($H48,$A:$C,3,TRUE)</f>
        <v/>
      </c>
      <c r="K48" s="555">
        <f>I48/I47-1</f>
        <v/>
      </c>
      <c r="L48" s="555">
        <f>J48/J47-1</f>
        <v/>
      </c>
    </row>
    <row r="49">
      <c r="A49" s="535" t="n">
        <v>31603</v>
      </c>
      <c r="B49" s="534" t="n">
        <v>4.53</v>
      </c>
      <c r="C49" s="534" t="n">
        <v>1718.3</v>
      </c>
      <c r="E49" s="535" t="n">
        <v>35423</v>
      </c>
      <c r="F49" s="534" t="n">
        <v>7.34</v>
      </c>
      <c r="G49" s="554" t="n"/>
      <c r="H49" s="535">
        <f>EOMONTH(H48,1)</f>
        <v/>
      </c>
      <c r="I49" s="1360">
        <f>VLOOKUP($H49,$A:$C,2,TRUE)</f>
        <v/>
      </c>
      <c r="J49" s="554">
        <f>VLOOKUP($H49,$A:$C,3,TRUE)</f>
        <v/>
      </c>
      <c r="K49" s="555">
        <f>I49/I48-1</f>
        <v/>
      </c>
      <c r="L49" s="555">
        <f>J49/J48-1</f>
        <v/>
      </c>
    </row>
    <row r="50">
      <c r="A50" s="535" t="n">
        <v>31604</v>
      </c>
      <c r="B50" s="534" t="n">
        <v>4.617</v>
      </c>
      <c r="C50" s="534" t="n">
        <v>1721.69</v>
      </c>
      <c r="E50" s="535" t="n">
        <v>35424</v>
      </c>
      <c r="F50" s="534" t="n">
        <v>7.34</v>
      </c>
      <c r="G50" s="554" t="n"/>
      <c r="H50" s="535">
        <f>EOMONTH(H49,1)</f>
        <v/>
      </c>
      <c r="I50" s="1360">
        <f>VLOOKUP($H50,$A:$C,2,TRUE)</f>
        <v/>
      </c>
      <c r="J50" s="554">
        <f>VLOOKUP($H50,$A:$C,3,TRUE)</f>
        <v/>
      </c>
      <c r="K50" s="555">
        <f>I50/I49-1</f>
        <v/>
      </c>
      <c r="L50" s="555">
        <f>J50/J49-1</f>
        <v/>
      </c>
    </row>
    <row r="51">
      <c r="A51" s="535" t="n">
        <v>31607</v>
      </c>
      <c r="B51" s="534" t="n">
        <v>4.66</v>
      </c>
      <c r="C51" s="534" t="n">
        <v>1739.93</v>
      </c>
      <c r="E51" s="535" t="n">
        <v>35425</v>
      </c>
      <c r="F51" s="534" t="n">
        <v>7.34</v>
      </c>
      <c r="G51" s="554" t="n"/>
      <c r="H51" s="535">
        <f>EOMONTH(H50,1)</f>
        <v/>
      </c>
      <c r="I51" s="1360">
        <f>VLOOKUP($H51,$A:$C,2,TRUE)</f>
        <v/>
      </c>
      <c r="J51" s="554">
        <f>VLOOKUP($H51,$A:$C,3,TRUE)</f>
        <v/>
      </c>
      <c r="K51" s="555">
        <f>I51/I50-1</f>
        <v/>
      </c>
      <c r="L51" s="555">
        <f>J51/J50-1</f>
        <v/>
      </c>
    </row>
    <row r="52">
      <c r="A52" s="535" t="n">
        <v>31608</v>
      </c>
      <c r="B52" s="534" t="n">
        <v>4.66</v>
      </c>
      <c r="C52" s="534" t="n">
        <v>1764.13</v>
      </c>
      <c r="E52" s="535" t="n">
        <v>35426</v>
      </c>
      <c r="F52" s="534" t="n">
        <v>7.32</v>
      </c>
      <c r="G52" s="554" t="n"/>
      <c r="H52" s="535">
        <f>EOMONTH(H51,1)</f>
        <v/>
      </c>
      <c r="I52" s="1360">
        <f>VLOOKUP($H52,$A:$C,2,TRUE)</f>
        <v/>
      </c>
      <c r="J52" s="554">
        <f>VLOOKUP($H52,$A:$C,3,TRUE)</f>
        <v/>
      </c>
      <c r="K52" s="555">
        <f>I52/I51-1</f>
        <v/>
      </c>
      <c r="L52" s="555">
        <f>J52/J51-1</f>
        <v/>
      </c>
    </row>
    <row r="53">
      <c r="A53" s="535" t="n">
        <v>31609</v>
      </c>
      <c r="B53" s="534" t="n">
        <v>4.704</v>
      </c>
      <c r="C53" s="534" t="n">
        <v>1763.38</v>
      </c>
      <c r="E53" s="535" t="n">
        <v>35429</v>
      </c>
      <c r="F53" s="534" t="n">
        <v>7.27</v>
      </c>
      <c r="G53" s="554" t="n"/>
      <c r="H53" s="535">
        <f>EOMONTH(H52,1)</f>
        <v/>
      </c>
      <c r="I53" s="1360">
        <f>VLOOKUP($H53,$A:$C,2,TRUE)</f>
        <v/>
      </c>
      <c r="J53" s="554">
        <f>VLOOKUP($H53,$A:$C,3,TRUE)</f>
        <v/>
      </c>
      <c r="K53" s="555">
        <f>I53/I52-1</f>
        <v/>
      </c>
      <c r="L53" s="555">
        <f>J53/J52-1</f>
        <v/>
      </c>
    </row>
    <row r="54">
      <c r="A54" s="535" t="n">
        <v>31610</v>
      </c>
      <c r="B54" s="534" t="n">
        <v>4.66</v>
      </c>
      <c r="C54" s="534" t="n">
        <v>1759.71</v>
      </c>
      <c r="E54" s="535" t="n">
        <v>35430</v>
      </c>
      <c r="F54" s="534" t="n">
        <v>7.27</v>
      </c>
      <c r="G54" s="554" t="n"/>
      <c r="H54" s="535">
        <f>EOMONTH(H53,1)</f>
        <v/>
      </c>
      <c r="I54" s="1360">
        <f>VLOOKUP($H54,$A:$C,2,TRUE)</f>
        <v/>
      </c>
      <c r="J54" s="554">
        <f>VLOOKUP($H54,$A:$C,3,TRUE)</f>
        <v/>
      </c>
      <c r="K54" s="555">
        <f>I54/I53-1</f>
        <v/>
      </c>
      <c r="L54" s="555">
        <f>J54/J53-1</f>
        <v/>
      </c>
    </row>
    <row r="55">
      <c r="A55" s="535" t="n">
        <v>31611</v>
      </c>
      <c r="B55" s="534" t="n">
        <v>4.66</v>
      </c>
      <c r="C55" s="534" t="n">
        <v>1759.6</v>
      </c>
      <c r="E55" s="535" t="n">
        <v>35431</v>
      </c>
      <c r="F55" s="534" t="n">
        <v>7.27</v>
      </c>
      <c r="G55" s="554" t="n"/>
      <c r="H55" s="535">
        <f>EOMONTH(H54,1)</f>
        <v/>
      </c>
      <c r="I55" s="1360">
        <f>VLOOKUP($H55,$A:$C,2,TRUE)</f>
        <v/>
      </c>
      <c r="J55" s="554">
        <f>VLOOKUP($H55,$A:$C,3,TRUE)</f>
        <v/>
      </c>
      <c r="K55" s="555">
        <f>I55/I54-1</f>
        <v/>
      </c>
      <c r="L55" s="555">
        <f>J55/J54-1</f>
        <v/>
      </c>
    </row>
    <row r="56">
      <c r="A56" s="535" t="n">
        <v>31614</v>
      </c>
      <c r="B56" s="534" t="n">
        <v>4.704</v>
      </c>
      <c r="C56" s="534" t="n">
        <v>1777.73</v>
      </c>
      <c r="E56" s="535" t="n">
        <v>35432</v>
      </c>
      <c r="F56" s="534" t="n">
        <v>7.41</v>
      </c>
      <c r="G56" s="554" t="n"/>
      <c r="H56" s="535">
        <f>EOMONTH(H55,1)</f>
        <v/>
      </c>
      <c r="I56" s="1360">
        <f>VLOOKUP($H56,$A:$C,2,TRUE)</f>
        <v/>
      </c>
      <c r="J56" s="554">
        <f>VLOOKUP($H56,$A:$C,3,TRUE)</f>
        <v/>
      </c>
      <c r="K56" s="555">
        <f>I56/I55-1</f>
        <v/>
      </c>
      <c r="L56" s="555">
        <f>J56/J55-1</f>
        <v/>
      </c>
    </row>
    <row r="57">
      <c r="A57" s="535" t="n">
        <v>31615</v>
      </c>
      <c r="B57" s="534" t="n">
        <v>4.748</v>
      </c>
      <c r="C57" s="534" t="n">
        <v>1791.53</v>
      </c>
      <c r="E57" s="535" t="n">
        <v>35433</v>
      </c>
      <c r="F57" s="534" t="n">
        <v>7.48</v>
      </c>
      <c r="G57" s="554" t="n"/>
      <c r="H57" s="535">
        <f>EOMONTH(H56,1)</f>
        <v/>
      </c>
      <c r="I57" s="1360">
        <f>VLOOKUP($H57,$A:$C,2,TRUE)</f>
        <v/>
      </c>
      <c r="J57" s="554">
        <f>VLOOKUP($H57,$A:$C,3,TRUE)</f>
        <v/>
      </c>
      <c r="K57" s="555">
        <f>I57/I56-1</f>
        <v/>
      </c>
      <c r="L57" s="555">
        <f>J57/J56-1</f>
        <v/>
      </c>
    </row>
    <row r="58">
      <c r="A58" s="535" t="n">
        <v>31616</v>
      </c>
      <c r="B58" s="534" t="n">
        <v>4.878</v>
      </c>
      <c r="C58" s="534" t="n">
        <v>1816.96</v>
      </c>
      <c r="E58" s="535" t="n">
        <v>35436</v>
      </c>
      <c r="F58" s="534" t="n">
        <v>7.42</v>
      </c>
      <c r="G58" s="554" t="n"/>
      <c r="H58" s="535">
        <f>EOMONTH(H57,1)</f>
        <v/>
      </c>
      <c r="I58" s="1360">
        <f>VLOOKUP($H58,$A:$C,2,TRUE)</f>
        <v/>
      </c>
      <c r="J58" s="554">
        <f>VLOOKUP($H58,$A:$C,3,TRUE)</f>
        <v/>
      </c>
      <c r="K58" s="555">
        <f>I58/I57-1</f>
        <v/>
      </c>
      <c r="L58" s="555">
        <f>J58/J57-1</f>
        <v/>
      </c>
    </row>
    <row r="59">
      <c r="A59" s="535" t="n">
        <v>31617</v>
      </c>
      <c r="B59" s="534" t="n">
        <v>4.878</v>
      </c>
      <c r="C59" s="534" t="n">
        <v>1836</v>
      </c>
      <c r="E59" s="535" t="n">
        <v>35437</v>
      </c>
      <c r="F59" s="534" t="n">
        <v>7.44</v>
      </c>
      <c r="G59" s="554" t="n"/>
      <c r="H59" s="535">
        <f>EOMONTH(H58,1)</f>
        <v/>
      </c>
      <c r="I59" s="1360">
        <f>VLOOKUP($H59,$A:$C,2,TRUE)</f>
        <v/>
      </c>
      <c r="J59" s="554">
        <f>VLOOKUP($H59,$A:$C,3,TRUE)</f>
        <v/>
      </c>
      <c r="K59" s="555">
        <f>I59/I58-1</f>
        <v/>
      </c>
      <c r="L59" s="555">
        <f>J59/J58-1</f>
        <v/>
      </c>
    </row>
    <row r="60">
      <c r="A60" s="535" t="n">
        <v>31618</v>
      </c>
      <c r="B60" s="534" t="n">
        <v>4.878</v>
      </c>
      <c r="C60" s="534" t="n">
        <v>1843.57</v>
      </c>
      <c r="E60" s="535" t="n">
        <v>35438</v>
      </c>
      <c r="F60" s="534" t="n">
        <v>7.44</v>
      </c>
      <c r="G60" s="554" t="n"/>
      <c r="H60" s="535">
        <f>EOMONTH(H59,1)</f>
        <v/>
      </c>
      <c r="I60" s="1360">
        <f>VLOOKUP($H60,$A:$C,2,TRUE)</f>
        <v/>
      </c>
      <c r="J60" s="554">
        <f>VLOOKUP($H60,$A:$C,3,TRUE)</f>
        <v/>
      </c>
      <c r="K60" s="555">
        <f>I60/I59-1</f>
        <v/>
      </c>
      <c r="L60" s="555">
        <f>J60/J59-1</f>
        <v/>
      </c>
    </row>
    <row r="61">
      <c r="A61" s="535" t="n">
        <v>31621</v>
      </c>
      <c r="B61" s="534" t="n">
        <v>4.835</v>
      </c>
      <c r="C61" s="534" t="n">
        <v>1847.29</v>
      </c>
      <c r="E61" s="535" t="n">
        <v>35439</v>
      </c>
      <c r="F61" s="534" t="n">
        <v>7.47</v>
      </c>
      <c r="G61" s="554" t="n"/>
      <c r="H61" s="535">
        <f>EOMONTH(H60,1)</f>
        <v/>
      </c>
      <c r="I61" s="1360">
        <f>VLOOKUP($H61,$A:$C,2,TRUE)</f>
        <v/>
      </c>
      <c r="J61" s="554">
        <f>VLOOKUP($H61,$A:$C,3,TRUE)</f>
        <v/>
      </c>
      <c r="K61" s="555">
        <f>I61/I60-1</f>
        <v/>
      </c>
      <c r="L61" s="555">
        <f>J61/J60-1</f>
        <v/>
      </c>
    </row>
    <row r="62">
      <c r="A62" s="535" t="n">
        <v>31622</v>
      </c>
      <c r="B62" s="534" t="n">
        <v>4.922</v>
      </c>
      <c r="C62" s="534" t="n">
        <v>1860.01</v>
      </c>
      <c r="E62" s="535" t="n">
        <v>35440</v>
      </c>
      <c r="F62" s="534" t="n">
        <v>7.36</v>
      </c>
      <c r="G62" s="554" t="n"/>
      <c r="H62" s="535">
        <f>EOMONTH(H61,1)</f>
        <v/>
      </c>
      <c r="I62" s="1360">
        <f>VLOOKUP($H62,$A:$C,2,TRUE)</f>
        <v/>
      </c>
      <c r="J62" s="554">
        <f>VLOOKUP($H62,$A:$C,3,TRUE)</f>
        <v/>
      </c>
      <c r="K62" s="555">
        <f>I62/I61-1</f>
        <v/>
      </c>
      <c r="L62" s="555">
        <f>J62/J61-1</f>
        <v/>
      </c>
    </row>
    <row r="63">
      <c r="A63" s="535" t="n">
        <v>31623</v>
      </c>
      <c r="B63" s="534" t="n">
        <v>4.878</v>
      </c>
      <c r="C63" s="534" t="n">
        <v>1847.94</v>
      </c>
      <c r="E63" s="535" t="n">
        <v>35443</v>
      </c>
      <c r="F63" s="534" t="n">
        <v>7.39</v>
      </c>
      <c r="G63" s="554" t="n"/>
      <c r="H63" s="535">
        <f>EOMONTH(H62,1)</f>
        <v/>
      </c>
      <c r="I63" s="1360">
        <f>VLOOKUP($H63,$A:$C,2,TRUE)</f>
        <v/>
      </c>
      <c r="J63" s="554">
        <f>VLOOKUP($H63,$A:$C,3,TRUE)</f>
        <v/>
      </c>
      <c r="K63" s="555">
        <f>I63/I62-1</f>
        <v/>
      </c>
      <c r="L63" s="555">
        <f>J63/J62-1</f>
        <v/>
      </c>
    </row>
    <row r="64">
      <c r="A64" s="535" t="n">
        <v>31624</v>
      </c>
      <c r="B64" s="534" t="n">
        <v>4.878</v>
      </c>
      <c r="C64" s="534" t="n">
        <v>1855.46</v>
      </c>
      <c r="E64" s="535" t="n">
        <v>35444</v>
      </c>
      <c r="F64" s="534" t="n">
        <v>7.39</v>
      </c>
      <c r="G64" s="554" t="n"/>
      <c r="H64" s="535">
        <f>EOMONTH(H63,1)</f>
        <v/>
      </c>
      <c r="I64" s="1360">
        <f>VLOOKUP($H64,$A:$C,2,TRUE)</f>
        <v/>
      </c>
      <c r="J64" s="554">
        <f>VLOOKUP($H64,$A:$C,3,TRUE)</f>
        <v/>
      </c>
      <c r="K64" s="555">
        <f>I64/I63-1</f>
        <v/>
      </c>
      <c r="L64" s="555">
        <f>J64/J63-1</f>
        <v/>
      </c>
    </row>
    <row r="65">
      <c r="A65" s="535" t="n">
        <v>31625</v>
      </c>
      <c r="B65" s="534" t="n">
        <v>4.922</v>
      </c>
      <c r="C65" s="534" t="n">
        <v>1874.11</v>
      </c>
      <c r="E65" s="535" t="n">
        <v>35445</v>
      </c>
      <c r="F65" s="534" t="n">
        <v>7.23</v>
      </c>
      <c r="G65" s="554" t="n"/>
      <c r="H65" s="535">
        <f>EOMONTH(H64,1)</f>
        <v/>
      </c>
      <c r="I65" s="1360">
        <f>VLOOKUP($H65,$A:$C,2,TRUE)</f>
        <v/>
      </c>
      <c r="J65" s="554">
        <f>VLOOKUP($H65,$A:$C,3,TRUE)</f>
        <v/>
      </c>
      <c r="K65" s="555">
        <f>I65/I64-1</f>
        <v/>
      </c>
      <c r="L65" s="555">
        <f>J65/J64-1</f>
        <v/>
      </c>
    </row>
    <row r="66">
      <c r="A66" s="535" t="n">
        <v>31628</v>
      </c>
      <c r="B66" s="534" t="n">
        <v>5.096</v>
      </c>
      <c r="C66" s="534" t="n">
        <v>1906.28</v>
      </c>
      <c r="E66" s="535" t="n">
        <v>35446</v>
      </c>
      <c r="F66" s="534" t="n">
        <v>7.18</v>
      </c>
      <c r="G66" s="554" t="n"/>
      <c r="H66" s="535">
        <f>EOMONTH(H65,1)</f>
        <v/>
      </c>
      <c r="I66" s="1360">
        <f>VLOOKUP($H66,$A:$C,2,TRUE)</f>
        <v/>
      </c>
      <c r="J66" s="554">
        <f>VLOOKUP($H66,$A:$C,3,TRUE)</f>
        <v/>
      </c>
      <c r="K66" s="555">
        <f>I66/I65-1</f>
        <v/>
      </c>
      <c r="L66" s="555">
        <f>J66/J65-1</f>
        <v/>
      </c>
    </row>
    <row r="67">
      <c r="A67" s="535" t="n">
        <v>31629</v>
      </c>
      <c r="B67" s="534" t="n">
        <v>5.14</v>
      </c>
      <c r="C67" s="534" t="n">
        <v>1889.04</v>
      </c>
      <c r="E67" s="535" t="n">
        <v>35447</v>
      </c>
      <c r="F67" s="534" t="n">
        <v>7.16</v>
      </c>
      <c r="G67" s="554" t="n"/>
      <c r="H67" s="535">
        <f>EOMONTH(H66,1)</f>
        <v/>
      </c>
      <c r="I67" s="1360">
        <f>VLOOKUP($H67,$A:$C,2,TRUE)</f>
        <v/>
      </c>
      <c r="J67" s="554">
        <f>VLOOKUP($H67,$A:$C,3,TRUE)</f>
        <v/>
      </c>
      <c r="K67" s="555">
        <f>I67/I66-1</f>
        <v/>
      </c>
      <c r="L67" s="555">
        <f>J67/J66-1</f>
        <v/>
      </c>
    </row>
    <row r="68">
      <c r="A68" s="535" t="n">
        <v>31630</v>
      </c>
      <c r="B68" s="534" t="n">
        <v>5.096</v>
      </c>
      <c r="C68" s="534" t="n">
        <v>1887.83</v>
      </c>
      <c r="E68" s="535" t="n">
        <v>35450</v>
      </c>
      <c r="F68" s="534" t="n">
        <v>7.07</v>
      </c>
      <c r="G68" s="554" t="n"/>
      <c r="H68" s="535">
        <f>EOMONTH(H67,1)</f>
        <v/>
      </c>
      <c r="I68" s="1360">
        <f>VLOOKUP($H68,$A:$C,2,TRUE)</f>
        <v/>
      </c>
      <c r="J68" s="554">
        <f>VLOOKUP($H68,$A:$C,3,TRUE)</f>
        <v/>
      </c>
      <c r="K68" s="555">
        <f>I68/I67-1</f>
        <v/>
      </c>
      <c r="L68" s="555">
        <f>J68/J67-1</f>
        <v/>
      </c>
    </row>
    <row r="69">
      <c r="A69" s="535" t="n">
        <v>31631</v>
      </c>
      <c r="B69" s="534" t="n">
        <v>5.14</v>
      </c>
      <c r="C69" s="534" t="n">
        <v>1920.18</v>
      </c>
      <c r="E69" s="535" t="n">
        <v>35451</v>
      </c>
      <c r="F69" s="534" t="n">
        <v>7.09</v>
      </c>
      <c r="G69" s="554" t="n"/>
      <c r="H69" s="535">
        <f>EOMONTH(H68,1)</f>
        <v/>
      </c>
      <c r="I69" s="1360">
        <f>VLOOKUP($H69,$A:$C,2,TRUE)</f>
        <v/>
      </c>
      <c r="J69" s="554">
        <f>VLOOKUP($H69,$A:$C,3,TRUE)</f>
        <v/>
      </c>
      <c r="K69" s="555">
        <f>I69/I68-1</f>
        <v/>
      </c>
      <c r="L69" s="555">
        <f>J69/J68-1</f>
        <v/>
      </c>
    </row>
    <row r="70">
      <c r="A70" s="535" t="n">
        <v>31632</v>
      </c>
      <c r="B70" s="534" t="n">
        <v>5.052</v>
      </c>
      <c r="C70" s="534" t="n">
        <v>1931.29</v>
      </c>
      <c r="E70" s="535" t="n">
        <v>35452</v>
      </c>
      <c r="F70" s="534" t="n">
        <v>7.02</v>
      </c>
      <c r="G70" s="554" t="n"/>
      <c r="H70" s="535">
        <f>EOMONTH(H69,1)</f>
        <v/>
      </c>
      <c r="I70" s="1360">
        <f>VLOOKUP($H70,$A:$C,2,TRUE)</f>
        <v/>
      </c>
      <c r="J70" s="554">
        <f>VLOOKUP($H70,$A:$C,3,TRUE)</f>
        <v/>
      </c>
      <c r="K70" s="555">
        <f>I70/I69-1</f>
        <v/>
      </c>
      <c r="L70" s="555">
        <f>J70/J69-1</f>
        <v/>
      </c>
    </row>
    <row r="71">
      <c r="A71" s="535" t="n">
        <v>31635</v>
      </c>
      <c r="B71" s="534" t="n">
        <v>5.009</v>
      </c>
      <c r="C71" s="534" t="n">
        <v>1927.04</v>
      </c>
      <c r="E71" s="535" t="n">
        <v>35453</v>
      </c>
      <c r="F71" s="534" t="n">
        <v>7.02</v>
      </c>
      <c r="G71" s="554" t="n"/>
      <c r="H71" s="535">
        <f>EOMONTH(H70,1)</f>
        <v/>
      </c>
      <c r="I71" s="1360">
        <f>VLOOKUP($H71,$A:$C,2,TRUE)</f>
        <v/>
      </c>
      <c r="J71" s="554">
        <f>VLOOKUP($H71,$A:$C,3,TRUE)</f>
        <v/>
      </c>
      <c r="K71" s="555">
        <f>I71/I70-1</f>
        <v/>
      </c>
      <c r="L71" s="555">
        <f>J71/J70-1</f>
        <v/>
      </c>
    </row>
    <row r="72">
      <c r="A72" s="535" t="n">
        <v>31636</v>
      </c>
      <c r="B72" s="534" t="n">
        <v>4.922</v>
      </c>
      <c r="C72" s="534" t="n">
        <v>1905</v>
      </c>
      <c r="E72" s="535" t="n">
        <v>35454</v>
      </c>
      <c r="F72" s="534" t="n">
        <v>6.98</v>
      </c>
      <c r="G72" s="554" t="n"/>
      <c r="H72" s="535">
        <f>EOMONTH(H71,1)</f>
        <v/>
      </c>
      <c r="I72" s="1360">
        <f>VLOOKUP($H72,$A:$C,2,TRUE)</f>
        <v/>
      </c>
      <c r="J72" s="554">
        <f>VLOOKUP($H72,$A:$C,3,TRUE)</f>
        <v/>
      </c>
      <c r="K72" s="555">
        <f>I72/I71-1</f>
        <v/>
      </c>
      <c r="L72" s="555">
        <f>J72/J71-1</f>
        <v/>
      </c>
    </row>
    <row r="73">
      <c r="A73" s="535" t="n">
        <v>31637</v>
      </c>
      <c r="B73" s="534" t="n">
        <v>4.922</v>
      </c>
      <c r="C73" s="534" t="n">
        <v>1908.02</v>
      </c>
      <c r="E73" s="535" t="n">
        <v>35457</v>
      </c>
      <c r="F73" s="534" t="n">
        <v>6.98</v>
      </c>
      <c r="G73" s="554" t="n"/>
      <c r="H73" s="535">
        <f>EOMONTH(H72,1)</f>
        <v/>
      </c>
      <c r="I73" s="1360">
        <f>VLOOKUP($H73,$A:$C,2,TRUE)</f>
        <v/>
      </c>
      <c r="J73" s="554">
        <f>VLOOKUP($H73,$A:$C,3,TRUE)</f>
        <v/>
      </c>
      <c r="K73" s="555">
        <f>I73/I72-1</f>
        <v/>
      </c>
      <c r="L73" s="555">
        <f>J73/J72-1</f>
        <v/>
      </c>
    </row>
    <row r="74">
      <c r="A74" s="535" t="n">
        <v>31638</v>
      </c>
      <c r="B74" s="534" t="n">
        <v>4.922</v>
      </c>
      <c r="C74" s="534" t="n">
        <v>1925.16</v>
      </c>
      <c r="E74" s="535" t="n">
        <v>35458</v>
      </c>
      <c r="F74" s="534" t="n">
        <v>7.06</v>
      </c>
      <c r="G74" s="554" t="n"/>
      <c r="H74" s="535">
        <f>EOMONTH(H73,1)</f>
        <v/>
      </c>
      <c r="I74" s="1360">
        <f>VLOOKUP($H74,$A:$C,2,TRUE)</f>
        <v/>
      </c>
      <c r="J74" s="554">
        <f>VLOOKUP($H74,$A:$C,3,TRUE)</f>
        <v/>
      </c>
      <c r="K74" s="555">
        <f>I74/I73-1</f>
        <v/>
      </c>
      <c r="L74" s="555">
        <f>J74/J73-1</f>
        <v/>
      </c>
    </row>
    <row r="75">
      <c r="A75" s="535" t="n">
        <v>31639</v>
      </c>
      <c r="B75" s="534" t="n">
        <v>4.922</v>
      </c>
      <c r="C75" s="534" t="n">
        <v>1935.76</v>
      </c>
      <c r="E75" s="535" t="n">
        <v>35459</v>
      </c>
      <c r="F75" s="534" t="n">
        <v>7.1</v>
      </c>
      <c r="G75" s="554" t="n"/>
      <c r="H75" s="535">
        <f>EOMONTH(H74,1)</f>
        <v/>
      </c>
      <c r="I75" s="1360">
        <f>VLOOKUP($H75,$A:$C,2,TRUE)</f>
        <v/>
      </c>
      <c r="J75" s="554">
        <f>VLOOKUP($H75,$A:$C,3,TRUE)</f>
        <v/>
      </c>
      <c r="K75" s="555">
        <f>I75/I74-1</f>
        <v/>
      </c>
      <c r="L75" s="555">
        <f>J75/J74-1</f>
        <v/>
      </c>
    </row>
    <row r="76">
      <c r="A76" s="535" t="n">
        <v>31642</v>
      </c>
      <c r="B76" s="534" t="n">
        <v>4.878</v>
      </c>
      <c r="C76" s="534" t="n">
        <v>1950.12</v>
      </c>
      <c r="E76" s="535" t="n">
        <v>35460</v>
      </c>
      <c r="F76" s="534" t="n">
        <v>7.05</v>
      </c>
      <c r="G76" s="554" t="n"/>
      <c r="H76" s="535">
        <f>EOMONTH(H75,1)</f>
        <v/>
      </c>
      <c r="I76" s="1360">
        <f>VLOOKUP($H76,$A:$C,2,TRUE)</f>
        <v/>
      </c>
      <c r="J76" s="554">
        <f>VLOOKUP($H76,$A:$C,3,TRUE)</f>
        <v/>
      </c>
      <c r="K76" s="555">
        <f>I76/I75-1</f>
        <v/>
      </c>
      <c r="L76" s="555">
        <f>J76/J75-1</f>
        <v/>
      </c>
    </row>
    <row r="77">
      <c r="A77" s="535" t="n">
        <v>31643</v>
      </c>
      <c r="B77" s="534" t="n">
        <v>4.878</v>
      </c>
      <c r="C77" s="534" t="n">
        <v>1935.69</v>
      </c>
      <c r="E77" s="535" t="n">
        <v>35461</v>
      </c>
      <c r="F77" s="534" t="n">
        <v>7.06</v>
      </c>
      <c r="G77" s="554" t="n"/>
      <c r="H77" s="535">
        <f>EOMONTH(H76,1)</f>
        <v/>
      </c>
      <c r="I77" s="1360">
        <f>VLOOKUP($H77,$A:$C,2,TRUE)</f>
        <v/>
      </c>
      <c r="J77" s="554">
        <f>VLOOKUP($H77,$A:$C,3,TRUE)</f>
        <v/>
      </c>
      <c r="K77" s="555">
        <f>I77/I76-1</f>
        <v/>
      </c>
      <c r="L77" s="555">
        <f>J77/J76-1</f>
        <v/>
      </c>
    </row>
    <row r="78">
      <c r="A78" s="535" t="n">
        <v>31644</v>
      </c>
      <c r="B78" s="534" t="n">
        <v>5.009</v>
      </c>
      <c r="C78" s="534" t="n">
        <v>1941.28</v>
      </c>
      <c r="E78" s="535" t="n">
        <v>35464</v>
      </c>
      <c r="F78" s="534" t="n">
        <v>6.96</v>
      </c>
      <c r="G78" s="554" t="n"/>
      <c r="H78" s="535">
        <f>EOMONTH(H77,1)</f>
        <v/>
      </c>
      <c r="I78" s="1360">
        <f>VLOOKUP($H78,$A:$C,2,TRUE)</f>
        <v/>
      </c>
      <c r="J78" s="554">
        <f>VLOOKUP($H78,$A:$C,3,TRUE)</f>
        <v/>
      </c>
      <c r="K78" s="555">
        <f>I78/I77-1</f>
        <v/>
      </c>
      <c r="L78" s="555">
        <f>J78/J77-1</f>
        <v/>
      </c>
    </row>
    <row r="79">
      <c r="A79" s="535" t="n">
        <v>31645</v>
      </c>
      <c r="B79" s="534" t="n">
        <v>4.965</v>
      </c>
      <c r="C79" s="534" t="n">
        <v>1941.36</v>
      </c>
      <c r="E79" s="535" t="n">
        <v>35465</v>
      </c>
      <c r="F79" s="534" t="n">
        <v>6.88</v>
      </c>
      <c r="G79" s="554" t="n"/>
      <c r="H79" s="535">
        <f>EOMONTH(H78,1)</f>
        <v/>
      </c>
      <c r="I79" s="1360">
        <f>VLOOKUP($H79,$A:$C,2,TRUE)</f>
        <v/>
      </c>
      <c r="J79" s="554">
        <f>VLOOKUP($H79,$A:$C,3,TRUE)</f>
        <v/>
      </c>
      <c r="K79" s="555">
        <f>I79/I78-1</f>
        <v/>
      </c>
      <c r="L79" s="555">
        <f>J79/J78-1</f>
        <v/>
      </c>
    </row>
    <row r="80">
      <c r="A80" s="535" t="n">
        <v>31646</v>
      </c>
      <c r="B80" s="534" t="n">
        <v>4.965</v>
      </c>
      <c r="C80" s="534" t="n">
        <v>1946.03</v>
      </c>
      <c r="E80" s="535" t="n">
        <v>35466</v>
      </c>
      <c r="F80" s="534" t="n">
        <v>6.85</v>
      </c>
      <c r="G80" s="554" t="n"/>
      <c r="H80" s="535">
        <f>EOMONTH(H79,1)</f>
        <v/>
      </c>
      <c r="I80" s="1360">
        <f>VLOOKUP($H80,$A:$C,2,TRUE)</f>
        <v/>
      </c>
      <c r="J80" s="554">
        <f>VLOOKUP($H80,$A:$C,3,TRUE)</f>
        <v/>
      </c>
      <c r="K80" s="555">
        <f>I80/I79-1</f>
        <v/>
      </c>
      <c r="L80" s="555">
        <f>J80/J79-1</f>
        <v/>
      </c>
    </row>
    <row r="81">
      <c r="A81" s="535" t="n">
        <v>31649</v>
      </c>
      <c r="B81" s="534" t="n">
        <v>4.965</v>
      </c>
      <c r="C81" s="534" t="n">
        <v>1946.03</v>
      </c>
      <c r="E81" s="535" t="n">
        <v>35467</v>
      </c>
      <c r="F81" s="534" t="n">
        <v>6.85</v>
      </c>
      <c r="G81" s="554" t="n"/>
      <c r="H81" s="535">
        <f>EOMONTH(H80,1)</f>
        <v/>
      </c>
      <c r="I81" s="1360">
        <f>VLOOKUP($H81,$A:$C,2,TRUE)</f>
        <v/>
      </c>
      <c r="J81" s="554">
        <f>VLOOKUP($H81,$A:$C,3,TRUE)</f>
        <v/>
      </c>
      <c r="K81" s="555">
        <f>I81/I80-1</f>
        <v/>
      </c>
      <c r="L81" s="555">
        <f>J81/J80-1</f>
        <v/>
      </c>
    </row>
    <row r="82">
      <c r="A82" s="535" t="n">
        <v>31650</v>
      </c>
      <c r="B82" s="534" t="n">
        <v>4.965</v>
      </c>
      <c r="C82" s="534" t="n">
        <v>1917</v>
      </c>
      <c r="E82" s="535" t="n">
        <v>35468</v>
      </c>
      <c r="F82" s="534" t="n">
        <v>6.85</v>
      </c>
      <c r="G82" s="554" t="n"/>
      <c r="H82" s="535">
        <f>EOMONTH(H81,1)</f>
        <v/>
      </c>
      <c r="I82" s="1360">
        <f>VLOOKUP($H82,$A:$C,2,TRUE)</f>
        <v/>
      </c>
      <c r="J82" s="554">
        <f>VLOOKUP($H82,$A:$C,3,TRUE)</f>
        <v/>
      </c>
      <c r="K82" s="555">
        <f>I82/I81-1</f>
        <v/>
      </c>
      <c r="L82" s="555">
        <f>J82/J81-1</f>
        <v/>
      </c>
    </row>
    <row r="83">
      <c r="A83" s="535" t="n">
        <v>31651</v>
      </c>
      <c r="B83" s="534" t="n">
        <v>4.965</v>
      </c>
      <c r="C83" s="534" t="n">
        <v>1932.99</v>
      </c>
      <c r="E83" s="535" t="n">
        <v>35471</v>
      </c>
      <c r="F83" s="534" t="n">
        <v>6.81</v>
      </c>
      <c r="G83" s="554" t="n"/>
      <c r="H83" s="535">
        <f>EOMONTH(H82,1)</f>
        <v/>
      </c>
      <c r="I83" s="1360">
        <f>VLOOKUP($H83,$A:$C,2,TRUE)</f>
        <v/>
      </c>
      <c r="J83" s="554">
        <f>VLOOKUP($H83,$A:$C,3,TRUE)</f>
        <v/>
      </c>
      <c r="K83" s="555">
        <f>I83/I82-1</f>
        <v/>
      </c>
      <c r="L83" s="555">
        <f>J83/J82-1</f>
        <v/>
      </c>
    </row>
    <row r="84">
      <c r="A84" s="535" t="n">
        <v>31652</v>
      </c>
      <c r="B84" s="534" t="n">
        <v>4.835</v>
      </c>
      <c r="C84" s="534" t="n">
        <v>1934.2</v>
      </c>
      <c r="E84" s="535" t="n">
        <v>35472</v>
      </c>
      <c r="F84" s="534" t="n">
        <v>6.78</v>
      </c>
      <c r="G84" s="554" t="n"/>
      <c r="H84" s="535">
        <f>EOMONTH(H83,1)</f>
        <v/>
      </c>
      <c r="I84" s="1360">
        <f>VLOOKUP($H84,$A:$C,2,TRUE)</f>
        <v/>
      </c>
      <c r="J84" s="554">
        <f>VLOOKUP($H84,$A:$C,3,TRUE)</f>
        <v/>
      </c>
      <c r="K84" s="555">
        <f>I84/I83-1</f>
        <v/>
      </c>
      <c r="L84" s="555">
        <f>J84/J83-1</f>
        <v/>
      </c>
    </row>
    <row r="85">
      <c r="A85" s="535" t="n">
        <v>31653</v>
      </c>
      <c r="B85" s="534" t="n">
        <v>4.748</v>
      </c>
      <c r="C85" s="534" t="n">
        <v>1913</v>
      </c>
      <c r="E85" s="535" t="n">
        <v>35473</v>
      </c>
      <c r="F85" s="534" t="n">
        <v>6.78</v>
      </c>
      <c r="G85" s="554" t="n"/>
      <c r="H85" s="535">
        <f>EOMONTH(H84,1)</f>
        <v/>
      </c>
      <c r="I85" s="1360">
        <f>VLOOKUP($H85,$A:$C,2,TRUE)</f>
        <v/>
      </c>
      <c r="J85" s="554">
        <f>VLOOKUP($H85,$A:$C,3,TRUE)</f>
        <v/>
      </c>
      <c r="K85" s="555">
        <f>I85/I84-1</f>
        <v/>
      </c>
      <c r="L85" s="555">
        <f>J85/J84-1</f>
        <v/>
      </c>
    </row>
    <row r="86">
      <c r="A86" s="535" t="n">
        <v>31656</v>
      </c>
      <c r="B86" s="534" t="n">
        <v>4.748</v>
      </c>
      <c r="C86" s="534" t="n">
        <v>1903.02</v>
      </c>
      <c r="E86" s="535" t="n">
        <v>35474</v>
      </c>
      <c r="F86" s="534" t="n">
        <v>6.79</v>
      </c>
      <c r="G86" s="554" t="n"/>
      <c r="H86" s="535">
        <f>EOMONTH(H85,1)</f>
        <v/>
      </c>
      <c r="I86" s="1360">
        <f>VLOOKUP($H86,$A:$C,2,TRUE)</f>
        <v/>
      </c>
      <c r="J86" s="554">
        <f>VLOOKUP($H86,$A:$C,3,TRUE)</f>
        <v/>
      </c>
      <c r="K86" s="555">
        <f>I86/I85-1</f>
        <v/>
      </c>
      <c r="L86" s="555">
        <f>J86/J85-1</f>
        <v/>
      </c>
    </row>
    <row r="87">
      <c r="A87" s="535" t="n">
        <v>31657</v>
      </c>
      <c r="B87" s="534" t="n">
        <v>4.748</v>
      </c>
      <c r="C87" s="534" t="n">
        <v>1930.61</v>
      </c>
      <c r="E87" s="535" t="n">
        <v>35475</v>
      </c>
      <c r="F87" s="534" t="n">
        <v>6.83</v>
      </c>
      <c r="G87" s="554" t="n"/>
      <c r="H87" s="535">
        <f>EOMONTH(H86,1)</f>
        <v/>
      </c>
      <c r="I87" s="1360">
        <f>VLOOKUP($H87,$A:$C,2,TRUE)</f>
        <v/>
      </c>
      <c r="J87" s="554">
        <f>VLOOKUP($H87,$A:$C,3,TRUE)</f>
        <v/>
      </c>
      <c r="K87" s="555">
        <f>I87/I86-1</f>
        <v/>
      </c>
      <c r="L87" s="555">
        <f>J87/J86-1</f>
        <v/>
      </c>
    </row>
    <row r="88">
      <c r="A88" s="535" t="n">
        <v>31658</v>
      </c>
      <c r="B88" s="534" t="n">
        <v>4.704</v>
      </c>
      <c r="C88" s="534" t="n">
        <v>1944.99</v>
      </c>
      <c r="E88" s="535" t="n">
        <v>35478</v>
      </c>
      <c r="F88" s="534" t="n">
        <v>6.78</v>
      </c>
      <c r="G88" s="554" t="n"/>
      <c r="H88" s="535">
        <f>EOMONTH(H87,1)</f>
        <v/>
      </c>
      <c r="I88" s="1360">
        <f>VLOOKUP($H88,$A:$C,2,TRUE)</f>
        <v/>
      </c>
      <c r="J88" s="554">
        <f>VLOOKUP($H88,$A:$C,3,TRUE)</f>
        <v/>
      </c>
      <c r="K88" s="555">
        <f>I88/I87-1</f>
        <v/>
      </c>
      <c r="L88" s="555">
        <f>J88/J87-1</f>
        <v/>
      </c>
    </row>
    <row r="89">
      <c r="A89" s="535" t="n">
        <v>31659</v>
      </c>
      <c r="B89" s="534" t="n">
        <v>4.66</v>
      </c>
      <c r="C89" s="534" t="n">
        <v>1946.7</v>
      </c>
      <c r="E89" s="535" t="n">
        <v>35479</v>
      </c>
      <c r="F89" s="534" t="n">
        <v>6.86</v>
      </c>
      <c r="G89" s="554" t="n"/>
      <c r="H89" s="535">
        <f>EOMONTH(H88,1)</f>
        <v/>
      </c>
      <c r="I89" s="1360">
        <f>VLOOKUP($H89,$A:$C,2,TRUE)</f>
        <v/>
      </c>
      <c r="J89" s="554">
        <f>VLOOKUP($H89,$A:$C,3,TRUE)</f>
        <v/>
      </c>
      <c r="K89" s="555">
        <f>I89/I88-1</f>
        <v/>
      </c>
      <c r="L89" s="555">
        <f>J89/J88-1</f>
        <v/>
      </c>
    </row>
    <row r="90">
      <c r="A90" s="535" t="n">
        <v>31660</v>
      </c>
      <c r="B90" s="534" t="n">
        <v>4.66</v>
      </c>
      <c r="C90" s="534" t="n">
        <v>1968.53</v>
      </c>
      <c r="E90" s="535" t="n">
        <v>35480</v>
      </c>
      <c r="F90" s="534" t="n">
        <v>6.88</v>
      </c>
      <c r="G90" s="554" t="n"/>
      <c r="H90" s="535">
        <f>EOMONTH(H89,1)</f>
        <v/>
      </c>
      <c r="I90" s="1360">
        <f>VLOOKUP($H90,$A:$C,2,TRUE)</f>
        <v/>
      </c>
      <c r="J90" s="554">
        <f>VLOOKUP($H90,$A:$C,3,TRUE)</f>
        <v/>
      </c>
      <c r="K90" s="555">
        <f>I90/I89-1</f>
        <v/>
      </c>
      <c r="L90" s="555">
        <f>J90/J89-1</f>
        <v/>
      </c>
    </row>
    <row r="91">
      <c r="A91" s="535" t="n">
        <v>31663</v>
      </c>
      <c r="B91" s="534" t="n">
        <v>4.66</v>
      </c>
      <c r="C91" s="534" t="n">
        <v>1969.98</v>
      </c>
      <c r="E91" s="535" t="n">
        <v>35481</v>
      </c>
      <c r="F91" s="534" t="n">
        <v>6.8</v>
      </c>
      <c r="G91" s="554" t="n"/>
      <c r="H91" s="535">
        <f>EOMONTH(H90,1)</f>
        <v/>
      </c>
      <c r="I91" s="1360">
        <f>VLOOKUP($H91,$A:$C,2,TRUE)</f>
        <v/>
      </c>
      <c r="J91" s="554">
        <f>VLOOKUP($H91,$A:$C,3,TRUE)</f>
        <v/>
      </c>
      <c r="K91" s="555">
        <f>I91/I90-1</f>
        <v/>
      </c>
      <c r="L91" s="555">
        <f>J91/J90-1</f>
        <v/>
      </c>
    </row>
    <row r="92">
      <c r="A92" s="535" t="n">
        <v>31664</v>
      </c>
      <c r="B92" s="534" t="n">
        <v>4.617</v>
      </c>
      <c r="C92" s="534" t="n">
        <v>1966.02</v>
      </c>
      <c r="E92" s="535" t="n">
        <v>35482</v>
      </c>
      <c r="F92" s="534" t="n">
        <v>6.89</v>
      </c>
      <c r="G92" s="554" t="n"/>
      <c r="H92" s="535">
        <f>EOMONTH(H91,1)</f>
        <v/>
      </c>
      <c r="I92" s="1360">
        <f>VLOOKUP($H92,$A:$C,2,TRUE)</f>
        <v/>
      </c>
      <c r="J92" s="554">
        <f>VLOOKUP($H92,$A:$C,3,TRUE)</f>
        <v/>
      </c>
      <c r="K92" s="555">
        <f>I92/I91-1</f>
        <v/>
      </c>
      <c r="L92" s="555">
        <f>J92/J91-1</f>
        <v/>
      </c>
    </row>
    <row r="93">
      <c r="A93" s="535" t="n">
        <v>31665</v>
      </c>
      <c r="B93" s="534" t="n">
        <v>4.66</v>
      </c>
      <c r="C93" s="534" t="n">
        <v>1976.16</v>
      </c>
      <c r="E93" s="535" t="n">
        <v>35485</v>
      </c>
      <c r="F93" s="534" t="n">
        <v>6.88</v>
      </c>
      <c r="G93" s="554" t="n"/>
      <c r="H93" s="535">
        <f>EOMONTH(H92,1)</f>
        <v/>
      </c>
      <c r="I93" s="1360">
        <f>VLOOKUP($H93,$A:$C,2,TRUE)</f>
        <v/>
      </c>
      <c r="J93" s="554">
        <f>VLOOKUP($H93,$A:$C,3,TRUE)</f>
        <v/>
      </c>
      <c r="K93" s="555">
        <f>I93/I92-1</f>
        <v/>
      </c>
      <c r="L93" s="555">
        <f>J93/J92-1</f>
        <v/>
      </c>
    </row>
    <row r="94">
      <c r="A94" s="535" t="n">
        <v>31666</v>
      </c>
      <c r="B94" s="534" t="n">
        <v>4.704</v>
      </c>
      <c r="C94" s="534" t="n">
        <v>1997.92</v>
      </c>
      <c r="E94" s="535" t="n">
        <v>35486</v>
      </c>
      <c r="F94" s="534" t="n">
        <v>6.91</v>
      </c>
      <c r="G94" s="554" t="n"/>
      <c r="H94" s="535">
        <f>EOMONTH(H93,1)</f>
        <v/>
      </c>
      <c r="I94" s="1360">
        <f>VLOOKUP($H94,$A:$C,2,TRUE)</f>
        <v/>
      </c>
      <c r="J94" s="554">
        <f>VLOOKUP($H94,$A:$C,3,TRUE)</f>
        <v/>
      </c>
      <c r="K94" s="555">
        <f>I94/I93-1</f>
        <v/>
      </c>
      <c r="L94" s="555">
        <f>J94/J93-1</f>
        <v/>
      </c>
    </row>
    <row r="95">
      <c r="A95" s="535" t="n">
        <v>31667</v>
      </c>
      <c r="B95" s="534" t="n">
        <v>4.66</v>
      </c>
      <c r="C95" s="534" t="n">
        <v>1966.33</v>
      </c>
      <c r="E95" s="535" t="n">
        <v>35487</v>
      </c>
      <c r="F95" s="534" t="n">
        <v>6.93</v>
      </c>
      <c r="G95" s="554" t="n"/>
      <c r="H95" s="535">
        <f>EOMONTH(H94,1)</f>
        <v/>
      </c>
      <c r="I95" s="1360">
        <f>VLOOKUP($H95,$A:$C,2,TRUE)</f>
        <v/>
      </c>
      <c r="J95" s="554">
        <f>VLOOKUP($H95,$A:$C,3,TRUE)</f>
        <v/>
      </c>
      <c r="K95" s="555">
        <f>I95/I94-1</f>
        <v/>
      </c>
      <c r="L95" s="555">
        <f>J95/J94-1</f>
        <v/>
      </c>
    </row>
    <row r="96">
      <c r="A96" s="535" t="n">
        <v>31670</v>
      </c>
      <c r="B96" s="534" t="n">
        <v>4.66</v>
      </c>
      <c r="C96" s="534" t="n">
        <v>1942.34</v>
      </c>
      <c r="E96" s="535" t="n">
        <v>35488</v>
      </c>
      <c r="F96" s="534" t="n">
        <v>7.08</v>
      </c>
      <c r="G96" s="554" t="n"/>
      <c r="H96" s="535">
        <f>EOMONTH(H95,1)</f>
        <v/>
      </c>
      <c r="I96" s="1360">
        <f>VLOOKUP($H96,$A:$C,2,TRUE)</f>
        <v/>
      </c>
      <c r="J96" s="554">
        <f>VLOOKUP($H96,$A:$C,3,TRUE)</f>
        <v/>
      </c>
      <c r="K96" s="555">
        <f>I96/I95-1</f>
        <v/>
      </c>
      <c r="L96" s="555">
        <f>J96/J95-1</f>
        <v/>
      </c>
    </row>
    <row r="97">
      <c r="A97" s="535" t="n">
        <v>31671</v>
      </c>
      <c r="B97" s="534" t="n">
        <v>4.617</v>
      </c>
      <c r="C97" s="534" t="n">
        <v>1927.97</v>
      </c>
      <c r="E97" s="535" t="n">
        <v>35489</v>
      </c>
      <c r="F97" s="534" t="n">
        <v>7.12</v>
      </c>
      <c r="G97" s="554" t="n"/>
      <c r="H97" s="535">
        <f>EOMONTH(H96,1)</f>
        <v/>
      </c>
      <c r="I97" s="1360">
        <f>VLOOKUP($H97,$A:$C,2,TRUE)</f>
        <v/>
      </c>
      <c r="J97" s="554">
        <f>VLOOKUP($H97,$A:$C,3,TRUE)</f>
        <v/>
      </c>
      <c r="K97" s="555">
        <f>I97/I96-1</f>
        <v/>
      </c>
      <c r="L97" s="555">
        <f>J97/J96-1</f>
        <v/>
      </c>
    </row>
    <row r="98">
      <c r="A98" s="535" t="n">
        <v>31672</v>
      </c>
      <c r="B98" s="534" t="n">
        <v>4.573</v>
      </c>
      <c r="C98" s="534" t="n">
        <v>1921.99</v>
      </c>
      <c r="E98" s="535" t="n">
        <v>35492</v>
      </c>
      <c r="F98" s="534" t="n">
        <v>7.13</v>
      </c>
      <c r="G98" s="554" t="n"/>
      <c r="H98" s="535">
        <f>EOMONTH(H97,1)</f>
        <v/>
      </c>
      <c r="I98" s="1360">
        <f>VLOOKUP($H98,$A:$C,2,TRUE)</f>
        <v/>
      </c>
      <c r="J98" s="554">
        <f>VLOOKUP($H98,$A:$C,3,TRUE)</f>
        <v/>
      </c>
      <c r="K98" s="555">
        <f>I98/I97-1</f>
        <v/>
      </c>
      <c r="L98" s="555">
        <f>J98/J97-1</f>
        <v/>
      </c>
    </row>
    <row r="99">
      <c r="A99" s="535" t="n">
        <v>31673</v>
      </c>
      <c r="B99" s="534" t="n">
        <v>4.573</v>
      </c>
      <c r="C99" s="534" t="n">
        <v>1925.82</v>
      </c>
      <c r="E99" s="535" t="n">
        <v>35493</v>
      </c>
      <c r="F99" s="534" t="n">
        <v>7.11</v>
      </c>
      <c r="G99" s="554" t="n"/>
      <c r="H99" s="535">
        <f>EOMONTH(H98,1)</f>
        <v/>
      </c>
      <c r="I99" s="1360">
        <f>VLOOKUP($H99,$A:$C,2,TRUE)</f>
        <v/>
      </c>
      <c r="J99" s="554">
        <f>VLOOKUP($H99,$A:$C,3,TRUE)</f>
        <v/>
      </c>
      <c r="K99" s="555">
        <f>I99/I98-1</f>
        <v/>
      </c>
      <c r="L99" s="555">
        <f>J99/J98-1</f>
        <v/>
      </c>
    </row>
    <row r="100">
      <c r="A100" s="535" t="n">
        <v>31674</v>
      </c>
      <c r="B100" s="534" t="n">
        <v>4.573</v>
      </c>
      <c r="C100" s="534" t="n">
        <v>1925.82</v>
      </c>
      <c r="E100" s="535" t="n">
        <v>35494</v>
      </c>
      <c r="F100" s="534" t="n">
        <v>7.14</v>
      </c>
      <c r="G100" s="554" t="n"/>
      <c r="H100" s="535">
        <f>EOMONTH(H99,1)</f>
        <v/>
      </c>
      <c r="I100" s="1360">
        <f>VLOOKUP($H100,$A:$C,2,TRUE)</f>
        <v/>
      </c>
      <c r="J100" s="554">
        <f>VLOOKUP($H100,$A:$C,3,TRUE)</f>
        <v/>
      </c>
      <c r="K100" s="555">
        <f>I100/I99-1</f>
        <v/>
      </c>
      <c r="L100" s="555">
        <f>J100/J99-1</f>
        <v/>
      </c>
    </row>
    <row r="101">
      <c r="A101" s="535" t="n">
        <v>31677</v>
      </c>
      <c r="B101" s="534" t="n">
        <v>4.573</v>
      </c>
      <c r="C101" s="534" t="n">
        <v>1953.6</v>
      </c>
      <c r="E101" s="535" t="n">
        <v>35495</v>
      </c>
      <c r="F101" s="534" t="n">
        <v>7.1</v>
      </c>
      <c r="G101" s="554" t="n"/>
      <c r="H101" s="535">
        <f>EOMONTH(H100,1)</f>
        <v/>
      </c>
      <c r="I101" s="1360">
        <f>VLOOKUP($H101,$A:$C,2,TRUE)</f>
        <v/>
      </c>
      <c r="J101" s="554">
        <f>VLOOKUP($H101,$A:$C,3,TRUE)</f>
        <v/>
      </c>
      <c r="K101" s="555">
        <f>I101/I100-1</f>
        <v/>
      </c>
      <c r="L101" s="555">
        <f>J101/J100-1</f>
        <v/>
      </c>
    </row>
    <row r="102">
      <c r="A102" s="535" t="n">
        <v>31678</v>
      </c>
      <c r="B102" s="534" t="n">
        <v>4.66</v>
      </c>
      <c r="C102" s="534" t="n">
        <v>1992.6</v>
      </c>
      <c r="E102" s="535" t="n">
        <v>35496</v>
      </c>
      <c r="F102" s="534" t="n">
        <v>7.17</v>
      </c>
      <c r="G102" s="554" t="n"/>
      <c r="H102" s="535">
        <f>EOMONTH(H101,1)</f>
        <v/>
      </c>
      <c r="I102" s="1360">
        <f>VLOOKUP($H102,$A:$C,2,TRUE)</f>
        <v/>
      </c>
      <c r="J102" s="554">
        <f>VLOOKUP($H102,$A:$C,3,TRUE)</f>
        <v/>
      </c>
      <c r="K102" s="555">
        <f>I102/I101-1</f>
        <v/>
      </c>
      <c r="L102" s="555">
        <f>J102/J101-1</f>
        <v/>
      </c>
    </row>
    <row r="103">
      <c r="A103" s="535" t="n">
        <v>31679</v>
      </c>
      <c r="B103" s="534" t="n">
        <v>4.617</v>
      </c>
      <c r="C103" s="534" t="n">
        <v>2008.3</v>
      </c>
      <c r="E103" s="535" t="n">
        <v>35499</v>
      </c>
      <c r="F103" s="534" t="n">
        <v>7.11</v>
      </c>
      <c r="G103" s="554" t="n"/>
      <c r="H103" s="535">
        <f>EOMONTH(H102,1)</f>
        <v/>
      </c>
      <c r="I103" s="1360">
        <f>VLOOKUP($H103,$A:$C,2,TRUE)</f>
        <v/>
      </c>
      <c r="J103" s="554">
        <f>VLOOKUP($H103,$A:$C,3,TRUE)</f>
        <v/>
      </c>
      <c r="K103" s="555">
        <f>I103/I102-1</f>
        <v/>
      </c>
      <c r="L103" s="555">
        <f>J103/J102-1</f>
        <v/>
      </c>
    </row>
    <row r="104">
      <c r="A104" s="535" t="n">
        <v>31680</v>
      </c>
      <c r="B104" s="534" t="n">
        <v>4.66</v>
      </c>
      <c r="C104" s="534" t="n">
        <v>2011.7</v>
      </c>
      <c r="E104" s="535" t="n">
        <v>35500</v>
      </c>
      <c r="F104" s="534" t="n">
        <v>7.12</v>
      </c>
      <c r="G104" s="554" t="n"/>
      <c r="H104" s="535">
        <f>EOMONTH(H103,1)</f>
        <v/>
      </c>
      <c r="I104" s="1360">
        <f>VLOOKUP($H104,$A:$C,2,TRUE)</f>
        <v/>
      </c>
      <c r="J104" s="554">
        <f>VLOOKUP($H104,$A:$C,3,TRUE)</f>
        <v/>
      </c>
      <c r="K104" s="555">
        <f>I104/I103-1</f>
        <v/>
      </c>
      <c r="L104" s="555">
        <f>J104/J103-1</f>
        <v/>
      </c>
    </row>
    <row r="105">
      <c r="A105" s="535" t="n">
        <v>31681</v>
      </c>
      <c r="B105" s="534" t="n">
        <v>4.791</v>
      </c>
      <c r="C105" s="534" t="n">
        <v>2034.36</v>
      </c>
      <c r="E105" s="535" t="n">
        <v>35501</v>
      </c>
      <c r="F105" s="534" t="n">
        <v>7.18</v>
      </c>
      <c r="G105" s="554" t="n"/>
      <c r="H105" s="535">
        <f>EOMONTH(H104,1)</f>
        <v/>
      </c>
      <c r="I105" s="1360">
        <f>VLOOKUP($H105,$A:$C,2,TRUE)</f>
        <v/>
      </c>
      <c r="J105" s="554">
        <f>VLOOKUP($H105,$A:$C,3,TRUE)</f>
        <v/>
      </c>
      <c r="K105" s="555">
        <f>I105/I104-1</f>
        <v/>
      </c>
      <c r="L105" s="555">
        <f>J105/J104-1</f>
        <v/>
      </c>
    </row>
    <row r="106">
      <c r="A106" s="535" t="n">
        <v>31684</v>
      </c>
      <c r="B106" s="534" t="n">
        <v>4.835</v>
      </c>
      <c r="C106" s="534" t="n">
        <v>2064.3</v>
      </c>
      <c r="E106" s="535" t="n">
        <v>35502</v>
      </c>
      <c r="F106" s="534" t="n">
        <v>7.22</v>
      </c>
      <c r="G106" s="554" t="n"/>
      <c r="H106" s="535">
        <f>EOMONTH(H105,1)</f>
        <v/>
      </c>
      <c r="I106" s="1360">
        <f>VLOOKUP($H106,$A:$C,2,TRUE)</f>
        <v/>
      </c>
      <c r="J106" s="554">
        <f>VLOOKUP($H106,$A:$C,3,TRUE)</f>
        <v/>
      </c>
      <c r="K106" s="555">
        <f>I106/I105-1</f>
        <v/>
      </c>
      <c r="L106" s="555">
        <f>J106/J105-1</f>
        <v/>
      </c>
    </row>
    <row r="107">
      <c r="A107" s="535" t="n">
        <v>31685</v>
      </c>
      <c r="B107" s="534" t="n">
        <v>4.748</v>
      </c>
      <c r="C107" s="534" t="n">
        <v>2068.44</v>
      </c>
      <c r="E107" s="535" t="n">
        <v>35503</v>
      </c>
      <c r="F107" s="534" t="n">
        <v>7.35</v>
      </c>
      <c r="G107" s="554" t="n"/>
      <c r="H107" s="535">
        <f>EOMONTH(H106,1)</f>
        <v/>
      </c>
      <c r="I107" s="1360">
        <f>VLOOKUP($H107,$A:$C,2,TRUE)</f>
        <v/>
      </c>
      <c r="J107" s="554">
        <f>VLOOKUP($H107,$A:$C,3,TRUE)</f>
        <v/>
      </c>
      <c r="K107" s="555">
        <f>I107/I106-1</f>
        <v/>
      </c>
      <c r="L107" s="555">
        <f>J107/J106-1</f>
        <v/>
      </c>
    </row>
    <row r="108">
      <c r="A108" s="535" t="n">
        <v>31686</v>
      </c>
      <c r="B108" s="534" t="n">
        <v>4.791</v>
      </c>
      <c r="C108" s="534" t="n">
        <v>2090.24</v>
      </c>
      <c r="E108" s="535" t="n">
        <v>35506</v>
      </c>
      <c r="F108" s="534" t="n">
        <v>7.33</v>
      </c>
      <c r="G108" s="554" t="n"/>
      <c r="H108" s="535">
        <f>EOMONTH(H107,1)</f>
        <v/>
      </c>
      <c r="I108" s="1360">
        <f>VLOOKUP($H108,$A:$C,2,TRUE)</f>
        <v/>
      </c>
      <c r="J108" s="554">
        <f>VLOOKUP($H108,$A:$C,3,TRUE)</f>
        <v/>
      </c>
      <c r="K108" s="555">
        <f>I108/I107-1</f>
        <v/>
      </c>
      <c r="L108" s="555">
        <f>J108/J107-1</f>
        <v/>
      </c>
    </row>
    <row r="109">
      <c r="A109" s="535" t="n">
        <v>31687</v>
      </c>
      <c r="B109" s="534" t="n">
        <v>4.791</v>
      </c>
      <c r="C109" s="534" t="n">
        <v>2120.14</v>
      </c>
      <c r="E109" s="535" t="n">
        <v>35507</v>
      </c>
      <c r="F109" s="534" t="n">
        <v>7.37</v>
      </c>
      <c r="G109" s="554" t="n"/>
      <c r="H109" s="535">
        <f>EOMONTH(H108,1)</f>
        <v/>
      </c>
      <c r="I109" s="1360">
        <f>VLOOKUP($H109,$A:$C,2,TRUE)</f>
        <v/>
      </c>
      <c r="J109" s="554">
        <f>VLOOKUP($H109,$A:$C,3,TRUE)</f>
        <v/>
      </c>
      <c r="K109" s="555">
        <f>I109/I108-1</f>
        <v/>
      </c>
      <c r="L109" s="555">
        <f>J109/J108-1</f>
        <v/>
      </c>
    </row>
    <row r="110">
      <c r="A110" s="535" t="n">
        <v>31688</v>
      </c>
      <c r="B110" s="534" t="n">
        <v>4.748</v>
      </c>
      <c r="C110" s="534" t="n">
        <v>2134.8</v>
      </c>
      <c r="E110" s="535" t="n">
        <v>35508</v>
      </c>
      <c r="F110" s="534" t="n">
        <v>7.4</v>
      </c>
      <c r="G110" s="554" t="n"/>
      <c r="H110" s="535">
        <f>EOMONTH(H109,1)</f>
        <v/>
      </c>
      <c r="I110" s="1360">
        <f>VLOOKUP($H110,$A:$C,2,TRUE)</f>
        <v/>
      </c>
      <c r="J110" s="554">
        <f>VLOOKUP($H110,$A:$C,3,TRUE)</f>
        <v/>
      </c>
      <c r="K110" s="555">
        <f>I110/I109-1</f>
        <v/>
      </c>
      <c r="L110" s="555">
        <f>J110/J109-1</f>
        <v/>
      </c>
    </row>
    <row r="111">
      <c r="A111" s="535" t="n">
        <v>31691</v>
      </c>
      <c r="B111" s="534" t="n">
        <v>4.66</v>
      </c>
      <c r="C111" s="534" t="n">
        <v>2084.93</v>
      </c>
      <c r="E111" s="535" t="n">
        <v>35509</v>
      </c>
      <c r="F111" s="534" t="n">
        <v>7.41</v>
      </c>
      <c r="G111" s="554" t="n"/>
      <c r="H111" s="535">
        <f>EOMONTH(H110,1)</f>
        <v/>
      </c>
      <c r="I111" s="1360">
        <f>VLOOKUP($H111,$A:$C,2,TRUE)</f>
        <v/>
      </c>
      <c r="J111" s="554">
        <f>VLOOKUP($H111,$A:$C,3,TRUE)</f>
        <v/>
      </c>
      <c r="K111" s="555">
        <f>I111/I110-1</f>
        <v/>
      </c>
      <c r="L111" s="555">
        <f>J111/J110-1</f>
        <v/>
      </c>
    </row>
    <row r="112">
      <c r="A112" s="535" t="n">
        <v>31692</v>
      </c>
      <c r="B112" s="534" t="n">
        <v>4.791</v>
      </c>
      <c r="C112" s="534" t="n">
        <v>2162.76</v>
      </c>
      <c r="E112" s="535" t="n">
        <v>35510</v>
      </c>
      <c r="F112" s="534" t="n">
        <v>7.39</v>
      </c>
      <c r="G112" s="554" t="n"/>
      <c r="H112" s="535">
        <f>EOMONTH(H111,1)</f>
        <v/>
      </c>
      <c r="I112" s="1360">
        <f>VLOOKUP($H112,$A:$C,2,TRUE)</f>
        <v/>
      </c>
      <c r="J112" s="554">
        <f>VLOOKUP($H112,$A:$C,3,TRUE)</f>
        <v/>
      </c>
      <c r="K112" s="555">
        <f>I112/I111-1</f>
        <v/>
      </c>
      <c r="L112" s="555">
        <f>J112/J111-1</f>
        <v/>
      </c>
    </row>
    <row r="113">
      <c r="A113" s="535" t="n">
        <v>31693</v>
      </c>
      <c r="B113" s="534" t="n">
        <v>4.748</v>
      </c>
      <c r="C113" s="534" t="n">
        <v>2204.41</v>
      </c>
      <c r="E113" s="535" t="n">
        <v>35513</v>
      </c>
      <c r="F113" s="534" t="n">
        <v>7.37</v>
      </c>
      <c r="G113" s="554" t="n"/>
      <c r="H113" s="535">
        <f>EOMONTH(H112,1)</f>
        <v/>
      </c>
      <c r="I113" s="1360">
        <f>VLOOKUP($H113,$A:$C,2,TRUE)</f>
        <v/>
      </c>
      <c r="J113" s="554">
        <f>VLOOKUP($H113,$A:$C,3,TRUE)</f>
        <v/>
      </c>
      <c r="K113" s="555">
        <f>I113/I112-1</f>
        <v/>
      </c>
      <c r="L113" s="555">
        <f>J113/J112-1</f>
        <v/>
      </c>
    </row>
    <row r="114">
      <c r="A114" s="535" t="n">
        <v>31694</v>
      </c>
      <c r="B114" s="534" t="n">
        <v>4.835</v>
      </c>
      <c r="C114" s="534" t="n">
        <v>2271.15</v>
      </c>
      <c r="E114" s="535" t="n">
        <v>35514</v>
      </c>
      <c r="F114" s="534" t="n">
        <v>7.31</v>
      </c>
      <c r="G114" s="554" t="n"/>
      <c r="H114" s="535">
        <f>EOMONTH(H113,1)</f>
        <v/>
      </c>
      <c r="I114" s="1360">
        <f>VLOOKUP($H114,$A:$C,2,TRUE)</f>
        <v/>
      </c>
      <c r="J114" s="554">
        <f>VLOOKUP($H114,$A:$C,3,TRUE)</f>
        <v/>
      </c>
      <c r="K114" s="555">
        <f>I114/I113-1</f>
        <v/>
      </c>
      <c r="L114" s="555">
        <f>J114/J113-1</f>
        <v/>
      </c>
    </row>
    <row r="115">
      <c r="A115" s="535" t="n">
        <v>31695</v>
      </c>
      <c r="B115" s="534" t="n">
        <v>5.096</v>
      </c>
      <c r="C115" s="534" t="n">
        <v>2279.52</v>
      </c>
      <c r="E115" s="535" t="n">
        <v>35515</v>
      </c>
      <c r="F115" s="534" t="n">
        <v>7.37</v>
      </c>
      <c r="G115" s="554" t="n"/>
      <c r="H115" s="535">
        <f>EOMONTH(H114,1)</f>
        <v/>
      </c>
      <c r="I115" s="1360">
        <f>VLOOKUP($H115,$A:$C,2,TRUE)</f>
        <v/>
      </c>
      <c r="J115" s="554">
        <f>VLOOKUP($H115,$A:$C,3,TRUE)</f>
        <v/>
      </c>
      <c r="K115" s="555">
        <f>I115/I114-1</f>
        <v/>
      </c>
      <c r="L115" s="555">
        <f>J115/J114-1</f>
        <v/>
      </c>
    </row>
    <row r="116">
      <c r="A116" s="535" t="n">
        <v>31698</v>
      </c>
      <c r="B116" s="534" t="n">
        <v>5.096</v>
      </c>
      <c r="C116" s="534" t="n">
        <v>2279.52</v>
      </c>
      <c r="E116" s="535" t="n">
        <v>35516</v>
      </c>
      <c r="F116" s="534" t="n">
        <v>7.38</v>
      </c>
      <c r="G116" s="554" t="n"/>
      <c r="H116" s="535">
        <f>EOMONTH(H115,1)</f>
        <v/>
      </c>
      <c r="I116" s="1360">
        <f>VLOOKUP($H116,$A:$C,2,TRUE)</f>
        <v/>
      </c>
      <c r="J116" s="554">
        <f>VLOOKUP($H116,$A:$C,3,TRUE)</f>
        <v/>
      </c>
      <c r="K116" s="555">
        <f>I116/I115-1</f>
        <v/>
      </c>
      <c r="L116" s="555">
        <f>J116/J115-1</f>
        <v/>
      </c>
    </row>
    <row r="117">
      <c r="A117" s="535" t="n">
        <v>31699</v>
      </c>
      <c r="B117" s="534" t="n">
        <v>5.009</v>
      </c>
      <c r="C117" s="534" t="n">
        <v>2249.22</v>
      </c>
      <c r="E117" s="535" t="n">
        <v>35517</v>
      </c>
      <c r="F117" s="534" t="n">
        <v>7.38</v>
      </c>
      <c r="G117" s="554" t="n"/>
      <c r="H117" s="535">
        <f>EOMONTH(H116,1)</f>
        <v/>
      </c>
      <c r="I117" s="1360">
        <f>VLOOKUP($H117,$A:$C,2,TRUE)</f>
        <v/>
      </c>
      <c r="J117" s="554">
        <f>VLOOKUP($H117,$A:$C,3,TRUE)</f>
        <v/>
      </c>
      <c r="K117" s="555">
        <f>I117/I116-1</f>
        <v/>
      </c>
      <c r="L117" s="555">
        <f>J117/J116-1</f>
        <v/>
      </c>
    </row>
    <row r="118">
      <c r="A118" s="535" t="n">
        <v>31700</v>
      </c>
      <c r="B118" s="534" t="n">
        <v>5.14</v>
      </c>
      <c r="C118" s="534" t="n">
        <v>2289.65</v>
      </c>
      <c r="E118" s="535" t="n">
        <v>35520</v>
      </c>
      <c r="F118" s="534" t="n">
        <v>7.38</v>
      </c>
      <c r="G118" s="554" t="n"/>
      <c r="H118" s="535">
        <f>EOMONTH(H117,1)</f>
        <v/>
      </c>
      <c r="I118" s="1360">
        <f>VLOOKUP($H118,$A:$C,2,TRUE)</f>
        <v/>
      </c>
      <c r="J118" s="554">
        <f>VLOOKUP($H118,$A:$C,3,TRUE)</f>
        <v/>
      </c>
      <c r="K118" s="555">
        <f>I118/I117-1</f>
        <v/>
      </c>
      <c r="L118" s="555">
        <f>J118/J117-1</f>
        <v/>
      </c>
    </row>
    <row r="119">
      <c r="A119" s="535" t="n">
        <v>31701</v>
      </c>
      <c r="B119" s="534" t="n">
        <v>5.183</v>
      </c>
      <c r="C119" s="534" t="n">
        <v>2277.77</v>
      </c>
      <c r="E119" s="535" t="n">
        <v>35521</v>
      </c>
      <c r="F119" s="534" t="n">
        <v>7.5</v>
      </c>
      <c r="G119" s="554" t="n"/>
      <c r="H119" s="535">
        <f>EOMONTH(H118,1)</f>
        <v/>
      </c>
      <c r="I119" s="1360">
        <f>VLOOKUP($H119,$A:$C,2,TRUE)</f>
        <v/>
      </c>
      <c r="J119" s="554">
        <f>VLOOKUP($H119,$A:$C,3,TRUE)</f>
        <v/>
      </c>
      <c r="K119" s="555">
        <f>I119/I118-1</f>
        <v/>
      </c>
      <c r="L119" s="555">
        <f>J119/J118-1</f>
        <v/>
      </c>
    </row>
    <row r="120">
      <c r="A120" s="535" t="n">
        <v>31702</v>
      </c>
      <c r="B120" s="534" t="n">
        <v>5.052</v>
      </c>
      <c r="C120" s="534" t="n">
        <v>2234.89</v>
      </c>
      <c r="E120" s="535" t="n">
        <v>35522</v>
      </c>
      <c r="F120" s="534" t="n">
        <v>7.46</v>
      </c>
      <c r="G120" s="554" t="n"/>
      <c r="H120" s="535">
        <f>EOMONTH(H119,1)</f>
        <v/>
      </c>
      <c r="I120" s="1360">
        <f>VLOOKUP($H120,$A:$C,2,TRUE)</f>
        <v/>
      </c>
      <c r="J120" s="554">
        <f>VLOOKUP($H120,$A:$C,3,TRUE)</f>
        <v/>
      </c>
      <c r="K120" s="555">
        <f>I120/I119-1</f>
        <v/>
      </c>
      <c r="L120" s="555">
        <f>J120/J119-1</f>
        <v/>
      </c>
    </row>
    <row r="121">
      <c r="A121" s="535" t="n">
        <v>31705</v>
      </c>
      <c r="B121" s="534" t="n">
        <v>5.052</v>
      </c>
      <c r="C121" s="534" t="n">
        <v>2227.76</v>
      </c>
      <c r="E121" s="535" t="n">
        <v>35523</v>
      </c>
      <c r="F121" s="534" t="n">
        <v>7.46</v>
      </c>
      <c r="G121" s="554" t="n"/>
      <c r="H121" s="535">
        <f>EOMONTH(H120,1)</f>
        <v/>
      </c>
      <c r="I121" s="1360">
        <f>VLOOKUP($H121,$A:$C,2,TRUE)</f>
        <v/>
      </c>
      <c r="J121" s="554">
        <f>VLOOKUP($H121,$A:$C,3,TRUE)</f>
        <v/>
      </c>
      <c r="K121" s="555">
        <f>I121/I120-1</f>
        <v/>
      </c>
      <c r="L121" s="555">
        <f>J121/J120-1</f>
        <v/>
      </c>
    </row>
    <row r="122">
      <c r="A122" s="535" t="n">
        <v>31706</v>
      </c>
      <c r="B122" s="534" t="n">
        <v>5.009</v>
      </c>
      <c r="C122" s="534" t="n">
        <v>2238.29</v>
      </c>
      <c r="E122" s="535" t="n">
        <v>35524</v>
      </c>
      <c r="F122" s="534" t="n">
        <v>7.46</v>
      </c>
      <c r="G122" s="554" t="n"/>
      <c r="H122" s="535">
        <f>EOMONTH(H121,1)</f>
        <v/>
      </c>
      <c r="I122" s="1360">
        <f>VLOOKUP($H122,$A:$C,2,TRUE)</f>
        <v/>
      </c>
      <c r="J122" s="554">
        <f>VLOOKUP($H122,$A:$C,3,TRUE)</f>
        <v/>
      </c>
      <c r="K122" s="555">
        <f>I122/I121-1</f>
        <v/>
      </c>
      <c r="L122" s="555">
        <f>J122/J121-1</f>
        <v/>
      </c>
    </row>
    <row r="123">
      <c r="A123" s="535" t="n">
        <v>31707</v>
      </c>
      <c r="B123" s="534" t="n">
        <v>5.009</v>
      </c>
      <c r="C123" s="534" t="n">
        <v>2238.29</v>
      </c>
      <c r="E123" s="535" t="n">
        <v>35527</v>
      </c>
      <c r="F123" s="534" t="n">
        <v>7.49</v>
      </c>
      <c r="G123" s="554" t="n"/>
      <c r="H123" s="535">
        <f>EOMONTH(H122,1)</f>
        <v/>
      </c>
      <c r="I123" s="1360">
        <f>VLOOKUP($H123,$A:$C,2,TRUE)</f>
        <v/>
      </c>
      <c r="J123" s="554">
        <f>VLOOKUP($H123,$A:$C,3,TRUE)</f>
        <v/>
      </c>
      <c r="K123" s="555">
        <f>I123/I122-1</f>
        <v/>
      </c>
      <c r="L123" s="555">
        <f>J123/J122-1</f>
        <v/>
      </c>
    </row>
    <row r="124">
      <c r="A124" s="535" t="n">
        <v>31708</v>
      </c>
      <c r="B124" s="534" t="n">
        <v>5.009</v>
      </c>
      <c r="C124" s="534" t="n">
        <v>2254.79</v>
      </c>
      <c r="E124" s="535" t="n">
        <v>35528</v>
      </c>
      <c r="F124" s="534" t="n">
        <v>7.46</v>
      </c>
      <c r="G124" s="554" t="n"/>
      <c r="H124" s="535">
        <f>EOMONTH(H123,1)</f>
        <v/>
      </c>
      <c r="I124" s="1360">
        <f>VLOOKUP($H124,$A:$C,2,TRUE)</f>
        <v/>
      </c>
      <c r="J124" s="554">
        <f>VLOOKUP($H124,$A:$C,3,TRUE)</f>
        <v/>
      </c>
      <c r="K124" s="555">
        <f>I124/I123-1</f>
        <v/>
      </c>
      <c r="L124" s="555">
        <f>J124/J123-1</f>
        <v/>
      </c>
    </row>
    <row r="125">
      <c r="A125" s="535" t="n">
        <v>31709</v>
      </c>
      <c r="B125" s="534" t="n">
        <v>5.052</v>
      </c>
      <c r="C125" s="534" t="n">
        <v>2286.07</v>
      </c>
      <c r="E125" s="535" t="n">
        <v>35529</v>
      </c>
      <c r="F125" s="534" t="n">
        <v>7.51</v>
      </c>
      <c r="G125" s="554" t="n"/>
      <c r="H125" s="535">
        <f>EOMONTH(H124,1)</f>
        <v/>
      </c>
      <c r="I125" s="1360">
        <f>VLOOKUP($H125,$A:$C,2,TRUE)</f>
        <v/>
      </c>
      <c r="J125" s="554">
        <f>VLOOKUP($H125,$A:$C,3,TRUE)</f>
        <v/>
      </c>
      <c r="K125" s="555">
        <f>I125/I124-1</f>
        <v/>
      </c>
      <c r="L125" s="555">
        <f>J125/J124-1</f>
        <v/>
      </c>
    </row>
    <row r="126">
      <c r="A126" s="535" t="n">
        <v>31712</v>
      </c>
      <c r="B126" s="534" t="n">
        <v>5.096</v>
      </c>
      <c r="C126" s="534" t="n">
        <v>2343.66</v>
      </c>
      <c r="E126" s="535" t="n">
        <v>35530</v>
      </c>
      <c r="F126" s="534" t="n">
        <v>7.52</v>
      </c>
      <c r="G126" s="554" t="n"/>
      <c r="H126" s="535">
        <f>EOMONTH(H125,1)</f>
        <v/>
      </c>
      <c r="I126" s="1360">
        <f>VLOOKUP($H126,$A:$C,2,TRUE)</f>
        <v/>
      </c>
      <c r="J126" s="554">
        <f>VLOOKUP($H126,$A:$C,3,TRUE)</f>
        <v/>
      </c>
      <c r="K126" s="555">
        <f>I126/I125-1</f>
        <v/>
      </c>
      <c r="L126" s="555">
        <f>J126/J125-1</f>
        <v/>
      </c>
    </row>
    <row r="127">
      <c r="A127" s="535" t="n">
        <v>31713</v>
      </c>
      <c r="B127" s="534" t="n">
        <v>5.096</v>
      </c>
      <c r="C127" s="534" t="n">
        <v>2355.93</v>
      </c>
      <c r="E127" s="535" t="n">
        <v>35531</v>
      </c>
      <c r="F127" s="534" t="n">
        <v>7.56</v>
      </c>
      <c r="G127" s="554" t="n"/>
      <c r="H127" s="535">
        <f>EOMONTH(H126,1)</f>
        <v/>
      </c>
      <c r="I127" s="1360">
        <f>VLOOKUP($H127,$A:$C,2,TRUE)</f>
        <v/>
      </c>
      <c r="J127" s="554">
        <f>VLOOKUP($H127,$A:$C,3,TRUE)</f>
        <v/>
      </c>
      <c r="K127" s="555">
        <f>I127/I126-1</f>
        <v/>
      </c>
      <c r="L127" s="555">
        <f>J127/J126-1</f>
        <v/>
      </c>
    </row>
    <row r="128">
      <c r="A128" s="535" t="n">
        <v>31714</v>
      </c>
      <c r="B128" s="534" t="n">
        <v>5.052</v>
      </c>
      <c r="C128" s="534" t="n">
        <v>2345.24</v>
      </c>
      <c r="E128" s="535" t="n">
        <v>35534</v>
      </c>
      <c r="F128" s="534" t="n">
        <v>7.64</v>
      </c>
      <c r="G128" s="554" t="n"/>
      <c r="H128" s="535">
        <f>EOMONTH(H127,1)</f>
        <v/>
      </c>
      <c r="I128" s="1360">
        <f>VLOOKUP($H128,$A:$C,2,TRUE)</f>
        <v/>
      </c>
      <c r="J128" s="554">
        <f>VLOOKUP($H128,$A:$C,3,TRUE)</f>
        <v/>
      </c>
      <c r="K128" s="555">
        <f>I128/I127-1</f>
        <v/>
      </c>
      <c r="L128" s="555">
        <f>J128/J127-1</f>
        <v/>
      </c>
    </row>
    <row r="129">
      <c r="A129" s="535" t="n">
        <v>31715</v>
      </c>
      <c r="B129" s="534" t="n">
        <v>4.922</v>
      </c>
      <c r="C129" s="534" t="n">
        <v>2312.81</v>
      </c>
      <c r="E129" s="535" t="n">
        <v>35535</v>
      </c>
      <c r="F129" s="534" t="n">
        <v>7.69</v>
      </c>
      <c r="G129" s="554" t="n"/>
      <c r="H129" s="535">
        <f>EOMONTH(H128,1)</f>
        <v/>
      </c>
      <c r="I129" s="1360">
        <f>VLOOKUP($H129,$A:$C,2,TRUE)</f>
        <v/>
      </c>
      <c r="J129" s="554">
        <f>VLOOKUP($H129,$A:$C,3,TRUE)</f>
        <v/>
      </c>
      <c r="K129" s="555">
        <f>I129/I128-1</f>
        <v/>
      </c>
      <c r="L129" s="555">
        <f>J129/J128-1</f>
        <v/>
      </c>
    </row>
    <row r="130">
      <c r="A130" s="535" t="n">
        <v>31716</v>
      </c>
      <c r="B130" s="534" t="n">
        <v>4.922</v>
      </c>
      <c r="C130" s="534" t="n">
        <v>2315.63</v>
      </c>
      <c r="E130" s="535" t="n">
        <v>35536</v>
      </c>
      <c r="F130" s="534" t="n">
        <v>7.64</v>
      </c>
      <c r="G130" s="554" t="n"/>
      <c r="H130" s="535">
        <f>EOMONTH(H129,1)</f>
        <v/>
      </c>
      <c r="I130" s="1360">
        <f>VLOOKUP($H130,$A:$C,2,TRUE)</f>
        <v/>
      </c>
      <c r="J130" s="554">
        <f>VLOOKUP($H130,$A:$C,3,TRUE)</f>
        <v/>
      </c>
      <c r="K130" s="555">
        <f>I130/I129-1</f>
        <v/>
      </c>
      <c r="L130" s="555">
        <f>J130/J129-1</f>
        <v/>
      </c>
    </row>
    <row r="131">
      <c r="A131" s="535" t="n">
        <v>31719</v>
      </c>
      <c r="B131" s="534" t="n">
        <v>4.878</v>
      </c>
      <c r="C131" s="534" t="n">
        <v>2258.78</v>
      </c>
      <c r="E131" s="535" t="n">
        <v>35537</v>
      </c>
      <c r="F131" s="534" t="n">
        <v>7.62</v>
      </c>
      <c r="G131" s="554" t="n"/>
      <c r="H131" s="535">
        <f>EOMONTH(H130,1)</f>
        <v/>
      </c>
      <c r="I131" s="1360">
        <f>VLOOKUP($H131,$A:$C,2,TRUE)</f>
        <v/>
      </c>
      <c r="J131" s="554">
        <f>VLOOKUP($H131,$A:$C,3,TRUE)</f>
        <v/>
      </c>
      <c r="K131" s="555">
        <f>I131/I130-1</f>
        <v/>
      </c>
      <c r="L131" s="555">
        <f>J131/J130-1</f>
        <v/>
      </c>
    </row>
    <row r="132">
      <c r="A132" s="535" t="n">
        <v>31720</v>
      </c>
      <c r="B132" s="534" t="n">
        <v>4.878</v>
      </c>
      <c r="C132" s="534" t="n">
        <v>2265.82</v>
      </c>
      <c r="E132" s="535" t="n">
        <v>35538</v>
      </c>
      <c r="F132" s="534" t="n">
        <v>7.6</v>
      </c>
      <c r="G132" s="554" t="n"/>
      <c r="H132" s="535">
        <f>EOMONTH(H131,1)</f>
        <v/>
      </c>
      <c r="I132" s="1360">
        <f>VLOOKUP($H132,$A:$C,2,TRUE)</f>
        <v/>
      </c>
      <c r="J132" s="554">
        <f>VLOOKUP($H132,$A:$C,3,TRUE)</f>
        <v/>
      </c>
      <c r="K132" s="555">
        <f>I132/I131-1</f>
        <v/>
      </c>
      <c r="L132" s="555">
        <f>J132/J131-1</f>
        <v/>
      </c>
    </row>
    <row r="133">
      <c r="A133" s="535" t="n">
        <v>31721</v>
      </c>
      <c r="B133" s="534" t="n">
        <v>4.791</v>
      </c>
      <c r="C133" s="534" t="n">
        <v>2203.71</v>
      </c>
      <c r="E133" s="535" t="n">
        <v>35541</v>
      </c>
      <c r="F133" s="534" t="n">
        <v>7.58</v>
      </c>
      <c r="G133" s="554" t="n"/>
      <c r="H133" s="535">
        <f>EOMONTH(H132,1)</f>
        <v/>
      </c>
      <c r="I133" s="1360">
        <f>VLOOKUP($H133,$A:$C,2,TRUE)</f>
        <v/>
      </c>
      <c r="J133" s="554">
        <f>VLOOKUP($H133,$A:$C,3,TRUE)</f>
        <v/>
      </c>
      <c r="K133" s="555">
        <f>I133/I132-1</f>
        <v/>
      </c>
      <c r="L133" s="555">
        <f>J133/J132-1</f>
        <v/>
      </c>
    </row>
    <row r="134">
      <c r="A134" s="535" t="n">
        <v>31722</v>
      </c>
      <c r="B134" s="534" t="n">
        <v>4.748</v>
      </c>
      <c r="C134" s="534" t="n">
        <v>2230.65</v>
      </c>
      <c r="E134" s="535" t="n">
        <v>35542</v>
      </c>
      <c r="F134" s="534" t="n">
        <v>7.62</v>
      </c>
      <c r="G134" s="554" t="n"/>
      <c r="H134" s="535">
        <f>EOMONTH(H133,1)</f>
        <v/>
      </c>
      <c r="I134" s="1360">
        <f>VLOOKUP($H134,$A:$C,2,TRUE)</f>
        <v/>
      </c>
      <c r="J134" s="554">
        <f>VLOOKUP($H134,$A:$C,3,TRUE)</f>
        <v/>
      </c>
      <c r="K134" s="555">
        <f>I134/I133-1</f>
        <v/>
      </c>
      <c r="L134" s="555">
        <f>J134/J133-1</f>
        <v/>
      </c>
    </row>
    <row r="135">
      <c r="A135" s="535" t="n">
        <v>31723</v>
      </c>
      <c r="B135" s="534" t="n">
        <v>4.704</v>
      </c>
      <c r="C135" s="534" t="n">
        <v>2218.38</v>
      </c>
      <c r="E135" s="535" t="n">
        <v>35543</v>
      </c>
      <c r="F135" s="534" t="n">
        <v>7.56</v>
      </c>
      <c r="G135" s="554" t="n"/>
      <c r="H135" s="535">
        <f>EOMONTH(H134,1)</f>
        <v/>
      </c>
      <c r="I135" s="1360">
        <f>VLOOKUP($H135,$A:$C,2,TRUE)</f>
        <v/>
      </c>
      <c r="J135" s="554">
        <f>VLOOKUP($H135,$A:$C,3,TRUE)</f>
        <v/>
      </c>
      <c r="K135" s="555">
        <f>I135/I134-1</f>
        <v/>
      </c>
      <c r="L135" s="555">
        <f>J135/J134-1</f>
        <v/>
      </c>
    </row>
    <row r="136">
      <c r="A136" s="535" t="n">
        <v>31726</v>
      </c>
      <c r="B136" s="534" t="n">
        <v>4.66</v>
      </c>
      <c r="C136" s="534" t="n">
        <v>2206.76</v>
      </c>
      <c r="E136" s="535" t="n">
        <v>35544</v>
      </c>
      <c r="F136" s="534" t="n">
        <v>7.62</v>
      </c>
      <c r="G136" s="554" t="n"/>
      <c r="H136" s="535">
        <f>EOMONTH(H135,1)</f>
        <v/>
      </c>
      <c r="I136" s="1360">
        <f>VLOOKUP($H136,$A:$C,2,TRUE)</f>
        <v/>
      </c>
      <c r="J136" s="554">
        <f>VLOOKUP($H136,$A:$C,3,TRUE)</f>
        <v/>
      </c>
      <c r="K136" s="555">
        <f>I136/I135-1</f>
        <v/>
      </c>
      <c r="L136" s="555">
        <f>J136/J135-1</f>
        <v/>
      </c>
    </row>
    <row r="137">
      <c r="A137" s="535" t="n">
        <v>31727</v>
      </c>
      <c r="B137" s="534" t="n">
        <v>4.66</v>
      </c>
      <c r="C137" s="534" t="n">
        <v>2207.25</v>
      </c>
      <c r="E137" s="535" t="n">
        <v>35545</v>
      </c>
      <c r="F137" s="534" t="n">
        <v>7.66</v>
      </c>
      <c r="G137" s="554" t="n"/>
      <c r="H137" s="535">
        <f>EOMONTH(H136,1)</f>
        <v/>
      </c>
      <c r="I137" s="1360">
        <f>VLOOKUP($H137,$A:$C,2,TRUE)</f>
        <v/>
      </c>
      <c r="J137" s="554">
        <f>VLOOKUP($H137,$A:$C,3,TRUE)</f>
        <v/>
      </c>
      <c r="K137" s="555">
        <f>I137/I136-1</f>
        <v/>
      </c>
      <c r="L137" s="555">
        <f>J137/J136-1</f>
        <v/>
      </c>
    </row>
    <row r="138">
      <c r="A138" s="535" t="n">
        <v>31728</v>
      </c>
      <c r="B138" s="534" t="n">
        <v>4.66</v>
      </c>
      <c r="C138" s="534" t="n">
        <v>2239.71</v>
      </c>
      <c r="E138" s="535" t="n">
        <v>35548</v>
      </c>
      <c r="F138" s="534" t="n">
        <v>7.68</v>
      </c>
      <c r="G138" s="554" t="n"/>
      <c r="H138" s="535">
        <f>EOMONTH(H137,1)</f>
        <v/>
      </c>
      <c r="I138" s="1360">
        <f>VLOOKUP($H138,$A:$C,2,TRUE)</f>
        <v/>
      </c>
      <c r="J138" s="554">
        <f>VLOOKUP($H138,$A:$C,3,TRUE)</f>
        <v/>
      </c>
      <c r="K138" s="555">
        <f>I138/I137-1</f>
        <v/>
      </c>
      <c r="L138" s="555">
        <f>J138/J137-1</f>
        <v/>
      </c>
    </row>
    <row r="139">
      <c r="A139" s="535" t="n">
        <v>31729</v>
      </c>
      <c r="B139" s="534" t="n">
        <v>4.748</v>
      </c>
      <c r="C139" s="534" t="n">
        <v>2261.45</v>
      </c>
      <c r="E139" s="535" t="n">
        <v>35549</v>
      </c>
      <c r="F139" s="534" t="n">
        <v>7.68</v>
      </c>
      <c r="G139" s="554" t="n"/>
      <c r="H139" s="535">
        <f>EOMONTH(H138,1)</f>
        <v/>
      </c>
      <c r="I139" s="1360">
        <f>VLOOKUP($H139,$A:$C,2,TRUE)</f>
        <v/>
      </c>
      <c r="J139" s="554">
        <f>VLOOKUP($H139,$A:$C,3,TRUE)</f>
        <v/>
      </c>
      <c r="K139" s="555">
        <f>I139/I138-1</f>
        <v/>
      </c>
      <c r="L139" s="555">
        <f>J139/J138-1</f>
        <v/>
      </c>
    </row>
    <row r="140">
      <c r="A140" s="535" t="n">
        <v>31730</v>
      </c>
      <c r="B140" s="534" t="n">
        <v>4.704</v>
      </c>
      <c r="C140" s="534" t="n">
        <v>2244.03</v>
      </c>
      <c r="E140" s="535" t="n">
        <v>35550</v>
      </c>
      <c r="F140" s="534" t="n">
        <v>7.52</v>
      </c>
      <c r="G140" s="554" t="n"/>
      <c r="H140" s="535">
        <f>EOMONTH(H139,1)</f>
        <v/>
      </c>
      <c r="I140" s="1360">
        <f>VLOOKUP($H140,$A:$C,2,TRUE)</f>
        <v/>
      </c>
      <c r="J140" s="554">
        <f>VLOOKUP($H140,$A:$C,3,TRUE)</f>
        <v/>
      </c>
      <c r="K140" s="555">
        <f>I140/I139-1</f>
        <v/>
      </c>
      <c r="L140" s="555">
        <f>J140/J139-1</f>
        <v/>
      </c>
    </row>
    <row r="141">
      <c r="A141" s="535" t="n">
        <v>31733</v>
      </c>
      <c r="B141" s="534" t="n">
        <v>4.66</v>
      </c>
      <c r="C141" s="534" t="n">
        <v>2242.89</v>
      </c>
      <c r="E141" s="535" t="n">
        <v>35551</v>
      </c>
      <c r="F141" s="534" t="n">
        <v>7.4</v>
      </c>
      <c r="G141" s="554" t="n"/>
      <c r="H141" s="535">
        <f>EOMONTH(H140,1)</f>
        <v/>
      </c>
      <c r="I141" s="1360">
        <f>VLOOKUP($H141,$A:$C,2,TRUE)</f>
        <v/>
      </c>
      <c r="J141" s="554">
        <f>VLOOKUP($H141,$A:$C,3,TRUE)</f>
        <v/>
      </c>
      <c r="K141" s="555">
        <f>I141/I140-1</f>
        <v/>
      </c>
      <c r="L141" s="555">
        <f>J141/J140-1</f>
        <v/>
      </c>
    </row>
    <row r="142">
      <c r="A142" s="535" t="n">
        <v>31734</v>
      </c>
      <c r="B142" s="534" t="n">
        <v>4.66</v>
      </c>
      <c r="C142" s="534" t="n">
        <v>2249.97</v>
      </c>
      <c r="E142" s="535" t="n">
        <v>35552</v>
      </c>
      <c r="F142" s="534" t="n">
        <v>7.33</v>
      </c>
      <c r="G142" s="554" t="n"/>
      <c r="H142" s="535">
        <f>EOMONTH(H141,1)</f>
        <v/>
      </c>
      <c r="I142" s="1360">
        <f>VLOOKUP($H142,$A:$C,2,TRUE)</f>
        <v/>
      </c>
      <c r="J142" s="554">
        <f>VLOOKUP($H142,$A:$C,3,TRUE)</f>
        <v/>
      </c>
      <c r="K142" s="555">
        <f>I142/I141-1</f>
        <v/>
      </c>
      <c r="L142" s="555">
        <f>J142/J141-1</f>
        <v/>
      </c>
    </row>
    <row r="143">
      <c r="A143" s="535" t="n">
        <v>31735</v>
      </c>
      <c r="B143" s="534" t="n">
        <v>4.66</v>
      </c>
      <c r="C143" s="534" t="n">
        <v>2243.34</v>
      </c>
      <c r="E143" s="535" t="n">
        <v>35555</v>
      </c>
      <c r="F143" s="534" t="n">
        <v>7.28</v>
      </c>
      <c r="G143" s="554" t="n"/>
      <c r="H143" s="535">
        <f>EOMONTH(H142,1)</f>
        <v/>
      </c>
      <c r="I143" s="1360">
        <f>VLOOKUP($H143,$A:$C,2,TRUE)</f>
        <v/>
      </c>
      <c r="J143" s="554">
        <f>VLOOKUP($H143,$A:$C,3,TRUE)</f>
        <v/>
      </c>
      <c r="K143" s="555">
        <f>I143/I142-1</f>
        <v/>
      </c>
      <c r="L143" s="555">
        <f>J143/J142-1</f>
        <v/>
      </c>
    </row>
    <row r="144">
      <c r="A144" s="535" t="n">
        <v>31736</v>
      </c>
      <c r="B144" s="534" t="n">
        <v>4.66</v>
      </c>
      <c r="C144" s="534" t="n">
        <v>2245.95</v>
      </c>
      <c r="E144" s="535" t="n">
        <v>35556</v>
      </c>
      <c r="F144" s="534" t="n">
        <v>7.28</v>
      </c>
      <c r="G144" s="554" t="n"/>
      <c r="H144" s="535">
        <f>EOMONTH(H143,1)</f>
        <v/>
      </c>
      <c r="I144" s="1360">
        <f>VLOOKUP($H144,$A:$C,2,TRUE)</f>
        <v/>
      </c>
      <c r="J144" s="554">
        <f>VLOOKUP($H144,$A:$C,3,TRUE)</f>
        <v/>
      </c>
      <c r="K144" s="555">
        <f>I144/I143-1</f>
        <v/>
      </c>
      <c r="L144" s="555">
        <f>J144/J143-1</f>
        <v/>
      </c>
    </row>
    <row r="145">
      <c r="A145" s="535" t="n">
        <v>31737</v>
      </c>
      <c r="B145" s="534" t="n">
        <v>4.791</v>
      </c>
      <c r="C145" s="534" t="n">
        <v>2273.98</v>
      </c>
      <c r="E145" s="535" t="n">
        <v>35557</v>
      </c>
      <c r="F145" s="534" t="n">
        <v>7.3</v>
      </c>
      <c r="G145" s="554" t="n"/>
      <c r="H145" s="535">
        <f>EOMONTH(H144,1)</f>
        <v/>
      </c>
      <c r="I145" s="1360">
        <f>VLOOKUP($H145,$A:$C,2,TRUE)</f>
        <v/>
      </c>
      <c r="J145" s="554">
        <f>VLOOKUP($H145,$A:$C,3,TRUE)</f>
        <v/>
      </c>
      <c r="K145" s="555">
        <f>I145/I144-1</f>
        <v/>
      </c>
      <c r="L145" s="555">
        <f>J145/J144-1</f>
        <v/>
      </c>
    </row>
    <row r="146">
      <c r="A146" s="535" t="n">
        <v>31740</v>
      </c>
      <c r="B146" s="534" t="n">
        <v>4.835</v>
      </c>
      <c r="C146" s="534" t="n">
        <v>2343.59</v>
      </c>
      <c r="E146" s="535" t="n">
        <v>35558</v>
      </c>
      <c r="F146" s="534" t="n">
        <v>7.42</v>
      </c>
      <c r="G146" s="554" t="n"/>
      <c r="H146" s="535">
        <f>EOMONTH(H145,1)</f>
        <v/>
      </c>
      <c r="I146" s="1360">
        <f>VLOOKUP($H146,$A:$C,2,TRUE)</f>
        <v/>
      </c>
      <c r="J146" s="554">
        <f>VLOOKUP($H146,$A:$C,3,TRUE)</f>
        <v/>
      </c>
      <c r="K146" s="555">
        <f>I146/I145-1</f>
        <v/>
      </c>
      <c r="L146" s="555">
        <f>J146/J145-1</f>
        <v/>
      </c>
    </row>
    <row r="147">
      <c r="A147" s="535" t="n">
        <v>31741</v>
      </c>
      <c r="B147" s="534" t="n">
        <v>4.791</v>
      </c>
      <c r="C147" s="534" t="n">
        <v>2361.12</v>
      </c>
      <c r="E147" s="535" t="n">
        <v>35559</v>
      </c>
      <c r="F147" s="534" t="n">
        <v>7.35</v>
      </c>
      <c r="G147" s="554" t="n"/>
      <c r="H147" s="535">
        <f>EOMONTH(H146,1)</f>
        <v/>
      </c>
      <c r="I147" s="1360">
        <f>VLOOKUP($H147,$A:$C,2,TRUE)</f>
        <v/>
      </c>
      <c r="J147" s="554">
        <f>VLOOKUP($H147,$A:$C,3,TRUE)</f>
        <v/>
      </c>
      <c r="K147" s="555">
        <f>I147/I146-1</f>
        <v/>
      </c>
      <c r="L147" s="555">
        <f>J147/J146-1</f>
        <v/>
      </c>
    </row>
    <row r="148">
      <c r="A148" s="535" t="n">
        <v>31742</v>
      </c>
      <c r="B148" s="534" t="n">
        <v>4.748</v>
      </c>
      <c r="C148" s="534" t="n">
        <v>2377.71</v>
      </c>
      <c r="E148" s="535" t="n">
        <v>35562</v>
      </c>
      <c r="F148" s="534" t="n">
        <v>7.35</v>
      </c>
      <c r="G148" s="554" t="n"/>
      <c r="H148" s="535">
        <f>EOMONTH(H147,1)</f>
        <v/>
      </c>
      <c r="I148" s="1360">
        <f>VLOOKUP($H148,$A:$C,2,TRUE)</f>
        <v/>
      </c>
      <c r="J148" s="554">
        <f>VLOOKUP($H148,$A:$C,3,TRUE)</f>
        <v/>
      </c>
      <c r="K148" s="555">
        <f>I148/I147-1</f>
        <v/>
      </c>
      <c r="L148" s="555">
        <f>J148/J147-1</f>
        <v/>
      </c>
    </row>
    <row r="149">
      <c r="A149" s="535" t="n">
        <v>31743</v>
      </c>
      <c r="B149" s="534" t="n">
        <v>4.748</v>
      </c>
      <c r="C149" s="534" t="n">
        <v>2354.33</v>
      </c>
      <c r="E149" s="535" t="n">
        <v>35563</v>
      </c>
      <c r="F149" s="534" t="n">
        <v>7.31</v>
      </c>
      <c r="G149" s="554" t="n"/>
      <c r="H149" s="535">
        <f>EOMONTH(H148,1)</f>
        <v/>
      </c>
      <c r="I149" s="1360">
        <f>VLOOKUP($H149,$A:$C,2,TRUE)</f>
        <v/>
      </c>
      <c r="J149" s="554">
        <f>VLOOKUP($H149,$A:$C,3,TRUE)</f>
        <v/>
      </c>
      <c r="K149" s="555">
        <f>I149/I148-1</f>
        <v/>
      </c>
      <c r="L149" s="555">
        <f>J149/J148-1</f>
        <v/>
      </c>
    </row>
    <row r="150">
      <c r="A150" s="535" t="n">
        <v>31744</v>
      </c>
      <c r="B150" s="534" t="n">
        <v>4.791</v>
      </c>
      <c r="C150" s="534" t="n">
        <v>2418.75</v>
      </c>
      <c r="E150" s="535" t="n">
        <v>35564</v>
      </c>
      <c r="F150" s="534" t="n">
        <v>7.4</v>
      </c>
      <c r="G150" s="554" t="n"/>
    </row>
    <row r="151">
      <c r="A151" s="535" t="n">
        <v>31747</v>
      </c>
      <c r="B151" s="534" t="n">
        <v>4.878</v>
      </c>
      <c r="C151" s="534" t="n">
        <v>2452.15</v>
      </c>
      <c r="E151" s="535" t="n">
        <v>35565</v>
      </c>
      <c r="F151" s="534" t="n">
        <v>7.24</v>
      </c>
      <c r="G151" s="554" t="n"/>
    </row>
    <row r="152">
      <c r="A152" s="535" t="n">
        <v>31748</v>
      </c>
      <c r="B152" s="534" t="n">
        <v>4.922</v>
      </c>
      <c r="C152" s="534" t="n">
        <v>2458.2</v>
      </c>
      <c r="E152" s="535" t="n">
        <v>35566</v>
      </c>
      <c r="F152" s="534" t="n">
        <v>7.2</v>
      </c>
      <c r="G152" s="554" t="n"/>
    </row>
    <row r="153">
      <c r="A153" s="535" t="n">
        <v>31749</v>
      </c>
      <c r="B153" s="534" t="n">
        <v>4.878</v>
      </c>
      <c r="C153" s="534" t="n">
        <v>2460</v>
      </c>
      <c r="E153" s="535" t="n">
        <v>35569</v>
      </c>
      <c r="F153" s="534" t="n">
        <v>7.26</v>
      </c>
      <c r="G153" s="554" t="n"/>
    </row>
    <row r="154">
      <c r="A154" s="535" t="n">
        <v>31750</v>
      </c>
      <c r="B154" s="534" t="n">
        <v>4.965</v>
      </c>
      <c r="C154" s="534" t="n">
        <v>2430.52</v>
      </c>
      <c r="E154" s="535" t="n">
        <v>35570</v>
      </c>
      <c r="F154" s="534" t="n">
        <v>7.31</v>
      </c>
      <c r="G154" s="554" t="n"/>
    </row>
    <row r="155">
      <c r="A155" s="535" t="n">
        <v>31751</v>
      </c>
      <c r="B155" s="534" t="n">
        <v>4.922</v>
      </c>
      <c r="C155" s="534" t="n">
        <v>2400.72</v>
      </c>
      <c r="E155" s="535" t="n">
        <v>35571</v>
      </c>
      <c r="F155" s="534" t="n">
        <v>7.26</v>
      </c>
      <c r="G155" s="554" t="n"/>
    </row>
    <row r="156">
      <c r="A156" s="535" t="n">
        <v>31754</v>
      </c>
      <c r="B156" s="534" t="n">
        <v>4.922</v>
      </c>
      <c r="C156" s="534" t="n">
        <v>2431.29</v>
      </c>
      <c r="E156" s="535" t="n">
        <v>35572</v>
      </c>
      <c r="F156" s="534" t="n">
        <v>7.35</v>
      </c>
      <c r="G156" s="554" t="n"/>
    </row>
    <row r="157">
      <c r="A157" s="535" t="n">
        <v>31755</v>
      </c>
      <c r="B157" s="534" t="n">
        <v>4.922</v>
      </c>
      <c r="C157" s="534" t="n">
        <v>2440.35</v>
      </c>
      <c r="E157" s="535" t="n">
        <v>35573</v>
      </c>
      <c r="F157" s="534" t="n">
        <v>7.36</v>
      </c>
      <c r="G157" s="554" t="n"/>
    </row>
    <row r="158">
      <c r="A158" s="535" t="n">
        <v>31756</v>
      </c>
      <c r="B158" s="534" t="n">
        <v>4.922</v>
      </c>
      <c r="C158" s="534" t="n">
        <v>2442.59</v>
      </c>
      <c r="E158" s="535" t="n">
        <v>35576</v>
      </c>
      <c r="F158" s="534" t="n">
        <v>7.36</v>
      </c>
      <c r="G158" s="554" t="n"/>
    </row>
    <row r="159">
      <c r="A159" s="535" t="n">
        <v>31757</v>
      </c>
      <c r="B159" s="534" t="n">
        <v>4.878</v>
      </c>
      <c r="C159" s="534" t="n">
        <v>2467.13</v>
      </c>
      <c r="E159" s="535" t="n">
        <v>35577</v>
      </c>
      <c r="F159" s="534" t="n">
        <v>7.39</v>
      </c>
      <c r="G159" s="554" t="n"/>
    </row>
    <row r="160">
      <c r="A160" s="535" t="n">
        <v>31758</v>
      </c>
      <c r="B160" s="534" t="n">
        <v>4.878</v>
      </c>
      <c r="C160" s="534" t="n">
        <v>2463.23</v>
      </c>
      <c r="E160" s="535" t="n">
        <v>35578</v>
      </c>
      <c r="F160" s="534" t="n">
        <v>7.45</v>
      </c>
      <c r="G160" s="554" t="n"/>
    </row>
    <row r="161">
      <c r="A161" s="535" t="n">
        <v>31761</v>
      </c>
      <c r="B161" s="534" t="n">
        <v>4.922</v>
      </c>
      <c r="C161" s="534" t="n">
        <v>2449.43</v>
      </c>
      <c r="E161" s="535" t="n">
        <v>35579</v>
      </c>
      <c r="F161" s="534" t="n">
        <v>7.45</v>
      </c>
      <c r="G161" s="554" t="n"/>
    </row>
    <row r="162">
      <c r="A162" s="535" t="n">
        <v>31762</v>
      </c>
      <c r="B162" s="534" t="n">
        <v>4.748</v>
      </c>
      <c r="C162" s="534" t="n">
        <v>2440.68</v>
      </c>
      <c r="E162" s="535" t="n">
        <v>35580</v>
      </c>
      <c r="F162" s="534" t="n">
        <v>7.4</v>
      </c>
      <c r="G162" s="554" t="n"/>
    </row>
    <row r="163">
      <c r="A163" s="535" t="n">
        <v>31763</v>
      </c>
      <c r="B163" s="534" t="n">
        <v>4.748</v>
      </c>
      <c r="C163" s="534" t="n">
        <v>2411.08</v>
      </c>
      <c r="E163" s="535" t="n">
        <v>35583</v>
      </c>
      <c r="F163" s="534" t="n">
        <v>7.33</v>
      </c>
      <c r="G163" s="554" t="n"/>
    </row>
    <row r="164">
      <c r="A164" s="535" t="n">
        <v>31764</v>
      </c>
      <c r="B164" s="534" t="n">
        <v>4.748</v>
      </c>
      <c r="C164" s="534" t="n">
        <v>2422.22</v>
      </c>
      <c r="E164" s="535" t="n">
        <v>35584</v>
      </c>
      <c r="F164" s="534" t="n">
        <v>7.31</v>
      </c>
      <c r="G164" s="554" t="n"/>
    </row>
    <row r="165">
      <c r="A165" s="535" t="n">
        <v>31765</v>
      </c>
      <c r="B165" s="534" t="n">
        <v>4.748</v>
      </c>
      <c r="C165" s="534" t="n">
        <v>2463.81</v>
      </c>
      <c r="E165" s="535" t="n">
        <v>35585</v>
      </c>
      <c r="F165" s="534" t="n">
        <v>7.3</v>
      </c>
      <c r="G165" s="554" t="n"/>
    </row>
    <row r="166">
      <c r="A166" s="535" t="n">
        <v>31768</v>
      </c>
      <c r="B166" s="534" t="n">
        <v>4.791</v>
      </c>
      <c r="C166" s="534" t="n">
        <v>2503.77</v>
      </c>
      <c r="E166" s="535" t="n">
        <v>35586</v>
      </c>
      <c r="F166" s="534" t="n">
        <v>7.34</v>
      </c>
      <c r="G166" s="554" t="n"/>
    </row>
    <row r="167">
      <c r="A167" s="535" t="n">
        <v>31769</v>
      </c>
      <c r="B167" s="534" t="n">
        <v>4.878</v>
      </c>
      <c r="C167" s="534" t="n">
        <v>2501.94</v>
      </c>
      <c r="E167" s="535" t="n">
        <v>35587</v>
      </c>
      <c r="F167" s="534" t="n">
        <v>7.31</v>
      </c>
      <c r="G167" s="554" t="n"/>
    </row>
    <row r="168">
      <c r="A168" s="535" t="n">
        <v>31770</v>
      </c>
      <c r="B168" s="534" t="n">
        <v>4.922</v>
      </c>
      <c r="C168" s="534" t="n">
        <v>2523.92</v>
      </c>
      <c r="E168" s="535" t="n">
        <v>35590</v>
      </c>
      <c r="F168" s="534" t="n">
        <v>7.31</v>
      </c>
      <c r="G168" s="554" t="n"/>
    </row>
    <row r="169">
      <c r="A169" s="535" t="n">
        <v>31771</v>
      </c>
      <c r="B169" s="534" t="n">
        <v>4.922</v>
      </c>
      <c r="C169" s="534" t="n">
        <v>2523.92</v>
      </c>
      <c r="E169" s="535" t="n">
        <v>35591</v>
      </c>
      <c r="F169" s="534" t="n">
        <v>7.23</v>
      </c>
      <c r="G169" s="554" t="n"/>
    </row>
    <row r="170">
      <c r="A170" s="535" t="n">
        <v>31772</v>
      </c>
      <c r="B170" s="534" t="n">
        <v>4.922</v>
      </c>
      <c r="C170" s="534" t="n">
        <v>2523.92</v>
      </c>
      <c r="E170" s="535" t="n">
        <v>35592</v>
      </c>
      <c r="F170" s="534" t="n">
        <v>7.24</v>
      </c>
      <c r="G170" s="554" t="n"/>
    </row>
    <row r="171">
      <c r="A171" s="535" t="n">
        <v>31775</v>
      </c>
      <c r="B171" s="534" t="n">
        <v>4.922</v>
      </c>
      <c r="C171" s="534" t="n">
        <v>2552.45</v>
      </c>
      <c r="E171" s="535" t="n">
        <v>35593</v>
      </c>
      <c r="F171" s="534" t="n">
        <v>7.24</v>
      </c>
      <c r="G171" s="554" t="n"/>
    </row>
    <row r="172">
      <c r="A172" s="535" t="n">
        <v>31776</v>
      </c>
      <c r="B172" s="534" t="n">
        <v>4.878</v>
      </c>
      <c r="C172" s="534" t="n">
        <v>2559.36</v>
      </c>
      <c r="E172" s="535" t="n">
        <v>35594</v>
      </c>
      <c r="F172" s="534" t="n">
        <v>7.17</v>
      </c>
      <c r="G172" s="554" t="n"/>
    </row>
    <row r="173">
      <c r="A173" s="535" t="n">
        <v>31777</v>
      </c>
      <c r="B173" s="534" t="n">
        <v>4.922</v>
      </c>
      <c r="C173" s="534" t="n">
        <v>2568.3</v>
      </c>
      <c r="E173" s="535" t="n">
        <v>35597</v>
      </c>
      <c r="F173" s="534" t="n">
        <v>7.15</v>
      </c>
      <c r="G173" s="554" t="n"/>
    </row>
    <row r="174">
      <c r="A174" s="535" t="n">
        <v>31778</v>
      </c>
      <c r="B174" s="534" t="n">
        <v>4.922</v>
      </c>
      <c r="C174" s="534" t="n">
        <v>2568.3</v>
      </c>
      <c r="E174" s="535" t="n">
        <v>35598</v>
      </c>
      <c r="F174" s="534" t="n">
        <v>7.13</v>
      </c>
      <c r="G174" s="554" t="n"/>
    </row>
    <row r="175">
      <c r="A175" s="535" t="n">
        <v>31779</v>
      </c>
      <c r="B175" s="534" t="n">
        <v>4.878</v>
      </c>
      <c r="C175" s="534" t="n">
        <v>2540.06</v>
      </c>
      <c r="E175" s="535" t="n">
        <v>35599</v>
      </c>
      <c r="F175" s="534" t="n">
        <v>7.16</v>
      </c>
      <c r="G175" s="554" t="n"/>
    </row>
    <row r="176">
      <c r="A176" s="535" t="n">
        <v>31782</v>
      </c>
      <c r="B176" s="534" t="n">
        <v>4.835</v>
      </c>
      <c r="C176" s="534" t="n">
        <v>2552.4</v>
      </c>
      <c r="E176" s="535" t="n">
        <v>35600</v>
      </c>
      <c r="F176" s="534" t="n">
        <v>7.14</v>
      </c>
      <c r="G176" s="554" t="n"/>
    </row>
    <row r="177">
      <c r="A177" s="535" t="n">
        <v>31783</v>
      </c>
      <c r="B177" s="534" t="n">
        <v>4.791</v>
      </c>
      <c r="C177" s="534" t="n">
        <v>2583.87</v>
      </c>
      <c r="E177" s="535" t="n">
        <v>35601</v>
      </c>
      <c r="F177" s="534" t="n">
        <v>7.11</v>
      </c>
      <c r="G177" s="554" t="n"/>
    </row>
    <row r="178">
      <c r="A178" s="535" t="n">
        <v>31784</v>
      </c>
      <c r="B178" s="534" t="n">
        <v>4.835</v>
      </c>
      <c r="C178" s="534" t="n">
        <v>2607.11</v>
      </c>
      <c r="E178" s="535" t="n">
        <v>35604</v>
      </c>
      <c r="F178" s="534" t="n">
        <v>7.04</v>
      </c>
      <c r="G178" s="554" t="n"/>
    </row>
    <row r="179">
      <c r="A179" s="535" t="n">
        <v>31785</v>
      </c>
      <c r="B179" s="534" t="n">
        <v>4.791</v>
      </c>
      <c r="C179" s="534" t="n">
        <v>2603.33</v>
      </c>
      <c r="E179" s="535" t="n">
        <v>35605</v>
      </c>
      <c r="F179" s="534" t="n">
        <v>7.08</v>
      </c>
      <c r="G179" s="554" t="n"/>
    </row>
    <row r="180">
      <c r="A180" s="535" t="n">
        <v>31786</v>
      </c>
      <c r="B180" s="534" t="n">
        <v>4.791</v>
      </c>
      <c r="C180" s="534" t="n">
        <v>2561.73</v>
      </c>
      <c r="E180" s="535" t="n">
        <v>35606</v>
      </c>
      <c r="F180" s="534" t="n">
        <v>7.08</v>
      </c>
      <c r="G180" s="554" t="n"/>
    </row>
    <row r="181">
      <c r="A181" s="535" t="n">
        <v>31789</v>
      </c>
      <c r="B181" s="534" t="n">
        <v>4.965</v>
      </c>
      <c r="C181" s="534" t="n">
        <v>2614.87</v>
      </c>
      <c r="E181" s="535" t="n">
        <v>35607</v>
      </c>
      <c r="F181" s="534" t="n">
        <v>7.09</v>
      </c>
      <c r="G181" s="554" t="n"/>
    </row>
    <row r="182">
      <c r="A182" s="535" t="n">
        <v>31790</v>
      </c>
      <c r="B182" s="534" t="n">
        <v>5.009</v>
      </c>
      <c r="C182" s="534" t="n">
        <v>2590.83</v>
      </c>
      <c r="E182" s="535" t="n">
        <v>35608</v>
      </c>
      <c r="F182" s="534" t="n">
        <v>7.14</v>
      </c>
      <c r="G182" s="554" t="n"/>
    </row>
    <row r="183">
      <c r="A183" s="535" t="n">
        <v>31791</v>
      </c>
      <c r="B183" s="534" t="n">
        <v>5.009</v>
      </c>
      <c r="C183" s="534" t="n">
        <v>2578.23</v>
      </c>
      <c r="E183" s="535" t="n">
        <v>35611</v>
      </c>
      <c r="F183" s="534" t="n">
        <v>7.14</v>
      </c>
      <c r="G183" s="554" t="n"/>
    </row>
    <row r="184">
      <c r="A184" s="535" t="n">
        <v>31792</v>
      </c>
      <c r="B184" s="534" t="n">
        <v>5.096</v>
      </c>
      <c r="C184" s="534" t="n">
        <v>2559.12</v>
      </c>
      <c r="E184" s="535" t="n">
        <v>35612</v>
      </c>
      <c r="F184" s="534" t="n">
        <v>7.14</v>
      </c>
      <c r="G184" s="554" t="n"/>
    </row>
    <row r="185">
      <c r="A185" s="535" t="n">
        <v>31793</v>
      </c>
      <c r="B185" s="534" t="n">
        <v>5.227</v>
      </c>
      <c r="C185" s="534" t="n">
        <v>2542.57</v>
      </c>
      <c r="E185" s="535" t="n">
        <v>35613</v>
      </c>
      <c r="F185" s="534" t="n">
        <v>7.14</v>
      </c>
      <c r="G185" s="554" t="n"/>
    </row>
    <row r="186">
      <c r="A186" s="535" t="n">
        <v>31796</v>
      </c>
      <c r="B186" s="534" t="n">
        <v>5.009</v>
      </c>
      <c r="C186" s="534" t="n">
        <v>2460.46</v>
      </c>
      <c r="E186" s="535" t="n">
        <v>35614</v>
      </c>
      <c r="F186" s="534" t="n">
        <v>7.06</v>
      </c>
      <c r="G186" s="554" t="n"/>
    </row>
    <row r="187">
      <c r="A187" s="535" t="n">
        <v>31797</v>
      </c>
      <c r="B187" s="534" t="n">
        <v>5.096</v>
      </c>
      <c r="C187" s="534" t="n">
        <v>2449.88</v>
      </c>
      <c r="E187" s="535" t="n">
        <v>35615</v>
      </c>
      <c r="F187" s="534" t="n">
        <v>6.92</v>
      </c>
      <c r="G187" s="554" t="n"/>
    </row>
    <row r="188">
      <c r="A188" s="535" t="n">
        <v>31798</v>
      </c>
      <c r="B188" s="534" t="n">
        <v>5.227</v>
      </c>
      <c r="C188" s="534" t="n">
        <v>2533.9</v>
      </c>
      <c r="E188" s="535" t="n">
        <v>35618</v>
      </c>
      <c r="F188" s="534" t="n">
        <v>6.92</v>
      </c>
      <c r="G188" s="554" t="n"/>
    </row>
    <row r="189">
      <c r="A189" s="535" t="n">
        <v>31799</v>
      </c>
      <c r="B189" s="534" t="n">
        <v>5.052</v>
      </c>
      <c r="C189" s="534" t="n">
        <v>2536.94</v>
      </c>
      <c r="E189" s="535" t="n">
        <v>35619</v>
      </c>
      <c r="F189" s="534" t="n">
        <v>6.89</v>
      </c>
      <c r="G189" s="554" t="n"/>
    </row>
    <row r="190">
      <c r="A190" s="535" t="n">
        <v>31800</v>
      </c>
      <c r="B190" s="534" t="n">
        <v>4.878</v>
      </c>
      <c r="C190" s="534" t="n">
        <v>2499.43</v>
      </c>
      <c r="E190" s="535" t="n">
        <v>35620</v>
      </c>
      <c r="F190" s="534" t="n">
        <v>6.95</v>
      </c>
      <c r="G190" s="554" t="n"/>
    </row>
    <row r="191">
      <c r="A191" s="535" t="n">
        <v>31803</v>
      </c>
      <c r="B191" s="534" t="n">
        <v>4.878</v>
      </c>
      <c r="C191" s="534" t="n">
        <v>2484.35</v>
      </c>
      <c r="E191" s="535" t="n">
        <v>35621</v>
      </c>
      <c r="F191" s="534" t="n">
        <v>6.93</v>
      </c>
      <c r="G191" s="554" t="n"/>
    </row>
    <row r="192">
      <c r="A192" s="535" t="n">
        <v>31804</v>
      </c>
      <c r="B192" s="534" t="n">
        <v>4.878</v>
      </c>
      <c r="C192" s="534" t="n">
        <v>2524.01</v>
      </c>
      <c r="E192" s="535" t="n">
        <v>35622</v>
      </c>
      <c r="F192" s="534" t="n">
        <v>6.89</v>
      </c>
      <c r="G192" s="554" t="n"/>
    </row>
    <row r="193">
      <c r="A193" s="535" t="n">
        <v>31805</v>
      </c>
      <c r="B193" s="534" t="n">
        <v>4.878</v>
      </c>
      <c r="C193" s="534" t="n">
        <v>2553.25</v>
      </c>
      <c r="E193" s="535" t="n">
        <v>35625</v>
      </c>
      <c r="F193" s="534" t="n">
        <v>6.94</v>
      </c>
      <c r="G193" s="554" t="n"/>
    </row>
    <row r="194">
      <c r="A194" s="535" t="n">
        <v>31806</v>
      </c>
      <c r="B194" s="534" t="n">
        <v>4.878</v>
      </c>
      <c r="C194" s="534" t="n">
        <v>2553.25</v>
      </c>
      <c r="E194" s="535" t="n">
        <v>35626</v>
      </c>
      <c r="F194" s="534" t="n">
        <v>7</v>
      </c>
      <c r="G194" s="554" t="n"/>
    </row>
    <row r="195">
      <c r="A195" s="535" t="n">
        <v>31807</v>
      </c>
      <c r="B195" s="534" t="n">
        <v>4.878</v>
      </c>
      <c r="C195" s="534" t="n">
        <v>2553.25</v>
      </c>
      <c r="E195" s="535" t="n">
        <v>35627</v>
      </c>
      <c r="F195" s="534" t="n">
        <v>6.94</v>
      </c>
      <c r="G195" s="554" t="n"/>
    </row>
    <row r="196">
      <c r="A196" s="535" t="n">
        <v>31810</v>
      </c>
      <c r="B196" s="534" t="n">
        <v>5.183</v>
      </c>
      <c r="C196" s="534" t="n">
        <v>2585.22</v>
      </c>
      <c r="E196" s="535" t="n">
        <v>35628</v>
      </c>
      <c r="F196" s="534" t="n">
        <v>6.8</v>
      </c>
      <c r="G196" s="554" t="n"/>
    </row>
    <row r="197">
      <c r="A197" s="535" t="n">
        <v>31811</v>
      </c>
      <c r="B197" s="534" t="n">
        <v>5.14</v>
      </c>
      <c r="C197" s="534" t="n">
        <v>2606.38</v>
      </c>
      <c r="E197" s="535" t="n">
        <v>35629</v>
      </c>
      <c r="F197" s="534" t="n">
        <v>6.83</v>
      </c>
      <c r="G197" s="554" t="n"/>
    </row>
    <row r="198">
      <c r="A198" s="535" t="n">
        <v>31812</v>
      </c>
      <c r="B198" s="534" t="n">
        <v>5.183</v>
      </c>
      <c r="C198" s="534" t="n">
        <v>2636.63</v>
      </c>
      <c r="E198" s="535" t="n">
        <v>35632</v>
      </c>
      <c r="F198" s="534" t="n">
        <v>6.96</v>
      </c>
      <c r="G198" s="554" t="n"/>
    </row>
    <row r="199">
      <c r="A199" s="535" t="n">
        <v>31813</v>
      </c>
      <c r="B199" s="534" t="n">
        <v>5.227</v>
      </c>
      <c r="C199" s="534" t="n">
        <v>2652.14</v>
      </c>
      <c r="E199" s="535" t="n">
        <v>35633</v>
      </c>
      <c r="F199" s="534" t="n">
        <v>6.99</v>
      </c>
      <c r="G199" s="554" t="n"/>
    </row>
    <row r="200">
      <c r="A200" s="535" t="n">
        <v>31814</v>
      </c>
      <c r="B200" s="534" t="n">
        <v>5.401</v>
      </c>
      <c r="C200" s="534" t="n">
        <v>2673.57</v>
      </c>
      <c r="E200" s="535" t="n">
        <v>35634</v>
      </c>
      <c r="F200" s="534" t="n">
        <v>6.78</v>
      </c>
      <c r="G200" s="554" t="n"/>
    </row>
    <row r="201">
      <c r="A201" s="535" t="n">
        <v>31817</v>
      </c>
      <c r="B201" s="534" t="n">
        <v>5.575</v>
      </c>
      <c r="C201" s="534" t="n">
        <v>2713.67</v>
      </c>
      <c r="E201" s="535" t="n">
        <v>35635</v>
      </c>
      <c r="F201" s="534" t="n">
        <v>6.84</v>
      </c>
      <c r="G201" s="554" t="n"/>
    </row>
    <row r="202">
      <c r="A202" s="535" t="n">
        <v>31818</v>
      </c>
      <c r="B202" s="534" t="n">
        <v>5.575</v>
      </c>
      <c r="C202" s="534" t="n">
        <v>2694.85</v>
      </c>
      <c r="E202" s="535" t="n">
        <v>35636</v>
      </c>
      <c r="F202" s="534" t="n">
        <v>6.78</v>
      </c>
      <c r="G202" s="554" t="n"/>
    </row>
    <row r="203">
      <c r="A203" s="535" t="n">
        <v>31819</v>
      </c>
      <c r="B203" s="534" t="n">
        <v>5.662</v>
      </c>
      <c r="C203" s="534" t="n">
        <v>2739.47</v>
      </c>
      <c r="E203" s="535" t="n">
        <v>35639</v>
      </c>
      <c r="F203" s="534" t="n">
        <v>6.76</v>
      </c>
      <c r="G203" s="554" t="n"/>
    </row>
    <row r="204">
      <c r="A204" s="535" t="n">
        <v>31820</v>
      </c>
      <c r="B204" s="534" t="n">
        <v>5.662</v>
      </c>
      <c r="C204" s="534" t="n">
        <v>2754.72</v>
      </c>
      <c r="E204" s="535" t="n">
        <v>35640</v>
      </c>
      <c r="F204" s="534" t="n">
        <v>6.69</v>
      </c>
      <c r="G204" s="554" t="n"/>
    </row>
    <row r="205">
      <c r="A205" s="535" t="n">
        <v>31821</v>
      </c>
      <c r="B205" s="534" t="n">
        <v>5.575</v>
      </c>
      <c r="C205" s="534" t="n">
        <v>2740.49</v>
      </c>
      <c r="E205" s="535" t="n">
        <v>35641</v>
      </c>
      <c r="F205" s="534" t="n">
        <v>6.72</v>
      </c>
      <c r="G205" s="554" t="n"/>
    </row>
    <row r="206">
      <c r="A206" s="535" t="n">
        <v>31824</v>
      </c>
      <c r="B206" s="534" t="n">
        <v>5.575</v>
      </c>
      <c r="C206" s="534" t="n">
        <v>2766.06</v>
      </c>
      <c r="E206" s="535" t="n">
        <v>35642</v>
      </c>
      <c r="F206" s="534" t="n">
        <v>6.73</v>
      </c>
      <c r="G206" s="554" t="n"/>
    </row>
    <row r="207">
      <c r="A207" s="535" t="n">
        <v>31825</v>
      </c>
      <c r="B207" s="534" t="n">
        <v>5.532</v>
      </c>
      <c r="C207" s="534" t="n">
        <v>2792.08</v>
      </c>
      <c r="E207" s="535" t="n">
        <v>35643</v>
      </c>
      <c r="F207" s="534" t="n">
        <v>6.67</v>
      </c>
      <c r="G207" s="554" t="n"/>
    </row>
    <row r="208">
      <c r="A208" s="535" t="n">
        <v>31826</v>
      </c>
      <c r="B208" s="534" t="n">
        <v>5.444</v>
      </c>
      <c r="C208" s="534" t="n">
        <v>2801.48</v>
      </c>
      <c r="E208" s="535" t="n">
        <v>35646</v>
      </c>
      <c r="F208" s="534" t="n">
        <v>6.84</v>
      </c>
      <c r="G208" s="554" t="n"/>
    </row>
    <row r="209">
      <c r="A209" s="535" t="n">
        <v>31827</v>
      </c>
      <c r="B209" s="534" t="n">
        <v>5.488</v>
      </c>
      <c r="C209" s="534" t="n">
        <v>2775.82</v>
      </c>
      <c r="E209" s="535" t="n">
        <v>35647</v>
      </c>
      <c r="F209" s="534" t="n">
        <v>6.88</v>
      </c>
      <c r="G209" s="554" t="n"/>
    </row>
    <row r="210">
      <c r="A210" s="535" t="n">
        <v>31828</v>
      </c>
      <c r="B210" s="534" t="n">
        <v>5.401</v>
      </c>
      <c r="C210" s="534" t="n">
        <v>2827.4</v>
      </c>
      <c r="E210" s="535" t="n">
        <v>35648</v>
      </c>
      <c r="F210" s="534" t="n">
        <v>6.92</v>
      </c>
      <c r="G210" s="554" t="n"/>
    </row>
    <row r="211">
      <c r="A211" s="535" t="n">
        <v>31831</v>
      </c>
      <c r="B211" s="534" t="n">
        <v>5.532</v>
      </c>
      <c r="C211" s="534" t="n">
        <v>2879.01</v>
      </c>
      <c r="E211" s="535" t="n">
        <v>35649</v>
      </c>
      <c r="F211" s="534" t="n">
        <v>6.89</v>
      </c>
      <c r="G211" s="554" t="n"/>
    </row>
    <row r="212">
      <c r="A212" s="535" t="n">
        <v>31832</v>
      </c>
      <c r="B212" s="534" t="n">
        <v>5.619</v>
      </c>
      <c r="C212" s="534" t="n">
        <v>2848.19</v>
      </c>
      <c r="E212" s="535" t="n">
        <v>35650</v>
      </c>
      <c r="F212" s="534" t="n">
        <v>6.95</v>
      </c>
      <c r="G212" s="554" t="n"/>
    </row>
    <row r="213">
      <c r="A213" s="535" t="n">
        <v>31833</v>
      </c>
      <c r="B213" s="534" t="n">
        <v>5.662</v>
      </c>
      <c r="C213" s="534" t="n">
        <v>2873.58</v>
      </c>
      <c r="E213" s="535" t="n">
        <v>35653</v>
      </c>
      <c r="F213" s="534" t="n">
        <v>7.09</v>
      </c>
      <c r="G213" s="554" t="n"/>
    </row>
    <row r="214">
      <c r="A214" s="535" t="n">
        <v>31834</v>
      </c>
      <c r="B214" s="534" t="n">
        <v>5.662</v>
      </c>
      <c r="C214" s="534" t="n">
        <v>2843.6</v>
      </c>
      <c r="E214" s="535" t="n">
        <v>35654</v>
      </c>
      <c r="F214" s="534" t="n">
        <v>7.11</v>
      </c>
      <c r="G214" s="554" t="n"/>
    </row>
    <row r="215">
      <c r="A215" s="535" t="n">
        <v>31835</v>
      </c>
      <c r="B215" s="534" t="n">
        <v>5.706</v>
      </c>
      <c r="C215" s="534" t="n">
        <v>2877.87</v>
      </c>
      <c r="E215" s="535" t="n">
        <v>35655</v>
      </c>
      <c r="F215" s="534" t="n">
        <v>7.16</v>
      </c>
      <c r="G215" s="554" t="n"/>
    </row>
    <row r="216">
      <c r="A216" s="535" t="n">
        <v>31838</v>
      </c>
      <c r="B216" s="534" t="n">
        <v>5.749</v>
      </c>
      <c r="C216" s="534" t="n">
        <v>2894.26</v>
      </c>
      <c r="E216" s="535" t="n">
        <v>35656</v>
      </c>
      <c r="F216" s="534" t="n">
        <v>7.11</v>
      </c>
      <c r="G216" s="554" t="n"/>
    </row>
    <row r="217">
      <c r="A217" s="535" t="n">
        <v>31839</v>
      </c>
      <c r="B217" s="534" t="n">
        <v>5.749</v>
      </c>
      <c r="C217" s="534" t="n">
        <v>2939.05</v>
      </c>
      <c r="E217" s="535" t="n">
        <v>35657</v>
      </c>
      <c r="F217" s="534" t="n">
        <v>7.21</v>
      </c>
      <c r="G217" s="554" t="n"/>
    </row>
    <row r="218">
      <c r="A218" s="535" t="n">
        <v>31840</v>
      </c>
      <c r="B218" s="534" t="n">
        <v>5.662</v>
      </c>
      <c r="C218" s="534" t="n">
        <v>2890.93</v>
      </c>
      <c r="E218" s="535" t="n">
        <v>35660</v>
      </c>
      <c r="F218" s="534" t="n">
        <v>7.21</v>
      </c>
      <c r="G218" s="554" t="n"/>
    </row>
    <row r="219">
      <c r="A219" s="535" t="n">
        <v>31841</v>
      </c>
      <c r="B219" s="534" t="n">
        <v>5.488</v>
      </c>
      <c r="C219" s="534" t="n">
        <v>2798.44</v>
      </c>
      <c r="E219" s="535" t="n">
        <v>35661</v>
      </c>
      <c r="F219" s="534" t="n">
        <v>7.41</v>
      </c>
      <c r="G219" s="554" t="n"/>
    </row>
    <row r="220">
      <c r="A220" s="535" t="n">
        <v>31842</v>
      </c>
      <c r="B220" s="534" t="n">
        <v>5.401</v>
      </c>
      <c r="C220" s="534" t="n">
        <v>2798.64</v>
      </c>
      <c r="E220" s="535" t="n">
        <v>35662</v>
      </c>
      <c r="F220" s="534" t="n">
        <v>7.21</v>
      </c>
      <c r="G220" s="554" t="n"/>
    </row>
    <row r="221">
      <c r="A221" s="535" t="n">
        <v>31845</v>
      </c>
      <c r="B221" s="534" t="n">
        <v>5.444</v>
      </c>
      <c r="C221" s="534" t="n">
        <v>2820.38</v>
      </c>
      <c r="E221" s="535" t="n">
        <v>35663</v>
      </c>
      <c r="F221" s="534" t="n">
        <v>7.06</v>
      </c>
      <c r="G221" s="554" t="n"/>
    </row>
    <row r="222">
      <c r="A222" s="535" t="n">
        <v>31846</v>
      </c>
      <c r="B222" s="534" t="n">
        <v>5.227</v>
      </c>
      <c r="C222" s="534" t="n">
        <v>2731.05</v>
      </c>
      <c r="E222" s="535" t="n">
        <v>35664</v>
      </c>
      <c r="F222" s="534" t="n">
        <v>7.18</v>
      </c>
      <c r="G222" s="554" t="n"/>
    </row>
    <row r="223">
      <c r="A223" s="535" t="n">
        <v>31847</v>
      </c>
      <c r="B223" s="534" t="n">
        <v>5.401</v>
      </c>
      <c r="C223" s="534" t="n">
        <v>2760.9</v>
      </c>
      <c r="E223" s="535" t="n">
        <v>35667</v>
      </c>
      <c r="F223" s="534" t="n">
        <v>7.06</v>
      </c>
      <c r="G223" s="554" t="n"/>
    </row>
    <row r="224">
      <c r="A224" s="535" t="n">
        <v>31848</v>
      </c>
      <c r="B224" s="534" t="n">
        <v>5.357</v>
      </c>
      <c r="C224" s="534" t="n">
        <v>2750.14</v>
      </c>
      <c r="E224" s="535" t="n">
        <v>35668</v>
      </c>
      <c r="F224" s="534" t="n">
        <v>7.09</v>
      </c>
      <c r="G224" s="554" t="n"/>
    </row>
    <row r="225">
      <c r="A225" s="535" t="n">
        <v>31849</v>
      </c>
      <c r="B225" s="534" t="n">
        <v>5.27</v>
      </c>
      <c r="C225" s="534" t="n">
        <v>2721.17</v>
      </c>
      <c r="E225" s="535" t="n">
        <v>35669</v>
      </c>
      <c r="F225" s="534" t="n">
        <v>7.09</v>
      </c>
      <c r="G225" s="554" t="n"/>
    </row>
    <row r="226">
      <c r="A226" s="535" t="n">
        <v>31852</v>
      </c>
      <c r="B226" s="534" t="n">
        <v>5.357</v>
      </c>
      <c r="C226" s="534" t="n">
        <v>2669.57</v>
      </c>
      <c r="E226" s="535" t="n">
        <v>35670</v>
      </c>
      <c r="F226" s="534" t="n">
        <v>7.13</v>
      </c>
      <c r="G226" s="554" t="n"/>
    </row>
    <row r="227">
      <c r="A227" s="535" t="n">
        <v>31853</v>
      </c>
      <c r="B227" s="534" t="n">
        <v>5.227</v>
      </c>
      <c r="C227" s="534" t="n">
        <v>2629.28</v>
      </c>
      <c r="E227" s="535" t="n">
        <v>35671</v>
      </c>
      <c r="F227" s="534" t="n">
        <v>7.17</v>
      </c>
      <c r="G227" s="554" t="n"/>
    </row>
    <row r="228">
      <c r="A228" s="535" t="n">
        <v>31854</v>
      </c>
      <c r="B228" s="534" t="n">
        <v>5.314</v>
      </c>
      <c r="C228" s="534" t="n">
        <v>2724.01</v>
      </c>
      <c r="E228" s="535" t="n">
        <v>35674</v>
      </c>
      <c r="F228" s="534" t="n">
        <v>7.07</v>
      </c>
      <c r="G228" s="554" t="n"/>
    </row>
    <row r="229">
      <c r="A229" s="535" t="n">
        <v>31855</v>
      </c>
      <c r="B229" s="534" t="n">
        <v>5.183</v>
      </c>
      <c r="C229" s="534" t="n">
        <v>2721.28</v>
      </c>
      <c r="E229" s="535" t="n">
        <v>35675</v>
      </c>
      <c r="F229" s="534" t="n">
        <v>7.09</v>
      </c>
      <c r="G229" s="554" t="n"/>
    </row>
    <row r="230">
      <c r="A230" s="535" t="n">
        <v>31856</v>
      </c>
      <c r="B230" s="534" t="n">
        <v>5.183</v>
      </c>
      <c r="C230" s="534" t="n">
        <v>2780.55</v>
      </c>
      <c r="E230" s="535" t="n">
        <v>35676</v>
      </c>
      <c r="F230" s="534" t="n">
        <v>7.01</v>
      </c>
      <c r="G230" s="554" t="n"/>
    </row>
    <row r="231">
      <c r="A231" s="535" t="n">
        <v>31859</v>
      </c>
      <c r="B231" s="534" t="n">
        <v>5.183</v>
      </c>
      <c r="C231" s="534" t="n">
        <v>2813.4</v>
      </c>
      <c r="E231" s="535" t="n">
        <v>35677</v>
      </c>
      <c r="F231" s="534" t="n">
        <v>7.03</v>
      </c>
      <c r="G231" s="554" t="n"/>
    </row>
    <row r="232">
      <c r="A232" s="535" t="n">
        <v>31860</v>
      </c>
      <c r="B232" s="534" t="n">
        <v>5.27</v>
      </c>
      <c r="C232" s="534" t="n">
        <v>2828.07</v>
      </c>
      <c r="E232" s="535" t="n">
        <v>35678</v>
      </c>
      <c r="F232" s="534" t="n">
        <v>7.03</v>
      </c>
      <c r="G232" s="554" t="n"/>
    </row>
    <row r="233">
      <c r="A233" s="535" t="n">
        <v>31861</v>
      </c>
      <c r="B233" s="534" t="n">
        <v>5.227</v>
      </c>
      <c r="C233" s="534" t="n">
        <v>2831.5</v>
      </c>
      <c r="E233" s="535" t="n">
        <v>35681</v>
      </c>
      <c r="F233" s="534" t="n">
        <v>6.99</v>
      </c>
      <c r="G233" s="554" t="n"/>
    </row>
    <row r="234">
      <c r="A234" s="535" t="n">
        <v>31862</v>
      </c>
      <c r="B234" s="534" t="n">
        <v>5.14</v>
      </c>
      <c r="C234" s="534" t="n">
        <v>2783.12</v>
      </c>
      <c r="E234" s="535" t="n">
        <v>35682</v>
      </c>
      <c r="F234" s="534" t="n">
        <v>6.97</v>
      </c>
      <c r="G234" s="554" t="n"/>
    </row>
    <row r="235">
      <c r="A235" s="535" t="n">
        <v>31863</v>
      </c>
      <c r="B235" s="534" t="n">
        <v>5.096</v>
      </c>
      <c r="C235" s="534" t="n">
        <v>2798.74</v>
      </c>
      <c r="E235" s="535" t="n">
        <v>35683</v>
      </c>
      <c r="F235" s="534" t="n">
        <v>6.98</v>
      </c>
      <c r="G235" s="554" t="n"/>
    </row>
    <row r="236">
      <c r="A236" s="535" t="n">
        <v>31866</v>
      </c>
      <c r="B236" s="534" t="n">
        <v>4.965</v>
      </c>
      <c r="C236" s="534" t="n">
        <v>2774.88</v>
      </c>
      <c r="E236" s="535" t="n">
        <v>35684</v>
      </c>
      <c r="F236" s="534" t="n">
        <v>7.07</v>
      </c>
      <c r="G236" s="554" t="n"/>
    </row>
    <row r="237">
      <c r="A237" s="535" t="n">
        <v>31867</v>
      </c>
      <c r="B237" s="534" t="n">
        <v>4.965</v>
      </c>
      <c r="C237" s="534" t="n">
        <v>2713.81</v>
      </c>
      <c r="E237" s="535" t="n">
        <v>35685</v>
      </c>
      <c r="F237" s="534" t="n">
        <v>7.09</v>
      </c>
      <c r="G237" s="554" t="n"/>
    </row>
    <row r="238">
      <c r="A238" s="535" t="n">
        <v>31868</v>
      </c>
      <c r="B238" s="534" t="n">
        <v>4.922</v>
      </c>
      <c r="C238" s="534" t="n">
        <v>2695.91</v>
      </c>
      <c r="E238" s="535" t="n">
        <v>35688</v>
      </c>
      <c r="F238" s="534" t="n">
        <v>6.97</v>
      </c>
      <c r="G238" s="554" t="n"/>
    </row>
    <row r="239">
      <c r="A239" s="535" t="n">
        <v>31869</v>
      </c>
      <c r="B239" s="534" t="n">
        <v>5.052</v>
      </c>
      <c r="C239" s="534" t="n">
        <v>2709.41</v>
      </c>
      <c r="E239" s="535" t="n">
        <v>35689</v>
      </c>
      <c r="F239" s="534" t="n">
        <v>6.96</v>
      </c>
      <c r="G239" s="554" t="n"/>
    </row>
    <row r="240">
      <c r="A240" s="535" t="n">
        <v>31870</v>
      </c>
      <c r="B240" s="534" t="n">
        <v>5.009</v>
      </c>
      <c r="C240" s="534" t="n">
        <v>2679.99</v>
      </c>
      <c r="E240" s="535" t="n">
        <v>35690</v>
      </c>
      <c r="F240" s="534" t="n">
        <v>6.96</v>
      </c>
      <c r="G240" s="554" t="n"/>
    </row>
    <row r="241">
      <c r="A241" s="535" t="n">
        <v>31873</v>
      </c>
      <c r="B241" s="534" t="n">
        <v>5.009</v>
      </c>
      <c r="C241" s="534" t="n">
        <v>2679.99</v>
      </c>
      <c r="E241" s="535" t="n">
        <v>35691</v>
      </c>
      <c r="F241" s="534" t="n">
        <v>6.88</v>
      </c>
      <c r="G241" s="554" t="n"/>
    </row>
    <row r="242">
      <c r="A242" s="535" t="n">
        <v>31874</v>
      </c>
      <c r="B242" s="534" t="n">
        <v>4.922</v>
      </c>
      <c r="C242" s="534" t="n">
        <v>2664.7</v>
      </c>
      <c r="E242" s="535" t="n">
        <v>35692</v>
      </c>
      <c r="F242" s="534" t="n">
        <v>6.92</v>
      </c>
      <c r="G242" s="554" t="n"/>
    </row>
    <row r="243">
      <c r="A243" s="535" t="n">
        <v>31875</v>
      </c>
      <c r="B243" s="534" t="n">
        <v>5.052</v>
      </c>
      <c r="C243" s="534" t="n">
        <v>2729.55</v>
      </c>
      <c r="E243" s="535" t="n">
        <v>35695</v>
      </c>
      <c r="F243" s="534" t="n">
        <v>6.9</v>
      </c>
      <c r="G243" s="554" t="n"/>
    </row>
    <row r="244">
      <c r="A244" s="535" t="n">
        <v>31876</v>
      </c>
      <c r="B244" s="534" t="n">
        <v>5.183</v>
      </c>
      <c r="C244" s="534" t="n">
        <v>2785.47</v>
      </c>
      <c r="E244" s="535" t="n">
        <v>35696</v>
      </c>
      <c r="F244" s="534" t="n">
        <v>6.91</v>
      </c>
      <c r="G244" s="554" t="n"/>
    </row>
    <row r="245">
      <c r="A245" s="535" t="n">
        <v>31877</v>
      </c>
      <c r="B245" s="534" t="n">
        <v>5.183</v>
      </c>
      <c r="C245" s="534" t="n">
        <v>2766.41</v>
      </c>
      <c r="E245" s="535" t="n">
        <v>35697</v>
      </c>
      <c r="F245" s="534" t="n">
        <v>6.91</v>
      </c>
      <c r="G245" s="554" t="n"/>
    </row>
    <row r="246">
      <c r="A246" s="535" t="n">
        <v>31880</v>
      </c>
      <c r="B246" s="534" t="n">
        <v>5.183</v>
      </c>
      <c r="C246" s="534" t="n">
        <v>2708.94</v>
      </c>
      <c r="E246" s="535" t="n">
        <v>35698</v>
      </c>
      <c r="F246" s="534" t="n">
        <v>6.86</v>
      </c>
      <c r="G246" s="554" t="n"/>
    </row>
    <row r="247">
      <c r="A247" s="535" t="n">
        <v>31881</v>
      </c>
      <c r="B247" s="534" t="n">
        <v>4.965</v>
      </c>
      <c r="C247" s="534" t="n">
        <v>2668.35</v>
      </c>
      <c r="E247" s="535" t="n">
        <v>35699</v>
      </c>
      <c r="F247" s="534" t="n">
        <v>6.91</v>
      </c>
      <c r="G247" s="554" t="n"/>
    </row>
    <row r="248">
      <c r="A248" s="535" t="n">
        <v>31882</v>
      </c>
      <c r="B248" s="534" t="n">
        <v>4.965</v>
      </c>
      <c r="C248" s="534" t="n">
        <v>2693.62</v>
      </c>
      <c r="E248" s="535" t="n">
        <v>35702</v>
      </c>
      <c r="F248" s="534" t="n">
        <v>6.86</v>
      </c>
      <c r="G248" s="554" t="n"/>
    </row>
    <row r="249">
      <c r="A249" s="535" t="n">
        <v>31883</v>
      </c>
      <c r="B249" s="534" t="n">
        <v>5.052</v>
      </c>
      <c r="C249" s="534" t="n">
        <v>2721.12</v>
      </c>
      <c r="E249" s="535" t="n">
        <v>35703</v>
      </c>
      <c r="F249" s="534" t="n">
        <v>6.91</v>
      </c>
      <c r="G249" s="554" t="n"/>
    </row>
    <row r="250">
      <c r="A250" s="535" t="n">
        <v>31884</v>
      </c>
      <c r="B250" s="534" t="n">
        <v>5.052</v>
      </c>
      <c r="C250" s="534" t="n">
        <v>2721.12</v>
      </c>
      <c r="E250" s="535" t="n">
        <v>35704</v>
      </c>
      <c r="F250" s="534" t="n">
        <v>6.91</v>
      </c>
      <c r="G250" s="554" t="n"/>
    </row>
    <row r="251">
      <c r="A251" s="535" t="n">
        <v>31887</v>
      </c>
      <c r="B251" s="534" t="n">
        <v>5.052</v>
      </c>
      <c r="C251" s="534" t="n">
        <v>2721.12</v>
      </c>
      <c r="E251" s="535" t="n">
        <v>35705</v>
      </c>
      <c r="F251" s="534" t="n">
        <v>6.91</v>
      </c>
      <c r="G251" s="554" t="n"/>
    </row>
    <row r="252">
      <c r="A252" s="535" t="n">
        <v>31888</v>
      </c>
      <c r="B252" s="534" t="n">
        <v>5.009</v>
      </c>
      <c r="C252" s="534" t="n">
        <v>2713.36</v>
      </c>
      <c r="E252" s="535" t="n">
        <v>35706</v>
      </c>
      <c r="F252" s="534" t="n">
        <v>6.84</v>
      </c>
      <c r="G252" s="554" t="n"/>
    </row>
    <row r="253">
      <c r="A253" s="535" t="n">
        <v>31889</v>
      </c>
      <c r="B253" s="534" t="n">
        <v>4.965</v>
      </c>
      <c r="C253" s="534" t="n">
        <v>2716.89</v>
      </c>
      <c r="E253" s="535" t="n">
        <v>35709</v>
      </c>
      <c r="F253" s="534" t="n">
        <v>6.83</v>
      </c>
      <c r="G253" s="554" t="n"/>
    </row>
    <row r="254">
      <c r="A254" s="535" t="n">
        <v>31890</v>
      </c>
      <c r="B254" s="534" t="n">
        <v>4.965</v>
      </c>
      <c r="C254" s="534" t="n">
        <v>2719.89</v>
      </c>
      <c r="E254" s="535" t="n">
        <v>35710</v>
      </c>
      <c r="F254" s="534" t="n">
        <v>6.84</v>
      </c>
      <c r="G254" s="554" t="n"/>
    </row>
    <row r="255">
      <c r="A255" s="535" t="n">
        <v>31891</v>
      </c>
      <c r="B255" s="534" t="n">
        <v>4.965</v>
      </c>
      <c r="C255" s="534" t="n">
        <v>2707.61</v>
      </c>
      <c r="E255" s="535" t="n">
        <v>35711</v>
      </c>
      <c r="F255" s="534" t="n">
        <v>6.79</v>
      </c>
      <c r="G255" s="554" t="n"/>
    </row>
    <row r="256">
      <c r="A256" s="535" t="n">
        <v>31894</v>
      </c>
      <c r="B256" s="534" t="n">
        <v>4.922</v>
      </c>
      <c r="C256" s="534" t="n">
        <v>2636.47</v>
      </c>
      <c r="E256" s="535" t="n">
        <v>35712</v>
      </c>
      <c r="F256" s="534" t="n">
        <v>6.92</v>
      </c>
      <c r="G256" s="554" t="n"/>
    </row>
    <row r="257">
      <c r="A257" s="535" t="n">
        <v>31895</v>
      </c>
      <c r="B257" s="534" t="n">
        <v>4.878</v>
      </c>
      <c r="C257" s="534" t="n">
        <v>2617.08</v>
      </c>
      <c r="E257" s="535" t="n">
        <v>35713</v>
      </c>
      <c r="F257" s="534" t="n">
        <v>6.92</v>
      </c>
      <c r="G257" s="554" t="n"/>
    </row>
    <row r="258">
      <c r="A258" s="535" t="n">
        <v>31896</v>
      </c>
      <c r="B258" s="534" t="n">
        <v>4.791</v>
      </c>
      <c r="C258" s="534" t="n">
        <v>2589.54</v>
      </c>
      <c r="E258" s="535" t="n">
        <v>35716</v>
      </c>
      <c r="F258" s="534" t="n">
        <v>6.98</v>
      </c>
      <c r="G258" s="554" t="n"/>
    </row>
    <row r="259">
      <c r="A259" s="535" t="n">
        <v>31897</v>
      </c>
      <c r="B259" s="534" t="n">
        <v>4.878</v>
      </c>
      <c r="C259" s="534" t="n">
        <v>2659.85</v>
      </c>
      <c r="E259" s="535" t="n">
        <v>35717</v>
      </c>
      <c r="F259" s="534" t="n">
        <v>6.94</v>
      </c>
      <c r="G259" s="554" t="n"/>
    </row>
    <row r="260">
      <c r="A260" s="535" t="n">
        <v>31898</v>
      </c>
      <c r="B260" s="534" t="n">
        <v>4.878</v>
      </c>
      <c r="C260" s="534" t="n">
        <v>2685.37</v>
      </c>
      <c r="E260" s="535" t="n">
        <v>35718</v>
      </c>
      <c r="F260" s="534" t="n">
        <v>6.93</v>
      </c>
      <c r="G260" s="554" t="n"/>
    </row>
    <row r="261">
      <c r="A261" s="535" t="n">
        <v>31901</v>
      </c>
      <c r="B261" s="534" t="n">
        <v>4.922</v>
      </c>
      <c r="C261" s="534" t="n">
        <v>2685.75</v>
      </c>
      <c r="E261" s="535" t="n">
        <v>35719</v>
      </c>
      <c r="F261" s="534" t="n">
        <v>7.03</v>
      </c>
      <c r="G261" s="554" t="n"/>
    </row>
    <row r="262">
      <c r="A262" s="535" t="n">
        <v>31902</v>
      </c>
      <c r="B262" s="534" t="n">
        <v>4.965</v>
      </c>
      <c r="C262" s="534" t="n">
        <v>2713.83</v>
      </c>
      <c r="E262" s="535" t="n">
        <v>35720</v>
      </c>
      <c r="F262" s="534" t="n">
        <v>7.08</v>
      </c>
      <c r="G262" s="554" t="n"/>
    </row>
    <row r="263">
      <c r="A263" s="535" t="n">
        <v>31903</v>
      </c>
      <c r="B263" s="534" t="n">
        <v>5.009</v>
      </c>
      <c r="C263" s="534" t="n">
        <v>2792.89</v>
      </c>
      <c r="E263" s="535" t="n">
        <v>35723</v>
      </c>
      <c r="F263" s="534" t="n">
        <v>7.14</v>
      </c>
      <c r="G263" s="554" t="n"/>
    </row>
    <row r="264">
      <c r="A264" s="535" t="n">
        <v>31904</v>
      </c>
      <c r="B264" s="534" t="n">
        <v>5.009</v>
      </c>
      <c r="C264" s="534" t="n">
        <v>2785.56</v>
      </c>
      <c r="E264" s="535" t="n">
        <v>35724</v>
      </c>
      <c r="F264" s="534" t="n">
        <v>7.4</v>
      </c>
      <c r="G264" s="554" t="n"/>
    </row>
    <row r="265">
      <c r="A265" s="535" t="n">
        <v>31905</v>
      </c>
      <c r="B265" s="534" t="n">
        <v>4.922</v>
      </c>
      <c r="C265" s="534" t="n">
        <v>2805.06</v>
      </c>
      <c r="E265" s="535" t="n">
        <v>35725</v>
      </c>
      <c r="F265" s="534" t="n">
        <v>7.5</v>
      </c>
      <c r="G265" s="554" t="n"/>
    </row>
    <row r="266">
      <c r="A266" s="535" t="n">
        <v>31908</v>
      </c>
      <c r="B266" s="534" t="n">
        <v>4.878</v>
      </c>
      <c r="C266" s="534" t="n">
        <v>2846.93</v>
      </c>
      <c r="E266" s="535" t="n">
        <v>35726</v>
      </c>
      <c r="F266" s="534" t="n">
        <v>9</v>
      </c>
      <c r="G266" s="554" t="n"/>
    </row>
    <row r="267">
      <c r="A267" s="535" t="n">
        <v>31909</v>
      </c>
      <c r="B267" s="534" t="n">
        <v>4.965</v>
      </c>
      <c r="C267" s="534" t="n">
        <v>2853.42</v>
      </c>
      <c r="E267" s="535" t="n">
        <v>35727</v>
      </c>
      <c r="F267" s="534" t="n">
        <v>8.34</v>
      </c>
      <c r="G267" s="554" t="n"/>
    </row>
    <row r="268">
      <c r="A268" s="535" t="n">
        <v>31910</v>
      </c>
      <c r="B268" s="534" t="n">
        <v>4.965</v>
      </c>
      <c r="C268" s="534" t="n">
        <v>2833.53</v>
      </c>
      <c r="E268" s="535" t="n">
        <v>35730</v>
      </c>
      <c r="F268" s="534" t="n">
        <v>7.89</v>
      </c>
      <c r="G268" s="554" t="n"/>
    </row>
    <row r="269">
      <c r="A269" s="535" t="n">
        <v>31911</v>
      </c>
      <c r="B269" s="534" t="n">
        <v>4.878</v>
      </c>
      <c r="C269" s="534" t="n">
        <v>2853.92</v>
      </c>
      <c r="E269" s="535" t="n">
        <v>35731</v>
      </c>
      <c r="F269" s="534" t="n">
        <v>7.56</v>
      </c>
      <c r="G269" s="554" t="n"/>
    </row>
    <row r="270">
      <c r="A270" s="535" t="n">
        <v>31912</v>
      </c>
      <c r="B270" s="534" t="n">
        <v>4.965</v>
      </c>
      <c r="C270" s="534" t="n">
        <v>2872.19</v>
      </c>
      <c r="E270" s="535" t="n">
        <v>35732</v>
      </c>
      <c r="F270" s="534" t="n">
        <v>7.63</v>
      </c>
      <c r="G270" s="554" t="n"/>
    </row>
    <row r="271">
      <c r="A271" s="535" t="n">
        <v>31915</v>
      </c>
      <c r="B271" s="534" t="n">
        <v>4.965</v>
      </c>
      <c r="C271" s="534" t="n">
        <v>2875.45</v>
      </c>
      <c r="E271" s="535" t="n">
        <v>35733</v>
      </c>
      <c r="F271" s="534" t="n">
        <v>7.6</v>
      </c>
      <c r="G271" s="554" t="n"/>
    </row>
    <row r="272">
      <c r="A272" s="535" t="n">
        <v>31916</v>
      </c>
      <c r="B272" s="534" t="n">
        <v>5.009</v>
      </c>
      <c r="C272" s="534" t="n">
        <v>2881.47</v>
      </c>
      <c r="E272" s="535" t="n">
        <v>35734</v>
      </c>
      <c r="F272" s="534" t="n">
        <v>7.72</v>
      </c>
      <c r="G272" s="554" t="n"/>
    </row>
    <row r="273">
      <c r="A273" s="535" t="n">
        <v>31917</v>
      </c>
      <c r="B273" s="534" t="n">
        <v>5.009</v>
      </c>
      <c r="C273" s="534" t="n">
        <v>2878.1</v>
      </c>
      <c r="E273" s="535" t="n">
        <v>35737</v>
      </c>
      <c r="F273" s="534" t="n">
        <v>7.46</v>
      </c>
      <c r="G273" s="554" t="n"/>
    </row>
    <row r="274">
      <c r="A274" s="535" t="n">
        <v>31918</v>
      </c>
      <c r="B274" s="534" t="n">
        <v>5.096</v>
      </c>
      <c r="C274" s="534" t="n">
        <v>2870.91</v>
      </c>
      <c r="E274" s="535" t="n">
        <v>35738</v>
      </c>
      <c r="F274" s="534" t="n">
        <v>7.58</v>
      </c>
      <c r="G274" s="554" t="n"/>
    </row>
    <row r="275">
      <c r="A275" s="535" t="n">
        <v>31919</v>
      </c>
      <c r="B275" s="534" t="n">
        <v>5.27</v>
      </c>
      <c r="C275" s="534" t="n">
        <v>2897.62</v>
      </c>
      <c r="E275" s="535" t="n">
        <v>35739</v>
      </c>
      <c r="F275" s="534" t="n">
        <v>7.75</v>
      </c>
      <c r="G275" s="554" t="n"/>
    </row>
    <row r="276">
      <c r="A276" s="535" t="n">
        <v>31922</v>
      </c>
      <c r="B276" s="534" t="n">
        <v>5.488</v>
      </c>
      <c r="C276" s="534" t="n">
        <v>2926.1</v>
      </c>
      <c r="E276" s="535" t="n">
        <v>35740</v>
      </c>
      <c r="F276" s="534" t="n">
        <v>7.87</v>
      </c>
      <c r="G276" s="554" t="n"/>
    </row>
    <row r="277">
      <c r="A277" s="535" t="n">
        <v>31923</v>
      </c>
      <c r="B277" s="534" t="n">
        <v>5.444</v>
      </c>
      <c r="C277" s="534" t="n">
        <v>2935.88</v>
      </c>
      <c r="E277" s="535" t="n">
        <v>35741</v>
      </c>
      <c r="F277" s="534" t="n">
        <v>7.95</v>
      </c>
      <c r="G277" s="554" t="n"/>
    </row>
    <row r="278">
      <c r="A278" s="535" t="n">
        <v>31924</v>
      </c>
      <c r="B278" s="534" t="n">
        <v>5.444</v>
      </c>
      <c r="C278" s="534" t="n">
        <v>2941.17</v>
      </c>
      <c r="E278" s="535" t="n">
        <v>35744</v>
      </c>
      <c r="F278" s="534" t="n">
        <v>8.1</v>
      </c>
      <c r="G278" s="554" t="n"/>
    </row>
    <row r="279">
      <c r="A279" s="535" t="n">
        <v>31925</v>
      </c>
      <c r="B279" s="534" t="n">
        <v>5.401</v>
      </c>
      <c r="C279" s="534" t="n">
        <v>2949.06</v>
      </c>
      <c r="E279" s="535" t="n">
        <v>35745</v>
      </c>
      <c r="F279" s="534" t="n">
        <v>8.130000000000001</v>
      </c>
      <c r="G279" s="554" t="n"/>
    </row>
    <row r="280">
      <c r="A280" s="535" t="n">
        <v>31926</v>
      </c>
      <c r="B280" s="534" t="n">
        <v>5.357</v>
      </c>
      <c r="C280" s="534" t="n">
        <v>2919.7</v>
      </c>
      <c r="E280" s="535" t="n">
        <v>35746</v>
      </c>
      <c r="F280" s="534" t="n">
        <v>8.19</v>
      </c>
      <c r="G280" s="554" t="n"/>
    </row>
    <row r="281">
      <c r="A281" s="535" t="n">
        <v>31929</v>
      </c>
      <c r="B281" s="534" t="n">
        <v>5.357</v>
      </c>
      <c r="C281" s="534" t="n">
        <v>2919.7</v>
      </c>
      <c r="E281" s="535" t="n">
        <v>35747</v>
      </c>
      <c r="F281" s="534" t="n">
        <v>8.08</v>
      </c>
      <c r="G281" s="554" t="n"/>
    </row>
    <row r="282">
      <c r="A282" s="535" t="n">
        <v>31930</v>
      </c>
      <c r="B282" s="534" t="n">
        <v>5.357</v>
      </c>
      <c r="C282" s="534" t="n">
        <v>2934.19</v>
      </c>
      <c r="E282" s="535" t="n">
        <v>35748</v>
      </c>
      <c r="F282" s="534" t="n">
        <v>8.07</v>
      </c>
      <c r="G282" s="554" t="n"/>
    </row>
    <row r="283">
      <c r="A283" s="535" t="n">
        <v>31931</v>
      </c>
      <c r="B283" s="534" t="n">
        <v>5.401</v>
      </c>
      <c r="C283" s="534" t="n">
        <v>2985.1</v>
      </c>
      <c r="E283" s="535" t="n">
        <v>35751</v>
      </c>
      <c r="F283" s="534" t="n">
        <v>8.029999999999999</v>
      </c>
      <c r="G283" s="554" t="n"/>
    </row>
    <row r="284">
      <c r="A284" s="535" t="n">
        <v>31932</v>
      </c>
      <c r="B284" s="534" t="n">
        <v>5.444</v>
      </c>
      <c r="C284" s="534" t="n">
        <v>3023.6</v>
      </c>
      <c r="E284" s="535" t="n">
        <v>35752</v>
      </c>
      <c r="F284" s="534" t="n">
        <v>8.17</v>
      </c>
      <c r="G284" s="554" t="n"/>
    </row>
    <row r="285">
      <c r="A285" s="535" t="n">
        <v>31933</v>
      </c>
      <c r="B285" s="534" t="n">
        <v>5.488</v>
      </c>
      <c r="C285" s="534" t="n">
        <v>3064.33</v>
      </c>
      <c r="E285" s="535" t="n">
        <v>35753</v>
      </c>
      <c r="F285" s="534" t="n">
        <v>8.65</v>
      </c>
      <c r="G285" s="554" t="n"/>
    </row>
    <row r="286">
      <c r="A286" s="535" t="n">
        <v>31936</v>
      </c>
      <c r="B286" s="534" t="n">
        <v>5.488</v>
      </c>
      <c r="C286" s="534" t="n">
        <v>3068.06</v>
      </c>
      <c r="E286" s="535" t="n">
        <v>35754</v>
      </c>
      <c r="F286" s="534" t="n">
        <v>8.529999999999999</v>
      </c>
      <c r="G286" s="554" t="n"/>
    </row>
    <row r="287">
      <c r="A287" s="535" t="n">
        <v>31937</v>
      </c>
      <c r="B287" s="534" t="n">
        <v>5.444</v>
      </c>
      <c r="C287" s="534" t="n">
        <v>3108.57</v>
      </c>
      <c r="E287" s="535" t="n">
        <v>35755</v>
      </c>
      <c r="F287" s="534" t="n">
        <v>8.56</v>
      </c>
      <c r="G287" s="554" t="n"/>
    </row>
    <row r="288">
      <c r="A288" s="535" t="n">
        <v>31938</v>
      </c>
      <c r="B288" s="534" t="n">
        <v>5.488</v>
      </c>
      <c r="C288" s="534" t="n">
        <v>3097.33</v>
      </c>
      <c r="E288" s="535" t="n">
        <v>35758</v>
      </c>
      <c r="F288" s="534" t="n">
        <v>8.220000000000001</v>
      </c>
      <c r="G288" s="554" t="n"/>
    </row>
    <row r="289">
      <c r="A289" s="535" t="n">
        <v>31939</v>
      </c>
      <c r="B289" s="534" t="n">
        <v>5.444</v>
      </c>
      <c r="C289" s="534" t="n">
        <v>3087.52</v>
      </c>
      <c r="E289" s="535" t="n">
        <v>35759</v>
      </c>
      <c r="F289" s="534" t="n">
        <v>8.48</v>
      </c>
      <c r="G289" s="554" t="n"/>
    </row>
    <row r="290">
      <c r="A290" s="535" t="n">
        <v>31940</v>
      </c>
      <c r="B290" s="534" t="n">
        <v>5.575</v>
      </c>
      <c r="C290" s="534" t="n">
        <v>3129.88</v>
      </c>
      <c r="E290" s="535" t="n">
        <v>35760</v>
      </c>
      <c r="F290" s="534" t="n">
        <v>8.48</v>
      </c>
      <c r="G290" s="554" t="n"/>
    </row>
    <row r="291">
      <c r="A291" s="535" t="n">
        <v>31943</v>
      </c>
      <c r="B291" s="534" t="n">
        <v>5.575</v>
      </c>
      <c r="C291" s="534" t="n">
        <v>3129.88</v>
      </c>
      <c r="E291" s="535" t="n">
        <v>35761</v>
      </c>
      <c r="F291" s="534" t="n">
        <v>8.4</v>
      </c>
      <c r="G291" s="554" t="n"/>
    </row>
    <row r="292">
      <c r="A292" s="535" t="n">
        <v>31944</v>
      </c>
      <c r="B292" s="534" t="n">
        <v>5.706</v>
      </c>
      <c r="C292" s="534" t="n">
        <v>3170.88</v>
      </c>
      <c r="E292" s="535" t="n">
        <v>35762</v>
      </c>
      <c r="F292" s="534" t="n">
        <v>8.42</v>
      </c>
      <c r="G292" s="554" t="n"/>
    </row>
    <row r="293">
      <c r="A293" s="535" t="n">
        <v>31945</v>
      </c>
      <c r="B293" s="534" t="n">
        <v>5.619</v>
      </c>
      <c r="C293" s="534" t="n">
        <v>3178.62</v>
      </c>
      <c r="E293" s="535" t="n">
        <v>35765</v>
      </c>
      <c r="F293" s="534" t="n">
        <v>8.4</v>
      </c>
      <c r="G293" s="554" t="n"/>
    </row>
    <row r="294">
      <c r="A294" s="535" t="n">
        <v>31946</v>
      </c>
      <c r="B294" s="534" t="n">
        <v>5.488</v>
      </c>
      <c r="C294" s="534" t="n">
        <v>3133.74</v>
      </c>
      <c r="E294" s="535" t="n">
        <v>35766</v>
      </c>
      <c r="F294" s="534" t="n">
        <v>8.539999999999999</v>
      </c>
      <c r="G294" s="554" t="n"/>
    </row>
    <row r="295">
      <c r="A295" s="535" t="n">
        <v>31947</v>
      </c>
      <c r="B295" s="534" t="n">
        <v>5.575</v>
      </c>
      <c r="C295" s="534" t="n">
        <v>3165.64</v>
      </c>
      <c r="E295" s="535" t="n">
        <v>35767</v>
      </c>
      <c r="F295" s="534" t="n">
        <v>8.630000000000001</v>
      </c>
      <c r="G295" s="554" t="n"/>
    </row>
    <row r="296">
      <c r="A296" s="535" t="n">
        <v>31950</v>
      </c>
      <c r="B296" s="534" t="n">
        <v>5.532</v>
      </c>
      <c r="C296" s="534" t="n">
        <v>3131.19</v>
      </c>
      <c r="E296" s="535" t="n">
        <v>35768</v>
      </c>
      <c r="F296" s="534" t="n">
        <v>8.539999999999999</v>
      </c>
      <c r="G296" s="554" t="n"/>
    </row>
    <row r="297">
      <c r="A297" s="535" t="n">
        <v>31951</v>
      </c>
      <c r="B297" s="534" t="n">
        <v>5.532</v>
      </c>
      <c r="C297" s="534" t="n">
        <v>3110.41</v>
      </c>
      <c r="E297" s="535" t="n">
        <v>35769</v>
      </c>
      <c r="F297" s="534" t="n">
        <v>8.48</v>
      </c>
      <c r="G297" s="554" t="n"/>
    </row>
    <row r="298">
      <c r="A298" s="535" t="n">
        <v>31952</v>
      </c>
      <c r="B298" s="534" t="n">
        <v>5.619</v>
      </c>
      <c r="C298" s="534" t="n">
        <v>3178.98</v>
      </c>
      <c r="E298" s="535" t="n">
        <v>35772</v>
      </c>
      <c r="F298" s="534" t="n">
        <v>8.35</v>
      </c>
      <c r="G298" s="554" t="n"/>
    </row>
    <row r="299">
      <c r="A299" s="535" t="n">
        <v>31953</v>
      </c>
      <c r="B299" s="534" t="n">
        <v>5.488</v>
      </c>
      <c r="C299" s="534" t="n">
        <v>3136.31</v>
      </c>
      <c r="E299" s="535" t="n">
        <v>35773</v>
      </c>
      <c r="F299" s="534" t="n">
        <v>8.43</v>
      </c>
      <c r="G299" s="554" t="n"/>
    </row>
    <row r="300">
      <c r="A300" s="535" t="n">
        <v>31954</v>
      </c>
      <c r="B300" s="534" t="n">
        <v>5.357</v>
      </c>
      <c r="C300" s="534" t="n">
        <v>3138.68</v>
      </c>
      <c r="E300" s="535" t="n">
        <v>35774</v>
      </c>
      <c r="F300" s="534" t="n">
        <v>8.550000000000001</v>
      </c>
      <c r="G300" s="554" t="n"/>
    </row>
    <row r="301">
      <c r="A301" s="535" t="n">
        <v>31957</v>
      </c>
      <c r="B301" s="534" t="n">
        <v>5.27</v>
      </c>
      <c r="C301" s="534" t="n">
        <v>3151.98</v>
      </c>
      <c r="E301" s="535" t="n">
        <v>35775</v>
      </c>
      <c r="F301" s="534" t="n">
        <v>8.960000000000001</v>
      </c>
      <c r="G301" s="554" t="n"/>
    </row>
    <row r="302">
      <c r="A302" s="535" t="n">
        <v>31958</v>
      </c>
      <c r="B302" s="534" t="n">
        <v>5.401</v>
      </c>
      <c r="C302" s="534" t="n">
        <v>3178.19</v>
      </c>
      <c r="E302" s="535" t="n">
        <v>35776</v>
      </c>
      <c r="F302" s="534" t="n">
        <v>9.300000000000001</v>
      </c>
      <c r="G302" s="554" t="n"/>
    </row>
    <row r="303">
      <c r="A303" s="535" t="n">
        <v>31959</v>
      </c>
      <c r="B303" s="534" t="n">
        <v>5.488</v>
      </c>
      <c r="C303" s="534" t="n">
        <v>3163.99</v>
      </c>
      <c r="E303" s="535" t="n">
        <v>35779</v>
      </c>
      <c r="F303" s="534" t="n">
        <v>8.970000000000001</v>
      </c>
      <c r="G303" s="554" t="n"/>
    </row>
    <row r="304">
      <c r="A304" s="535" t="n">
        <v>31960</v>
      </c>
      <c r="B304" s="534" t="n">
        <v>5.575</v>
      </c>
      <c r="C304" s="534" t="n">
        <v>3229.15</v>
      </c>
      <c r="E304" s="535" t="n">
        <v>35780</v>
      </c>
      <c r="F304" s="534" t="n">
        <v>9.02</v>
      </c>
      <c r="G304" s="554" t="n"/>
    </row>
    <row r="305">
      <c r="A305" s="535" t="n">
        <v>31961</v>
      </c>
      <c r="B305" s="534" t="n">
        <v>5.575</v>
      </c>
      <c r="C305" s="534" t="n">
        <v>3208.84</v>
      </c>
      <c r="E305" s="535" t="n">
        <v>35781</v>
      </c>
      <c r="F305" s="534" t="n">
        <v>9.07</v>
      </c>
      <c r="G305" s="554" t="n"/>
    </row>
    <row r="306">
      <c r="A306" s="535" t="n">
        <v>31964</v>
      </c>
      <c r="B306" s="534" t="n">
        <v>5.662</v>
      </c>
      <c r="C306" s="534" t="n">
        <v>3220.68</v>
      </c>
      <c r="E306" s="535" t="n">
        <v>35782</v>
      </c>
      <c r="F306" s="534" t="n">
        <v>8.869999999999999</v>
      </c>
      <c r="G306" s="554" t="n"/>
    </row>
    <row r="307">
      <c r="A307" s="535" t="n">
        <v>31965</v>
      </c>
      <c r="B307" s="534" t="n">
        <v>5.575</v>
      </c>
      <c r="C307" s="534" t="n">
        <v>3236.41</v>
      </c>
      <c r="E307" s="535" t="n">
        <v>35783</v>
      </c>
      <c r="F307" s="534" t="n">
        <v>9.17</v>
      </c>
      <c r="G307" s="554" t="n"/>
    </row>
    <row r="308">
      <c r="A308" s="535" t="n">
        <v>31966</v>
      </c>
      <c r="B308" s="534" t="n">
        <v>5.793</v>
      </c>
      <c r="C308" s="534" t="n">
        <v>3251.38</v>
      </c>
      <c r="E308" s="535" t="n">
        <v>35786</v>
      </c>
      <c r="F308" s="534" t="n">
        <v>8.85</v>
      </c>
      <c r="G308" s="554" t="n"/>
    </row>
    <row r="309">
      <c r="A309" s="535" t="n">
        <v>31967</v>
      </c>
      <c r="B309" s="534" t="n">
        <v>5.924</v>
      </c>
      <c r="C309" s="534" t="n">
        <v>3225.97</v>
      </c>
      <c r="E309" s="535" t="n">
        <v>35787</v>
      </c>
      <c r="F309" s="534" t="n">
        <v>8.960000000000001</v>
      </c>
      <c r="G309" s="554" t="n"/>
    </row>
    <row r="310">
      <c r="A310" s="535" t="n">
        <v>31968</v>
      </c>
      <c r="B310" s="534" t="n">
        <v>5.924</v>
      </c>
      <c r="C310" s="534" t="n">
        <v>3207.21</v>
      </c>
      <c r="E310" s="535" t="n">
        <v>35788</v>
      </c>
      <c r="F310" s="534" t="n">
        <v>9.16</v>
      </c>
      <c r="G310" s="554" t="n"/>
    </row>
    <row r="311">
      <c r="A311" s="535" t="n">
        <v>31971</v>
      </c>
      <c r="B311" s="534" t="n">
        <v>6.054</v>
      </c>
      <c r="C311" s="534" t="n">
        <v>3216.11</v>
      </c>
      <c r="E311" s="535" t="n">
        <v>35789</v>
      </c>
      <c r="F311" s="534" t="n">
        <v>9.16</v>
      </c>
      <c r="G311" s="554" t="n"/>
    </row>
    <row r="312">
      <c r="A312" s="535" t="n">
        <v>31972</v>
      </c>
      <c r="B312" s="534" t="n">
        <v>6.185</v>
      </c>
      <c r="C312" s="534" t="n">
        <v>3253.42</v>
      </c>
      <c r="E312" s="535" t="n">
        <v>35790</v>
      </c>
      <c r="F312" s="534" t="n">
        <v>9.16</v>
      </c>
      <c r="G312" s="554" t="n"/>
    </row>
    <row r="313">
      <c r="A313" s="535" t="n">
        <v>31973</v>
      </c>
      <c r="B313" s="534" t="n">
        <v>6.098</v>
      </c>
      <c r="C313" s="534" t="n">
        <v>3262.3</v>
      </c>
      <c r="E313" s="535" t="n">
        <v>35793</v>
      </c>
      <c r="F313" s="534" t="n">
        <v>8.869999999999999</v>
      </c>
      <c r="G313" s="554" t="n"/>
    </row>
    <row r="314">
      <c r="A314" s="535" t="n">
        <v>31974</v>
      </c>
      <c r="B314" s="534" t="n">
        <v>6.098</v>
      </c>
      <c r="C314" s="534" t="n">
        <v>3305.82</v>
      </c>
      <c r="E314" s="535" t="n">
        <v>35794</v>
      </c>
      <c r="F314" s="534" t="n">
        <v>9.16</v>
      </c>
      <c r="G314" s="554" t="n"/>
    </row>
    <row r="315">
      <c r="A315" s="535" t="n">
        <v>31975</v>
      </c>
      <c r="B315" s="534" t="n">
        <v>6.185</v>
      </c>
      <c r="C315" s="534" t="n">
        <v>3342.13</v>
      </c>
      <c r="E315" s="535" t="n">
        <v>35795</v>
      </c>
      <c r="F315" s="534" t="n">
        <v>9.220000000000001</v>
      </c>
      <c r="G315" s="554" t="n"/>
    </row>
    <row r="316">
      <c r="A316" s="535" t="n">
        <v>31978</v>
      </c>
      <c r="B316" s="534" t="n">
        <v>6.185</v>
      </c>
      <c r="C316" s="534" t="n">
        <v>3386.09</v>
      </c>
      <c r="E316" s="535" t="n">
        <v>35796</v>
      </c>
      <c r="F316" s="534" t="n">
        <v>9.220000000000001</v>
      </c>
      <c r="G316" s="554" t="n"/>
    </row>
    <row r="317">
      <c r="A317" s="535" t="n">
        <v>31979</v>
      </c>
      <c r="B317" s="534" t="n">
        <v>6.054</v>
      </c>
      <c r="C317" s="534" t="n">
        <v>3353.78</v>
      </c>
      <c r="E317" s="535" t="n">
        <v>35797</v>
      </c>
      <c r="F317" s="534" t="n">
        <v>8.983000000000001</v>
      </c>
      <c r="G317" s="554" t="n"/>
    </row>
    <row r="318">
      <c r="A318" s="535" t="n">
        <v>31980</v>
      </c>
      <c r="B318" s="534" t="n">
        <v>5.967</v>
      </c>
      <c r="C318" s="534" t="n">
        <v>3380.41</v>
      </c>
      <c r="E318" s="535" t="n">
        <v>35800</v>
      </c>
      <c r="F318" s="534" t="n">
        <v>9.263</v>
      </c>
      <c r="G318" s="554" t="n"/>
    </row>
    <row r="319">
      <c r="A319" s="535" t="n">
        <v>31981</v>
      </c>
      <c r="B319" s="534" t="n">
        <v>5.836</v>
      </c>
      <c r="C319" s="534" t="n">
        <v>3366.82</v>
      </c>
      <c r="E319" s="535" t="n">
        <v>35801</v>
      </c>
      <c r="F319" s="534" t="n">
        <v>9.363</v>
      </c>
      <c r="G319" s="554" t="n"/>
    </row>
    <row r="320">
      <c r="A320" s="535" t="n">
        <v>31982</v>
      </c>
      <c r="B320" s="534" t="n">
        <v>5.88</v>
      </c>
      <c r="C320" s="534" t="n">
        <v>3343.6</v>
      </c>
      <c r="E320" s="535" t="n">
        <v>35802</v>
      </c>
      <c r="F320" s="534" t="n">
        <v>9.545</v>
      </c>
      <c r="G320" s="554" t="n"/>
    </row>
    <row r="321">
      <c r="A321" s="535" t="n">
        <v>31985</v>
      </c>
      <c r="B321" s="534" t="n">
        <v>6.054</v>
      </c>
      <c r="C321" s="534" t="n">
        <v>3346.87</v>
      </c>
      <c r="E321" s="535" t="n">
        <v>35803</v>
      </c>
      <c r="F321" s="534" t="n">
        <v>9.731</v>
      </c>
      <c r="G321" s="554" t="n"/>
    </row>
    <row r="322">
      <c r="A322" s="535" t="n">
        <v>31986</v>
      </c>
      <c r="B322" s="534" t="n">
        <v>5.967</v>
      </c>
      <c r="C322" s="534" t="n">
        <v>3337.46</v>
      </c>
      <c r="E322" s="535" t="n">
        <v>35804</v>
      </c>
      <c r="F322" s="534" t="n">
        <v>9.695</v>
      </c>
      <c r="G322" s="554" t="n"/>
    </row>
    <row r="323">
      <c r="A323" s="535" t="n">
        <v>31987</v>
      </c>
      <c r="B323" s="534" t="n">
        <v>6.054</v>
      </c>
      <c r="C323" s="534" t="n">
        <v>3389.73</v>
      </c>
      <c r="E323" s="535" t="n">
        <v>35807</v>
      </c>
      <c r="F323" s="534" t="n">
        <v>10.075</v>
      </c>
      <c r="G323" s="554" t="n"/>
    </row>
    <row r="324">
      <c r="A324" s="535" t="n">
        <v>31988</v>
      </c>
      <c r="B324" s="534" t="n">
        <v>5.924</v>
      </c>
      <c r="C324" s="534" t="n">
        <v>3419.28</v>
      </c>
      <c r="E324" s="535" t="n">
        <v>35808</v>
      </c>
      <c r="F324" s="534" t="n">
        <v>10.104</v>
      </c>
      <c r="G324" s="554" t="n"/>
    </row>
    <row r="325">
      <c r="A325" s="535" t="n">
        <v>31989</v>
      </c>
      <c r="B325" s="534" t="n">
        <v>6.098</v>
      </c>
      <c r="C325" s="534" t="n">
        <v>3479.24</v>
      </c>
      <c r="E325" s="535" t="n">
        <v>35809</v>
      </c>
      <c r="F325" s="534" t="n">
        <v>9.800000000000001</v>
      </c>
      <c r="G325" s="554" t="n"/>
    </row>
    <row r="326">
      <c r="A326" s="535" t="n">
        <v>31992</v>
      </c>
      <c r="B326" s="534" t="n">
        <v>6.185</v>
      </c>
      <c r="C326" s="534" t="n">
        <v>3514.25</v>
      </c>
      <c r="E326" s="535" t="n">
        <v>35810</v>
      </c>
      <c r="F326" s="534" t="n">
        <v>10.109</v>
      </c>
      <c r="G326" s="554" t="n"/>
    </row>
    <row r="327">
      <c r="A327" s="535" t="n">
        <v>31993</v>
      </c>
      <c r="B327" s="534" t="n">
        <v>6.141</v>
      </c>
      <c r="C327" s="534" t="n">
        <v>3531.88</v>
      </c>
      <c r="E327" s="535" t="n">
        <v>35811</v>
      </c>
      <c r="F327" s="534" t="n">
        <v>9.643000000000001</v>
      </c>
      <c r="G327" s="554" t="n"/>
    </row>
    <row r="328">
      <c r="A328" s="535" t="n">
        <v>31994</v>
      </c>
      <c r="B328" s="534" t="n">
        <v>6.228</v>
      </c>
      <c r="C328" s="534" t="n">
        <v>3517.13</v>
      </c>
      <c r="E328" s="535" t="n">
        <v>35814</v>
      </c>
      <c r="F328" s="534" t="n">
        <v>10.175</v>
      </c>
      <c r="G328" s="554" t="n"/>
    </row>
    <row r="329">
      <c r="A329" s="535" t="n">
        <v>31995</v>
      </c>
      <c r="B329" s="534" t="n">
        <v>6.49</v>
      </c>
      <c r="C329" s="534" t="n">
        <v>3497.95</v>
      </c>
      <c r="E329" s="535" t="n">
        <v>35815</v>
      </c>
      <c r="F329" s="534" t="n">
        <v>10.259</v>
      </c>
      <c r="G329" s="554" t="n"/>
    </row>
    <row r="330">
      <c r="A330" s="535" t="n">
        <v>31996</v>
      </c>
      <c r="B330" s="534" t="n">
        <v>6.403</v>
      </c>
      <c r="C330" s="534" t="n">
        <v>3536.19</v>
      </c>
      <c r="E330" s="535" t="n">
        <v>35816</v>
      </c>
      <c r="F330" s="534" t="n">
        <v>10.242</v>
      </c>
      <c r="G330" s="554" t="n"/>
    </row>
    <row r="331">
      <c r="A331" s="535" t="n">
        <v>31999</v>
      </c>
      <c r="B331" s="534" t="n">
        <v>6.446</v>
      </c>
      <c r="C331" s="534" t="n">
        <v>3543.76</v>
      </c>
      <c r="E331" s="535" t="n">
        <v>35817</v>
      </c>
      <c r="F331" s="534" t="n">
        <v>10.225</v>
      </c>
      <c r="G331" s="554" t="n"/>
    </row>
    <row r="332">
      <c r="A332" s="535" t="n">
        <v>32000</v>
      </c>
      <c r="B332" s="534" t="n">
        <v>6.446</v>
      </c>
      <c r="C332" s="534" t="n">
        <v>3546.52</v>
      </c>
      <c r="E332" s="535" t="n">
        <v>35818</v>
      </c>
      <c r="F332" s="534" t="n">
        <v>10.208</v>
      </c>
      <c r="G332" s="554" t="n"/>
    </row>
    <row r="333">
      <c r="A333" s="535" t="n">
        <v>32001</v>
      </c>
      <c r="B333" s="534" t="n">
        <v>6.577</v>
      </c>
      <c r="C333" s="534" t="n">
        <v>3557.43</v>
      </c>
      <c r="E333" s="535" t="n">
        <v>35821</v>
      </c>
      <c r="F333" s="534" t="n">
        <v>10.31</v>
      </c>
      <c r="G333" s="554" t="n"/>
    </row>
    <row r="334">
      <c r="A334" s="535" t="n">
        <v>32002</v>
      </c>
      <c r="B334" s="534" t="n">
        <v>6.533</v>
      </c>
      <c r="C334" s="534" t="n">
        <v>3514.27</v>
      </c>
      <c r="E334" s="535" t="n">
        <v>35822</v>
      </c>
      <c r="F334" s="534" t="n">
        <v>10.258</v>
      </c>
      <c r="G334" s="554" t="n"/>
    </row>
    <row r="335">
      <c r="A335" s="535" t="n">
        <v>32003</v>
      </c>
      <c r="B335" s="534" t="n">
        <v>6.49</v>
      </c>
      <c r="C335" s="534" t="n">
        <v>3512.15</v>
      </c>
      <c r="E335" s="535" t="n">
        <v>35823</v>
      </c>
      <c r="F335" s="534" t="n">
        <v>10.258</v>
      </c>
      <c r="G335" s="554" t="n"/>
    </row>
    <row r="336">
      <c r="A336" s="535" t="n">
        <v>32006</v>
      </c>
      <c r="B336" s="534" t="n">
        <v>6.49</v>
      </c>
      <c r="C336" s="534" t="n">
        <v>3510.66</v>
      </c>
      <c r="E336" s="535" t="n">
        <v>35824</v>
      </c>
      <c r="F336" s="534" t="n">
        <v>10.258</v>
      </c>
      <c r="G336" s="554" t="n"/>
    </row>
    <row r="337">
      <c r="A337" s="535" t="n">
        <v>32007</v>
      </c>
      <c r="B337" s="534" t="n">
        <v>6.49</v>
      </c>
      <c r="C337" s="534" t="n">
        <v>3504.87</v>
      </c>
      <c r="E337" s="535" t="n">
        <v>35825</v>
      </c>
      <c r="F337" s="534" t="n">
        <v>10.258</v>
      </c>
      <c r="G337" s="554" t="n"/>
    </row>
    <row r="338">
      <c r="A338" s="535" t="n">
        <v>32008</v>
      </c>
      <c r="B338" s="534" t="n">
        <v>6.403</v>
      </c>
      <c r="C338" s="534" t="n">
        <v>3450.64</v>
      </c>
      <c r="E338" s="535" t="n">
        <v>35828</v>
      </c>
      <c r="F338" s="534" t="n">
        <v>10.039</v>
      </c>
      <c r="G338" s="554" t="n"/>
    </row>
    <row r="339">
      <c r="A339" s="535" t="n">
        <v>32009</v>
      </c>
      <c r="B339" s="534" t="n">
        <v>6.316</v>
      </c>
      <c r="C339" s="534" t="n">
        <v>3408.01</v>
      </c>
      <c r="E339" s="535" t="n">
        <v>35829</v>
      </c>
      <c r="F339" s="534" t="n">
        <v>9.874000000000001</v>
      </c>
      <c r="G339" s="554" t="n"/>
    </row>
    <row r="340">
      <c r="A340" s="535" t="n">
        <v>32010</v>
      </c>
      <c r="B340" s="534" t="n">
        <v>6.359</v>
      </c>
      <c r="C340" s="534" t="n">
        <v>3446.59</v>
      </c>
      <c r="E340" s="535" t="n">
        <v>35830</v>
      </c>
      <c r="F340" s="534" t="n">
        <v>9.759</v>
      </c>
      <c r="G340" s="554" t="n"/>
    </row>
    <row r="341">
      <c r="A341" s="535" t="n">
        <v>32013</v>
      </c>
      <c r="B341" s="534" t="n">
        <v>6.359</v>
      </c>
      <c r="C341" s="534" t="n">
        <v>3391.26</v>
      </c>
      <c r="E341" s="535" t="n">
        <v>35831</v>
      </c>
      <c r="F341" s="534" t="n">
        <v>9.872999999999999</v>
      </c>
      <c r="G341" s="554" t="n"/>
    </row>
    <row r="342">
      <c r="A342" s="535" t="n">
        <v>32014</v>
      </c>
      <c r="B342" s="534" t="n">
        <v>6.272</v>
      </c>
      <c r="C342" s="534" t="n">
        <v>3447.3</v>
      </c>
      <c r="E342" s="535" t="n">
        <v>35832</v>
      </c>
      <c r="F342" s="534" t="n">
        <v>9.856999999999999</v>
      </c>
      <c r="G342" s="554" t="n"/>
    </row>
    <row r="343">
      <c r="A343" s="535" t="n">
        <v>32015</v>
      </c>
      <c r="B343" s="534" t="n">
        <v>6.577</v>
      </c>
      <c r="C343" s="534" t="n">
        <v>3526.26</v>
      </c>
      <c r="E343" s="535" t="n">
        <v>35835</v>
      </c>
      <c r="F343" s="534" t="n">
        <v>9.807</v>
      </c>
      <c r="G343" s="554" t="n"/>
    </row>
    <row r="344">
      <c r="A344" s="535" t="n">
        <v>32016</v>
      </c>
      <c r="B344" s="534" t="n">
        <v>6.838</v>
      </c>
      <c r="C344" s="534" t="n">
        <v>3583.33</v>
      </c>
      <c r="E344" s="535" t="n">
        <v>35836</v>
      </c>
      <c r="F344" s="534" t="n">
        <v>9.776</v>
      </c>
      <c r="G344" s="554" t="n"/>
    </row>
    <row r="345">
      <c r="A345" s="535" t="n">
        <v>32017</v>
      </c>
      <c r="B345" s="534" t="n">
        <v>6.795</v>
      </c>
      <c r="C345" s="534" t="n">
        <v>3611.74</v>
      </c>
      <c r="E345" s="535" t="n">
        <v>35837</v>
      </c>
      <c r="F345" s="534" t="n">
        <v>9.436999999999999</v>
      </c>
      <c r="G345" s="554" t="n"/>
    </row>
    <row r="346">
      <c r="A346" s="535" t="n">
        <v>32020</v>
      </c>
      <c r="B346" s="534" t="n">
        <v>6.795</v>
      </c>
      <c r="C346" s="534" t="n">
        <v>3611.74</v>
      </c>
      <c r="E346" s="535" t="n">
        <v>35838</v>
      </c>
      <c r="F346" s="534" t="n">
        <v>9.484</v>
      </c>
      <c r="G346" s="554" t="n"/>
    </row>
    <row r="347">
      <c r="A347" s="535" t="n">
        <v>32021</v>
      </c>
      <c r="B347" s="534" t="n">
        <v>6.969</v>
      </c>
      <c r="C347" s="534" t="n">
        <v>3644.28</v>
      </c>
      <c r="E347" s="535" t="n">
        <v>35839</v>
      </c>
      <c r="F347" s="534" t="n">
        <v>9.484</v>
      </c>
      <c r="G347" s="554" t="n"/>
    </row>
    <row r="348">
      <c r="A348" s="535" t="n">
        <v>32022</v>
      </c>
      <c r="B348" s="534" t="n">
        <v>7.012</v>
      </c>
      <c r="C348" s="534" t="n">
        <v>3635.86</v>
      </c>
      <c r="E348" s="535" t="n">
        <v>35842</v>
      </c>
      <c r="F348" s="534" t="n">
        <v>9.506</v>
      </c>
      <c r="G348" s="554" t="n"/>
    </row>
    <row r="349">
      <c r="A349" s="535" t="n">
        <v>32023</v>
      </c>
      <c r="B349" s="534" t="n">
        <v>7.056</v>
      </c>
      <c r="C349" s="534" t="n">
        <v>3653.95</v>
      </c>
      <c r="E349" s="535" t="n">
        <v>35843</v>
      </c>
      <c r="F349" s="534" t="n">
        <v>9.387</v>
      </c>
      <c r="G349" s="554" t="n"/>
    </row>
    <row r="350">
      <c r="A350" s="535" t="n">
        <v>32024</v>
      </c>
      <c r="B350" s="534" t="n">
        <v>7.23</v>
      </c>
      <c r="C350" s="534" t="n">
        <v>3654.48</v>
      </c>
      <c r="E350" s="535" t="n">
        <v>35844</v>
      </c>
      <c r="F350" s="534" t="n">
        <v>9.006</v>
      </c>
      <c r="G350" s="554" t="n"/>
    </row>
    <row r="351">
      <c r="A351" s="535" t="n">
        <v>32027</v>
      </c>
      <c r="B351" s="534" t="n">
        <v>7.187</v>
      </c>
      <c r="C351" s="534" t="n">
        <v>3646.33</v>
      </c>
      <c r="E351" s="535" t="n">
        <v>35845</v>
      </c>
      <c r="F351" s="534" t="n">
        <v>8.935</v>
      </c>
      <c r="G351" s="554" t="n"/>
    </row>
    <row r="352">
      <c r="A352" s="535" t="n">
        <v>32028</v>
      </c>
      <c r="B352" s="534" t="n">
        <v>7.012</v>
      </c>
      <c r="C352" s="534" t="n">
        <v>3601.54</v>
      </c>
      <c r="E352" s="535" t="n">
        <v>35846</v>
      </c>
      <c r="F352" s="534" t="n">
        <v>8.815</v>
      </c>
      <c r="G352" s="554" t="n"/>
    </row>
    <row r="353">
      <c r="A353" s="535" t="n">
        <v>32029</v>
      </c>
      <c r="B353" s="534" t="n">
        <v>6.795</v>
      </c>
      <c r="C353" s="534" t="n">
        <v>3577.64</v>
      </c>
      <c r="E353" s="535" t="n">
        <v>35849</v>
      </c>
      <c r="F353" s="534" t="n">
        <v>8.771000000000001</v>
      </c>
      <c r="G353" s="554" t="n"/>
    </row>
    <row r="354">
      <c r="A354" s="535" t="n">
        <v>32030</v>
      </c>
      <c r="B354" s="534" t="n">
        <v>6.925</v>
      </c>
      <c r="C354" s="534" t="n">
        <v>3600.96</v>
      </c>
      <c r="E354" s="535" t="n">
        <v>35850</v>
      </c>
      <c r="F354" s="534" t="n">
        <v>8.696</v>
      </c>
      <c r="G354" s="554" t="n"/>
    </row>
    <row r="355">
      <c r="A355" s="535" t="n">
        <v>32031</v>
      </c>
      <c r="B355" s="534" t="n">
        <v>7.143</v>
      </c>
      <c r="C355" s="534" t="n">
        <v>3660.5</v>
      </c>
      <c r="E355" s="535" t="n">
        <v>35851</v>
      </c>
      <c r="F355" s="534" t="n">
        <v>8.706</v>
      </c>
      <c r="G355" s="554" t="n"/>
    </row>
    <row r="356">
      <c r="A356" s="535" t="n">
        <v>32034</v>
      </c>
      <c r="B356" s="534" t="n">
        <v>7.056</v>
      </c>
      <c r="C356" s="534" t="n">
        <v>3649.84</v>
      </c>
      <c r="E356" s="535" t="n">
        <v>35852</v>
      </c>
      <c r="F356" s="534" t="n">
        <v>8.058</v>
      </c>
      <c r="G356" s="554" t="n"/>
    </row>
    <row r="357">
      <c r="A357" s="535" t="n">
        <v>32035</v>
      </c>
      <c r="B357" s="534" t="n">
        <v>7.056</v>
      </c>
      <c r="C357" s="534" t="n">
        <v>3646.92</v>
      </c>
      <c r="E357" s="535" t="n">
        <v>35853</v>
      </c>
      <c r="F357" s="534" t="n">
        <v>8.127000000000001</v>
      </c>
      <c r="G357" s="554" t="n"/>
    </row>
    <row r="358">
      <c r="A358" s="535" t="n">
        <v>32036</v>
      </c>
      <c r="B358" s="534" t="n">
        <v>6.795</v>
      </c>
      <c r="C358" s="534" t="n">
        <v>3604.64</v>
      </c>
      <c r="E358" s="535" t="n">
        <v>35856</v>
      </c>
      <c r="F358" s="534" t="n">
        <v>8.042</v>
      </c>
      <c r="G358" s="554" t="n"/>
    </row>
    <row r="359">
      <c r="A359" s="535" t="n">
        <v>32037</v>
      </c>
      <c r="B359" s="534" t="n">
        <v>6.838</v>
      </c>
      <c r="C359" s="534" t="n">
        <v>3571.36</v>
      </c>
      <c r="E359" s="535" t="n">
        <v>35857</v>
      </c>
      <c r="F359" s="534" t="n">
        <v>8.084</v>
      </c>
      <c r="G359" s="554" t="n"/>
    </row>
    <row r="360">
      <c r="A360" s="535" t="n">
        <v>32038</v>
      </c>
      <c r="B360" s="534" t="n">
        <v>7.187</v>
      </c>
      <c r="C360" s="534" t="n">
        <v>3649.96</v>
      </c>
      <c r="E360" s="535" t="n">
        <v>35858</v>
      </c>
      <c r="F360" s="534" t="n">
        <v>8.19</v>
      </c>
      <c r="G360" s="554" t="n"/>
    </row>
    <row r="361">
      <c r="A361" s="535" t="n">
        <v>32041</v>
      </c>
      <c r="B361" s="534" t="n">
        <v>7.1</v>
      </c>
      <c r="C361" s="534" t="n">
        <v>3667.95</v>
      </c>
      <c r="E361" s="535" t="n">
        <v>35859</v>
      </c>
      <c r="F361" s="534" t="n">
        <v>8.56</v>
      </c>
      <c r="G361" s="554" t="n"/>
    </row>
    <row r="362">
      <c r="A362" s="535" t="n">
        <v>32042</v>
      </c>
      <c r="B362" s="534" t="n">
        <v>7.056</v>
      </c>
      <c r="C362" s="534" t="n">
        <v>3695.53</v>
      </c>
      <c r="E362" s="535" t="n">
        <v>35860</v>
      </c>
      <c r="F362" s="534" t="n">
        <v>8.324999999999999</v>
      </c>
      <c r="G362" s="554" t="n"/>
    </row>
    <row r="363">
      <c r="A363" s="535" t="n">
        <v>32043</v>
      </c>
      <c r="B363" s="534" t="n">
        <v>7.143</v>
      </c>
      <c r="C363" s="534" t="n">
        <v>3763.11</v>
      </c>
      <c r="E363" s="535" t="n">
        <v>35863</v>
      </c>
      <c r="F363" s="534" t="n">
        <v>8.188000000000001</v>
      </c>
      <c r="G363" s="554" t="n"/>
    </row>
    <row r="364">
      <c r="A364" s="535" t="n">
        <v>32044</v>
      </c>
      <c r="B364" s="534" t="n">
        <v>7.143</v>
      </c>
      <c r="C364" s="534" t="n">
        <v>3768.42</v>
      </c>
      <c r="E364" s="535" t="n">
        <v>35864</v>
      </c>
      <c r="F364" s="534" t="n">
        <v>8.010999999999999</v>
      </c>
      <c r="G364" s="554" t="n"/>
    </row>
    <row r="365">
      <c r="A365" s="535" t="n">
        <v>32045</v>
      </c>
      <c r="B365" s="534" t="n">
        <v>7.187</v>
      </c>
      <c r="C365" s="534" t="n">
        <v>3840.11</v>
      </c>
      <c r="E365" s="535" t="n">
        <v>35865</v>
      </c>
      <c r="F365" s="534" t="n">
        <v>8.122999999999999</v>
      </c>
      <c r="G365" s="554" t="n"/>
    </row>
    <row r="366">
      <c r="A366" s="535" t="n">
        <v>32048</v>
      </c>
      <c r="B366" s="534" t="n">
        <v>7.187</v>
      </c>
      <c r="C366" s="534" t="n">
        <v>3884.65</v>
      </c>
      <c r="E366" s="535" t="n">
        <v>35866</v>
      </c>
      <c r="F366" s="534" t="n">
        <v>8.237</v>
      </c>
      <c r="G366" s="554" t="n"/>
    </row>
    <row r="367">
      <c r="A367" s="535" t="n">
        <v>32049</v>
      </c>
      <c r="B367" s="534" t="n">
        <v>7.492</v>
      </c>
      <c r="C367" s="534" t="n">
        <v>3859.48</v>
      </c>
      <c r="E367" s="535" t="n">
        <v>35867</v>
      </c>
      <c r="F367" s="534" t="n">
        <v>8.326000000000001</v>
      </c>
      <c r="G367" s="554" t="n"/>
    </row>
    <row r="368">
      <c r="A368" s="535" t="n">
        <v>32050</v>
      </c>
      <c r="B368" s="534" t="n">
        <v>7.666</v>
      </c>
      <c r="C368" s="534" t="n">
        <v>3943.64</v>
      </c>
      <c r="E368" s="535" t="n">
        <v>35870</v>
      </c>
      <c r="F368" s="534" t="n">
        <v>8.051</v>
      </c>
      <c r="G368" s="554" t="n"/>
    </row>
    <row r="369">
      <c r="A369" s="535" t="n">
        <v>32051</v>
      </c>
      <c r="B369" s="534" t="n">
        <v>7.579</v>
      </c>
      <c r="C369" s="534" t="n">
        <v>3949.73</v>
      </c>
      <c r="E369" s="535" t="n">
        <v>35871</v>
      </c>
      <c r="F369" s="534" t="n">
        <v>8.036</v>
      </c>
      <c r="G369" s="554" t="n"/>
    </row>
    <row r="370">
      <c r="A370" s="535" t="n">
        <v>32052</v>
      </c>
      <c r="B370" s="534" t="n">
        <v>7.579</v>
      </c>
      <c r="C370" s="534" t="n">
        <v>3932.04</v>
      </c>
      <c r="E370" s="535" t="n">
        <v>35872</v>
      </c>
      <c r="F370" s="534" t="n">
        <v>8.121</v>
      </c>
      <c r="G370" s="554" t="n"/>
    </row>
    <row r="371">
      <c r="A371" s="535" t="n">
        <v>32055</v>
      </c>
      <c r="B371" s="534" t="n">
        <v>7.579</v>
      </c>
      <c r="C371" s="534" t="n">
        <v>3944.24</v>
      </c>
      <c r="E371" s="535" t="n">
        <v>35873</v>
      </c>
      <c r="F371" s="534" t="n">
        <v>8.050000000000001</v>
      </c>
      <c r="G371" s="554" t="n"/>
    </row>
    <row r="372">
      <c r="A372" s="535" t="n">
        <v>32056</v>
      </c>
      <c r="B372" s="534" t="n">
        <v>7.579</v>
      </c>
      <c r="C372" s="534" t="n">
        <v>3906.44</v>
      </c>
      <c r="E372" s="535" t="n">
        <v>35874</v>
      </c>
      <c r="F372" s="534" t="n">
        <v>7.936</v>
      </c>
      <c r="G372" s="554" t="n"/>
    </row>
    <row r="373">
      <c r="A373" s="535" t="n">
        <v>32057</v>
      </c>
      <c r="B373" s="534" t="n">
        <v>7.579</v>
      </c>
      <c r="C373" s="534" t="n">
        <v>3936.13</v>
      </c>
      <c r="E373" s="535" t="n">
        <v>35877</v>
      </c>
      <c r="F373" s="534" t="n">
        <v>7.727</v>
      </c>
      <c r="G373" s="554" t="n"/>
    </row>
    <row r="374">
      <c r="A374" s="535" t="n">
        <v>32058</v>
      </c>
      <c r="B374" s="534" t="n">
        <v>7.579</v>
      </c>
      <c r="C374" s="534" t="n">
        <v>3936.13</v>
      </c>
      <c r="E374" s="535" t="n">
        <v>35878</v>
      </c>
      <c r="F374" s="534" t="n">
        <v>7.83</v>
      </c>
      <c r="G374" s="554" t="n"/>
    </row>
    <row r="375">
      <c r="A375" s="535" t="n">
        <v>32059</v>
      </c>
      <c r="B375" s="534" t="n">
        <v>7.753</v>
      </c>
      <c r="C375" s="534" t="n">
        <v>3882.42</v>
      </c>
      <c r="E375" s="535" t="n">
        <v>35879</v>
      </c>
      <c r="F375" s="534" t="n">
        <v>7.92</v>
      </c>
      <c r="G375" s="554" t="n"/>
    </row>
    <row r="376">
      <c r="A376" s="535" t="n">
        <v>32062</v>
      </c>
      <c r="B376" s="534" t="n">
        <v>7.666</v>
      </c>
      <c r="C376" s="534" t="n">
        <v>3900.17</v>
      </c>
      <c r="E376" s="535" t="n">
        <v>35880</v>
      </c>
      <c r="F376" s="534" t="n">
        <v>8.074999999999999</v>
      </c>
      <c r="G376" s="554" t="n"/>
    </row>
    <row r="377">
      <c r="A377" s="535" t="n">
        <v>32063</v>
      </c>
      <c r="B377" s="534" t="n">
        <v>7.579</v>
      </c>
      <c r="C377" s="534" t="n">
        <v>3841.28</v>
      </c>
      <c r="E377" s="535" t="n">
        <v>35881</v>
      </c>
      <c r="F377" s="534" t="n">
        <v>8.032</v>
      </c>
      <c r="G377" s="554" t="n"/>
    </row>
    <row r="378">
      <c r="A378" s="535" t="n">
        <v>32064</v>
      </c>
      <c r="B378" s="534" t="n">
        <v>7.535</v>
      </c>
      <c r="C378" s="534" t="n">
        <v>3844.48</v>
      </c>
      <c r="E378" s="535" t="n">
        <v>35884</v>
      </c>
      <c r="F378" s="534" t="n">
        <v>8.087999999999999</v>
      </c>
      <c r="G378" s="554" t="n"/>
    </row>
    <row r="379">
      <c r="A379" s="535" t="n">
        <v>32065</v>
      </c>
      <c r="B379" s="534" t="n">
        <v>7.535</v>
      </c>
      <c r="C379" s="534" t="n">
        <v>3828.64</v>
      </c>
      <c r="E379" s="535" t="n">
        <v>35885</v>
      </c>
      <c r="F379" s="534" t="n">
        <v>8.145</v>
      </c>
      <c r="G379" s="554" t="n"/>
    </row>
    <row r="380">
      <c r="A380" s="535" t="n">
        <v>32066</v>
      </c>
      <c r="B380" s="534" t="n">
        <v>7.404</v>
      </c>
      <c r="C380" s="534" t="n">
        <v>3783.2</v>
      </c>
      <c r="E380" s="535" t="n">
        <v>35886</v>
      </c>
      <c r="F380" s="534" t="n">
        <v>8.186</v>
      </c>
      <c r="G380" s="554" t="n"/>
    </row>
    <row r="381">
      <c r="A381" s="535" t="n">
        <v>32069</v>
      </c>
      <c r="B381" s="534" t="n">
        <v>6.577</v>
      </c>
      <c r="C381" s="534" t="n">
        <v>3362.39</v>
      </c>
      <c r="E381" s="535" t="n">
        <v>35887</v>
      </c>
      <c r="F381" s="534" t="n">
        <v>8.144</v>
      </c>
      <c r="G381" s="554" t="n"/>
    </row>
    <row r="382">
      <c r="A382" s="535" t="n">
        <v>32070</v>
      </c>
      <c r="B382" s="534" t="n">
        <v>6.577</v>
      </c>
      <c r="C382" s="534" t="n">
        <v>3362.39</v>
      </c>
      <c r="E382" s="535" t="n">
        <v>35888</v>
      </c>
      <c r="F382" s="534" t="n">
        <v>8.128</v>
      </c>
      <c r="G382" s="554" t="n"/>
    </row>
    <row r="383">
      <c r="A383" s="535" t="n">
        <v>32071</v>
      </c>
      <c r="B383" s="534" t="n">
        <v>6.577</v>
      </c>
      <c r="C383" s="534" t="n">
        <v>3362.39</v>
      </c>
      <c r="E383" s="535" t="n">
        <v>35891</v>
      </c>
      <c r="F383" s="534" t="n">
        <v>8.128</v>
      </c>
      <c r="G383" s="554" t="n"/>
    </row>
    <row r="384">
      <c r="A384" s="535" t="n">
        <v>32072</v>
      </c>
      <c r="B384" s="534" t="n">
        <v>6.577</v>
      </c>
      <c r="C384" s="534" t="n">
        <v>3362.39</v>
      </c>
      <c r="E384" s="535" t="n">
        <v>35892</v>
      </c>
      <c r="F384" s="534" t="n">
        <v>8.028</v>
      </c>
      <c r="G384" s="554" t="n"/>
    </row>
    <row r="385">
      <c r="A385" s="535" t="n">
        <v>32073</v>
      </c>
      <c r="B385" s="534" t="n">
        <v>6.577</v>
      </c>
      <c r="C385" s="534" t="n">
        <v>3362.39</v>
      </c>
      <c r="E385" s="535" t="n">
        <v>35893</v>
      </c>
      <c r="F385" s="534" t="n">
        <v>8</v>
      </c>
      <c r="G385" s="554" t="n"/>
    </row>
    <row r="386">
      <c r="A386" s="535" t="n">
        <v>32076</v>
      </c>
      <c r="B386" s="534" t="n">
        <v>4.573</v>
      </c>
      <c r="C386" s="534" t="n">
        <v>2241.69</v>
      </c>
      <c r="E386" s="535" t="n">
        <v>35894</v>
      </c>
      <c r="F386" s="534" t="n">
        <v>7.969</v>
      </c>
      <c r="G386" s="554" t="n"/>
    </row>
    <row r="387">
      <c r="A387" s="535" t="n">
        <v>32077</v>
      </c>
      <c r="B387" s="534" t="n">
        <v>5.183</v>
      </c>
      <c r="C387" s="534" t="n">
        <v>2395.72</v>
      </c>
      <c r="E387" s="535" t="n">
        <v>35895</v>
      </c>
      <c r="F387" s="534" t="n">
        <v>7.969</v>
      </c>
      <c r="G387" s="554" t="n"/>
    </row>
    <row r="388">
      <c r="A388" s="535" t="n">
        <v>32078</v>
      </c>
      <c r="B388" s="534" t="n">
        <v>5.009</v>
      </c>
      <c r="C388" s="534" t="n">
        <v>2370.16</v>
      </c>
      <c r="E388" s="535" t="n">
        <v>35898</v>
      </c>
      <c r="F388" s="534" t="n">
        <v>7.969</v>
      </c>
      <c r="G388" s="554" t="n"/>
    </row>
    <row r="389">
      <c r="A389" s="535" t="n">
        <v>32079</v>
      </c>
      <c r="B389" s="534" t="n">
        <v>4.617</v>
      </c>
      <c r="C389" s="534" t="n">
        <v>2204.52</v>
      </c>
      <c r="E389" s="535" t="n">
        <v>35899</v>
      </c>
      <c r="F389" s="534" t="n">
        <v>7.99</v>
      </c>
      <c r="G389" s="554" t="n"/>
    </row>
    <row r="390">
      <c r="A390" s="535" t="n">
        <v>32080</v>
      </c>
      <c r="B390" s="534" t="n">
        <v>4.791</v>
      </c>
      <c r="C390" s="534" t="n">
        <v>2240.13</v>
      </c>
      <c r="E390" s="535" t="n">
        <v>35900</v>
      </c>
      <c r="F390" s="534" t="n">
        <v>7.94</v>
      </c>
      <c r="G390" s="554" t="n"/>
    </row>
    <row r="391">
      <c r="A391" s="535" t="n">
        <v>32083</v>
      </c>
      <c r="B391" s="534" t="n">
        <v>4.748</v>
      </c>
      <c r="C391" s="534" t="n">
        <v>2203.23</v>
      </c>
      <c r="E391" s="535" t="n">
        <v>35901</v>
      </c>
      <c r="F391" s="534" t="n">
        <v>7.947</v>
      </c>
      <c r="G391" s="554" t="n"/>
    </row>
    <row r="392">
      <c r="A392" s="535" t="n">
        <v>32084</v>
      </c>
      <c r="B392" s="534" t="n">
        <v>4.704</v>
      </c>
      <c r="C392" s="534" t="n">
        <v>2180.74</v>
      </c>
      <c r="E392" s="535" t="n">
        <v>35902</v>
      </c>
      <c r="F392" s="534" t="n">
        <v>7.897</v>
      </c>
      <c r="G392" s="554" t="n"/>
    </row>
    <row r="393">
      <c r="A393" s="535" t="n">
        <v>32085</v>
      </c>
      <c r="B393" s="534" t="n">
        <v>4.53</v>
      </c>
      <c r="C393" s="534" t="n">
        <v>2077.11</v>
      </c>
      <c r="E393" s="535" t="n">
        <v>35905</v>
      </c>
      <c r="F393" s="534" t="n">
        <v>7.91</v>
      </c>
      <c r="G393" s="554" t="n"/>
    </row>
    <row r="394">
      <c r="A394" s="535" t="n">
        <v>32086</v>
      </c>
      <c r="B394" s="534" t="n">
        <v>4.312</v>
      </c>
      <c r="C394" s="534" t="n">
        <v>1960.9</v>
      </c>
      <c r="E394" s="535" t="n">
        <v>35906</v>
      </c>
      <c r="F394" s="534" t="n">
        <v>7.924</v>
      </c>
      <c r="G394" s="554" t="n"/>
    </row>
    <row r="395">
      <c r="A395" s="535" t="n">
        <v>32087</v>
      </c>
      <c r="B395" s="534" t="n">
        <v>4.53</v>
      </c>
      <c r="C395" s="534" t="n">
        <v>2113.67</v>
      </c>
      <c r="E395" s="535" t="n">
        <v>35907</v>
      </c>
      <c r="F395" s="534" t="n">
        <v>7.952</v>
      </c>
      <c r="G395" s="554" t="n"/>
    </row>
    <row r="396">
      <c r="A396" s="535" t="n">
        <v>32090</v>
      </c>
      <c r="B396" s="534" t="n">
        <v>4.486</v>
      </c>
      <c r="C396" s="534" t="n">
        <v>2139.31</v>
      </c>
      <c r="E396" s="535" t="n">
        <v>35908</v>
      </c>
      <c r="F396" s="534" t="n">
        <v>8.137</v>
      </c>
      <c r="G396" s="554" t="n"/>
    </row>
    <row r="397">
      <c r="A397" s="535" t="n">
        <v>32091</v>
      </c>
      <c r="B397" s="534" t="n">
        <v>4.334</v>
      </c>
      <c r="C397" s="534" t="n">
        <v>2043.24</v>
      </c>
      <c r="E397" s="535" t="n">
        <v>35909</v>
      </c>
      <c r="F397" s="534" t="n">
        <v>8.237</v>
      </c>
      <c r="G397" s="554" t="n"/>
    </row>
    <row r="398">
      <c r="A398" s="535" t="n">
        <v>32092</v>
      </c>
      <c r="B398" s="534" t="n">
        <v>4.29</v>
      </c>
      <c r="C398" s="534" t="n">
        <v>2046.18</v>
      </c>
      <c r="E398" s="535" t="n">
        <v>35912</v>
      </c>
      <c r="F398" s="534" t="n">
        <v>8.34</v>
      </c>
      <c r="G398" s="554" t="n"/>
    </row>
    <row r="399">
      <c r="A399" s="535" t="n">
        <v>32093</v>
      </c>
      <c r="B399" s="534" t="n">
        <v>4.443</v>
      </c>
      <c r="C399" s="534" t="n">
        <v>2150.87</v>
      </c>
      <c r="E399" s="535" t="n">
        <v>35913</v>
      </c>
      <c r="F399" s="534" t="n">
        <v>8.34</v>
      </c>
      <c r="G399" s="554" t="n"/>
    </row>
    <row r="400">
      <c r="A400" s="535" t="n">
        <v>32094</v>
      </c>
      <c r="B400" s="534" t="n">
        <v>4.617</v>
      </c>
      <c r="C400" s="534" t="n">
        <v>2226.74</v>
      </c>
      <c r="E400" s="535" t="n">
        <v>35914</v>
      </c>
      <c r="F400" s="534" t="n">
        <v>8.372</v>
      </c>
      <c r="G400" s="554" t="n"/>
    </row>
    <row r="401">
      <c r="A401" s="535" t="n">
        <v>32097</v>
      </c>
      <c r="B401" s="534" t="n">
        <v>4.704</v>
      </c>
      <c r="C401" s="534" t="n">
        <v>2310.86</v>
      </c>
      <c r="E401" s="535" t="n">
        <v>35915</v>
      </c>
      <c r="F401" s="534" t="n">
        <v>8.387</v>
      </c>
      <c r="G401" s="554" t="n"/>
    </row>
    <row r="402">
      <c r="A402" s="535" t="n">
        <v>32098</v>
      </c>
      <c r="B402" s="534" t="n">
        <v>4.704</v>
      </c>
      <c r="C402" s="534" t="n">
        <v>2290.37</v>
      </c>
      <c r="E402" s="535" t="n">
        <v>35916</v>
      </c>
      <c r="F402" s="534" t="n">
        <v>8.467000000000001</v>
      </c>
      <c r="G402" s="554" t="n"/>
    </row>
    <row r="403">
      <c r="A403" s="535" t="n">
        <v>32099</v>
      </c>
      <c r="B403" s="534" t="n">
        <v>4.66</v>
      </c>
      <c r="C403" s="534" t="n">
        <v>2285.15</v>
      </c>
      <c r="E403" s="535" t="n">
        <v>35919</v>
      </c>
      <c r="F403" s="534" t="n">
        <v>8.628</v>
      </c>
      <c r="G403" s="554" t="n"/>
    </row>
    <row r="404">
      <c r="A404" s="535" t="n">
        <v>32100</v>
      </c>
      <c r="B404" s="534" t="n">
        <v>4.704</v>
      </c>
      <c r="C404" s="534" t="n">
        <v>2257.6</v>
      </c>
      <c r="E404" s="535" t="n">
        <v>35920</v>
      </c>
      <c r="F404" s="534" t="n">
        <v>8.612</v>
      </c>
      <c r="G404" s="554" t="n"/>
    </row>
    <row r="405">
      <c r="A405" s="535" t="n">
        <v>32101</v>
      </c>
      <c r="B405" s="534" t="n">
        <v>4.617</v>
      </c>
      <c r="C405" s="534" t="n">
        <v>2214.7</v>
      </c>
      <c r="E405" s="535" t="n">
        <v>35921</v>
      </c>
      <c r="F405" s="534" t="n">
        <v>8.709</v>
      </c>
      <c r="G405" s="554" t="n"/>
    </row>
    <row r="406">
      <c r="A406" s="535" t="n">
        <v>32104</v>
      </c>
      <c r="B406" s="534" t="n">
        <v>4.486</v>
      </c>
      <c r="C406" s="534" t="n">
        <v>2141.71</v>
      </c>
      <c r="E406" s="535" t="n">
        <v>35922</v>
      </c>
      <c r="F406" s="534" t="n">
        <v>8.709</v>
      </c>
      <c r="G406" s="554" t="n"/>
    </row>
    <row r="407">
      <c r="A407" s="535" t="n">
        <v>32105</v>
      </c>
      <c r="B407" s="534" t="n">
        <v>4.312</v>
      </c>
      <c r="C407" s="534" t="n">
        <v>2134.84</v>
      </c>
      <c r="E407" s="535" t="n">
        <v>35923</v>
      </c>
      <c r="F407" s="534" t="n">
        <v>8.661</v>
      </c>
      <c r="G407" s="554" t="n"/>
    </row>
    <row r="408">
      <c r="A408" s="535" t="n">
        <v>32106</v>
      </c>
      <c r="B408" s="534" t="n">
        <v>4.443</v>
      </c>
      <c r="C408" s="534" t="n">
        <v>2184.41</v>
      </c>
      <c r="E408" s="535" t="n">
        <v>35926</v>
      </c>
      <c r="F408" s="534" t="n">
        <v>8.738</v>
      </c>
      <c r="G408" s="554" t="n"/>
    </row>
    <row r="409">
      <c r="A409" s="535" t="n">
        <v>32107</v>
      </c>
      <c r="B409" s="534" t="n">
        <v>4.486</v>
      </c>
      <c r="C409" s="534" t="n">
        <v>2179.58</v>
      </c>
      <c r="E409" s="535" t="n">
        <v>35927</v>
      </c>
      <c r="F409" s="534" t="n">
        <v>8.958</v>
      </c>
      <c r="G409" s="554" t="n"/>
    </row>
    <row r="410">
      <c r="A410" s="535" t="n">
        <v>32108</v>
      </c>
      <c r="B410" s="534" t="n">
        <v>4.53</v>
      </c>
      <c r="C410" s="534" t="n">
        <v>2194.18</v>
      </c>
      <c r="E410" s="535" t="n">
        <v>35928</v>
      </c>
      <c r="F410" s="534" t="n">
        <v>9.16</v>
      </c>
      <c r="G410" s="554" t="n"/>
    </row>
    <row r="411">
      <c r="A411" s="535" t="n">
        <v>32111</v>
      </c>
      <c r="B411" s="534" t="n">
        <v>4.399</v>
      </c>
      <c r="C411" s="534" t="n">
        <v>2138.39</v>
      </c>
      <c r="E411" s="535" t="n">
        <v>35929</v>
      </c>
      <c r="F411" s="534" t="n">
        <v>8.875</v>
      </c>
      <c r="G411" s="554" t="n"/>
    </row>
    <row r="412">
      <c r="A412" s="535" t="n">
        <v>32112</v>
      </c>
      <c r="B412" s="534" t="n">
        <v>4.443</v>
      </c>
      <c r="C412" s="534" t="n">
        <v>2108.55</v>
      </c>
      <c r="E412" s="535" t="n">
        <v>35930</v>
      </c>
      <c r="F412" s="534" t="n">
        <v>8.875</v>
      </c>
      <c r="G412" s="554" t="n"/>
    </row>
    <row r="413">
      <c r="A413" s="535" t="n">
        <v>32113</v>
      </c>
      <c r="B413" s="534" t="n">
        <v>4.443</v>
      </c>
      <c r="C413" s="534" t="n">
        <v>2100.83</v>
      </c>
      <c r="E413" s="535" t="n">
        <v>35933</v>
      </c>
      <c r="F413" s="534" t="n">
        <v>9.042</v>
      </c>
      <c r="G413" s="554" t="n"/>
    </row>
    <row r="414">
      <c r="A414" s="535" t="n">
        <v>32114</v>
      </c>
      <c r="B414" s="534" t="n">
        <v>4.356</v>
      </c>
      <c r="C414" s="534" t="n">
        <v>2057.43</v>
      </c>
      <c r="E414" s="535" t="n">
        <v>35934</v>
      </c>
      <c r="F414" s="534" t="n">
        <v>9.109999999999999</v>
      </c>
      <c r="G414" s="554" t="n"/>
    </row>
    <row r="415">
      <c r="A415" s="535" t="n">
        <v>32115</v>
      </c>
      <c r="B415" s="534" t="n">
        <v>4.029</v>
      </c>
      <c r="C415" s="534" t="n">
        <v>1994.22</v>
      </c>
      <c r="E415" s="535" t="n">
        <v>35935</v>
      </c>
      <c r="F415" s="534" t="n">
        <v>8.981</v>
      </c>
      <c r="G415" s="554" t="n"/>
    </row>
    <row r="416">
      <c r="A416" s="535" t="n">
        <v>32118</v>
      </c>
      <c r="B416" s="534" t="n">
        <v>4.029</v>
      </c>
      <c r="C416" s="534" t="n">
        <v>1894.94</v>
      </c>
      <c r="E416" s="535" t="n">
        <v>35936</v>
      </c>
      <c r="F416" s="534" t="n">
        <v>8.959</v>
      </c>
      <c r="G416" s="554" t="n"/>
    </row>
    <row r="417">
      <c r="A417" s="535" t="n">
        <v>32119</v>
      </c>
      <c r="B417" s="534" t="n">
        <v>4.334</v>
      </c>
      <c r="C417" s="534" t="n">
        <v>1986.12</v>
      </c>
      <c r="E417" s="535" t="n">
        <v>35937</v>
      </c>
      <c r="F417" s="534" t="n">
        <v>8.958</v>
      </c>
      <c r="G417" s="554" t="n"/>
    </row>
    <row r="418">
      <c r="A418" s="535" t="n">
        <v>32120</v>
      </c>
      <c r="B418" s="534" t="n">
        <v>4.356</v>
      </c>
      <c r="C418" s="534" t="n">
        <v>1984.98</v>
      </c>
      <c r="E418" s="535" t="n">
        <v>35940</v>
      </c>
      <c r="F418" s="534" t="n">
        <v>9.111000000000001</v>
      </c>
      <c r="G418" s="554" t="n"/>
    </row>
    <row r="419">
      <c r="A419" s="535" t="n">
        <v>32121</v>
      </c>
      <c r="B419" s="534" t="n">
        <v>4.334</v>
      </c>
      <c r="C419" s="534" t="n">
        <v>2027.67</v>
      </c>
      <c r="E419" s="535" t="n">
        <v>35941</v>
      </c>
      <c r="F419" s="534" t="n">
        <v>9.128</v>
      </c>
      <c r="G419" s="554" t="n"/>
    </row>
    <row r="420">
      <c r="A420" s="535" t="n">
        <v>32122</v>
      </c>
      <c r="B420" s="534" t="n">
        <v>4.181</v>
      </c>
      <c r="C420" s="534" t="n">
        <v>1989.58</v>
      </c>
      <c r="E420" s="535" t="n">
        <v>35942</v>
      </c>
      <c r="F420" s="534" t="n">
        <v>9.196999999999999</v>
      </c>
      <c r="G420" s="554" t="n"/>
    </row>
    <row r="421">
      <c r="A421" s="535" t="n">
        <v>32125</v>
      </c>
      <c r="B421" s="534" t="n">
        <v>4.356</v>
      </c>
      <c r="C421" s="534" t="n">
        <v>2040.62</v>
      </c>
      <c r="E421" s="535" t="n">
        <v>35943</v>
      </c>
      <c r="F421" s="534" t="n">
        <v>9.196999999999999</v>
      </c>
      <c r="G421" s="554" t="n"/>
    </row>
    <row r="422">
      <c r="A422" s="535" t="n">
        <v>32126</v>
      </c>
      <c r="B422" s="534" t="n">
        <v>4.486</v>
      </c>
      <c r="C422" s="534" t="n">
        <v>2080.62</v>
      </c>
      <c r="E422" s="535" t="n">
        <v>35944</v>
      </c>
      <c r="F422" s="534" t="n">
        <v>9.154999999999999</v>
      </c>
      <c r="G422" s="554" t="n"/>
    </row>
    <row r="423">
      <c r="A423" s="535" t="n">
        <v>32127</v>
      </c>
      <c r="B423" s="534" t="n">
        <v>4.573</v>
      </c>
      <c r="C423" s="534" t="n">
        <v>2145.71</v>
      </c>
      <c r="E423" s="535" t="n">
        <v>35947</v>
      </c>
      <c r="F423" s="534" t="n">
        <v>9.103999999999999</v>
      </c>
      <c r="G423" s="554" t="n"/>
    </row>
    <row r="424">
      <c r="A424" s="535" t="n">
        <v>32128</v>
      </c>
      <c r="B424" s="534" t="n">
        <v>4.748</v>
      </c>
      <c r="C424" s="534" t="n">
        <v>2142.23</v>
      </c>
      <c r="E424" s="535" t="n">
        <v>35948</v>
      </c>
      <c r="F424" s="534" t="n">
        <v>9.147</v>
      </c>
      <c r="G424" s="554" t="n"/>
    </row>
    <row r="425">
      <c r="A425" s="535" t="n">
        <v>32129</v>
      </c>
      <c r="B425" s="534" t="n">
        <v>4.791</v>
      </c>
      <c r="C425" s="534" t="n">
        <v>2180.46</v>
      </c>
      <c r="E425" s="535" t="n">
        <v>35949</v>
      </c>
      <c r="F425" s="534" t="n">
        <v>9.079000000000001</v>
      </c>
      <c r="G425" s="554" t="n"/>
    </row>
    <row r="426">
      <c r="A426" s="535" t="n">
        <v>32132</v>
      </c>
      <c r="B426" s="534" t="n">
        <v>4.835</v>
      </c>
      <c r="C426" s="534" t="n">
        <v>2278.13</v>
      </c>
      <c r="E426" s="535" t="n">
        <v>35950</v>
      </c>
      <c r="F426" s="534" t="n">
        <v>9.087</v>
      </c>
      <c r="G426" s="554" t="n"/>
    </row>
    <row r="427">
      <c r="A427" s="535" t="n">
        <v>32133</v>
      </c>
      <c r="B427" s="534" t="n">
        <v>4.922</v>
      </c>
      <c r="C427" s="534" t="n">
        <v>2276.41</v>
      </c>
      <c r="E427" s="535" t="n">
        <v>35951</v>
      </c>
      <c r="F427" s="534" t="n">
        <v>9.302</v>
      </c>
      <c r="G427" s="554" t="n"/>
    </row>
    <row r="428">
      <c r="A428" s="535" t="n">
        <v>32134</v>
      </c>
      <c r="B428" s="534" t="n">
        <v>4.922</v>
      </c>
      <c r="C428" s="534" t="n">
        <v>2325.55</v>
      </c>
      <c r="E428" s="535" t="n">
        <v>35954</v>
      </c>
      <c r="F428" s="534" t="n">
        <v>9.441000000000001</v>
      </c>
      <c r="G428" s="554" t="n"/>
    </row>
    <row r="429">
      <c r="A429" s="535" t="n">
        <v>32135</v>
      </c>
      <c r="B429" s="534" t="n">
        <v>4.965</v>
      </c>
      <c r="C429" s="534" t="n">
        <v>2379.07</v>
      </c>
      <c r="E429" s="535" t="n">
        <v>35955</v>
      </c>
      <c r="F429" s="534" t="n">
        <v>9.477</v>
      </c>
      <c r="G429" s="554" t="n"/>
    </row>
    <row r="430">
      <c r="A430" s="535" t="n">
        <v>32136</v>
      </c>
      <c r="B430" s="534" t="n">
        <v>4.965</v>
      </c>
      <c r="C430" s="534" t="n">
        <v>2379.07</v>
      </c>
      <c r="E430" s="535" t="n">
        <v>35956</v>
      </c>
      <c r="F430" s="534" t="n">
        <v>9.797000000000001</v>
      </c>
      <c r="G430" s="554" t="n"/>
    </row>
    <row r="431">
      <c r="A431" s="535" t="n">
        <v>32139</v>
      </c>
      <c r="B431" s="534" t="n">
        <v>4.922</v>
      </c>
      <c r="C431" s="534" t="n">
        <v>2286.75</v>
      </c>
      <c r="E431" s="535" t="n">
        <v>35957</v>
      </c>
      <c r="F431" s="534" t="n">
        <v>9.869999999999999</v>
      </c>
      <c r="G431" s="554" t="n"/>
    </row>
    <row r="432">
      <c r="A432" s="535" t="n">
        <v>32140</v>
      </c>
      <c r="B432" s="534" t="n">
        <v>4.922</v>
      </c>
      <c r="C432" s="534" t="n">
        <v>2301.27</v>
      </c>
      <c r="E432" s="535" t="n">
        <v>35958</v>
      </c>
      <c r="F432" s="534" t="n">
        <v>9.907999999999999</v>
      </c>
      <c r="G432" s="554" t="n"/>
    </row>
    <row r="433">
      <c r="A433" s="535" t="n">
        <v>32141</v>
      </c>
      <c r="B433" s="534" t="n">
        <v>4.922</v>
      </c>
      <c r="C433" s="534" t="n">
        <v>2291.98</v>
      </c>
      <c r="E433" s="535" t="n">
        <v>35961</v>
      </c>
      <c r="F433" s="534" t="n">
        <v>10.204</v>
      </c>
      <c r="G433" s="554" t="n"/>
    </row>
    <row r="434">
      <c r="A434" s="535" t="n">
        <v>32142</v>
      </c>
      <c r="B434" s="534" t="n">
        <v>5.052</v>
      </c>
      <c r="C434" s="534" t="n">
        <v>2302.75</v>
      </c>
      <c r="E434" s="535" t="n">
        <v>35962</v>
      </c>
      <c r="F434" s="534" t="n">
        <v>10.129</v>
      </c>
      <c r="G434" s="554" t="n"/>
    </row>
    <row r="435">
      <c r="A435" s="535" t="n">
        <v>32143</v>
      </c>
      <c r="B435" s="534" t="n">
        <v>5.052</v>
      </c>
      <c r="C435" s="534" t="n">
        <v>2302.75</v>
      </c>
      <c r="E435" s="535" t="n">
        <v>35963</v>
      </c>
      <c r="F435" s="534" t="n">
        <v>10.111</v>
      </c>
      <c r="G435" s="554" t="n"/>
    </row>
    <row r="436">
      <c r="A436" s="535" t="n">
        <v>32146</v>
      </c>
      <c r="B436" s="534" t="n">
        <v>5.009</v>
      </c>
      <c r="C436" s="534" t="n">
        <v>2286.29</v>
      </c>
      <c r="E436" s="535" t="n">
        <v>35964</v>
      </c>
      <c r="F436" s="534" t="n">
        <v>10.056</v>
      </c>
      <c r="G436" s="554" t="n"/>
    </row>
    <row r="437">
      <c r="A437" s="535" t="n">
        <v>32147</v>
      </c>
      <c r="B437" s="534" t="n">
        <v>5.14</v>
      </c>
      <c r="C437" s="534" t="n">
        <v>2403.22</v>
      </c>
      <c r="E437" s="535" t="n">
        <v>35965</v>
      </c>
      <c r="F437" s="534" t="n">
        <v>10.02</v>
      </c>
      <c r="G437" s="554" t="n"/>
    </row>
    <row r="438">
      <c r="A438" s="535" t="n">
        <v>32148</v>
      </c>
      <c r="B438" s="534" t="n">
        <v>5.27</v>
      </c>
      <c r="C438" s="534" t="n">
        <v>2463.02</v>
      </c>
      <c r="E438" s="535" t="n">
        <v>35968</v>
      </c>
      <c r="F438" s="534" t="n">
        <v>10.094</v>
      </c>
      <c r="G438" s="554" t="n"/>
    </row>
    <row r="439">
      <c r="A439" s="535" t="n">
        <v>32149</v>
      </c>
      <c r="B439" s="534" t="n">
        <v>5.227</v>
      </c>
      <c r="C439" s="534" t="n">
        <v>2452.52</v>
      </c>
      <c r="E439" s="535" t="n">
        <v>35969</v>
      </c>
      <c r="F439" s="534" t="n">
        <v>10.257</v>
      </c>
      <c r="G439" s="554" t="n"/>
    </row>
    <row r="440">
      <c r="A440" s="535" t="n">
        <v>32150</v>
      </c>
      <c r="B440" s="534" t="n">
        <v>5.314</v>
      </c>
      <c r="C440" s="534" t="n">
        <v>2460.67</v>
      </c>
      <c r="E440" s="535" t="n">
        <v>35970</v>
      </c>
      <c r="F440" s="534" t="n">
        <v>10.396</v>
      </c>
      <c r="G440" s="554" t="n"/>
    </row>
    <row r="441">
      <c r="A441" s="535" t="n">
        <v>32153</v>
      </c>
      <c r="B441" s="534" t="n">
        <v>5.357</v>
      </c>
      <c r="C441" s="534" t="n">
        <v>2400.8</v>
      </c>
      <c r="E441" s="535" t="n">
        <v>35971</v>
      </c>
      <c r="F441" s="534" t="n">
        <v>10.378</v>
      </c>
      <c r="G441" s="554" t="n"/>
    </row>
    <row r="442">
      <c r="A442" s="535" t="n">
        <v>32154</v>
      </c>
      <c r="B442" s="534" t="n">
        <v>5.706</v>
      </c>
      <c r="C442" s="534" t="n">
        <v>2442.41</v>
      </c>
      <c r="E442" s="535" t="n">
        <v>35972</v>
      </c>
      <c r="F442" s="534" t="n">
        <v>10.494</v>
      </c>
      <c r="G442" s="554" t="n"/>
    </row>
    <row r="443">
      <c r="A443" s="535" t="n">
        <v>32155</v>
      </c>
      <c r="B443" s="534" t="n">
        <v>5.488</v>
      </c>
      <c r="C443" s="534" t="n">
        <v>2383.79</v>
      </c>
      <c r="E443" s="535" t="n">
        <v>35975</v>
      </c>
      <c r="F443" s="534" t="n">
        <v>10.475</v>
      </c>
      <c r="G443" s="554" t="n"/>
    </row>
    <row r="444">
      <c r="A444" s="535" t="n">
        <v>32156</v>
      </c>
      <c r="B444" s="534" t="n">
        <v>5.444</v>
      </c>
      <c r="C444" s="534" t="n">
        <v>2411.52</v>
      </c>
      <c r="E444" s="535" t="n">
        <v>35976</v>
      </c>
      <c r="F444" s="534" t="n">
        <v>10.399</v>
      </c>
      <c r="G444" s="554" t="n"/>
    </row>
    <row r="445">
      <c r="A445" s="535" t="n">
        <v>32157</v>
      </c>
      <c r="B445" s="534" t="n">
        <v>5.575</v>
      </c>
      <c r="C445" s="534" t="n">
        <v>2429.77</v>
      </c>
      <c r="E445" s="535" t="n">
        <v>35977</v>
      </c>
      <c r="F445" s="534" t="n">
        <v>10.399</v>
      </c>
      <c r="G445" s="554" t="n"/>
    </row>
    <row r="446">
      <c r="A446" s="535" t="n">
        <v>32160</v>
      </c>
      <c r="B446" s="534" t="n">
        <v>5.706</v>
      </c>
      <c r="C446" s="534" t="n">
        <v>2512.19</v>
      </c>
      <c r="E446" s="535" t="n">
        <v>35978</v>
      </c>
      <c r="F446" s="534" t="n">
        <v>10.21</v>
      </c>
      <c r="G446" s="554" t="n"/>
    </row>
    <row r="447">
      <c r="A447" s="535" t="n">
        <v>32161</v>
      </c>
      <c r="B447" s="534" t="n">
        <v>5.575</v>
      </c>
      <c r="C447" s="534" t="n">
        <v>2488.15</v>
      </c>
      <c r="E447" s="535" t="n">
        <v>35979</v>
      </c>
      <c r="F447" s="534" t="n">
        <v>10.344</v>
      </c>
      <c r="G447" s="554" t="n"/>
    </row>
    <row r="448">
      <c r="A448" s="535" t="n">
        <v>32162</v>
      </c>
      <c r="B448" s="534" t="n">
        <v>5.488</v>
      </c>
      <c r="C448" s="534" t="n">
        <v>2484.29</v>
      </c>
      <c r="E448" s="535" t="n">
        <v>35982</v>
      </c>
      <c r="F448" s="534" t="n">
        <v>10.344</v>
      </c>
      <c r="G448" s="554" t="n"/>
    </row>
    <row r="449">
      <c r="A449" s="535" t="n">
        <v>32163</v>
      </c>
      <c r="B449" s="534" t="n">
        <v>5.27</v>
      </c>
      <c r="C449" s="534" t="n">
        <v>2412.32</v>
      </c>
      <c r="E449" s="535" t="n">
        <v>35983</v>
      </c>
      <c r="F449" s="534" t="n">
        <v>10.212</v>
      </c>
      <c r="G449" s="554" t="n"/>
    </row>
    <row r="450">
      <c r="A450" s="535" t="n">
        <v>32164</v>
      </c>
      <c r="B450" s="534" t="n">
        <v>5.27</v>
      </c>
      <c r="C450" s="534" t="n">
        <v>2422.38</v>
      </c>
      <c r="E450" s="535" t="n">
        <v>35984</v>
      </c>
      <c r="F450" s="534" t="n">
        <v>10.119</v>
      </c>
      <c r="G450" s="554" t="n"/>
    </row>
    <row r="451">
      <c r="A451" s="535" t="n">
        <v>32167</v>
      </c>
      <c r="B451" s="534" t="n">
        <v>5.314</v>
      </c>
      <c r="C451" s="534" t="n">
        <v>2407.29</v>
      </c>
      <c r="E451" s="535" t="n">
        <v>35985</v>
      </c>
      <c r="F451" s="534" t="n">
        <v>10.213</v>
      </c>
      <c r="G451" s="554" t="n"/>
    </row>
    <row r="452">
      <c r="A452" s="535" t="n">
        <v>32168</v>
      </c>
      <c r="B452" s="534" t="n">
        <v>5.27</v>
      </c>
      <c r="C452" s="534" t="n">
        <v>2426.05</v>
      </c>
      <c r="E452" s="535" t="n">
        <v>35986</v>
      </c>
      <c r="F452" s="534" t="n">
        <v>10.271</v>
      </c>
      <c r="G452" s="554" t="n"/>
    </row>
    <row r="453">
      <c r="A453" s="535" t="n">
        <v>32169</v>
      </c>
      <c r="B453" s="534" t="n">
        <v>5.227</v>
      </c>
      <c r="C453" s="534" t="n">
        <v>2412.62</v>
      </c>
      <c r="E453" s="535" t="n">
        <v>35989</v>
      </c>
      <c r="F453" s="534" t="n">
        <v>10.366</v>
      </c>
      <c r="G453" s="554" t="n"/>
    </row>
    <row r="454">
      <c r="A454" s="535" t="n">
        <v>32170</v>
      </c>
      <c r="B454" s="534" t="n">
        <v>5.227</v>
      </c>
      <c r="C454" s="534" t="n">
        <v>2412.72</v>
      </c>
      <c r="E454" s="535" t="n">
        <v>35990</v>
      </c>
      <c r="F454" s="534" t="n">
        <v>10.197</v>
      </c>
      <c r="G454" s="554" t="n"/>
    </row>
    <row r="455">
      <c r="A455" s="535" t="n">
        <v>32171</v>
      </c>
      <c r="B455" s="534" t="n">
        <v>5.314</v>
      </c>
      <c r="C455" s="534" t="n">
        <v>2409.66</v>
      </c>
      <c r="E455" s="535" t="n">
        <v>35991</v>
      </c>
      <c r="F455" s="534" t="n">
        <v>10.197</v>
      </c>
      <c r="G455" s="554" t="n"/>
    </row>
    <row r="456">
      <c r="A456" s="535" t="n">
        <v>32174</v>
      </c>
      <c r="B456" s="534" t="n">
        <v>5.227</v>
      </c>
      <c r="C456" s="534" t="n">
        <v>2358.27</v>
      </c>
      <c r="E456" s="535" t="n">
        <v>35992</v>
      </c>
      <c r="F456" s="534" t="n">
        <v>10.16</v>
      </c>
      <c r="G456" s="554" t="n"/>
    </row>
    <row r="457">
      <c r="A457" s="535" t="n">
        <v>32175</v>
      </c>
      <c r="B457" s="534" t="n">
        <v>5.14</v>
      </c>
      <c r="C457" s="534" t="n">
        <v>2298.5</v>
      </c>
      <c r="E457" s="535" t="n">
        <v>35993</v>
      </c>
      <c r="F457" s="534" t="n">
        <v>10.105</v>
      </c>
      <c r="G457" s="554" t="n"/>
    </row>
    <row r="458">
      <c r="A458" s="535" t="n">
        <v>32176</v>
      </c>
      <c r="B458" s="534" t="n">
        <v>5.183</v>
      </c>
      <c r="C458" s="534" t="n">
        <v>2354.46</v>
      </c>
      <c r="E458" s="535" t="n">
        <v>35996</v>
      </c>
      <c r="F458" s="534" t="n">
        <v>10.149</v>
      </c>
      <c r="G458" s="554" t="n"/>
    </row>
    <row r="459">
      <c r="A459" s="535" t="n">
        <v>32177</v>
      </c>
      <c r="B459" s="534" t="n">
        <v>5.052</v>
      </c>
      <c r="C459" s="534" t="n">
        <v>2295.31</v>
      </c>
      <c r="E459" s="535" t="n">
        <v>35997</v>
      </c>
      <c r="F459" s="534" t="n">
        <v>10.125</v>
      </c>
      <c r="G459" s="554" t="n"/>
    </row>
    <row r="460">
      <c r="A460" s="535" t="n">
        <v>32178</v>
      </c>
      <c r="B460" s="534" t="n">
        <v>5.052</v>
      </c>
      <c r="C460" s="534" t="n">
        <v>2292.59</v>
      </c>
      <c r="E460" s="535" t="n">
        <v>35998</v>
      </c>
      <c r="F460" s="534" t="n">
        <v>10.032</v>
      </c>
      <c r="G460" s="554" t="n"/>
    </row>
    <row r="461">
      <c r="A461" s="535" t="n">
        <v>32181</v>
      </c>
      <c r="B461" s="534" t="n">
        <v>4.835</v>
      </c>
      <c r="C461" s="534" t="n">
        <v>2223.56</v>
      </c>
      <c r="E461" s="535" t="n">
        <v>35999</v>
      </c>
      <c r="F461" s="534" t="n">
        <v>9.94</v>
      </c>
      <c r="G461" s="554" t="n"/>
    </row>
    <row r="462">
      <c r="A462" s="535" t="n">
        <v>32182</v>
      </c>
      <c r="B462" s="534" t="n">
        <v>4.965</v>
      </c>
      <c r="C462" s="534" t="n">
        <v>2223.04</v>
      </c>
      <c r="E462" s="535" t="n">
        <v>36000</v>
      </c>
      <c r="F462" s="534" t="n">
        <v>9.941000000000001</v>
      </c>
      <c r="G462" s="554" t="n"/>
    </row>
    <row r="463">
      <c r="A463" s="535" t="n">
        <v>32183</v>
      </c>
      <c r="B463" s="534" t="n">
        <v>4.922</v>
      </c>
      <c r="C463" s="534" t="n">
        <v>2233.47</v>
      </c>
      <c r="E463" s="535" t="n">
        <v>36003</v>
      </c>
      <c r="F463" s="534" t="n">
        <v>9.917</v>
      </c>
      <c r="G463" s="554" t="n"/>
    </row>
    <row r="464">
      <c r="A464" s="535" t="n">
        <v>32184</v>
      </c>
      <c r="B464" s="534" t="n">
        <v>4.965</v>
      </c>
      <c r="C464" s="534" t="n">
        <v>2256.48</v>
      </c>
      <c r="E464" s="535" t="n">
        <v>36004</v>
      </c>
      <c r="F464" s="534" t="n">
        <v>9.901</v>
      </c>
      <c r="G464" s="554" t="n"/>
    </row>
    <row r="465">
      <c r="A465" s="535" t="n">
        <v>32185</v>
      </c>
      <c r="B465" s="534" t="n">
        <v>4.965</v>
      </c>
      <c r="C465" s="534" t="n">
        <v>2287.23</v>
      </c>
      <c r="E465" s="535" t="n">
        <v>36005</v>
      </c>
      <c r="F465" s="534" t="n">
        <v>9.773999999999999</v>
      </c>
      <c r="G465" s="554" t="n"/>
    </row>
    <row r="466">
      <c r="A466" s="535" t="n">
        <v>32188</v>
      </c>
      <c r="B466" s="534" t="n">
        <v>5.096</v>
      </c>
      <c r="C466" s="534" t="n">
        <v>2301.75</v>
      </c>
      <c r="E466" s="535" t="n">
        <v>36006</v>
      </c>
      <c r="F466" s="534" t="n">
        <v>9.82</v>
      </c>
      <c r="G466" s="554" t="n"/>
    </row>
    <row r="467">
      <c r="A467" s="535" t="n">
        <v>32189</v>
      </c>
      <c r="B467" s="534" t="n">
        <v>5.14</v>
      </c>
      <c r="C467" s="534" t="n">
        <v>2328.04</v>
      </c>
      <c r="E467" s="535" t="n">
        <v>36007</v>
      </c>
      <c r="F467" s="534" t="n">
        <v>9.805999999999999</v>
      </c>
      <c r="G467" s="554" t="n"/>
    </row>
    <row r="468">
      <c r="A468" s="535" t="n">
        <v>32190</v>
      </c>
      <c r="B468" s="534" t="n">
        <v>5.14</v>
      </c>
      <c r="C468" s="534" t="n">
        <v>2328.04</v>
      </c>
      <c r="E468" s="535" t="n">
        <v>36010</v>
      </c>
      <c r="F468" s="534" t="n">
        <v>9.9</v>
      </c>
      <c r="G468" s="554" t="n"/>
    </row>
    <row r="469">
      <c r="A469" s="535" t="n">
        <v>32191</v>
      </c>
      <c r="B469" s="534" t="n">
        <v>5.14</v>
      </c>
      <c r="C469" s="534" t="n">
        <v>2328.04</v>
      </c>
      <c r="E469" s="535" t="n">
        <v>36011</v>
      </c>
      <c r="F469" s="534" t="n">
        <v>9.801</v>
      </c>
      <c r="G469" s="554" t="n"/>
    </row>
    <row r="470">
      <c r="A470" s="535" t="n">
        <v>32192</v>
      </c>
      <c r="B470" s="534" t="n">
        <v>5.14</v>
      </c>
      <c r="C470" s="534" t="n">
        <v>2328.04</v>
      </c>
      <c r="E470" s="535" t="n">
        <v>36012</v>
      </c>
      <c r="F470" s="534" t="n">
        <v>9.907999999999999</v>
      </c>
      <c r="G470" s="554" t="n"/>
    </row>
    <row r="471">
      <c r="A471" s="535" t="n">
        <v>32195</v>
      </c>
      <c r="B471" s="534" t="n">
        <v>5.14</v>
      </c>
      <c r="C471" s="534" t="n">
        <v>2347.17</v>
      </c>
      <c r="E471" s="535" t="n">
        <v>36013</v>
      </c>
      <c r="F471" s="534" t="n">
        <v>9.907999999999999</v>
      </c>
      <c r="G471" s="554" t="n"/>
    </row>
    <row r="472">
      <c r="A472" s="535" t="n">
        <v>32196</v>
      </c>
      <c r="B472" s="534" t="n">
        <v>5.096</v>
      </c>
      <c r="C472" s="534" t="n">
        <v>2329.35</v>
      </c>
      <c r="E472" s="535" t="n">
        <v>36014</v>
      </c>
      <c r="F472" s="534" t="n">
        <v>9.981999999999999</v>
      </c>
      <c r="G472" s="554" t="n"/>
    </row>
    <row r="473">
      <c r="A473" s="535" t="n">
        <v>32197</v>
      </c>
      <c r="B473" s="534" t="n">
        <v>5.096</v>
      </c>
      <c r="C473" s="534" t="n">
        <v>2336</v>
      </c>
      <c r="E473" s="535" t="n">
        <v>36017</v>
      </c>
      <c r="F473" s="534" t="n">
        <v>9.916</v>
      </c>
      <c r="G473" s="554" t="n"/>
    </row>
    <row r="474">
      <c r="A474" s="535" t="n">
        <v>32198</v>
      </c>
      <c r="B474" s="534" t="n">
        <v>5.183</v>
      </c>
      <c r="C474" s="534" t="n">
        <v>2355.88</v>
      </c>
      <c r="E474" s="535" t="n">
        <v>36018</v>
      </c>
      <c r="F474" s="534" t="n">
        <v>9.949</v>
      </c>
      <c r="G474" s="554" t="n"/>
    </row>
    <row r="475">
      <c r="A475" s="535" t="n">
        <v>32199</v>
      </c>
      <c r="B475" s="534" t="n">
        <v>5.27</v>
      </c>
      <c r="C475" s="534" t="n">
        <v>2383.92</v>
      </c>
      <c r="E475" s="535" t="n">
        <v>36019</v>
      </c>
      <c r="F475" s="534" t="n">
        <v>9.858000000000001</v>
      </c>
      <c r="G475" s="554" t="n"/>
    </row>
    <row r="476">
      <c r="A476" s="535" t="n">
        <v>32202</v>
      </c>
      <c r="B476" s="534" t="n">
        <v>5.253</v>
      </c>
      <c r="C476" s="534" t="n">
        <v>2418.08</v>
      </c>
      <c r="E476" s="535" t="n">
        <v>36020</v>
      </c>
      <c r="F476" s="534" t="n">
        <v>9.874000000000001</v>
      </c>
      <c r="G476" s="554" t="n"/>
    </row>
    <row r="477">
      <c r="A477" s="535" t="n">
        <v>32203</v>
      </c>
      <c r="B477" s="534" t="n">
        <v>5.575</v>
      </c>
      <c r="C477" s="534" t="n">
        <v>2454.71</v>
      </c>
      <c r="E477" s="535" t="n">
        <v>36021</v>
      </c>
      <c r="F477" s="534" t="n">
        <v>9.726000000000001</v>
      </c>
      <c r="G477" s="554" t="n"/>
    </row>
    <row r="478">
      <c r="A478" s="535" t="n">
        <v>32204</v>
      </c>
      <c r="B478" s="534" t="n">
        <v>5.619</v>
      </c>
      <c r="C478" s="534" t="n">
        <v>2462.13</v>
      </c>
      <c r="E478" s="535" t="n">
        <v>36024</v>
      </c>
      <c r="F478" s="534" t="n">
        <v>9.726000000000001</v>
      </c>
      <c r="G478" s="554" t="n"/>
    </row>
    <row r="479">
      <c r="A479" s="535" t="n">
        <v>32205</v>
      </c>
      <c r="B479" s="534" t="n">
        <v>5.619</v>
      </c>
      <c r="C479" s="534" t="n">
        <v>2468.48</v>
      </c>
      <c r="E479" s="535" t="n">
        <v>36025</v>
      </c>
      <c r="F479" s="534" t="n">
        <v>9.791</v>
      </c>
      <c r="G479" s="554" t="n"/>
    </row>
    <row r="480">
      <c r="A480" s="535" t="n">
        <v>32206</v>
      </c>
      <c r="B480" s="534" t="n">
        <v>5.662</v>
      </c>
      <c r="C480" s="534" t="n">
        <v>2472.38</v>
      </c>
      <c r="E480" s="535" t="n">
        <v>36026</v>
      </c>
      <c r="F480" s="534" t="n">
        <v>9.757999999999999</v>
      </c>
      <c r="G480" s="554" t="n"/>
    </row>
    <row r="481">
      <c r="A481" s="535" t="n">
        <v>32209</v>
      </c>
      <c r="B481" s="534" t="n">
        <v>5.706</v>
      </c>
      <c r="C481" s="534" t="n">
        <v>2470.4</v>
      </c>
      <c r="E481" s="535" t="n">
        <v>36027</v>
      </c>
      <c r="F481" s="534" t="n">
        <v>9.596</v>
      </c>
      <c r="G481" s="554" t="n"/>
    </row>
    <row r="482">
      <c r="A482" s="535" t="n">
        <v>32210</v>
      </c>
      <c r="B482" s="534" t="n">
        <v>5.662</v>
      </c>
      <c r="C482" s="534" t="n">
        <v>2493.33</v>
      </c>
      <c r="E482" s="535" t="n">
        <v>36028</v>
      </c>
      <c r="F482" s="534" t="n">
        <v>9.651999999999999</v>
      </c>
      <c r="G482" s="554" t="n"/>
    </row>
    <row r="483">
      <c r="A483" s="535" t="n">
        <v>32211</v>
      </c>
      <c r="B483" s="534" t="n">
        <v>5.88</v>
      </c>
      <c r="C483" s="534" t="n">
        <v>2551.76</v>
      </c>
      <c r="E483" s="535" t="n">
        <v>36031</v>
      </c>
      <c r="F483" s="534" t="n">
        <v>9.547000000000001</v>
      </c>
      <c r="G483" s="554" t="n"/>
    </row>
    <row r="484">
      <c r="A484" s="535" t="n">
        <v>32212</v>
      </c>
      <c r="B484" s="534" t="n">
        <v>5.924</v>
      </c>
      <c r="C484" s="534" t="n">
        <v>2591.34</v>
      </c>
      <c r="E484" s="535" t="n">
        <v>36032</v>
      </c>
      <c r="F484" s="534" t="n">
        <v>9.66</v>
      </c>
      <c r="G484" s="554" t="n"/>
    </row>
    <row r="485">
      <c r="A485" s="535" t="n">
        <v>32213</v>
      </c>
      <c r="B485" s="534" t="n">
        <v>6.011</v>
      </c>
      <c r="C485" s="534" t="n">
        <v>2595.45</v>
      </c>
      <c r="E485" s="535" t="n">
        <v>36033</v>
      </c>
      <c r="F485" s="534" t="n">
        <v>9.547000000000001</v>
      </c>
      <c r="G485" s="554" t="n"/>
    </row>
    <row r="486">
      <c r="A486" s="535" t="n">
        <v>32216</v>
      </c>
      <c r="B486" s="534" t="n">
        <v>5.924</v>
      </c>
      <c r="C486" s="534" t="n">
        <v>2584.68</v>
      </c>
      <c r="E486" s="535" t="n">
        <v>36034</v>
      </c>
      <c r="F486" s="534" t="n">
        <v>9.65</v>
      </c>
      <c r="G486" s="554" t="n"/>
    </row>
    <row r="487">
      <c r="A487" s="535" t="n">
        <v>32217</v>
      </c>
      <c r="B487" s="534" t="n">
        <v>6.011</v>
      </c>
      <c r="C487" s="534" t="n">
        <v>2578.92</v>
      </c>
      <c r="E487" s="535" t="n">
        <v>36035</v>
      </c>
      <c r="F487" s="534" t="n">
        <v>9.888999999999999</v>
      </c>
      <c r="G487" s="554" t="n"/>
    </row>
    <row r="488">
      <c r="A488" s="535" t="n">
        <v>32218</v>
      </c>
      <c r="B488" s="534" t="n">
        <v>5.967</v>
      </c>
      <c r="C488" s="534" t="n">
        <v>2555.04</v>
      </c>
      <c r="E488" s="535" t="n">
        <v>36038</v>
      </c>
      <c r="F488" s="534" t="n">
        <v>9.847</v>
      </c>
      <c r="G488" s="554" t="n"/>
    </row>
    <row r="489">
      <c r="A489" s="535" t="n">
        <v>32219</v>
      </c>
      <c r="B489" s="534" t="n">
        <v>6.011</v>
      </c>
      <c r="C489" s="534" t="n">
        <v>2581.33</v>
      </c>
      <c r="E489" s="535" t="n">
        <v>36039</v>
      </c>
      <c r="F489" s="534" t="n">
        <v>9.394</v>
      </c>
      <c r="G489" s="554" t="n"/>
    </row>
    <row r="490">
      <c r="A490" s="535" t="n">
        <v>32220</v>
      </c>
      <c r="B490" s="534" t="n">
        <v>6.446</v>
      </c>
      <c r="C490" s="534" t="n">
        <v>2607.6</v>
      </c>
      <c r="E490" s="535" t="n">
        <v>36040</v>
      </c>
      <c r="F490" s="534" t="n">
        <v>9.369999999999999</v>
      </c>
      <c r="G490" s="554" t="n"/>
    </row>
    <row r="491">
      <c r="A491" s="535" t="n">
        <v>32223</v>
      </c>
      <c r="B491" s="534" t="n">
        <v>6.185</v>
      </c>
      <c r="C491" s="534" t="n">
        <v>2602.8</v>
      </c>
      <c r="E491" s="535" t="n">
        <v>36041</v>
      </c>
      <c r="F491" s="534" t="n">
        <v>9.457000000000001</v>
      </c>
      <c r="G491" s="554" t="n"/>
    </row>
    <row r="492">
      <c r="A492" s="535" t="n">
        <v>32224</v>
      </c>
      <c r="B492" s="534" t="n">
        <v>6.185</v>
      </c>
      <c r="C492" s="534" t="n">
        <v>2594.8</v>
      </c>
      <c r="E492" s="535" t="n">
        <v>36042</v>
      </c>
      <c r="F492" s="534" t="n">
        <v>9.569000000000001</v>
      </c>
      <c r="G492" s="554" t="n"/>
    </row>
    <row r="493">
      <c r="A493" s="535" t="n">
        <v>32225</v>
      </c>
      <c r="B493" s="534" t="n">
        <v>6.141</v>
      </c>
      <c r="C493" s="534" t="n">
        <v>2561.91</v>
      </c>
      <c r="E493" s="535" t="n">
        <v>36045</v>
      </c>
      <c r="F493" s="534" t="n">
        <v>8.721</v>
      </c>
      <c r="G493" s="554" t="n"/>
    </row>
    <row r="494">
      <c r="A494" s="535" t="n">
        <v>32226</v>
      </c>
      <c r="B494" s="534" t="n">
        <v>6.054</v>
      </c>
      <c r="C494" s="534" t="n">
        <v>2546.4</v>
      </c>
      <c r="E494" s="535" t="n">
        <v>36046</v>
      </c>
      <c r="F494" s="534" t="n">
        <v>8.903</v>
      </c>
      <c r="G494" s="554" t="n"/>
    </row>
    <row r="495">
      <c r="A495" s="535" t="n">
        <v>32227</v>
      </c>
      <c r="B495" s="534" t="n">
        <v>5.967</v>
      </c>
      <c r="C495" s="534" t="n">
        <v>2501.93</v>
      </c>
      <c r="E495" s="535" t="n">
        <v>36047</v>
      </c>
      <c r="F495" s="534" t="n">
        <v>8.887</v>
      </c>
      <c r="G495" s="554" t="n"/>
    </row>
    <row r="496">
      <c r="A496" s="535" t="n">
        <v>32230</v>
      </c>
      <c r="B496" s="534" t="n">
        <v>5.836</v>
      </c>
      <c r="C496" s="534" t="n">
        <v>2466.78</v>
      </c>
      <c r="E496" s="535" t="n">
        <v>36048</v>
      </c>
      <c r="F496" s="534" t="n">
        <v>9.4</v>
      </c>
      <c r="G496" s="554" t="n"/>
    </row>
    <row r="497">
      <c r="A497" s="535" t="n">
        <v>32231</v>
      </c>
      <c r="B497" s="534" t="n">
        <v>5.967</v>
      </c>
      <c r="C497" s="534" t="n">
        <v>2521.61</v>
      </c>
      <c r="E497" s="535" t="n">
        <v>36049</v>
      </c>
      <c r="F497" s="534" t="n">
        <v>9.375999999999999</v>
      </c>
      <c r="G497" s="554" t="n"/>
    </row>
    <row r="498">
      <c r="A498" s="535" t="n">
        <v>32232</v>
      </c>
      <c r="B498" s="534" t="n">
        <v>6.054</v>
      </c>
      <c r="C498" s="534" t="n">
        <v>2528.92</v>
      </c>
      <c r="E498" s="535" t="n">
        <v>36052</v>
      </c>
      <c r="F498" s="534" t="n">
        <v>9.423999999999999</v>
      </c>
      <c r="G498" s="554" t="n"/>
    </row>
    <row r="499">
      <c r="A499" s="535" t="n">
        <v>32233</v>
      </c>
      <c r="B499" s="534" t="n">
        <v>6.098</v>
      </c>
      <c r="C499" s="534" t="n">
        <v>2543.97</v>
      </c>
      <c r="E499" s="535" t="n">
        <v>36053</v>
      </c>
      <c r="F499" s="534" t="n">
        <v>9.327999999999999</v>
      </c>
      <c r="G499" s="554" t="n"/>
    </row>
    <row r="500">
      <c r="A500" s="535" t="n">
        <v>32234</v>
      </c>
      <c r="B500" s="534" t="n">
        <v>6.098</v>
      </c>
      <c r="C500" s="534" t="n">
        <v>2543.97</v>
      </c>
      <c r="E500" s="535" t="n">
        <v>36054</v>
      </c>
      <c r="F500" s="534" t="n">
        <v>9.249000000000001</v>
      </c>
      <c r="G500" s="554" t="n"/>
    </row>
    <row r="501">
      <c r="A501" s="535" t="n">
        <v>32237</v>
      </c>
      <c r="B501" s="534" t="n">
        <v>6.098</v>
      </c>
      <c r="C501" s="534" t="n">
        <v>2543.97</v>
      </c>
      <c r="E501" s="535" t="n">
        <v>36055</v>
      </c>
      <c r="F501" s="534" t="n">
        <v>9.124000000000001</v>
      </c>
      <c r="G501" s="554" t="n"/>
    </row>
    <row r="502">
      <c r="A502" s="535" t="n">
        <v>32238</v>
      </c>
      <c r="B502" s="534" t="n">
        <v>6.098</v>
      </c>
      <c r="C502" s="534" t="n">
        <v>2543.97</v>
      </c>
      <c r="E502" s="535" t="n">
        <v>36056</v>
      </c>
      <c r="F502" s="534" t="n">
        <v>9.225</v>
      </c>
      <c r="G502" s="554" t="n"/>
    </row>
    <row r="503">
      <c r="A503" s="535" t="n">
        <v>32239</v>
      </c>
      <c r="B503" s="534" t="n">
        <v>6.098</v>
      </c>
      <c r="C503" s="534" t="n">
        <v>2556.56</v>
      </c>
      <c r="E503" s="535" t="n">
        <v>36059</v>
      </c>
      <c r="F503" s="534" t="n">
        <v>9.231</v>
      </c>
      <c r="G503" s="554" t="n"/>
    </row>
    <row r="504">
      <c r="A504" s="535" t="n">
        <v>32240</v>
      </c>
      <c r="B504" s="534" t="n">
        <v>6.272</v>
      </c>
      <c r="C504" s="534" t="n">
        <v>2623.08</v>
      </c>
      <c r="E504" s="535" t="n">
        <v>36060</v>
      </c>
      <c r="F504" s="534" t="n">
        <v>9.209</v>
      </c>
      <c r="G504" s="554" t="n"/>
    </row>
    <row r="505">
      <c r="A505" s="535" t="n">
        <v>32241</v>
      </c>
      <c r="B505" s="534" t="n">
        <v>6.185</v>
      </c>
      <c r="C505" s="534" t="n">
        <v>2619.87</v>
      </c>
      <c r="E505" s="535" t="n">
        <v>36061</v>
      </c>
      <c r="F505" s="534" t="n">
        <v>9.022</v>
      </c>
      <c r="G505" s="554" t="n"/>
    </row>
    <row r="506">
      <c r="A506" s="535" t="n">
        <v>32244</v>
      </c>
      <c r="B506" s="534" t="n">
        <v>6.272</v>
      </c>
      <c r="C506" s="534" t="n">
        <v>2651.01</v>
      </c>
      <c r="E506" s="535" t="n">
        <v>36062</v>
      </c>
      <c r="F506" s="534" t="n">
        <v>8.686999999999999</v>
      </c>
      <c r="G506" s="554" t="n"/>
    </row>
    <row r="507">
      <c r="A507" s="535" t="n">
        <v>32245</v>
      </c>
      <c r="B507" s="534" t="n">
        <v>6.185</v>
      </c>
      <c r="C507" s="534" t="n">
        <v>2635.94</v>
      </c>
      <c r="E507" s="535" t="n">
        <v>36063</v>
      </c>
      <c r="F507" s="534" t="n">
        <v>8.381</v>
      </c>
      <c r="G507" s="554" t="n"/>
    </row>
    <row r="508">
      <c r="A508" s="535" t="n">
        <v>32246</v>
      </c>
      <c r="B508" s="534" t="n">
        <v>6.228</v>
      </c>
      <c r="C508" s="534" t="n">
        <v>2671.24</v>
      </c>
      <c r="E508" s="535" t="n">
        <v>36066</v>
      </c>
      <c r="F508" s="534" t="n">
        <v>8.566000000000001</v>
      </c>
      <c r="G508" s="554" t="n"/>
    </row>
    <row r="509">
      <c r="A509" s="535" t="n">
        <v>32247</v>
      </c>
      <c r="B509" s="534" t="n">
        <v>6.228</v>
      </c>
      <c r="C509" s="534" t="n">
        <v>2684.13</v>
      </c>
      <c r="E509" s="535" t="n">
        <v>36067</v>
      </c>
      <c r="F509" s="534" t="n">
        <v>8.544</v>
      </c>
      <c r="G509" s="554" t="n"/>
    </row>
    <row r="510">
      <c r="A510" s="535" t="n">
        <v>32248</v>
      </c>
      <c r="B510" s="534" t="n">
        <v>6.098</v>
      </c>
      <c r="C510" s="534" t="n">
        <v>2598.95</v>
      </c>
      <c r="E510" s="535" t="n">
        <v>36068</v>
      </c>
      <c r="F510" s="534" t="n">
        <v>8.491</v>
      </c>
      <c r="G510" s="554" t="n"/>
    </row>
    <row r="511">
      <c r="A511" s="535" t="n">
        <v>32251</v>
      </c>
      <c r="B511" s="534" t="n">
        <v>6.011</v>
      </c>
      <c r="C511" s="534" t="n">
        <v>2551.96</v>
      </c>
      <c r="E511" s="535" t="n">
        <v>36069</v>
      </c>
      <c r="F511" s="534" t="n">
        <v>8.491</v>
      </c>
      <c r="G511" s="554" t="n"/>
    </row>
    <row r="512">
      <c r="A512" s="535" t="n">
        <v>32252</v>
      </c>
      <c r="B512" s="534" t="n">
        <v>6.098</v>
      </c>
      <c r="C512" s="534" t="n">
        <v>2593.93</v>
      </c>
      <c r="E512" s="535" t="n">
        <v>36070</v>
      </c>
      <c r="F512" s="534" t="n">
        <v>8.491</v>
      </c>
      <c r="G512" s="554" t="n"/>
    </row>
    <row r="513">
      <c r="A513" s="535" t="n">
        <v>32253</v>
      </c>
      <c r="B513" s="534" t="n">
        <v>6.098</v>
      </c>
      <c r="C513" s="534" t="n">
        <v>2578.44</v>
      </c>
      <c r="E513" s="535" t="n">
        <v>36073</v>
      </c>
      <c r="F513" s="534" t="n">
        <v>8.298999999999999</v>
      </c>
      <c r="G513" s="554" t="n"/>
    </row>
    <row r="514">
      <c r="A514" s="535" t="n">
        <v>32254</v>
      </c>
      <c r="B514" s="534" t="n">
        <v>6.098</v>
      </c>
      <c r="C514" s="534" t="n">
        <v>2552.71</v>
      </c>
      <c r="E514" s="535" t="n">
        <v>36074</v>
      </c>
      <c r="F514" s="534" t="n">
        <v>8.298999999999999</v>
      </c>
      <c r="G514" s="554" t="n"/>
    </row>
    <row r="515">
      <c r="A515" s="535" t="n">
        <v>32255</v>
      </c>
      <c r="B515" s="534" t="n">
        <v>6.228</v>
      </c>
      <c r="C515" s="534" t="n">
        <v>2591.35</v>
      </c>
      <c r="E515" s="535" t="n">
        <v>36075</v>
      </c>
      <c r="F515" s="534" t="n">
        <v>7.773</v>
      </c>
      <c r="G515" s="554" t="n"/>
    </row>
    <row r="516">
      <c r="A516" s="535" t="n">
        <v>32258</v>
      </c>
      <c r="B516" s="534" t="n">
        <v>6.316</v>
      </c>
      <c r="C516" s="534" t="n">
        <v>2623.75</v>
      </c>
      <c r="E516" s="535" t="n">
        <v>36076</v>
      </c>
      <c r="F516" s="534" t="n">
        <v>7.723</v>
      </c>
      <c r="G516" s="554" t="n"/>
    </row>
    <row r="517">
      <c r="A517" s="535" t="n">
        <v>32259</v>
      </c>
      <c r="B517" s="534" t="n">
        <v>6.228</v>
      </c>
      <c r="C517" s="534" t="n">
        <v>2585.97</v>
      </c>
      <c r="E517" s="535" t="n">
        <v>36077</v>
      </c>
      <c r="F517" s="534" t="n">
        <v>7.68</v>
      </c>
      <c r="G517" s="554" t="n"/>
    </row>
    <row r="518">
      <c r="A518" s="535" t="n">
        <v>32260</v>
      </c>
      <c r="B518" s="534" t="n">
        <v>6.272</v>
      </c>
      <c r="C518" s="534" t="n">
        <v>2592.02</v>
      </c>
      <c r="E518" s="535" t="n">
        <v>36080</v>
      </c>
      <c r="F518" s="534" t="n">
        <v>7.537</v>
      </c>
      <c r="G518" s="554" t="n"/>
    </row>
    <row r="519">
      <c r="A519" s="535" t="n">
        <v>32261</v>
      </c>
      <c r="B519" s="534" t="n">
        <v>6.272</v>
      </c>
      <c r="C519" s="534" t="n">
        <v>2588.14</v>
      </c>
      <c r="E519" s="535" t="n">
        <v>36081</v>
      </c>
      <c r="F519" s="534" t="n">
        <v>7.646</v>
      </c>
      <c r="G519" s="554" t="n"/>
    </row>
    <row r="520">
      <c r="A520" s="535" t="n">
        <v>32262</v>
      </c>
      <c r="B520" s="534" t="n">
        <v>6.272</v>
      </c>
      <c r="C520" s="534" t="n">
        <v>2602.87</v>
      </c>
      <c r="E520" s="535" t="n">
        <v>36082</v>
      </c>
      <c r="F520" s="534" t="n">
        <v>7.618</v>
      </c>
      <c r="G520" s="554" t="n"/>
    </row>
    <row r="521">
      <c r="A521" s="535" t="n">
        <v>32265</v>
      </c>
      <c r="B521" s="534" t="n">
        <v>6.316</v>
      </c>
      <c r="C521" s="534" t="n">
        <v>2589.89</v>
      </c>
      <c r="E521" s="535" t="n">
        <v>36083</v>
      </c>
      <c r="F521" s="534" t="n">
        <v>7.522</v>
      </c>
      <c r="G521" s="554" t="n"/>
    </row>
    <row r="522">
      <c r="A522" s="535" t="n">
        <v>32266</v>
      </c>
      <c r="B522" s="534" t="n">
        <v>6.316</v>
      </c>
      <c r="C522" s="534" t="n">
        <v>2602.6</v>
      </c>
      <c r="E522" s="535" t="n">
        <v>36084</v>
      </c>
      <c r="F522" s="534" t="n">
        <v>7.265</v>
      </c>
      <c r="G522" s="554" t="n"/>
    </row>
    <row r="523">
      <c r="A523" s="535" t="n">
        <v>32267</v>
      </c>
      <c r="B523" s="534" t="n">
        <v>6.359</v>
      </c>
      <c r="C523" s="534" t="n">
        <v>2641.13</v>
      </c>
      <c r="E523" s="535" t="n">
        <v>36087</v>
      </c>
      <c r="F523" s="534" t="n">
        <v>7.256</v>
      </c>
      <c r="G523" s="554" t="n"/>
    </row>
    <row r="524">
      <c r="A524" s="535" t="n">
        <v>32268</v>
      </c>
      <c r="B524" s="534" t="n">
        <v>6.228</v>
      </c>
      <c r="C524" s="534" t="n">
        <v>2577.92</v>
      </c>
      <c r="E524" s="535" t="n">
        <v>36088</v>
      </c>
      <c r="F524" s="534" t="n">
        <v>7.323</v>
      </c>
      <c r="G524" s="554" t="n"/>
    </row>
    <row r="525">
      <c r="A525" s="535" t="n">
        <v>32269</v>
      </c>
      <c r="B525" s="534" t="n">
        <v>6.403</v>
      </c>
      <c r="C525" s="534" t="n">
        <v>2571.74</v>
      </c>
      <c r="E525" s="535" t="n">
        <v>36089</v>
      </c>
      <c r="F525" s="534" t="n">
        <v>7.384</v>
      </c>
      <c r="G525" s="554" t="n"/>
    </row>
    <row r="526">
      <c r="A526" s="535" t="n">
        <v>32272</v>
      </c>
      <c r="B526" s="534" t="n">
        <v>6.577</v>
      </c>
      <c r="C526" s="534" t="n">
        <v>2584.03</v>
      </c>
      <c r="E526" s="535" t="n">
        <v>36090</v>
      </c>
      <c r="F526" s="534" t="n">
        <v>7.417</v>
      </c>
      <c r="G526" s="554" t="n"/>
    </row>
    <row r="527">
      <c r="A527" s="535" t="n">
        <v>32273</v>
      </c>
      <c r="B527" s="534" t="n">
        <v>6.62</v>
      </c>
      <c r="C527" s="534" t="n">
        <v>2563.02</v>
      </c>
      <c r="E527" s="535" t="n">
        <v>36091</v>
      </c>
      <c r="F527" s="534" t="n">
        <v>7.396</v>
      </c>
      <c r="G527" s="554" t="n"/>
    </row>
    <row r="528">
      <c r="A528" s="535" t="n">
        <v>32274</v>
      </c>
      <c r="B528" s="534" t="n">
        <v>6.577</v>
      </c>
      <c r="C528" s="534" t="n">
        <v>2534.36</v>
      </c>
      <c r="E528" s="535" t="n">
        <v>36094</v>
      </c>
      <c r="F528" s="534" t="n">
        <v>7.577</v>
      </c>
      <c r="G528" s="554" t="n"/>
    </row>
    <row r="529">
      <c r="A529" s="535" t="n">
        <v>32275</v>
      </c>
      <c r="B529" s="534" t="n">
        <v>6.62</v>
      </c>
      <c r="C529" s="534" t="n">
        <v>2508.88</v>
      </c>
      <c r="E529" s="535" t="n">
        <v>36095</v>
      </c>
      <c r="F529" s="534" t="n">
        <v>7.482</v>
      </c>
      <c r="G529" s="554" t="n"/>
    </row>
    <row r="530">
      <c r="A530" s="535" t="n">
        <v>32276</v>
      </c>
      <c r="B530" s="534" t="n">
        <v>6.403</v>
      </c>
      <c r="C530" s="534" t="n">
        <v>2532.63</v>
      </c>
      <c r="E530" s="535" t="n">
        <v>36096</v>
      </c>
      <c r="F530" s="534" t="n">
        <v>7.482</v>
      </c>
      <c r="G530" s="554" t="n"/>
    </row>
    <row r="531">
      <c r="A531" s="535" t="n">
        <v>32279</v>
      </c>
      <c r="B531" s="534" t="n">
        <v>6.316</v>
      </c>
      <c r="C531" s="534" t="n">
        <v>2538.02</v>
      </c>
      <c r="E531" s="535" t="n">
        <v>36097</v>
      </c>
      <c r="F531" s="534" t="n">
        <v>7.48</v>
      </c>
      <c r="G531" s="554" t="n"/>
    </row>
    <row r="532">
      <c r="A532" s="535" t="n">
        <v>32280</v>
      </c>
      <c r="B532" s="534" t="n">
        <v>6.272</v>
      </c>
      <c r="C532" s="534" t="n">
        <v>2533.57</v>
      </c>
      <c r="E532" s="535" t="n">
        <v>36098</v>
      </c>
      <c r="F532" s="534" t="n">
        <v>7.338</v>
      </c>
      <c r="G532" s="554" t="n"/>
    </row>
    <row r="533">
      <c r="A533" s="535" t="n">
        <v>32281</v>
      </c>
      <c r="B533" s="534" t="n">
        <v>6.185</v>
      </c>
      <c r="C533" s="534" t="n">
        <v>2533.26</v>
      </c>
      <c r="E533" s="535" t="n">
        <v>36101</v>
      </c>
      <c r="F533" s="534" t="n">
        <v>7.291</v>
      </c>
      <c r="G533" s="554" t="n"/>
    </row>
    <row r="534">
      <c r="A534" s="535" t="n">
        <v>32282</v>
      </c>
      <c r="B534" s="534" t="n">
        <v>6.098</v>
      </c>
      <c r="C534" s="534" t="n">
        <v>2506.76</v>
      </c>
      <c r="E534" s="535" t="n">
        <v>36102</v>
      </c>
      <c r="F534" s="534" t="n">
        <v>7.251</v>
      </c>
      <c r="G534" s="554" t="n"/>
    </row>
    <row r="535">
      <c r="A535" s="535" t="n">
        <v>32283</v>
      </c>
      <c r="B535" s="534" t="n">
        <v>6.098</v>
      </c>
      <c r="C535" s="534" t="n">
        <v>2491.24</v>
      </c>
      <c r="E535" s="535" t="n">
        <v>36103</v>
      </c>
      <c r="F535" s="534" t="n">
        <v>7.297</v>
      </c>
      <c r="G535" s="554" t="n"/>
    </row>
    <row r="536">
      <c r="A536" s="535" t="n">
        <v>32286</v>
      </c>
      <c r="B536" s="534" t="n">
        <v>6.141</v>
      </c>
      <c r="C536" s="534" t="n">
        <v>2490.23</v>
      </c>
      <c r="E536" s="535" t="n">
        <v>36104</v>
      </c>
      <c r="F536" s="534" t="n">
        <v>7.324</v>
      </c>
      <c r="G536" s="554" t="n"/>
    </row>
    <row r="537">
      <c r="A537" s="535" t="n">
        <v>32287</v>
      </c>
      <c r="B537" s="534" t="n">
        <v>6.228</v>
      </c>
      <c r="C537" s="534" t="n">
        <v>2516.18</v>
      </c>
      <c r="E537" s="535" t="n">
        <v>36105</v>
      </c>
      <c r="F537" s="534" t="n">
        <v>7.261</v>
      </c>
      <c r="G537" s="554" t="n"/>
    </row>
    <row r="538">
      <c r="A538" s="535" t="n">
        <v>32288</v>
      </c>
      <c r="B538" s="534" t="n">
        <v>6.316</v>
      </c>
      <c r="C538" s="534" t="n">
        <v>2528</v>
      </c>
      <c r="E538" s="535" t="n">
        <v>36108</v>
      </c>
      <c r="F538" s="534" t="n">
        <v>7.288</v>
      </c>
      <c r="G538" s="554" t="n"/>
    </row>
    <row r="539">
      <c r="A539" s="535" t="n">
        <v>32289</v>
      </c>
      <c r="B539" s="534" t="n">
        <v>6.272</v>
      </c>
      <c r="C539" s="534" t="n">
        <v>2520.49</v>
      </c>
      <c r="E539" s="535" t="n">
        <v>36109</v>
      </c>
      <c r="F539" s="534" t="n">
        <v>7.308</v>
      </c>
      <c r="G539" s="554" t="n"/>
    </row>
    <row r="540">
      <c r="A540" s="535" t="n">
        <v>32290</v>
      </c>
      <c r="B540" s="534" t="n">
        <v>6.272</v>
      </c>
      <c r="C540" s="534" t="n">
        <v>2513.7</v>
      </c>
      <c r="E540" s="535" t="n">
        <v>36110</v>
      </c>
      <c r="F540" s="534" t="n">
        <v>7.301</v>
      </c>
      <c r="G540" s="554" t="n"/>
    </row>
    <row r="541">
      <c r="A541" s="535" t="n">
        <v>32293</v>
      </c>
      <c r="B541" s="534" t="n">
        <v>6.228</v>
      </c>
      <c r="C541" s="534" t="n">
        <v>2488.99</v>
      </c>
      <c r="E541" s="535" t="n">
        <v>36111</v>
      </c>
      <c r="F541" s="534" t="n">
        <v>7.259</v>
      </c>
      <c r="G541" s="554" t="n"/>
    </row>
    <row r="542">
      <c r="A542" s="535" t="n">
        <v>32294</v>
      </c>
      <c r="B542" s="534" t="n">
        <v>6.316</v>
      </c>
      <c r="C542" s="534" t="n">
        <v>2496.68</v>
      </c>
      <c r="E542" s="535" t="n">
        <v>36112</v>
      </c>
      <c r="F542" s="534" t="n">
        <v>7.246</v>
      </c>
      <c r="G542" s="554" t="n"/>
    </row>
    <row r="543">
      <c r="A543" s="535" t="n">
        <v>32295</v>
      </c>
      <c r="B543" s="534" t="n">
        <v>6.316</v>
      </c>
      <c r="C543" s="534" t="n">
        <v>2516.24</v>
      </c>
      <c r="E543" s="535" t="n">
        <v>36115</v>
      </c>
      <c r="F543" s="534" t="n">
        <v>7.245</v>
      </c>
      <c r="G543" s="554" t="n"/>
    </row>
    <row r="544">
      <c r="A544" s="535" t="n">
        <v>32296</v>
      </c>
      <c r="B544" s="534" t="n">
        <v>6.446</v>
      </c>
      <c r="C544" s="534" t="n">
        <v>2546.67</v>
      </c>
      <c r="E544" s="535" t="n">
        <v>36116</v>
      </c>
      <c r="F544" s="534" t="n">
        <v>7.204</v>
      </c>
      <c r="G544" s="554" t="n"/>
    </row>
    <row r="545">
      <c r="A545" s="535" t="n">
        <v>32297</v>
      </c>
      <c r="B545" s="534" t="n">
        <v>6.533</v>
      </c>
      <c r="C545" s="534" t="n">
        <v>2568.35</v>
      </c>
      <c r="E545" s="535" t="n">
        <v>36117</v>
      </c>
      <c r="F545" s="534" t="n">
        <v>7.15</v>
      </c>
      <c r="G545" s="554" t="n"/>
    </row>
    <row r="546">
      <c r="A546" s="535" t="n">
        <v>32300</v>
      </c>
      <c r="B546" s="534" t="n">
        <v>6.533</v>
      </c>
      <c r="C546" s="534" t="n">
        <v>2590.39</v>
      </c>
      <c r="E546" s="535" t="n">
        <v>36118</v>
      </c>
      <c r="F546" s="534" t="n">
        <v>7.15</v>
      </c>
      <c r="G546" s="554" t="n"/>
    </row>
    <row r="547">
      <c r="A547" s="535" t="n">
        <v>32301</v>
      </c>
      <c r="B547" s="534" t="n">
        <v>6.664</v>
      </c>
      <c r="C547" s="534" t="n">
        <v>2587.03</v>
      </c>
      <c r="E547" s="535" t="n">
        <v>36119</v>
      </c>
      <c r="F547" s="534" t="n">
        <v>7.05</v>
      </c>
      <c r="G547" s="554" t="n"/>
    </row>
    <row r="548">
      <c r="A548" s="535" t="n">
        <v>32302</v>
      </c>
      <c r="B548" s="534" t="n">
        <v>6.838</v>
      </c>
      <c r="C548" s="534" t="n">
        <v>2608.98</v>
      </c>
      <c r="E548" s="535" t="n">
        <v>36122</v>
      </c>
      <c r="F548" s="534" t="n">
        <v>6.976</v>
      </c>
      <c r="G548" s="554" t="n"/>
    </row>
    <row r="549">
      <c r="A549" s="535" t="n">
        <v>32303</v>
      </c>
      <c r="B549" s="534" t="n">
        <v>6.882</v>
      </c>
      <c r="C549" s="534" t="n">
        <v>2640.83</v>
      </c>
      <c r="E549" s="535" t="n">
        <v>36123</v>
      </c>
      <c r="F549" s="534" t="n">
        <v>6.973</v>
      </c>
      <c r="G549" s="554" t="n"/>
    </row>
    <row r="550">
      <c r="A550" s="535" t="n">
        <v>32304</v>
      </c>
      <c r="B550" s="534" t="n">
        <v>6.795</v>
      </c>
      <c r="C550" s="534" t="n">
        <v>2647.42</v>
      </c>
      <c r="E550" s="535" t="n">
        <v>36124</v>
      </c>
      <c r="F550" s="534" t="n">
        <v>6.891</v>
      </c>
      <c r="G550" s="554" t="n"/>
    </row>
    <row r="551">
      <c r="A551" s="535" t="n">
        <v>32307</v>
      </c>
      <c r="B551" s="534" t="n">
        <v>6.795</v>
      </c>
      <c r="C551" s="534" t="n">
        <v>2647.42</v>
      </c>
      <c r="E551" s="535" t="n">
        <v>36125</v>
      </c>
      <c r="F551" s="534" t="n">
        <v>6.869</v>
      </c>
      <c r="G551" s="554" t="n"/>
    </row>
    <row r="552">
      <c r="A552" s="535" t="n">
        <v>32308</v>
      </c>
      <c r="B552" s="534" t="n">
        <v>6.838</v>
      </c>
      <c r="C552" s="534" t="n">
        <v>2672.7</v>
      </c>
      <c r="E552" s="535" t="n">
        <v>36126</v>
      </c>
      <c r="F552" s="534" t="n">
        <v>6.909</v>
      </c>
      <c r="G552" s="554" t="n"/>
    </row>
    <row r="553">
      <c r="A553" s="535" t="n">
        <v>32309</v>
      </c>
      <c r="B553" s="534" t="n">
        <v>6.925</v>
      </c>
      <c r="C553" s="534" t="n">
        <v>2699.58</v>
      </c>
      <c r="E553" s="535" t="n">
        <v>36129</v>
      </c>
      <c r="F553" s="534" t="n">
        <v>6.927</v>
      </c>
      <c r="G553" s="554" t="n"/>
    </row>
    <row r="554">
      <c r="A554" s="535" t="n">
        <v>32310</v>
      </c>
      <c r="B554" s="534" t="n">
        <v>6.925</v>
      </c>
      <c r="C554" s="534" t="n">
        <v>2693.5</v>
      </c>
      <c r="E554" s="535" t="n">
        <v>36130</v>
      </c>
      <c r="F554" s="534" t="n">
        <v>6.946</v>
      </c>
      <c r="G554" s="554" t="n"/>
    </row>
    <row r="555">
      <c r="A555" s="535" t="n">
        <v>32311</v>
      </c>
      <c r="B555" s="534" t="n">
        <v>6.969</v>
      </c>
      <c r="C555" s="534" t="n">
        <v>2718.02</v>
      </c>
      <c r="E555" s="535" t="n">
        <v>36131</v>
      </c>
      <c r="F555" s="534" t="n">
        <v>6.965</v>
      </c>
      <c r="G555" s="554" t="n"/>
    </row>
    <row r="556">
      <c r="A556" s="535" t="n">
        <v>32314</v>
      </c>
      <c r="B556" s="534" t="n">
        <v>7.1</v>
      </c>
      <c r="C556" s="534" t="n">
        <v>2719.06</v>
      </c>
      <c r="E556" s="535" t="n">
        <v>36132</v>
      </c>
      <c r="F556" s="534" t="n">
        <v>6.957</v>
      </c>
      <c r="G556" s="554" t="n"/>
    </row>
    <row r="557">
      <c r="A557" s="535" t="n">
        <v>32315</v>
      </c>
      <c r="B557" s="534" t="n">
        <v>7.1</v>
      </c>
      <c r="C557" s="534" t="n">
        <v>2683.65</v>
      </c>
      <c r="E557" s="535" t="n">
        <v>36133</v>
      </c>
      <c r="F557" s="534" t="n">
        <v>6.924</v>
      </c>
      <c r="G557" s="554" t="n"/>
    </row>
    <row r="558">
      <c r="A558" s="535" t="n">
        <v>32316</v>
      </c>
      <c r="B558" s="534" t="n">
        <v>7.361</v>
      </c>
      <c r="C558" s="534" t="n">
        <v>2703.74</v>
      </c>
      <c r="E558" s="535" t="n">
        <v>36136</v>
      </c>
      <c r="F558" s="534" t="n">
        <v>6.735</v>
      </c>
      <c r="G558" s="554" t="n"/>
    </row>
    <row r="559">
      <c r="A559" s="535" t="n">
        <v>32317</v>
      </c>
      <c r="B559" s="534" t="n">
        <v>7.404</v>
      </c>
      <c r="C559" s="534" t="n">
        <v>2712.24</v>
      </c>
      <c r="E559" s="535" t="n">
        <v>36137</v>
      </c>
      <c r="F559" s="534" t="n">
        <v>6.727</v>
      </c>
      <c r="G559" s="554" t="n"/>
    </row>
    <row r="560">
      <c r="A560" s="535" t="n">
        <v>32318</v>
      </c>
      <c r="B560" s="534" t="n">
        <v>7.535</v>
      </c>
      <c r="C560" s="534" t="n">
        <v>2707.56</v>
      </c>
      <c r="E560" s="535" t="n">
        <v>36138</v>
      </c>
      <c r="F560" s="534" t="n">
        <v>6.741</v>
      </c>
      <c r="G560" s="554" t="n"/>
    </row>
    <row r="561">
      <c r="A561" s="535" t="n">
        <v>32321</v>
      </c>
      <c r="B561" s="534" t="n">
        <v>7.448</v>
      </c>
      <c r="C561" s="534" t="n">
        <v>2689.66</v>
      </c>
      <c r="E561" s="535" t="n">
        <v>36139</v>
      </c>
      <c r="F561" s="534" t="n">
        <v>6.63</v>
      </c>
      <c r="G561" s="554" t="n"/>
    </row>
    <row r="562">
      <c r="A562" s="535" t="n">
        <v>32322</v>
      </c>
      <c r="B562" s="534" t="n">
        <v>7.361</v>
      </c>
      <c r="C562" s="534" t="n">
        <v>2661.46</v>
      </c>
      <c r="E562" s="535" t="n">
        <v>36140</v>
      </c>
      <c r="F562" s="534" t="n">
        <v>6.682</v>
      </c>
      <c r="G562" s="554" t="n"/>
    </row>
    <row r="563">
      <c r="A563" s="535" t="n">
        <v>32323</v>
      </c>
      <c r="B563" s="534" t="n">
        <v>7.361</v>
      </c>
      <c r="C563" s="534" t="n">
        <v>2648.22</v>
      </c>
      <c r="E563" s="535" t="n">
        <v>36143</v>
      </c>
      <c r="F563" s="534" t="n">
        <v>6.615</v>
      </c>
      <c r="G563" s="554" t="n"/>
    </row>
    <row r="564">
      <c r="A564" s="535" t="n">
        <v>32324</v>
      </c>
      <c r="B564" s="534" t="n">
        <v>7.448</v>
      </c>
      <c r="C564" s="534" t="n">
        <v>2671.49</v>
      </c>
      <c r="E564" s="535" t="n">
        <v>36144</v>
      </c>
      <c r="F564" s="534" t="n">
        <v>6.663</v>
      </c>
      <c r="G564" s="554" t="n"/>
    </row>
    <row r="565">
      <c r="A565" s="535" t="n">
        <v>32325</v>
      </c>
      <c r="B565" s="534" t="n">
        <v>7.492</v>
      </c>
      <c r="C565" s="534" t="n">
        <v>2684.64</v>
      </c>
      <c r="E565" s="535" t="n">
        <v>36145</v>
      </c>
      <c r="F565" s="534" t="n">
        <v>6.654</v>
      </c>
      <c r="G565" s="554" t="n"/>
    </row>
    <row r="566">
      <c r="A566" s="535" t="n">
        <v>32328</v>
      </c>
      <c r="B566" s="534" t="n">
        <v>7.404</v>
      </c>
      <c r="C566" s="534" t="n">
        <v>2687.62</v>
      </c>
      <c r="E566" s="535" t="n">
        <v>36146</v>
      </c>
      <c r="F566" s="534" t="n">
        <v>6.575</v>
      </c>
      <c r="G566" s="554" t="n"/>
    </row>
    <row r="567">
      <c r="A567" s="535" t="n">
        <v>32329</v>
      </c>
      <c r="B567" s="534" t="n">
        <v>7.361</v>
      </c>
      <c r="C567" s="534" t="n">
        <v>2681.91</v>
      </c>
      <c r="E567" s="535" t="n">
        <v>36147</v>
      </c>
      <c r="F567" s="534" t="n">
        <v>6.544</v>
      </c>
      <c r="G567" s="554" t="n"/>
    </row>
    <row r="568">
      <c r="A568" s="535" t="n">
        <v>32330</v>
      </c>
      <c r="B568" s="534" t="n">
        <v>7.492</v>
      </c>
      <c r="C568" s="534" t="n">
        <v>2737.51</v>
      </c>
      <c r="E568" s="535" t="n">
        <v>36150</v>
      </c>
      <c r="F568" s="534" t="n">
        <v>6.491</v>
      </c>
      <c r="G568" s="554" t="n"/>
    </row>
    <row r="569">
      <c r="A569" s="535" t="n">
        <v>32331</v>
      </c>
      <c r="B569" s="534" t="n">
        <v>7.492</v>
      </c>
      <c r="C569" s="534" t="n">
        <v>2759.63</v>
      </c>
      <c r="E569" s="535" t="n">
        <v>36151</v>
      </c>
      <c r="F569" s="534" t="n">
        <v>6.478</v>
      </c>
      <c r="G569" s="554" t="n"/>
    </row>
    <row r="570">
      <c r="A570" s="535" t="n">
        <v>32332</v>
      </c>
      <c r="B570" s="534" t="n">
        <v>7.448</v>
      </c>
      <c r="C570" s="534" t="n">
        <v>2752.9</v>
      </c>
      <c r="E570" s="535" t="n">
        <v>36152</v>
      </c>
      <c r="F570" s="534" t="n">
        <v>6.456</v>
      </c>
      <c r="G570" s="554" t="n"/>
    </row>
    <row r="571">
      <c r="A571" s="535" t="n">
        <v>32335</v>
      </c>
      <c r="B571" s="534" t="n">
        <v>7.448</v>
      </c>
      <c r="C571" s="534" t="n">
        <v>2759.59</v>
      </c>
      <c r="E571" s="535" t="n">
        <v>36153</v>
      </c>
      <c r="F571" s="534" t="n">
        <v>6.445</v>
      </c>
      <c r="G571" s="554" t="n"/>
    </row>
    <row r="572">
      <c r="A572" s="535" t="n">
        <v>32336</v>
      </c>
      <c r="B572" s="534" t="n">
        <v>7.492</v>
      </c>
      <c r="C572" s="534" t="n">
        <v>2772.53</v>
      </c>
      <c r="E572" s="535" t="n">
        <v>36154</v>
      </c>
      <c r="F572" s="534" t="n">
        <v>6.445</v>
      </c>
      <c r="G572" s="554" t="n"/>
    </row>
    <row r="573">
      <c r="A573" s="535" t="n">
        <v>32337</v>
      </c>
      <c r="B573" s="534" t="n">
        <v>7.448</v>
      </c>
      <c r="C573" s="534" t="n">
        <v>2744.85</v>
      </c>
      <c r="E573" s="535" t="n">
        <v>36157</v>
      </c>
      <c r="F573" s="534" t="n">
        <v>6.419</v>
      </c>
      <c r="G573" s="554" t="n"/>
    </row>
    <row r="574">
      <c r="A574" s="535" t="n">
        <v>32338</v>
      </c>
      <c r="B574" s="534" t="n">
        <v>7.492</v>
      </c>
      <c r="C574" s="534" t="n">
        <v>2752.96</v>
      </c>
      <c r="E574" s="535" t="n">
        <v>36158</v>
      </c>
      <c r="F574" s="534" t="n">
        <v>6.461</v>
      </c>
      <c r="G574" s="554" t="n"/>
    </row>
    <row r="575">
      <c r="A575" s="535" t="n">
        <v>32339</v>
      </c>
      <c r="B575" s="534" t="n">
        <v>7.666</v>
      </c>
      <c r="C575" s="534" t="n">
        <v>2740.7</v>
      </c>
      <c r="E575" s="535" t="n">
        <v>36159</v>
      </c>
      <c r="F575" s="534" t="n">
        <v>6.385</v>
      </c>
      <c r="G575" s="554" t="n"/>
    </row>
    <row r="576">
      <c r="A576" s="535" t="n">
        <v>32342</v>
      </c>
      <c r="B576" s="534" t="n">
        <v>7.709</v>
      </c>
      <c r="C576" s="534" t="n">
        <v>2711.37</v>
      </c>
      <c r="E576" s="535" t="n">
        <v>36160</v>
      </c>
      <c r="F576" s="534" t="n">
        <v>6.347</v>
      </c>
      <c r="G576" s="554" t="n"/>
    </row>
    <row r="577">
      <c r="A577" s="535" t="n">
        <v>32343</v>
      </c>
      <c r="B577" s="534" t="n">
        <v>7.579</v>
      </c>
      <c r="C577" s="534" t="n">
        <v>2677.8</v>
      </c>
      <c r="E577" s="535" t="n">
        <v>36161</v>
      </c>
      <c r="F577" s="534" t="n">
        <v>6.347</v>
      </c>
      <c r="G577" s="554" t="n"/>
    </row>
    <row r="578">
      <c r="A578" s="535" t="n">
        <v>32344</v>
      </c>
      <c r="B578" s="534" t="n">
        <v>7.666</v>
      </c>
      <c r="C578" s="534" t="n">
        <v>2697.54</v>
      </c>
      <c r="E578" s="535" t="n">
        <v>36164</v>
      </c>
      <c r="F578" s="534" t="n">
        <v>6.263</v>
      </c>
      <c r="G578" s="554" t="n"/>
    </row>
    <row r="579">
      <c r="A579" s="535" t="n">
        <v>32345</v>
      </c>
      <c r="B579" s="534" t="n">
        <v>7.666</v>
      </c>
      <c r="C579" s="534" t="n">
        <v>2687.37</v>
      </c>
      <c r="E579" s="535" t="n">
        <v>36165</v>
      </c>
      <c r="F579" s="534" t="n">
        <v>6.213</v>
      </c>
      <c r="G579" s="554" t="n"/>
    </row>
    <row r="580">
      <c r="A580" s="535" t="n">
        <v>32346</v>
      </c>
      <c r="B580" s="534" t="n">
        <v>7.535</v>
      </c>
      <c r="C580" s="534" t="n">
        <v>2661.77</v>
      </c>
      <c r="E580" s="535" t="n">
        <v>36166</v>
      </c>
      <c r="F580" s="534" t="n">
        <v>6.102</v>
      </c>
      <c r="G580" s="554" t="n"/>
    </row>
    <row r="581">
      <c r="A581" s="535" t="n">
        <v>32349</v>
      </c>
      <c r="B581" s="534" t="n">
        <v>7.492</v>
      </c>
      <c r="C581" s="534" t="n">
        <v>2647.41</v>
      </c>
      <c r="E581" s="535" t="n">
        <v>36167</v>
      </c>
      <c r="F581" s="534" t="n">
        <v>6.097</v>
      </c>
      <c r="G581" s="554" t="n"/>
    </row>
    <row r="582">
      <c r="A582" s="535" t="n">
        <v>32350</v>
      </c>
      <c r="B582" s="534" t="n">
        <v>7.492</v>
      </c>
      <c r="C582" s="534" t="n">
        <v>2655.62</v>
      </c>
      <c r="E582" s="535" t="n">
        <v>36168</v>
      </c>
      <c r="F582" s="534" t="n">
        <v>6.248</v>
      </c>
      <c r="G582" s="554" t="n"/>
    </row>
    <row r="583">
      <c r="A583" s="535" t="n">
        <v>32351</v>
      </c>
      <c r="B583" s="534" t="n">
        <v>7.579</v>
      </c>
      <c r="C583" s="534" t="n">
        <v>2665.23</v>
      </c>
      <c r="E583" s="535" t="n">
        <v>36171</v>
      </c>
      <c r="F583" s="534" t="n">
        <v>6.813</v>
      </c>
      <c r="G583" s="554" t="n"/>
    </row>
    <row r="584">
      <c r="A584" s="535" t="n">
        <v>32352</v>
      </c>
      <c r="B584" s="534" t="n">
        <v>7.709</v>
      </c>
      <c r="C584" s="534" t="n">
        <v>2663.45</v>
      </c>
      <c r="E584" s="535" t="n">
        <v>36172</v>
      </c>
      <c r="F584" s="534" t="n">
        <v>6.819</v>
      </c>
      <c r="G584" s="554" t="n"/>
    </row>
    <row r="585">
      <c r="A585" s="535" t="n">
        <v>32353</v>
      </c>
      <c r="B585" s="534" t="n">
        <v>7.709</v>
      </c>
      <c r="C585" s="534" t="n">
        <v>2678.92</v>
      </c>
      <c r="E585" s="535" t="n">
        <v>36173</v>
      </c>
      <c r="F585" s="534" t="n">
        <v>7.016</v>
      </c>
      <c r="G585" s="554" t="n"/>
    </row>
    <row r="586">
      <c r="A586" s="535" t="n">
        <v>32356</v>
      </c>
      <c r="B586" s="534" t="n">
        <v>7.753</v>
      </c>
      <c r="C586" s="534" t="n">
        <v>2703.42</v>
      </c>
      <c r="E586" s="535" t="n">
        <v>36174</v>
      </c>
      <c r="F586" s="534" t="n">
        <v>6.884</v>
      </c>
      <c r="G586" s="554" t="n"/>
    </row>
    <row r="587">
      <c r="A587" s="535" t="n">
        <v>32357</v>
      </c>
      <c r="B587" s="534" t="n">
        <v>7.84</v>
      </c>
      <c r="C587" s="534" t="n">
        <v>2701.09</v>
      </c>
      <c r="E587" s="535" t="n">
        <v>36175</v>
      </c>
      <c r="F587" s="534" t="n">
        <v>6.956</v>
      </c>
      <c r="G587" s="554" t="n"/>
    </row>
    <row r="588">
      <c r="A588" s="535" t="n">
        <v>32358</v>
      </c>
      <c r="B588" s="534" t="n">
        <v>7.796</v>
      </c>
      <c r="C588" s="534" t="n">
        <v>2692.63</v>
      </c>
      <c r="E588" s="535" t="n">
        <v>36178</v>
      </c>
      <c r="F588" s="534" t="n">
        <v>6.74</v>
      </c>
      <c r="G588" s="554" t="n"/>
    </row>
    <row r="589">
      <c r="A589" s="535" t="n">
        <v>32359</v>
      </c>
      <c r="B589" s="534" t="n">
        <v>7.796</v>
      </c>
      <c r="C589" s="534" t="n">
        <v>2677.37</v>
      </c>
      <c r="E589" s="535" t="n">
        <v>36179</v>
      </c>
      <c r="F589" s="534" t="n">
        <v>6.98</v>
      </c>
      <c r="G589" s="554" t="n"/>
    </row>
    <row r="590">
      <c r="A590" s="535" t="n">
        <v>32360</v>
      </c>
      <c r="B590" s="534" t="n">
        <v>7.753</v>
      </c>
      <c r="C590" s="534" t="n">
        <v>2671.17</v>
      </c>
      <c r="E590" s="535" t="n">
        <v>36180</v>
      </c>
      <c r="F590" s="534" t="n">
        <v>6.907</v>
      </c>
      <c r="G590" s="554" t="n"/>
    </row>
    <row r="591">
      <c r="A591" s="535" t="n">
        <v>32363</v>
      </c>
      <c r="B591" s="534" t="n">
        <v>7.709</v>
      </c>
      <c r="C591" s="534" t="n">
        <v>2659.1</v>
      </c>
      <c r="E591" s="535" t="n">
        <v>36181</v>
      </c>
      <c r="F591" s="534" t="n">
        <v>7.126</v>
      </c>
      <c r="G591" s="554" t="n"/>
    </row>
    <row r="592">
      <c r="A592" s="535" t="n">
        <v>32364</v>
      </c>
      <c r="B592" s="534" t="n">
        <v>7.579</v>
      </c>
      <c r="C592" s="534" t="n">
        <v>2634.04</v>
      </c>
      <c r="E592" s="535" t="n">
        <v>36182</v>
      </c>
      <c r="F592" s="534" t="n">
        <v>7.275</v>
      </c>
      <c r="G592" s="554" t="n"/>
    </row>
    <row r="593">
      <c r="A593" s="535" t="n">
        <v>32365</v>
      </c>
      <c r="B593" s="534" t="n">
        <v>7.579</v>
      </c>
      <c r="C593" s="534" t="n">
        <v>2579.38</v>
      </c>
      <c r="E593" s="535" t="n">
        <v>36185</v>
      </c>
      <c r="F593" s="534" t="n">
        <v>7.294</v>
      </c>
      <c r="G593" s="554" t="n"/>
    </row>
    <row r="594">
      <c r="A594" s="535" t="n">
        <v>32366</v>
      </c>
      <c r="B594" s="534" t="n">
        <v>7.579</v>
      </c>
      <c r="C594" s="534" t="n">
        <v>2595.28</v>
      </c>
      <c r="E594" s="535" t="n">
        <v>36186</v>
      </c>
      <c r="F594" s="534" t="n">
        <v>7.197</v>
      </c>
      <c r="G594" s="554" t="n"/>
    </row>
    <row r="595">
      <c r="A595" s="535" t="n">
        <v>32367</v>
      </c>
      <c r="B595" s="534" t="n">
        <v>7.579</v>
      </c>
      <c r="C595" s="534" t="n">
        <v>2600.93</v>
      </c>
      <c r="E595" s="535" t="n">
        <v>36187</v>
      </c>
      <c r="F595" s="534" t="n">
        <v>7.05</v>
      </c>
      <c r="G595" s="554" t="n"/>
    </row>
    <row r="596">
      <c r="A596" s="535" t="n">
        <v>32370</v>
      </c>
      <c r="B596" s="534" t="n">
        <v>7.622</v>
      </c>
      <c r="C596" s="534" t="n">
        <v>2600.63</v>
      </c>
      <c r="E596" s="535" t="n">
        <v>36188</v>
      </c>
      <c r="F596" s="534" t="n">
        <v>7.066</v>
      </c>
      <c r="G596" s="554" t="n"/>
    </row>
    <row r="597">
      <c r="A597" s="535" t="n">
        <v>32371</v>
      </c>
      <c r="B597" s="534" t="n">
        <v>7.535</v>
      </c>
      <c r="C597" s="534" t="n">
        <v>2589.36</v>
      </c>
      <c r="E597" s="535" t="n">
        <v>36189</v>
      </c>
      <c r="F597" s="534" t="n">
        <v>7.248</v>
      </c>
      <c r="G597" s="554" t="n"/>
    </row>
    <row r="598">
      <c r="A598" s="535" t="n">
        <v>32372</v>
      </c>
      <c r="B598" s="534" t="n">
        <v>7.579</v>
      </c>
      <c r="C598" s="534" t="n">
        <v>2594.66</v>
      </c>
      <c r="E598" s="535" t="n">
        <v>36192</v>
      </c>
      <c r="F598" s="534" t="n">
        <v>6.976</v>
      </c>
      <c r="G598" s="554" t="n"/>
    </row>
    <row r="599">
      <c r="A599" s="535" t="n">
        <v>32373</v>
      </c>
      <c r="B599" s="534" t="n">
        <v>7.535</v>
      </c>
      <c r="C599" s="534" t="n">
        <v>2571.41</v>
      </c>
      <c r="E599" s="535" t="n">
        <v>36193</v>
      </c>
      <c r="F599" s="534" t="n">
        <v>7.056</v>
      </c>
      <c r="G599" s="554" t="n"/>
    </row>
    <row r="600">
      <c r="A600" s="535" t="n">
        <v>32374</v>
      </c>
      <c r="B600" s="534" t="n">
        <v>7.535</v>
      </c>
      <c r="C600" s="534" t="n">
        <v>2579.75</v>
      </c>
      <c r="E600" s="535" t="n">
        <v>36194</v>
      </c>
      <c r="F600" s="534" t="n">
        <v>7.035</v>
      </c>
      <c r="G600" s="554" t="n"/>
    </row>
    <row r="601">
      <c r="A601" s="535" t="n">
        <v>32377</v>
      </c>
      <c r="B601" s="534" t="n">
        <v>7.492</v>
      </c>
      <c r="C601" s="534" t="n">
        <v>2564.14</v>
      </c>
      <c r="E601" s="535" t="n">
        <v>36195</v>
      </c>
      <c r="F601" s="534" t="n">
        <v>7.015</v>
      </c>
      <c r="G601" s="554" t="n"/>
    </row>
    <row r="602">
      <c r="A602" s="535" t="n">
        <v>32378</v>
      </c>
      <c r="B602" s="534" t="n">
        <v>7.361</v>
      </c>
      <c r="C602" s="534" t="n">
        <v>2532.13</v>
      </c>
      <c r="E602" s="535" t="n">
        <v>36196</v>
      </c>
      <c r="F602" s="534" t="n">
        <v>6.946</v>
      </c>
      <c r="G602" s="554" t="n"/>
    </row>
    <row r="603">
      <c r="A603" s="535" t="n">
        <v>32379</v>
      </c>
      <c r="B603" s="534" t="n">
        <v>7.143</v>
      </c>
      <c r="C603" s="534" t="n">
        <v>2520.29</v>
      </c>
      <c r="E603" s="535" t="n">
        <v>36199</v>
      </c>
      <c r="F603" s="534" t="n">
        <v>7.004</v>
      </c>
      <c r="G603" s="554" t="n"/>
    </row>
    <row r="604">
      <c r="A604" s="535" t="n">
        <v>32380</v>
      </c>
      <c r="B604" s="534" t="n">
        <v>7.187</v>
      </c>
      <c r="C604" s="534" t="n">
        <v>2520.86</v>
      </c>
      <c r="E604" s="535" t="n">
        <v>36200</v>
      </c>
      <c r="F604" s="534" t="n">
        <v>7.139</v>
      </c>
      <c r="G604" s="554" t="n"/>
    </row>
    <row r="605">
      <c r="A605" s="535" t="n">
        <v>32381</v>
      </c>
      <c r="B605" s="534" t="n">
        <v>7.056</v>
      </c>
      <c r="C605" s="534" t="n">
        <v>2464.83</v>
      </c>
      <c r="E605" s="535" t="n">
        <v>36201</v>
      </c>
      <c r="F605" s="534" t="n">
        <v>7.193</v>
      </c>
      <c r="G605" s="554" t="n"/>
    </row>
    <row r="606">
      <c r="A606" s="535" t="n">
        <v>32384</v>
      </c>
      <c r="B606" s="534" t="n">
        <v>7.056</v>
      </c>
      <c r="C606" s="534" t="n">
        <v>2464.83</v>
      </c>
      <c r="E606" s="535" t="n">
        <v>36202</v>
      </c>
      <c r="F606" s="534" t="n">
        <v>7.13</v>
      </c>
      <c r="G606" s="554" t="n"/>
    </row>
    <row r="607">
      <c r="A607" s="535" t="n">
        <v>32385</v>
      </c>
      <c r="B607" s="534" t="n">
        <v>7.012</v>
      </c>
      <c r="C607" s="534" t="n">
        <v>2439.55</v>
      </c>
      <c r="E607" s="535" t="n">
        <v>36203</v>
      </c>
      <c r="F607" s="534" t="n">
        <v>7.212</v>
      </c>
      <c r="G607" s="554" t="n"/>
    </row>
    <row r="608">
      <c r="A608" s="535" t="n">
        <v>32386</v>
      </c>
      <c r="B608" s="534" t="n">
        <v>6.969</v>
      </c>
      <c r="C608" s="534" t="n">
        <v>2443.8</v>
      </c>
      <c r="E608" s="535" t="n">
        <v>36206</v>
      </c>
      <c r="F608" s="534" t="n">
        <v>7.231</v>
      </c>
      <c r="G608" s="554" t="n"/>
    </row>
    <row r="609">
      <c r="A609" s="535" t="n">
        <v>32387</v>
      </c>
      <c r="B609" s="534" t="n">
        <v>7.012</v>
      </c>
      <c r="C609" s="534" t="n">
        <v>2433.32</v>
      </c>
      <c r="E609" s="535" t="n">
        <v>36207</v>
      </c>
      <c r="F609" s="534" t="n">
        <v>7.231</v>
      </c>
      <c r="G609" s="554" t="n"/>
    </row>
    <row r="610">
      <c r="A610" s="535" t="n">
        <v>32388</v>
      </c>
      <c r="B610" s="534" t="n">
        <v>7.056</v>
      </c>
      <c r="C610" s="534" t="n">
        <v>2449.89</v>
      </c>
      <c r="E610" s="535" t="n">
        <v>36208</v>
      </c>
      <c r="F610" s="534" t="n">
        <v>7.231</v>
      </c>
      <c r="G610" s="554" t="n"/>
    </row>
    <row r="611">
      <c r="A611" s="535" t="n">
        <v>32391</v>
      </c>
      <c r="B611" s="534" t="n">
        <v>7.274</v>
      </c>
      <c r="C611" s="534" t="n">
        <v>2508.19</v>
      </c>
      <c r="E611" s="535" t="n">
        <v>36209</v>
      </c>
      <c r="F611" s="534" t="n">
        <v>7.231</v>
      </c>
      <c r="G611" s="554" t="n"/>
    </row>
    <row r="612">
      <c r="A612" s="535" t="n">
        <v>32392</v>
      </c>
      <c r="B612" s="534" t="n">
        <v>7.274</v>
      </c>
      <c r="C612" s="534" t="n">
        <v>2502.09</v>
      </c>
      <c r="E612" s="535" t="n">
        <v>36210</v>
      </c>
      <c r="F612" s="534" t="n">
        <v>7.249</v>
      </c>
      <c r="G612" s="554" t="n"/>
    </row>
    <row r="613">
      <c r="A613" s="535" t="n">
        <v>32393</v>
      </c>
      <c r="B613" s="534" t="n">
        <v>7.361</v>
      </c>
      <c r="C613" s="534" t="n">
        <v>2525.14</v>
      </c>
      <c r="E613" s="535" t="n">
        <v>36213</v>
      </c>
      <c r="F613" s="534" t="n">
        <v>7.241</v>
      </c>
      <c r="G613" s="554" t="n"/>
    </row>
    <row r="614">
      <c r="A614" s="535" t="n">
        <v>32394</v>
      </c>
      <c r="B614" s="534" t="n">
        <v>7.361</v>
      </c>
      <c r="C614" s="534" t="n">
        <v>2508.53</v>
      </c>
      <c r="E614" s="535" t="n">
        <v>36214</v>
      </c>
      <c r="F614" s="534" t="n">
        <v>7.233</v>
      </c>
      <c r="G614" s="554" t="n"/>
    </row>
    <row r="615">
      <c r="A615" s="535" t="n">
        <v>32395</v>
      </c>
      <c r="B615" s="534" t="n">
        <v>7.317</v>
      </c>
      <c r="C615" s="534" t="n">
        <v>2496.56</v>
      </c>
      <c r="E615" s="535" t="n">
        <v>36215</v>
      </c>
      <c r="F615" s="534" t="n">
        <v>7.281</v>
      </c>
      <c r="G615" s="554" t="n"/>
    </row>
    <row r="616">
      <c r="A616" s="535" t="n">
        <v>32398</v>
      </c>
      <c r="B616" s="534" t="n">
        <v>7.274</v>
      </c>
      <c r="C616" s="534" t="n">
        <v>2468.94</v>
      </c>
      <c r="E616" s="535" t="n">
        <v>36216</v>
      </c>
      <c r="F616" s="534" t="n">
        <v>7.287</v>
      </c>
      <c r="G616" s="554" t="n"/>
    </row>
    <row r="617">
      <c r="A617" s="535" t="n">
        <v>32399</v>
      </c>
      <c r="B617" s="534" t="n">
        <v>7.317</v>
      </c>
      <c r="C617" s="534" t="n">
        <v>2473.59</v>
      </c>
      <c r="E617" s="535" t="n">
        <v>36217</v>
      </c>
      <c r="F617" s="534" t="n">
        <v>7.3</v>
      </c>
      <c r="G617" s="554" t="n"/>
    </row>
    <row r="618">
      <c r="A618" s="535" t="n">
        <v>32400</v>
      </c>
      <c r="B618" s="534" t="n">
        <v>7.361</v>
      </c>
      <c r="C618" s="534" t="n">
        <v>2481.57</v>
      </c>
      <c r="E618" s="535" t="n">
        <v>36220</v>
      </c>
      <c r="F618" s="534" t="n">
        <v>7.148</v>
      </c>
      <c r="G618" s="554" t="n"/>
    </row>
    <row r="619">
      <c r="A619" s="535" t="n">
        <v>32401</v>
      </c>
      <c r="B619" s="534" t="n">
        <v>7.361</v>
      </c>
      <c r="C619" s="534" t="n">
        <v>2474.08</v>
      </c>
      <c r="E619" s="535" t="n">
        <v>36221</v>
      </c>
      <c r="F619" s="534" t="n">
        <v>7.257</v>
      </c>
      <c r="G619" s="554" t="n"/>
    </row>
    <row r="620">
      <c r="A620" s="535" t="n">
        <v>32402</v>
      </c>
      <c r="B620" s="534" t="n">
        <v>7.317</v>
      </c>
      <c r="C620" s="534" t="n">
        <v>2458.82</v>
      </c>
      <c r="E620" s="535" t="n">
        <v>36222</v>
      </c>
      <c r="F620" s="534" t="n">
        <v>7.195</v>
      </c>
      <c r="G620" s="554" t="n"/>
    </row>
    <row r="621">
      <c r="A621" s="535" t="n">
        <v>32405</v>
      </c>
      <c r="B621" s="534" t="n">
        <v>7.274</v>
      </c>
      <c r="C621" s="534" t="n">
        <v>2447.58</v>
      </c>
      <c r="E621" s="535" t="n">
        <v>36223</v>
      </c>
      <c r="F621" s="534" t="n">
        <v>7.268</v>
      </c>
      <c r="G621" s="554" t="n"/>
    </row>
    <row r="622">
      <c r="A622" s="535" t="n">
        <v>32406</v>
      </c>
      <c r="B622" s="534" t="n">
        <v>7.187</v>
      </c>
      <c r="C622" s="534" t="n">
        <v>2423.23</v>
      </c>
      <c r="E622" s="535" t="n">
        <v>36224</v>
      </c>
      <c r="F622" s="534" t="n">
        <v>7.288</v>
      </c>
      <c r="G622" s="554" t="n"/>
    </row>
    <row r="623">
      <c r="A623" s="535" t="n">
        <v>32407</v>
      </c>
      <c r="B623" s="534" t="n">
        <v>7.23</v>
      </c>
      <c r="C623" s="534" t="n">
        <v>2432</v>
      </c>
      <c r="E623" s="535" t="n">
        <v>36227</v>
      </c>
      <c r="F623" s="534" t="n">
        <v>7.219</v>
      </c>
      <c r="G623" s="554" t="n"/>
    </row>
    <row r="624">
      <c r="A624" s="535" t="n">
        <v>32408</v>
      </c>
      <c r="B624" s="534" t="n">
        <v>7.361</v>
      </c>
      <c r="C624" s="534" t="n">
        <v>2455.84</v>
      </c>
      <c r="E624" s="535" t="n">
        <v>36228</v>
      </c>
      <c r="F624" s="534" t="n">
        <v>7.226</v>
      </c>
      <c r="G624" s="554" t="n"/>
    </row>
    <row r="625">
      <c r="A625" s="535" t="n">
        <v>32409</v>
      </c>
      <c r="B625" s="534" t="n">
        <v>7.274</v>
      </c>
      <c r="C625" s="534" t="n">
        <v>2454.38</v>
      </c>
      <c r="E625" s="535" t="n">
        <v>36229</v>
      </c>
      <c r="F625" s="534" t="n">
        <v>7.211</v>
      </c>
      <c r="G625" s="554" t="n"/>
    </row>
    <row r="626">
      <c r="A626" s="535" t="n">
        <v>32412</v>
      </c>
      <c r="B626" s="534" t="n">
        <v>7.274</v>
      </c>
      <c r="C626" s="534" t="n">
        <v>2454.38</v>
      </c>
      <c r="E626" s="535" t="n">
        <v>36230</v>
      </c>
      <c r="F626" s="534" t="n">
        <v>7.189</v>
      </c>
      <c r="G626" s="554" t="n"/>
    </row>
    <row r="627">
      <c r="A627" s="535" t="n">
        <v>32413</v>
      </c>
      <c r="B627" s="534" t="n">
        <v>7.361</v>
      </c>
      <c r="C627" s="534" t="n">
        <v>2466.27</v>
      </c>
      <c r="E627" s="535" t="n">
        <v>36231</v>
      </c>
      <c r="F627" s="534" t="n">
        <v>7.251</v>
      </c>
      <c r="G627" s="554" t="n"/>
    </row>
    <row r="628">
      <c r="A628" s="535" t="n">
        <v>32414</v>
      </c>
      <c r="B628" s="534" t="n">
        <v>7.317</v>
      </c>
      <c r="C628" s="534" t="n">
        <v>2449.75</v>
      </c>
      <c r="E628" s="535" t="n">
        <v>36234</v>
      </c>
      <c r="F628" s="534" t="n">
        <v>7.174</v>
      </c>
      <c r="G628" s="554" t="n"/>
    </row>
    <row r="629">
      <c r="A629" s="535" t="n">
        <v>32415</v>
      </c>
      <c r="B629" s="534" t="n">
        <v>7.23</v>
      </c>
      <c r="C629" s="534" t="n">
        <v>2439.39</v>
      </c>
      <c r="E629" s="535" t="n">
        <v>36235</v>
      </c>
      <c r="F629" s="534" t="n">
        <v>7.22</v>
      </c>
      <c r="G629" s="554" t="n"/>
    </row>
    <row r="630">
      <c r="A630" s="535" t="n">
        <v>32416</v>
      </c>
      <c r="B630" s="534" t="n">
        <v>7.274</v>
      </c>
      <c r="C630" s="534" t="n">
        <v>2441.05</v>
      </c>
      <c r="E630" s="535" t="n">
        <v>36236</v>
      </c>
      <c r="F630" s="534" t="n">
        <v>7.235</v>
      </c>
      <c r="G630" s="554" t="n"/>
    </row>
    <row r="631">
      <c r="A631" s="535" t="n">
        <v>32419</v>
      </c>
      <c r="B631" s="534" t="n">
        <v>7.23</v>
      </c>
      <c r="C631" s="534" t="n">
        <v>2429.07</v>
      </c>
      <c r="E631" s="535" t="n">
        <v>36237</v>
      </c>
      <c r="F631" s="534" t="n">
        <v>7.262</v>
      </c>
      <c r="G631" s="554" t="n"/>
    </row>
    <row r="632">
      <c r="A632" s="535" t="n">
        <v>32420</v>
      </c>
      <c r="B632" s="534" t="n">
        <v>7.274</v>
      </c>
      <c r="C632" s="534" t="n">
        <v>2415.76</v>
      </c>
      <c r="E632" s="535" t="n">
        <v>36238</v>
      </c>
      <c r="F632" s="534" t="n">
        <v>7.227</v>
      </c>
      <c r="G632" s="554" t="n"/>
    </row>
    <row r="633">
      <c r="A633" s="535" t="n">
        <v>32421</v>
      </c>
      <c r="B633" s="534" t="n">
        <v>7.23</v>
      </c>
      <c r="C633" s="534" t="n">
        <v>2417.42</v>
      </c>
      <c r="E633" s="535" t="n">
        <v>36241</v>
      </c>
      <c r="F633" s="534" t="n">
        <v>7.26</v>
      </c>
      <c r="G633" s="554" t="n"/>
    </row>
    <row r="634">
      <c r="A634" s="535" t="n">
        <v>32422</v>
      </c>
      <c r="B634" s="534" t="n">
        <v>7.317</v>
      </c>
      <c r="C634" s="534" t="n">
        <v>2427.04</v>
      </c>
      <c r="E634" s="535" t="n">
        <v>36242</v>
      </c>
      <c r="F634" s="534" t="n">
        <v>7.265</v>
      </c>
      <c r="G634" s="554" t="n"/>
    </row>
    <row r="635">
      <c r="A635" s="535" t="n">
        <v>32423</v>
      </c>
      <c r="B635" s="534" t="n">
        <v>7.404</v>
      </c>
      <c r="C635" s="534" t="n">
        <v>2478.87</v>
      </c>
      <c r="E635" s="535" t="n">
        <v>36243</v>
      </c>
      <c r="F635" s="534" t="n">
        <v>7.189</v>
      </c>
      <c r="G635" s="554" t="n"/>
    </row>
    <row r="636">
      <c r="A636" s="535" t="n">
        <v>32426</v>
      </c>
      <c r="B636" s="534" t="n">
        <v>7.535</v>
      </c>
      <c r="C636" s="534" t="n">
        <v>2566.42</v>
      </c>
      <c r="E636" s="535" t="n">
        <v>36244</v>
      </c>
      <c r="F636" s="534" t="n">
        <v>7.158</v>
      </c>
      <c r="G636" s="554" t="n"/>
    </row>
    <row r="637">
      <c r="A637" s="535" t="n">
        <v>32427</v>
      </c>
      <c r="B637" s="534" t="n">
        <v>7.535</v>
      </c>
      <c r="C637" s="534" t="n">
        <v>2571.61</v>
      </c>
      <c r="E637" s="535" t="n">
        <v>36245</v>
      </c>
      <c r="F637" s="534" t="n">
        <v>7.157</v>
      </c>
      <c r="G637" s="554" t="n"/>
    </row>
    <row r="638">
      <c r="A638" s="535" t="n">
        <v>32428</v>
      </c>
      <c r="B638" s="534" t="n">
        <v>7.535</v>
      </c>
      <c r="C638" s="534" t="n">
        <v>2551.86</v>
      </c>
      <c r="E638" s="535" t="n">
        <v>36248</v>
      </c>
      <c r="F638" s="534" t="n">
        <v>7.153</v>
      </c>
      <c r="G638" s="554" t="n"/>
    </row>
    <row r="639">
      <c r="A639" s="535" t="n">
        <v>32429</v>
      </c>
      <c r="B639" s="534" t="n">
        <v>7.535</v>
      </c>
      <c r="C639" s="534" t="n">
        <v>2561.76</v>
      </c>
      <c r="E639" s="535" t="n">
        <v>36249</v>
      </c>
      <c r="F639" s="534" t="n">
        <v>7.14</v>
      </c>
      <c r="G639" s="554" t="n"/>
    </row>
    <row r="640">
      <c r="A640" s="535" t="n">
        <v>32430</v>
      </c>
      <c r="B640" s="534" t="n">
        <v>7.666</v>
      </c>
      <c r="C640" s="534" t="n">
        <v>2593</v>
      </c>
      <c r="E640" s="535" t="n">
        <v>36250</v>
      </c>
      <c r="F640" s="534" t="n">
        <v>7.157</v>
      </c>
      <c r="G640" s="554" t="n"/>
    </row>
    <row r="641">
      <c r="A641" s="535" t="n">
        <v>32433</v>
      </c>
      <c r="B641" s="534" t="n">
        <v>7.666</v>
      </c>
      <c r="C641" s="534" t="n">
        <v>2593.56</v>
      </c>
      <c r="E641" s="535" t="n">
        <v>36251</v>
      </c>
      <c r="F641" s="534" t="n">
        <v>7.143</v>
      </c>
      <c r="G641" s="554" t="n"/>
    </row>
    <row r="642">
      <c r="A642" s="535" t="n">
        <v>32434</v>
      </c>
      <c r="B642" s="534" t="n">
        <v>7.622</v>
      </c>
      <c r="C642" s="534" t="n">
        <v>2590.41</v>
      </c>
      <c r="E642" s="535" t="n">
        <v>36252</v>
      </c>
      <c r="F642" s="534" t="n">
        <v>7.143</v>
      </c>
      <c r="G642" s="554" t="n"/>
    </row>
    <row r="643">
      <c r="A643" s="535" t="n">
        <v>32435</v>
      </c>
      <c r="B643" s="534" t="n">
        <v>7.622</v>
      </c>
      <c r="C643" s="534" t="n">
        <v>2590.41</v>
      </c>
      <c r="E643" s="535" t="n">
        <v>36255</v>
      </c>
      <c r="F643" s="534" t="n">
        <v>7.143</v>
      </c>
      <c r="G643" s="554" t="n"/>
    </row>
    <row r="644">
      <c r="A644" s="535" t="n">
        <v>32436</v>
      </c>
      <c r="B644" s="534" t="n">
        <v>7.622</v>
      </c>
      <c r="C644" s="534" t="n">
        <v>2584.04</v>
      </c>
      <c r="E644" s="535" t="n">
        <v>36256</v>
      </c>
      <c r="F644" s="534" t="n">
        <v>7.143</v>
      </c>
      <c r="G644" s="554" t="n"/>
    </row>
    <row r="645">
      <c r="A645" s="535" t="n">
        <v>32437</v>
      </c>
      <c r="B645" s="534" t="n">
        <v>7.622</v>
      </c>
      <c r="C645" s="534" t="n">
        <v>2581.69</v>
      </c>
      <c r="E645" s="535" t="n">
        <v>36257</v>
      </c>
      <c r="F645" s="534" t="n">
        <v>7.071</v>
      </c>
      <c r="G645" s="554" t="n"/>
    </row>
    <row r="646">
      <c r="A646" s="535" t="n">
        <v>32440</v>
      </c>
      <c r="B646" s="534" t="n">
        <v>7.535</v>
      </c>
      <c r="C646" s="534" t="n">
        <v>2562.46</v>
      </c>
      <c r="E646" s="535" t="n">
        <v>36258</v>
      </c>
      <c r="F646" s="534" t="n">
        <v>6.997</v>
      </c>
      <c r="G646" s="554" t="n"/>
    </row>
    <row r="647">
      <c r="A647" s="535" t="n">
        <v>32441</v>
      </c>
      <c r="B647" s="534" t="n">
        <v>7.622</v>
      </c>
      <c r="C647" s="534" t="n">
        <v>2584.53</v>
      </c>
      <c r="E647" s="535" t="n">
        <v>36259</v>
      </c>
      <c r="F647" s="534" t="n">
        <v>6.921</v>
      </c>
      <c r="G647" s="554" t="n"/>
    </row>
    <row r="648">
      <c r="A648" s="535" t="n">
        <v>32442</v>
      </c>
      <c r="B648" s="534" t="n">
        <v>7.666</v>
      </c>
      <c r="C648" s="534" t="n">
        <v>2610.62</v>
      </c>
      <c r="E648" s="535" t="n">
        <v>36262</v>
      </c>
      <c r="F648" s="534" t="n">
        <v>6.881</v>
      </c>
      <c r="G648" s="554" t="n"/>
    </row>
    <row r="649">
      <c r="A649" s="535" t="n">
        <v>32443</v>
      </c>
      <c r="B649" s="534" t="n">
        <v>7.709</v>
      </c>
      <c r="C649" s="534" t="n">
        <v>2617.25</v>
      </c>
      <c r="E649" s="535" t="n">
        <v>36263</v>
      </c>
      <c r="F649" s="534" t="n">
        <v>6.88</v>
      </c>
      <c r="G649" s="554" t="n"/>
    </row>
    <row r="650">
      <c r="A650" s="535" t="n">
        <v>32444</v>
      </c>
      <c r="B650" s="534" t="n">
        <v>7.796</v>
      </c>
      <c r="C650" s="534" t="n">
        <v>2614.47</v>
      </c>
      <c r="E650" s="535" t="n">
        <v>36264</v>
      </c>
      <c r="F650" s="534" t="n">
        <v>6.879</v>
      </c>
      <c r="G650" s="554" t="n"/>
    </row>
    <row r="651">
      <c r="A651" s="535" t="n">
        <v>32447</v>
      </c>
      <c r="B651" s="534" t="n">
        <v>7.884</v>
      </c>
      <c r="C651" s="534" t="n">
        <v>2627.41</v>
      </c>
      <c r="E651" s="535" t="n">
        <v>36265</v>
      </c>
      <c r="F651" s="534" t="n">
        <v>6.877</v>
      </c>
      <c r="G651" s="554" t="n"/>
    </row>
    <row r="652">
      <c r="A652" s="535" t="n">
        <v>32448</v>
      </c>
      <c r="B652" s="534" t="n">
        <v>7.796</v>
      </c>
      <c r="C652" s="534" t="n">
        <v>2615.43</v>
      </c>
      <c r="E652" s="535" t="n">
        <v>36266</v>
      </c>
      <c r="F652" s="534" t="n">
        <v>6.865</v>
      </c>
      <c r="G652" s="554" t="n"/>
    </row>
    <row r="653">
      <c r="A653" s="535" t="n">
        <v>32449</v>
      </c>
      <c r="B653" s="534" t="n">
        <v>7.796</v>
      </c>
      <c r="C653" s="534" t="n">
        <v>2607.82</v>
      </c>
      <c r="E653" s="535" t="n">
        <v>36269</v>
      </c>
      <c r="F653" s="534" t="n">
        <v>6.835</v>
      </c>
      <c r="G653" s="554" t="n"/>
    </row>
    <row r="654">
      <c r="A654" s="535" t="n">
        <v>32450</v>
      </c>
      <c r="B654" s="534" t="n">
        <v>7.709</v>
      </c>
      <c r="C654" s="534" t="n">
        <v>2584.49</v>
      </c>
      <c r="E654" s="535" t="n">
        <v>36270</v>
      </c>
      <c r="F654" s="534" t="n">
        <v>6.835</v>
      </c>
      <c r="G654" s="554" t="n"/>
    </row>
    <row r="655">
      <c r="A655" s="535" t="n">
        <v>32451</v>
      </c>
      <c r="B655" s="534" t="n">
        <v>7.666</v>
      </c>
      <c r="C655" s="534" t="n">
        <v>2584.51</v>
      </c>
      <c r="E655" s="535" t="n">
        <v>36271</v>
      </c>
      <c r="F655" s="534" t="n">
        <v>6.835</v>
      </c>
      <c r="G655" s="554" t="n"/>
    </row>
    <row r="656">
      <c r="A656" s="535" t="n">
        <v>32454</v>
      </c>
      <c r="B656" s="534" t="n">
        <v>7.622</v>
      </c>
      <c r="C656" s="534" t="n">
        <v>2567.02</v>
      </c>
      <c r="E656" s="535" t="n">
        <v>36272</v>
      </c>
      <c r="F656" s="534" t="n">
        <v>6.806</v>
      </c>
      <c r="G656" s="554" t="n"/>
    </row>
    <row r="657">
      <c r="A657" s="535" t="n">
        <v>32455</v>
      </c>
      <c r="B657" s="534" t="n">
        <v>7.666</v>
      </c>
      <c r="C657" s="534" t="n">
        <v>2587.02</v>
      </c>
      <c r="E657" s="535" t="n">
        <v>36273</v>
      </c>
      <c r="F657" s="534" t="n">
        <v>6.834</v>
      </c>
      <c r="G657" s="554" t="n"/>
    </row>
    <row r="658">
      <c r="A658" s="535" t="n">
        <v>32456</v>
      </c>
      <c r="B658" s="534" t="n">
        <v>7.666</v>
      </c>
      <c r="C658" s="534" t="n">
        <v>2582.98</v>
      </c>
      <c r="E658" s="535" t="n">
        <v>36276</v>
      </c>
      <c r="F658" s="534" t="n">
        <v>6.832</v>
      </c>
      <c r="G658" s="554" t="n"/>
    </row>
    <row r="659">
      <c r="A659" s="535" t="n">
        <v>32457</v>
      </c>
      <c r="B659" s="534" t="n">
        <v>7.622</v>
      </c>
      <c r="C659" s="534" t="n">
        <v>2577.01</v>
      </c>
      <c r="E659" s="535" t="n">
        <v>36277</v>
      </c>
      <c r="F659" s="534" t="n">
        <v>6.804</v>
      </c>
      <c r="G659" s="554" t="n"/>
    </row>
    <row r="660">
      <c r="A660" s="535" t="n">
        <v>32458</v>
      </c>
      <c r="B660" s="534" t="n">
        <v>7.622</v>
      </c>
      <c r="C660" s="534" t="n">
        <v>2583.74</v>
      </c>
      <c r="E660" s="535" t="n">
        <v>36278</v>
      </c>
      <c r="F660" s="534" t="n">
        <v>6.843</v>
      </c>
      <c r="G660" s="554" t="n"/>
    </row>
    <row r="661">
      <c r="A661" s="535" t="n">
        <v>32461</v>
      </c>
      <c r="B661" s="534" t="n">
        <v>7.666</v>
      </c>
      <c r="C661" s="534" t="n">
        <v>2537.99</v>
      </c>
      <c r="E661" s="535" t="n">
        <v>36279</v>
      </c>
      <c r="F661" s="534" t="n">
        <v>6.837</v>
      </c>
      <c r="G661" s="554" t="n"/>
    </row>
    <row r="662">
      <c r="A662" s="535" t="n">
        <v>32462</v>
      </c>
      <c r="B662" s="534" t="n">
        <v>7.753</v>
      </c>
      <c r="C662" s="534" t="n">
        <v>2568.58</v>
      </c>
      <c r="E662" s="535" t="n">
        <v>36280</v>
      </c>
      <c r="F662" s="534" t="n">
        <v>6.808</v>
      </c>
      <c r="G662" s="554" t="n"/>
    </row>
    <row r="663">
      <c r="A663" s="535" t="n">
        <v>32463</v>
      </c>
      <c r="B663" s="534" t="n">
        <v>7.753</v>
      </c>
      <c r="C663" s="534" t="n">
        <v>2566.88</v>
      </c>
      <c r="E663" s="535" t="n">
        <v>36283</v>
      </c>
      <c r="F663" s="534" t="n">
        <v>6.875</v>
      </c>
      <c r="G663" s="554" t="n"/>
    </row>
    <row r="664">
      <c r="A664" s="535" t="n">
        <v>32464</v>
      </c>
      <c r="B664" s="534" t="n">
        <v>7.753</v>
      </c>
      <c r="C664" s="534" t="n">
        <v>2568.79</v>
      </c>
      <c r="E664" s="535" t="n">
        <v>36284</v>
      </c>
      <c r="F664" s="534" t="n">
        <v>6.921</v>
      </c>
      <c r="G664" s="554" t="n"/>
    </row>
    <row r="665">
      <c r="A665" s="535" t="n">
        <v>32465</v>
      </c>
      <c r="B665" s="534" t="n">
        <v>7.753</v>
      </c>
      <c r="C665" s="534" t="n">
        <v>2581.16</v>
      </c>
      <c r="E665" s="535" t="n">
        <v>36285</v>
      </c>
      <c r="F665" s="534" t="n">
        <v>7.049</v>
      </c>
      <c r="G665" s="554" t="n"/>
    </row>
    <row r="666">
      <c r="A666" s="535" t="n">
        <v>32468</v>
      </c>
      <c r="B666" s="534" t="n">
        <v>7.796</v>
      </c>
      <c r="C666" s="534" t="n">
        <v>2581.87</v>
      </c>
      <c r="E666" s="535" t="n">
        <v>36286</v>
      </c>
      <c r="F666" s="534" t="n">
        <v>7.139</v>
      </c>
      <c r="G666" s="554" t="n"/>
    </row>
    <row r="667">
      <c r="A667" s="535" t="n">
        <v>32469</v>
      </c>
      <c r="B667" s="534" t="n">
        <v>7.84</v>
      </c>
      <c r="C667" s="534" t="n">
        <v>2598.79</v>
      </c>
      <c r="E667" s="535" t="n">
        <v>36287</v>
      </c>
      <c r="F667" s="534" t="n">
        <v>7.297</v>
      </c>
      <c r="G667" s="554" t="n"/>
    </row>
    <row r="668">
      <c r="A668" s="535" t="n">
        <v>32470</v>
      </c>
      <c r="B668" s="534" t="n">
        <v>7.971</v>
      </c>
      <c r="C668" s="534" t="n">
        <v>2633.65</v>
      </c>
      <c r="E668" s="535" t="n">
        <v>36290</v>
      </c>
      <c r="F668" s="534" t="n">
        <v>7.234</v>
      </c>
      <c r="G668" s="554" t="n"/>
    </row>
    <row r="669">
      <c r="A669" s="535" t="n">
        <v>32471</v>
      </c>
      <c r="B669" s="534" t="n">
        <v>8.058</v>
      </c>
      <c r="C669" s="534" t="n">
        <v>2666.02</v>
      </c>
      <c r="E669" s="535" t="n">
        <v>36291</v>
      </c>
      <c r="F669" s="534" t="n">
        <v>7.19</v>
      </c>
      <c r="G669" s="554" t="n"/>
    </row>
    <row r="670">
      <c r="A670" s="535" t="n">
        <v>32472</v>
      </c>
      <c r="B670" s="534" t="n">
        <v>8.101000000000001</v>
      </c>
      <c r="C670" s="534" t="n">
        <v>2656.08</v>
      </c>
      <c r="E670" s="535" t="n">
        <v>36292</v>
      </c>
      <c r="F670" s="534" t="n">
        <v>7.261</v>
      </c>
      <c r="G670" s="554" t="n"/>
    </row>
    <row r="671">
      <c r="A671" s="535" t="n">
        <v>32475</v>
      </c>
      <c r="B671" s="534" t="n">
        <v>8.013999999999999</v>
      </c>
      <c r="C671" s="534" t="n">
        <v>2625.08</v>
      </c>
      <c r="E671" s="535" t="n">
        <v>36293</v>
      </c>
      <c r="F671" s="534" t="n">
        <v>7.259</v>
      </c>
      <c r="G671" s="554" t="n"/>
    </row>
    <row r="672">
      <c r="A672" s="535" t="n">
        <v>32476</v>
      </c>
      <c r="B672" s="534" t="n">
        <v>8.101000000000001</v>
      </c>
      <c r="C672" s="534" t="n">
        <v>2632.68</v>
      </c>
      <c r="E672" s="535" t="n">
        <v>36294</v>
      </c>
      <c r="F672" s="534" t="n">
        <v>7.332</v>
      </c>
      <c r="G672" s="554" t="n"/>
    </row>
    <row r="673">
      <c r="A673" s="535" t="n">
        <v>32477</v>
      </c>
      <c r="B673" s="534" t="n">
        <v>8.231999999999999</v>
      </c>
      <c r="C673" s="534" t="n">
        <v>2659.3</v>
      </c>
      <c r="E673" s="535" t="n">
        <v>36297</v>
      </c>
      <c r="F673" s="534" t="n">
        <v>7.404</v>
      </c>
      <c r="G673" s="554" t="n"/>
    </row>
    <row r="674">
      <c r="A674" s="535" t="n">
        <v>32478</v>
      </c>
      <c r="B674" s="534" t="n">
        <v>8.231999999999999</v>
      </c>
      <c r="C674" s="534" t="n">
        <v>2668.03</v>
      </c>
      <c r="E674" s="535" t="n">
        <v>36298</v>
      </c>
      <c r="F674" s="534" t="n">
        <v>7.469</v>
      </c>
      <c r="G674" s="554" t="n"/>
    </row>
    <row r="675">
      <c r="A675" s="535" t="n">
        <v>32479</v>
      </c>
      <c r="B675" s="534" t="n">
        <v>8.231999999999999</v>
      </c>
      <c r="C675" s="534" t="n">
        <v>2667.26</v>
      </c>
      <c r="E675" s="535" t="n">
        <v>36299</v>
      </c>
      <c r="F675" s="534" t="n">
        <v>7.54</v>
      </c>
      <c r="G675" s="554" t="n"/>
    </row>
    <row r="676">
      <c r="A676" s="535" t="n">
        <v>32482</v>
      </c>
      <c r="B676" s="534" t="n">
        <v>8.363</v>
      </c>
      <c r="C676" s="534" t="n">
        <v>2671.21</v>
      </c>
      <c r="E676" s="535" t="n">
        <v>36300</v>
      </c>
      <c r="F676" s="534" t="n">
        <v>7.597</v>
      </c>
      <c r="G676" s="554" t="n"/>
    </row>
    <row r="677">
      <c r="A677" s="535" t="n">
        <v>32483</v>
      </c>
      <c r="B677" s="534" t="n">
        <v>8.363</v>
      </c>
      <c r="C677" s="534" t="n">
        <v>2676.59</v>
      </c>
      <c r="E677" s="535" t="n">
        <v>36301</v>
      </c>
      <c r="F677" s="534" t="n">
        <v>7.496</v>
      </c>
      <c r="G677" s="554" t="n"/>
    </row>
    <row r="678">
      <c r="A678" s="535" t="n">
        <v>32484</v>
      </c>
      <c r="B678" s="534" t="n">
        <v>8.276</v>
      </c>
      <c r="C678" s="534" t="n">
        <v>2690.28</v>
      </c>
      <c r="E678" s="535" t="n">
        <v>36304</v>
      </c>
      <c r="F678" s="534" t="n">
        <v>7.429</v>
      </c>
      <c r="G678" s="554" t="n"/>
    </row>
    <row r="679">
      <c r="A679" s="535" t="n">
        <v>32485</v>
      </c>
      <c r="B679" s="534" t="n">
        <v>8.231999999999999</v>
      </c>
      <c r="C679" s="534" t="n">
        <v>2680.2</v>
      </c>
      <c r="E679" s="535" t="n">
        <v>36305</v>
      </c>
      <c r="F679" s="534" t="n">
        <v>7.366</v>
      </c>
      <c r="G679" s="554" t="n"/>
    </row>
    <row r="680">
      <c r="A680" s="535" t="n">
        <v>32486</v>
      </c>
      <c r="B680" s="534" t="n">
        <v>8.145</v>
      </c>
      <c r="C680" s="534" t="n">
        <v>2671.36</v>
      </c>
      <c r="E680" s="535" t="n">
        <v>36306</v>
      </c>
      <c r="F680" s="534" t="n">
        <v>7.359</v>
      </c>
      <c r="G680" s="554" t="n"/>
    </row>
    <row r="681">
      <c r="A681" s="535" t="n">
        <v>32489</v>
      </c>
      <c r="B681" s="534" t="n">
        <v>8.188000000000001</v>
      </c>
      <c r="C681" s="534" t="n">
        <v>2665.94</v>
      </c>
      <c r="E681" s="535" t="n">
        <v>36307</v>
      </c>
      <c r="F681" s="534" t="n">
        <v>7.357</v>
      </c>
      <c r="G681" s="554" t="n"/>
    </row>
    <row r="682">
      <c r="A682" s="535" t="n">
        <v>32490</v>
      </c>
      <c r="B682" s="534" t="n">
        <v>8.145</v>
      </c>
      <c r="C682" s="534" t="n">
        <v>2651.92</v>
      </c>
      <c r="E682" s="535" t="n">
        <v>36308</v>
      </c>
      <c r="F682" s="534" t="n">
        <v>7.328</v>
      </c>
      <c r="G682" s="554" t="n"/>
    </row>
    <row r="683">
      <c r="A683" s="535" t="n">
        <v>32491</v>
      </c>
      <c r="B683" s="534" t="n">
        <v>8.101000000000001</v>
      </c>
      <c r="C683" s="534" t="n">
        <v>2642.08</v>
      </c>
      <c r="E683" s="535" t="n">
        <v>36311</v>
      </c>
      <c r="F683" s="534" t="n">
        <v>7.3</v>
      </c>
      <c r="G683" s="554" t="n"/>
    </row>
    <row r="684">
      <c r="A684" s="535" t="n">
        <v>32492</v>
      </c>
      <c r="B684" s="534" t="n">
        <v>8.013999999999999</v>
      </c>
      <c r="C684" s="534" t="n">
        <v>2627.22</v>
      </c>
      <c r="E684" s="535" t="n">
        <v>36312</v>
      </c>
      <c r="F684" s="534" t="n">
        <v>7.298</v>
      </c>
      <c r="G684" s="554" t="n"/>
    </row>
    <row r="685">
      <c r="A685" s="535" t="n">
        <v>32493</v>
      </c>
      <c r="B685" s="534" t="n">
        <v>8.058</v>
      </c>
      <c r="C685" s="534" t="n">
        <v>2629.16</v>
      </c>
      <c r="E685" s="535" t="n">
        <v>36313</v>
      </c>
      <c r="F685" s="534" t="n">
        <v>7.354</v>
      </c>
      <c r="G685" s="554" t="n"/>
    </row>
    <row r="686">
      <c r="A686" s="535" t="n">
        <v>32496</v>
      </c>
      <c r="B686" s="534" t="n">
        <v>8.058</v>
      </c>
      <c r="C686" s="534" t="n">
        <v>2611.84</v>
      </c>
      <c r="E686" s="535" t="n">
        <v>36314</v>
      </c>
      <c r="F686" s="534" t="n">
        <v>7.483</v>
      </c>
      <c r="G686" s="554" t="n"/>
    </row>
    <row r="687">
      <c r="A687" s="535" t="n">
        <v>32497</v>
      </c>
      <c r="B687" s="534" t="n">
        <v>8.013999999999999</v>
      </c>
      <c r="C687" s="534" t="n">
        <v>2607.97</v>
      </c>
      <c r="E687" s="535" t="n">
        <v>36315</v>
      </c>
      <c r="F687" s="534" t="n">
        <v>7.44</v>
      </c>
      <c r="G687" s="554" t="n"/>
    </row>
    <row r="688">
      <c r="A688" s="535" t="n">
        <v>32498</v>
      </c>
      <c r="B688" s="534" t="n">
        <v>8.058</v>
      </c>
      <c r="C688" s="534" t="n">
        <v>2633.09</v>
      </c>
      <c r="E688" s="535" t="n">
        <v>36318</v>
      </c>
      <c r="F688" s="534" t="n">
        <v>7.453</v>
      </c>
      <c r="G688" s="554" t="n"/>
    </row>
    <row r="689">
      <c r="A689" s="535" t="n">
        <v>32499</v>
      </c>
      <c r="B689" s="534" t="n">
        <v>8.058</v>
      </c>
      <c r="C689" s="534" t="n">
        <v>2642.73</v>
      </c>
      <c r="E689" s="535" t="n">
        <v>36319</v>
      </c>
      <c r="F689" s="534" t="n">
        <v>7.637</v>
      </c>
      <c r="G689" s="554" t="n"/>
    </row>
    <row r="690">
      <c r="A690" s="535" t="n">
        <v>32500</v>
      </c>
      <c r="B690" s="534" t="n">
        <v>8.058</v>
      </c>
      <c r="C690" s="534" t="n">
        <v>2656.59</v>
      </c>
      <c r="E690" s="535" t="n">
        <v>36320</v>
      </c>
      <c r="F690" s="534" t="n">
        <v>7.759</v>
      </c>
      <c r="G690" s="554" t="n"/>
    </row>
    <row r="691">
      <c r="A691" s="535" t="n">
        <v>32503</v>
      </c>
      <c r="B691" s="534" t="n">
        <v>8.058</v>
      </c>
      <c r="C691" s="534" t="n">
        <v>2656.59</v>
      </c>
      <c r="E691" s="535" t="n">
        <v>36321</v>
      </c>
      <c r="F691" s="534" t="n">
        <v>7.828</v>
      </c>
      <c r="G691" s="554" t="n"/>
    </row>
    <row r="692">
      <c r="A692" s="535" t="n">
        <v>32504</v>
      </c>
      <c r="B692" s="534" t="n">
        <v>8.058</v>
      </c>
      <c r="C692" s="534" t="n">
        <v>2656.59</v>
      </c>
      <c r="E692" s="535" t="n">
        <v>36322</v>
      </c>
      <c r="F692" s="534" t="n">
        <v>7.734</v>
      </c>
      <c r="G692" s="554" t="n"/>
    </row>
    <row r="693">
      <c r="A693" s="535" t="n">
        <v>32505</v>
      </c>
      <c r="B693" s="534" t="n">
        <v>8.101000000000001</v>
      </c>
      <c r="C693" s="534" t="n">
        <v>2696.44</v>
      </c>
      <c r="E693" s="535" t="n">
        <v>36325</v>
      </c>
      <c r="F693" s="534" t="n">
        <v>7.734</v>
      </c>
      <c r="G693" s="554" t="n"/>
    </row>
    <row r="694">
      <c r="A694" s="535" t="n">
        <v>32506</v>
      </c>
      <c r="B694" s="534" t="n">
        <v>8.058</v>
      </c>
      <c r="C694" s="534" t="n">
        <v>2692.4</v>
      </c>
      <c r="E694" s="535" t="n">
        <v>36326</v>
      </c>
      <c r="F694" s="534" t="n">
        <v>7.749</v>
      </c>
      <c r="G694" s="554" t="n"/>
    </row>
    <row r="695">
      <c r="A695" s="535" t="n">
        <v>32507</v>
      </c>
      <c r="B695" s="534" t="n">
        <v>8.101000000000001</v>
      </c>
      <c r="C695" s="534" t="n">
        <v>2687.44</v>
      </c>
      <c r="E695" s="535" t="n">
        <v>36327</v>
      </c>
      <c r="F695" s="534" t="n">
        <v>7.78</v>
      </c>
      <c r="G695" s="554" t="n"/>
    </row>
    <row r="696">
      <c r="A696" s="535" t="n">
        <v>32510</v>
      </c>
      <c r="B696" s="534" t="n">
        <v>8.101000000000001</v>
      </c>
      <c r="C696" s="534" t="n">
        <v>2687.44</v>
      </c>
      <c r="E696" s="535" t="n">
        <v>36328</v>
      </c>
      <c r="F696" s="534" t="n">
        <v>7.719</v>
      </c>
      <c r="G696" s="554" t="n"/>
    </row>
    <row r="697">
      <c r="A697" s="535" t="n">
        <v>32511</v>
      </c>
      <c r="B697" s="534" t="n">
        <v>8.101000000000001</v>
      </c>
      <c r="C697" s="534" t="n">
        <v>2706.69</v>
      </c>
      <c r="E697" s="535" t="n">
        <v>36329</v>
      </c>
      <c r="F697" s="534" t="n">
        <v>7.719</v>
      </c>
      <c r="G697" s="554" t="n"/>
    </row>
    <row r="698">
      <c r="A698" s="535" t="n">
        <v>32512</v>
      </c>
      <c r="B698" s="534" t="n">
        <v>8.231999999999999</v>
      </c>
      <c r="C698" s="534" t="n">
        <v>2736.83</v>
      </c>
      <c r="E698" s="535" t="n">
        <v>36332</v>
      </c>
      <c r="F698" s="534" t="n">
        <v>7.713</v>
      </c>
      <c r="G698" s="554" t="n"/>
    </row>
    <row r="699">
      <c r="A699" s="535" t="n">
        <v>32513</v>
      </c>
      <c r="B699" s="534" t="n">
        <v>8.363</v>
      </c>
      <c r="C699" s="534" t="n">
        <v>2758.54</v>
      </c>
      <c r="E699" s="535" t="n">
        <v>36333</v>
      </c>
      <c r="F699" s="534" t="n">
        <v>7.728</v>
      </c>
      <c r="G699" s="554" t="n"/>
    </row>
    <row r="700">
      <c r="A700" s="535" t="n">
        <v>32514</v>
      </c>
      <c r="B700" s="534" t="n">
        <v>8.276</v>
      </c>
      <c r="C700" s="534" t="n">
        <v>2766.65</v>
      </c>
      <c r="E700" s="535" t="n">
        <v>36334</v>
      </c>
      <c r="F700" s="534" t="n">
        <v>7.673</v>
      </c>
      <c r="G700" s="554" t="n"/>
    </row>
    <row r="701">
      <c r="A701" s="535" t="n">
        <v>32517</v>
      </c>
      <c r="B701" s="534" t="n">
        <v>8.276</v>
      </c>
      <c r="C701" s="534" t="n">
        <v>2792.27</v>
      </c>
      <c r="E701" s="535" t="n">
        <v>36335</v>
      </c>
      <c r="F701" s="534" t="n">
        <v>7.734</v>
      </c>
      <c r="G701" s="554" t="n"/>
    </row>
    <row r="702">
      <c r="A702" s="535" t="n">
        <v>32518</v>
      </c>
      <c r="B702" s="534" t="n">
        <v>8.363</v>
      </c>
      <c r="C702" s="534" t="n">
        <v>2832.38</v>
      </c>
      <c r="E702" s="535" t="n">
        <v>36336</v>
      </c>
      <c r="F702" s="534" t="n">
        <v>7.813</v>
      </c>
      <c r="G702" s="554" t="n"/>
    </row>
    <row r="703">
      <c r="A703" s="535" t="n">
        <v>32519</v>
      </c>
      <c r="B703" s="534" t="n">
        <v>8.363</v>
      </c>
      <c r="C703" s="534" t="n">
        <v>2872.52</v>
      </c>
      <c r="E703" s="535" t="n">
        <v>36339</v>
      </c>
      <c r="F703" s="534" t="n">
        <v>7.796</v>
      </c>
      <c r="G703" s="554" t="n"/>
    </row>
    <row r="704">
      <c r="A704" s="535" t="n">
        <v>32520</v>
      </c>
      <c r="B704" s="534" t="n">
        <v>8.231999999999999</v>
      </c>
      <c r="C704" s="534" t="n">
        <v>2879.33</v>
      </c>
      <c r="E704" s="535" t="n">
        <v>36340</v>
      </c>
      <c r="F704" s="534" t="n">
        <v>7.713</v>
      </c>
      <c r="G704" s="554" t="n"/>
    </row>
    <row r="705">
      <c r="A705" s="535" t="n">
        <v>32521</v>
      </c>
      <c r="B705" s="534" t="n">
        <v>8.188000000000001</v>
      </c>
      <c r="C705" s="534" t="n">
        <v>2843.98</v>
      </c>
      <c r="E705" s="535" t="n">
        <v>36341</v>
      </c>
      <c r="F705" s="534" t="n">
        <v>7.698</v>
      </c>
      <c r="G705" s="554" t="n"/>
    </row>
    <row r="706">
      <c r="A706" s="535" t="n">
        <v>32524</v>
      </c>
      <c r="B706" s="534" t="n">
        <v>8.188000000000001</v>
      </c>
      <c r="C706" s="534" t="n">
        <v>2856.67</v>
      </c>
      <c r="E706" s="535" t="n">
        <v>36342</v>
      </c>
      <c r="F706" s="534" t="n">
        <v>7.698</v>
      </c>
      <c r="G706" s="554" t="n"/>
    </row>
    <row r="707">
      <c r="A707" s="535" t="n">
        <v>32525</v>
      </c>
      <c r="B707" s="534" t="n">
        <v>8.276</v>
      </c>
      <c r="C707" s="534" t="n">
        <v>2896.65</v>
      </c>
      <c r="E707" s="535" t="n">
        <v>36343</v>
      </c>
      <c r="F707" s="534" t="n">
        <v>7.652</v>
      </c>
      <c r="G707" s="554" t="n"/>
    </row>
    <row r="708">
      <c r="A708" s="535" t="n">
        <v>32526</v>
      </c>
      <c r="B708" s="534" t="n">
        <v>8.188000000000001</v>
      </c>
      <c r="C708" s="534" t="n">
        <v>2913.05</v>
      </c>
      <c r="E708" s="535" t="n">
        <v>36346</v>
      </c>
      <c r="F708" s="534" t="n">
        <v>7.561</v>
      </c>
      <c r="G708" s="554" t="n"/>
    </row>
    <row r="709">
      <c r="A709" s="535" t="n">
        <v>32527</v>
      </c>
      <c r="B709" s="534" t="n">
        <v>8.145</v>
      </c>
      <c r="C709" s="534" t="n">
        <v>2909.66</v>
      </c>
      <c r="E709" s="535" t="n">
        <v>36347</v>
      </c>
      <c r="F709" s="534" t="n">
        <v>7.486</v>
      </c>
      <c r="G709" s="554" t="n"/>
    </row>
    <row r="710">
      <c r="A710" s="535" t="n">
        <v>32528</v>
      </c>
      <c r="B710" s="534" t="n">
        <v>7.971</v>
      </c>
      <c r="C710" s="534" t="n">
        <v>2897.91</v>
      </c>
      <c r="E710" s="535" t="n">
        <v>36348</v>
      </c>
      <c r="F710" s="534" t="n">
        <v>7.516</v>
      </c>
      <c r="G710" s="554" t="n"/>
    </row>
    <row r="711">
      <c r="A711" s="535" t="n">
        <v>32531</v>
      </c>
      <c r="B711" s="534" t="n">
        <v>7.971</v>
      </c>
      <c r="C711" s="534" t="n">
        <v>2897.53</v>
      </c>
      <c r="E711" s="535" t="n">
        <v>36349</v>
      </c>
      <c r="F711" s="534" t="n">
        <v>7.516</v>
      </c>
      <c r="G711" s="554" t="n"/>
    </row>
    <row r="712">
      <c r="A712" s="535" t="n">
        <v>32532</v>
      </c>
      <c r="B712" s="534" t="n">
        <v>7.884</v>
      </c>
      <c r="C712" s="534" t="n">
        <v>2901.03</v>
      </c>
      <c r="E712" s="535" t="n">
        <v>36350</v>
      </c>
      <c r="F712" s="534" t="n">
        <v>7.524</v>
      </c>
      <c r="G712" s="554" t="n"/>
    </row>
    <row r="713">
      <c r="A713" s="535" t="n">
        <v>32533</v>
      </c>
      <c r="B713" s="534" t="n">
        <v>7.84</v>
      </c>
      <c r="C713" s="534" t="n">
        <v>2900.74</v>
      </c>
      <c r="E713" s="535" t="n">
        <v>36353</v>
      </c>
      <c r="F713" s="534" t="n">
        <v>7.554</v>
      </c>
      <c r="G713" s="554" t="n"/>
    </row>
    <row r="714">
      <c r="A714" s="535" t="n">
        <v>32534</v>
      </c>
      <c r="B714" s="534" t="n">
        <v>7.927</v>
      </c>
      <c r="C714" s="534" t="n">
        <v>2910.57</v>
      </c>
      <c r="E714" s="535" t="n">
        <v>36354</v>
      </c>
      <c r="F714" s="534" t="n">
        <v>7.524</v>
      </c>
      <c r="G714" s="554" t="n"/>
    </row>
    <row r="715">
      <c r="A715" s="535" t="n">
        <v>32535</v>
      </c>
      <c r="B715" s="534" t="n">
        <v>8.013999999999999</v>
      </c>
      <c r="C715" s="534" t="n">
        <v>2956.95</v>
      </c>
      <c r="E715" s="535" t="n">
        <v>36355</v>
      </c>
      <c r="F715" s="534" t="n">
        <v>7.531</v>
      </c>
      <c r="G715" s="554" t="n"/>
    </row>
    <row r="716">
      <c r="A716" s="535" t="n">
        <v>32538</v>
      </c>
      <c r="B716" s="534" t="n">
        <v>8.101000000000001</v>
      </c>
      <c r="C716" s="534" t="n">
        <v>3036.45</v>
      </c>
      <c r="E716" s="535" t="n">
        <v>36356</v>
      </c>
      <c r="F716" s="534" t="n">
        <v>7.539</v>
      </c>
      <c r="G716" s="554" t="n"/>
    </row>
    <row r="717">
      <c r="A717" s="535" t="n">
        <v>32539</v>
      </c>
      <c r="B717" s="534" t="n">
        <v>8.101000000000001</v>
      </c>
      <c r="C717" s="534" t="n">
        <v>3072.86</v>
      </c>
      <c r="E717" s="535" t="n">
        <v>36357</v>
      </c>
      <c r="F717" s="534" t="n">
        <v>7.546</v>
      </c>
      <c r="G717" s="554" t="n"/>
    </row>
    <row r="718">
      <c r="A718" s="535" t="n">
        <v>32540</v>
      </c>
      <c r="B718" s="534" t="n">
        <v>8.188000000000001</v>
      </c>
      <c r="C718" s="534" t="n">
        <v>3060.91</v>
      </c>
      <c r="E718" s="535" t="n">
        <v>36360</v>
      </c>
      <c r="F718" s="534" t="n">
        <v>7.577</v>
      </c>
      <c r="G718" s="554" t="n"/>
    </row>
    <row r="719">
      <c r="A719" s="535" t="n">
        <v>32541</v>
      </c>
      <c r="B719" s="534" t="n">
        <v>8.101000000000001</v>
      </c>
      <c r="C719" s="534" t="n">
        <v>3059.54</v>
      </c>
      <c r="E719" s="535" t="n">
        <v>36361</v>
      </c>
      <c r="F719" s="534" t="n">
        <v>7.477</v>
      </c>
      <c r="G719" s="554" t="n"/>
    </row>
    <row r="720">
      <c r="A720" s="535" t="n">
        <v>32542</v>
      </c>
      <c r="B720" s="534" t="n">
        <v>8.101000000000001</v>
      </c>
      <c r="C720" s="534" t="n">
        <v>3105.96</v>
      </c>
      <c r="E720" s="535" t="n">
        <v>36362</v>
      </c>
      <c r="F720" s="534" t="n">
        <v>7.372</v>
      </c>
      <c r="G720" s="554" t="n"/>
    </row>
    <row r="721">
      <c r="A721" s="535" t="n">
        <v>32545</v>
      </c>
      <c r="B721" s="534" t="n">
        <v>8.101000000000001</v>
      </c>
      <c r="C721" s="534" t="n">
        <v>3105.96</v>
      </c>
      <c r="E721" s="535" t="n">
        <v>36363</v>
      </c>
      <c r="F721" s="534" t="n">
        <v>7.298</v>
      </c>
      <c r="G721" s="554" t="n"/>
    </row>
    <row r="722">
      <c r="A722" s="535" t="n">
        <v>32546</v>
      </c>
      <c r="B722" s="534" t="n">
        <v>8.101000000000001</v>
      </c>
      <c r="C722" s="534" t="n">
        <v>3105.96</v>
      </c>
      <c r="E722" s="535" t="n">
        <v>36364</v>
      </c>
      <c r="F722" s="534" t="n">
        <v>7.3</v>
      </c>
      <c r="G722" s="554" t="n"/>
    </row>
    <row r="723">
      <c r="A723" s="535" t="n">
        <v>32547</v>
      </c>
      <c r="B723" s="534" t="n">
        <v>8.101000000000001</v>
      </c>
      <c r="C723" s="534" t="n">
        <v>3105.96</v>
      </c>
      <c r="E723" s="535" t="n">
        <v>36367</v>
      </c>
      <c r="F723" s="534" t="n">
        <v>7.337</v>
      </c>
      <c r="G723" s="554" t="n"/>
    </row>
    <row r="724">
      <c r="A724" s="535" t="n">
        <v>32548</v>
      </c>
      <c r="B724" s="534" t="n">
        <v>8.276</v>
      </c>
      <c r="C724" s="534" t="n">
        <v>3209.96</v>
      </c>
      <c r="E724" s="535" t="n">
        <v>36368</v>
      </c>
      <c r="F724" s="534" t="n">
        <v>7.291</v>
      </c>
      <c r="G724" s="554" t="n"/>
    </row>
    <row r="725">
      <c r="A725" s="535" t="n">
        <v>32549</v>
      </c>
      <c r="B725" s="534" t="n">
        <v>8.363</v>
      </c>
      <c r="C725" s="534" t="n">
        <v>3184.16</v>
      </c>
      <c r="E725" s="535" t="n">
        <v>36369</v>
      </c>
      <c r="F725" s="534" t="n">
        <v>7.322</v>
      </c>
      <c r="G725" s="554" t="n"/>
    </row>
    <row r="726">
      <c r="A726" s="535" t="n">
        <v>32552</v>
      </c>
      <c r="B726" s="534" t="n">
        <v>8.449999999999999</v>
      </c>
      <c r="C726" s="534" t="n">
        <v>3153.73</v>
      </c>
      <c r="E726" s="535" t="n">
        <v>36370</v>
      </c>
      <c r="F726" s="534" t="n">
        <v>7.449</v>
      </c>
      <c r="G726" s="554" t="n"/>
    </row>
    <row r="727">
      <c r="A727" s="535" t="n">
        <v>32553</v>
      </c>
      <c r="B727" s="534" t="n">
        <v>8.406000000000001</v>
      </c>
      <c r="C727" s="534" t="n">
        <v>3099.97</v>
      </c>
      <c r="E727" s="535" t="n">
        <v>36371</v>
      </c>
      <c r="F727" s="534" t="n">
        <v>7.486</v>
      </c>
      <c r="G727" s="554" t="n"/>
    </row>
    <row r="728">
      <c r="A728" s="535" t="n">
        <v>32554</v>
      </c>
      <c r="B728" s="534" t="n">
        <v>8.493</v>
      </c>
      <c r="C728" s="534" t="n">
        <v>3100.87</v>
      </c>
      <c r="E728" s="535" t="n">
        <v>36374</v>
      </c>
      <c r="F728" s="534" t="n">
        <v>7.456</v>
      </c>
      <c r="G728" s="554" t="n"/>
    </row>
    <row r="729">
      <c r="A729" s="535" t="n">
        <v>32555</v>
      </c>
      <c r="B729" s="534" t="n">
        <v>8.449999999999999</v>
      </c>
      <c r="C729" s="534" t="n">
        <v>3081.14</v>
      </c>
      <c r="E729" s="535" t="n">
        <v>36375</v>
      </c>
      <c r="F729" s="534" t="n">
        <v>7.456</v>
      </c>
      <c r="G729" s="554" t="n"/>
    </row>
    <row r="730">
      <c r="A730" s="535" t="n">
        <v>32556</v>
      </c>
      <c r="B730" s="534" t="n">
        <v>8.537000000000001</v>
      </c>
      <c r="C730" s="534" t="n">
        <v>3106.25</v>
      </c>
      <c r="E730" s="535" t="n">
        <v>36376</v>
      </c>
      <c r="F730" s="534" t="n">
        <v>7.456</v>
      </c>
      <c r="G730" s="554" t="n"/>
    </row>
    <row r="731">
      <c r="A731" s="535" t="n">
        <v>32559</v>
      </c>
      <c r="B731" s="534" t="n">
        <v>8.624000000000001</v>
      </c>
      <c r="C731" s="534" t="n">
        <v>3159.84</v>
      </c>
      <c r="E731" s="535" t="n">
        <v>36377</v>
      </c>
      <c r="F731" s="534" t="n">
        <v>7.479</v>
      </c>
      <c r="G731" s="554" t="n"/>
    </row>
    <row r="732">
      <c r="A732" s="535" t="n">
        <v>32560</v>
      </c>
      <c r="B732" s="534" t="n">
        <v>8.711</v>
      </c>
      <c r="C732" s="534" t="n">
        <v>3150.64</v>
      </c>
      <c r="E732" s="535" t="n">
        <v>36378</v>
      </c>
      <c r="F732" s="534" t="n">
        <v>7.464</v>
      </c>
      <c r="G732" s="554" t="n"/>
    </row>
    <row r="733">
      <c r="A733" s="535" t="n">
        <v>32561</v>
      </c>
      <c r="B733" s="534" t="n">
        <v>8.711</v>
      </c>
      <c r="C733" s="534" t="n">
        <v>3161.56</v>
      </c>
      <c r="E733" s="535" t="n">
        <v>36381</v>
      </c>
      <c r="F733" s="534" t="n">
        <v>7.516</v>
      </c>
      <c r="G733" s="554" t="n"/>
    </row>
    <row r="734">
      <c r="A734" s="535" t="n">
        <v>32562</v>
      </c>
      <c r="B734" s="534" t="n">
        <v>8.624000000000001</v>
      </c>
      <c r="C734" s="534" t="n">
        <v>3125.2</v>
      </c>
      <c r="E734" s="535" t="n">
        <v>36382</v>
      </c>
      <c r="F734" s="534" t="n">
        <v>7.495</v>
      </c>
      <c r="G734" s="554" t="n"/>
    </row>
    <row r="735">
      <c r="A735" s="535" t="n">
        <v>32563</v>
      </c>
      <c r="B735" s="534" t="n">
        <v>8.58</v>
      </c>
      <c r="C735" s="534" t="n">
        <v>3114.23</v>
      </c>
      <c r="E735" s="535" t="n">
        <v>36383</v>
      </c>
      <c r="F735" s="534" t="n">
        <v>7.516</v>
      </c>
      <c r="G735" s="554" t="n"/>
    </row>
    <row r="736">
      <c r="A736" s="535" t="n">
        <v>32566</v>
      </c>
      <c r="B736" s="534" t="n">
        <v>8.493</v>
      </c>
      <c r="C736" s="534" t="n">
        <v>3064.18</v>
      </c>
      <c r="E736" s="535" t="n">
        <v>36384</v>
      </c>
      <c r="F736" s="534" t="n">
        <v>7.494</v>
      </c>
      <c r="G736" s="554" t="n"/>
    </row>
    <row r="737">
      <c r="A737" s="535" t="n">
        <v>32567</v>
      </c>
      <c r="B737" s="534" t="n">
        <v>8.319000000000001</v>
      </c>
      <c r="C737" s="534" t="n">
        <v>3012.68</v>
      </c>
      <c r="E737" s="535" t="n">
        <v>36385</v>
      </c>
      <c r="F737" s="534" t="n">
        <v>7.486</v>
      </c>
      <c r="G737" s="554" t="n"/>
    </row>
    <row r="738">
      <c r="A738" s="535" t="n">
        <v>32568</v>
      </c>
      <c r="B738" s="534" t="n">
        <v>8.319000000000001</v>
      </c>
      <c r="C738" s="534" t="n">
        <v>3037.07</v>
      </c>
      <c r="E738" s="535" t="n">
        <v>36388</v>
      </c>
      <c r="F738" s="534" t="n">
        <v>7.411</v>
      </c>
      <c r="G738" s="554" t="n"/>
    </row>
    <row r="739">
      <c r="A739" s="535" t="n">
        <v>32569</v>
      </c>
      <c r="B739" s="534" t="n">
        <v>8.188000000000001</v>
      </c>
      <c r="C739" s="534" t="n">
        <v>3010.48</v>
      </c>
      <c r="E739" s="535" t="n">
        <v>36389</v>
      </c>
      <c r="F739" s="534" t="n">
        <v>7.395</v>
      </c>
      <c r="G739" s="554" t="n"/>
    </row>
    <row r="740">
      <c r="A740" s="535" t="n">
        <v>32570</v>
      </c>
      <c r="B740" s="534" t="n">
        <v>8.276</v>
      </c>
      <c r="C740" s="534" t="n">
        <v>3056.58</v>
      </c>
      <c r="E740" s="535" t="n">
        <v>36390</v>
      </c>
      <c r="F740" s="534" t="n">
        <v>7.404</v>
      </c>
      <c r="G740" s="554" t="n"/>
    </row>
    <row r="741">
      <c r="A741" s="535" t="n">
        <v>32573</v>
      </c>
      <c r="B741" s="534" t="n">
        <v>8.276</v>
      </c>
      <c r="C741" s="534" t="n">
        <v>3058.95</v>
      </c>
      <c r="E741" s="535" t="n">
        <v>36391</v>
      </c>
      <c r="F741" s="534" t="n">
        <v>7.395</v>
      </c>
      <c r="G741" s="554" t="n"/>
    </row>
    <row r="742">
      <c r="A742" s="535" t="n">
        <v>32574</v>
      </c>
      <c r="B742" s="534" t="n">
        <v>8.276</v>
      </c>
      <c r="C742" s="534" t="n">
        <v>3080.68</v>
      </c>
      <c r="E742" s="535" t="n">
        <v>36392</v>
      </c>
      <c r="F742" s="534" t="n">
        <v>7.426</v>
      </c>
      <c r="G742" s="554" t="n"/>
    </row>
    <row r="743">
      <c r="A743" s="535" t="n">
        <v>32575</v>
      </c>
      <c r="B743" s="534" t="n">
        <v>8.276</v>
      </c>
      <c r="C743" s="534" t="n">
        <v>3058.65</v>
      </c>
      <c r="E743" s="535" t="n">
        <v>36395</v>
      </c>
      <c r="F743" s="534" t="n">
        <v>7.419</v>
      </c>
      <c r="G743" s="554" t="n"/>
    </row>
    <row r="744">
      <c r="A744" s="535" t="n">
        <v>32576</v>
      </c>
      <c r="B744" s="534" t="n">
        <v>8.276</v>
      </c>
      <c r="C744" s="534" t="n">
        <v>3062.79</v>
      </c>
      <c r="E744" s="535" t="n">
        <v>36396</v>
      </c>
      <c r="F744" s="534" t="n">
        <v>7.417</v>
      </c>
      <c r="G744" s="554" t="n"/>
    </row>
    <row r="745">
      <c r="A745" s="535" t="n">
        <v>32577</v>
      </c>
      <c r="B745" s="534" t="n">
        <v>8.101000000000001</v>
      </c>
      <c r="C745" s="534" t="n">
        <v>3046.81</v>
      </c>
      <c r="E745" s="535" t="n">
        <v>36397</v>
      </c>
      <c r="F745" s="534" t="n">
        <v>7.404</v>
      </c>
      <c r="G745" s="554" t="n"/>
    </row>
    <row r="746">
      <c r="A746" s="535" t="n">
        <v>32580</v>
      </c>
      <c r="B746" s="534" t="n">
        <v>7.927</v>
      </c>
      <c r="C746" s="534" t="n">
        <v>3029.89</v>
      </c>
      <c r="E746" s="535" t="n">
        <v>36398</v>
      </c>
      <c r="F746" s="534" t="n">
        <v>7.479</v>
      </c>
      <c r="G746" s="554" t="n"/>
    </row>
    <row r="747">
      <c r="A747" s="535" t="n">
        <v>32581</v>
      </c>
      <c r="B747" s="534" t="n">
        <v>7.971</v>
      </c>
      <c r="C747" s="534" t="n">
        <v>3034.79</v>
      </c>
      <c r="E747" s="535" t="n">
        <v>36399</v>
      </c>
      <c r="F747" s="534" t="n">
        <v>7.411</v>
      </c>
      <c r="G747" s="554" t="n"/>
    </row>
    <row r="748">
      <c r="A748" s="535" t="n">
        <v>32582</v>
      </c>
      <c r="B748" s="534" t="n">
        <v>8.058</v>
      </c>
      <c r="C748" s="534" t="n">
        <v>3095.91</v>
      </c>
      <c r="E748" s="535" t="n">
        <v>36402</v>
      </c>
      <c r="F748" s="534" t="n">
        <v>7.425</v>
      </c>
      <c r="G748" s="554" t="n"/>
    </row>
    <row r="749">
      <c r="A749" s="535" t="n">
        <v>32583</v>
      </c>
      <c r="B749" s="534" t="n">
        <v>8.231999999999999</v>
      </c>
      <c r="C749" s="534" t="n">
        <v>3150.85</v>
      </c>
      <c r="E749" s="535" t="n">
        <v>36403</v>
      </c>
      <c r="F749" s="534" t="n">
        <v>7.426</v>
      </c>
      <c r="G749" s="554" t="n"/>
    </row>
    <row r="750">
      <c r="A750" s="535" t="n">
        <v>32584</v>
      </c>
      <c r="B750" s="534" t="n">
        <v>8.319000000000001</v>
      </c>
      <c r="C750" s="534" t="n">
        <v>3136.94</v>
      </c>
      <c r="E750" s="535" t="n">
        <v>36404</v>
      </c>
      <c r="F750" s="534" t="n">
        <v>7.471</v>
      </c>
      <c r="G750" s="554" t="n"/>
    </row>
    <row r="751">
      <c r="A751" s="535" t="n">
        <v>32587</v>
      </c>
      <c r="B751" s="534" t="n">
        <v>8.145</v>
      </c>
      <c r="C751" s="534" t="n">
        <v>3046.73</v>
      </c>
      <c r="E751" s="535" t="n">
        <v>36405</v>
      </c>
      <c r="F751" s="534" t="n">
        <v>7.502</v>
      </c>
      <c r="G751" s="554" t="n"/>
    </row>
    <row r="752">
      <c r="A752" s="535" t="n">
        <v>32588</v>
      </c>
      <c r="B752" s="534" t="n">
        <v>8.145</v>
      </c>
      <c r="C752" s="534" t="n">
        <v>3056.43</v>
      </c>
      <c r="E752" s="535" t="n">
        <v>36406</v>
      </c>
      <c r="F752" s="534" t="n">
        <v>7.593</v>
      </c>
      <c r="G752" s="554" t="n"/>
    </row>
    <row r="753">
      <c r="A753" s="535" t="n">
        <v>32589</v>
      </c>
      <c r="B753" s="534" t="n">
        <v>8.145</v>
      </c>
      <c r="C753" s="534" t="n">
        <v>3037.05</v>
      </c>
      <c r="E753" s="535" t="n">
        <v>36409</v>
      </c>
      <c r="F753" s="534" t="n">
        <v>7.502</v>
      </c>
      <c r="G753" s="554" t="n"/>
    </row>
    <row r="754">
      <c r="A754" s="535" t="n">
        <v>32590</v>
      </c>
      <c r="B754" s="534" t="n">
        <v>8.101000000000001</v>
      </c>
      <c r="C754" s="534" t="n">
        <v>3049.62</v>
      </c>
      <c r="E754" s="535" t="n">
        <v>36410</v>
      </c>
      <c r="F754" s="534" t="n">
        <v>7.516</v>
      </c>
      <c r="G754" s="554" t="n"/>
    </row>
    <row r="755">
      <c r="A755" s="535" t="n">
        <v>32591</v>
      </c>
      <c r="B755" s="534" t="n">
        <v>8.101000000000001</v>
      </c>
      <c r="C755" s="534" t="n">
        <v>3049.62</v>
      </c>
      <c r="E755" s="535" t="n">
        <v>36411</v>
      </c>
      <c r="F755" s="534" t="n">
        <v>7.51</v>
      </c>
      <c r="G755" s="554" t="n"/>
    </row>
    <row r="756">
      <c r="A756" s="535" t="n">
        <v>32594</v>
      </c>
      <c r="B756" s="534" t="n">
        <v>8.101000000000001</v>
      </c>
      <c r="C756" s="534" t="n">
        <v>3049.62</v>
      </c>
      <c r="E756" s="535" t="n">
        <v>36412</v>
      </c>
      <c r="F756" s="534" t="n">
        <v>7.54</v>
      </c>
      <c r="G756" s="554" t="n"/>
    </row>
    <row r="757">
      <c r="A757" s="535" t="n">
        <v>32595</v>
      </c>
      <c r="B757" s="534" t="n">
        <v>8.013999999999999</v>
      </c>
      <c r="C757" s="534" t="n">
        <v>3033.03</v>
      </c>
      <c r="E757" s="535" t="n">
        <v>36413</v>
      </c>
      <c r="F757" s="534" t="n">
        <v>7.532</v>
      </c>
      <c r="G757" s="554" t="n"/>
    </row>
    <row r="758">
      <c r="A758" s="535" t="n">
        <v>32596</v>
      </c>
      <c r="B758" s="534" t="n">
        <v>8.013999999999999</v>
      </c>
      <c r="C758" s="534" t="n">
        <v>3032.98</v>
      </c>
      <c r="E758" s="535" t="n">
        <v>36416</v>
      </c>
      <c r="F758" s="534" t="n">
        <v>7.472</v>
      </c>
      <c r="G758" s="554" t="n"/>
    </row>
    <row r="759">
      <c r="A759" s="535" t="n">
        <v>32597</v>
      </c>
      <c r="B759" s="534" t="n">
        <v>7.971</v>
      </c>
      <c r="C759" s="534" t="n">
        <v>2980.76</v>
      </c>
      <c r="E759" s="535" t="n">
        <v>36417</v>
      </c>
      <c r="F759" s="534" t="n">
        <v>7.47</v>
      </c>
      <c r="G759" s="554" t="n"/>
    </row>
    <row r="760">
      <c r="A760" s="535" t="n">
        <v>32598</v>
      </c>
      <c r="B760" s="534" t="n">
        <v>7.971</v>
      </c>
      <c r="C760" s="534" t="n">
        <v>3004.98</v>
      </c>
      <c r="E760" s="535" t="n">
        <v>36418</v>
      </c>
      <c r="F760" s="534" t="n">
        <v>7.411</v>
      </c>
      <c r="G760" s="554" t="n"/>
    </row>
    <row r="761">
      <c r="A761" s="535" t="n">
        <v>32601</v>
      </c>
      <c r="B761" s="534" t="n">
        <v>7.971</v>
      </c>
      <c r="C761" s="534" t="n">
        <v>2987.21</v>
      </c>
      <c r="E761" s="535" t="n">
        <v>36419</v>
      </c>
      <c r="F761" s="534" t="n">
        <v>7.411</v>
      </c>
      <c r="G761" s="554" t="n"/>
    </row>
    <row r="762">
      <c r="A762" s="535" t="n">
        <v>32602</v>
      </c>
      <c r="B762" s="534" t="n">
        <v>7.927</v>
      </c>
      <c r="C762" s="534" t="n">
        <v>2991.96</v>
      </c>
      <c r="E762" s="535" t="n">
        <v>36420</v>
      </c>
      <c r="F762" s="534" t="n">
        <v>7.469</v>
      </c>
      <c r="G762" s="554" t="n"/>
    </row>
    <row r="763">
      <c r="A763" s="535" t="n">
        <v>32603</v>
      </c>
      <c r="B763" s="534" t="n">
        <v>7.927</v>
      </c>
      <c r="C763" s="534" t="n">
        <v>2991.96</v>
      </c>
      <c r="E763" s="535" t="n">
        <v>36423</v>
      </c>
      <c r="F763" s="534" t="n">
        <v>7.411</v>
      </c>
      <c r="G763" s="554" t="n"/>
    </row>
    <row r="764">
      <c r="A764" s="535" t="n">
        <v>32604</v>
      </c>
      <c r="B764" s="534" t="n">
        <v>8.058</v>
      </c>
      <c r="C764" s="534" t="n">
        <v>3015.51</v>
      </c>
      <c r="E764" s="535" t="n">
        <v>36424</v>
      </c>
      <c r="F764" s="534" t="n">
        <v>7.312</v>
      </c>
      <c r="G764" s="554" t="n"/>
    </row>
    <row r="765">
      <c r="A765" s="535" t="n">
        <v>32605</v>
      </c>
      <c r="B765" s="534" t="n">
        <v>7.971</v>
      </c>
      <c r="C765" s="534" t="n">
        <v>3024.09</v>
      </c>
      <c r="E765" s="535" t="n">
        <v>36425</v>
      </c>
      <c r="F765" s="534" t="n">
        <v>7.321</v>
      </c>
      <c r="G765" s="554" t="n"/>
    </row>
    <row r="766">
      <c r="A766" s="535" t="n">
        <v>32608</v>
      </c>
      <c r="B766" s="534" t="n">
        <v>7.971</v>
      </c>
      <c r="C766" s="534" t="n">
        <v>3021.43</v>
      </c>
      <c r="E766" s="535" t="n">
        <v>36426</v>
      </c>
      <c r="F766" s="534" t="n">
        <v>7.335</v>
      </c>
      <c r="G766" s="554" t="n"/>
    </row>
    <row r="767">
      <c r="A767" s="535" t="n">
        <v>32609</v>
      </c>
      <c r="B767" s="534" t="n">
        <v>8.013999999999999</v>
      </c>
      <c r="C767" s="534" t="n">
        <v>3026</v>
      </c>
      <c r="E767" s="535" t="n">
        <v>36427</v>
      </c>
      <c r="F767" s="534" t="n">
        <v>7.351</v>
      </c>
      <c r="G767" s="554" t="n"/>
    </row>
    <row r="768">
      <c r="A768" s="535" t="n">
        <v>32610</v>
      </c>
      <c r="B768" s="534" t="n">
        <v>8.145</v>
      </c>
      <c r="C768" s="534" t="n">
        <v>3060.16</v>
      </c>
      <c r="E768" s="535" t="n">
        <v>36430</v>
      </c>
      <c r="F768" s="534" t="n">
        <v>7.32</v>
      </c>
      <c r="G768" s="554" t="n"/>
    </row>
    <row r="769">
      <c r="A769" s="535" t="n">
        <v>32611</v>
      </c>
      <c r="B769" s="534" t="n">
        <v>8.101000000000001</v>
      </c>
      <c r="C769" s="534" t="n">
        <v>3079.15</v>
      </c>
      <c r="E769" s="535" t="n">
        <v>36431</v>
      </c>
      <c r="F769" s="534" t="n">
        <v>7.336</v>
      </c>
      <c r="G769" s="554" t="n"/>
    </row>
    <row r="770">
      <c r="A770" s="535" t="n">
        <v>32612</v>
      </c>
      <c r="B770" s="534" t="n">
        <v>8.058</v>
      </c>
      <c r="C770" s="534" t="n">
        <v>3082.71</v>
      </c>
      <c r="E770" s="535" t="n">
        <v>36432</v>
      </c>
      <c r="F770" s="534" t="n">
        <v>7.372</v>
      </c>
      <c r="G770" s="554" t="n"/>
    </row>
    <row r="771">
      <c r="A771" s="535" t="n">
        <v>32615</v>
      </c>
      <c r="B771" s="534" t="n">
        <v>8.101000000000001</v>
      </c>
      <c r="C771" s="534" t="n">
        <v>3133.98</v>
      </c>
      <c r="E771" s="535" t="n">
        <v>36433</v>
      </c>
      <c r="F771" s="534" t="n">
        <v>7.374</v>
      </c>
      <c r="G771" s="554" t="n"/>
    </row>
    <row r="772">
      <c r="A772" s="535" t="n">
        <v>32616</v>
      </c>
      <c r="B772" s="534" t="n">
        <v>8.058</v>
      </c>
      <c r="C772" s="534" t="n">
        <v>3135.43</v>
      </c>
      <c r="E772" s="535" t="n">
        <v>36434</v>
      </c>
      <c r="F772" s="534" t="n">
        <v>7.374</v>
      </c>
      <c r="G772" s="554" t="n"/>
    </row>
    <row r="773">
      <c r="A773" s="535" t="n">
        <v>32617</v>
      </c>
      <c r="B773" s="534" t="n">
        <v>8.145</v>
      </c>
      <c r="C773" s="534" t="n">
        <v>3164.09</v>
      </c>
      <c r="E773" s="535" t="n">
        <v>36437</v>
      </c>
      <c r="F773" s="534" t="n">
        <v>7.388</v>
      </c>
      <c r="G773" s="554" t="n"/>
    </row>
    <row r="774">
      <c r="A774" s="535" t="n">
        <v>32618</v>
      </c>
      <c r="B774" s="534" t="n">
        <v>8.101000000000001</v>
      </c>
      <c r="C774" s="534" t="n">
        <v>3139.68</v>
      </c>
      <c r="E774" s="535" t="n">
        <v>36438</v>
      </c>
      <c r="F774" s="534" t="n">
        <v>7.41</v>
      </c>
      <c r="G774" s="554" t="n"/>
    </row>
    <row r="775">
      <c r="A775" s="535" t="n">
        <v>32619</v>
      </c>
      <c r="B775" s="534" t="n">
        <v>7.927</v>
      </c>
      <c r="C775" s="534" t="n">
        <v>3109.23</v>
      </c>
      <c r="E775" s="535" t="n">
        <v>36439</v>
      </c>
      <c r="F775" s="534" t="n">
        <v>7.441</v>
      </c>
      <c r="G775" s="554" t="n"/>
    </row>
    <row r="776">
      <c r="A776" s="535" t="n">
        <v>32622</v>
      </c>
      <c r="B776" s="534" t="n">
        <v>8.013999999999999</v>
      </c>
      <c r="C776" s="534" t="n">
        <v>3095.99</v>
      </c>
      <c r="E776" s="535" t="n">
        <v>36440</v>
      </c>
      <c r="F776" s="534" t="n">
        <v>7.463</v>
      </c>
      <c r="G776" s="554" t="n"/>
    </row>
    <row r="777">
      <c r="A777" s="535" t="n">
        <v>32623</v>
      </c>
      <c r="B777" s="534" t="n">
        <v>8.145</v>
      </c>
      <c r="C777" s="534" t="n">
        <v>3118.73</v>
      </c>
      <c r="E777" s="535" t="n">
        <v>36441</v>
      </c>
      <c r="F777" s="534" t="n">
        <v>7.473</v>
      </c>
      <c r="G777" s="554" t="n"/>
    </row>
    <row r="778">
      <c r="A778" s="535" t="n">
        <v>32624</v>
      </c>
      <c r="B778" s="534" t="n">
        <v>8.145</v>
      </c>
      <c r="C778" s="534" t="n">
        <v>3118.67</v>
      </c>
      <c r="E778" s="535" t="n">
        <v>36444</v>
      </c>
      <c r="F778" s="534" t="n">
        <v>7.456</v>
      </c>
      <c r="G778" s="554" t="n"/>
    </row>
    <row r="779">
      <c r="A779" s="535" t="n">
        <v>32625</v>
      </c>
      <c r="B779" s="534" t="n">
        <v>8.101000000000001</v>
      </c>
      <c r="C779" s="534" t="n">
        <v>3077.26</v>
      </c>
      <c r="E779" s="535" t="n">
        <v>36445</v>
      </c>
      <c r="F779" s="534" t="n">
        <v>7.448</v>
      </c>
      <c r="G779" s="554" t="n"/>
    </row>
    <row r="780">
      <c r="A780" s="535" t="n">
        <v>32626</v>
      </c>
      <c r="B780" s="534" t="n">
        <v>8.188000000000001</v>
      </c>
      <c r="C780" s="534" t="n">
        <v>3116.03</v>
      </c>
      <c r="E780" s="535" t="n">
        <v>36446</v>
      </c>
      <c r="F780" s="534" t="n">
        <v>7.465</v>
      </c>
      <c r="G780" s="554" t="n"/>
    </row>
    <row r="781">
      <c r="A781" s="535" t="n">
        <v>32629</v>
      </c>
      <c r="B781" s="534" t="n">
        <v>8.145</v>
      </c>
      <c r="C781" s="534" t="n">
        <v>3123.87</v>
      </c>
      <c r="E781" s="535" t="n">
        <v>36447</v>
      </c>
      <c r="F781" s="534" t="n">
        <v>7.488</v>
      </c>
      <c r="G781" s="554" t="n"/>
    </row>
    <row r="782">
      <c r="A782" s="535" t="n">
        <v>32630</v>
      </c>
      <c r="B782" s="534" t="n">
        <v>8.188000000000001</v>
      </c>
      <c r="C782" s="534" t="n">
        <v>3156.37</v>
      </c>
      <c r="E782" s="535" t="n">
        <v>36448</v>
      </c>
      <c r="F782" s="534" t="n">
        <v>7.488</v>
      </c>
      <c r="G782" s="554" t="n"/>
    </row>
    <row r="783">
      <c r="A783" s="535" t="n">
        <v>32631</v>
      </c>
      <c r="B783" s="534" t="n">
        <v>8.231999999999999</v>
      </c>
      <c r="C783" s="534" t="n">
        <v>3155.22</v>
      </c>
      <c r="E783" s="535" t="n">
        <v>36451</v>
      </c>
      <c r="F783" s="534" t="n">
        <v>7.488</v>
      </c>
      <c r="G783" s="554" t="n"/>
    </row>
    <row r="784">
      <c r="A784" s="535" t="n">
        <v>32632</v>
      </c>
      <c r="B784" s="534" t="n">
        <v>8.406000000000001</v>
      </c>
      <c r="C784" s="534" t="n">
        <v>3221.12</v>
      </c>
      <c r="E784" s="535" t="n">
        <v>36452</v>
      </c>
      <c r="F784" s="534" t="n">
        <v>7.504</v>
      </c>
      <c r="G784" s="554" t="n"/>
    </row>
    <row r="785">
      <c r="A785" s="535" t="n">
        <v>32633</v>
      </c>
      <c r="B785" s="534" t="n">
        <v>8.624000000000001</v>
      </c>
      <c r="C785" s="534" t="n">
        <v>3262.86</v>
      </c>
      <c r="E785" s="535" t="n">
        <v>36453</v>
      </c>
      <c r="F785" s="534" t="n">
        <v>7.488</v>
      </c>
      <c r="G785" s="554" t="n"/>
    </row>
    <row r="786">
      <c r="A786" s="535" t="n">
        <v>32636</v>
      </c>
      <c r="B786" s="534" t="n">
        <v>8.711</v>
      </c>
      <c r="C786" s="534" t="n">
        <v>3268.54</v>
      </c>
      <c r="E786" s="535" t="n">
        <v>36454</v>
      </c>
      <c r="F786" s="534" t="n">
        <v>7.487</v>
      </c>
      <c r="G786" s="554" t="n"/>
    </row>
    <row r="787">
      <c r="A787" s="535" t="n">
        <v>32637</v>
      </c>
      <c r="B787" s="534" t="n">
        <v>8.711</v>
      </c>
      <c r="C787" s="534" t="n">
        <v>3262.25</v>
      </c>
      <c r="E787" s="535" t="n">
        <v>36455</v>
      </c>
      <c r="F787" s="534" t="n">
        <v>7.496</v>
      </c>
      <c r="G787" s="554" t="n"/>
    </row>
    <row r="788">
      <c r="A788" s="535" t="n">
        <v>32638</v>
      </c>
      <c r="B788" s="534" t="n">
        <v>8.798</v>
      </c>
      <c r="C788" s="534" t="n">
        <v>3280.98</v>
      </c>
      <c r="E788" s="535" t="n">
        <v>36458</v>
      </c>
      <c r="F788" s="534" t="n">
        <v>7.481</v>
      </c>
      <c r="G788" s="554" t="n"/>
    </row>
    <row r="789">
      <c r="A789" s="535" t="n">
        <v>32639</v>
      </c>
      <c r="B789" s="534" t="n">
        <v>8.885</v>
      </c>
      <c r="C789" s="534" t="n">
        <v>3285.1</v>
      </c>
      <c r="E789" s="535" t="n">
        <v>36459</v>
      </c>
      <c r="F789" s="534" t="n">
        <v>7.489</v>
      </c>
      <c r="G789" s="554" t="n"/>
    </row>
    <row r="790">
      <c r="A790" s="535" t="n">
        <v>32640</v>
      </c>
      <c r="B790" s="534" t="n">
        <v>8.798</v>
      </c>
      <c r="C790" s="534" t="n">
        <v>3278.43</v>
      </c>
      <c r="E790" s="535" t="n">
        <v>36460</v>
      </c>
      <c r="F790" s="534" t="n">
        <v>7.566</v>
      </c>
      <c r="G790" s="554" t="n"/>
    </row>
    <row r="791">
      <c r="A791" s="535" t="n">
        <v>32643</v>
      </c>
      <c r="B791" s="534" t="n">
        <v>8.972</v>
      </c>
      <c r="C791" s="534" t="n">
        <v>3309.64</v>
      </c>
      <c r="E791" s="535" t="n">
        <v>36461</v>
      </c>
      <c r="F791" s="534" t="n">
        <v>7.535</v>
      </c>
      <c r="G791" s="554" t="n"/>
    </row>
    <row r="792">
      <c r="A792" s="535" t="n">
        <v>32644</v>
      </c>
      <c r="B792" s="534" t="n">
        <v>8.885</v>
      </c>
      <c r="C792" s="534" t="n">
        <v>3289.5</v>
      </c>
      <c r="E792" s="535" t="n">
        <v>36462</v>
      </c>
      <c r="F792" s="534" t="n">
        <v>7.55</v>
      </c>
      <c r="G792" s="554" t="n"/>
    </row>
    <row r="793">
      <c r="A793" s="535" t="n">
        <v>32645</v>
      </c>
      <c r="B793" s="534" t="n">
        <v>8.667999999999999</v>
      </c>
      <c r="C793" s="534" t="n">
        <v>3246.41</v>
      </c>
      <c r="E793" s="535" t="n">
        <v>36465</v>
      </c>
      <c r="F793" s="534" t="n">
        <v>7.442</v>
      </c>
      <c r="G793" s="554" t="n"/>
    </row>
    <row r="794">
      <c r="A794" s="535" t="n">
        <v>32646</v>
      </c>
      <c r="B794" s="534" t="n">
        <v>8.711</v>
      </c>
      <c r="C794" s="534" t="n">
        <v>3277.66</v>
      </c>
      <c r="E794" s="535" t="n">
        <v>36466</v>
      </c>
      <c r="F794" s="534" t="n">
        <v>7.42</v>
      </c>
      <c r="G794" s="554" t="n"/>
    </row>
    <row r="795">
      <c r="A795" s="535" t="n">
        <v>32647</v>
      </c>
      <c r="B795" s="534" t="n">
        <v>8.537000000000001</v>
      </c>
      <c r="C795" s="534" t="n">
        <v>3145.63</v>
      </c>
      <c r="E795" s="535" t="n">
        <v>36467</v>
      </c>
      <c r="F795" s="534" t="n">
        <v>7.474</v>
      </c>
      <c r="G795" s="554" t="n"/>
    </row>
    <row r="796">
      <c r="A796" s="535" t="n">
        <v>32650</v>
      </c>
      <c r="B796" s="534" t="n">
        <v>7.84</v>
      </c>
      <c r="C796" s="534" t="n">
        <v>2806.57</v>
      </c>
      <c r="E796" s="535" t="n">
        <v>36468</v>
      </c>
      <c r="F796" s="534" t="n">
        <v>7.443</v>
      </c>
      <c r="G796" s="554" t="n"/>
    </row>
    <row r="797">
      <c r="A797" s="535" t="n">
        <v>32651</v>
      </c>
      <c r="B797" s="534" t="n">
        <v>8.406000000000001</v>
      </c>
      <c r="C797" s="534" t="n">
        <v>3067.65</v>
      </c>
      <c r="E797" s="535" t="n">
        <v>36469</v>
      </c>
      <c r="F797" s="534" t="n">
        <v>7.383</v>
      </c>
      <c r="G797" s="554" t="n"/>
    </row>
    <row r="798">
      <c r="A798" s="535" t="n">
        <v>32652</v>
      </c>
      <c r="B798" s="534" t="n">
        <v>8.276</v>
      </c>
      <c r="C798" s="534" t="n">
        <v>3008.73</v>
      </c>
      <c r="E798" s="535" t="n">
        <v>36472</v>
      </c>
      <c r="F798" s="534" t="n">
        <v>7.389</v>
      </c>
      <c r="G798" s="554" t="n"/>
    </row>
    <row r="799">
      <c r="A799" s="535" t="n">
        <v>32653</v>
      </c>
      <c r="B799" s="534" t="n">
        <v>7.796</v>
      </c>
      <c r="C799" s="534" t="n">
        <v>2752.51</v>
      </c>
      <c r="E799" s="535" t="n">
        <v>36473</v>
      </c>
      <c r="F799" s="534" t="n">
        <v>7.398</v>
      </c>
      <c r="G799" s="554" t="n"/>
    </row>
    <row r="800">
      <c r="A800" s="535" t="n">
        <v>32654</v>
      </c>
      <c r="B800" s="534" t="n">
        <v>7.927</v>
      </c>
      <c r="C800" s="534" t="n">
        <v>2765.67</v>
      </c>
      <c r="E800" s="535" t="n">
        <v>36474</v>
      </c>
      <c r="F800" s="534" t="n">
        <v>7.406</v>
      </c>
      <c r="G800" s="554" t="n"/>
    </row>
    <row r="801">
      <c r="A801" s="535" t="n">
        <v>32657</v>
      </c>
      <c r="B801" s="534" t="n">
        <v>8.145</v>
      </c>
      <c r="C801" s="534" t="n">
        <v>2845.01</v>
      </c>
      <c r="E801" s="535" t="n">
        <v>36475</v>
      </c>
      <c r="F801" s="534" t="n">
        <v>7.398</v>
      </c>
      <c r="G801" s="554" t="n"/>
    </row>
    <row r="802">
      <c r="A802" s="535" t="n">
        <v>32658</v>
      </c>
      <c r="B802" s="534" t="n">
        <v>8.145</v>
      </c>
      <c r="C802" s="534" t="n">
        <v>2805.46</v>
      </c>
      <c r="E802" s="535" t="n">
        <v>36476</v>
      </c>
      <c r="F802" s="534" t="n">
        <v>7.381</v>
      </c>
      <c r="G802" s="554" t="n"/>
    </row>
    <row r="803">
      <c r="A803" s="535" t="n">
        <v>32659</v>
      </c>
      <c r="B803" s="534" t="n">
        <v>7.971</v>
      </c>
      <c r="C803" s="534" t="n">
        <v>2743.87</v>
      </c>
      <c r="E803" s="535" t="n">
        <v>36479</v>
      </c>
      <c r="F803" s="534" t="n">
        <v>7.336</v>
      </c>
      <c r="G803" s="554" t="n"/>
    </row>
    <row r="804">
      <c r="A804" s="535" t="n">
        <v>32660</v>
      </c>
      <c r="B804" s="534" t="n">
        <v>7.753</v>
      </c>
      <c r="C804" s="534" t="n">
        <v>2689.98</v>
      </c>
      <c r="E804" s="535" t="n">
        <v>36480</v>
      </c>
      <c r="F804" s="534" t="n">
        <v>7.322</v>
      </c>
      <c r="G804" s="554" t="n"/>
    </row>
    <row r="805">
      <c r="A805" s="535" t="n">
        <v>32661</v>
      </c>
      <c r="B805" s="534" t="n">
        <v>7.884</v>
      </c>
      <c r="C805" s="534" t="n">
        <v>2675.38</v>
      </c>
      <c r="E805" s="535" t="n">
        <v>36481</v>
      </c>
      <c r="F805" s="534" t="n">
        <v>7.414</v>
      </c>
      <c r="G805" s="554" t="n"/>
    </row>
    <row r="806">
      <c r="A806" s="535" t="n">
        <v>32664</v>
      </c>
      <c r="B806" s="534" t="n">
        <v>6.664</v>
      </c>
      <c r="C806" s="534" t="n">
        <v>2093.61</v>
      </c>
      <c r="E806" s="535" t="n">
        <v>36482</v>
      </c>
      <c r="F806" s="534" t="n">
        <v>7.444</v>
      </c>
      <c r="G806" s="554" t="n"/>
    </row>
    <row r="807">
      <c r="A807" s="535" t="n">
        <v>32665</v>
      </c>
      <c r="B807" s="534" t="n">
        <v>6.969</v>
      </c>
      <c r="C807" s="534" t="n">
        <v>2149.71</v>
      </c>
      <c r="E807" s="535" t="n">
        <v>36483</v>
      </c>
      <c r="F807" s="534" t="n">
        <v>7.414</v>
      </c>
      <c r="G807" s="554" t="n"/>
    </row>
    <row r="808">
      <c r="A808" s="535" t="n">
        <v>32666</v>
      </c>
      <c r="B808" s="534" t="n">
        <v>7.404</v>
      </c>
      <c r="C808" s="534" t="n">
        <v>2224.66</v>
      </c>
      <c r="E808" s="535" t="n">
        <v>36486</v>
      </c>
      <c r="F808" s="534" t="n">
        <v>7.414</v>
      </c>
      <c r="G808" s="554" t="n"/>
    </row>
    <row r="809">
      <c r="A809" s="535" t="n">
        <v>32667</v>
      </c>
      <c r="B809" s="534" t="n">
        <v>7.404</v>
      </c>
      <c r="C809" s="534" t="n">
        <v>2224.66</v>
      </c>
      <c r="E809" s="535" t="n">
        <v>36487</v>
      </c>
      <c r="F809" s="534" t="n">
        <v>7.468</v>
      </c>
      <c r="G809" s="554" t="n"/>
    </row>
    <row r="810">
      <c r="A810" s="535" t="n">
        <v>32668</v>
      </c>
      <c r="B810" s="534" t="n">
        <v>7.492</v>
      </c>
      <c r="C810" s="534" t="n">
        <v>2268.38</v>
      </c>
      <c r="E810" s="535" t="n">
        <v>36488</v>
      </c>
      <c r="F810" s="534" t="n">
        <v>7.489</v>
      </c>
      <c r="G810" s="554" t="n"/>
    </row>
    <row r="811">
      <c r="A811" s="535" t="n">
        <v>32671</v>
      </c>
      <c r="B811" s="534" t="n">
        <v>7.753</v>
      </c>
      <c r="C811" s="534" t="n">
        <v>2440.21</v>
      </c>
      <c r="E811" s="535" t="n">
        <v>36489</v>
      </c>
      <c r="F811" s="534" t="n">
        <v>7.489</v>
      </c>
      <c r="G811" s="554" t="n"/>
    </row>
    <row r="812">
      <c r="A812" s="535" t="n">
        <v>32672</v>
      </c>
      <c r="B812" s="534" t="n">
        <v>7.361</v>
      </c>
      <c r="C812" s="534" t="n">
        <v>2355.19</v>
      </c>
      <c r="E812" s="535" t="n">
        <v>36490</v>
      </c>
      <c r="F812" s="534" t="n">
        <v>7.568</v>
      </c>
      <c r="G812" s="554" t="n"/>
    </row>
    <row r="813">
      <c r="A813" s="535" t="n">
        <v>32673</v>
      </c>
      <c r="B813" s="534" t="n">
        <v>7.579</v>
      </c>
      <c r="C813" s="534" t="n">
        <v>2380.48</v>
      </c>
      <c r="E813" s="535" t="n">
        <v>36493</v>
      </c>
      <c r="F813" s="534" t="n">
        <v>7.614</v>
      </c>
      <c r="G813" s="554" t="n"/>
    </row>
    <row r="814">
      <c r="A814" s="535" t="n">
        <v>32674</v>
      </c>
      <c r="B814" s="534" t="n">
        <v>7.274</v>
      </c>
      <c r="C814" s="534" t="n">
        <v>2340.02</v>
      </c>
      <c r="E814" s="535" t="n">
        <v>36494</v>
      </c>
      <c r="F814" s="534" t="n">
        <v>7.717</v>
      </c>
      <c r="G814" s="554" t="n"/>
    </row>
    <row r="815">
      <c r="A815" s="535" t="n">
        <v>32675</v>
      </c>
      <c r="B815" s="534" t="n">
        <v>7.187</v>
      </c>
      <c r="C815" s="534" t="n">
        <v>2342.41</v>
      </c>
      <c r="E815" s="535" t="n">
        <v>36495</v>
      </c>
      <c r="F815" s="534" t="n">
        <v>7.686</v>
      </c>
      <c r="G815" s="554" t="n"/>
    </row>
    <row r="816">
      <c r="A816" s="535" t="n">
        <v>32678</v>
      </c>
      <c r="B816" s="534" t="n">
        <v>7.187</v>
      </c>
      <c r="C816" s="534" t="n">
        <v>2342.41</v>
      </c>
      <c r="E816" s="535" t="n">
        <v>36496</v>
      </c>
      <c r="F816" s="534" t="n">
        <v>7.733</v>
      </c>
      <c r="G816" s="554" t="n"/>
    </row>
    <row r="817">
      <c r="A817" s="535" t="n">
        <v>32679</v>
      </c>
      <c r="B817" s="534" t="n">
        <v>7.143</v>
      </c>
      <c r="C817" s="534" t="n">
        <v>2337.71</v>
      </c>
      <c r="E817" s="535" t="n">
        <v>36497</v>
      </c>
      <c r="F817" s="534" t="n">
        <v>7.685</v>
      </c>
      <c r="G817" s="554" t="n"/>
    </row>
    <row r="818">
      <c r="A818" s="535" t="n">
        <v>32680</v>
      </c>
      <c r="B818" s="534" t="n">
        <v>6.969</v>
      </c>
      <c r="C818" s="534" t="n">
        <v>2272.5</v>
      </c>
      <c r="E818" s="535" t="n">
        <v>36500</v>
      </c>
      <c r="F818" s="534" t="n">
        <v>7.624</v>
      </c>
      <c r="G818" s="554" t="n"/>
    </row>
    <row r="819">
      <c r="A819" s="535" t="n">
        <v>32681</v>
      </c>
      <c r="B819" s="534" t="n">
        <v>6.882</v>
      </c>
      <c r="C819" s="534" t="n">
        <v>2231.82</v>
      </c>
      <c r="E819" s="535" t="n">
        <v>36501</v>
      </c>
      <c r="F819" s="534" t="n">
        <v>7.645</v>
      </c>
      <c r="G819" s="554" t="n"/>
    </row>
    <row r="820">
      <c r="A820" s="535" t="n">
        <v>32682</v>
      </c>
      <c r="B820" s="534" t="n">
        <v>6.838</v>
      </c>
      <c r="C820" s="534" t="n">
        <v>2219</v>
      </c>
      <c r="E820" s="535" t="n">
        <v>36502</v>
      </c>
      <c r="F820" s="534" t="n">
        <v>7.46</v>
      </c>
      <c r="G820" s="554" t="n"/>
    </row>
    <row r="821">
      <c r="A821" s="535" t="n">
        <v>32685</v>
      </c>
      <c r="B821" s="534" t="n">
        <v>6.882</v>
      </c>
      <c r="C821" s="534" t="n">
        <v>2266.57</v>
      </c>
      <c r="E821" s="535" t="n">
        <v>36503</v>
      </c>
      <c r="F821" s="534" t="n">
        <v>7.563</v>
      </c>
      <c r="G821" s="554" t="n"/>
    </row>
    <row r="822">
      <c r="A822" s="535" t="n">
        <v>32686</v>
      </c>
      <c r="B822" s="534" t="n">
        <v>6.838</v>
      </c>
      <c r="C822" s="534" t="n">
        <v>2232.65</v>
      </c>
      <c r="E822" s="535" t="n">
        <v>36504</v>
      </c>
      <c r="F822" s="534" t="n">
        <v>7.608</v>
      </c>
      <c r="G822" s="554" t="n"/>
    </row>
    <row r="823">
      <c r="A823" s="535" t="n">
        <v>32687</v>
      </c>
      <c r="B823" s="534" t="n">
        <v>6.838</v>
      </c>
      <c r="C823" s="534" t="n">
        <v>2245.05</v>
      </c>
      <c r="E823" s="535" t="n">
        <v>36507</v>
      </c>
      <c r="F823" s="534" t="n">
        <v>7.66</v>
      </c>
      <c r="G823" s="554" t="n"/>
    </row>
    <row r="824">
      <c r="A824" s="535" t="n">
        <v>32688</v>
      </c>
      <c r="B824" s="534" t="n">
        <v>6.925</v>
      </c>
      <c r="C824" s="534" t="n">
        <v>2275.32</v>
      </c>
      <c r="E824" s="535" t="n">
        <v>36508</v>
      </c>
      <c r="F824" s="534" t="n">
        <v>7.599</v>
      </c>
      <c r="G824" s="554" t="n"/>
    </row>
    <row r="825">
      <c r="A825" s="535" t="n">
        <v>32689</v>
      </c>
      <c r="B825" s="534" t="n">
        <v>7.056</v>
      </c>
      <c r="C825" s="534" t="n">
        <v>2273.91</v>
      </c>
      <c r="E825" s="535" t="n">
        <v>36509</v>
      </c>
      <c r="F825" s="534" t="n">
        <v>7.644</v>
      </c>
      <c r="G825" s="554" t="n"/>
    </row>
    <row r="826">
      <c r="A826" s="535" t="n">
        <v>32692</v>
      </c>
      <c r="B826" s="534" t="n">
        <v>7.187</v>
      </c>
      <c r="C826" s="534" t="n">
        <v>2270.81</v>
      </c>
      <c r="E826" s="535" t="n">
        <v>36510</v>
      </c>
      <c r="F826" s="534" t="n">
        <v>7.606</v>
      </c>
      <c r="G826" s="554" t="n"/>
    </row>
    <row r="827">
      <c r="A827" s="535" t="n">
        <v>32693</v>
      </c>
      <c r="B827" s="534" t="n">
        <v>7.274</v>
      </c>
      <c r="C827" s="534" t="n">
        <v>2316.74</v>
      </c>
      <c r="E827" s="535" t="n">
        <v>36511</v>
      </c>
      <c r="F827" s="534" t="n">
        <v>7.66</v>
      </c>
      <c r="G827" s="554" t="n"/>
    </row>
    <row r="828">
      <c r="A828" s="535" t="n">
        <v>32694</v>
      </c>
      <c r="B828" s="534" t="n">
        <v>7.448</v>
      </c>
      <c r="C828" s="534" t="n">
        <v>2350.67</v>
      </c>
      <c r="E828" s="535" t="n">
        <v>36514</v>
      </c>
      <c r="F828" s="534" t="n">
        <v>7.643</v>
      </c>
      <c r="G828" s="554" t="n"/>
    </row>
    <row r="829">
      <c r="A829" s="535" t="n">
        <v>32695</v>
      </c>
      <c r="B829" s="534" t="n">
        <v>7.404</v>
      </c>
      <c r="C829" s="534" t="n">
        <v>2369.53</v>
      </c>
      <c r="E829" s="535" t="n">
        <v>36515</v>
      </c>
      <c r="F829" s="534" t="n">
        <v>7.681</v>
      </c>
      <c r="G829" s="554" t="n"/>
    </row>
    <row r="830">
      <c r="A830" s="535" t="n">
        <v>32696</v>
      </c>
      <c r="B830" s="534" t="n">
        <v>7.187</v>
      </c>
      <c r="C830" s="534" t="n">
        <v>2375.94</v>
      </c>
      <c r="E830" s="535" t="n">
        <v>36516</v>
      </c>
      <c r="F830" s="534" t="n">
        <v>7.706</v>
      </c>
      <c r="G830" s="554" t="n"/>
    </row>
    <row r="831">
      <c r="A831" s="535" t="n">
        <v>32699</v>
      </c>
      <c r="B831" s="534" t="n">
        <v>7.361</v>
      </c>
      <c r="C831" s="534" t="n">
        <v>2439.2</v>
      </c>
      <c r="E831" s="535" t="n">
        <v>36517</v>
      </c>
      <c r="F831" s="534" t="n">
        <v>7.688</v>
      </c>
      <c r="G831" s="554" t="n"/>
    </row>
    <row r="832">
      <c r="A832" s="535" t="n">
        <v>32700</v>
      </c>
      <c r="B832" s="534" t="n">
        <v>7.317</v>
      </c>
      <c r="C832" s="534" t="n">
        <v>2485.85</v>
      </c>
      <c r="E832" s="535" t="n">
        <v>36518</v>
      </c>
      <c r="F832" s="534" t="n">
        <v>7.723</v>
      </c>
      <c r="G832" s="554" t="n"/>
    </row>
    <row r="833">
      <c r="A833" s="535" t="n">
        <v>32701</v>
      </c>
      <c r="B833" s="534" t="n">
        <v>7.23</v>
      </c>
      <c r="C833" s="534" t="n">
        <v>2477.51</v>
      </c>
      <c r="E833" s="535" t="n">
        <v>36521</v>
      </c>
      <c r="F833" s="534" t="n">
        <v>7.723</v>
      </c>
      <c r="G833" s="554" t="n"/>
    </row>
    <row r="834">
      <c r="A834" s="535" t="n">
        <v>32702</v>
      </c>
      <c r="B834" s="534" t="n">
        <v>7.361</v>
      </c>
      <c r="C834" s="534" t="n">
        <v>2498.21</v>
      </c>
      <c r="E834" s="535" t="n">
        <v>36522</v>
      </c>
      <c r="F834" s="534" t="n">
        <v>7.705</v>
      </c>
      <c r="G834" s="554" t="n"/>
    </row>
    <row r="835">
      <c r="A835" s="535" t="n">
        <v>32703</v>
      </c>
      <c r="B835" s="534" t="n">
        <v>7.404</v>
      </c>
      <c r="C835" s="534" t="n">
        <v>2516.11</v>
      </c>
      <c r="E835" s="535" t="n">
        <v>36523</v>
      </c>
      <c r="F835" s="534" t="n">
        <v>7.712</v>
      </c>
      <c r="G835" s="554" t="n"/>
    </row>
    <row r="836">
      <c r="A836" s="535" t="n">
        <v>32706</v>
      </c>
      <c r="B836" s="534" t="n">
        <v>7.274</v>
      </c>
      <c r="C836" s="534" t="n">
        <v>2502.64</v>
      </c>
      <c r="E836" s="535" t="n">
        <v>36524</v>
      </c>
      <c r="F836" s="534" t="n">
        <v>7.796</v>
      </c>
      <c r="G836" s="554" t="n"/>
    </row>
    <row r="837">
      <c r="A837" s="535" t="n">
        <v>32707</v>
      </c>
      <c r="B837" s="534" t="n">
        <v>7.361</v>
      </c>
      <c r="C837" s="534" t="n">
        <v>2505.48</v>
      </c>
      <c r="E837" s="535" t="n">
        <v>36525</v>
      </c>
      <c r="F837" s="534" t="n">
        <v>7.796</v>
      </c>
      <c r="G837" s="554" t="n"/>
    </row>
    <row r="838">
      <c r="A838" s="535" t="n">
        <v>32708</v>
      </c>
      <c r="B838" s="534" t="n">
        <v>7.404</v>
      </c>
      <c r="C838" s="534" t="n">
        <v>2547.1</v>
      </c>
      <c r="E838" s="535" t="n">
        <v>36528</v>
      </c>
      <c r="F838" s="534" t="n">
        <v>7.811</v>
      </c>
      <c r="G838" s="554" t="n"/>
    </row>
    <row r="839">
      <c r="A839" s="535" t="n">
        <v>32709</v>
      </c>
      <c r="B839" s="534" t="n">
        <v>7.448</v>
      </c>
      <c r="C839" s="534" t="n">
        <v>2543.08</v>
      </c>
      <c r="E839" s="535" t="n">
        <v>36529</v>
      </c>
      <c r="F839" s="534" t="n">
        <v>7.91</v>
      </c>
      <c r="G839" s="554" t="n"/>
    </row>
    <row r="840">
      <c r="A840" s="535" t="n">
        <v>32710</v>
      </c>
      <c r="B840" s="534" t="n">
        <v>7.274</v>
      </c>
      <c r="C840" s="534" t="n">
        <v>2495.74</v>
      </c>
      <c r="E840" s="535" t="n">
        <v>36530</v>
      </c>
      <c r="F840" s="534" t="n">
        <v>7.864</v>
      </c>
      <c r="G840" s="554" t="n"/>
    </row>
    <row r="841">
      <c r="A841" s="535" t="n">
        <v>32713</v>
      </c>
      <c r="B841" s="534" t="n">
        <v>7.404</v>
      </c>
      <c r="C841" s="534" t="n">
        <v>2482.54</v>
      </c>
      <c r="E841" s="535" t="n">
        <v>36531</v>
      </c>
      <c r="F841" s="534" t="n">
        <v>7.941</v>
      </c>
      <c r="G841" s="554" t="n"/>
    </row>
    <row r="842">
      <c r="A842" s="535" t="n">
        <v>32714</v>
      </c>
      <c r="B842" s="534" t="n">
        <v>7.404</v>
      </c>
      <c r="C842" s="534" t="n">
        <v>2517.02</v>
      </c>
      <c r="E842" s="535" t="n">
        <v>36532</v>
      </c>
      <c r="F842" s="534" t="n">
        <v>7.887</v>
      </c>
      <c r="G842" s="554" t="n"/>
    </row>
    <row r="843">
      <c r="A843" s="535" t="n">
        <v>32715</v>
      </c>
      <c r="B843" s="534" t="n">
        <v>7.317</v>
      </c>
      <c r="C843" s="534" t="n">
        <v>2489.03</v>
      </c>
      <c r="E843" s="535" t="n">
        <v>36535</v>
      </c>
      <c r="F843" s="534" t="n">
        <v>7.825</v>
      </c>
      <c r="G843" s="554" t="n"/>
    </row>
    <row r="844">
      <c r="A844" s="535" t="n">
        <v>32716</v>
      </c>
      <c r="B844" s="534" t="n">
        <v>7.317</v>
      </c>
      <c r="C844" s="534" t="n">
        <v>2493.71</v>
      </c>
      <c r="E844" s="535" t="n">
        <v>36536</v>
      </c>
      <c r="F844" s="534" t="n">
        <v>7.834</v>
      </c>
      <c r="G844" s="554" t="n"/>
    </row>
    <row r="845">
      <c r="A845" s="535" t="n">
        <v>32717</v>
      </c>
      <c r="B845" s="534" t="n">
        <v>7.361</v>
      </c>
      <c r="C845" s="534" t="n">
        <v>2526.75</v>
      </c>
      <c r="E845" s="535" t="n">
        <v>36537</v>
      </c>
      <c r="F845" s="534" t="n">
        <v>7.895</v>
      </c>
      <c r="G845" s="554" t="n"/>
    </row>
    <row r="846">
      <c r="A846" s="535" t="n">
        <v>32720</v>
      </c>
      <c r="B846" s="534" t="n">
        <v>7.404</v>
      </c>
      <c r="C846" s="534" t="n">
        <v>2571.08</v>
      </c>
      <c r="E846" s="535" t="n">
        <v>36538</v>
      </c>
      <c r="F846" s="534" t="n">
        <v>7.864</v>
      </c>
      <c r="G846" s="554" t="n"/>
    </row>
    <row r="847">
      <c r="A847" s="535" t="n">
        <v>32721</v>
      </c>
      <c r="B847" s="534" t="n">
        <v>7.448</v>
      </c>
      <c r="C847" s="534" t="n">
        <v>2578.96</v>
      </c>
      <c r="E847" s="535" t="n">
        <v>36539</v>
      </c>
      <c r="F847" s="534" t="n">
        <v>7.848</v>
      </c>
      <c r="G847" s="554" t="n"/>
    </row>
    <row r="848">
      <c r="A848" s="535" t="n">
        <v>32722</v>
      </c>
      <c r="B848" s="534" t="n">
        <v>7.361</v>
      </c>
      <c r="C848" s="534" t="n">
        <v>2582.83</v>
      </c>
      <c r="E848" s="535" t="n">
        <v>36542</v>
      </c>
      <c r="F848" s="534" t="n">
        <v>7.88</v>
      </c>
      <c r="G848" s="554" t="n"/>
    </row>
    <row r="849">
      <c r="A849" s="535" t="n">
        <v>32723</v>
      </c>
      <c r="B849" s="534" t="n">
        <v>7.535</v>
      </c>
      <c r="C849" s="534" t="n">
        <v>2634.58</v>
      </c>
      <c r="E849" s="535" t="n">
        <v>36543</v>
      </c>
      <c r="F849" s="534" t="n">
        <v>7.826</v>
      </c>
      <c r="G849" s="554" t="n"/>
    </row>
    <row r="850">
      <c r="A850" s="535" t="n">
        <v>32724</v>
      </c>
      <c r="B850" s="534" t="n">
        <v>7.317</v>
      </c>
      <c r="C850" s="534" t="n">
        <v>2579.07</v>
      </c>
      <c r="E850" s="535" t="n">
        <v>36544</v>
      </c>
      <c r="F850" s="534" t="n">
        <v>7.857</v>
      </c>
      <c r="G850" s="554" t="n"/>
    </row>
    <row r="851">
      <c r="A851" s="535" t="n">
        <v>32727</v>
      </c>
      <c r="B851" s="534" t="n">
        <v>7.274</v>
      </c>
      <c r="C851" s="534" t="n">
        <v>2563.77</v>
      </c>
      <c r="E851" s="535" t="n">
        <v>36545</v>
      </c>
      <c r="F851" s="534" t="n">
        <v>7.803</v>
      </c>
      <c r="G851" s="554" t="n"/>
    </row>
    <row r="852">
      <c r="A852" s="535" t="n">
        <v>32728</v>
      </c>
      <c r="B852" s="534" t="n">
        <v>7.404</v>
      </c>
      <c r="C852" s="534" t="n">
        <v>2607.94</v>
      </c>
      <c r="E852" s="535" t="n">
        <v>36546</v>
      </c>
      <c r="F852" s="534" t="n">
        <v>7.796</v>
      </c>
      <c r="G852" s="554" t="n"/>
    </row>
    <row r="853">
      <c r="A853" s="535" t="n">
        <v>32729</v>
      </c>
      <c r="B853" s="534" t="n">
        <v>7.404</v>
      </c>
      <c r="C853" s="534" t="n">
        <v>2627.31</v>
      </c>
      <c r="E853" s="535" t="n">
        <v>36549</v>
      </c>
      <c r="F853" s="534" t="n">
        <v>7.756</v>
      </c>
      <c r="G853" s="554" t="n"/>
    </row>
    <row r="854">
      <c r="A854" s="535" t="n">
        <v>32730</v>
      </c>
      <c r="B854" s="534" t="n">
        <v>7.317</v>
      </c>
      <c r="C854" s="534" t="n">
        <v>2608.68</v>
      </c>
      <c r="E854" s="535" t="n">
        <v>36550</v>
      </c>
      <c r="F854" s="534" t="n">
        <v>7.719</v>
      </c>
      <c r="G854" s="554" t="n"/>
    </row>
    <row r="855">
      <c r="A855" s="535" t="n">
        <v>32731</v>
      </c>
      <c r="B855" s="534" t="n">
        <v>7.361</v>
      </c>
      <c r="C855" s="534" t="n">
        <v>2613.39</v>
      </c>
      <c r="E855" s="535" t="n">
        <v>36551</v>
      </c>
      <c r="F855" s="534" t="n">
        <v>7.712</v>
      </c>
      <c r="G855" s="554" t="n"/>
    </row>
    <row r="856">
      <c r="A856" s="535" t="n">
        <v>32734</v>
      </c>
      <c r="B856" s="534" t="n">
        <v>7.492</v>
      </c>
      <c r="C856" s="534" t="n">
        <v>2640.39</v>
      </c>
      <c r="E856" s="535" t="n">
        <v>36552</v>
      </c>
      <c r="F856" s="534" t="n">
        <v>7.689</v>
      </c>
      <c r="G856" s="554" t="n"/>
    </row>
    <row r="857">
      <c r="A857" s="535" t="n">
        <v>32735</v>
      </c>
      <c r="B857" s="534" t="n">
        <v>7.492</v>
      </c>
      <c r="C857" s="534" t="n">
        <v>2638.19</v>
      </c>
      <c r="E857" s="535" t="n">
        <v>36553</v>
      </c>
      <c r="F857" s="534" t="n">
        <v>7.644</v>
      </c>
      <c r="G857" s="554" t="n"/>
    </row>
    <row r="858">
      <c r="A858" s="535" t="n">
        <v>32736</v>
      </c>
      <c r="B858" s="534" t="n">
        <v>7.492</v>
      </c>
      <c r="C858" s="534" t="n">
        <v>2635.9</v>
      </c>
      <c r="E858" s="535" t="n">
        <v>36556</v>
      </c>
      <c r="F858" s="534" t="n">
        <v>7.659</v>
      </c>
      <c r="G858" s="554" t="n"/>
    </row>
    <row r="859">
      <c r="A859" s="535" t="n">
        <v>32737</v>
      </c>
      <c r="B859" s="534" t="n">
        <v>7.404</v>
      </c>
      <c r="C859" s="534" t="n">
        <v>2616.98</v>
      </c>
      <c r="E859" s="535" t="n">
        <v>36557</v>
      </c>
      <c r="F859" s="534" t="n">
        <v>7.606</v>
      </c>
      <c r="G859" s="554" t="n"/>
    </row>
    <row r="860">
      <c r="A860" s="535" t="n">
        <v>32738</v>
      </c>
      <c r="B860" s="534" t="n">
        <v>7.361</v>
      </c>
      <c r="C860" s="534" t="n">
        <v>2573.16</v>
      </c>
      <c r="E860" s="535" t="n">
        <v>36558</v>
      </c>
      <c r="F860" s="534" t="n">
        <v>7.636</v>
      </c>
      <c r="G860" s="554" t="n"/>
    </row>
    <row r="861">
      <c r="A861" s="535" t="n">
        <v>32741</v>
      </c>
      <c r="B861" s="534" t="n">
        <v>7.274</v>
      </c>
      <c r="C861" s="534" t="n">
        <v>2528.75</v>
      </c>
      <c r="E861" s="535" t="n">
        <v>36559</v>
      </c>
      <c r="F861" s="534" t="n">
        <v>7.651</v>
      </c>
      <c r="G861" s="554" t="n"/>
    </row>
    <row r="862">
      <c r="A862" s="535" t="n">
        <v>32742</v>
      </c>
      <c r="B862" s="534" t="n">
        <v>7.274</v>
      </c>
      <c r="C862" s="534" t="n">
        <v>2543.56</v>
      </c>
      <c r="E862" s="535" t="n">
        <v>36560</v>
      </c>
      <c r="F862" s="534" t="n">
        <v>7.651</v>
      </c>
      <c r="G862" s="554" t="n"/>
    </row>
    <row r="863">
      <c r="A863" s="535" t="n">
        <v>32743</v>
      </c>
      <c r="B863" s="534" t="n">
        <v>7.23</v>
      </c>
      <c r="C863" s="534" t="n">
        <v>2521.39</v>
      </c>
      <c r="E863" s="535" t="n">
        <v>36563</v>
      </c>
      <c r="F863" s="534" t="n">
        <v>7.651</v>
      </c>
      <c r="G863" s="554" t="n"/>
    </row>
    <row r="864">
      <c r="A864" s="535" t="n">
        <v>32744</v>
      </c>
      <c r="B864" s="534" t="n">
        <v>6.925</v>
      </c>
      <c r="C864" s="534" t="n">
        <v>2499.08</v>
      </c>
      <c r="E864" s="535" t="n">
        <v>36564</v>
      </c>
      <c r="F864" s="534" t="n">
        <v>7.621</v>
      </c>
      <c r="G864" s="554" t="n"/>
    </row>
    <row r="865">
      <c r="A865" s="535" t="n">
        <v>32745</v>
      </c>
      <c r="B865" s="534" t="n">
        <v>6.969</v>
      </c>
      <c r="C865" s="534" t="n">
        <v>2516.78</v>
      </c>
      <c r="E865" s="535" t="n">
        <v>36565</v>
      </c>
      <c r="F865" s="534" t="n">
        <v>7.597</v>
      </c>
      <c r="G865" s="554" t="n"/>
    </row>
    <row r="866">
      <c r="A866" s="535" t="n">
        <v>32748</v>
      </c>
      <c r="B866" s="534" t="n">
        <v>6.969</v>
      </c>
      <c r="C866" s="534" t="n">
        <v>2516.78</v>
      </c>
      <c r="E866" s="535" t="n">
        <v>36566</v>
      </c>
      <c r="F866" s="534" t="n">
        <v>7.613</v>
      </c>
      <c r="G866" s="554" t="n"/>
    </row>
    <row r="867">
      <c r="A867" s="535" t="n">
        <v>32749</v>
      </c>
      <c r="B867" s="534" t="n">
        <v>6.969</v>
      </c>
      <c r="C867" s="534" t="n">
        <v>2487.94</v>
      </c>
      <c r="E867" s="535" t="n">
        <v>36567</v>
      </c>
      <c r="F867" s="534" t="n">
        <v>7.703</v>
      </c>
      <c r="G867" s="554" t="n"/>
    </row>
    <row r="868">
      <c r="A868" s="535" t="n">
        <v>32750</v>
      </c>
      <c r="B868" s="534" t="n">
        <v>6.925</v>
      </c>
      <c r="C868" s="534" t="n">
        <v>2505.4</v>
      </c>
      <c r="E868" s="535" t="n">
        <v>36570</v>
      </c>
      <c r="F868" s="534" t="n">
        <v>7.68</v>
      </c>
      <c r="G868" s="554" t="n"/>
    </row>
    <row r="869">
      <c r="A869" s="535" t="n">
        <v>32751</v>
      </c>
      <c r="B869" s="534" t="n">
        <v>6.969</v>
      </c>
      <c r="C869" s="534" t="n">
        <v>2508.57</v>
      </c>
      <c r="E869" s="535" t="n">
        <v>36571</v>
      </c>
      <c r="F869" s="534" t="n">
        <v>7.651</v>
      </c>
      <c r="G869" s="554" t="n"/>
    </row>
    <row r="870">
      <c r="A870" s="535" t="n">
        <v>32752</v>
      </c>
      <c r="B870" s="534" t="n">
        <v>6.882</v>
      </c>
      <c r="C870" s="534" t="n">
        <v>2508.91</v>
      </c>
      <c r="E870" s="535" t="n">
        <v>36572</v>
      </c>
      <c r="F870" s="534" t="n">
        <v>7.642</v>
      </c>
      <c r="G870" s="554" t="n"/>
    </row>
    <row r="871">
      <c r="A871" s="535" t="n">
        <v>32755</v>
      </c>
      <c r="B871" s="534" t="n">
        <v>6.969</v>
      </c>
      <c r="C871" s="534" t="n">
        <v>2550.25</v>
      </c>
      <c r="E871" s="535" t="n">
        <v>36573</v>
      </c>
      <c r="F871" s="534" t="n">
        <v>7.636</v>
      </c>
      <c r="G871" s="554" t="n"/>
    </row>
    <row r="872">
      <c r="A872" s="535" t="n">
        <v>32756</v>
      </c>
      <c r="B872" s="534" t="n">
        <v>7.012</v>
      </c>
      <c r="C872" s="534" t="n">
        <v>2572.41</v>
      </c>
      <c r="E872" s="535" t="n">
        <v>36574</v>
      </c>
      <c r="F872" s="534" t="n">
        <v>7.658</v>
      </c>
      <c r="G872" s="554" t="n"/>
    </row>
    <row r="873">
      <c r="A873" s="535" t="n">
        <v>32757</v>
      </c>
      <c r="B873" s="534" t="n">
        <v>7.056</v>
      </c>
      <c r="C873" s="534" t="n">
        <v>2577.62</v>
      </c>
      <c r="E873" s="535" t="n">
        <v>36577</v>
      </c>
      <c r="F873" s="534" t="n">
        <v>7.636</v>
      </c>
      <c r="G873" s="554" t="n"/>
    </row>
    <row r="874">
      <c r="A874" s="535" t="n">
        <v>32758</v>
      </c>
      <c r="B874" s="534" t="n">
        <v>7.012</v>
      </c>
      <c r="C874" s="534" t="n">
        <v>2583.16</v>
      </c>
      <c r="E874" s="535" t="n">
        <v>36578</v>
      </c>
      <c r="F874" s="534" t="n">
        <v>7.628</v>
      </c>
      <c r="G874" s="554" t="n"/>
    </row>
    <row r="875">
      <c r="A875" s="535" t="n">
        <v>32759</v>
      </c>
      <c r="B875" s="534" t="n">
        <v>7.056</v>
      </c>
      <c r="C875" s="534" t="n">
        <v>2620.63</v>
      </c>
      <c r="E875" s="535" t="n">
        <v>36579</v>
      </c>
      <c r="F875" s="534" t="n">
        <v>7.621</v>
      </c>
      <c r="G875" s="554" t="n"/>
    </row>
    <row r="876">
      <c r="A876" s="535" t="n">
        <v>32762</v>
      </c>
      <c r="B876" s="534" t="n">
        <v>7.056</v>
      </c>
      <c r="C876" s="534" t="n">
        <v>2614.6</v>
      </c>
      <c r="E876" s="535" t="n">
        <v>36580</v>
      </c>
      <c r="F876" s="534" t="n">
        <v>7.639</v>
      </c>
      <c r="G876" s="554" t="n"/>
    </row>
    <row r="877">
      <c r="A877" s="535" t="n">
        <v>32763</v>
      </c>
      <c r="B877" s="534" t="n">
        <v>6.969</v>
      </c>
      <c r="C877" s="534" t="n">
        <v>2610.15</v>
      </c>
      <c r="E877" s="535" t="n">
        <v>36581</v>
      </c>
      <c r="F877" s="534" t="n">
        <v>7.611</v>
      </c>
      <c r="G877" s="554" t="n"/>
    </row>
    <row r="878">
      <c r="A878" s="535" t="n">
        <v>32764</v>
      </c>
      <c r="B878" s="534" t="n">
        <v>6.969</v>
      </c>
      <c r="C878" s="534" t="n">
        <v>2592.14</v>
      </c>
      <c r="E878" s="535" t="n">
        <v>36584</v>
      </c>
      <c r="F878" s="534" t="n">
        <v>7.613</v>
      </c>
      <c r="G878" s="554" t="n"/>
    </row>
    <row r="879">
      <c r="A879" s="535" t="n">
        <v>32765</v>
      </c>
      <c r="B879" s="534" t="n">
        <v>6.969</v>
      </c>
      <c r="C879" s="534" t="n">
        <v>2612.82</v>
      </c>
      <c r="E879" s="535" t="n">
        <v>36585</v>
      </c>
      <c r="F879" s="534" t="n">
        <v>7.666</v>
      </c>
      <c r="G879" s="554" t="n"/>
    </row>
    <row r="880">
      <c r="A880" s="535" t="n">
        <v>32766</v>
      </c>
      <c r="B880" s="534" t="n">
        <v>6.969</v>
      </c>
      <c r="C880" s="534" t="n">
        <v>2612.82</v>
      </c>
      <c r="E880" s="535" t="n">
        <v>36586</v>
      </c>
      <c r="F880" s="534" t="n">
        <v>7.689</v>
      </c>
      <c r="G880" s="554" t="n"/>
    </row>
    <row r="881">
      <c r="A881" s="535" t="n">
        <v>32769</v>
      </c>
      <c r="B881" s="534" t="n">
        <v>7.1</v>
      </c>
      <c r="C881" s="534" t="n">
        <v>2648.21</v>
      </c>
      <c r="E881" s="535" t="n">
        <v>36587</v>
      </c>
      <c r="F881" s="534" t="n">
        <v>7.643</v>
      </c>
      <c r="G881" s="554" t="n"/>
    </row>
    <row r="882">
      <c r="A882" s="535" t="n">
        <v>32770</v>
      </c>
      <c r="B882" s="534" t="n">
        <v>7.012</v>
      </c>
      <c r="C882" s="534" t="n">
        <v>2628.3</v>
      </c>
      <c r="E882" s="535" t="n">
        <v>36588</v>
      </c>
      <c r="F882" s="534" t="n">
        <v>7.643</v>
      </c>
      <c r="G882" s="554" t="n"/>
    </row>
    <row r="883">
      <c r="A883" s="535" t="n">
        <v>32771</v>
      </c>
      <c r="B883" s="534" t="n">
        <v>6.969</v>
      </c>
      <c r="C883" s="534" t="n">
        <v>2631.2</v>
      </c>
      <c r="E883" s="535" t="n">
        <v>36591</v>
      </c>
      <c r="F883" s="534" t="n">
        <v>7.651</v>
      </c>
      <c r="G883" s="554" t="n"/>
    </row>
    <row r="884">
      <c r="A884" s="535" t="n">
        <v>32772</v>
      </c>
      <c r="B884" s="534" t="n">
        <v>7.012</v>
      </c>
      <c r="C884" s="534" t="n">
        <v>2665.75</v>
      </c>
      <c r="E884" s="535" t="n">
        <v>36592</v>
      </c>
      <c r="F884" s="534" t="n">
        <v>7.642</v>
      </c>
      <c r="G884" s="554" t="n"/>
    </row>
    <row r="885">
      <c r="A885" s="535" t="n">
        <v>32773</v>
      </c>
      <c r="B885" s="534" t="n">
        <v>7.1</v>
      </c>
      <c r="C885" s="534" t="n">
        <v>2706.36</v>
      </c>
      <c r="E885" s="535" t="n">
        <v>36593</v>
      </c>
      <c r="F885" s="534" t="n">
        <v>7.642</v>
      </c>
      <c r="G885" s="554" t="n"/>
    </row>
    <row r="886">
      <c r="A886" s="535" t="n">
        <v>32776</v>
      </c>
      <c r="B886" s="534" t="n">
        <v>7.274</v>
      </c>
      <c r="C886" s="534" t="n">
        <v>2738.7</v>
      </c>
      <c r="E886" s="535" t="n">
        <v>36594</v>
      </c>
      <c r="F886" s="534" t="n">
        <v>7.642</v>
      </c>
      <c r="G886" s="554" t="n"/>
    </row>
    <row r="887">
      <c r="A887" s="535" t="n">
        <v>32777</v>
      </c>
      <c r="B887" s="534" t="n">
        <v>7.492</v>
      </c>
      <c r="C887" s="534" t="n">
        <v>2725.41</v>
      </c>
      <c r="E887" s="535" t="n">
        <v>36595</v>
      </c>
      <c r="F887" s="534" t="n">
        <v>7.642</v>
      </c>
      <c r="G887" s="554" t="n"/>
    </row>
    <row r="888">
      <c r="A888" s="535" t="n">
        <v>32778</v>
      </c>
      <c r="B888" s="534" t="n">
        <v>7.492</v>
      </c>
      <c r="C888" s="534" t="n">
        <v>2712.57</v>
      </c>
      <c r="E888" s="535" t="n">
        <v>36598</v>
      </c>
      <c r="F888" s="534" t="n">
        <v>7.659</v>
      </c>
      <c r="G888" s="554" t="n"/>
    </row>
    <row r="889">
      <c r="A889" s="535" t="n">
        <v>32779</v>
      </c>
      <c r="B889" s="534" t="n">
        <v>7.535</v>
      </c>
      <c r="C889" s="534" t="n">
        <v>2755.32</v>
      </c>
      <c r="E889" s="535" t="n">
        <v>36599</v>
      </c>
      <c r="F889" s="534" t="n">
        <v>7.659</v>
      </c>
      <c r="G889" s="554" t="n"/>
    </row>
    <row r="890">
      <c r="A890" s="535" t="n">
        <v>32780</v>
      </c>
      <c r="B890" s="534" t="n">
        <v>7.448</v>
      </c>
      <c r="C890" s="534" t="n">
        <v>2758.25</v>
      </c>
      <c r="E890" s="535" t="n">
        <v>36600</v>
      </c>
      <c r="F890" s="534" t="n">
        <v>7.651</v>
      </c>
      <c r="G890" s="554" t="n"/>
    </row>
    <row r="891">
      <c r="A891" s="535" t="n">
        <v>32783</v>
      </c>
      <c r="B891" s="534" t="n">
        <v>7.274</v>
      </c>
      <c r="C891" s="534" t="n">
        <v>2746.7</v>
      </c>
      <c r="E891" s="535" t="n">
        <v>36601</v>
      </c>
      <c r="F891" s="534" t="n">
        <v>7.628</v>
      </c>
      <c r="G891" s="554" t="n"/>
    </row>
    <row r="892">
      <c r="A892" s="535" t="n">
        <v>32784</v>
      </c>
      <c r="B892" s="534" t="n">
        <v>7.448</v>
      </c>
      <c r="C892" s="534" t="n">
        <v>2786.65</v>
      </c>
      <c r="E892" s="535" t="n">
        <v>36602</v>
      </c>
      <c r="F892" s="534" t="n">
        <v>7.619</v>
      </c>
      <c r="G892" s="554" t="n"/>
    </row>
    <row r="893">
      <c r="A893" s="535" t="n">
        <v>32785</v>
      </c>
      <c r="B893" s="534" t="n">
        <v>7.448</v>
      </c>
      <c r="C893" s="534" t="n">
        <v>2794.39</v>
      </c>
      <c r="E893" s="535" t="n">
        <v>36605</v>
      </c>
      <c r="F893" s="534" t="n">
        <v>7.621</v>
      </c>
      <c r="G893" s="554" t="n"/>
    </row>
    <row r="894">
      <c r="A894" s="535" t="n">
        <v>32786</v>
      </c>
      <c r="B894" s="534" t="n">
        <v>7.448</v>
      </c>
      <c r="C894" s="534" t="n">
        <v>2803.17</v>
      </c>
      <c r="E894" s="535" t="n">
        <v>36606</v>
      </c>
      <c r="F894" s="534" t="n">
        <v>7.59</v>
      </c>
      <c r="G894" s="554" t="n"/>
    </row>
    <row r="895">
      <c r="A895" s="535" t="n">
        <v>32787</v>
      </c>
      <c r="B895" s="534" t="n">
        <v>7.492</v>
      </c>
      <c r="C895" s="534" t="n">
        <v>2826.21</v>
      </c>
      <c r="E895" s="535" t="n">
        <v>36607</v>
      </c>
      <c r="F895" s="534" t="n">
        <v>7.487</v>
      </c>
      <c r="G895" s="554" t="n"/>
    </row>
    <row r="896">
      <c r="A896" s="535" t="n">
        <v>32790</v>
      </c>
      <c r="B896" s="534" t="n">
        <v>7.492</v>
      </c>
      <c r="C896" s="534" t="n">
        <v>2826.21</v>
      </c>
      <c r="E896" s="535" t="n">
        <v>36608</v>
      </c>
      <c r="F896" s="534" t="n">
        <v>7.492</v>
      </c>
      <c r="G896" s="554" t="n"/>
    </row>
    <row r="897">
      <c r="A897" s="535" t="n">
        <v>32791</v>
      </c>
      <c r="B897" s="534" t="n">
        <v>7.448</v>
      </c>
      <c r="C897" s="534" t="n">
        <v>2844.04</v>
      </c>
      <c r="E897" s="535" t="n">
        <v>36609</v>
      </c>
      <c r="F897" s="534" t="n">
        <v>7.409</v>
      </c>
      <c r="G897" s="554" t="n"/>
    </row>
    <row r="898">
      <c r="A898" s="535" t="n">
        <v>32792</v>
      </c>
      <c r="B898" s="534" t="n">
        <v>7.317</v>
      </c>
      <c r="C898" s="534" t="n">
        <v>2807.78</v>
      </c>
      <c r="E898" s="535" t="n">
        <v>36612</v>
      </c>
      <c r="F898" s="534" t="n">
        <v>7.477</v>
      </c>
      <c r="G898" s="554" t="n"/>
    </row>
    <row r="899">
      <c r="A899" s="535" t="n">
        <v>32793</v>
      </c>
      <c r="B899" s="534" t="n">
        <v>7.274</v>
      </c>
      <c r="C899" s="534" t="n">
        <v>2793.45</v>
      </c>
      <c r="E899" s="535" t="n">
        <v>36613</v>
      </c>
      <c r="F899" s="534" t="n">
        <v>7.469</v>
      </c>
      <c r="G899" s="554" t="n"/>
    </row>
    <row r="900">
      <c r="A900" s="535" t="n">
        <v>32794</v>
      </c>
      <c r="B900" s="534" t="n">
        <v>7.317</v>
      </c>
      <c r="C900" s="534" t="n">
        <v>2782.3</v>
      </c>
      <c r="E900" s="535" t="n">
        <v>36614</v>
      </c>
      <c r="F900" s="534" t="n">
        <v>7.447</v>
      </c>
      <c r="G900" s="554" t="n"/>
    </row>
    <row r="901">
      <c r="A901" s="535" t="n">
        <v>32797</v>
      </c>
      <c r="B901" s="534" t="n">
        <v>6.969</v>
      </c>
      <c r="C901" s="534" t="n">
        <v>2601.7</v>
      </c>
      <c r="E901" s="535" t="n">
        <v>36615</v>
      </c>
      <c r="F901" s="534" t="n">
        <v>7.454</v>
      </c>
      <c r="G901" s="554" t="n"/>
    </row>
    <row r="902">
      <c r="A902" s="535" t="n">
        <v>32798</v>
      </c>
      <c r="B902" s="534" t="n">
        <v>7.1</v>
      </c>
      <c r="C902" s="534" t="n">
        <v>2695.9</v>
      </c>
      <c r="E902" s="535" t="n">
        <v>36616</v>
      </c>
      <c r="F902" s="534" t="n">
        <v>7.415</v>
      </c>
      <c r="G902" s="554" t="n"/>
    </row>
    <row r="903">
      <c r="A903" s="535" t="n">
        <v>32799</v>
      </c>
      <c r="B903" s="534" t="n">
        <v>7.012</v>
      </c>
      <c r="C903" s="534" t="n">
        <v>2628.55</v>
      </c>
      <c r="E903" s="535" t="n">
        <v>36619</v>
      </c>
      <c r="F903" s="534" t="n">
        <v>7.417</v>
      </c>
      <c r="G903" s="554" t="n"/>
    </row>
    <row r="904">
      <c r="A904" s="535" t="n">
        <v>32800</v>
      </c>
      <c r="B904" s="534" t="n">
        <v>7.012</v>
      </c>
      <c r="C904" s="534" t="n">
        <v>2663.37</v>
      </c>
      <c r="E904" s="535" t="n">
        <v>36620</v>
      </c>
      <c r="F904" s="534" t="n">
        <v>7.417</v>
      </c>
      <c r="G904" s="554" t="n"/>
    </row>
    <row r="905">
      <c r="A905" s="535" t="n">
        <v>32801</v>
      </c>
      <c r="B905" s="534" t="n">
        <v>7.012</v>
      </c>
      <c r="C905" s="534" t="n">
        <v>2703.95</v>
      </c>
      <c r="E905" s="535" t="n">
        <v>36621</v>
      </c>
      <c r="F905" s="534" t="n">
        <v>7.305</v>
      </c>
      <c r="G905" s="554" t="n"/>
    </row>
    <row r="906">
      <c r="A906" s="535" t="n">
        <v>32804</v>
      </c>
      <c r="B906" s="534" t="n">
        <v>7.1</v>
      </c>
      <c r="C906" s="534" t="n">
        <v>2732.17</v>
      </c>
      <c r="E906" s="535" t="n">
        <v>36622</v>
      </c>
      <c r="F906" s="534" t="n">
        <v>7.364</v>
      </c>
      <c r="G906" s="554" t="n"/>
    </row>
    <row r="907">
      <c r="A907" s="535" t="n">
        <v>32805</v>
      </c>
      <c r="B907" s="534" t="n">
        <v>7.056</v>
      </c>
      <c r="C907" s="534" t="n">
        <v>2731.97</v>
      </c>
      <c r="E907" s="535" t="n">
        <v>36623</v>
      </c>
      <c r="F907" s="534" t="n">
        <v>7.349</v>
      </c>
      <c r="G907" s="554" t="n"/>
    </row>
    <row r="908">
      <c r="A908" s="535" t="n">
        <v>32806</v>
      </c>
      <c r="B908" s="534" t="n">
        <v>7.012</v>
      </c>
      <c r="C908" s="534" t="n">
        <v>2706.6</v>
      </c>
      <c r="E908" s="535" t="n">
        <v>36626</v>
      </c>
      <c r="F908" s="534" t="n">
        <v>7.349</v>
      </c>
      <c r="G908" s="554" t="n"/>
    </row>
    <row r="909">
      <c r="A909" s="535" t="n">
        <v>32807</v>
      </c>
      <c r="B909" s="534" t="n">
        <v>7.012</v>
      </c>
      <c r="C909" s="534" t="n">
        <v>2691.18</v>
      </c>
      <c r="E909" s="535" t="n">
        <v>36627</v>
      </c>
      <c r="F909" s="534" t="n">
        <v>7.364</v>
      </c>
      <c r="G909" s="554" t="n"/>
    </row>
    <row r="910">
      <c r="A910" s="535" t="n">
        <v>32808</v>
      </c>
      <c r="B910" s="534" t="n">
        <v>7.012</v>
      </c>
      <c r="C910" s="534" t="n">
        <v>2667.99</v>
      </c>
      <c r="E910" s="535" t="n">
        <v>36628</v>
      </c>
      <c r="F910" s="534" t="n">
        <v>7.387</v>
      </c>
      <c r="G910" s="554" t="n"/>
    </row>
    <row r="911">
      <c r="A911" s="535" t="n">
        <v>32811</v>
      </c>
      <c r="B911" s="534" t="n">
        <v>7.056</v>
      </c>
      <c r="C911" s="534" t="n">
        <v>2680.3</v>
      </c>
      <c r="E911" s="535" t="n">
        <v>36629</v>
      </c>
      <c r="F911" s="534" t="n">
        <v>7.375</v>
      </c>
      <c r="G911" s="554" t="n"/>
    </row>
    <row r="912">
      <c r="A912" s="535" t="n">
        <v>32812</v>
      </c>
      <c r="B912" s="534" t="n">
        <v>7.1</v>
      </c>
      <c r="C912" s="534" t="n">
        <v>2725.29</v>
      </c>
      <c r="E912" s="535" t="n">
        <v>36630</v>
      </c>
      <c r="F912" s="534" t="n">
        <v>7.379</v>
      </c>
      <c r="G912" s="554" t="n"/>
    </row>
    <row r="913">
      <c r="A913" s="535" t="n">
        <v>32813</v>
      </c>
      <c r="B913" s="534" t="n">
        <v>7.1</v>
      </c>
      <c r="C913" s="534" t="n">
        <v>2721.68</v>
      </c>
      <c r="E913" s="535" t="n">
        <v>36633</v>
      </c>
      <c r="F913" s="534" t="n">
        <v>7.304</v>
      </c>
      <c r="G913" s="554" t="n"/>
    </row>
    <row r="914">
      <c r="A914" s="535" t="n">
        <v>32814</v>
      </c>
      <c r="B914" s="534" t="n">
        <v>7.143</v>
      </c>
      <c r="C914" s="534" t="n">
        <v>2711.86</v>
      </c>
      <c r="E914" s="535" t="n">
        <v>36634</v>
      </c>
      <c r="F914" s="534" t="n">
        <v>7.364</v>
      </c>
      <c r="G914" s="554" t="n"/>
    </row>
    <row r="915">
      <c r="A915" s="535" t="n">
        <v>32815</v>
      </c>
      <c r="B915" s="534" t="n">
        <v>7.1</v>
      </c>
      <c r="C915" s="534" t="n">
        <v>2739.79</v>
      </c>
      <c r="E915" s="535" t="n">
        <v>36635</v>
      </c>
      <c r="F915" s="534" t="n">
        <v>7.379</v>
      </c>
      <c r="G915" s="554" t="n"/>
    </row>
    <row r="916">
      <c r="A916" s="535" t="n">
        <v>32818</v>
      </c>
      <c r="B916" s="534" t="n">
        <v>7.056</v>
      </c>
      <c r="C916" s="534" t="n">
        <v>2756.12</v>
      </c>
      <c r="E916" s="535" t="n">
        <v>36636</v>
      </c>
      <c r="F916" s="534" t="n">
        <v>7.325</v>
      </c>
      <c r="G916" s="554" t="n"/>
    </row>
    <row r="917">
      <c r="A917" s="535" t="n">
        <v>32819</v>
      </c>
      <c r="B917" s="534" t="n">
        <v>7.012</v>
      </c>
      <c r="C917" s="534" t="n">
        <v>2738.09</v>
      </c>
      <c r="E917" s="535" t="n">
        <v>36637</v>
      </c>
      <c r="F917" s="534" t="n">
        <v>7.325</v>
      </c>
      <c r="G917" s="554" t="n"/>
    </row>
    <row r="918">
      <c r="A918" s="535" t="n">
        <v>32820</v>
      </c>
      <c r="B918" s="534" t="n">
        <v>7.1</v>
      </c>
      <c r="C918" s="534" t="n">
        <v>2731.07</v>
      </c>
      <c r="E918" s="535" t="n">
        <v>36640</v>
      </c>
      <c r="F918" s="534" t="n">
        <v>7.325</v>
      </c>
      <c r="G918" s="554" t="n"/>
    </row>
    <row r="919">
      <c r="A919" s="535" t="n">
        <v>32821</v>
      </c>
      <c r="B919" s="534" t="n">
        <v>7.23</v>
      </c>
      <c r="C919" s="534" t="n">
        <v>2781.44</v>
      </c>
      <c r="E919" s="535" t="n">
        <v>36641</v>
      </c>
      <c r="F919" s="534" t="n">
        <v>7.394</v>
      </c>
      <c r="G919" s="554" t="n"/>
    </row>
    <row r="920">
      <c r="A920" s="535" t="n">
        <v>32822</v>
      </c>
      <c r="B920" s="534" t="n">
        <v>7.23</v>
      </c>
      <c r="C920" s="534" t="n">
        <v>2776.86</v>
      </c>
      <c r="E920" s="535" t="n">
        <v>36642</v>
      </c>
      <c r="F920" s="534" t="n">
        <v>7.385</v>
      </c>
      <c r="G920" s="554" t="n"/>
    </row>
    <row r="921">
      <c r="A921" s="535" t="n">
        <v>32825</v>
      </c>
      <c r="B921" s="534" t="n">
        <v>7.1</v>
      </c>
      <c r="C921" s="534" t="n">
        <v>2766.33</v>
      </c>
      <c r="E921" s="535" t="n">
        <v>36643</v>
      </c>
      <c r="F921" s="534" t="n">
        <v>7.424</v>
      </c>
      <c r="G921" s="554" t="n"/>
    </row>
    <row r="922">
      <c r="A922" s="535" t="n">
        <v>32826</v>
      </c>
      <c r="B922" s="534" t="n">
        <v>7.056</v>
      </c>
      <c r="C922" s="534" t="n">
        <v>2779.58</v>
      </c>
      <c r="E922" s="535" t="n">
        <v>36644</v>
      </c>
      <c r="F922" s="534" t="n">
        <v>7.481</v>
      </c>
      <c r="G922" s="554" t="n"/>
    </row>
    <row r="923">
      <c r="A923" s="535" t="n">
        <v>32827</v>
      </c>
      <c r="B923" s="534" t="n">
        <v>7.1</v>
      </c>
      <c r="C923" s="534" t="n">
        <v>2793.4</v>
      </c>
      <c r="E923" s="535" t="n">
        <v>36647</v>
      </c>
      <c r="F923" s="534" t="n">
        <v>7.481</v>
      </c>
      <c r="G923" s="554" t="n"/>
    </row>
    <row r="924">
      <c r="A924" s="535" t="n">
        <v>32828</v>
      </c>
      <c r="B924" s="534" t="n">
        <v>7.1</v>
      </c>
      <c r="C924" s="534" t="n">
        <v>2789.51</v>
      </c>
      <c r="E924" s="535" t="n">
        <v>36648</v>
      </c>
      <c r="F924" s="534" t="n">
        <v>7.507</v>
      </c>
      <c r="G924" s="554" t="n"/>
    </row>
    <row r="925">
      <c r="A925" s="535" t="n">
        <v>32829</v>
      </c>
      <c r="B925" s="534" t="n">
        <v>7.1</v>
      </c>
      <c r="C925" s="534" t="n">
        <v>2804.29</v>
      </c>
      <c r="E925" s="535" t="n">
        <v>36649</v>
      </c>
      <c r="F925" s="534" t="n">
        <v>7.462</v>
      </c>
      <c r="G925" s="554" t="n"/>
    </row>
    <row r="926">
      <c r="A926" s="535" t="n">
        <v>32832</v>
      </c>
      <c r="B926" s="534" t="n">
        <v>7.143</v>
      </c>
      <c r="C926" s="534" t="n">
        <v>2820.28</v>
      </c>
      <c r="E926" s="535" t="n">
        <v>36650</v>
      </c>
      <c r="F926" s="534" t="n">
        <v>7.599</v>
      </c>
      <c r="G926" s="554" t="n"/>
    </row>
    <row r="927">
      <c r="A927" s="535" t="n">
        <v>32833</v>
      </c>
      <c r="B927" s="534" t="n">
        <v>7.23</v>
      </c>
      <c r="C927" s="534" t="n">
        <v>2817.19</v>
      </c>
      <c r="E927" s="535" t="n">
        <v>36651</v>
      </c>
      <c r="F927" s="534" t="n">
        <v>7.645</v>
      </c>
      <c r="G927" s="554" t="n"/>
    </row>
    <row r="928">
      <c r="A928" s="535" t="n">
        <v>32834</v>
      </c>
      <c r="B928" s="534" t="n">
        <v>7.23</v>
      </c>
      <c r="C928" s="534" t="n">
        <v>2812.02</v>
      </c>
      <c r="E928" s="535" t="n">
        <v>36654</v>
      </c>
      <c r="F928" s="534" t="n">
        <v>7.73</v>
      </c>
      <c r="G928" s="554" t="n"/>
    </row>
    <row r="929">
      <c r="A929" s="535" t="n">
        <v>32835</v>
      </c>
      <c r="B929" s="534" t="n">
        <v>7.274</v>
      </c>
      <c r="C929" s="534" t="n">
        <v>2800.79</v>
      </c>
      <c r="E929" s="535" t="n">
        <v>36655</v>
      </c>
      <c r="F929" s="534" t="n">
        <v>7.761</v>
      </c>
      <c r="G929" s="554" t="n"/>
    </row>
    <row r="930">
      <c r="A930" s="535" t="n">
        <v>32836</v>
      </c>
      <c r="B930" s="534" t="n">
        <v>7.274</v>
      </c>
      <c r="C930" s="534" t="n">
        <v>2808.53</v>
      </c>
      <c r="E930" s="535" t="n">
        <v>36656</v>
      </c>
      <c r="F930" s="534" t="n">
        <v>7.75</v>
      </c>
      <c r="G930" s="554" t="n"/>
    </row>
    <row r="931">
      <c r="A931" s="535" t="n">
        <v>32839</v>
      </c>
      <c r="B931" s="534" t="n">
        <v>7.23</v>
      </c>
      <c r="C931" s="534" t="n">
        <v>2777.1</v>
      </c>
      <c r="E931" s="535" t="n">
        <v>36657</v>
      </c>
      <c r="F931" s="534" t="n">
        <v>7.75</v>
      </c>
      <c r="G931" s="554" t="n"/>
    </row>
    <row r="932">
      <c r="A932" s="535" t="n">
        <v>32840</v>
      </c>
      <c r="B932" s="534" t="n">
        <v>7.23</v>
      </c>
      <c r="C932" s="534" t="n">
        <v>2760.08</v>
      </c>
      <c r="E932" s="535" t="n">
        <v>36658</v>
      </c>
      <c r="F932" s="534" t="n">
        <v>7.729</v>
      </c>
      <c r="G932" s="554" t="n"/>
    </row>
    <row r="933">
      <c r="A933" s="535" t="n">
        <v>32841</v>
      </c>
      <c r="B933" s="534" t="n">
        <v>7.187</v>
      </c>
      <c r="C933" s="534" t="n">
        <v>2751.48</v>
      </c>
      <c r="E933" s="535" t="n">
        <v>36661</v>
      </c>
      <c r="F933" s="534" t="n">
        <v>7.824</v>
      </c>
      <c r="G933" s="554" t="n"/>
    </row>
    <row r="934">
      <c r="A934" s="535" t="n">
        <v>32842</v>
      </c>
      <c r="B934" s="534" t="n">
        <v>7.187</v>
      </c>
      <c r="C934" s="534" t="n">
        <v>2748.35</v>
      </c>
      <c r="E934" s="535" t="n">
        <v>36662</v>
      </c>
      <c r="F934" s="534" t="n">
        <v>7.808</v>
      </c>
      <c r="G934" s="554" t="n"/>
    </row>
    <row r="935">
      <c r="A935" s="535" t="n">
        <v>32843</v>
      </c>
      <c r="B935" s="534" t="n">
        <v>7.23</v>
      </c>
      <c r="C935" s="534" t="n">
        <v>2756.9</v>
      </c>
      <c r="E935" s="535" t="n">
        <v>36663</v>
      </c>
      <c r="F935" s="534" t="n">
        <v>7.698</v>
      </c>
      <c r="G935" s="554" t="n"/>
    </row>
    <row r="936">
      <c r="A936" s="535" t="n">
        <v>32846</v>
      </c>
      <c r="B936" s="534" t="n">
        <v>7.187</v>
      </c>
      <c r="C936" s="534" t="n">
        <v>2767.46</v>
      </c>
      <c r="E936" s="535" t="n">
        <v>36664</v>
      </c>
      <c r="F936" s="534" t="n">
        <v>7.738</v>
      </c>
      <c r="G936" s="554" t="n"/>
    </row>
    <row r="937">
      <c r="A937" s="535" t="n">
        <v>32847</v>
      </c>
      <c r="B937" s="534" t="n">
        <v>7.187</v>
      </c>
      <c r="C937" s="534" t="n">
        <v>2764.44</v>
      </c>
      <c r="E937" s="535" t="n">
        <v>36665</v>
      </c>
      <c r="F937" s="534" t="n">
        <v>7.816</v>
      </c>
      <c r="G937" s="554" t="n"/>
    </row>
    <row r="938">
      <c r="A938" s="535" t="n">
        <v>32848</v>
      </c>
      <c r="B938" s="534" t="n">
        <v>7.187</v>
      </c>
      <c r="C938" s="534" t="n">
        <v>2756.39</v>
      </c>
      <c r="E938" s="535" t="n">
        <v>36668</v>
      </c>
      <c r="F938" s="534" t="n">
        <v>7.731</v>
      </c>
      <c r="G938" s="554" t="n"/>
    </row>
    <row r="939">
      <c r="A939" s="535" t="n">
        <v>32849</v>
      </c>
      <c r="B939" s="534" t="n">
        <v>7.143</v>
      </c>
      <c r="C939" s="534" t="n">
        <v>2770</v>
      </c>
      <c r="E939" s="535" t="n">
        <v>36669</v>
      </c>
      <c r="F939" s="534" t="n">
        <v>7.77</v>
      </c>
      <c r="G939" s="554" t="n"/>
    </row>
    <row r="940">
      <c r="A940" s="535" t="n">
        <v>32850</v>
      </c>
      <c r="B940" s="534" t="n">
        <v>7.012</v>
      </c>
      <c r="C940" s="534" t="n">
        <v>2754.11</v>
      </c>
      <c r="E940" s="535" t="n">
        <v>36670</v>
      </c>
      <c r="F940" s="534" t="n">
        <v>7.739</v>
      </c>
      <c r="G940" s="554" t="n"/>
    </row>
    <row r="941">
      <c r="A941" s="535" t="n">
        <v>32853</v>
      </c>
      <c r="B941" s="534" t="n">
        <v>7.012</v>
      </c>
      <c r="C941" s="534" t="n">
        <v>2763.33</v>
      </c>
      <c r="E941" s="535" t="n">
        <v>36671</v>
      </c>
      <c r="F941" s="534" t="n">
        <v>7.793</v>
      </c>
      <c r="G941" s="554" t="n"/>
    </row>
    <row r="942">
      <c r="A942" s="535" t="n">
        <v>32854</v>
      </c>
      <c r="B942" s="534" t="n">
        <v>7.1</v>
      </c>
      <c r="C942" s="534" t="n">
        <v>2809.58</v>
      </c>
      <c r="E942" s="535" t="n">
        <v>36672</v>
      </c>
      <c r="F942" s="534" t="n">
        <v>7.708</v>
      </c>
      <c r="G942" s="554" t="n"/>
    </row>
    <row r="943">
      <c r="A943" s="535" t="n">
        <v>32855</v>
      </c>
      <c r="B943" s="534" t="n">
        <v>7.187</v>
      </c>
      <c r="C943" s="534" t="n">
        <v>2851.84</v>
      </c>
      <c r="E943" s="535" t="n">
        <v>36675</v>
      </c>
      <c r="F943" s="534" t="n">
        <v>7.689</v>
      </c>
      <c r="G943" s="554" t="n"/>
    </row>
    <row r="944">
      <c r="A944" s="535" t="n">
        <v>32856</v>
      </c>
      <c r="B944" s="534" t="n">
        <v>7.23</v>
      </c>
      <c r="C944" s="534" t="n">
        <v>2876.75</v>
      </c>
      <c r="E944" s="535" t="n">
        <v>36676</v>
      </c>
      <c r="F944" s="534" t="n">
        <v>7.7</v>
      </c>
      <c r="G944" s="554" t="n"/>
    </row>
    <row r="945">
      <c r="A945" s="535" t="n">
        <v>32857</v>
      </c>
      <c r="B945" s="534" t="n">
        <v>7.274</v>
      </c>
      <c r="C945" s="534" t="n">
        <v>2896.57</v>
      </c>
      <c r="E945" s="535" t="n">
        <v>36677</v>
      </c>
      <c r="F945" s="534" t="n">
        <v>7.685</v>
      </c>
      <c r="G945" s="554" t="n"/>
    </row>
    <row r="946">
      <c r="A946" s="535" t="n">
        <v>32860</v>
      </c>
      <c r="B946" s="534" t="n">
        <v>7.317</v>
      </c>
      <c r="C946" s="534" t="n">
        <v>2900.21</v>
      </c>
      <c r="E946" s="535" t="n">
        <v>36678</v>
      </c>
      <c r="F946" s="534" t="n">
        <v>7.584</v>
      </c>
      <c r="G946" s="554" t="n"/>
    </row>
    <row r="947">
      <c r="A947" s="535" t="n">
        <v>32861</v>
      </c>
      <c r="B947" s="534" t="n">
        <v>7.361</v>
      </c>
      <c r="C947" s="534" t="n">
        <v>2879.42</v>
      </c>
      <c r="E947" s="535" t="n">
        <v>36679</v>
      </c>
      <c r="F947" s="534" t="n">
        <v>7.508</v>
      </c>
      <c r="G947" s="554" t="n"/>
    </row>
    <row r="948">
      <c r="A948" s="535" t="n">
        <v>32862</v>
      </c>
      <c r="B948" s="534" t="n">
        <v>7.317</v>
      </c>
      <c r="C948" s="534" t="n">
        <v>2868.49</v>
      </c>
      <c r="E948" s="535" t="n">
        <v>36682</v>
      </c>
      <c r="F948" s="534" t="n">
        <v>7.439</v>
      </c>
      <c r="G948" s="554" t="n"/>
    </row>
    <row r="949">
      <c r="A949" s="535" t="n">
        <v>32863</v>
      </c>
      <c r="B949" s="534" t="n">
        <v>7.361</v>
      </c>
      <c r="C949" s="534" t="n">
        <v>2867.69</v>
      </c>
      <c r="E949" s="535" t="n">
        <v>36683</v>
      </c>
      <c r="F949" s="534" t="n">
        <v>7.439</v>
      </c>
      <c r="G949" s="554" t="n"/>
    </row>
    <row r="950">
      <c r="A950" s="535" t="n">
        <v>32864</v>
      </c>
      <c r="B950" s="534" t="n">
        <v>7.361</v>
      </c>
      <c r="C950" s="534" t="n">
        <v>2921.02</v>
      </c>
      <c r="E950" s="535" t="n">
        <v>36684</v>
      </c>
      <c r="F950" s="534" t="n">
        <v>7.516</v>
      </c>
      <c r="G950" s="554" t="n"/>
    </row>
    <row r="951">
      <c r="A951" s="535" t="n">
        <v>32867</v>
      </c>
      <c r="B951" s="534" t="n">
        <v>7.361</v>
      </c>
      <c r="C951" s="534" t="n">
        <v>2921.02</v>
      </c>
      <c r="E951" s="535" t="n">
        <v>36685</v>
      </c>
      <c r="F951" s="534" t="n">
        <v>7.493</v>
      </c>
      <c r="G951" s="554" t="n"/>
    </row>
    <row r="952">
      <c r="A952" s="535" t="n">
        <v>32868</v>
      </c>
      <c r="B952" s="534" t="n">
        <v>7.361</v>
      </c>
      <c r="C952" s="534" t="n">
        <v>2921.02</v>
      </c>
      <c r="E952" s="535" t="n">
        <v>36686</v>
      </c>
      <c r="F952" s="534" t="n">
        <v>7.461</v>
      </c>
      <c r="G952" s="554" t="n"/>
    </row>
    <row r="953">
      <c r="A953" s="535" t="n">
        <v>32869</v>
      </c>
      <c r="B953" s="534" t="n">
        <v>7.361</v>
      </c>
      <c r="C953" s="534" t="n">
        <v>2929.25</v>
      </c>
      <c r="E953" s="535" t="n">
        <v>36689</v>
      </c>
      <c r="F953" s="534" t="n">
        <v>7.477</v>
      </c>
      <c r="G953" s="554" t="n"/>
    </row>
    <row r="954">
      <c r="A954" s="535" t="n">
        <v>32870</v>
      </c>
      <c r="B954" s="534" t="n">
        <v>7.361</v>
      </c>
      <c r="C954" s="534" t="n">
        <v>2895.43</v>
      </c>
      <c r="E954" s="535" t="n">
        <v>36690</v>
      </c>
      <c r="F954" s="534" t="n">
        <v>7.437</v>
      </c>
      <c r="G954" s="554" t="n"/>
    </row>
    <row r="955">
      <c r="A955" s="535" t="n">
        <v>32871</v>
      </c>
      <c r="B955" s="534" t="n">
        <v>7.23</v>
      </c>
      <c r="C955" s="534" t="n">
        <v>2836.57</v>
      </c>
      <c r="E955" s="535" t="n">
        <v>36691</v>
      </c>
      <c r="F955" s="534" t="n">
        <v>7.477</v>
      </c>
      <c r="G955" s="554" t="n"/>
    </row>
    <row r="956">
      <c r="A956" s="535" t="n">
        <v>32874</v>
      </c>
      <c r="B956" s="534" t="n">
        <v>7.23</v>
      </c>
      <c r="C956" s="534" t="n">
        <v>2836.57</v>
      </c>
      <c r="E956" s="535" t="n">
        <v>36692</v>
      </c>
      <c r="F956" s="534" t="n">
        <v>7.454</v>
      </c>
      <c r="G956" s="554" t="n"/>
    </row>
    <row r="957">
      <c r="A957" s="535" t="n">
        <v>32875</v>
      </c>
      <c r="B957" s="534" t="n">
        <v>7.23</v>
      </c>
      <c r="C957" s="534" t="n">
        <v>2838.07</v>
      </c>
      <c r="E957" s="535" t="n">
        <v>36693</v>
      </c>
      <c r="F957" s="534" t="n">
        <v>7.445</v>
      </c>
      <c r="G957" s="554" t="n"/>
    </row>
    <row r="958">
      <c r="A958" s="535" t="n">
        <v>32876</v>
      </c>
      <c r="B958" s="534" t="n">
        <v>7.317</v>
      </c>
      <c r="C958" s="534" t="n">
        <v>2858.72</v>
      </c>
      <c r="E958" s="535" t="n">
        <v>36696</v>
      </c>
      <c r="F958" s="534" t="n">
        <v>7.385</v>
      </c>
      <c r="G958" s="554" t="n"/>
    </row>
    <row r="959">
      <c r="A959" s="535" t="n">
        <v>32877</v>
      </c>
      <c r="B959" s="534" t="n">
        <v>7.317</v>
      </c>
      <c r="C959" s="534" t="n">
        <v>2867.95</v>
      </c>
      <c r="E959" s="535" t="n">
        <v>36697</v>
      </c>
      <c r="F959" s="534" t="n">
        <v>7.433</v>
      </c>
      <c r="G959" s="554" t="n"/>
    </row>
    <row r="960">
      <c r="A960" s="535" t="n">
        <v>32878</v>
      </c>
      <c r="B960" s="534" t="n">
        <v>7.187</v>
      </c>
      <c r="C960" s="534" t="n">
        <v>2839.94</v>
      </c>
      <c r="E960" s="535" t="n">
        <v>36698</v>
      </c>
      <c r="F960" s="534" t="n">
        <v>7.442</v>
      </c>
      <c r="G960" s="554" t="n"/>
    </row>
    <row r="961">
      <c r="A961" s="535" t="n">
        <v>32881</v>
      </c>
      <c r="B961" s="534" t="n">
        <v>7.187</v>
      </c>
      <c r="C961" s="534" t="n">
        <v>2816.24</v>
      </c>
      <c r="E961" s="535" t="n">
        <v>36699</v>
      </c>
      <c r="F961" s="534" t="n">
        <v>7.501</v>
      </c>
      <c r="G961" s="554" t="n"/>
    </row>
    <row r="962">
      <c r="A962" s="535" t="n">
        <v>32882</v>
      </c>
      <c r="B962" s="534" t="n">
        <v>7.23</v>
      </c>
      <c r="C962" s="534" t="n">
        <v>2822.16</v>
      </c>
      <c r="E962" s="535" t="n">
        <v>36700</v>
      </c>
      <c r="F962" s="534" t="n">
        <v>7.5</v>
      </c>
      <c r="G962" s="554" t="n"/>
    </row>
    <row r="963">
      <c r="A963" s="535" t="n">
        <v>32883</v>
      </c>
      <c r="B963" s="534" t="n">
        <v>7.317</v>
      </c>
      <c r="C963" s="534" t="n">
        <v>2868</v>
      </c>
      <c r="E963" s="535" t="n">
        <v>36703</v>
      </c>
      <c r="F963" s="534" t="n">
        <v>7.53</v>
      </c>
      <c r="G963" s="554" t="n"/>
    </row>
    <row r="964">
      <c r="A964" s="535" t="n">
        <v>32884</v>
      </c>
      <c r="B964" s="534" t="n">
        <v>7.274</v>
      </c>
      <c r="C964" s="534" t="n">
        <v>2855.52</v>
      </c>
      <c r="E964" s="535" t="n">
        <v>36704</v>
      </c>
      <c r="F964" s="534" t="n">
        <v>7.486</v>
      </c>
      <c r="G964" s="554" t="n"/>
    </row>
    <row r="965">
      <c r="A965" s="535" t="n">
        <v>32885</v>
      </c>
      <c r="B965" s="534" t="n">
        <v>7.143</v>
      </c>
      <c r="C965" s="534" t="n">
        <v>2835.94</v>
      </c>
      <c r="E965" s="535" t="n">
        <v>36705</v>
      </c>
      <c r="F965" s="534" t="n">
        <v>7.486</v>
      </c>
      <c r="G965" s="554" t="n"/>
    </row>
    <row r="966">
      <c r="A966" s="535" t="n">
        <v>32888</v>
      </c>
      <c r="B966" s="534" t="n">
        <v>7.1</v>
      </c>
      <c r="C966" s="534" t="n">
        <v>2786.69</v>
      </c>
      <c r="E966" s="535" t="n">
        <v>36706</v>
      </c>
      <c r="F966" s="534" t="n">
        <v>7.509</v>
      </c>
      <c r="G966" s="554" t="n"/>
    </row>
    <row r="967">
      <c r="A967" s="535" t="n">
        <v>32889</v>
      </c>
      <c r="B967" s="534" t="n">
        <v>7.012</v>
      </c>
      <c r="C967" s="534" t="n">
        <v>2751.79</v>
      </c>
      <c r="E967" s="535" t="n">
        <v>36707</v>
      </c>
      <c r="F967" s="534" t="n">
        <v>7.486</v>
      </c>
      <c r="G967" s="554" t="n"/>
    </row>
    <row r="968">
      <c r="A968" s="535" t="n">
        <v>32890</v>
      </c>
      <c r="B968" s="534" t="n">
        <v>7.23</v>
      </c>
      <c r="C968" s="534" t="n">
        <v>2754.84</v>
      </c>
      <c r="E968" s="535" t="n">
        <v>36710</v>
      </c>
      <c r="F968" s="534" t="n">
        <v>7.508</v>
      </c>
      <c r="G968" s="554" t="n"/>
    </row>
    <row r="969">
      <c r="A969" s="535" t="n">
        <v>32891</v>
      </c>
      <c r="B969" s="534" t="n">
        <v>7.187</v>
      </c>
      <c r="C969" s="534" t="n">
        <v>2771.67</v>
      </c>
      <c r="E969" s="535" t="n">
        <v>36711</v>
      </c>
      <c r="F969" s="534" t="n">
        <v>7.486</v>
      </c>
      <c r="G969" s="554" t="n"/>
    </row>
    <row r="970">
      <c r="A970" s="535" t="n">
        <v>32892</v>
      </c>
      <c r="B970" s="534" t="n">
        <v>7.187</v>
      </c>
      <c r="C970" s="534" t="n">
        <v>2776.29</v>
      </c>
      <c r="E970" s="535" t="n">
        <v>36712</v>
      </c>
      <c r="F970" s="534" t="n">
        <v>7.486</v>
      </c>
      <c r="G970" s="554" t="n"/>
    </row>
    <row r="971">
      <c r="A971" s="535" t="n">
        <v>32895</v>
      </c>
      <c r="B971" s="534" t="n">
        <v>7.23</v>
      </c>
      <c r="C971" s="534" t="n">
        <v>2771.65</v>
      </c>
      <c r="E971" s="535" t="n">
        <v>36713</v>
      </c>
      <c r="F971" s="534" t="n">
        <v>7.462</v>
      </c>
      <c r="G971" s="554" t="n"/>
    </row>
    <row r="972">
      <c r="A972" s="535" t="n">
        <v>32896</v>
      </c>
      <c r="B972" s="534" t="n">
        <v>7.187</v>
      </c>
      <c r="C972" s="534" t="n">
        <v>2762.45</v>
      </c>
      <c r="E972" s="535" t="n">
        <v>36714</v>
      </c>
      <c r="F972" s="534" t="n">
        <v>7.492</v>
      </c>
      <c r="G972" s="554" t="n"/>
    </row>
    <row r="973">
      <c r="A973" s="535" t="n">
        <v>32897</v>
      </c>
      <c r="B973" s="534" t="n">
        <v>7.187</v>
      </c>
      <c r="C973" s="534" t="n">
        <v>2756.39</v>
      </c>
      <c r="E973" s="535" t="n">
        <v>36717</v>
      </c>
      <c r="F973" s="534" t="n">
        <v>7.478</v>
      </c>
      <c r="G973" s="554" t="n"/>
    </row>
    <row r="974">
      <c r="A974" s="535" t="n">
        <v>32898</v>
      </c>
      <c r="B974" s="534" t="n">
        <v>7.143</v>
      </c>
      <c r="C974" s="534" t="n">
        <v>2768.86</v>
      </c>
      <c r="E974" s="535" t="n">
        <v>36718</v>
      </c>
      <c r="F974" s="534" t="n">
        <v>7.471</v>
      </c>
      <c r="G974" s="554" t="n"/>
    </row>
    <row r="975">
      <c r="A975" s="535" t="n">
        <v>32899</v>
      </c>
      <c r="B975" s="534" t="n">
        <v>7.143</v>
      </c>
      <c r="C975" s="534" t="n">
        <v>2768.86</v>
      </c>
      <c r="E975" s="535" t="n">
        <v>36719</v>
      </c>
      <c r="F975" s="534" t="n">
        <v>7.463</v>
      </c>
      <c r="G975" s="554" t="n"/>
    </row>
    <row r="976">
      <c r="A976" s="535" t="n">
        <v>32902</v>
      </c>
      <c r="B976" s="534" t="n">
        <v>7.143</v>
      </c>
      <c r="C976" s="534" t="n">
        <v>2768.86</v>
      </c>
      <c r="E976" s="535" t="n">
        <v>36720</v>
      </c>
      <c r="F976" s="534" t="n">
        <v>7.492</v>
      </c>
      <c r="G976" s="554" t="n"/>
    </row>
    <row r="977">
      <c r="A977" s="535" t="n">
        <v>32903</v>
      </c>
      <c r="B977" s="534" t="n">
        <v>7.012</v>
      </c>
      <c r="C977" s="534" t="n">
        <v>2760.8</v>
      </c>
      <c r="E977" s="535" t="n">
        <v>36721</v>
      </c>
      <c r="F977" s="534" t="n">
        <v>7.44</v>
      </c>
      <c r="G977" s="554" t="n"/>
    </row>
    <row r="978">
      <c r="A978" s="535" t="n">
        <v>32904</v>
      </c>
      <c r="B978" s="534" t="n">
        <v>6.969</v>
      </c>
      <c r="C978" s="534" t="n">
        <v>2751.6</v>
      </c>
      <c r="E978" s="535" t="n">
        <v>36724</v>
      </c>
      <c r="F978" s="534" t="n">
        <v>7.514</v>
      </c>
      <c r="G978" s="554" t="n"/>
    </row>
    <row r="979">
      <c r="A979" s="535" t="n">
        <v>32905</v>
      </c>
      <c r="B979" s="534" t="n">
        <v>6.925</v>
      </c>
      <c r="C979" s="534" t="n">
        <v>2738.24</v>
      </c>
      <c r="E979" s="535" t="n">
        <v>36725</v>
      </c>
      <c r="F979" s="534" t="n">
        <v>7.575</v>
      </c>
      <c r="G979" s="554" t="n"/>
    </row>
    <row r="980">
      <c r="A980" s="535" t="n">
        <v>32906</v>
      </c>
      <c r="B980" s="534" t="n">
        <v>6.838</v>
      </c>
      <c r="C980" s="534" t="n">
        <v>2736.55</v>
      </c>
      <c r="E980" s="535" t="n">
        <v>36726</v>
      </c>
      <c r="F980" s="534" t="n">
        <v>7.574</v>
      </c>
      <c r="G980" s="554" t="n"/>
    </row>
    <row r="981">
      <c r="A981" s="535" t="n">
        <v>32909</v>
      </c>
      <c r="B981" s="534" t="n">
        <v>6.925</v>
      </c>
      <c r="C981" s="534" t="n">
        <v>2756.67</v>
      </c>
      <c r="E981" s="535" t="n">
        <v>36727</v>
      </c>
      <c r="F981" s="534" t="n">
        <v>7.574</v>
      </c>
      <c r="G981" s="554" t="n"/>
    </row>
    <row r="982">
      <c r="A982" s="535" t="n">
        <v>32910</v>
      </c>
      <c r="B982" s="534" t="n">
        <v>7.1</v>
      </c>
      <c r="C982" s="534" t="n">
        <v>2792.89</v>
      </c>
      <c r="E982" s="535" t="n">
        <v>36728</v>
      </c>
      <c r="F982" s="534" t="n">
        <v>7.477</v>
      </c>
      <c r="G982" s="554" t="n"/>
    </row>
    <row r="983">
      <c r="A983" s="535" t="n">
        <v>32911</v>
      </c>
      <c r="B983" s="534" t="n">
        <v>7.23</v>
      </c>
      <c r="C983" s="534" t="n">
        <v>2844.89</v>
      </c>
      <c r="E983" s="535" t="n">
        <v>36731</v>
      </c>
      <c r="F983" s="534" t="n">
        <v>7.447</v>
      </c>
      <c r="G983" s="554" t="n"/>
    </row>
    <row r="984">
      <c r="A984" s="535" t="n">
        <v>32912</v>
      </c>
      <c r="B984" s="534" t="n">
        <v>7.274</v>
      </c>
      <c r="C984" s="534" t="n">
        <v>2903.77</v>
      </c>
      <c r="E984" s="535" t="n">
        <v>36732</v>
      </c>
      <c r="F984" s="534" t="n">
        <v>7.47</v>
      </c>
      <c r="G984" s="554" t="n"/>
    </row>
    <row r="985">
      <c r="A985" s="535" t="n">
        <v>32913</v>
      </c>
      <c r="B985" s="534" t="n">
        <v>7.187</v>
      </c>
      <c r="C985" s="534" t="n">
        <v>2893.9</v>
      </c>
      <c r="E985" s="535" t="n">
        <v>36733</v>
      </c>
      <c r="F985" s="534" t="n">
        <v>7.47</v>
      </c>
      <c r="G985" s="554" t="n"/>
    </row>
    <row r="986">
      <c r="A986" s="535" t="n">
        <v>32916</v>
      </c>
      <c r="B986" s="534" t="n">
        <v>7.143</v>
      </c>
      <c r="C986" s="534" t="n">
        <v>2894.66</v>
      </c>
      <c r="E986" s="535" t="n">
        <v>36734</v>
      </c>
      <c r="F986" s="534" t="n">
        <v>7.448</v>
      </c>
      <c r="G986" s="554" t="n"/>
    </row>
    <row r="987">
      <c r="A987" s="535" t="n">
        <v>32917</v>
      </c>
      <c r="B987" s="534" t="n">
        <v>7.1</v>
      </c>
      <c r="C987" s="534" t="n">
        <v>2863.55</v>
      </c>
      <c r="E987" s="535" t="n">
        <v>36735</v>
      </c>
      <c r="F987" s="534" t="n">
        <v>7.448</v>
      </c>
      <c r="G987" s="554" t="n"/>
    </row>
    <row r="988">
      <c r="A988" s="535" t="n">
        <v>32918</v>
      </c>
      <c r="B988" s="534" t="n">
        <v>7.056</v>
      </c>
      <c r="C988" s="534" t="n">
        <v>2870.43</v>
      </c>
      <c r="E988" s="535" t="n">
        <v>36738</v>
      </c>
      <c r="F988" s="534" t="n">
        <v>7.493</v>
      </c>
      <c r="G988" s="554" t="n"/>
    </row>
    <row r="989">
      <c r="A989" s="535" t="n">
        <v>32919</v>
      </c>
      <c r="B989" s="534" t="n">
        <v>7.056</v>
      </c>
      <c r="C989" s="534" t="n">
        <v>2910.04</v>
      </c>
      <c r="E989" s="535" t="n">
        <v>36739</v>
      </c>
      <c r="F989" s="534" t="n">
        <v>7.476</v>
      </c>
      <c r="G989" s="554" t="n"/>
    </row>
    <row r="990">
      <c r="A990" s="535" t="n">
        <v>32920</v>
      </c>
      <c r="B990" s="534" t="n">
        <v>7.143</v>
      </c>
      <c r="C990" s="534" t="n">
        <v>2939.25</v>
      </c>
      <c r="E990" s="535" t="n">
        <v>36740</v>
      </c>
      <c r="F990" s="534" t="n">
        <v>7.424</v>
      </c>
      <c r="G990" s="554" t="n"/>
    </row>
    <row r="991">
      <c r="A991" s="535" t="n">
        <v>32923</v>
      </c>
      <c r="B991" s="534" t="n">
        <v>7.143</v>
      </c>
      <c r="C991" s="534" t="n">
        <v>2968</v>
      </c>
      <c r="E991" s="535" t="n">
        <v>36741</v>
      </c>
      <c r="F991" s="534" t="n">
        <v>7.388</v>
      </c>
      <c r="G991" s="554" t="n"/>
    </row>
    <row r="992">
      <c r="A992" s="535" t="n">
        <v>32924</v>
      </c>
      <c r="B992" s="534" t="n">
        <v>7.317</v>
      </c>
      <c r="C992" s="534" t="n">
        <v>2980.9</v>
      </c>
      <c r="E992" s="535" t="n">
        <v>36742</v>
      </c>
      <c r="F992" s="534" t="n">
        <v>7.342</v>
      </c>
      <c r="G992" s="554" t="n"/>
    </row>
    <row r="993">
      <c r="A993" s="535" t="n">
        <v>32925</v>
      </c>
      <c r="B993" s="534" t="n">
        <v>7.056</v>
      </c>
      <c r="C993" s="534" t="n">
        <v>2862.27</v>
      </c>
      <c r="E993" s="535" t="n">
        <v>36745</v>
      </c>
      <c r="F993" s="534" t="n">
        <v>7.241</v>
      </c>
      <c r="G993" s="554" t="n"/>
    </row>
    <row r="994">
      <c r="A994" s="535" t="n">
        <v>32926</v>
      </c>
      <c r="B994" s="534" t="n">
        <v>7.187</v>
      </c>
      <c r="C994" s="534" t="n">
        <v>2927.92</v>
      </c>
      <c r="E994" s="535" t="n">
        <v>36746</v>
      </c>
      <c r="F994" s="534" t="n">
        <v>7.27</v>
      </c>
      <c r="G994" s="554" t="n"/>
    </row>
    <row r="995">
      <c r="A995" s="535" t="n">
        <v>32927</v>
      </c>
      <c r="B995" s="534" t="n">
        <v>7.1</v>
      </c>
      <c r="C995" s="534" t="n">
        <v>2894.31</v>
      </c>
      <c r="E995" s="535" t="n">
        <v>36747</v>
      </c>
      <c r="F995" s="534" t="n">
        <v>7.292</v>
      </c>
      <c r="G995" s="554" t="n"/>
    </row>
    <row r="996">
      <c r="A996" s="535" t="n">
        <v>32930</v>
      </c>
      <c r="B996" s="534" t="n">
        <v>7.012</v>
      </c>
      <c r="C996" s="534" t="n">
        <v>2872.63</v>
      </c>
      <c r="E996" s="535" t="n">
        <v>36748</v>
      </c>
      <c r="F996" s="534" t="n">
        <v>7.277</v>
      </c>
      <c r="G996" s="554" t="n"/>
    </row>
    <row r="997">
      <c r="A997" s="535" t="n">
        <v>32931</v>
      </c>
      <c r="B997" s="534" t="n">
        <v>7.1</v>
      </c>
      <c r="C997" s="534" t="n">
        <v>2932.62</v>
      </c>
      <c r="E997" s="535" t="n">
        <v>36749</v>
      </c>
      <c r="F997" s="534" t="n">
        <v>7.292</v>
      </c>
      <c r="G997" s="554" t="n"/>
    </row>
    <row r="998">
      <c r="A998" s="535" t="n">
        <v>32932</v>
      </c>
      <c r="B998" s="534" t="n">
        <v>7.23</v>
      </c>
      <c r="C998" s="534" t="n">
        <v>2951.98</v>
      </c>
      <c r="E998" s="535" t="n">
        <v>36752</v>
      </c>
      <c r="F998" s="534" t="n">
        <v>7.321</v>
      </c>
      <c r="G998" s="554" t="n"/>
    </row>
    <row r="999">
      <c r="A999" s="535" t="n">
        <v>32933</v>
      </c>
      <c r="B999" s="534" t="n">
        <v>7.187</v>
      </c>
      <c r="C999" s="534" t="n">
        <v>2933.13</v>
      </c>
      <c r="E999" s="535" t="n">
        <v>36753</v>
      </c>
      <c r="F999" s="534" t="n">
        <v>7.306</v>
      </c>
      <c r="G999" s="554" t="n"/>
    </row>
    <row r="1000">
      <c r="A1000" s="535" t="n">
        <v>32934</v>
      </c>
      <c r="B1000" s="534" t="n">
        <v>7.143</v>
      </c>
      <c r="C1000" s="534" t="n">
        <v>2937.93</v>
      </c>
      <c r="E1000" s="535" t="n">
        <v>36754</v>
      </c>
      <c r="F1000" s="534" t="n">
        <v>7.321</v>
      </c>
      <c r="G1000" s="554" t="n"/>
    </row>
    <row r="1001">
      <c r="A1001" s="535" t="n">
        <v>32937</v>
      </c>
      <c r="B1001" s="534" t="n">
        <v>7.23</v>
      </c>
      <c r="C1001" s="534" t="n">
        <v>2938.68</v>
      </c>
      <c r="E1001" s="535" t="n">
        <v>36755</v>
      </c>
      <c r="F1001" s="534" t="n">
        <v>7.358</v>
      </c>
      <c r="G1001" s="554" t="n"/>
    </row>
    <row r="1002">
      <c r="A1002" s="535" t="n">
        <v>32938</v>
      </c>
      <c r="B1002" s="534" t="n">
        <v>7.23</v>
      </c>
      <c r="C1002" s="534" t="n">
        <v>2933.23</v>
      </c>
      <c r="E1002" s="535" t="n">
        <v>36756</v>
      </c>
      <c r="F1002" s="534" t="n">
        <v>7.327</v>
      </c>
      <c r="G1002" s="554" t="n"/>
    </row>
    <row r="1003">
      <c r="A1003" s="535" t="n">
        <v>32939</v>
      </c>
      <c r="B1003" s="534" t="n">
        <v>7.1</v>
      </c>
      <c r="C1003" s="534" t="n">
        <v>2926.45</v>
      </c>
      <c r="E1003" s="535" t="n">
        <v>36759</v>
      </c>
      <c r="F1003" s="534" t="n">
        <v>7.291</v>
      </c>
      <c r="G1003" s="554" t="n"/>
    </row>
    <row r="1004">
      <c r="A1004" s="535" t="n">
        <v>32940</v>
      </c>
      <c r="B1004" s="534" t="n">
        <v>7.1</v>
      </c>
      <c r="C1004" s="534" t="n">
        <v>2915.73</v>
      </c>
      <c r="E1004" s="535" t="n">
        <v>36760</v>
      </c>
      <c r="F1004" s="534" t="n">
        <v>7.282</v>
      </c>
      <c r="G1004" s="554" t="n"/>
    </row>
    <row r="1005">
      <c r="A1005" s="535" t="n">
        <v>32941</v>
      </c>
      <c r="B1005" s="534" t="n">
        <v>7.056</v>
      </c>
      <c r="C1005" s="534" t="n">
        <v>2912.67</v>
      </c>
      <c r="E1005" s="535" t="n">
        <v>36761</v>
      </c>
      <c r="F1005" s="534" t="n">
        <v>7.26</v>
      </c>
      <c r="G1005" s="554" t="n"/>
    </row>
    <row r="1006">
      <c r="A1006" s="535" t="n">
        <v>32944</v>
      </c>
      <c r="B1006" s="534" t="n">
        <v>6.969</v>
      </c>
      <c r="C1006" s="534" t="n">
        <v>2892.98</v>
      </c>
      <c r="E1006" s="535" t="n">
        <v>36762</v>
      </c>
      <c r="F1006" s="534" t="n">
        <v>7.216</v>
      </c>
      <c r="G1006" s="554" t="n"/>
    </row>
    <row r="1007">
      <c r="A1007" s="535" t="n">
        <v>32945</v>
      </c>
      <c r="B1007" s="534" t="n">
        <v>7.056</v>
      </c>
      <c r="C1007" s="534" t="n">
        <v>2887.62</v>
      </c>
      <c r="E1007" s="535" t="n">
        <v>36763</v>
      </c>
      <c r="F1007" s="534" t="n">
        <v>7.21</v>
      </c>
      <c r="G1007" s="554" t="n"/>
    </row>
    <row r="1008">
      <c r="A1008" s="535" t="n">
        <v>32946</v>
      </c>
      <c r="B1008" s="534" t="n">
        <v>7.056</v>
      </c>
      <c r="C1008" s="534" t="n">
        <v>2881.23</v>
      </c>
      <c r="E1008" s="535" t="n">
        <v>36766</v>
      </c>
      <c r="F1008" s="534" t="n">
        <v>7.223</v>
      </c>
      <c r="G1008" s="554" t="n"/>
    </row>
    <row r="1009">
      <c r="A1009" s="535" t="n">
        <v>32947</v>
      </c>
      <c r="B1009" s="534" t="n">
        <v>7.056</v>
      </c>
      <c r="C1009" s="534" t="n">
        <v>2892.81</v>
      </c>
      <c r="E1009" s="535" t="n">
        <v>36767</v>
      </c>
      <c r="F1009" s="534" t="n">
        <v>7.248</v>
      </c>
      <c r="G1009" s="554" t="n"/>
    </row>
    <row r="1010">
      <c r="A1010" s="535" t="n">
        <v>32948</v>
      </c>
      <c r="B1010" s="534" t="n">
        <v>7.056</v>
      </c>
      <c r="C1010" s="534" t="n">
        <v>2886.46</v>
      </c>
      <c r="E1010" s="535" t="n">
        <v>36768</v>
      </c>
      <c r="F1010" s="534" t="n">
        <v>7.261</v>
      </c>
      <c r="G1010" s="554" t="n"/>
    </row>
    <row r="1011">
      <c r="A1011" s="535" t="n">
        <v>32951</v>
      </c>
      <c r="B1011" s="534" t="n">
        <v>6.969</v>
      </c>
      <c r="C1011" s="534" t="n">
        <v>2871.39</v>
      </c>
      <c r="E1011" s="535" t="n">
        <v>36769</v>
      </c>
      <c r="F1011" s="534" t="n">
        <v>7.238</v>
      </c>
      <c r="G1011" s="554" t="n"/>
    </row>
    <row r="1012">
      <c r="A1012" s="535" t="n">
        <v>32952</v>
      </c>
      <c r="B1012" s="534" t="n">
        <v>6.925</v>
      </c>
      <c r="C1012" s="534" t="n">
        <v>2880.03</v>
      </c>
      <c r="E1012" s="535" t="n">
        <v>36770</v>
      </c>
      <c r="F1012" s="534" t="n">
        <v>7.17</v>
      </c>
      <c r="G1012" s="554" t="n"/>
    </row>
    <row r="1013">
      <c r="A1013" s="535" t="n">
        <v>32953</v>
      </c>
      <c r="B1013" s="534" t="n">
        <v>7.012</v>
      </c>
      <c r="C1013" s="534" t="n">
        <v>2926.92</v>
      </c>
      <c r="E1013" s="535" t="n">
        <v>36773</v>
      </c>
      <c r="F1013" s="534" t="n">
        <v>7.093</v>
      </c>
      <c r="G1013" s="554" t="n"/>
    </row>
    <row r="1014">
      <c r="A1014" s="535" t="n">
        <v>32954</v>
      </c>
      <c r="B1014" s="534" t="n">
        <v>7.1</v>
      </c>
      <c r="C1014" s="534" t="n">
        <v>2948.67</v>
      </c>
      <c r="E1014" s="535" t="n">
        <v>36774</v>
      </c>
      <c r="F1014" s="534" t="n">
        <v>7.096</v>
      </c>
      <c r="G1014" s="554" t="n"/>
    </row>
    <row r="1015">
      <c r="A1015" s="535" t="n">
        <v>32955</v>
      </c>
      <c r="B1015" s="534" t="n">
        <v>7.1</v>
      </c>
      <c r="C1015" s="534" t="n">
        <v>2974.16</v>
      </c>
      <c r="E1015" s="535" t="n">
        <v>36775</v>
      </c>
      <c r="F1015" s="534" t="n">
        <v>7.096</v>
      </c>
      <c r="G1015" s="554" t="n"/>
    </row>
    <row r="1016">
      <c r="A1016" s="535" t="n">
        <v>32958</v>
      </c>
      <c r="B1016" s="534" t="n">
        <v>7.23</v>
      </c>
      <c r="C1016" s="534" t="n">
        <v>3014.02</v>
      </c>
      <c r="E1016" s="535" t="n">
        <v>36776</v>
      </c>
      <c r="F1016" s="534" t="n">
        <v>7.122</v>
      </c>
      <c r="G1016" s="554" t="n"/>
    </row>
    <row r="1017">
      <c r="A1017" s="535" t="n">
        <v>32959</v>
      </c>
      <c r="B1017" s="534" t="n">
        <v>7.187</v>
      </c>
      <c r="C1017" s="534" t="n">
        <v>3010.85</v>
      </c>
      <c r="E1017" s="535" t="n">
        <v>36777</v>
      </c>
      <c r="F1017" s="534" t="n">
        <v>7.151</v>
      </c>
      <c r="G1017" s="554" t="n"/>
    </row>
    <row r="1018">
      <c r="A1018" s="535" t="n">
        <v>32960</v>
      </c>
      <c r="B1018" s="534" t="n">
        <v>7.187</v>
      </c>
      <c r="C1018" s="534" t="n">
        <v>2990.7</v>
      </c>
      <c r="E1018" s="535" t="n">
        <v>36780</v>
      </c>
      <c r="F1018" s="534" t="n">
        <v>7.187</v>
      </c>
      <c r="G1018" s="554" t="n"/>
    </row>
    <row r="1019">
      <c r="A1019" s="535" t="n">
        <v>32961</v>
      </c>
      <c r="B1019" s="534" t="n">
        <v>7.187</v>
      </c>
      <c r="C1019" s="534" t="n">
        <v>3000.52</v>
      </c>
      <c r="E1019" s="535" t="n">
        <v>36781</v>
      </c>
      <c r="F1019" s="534" t="n">
        <v>7.224</v>
      </c>
      <c r="G1019" s="554" t="n"/>
    </row>
    <row r="1020">
      <c r="A1020" s="535" t="n">
        <v>32962</v>
      </c>
      <c r="B1020" s="534" t="n">
        <v>7.187</v>
      </c>
      <c r="C1020" s="534" t="n">
        <v>2997.98</v>
      </c>
      <c r="E1020" s="535" t="n">
        <v>36782</v>
      </c>
      <c r="F1020" s="534" t="n">
        <v>7.224</v>
      </c>
      <c r="G1020" s="554" t="n"/>
    </row>
    <row r="1021">
      <c r="A1021" s="535" t="n">
        <v>32965</v>
      </c>
      <c r="B1021" s="534" t="n">
        <v>7.012</v>
      </c>
      <c r="C1021" s="534" t="n">
        <v>2934.7</v>
      </c>
      <c r="E1021" s="535" t="n">
        <v>36783</v>
      </c>
      <c r="F1021" s="534" t="n">
        <v>7.208</v>
      </c>
      <c r="G1021" s="554" t="n"/>
    </row>
    <row r="1022">
      <c r="A1022" s="535" t="n">
        <v>32966</v>
      </c>
      <c r="B1022" s="534" t="n">
        <v>7.056</v>
      </c>
      <c r="C1022" s="534" t="n">
        <v>2962.45</v>
      </c>
      <c r="E1022" s="535" t="n">
        <v>36784</v>
      </c>
      <c r="F1022" s="534" t="n">
        <v>7.253</v>
      </c>
      <c r="G1022" s="554" t="n"/>
    </row>
    <row r="1023">
      <c r="A1023" s="535" t="n">
        <v>32967</v>
      </c>
      <c r="B1023" s="534" t="n">
        <v>7.1</v>
      </c>
      <c r="C1023" s="534" t="n">
        <v>2960.88</v>
      </c>
      <c r="E1023" s="535" t="n">
        <v>36787</v>
      </c>
      <c r="F1023" s="534" t="n">
        <v>7.299</v>
      </c>
      <c r="G1023" s="554" t="n"/>
    </row>
    <row r="1024">
      <c r="A1024" s="535" t="n">
        <v>32968</v>
      </c>
      <c r="B1024" s="534" t="n">
        <v>7.1</v>
      </c>
      <c r="C1024" s="534" t="n">
        <v>2960.88</v>
      </c>
      <c r="E1024" s="535" t="n">
        <v>36788</v>
      </c>
      <c r="F1024" s="534" t="n">
        <v>7.268</v>
      </c>
      <c r="G1024" s="554" t="n"/>
    </row>
    <row r="1025">
      <c r="A1025" s="535" t="n">
        <v>32969</v>
      </c>
      <c r="B1025" s="534" t="n">
        <v>7.187</v>
      </c>
      <c r="C1025" s="534" t="n">
        <v>2956.12</v>
      </c>
      <c r="E1025" s="535" t="n">
        <v>36789</v>
      </c>
      <c r="F1025" s="534" t="n">
        <v>7.268</v>
      </c>
      <c r="G1025" s="554" t="n"/>
    </row>
    <row r="1026">
      <c r="A1026" s="535" t="n">
        <v>32972</v>
      </c>
      <c r="B1026" s="534" t="n">
        <v>7.143</v>
      </c>
      <c r="C1026" s="534" t="n">
        <v>2954.74</v>
      </c>
      <c r="E1026" s="535" t="n">
        <v>36790</v>
      </c>
      <c r="F1026" s="534" t="n">
        <v>7.312</v>
      </c>
      <c r="G1026" s="554" t="n"/>
    </row>
    <row r="1027">
      <c r="A1027" s="535" t="n">
        <v>32973</v>
      </c>
      <c r="B1027" s="534" t="n">
        <v>7.1</v>
      </c>
      <c r="C1027" s="534" t="n">
        <v>2942.33</v>
      </c>
      <c r="E1027" s="535" t="n">
        <v>36791</v>
      </c>
      <c r="F1027" s="534" t="n">
        <v>7.268</v>
      </c>
      <c r="G1027" s="554" t="n"/>
    </row>
    <row r="1028">
      <c r="A1028" s="535" t="n">
        <v>32974</v>
      </c>
      <c r="B1028" s="534" t="n">
        <v>7.1</v>
      </c>
      <c r="C1028" s="534" t="n">
        <v>2959.98</v>
      </c>
      <c r="E1028" s="535" t="n">
        <v>36794</v>
      </c>
      <c r="F1028" s="534" t="n">
        <v>7.26</v>
      </c>
      <c r="G1028" s="554" t="n"/>
    </row>
    <row r="1029">
      <c r="A1029" s="535" t="n">
        <v>32975</v>
      </c>
      <c r="B1029" s="534" t="n">
        <v>7.187</v>
      </c>
      <c r="C1029" s="534" t="n">
        <v>2995.69</v>
      </c>
      <c r="E1029" s="535" t="n">
        <v>36795</v>
      </c>
      <c r="F1029" s="534" t="n">
        <v>7.223</v>
      </c>
      <c r="G1029" s="554" t="n"/>
    </row>
    <row r="1030">
      <c r="A1030" s="535" t="n">
        <v>32976</v>
      </c>
      <c r="B1030" s="534" t="n">
        <v>7.187</v>
      </c>
      <c r="C1030" s="534" t="n">
        <v>2995.69</v>
      </c>
      <c r="E1030" s="535" t="n">
        <v>36796</v>
      </c>
      <c r="F1030" s="534" t="n">
        <v>7.209</v>
      </c>
      <c r="G1030" s="554" t="n"/>
    </row>
    <row r="1031">
      <c r="A1031" s="535" t="n">
        <v>32979</v>
      </c>
      <c r="B1031" s="534" t="n">
        <v>7.187</v>
      </c>
      <c r="C1031" s="534" t="n">
        <v>2995.69</v>
      </c>
      <c r="E1031" s="535" t="n">
        <v>36797</v>
      </c>
      <c r="F1031" s="534" t="n">
        <v>7.209</v>
      </c>
      <c r="G1031" s="554" t="n"/>
    </row>
    <row r="1032">
      <c r="A1032" s="535" t="n">
        <v>32980</v>
      </c>
      <c r="B1032" s="534" t="n">
        <v>7.23</v>
      </c>
      <c r="C1032" s="534" t="n">
        <v>3020.44</v>
      </c>
      <c r="E1032" s="535" t="n">
        <v>36798</v>
      </c>
      <c r="F1032" s="534" t="n">
        <v>7.186</v>
      </c>
      <c r="G1032" s="554" t="n"/>
    </row>
    <row r="1033">
      <c r="A1033" s="535" t="n">
        <v>32981</v>
      </c>
      <c r="B1033" s="534" t="n">
        <v>7.23</v>
      </c>
      <c r="C1033" s="534" t="n">
        <v>3052.35</v>
      </c>
      <c r="E1033" s="535" t="n">
        <v>36801</v>
      </c>
      <c r="F1033" s="534" t="n">
        <v>7.186</v>
      </c>
      <c r="G1033" s="554" t="n"/>
    </row>
    <row r="1034">
      <c r="A1034" s="535" t="n">
        <v>32982</v>
      </c>
      <c r="B1034" s="534" t="n">
        <v>7.448</v>
      </c>
      <c r="C1034" s="534" t="n">
        <v>3067.67</v>
      </c>
      <c r="E1034" s="535" t="n">
        <v>36802</v>
      </c>
      <c r="F1034" s="534" t="n">
        <v>7.177</v>
      </c>
      <c r="G1034" s="554" t="n"/>
    </row>
    <row r="1035">
      <c r="A1035" s="535" t="n">
        <v>32983</v>
      </c>
      <c r="B1035" s="534" t="n">
        <v>7.753</v>
      </c>
      <c r="C1035" s="534" t="n">
        <v>3067.3</v>
      </c>
      <c r="E1035" s="535" t="n">
        <v>36803</v>
      </c>
      <c r="F1035" s="534" t="n">
        <v>7.201</v>
      </c>
      <c r="G1035" s="554" t="n"/>
    </row>
    <row r="1036">
      <c r="A1036" s="535" t="n">
        <v>32986</v>
      </c>
      <c r="B1036" s="534" t="n">
        <v>7.622</v>
      </c>
      <c r="C1036" s="534" t="n">
        <v>3056.86</v>
      </c>
      <c r="E1036" s="535" t="n">
        <v>36804</v>
      </c>
      <c r="F1036" s="534" t="n">
        <v>7.223</v>
      </c>
      <c r="G1036" s="554" t="n"/>
    </row>
    <row r="1037">
      <c r="A1037" s="535" t="n">
        <v>32987</v>
      </c>
      <c r="B1037" s="534" t="n">
        <v>7.579</v>
      </c>
      <c r="C1037" s="534" t="n">
        <v>3015.84</v>
      </c>
      <c r="E1037" s="535" t="n">
        <v>36805</v>
      </c>
      <c r="F1037" s="534" t="n">
        <v>7.223</v>
      </c>
      <c r="G1037" s="554" t="n"/>
    </row>
    <row r="1038">
      <c r="A1038" s="535" t="n">
        <v>32988</v>
      </c>
      <c r="B1038" s="534" t="n">
        <v>7.579</v>
      </c>
      <c r="C1038" s="534" t="n">
        <v>3018.58</v>
      </c>
      <c r="E1038" s="535" t="n">
        <v>36808</v>
      </c>
      <c r="F1038" s="534" t="n">
        <v>7.26</v>
      </c>
      <c r="G1038" s="554" t="n"/>
    </row>
    <row r="1039">
      <c r="A1039" s="535" t="n">
        <v>32989</v>
      </c>
      <c r="B1039" s="534" t="n">
        <v>7.535</v>
      </c>
      <c r="C1039" s="534" t="n">
        <v>3009.34</v>
      </c>
      <c r="E1039" s="535" t="n">
        <v>36809</v>
      </c>
      <c r="F1039" s="534" t="n">
        <v>7.223</v>
      </c>
      <c r="G1039" s="554" t="n"/>
    </row>
    <row r="1040">
      <c r="A1040" s="535" t="n">
        <v>32990</v>
      </c>
      <c r="B1040" s="534" t="n">
        <v>7.492</v>
      </c>
      <c r="C1040" s="534" t="n">
        <v>2986.33</v>
      </c>
      <c r="E1040" s="535" t="n">
        <v>36810</v>
      </c>
      <c r="F1040" s="534" t="n">
        <v>7.218</v>
      </c>
      <c r="G1040" s="554" t="n"/>
    </row>
    <row r="1041">
      <c r="A1041" s="535" t="n">
        <v>32993</v>
      </c>
      <c r="B1041" s="534" t="n">
        <v>7.404</v>
      </c>
      <c r="C1041" s="534" t="n">
        <v>2950.09</v>
      </c>
      <c r="E1041" s="535" t="n">
        <v>36811</v>
      </c>
      <c r="F1041" s="534" t="n">
        <v>7.207</v>
      </c>
      <c r="G1041" s="554" t="n"/>
    </row>
    <row r="1042">
      <c r="A1042" s="535" t="n">
        <v>32994</v>
      </c>
      <c r="B1042" s="534" t="n">
        <v>7.361</v>
      </c>
      <c r="C1042" s="534" t="n">
        <v>2945.18</v>
      </c>
      <c r="E1042" s="535" t="n">
        <v>36812</v>
      </c>
      <c r="F1042" s="534" t="n">
        <v>7.149</v>
      </c>
      <c r="G1042" s="554" t="n"/>
    </row>
    <row r="1043">
      <c r="A1043" s="535" t="n">
        <v>32995</v>
      </c>
      <c r="B1043" s="534" t="n">
        <v>7.361</v>
      </c>
      <c r="C1043" s="534" t="n">
        <v>2957.76</v>
      </c>
      <c r="E1043" s="535" t="n">
        <v>36815</v>
      </c>
      <c r="F1043" s="534" t="n">
        <v>7.162</v>
      </c>
      <c r="G1043" s="554" t="n"/>
    </row>
    <row r="1044">
      <c r="A1044" s="535" t="n">
        <v>32996</v>
      </c>
      <c r="B1044" s="534" t="n">
        <v>7.361</v>
      </c>
      <c r="C1044" s="534" t="n">
        <v>2954.61</v>
      </c>
      <c r="E1044" s="535" t="n">
        <v>36816</v>
      </c>
      <c r="F1044" s="534" t="n">
        <v>7.147</v>
      </c>
      <c r="G1044" s="554" t="n"/>
    </row>
    <row r="1045">
      <c r="A1045" s="535" t="n">
        <v>32997</v>
      </c>
      <c r="B1045" s="534" t="n">
        <v>7.361</v>
      </c>
      <c r="C1045" s="534" t="n">
        <v>2946.97</v>
      </c>
      <c r="E1045" s="535" t="n">
        <v>36817</v>
      </c>
      <c r="F1045" s="534" t="n">
        <v>7.119</v>
      </c>
      <c r="G1045" s="554" t="n"/>
    </row>
    <row r="1046">
      <c r="A1046" s="535" t="n">
        <v>33000</v>
      </c>
      <c r="B1046" s="534" t="n">
        <v>7.404</v>
      </c>
      <c r="C1046" s="534" t="n">
        <v>2958.91</v>
      </c>
      <c r="E1046" s="535" t="n">
        <v>36818</v>
      </c>
      <c r="F1046" s="534" t="n">
        <v>7.103</v>
      </c>
      <c r="G1046" s="554" t="n"/>
    </row>
    <row r="1047">
      <c r="A1047" s="535" t="n">
        <v>33001</v>
      </c>
      <c r="B1047" s="534" t="n">
        <v>7.404</v>
      </c>
      <c r="C1047" s="534" t="n">
        <v>2953.58</v>
      </c>
      <c r="E1047" s="535" t="n">
        <v>36819</v>
      </c>
      <c r="F1047" s="534" t="n">
        <v>7.052</v>
      </c>
      <c r="G1047" s="554" t="n"/>
    </row>
    <row r="1048">
      <c r="A1048" s="535" t="n">
        <v>33002</v>
      </c>
      <c r="B1048" s="534" t="n">
        <v>7.404</v>
      </c>
      <c r="C1048" s="534" t="n">
        <v>2942.27</v>
      </c>
      <c r="E1048" s="535" t="n">
        <v>36822</v>
      </c>
      <c r="F1048" s="534" t="n">
        <v>6.987</v>
      </c>
      <c r="G1048" s="554" t="n"/>
    </row>
    <row r="1049">
      <c r="A1049" s="535" t="n">
        <v>33003</v>
      </c>
      <c r="B1049" s="534" t="n">
        <v>7.579</v>
      </c>
      <c r="C1049" s="534" t="n">
        <v>2985.42</v>
      </c>
      <c r="E1049" s="535" t="n">
        <v>36823</v>
      </c>
      <c r="F1049" s="534" t="n">
        <v>6.958</v>
      </c>
      <c r="G1049" s="554" t="n"/>
    </row>
    <row r="1050">
      <c r="A1050" s="535" t="n">
        <v>33004</v>
      </c>
      <c r="B1050" s="534" t="n">
        <v>7.492</v>
      </c>
      <c r="C1050" s="534" t="n">
        <v>2960.46</v>
      </c>
      <c r="E1050" s="535" t="n">
        <v>36824</v>
      </c>
      <c r="F1050" s="534" t="n">
        <v>6.957</v>
      </c>
      <c r="G1050" s="554" t="n"/>
    </row>
    <row r="1051">
      <c r="A1051" s="535" t="n">
        <v>33007</v>
      </c>
      <c r="B1051" s="534" t="n">
        <v>7.404</v>
      </c>
      <c r="C1051" s="534" t="n">
        <v>2976.44</v>
      </c>
      <c r="E1051" s="535" t="n">
        <v>36825</v>
      </c>
      <c r="F1051" s="534" t="n">
        <v>6.951</v>
      </c>
      <c r="G1051" s="554" t="n"/>
    </row>
    <row r="1052">
      <c r="A1052" s="535" t="n">
        <v>33008</v>
      </c>
      <c r="B1052" s="534" t="n">
        <v>7.274</v>
      </c>
      <c r="C1052" s="534" t="n">
        <v>2965.09</v>
      </c>
      <c r="E1052" s="535" t="n">
        <v>36826</v>
      </c>
      <c r="F1052" s="534" t="n">
        <v>6.965</v>
      </c>
      <c r="G1052" s="554" t="n"/>
    </row>
    <row r="1053">
      <c r="A1053" s="535" t="n">
        <v>33009</v>
      </c>
      <c r="B1053" s="534" t="n">
        <v>7.274</v>
      </c>
      <c r="C1053" s="534" t="n">
        <v>2948.89</v>
      </c>
      <c r="E1053" s="535" t="n">
        <v>36829</v>
      </c>
      <c r="F1053" s="534" t="n">
        <v>6.986</v>
      </c>
      <c r="G1053" s="554" t="n"/>
    </row>
    <row r="1054">
      <c r="A1054" s="535" t="n">
        <v>33010</v>
      </c>
      <c r="B1054" s="534" t="n">
        <v>7.317</v>
      </c>
      <c r="C1054" s="534" t="n">
        <v>2917.63</v>
      </c>
      <c r="E1054" s="535" t="n">
        <v>36830</v>
      </c>
      <c r="F1054" s="534" t="n">
        <v>6.987</v>
      </c>
      <c r="G1054" s="554" t="n"/>
    </row>
    <row r="1055">
      <c r="A1055" s="535" t="n">
        <v>33011</v>
      </c>
      <c r="B1055" s="534" t="n">
        <v>7.274</v>
      </c>
      <c r="C1055" s="534" t="n">
        <v>2925.89</v>
      </c>
      <c r="E1055" s="535" t="n">
        <v>36831</v>
      </c>
      <c r="F1055" s="534" t="n">
        <v>6.965</v>
      </c>
      <c r="G1055" s="554" t="n"/>
    </row>
    <row r="1056">
      <c r="A1056" s="535" t="n">
        <v>33014</v>
      </c>
      <c r="B1056" s="534" t="n">
        <v>7.23</v>
      </c>
      <c r="C1056" s="534" t="n">
        <v>2930.83</v>
      </c>
      <c r="E1056" s="535" t="n">
        <v>36832</v>
      </c>
      <c r="F1056" s="534" t="n">
        <v>6.929</v>
      </c>
      <c r="G1056" s="554" t="n"/>
    </row>
    <row r="1057">
      <c r="A1057" s="535" t="n">
        <v>33015</v>
      </c>
      <c r="B1057" s="534" t="n">
        <v>7.317</v>
      </c>
      <c r="C1057" s="534" t="n">
        <v>2970.87</v>
      </c>
      <c r="E1057" s="535" t="n">
        <v>36833</v>
      </c>
      <c r="F1057" s="534" t="n">
        <v>6.958</v>
      </c>
      <c r="G1057" s="554" t="n"/>
    </row>
    <row r="1058">
      <c r="A1058" s="535" t="n">
        <v>33016</v>
      </c>
      <c r="B1058" s="534" t="n">
        <v>7.448</v>
      </c>
      <c r="C1058" s="534" t="n">
        <v>3028.31</v>
      </c>
      <c r="E1058" s="535" t="n">
        <v>36836</v>
      </c>
      <c r="F1058" s="534" t="n">
        <v>7.096</v>
      </c>
      <c r="G1058" s="554" t="n"/>
    </row>
    <row r="1059">
      <c r="A1059" s="535" t="n">
        <v>33017</v>
      </c>
      <c r="B1059" s="534" t="n">
        <v>7.535</v>
      </c>
      <c r="C1059" s="534" t="n">
        <v>3048.01</v>
      </c>
      <c r="E1059" s="535" t="n">
        <v>36837</v>
      </c>
      <c r="F1059" s="534" t="n">
        <v>7.096</v>
      </c>
      <c r="G1059" s="554" t="n"/>
    </row>
    <row r="1060">
      <c r="A1060" s="535" t="n">
        <v>33018</v>
      </c>
      <c r="B1060" s="534" t="n">
        <v>7.535</v>
      </c>
      <c r="C1060" s="534" t="n">
        <v>3059.5</v>
      </c>
      <c r="E1060" s="535" t="n">
        <v>36838</v>
      </c>
      <c r="F1060" s="534" t="n">
        <v>7.148</v>
      </c>
      <c r="G1060" s="554" t="n"/>
    </row>
    <row r="1061">
      <c r="A1061" s="535" t="n">
        <v>33021</v>
      </c>
      <c r="B1061" s="534" t="n">
        <v>7.535</v>
      </c>
      <c r="C1061" s="534" t="n">
        <v>3059.5</v>
      </c>
      <c r="E1061" s="535" t="n">
        <v>36839</v>
      </c>
      <c r="F1061" s="534" t="n">
        <v>7.185</v>
      </c>
      <c r="G1061" s="554" t="n"/>
    </row>
    <row r="1062">
      <c r="A1062" s="535" t="n">
        <v>33022</v>
      </c>
      <c r="B1062" s="534" t="n">
        <v>7.448</v>
      </c>
      <c r="C1062" s="534" t="n">
        <v>3048.55</v>
      </c>
      <c r="E1062" s="535" t="n">
        <v>36840</v>
      </c>
      <c r="F1062" s="534" t="n">
        <v>7.179</v>
      </c>
      <c r="G1062" s="554" t="n"/>
    </row>
    <row r="1063">
      <c r="A1063" s="535" t="n">
        <v>33023</v>
      </c>
      <c r="B1063" s="534" t="n">
        <v>7.535</v>
      </c>
      <c r="C1063" s="534" t="n">
        <v>3083.35</v>
      </c>
      <c r="E1063" s="535" t="n">
        <v>36843</v>
      </c>
      <c r="F1063" s="534" t="n">
        <v>7.14</v>
      </c>
      <c r="G1063" s="554" t="n"/>
    </row>
    <row r="1064">
      <c r="A1064" s="535" t="n">
        <v>33024</v>
      </c>
      <c r="B1064" s="534" t="n">
        <v>7.753</v>
      </c>
      <c r="C1064" s="534" t="n">
        <v>3132.32</v>
      </c>
      <c r="E1064" s="535" t="n">
        <v>36844</v>
      </c>
      <c r="F1064" s="534" t="n">
        <v>7.14</v>
      </c>
      <c r="G1064" s="554" t="n"/>
    </row>
    <row r="1065">
      <c r="A1065" s="535" t="n">
        <v>33025</v>
      </c>
      <c r="B1065" s="534" t="n">
        <v>7.927</v>
      </c>
      <c r="C1065" s="534" t="n">
        <v>3159.17</v>
      </c>
      <c r="E1065" s="535" t="n">
        <v>36845</v>
      </c>
      <c r="F1065" s="534" t="n">
        <v>7.124</v>
      </c>
      <c r="G1065" s="554" t="n"/>
    </row>
    <row r="1066">
      <c r="A1066" s="535" t="n">
        <v>33028</v>
      </c>
      <c r="B1066" s="534" t="n">
        <v>8.058</v>
      </c>
      <c r="C1066" s="534" t="n">
        <v>3153.22</v>
      </c>
      <c r="E1066" s="535" t="n">
        <v>36846</v>
      </c>
      <c r="F1066" s="534" t="n">
        <v>7.106</v>
      </c>
      <c r="G1066" s="554" t="n"/>
    </row>
    <row r="1067">
      <c r="A1067" s="535" t="n">
        <v>33029</v>
      </c>
      <c r="B1067" s="534" t="n">
        <v>8.145</v>
      </c>
      <c r="C1067" s="534" t="n">
        <v>3159.06</v>
      </c>
      <c r="E1067" s="535" t="n">
        <v>36847</v>
      </c>
      <c r="F1067" s="534" t="n">
        <v>7.065</v>
      </c>
      <c r="G1067" s="554" t="n"/>
    </row>
    <row r="1068">
      <c r="A1068" s="535" t="n">
        <v>33030</v>
      </c>
      <c r="B1068" s="534" t="n">
        <v>8.276</v>
      </c>
      <c r="C1068" s="534" t="n">
        <v>3172.49</v>
      </c>
      <c r="E1068" s="535" t="n">
        <v>36850</v>
      </c>
      <c r="F1068" s="534" t="n">
        <v>7.096</v>
      </c>
      <c r="G1068" s="554" t="n"/>
    </row>
    <row r="1069">
      <c r="A1069" s="535" t="n">
        <v>33031</v>
      </c>
      <c r="B1069" s="534" t="n">
        <v>8.101000000000001</v>
      </c>
      <c r="C1069" s="534" t="n">
        <v>3145.3</v>
      </c>
      <c r="E1069" s="535" t="n">
        <v>36851</v>
      </c>
      <c r="F1069" s="534" t="n">
        <v>7.087</v>
      </c>
      <c r="G1069" s="554" t="n"/>
    </row>
    <row r="1070">
      <c r="A1070" s="535" t="n">
        <v>33032</v>
      </c>
      <c r="B1070" s="534" t="n">
        <v>8.145</v>
      </c>
      <c r="C1070" s="534" t="n">
        <v>3174.33</v>
      </c>
      <c r="E1070" s="535" t="n">
        <v>36852</v>
      </c>
      <c r="F1070" s="534" t="n">
        <v>7.096</v>
      </c>
      <c r="G1070" s="554" t="n"/>
    </row>
    <row r="1071">
      <c r="A1071" s="535" t="n">
        <v>33035</v>
      </c>
      <c r="B1071" s="534" t="n">
        <v>8.101000000000001</v>
      </c>
      <c r="C1071" s="534" t="n">
        <v>3154.99</v>
      </c>
      <c r="E1071" s="535" t="n">
        <v>36853</v>
      </c>
      <c r="F1071" s="534" t="n">
        <v>7.088</v>
      </c>
      <c r="G1071" s="554" t="n"/>
    </row>
    <row r="1072">
      <c r="A1072" s="535" t="n">
        <v>33036</v>
      </c>
      <c r="B1072" s="534" t="n">
        <v>8.188000000000001</v>
      </c>
      <c r="C1072" s="534" t="n">
        <v>3203</v>
      </c>
      <c r="E1072" s="535" t="n">
        <v>36854</v>
      </c>
      <c r="F1072" s="534" t="n">
        <v>7.116</v>
      </c>
      <c r="G1072" s="554" t="n"/>
    </row>
    <row r="1073">
      <c r="A1073" s="535" t="n">
        <v>33037</v>
      </c>
      <c r="B1073" s="534" t="n">
        <v>8.101000000000001</v>
      </c>
      <c r="C1073" s="534" t="n">
        <v>3185.14</v>
      </c>
      <c r="E1073" s="535" t="n">
        <v>36857</v>
      </c>
      <c r="F1073" s="534" t="n">
        <v>7.139</v>
      </c>
      <c r="G1073" s="554" t="n"/>
    </row>
    <row r="1074">
      <c r="A1074" s="535" t="n">
        <v>33038</v>
      </c>
      <c r="B1074" s="534" t="n">
        <v>7.971</v>
      </c>
      <c r="C1074" s="534" t="n">
        <v>3191.55</v>
      </c>
      <c r="E1074" s="535" t="n">
        <v>36858</v>
      </c>
      <c r="F1074" s="534" t="n">
        <v>7.147</v>
      </c>
      <c r="G1074" s="554" t="n"/>
    </row>
    <row r="1075">
      <c r="A1075" s="535" t="n">
        <v>33039</v>
      </c>
      <c r="B1075" s="534" t="n">
        <v>8.013999999999999</v>
      </c>
      <c r="C1075" s="534" t="n">
        <v>3201.52</v>
      </c>
      <c r="E1075" s="535" t="n">
        <v>36859</v>
      </c>
      <c r="F1075" s="534" t="n">
        <v>7.101</v>
      </c>
      <c r="G1075" s="554" t="n"/>
    </row>
    <row r="1076">
      <c r="A1076" s="535" t="n">
        <v>33042</v>
      </c>
      <c r="B1076" s="534" t="n">
        <v>8.013999999999999</v>
      </c>
      <c r="C1076" s="534" t="n">
        <v>3201.52</v>
      </c>
      <c r="E1076" s="535" t="n">
        <v>36860</v>
      </c>
      <c r="F1076" s="534" t="n">
        <v>7.05</v>
      </c>
      <c r="G1076" s="554" t="n"/>
    </row>
    <row r="1077">
      <c r="A1077" s="535" t="n">
        <v>33043</v>
      </c>
      <c r="B1077" s="534" t="n">
        <v>8.013999999999999</v>
      </c>
      <c r="C1077" s="534" t="n">
        <v>3229.02</v>
      </c>
      <c r="E1077" s="535" t="n">
        <v>36861</v>
      </c>
      <c r="F1077" s="534" t="n">
        <v>7.426</v>
      </c>
      <c r="G1077" s="554" t="n"/>
    </row>
    <row r="1078">
      <c r="A1078" s="535" t="n">
        <v>33044</v>
      </c>
      <c r="B1078" s="534" t="n">
        <v>8.145</v>
      </c>
      <c r="C1078" s="534" t="n">
        <v>3234.39</v>
      </c>
      <c r="E1078" s="535" t="n">
        <v>36864</v>
      </c>
      <c r="F1078" s="534" t="n">
        <v>7.05</v>
      </c>
      <c r="G1078" s="554" t="n"/>
    </row>
    <row r="1079">
      <c r="A1079" s="535" t="n">
        <v>33045</v>
      </c>
      <c r="B1079" s="534" t="n">
        <v>8.231999999999999</v>
      </c>
      <c r="C1079" s="534" t="n">
        <v>3246.21</v>
      </c>
      <c r="E1079" s="535" t="n">
        <v>36865</v>
      </c>
      <c r="F1079" s="534" t="n">
        <v>7.111</v>
      </c>
      <c r="G1079" s="554" t="n"/>
    </row>
    <row r="1080">
      <c r="A1080" s="535" t="n">
        <v>33046</v>
      </c>
      <c r="B1080" s="534" t="n">
        <v>8.276</v>
      </c>
      <c r="C1080" s="534" t="n">
        <v>3250.44</v>
      </c>
      <c r="E1080" s="535" t="n">
        <v>36866</v>
      </c>
      <c r="F1080" s="534" t="n">
        <v>6.946</v>
      </c>
      <c r="G1080" s="554" t="n"/>
    </row>
    <row r="1081">
      <c r="A1081" s="535" t="n">
        <v>33049</v>
      </c>
      <c r="B1081" s="534" t="n">
        <v>8.276</v>
      </c>
      <c r="C1081" s="534" t="n">
        <v>3276.44</v>
      </c>
      <c r="E1081" s="535" t="n">
        <v>36867</v>
      </c>
      <c r="F1081" s="534" t="n">
        <v>6.797</v>
      </c>
      <c r="G1081" s="554" t="n"/>
    </row>
    <row r="1082">
      <c r="A1082" s="535" t="n">
        <v>33050</v>
      </c>
      <c r="B1082" s="534" t="n">
        <v>8.319000000000001</v>
      </c>
      <c r="C1082" s="534" t="n">
        <v>3292.35</v>
      </c>
      <c r="E1082" s="535" t="n">
        <v>36868</v>
      </c>
      <c r="F1082" s="534" t="n">
        <v>6.718</v>
      </c>
      <c r="G1082" s="554" t="n"/>
    </row>
    <row r="1083">
      <c r="A1083" s="535" t="n">
        <v>33051</v>
      </c>
      <c r="B1083" s="534" t="n">
        <v>8.319000000000001</v>
      </c>
      <c r="C1083" s="534" t="n">
        <v>3284.47</v>
      </c>
      <c r="E1083" s="535" t="n">
        <v>36871</v>
      </c>
      <c r="F1083" s="534" t="n">
        <v>6.698</v>
      </c>
      <c r="G1083" s="554" t="n"/>
    </row>
    <row r="1084">
      <c r="A1084" s="535" t="n">
        <v>33052</v>
      </c>
      <c r="B1084" s="534" t="n">
        <v>8.276</v>
      </c>
      <c r="C1084" s="534" t="n">
        <v>3273.28</v>
      </c>
      <c r="E1084" s="535" t="n">
        <v>36872</v>
      </c>
      <c r="F1084" s="534" t="n">
        <v>6.701</v>
      </c>
      <c r="G1084" s="554" t="n"/>
    </row>
    <row r="1085">
      <c r="A1085" s="535" t="n">
        <v>33053</v>
      </c>
      <c r="B1085" s="534" t="n">
        <v>8.231999999999999</v>
      </c>
      <c r="C1085" s="534" t="n">
        <v>3278.24</v>
      </c>
      <c r="E1085" s="535" t="n">
        <v>36873</v>
      </c>
      <c r="F1085" s="534" t="n">
        <v>6.712</v>
      </c>
      <c r="G1085" s="554" t="n"/>
    </row>
    <row r="1086">
      <c r="A1086" s="535" t="n">
        <v>33056</v>
      </c>
      <c r="B1086" s="534" t="n">
        <v>8.319000000000001</v>
      </c>
      <c r="C1086" s="534" t="n">
        <v>3319.47</v>
      </c>
      <c r="E1086" s="535" t="n">
        <v>36874</v>
      </c>
      <c r="F1086" s="534" t="n">
        <v>6.6</v>
      </c>
      <c r="G1086" s="554" t="n"/>
    </row>
    <row r="1087">
      <c r="A1087" s="535" t="n">
        <v>33057</v>
      </c>
      <c r="B1087" s="534" t="n">
        <v>8.58</v>
      </c>
      <c r="C1087" s="534" t="n">
        <v>3356.55</v>
      </c>
      <c r="E1087" s="535" t="n">
        <v>36875</v>
      </c>
      <c r="F1087" s="534" t="n">
        <v>6.558</v>
      </c>
      <c r="G1087" s="554" t="n"/>
    </row>
    <row r="1088">
      <c r="A1088" s="535" t="n">
        <v>33058</v>
      </c>
      <c r="B1088" s="534" t="n">
        <v>8.667999999999999</v>
      </c>
      <c r="C1088" s="534" t="n">
        <v>3363.49</v>
      </c>
      <c r="E1088" s="535" t="n">
        <v>36878</v>
      </c>
      <c r="F1088" s="534" t="n">
        <v>6.502</v>
      </c>
      <c r="G1088" s="554" t="n"/>
    </row>
    <row r="1089">
      <c r="A1089" s="535" t="n">
        <v>33059</v>
      </c>
      <c r="B1089" s="534" t="n">
        <v>8.624000000000001</v>
      </c>
      <c r="C1089" s="534" t="n">
        <v>3356.44</v>
      </c>
      <c r="E1089" s="535" t="n">
        <v>36879</v>
      </c>
      <c r="F1089" s="534" t="n">
        <v>6.495</v>
      </c>
      <c r="G1089" s="554" t="n"/>
    </row>
    <row r="1090">
      <c r="A1090" s="535" t="n">
        <v>33060</v>
      </c>
      <c r="B1090" s="534" t="n">
        <v>8.667999999999999</v>
      </c>
      <c r="C1090" s="534" t="n">
        <v>3357.61</v>
      </c>
      <c r="E1090" s="535" t="n">
        <v>36880</v>
      </c>
      <c r="F1090" s="534" t="n">
        <v>6.506</v>
      </c>
      <c r="G1090" s="554" t="n"/>
    </row>
    <row r="1091">
      <c r="A1091" s="535" t="n">
        <v>33063</v>
      </c>
      <c r="B1091" s="534" t="n">
        <v>8.711</v>
      </c>
      <c r="C1091" s="534" t="n">
        <v>3385.15</v>
      </c>
      <c r="E1091" s="535" t="n">
        <v>36881</v>
      </c>
      <c r="F1091" s="534" t="n">
        <v>6.398</v>
      </c>
      <c r="G1091" s="554" t="n"/>
    </row>
    <row r="1092">
      <c r="A1092" s="535" t="n">
        <v>33064</v>
      </c>
      <c r="B1092" s="534" t="n">
        <v>8.885</v>
      </c>
      <c r="C1092" s="534" t="n">
        <v>3408.16</v>
      </c>
      <c r="E1092" s="535" t="n">
        <v>36882</v>
      </c>
      <c r="F1092" s="534" t="n">
        <v>6.399</v>
      </c>
      <c r="G1092" s="554" t="n"/>
    </row>
    <row r="1093">
      <c r="A1093" s="535" t="n">
        <v>33065</v>
      </c>
      <c r="B1093" s="534" t="n">
        <v>9.234</v>
      </c>
      <c r="C1093" s="534" t="n">
        <v>3440.93</v>
      </c>
      <c r="E1093" s="535" t="n">
        <v>36885</v>
      </c>
      <c r="F1093" s="534" t="n">
        <v>6.399</v>
      </c>
      <c r="G1093" s="554" t="n"/>
    </row>
    <row r="1094">
      <c r="A1094" s="535" t="n">
        <v>33066</v>
      </c>
      <c r="B1094" s="534" t="n">
        <v>9.06</v>
      </c>
      <c r="C1094" s="534" t="n">
        <v>3468.59</v>
      </c>
      <c r="E1094" s="535" t="n">
        <v>36886</v>
      </c>
      <c r="F1094" s="534" t="n">
        <v>6.399</v>
      </c>
      <c r="G1094" s="554" t="n"/>
    </row>
    <row r="1095">
      <c r="A1095" s="535" t="n">
        <v>33067</v>
      </c>
      <c r="B1095" s="534" t="n">
        <v>9.06</v>
      </c>
      <c r="C1095" s="534" t="n">
        <v>3507.16</v>
      </c>
      <c r="E1095" s="535" t="n">
        <v>36887</v>
      </c>
      <c r="F1095" s="534" t="n">
        <v>6.418</v>
      </c>
      <c r="G1095" s="554" t="n"/>
    </row>
    <row r="1096">
      <c r="A1096" s="535" t="n">
        <v>33070</v>
      </c>
      <c r="B1096" s="534" t="n">
        <v>8.798</v>
      </c>
      <c r="C1096" s="534" t="n">
        <v>3488.85</v>
      </c>
      <c r="E1096" s="535" t="n">
        <v>36888</v>
      </c>
      <c r="F1096" s="534" t="n">
        <v>6.438</v>
      </c>
      <c r="G1096" s="554" t="n"/>
    </row>
    <row r="1097">
      <c r="A1097" s="535" t="n">
        <v>33071</v>
      </c>
      <c r="B1097" s="534" t="n">
        <v>8.798</v>
      </c>
      <c r="C1097" s="534" t="n">
        <v>3463.94</v>
      </c>
      <c r="E1097" s="535" t="n">
        <v>36889</v>
      </c>
      <c r="F1097" s="534" t="n">
        <v>6.451</v>
      </c>
      <c r="G1097" s="554" t="n"/>
    </row>
    <row r="1098">
      <c r="A1098" s="535" t="n">
        <v>33072</v>
      </c>
      <c r="B1098" s="534" t="n">
        <v>8.972</v>
      </c>
      <c r="C1098" s="534" t="n">
        <v>3528.29</v>
      </c>
      <c r="E1098" s="535" t="n">
        <v>36892</v>
      </c>
      <c r="F1098" s="534" t="n">
        <v>6.451</v>
      </c>
      <c r="G1098" s="554" t="n"/>
    </row>
    <row r="1099">
      <c r="A1099" s="535" t="n">
        <v>33073</v>
      </c>
      <c r="B1099" s="534" t="n">
        <v>9.06</v>
      </c>
      <c r="C1099" s="534" t="n">
        <v>3523.58</v>
      </c>
      <c r="E1099" s="535" t="n">
        <v>36893</v>
      </c>
      <c r="F1099" s="534" t="n">
        <v>6.348</v>
      </c>
      <c r="G1099" s="554" t="n"/>
    </row>
    <row r="1100">
      <c r="A1100" s="535" t="n">
        <v>33074</v>
      </c>
      <c r="B1100" s="534" t="n">
        <v>9.06</v>
      </c>
      <c r="C1100" s="534" t="n">
        <v>3540.43</v>
      </c>
      <c r="E1100" s="535" t="n">
        <v>36894</v>
      </c>
      <c r="F1100" s="534" t="n">
        <v>6.02</v>
      </c>
      <c r="G1100" s="554" t="n"/>
    </row>
    <row r="1101">
      <c r="A1101" s="535" t="n">
        <v>33077</v>
      </c>
      <c r="B1101" s="534" t="n">
        <v>9.234</v>
      </c>
      <c r="C1101" s="534" t="n">
        <v>3559.89</v>
      </c>
      <c r="E1101" s="535" t="n">
        <v>36895</v>
      </c>
      <c r="F1101" s="534" t="n">
        <v>5.934</v>
      </c>
      <c r="G1101" s="554" t="n"/>
    </row>
    <row r="1102">
      <c r="A1102" s="535" t="n">
        <v>33078</v>
      </c>
      <c r="B1102" s="534" t="n">
        <v>8.972</v>
      </c>
      <c r="C1102" s="534" t="n">
        <v>3495.87</v>
      </c>
      <c r="E1102" s="535" t="n">
        <v>36896</v>
      </c>
      <c r="F1102" s="534" t="n">
        <v>5.849</v>
      </c>
      <c r="G1102" s="554" t="n"/>
    </row>
    <row r="1103">
      <c r="A1103" s="535" t="n">
        <v>33079</v>
      </c>
      <c r="B1103" s="534" t="n">
        <v>9.06</v>
      </c>
      <c r="C1103" s="534" t="n">
        <v>3520.54</v>
      </c>
      <c r="E1103" s="535" t="n">
        <v>36899</v>
      </c>
      <c r="F1103" s="534" t="n">
        <v>5.718</v>
      </c>
      <c r="G1103" s="554" t="n"/>
    </row>
    <row r="1104">
      <c r="A1104" s="535" t="n">
        <v>33080</v>
      </c>
      <c r="B1104" s="534" t="n">
        <v>8.972</v>
      </c>
      <c r="C1104" s="534" t="n">
        <v>3483.59</v>
      </c>
      <c r="E1104" s="535" t="n">
        <v>36900</v>
      </c>
      <c r="F1104" s="534" t="n">
        <v>5.827</v>
      </c>
      <c r="G1104" s="554" t="n"/>
    </row>
    <row r="1105">
      <c r="A1105" s="535" t="n">
        <v>33081</v>
      </c>
      <c r="B1105" s="534" t="n">
        <v>8.885</v>
      </c>
      <c r="C1105" s="534" t="n">
        <v>3485.8</v>
      </c>
      <c r="E1105" s="535" t="n">
        <v>36901</v>
      </c>
      <c r="F1105" s="534" t="n">
        <v>5.782</v>
      </c>
      <c r="G1105" s="554" t="n"/>
    </row>
    <row r="1106">
      <c r="A1106" s="535" t="n">
        <v>33084</v>
      </c>
      <c r="B1106" s="534" t="n">
        <v>8.711</v>
      </c>
      <c r="C1106" s="534" t="n">
        <v>3445.41</v>
      </c>
      <c r="E1106" s="535" t="n">
        <v>36902</v>
      </c>
      <c r="F1106" s="534" t="n">
        <v>5.821</v>
      </c>
      <c r="G1106" s="554" t="n"/>
    </row>
    <row r="1107">
      <c r="A1107" s="535" t="n">
        <v>33085</v>
      </c>
      <c r="B1107" s="534" t="n">
        <v>8.667999999999999</v>
      </c>
      <c r="C1107" s="534" t="n">
        <v>3438.49</v>
      </c>
      <c r="E1107" s="535" t="n">
        <v>36903</v>
      </c>
      <c r="F1107" s="534" t="n">
        <v>6.015</v>
      </c>
      <c r="G1107" s="554" t="n"/>
    </row>
    <row r="1108">
      <c r="A1108" s="535" t="n">
        <v>33086</v>
      </c>
      <c r="B1108" s="534" t="n">
        <v>8.711</v>
      </c>
      <c r="C1108" s="534" t="n">
        <v>3468.64</v>
      </c>
      <c r="E1108" s="535" t="n">
        <v>36906</v>
      </c>
      <c r="F1108" s="534" t="n">
        <v>6.163</v>
      </c>
      <c r="G1108" s="554" t="n"/>
    </row>
    <row r="1109">
      <c r="A1109" s="535" t="n">
        <v>33087</v>
      </c>
      <c r="B1109" s="534" t="n">
        <v>8.406000000000001</v>
      </c>
      <c r="C1109" s="534" t="n">
        <v>3415.18</v>
      </c>
      <c r="E1109" s="535" t="n">
        <v>36907</v>
      </c>
      <c r="F1109" s="534" t="n">
        <v>6.17</v>
      </c>
      <c r="G1109" s="554" t="n"/>
    </row>
    <row r="1110">
      <c r="A1110" s="535" t="n">
        <v>33088</v>
      </c>
      <c r="B1110" s="534" t="n">
        <v>8.058</v>
      </c>
      <c r="C1110" s="534" t="n">
        <v>3356.95</v>
      </c>
      <c r="E1110" s="535" t="n">
        <v>36908</v>
      </c>
      <c r="F1110" s="534" t="n">
        <v>6.167</v>
      </c>
      <c r="G1110" s="554" t="n"/>
    </row>
    <row r="1111">
      <c r="A1111" s="535" t="n">
        <v>33091</v>
      </c>
      <c r="B1111" s="534" t="n">
        <v>7.492</v>
      </c>
      <c r="C1111" s="534" t="n">
        <v>3107.98</v>
      </c>
      <c r="E1111" s="535" t="n">
        <v>36909</v>
      </c>
      <c r="F1111" s="534" t="n">
        <v>5.968</v>
      </c>
      <c r="G1111" s="554" t="n"/>
    </row>
    <row r="1112">
      <c r="A1112" s="535" t="n">
        <v>33092</v>
      </c>
      <c r="B1112" s="534" t="n">
        <v>7.535</v>
      </c>
      <c r="C1112" s="534" t="n">
        <v>3098.69</v>
      </c>
      <c r="E1112" s="535" t="n">
        <v>36910</v>
      </c>
      <c r="F1112" s="534" t="n">
        <v>5.956</v>
      </c>
      <c r="G1112" s="554" t="n"/>
    </row>
    <row r="1113">
      <c r="A1113" s="535" t="n">
        <v>33093</v>
      </c>
      <c r="B1113" s="534" t="n">
        <v>7.579</v>
      </c>
      <c r="C1113" s="534" t="n">
        <v>3145.57</v>
      </c>
      <c r="E1113" s="535" t="n">
        <v>36913</v>
      </c>
      <c r="F1113" s="534" t="n">
        <v>6.028</v>
      </c>
      <c r="G1113" s="554" t="n"/>
    </row>
    <row r="1114">
      <c r="A1114" s="535" t="n">
        <v>33094</v>
      </c>
      <c r="B1114" s="534" t="n">
        <v>7.492</v>
      </c>
      <c r="C1114" s="534" t="n">
        <v>3091.12</v>
      </c>
      <c r="E1114" s="535" t="n">
        <v>36914</v>
      </c>
      <c r="F1114" s="534" t="n">
        <v>6.148</v>
      </c>
      <c r="G1114" s="554" t="n"/>
    </row>
    <row r="1115">
      <c r="A1115" s="535" t="n">
        <v>33095</v>
      </c>
      <c r="B1115" s="534" t="n">
        <v>7.448</v>
      </c>
      <c r="C1115" s="534" t="n">
        <v>3078.97</v>
      </c>
      <c r="E1115" s="535" t="n">
        <v>36915</v>
      </c>
      <c r="F1115" s="534" t="n">
        <v>6.148</v>
      </c>
      <c r="G1115" s="554" t="n"/>
    </row>
    <row r="1116">
      <c r="A1116" s="535" t="n">
        <v>33098</v>
      </c>
      <c r="B1116" s="534" t="n">
        <v>7.23</v>
      </c>
      <c r="C1116" s="534" t="n">
        <v>3040.28</v>
      </c>
      <c r="E1116" s="535" t="n">
        <v>36916</v>
      </c>
      <c r="F1116" s="534" t="n">
        <v>6.148</v>
      </c>
      <c r="G1116" s="554" t="n"/>
    </row>
    <row r="1117">
      <c r="A1117" s="535" t="n">
        <v>33099</v>
      </c>
      <c r="B1117" s="534" t="n">
        <v>7.317</v>
      </c>
      <c r="C1117" s="534" t="n">
        <v>3067.53</v>
      </c>
      <c r="E1117" s="535" t="n">
        <v>36917</v>
      </c>
      <c r="F1117" s="534" t="n">
        <v>6.148</v>
      </c>
      <c r="G1117" s="554" t="n"/>
    </row>
    <row r="1118">
      <c r="A1118" s="535" t="n">
        <v>33100</v>
      </c>
      <c r="B1118" s="534" t="n">
        <v>7.579</v>
      </c>
      <c r="C1118" s="534" t="n">
        <v>3178.27</v>
      </c>
      <c r="E1118" s="535" t="n">
        <v>36920</v>
      </c>
      <c r="F1118" s="534" t="n">
        <v>6.188</v>
      </c>
      <c r="G1118" s="554" t="n"/>
    </row>
    <row r="1119">
      <c r="A1119" s="535" t="n">
        <v>33101</v>
      </c>
      <c r="B1119" s="534" t="n">
        <v>7.492</v>
      </c>
      <c r="C1119" s="534" t="n">
        <v>3183.29</v>
      </c>
      <c r="E1119" s="535" t="n">
        <v>36921</v>
      </c>
      <c r="F1119" s="534" t="n">
        <v>6.256</v>
      </c>
      <c r="G1119" s="554" t="n"/>
    </row>
    <row r="1120">
      <c r="A1120" s="535" t="n">
        <v>33102</v>
      </c>
      <c r="B1120" s="534" t="n">
        <v>7.361</v>
      </c>
      <c r="C1120" s="534" t="n">
        <v>3122.64</v>
      </c>
      <c r="E1120" s="535" t="n">
        <v>36922</v>
      </c>
      <c r="F1120" s="534" t="n">
        <v>6.133</v>
      </c>
      <c r="G1120" s="554" t="n"/>
    </row>
    <row r="1121">
      <c r="A1121" s="535" t="n">
        <v>33105</v>
      </c>
      <c r="B1121" s="534" t="n">
        <v>7.23</v>
      </c>
      <c r="C1121" s="534" t="n">
        <v>3052.84</v>
      </c>
      <c r="E1121" s="535" t="n">
        <v>36923</v>
      </c>
      <c r="F1121" s="534" t="n">
        <v>6.005</v>
      </c>
      <c r="G1121" s="554" t="n"/>
    </row>
    <row r="1122">
      <c r="A1122" s="535" t="n">
        <v>33106</v>
      </c>
      <c r="B1122" s="534" t="n">
        <v>7.1</v>
      </c>
      <c r="C1122" s="534" t="n">
        <v>3040</v>
      </c>
      <c r="E1122" s="535" t="n">
        <v>36924</v>
      </c>
      <c r="F1122" s="534" t="n">
        <v>5.933</v>
      </c>
      <c r="G1122" s="554" t="n"/>
    </row>
    <row r="1123">
      <c r="A1123" s="535" t="n">
        <v>33107</v>
      </c>
      <c r="B1123" s="534" t="n">
        <v>6.925</v>
      </c>
      <c r="C1123" s="534" t="n">
        <v>2954.93</v>
      </c>
      <c r="E1123" s="535" t="n">
        <v>36927</v>
      </c>
      <c r="F1123" s="534" t="n">
        <v>5.997</v>
      </c>
      <c r="G1123" s="554" t="n"/>
    </row>
    <row r="1124">
      <c r="A1124" s="535" t="n">
        <v>33108</v>
      </c>
      <c r="B1124" s="534" t="n">
        <v>6.882</v>
      </c>
      <c r="C1124" s="534" t="n">
        <v>2871.41</v>
      </c>
      <c r="E1124" s="535" t="n">
        <v>36928</v>
      </c>
      <c r="F1124" s="534" t="n">
        <v>6.052</v>
      </c>
      <c r="G1124" s="554" t="n"/>
    </row>
    <row r="1125">
      <c r="A1125" s="535" t="n">
        <v>33109</v>
      </c>
      <c r="B1125" s="534" t="n">
        <v>7.012</v>
      </c>
      <c r="C1125" s="534" t="n">
        <v>2918.01</v>
      </c>
      <c r="E1125" s="535" t="n">
        <v>36929</v>
      </c>
      <c r="F1125" s="534" t="n">
        <v>6.018</v>
      </c>
      <c r="G1125" s="554" t="n"/>
    </row>
    <row r="1126">
      <c r="A1126" s="535" t="n">
        <v>33112</v>
      </c>
      <c r="B1126" s="534" t="n">
        <v>7.012</v>
      </c>
      <c r="C1126" s="534" t="n">
        <v>2918.01</v>
      </c>
      <c r="E1126" s="535" t="n">
        <v>36930</v>
      </c>
      <c r="F1126" s="534" t="n">
        <v>6.025</v>
      </c>
      <c r="G1126" s="554" t="n"/>
    </row>
    <row r="1127">
      <c r="A1127" s="535" t="n">
        <v>33113</v>
      </c>
      <c r="B1127" s="534" t="n">
        <v>7.361</v>
      </c>
      <c r="C1127" s="534" t="n">
        <v>3078.94</v>
      </c>
      <c r="E1127" s="535" t="n">
        <v>36931</v>
      </c>
      <c r="F1127" s="534" t="n">
        <v>6.014</v>
      </c>
      <c r="G1127" s="554" t="n"/>
    </row>
    <row r="1128">
      <c r="A1128" s="535" t="n">
        <v>33114</v>
      </c>
      <c r="B1128" s="534" t="n">
        <v>7.056</v>
      </c>
      <c r="C1128" s="534" t="n">
        <v>3015.95</v>
      </c>
      <c r="E1128" s="535" t="n">
        <v>36934</v>
      </c>
      <c r="F1128" s="534" t="n">
        <v>5.96</v>
      </c>
      <c r="G1128" s="554" t="n"/>
    </row>
    <row r="1129">
      <c r="A1129" s="535" t="n">
        <v>33115</v>
      </c>
      <c r="B1129" s="534" t="n">
        <v>7.056</v>
      </c>
      <c r="C1129" s="534" t="n">
        <v>3064.19</v>
      </c>
      <c r="E1129" s="535" t="n">
        <v>36935</v>
      </c>
      <c r="F1129" s="534" t="n">
        <v>5.95</v>
      </c>
      <c r="G1129" s="554" t="n"/>
    </row>
    <row r="1130">
      <c r="A1130" s="535" t="n">
        <v>33116</v>
      </c>
      <c r="B1130" s="534" t="n">
        <v>7.012</v>
      </c>
      <c r="C1130" s="534" t="n">
        <v>3087.5</v>
      </c>
      <c r="E1130" s="535" t="n">
        <v>36936</v>
      </c>
      <c r="F1130" s="534" t="n">
        <v>5.975</v>
      </c>
      <c r="G1130" s="554" t="n"/>
    </row>
    <row r="1131">
      <c r="A1131" s="535" t="n">
        <v>33119</v>
      </c>
      <c r="B1131" s="534" t="n">
        <v>6.882</v>
      </c>
      <c r="C1131" s="534" t="n">
        <v>3066.81</v>
      </c>
      <c r="E1131" s="535" t="n">
        <v>36937</v>
      </c>
      <c r="F1131" s="534" t="n">
        <v>6.144</v>
      </c>
      <c r="G1131" s="554" t="n"/>
    </row>
    <row r="1132">
      <c r="A1132" s="535" t="n">
        <v>33120</v>
      </c>
      <c r="B1132" s="534" t="n">
        <v>6.795</v>
      </c>
      <c r="C1132" s="534" t="n">
        <v>3054.16</v>
      </c>
      <c r="E1132" s="535" t="n">
        <v>36938</v>
      </c>
      <c r="F1132" s="534" t="n">
        <v>6.096</v>
      </c>
      <c r="G1132" s="554" t="n"/>
    </row>
    <row r="1133">
      <c r="A1133" s="535" t="n">
        <v>33121</v>
      </c>
      <c r="B1133" s="534" t="n">
        <v>6.751</v>
      </c>
      <c r="C1133" s="534" t="n">
        <v>3039.69</v>
      </c>
      <c r="E1133" s="535" t="n">
        <v>36941</v>
      </c>
      <c r="F1133" s="534" t="n">
        <v>6.07</v>
      </c>
      <c r="G1133" s="554" t="n"/>
    </row>
    <row r="1134">
      <c r="A1134" s="535" t="n">
        <v>33122</v>
      </c>
      <c r="B1134" s="534" t="n">
        <v>6.795</v>
      </c>
      <c r="C1134" s="534" t="n">
        <v>3032.85</v>
      </c>
      <c r="E1134" s="535" t="n">
        <v>36942</v>
      </c>
      <c r="F1134" s="534" t="n">
        <v>6.116</v>
      </c>
      <c r="G1134" s="554" t="n"/>
    </row>
    <row r="1135">
      <c r="A1135" s="535" t="n">
        <v>33123</v>
      </c>
      <c r="B1135" s="534" t="n">
        <v>6.882</v>
      </c>
      <c r="C1135" s="534" t="n">
        <v>3047.91</v>
      </c>
      <c r="E1135" s="535" t="n">
        <v>36943</v>
      </c>
      <c r="F1135" s="534" t="n">
        <v>6.085</v>
      </c>
      <c r="G1135" s="554" t="n"/>
    </row>
    <row r="1136">
      <c r="A1136" s="535" t="n">
        <v>33126</v>
      </c>
      <c r="B1136" s="534" t="n">
        <v>6.925</v>
      </c>
      <c r="C1136" s="534" t="n">
        <v>3087.74</v>
      </c>
      <c r="E1136" s="535" t="n">
        <v>36944</v>
      </c>
      <c r="F1136" s="534" t="n">
        <v>6.122</v>
      </c>
      <c r="G1136" s="554" t="n"/>
    </row>
    <row r="1137">
      <c r="A1137" s="535" t="n">
        <v>33127</v>
      </c>
      <c r="B1137" s="534" t="n">
        <v>6.882</v>
      </c>
      <c r="C1137" s="534" t="n">
        <v>3083.57</v>
      </c>
      <c r="E1137" s="535" t="n">
        <v>36945</v>
      </c>
      <c r="F1137" s="534" t="n">
        <v>6.149</v>
      </c>
      <c r="G1137" s="554" t="n"/>
    </row>
    <row r="1138">
      <c r="A1138" s="535" t="n">
        <v>33128</v>
      </c>
      <c r="B1138" s="534" t="n">
        <v>6.969</v>
      </c>
      <c r="C1138" s="534" t="n">
        <v>3105.04</v>
      </c>
      <c r="E1138" s="535" t="n">
        <v>36948</v>
      </c>
      <c r="F1138" s="534" t="n">
        <v>6.068</v>
      </c>
      <c r="G1138" s="554" t="n"/>
    </row>
    <row r="1139">
      <c r="A1139" s="535" t="n">
        <v>33129</v>
      </c>
      <c r="B1139" s="534" t="n">
        <v>6.925</v>
      </c>
      <c r="C1139" s="534" t="n">
        <v>3093.97</v>
      </c>
      <c r="E1139" s="535" t="n">
        <v>36949</v>
      </c>
      <c r="F1139" s="534" t="n">
        <v>5.933</v>
      </c>
      <c r="G1139" s="554" t="n"/>
    </row>
    <row r="1140">
      <c r="A1140" s="535" t="n">
        <v>33130</v>
      </c>
      <c r="B1140" s="534" t="n">
        <v>6.838</v>
      </c>
      <c r="C1140" s="534" t="n">
        <v>3062.04</v>
      </c>
      <c r="E1140" s="535" t="n">
        <v>36950</v>
      </c>
      <c r="F1140" s="534" t="n">
        <v>5.861</v>
      </c>
      <c r="G1140" s="554" t="n"/>
    </row>
    <row r="1141">
      <c r="A1141" s="535" t="n">
        <v>33133</v>
      </c>
      <c r="B1141" s="534" t="n">
        <v>6.751</v>
      </c>
      <c r="C1141" s="534" t="n">
        <v>3019.87</v>
      </c>
      <c r="E1141" s="535" t="n">
        <v>36951</v>
      </c>
      <c r="F1141" s="534" t="n">
        <v>5.84</v>
      </c>
      <c r="G1141" s="554" t="n"/>
    </row>
    <row r="1142">
      <c r="A1142" s="535" t="n">
        <v>33134</v>
      </c>
      <c r="B1142" s="534" t="n">
        <v>6.62</v>
      </c>
      <c r="C1142" s="534" t="n">
        <v>2996.66</v>
      </c>
      <c r="E1142" s="535" t="n">
        <v>36952</v>
      </c>
      <c r="F1142" s="534" t="n">
        <v>5.893</v>
      </c>
      <c r="G1142" s="554" t="n"/>
    </row>
    <row r="1143">
      <c r="A1143" s="535" t="n">
        <v>33135</v>
      </c>
      <c r="B1143" s="534" t="n">
        <v>6.533</v>
      </c>
      <c r="C1143" s="534" t="n">
        <v>2980.95</v>
      </c>
      <c r="E1143" s="535" t="n">
        <v>36955</v>
      </c>
      <c r="F1143" s="534" t="n">
        <v>5.946</v>
      </c>
      <c r="G1143" s="554" t="n"/>
    </row>
    <row r="1144">
      <c r="A1144" s="535" t="n">
        <v>33136</v>
      </c>
      <c r="B1144" s="534" t="n">
        <v>6.533</v>
      </c>
      <c r="C1144" s="534" t="n">
        <v>2984.54</v>
      </c>
      <c r="E1144" s="535" t="n">
        <v>36956</v>
      </c>
      <c r="F1144" s="534" t="n">
        <v>5.957</v>
      </c>
      <c r="G1144" s="554" t="n"/>
    </row>
    <row r="1145">
      <c r="A1145" s="535" t="n">
        <v>33137</v>
      </c>
      <c r="B1145" s="534" t="n">
        <v>6.446</v>
      </c>
      <c r="C1145" s="534" t="n">
        <v>2931.86</v>
      </c>
      <c r="E1145" s="535" t="n">
        <v>36957</v>
      </c>
      <c r="F1145" s="534" t="n">
        <v>5.925</v>
      </c>
      <c r="G1145" s="554" t="n"/>
    </row>
    <row r="1146">
      <c r="A1146" s="535" t="n">
        <v>33140</v>
      </c>
      <c r="B1146" s="534" t="n">
        <v>6.272</v>
      </c>
      <c r="C1146" s="534" t="n">
        <v>2861.77</v>
      </c>
      <c r="E1146" s="535" t="n">
        <v>36958</v>
      </c>
      <c r="F1146" s="534" t="n">
        <v>5.911</v>
      </c>
      <c r="G1146" s="554" t="n"/>
    </row>
    <row r="1147">
      <c r="A1147" s="535" t="n">
        <v>33141</v>
      </c>
      <c r="B1147" s="534" t="n">
        <v>6.141</v>
      </c>
      <c r="C1147" s="534" t="n">
        <v>2807.5</v>
      </c>
      <c r="E1147" s="535" t="n">
        <v>36959</v>
      </c>
      <c r="F1147" s="534" t="n">
        <v>5.941</v>
      </c>
      <c r="G1147" s="554" t="n"/>
    </row>
    <row r="1148">
      <c r="A1148" s="535" t="n">
        <v>33142</v>
      </c>
      <c r="B1148" s="534" t="n">
        <v>6.098</v>
      </c>
      <c r="C1148" s="534" t="n">
        <v>2778.74</v>
      </c>
      <c r="E1148" s="535" t="n">
        <v>36962</v>
      </c>
      <c r="F1148" s="534" t="n">
        <v>5.998</v>
      </c>
      <c r="G1148" s="554" t="n"/>
    </row>
    <row r="1149">
      <c r="A1149" s="535" t="n">
        <v>33143</v>
      </c>
      <c r="B1149" s="534" t="n">
        <v>6.185</v>
      </c>
      <c r="C1149" s="534" t="n">
        <v>2767.95</v>
      </c>
      <c r="E1149" s="535" t="n">
        <v>36963</v>
      </c>
      <c r="F1149" s="534" t="n">
        <v>5.931</v>
      </c>
      <c r="G1149" s="554" t="n"/>
    </row>
    <row r="1150">
      <c r="A1150" s="535" t="n">
        <v>33144</v>
      </c>
      <c r="B1150" s="534" t="n">
        <v>6.141</v>
      </c>
      <c r="C1150" s="534" t="n">
        <v>2760.82</v>
      </c>
      <c r="E1150" s="535" t="n">
        <v>36964</v>
      </c>
      <c r="F1150" s="534" t="n">
        <v>5.98</v>
      </c>
      <c r="G1150" s="554" t="n"/>
    </row>
    <row r="1151">
      <c r="A1151" s="535" t="n">
        <v>33147</v>
      </c>
      <c r="B1151" s="534" t="n">
        <v>6.098</v>
      </c>
      <c r="C1151" s="534" t="n">
        <v>2791.26</v>
      </c>
      <c r="E1151" s="535" t="n">
        <v>36965</v>
      </c>
      <c r="F1151" s="534" t="n">
        <v>5.943</v>
      </c>
      <c r="G1151" s="554" t="n"/>
    </row>
    <row r="1152">
      <c r="A1152" s="535" t="n">
        <v>33148</v>
      </c>
      <c r="B1152" s="534" t="n">
        <v>6.316</v>
      </c>
      <c r="C1152" s="534" t="n">
        <v>2905.48</v>
      </c>
      <c r="E1152" s="535" t="n">
        <v>36966</v>
      </c>
      <c r="F1152" s="534" t="n">
        <v>5.917</v>
      </c>
      <c r="G1152" s="554" t="n"/>
    </row>
    <row r="1153">
      <c r="A1153" s="535" t="n">
        <v>33149</v>
      </c>
      <c r="B1153" s="534" t="n">
        <v>6.359</v>
      </c>
      <c r="C1153" s="534" t="n">
        <v>2862.55</v>
      </c>
      <c r="E1153" s="535" t="n">
        <v>36969</v>
      </c>
      <c r="F1153" s="534" t="n">
        <v>5.976</v>
      </c>
      <c r="G1153" s="554" t="n"/>
    </row>
    <row r="1154">
      <c r="A1154" s="535" t="n">
        <v>33150</v>
      </c>
      <c r="B1154" s="534" t="n">
        <v>6.359</v>
      </c>
      <c r="C1154" s="534" t="n">
        <v>2862.55</v>
      </c>
      <c r="E1154" s="535" t="n">
        <v>36970</v>
      </c>
      <c r="F1154" s="534" t="n">
        <v>6.029</v>
      </c>
      <c r="G1154" s="554" t="n"/>
    </row>
    <row r="1155">
      <c r="A1155" s="535" t="n">
        <v>33151</v>
      </c>
      <c r="B1155" s="534" t="n">
        <v>6.272</v>
      </c>
      <c r="C1155" s="534" t="n">
        <v>2850.45</v>
      </c>
      <c r="E1155" s="535" t="n">
        <v>36971</v>
      </c>
      <c r="F1155" s="534" t="n">
        <v>6.022</v>
      </c>
      <c r="G1155" s="554" t="n"/>
    </row>
    <row r="1156">
      <c r="A1156" s="535" t="n">
        <v>33154</v>
      </c>
      <c r="B1156" s="534" t="n">
        <v>6.316</v>
      </c>
      <c r="C1156" s="534" t="n">
        <v>2925.48</v>
      </c>
      <c r="E1156" s="535" t="n">
        <v>36972</v>
      </c>
      <c r="F1156" s="534" t="n">
        <v>6.091</v>
      </c>
      <c r="G1156" s="554" t="n"/>
    </row>
    <row r="1157">
      <c r="A1157" s="535" t="n">
        <v>33155</v>
      </c>
      <c r="B1157" s="534" t="n">
        <v>6.098</v>
      </c>
      <c r="C1157" s="534" t="n">
        <v>2913.52</v>
      </c>
      <c r="E1157" s="535" t="n">
        <v>36973</v>
      </c>
      <c r="F1157" s="534" t="n">
        <v>6.122</v>
      </c>
      <c r="G1157" s="554" t="n"/>
    </row>
    <row r="1158">
      <c r="A1158" s="535" t="n">
        <v>33156</v>
      </c>
      <c r="B1158" s="534" t="n">
        <v>6.054</v>
      </c>
      <c r="C1158" s="534" t="n">
        <v>2872.41</v>
      </c>
      <c r="E1158" s="535" t="n">
        <v>36976</v>
      </c>
      <c r="F1158" s="534" t="n">
        <v>6.074</v>
      </c>
      <c r="G1158" s="554" t="n"/>
    </row>
    <row r="1159">
      <c r="A1159" s="535" t="n">
        <v>33157</v>
      </c>
      <c r="B1159" s="534" t="n">
        <v>6.054</v>
      </c>
      <c r="C1159" s="534" t="n">
        <v>2884.41</v>
      </c>
      <c r="E1159" s="535" t="n">
        <v>36977</v>
      </c>
      <c r="F1159" s="534" t="n">
        <v>6.035</v>
      </c>
      <c r="G1159" s="554" t="n"/>
    </row>
    <row r="1160">
      <c r="A1160" s="535" t="n">
        <v>33158</v>
      </c>
      <c r="B1160" s="534" t="n">
        <v>6.098</v>
      </c>
      <c r="C1160" s="534" t="n">
        <v>2915.26</v>
      </c>
      <c r="E1160" s="535" t="n">
        <v>36978</v>
      </c>
      <c r="F1160" s="534" t="n">
        <v>6.143</v>
      </c>
      <c r="G1160" s="554" t="n"/>
    </row>
    <row r="1161">
      <c r="A1161" s="535" t="n">
        <v>33161</v>
      </c>
      <c r="B1161" s="534" t="n">
        <v>6.141</v>
      </c>
      <c r="C1161" s="534" t="n">
        <v>2916.38</v>
      </c>
      <c r="E1161" s="535" t="n">
        <v>36979</v>
      </c>
      <c r="F1161" s="534" t="n">
        <v>6.129</v>
      </c>
      <c r="G1161" s="554" t="n"/>
    </row>
    <row r="1162">
      <c r="A1162" s="535" t="n">
        <v>33162</v>
      </c>
      <c r="B1162" s="534" t="n">
        <v>6.228</v>
      </c>
      <c r="C1162" s="534" t="n">
        <v>2949.57</v>
      </c>
      <c r="E1162" s="535" t="n">
        <v>36980</v>
      </c>
      <c r="F1162" s="534" t="n">
        <v>6.163</v>
      </c>
      <c r="G1162" s="554" t="n"/>
    </row>
    <row r="1163">
      <c r="A1163" s="535" t="n">
        <v>33163</v>
      </c>
      <c r="B1163" s="534" t="n">
        <v>6.316</v>
      </c>
      <c r="C1163" s="534" t="n">
        <v>2958.54</v>
      </c>
      <c r="E1163" s="535" t="n">
        <v>36983</v>
      </c>
      <c r="F1163" s="534" t="n">
        <v>6.162</v>
      </c>
      <c r="G1163" s="554" t="n"/>
    </row>
    <row r="1164">
      <c r="A1164" s="535" t="n">
        <v>33164</v>
      </c>
      <c r="B1164" s="534" t="n">
        <v>6.228</v>
      </c>
      <c r="C1164" s="534" t="n">
        <v>2950.52</v>
      </c>
      <c r="E1164" s="535" t="n">
        <v>36984</v>
      </c>
      <c r="F1164" s="534" t="n">
        <v>6.162</v>
      </c>
      <c r="G1164" s="554" t="n"/>
    </row>
    <row r="1165">
      <c r="A1165" s="535" t="n">
        <v>33165</v>
      </c>
      <c r="B1165" s="534" t="n">
        <v>6.359</v>
      </c>
      <c r="C1165" s="534" t="n">
        <v>2991.95</v>
      </c>
      <c r="E1165" s="535" t="n">
        <v>36985</v>
      </c>
      <c r="F1165" s="534" t="n">
        <v>6.155</v>
      </c>
      <c r="G1165" s="554" t="n"/>
    </row>
    <row r="1166">
      <c r="A1166" s="535" t="n">
        <v>33168</v>
      </c>
      <c r="B1166" s="534" t="n">
        <v>6.533</v>
      </c>
      <c r="C1166" s="534" t="n">
        <v>3015.56</v>
      </c>
      <c r="E1166" s="535" t="n">
        <v>36986</v>
      </c>
      <c r="F1166" s="534" t="n">
        <v>6.155</v>
      </c>
      <c r="G1166" s="554" t="n"/>
    </row>
    <row r="1167">
      <c r="A1167" s="535" t="n">
        <v>33169</v>
      </c>
      <c r="B1167" s="534" t="n">
        <v>6.838</v>
      </c>
      <c r="C1167" s="534" t="n">
        <v>3081.23</v>
      </c>
      <c r="E1167" s="535" t="n">
        <v>36987</v>
      </c>
      <c r="F1167" s="534" t="n">
        <v>6.193</v>
      </c>
      <c r="G1167" s="554" t="n"/>
    </row>
    <row r="1168">
      <c r="A1168" s="535" t="n">
        <v>33170</v>
      </c>
      <c r="B1168" s="534" t="n">
        <v>6.838</v>
      </c>
      <c r="C1168" s="534" t="n">
        <v>3042.08</v>
      </c>
      <c r="E1168" s="535" t="n">
        <v>36990</v>
      </c>
      <c r="F1168" s="534" t="n">
        <v>6.119</v>
      </c>
      <c r="G1168" s="554" t="n"/>
    </row>
    <row r="1169">
      <c r="A1169" s="535" t="n">
        <v>33171</v>
      </c>
      <c r="B1169" s="534" t="n">
        <v>6.751</v>
      </c>
      <c r="C1169" s="534" t="n">
        <v>3050.88</v>
      </c>
      <c r="E1169" s="535" t="n">
        <v>36991</v>
      </c>
      <c r="F1169" s="534" t="n">
        <v>6.12</v>
      </c>
      <c r="G1169" s="554" t="n"/>
    </row>
    <row r="1170">
      <c r="A1170" s="535" t="n">
        <v>33172</v>
      </c>
      <c r="B1170" s="534" t="n">
        <v>6.751</v>
      </c>
      <c r="C1170" s="534" t="n">
        <v>3050.88</v>
      </c>
      <c r="E1170" s="535" t="n">
        <v>36992</v>
      </c>
      <c r="F1170" s="534" t="n">
        <v>6.161</v>
      </c>
      <c r="G1170" s="554" t="n"/>
    </row>
    <row r="1171">
      <c r="A1171" s="535" t="n">
        <v>33175</v>
      </c>
      <c r="B1171" s="534" t="n">
        <v>6.533</v>
      </c>
      <c r="C1171" s="534" t="n">
        <v>3063.53</v>
      </c>
      <c r="E1171" s="535" t="n">
        <v>36993</v>
      </c>
      <c r="F1171" s="534" t="n">
        <v>6.236</v>
      </c>
      <c r="G1171" s="554" t="n"/>
    </row>
    <row r="1172">
      <c r="A1172" s="535" t="n">
        <v>33176</v>
      </c>
      <c r="B1172" s="534" t="n">
        <v>6.316</v>
      </c>
      <c r="C1172" s="534" t="n">
        <v>3011.65</v>
      </c>
      <c r="E1172" s="535" t="n">
        <v>36994</v>
      </c>
      <c r="F1172" s="534" t="n">
        <v>6.236</v>
      </c>
      <c r="G1172" s="554" t="n"/>
    </row>
    <row r="1173">
      <c r="A1173" s="535" t="n">
        <v>33177</v>
      </c>
      <c r="B1173" s="534" t="n">
        <v>6.272</v>
      </c>
      <c r="C1173" s="534" t="n">
        <v>2990.96</v>
      </c>
      <c r="E1173" s="535" t="n">
        <v>36997</v>
      </c>
      <c r="F1173" s="534" t="n">
        <v>6.236</v>
      </c>
      <c r="G1173" s="554" t="n"/>
    </row>
    <row r="1174">
      <c r="A1174" s="535" t="n">
        <v>33178</v>
      </c>
      <c r="B1174" s="534" t="n">
        <v>6.316</v>
      </c>
      <c r="C1174" s="534" t="n">
        <v>2968.74</v>
      </c>
      <c r="E1174" s="535" t="n">
        <v>36998</v>
      </c>
      <c r="F1174" s="534" t="n">
        <v>6.27</v>
      </c>
      <c r="G1174" s="554" t="n"/>
    </row>
    <row r="1175">
      <c r="A1175" s="535" t="n">
        <v>33179</v>
      </c>
      <c r="B1175" s="534" t="n">
        <v>6.272</v>
      </c>
      <c r="C1175" s="534" t="n">
        <v>2978.92</v>
      </c>
      <c r="E1175" s="535" t="n">
        <v>36999</v>
      </c>
      <c r="F1175" s="534" t="n">
        <v>6.249</v>
      </c>
      <c r="G1175" s="554" t="n"/>
    </row>
    <row r="1176">
      <c r="A1176" s="535" t="n">
        <v>33182</v>
      </c>
      <c r="B1176" s="534" t="n">
        <v>6.316</v>
      </c>
      <c r="C1176" s="534" t="n">
        <v>2967.24</v>
      </c>
      <c r="E1176" s="535" t="n">
        <v>37000</v>
      </c>
      <c r="F1176" s="534" t="n">
        <v>6.146</v>
      </c>
      <c r="G1176" s="554" t="n"/>
    </row>
    <row r="1177">
      <c r="A1177" s="535" t="n">
        <v>33183</v>
      </c>
      <c r="B1177" s="534" t="n">
        <v>6.316</v>
      </c>
      <c r="C1177" s="534" t="n">
        <v>2966.71</v>
      </c>
      <c r="E1177" s="535" t="n">
        <v>37001</v>
      </c>
      <c r="F1177" s="534" t="n">
        <v>6.24</v>
      </c>
      <c r="G1177" s="554" t="n"/>
    </row>
    <row r="1178">
      <c r="A1178" s="535" t="n">
        <v>33184</v>
      </c>
      <c r="B1178" s="534" t="n">
        <v>6.272</v>
      </c>
      <c r="C1178" s="534" t="n">
        <v>2955.19</v>
      </c>
      <c r="E1178" s="535" t="n">
        <v>37004</v>
      </c>
      <c r="F1178" s="534" t="n">
        <v>6.32</v>
      </c>
      <c r="G1178" s="554" t="n"/>
    </row>
    <row r="1179">
      <c r="A1179" s="535" t="n">
        <v>33185</v>
      </c>
      <c r="B1179" s="534" t="n">
        <v>6.185</v>
      </c>
      <c r="C1179" s="534" t="n">
        <v>2932.44</v>
      </c>
      <c r="E1179" s="535" t="n">
        <v>37005</v>
      </c>
      <c r="F1179" s="534" t="n">
        <v>6.259</v>
      </c>
      <c r="G1179" s="554" t="n"/>
    </row>
    <row r="1180">
      <c r="A1180" s="535" t="n">
        <v>33186</v>
      </c>
      <c r="B1180" s="534" t="n">
        <v>6.228</v>
      </c>
      <c r="C1180" s="534" t="n">
        <v>2932.92</v>
      </c>
      <c r="E1180" s="535" t="n">
        <v>37006</v>
      </c>
      <c r="F1180" s="534" t="n">
        <v>6.276</v>
      </c>
      <c r="G1180" s="554" t="n"/>
    </row>
    <row r="1181">
      <c r="A1181" s="535" t="n">
        <v>33189</v>
      </c>
      <c r="B1181" s="534" t="n">
        <v>6.185</v>
      </c>
      <c r="C1181" s="534" t="n">
        <v>2949.56</v>
      </c>
      <c r="E1181" s="535" t="n">
        <v>37007</v>
      </c>
      <c r="F1181" s="534" t="n">
        <v>6.328</v>
      </c>
      <c r="G1181" s="554" t="n"/>
    </row>
    <row r="1182">
      <c r="A1182" s="535" t="n">
        <v>33190</v>
      </c>
      <c r="B1182" s="534" t="n">
        <v>6.316</v>
      </c>
      <c r="C1182" s="534" t="n">
        <v>2998.97</v>
      </c>
      <c r="E1182" s="535" t="n">
        <v>37008</v>
      </c>
      <c r="F1182" s="534" t="n">
        <v>6.282</v>
      </c>
      <c r="G1182" s="554" t="n"/>
    </row>
    <row r="1183">
      <c r="A1183" s="535" t="n">
        <v>33191</v>
      </c>
      <c r="B1183" s="534" t="n">
        <v>6.272</v>
      </c>
      <c r="C1183" s="534" t="n">
        <v>3006.82</v>
      </c>
      <c r="E1183" s="535" t="n">
        <v>37011</v>
      </c>
      <c r="F1183" s="534" t="n">
        <v>6.282</v>
      </c>
      <c r="G1183" s="554" t="n"/>
    </row>
    <row r="1184">
      <c r="A1184" s="535" t="n">
        <v>33192</v>
      </c>
      <c r="B1184" s="534" t="n">
        <v>6.185</v>
      </c>
      <c r="C1184" s="534" t="n">
        <v>2990.47</v>
      </c>
      <c r="E1184" s="535" t="n">
        <v>37012</v>
      </c>
      <c r="F1184" s="534" t="n">
        <v>6.282</v>
      </c>
      <c r="G1184" s="554" t="n"/>
    </row>
    <row r="1185">
      <c r="A1185" s="535" t="n">
        <v>33193</v>
      </c>
      <c r="B1185" s="534" t="n">
        <v>6.185</v>
      </c>
      <c r="C1185" s="534" t="n">
        <v>3008.66</v>
      </c>
      <c r="E1185" s="535" t="n">
        <v>37013</v>
      </c>
      <c r="F1185" s="534" t="n">
        <v>6.379</v>
      </c>
      <c r="G1185" s="554" t="n"/>
    </row>
    <row r="1186">
      <c r="A1186" s="535" t="n">
        <v>33196</v>
      </c>
      <c r="B1186" s="534" t="n">
        <v>6.141</v>
      </c>
      <c r="C1186" s="534" t="n">
        <v>3042.58</v>
      </c>
      <c r="E1186" s="535" t="n">
        <v>37014</v>
      </c>
      <c r="F1186" s="534" t="n">
        <v>6.226</v>
      </c>
      <c r="G1186" s="554" t="n"/>
    </row>
    <row r="1187">
      <c r="A1187" s="535" t="n">
        <v>33197</v>
      </c>
      <c r="B1187" s="534" t="n">
        <v>6.228</v>
      </c>
      <c r="C1187" s="534" t="n">
        <v>3031.92</v>
      </c>
      <c r="E1187" s="535" t="n">
        <v>37015</v>
      </c>
      <c r="F1187" s="534" t="n">
        <v>6.153</v>
      </c>
      <c r="G1187" s="554" t="n"/>
    </row>
    <row r="1188">
      <c r="A1188" s="535" t="n">
        <v>33198</v>
      </c>
      <c r="B1188" s="534" t="n">
        <v>6.141</v>
      </c>
      <c r="C1188" s="534" t="n">
        <v>3013.66</v>
      </c>
      <c r="E1188" s="535" t="n">
        <v>37018</v>
      </c>
      <c r="F1188" s="534" t="n">
        <v>6.126</v>
      </c>
      <c r="G1188" s="554" t="n"/>
    </row>
    <row r="1189">
      <c r="A1189" s="535" t="n">
        <v>33199</v>
      </c>
      <c r="B1189" s="534" t="n">
        <v>6.141</v>
      </c>
      <c r="C1189" s="534" t="n">
        <v>3023.08</v>
      </c>
      <c r="E1189" s="535" t="n">
        <v>37019</v>
      </c>
      <c r="F1189" s="534" t="n">
        <v>6.148</v>
      </c>
      <c r="G1189" s="554" t="n"/>
    </row>
    <row r="1190">
      <c r="A1190" s="535" t="n">
        <v>33200</v>
      </c>
      <c r="B1190" s="534" t="n">
        <v>6.098</v>
      </c>
      <c r="C1190" s="534" t="n">
        <v>3016.06</v>
      </c>
      <c r="E1190" s="535" t="n">
        <v>37020</v>
      </c>
      <c r="F1190" s="534" t="n">
        <v>6.182</v>
      </c>
      <c r="G1190" s="554" t="n"/>
    </row>
    <row r="1191">
      <c r="A1191" s="535" t="n">
        <v>33203</v>
      </c>
      <c r="B1191" s="534" t="n">
        <v>6.098</v>
      </c>
      <c r="C1191" s="534" t="n">
        <v>2995.52</v>
      </c>
      <c r="E1191" s="535" t="n">
        <v>37021</v>
      </c>
      <c r="F1191" s="534" t="n">
        <v>6.163</v>
      </c>
      <c r="G1191" s="554" t="n"/>
    </row>
    <row r="1192">
      <c r="A1192" s="535" t="n">
        <v>33204</v>
      </c>
      <c r="B1192" s="534" t="n">
        <v>6.054</v>
      </c>
      <c r="C1192" s="534" t="n">
        <v>2998.94</v>
      </c>
      <c r="E1192" s="535" t="n">
        <v>37022</v>
      </c>
      <c r="F1192" s="534" t="n">
        <v>6.272</v>
      </c>
      <c r="G1192" s="554" t="n"/>
    </row>
    <row r="1193">
      <c r="A1193" s="535" t="n">
        <v>33205</v>
      </c>
      <c r="B1193" s="534" t="n">
        <v>6.011</v>
      </c>
      <c r="C1193" s="534" t="n">
        <v>2986.39</v>
      </c>
      <c r="E1193" s="535" t="n">
        <v>37025</v>
      </c>
      <c r="F1193" s="534" t="n">
        <v>6.38</v>
      </c>
      <c r="G1193" s="554" t="n"/>
    </row>
    <row r="1194">
      <c r="A1194" s="535" t="n">
        <v>33206</v>
      </c>
      <c r="B1194" s="534" t="n">
        <v>5.967</v>
      </c>
      <c r="C1194" s="534" t="n">
        <v>2978.35</v>
      </c>
      <c r="E1194" s="535" t="n">
        <v>37026</v>
      </c>
      <c r="F1194" s="534" t="n">
        <v>6.441</v>
      </c>
      <c r="G1194" s="554" t="n"/>
    </row>
    <row r="1195">
      <c r="A1195" s="535" t="n">
        <v>33207</v>
      </c>
      <c r="B1195" s="534" t="n">
        <v>5.924</v>
      </c>
      <c r="C1195" s="534" t="n">
        <v>2965.06</v>
      </c>
      <c r="E1195" s="535" t="n">
        <v>37027</v>
      </c>
      <c r="F1195" s="534" t="n">
        <v>6.533</v>
      </c>
      <c r="G1195" s="554" t="n"/>
    </row>
    <row r="1196">
      <c r="A1196" s="535" t="n">
        <v>33210</v>
      </c>
      <c r="B1196" s="534" t="n">
        <v>6.098</v>
      </c>
      <c r="C1196" s="534" t="n">
        <v>3020.17</v>
      </c>
      <c r="E1196" s="535" t="n">
        <v>37028</v>
      </c>
      <c r="F1196" s="534" t="n">
        <v>6.482</v>
      </c>
      <c r="G1196" s="554" t="n"/>
    </row>
    <row r="1197">
      <c r="A1197" s="535" t="n">
        <v>33211</v>
      </c>
      <c r="B1197" s="534" t="n">
        <v>6.098</v>
      </c>
      <c r="C1197" s="534" t="n">
        <v>3020.84</v>
      </c>
      <c r="E1197" s="535" t="n">
        <v>37029</v>
      </c>
      <c r="F1197" s="534" t="n">
        <v>6.441</v>
      </c>
      <c r="G1197" s="554" t="n"/>
    </row>
    <row r="1198">
      <c r="A1198" s="535" t="n">
        <v>33212</v>
      </c>
      <c r="B1198" s="534" t="n">
        <v>6.228</v>
      </c>
      <c r="C1198" s="534" t="n">
        <v>3066.23</v>
      </c>
      <c r="E1198" s="535" t="n">
        <v>37032</v>
      </c>
      <c r="F1198" s="534" t="n">
        <v>6.476</v>
      </c>
      <c r="G1198" s="554" t="n"/>
    </row>
    <row r="1199">
      <c r="A1199" s="535" t="n">
        <v>33213</v>
      </c>
      <c r="B1199" s="534" t="n">
        <v>6.359</v>
      </c>
      <c r="C1199" s="534" t="n">
        <v>3126.79</v>
      </c>
      <c r="E1199" s="535" t="n">
        <v>37033</v>
      </c>
      <c r="F1199" s="534" t="n">
        <v>6.433</v>
      </c>
      <c r="G1199" s="554" t="n"/>
    </row>
    <row r="1200">
      <c r="A1200" s="535" t="n">
        <v>33214</v>
      </c>
      <c r="B1200" s="534" t="n">
        <v>6.664</v>
      </c>
      <c r="C1200" s="534" t="n">
        <v>3163.69</v>
      </c>
      <c r="E1200" s="535" t="n">
        <v>37034</v>
      </c>
      <c r="F1200" s="534" t="n">
        <v>6.447</v>
      </c>
      <c r="G1200" s="554" t="n"/>
    </row>
    <row r="1201">
      <c r="A1201" s="535" t="n">
        <v>33217</v>
      </c>
      <c r="B1201" s="534" t="n">
        <v>6.577</v>
      </c>
      <c r="C1201" s="534" t="n">
        <v>3149.13</v>
      </c>
      <c r="E1201" s="535" t="n">
        <v>37035</v>
      </c>
      <c r="F1201" s="534" t="n">
        <v>6.426</v>
      </c>
      <c r="G1201" s="554" t="n"/>
    </row>
    <row r="1202">
      <c r="A1202" s="535" t="n">
        <v>33218</v>
      </c>
      <c r="B1202" s="534" t="n">
        <v>6.49</v>
      </c>
      <c r="C1202" s="534" t="n">
        <v>3144.62</v>
      </c>
      <c r="E1202" s="535" t="n">
        <v>37036</v>
      </c>
      <c r="F1202" s="534" t="n">
        <v>6.485</v>
      </c>
      <c r="G1202" s="554" t="n"/>
    </row>
    <row r="1203">
      <c r="A1203" s="535" t="n">
        <v>33219</v>
      </c>
      <c r="B1203" s="534" t="n">
        <v>6.49</v>
      </c>
      <c r="C1203" s="534" t="n">
        <v>3160.79</v>
      </c>
      <c r="E1203" s="535" t="n">
        <v>37039</v>
      </c>
      <c r="F1203" s="534" t="n">
        <v>6.529</v>
      </c>
      <c r="G1203" s="554" t="n"/>
    </row>
    <row r="1204">
      <c r="A1204" s="535" t="n">
        <v>33220</v>
      </c>
      <c r="B1204" s="534" t="n">
        <v>6.403</v>
      </c>
      <c r="C1204" s="534" t="n">
        <v>3150.12</v>
      </c>
      <c r="E1204" s="535" t="n">
        <v>37040</v>
      </c>
      <c r="F1204" s="534" t="n">
        <v>6.502</v>
      </c>
      <c r="G1204" s="554" t="n"/>
    </row>
    <row r="1205">
      <c r="A1205" s="535" t="n">
        <v>33221</v>
      </c>
      <c r="B1205" s="534" t="n">
        <v>6.316</v>
      </c>
      <c r="C1205" s="534" t="n">
        <v>3125.69</v>
      </c>
      <c r="E1205" s="535" t="n">
        <v>37041</v>
      </c>
      <c r="F1205" s="534" t="n">
        <v>6.508</v>
      </c>
      <c r="G1205" s="554" t="n"/>
    </row>
    <row r="1206">
      <c r="A1206" s="535" t="n">
        <v>33224</v>
      </c>
      <c r="B1206" s="534" t="n">
        <v>6.098</v>
      </c>
      <c r="C1206" s="534" t="n">
        <v>3051.92</v>
      </c>
      <c r="E1206" s="535" t="n">
        <v>37042</v>
      </c>
      <c r="F1206" s="534" t="n">
        <v>6.452</v>
      </c>
      <c r="G1206" s="554" t="n"/>
    </row>
    <row r="1207">
      <c r="A1207" s="535" t="n">
        <v>33225</v>
      </c>
      <c r="B1207" s="534" t="n">
        <v>6.185</v>
      </c>
      <c r="C1207" s="534" t="n">
        <v>3066.65</v>
      </c>
      <c r="E1207" s="535" t="n">
        <v>37043</v>
      </c>
      <c r="F1207" s="534" t="n">
        <v>6.367</v>
      </c>
      <c r="G1207" s="554" t="n"/>
    </row>
    <row r="1208">
      <c r="A1208" s="535" t="n">
        <v>33226</v>
      </c>
      <c r="B1208" s="534" t="n">
        <v>6.185</v>
      </c>
      <c r="C1208" s="534" t="n">
        <v>3083.44</v>
      </c>
      <c r="E1208" s="535" t="n">
        <v>37046</v>
      </c>
      <c r="F1208" s="534" t="n">
        <v>6.333</v>
      </c>
      <c r="G1208" s="554" t="n"/>
    </row>
    <row r="1209">
      <c r="A1209" s="535" t="n">
        <v>33227</v>
      </c>
      <c r="B1209" s="534" t="n">
        <v>6.141</v>
      </c>
      <c r="C1209" s="534" t="n">
        <v>3078.21</v>
      </c>
      <c r="E1209" s="535" t="n">
        <v>37047</v>
      </c>
      <c r="F1209" s="534" t="n">
        <v>6.228</v>
      </c>
      <c r="G1209" s="554" t="n"/>
    </row>
    <row r="1210">
      <c r="A1210" s="535" t="n">
        <v>33228</v>
      </c>
      <c r="B1210" s="534" t="n">
        <v>6.185</v>
      </c>
      <c r="C1210" s="534" t="n">
        <v>3079.67</v>
      </c>
      <c r="E1210" s="535" t="n">
        <v>37048</v>
      </c>
      <c r="F1210" s="534" t="n">
        <v>6.146</v>
      </c>
      <c r="G1210" s="554" t="n"/>
    </row>
    <row r="1211">
      <c r="A1211" s="535" t="n">
        <v>33231</v>
      </c>
      <c r="B1211" s="534" t="n">
        <v>6.185</v>
      </c>
      <c r="C1211" s="534" t="n">
        <v>3060.95</v>
      </c>
      <c r="E1211" s="535" t="n">
        <v>37049</v>
      </c>
      <c r="F1211" s="534" t="n">
        <v>6.171</v>
      </c>
      <c r="G1211" s="554" t="n"/>
    </row>
    <row r="1212">
      <c r="A1212" s="535" t="n">
        <v>33232</v>
      </c>
      <c r="B1212" s="534" t="n">
        <v>6.185</v>
      </c>
      <c r="C1212" s="534" t="n">
        <v>3060.95</v>
      </c>
      <c r="E1212" s="535" t="n">
        <v>37050</v>
      </c>
      <c r="F1212" s="534" t="n">
        <v>6.254</v>
      </c>
      <c r="G1212" s="554" t="n"/>
    </row>
    <row r="1213">
      <c r="A1213" s="535" t="n">
        <v>33233</v>
      </c>
      <c r="B1213" s="534" t="n">
        <v>6.185</v>
      </c>
      <c r="C1213" s="534" t="n">
        <v>3060.95</v>
      </c>
      <c r="E1213" s="535" t="n">
        <v>37053</v>
      </c>
      <c r="F1213" s="534" t="n">
        <v>6.266</v>
      </c>
      <c r="G1213" s="554" t="n"/>
    </row>
    <row r="1214">
      <c r="A1214" s="535" t="n">
        <v>33234</v>
      </c>
      <c r="B1214" s="534" t="n">
        <v>6.098</v>
      </c>
      <c r="C1214" s="534" t="n">
        <v>3066.71</v>
      </c>
      <c r="E1214" s="535" t="n">
        <v>37054</v>
      </c>
      <c r="F1214" s="534" t="n">
        <v>6.189</v>
      </c>
      <c r="G1214" s="554" t="n"/>
    </row>
    <row r="1215">
      <c r="A1215" s="535" t="n">
        <v>33235</v>
      </c>
      <c r="B1215" s="534" t="n">
        <v>6.098</v>
      </c>
      <c r="C1215" s="534" t="n">
        <v>3053.73</v>
      </c>
      <c r="E1215" s="535" t="n">
        <v>37055</v>
      </c>
      <c r="F1215" s="534" t="n">
        <v>6.162</v>
      </c>
      <c r="G1215" s="554" t="n"/>
    </row>
    <row r="1216">
      <c r="A1216" s="535" t="n">
        <v>33238</v>
      </c>
      <c r="B1216" s="534" t="n">
        <v>6.054</v>
      </c>
      <c r="C1216" s="534" t="n">
        <v>3024.55</v>
      </c>
      <c r="E1216" s="535" t="n">
        <v>37056</v>
      </c>
      <c r="F1216" s="534" t="n">
        <v>6.183</v>
      </c>
      <c r="G1216" s="554" t="n"/>
    </row>
    <row r="1217">
      <c r="A1217" s="535" t="n">
        <v>33239</v>
      </c>
      <c r="B1217" s="534" t="n">
        <v>6.054</v>
      </c>
      <c r="C1217" s="534" t="n">
        <v>3024.55</v>
      </c>
      <c r="E1217" s="535" t="n">
        <v>37057</v>
      </c>
      <c r="F1217" s="534" t="n">
        <v>6.162</v>
      </c>
      <c r="G1217" s="554" t="n"/>
    </row>
    <row r="1218">
      <c r="A1218" s="535" t="n">
        <v>33240</v>
      </c>
      <c r="B1218" s="534" t="n">
        <v>6.185</v>
      </c>
      <c r="C1218" s="534" t="n">
        <v>3031.34</v>
      </c>
      <c r="E1218" s="535" t="n">
        <v>37060</v>
      </c>
      <c r="F1218" s="534" t="n">
        <v>6.241</v>
      </c>
      <c r="G1218" s="554" t="n"/>
    </row>
    <row r="1219">
      <c r="A1219" s="535" t="n">
        <v>33241</v>
      </c>
      <c r="B1219" s="534" t="n">
        <v>6.098</v>
      </c>
      <c r="C1219" s="534" t="n">
        <v>3004.88</v>
      </c>
      <c r="E1219" s="535" t="n">
        <v>37061</v>
      </c>
      <c r="F1219" s="534" t="n">
        <v>6.335</v>
      </c>
      <c r="G1219" s="554" t="n"/>
    </row>
    <row r="1220">
      <c r="A1220" s="535" t="n">
        <v>33242</v>
      </c>
      <c r="B1220" s="534" t="n">
        <v>6.228</v>
      </c>
      <c r="C1220" s="534" t="n">
        <v>3046.61</v>
      </c>
      <c r="E1220" s="535" t="n">
        <v>37062</v>
      </c>
      <c r="F1220" s="534" t="n">
        <v>6.294</v>
      </c>
      <c r="G1220" s="554" t="n"/>
    </row>
    <row r="1221">
      <c r="A1221" s="535" t="n">
        <v>33245</v>
      </c>
      <c r="B1221" s="534" t="n">
        <v>6.185</v>
      </c>
      <c r="C1221" s="534" t="n">
        <v>3026.52</v>
      </c>
      <c r="E1221" s="535" t="n">
        <v>37063</v>
      </c>
      <c r="F1221" s="534" t="n">
        <v>6.252</v>
      </c>
      <c r="G1221" s="554" t="n"/>
    </row>
    <row r="1222">
      <c r="A1222" s="535" t="n">
        <v>33246</v>
      </c>
      <c r="B1222" s="534" t="n">
        <v>6.141</v>
      </c>
      <c r="C1222" s="534" t="n">
        <v>3009.42</v>
      </c>
      <c r="E1222" s="535" t="n">
        <v>37064</v>
      </c>
      <c r="F1222" s="534" t="n">
        <v>6.264</v>
      </c>
      <c r="G1222" s="554" t="n"/>
    </row>
    <row r="1223">
      <c r="A1223" s="535" t="n">
        <v>33247</v>
      </c>
      <c r="B1223" s="534" t="n">
        <v>6.228</v>
      </c>
      <c r="C1223" s="534" t="n">
        <v>3027.6</v>
      </c>
      <c r="E1223" s="535" t="n">
        <v>37067</v>
      </c>
      <c r="F1223" s="534" t="n">
        <v>6.264</v>
      </c>
      <c r="G1223" s="554" t="n"/>
    </row>
    <row r="1224">
      <c r="A1224" s="535" t="n">
        <v>33248</v>
      </c>
      <c r="B1224" s="534" t="n">
        <v>6.185</v>
      </c>
      <c r="C1224" s="534" t="n">
        <v>3035.53</v>
      </c>
      <c r="E1224" s="535" t="n">
        <v>37068</v>
      </c>
      <c r="F1224" s="534" t="n">
        <v>6.133</v>
      </c>
      <c r="G1224" s="554" t="n"/>
    </row>
    <row r="1225">
      <c r="A1225" s="535" t="n">
        <v>33249</v>
      </c>
      <c r="B1225" s="534" t="n">
        <v>6.228</v>
      </c>
      <c r="C1225" s="534" t="n">
        <v>3058.37</v>
      </c>
      <c r="E1225" s="535" t="n">
        <v>37069</v>
      </c>
      <c r="F1225" s="534" t="n">
        <v>6.245</v>
      </c>
      <c r="G1225" s="554" t="n"/>
    </row>
    <row r="1226">
      <c r="A1226" s="535" t="n">
        <v>33252</v>
      </c>
      <c r="B1226" s="534" t="n">
        <v>6.185</v>
      </c>
      <c r="C1226" s="534" t="n">
        <v>3037.62</v>
      </c>
      <c r="E1226" s="535" t="n">
        <v>37070</v>
      </c>
      <c r="F1226" s="534" t="n">
        <v>6.267</v>
      </c>
      <c r="G1226" s="554" t="n"/>
    </row>
    <row r="1227">
      <c r="A1227" s="535" t="n">
        <v>33253</v>
      </c>
      <c r="B1227" s="534" t="n">
        <v>6.098</v>
      </c>
      <c r="C1227" s="534" t="n">
        <v>3000.82</v>
      </c>
      <c r="E1227" s="535" t="n">
        <v>37071</v>
      </c>
      <c r="F1227" s="534" t="n">
        <v>6.374</v>
      </c>
      <c r="G1227" s="554" t="n"/>
    </row>
    <row r="1228">
      <c r="A1228" s="535" t="n">
        <v>33254</v>
      </c>
      <c r="B1228" s="534" t="n">
        <v>6.141</v>
      </c>
      <c r="C1228" s="534" t="n">
        <v>2984.01</v>
      </c>
      <c r="E1228" s="535" t="n">
        <v>37074</v>
      </c>
      <c r="F1228" s="534" t="n">
        <v>6.374</v>
      </c>
      <c r="G1228" s="554" t="n"/>
    </row>
    <row r="1229">
      <c r="A1229" s="535" t="n">
        <v>33255</v>
      </c>
      <c r="B1229" s="534" t="n">
        <v>6.403</v>
      </c>
      <c r="C1229" s="534" t="n">
        <v>3087.83</v>
      </c>
      <c r="E1229" s="535" t="n">
        <v>37075</v>
      </c>
      <c r="F1229" s="534" t="n">
        <v>6.399</v>
      </c>
      <c r="G1229" s="554" t="n"/>
    </row>
    <row r="1230">
      <c r="A1230" s="535" t="n">
        <v>33256</v>
      </c>
      <c r="B1230" s="534" t="n">
        <v>6.446</v>
      </c>
      <c r="C1230" s="534" t="n">
        <v>3072.17</v>
      </c>
      <c r="E1230" s="535" t="n">
        <v>37076</v>
      </c>
      <c r="F1230" s="534" t="n">
        <v>6.464</v>
      </c>
      <c r="G1230" s="554" t="n"/>
    </row>
    <row r="1231">
      <c r="A1231" s="535" t="n">
        <v>33259</v>
      </c>
      <c r="B1231" s="534" t="n">
        <v>6.446</v>
      </c>
      <c r="C1231" s="534" t="n">
        <v>3066.98</v>
      </c>
      <c r="E1231" s="535" t="n">
        <v>37077</v>
      </c>
      <c r="F1231" s="534" t="n">
        <v>6.506</v>
      </c>
      <c r="G1231" s="554" t="n"/>
    </row>
    <row r="1232">
      <c r="A1232" s="535" t="n">
        <v>33260</v>
      </c>
      <c r="B1232" s="534" t="n">
        <v>6.403</v>
      </c>
      <c r="C1232" s="534" t="n">
        <v>3062.08</v>
      </c>
      <c r="E1232" s="535" t="n">
        <v>37078</v>
      </c>
      <c r="F1232" s="534" t="n">
        <v>6.506</v>
      </c>
      <c r="G1232" s="554" t="n"/>
    </row>
    <row r="1233">
      <c r="A1233" s="535" t="n">
        <v>33261</v>
      </c>
      <c r="B1233" s="534" t="n">
        <v>6.359</v>
      </c>
      <c r="C1233" s="534" t="n">
        <v>3090.4</v>
      </c>
      <c r="E1233" s="535" t="n">
        <v>37081</v>
      </c>
      <c r="F1233" s="534" t="n">
        <v>6.459</v>
      </c>
      <c r="G1233" s="554" t="n"/>
    </row>
    <row r="1234">
      <c r="A1234" s="535" t="n">
        <v>33262</v>
      </c>
      <c r="B1234" s="534" t="n">
        <v>6.446</v>
      </c>
      <c r="C1234" s="534" t="n">
        <v>3140.5</v>
      </c>
      <c r="E1234" s="535" t="n">
        <v>37082</v>
      </c>
      <c r="F1234" s="534" t="n">
        <v>6.464</v>
      </c>
      <c r="G1234" s="554" t="n"/>
    </row>
    <row r="1235">
      <c r="A1235" s="535" t="n">
        <v>33263</v>
      </c>
      <c r="B1235" s="534" t="n">
        <v>6.49</v>
      </c>
      <c r="C1235" s="534" t="n">
        <v>3206.36</v>
      </c>
      <c r="E1235" s="535" t="n">
        <v>37083</v>
      </c>
      <c r="F1235" s="534" t="n">
        <v>6.421</v>
      </c>
      <c r="G1235" s="554" t="n"/>
    </row>
    <row r="1236">
      <c r="A1236" s="535" t="n">
        <v>33266</v>
      </c>
      <c r="B1236" s="534" t="n">
        <v>6.446</v>
      </c>
      <c r="C1236" s="534" t="n">
        <v>3198.29</v>
      </c>
      <c r="E1236" s="535" t="n">
        <v>37084</v>
      </c>
      <c r="F1236" s="534" t="n">
        <v>6.52</v>
      </c>
      <c r="G1236" s="554" t="n"/>
    </row>
    <row r="1237">
      <c r="A1237" s="535" t="n">
        <v>33267</v>
      </c>
      <c r="B1237" s="534" t="n">
        <v>6.446</v>
      </c>
      <c r="C1237" s="534" t="n">
        <v>3192.9</v>
      </c>
      <c r="E1237" s="535" t="n">
        <v>37085</v>
      </c>
      <c r="F1237" s="534" t="n">
        <v>6.442</v>
      </c>
      <c r="G1237" s="554" t="n"/>
    </row>
    <row r="1238">
      <c r="A1238" s="535" t="n">
        <v>33268</v>
      </c>
      <c r="B1238" s="534" t="n">
        <v>6.403</v>
      </c>
      <c r="C1238" s="534" t="n">
        <v>3200.89</v>
      </c>
      <c r="E1238" s="535" t="n">
        <v>37088</v>
      </c>
      <c r="F1238" s="534" t="n">
        <v>6.407</v>
      </c>
      <c r="G1238" s="554" t="n"/>
    </row>
    <row r="1239">
      <c r="A1239" s="535" t="n">
        <v>33269</v>
      </c>
      <c r="B1239" s="534" t="n">
        <v>6.446</v>
      </c>
      <c r="C1239" s="534" t="n">
        <v>3243.3</v>
      </c>
      <c r="E1239" s="535" t="n">
        <v>37089</v>
      </c>
      <c r="F1239" s="534" t="n">
        <v>6.398</v>
      </c>
      <c r="G1239" s="554" t="n"/>
    </row>
    <row r="1240">
      <c r="A1240" s="535" t="n">
        <v>33270</v>
      </c>
      <c r="B1240" s="534" t="n">
        <v>6.446</v>
      </c>
      <c r="C1240" s="534" t="n">
        <v>3223.49</v>
      </c>
      <c r="E1240" s="535" t="n">
        <v>37090</v>
      </c>
      <c r="F1240" s="534" t="n">
        <v>6.398</v>
      </c>
      <c r="G1240" s="554" t="n"/>
    </row>
    <row r="1241">
      <c r="A1241" s="535" t="n">
        <v>33273</v>
      </c>
      <c r="B1241" s="534" t="n">
        <v>6.49</v>
      </c>
      <c r="C1241" s="534" t="n">
        <v>3250.43</v>
      </c>
      <c r="E1241" s="535" t="n">
        <v>37091</v>
      </c>
      <c r="F1241" s="534" t="n">
        <v>6.293</v>
      </c>
      <c r="G1241" s="554" t="n"/>
    </row>
    <row r="1242">
      <c r="A1242" s="535" t="n">
        <v>33274</v>
      </c>
      <c r="B1242" s="534" t="n">
        <v>6.577</v>
      </c>
      <c r="C1242" s="534" t="n">
        <v>3345.41</v>
      </c>
      <c r="E1242" s="535" t="n">
        <v>37092</v>
      </c>
      <c r="F1242" s="534" t="n">
        <v>6.249</v>
      </c>
      <c r="G1242" s="554" t="n"/>
    </row>
    <row r="1243">
      <c r="A1243" s="535" t="n">
        <v>33275</v>
      </c>
      <c r="B1243" s="534" t="n">
        <v>6.751</v>
      </c>
      <c r="C1243" s="534" t="n">
        <v>3365.46</v>
      </c>
      <c r="E1243" s="535" t="n">
        <v>37095</v>
      </c>
      <c r="F1243" s="534" t="n">
        <v>6.286</v>
      </c>
      <c r="G1243" s="554" t="n"/>
    </row>
    <row r="1244">
      <c r="A1244" s="535" t="n">
        <v>33276</v>
      </c>
      <c r="B1244" s="534" t="n">
        <v>6.664</v>
      </c>
      <c r="C1244" s="534" t="n">
        <v>3333.98</v>
      </c>
      <c r="E1244" s="535" t="n">
        <v>37096</v>
      </c>
      <c r="F1244" s="534" t="n">
        <v>6.223</v>
      </c>
      <c r="G1244" s="554" t="n"/>
    </row>
    <row r="1245">
      <c r="A1245" s="535" t="n">
        <v>33277</v>
      </c>
      <c r="B1245" s="534" t="n">
        <v>6.708</v>
      </c>
      <c r="C1245" s="534" t="n">
        <v>3359.09</v>
      </c>
      <c r="E1245" s="535" t="n">
        <v>37097</v>
      </c>
      <c r="F1245" s="534" t="n">
        <v>6.223</v>
      </c>
      <c r="G1245" s="554" t="n"/>
    </row>
    <row r="1246">
      <c r="A1246" s="535" t="n">
        <v>33280</v>
      </c>
      <c r="B1246" s="534" t="n">
        <v>6.795</v>
      </c>
      <c r="C1246" s="534" t="n">
        <v>3394.08</v>
      </c>
      <c r="E1246" s="535" t="n">
        <v>37098</v>
      </c>
      <c r="F1246" s="534" t="n">
        <v>6.286</v>
      </c>
      <c r="G1246" s="554" t="n"/>
    </row>
    <row r="1247">
      <c r="A1247" s="535" t="n">
        <v>33281</v>
      </c>
      <c r="B1247" s="534" t="n">
        <v>6.795</v>
      </c>
      <c r="C1247" s="534" t="n">
        <v>3395</v>
      </c>
      <c r="E1247" s="535" t="n">
        <v>37099</v>
      </c>
      <c r="F1247" s="534" t="n">
        <v>6.255</v>
      </c>
      <c r="G1247" s="554" t="n"/>
    </row>
    <row r="1248">
      <c r="A1248" s="535" t="n">
        <v>33282</v>
      </c>
      <c r="B1248" s="534" t="n">
        <v>6.795</v>
      </c>
      <c r="C1248" s="534" t="n">
        <v>3412.66</v>
      </c>
      <c r="E1248" s="535" t="n">
        <v>37102</v>
      </c>
      <c r="F1248" s="534" t="n">
        <v>6.279</v>
      </c>
      <c r="G1248" s="554" t="n"/>
    </row>
    <row r="1249">
      <c r="A1249" s="535" t="n">
        <v>33283</v>
      </c>
      <c r="B1249" s="534" t="n">
        <v>6.795</v>
      </c>
      <c r="C1249" s="534" t="n">
        <v>3412.66</v>
      </c>
      <c r="E1249" s="535" t="n">
        <v>37103</v>
      </c>
      <c r="F1249" s="534" t="n">
        <v>6.199</v>
      </c>
      <c r="G1249" s="554" t="n"/>
    </row>
    <row r="1250">
      <c r="A1250" s="535" t="n">
        <v>33284</v>
      </c>
      <c r="B1250" s="534" t="n">
        <v>6.795</v>
      </c>
      <c r="C1250" s="534" t="n">
        <v>3412.66</v>
      </c>
      <c r="E1250" s="535" t="n">
        <v>37104</v>
      </c>
      <c r="F1250" s="534" t="n">
        <v>6.162</v>
      </c>
      <c r="G1250" s="554" t="n"/>
    </row>
    <row r="1251">
      <c r="A1251" s="535" t="n">
        <v>33287</v>
      </c>
      <c r="B1251" s="534" t="n">
        <v>7.1</v>
      </c>
      <c r="C1251" s="534" t="n">
        <v>3473.42</v>
      </c>
      <c r="E1251" s="535" t="n">
        <v>37105</v>
      </c>
      <c r="F1251" s="534" t="n">
        <v>6.159</v>
      </c>
      <c r="G1251" s="554" t="n"/>
    </row>
    <row r="1252">
      <c r="A1252" s="535" t="n">
        <v>33288</v>
      </c>
      <c r="B1252" s="534" t="n">
        <v>7.23</v>
      </c>
      <c r="C1252" s="534" t="n">
        <v>3467.84</v>
      </c>
      <c r="E1252" s="535" t="n">
        <v>37106</v>
      </c>
      <c r="F1252" s="534" t="n">
        <v>6.194</v>
      </c>
      <c r="G1252" s="554" t="n"/>
    </row>
    <row r="1253">
      <c r="A1253" s="535" t="n">
        <v>33289</v>
      </c>
      <c r="B1253" s="534" t="n">
        <v>7.317</v>
      </c>
      <c r="C1253" s="534" t="n">
        <v>3492.16</v>
      </c>
      <c r="E1253" s="535" t="n">
        <v>37109</v>
      </c>
      <c r="F1253" s="534" t="n">
        <v>6.201</v>
      </c>
      <c r="G1253" s="554" t="n"/>
    </row>
    <row r="1254">
      <c r="A1254" s="535" t="n">
        <v>33290</v>
      </c>
      <c r="B1254" s="534" t="n">
        <v>7.23</v>
      </c>
      <c r="C1254" s="534" t="n">
        <v>3477.61</v>
      </c>
      <c r="E1254" s="535" t="n">
        <v>37110</v>
      </c>
      <c r="F1254" s="534" t="n">
        <v>6.166</v>
      </c>
      <c r="G1254" s="554" t="n"/>
    </row>
    <row r="1255">
      <c r="A1255" s="535" t="n">
        <v>33291</v>
      </c>
      <c r="B1255" s="534" t="n">
        <v>7.274</v>
      </c>
      <c r="C1255" s="534" t="n">
        <v>3475.34</v>
      </c>
      <c r="E1255" s="535" t="n">
        <v>37111</v>
      </c>
      <c r="F1255" s="534" t="n">
        <v>6.172</v>
      </c>
      <c r="G1255" s="554" t="n"/>
    </row>
    <row r="1256">
      <c r="A1256" s="535" t="n">
        <v>33294</v>
      </c>
      <c r="B1256" s="534" t="n">
        <v>7.317</v>
      </c>
      <c r="C1256" s="534" t="n">
        <v>3520.45</v>
      </c>
      <c r="E1256" s="535" t="n">
        <v>37112</v>
      </c>
      <c r="F1256" s="534" t="n">
        <v>6.027</v>
      </c>
      <c r="G1256" s="554" t="n"/>
    </row>
    <row r="1257">
      <c r="A1257" s="535" t="n">
        <v>33295</v>
      </c>
      <c r="B1257" s="534" t="n">
        <v>7.274</v>
      </c>
      <c r="C1257" s="534" t="n">
        <v>3532.43</v>
      </c>
      <c r="E1257" s="535" t="n">
        <v>37113</v>
      </c>
      <c r="F1257" s="534" t="n">
        <v>6.041</v>
      </c>
      <c r="G1257" s="554" t="n"/>
    </row>
    <row r="1258">
      <c r="A1258" s="535" t="n">
        <v>33296</v>
      </c>
      <c r="B1258" s="534" t="n">
        <v>7.317</v>
      </c>
      <c r="C1258" s="534" t="n">
        <v>3512.79</v>
      </c>
      <c r="E1258" s="535" t="n">
        <v>37116</v>
      </c>
      <c r="F1258" s="534" t="n">
        <v>5.992</v>
      </c>
      <c r="G1258" s="554" t="n"/>
    </row>
    <row r="1259">
      <c r="A1259" s="535" t="n">
        <v>33297</v>
      </c>
      <c r="B1259" s="534" t="n">
        <v>7.709</v>
      </c>
      <c r="C1259" s="534" t="n">
        <v>3552.14</v>
      </c>
      <c r="E1259" s="535" t="n">
        <v>37117</v>
      </c>
      <c r="F1259" s="534" t="n">
        <v>5.944</v>
      </c>
      <c r="G1259" s="554" t="n"/>
    </row>
    <row r="1260">
      <c r="A1260" s="535" t="n">
        <v>33298</v>
      </c>
      <c r="B1260" s="534" t="n">
        <v>7.84</v>
      </c>
      <c r="C1260" s="534" t="n">
        <v>3552.37</v>
      </c>
      <c r="E1260" s="535" t="n">
        <v>37118</v>
      </c>
      <c r="F1260" s="534" t="n">
        <v>5.937</v>
      </c>
      <c r="G1260" s="554" t="n"/>
    </row>
    <row r="1261">
      <c r="A1261" s="535" t="n">
        <v>33301</v>
      </c>
      <c r="B1261" s="534" t="n">
        <v>7.796</v>
      </c>
      <c r="C1261" s="534" t="n">
        <v>3564.34</v>
      </c>
      <c r="E1261" s="535" t="n">
        <v>37119</v>
      </c>
      <c r="F1261" s="534" t="n">
        <v>5.965</v>
      </c>
      <c r="G1261" s="554" t="n"/>
    </row>
    <row r="1262">
      <c r="A1262" s="535" t="n">
        <v>33302</v>
      </c>
      <c r="B1262" s="534" t="n">
        <v>7.709</v>
      </c>
      <c r="C1262" s="534" t="n">
        <v>3600.49</v>
      </c>
      <c r="E1262" s="535" t="n">
        <v>37120</v>
      </c>
      <c r="F1262" s="534" t="n">
        <v>5.944</v>
      </c>
      <c r="G1262" s="554" t="n"/>
    </row>
    <row r="1263">
      <c r="A1263" s="535" t="n">
        <v>33303</v>
      </c>
      <c r="B1263" s="534" t="n">
        <v>7.709</v>
      </c>
      <c r="C1263" s="534" t="n">
        <v>3647.33</v>
      </c>
      <c r="E1263" s="535" t="n">
        <v>37123</v>
      </c>
      <c r="F1263" s="534" t="n">
        <v>5.875</v>
      </c>
      <c r="G1263" s="554" t="n"/>
    </row>
    <row r="1264">
      <c r="A1264" s="535" t="n">
        <v>33304</v>
      </c>
      <c r="B1264" s="534" t="n">
        <v>7.666</v>
      </c>
      <c r="C1264" s="534" t="n">
        <v>3658.24</v>
      </c>
      <c r="E1264" s="535" t="n">
        <v>37124</v>
      </c>
      <c r="F1264" s="534" t="n">
        <v>5.912</v>
      </c>
      <c r="G1264" s="554" t="n"/>
    </row>
    <row r="1265">
      <c r="A1265" s="535" t="n">
        <v>33305</v>
      </c>
      <c r="B1265" s="534" t="n">
        <v>7.622</v>
      </c>
      <c r="C1265" s="534" t="n">
        <v>3653.19</v>
      </c>
      <c r="E1265" s="535" t="n">
        <v>37125</v>
      </c>
      <c r="F1265" s="534" t="n">
        <v>5.896</v>
      </c>
      <c r="G1265" s="554" t="n"/>
    </row>
    <row r="1266">
      <c r="A1266" s="535" t="n">
        <v>33308</v>
      </c>
      <c r="B1266" s="534" t="n">
        <v>7.579</v>
      </c>
      <c r="C1266" s="534" t="n">
        <v>3669.03</v>
      </c>
      <c r="E1266" s="535" t="n">
        <v>37126</v>
      </c>
      <c r="F1266" s="534" t="n">
        <v>5.926</v>
      </c>
      <c r="G1266" s="554" t="n"/>
    </row>
    <row r="1267">
      <c r="A1267" s="535" t="n">
        <v>33309</v>
      </c>
      <c r="B1267" s="534" t="n">
        <v>7.622</v>
      </c>
      <c r="C1267" s="534" t="n">
        <v>3658.07</v>
      </c>
      <c r="E1267" s="535" t="n">
        <v>37127</v>
      </c>
      <c r="F1267" s="534" t="n">
        <v>5.902</v>
      </c>
      <c r="G1267" s="554" t="n"/>
    </row>
    <row r="1268">
      <c r="A1268" s="535" t="n">
        <v>33310</v>
      </c>
      <c r="B1268" s="534" t="n">
        <v>7.535</v>
      </c>
      <c r="C1268" s="534" t="n">
        <v>3634.48</v>
      </c>
      <c r="E1268" s="535" t="n">
        <v>37130</v>
      </c>
      <c r="F1268" s="534" t="n">
        <v>5.936</v>
      </c>
      <c r="G1268" s="554" t="n"/>
    </row>
    <row r="1269">
      <c r="A1269" s="535" t="n">
        <v>33311</v>
      </c>
      <c r="B1269" s="534" t="n">
        <v>7.492</v>
      </c>
      <c r="C1269" s="534" t="n">
        <v>3627.91</v>
      </c>
      <c r="E1269" s="535" t="n">
        <v>37131</v>
      </c>
      <c r="F1269" s="534" t="n">
        <v>5.916</v>
      </c>
      <c r="G1269" s="554" t="n"/>
    </row>
    <row r="1270">
      <c r="A1270" s="535" t="n">
        <v>33312</v>
      </c>
      <c r="B1270" s="534" t="n">
        <v>7.666</v>
      </c>
      <c r="C1270" s="534" t="n">
        <v>3722.39</v>
      </c>
      <c r="E1270" s="535" t="n">
        <v>37132</v>
      </c>
      <c r="F1270" s="534" t="n">
        <v>5.793</v>
      </c>
      <c r="G1270" s="554" t="n"/>
    </row>
    <row r="1271">
      <c r="A1271" s="535" t="n">
        <v>33315</v>
      </c>
      <c r="B1271" s="534" t="n">
        <v>7.622</v>
      </c>
      <c r="C1271" s="534" t="n">
        <v>3724.35</v>
      </c>
      <c r="E1271" s="535" t="n">
        <v>37133</v>
      </c>
      <c r="F1271" s="534" t="n">
        <v>5.718</v>
      </c>
      <c r="G1271" s="554" t="n"/>
    </row>
    <row r="1272">
      <c r="A1272" s="535" t="n">
        <v>33316</v>
      </c>
      <c r="B1272" s="534" t="n">
        <v>7.666</v>
      </c>
      <c r="C1272" s="534" t="n">
        <v>3751.4</v>
      </c>
      <c r="E1272" s="535" t="n">
        <v>37134</v>
      </c>
      <c r="F1272" s="534" t="n">
        <v>5.705</v>
      </c>
      <c r="G1272" s="554" t="n"/>
    </row>
    <row r="1273">
      <c r="A1273" s="535" t="n">
        <v>33317</v>
      </c>
      <c r="B1273" s="534" t="n">
        <v>7.535</v>
      </c>
      <c r="C1273" s="534" t="n">
        <v>3683.41</v>
      </c>
      <c r="E1273" s="535" t="n">
        <v>37137</v>
      </c>
      <c r="F1273" s="534" t="n">
        <v>5.71</v>
      </c>
      <c r="G1273" s="554" t="n"/>
    </row>
    <row r="1274">
      <c r="A1274" s="535" t="n">
        <v>33318</v>
      </c>
      <c r="B1274" s="534" t="n">
        <v>7.492</v>
      </c>
      <c r="C1274" s="534" t="n">
        <v>3661.16</v>
      </c>
      <c r="E1274" s="535" t="n">
        <v>37138</v>
      </c>
      <c r="F1274" s="534" t="n">
        <v>5.711</v>
      </c>
      <c r="G1274" s="554" t="n"/>
    </row>
    <row r="1275">
      <c r="A1275" s="535" t="n">
        <v>33319</v>
      </c>
      <c r="B1275" s="534" t="n">
        <v>7.535</v>
      </c>
      <c r="C1275" s="534" t="n">
        <v>3716.15</v>
      </c>
      <c r="E1275" s="535" t="n">
        <v>37139</v>
      </c>
      <c r="F1275" s="534" t="n">
        <v>5.812</v>
      </c>
      <c r="G1275" s="554" t="n"/>
    </row>
    <row r="1276">
      <c r="A1276" s="535" t="n">
        <v>33322</v>
      </c>
      <c r="B1276" s="534" t="n">
        <v>7.535</v>
      </c>
      <c r="C1276" s="534" t="n">
        <v>3718.55</v>
      </c>
      <c r="E1276" s="535" t="n">
        <v>37140</v>
      </c>
      <c r="F1276" s="534" t="n">
        <v>5.826</v>
      </c>
      <c r="G1276" s="554" t="n"/>
    </row>
    <row r="1277">
      <c r="A1277" s="535" t="n">
        <v>33323</v>
      </c>
      <c r="B1277" s="534" t="n">
        <v>7.361</v>
      </c>
      <c r="C1277" s="534" t="n">
        <v>3683.9</v>
      </c>
      <c r="E1277" s="535" t="n">
        <v>37141</v>
      </c>
      <c r="F1277" s="534" t="n">
        <v>5.751</v>
      </c>
      <c r="G1277" s="554" t="n"/>
    </row>
    <row r="1278">
      <c r="A1278" s="535" t="n">
        <v>33324</v>
      </c>
      <c r="B1278" s="534" t="n">
        <v>7.361</v>
      </c>
      <c r="C1278" s="534" t="n">
        <v>3691.82</v>
      </c>
      <c r="E1278" s="535" t="n">
        <v>37144</v>
      </c>
      <c r="F1278" s="534" t="n">
        <v>5.683</v>
      </c>
      <c r="G1278" s="554" t="n"/>
    </row>
    <row r="1279">
      <c r="A1279" s="535" t="n">
        <v>33325</v>
      </c>
      <c r="B1279" s="534" t="n">
        <v>7.404</v>
      </c>
      <c r="C1279" s="534" t="n">
        <v>3745.97</v>
      </c>
      <c r="E1279" s="535" t="n">
        <v>37145</v>
      </c>
      <c r="F1279" s="534" t="n">
        <v>5.744</v>
      </c>
      <c r="G1279" s="554" t="n"/>
    </row>
    <row r="1280">
      <c r="A1280" s="535" t="n">
        <v>33326</v>
      </c>
      <c r="B1280" s="534" t="n">
        <v>7.404</v>
      </c>
      <c r="C1280" s="534" t="n">
        <v>3745.97</v>
      </c>
      <c r="E1280" s="535" t="n">
        <v>37146</v>
      </c>
      <c r="F1280" s="534" t="n">
        <v>5.656</v>
      </c>
      <c r="G1280" s="554" t="n"/>
    </row>
    <row r="1281">
      <c r="A1281" s="535" t="n">
        <v>33329</v>
      </c>
      <c r="B1281" s="534" t="n">
        <v>7.404</v>
      </c>
      <c r="C1281" s="534" t="n">
        <v>3745.97</v>
      </c>
      <c r="E1281" s="535" t="n">
        <v>37147</v>
      </c>
      <c r="F1281" s="534" t="n">
        <v>5.636</v>
      </c>
      <c r="G1281" s="554" t="n"/>
    </row>
    <row r="1282">
      <c r="A1282" s="535" t="n">
        <v>33330</v>
      </c>
      <c r="B1282" s="534" t="n">
        <v>7.361</v>
      </c>
      <c r="C1282" s="534" t="n">
        <v>3789.99</v>
      </c>
      <c r="E1282" s="535" t="n">
        <v>37148</v>
      </c>
      <c r="F1282" s="534" t="n">
        <v>5.562</v>
      </c>
      <c r="G1282" s="554" t="n"/>
    </row>
    <row r="1283">
      <c r="A1283" s="535" t="n">
        <v>33331</v>
      </c>
      <c r="B1283" s="534" t="n">
        <v>7.448</v>
      </c>
      <c r="C1283" s="534" t="n">
        <v>3869.7</v>
      </c>
      <c r="E1283" s="535" t="n">
        <v>37151</v>
      </c>
      <c r="F1283" s="534" t="n">
        <v>5.502</v>
      </c>
      <c r="G1283" s="554" t="n"/>
    </row>
    <row r="1284">
      <c r="A1284" s="535" t="n">
        <v>33332</v>
      </c>
      <c r="B1284" s="534" t="n">
        <v>7.622</v>
      </c>
      <c r="C1284" s="534" t="n">
        <v>3849.15</v>
      </c>
      <c r="E1284" s="535" t="n">
        <v>37152</v>
      </c>
      <c r="F1284" s="534" t="n">
        <v>5.519</v>
      </c>
      <c r="G1284" s="554" t="n"/>
    </row>
    <row r="1285">
      <c r="A1285" s="535" t="n">
        <v>33333</v>
      </c>
      <c r="B1285" s="534" t="n">
        <v>7.622</v>
      </c>
      <c r="C1285" s="534" t="n">
        <v>3849.15</v>
      </c>
      <c r="E1285" s="535" t="n">
        <v>37153</v>
      </c>
      <c r="F1285" s="534" t="n">
        <v>5.679</v>
      </c>
      <c r="G1285" s="554" t="n"/>
    </row>
    <row r="1286">
      <c r="A1286" s="535" t="n">
        <v>33336</v>
      </c>
      <c r="B1286" s="534" t="n">
        <v>7.535</v>
      </c>
      <c r="C1286" s="534" t="n">
        <v>3812.01</v>
      </c>
      <c r="E1286" s="535" t="n">
        <v>37154</v>
      </c>
      <c r="F1286" s="534" t="n">
        <v>5.642</v>
      </c>
      <c r="G1286" s="554" t="n"/>
    </row>
    <row r="1287">
      <c r="A1287" s="535" t="n">
        <v>33337</v>
      </c>
      <c r="B1287" s="534" t="n">
        <v>7.448</v>
      </c>
      <c r="C1287" s="534" t="n">
        <v>3757.3</v>
      </c>
      <c r="E1287" s="535" t="n">
        <v>37155</v>
      </c>
      <c r="F1287" s="534" t="n">
        <v>5.635</v>
      </c>
      <c r="G1287" s="554" t="n"/>
    </row>
    <row r="1288">
      <c r="A1288" s="535" t="n">
        <v>33338</v>
      </c>
      <c r="B1288" s="534" t="n">
        <v>7.579</v>
      </c>
      <c r="C1288" s="534" t="n">
        <v>3777.62</v>
      </c>
      <c r="E1288" s="535" t="n">
        <v>37158</v>
      </c>
      <c r="F1288" s="534" t="n">
        <v>5.594</v>
      </c>
      <c r="G1288" s="554" t="n"/>
    </row>
    <row r="1289">
      <c r="A1289" s="535" t="n">
        <v>33339</v>
      </c>
      <c r="B1289" s="534" t="n">
        <v>7.448</v>
      </c>
      <c r="C1289" s="534" t="n">
        <v>3703.93</v>
      </c>
      <c r="E1289" s="535" t="n">
        <v>37159</v>
      </c>
      <c r="F1289" s="534" t="n">
        <v>5.536</v>
      </c>
      <c r="G1289" s="554" t="n"/>
    </row>
    <row r="1290">
      <c r="A1290" s="535" t="n">
        <v>33340</v>
      </c>
      <c r="B1290" s="534" t="n">
        <v>7.535</v>
      </c>
      <c r="C1290" s="534" t="n">
        <v>3742</v>
      </c>
      <c r="E1290" s="535" t="n">
        <v>37160</v>
      </c>
      <c r="F1290" s="534" t="n">
        <v>5.527</v>
      </c>
      <c r="G1290" s="554" t="n"/>
    </row>
    <row r="1291">
      <c r="A1291" s="535" t="n">
        <v>33343</v>
      </c>
      <c r="B1291" s="534" t="n">
        <v>7.448</v>
      </c>
      <c r="C1291" s="534" t="n">
        <v>3714.37</v>
      </c>
      <c r="E1291" s="535" t="n">
        <v>37161</v>
      </c>
      <c r="F1291" s="534" t="n">
        <v>5.483</v>
      </c>
      <c r="G1291" s="554" t="n"/>
    </row>
    <row r="1292">
      <c r="A1292" s="535" t="n">
        <v>33344</v>
      </c>
      <c r="B1292" s="534" t="n">
        <v>7.448</v>
      </c>
      <c r="C1292" s="534" t="n">
        <v>3717.46</v>
      </c>
      <c r="E1292" s="535" t="n">
        <v>37162</v>
      </c>
      <c r="F1292" s="534" t="n">
        <v>5.394</v>
      </c>
      <c r="G1292" s="554" t="n"/>
    </row>
    <row r="1293">
      <c r="A1293" s="535" t="n">
        <v>33345</v>
      </c>
      <c r="B1293" s="534" t="n">
        <v>7.404</v>
      </c>
      <c r="C1293" s="534" t="n">
        <v>3687.01</v>
      </c>
      <c r="E1293" s="535" t="n">
        <v>37165</v>
      </c>
      <c r="F1293" s="534" t="n">
        <v>5.394</v>
      </c>
      <c r="G1293" s="554" t="n"/>
    </row>
    <row r="1294">
      <c r="A1294" s="535" t="n">
        <v>33346</v>
      </c>
      <c r="B1294" s="534" t="n">
        <v>7.448</v>
      </c>
      <c r="C1294" s="534" t="n">
        <v>3699.26</v>
      </c>
      <c r="E1294" s="535" t="n">
        <v>37166</v>
      </c>
      <c r="F1294" s="534" t="n">
        <v>5.394</v>
      </c>
      <c r="G1294" s="554" t="n"/>
    </row>
    <row r="1295">
      <c r="A1295" s="535" t="n">
        <v>33347</v>
      </c>
      <c r="B1295" s="534" t="n">
        <v>7.492</v>
      </c>
      <c r="C1295" s="534" t="n">
        <v>3667.4</v>
      </c>
      <c r="E1295" s="535" t="n">
        <v>37167</v>
      </c>
      <c r="F1295" s="534" t="n">
        <v>5.285</v>
      </c>
      <c r="G1295" s="554" t="n"/>
    </row>
    <row r="1296">
      <c r="A1296" s="535" t="n">
        <v>33350</v>
      </c>
      <c r="B1296" s="534" t="n">
        <v>7.317</v>
      </c>
      <c r="C1296" s="534" t="n">
        <v>3582.49</v>
      </c>
      <c r="E1296" s="535" t="n">
        <v>37168</v>
      </c>
      <c r="F1296" s="534" t="n">
        <v>5.236</v>
      </c>
      <c r="G1296" s="554" t="n"/>
    </row>
    <row r="1297">
      <c r="A1297" s="535" t="n">
        <v>33351</v>
      </c>
      <c r="B1297" s="534" t="n">
        <v>7.23</v>
      </c>
      <c r="C1297" s="534" t="n">
        <v>3569.64</v>
      </c>
      <c r="E1297" s="535" t="n">
        <v>37169</v>
      </c>
      <c r="F1297" s="534" t="n">
        <v>5.274</v>
      </c>
      <c r="G1297" s="554" t="n"/>
    </row>
    <row r="1298">
      <c r="A1298" s="535" t="n">
        <v>33352</v>
      </c>
      <c r="B1298" s="534" t="n">
        <v>7.317</v>
      </c>
      <c r="C1298" s="534" t="n">
        <v>3605.29</v>
      </c>
      <c r="E1298" s="535" t="n">
        <v>37172</v>
      </c>
      <c r="F1298" s="534" t="n">
        <v>5.284</v>
      </c>
      <c r="G1298" s="554" t="n"/>
    </row>
    <row r="1299">
      <c r="A1299" s="535" t="n">
        <v>33353</v>
      </c>
      <c r="B1299" s="534" t="n">
        <v>7.317</v>
      </c>
      <c r="C1299" s="534" t="n">
        <v>3594.38</v>
      </c>
      <c r="E1299" s="535" t="n">
        <v>37173</v>
      </c>
      <c r="F1299" s="534" t="n">
        <v>5.312</v>
      </c>
      <c r="G1299" s="554" t="n"/>
    </row>
    <row r="1300">
      <c r="A1300" s="535" t="n">
        <v>33354</v>
      </c>
      <c r="B1300" s="534" t="n">
        <v>7.317</v>
      </c>
      <c r="C1300" s="534" t="n">
        <v>3625.8</v>
      </c>
      <c r="E1300" s="535" t="n">
        <v>37174</v>
      </c>
      <c r="F1300" s="534" t="n">
        <v>5.372</v>
      </c>
      <c r="G1300" s="554" t="n"/>
    </row>
    <row r="1301">
      <c r="A1301" s="535" t="n">
        <v>33357</v>
      </c>
      <c r="B1301" s="534" t="n">
        <v>7.274</v>
      </c>
      <c r="C1301" s="534" t="n">
        <v>3624.72</v>
      </c>
      <c r="E1301" s="535" t="n">
        <v>37175</v>
      </c>
      <c r="F1301" s="534" t="n">
        <v>5.395</v>
      </c>
      <c r="G1301" s="554" t="n"/>
    </row>
    <row r="1302">
      <c r="A1302" s="535" t="n">
        <v>33358</v>
      </c>
      <c r="B1302" s="534" t="n">
        <v>7.274</v>
      </c>
      <c r="C1302" s="534" t="n">
        <v>3588.36</v>
      </c>
      <c r="E1302" s="535" t="n">
        <v>37176</v>
      </c>
      <c r="F1302" s="534" t="n">
        <v>5.438</v>
      </c>
      <c r="G1302" s="554" t="n"/>
    </row>
    <row r="1303">
      <c r="A1303" s="535" t="n">
        <v>33359</v>
      </c>
      <c r="B1303" s="534" t="n">
        <v>7.317</v>
      </c>
      <c r="C1303" s="534" t="n">
        <v>3631.23</v>
      </c>
      <c r="E1303" s="535" t="n">
        <v>37179</v>
      </c>
      <c r="F1303" s="534" t="n">
        <v>5.443</v>
      </c>
      <c r="G1303" s="554" t="n"/>
    </row>
    <row r="1304">
      <c r="A1304" s="535" t="n">
        <v>33360</v>
      </c>
      <c r="B1304" s="534" t="n">
        <v>7.404</v>
      </c>
      <c r="C1304" s="534" t="n">
        <v>3726.14</v>
      </c>
      <c r="E1304" s="535" t="n">
        <v>37180</v>
      </c>
      <c r="F1304" s="534" t="n">
        <v>5.402</v>
      </c>
      <c r="G1304" s="554" t="n"/>
    </row>
    <row r="1305">
      <c r="A1305" s="535" t="n">
        <v>33361</v>
      </c>
      <c r="B1305" s="534" t="n">
        <v>7.404</v>
      </c>
      <c r="C1305" s="534" t="n">
        <v>3737.88</v>
      </c>
      <c r="E1305" s="535" t="n">
        <v>37181</v>
      </c>
      <c r="F1305" s="534" t="n">
        <v>5.345</v>
      </c>
      <c r="G1305" s="554" t="n"/>
    </row>
    <row r="1306">
      <c r="A1306" s="535" t="n">
        <v>33364</v>
      </c>
      <c r="B1306" s="534" t="n">
        <v>7.274</v>
      </c>
      <c r="C1306" s="534" t="n">
        <v>3704.43</v>
      </c>
      <c r="E1306" s="535" t="n">
        <v>37182</v>
      </c>
      <c r="F1306" s="534" t="n">
        <v>5.389</v>
      </c>
      <c r="G1306" s="554" t="n"/>
    </row>
    <row r="1307">
      <c r="A1307" s="535" t="n">
        <v>33365</v>
      </c>
      <c r="B1307" s="534" t="n">
        <v>7.448</v>
      </c>
      <c r="C1307" s="534" t="n">
        <v>3741.51</v>
      </c>
      <c r="E1307" s="535" t="n">
        <v>37183</v>
      </c>
      <c r="F1307" s="534" t="n">
        <v>5.444</v>
      </c>
      <c r="G1307" s="554" t="n"/>
    </row>
    <row r="1308">
      <c r="A1308" s="535" t="n">
        <v>33366</v>
      </c>
      <c r="B1308" s="534" t="n">
        <v>7.404</v>
      </c>
      <c r="C1308" s="534" t="n">
        <v>3747.8</v>
      </c>
      <c r="E1308" s="535" t="n">
        <v>37186</v>
      </c>
      <c r="F1308" s="534" t="n">
        <v>5.456</v>
      </c>
      <c r="G1308" s="554" t="n"/>
    </row>
    <row r="1309">
      <c r="A1309" s="535" t="n">
        <v>33367</v>
      </c>
      <c r="B1309" s="534" t="n">
        <v>7.404</v>
      </c>
      <c r="C1309" s="534" t="n">
        <v>3744.46</v>
      </c>
      <c r="E1309" s="535" t="n">
        <v>37187</v>
      </c>
      <c r="F1309" s="534" t="n">
        <v>5.48</v>
      </c>
      <c r="G1309" s="554" t="n"/>
    </row>
    <row r="1310">
      <c r="A1310" s="535" t="n">
        <v>33368</v>
      </c>
      <c r="B1310" s="534" t="n">
        <v>7.404</v>
      </c>
      <c r="C1310" s="534" t="n">
        <v>3750.2</v>
      </c>
      <c r="E1310" s="535" t="n">
        <v>37188</v>
      </c>
      <c r="F1310" s="534" t="n">
        <v>5.489</v>
      </c>
      <c r="G1310" s="554" t="n"/>
    </row>
    <row r="1311">
      <c r="A1311" s="535" t="n">
        <v>33371</v>
      </c>
      <c r="B1311" s="534" t="n">
        <v>7.404</v>
      </c>
      <c r="C1311" s="534" t="n">
        <v>3767.63</v>
      </c>
      <c r="E1311" s="535" t="n">
        <v>37189</v>
      </c>
      <c r="F1311" s="534" t="n">
        <v>5.489</v>
      </c>
      <c r="G1311" s="554" t="n"/>
    </row>
    <row r="1312">
      <c r="A1312" s="535" t="n">
        <v>33372</v>
      </c>
      <c r="B1312" s="534" t="n">
        <v>7.492</v>
      </c>
      <c r="C1312" s="534" t="n">
        <v>3785.14</v>
      </c>
      <c r="E1312" s="535" t="n">
        <v>37190</v>
      </c>
      <c r="F1312" s="534" t="n">
        <v>5.443</v>
      </c>
      <c r="G1312" s="554" t="n"/>
    </row>
    <row r="1313">
      <c r="A1313" s="535" t="n">
        <v>33373</v>
      </c>
      <c r="B1313" s="534" t="n">
        <v>7.492</v>
      </c>
      <c r="C1313" s="534" t="n">
        <v>3789.69</v>
      </c>
      <c r="E1313" s="535" t="n">
        <v>37193</v>
      </c>
      <c r="F1313" s="534" t="n">
        <v>5.431</v>
      </c>
      <c r="G1313" s="554" t="n"/>
    </row>
    <row r="1314">
      <c r="A1314" s="535" t="n">
        <v>33374</v>
      </c>
      <c r="B1314" s="534" t="n">
        <v>7.535</v>
      </c>
      <c r="C1314" s="534" t="n">
        <v>3859.66</v>
      </c>
      <c r="E1314" s="535" t="n">
        <v>37194</v>
      </c>
      <c r="F1314" s="534" t="n">
        <v>5.413</v>
      </c>
      <c r="G1314" s="554" t="n"/>
    </row>
    <row r="1315">
      <c r="A1315" s="535" t="n">
        <v>33375</v>
      </c>
      <c r="B1315" s="534" t="n">
        <v>7.448</v>
      </c>
      <c r="C1315" s="534" t="n">
        <v>3882.84</v>
      </c>
      <c r="E1315" s="535" t="n">
        <v>37195</v>
      </c>
      <c r="F1315" s="534" t="n">
        <v>5.342</v>
      </c>
      <c r="G1315" s="554" t="n"/>
    </row>
    <row r="1316">
      <c r="A1316" s="535" t="n">
        <v>33378</v>
      </c>
      <c r="B1316" s="534" t="n">
        <v>7.622</v>
      </c>
      <c r="C1316" s="534" t="n">
        <v>3917.09</v>
      </c>
      <c r="E1316" s="535" t="n">
        <v>37196</v>
      </c>
      <c r="F1316" s="534" t="n">
        <v>5.342</v>
      </c>
      <c r="G1316" s="554" t="n"/>
    </row>
    <row r="1317">
      <c r="A1317" s="535" t="n">
        <v>33379</v>
      </c>
      <c r="B1317" s="534" t="n">
        <v>7.535</v>
      </c>
      <c r="C1317" s="534" t="n">
        <v>3829.88</v>
      </c>
      <c r="E1317" s="535" t="n">
        <v>37197</v>
      </c>
      <c r="F1317" s="534" t="n">
        <v>5.1</v>
      </c>
      <c r="G1317" s="554" t="n"/>
    </row>
    <row r="1318">
      <c r="A1318" s="535" t="n">
        <v>33380</v>
      </c>
      <c r="B1318" s="534" t="n">
        <v>7.492</v>
      </c>
      <c r="C1318" s="534" t="n">
        <v>3826.62</v>
      </c>
      <c r="E1318" s="535" t="n">
        <v>37200</v>
      </c>
      <c r="F1318" s="534" t="n">
        <v>5.158</v>
      </c>
      <c r="G1318" s="554" t="n"/>
    </row>
    <row r="1319">
      <c r="A1319" s="535" t="n">
        <v>33381</v>
      </c>
      <c r="B1319" s="534" t="n">
        <v>7.404</v>
      </c>
      <c r="C1319" s="534" t="n">
        <v>3778.79</v>
      </c>
      <c r="E1319" s="535" t="n">
        <v>37201</v>
      </c>
      <c r="F1319" s="534" t="n">
        <v>5.102</v>
      </c>
      <c r="G1319" s="554" t="n"/>
    </row>
    <row r="1320">
      <c r="A1320" s="535" t="n">
        <v>33382</v>
      </c>
      <c r="B1320" s="534" t="n">
        <v>7.274</v>
      </c>
      <c r="C1320" s="534" t="n">
        <v>3703.98</v>
      </c>
      <c r="E1320" s="535" t="n">
        <v>37202</v>
      </c>
      <c r="F1320" s="534" t="n">
        <v>5.06</v>
      </c>
      <c r="G1320" s="554" t="n"/>
    </row>
    <row r="1321">
      <c r="A1321" s="535" t="n">
        <v>33385</v>
      </c>
      <c r="B1321" s="534" t="n">
        <v>6.969</v>
      </c>
      <c r="C1321" s="534" t="n">
        <v>3575.52</v>
      </c>
      <c r="E1321" s="535" t="n">
        <v>37203</v>
      </c>
      <c r="F1321" s="534" t="n">
        <v>5.002</v>
      </c>
      <c r="G1321" s="554" t="n"/>
    </row>
    <row r="1322">
      <c r="A1322" s="535" t="n">
        <v>33386</v>
      </c>
      <c r="B1322" s="534" t="n">
        <v>7.056</v>
      </c>
      <c r="C1322" s="534" t="n">
        <v>3594.78</v>
      </c>
      <c r="E1322" s="535" t="n">
        <v>37204</v>
      </c>
      <c r="F1322" s="534" t="n">
        <v>5.041</v>
      </c>
      <c r="G1322" s="554" t="n"/>
    </row>
    <row r="1323">
      <c r="A1323" s="535" t="n">
        <v>33387</v>
      </c>
      <c r="B1323" s="534" t="n">
        <v>7.143</v>
      </c>
      <c r="C1323" s="534" t="n">
        <v>3625.39</v>
      </c>
      <c r="E1323" s="535" t="n">
        <v>37207</v>
      </c>
      <c r="F1323" s="534" t="n">
        <v>5.062</v>
      </c>
      <c r="G1323" s="554" t="n"/>
    </row>
    <row r="1324">
      <c r="A1324" s="535" t="n">
        <v>33388</v>
      </c>
      <c r="B1324" s="534" t="n">
        <v>7.23</v>
      </c>
      <c r="C1324" s="534" t="n">
        <v>3679.72</v>
      </c>
      <c r="E1324" s="535" t="n">
        <v>37208</v>
      </c>
      <c r="F1324" s="534" t="n">
        <v>5.033</v>
      </c>
      <c r="G1324" s="554" t="n"/>
    </row>
    <row r="1325">
      <c r="A1325" s="535" t="n">
        <v>33389</v>
      </c>
      <c r="B1325" s="534" t="n">
        <v>7.404</v>
      </c>
      <c r="C1325" s="534" t="n">
        <v>3707.01</v>
      </c>
      <c r="E1325" s="535" t="n">
        <v>37209</v>
      </c>
      <c r="F1325" s="534" t="n">
        <v>5.13</v>
      </c>
      <c r="G1325" s="554" t="n"/>
    </row>
    <row r="1326">
      <c r="A1326" s="535" t="n">
        <v>33392</v>
      </c>
      <c r="B1326" s="534" t="n">
        <v>7.274</v>
      </c>
      <c r="C1326" s="534" t="n">
        <v>3688.14</v>
      </c>
      <c r="E1326" s="535" t="n">
        <v>37210</v>
      </c>
      <c r="F1326" s="534" t="n">
        <v>5.26</v>
      </c>
      <c r="G1326" s="554" t="n"/>
    </row>
    <row r="1327">
      <c r="A1327" s="535" t="n">
        <v>33393</v>
      </c>
      <c r="B1327" s="534" t="n">
        <v>7.274</v>
      </c>
      <c r="C1327" s="534" t="n">
        <v>3667.62</v>
      </c>
      <c r="E1327" s="535" t="n">
        <v>37211</v>
      </c>
      <c r="F1327" s="534" t="n">
        <v>5.54</v>
      </c>
      <c r="G1327" s="554" t="n"/>
    </row>
    <row r="1328">
      <c r="A1328" s="535" t="n">
        <v>33394</v>
      </c>
      <c r="B1328" s="534" t="n">
        <v>7.274</v>
      </c>
      <c r="C1328" s="534" t="n">
        <v>3690.01</v>
      </c>
      <c r="E1328" s="535" t="n">
        <v>37214</v>
      </c>
      <c r="F1328" s="534" t="n">
        <v>5.682</v>
      </c>
      <c r="G1328" s="554" t="n"/>
    </row>
    <row r="1329">
      <c r="A1329" s="535" t="n">
        <v>33395</v>
      </c>
      <c r="B1329" s="534" t="n">
        <v>7.274</v>
      </c>
      <c r="C1329" s="534" t="n">
        <v>3678.19</v>
      </c>
      <c r="E1329" s="535" t="n">
        <v>37215</v>
      </c>
      <c r="F1329" s="534" t="n">
        <v>5.618</v>
      </c>
      <c r="G1329" s="554" t="n"/>
    </row>
    <row r="1330">
      <c r="A1330" s="535" t="n">
        <v>33396</v>
      </c>
      <c r="B1330" s="534" t="n">
        <v>7.187</v>
      </c>
      <c r="C1330" s="534" t="n">
        <v>3637.77</v>
      </c>
      <c r="E1330" s="535" t="n">
        <v>37216</v>
      </c>
      <c r="F1330" s="534" t="n">
        <v>5.766</v>
      </c>
      <c r="G1330" s="554" t="n"/>
    </row>
    <row r="1331">
      <c r="A1331" s="535" t="n">
        <v>33399</v>
      </c>
      <c r="B1331" s="534" t="n">
        <v>7.143</v>
      </c>
      <c r="C1331" s="534" t="n">
        <v>3621.19</v>
      </c>
      <c r="E1331" s="535" t="n">
        <v>37217</v>
      </c>
      <c r="F1331" s="534" t="n">
        <v>5.93</v>
      </c>
      <c r="G1331" s="554" t="n"/>
    </row>
    <row r="1332">
      <c r="A1332" s="535" t="n">
        <v>33400</v>
      </c>
      <c r="B1332" s="534" t="n">
        <v>7.23</v>
      </c>
      <c r="C1332" s="534" t="n">
        <v>3631.48</v>
      </c>
      <c r="E1332" s="535" t="n">
        <v>37218</v>
      </c>
      <c r="F1332" s="534" t="n">
        <v>5.882</v>
      </c>
      <c r="G1332" s="554" t="n"/>
    </row>
    <row r="1333">
      <c r="A1333" s="535" t="n">
        <v>33401</v>
      </c>
      <c r="B1333" s="534" t="n">
        <v>7.23</v>
      </c>
      <c r="C1333" s="534" t="n">
        <v>3627.9</v>
      </c>
      <c r="E1333" s="535" t="n">
        <v>37221</v>
      </c>
      <c r="F1333" s="534" t="n">
        <v>5.91</v>
      </c>
      <c r="G1333" s="554" t="n"/>
    </row>
    <row r="1334">
      <c r="A1334" s="535" t="n">
        <v>33402</v>
      </c>
      <c r="B1334" s="534" t="n">
        <v>7.317</v>
      </c>
      <c r="C1334" s="534" t="n">
        <v>3632.55</v>
      </c>
      <c r="E1334" s="535" t="n">
        <v>37222</v>
      </c>
      <c r="F1334" s="534" t="n">
        <v>5.938</v>
      </c>
      <c r="G1334" s="554" t="n"/>
    </row>
    <row r="1335">
      <c r="A1335" s="535" t="n">
        <v>33403</v>
      </c>
      <c r="B1335" s="534" t="n">
        <v>7.317</v>
      </c>
      <c r="C1335" s="534" t="n">
        <v>3639.15</v>
      </c>
      <c r="E1335" s="535" t="n">
        <v>37223</v>
      </c>
      <c r="F1335" s="534" t="n">
        <v>5.876</v>
      </c>
      <c r="G1335" s="554" t="n"/>
    </row>
    <row r="1336">
      <c r="A1336" s="535" t="n">
        <v>33406</v>
      </c>
      <c r="B1336" s="534" t="n">
        <v>7.317</v>
      </c>
      <c r="C1336" s="534" t="n">
        <v>3639.15</v>
      </c>
      <c r="E1336" s="535" t="n">
        <v>37224</v>
      </c>
      <c r="F1336" s="534" t="n">
        <v>5.903</v>
      </c>
      <c r="G1336" s="554" t="n"/>
    </row>
    <row r="1337">
      <c r="A1337" s="535" t="n">
        <v>33407</v>
      </c>
      <c r="B1337" s="534" t="n">
        <v>7.317</v>
      </c>
      <c r="C1337" s="534" t="n">
        <v>3639.15</v>
      </c>
      <c r="E1337" s="535" t="n">
        <v>37225</v>
      </c>
      <c r="F1337" s="534" t="n">
        <v>5.829</v>
      </c>
      <c r="G1337" s="554" t="n"/>
    </row>
    <row r="1338">
      <c r="A1338" s="535" t="n">
        <v>33408</v>
      </c>
      <c r="B1338" s="534" t="n">
        <v>7.361</v>
      </c>
      <c r="C1338" s="534" t="n">
        <v>3626.13</v>
      </c>
      <c r="E1338" s="535" t="n">
        <v>37228</v>
      </c>
      <c r="F1338" s="534" t="n">
        <v>5.932</v>
      </c>
      <c r="G1338" s="554" t="n"/>
    </row>
    <row r="1339">
      <c r="A1339" s="535" t="n">
        <v>33409</v>
      </c>
      <c r="B1339" s="534" t="n">
        <v>7.274</v>
      </c>
      <c r="C1339" s="534" t="n">
        <v>3593.38</v>
      </c>
      <c r="E1339" s="535" t="n">
        <v>37229</v>
      </c>
      <c r="F1339" s="534" t="n">
        <v>5.939</v>
      </c>
      <c r="G1339" s="554" t="n"/>
    </row>
    <row r="1340">
      <c r="A1340" s="535" t="n">
        <v>33410</v>
      </c>
      <c r="B1340" s="534" t="n">
        <v>7.274</v>
      </c>
      <c r="C1340" s="534" t="n">
        <v>3565.14</v>
      </c>
      <c r="E1340" s="535" t="n">
        <v>37230</v>
      </c>
      <c r="F1340" s="534" t="n">
        <v>5.884</v>
      </c>
      <c r="G1340" s="554" t="n"/>
    </row>
    <row r="1341">
      <c r="A1341" s="535" t="n">
        <v>33413</v>
      </c>
      <c r="B1341" s="534" t="n">
        <v>7.404</v>
      </c>
      <c r="C1341" s="534" t="n">
        <v>3569.54</v>
      </c>
      <c r="E1341" s="535" t="n">
        <v>37231</v>
      </c>
      <c r="F1341" s="534" t="n">
        <v>6.16</v>
      </c>
      <c r="G1341" s="554" t="n"/>
    </row>
    <row r="1342">
      <c r="A1342" s="535" t="n">
        <v>33414</v>
      </c>
      <c r="B1342" s="534" t="n">
        <v>7.361</v>
      </c>
      <c r="C1342" s="534" t="n">
        <v>3604.26</v>
      </c>
      <c r="E1342" s="535" t="n">
        <v>37232</v>
      </c>
      <c r="F1342" s="534" t="n">
        <v>6.236</v>
      </c>
      <c r="G1342" s="554" t="n"/>
    </row>
    <row r="1343">
      <c r="A1343" s="535" t="n">
        <v>33415</v>
      </c>
      <c r="B1343" s="534" t="n">
        <v>7.404</v>
      </c>
      <c r="C1343" s="534" t="n">
        <v>3634.64</v>
      </c>
      <c r="E1343" s="535" t="n">
        <v>37235</v>
      </c>
      <c r="F1343" s="534" t="n">
        <v>6.358</v>
      </c>
      <c r="G1343" s="554" t="n"/>
    </row>
    <row r="1344">
      <c r="A1344" s="535" t="n">
        <v>33416</v>
      </c>
      <c r="B1344" s="534" t="n">
        <v>7.274</v>
      </c>
      <c r="C1344" s="534" t="n">
        <v>3629.79</v>
      </c>
      <c r="E1344" s="535" t="n">
        <v>37236</v>
      </c>
      <c r="F1344" s="534" t="n">
        <v>6.371</v>
      </c>
      <c r="G1344" s="554" t="n"/>
    </row>
    <row r="1345">
      <c r="A1345" s="535" t="n">
        <v>33417</v>
      </c>
      <c r="B1345" s="534" t="n">
        <v>7.274</v>
      </c>
      <c r="C1345" s="534" t="n">
        <v>3668.64</v>
      </c>
      <c r="E1345" s="535" t="n">
        <v>37237</v>
      </c>
      <c r="F1345" s="534" t="n">
        <v>6.311</v>
      </c>
      <c r="G1345" s="554" t="n"/>
    </row>
    <row r="1346">
      <c r="A1346" s="535" t="n">
        <v>33420</v>
      </c>
      <c r="B1346" s="534" t="n">
        <v>7.404</v>
      </c>
      <c r="C1346" s="534" t="n">
        <v>3738.85</v>
      </c>
      <c r="E1346" s="535" t="n">
        <v>37238</v>
      </c>
      <c r="F1346" s="534" t="n">
        <v>6.086</v>
      </c>
      <c r="G1346" s="554" t="n"/>
    </row>
    <row r="1347">
      <c r="A1347" s="535" t="n">
        <v>33421</v>
      </c>
      <c r="B1347" s="534" t="n">
        <v>7.448</v>
      </c>
      <c r="C1347" s="534" t="n">
        <v>3772.91</v>
      </c>
      <c r="E1347" s="535" t="n">
        <v>37239</v>
      </c>
      <c r="F1347" s="534" t="n">
        <v>6.224</v>
      </c>
      <c r="G1347" s="554" t="n"/>
    </row>
    <row r="1348">
      <c r="A1348" s="535" t="n">
        <v>33422</v>
      </c>
      <c r="B1348" s="534" t="n">
        <v>7.404</v>
      </c>
      <c r="C1348" s="534" t="n">
        <v>3796.57</v>
      </c>
      <c r="E1348" s="535" t="n">
        <v>37242</v>
      </c>
      <c r="F1348" s="534" t="n">
        <v>6.323</v>
      </c>
      <c r="G1348" s="554" t="n"/>
    </row>
    <row r="1349">
      <c r="A1349" s="535" t="n">
        <v>33423</v>
      </c>
      <c r="B1349" s="534" t="n">
        <v>7.579</v>
      </c>
      <c r="C1349" s="534" t="n">
        <v>3850.71</v>
      </c>
      <c r="E1349" s="535" t="n">
        <v>37243</v>
      </c>
      <c r="F1349" s="534" t="n">
        <v>6.302</v>
      </c>
      <c r="G1349" s="554" t="n"/>
    </row>
    <row r="1350">
      <c r="A1350" s="535" t="n">
        <v>33424</v>
      </c>
      <c r="B1350" s="534" t="n">
        <v>7.796</v>
      </c>
      <c r="C1350" s="534" t="n">
        <v>3892.71</v>
      </c>
      <c r="E1350" s="535" t="n">
        <v>37244</v>
      </c>
      <c r="F1350" s="534" t="n">
        <v>6.188</v>
      </c>
      <c r="G1350" s="554" t="n"/>
    </row>
    <row r="1351">
      <c r="A1351" s="535" t="n">
        <v>33427</v>
      </c>
      <c r="B1351" s="534" t="n">
        <v>7.709</v>
      </c>
      <c r="C1351" s="534" t="n">
        <v>3880.73</v>
      </c>
      <c r="E1351" s="535" t="n">
        <v>37245</v>
      </c>
      <c r="F1351" s="534" t="n">
        <v>6.188</v>
      </c>
      <c r="G1351" s="554" t="n"/>
    </row>
    <row r="1352">
      <c r="A1352" s="535" t="n">
        <v>33428</v>
      </c>
      <c r="B1352" s="534" t="n">
        <v>7.709</v>
      </c>
      <c r="C1352" s="534" t="n">
        <v>3904.19</v>
      </c>
      <c r="E1352" s="535" t="n">
        <v>37246</v>
      </c>
      <c r="F1352" s="534" t="n">
        <v>6.149</v>
      </c>
      <c r="G1352" s="554" t="n"/>
    </row>
    <row r="1353">
      <c r="A1353" s="535" t="n">
        <v>33429</v>
      </c>
      <c r="B1353" s="534" t="n">
        <v>7.709</v>
      </c>
      <c r="C1353" s="534" t="n">
        <v>3901.23</v>
      </c>
      <c r="E1353" s="535" t="n">
        <v>37249</v>
      </c>
      <c r="F1353" s="534" t="n">
        <v>6.189</v>
      </c>
      <c r="G1353" s="554" t="n"/>
    </row>
    <row r="1354">
      <c r="A1354" s="535" t="n">
        <v>33430</v>
      </c>
      <c r="B1354" s="534" t="n">
        <v>7.622</v>
      </c>
      <c r="C1354" s="534" t="n">
        <v>3892.12</v>
      </c>
      <c r="E1354" s="535" t="n">
        <v>37250</v>
      </c>
      <c r="F1354" s="534" t="n">
        <v>6.189</v>
      </c>
      <c r="G1354" s="554" t="n"/>
    </row>
    <row r="1355">
      <c r="A1355" s="535" t="n">
        <v>33431</v>
      </c>
      <c r="B1355" s="534" t="n">
        <v>7.622</v>
      </c>
      <c r="C1355" s="534" t="n">
        <v>3915.17</v>
      </c>
      <c r="E1355" s="535" t="n">
        <v>37251</v>
      </c>
      <c r="F1355" s="534" t="n">
        <v>6.189</v>
      </c>
      <c r="G1355" s="554" t="n"/>
    </row>
    <row r="1356">
      <c r="A1356" s="535" t="n">
        <v>33434</v>
      </c>
      <c r="B1356" s="534" t="n">
        <v>7.622</v>
      </c>
      <c r="C1356" s="534" t="n">
        <v>3945.12</v>
      </c>
      <c r="E1356" s="535" t="n">
        <v>37252</v>
      </c>
      <c r="F1356" s="534" t="n">
        <v>6.302</v>
      </c>
      <c r="G1356" s="554" t="n"/>
    </row>
    <row r="1357">
      <c r="A1357" s="535" t="n">
        <v>33435</v>
      </c>
      <c r="B1357" s="534" t="n">
        <v>7.753</v>
      </c>
      <c r="C1357" s="534" t="n">
        <v>3997.67</v>
      </c>
      <c r="E1357" s="535" t="n">
        <v>37253</v>
      </c>
      <c r="F1357" s="534" t="n">
        <v>6.203</v>
      </c>
      <c r="G1357" s="554" t="n"/>
    </row>
    <row r="1358">
      <c r="A1358" s="535" t="n">
        <v>33436</v>
      </c>
      <c r="B1358" s="534" t="n">
        <v>7.622</v>
      </c>
      <c r="C1358" s="534" t="n">
        <v>3962.46</v>
      </c>
      <c r="E1358" s="535" t="n">
        <v>37256</v>
      </c>
      <c r="F1358" s="534" t="n">
        <v>6.217</v>
      </c>
      <c r="G1358" s="554" t="n"/>
    </row>
    <row r="1359">
      <c r="A1359" s="535" t="n">
        <v>33437</v>
      </c>
      <c r="B1359" s="534" t="n">
        <v>7.666</v>
      </c>
      <c r="C1359" s="534" t="n">
        <v>3976.83</v>
      </c>
      <c r="E1359" s="535" t="n">
        <v>37257</v>
      </c>
      <c r="F1359" s="534" t="n">
        <v>6.217</v>
      </c>
      <c r="G1359" s="554" t="n"/>
    </row>
    <row r="1360">
      <c r="A1360" s="535" t="n">
        <v>33438</v>
      </c>
      <c r="B1360" s="534" t="n">
        <v>7.753</v>
      </c>
      <c r="C1360" s="534" t="n">
        <v>4009.35</v>
      </c>
      <c r="E1360" s="535" t="n">
        <v>37258</v>
      </c>
      <c r="F1360" s="534" t="n">
        <v>6.076</v>
      </c>
      <c r="G1360" s="554" t="n"/>
    </row>
    <row r="1361">
      <c r="A1361" s="535" t="n">
        <v>33441</v>
      </c>
      <c r="B1361" s="534" t="n">
        <v>7.709</v>
      </c>
      <c r="C1361" s="534" t="n">
        <v>3988.35</v>
      </c>
      <c r="E1361" s="535" t="n">
        <v>37259</v>
      </c>
      <c r="F1361" s="534" t="n">
        <v>6.165</v>
      </c>
      <c r="G1361" s="554" t="n"/>
    </row>
    <row r="1362">
      <c r="A1362" s="535" t="n">
        <v>33442</v>
      </c>
      <c r="B1362" s="534" t="n">
        <v>7.709</v>
      </c>
      <c r="C1362" s="534" t="n">
        <v>4009.82</v>
      </c>
      <c r="E1362" s="535" t="n">
        <v>37260</v>
      </c>
      <c r="F1362" s="534" t="n">
        <v>6.028</v>
      </c>
      <c r="G1362" s="554" t="n"/>
    </row>
    <row r="1363">
      <c r="A1363" s="535" t="n">
        <v>33443</v>
      </c>
      <c r="B1363" s="534" t="n">
        <v>7.796</v>
      </c>
      <c r="C1363" s="534" t="n">
        <v>4028.77</v>
      </c>
      <c r="E1363" s="535" t="n">
        <v>37263</v>
      </c>
      <c r="F1363" s="534" t="n">
        <v>5.967</v>
      </c>
      <c r="G1363" s="554" t="n"/>
    </row>
    <row r="1364">
      <c r="A1364" s="535" t="n">
        <v>33444</v>
      </c>
      <c r="B1364" s="534" t="n">
        <v>7.709</v>
      </c>
      <c r="C1364" s="534" t="n">
        <v>4012.62</v>
      </c>
      <c r="E1364" s="535" t="n">
        <v>37264</v>
      </c>
      <c r="F1364" s="534" t="n">
        <v>5.958</v>
      </c>
      <c r="G1364" s="554" t="n"/>
    </row>
    <row r="1365">
      <c r="A1365" s="535" t="n">
        <v>33445</v>
      </c>
      <c r="B1365" s="534" t="n">
        <v>7.709</v>
      </c>
      <c r="C1365" s="534" t="n">
        <v>4031.29</v>
      </c>
      <c r="E1365" s="535" t="n">
        <v>37265</v>
      </c>
      <c r="F1365" s="534" t="n">
        <v>6.035</v>
      </c>
      <c r="G1365" s="554" t="n"/>
    </row>
    <row r="1366">
      <c r="A1366" s="535" t="n">
        <v>33448</v>
      </c>
      <c r="B1366" s="534" t="n">
        <v>7.666</v>
      </c>
      <c r="C1366" s="534" t="n">
        <v>4016.29</v>
      </c>
      <c r="E1366" s="535" t="n">
        <v>37266</v>
      </c>
      <c r="F1366" s="534" t="n">
        <v>6.017</v>
      </c>
      <c r="G1366" s="554" t="n"/>
    </row>
    <row r="1367">
      <c r="A1367" s="535" t="n">
        <v>33449</v>
      </c>
      <c r="B1367" s="534" t="n">
        <v>7.666</v>
      </c>
      <c r="C1367" s="534" t="n">
        <v>3991.83</v>
      </c>
      <c r="E1367" s="535" t="n">
        <v>37267</v>
      </c>
      <c r="F1367" s="534" t="n">
        <v>5.91</v>
      </c>
      <c r="G1367" s="554" t="n"/>
    </row>
    <row r="1368">
      <c r="A1368" s="535" t="n">
        <v>33450</v>
      </c>
      <c r="B1368" s="534" t="n">
        <v>7.666</v>
      </c>
      <c r="C1368" s="534" t="n">
        <v>4009.58</v>
      </c>
      <c r="E1368" s="535" t="n">
        <v>37270</v>
      </c>
      <c r="F1368" s="534" t="n">
        <v>5.869</v>
      </c>
      <c r="G1368" s="554" t="n"/>
    </row>
    <row r="1369">
      <c r="A1369" s="535" t="n">
        <v>33451</v>
      </c>
      <c r="B1369" s="534" t="n">
        <v>7.709</v>
      </c>
      <c r="C1369" s="534" t="n">
        <v>4030.01</v>
      </c>
      <c r="E1369" s="535" t="n">
        <v>37271</v>
      </c>
      <c r="F1369" s="534" t="n">
        <v>5.917</v>
      </c>
      <c r="G1369" s="554" t="n"/>
    </row>
    <row r="1370">
      <c r="A1370" s="535" t="n">
        <v>33452</v>
      </c>
      <c r="B1370" s="534" t="n">
        <v>7.971</v>
      </c>
      <c r="C1370" s="534" t="n">
        <v>4059.4</v>
      </c>
      <c r="E1370" s="535" t="n">
        <v>37272</v>
      </c>
      <c r="F1370" s="534" t="n">
        <v>5.847</v>
      </c>
      <c r="G1370" s="554" t="n"/>
    </row>
    <row r="1371">
      <c r="A1371" s="535" t="n">
        <v>33455</v>
      </c>
      <c r="B1371" s="534" t="n">
        <v>8.188000000000001</v>
      </c>
      <c r="C1371" s="534" t="n">
        <v>4063.01</v>
      </c>
      <c r="E1371" s="535" t="n">
        <v>37273</v>
      </c>
      <c r="F1371" s="534" t="n">
        <v>5.877</v>
      </c>
      <c r="G1371" s="554" t="n"/>
    </row>
    <row r="1372">
      <c r="A1372" s="535" t="n">
        <v>33456</v>
      </c>
      <c r="B1372" s="534" t="n">
        <v>8.188000000000001</v>
      </c>
      <c r="C1372" s="534" t="n">
        <v>4021.27</v>
      </c>
      <c r="E1372" s="535" t="n">
        <v>37274</v>
      </c>
      <c r="F1372" s="534" t="n">
        <v>5.957</v>
      </c>
      <c r="G1372" s="554" t="n"/>
    </row>
    <row r="1373">
      <c r="A1373" s="535" t="n">
        <v>33457</v>
      </c>
      <c r="B1373" s="534" t="n">
        <v>8.188000000000001</v>
      </c>
      <c r="C1373" s="534" t="n">
        <v>4061.31</v>
      </c>
      <c r="E1373" s="535" t="n">
        <v>37277</v>
      </c>
      <c r="F1373" s="534" t="n">
        <v>5.917</v>
      </c>
      <c r="G1373" s="554" t="n"/>
    </row>
    <row r="1374">
      <c r="A1374" s="535" t="n">
        <v>33458</v>
      </c>
      <c r="B1374" s="534" t="n">
        <v>8.145</v>
      </c>
      <c r="C1374" s="534" t="n">
        <v>4046.56</v>
      </c>
      <c r="E1374" s="535" t="n">
        <v>37278</v>
      </c>
      <c r="F1374" s="534" t="n">
        <v>5.91</v>
      </c>
      <c r="G1374" s="554" t="n"/>
    </row>
    <row r="1375">
      <c r="A1375" s="535" t="n">
        <v>33459</v>
      </c>
      <c r="B1375" s="534" t="n">
        <v>8.013999999999999</v>
      </c>
      <c r="C1375" s="534" t="n">
        <v>4024.01</v>
      </c>
      <c r="E1375" s="535" t="n">
        <v>37279</v>
      </c>
      <c r="F1375" s="534" t="n">
        <v>5.921</v>
      </c>
      <c r="G1375" s="554" t="n"/>
    </row>
    <row r="1376">
      <c r="A1376" s="535" t="n">
        <v>33462</v>
      </c>
      <c r="B1376" s="534" t="n">
        <v>8.145</v>
      </c>
      <c r="C1376" s="534" t="n">
        <v>4070.14</v>
      </c>
      <c r="E1376" s="535" t="n">
        <v>37280</v>
      </c>
      <c r="F1376" s="534" t="n">
        <v>5.993</v>
      </c>
      <c r="G1376" s="554" t="n"/>
    </row>
    <row r="1377">
      <c r="A1377" s="535" t="n">
        <v>33463</v>
      </c>
      <c r="B1377" s="534" t="n">
        <v>8.145</v>
      </c>
      <c r="C1377" s="534" t="n">
        <v>4052.7</v>
      </c>
      <c r="E1377" s="535" t="n">
        <v>37281</v>
      </c>
      <c r="F1377" s="534" t="n">
        <v>6.053</v>
      </c>
      <c r="G1377" s="554" t="n"/>
    </row>
    <row r="1378">
      <c r="A1378" s="535" t="n">
        <v>33464</v>
      </c>
      <c r="B1378" s="534" t="n">
        <v>8.145</v>
      </c>
      <c r="C1378" s="534" t="n">
        <v>4079.01</v>
      </c>
      <c r="E1378" s="535" t="n">
        <v>37284</v>
      </c>
      <c r="F1378" s="534" t="n">
        <v>6.063</v>
      </c>
      <c r="G1378" s="554" t="n"/>
    </row>
    <row r="1379">
      <c r="A1379" s="535" t="n">
        <v>33465</v>
      </c>
      <c r="B1379" s="534" t="n">
        <v>8.145</v>
      </c>
      <c r="C1379" s="534" t="n">
        <v>4073.34</v>
      </c>
      <c r="E1379" s="535" t="n">
        <v>37285</v>
      </c>
      <c r="F1379" s="534" t="n">
        <v>6.07</v>
      </c>
      <c r="G1379" s="554" t="n"/>
    </row>
    <row r="1380">
      <c r="A1380" s="535" t="n">
        <v>33466</v>
      </c>
      <c r="B1380" s="534" t="n">
        <v>8.101000000000001</v>
      </c>
      <c r="C1380" s="534" t="n">
        <v>4063.28</v>
      </c>
      <c r="E1380" s="535" t="n">
        <v>37286</v>
      </c>
      <c r="F1380" s="534" t="n">
        <v>6.007</v>
      </c>
      <c r="G1380" s="554" t="n"/>
    </row>
    <row r="1381">
      <c r="A1381" s="535" t="n">
        <v>33469</v>
      </c>
      <c r="B1381" s="534" t="n">
        <v>7.317</v>
      </c>
      <c r="C1381" s="534" t="n">
        <v>3722.75</v>
      </c>
      <c r="E1381" s="535" t="n">
        <v>37287</v>
      </c>
      <c r="F1381" s="534" t="n">
        <v>6.049</v>
      </c>
      <c r="G1381" s="554" t="n"/>
    </row>
    <row r="1382">
      <c r="A1382" s="535" t="n">
        <v>33470</v>
      </c>
      <c r="B1382" s="534" t="n">
        <v>7.579</v>
      </c>
      <c r="C1382" s="534" t="n">
        <v>3848.44</v>
      </c>
      <c r="E1382" s="535" t="n">
        <v>37288</v>
      </c>
      <c r="F1382" s="534" t="n">
        <v>6.049</v>
      </c>
      <c r="G1382" s="554" t="n"/>
    </row>
    <row r="1383">
      <c r="A1383" s="535" t="n">
        <v>33471</v>
      </c>
      <c r="B1383" s="534" t="n">
        <v>7.622</v>
      </c>
      <c r="C1383" s="534" t="n">
        <v>3863.68</v>
      </c>
      <c r="E1383" s="535" t="n">
        <v>37291</v>
      </c>
      <c r="F1383" s="534" t="n">
        <v>5.972</v>
      </c>
      <c r="G1383" s="554" t="n"/>
    </row>
    <row r="1384">
      <c r="A1384" s="535" t="n">
        <v>33472</v>
      </c>
      <c r="B1384" s="534" t="n">
        <v>8.101000000000001</v>
      </c>
      <c r="C1384" s="534" t="n">
        <v>4045.57</v>
      </c>
      <c r="E1384" s="535" t="n">
        <v>37292</v>
      </c>
      <c r="F1384" s="534" t="n">
        <v>5.93</v>
      </c>
      <c r="G1384" s="554" t="n"/>
    </row>
    <row r="1385">
      <c r="A1385" s="535" t="n">
        <v>33473</v>
      </c>
      <c r="B1385" s="534" t="n">
        <v>8.058</v>
      </c>
      <c r="C1385" s="534" t="n">
        <v>4021.02</v>
      </c>
      <c r="E1385" s="535" t="n">
        <v>37293</v>
      </c>
      <c r="F1385" s="534" t="n">
        <v>5.972</v>
      </c>
      <c r="G1385" s="554" t="n"/>
    </row>
    <row r="1386">
      <c r="A1386" s="535" t="n">
        <v>33476</v>
      </c>
      <c r="B1386" s="534" t="n">
        <v>8.058</v>
      </c>
      <c r="C1386" s="534" t="n">
        <v>4021.02</v>
      </c>
      <c r="E1386" s="535" t="n">
        <v>37294</v>
      </c>
      <c r="F1386" s="534" t="n">
        <v>5.951</v>
      </c>
      <c r="G1386" s="554" t="n"/>
    </row>
    <row r="1387">
      <c r="A1387" s="535" t="n">
        <v>33477</v>
      </c>
      <c r="B1387" s="534" t="n">
        <v>8.013999999999999</v>
      </c>
      <c r="C1387" s="534" t="n">
        <v>3981.96</v>
      </c>
      <c r="E1387" s="535" t="n">
        <v>37295</v>
      </c>
      <c r="F1387" s="534" t="n">
        <v>6</v>
      </c>
      <c r="G1387" s="554" t="n"/>
    </row>
    <row r="1388">
      <c r="A1388" s="535" t="n">
        <v>33478</v>
      </c>
      <c r="B1388" s="534" t="n">
        <v>8.013999999999999</v>
      </c>
      <c r="C1388" s="534" t="n">
        <v>3968.14</v>
      </c>
      <c r="E1388" s="535" t="n">
        <v>37298</v>
      </c>
      <c r="F1388" s="534" t="n">
        <v>5.963</v>
      </c>
      <c r="G1388" s="554" t="n"/>
    </row>
    <row r="1389">
      <c r="A1389" s="535" t="n">
        <v>33479</v>
      </c>
      <c r="B1389" s="534" t="n">
        <v>8.145</v>
      </c>
      <c r="C1389" s="534" t="n">
        <v>3960.23</v>
      </c>
      <c r="E1389" s="535" t="n">
        <v>37299</v>
      </c>
      <c r="F1389" s="534" t="n">
        <v>5.963</v>
      </c>
      <c r="G1389" s="554" t="n"/>
    </row>
    <row r="1390">
      <c r="A1390" s="535" t="n">
        <v>33480</v>
      </c>
      <c r="B1390" s="534" t="n">
        <v>8.406000000000001</v>
      </c>
      <c r="C1390" s="534" t="n">
        <v>3998.26</v>
      </c>
      <c r="E1390" s="535" t="n">
        <v>37300</v>
      </c>
      <c r="F1390" s="534" t="n">
        <v>5.963</v>
      </c>
      <c r="G1390" s="554" t="n"/>
    </row>
    <row r="1391">
      <c r="A1391" s="535" t="n">
        <v>33483</v>
      </c>
      <c r="B1391" s="534" t="n">
        <v>8.537000000000001</v>
      </c>
      <c r="C1391" s="534" t="n">
        <v>4023.54</v>
      </c>
      <c r="E1391" s="535" t="n">
        <v>37301</v>
      </c>
      <c r="F1391" s="534" t="n">
        <v>5.963</v>
      </c>
      <c r="G1391" s="554" t="n"/>
    </row>
    <row r="1392">
      <c r="A1392" s="535" t="n">
        <v>33484</v>
      </c>
      <c r="B1392" s="534" t="n">
        <v>8.58</v>
      </c>
      <c r="C1392" s="534" t="n">
        <v>4025.07</v>
      </c>
      <c r="E1392" s="535" t="n">
        <v>37302</v>
      </c>
      <c r="F1392" s="534" t="n">
        <v>5.944</v>
      </c>
      <c r="G1392" s="554" t="n"/>
    </row>
    <row r="1393">
      <c r="A1393" s="535" t="n">
        <v>33485</v>
      </c>
      <c r="B1393" s="534" t="n">
        <v>8.798</v>
      </c>
      <c r="C1393" s="534" t="n">
        <v>4006.45</v>
      </c>
      <c r="E1393" s="535" t="n">
        <v>37305</v>
      </c>
      <c r="F1393" s="534" t="n">
        <v>5.863</v>
      </c>
      <c r="G1393" s="554" t="n"/>
    </row>
    <row r="1394">
      <c r="A1394" s="535" t="n">
        <v>33486</v>
      </c>
      <c r="B1394" s="534" t="n">
        <v>8.711</v>
      </c>
      <c r="C1394" s="534" t="n">
        <v>3990.16</v>
      </c>
      <c r="E1394" s="535" t="n">
        <v>37306</v>
      </c>
      <c r="F1394" s="534" t="n">
        <v>5.854</v>
      </c>
      <c r="G1394" s="554" t="n"/>
    </row>
    <row r="1395">
      <c r="A1395" s="535" t="n">
        <v>33487</v>
      </c>
      <c r="B1395" s="534" t="n">
        <v>8.58</v>
      </c>
      <c r="C1395" s="534" t="n">
        <v>3970.91</v>
      </c>
      <c r="E1395" s="535" t="n">
        <v>37307</v>
      </c>
      <c r="F1395" s="534" t="n">
        <v>5.866</v>
      </c>
      <c r="G1395" s="554" t="n"/>
    </row>
    <row r="1396">
      <c r="A1396" s="535" t="n">
        <v>33490</v>
      </c>
      <c r="B1396" s="534" t="n">
        <v>8.537000000000001</v>
      </c>
      <c r="C1396" s="534" t="n">
        <v>3940.54</v>
      </c>
      <c r="E1396" s="535" t="n">
        <v>37308</v>
      </c>
      <c r="F1396" s="534" t="n">
        <v>5.861</v>
      </c>
      <c r="G1396" s="554" t="n"/>
    </row>
    <row r="1397">
      <c r="A1397" s="535" t="n">
        <v>33491</v>
      </c>
      <c r="B1397" s="534" t="n">
        <v>8.58</v>
      </c>
      <c r="C1397" s="534" t="n">
        <v>3959.27</v>
      </c>
      <c r="E1397" s="535" t="n">
        <v>37309</v>
      </c>
      <c r="F1397" s="534" t="n">
        <v>5.847</v>
      </c>
      <c r="G1397" s="554" t="n"/>
    </row>
    <row r="1398">
      <c r="A1398" s="535" t="n">
        <v>33492</v>
      </c>
      <c r="B1398" s="534" t="n">
        <v>8.58</v>
      </c>
      <c r="C1398" s="534" t="n">
        <v>3966.93</v>
      </c>
      <c r="E1398" s="535" t="n">
        <v>37312</v>
      </c>
      <c r="F1398" s="534" t="n">
        <v>5.785</v>
      </c>
      <c r="G1398" s="554" t="n"/>
    </row>
    <row r="1399">
      <c r="A1399" s="535" t="n">
        <v>33493</v>
      </c>
      <c r="B1399" s="534" t="n">
        <v>8.58</v>
      </c>
      <c r="C1399" s="534" t="n">
        <v>3970.1</v>
      </c>
      <c r="E1399" s="535" t="n">
        <v>37313</v>
      </c>
      <c r="F1399" s="534" t="n">
        <v>5.805</v>
      </c>
      <c r="G1399" s="554" t="n"/>
    </row>
    <row r="1400">
      <c r="A1400" s="535" t="n">
        <v>33494</v>
      </c>
      <c r="B1400" s="534" t="n">
        <v>8.624000000000001</v>
      </c>
      <c r="C1400" s="534" t="n">
        <v>3974.12</v>
      </c>
      <c r="E1400" s="535" t="n">
        <v>37314</v>
      </c>
      <c r="F1400" s="534" t="n">
        <v>5.853</v>
      </c>
      <c r="G1400" s="554" t="n"/>
    </row>
    <row r="1401">
      <c r="A1401" s="535" t="n">
        <v>33497</v>
      </c>
      <c r="B1401" s="534" t="n">
        <v>8.537000000000001</v>
      </c>
      <c r="C1401" s="534" t="n">
        <v>3953.53</v>
      </c>
      <c r="E1401" s="535" t="n">
        <v>37315</v>
      </c>
      <c r="F1401" s="534" t="n">
        <v>5.75</v>
      </c>
      <c r="G1401" s="554" t="n"/>
    </row>
    <row r="1402">
      <c r="A1402" s="535" t="n">
        <v>33498</v>
      </c>
      <c r="B1402" s="534" t="n">
        <v>8.537000000000001</v>
      </c>
      <c r="C1402" s="534" t="n">
        <v>3938.71</v>
      </c>
      <c r="E1402" s="535" t="n">
        <v>37316</v>
      </c>
      <c r="F1402" s="534" t="n">
        <v>5.73</v>
      </c>
      <c r="G1402" s="554" t="n"/>
    </row>
    <row r="1403">
      <c r="A1403" s="535" t="n">
        <v>33499</v>
      </c>
      <c r="B1403" s="534" t="n">
        <v>8.406000000000001</v>
      </c>
      <c r="C1403" s="534" t="n">
        <v>3900.48</v>
      </c>
      <c r="E1403" s="535" t="n">
        <v>37319</v>
      </c>
      <c r="F1403" s="534" t="n">
        <v>5.846</v>
      </c>
      <c r="G1403" s="554" t="n"/>
    </row>
    <row r="1404">
      <c r="A1404" s="535" t="n">
        <v>33500</v>
      </c>
      <c r="B1404" s="534" t="n">
        <v>8.188000000000001</v>
      </c>
      <c r="C1404" s="534" t="n">
        <v>3863.68</v>
      </c>
      <c r="E1404" s="535" t="n">
        <v>37320</v>
      </c>
      <c r="F1404" s="534" t="n">
        <v>5.849</v>
      </c>
      <c r="G1404" s="554" t="n"/>
    </row>
    <row r="1405">
      <c r="A1405" s="535" t="n">
        <v>33501</v>
      </c>
      <c r="B1405" s="534" t="n">
        <v>8.363</v>
      </c>
      <c r="C1405" s="534" t="n">
        <v>3910.34</v>
      </c>
      <c r="E1405" s="535" t="n">
        <v>37321</v>
      </c>
      <c r="F1405" s="534" t="n">
        <v>5.864</v>
      </c>
      <c r="G1405" s="554" t="n"/>
    </row>
    <row r="1406">
      <c r="A1406" s="535" t="n">
        <v>33504</v>
      </c>
      <c r="B1406" s="534" t="n">
        <v>8.363</v>
      </c>
      <c r="C1406" s="534" t="n">
        <v>3910.34</v>
      </c>
      <c r="E1406" s="535" t="n">
        <v>37322</v>
      </c>
      <c r="F1406" s="534" t="n">
        <v>5.923</v>
      </c>
      <c r="G1406" s="554" t="n"/>
    </row>
    <row r="1407">
      <c r="A1407" s="535" t="n">
        <v>33505</v>
      </c>
      <c r="B1407" s="534" t="n">
        <v>8.449999999999999</v>
      </c>
      <c r="C1407" s="534" t="n">
        <v>3904.19</v>
      </c>
      <c r="E1407" s="535" t="n">
        <v>37323</v>
      </c>
      <c r="F1407" s="534" t="n">
        <v>6.198</v>
      </c>
      <c r="G1407" s="554" t="n"/>
    </row>
    <row r="1408">
      <c r="A1408" s="535" t="n">
        <v>33506</v>
      </c>
      <c r="B1408" s="534" t="n">
        <v>8.449999999999999</v>
      </c>
      <c r="C1408" s="534" t="n">
        <v>3901.95</v>
      </c>
      <c r="E1408" s="535" t="n">
        <v>37326</v>
      </c>
      <c r="F1408" s="534" t="n">
        <v>6.27</v>
      </c>
      <c r="G1408" s="554" t="n"/>
    </row>
    <row r="1409">
      <c r="A1409" s="535" t="n">
        <v>33507</v>
      </c>
      <c r="B1409" s="534" t="n">
        <v>8.58</v>
      </c>
      <c r="C1409" s="534" t="n">
        <v>3927.98</v>
      </c>
      <c r="E1409" s="535" t="n">
        <v>37327</v>
      </c>
      <c r="F1409" s="534" t="n">
        <v>6.27</v>
      </c>
      <c r="G1409" s="554" t="n"/>
    </row>
    <row r="1410">
      <c r="A1410" s="535" t="n">
        <v>33508</v>
      </c>
      <c r="B1410" s="534" t="n">
        <v>8.449999999999999</v>
      </c>
      <c r="C1410" s="534" t="n">
        <v>3938.72</v>
      </c>
      <c r="E1410" s="535" t="n">
        <v>37328</v>
      </c>
      <c r="F1410" s="534" t="n">
        <v>6.386</v>
      </c>
      <c r="G1410" s="554" t="n"/>
    </row>
    <row r="1411">
      <c r="A1411" s="535" t="n">
        <v>33511</v>
      </c>
      <c r="B1411" s="534" t="n">
        <v>8.406000000000001</v>
      </c>
      <c r="C1411" s="534" t="n">
        <v>3956.69</v>
      </c>
      <c r="E1411" s="535" t="n">
        <v>37329</v>
      </c>
      <c r="F1411" s="534" t="n">
        <v>6.292</v>
      </c>
      <c r="G1411" s="554" t="n"/>
    </row>
    <row r="1412">
      <c r="A1412" s="535" t="n">
        <v>33512</v>
      </c>
      <c r="B1412" s="534" t="n">
        <v>8.58</v>
      </c>
      <c r="C1412" s="534" t="n">
        <v>4023.87</v>
      </c>
      <c r="E1412" s="535" t="n">
        <v>37330</v>
      </c>
      <c r="F1412" s="534" t="n">
        <v>6.415</v>
      </c>
      <c r="G1412" s="554" t="n"/>
    </row>
    <row r="1413">
      <c r="A1413" s="535" t="n">
        <v>33513</v>
      </c>
      <c r="B1413" s="534" t="n">
        <v>8.58</v>
      </c>
      <c r="C1413" s="534" t="n">
        <v>4062.07</v>
      </c>
      <c r="E1413" s="535" t="n">
        <v>37333</v>
      </c>
      <c r="F1413" s="534" t="n">
        <v>6.306</v>
      </c>
      <c r="G1413" s="554" t="n"/>
    </row>
    <row r="1414">
      <c r="A1414" s="535" t="n">
        <v>33514</v>
      </c>
      <c r="B1414" s="534" t="n">
        <v>8.58</v>
      </c>
      <c r="C1414" s="534" t="n">
        <v>4093.41</v>
      </c>
      <c r="E1414" s="535" t="n">
        <v>37334</v>
      </c>
      <c r="F1414" s="534" t="n">
        <v>6.227</v>
      </c>
      <c r="G1414" s="554" t="n"/>
    </row>
    <row r="1415">
      <c r="A1415" s="535" t="n">
        <v>33515</v>
      </c>
      <c r="B1415" s="534" t="n">
        <v>8.537000000000001</v>
      </c>
      <c r="C1415" s="534" t="n">
        <v>4067.69</v>
      </c>
      <c r="E1415" s="535" t="n">
        <v>37335</v>
      </c>
      <c r="F1415" s="534" t="n">
        <v>6.249</v>
      </c>
      <c r="G1415" s="554" t="n"/>
    </row>
    <row r="1416">
      <c r="A1416" s="535" t="n">
        <v>33518</v>
      </c>
      <c r="B1416" s="534" t="n">
        <v>8.493</v>
      </c>
      <c r="C1416" s="534" t="n">
        <v>4060.37</v>
      </c>
      <c r="E1416" s="535" t="n">
        <v>37336</v>
      </c>
      <c r="F1416" s="534" t="n">
        <v>6.324</v>
      </c>
      <c r="G1416" s="554" t="n"/>
    </row>
    <row r="1417">
      <c r="A1417" s="535" t="n">
        <v>33519</v>
      </c>
      <c r="B1417" s="534" t="n">
        <v>8.493</v>
      </c>
      <c r="C1417" s="534" t="n">
        <v>4066.85</v>
      </c>
      <c r="E1417" s="535" t="n">
        <v>37337</v>
      </c>
      <c r="F1417" s="534" t="n">
        <v>6.256</v>
      </c>
      <c r="G1417" s="554" t="n"/>
    </row>
    <row r="1418">
      <c r="A1418" s="535" t="n">
        <v>33520</v>
      </c>
      <c r="B1418" s="534" t="n">
        <v>8.449999999999999</v>
      </c>
      <c r="C1418" s="534" t="n">
        <v>4076.38</v>
      </c>
      <c r="E1418" s="535" t="n">
        <v>37340</v>
      </c>
      <c r="F1418" s="534" t="n">
        <v>6.269</v>
      </c>
      <c r="G1418" s="554" t="n"/>
    </row>
    <row r="1419">
      <c r="A1419" s="535" t="n">
        <v>33521</v>
      </c>
      <c r="B1419" s="534" t="n">
        <v>8.493</v>
      </c>
      <c r="C1419" s="534" t="n">
        <v>4056.22</v>
      </c>
      <c r="E1419" s="535" t="n">
        <v>37341</v>
      </c>
      <c r="F1419" s="534" t="n">
        <v>6.271</v>
      </c>
      <c r="G1419" s="554" t="n"/>
    </row>
    <row r="1420">
      <c r="A1420" s="535" t="n">
        <v>33522</v>
      </c>
      <c r="B1420" s="534" t="n">
        <v>8.406000000000001</v>
      </c>
      <c r="C1420" s="534" t="n">
        <v>4017.98</v>
      </c>
      <c r="E1420" s="535" t="n">
        <v>37342</v>
      </c>
      <c r="F1420" s="534" t="n">
        <v>6.213</v>
      </c>
      <c r="G1420" s="554" t="n"/>
    </row>
    <row r="1421">
      <c r="A1421" s="535" t="n">
        <v>33525</v>
      </c>
      <c r="B1421" s="534" t="n">
        <v>8.276</v>
      </c>
      <c r="C1421" s="534" t="n">
        <v>4022.21</v>
      </c>
      <c r="E1421" s="535" t="n">
        <v>37343</v>
      </c>
      <c r="F1421" s="534" t="n">
        <v>6.199</v>
      </c>
      <c r="G1421" s="554" t="n"/>
    </row>
    <row r="1422">
      <c r="A1422" s="535" t="n">
        <v>33526</v>
      </c>
      <c r="B1422" s="534" t="n">
        <v>8.406000000000001</v>
      </c>
      <c r="C1422" s="534" t="n">
        <v>4033.75</v>
      </c>
      <c r="E1422" s="535" t="n">
        <v>37344</v>
      </c>
      <c r="F1422" s="534" t="n">
        <v>6.199</v>
      </c>
      <c r="G1422" s="554" t="n"/>
    </row>
    <row r="1423">
      <c r="A1423" s="535" t="n">
        <v>33527</v>
      </c>
      <c r="B1423" s="534" t="n">
        <v>8.406000000000001</v>
      </c>
      <c r="C1423" s="534" t="n">
        <v>4033.75</v>
      </c>
      <c r="E1423" s="535" t="n">
        <v>37347</v>
      </c>
      <c r="F1423" s="534" t="n">
        <v>6.199</v>
      </c>
      <c r="G1423" s="554" t="n"/>
    </row>
    <row r="1424">
      <c r="A1424" s="535" t="n">
        <v>33528</v>
      </c>
      <c r="B1424" s="534" t="n">
        <v>8.406000000000001</v>
      </c>
      <c r="C1424" s="534" t="n">
        <v>4018.43</v>
      </c>
      <c r="E1424" s="535" t="n">
        <v>37348</v>
      </c>
      <c r="F1424" s="534" t="n">
        <v>6.3</v>
      </c>
      <c r="G1424" s="554" t="n"/>
    </row>
    <row r="1425">
      <c r="A1425" s="535" t="n">
        <v>33529</v>
      </c>
      <c r="B1425" s="534" t="n">
        <v>8.493</v>
      </c>
      <c r="C1425" s="534" t="n">
        <v>4015.91</v>
      </c>
      <c r="E1425" s="535" t="n">
        <v>37349</v>
      </c>
      <c r="F1425" s="534" t="n">
        <v>6.234</v>
      </c>
      <c r="G1425" s="554" t="n"/>
    </row>
    <row r="1426">
      <c r="A1426" s="535" t="n">
        <v>33532</v>
      </c>
      <c r="B1426" s="534" t="n">
        <v>8.449999999999999</v>
      </c>
      <c r="C1426" s="534" t="n">
        <v>3998.74</v>
      </c>
      <c r="E1426" s="535" t="n">
        <v>37350</v>
      </c>
      <c r="F1426" s="534" t="n">
        <v>6.166</v>
      </c>
      <c r="G1426" s="554" t="n"/>
    </row>
    <row r="1427">
      <c r="A1427" s="535" t="n">
        <v>33533</v>
      </c>
      <c r="B1427" s="534" t="n">
        <v>8.319000000000001</v>
      </c>
      <c r="C1427" s="534" t="n">
        <v>3981.66</v>
      </c>
      <c r="E1427" s="535" t="n">
        <v>37351</v>
      </c>
      <c r="F1427" s="534" t="n">
        <v>6.166</v>
      </c>
      <c r="G1427" s="554" t="n"/>
    </row>
    <row r="1428">
      <c r="A1428" s="535" t="n">
        <v>33534</v>
      </c>
      <c r="B1428" s="534" t="n">
        <v>8.363</v>
      </c>
      <c r="C1428" s="534" t="n">
        <v>4021.38</v>
      </c>
      <c r="E1428" s="535" t="n">
        <v>37354</v>
      </c>
      <c r="F1428" s="534" t="n">
        <v>6.085</v>
      </c>
      <c r="G1428" s="554" t="n"/>
    </row>
    <row r="1429">
      <c r="A1429" s="535" t="n">
        <v>33535</v>
      </c>
      <c r="B1429" s="534" t="n">
        <v>8.363</v>
      </c>
      <c r="C1429" s="534" t="n">
        <v>3989.34</v>
      </c>
      <c r="E1429" s="535" t="n">
        <v>37355</v>
      </c>
      <c r="F1429" s="534" t="n">
        <v>6.159</v>
      </c>
      <c r="G1429" s="554" t="n"/>
    </row>
    <row r="1430">
      <c r="A1430" s="535" t="n">
        <v>33536</v>
      </c>
      <c r="B1430" s="534" t="n">
        <v>8.363</v>
      </c>
      <c r="C1430" s="534" t="n">
        <v>3971.9</v>
      </c>
      <c r="E1430" s="535" t="n">
        <v>37356</v>
      </c>
      <c r="F1430" s="534" t="n">
        <v>6.071</v>
      </c>
      <c r="G1430" s="554" t="n"/>
    </row>
    <row r="1431">
      <c r="A1431" s="535" t="n">
        <v>33539</v>
      </c>
      <c r="B1431" s="534" t="n">
        <v>8.493</v>
      </c>
      <c r="C1431" s="534" t="n">
        <v>3988.6</v>
      </c>
      <c r="E1431" s="535" t="n">
        <v>37357</v>
      </c>
      <c r="F1431" s="534" t="n">
        <v>6.132</v>
      </c>
      <c r="G1431" s="554" t="n"/>
    </row>
    <row r="1432">
      <c r="A1432" s="535" t="n">
        <v>33540</v>
      </c>
      <c r="B1432" s="534" t="n">
        <v>8.449999999999999</v>
      </c>
      <c r="C1432" s="534" t="n">
        <v>4000.05</v>
      </c>
      <c r="E1432" s="535" t="n">
        <v>37358</v>
      </c>
      <c r="F1432" s="534" t="n">
        <v>6.147</v>
      </c>
      <c r="G1432" s="554" t="n"/>
    </row>
    <row r="1433">
      <c r="A1433" s="535" t="n">
        <v>33541</v>
      </c>
      <c r="B1433" s="534" t="n">
        <v>8.363</v>
      </c>
      <c r="C1433" s="534" t="n">
        <v>4020.04</v>
      </c>
      <c r="E1433" s="535" t="n">
        <v>37361</v>
      </c>
      <c r="F1433" s="534" t="n">
        <v>6.134</v>
      </c>
      <c r="G1433" s="554" t="n"/>
    </row>
    <row r="1434">
      <c r="A1434" s="535" t="n">
        <v>33542</v>
      </c>
      <c r="B1434" s="534" t="n">
        <v>8.493</v>
      </c>
      <c r="C1434" s="534" t="n">
        <v>4038.74</v>
      </c>
      <c r="E1434" s="535" t="n">
        <v>37362</v>
      </c>
      <c r="F1434" s="534" t="n">
        <v>6.133</v>
      </c>
      <c r="G1434" s="554" t="n"/>
    </row>
    <row r="1435">
      <c r="A1435" s="535" t="n">
        <v>33543</v>
      </c>
      <c r="B1435" s="534" t="n">
        <v>8.58</v>
      </c>
      <c r="C1435" s="534" t="n">
        <v>4037.82</v>
      </c>
      <c r="E1435" s="535" t="n">
        <v>37363</v>
      </c>
      <c r="F1435" s="534" t="n">
        <v>6.164</v>
      </c>
      <c r="G1435" s="554" t="n"/>
    </row>
    <row r="1436">
      <c r="A1436" s="535" t="n">
        <v>33546</v>
      </c>
      <c r="B1436" s="534" t="n">
        <v>8.58</v>
      </c>
      <c r="C1436" s="534" t="n">
        <v>4083.04</v>
      </c>
      <c r="E1436" s="535" t="n">
        <v>37364</v>
      </c>
      <c r="F1436" s="534" t="n">
        <v>6.215</v>
      </c>
      <c r="G1436" s="554" t="n"/>
    </row>
    <row r="1437">
      <c r="A1437" s="535" t="n">
        <v>33547</v>
      </c>
      <c r="B1437" s="534" t="n">
        <v>8.624000000000001</v>
      </c>
      <c r="C1437" s="534" t="n">
        <v>4146.54</v>
      </c>
      <c r="E1437" s="535" t="n">
        <v>37365</v>
      </c>
      <c r="F1437" s="534" t="n">
        <v>6.215</v>
      </c>
      <c r="G1437" s="554" t="n"/>
    </row>
    <row r="1438">
      <c r="A1438" s="535" t="n">
        <v>33548</v>
      </c>
      <c r="B1438" s="534" t="n">
        <v>8.667999999999999</v>
      </c>
      <c r="C1438" s="534" t="n">
        <v>4173.57</v>
      </c>
      <c r="E1438" s="535" t="n">
        <v>37368</v>
      </c>
      <c r="F1438" s="534" t="n">
        <v>6.208</v>
      </c>
      <c r="G1438" s="554" t="n"/>
    </row>
    <row r="1439">
      <c r="A1439" s="535" t="n">
        <v>33549</v>
      </c>
      <c r="B1439" s="534" t="n">
        <v>8.711</v>
      </c>
      <c r="C1439" s="534" t="n">
        <v>4184.74</v>
      </c>
      <c r="E1439" s="535" t="n">
        <v>37369</v>
      </c>
      <c r="F1439" s="534" t="n">
        <v>6.15</v>
      </c>
      <c r="G1439" s="554" t="n"/>
    </row>
    <row r="1440">
      <c r="A1440" s="535" t="n">
        <v>33550</v>
      </c>
      <c r="B1440" s="534" t="n">
        <v>8.798</v>
      </c>
      <c r="C1440" s="534" t="n">
        <v>4236.64</v>
      </c>
      <c r="E1440" s="535" t="n">
        <v>37370</v>
      </c>
      <c r="F1440" s="534" t="n">
        <v>6.08</v>
      </c>
      <c r="G1440" s="554" t="n"/>
    </row>
    <row r="1441">
      <c r="A1441" s="535" t="n">
        <v>33553</v>
      </c>
      <c r="B1441" s="534" t="n">
        <v>8.711</v>
      </c>
      <c r="C1441" s="534" t="n">
        <v>4230.91</v>
      </c>
      <c r="E1441" s="535" t="n">
        <v>37371</v>
      </c>
      <c r="F1441" s="534" t="n">
        <v>5.901</v>
      </c>
      <c r="G1441" s="554" t="n"/>
    </row>
    <row r="1442">
      <c r="A1442" s="535" t="n">
        <v>33554</v>
      </c>
      <c r="B1442" s="534" t="n">
        <v>8.885</v>
      </c>
      <c r="C1442" s="534" t="n">
        <v>4253.02</v>
      </c>
      <c r="E1442" s="535" t="n">
        <v>37372</v>
      </c>
      <c r="F1442" s="534" t="n">
        <v>5.916</v>
      </c>
      <c r="G1442" s="554" t="n"/>
    </row>
    <row r="1443">
      <c r="A1443" s="535" t="n">
        <v>33555</v>
      </c>
      <c r="B1443" s="534" t="n">
        <v>9.147</v>
      </c>
      <c r="C1443" s="534" t="n">
        <v>4240.28</v>
      </c>
      <c r="E1443" s="535" t="n">
        <v>37375</v>
      </c>
      <c r="F1443" s="534" t="n">
        <v>5.864</v>
      </c>
      <c r="G1443" s="554" t="n"/>
    </row>
    <row r="1444">
      <c r="A1444" s="535" t="n">
        <v>33556</v>
      </c>
      <c r="B1444" s="534" t="n">
        <v>9.06</v>
      </c>
      <c r="C1444" s="534" t="n">
        <v>4211.32</v>
      </c>
      <c r="E1444" s="535" t="n">
        <v>37376</v>
      </c>
      <c r="F1444" s="534" t="n">
        <v>5.873</v>
      </c>
      <c r="G1444" s="554" t="n"/>
    </row>
    <row r="1445">
      <c r="A1445" s="535" t="n">
        <v>33557</v>
      </c>
      <c r="B1445" s="534" t="n">
        <v>9.06</v>
      </c>
      <c r="C1445" s="534" t="n">
        <v>4271.34</v>
      </c>
      <c r="E1445" s="535" t="n">
        <v>37377</v>
      </c>
      <c r="F1445" s="534" t="n">
        <v>5.873</v>
      </c>
      <c r="G1445" s="554" t="n"/>
    </row>
    <row r="1446">
      <c r="A1446" s="535" t="n">
        <v>33560</v>
      </c>
      <c r="B1446" s="534" t="n">
        <v>8.885</v>
      </c>
      <c r="C1446" s="534" t="n">
        <v>4198.21</v>
      </c>
      <c r="E1446" s="535" t="n">
        <v>37378</v>
      </c>
      <c r="F1446" s="534" t="n">
        <v>5.783</v>
      </c>
      <c r="G1446" s="554" t="n"/>
    </row>
    <row r="1447">
      <c r="A1447" s="535" t="n">
        <v>33561</v>
      </c>
      <c r="B1447" s="534" t="n">
        <v>8.972</v>
      </c>
      <c r="C1447" s="534" t="n">
        <v>4261.23</v>
      </c>
      <c r="E1447" s="535" t="n">
        <v>37379</v>
      </c>
      <c r="F1447" s="534" t="n">
        <v>5.861</v>
      </c>
      <c r="G1447" s="554" t="n"/>
    </row>
    <row r="1448">
      <c r="A1448" s="535" t="n">
        <v>33562</v>
      </c>
      <c r="B1448" s="534" t="n">
        <v>8.885</v>
      </c>
      <c r="C1448" s="534" t="n">
        <v>4200.94</v>
      </c>
      <c r="E1448" s="535" t="n">
        <v>37382</v>
      </c>
      <c r="F1448" s="534" t="n">
        <v>5.794</v>
      </c>
      <c r="G1448" s="554" t="n"/>
    </row>
    <row r="1449">
      <c r="A1449" s="535" t="n">
        <v>33563</v>
      </c>
      <c r="B1449" s="534" t="n">
        <v>8.885</v>
      </c>
      <c r="C1449" s="534" t="n">
        <v>4234.57</v>
      </c>
      <c r="E1449" s="535" t="n">
        <v>37383</v>
      </c>
      <c r="F1449" s="534" t="n">
        <v>5.787</v>
      </c>
      <c r="G1449" s="554" t="n"/>
    </row>
    <row r="1450">
      <c r="A1450" s="535" t="n">
        <v>33564</v>
      </c>
      <c r="B1450" s="534" t="n">
        <v>9.06</v>
      </c>
      <c r="C1450" s="534" t="n">
        <v>4243.07</v>
      </c>
      <c r="E1450" s="535" t="n">
        <v>37384</v>
      </c>
      <c r="F1450" s="534" t="n">
        <v>5.866</v>
      </c>
      <c r="G1450" s="554" t="n"/>
    </row>
    <row r="1451">
      <c r="A1451" s="535" t="n">
        <v>33567</v>
      </c>
      <c r="B1451" s="534" t="n">
        <v>8.885</v>
      </c>
      <c r="C1451" s="534" t="n">
        <v>4220.74</v>
      </c>
      <c r="E1451" s="535" t="n">
        <v>37385</v>
      </c>
      <c r="F1451" s="534" t="n">
        <v>5.986</v>
      </c>
      <c r="G1451" s="554" t="n"/>
    </row>
    <row r="1452">
      <c r="A1452" s="535" t="n">
        <v>33568</v>
      </c>
      <c r="B1452" s="534" t="n">
        <v>8.885</v>
      </c>
      <c r="C1452" s="534" t="n">
        <v>4202.1</v>
      </c>
      <c r="E1452" s="535" t="n">
        <v>37386</v>
      </c>
      <c r="F1452" s="534" t="n">
        <v>5.951</v>
      </c>
      <c r="G1452" s="554" t="n"/>
    </row>
    <row r="1453">
      <c r="A1453" s="535" t="n">
        <v>33569</v>
      </c>
      <c r="B1453" s="534" t="n">
        <v>8.885</v>
      </c>
      <c r="C1453" s="534" t="n">
        <v>4179.3</v>
      </c>
      <c r="E1453" s="535" t="n">
        <v>37389</v>
      </c>
      <c r="F1453" s="534" t="n">
        <v>5.876</v>
      </c>
      <c r="G1453" s="554" t="n"/>
    </row>
    <row r="1454">
      <c r="A1454" s="535" t="n">
        <v>33570</v>
      </c>
      <c r="B1454" s="534" t="n">
        <v>8.711</v>
      </c>
      <c r="C1454" s="534" t="n">
        <v>4145.61</v>
      </c>
      <c r="E1454" s="535" t="n">
        <v>37390</v>
      </c>
      <c r="F1454" s="534" t="n">
        <v>6.004</v>
      </c>
      <c r="G1454" s="554" t="n"/>
    </row>
    <row r="1455">
      <c r="A1455" s="535" t="n">
        <v>33571</v>
      </c>
      <c r="B1455" s="534" t="n">
        <v>8.885</v>
      </c>
      <c r="C1455" s="534" t="n">
        <v>4149.8</v>
      </c>
      <c r="E1455" s="535" t="n">
        <v>37391</v>
      </c>
      <c r="F1455" s="534" t="n">
        <v>6.044</v>
      </c>
      <c r="G1455" s="554" t="n"/>
    </row>
    <row r="1456">
      <c r="A1456" s="535" t="n">
        <v>33574</v>
      </c>
      <c r="B1456" s="534" t="n">
        <v>8.667999999999999</v>
      </c>
      <c r="C1456" s="534" t="n">
        <v>4094.42</v>
      </c>
      <c r="E1456" s="535" t="n">
        <v>37392</v>
      </c>
      <c r="F1456" s="534" t="n">
        <v>6.011</v>
      </c>
      <c r="G1456" s="554" t="n"/>
    </row>
    <row r="1457">
      <c r="A1457" s="535" t="n">
        <v>33575</v>
      </c>
      <c r="B1457" s="534" t="n">
        <v>8.798</v>
      </c>
      <c r="C1457" s="534" t="n">
        <v>4124.38</v>
      </c>
      <c r="E1457" s="535" t="n">
        <v>37393</v>
      </c>
      <c r="F1457" s="534" t="n">
        <v>5.944</v>
      </c>
      <c r="G1457" s="554" t="n"/>
    </row>
    <row r="1458">
      <c r="A1458" s="535" t="n">
        <v>33576</v>
      </c>
      <c r="B1458" s="534" t="n">
        <v>8.885</v>
      </c>
      <c r="C1458" s="534" t="n">
        <v>4161.59</v>
      </c>
      <c r="E1458" s="535" t="n">
        <v>37396</v>
      </c>
      <c r="F1458" s="534" t="n">
        <v>5.944</v>
      </c>
      <c r="G1458" s="554" t="n"/>
    </row>
    <row r="1459">
      <c r="A1459" s="535" t="n">
        <v>33577</v>
      </c>
      <c r="B1459" s="534" t="n">
        <v>8.972</v>
      </c>
      <c r="C1459" s="534" t="n">
        <v>4157.15</v>
      </c>
      <c r="E1459" s="535" t="n">
        <v>37397</v>
      </c>
      <c r="F1459" s="534" t="n">
        <v>5.888</v>
      </c>
      <c r="G1459" s="554" t="n"/>
    </row>
    <row r="1460">
      <c r="A1460" s="535" t="n">
        <v>33578</v>
      </c>
      <c r="B1460" s="534" t="n">
        <v>8.972</v>
      </c>
      <c r="C1460" s="534" t="n">
        <v>4190.04</v>
      </c>
      <c r="E1460" s="535" t="n">
        <v>37398</v>
      </c>
      <c r="F1460" s="534" t="n">
        <v>5.796</v>
      </c>
      <c r="G1460" s="554" t="n"/>
    </row>
    <row r="1461">
      <c r="A1461" s="535" t="n">
        <v>33581</v>
      </c>
      <c r="B1461" s="534" t="n">
        <v>8.885</v>
      </c>
      <c r="C1461" s="534" t="n">
        <v>4203.2</v>
      </c>
      <c r="E1461" s="535" t="n">
        <v>37399</v>
      </c>
      <c r="F1461" s="534" t="n">
        <v>5.793</v>
      </c>
      <c r="G1461" s="554" t="n"/>
    </row>
    <row r="1462">
      <c r="A1462" s="535" t="n">
        <v>33582</v>
      </c>
      <c r="B1462" s="534" t="n">
        <v>8.537000000000001</v>
      </c>
      <c r="C1462" s="534" t="n">
        <v>4128.32</v>
      </c>
      <c r="E1462" s="535" t="n">
        <v>37400</v>
      </c>
      <c r="F1462" s="534" t="n">
        <v>5.821</v>
      </c>
      <c r="G1462" s="554" t="n"/>
    </row>
    <row r="1463">
      <c r="A1463" s="535" t="n">
        <v>33583</v>
      </c>
      <c r="B1463" s="534" t="n">
        <v>8.449999999999999</v>
      </c>
      <c r="C1463" s="534" t="n">
        <v>4097.23</v>
      </c>
      <c r="E1463" s="535" t="n">
        <v>37403</v>
      </c>
      <c r="F1463" s="534" t="n">
        <v>5.834</v>
      </c>
      <c r="G1463" s="554" t="n"/>
    </row>
    <row r="1464">
      <c r="A1464" s="535" t="n">
        <v>33584</v>
      </c>
      <c r="B1464" s="534" t="n">
        <v>8.449999999999999</v>
      </c>
      <c r="C1464" s="534" t="n">
        <v>4096</v>
      </c>
      <c r="E1464" s="535" t="n">
        <v>37404</v>
      </c>
      <c r="F1464" s="534" t="n">
        <v>5.873</v>
      </c>
      <c r="G1464" s="554" t="n"/>
    </row>
    <row r="1465">
      <c r="A1465" s="535" t="n">
        <v>33585</v>
      </c>
      <c r="B1465" s="534" t="n">
        <v>8.449999999999999</v>
      </c>
      <c r="C1465" s="534" t="n">
        <v>4155.48</v>
      </c>
      <c r="E1465" s="535" t="n">
        <v>37405</v>
      </c>
      <c r="F1465" s="534" t="n">
        <v>5.796</v>
      </c>
      <c r="G1465" s="554" t="n"/>
    </row>
    <row r="1466">
      <c r="A1466" s="535" t="n">
        <v>33588</v>
      </c>
      <c r="B1466" s="534" t="n">
        <v>8.449999999999999</v>
      </c>
      <c r="C1466" s="534" t="n">
        <v>4171.66</v>
      </c>
      <c r="E1466" s="535" t="n">
        <v>37406</v>
      </c>
      <c r="F1466" s="534" t="n">
        <v>5.741</v>
      </c>
      <c r="G1466" s="554" t="n"/>
    </row>
    <row r="1467">
      <c r="A1467" s="535" t="n">
        <v>33589</v>
      </c>
      <c r="B1467" s="534" t="n">
        <v>8.363</v>
      </c>
      <c r="C1467" s="534" t="n">
        <v>4185.03</v>
      </c>
      <c r="E1467" s="535" t="n">
        <v>37407</v>
      </c>
      <c r="F1467" s="534" t="n">
        <v>5.74</v>
      </c>
      <c r="G1467" s="554" t="n"/>
    </row>
    <row r="1468">
      <c r="A1468" s="535" t="n">
        <v>33590</v>
      </c>
      <c r="B1468" s="534" t="n">
        <v>8.363</v>
      </c>
      <c r="C1468" s="534" t="n">
        <v>4177.67</v>
      </c>
      <c r="E1468" s="535" t="n">
        <v>37410</v>
      </c>
      <c r="F1468" s="534" t="n">
        <v>5.772</v>
      </c>
      <c r="G1468" s="554" t="n"/>
    </row>
    <row r="1469">
      <c r="A1469" s="535" t="n">
        <v>33591</v>
      </c>
      <c r="B1469" s="534" t="n">
        <v>8.363</v>
      </c>
      <c r="C1469" s="534" t="n">
        <v>4182.81</v>
      </c>
      <c r="E1469" s="535" t="n">
        <v>37411</v>
      </c>
      <c r="F1469" s="534" t="n">
        <v>5.722</v>
      </c>
      <c r="G1469" s="554" t="n"/>
    </row>
    <row r="1470">
      <c r="A1470" s="535" t="n">
        <v>33592</v>
      </c>
      <c r="B1470" s="534" t="n">
        <v>8.319000000000001</v>
      </c>
      <c r="C1470" s="534" t="n">
        <v>4142.61</v>
      </c>
      <c r="E1470" s="535" t="n">
        <v>37412</v>
      </c>
      <c r="F1470" s="534" t="n">
        <v>5.75</v>
      </c>
      <c r="G1470" s="554" t="n"/>
    </row>
    <row r="1471">
      <c r="A1471" s="535" t="n">
        <v>33595</v>
      </c>
      <c r="B1471" s="534" t="n">
        <v>8.276</v>
      </c>
      <c r="C1471" s="534" t="n">
        <v>4146.12</v>
      </c>
      <c r="E1471" s="535" t="n">
        <v>37413</v>
      </c>
      <c r="F1471" s="534" t="n">
        <v>5.77</v>
      </c>
      <c r="G1471" s="554" t="n"/>
    </row>
    <row r="1472">
      <c r="A1472" s="535" t="n">
        <v>33596</v>
      </c>
      <c r="B1472" s="534" t="n">
        <v>8.406000000000001</v>
      </c>
      <c r="C1472" s="534" t="n">
        <v>4192.76</v>
      </c>
      <c r="E1472" s="535" t="n">
        <v>37414</v>
      </c>
      <c r="F1472" s="534" t="n">
        <v>5.697</v>
      </c>
      <c r="G1472" s="554" t="n"/>
    </row>
    <row r="1473">
      <c r="A1473" s="535" t="n">
        <v>33597</v>
      </c>
      <c r="B1473" s="534" t="n">
        <v>8.406000000000001</v>
      </c>
      <c r="C1473" s="534" t="n">
        <v>4192.76</v>
      </c>
      <c r="E1473" s="535" t="n">
        <v>37417</v>
      </c>
      <c r="F1473" s="534" t="n">
        <v>5.809</v>
      </c>
      <c r="G1473" s="554" t="n"/>
    </row>
    <row r="1474">
      <c r="A1474" s="535" t="n">
        <v>33598</v>
      </c>
      <c r="B1474" s="534" t="n">
        <v>8.406000000000001</v>
      </c>
      <c r="C1474" s="534" t="n">
        <v>4192.76</v>
      </c>
      <c r="E1474" s="535" t="n">
        <v>37418</v>
      </c>
      <c r="F1474" s="534" t="n">
        <v>5.761</v>
      </c>
      <c r="G1474" s="554" t="n"/>
    </row>
    <row r="1475">
      <c r="A1475" s="535" t="n">
        <v>33599</v>
      </c>
      <c r="B1475" s="534" t="n">
        <v>8.406000000000001</v>
      </c>
      <c r="C1475" s="534" t="n">
        <v>4236.2</v>
      </c>
      <c r="E1475" s="535" t="n">
        <v>37419</v>
      </c>
      <c r="F1475" s="534" t="n">
        <v>5.768</v>
      </c>
      <c r="G1475" s="554" t="n"/>
    </row>
    <row r="1476">
      <c r="A1476" s="535" t="n">
        <v>33602</v>
      </c>
      <c r="B1476" s="534" t="n">
        <v>8.58</v>
      </c>
      <c r="C1476" s="534" t="n">
        <v>4275.2</v>
      </c>
      <c r="E1476" s="535" t="n">
        <v>37420</v>
      </c>
      <c r="F1476" s="534" t="n">
        <v>5.802</v>
      </c>
      <c r="G1476" s="554" t="n"/>
    </row>
    <row r="1477">
      <c r="A1477" s="535" t="n">
        <v>33603</v>
      </c>
      <c r="B1477" s="534" t="n">
        <v>8.667999999999999</v>
      </c>
      <c r="C1477" s="534" t="n">
        <v>4297.33</v>
      </c>
      <c r="E1477" s="535" t="n">
        <v>37421</v>
      </c>
      <c r="F1477" s="534" t="n">
        <v>5.694</v>
      </c>
      <c r="G1477" s="554" t="n"/>
    </row>
    <row r="1478">
      <c r="A1478" s="535" t="n">
        <v>33604</v>
      </c>
      <c r="B1478" s="534" t="n">
        <v>8.667999999999999</v>
      </c>
      <c r="C1478" s="534" t="n">
        <v>4297.33</v>
      </c>
      <c r="E1478" s="535" t="n">
        <v>37424</v>
      </c>
      <c r="F1478" s="534" t="n">
        <v>5.547</v>
      </c>
      <c r="G1478" s="554" t="n"/>
    </row>
    <row r="1479">
      <c r="A1479" s="535" t="n">
        <v>33605</v>
      </c>
      <c r="B1479" s="534" t="n">
        <v>8.58</v>
      </c>
      <c r="C1479" s="534" t="n">
        <v>4301.78</v>
      </c>
      <c r="E1479" s="535" t="n">
        <v>37425</v>
      </c>
      <c r="F1479" s="534" t="n">
        <v>5.587</v>
      </c>
      <c r="G1479" s="554" t="n"/>
    </row>
    <row r="1480">
      <c r="A1480" s="535" t="n">
        <v>33606</v>
      </c>
      <c r="B1480" s="534" t="n">
        <v>8.58</v>
      </c>
      <c r="C1480" s="534" t="n">
        <v>4307.13</v>
      </c>
      <c r="E1480" s="535" t="n">
        <v>37426</v>
      </c>
      <c r="F1480" s="534" t="n">
        <v>5.49</v>
      </c>
      <c r="G1480" s="554" t="n"/>
    </row>
    <row r="1481">
      <c r="A1481" s="535" t="n">
        <v>33609</v>
      </c>
      <c r="B1481" s="534" t="n">
        <v>8.667999999999999</v>
      </c>
      <c r="C1481" s="534" t="n">
        <v>4306.97</v>
      </c>
      <c r="E1481" s="535" t="n">
        <v>37427</v>
      </c>
      <c r="F1481" s="534" t="n">
        <v>5.422</v>
      </c>
      <c r="G1481" s="554" t="n"/>
    </row>
    <row r="1482">
      <c r="A1482" s="535" t="n">
        <v>33610</v>
      </c>
      <c r="B1482" s="534" t="n">
        <v>8.798</v>
      </c>
      <c r="C1482" s="534" t="n">
        <v>4347.93</v>
      </c>
      <c r="E1482" s="535" t="n">
        <v>37428</v>
      </c>
      <c r="F1482" s="534" t="n">
        <v>5.431</v>
      </c>
      <c r="G1482" s="554" t="n"/>
    </row>
    <row r="1483">
      <c r="A1483" s="535" t="n">
        <v>33611</v>
      </c>
      <c r="B1483" s="534" t="n">
        <v>8.798</v>
      </c>
      <c r="C1483" s="534" t="n">
        <v>4337.67</v>
      </c>
      <c r="E1483" s="535" t="n">
        <v>37431</v>
      </c>
      <c r="F1483" s="534" t="n">
        <v>5.392</v>
      </c>
      <c r="G1483" s="554" t="n"/>
    </row>
    <row r="1484">
      <c r="A1484" s="535" t="n">
        <v>33612</v>
      </c>
      <c r="B1484" s="534" t="n">
        <v>8.711</v>
      </c>
      <c r="C1484" s="534" t="n">
        <v>4334.54</v>
      </c>
      <c r="E1484" s="535" t="n">
        <v>37432</v>
      </c>
      <c r="F1484" s="534" t="n">
        <v>5.493</v>
      </c>
      <c r="G1484" s="554" t="n"/>
    </row>
    <row r="1485">
      <c r="A1485" s="535" t="n">
        <v>33613</v>
      </c>
      <c r="B1485" s="534" t="n">
        <v>8.798</v>
      </c>
      <c r="C1485" s="534" t="n">
        <v>4348.92</v>
      </c>
      <c r="E1485" s="535" t="n">
        <v>37433</v>
      </c>
      <c r="F1485" s="534" t="n">
        <v>5.284</v>
      </c>
      <c r="G1485" s="554" t="n"/>
    </row>
    <row r="1486">
      <c r="A1486" s="535" t="n">
        <v>33616</v>
      </c>
      <c r="B1486" s="534" t="n">
        <v>8.711</v>
      </c>
      <c r="C1486" s="534" t="n">
        <v>4325.91</v>
      </c>
      <c r="E1486" s="535" t="n">
        <v>37434</v>
      </c>
      <c r="F1486" s="534" t="n">
        <v>5.34</v>
      </c>
      <c r="G1486" s="554" t="n"/>
    </row>
    <row r="1487">
      <c r="A1487" s="535" t="n">
        <v>33617</v>
      </c>
      <c r="B1487" s="534" t="n">
        <v>8.711</v>
      </c>
      <c r="C1487" s="534" t="n">
        <v>4367.61</v>
      </c>
      <c r="E1487" s="535" t="n">
        <v>37435</v>
      </c>
      <c r="F1487" s="534" t="n">
        <v>5.405</v>
      </c>
      <c r="G1487" s="554" t="n"/>
    </row>
    <row r="1488">
      <c r="A1488" s="535" t="n">
        <v>33618</v>
      </c>
      <c r="B1488" s="534" t="n">
        <v>8.885</v>
      </c>
      <c r="C1488" s="534" t="n">
        <v>4382.66</v>
      </c>
      <c r="E1488" s="535" t="n">
        <v>37438</v>
      </c>
      <c r="F1488" s="534" t="n">
        <v>5.405</v>
      </c>
      <c r="G1488" s="554" t="n"/>
    </row>
    <row r="1489">
      <c r="A1489" s="535" t="n">
        <v>33619</v>
      </c>
      <c r="B1489" s="534" t="n">
        <v>8.885</v>
      </c>
      <c r="C1489" s="534" t="n">
        <v>4412.14</v>
      </c>
      <c r="E1489" s="535" t="n">
        <v>37439</v>
      </c>
      <c r="F1489" s="534" t="n">
        <v>5.363</v>
      </c>
      <c r="G1489" s="554" t="n"/>
    </row>
    <row r="1490">
      <c r="A1490" s="535" t="n">
        <v>33620</v>
      </c>
      <c r="B1490" s="534" t="n">
        <v>8.972</v>
      </c>
      <c r="C1490" s="534" t="n">
        <v>4454.89</v>
      </c>
      <c r="E1490" s="535" t="n">
        <v>37440</v>
      </c>
      <c r="F1490" s="534" t="n">
        <v>5.335</v>
      </c>
      <c r="G1490" s="554" t="n"/>
    </row>
    <row r="1491">
      <c r="A1491" s="535" t="n">
        <v>33623</v>
      </c>
      <c r="B1491" s="534" t="n">
        <v>8.972</v>
      </c>
      <c r="C1491" s="534" t="n">
        <v>4510.47</v>
      </c>
      <c r="E1491" s="535" t="n">
        <v>37441</v>
      </c>
      <c r="F1491" s="534" t="n">
        <v>5.362</v>
      </c>
      <c r="G1491" s="554" t="n"/>
    </row>
    <row r="1492">
      <c r="A1492" s="535" t="n">
        <v>33624</v>
      </c>
      <c r="B1492" s="534" t="n">
        <v>8.972</v>
      </c>
      <c r="C1492" s="534" t="n">
        <v>4522.21</v>
      </c>
      <c r="E1492" s="535" t="n">
        <v>37442</v>
      </c>
      <c r="F1492" s="534" t="n">
        <v>5.44</v>
      </c>
      <c r="G1492" s="554" t="n"/>
    </row>
    <row r="1493">
      <c r="A1493" s="535" t="n">
        <v>33625</v>
      </c>
      <c r="B1493" s="534" t="n">
        <v>9.06</v>
      </c>
      <c r="C1493" s="534" t="n">
        <v>4550.72</v>
      </c>
      <c r="E1493" s="535" t="n">
        <v>37445</v>
      </c>
      <c r="F1493" s="534" t="n">
        <v>5.419</v>
      </c>
      <c r="G1493" s="554" t="n"/>
    </row>
    <row r="1494">
      <c r="A1494" s="535" t="n">
        <v>33626</v>
      </c>
      <c r="B1494" s="534" t="n">
        <v>9.147</v>
      </c>
      <c r="C1494" s="534" t="n">
        <v>4625.84</v>
      </c>
      <c r="E1494" s="535" t="n">
        <v>37446</v>
      </c>
      <c r="F1494" s="534" t="n">
        <v>5.426</v>
      </c>
      <c r="G1494" s="554" t="n"/>
    </row>
    <row r="1495">
      <c r="A1495" s="535" t="n">
        <v>33627</v>
      </c>
      <c r="B1495" s="534" t="n">
        <v>9.06</v>
      </c>
      <c r="C1495" s="534" t="n">
        <v>4600.08</v>
      </c>
      <c r="E1495" s="535" t="n">
        <v>37447</v>
      </c>
      <c r="F1495" s="534" t="n">
        <v>5.325</v>
      </c>
      <c r="G1495" s="554" t="n"/>
    </row>
    <row r="1496">
      <c r="A1496" s="535" t="n">
        <v>33630</v>
      </c>
      <c r="B1496" s="534" t="n">
        <v>9.06</v>
      </c>
      <c r="C1496" s="534" t="n">
        <v>4554.73</v>
      </c>
      <c r="E1496" s="535" t="n">
        <v>37448</v>
      </c>
      <c r="F1496" s="534" t="n">
        <v>5.217</v>
      </c>
      <c r="G1496" s="554" t="n"/>
    </row>
    <row r="1497">
      <c r="A1497" s="535" t="n">
        <v>33631</v>
      </c>
      <c r="B1497" s="534" t="n">
        <v>9.06</v>
      </c>
      <c r="C1497" s="534" t="n">
        <v>4586.33</v>
      </c>
      <c r="E1497" s="535" t="n">
        <v>37449</v>
      </c>
      <c r="F1497" s="534" t="n">
        <v>5.26</v>
      </c>
      <c r="G1497" s="554" t="n"/>
    </row>
    <row r="1498">
      <c r="A1498" s="535" t="n">
        <v>33632</v>
      </c>
      <c r="B1498" s="534" t="n">
        <v>8.972</v>
      </c>
      <c r="C1498" s="534" t="n">
        <v>4571.13</v>
      </c>
      <c r="E1498" s="535" t="n">
        <v>37452</v>
      </c>
      <c r="F1498" s="534" t="n">
        <v>5.203</v>
      </c>
      <c r="G1498" s="554" t="n"/>
    </row>
    <row r="1499">
      <c r="A1499" s="535" t="n">
        <v>33633</v>
      </c>
      <c r="B1499" s="534" t="n">
        <v>9.147</v>
      </c>
      <c r="C1499" s="534" t="n">
        <v>4571.47</v>
      </c>
      <c r="E1499" s="535" t="n">
        <v>37453</v>
      </c>
      <c r="F1499" s="534" t="n">
        <v>5.216</v>
      </c>
      <c r="G1499" s="554" t="n"/>
    </row>
    <row r="1500">
      <c r="A1500" s="535" t="n">
        <v>33634</v>
      </c>
      <c r="B1500" s="534" t="n">
        <v>9.147</v>
      </c>
      <c r="C1500" s="534" t="n">
        <v>4601.78</v>
      </c>
      <c r="E1500" s="535" t="n">
        <v>37454</v>
      </c>
      <c r="F1500" s="534" t="n">
        <v>5.281</v>
      </c>
      <c r="G1500" s="554" t="n"/>
    </row>
    <row r="1501">
      <c r="A1501" s="535" t="n">
        <v>33637</v>
      </c>
      <c r="B1501" s="534" t="n">
        <v>9.321</v>
      </c>
      <c r="C1501" s="534" t="n">
        <v>4672.09</v>
      </c>
      <c r="E1501" s="535" t="n">
        <v>37455</v>
      </c>
      <c r="F1501" s="534" t="n">
        <v>5.32</v>
      </c>
      <c r="G1501" s="554" t="n"/>
    </row>
    <row r="1502">
      <c r="A1502" s="535" t="n">
        <v>33638</v>
      </c>
      <c r="B1502" s="534" t="n">
        <v>9.321</v>
      </c>
      <c r="C1502" s="534" t="n">
        <v>4672.09</v>
      </c>
      <c r="E1502" s="535" t="n">
        <v>37456</v>
      </c>
      <c r="F1502" s="534" t="n">
        <v>5.209</v>
      </c>
      <c r="G1502" s="554" t="n"/>
    </row>
    <row r="1503">
      <c r="A1503" s="535" t="n">
        <v>33639</v>
      </c>
      <c r="B1503" s="534" t="n">
        <v>9.321</v>
      </c>
      <c r="C1503" s="534" t="n">
        <v>4672.09</v>
      </c>
      <c r="E1503" s="535" t="n">
        <v>37459</v>
      </c>
      <c r="F1503" s="534" t="n">
        <v>5.139</v>
      </c>
      <c r="G1503" s="554" t="n"/>
    </row>
    <row r="1504">
      <c r="A1504" s="535" t="n">
        <v>33640</v>
      </c>
      <c r="B1504" s="534" t="n">
        <v>9.321</v>
      </c>
      <c r="C1504" s="534" t="n">
        <v>4672.09</v>
      </c>
      <c r="E1504" s="535" t="n">
        <v>37460</v>
      </c>
      <c r="F1504" s="534" t="n">
        <v>5.153</v>
      </c>
      <c r="G1504" s="554" t="n"/>
    </row>
    <row r="1505">
      <c r="A1505" s="535" t="n">
        <v>33641</v>
      </c>
      <c r="B1505" s="534" t="n">
        <v>9.756</v>
      </c>
      <c r="C1505" s="534" t="n">
        <v>4711.37</v>
      </c>
      <c r="E1505" s="535" t="n">
        <v>37461</v>
      </c>
      <c r="F1505" s="534" t="n">
        <v>5.019</v>
      </c>
      <c r="G1505" s="554" t="n"/>
    </row>
    <row r="1506">
      <c r="A1506" s="535" t="n">
        <v>33644</v>
      </c>
      <c r="B1506" s="534" t="n">
        <v>9.930999999999999</v>
      </c>
      <c r="C1506" s="534" t="n">
        <v>4733.56</v>
      </c>
      <c r="E1506" s="535" t="n">
        <v>37462</v>
      </c>
      <c r="F1506" s="534" t="n">
        <v>5.035</v>
      </c>
      <c r="G1506" s="554" t="n"/>
    </row>
    <row r="1507">
      <c r="A1507" s="535" t="n">
        <v>33645</v>
      </c>
      <c r="B1507" s="534" t="n">
        <v>9.756</v>
      </c>
      <c r="C1507" s="534" t="n">
        <v>4674.52</v>
      </c>
      <c r="E1507" s="535" t="n">
        <v>37463</v>
      </c>
      <c r="F1507" s="534" t="n">
        <v>5.003</v>
      </c>
      <c r="G1507" s="554" t="n"/>
    </row>
    <row r="1508">
      <c r="A1508" s="535" t="n">
        <v>33646</v>
      </c>
      <c r="B1508" s="534" t="n">
        <v>9.930999999999999</v>
      </c>
      <c r="C1508" s="534" t="n">
        <v>4732.43</v>
      </c>
      <c r="E1508" s="535" t="n">
        <v>37466</v>
      </c>
      <c r="F1508" s="534" t="n">
        <v>5.066</v>
      </c>
      <c r="G1508" s="554" t="n"/>
    </row>
    <row r="1509">
      <c r="A1509" s="535" t="n">
        <v>33647</v>
      </c>
      <c r="B1509" s="534" t="n">
        <v>10.192</v>
      </c>
      <c r="C1509" s="534" t="n">
        <v>4763.5</v>
      </c>
      <c r="E1509" s="535" t="n">
        <v>37467</v>
      </c>
      <c r="F1509" s="534" t="n">
        <v>5.183</v>
      </c>
      <c r="G1509" s="554" t="n"/>
    </row>
    <row r="1510">
      <c r="A1510" s="535" t="n">
        <v>33648</v>
      </c>
      <c r="B1510" s="534" t="n">
        <v>10.105</v>
      </c>
      <c r="C1510" s="534" t="n">
        <v>4772.32</v>
      </c>
      <c r="E1510" s="535" t="n">
        <v>37468</v>
      </c>
      <c r="F1510" s="534" t="n">
        <v>5.207</v>
      </c>
      <c r="G1510" s="554" t="n"/>
    </row>
    <row r="1511">
      <c r="A1511" s="535" t="n">
        <v>33651</v>
      </c>
      <c r="B1511" s="534" t="n">
        <v>9.843999999999999</v>
      </c>
      <c r="C1511" s="534" t="n">
        <v>4719.19</v>
      </c>
      <c r="E1511" s="535" t="n">
        <v>37469</v>
      </c>
      <c r="F1511" s="534" t="n">
        <v>5.063</v>
      </c>
      <c r="G1511" s="554" t="n"/>
    </row>
    <row r="1512">
      <c r="A1512" s="535" t="n">
        <v>33652</v>
      </c>
      <c r="B1512" s="534" t="n">
        <v>9.930999999999999</v>
      </c>
      <c r="C1512" s="534" t="n">
        <v>4747.1</v>
      </c>
      <c r="E1512" s="535" t="n">
        <v>37470</v>
      </c>
      <c r="F1512" s="534" t="n">
        <v>4.999</v>
      </c>
      <c r="G1512" s="554" t="n"/>
    </row>
    <row r="1513">
      <c r="A1513" s="535" t="n">
        <v>33653</v>
      </c>
      <c r="B1513" s="534" t="n">
        <v>10.105</v>
      </c>
      <c r="C1513" s="534" t="n">
        <v>4725.7</v>
      </c>
      <c r="E1513" s="535" t="n">
        <v>37473</v>
      </c>
      <c r="F1513" s="534" t="n">
        <v>4.896</v>
      </c>
      <c r="G1513" s="554" t="n"/>
    </row>
    <row r="1514">
      <c r="A1514" s="535" t="n">
        <v>33654</v>
      </c>
      <c r="B1514" s="534" t="n">
        <v>10.105</v>
      </c>
      <c r="C1514" s="534" t="n">
        <v>4716</v>
      </c>
      <c r="E1514" s="535" t="n">
        <v>37474</v>
      </c>
      <c r="F1514" s="534" t="n">
        <v>4.813</v>
      </c>
      <c r="G1514" s="554" t="n"/>
    </row>
    <row r="1515">
      <c r="A1515" s="535" t="n">
        <v>33655</v>
      </c>
      <c r="B1515" s="534" t="n">
        <v>10.105</v>
      </c>
      <c r="C1515" s="534" t="n">
        <v>4736.47</v>
      </c>
      <c r="E1515" s="535" t="n">
        <v>37475</v>
      </c>
      <c r="F1515" s="534" t="n">
        <v>4.893</v>
      </c>
      <c r="G1515" s="554" t="n"/>
    </row>
    <row r="1516">
      <c r="A1516" s="535" t="n">
        <v>33658</v>
      </c>
      <c r="B1516" s="534" t="n">
        <v>9.930999999999999</v>
      </c>
      <c r="C1516" s="534" t="n">
        <v>4715.62</v>
      </c>
      <c r="E1516" s="535" t="n">
        <v>37476</v>
      </c>
      <c r="F1516" s="534" t="n">
        <v>4.853</v>
      </c>
      <c r="G1516" s="554" t="n"/>
    </row>
    <row r="1517">
      <c r="A1517" s="535" t="n">
        <v>33659</v>
      </c>
      <c r="B1517" s="534" t="n">
        <v>10.018</v>
      </c>
      <c r="C1517" s="534" t="n">
        <v>4760.2</v>
      </c>
      <c r="E1517" s="535" t="n">
        <v>37477</v>
      </c>
      <c r="F1517" s="534" t="n">
        <v>4.937</v>
      </c>
      <c r="G1517" s="554" t="n"/>
    </row>
    <row r="1518">
      <c r="A1518" s="535" t="n">
        <v>33660</v>
      </c>
      <c r="B1518" s="534" t="n">
        <v>9.930999999999999</v>
      </c>
      <c r="C1518" s="534" t="n">
        <v>4794.71</v>
      </c>
      <c r="E1518" s="535" t="n">
        <v>37480</v>
      </c>
      <c r="F1518" s="534" t="n">
        <v>4.82</v>
      </c>
      <c r="G1518" s="554" t="n"/>
    </row>
    <row r="1519">
      <c r="A1519" s="535" t="n">
        <v>33661</v>
      </c>
      <c r="B1519" s="534" t="n">
        <v>10.105</v>
      </c>
      <c r="C1519" s="534" t="n">
        <v>4895.13</v>
      </c>
      <c r="E1519" s="535" t="n">
        <v>37481</v>
      </c>
      <c r="F1519" s="534" t="n">
        <v>4.74</v>
      </c>
      <c r="G1519" s="554" t="n"/>
    </row>
    <row r="1520">
      <c r="A1520" s="535" t="n">
        <v>33662</v>
      </c>
      <c r="B1520" s="534" t="n">
        <v>10.453</v>
      </c>
      <c r="C1520" s="534" t="n">
        <v>4929.06</v>
      </c>
      <c r="E1520" s="535" t="n">
        <v>37482</v>
      </c>
      <c r="F1520" s="534" t="n">
        <v>4.591</v>
      </c>
      <c r="G1520" s="554" t="n"/>
    </row>
    <row r="1521">
      <c r="A1521" s="535" t="n">
        <v>33665</v>
      </c>
      <c r="B1521" s="534" t="n">
        <v>10.366</v>
      </c>
      <c r="C1521" s="534" t="n">
        <v>4952.19</v>
      </c>
      <c r="E1521" s="535" t="n">
        <v>37483</v>
      </c>
      <c r="F1521" s="534" t="n">
        <v>4.578</v>
      </c>
      <c r="G1521" s="554" t="n"/>
    </row>
    <row r="1522">
      <c r="A1522" s="535" t="n">
        <v>33666</v>
      </c>
      <c r="B1522" s="534" t="n">
        <v>10.366</v>
      </c>
      <c r="C1522" s="534" t="n">
        <v>4911.13</v>
      </c>
      <c r="E1522" s="535" t="n">
        <v>37484</v>
      </c>
      <c r="F1522" s="534" t="n">
        <v>4.633</v>
      </c>
      <c r="G1522" s="554" t="n"/>
    </row>
    <row r="1523">
      <c r="A1523" s="535" t="n">
        <v>33667</v>
      </c>
      <c r="B1523" s="534" t="n">
        <v>10.54</v>
      </c>
      <c r="C1523" s="534" t="n">
        <v>4954.5</v>
      </c>
      <c r="E1523" s="535" t="n">
        <v>37487</v>
      </c>
      <c r="F1523" s="534" t="n">
        <v>4.706</v>
      </c>
      <c r="G1523" s="554" t="n"/>
    </row>
    <row r="1524">
      <c r="A1524" s="535" t="n">
        <v>33668</v>
      </c>
      <c r="B1524" s="534" t="n">
        <v>10.279</v>
      </c>
      <c r="C1524" s="534" t="n">
        <v>4964.29</v>
      </c>
      <c r="E1524" s="535" t="n">
        <v>37488</v>
      </c>
      <c r="F1524" s="534" t="n">
        <v>4.709</v>
      </c>
      <c r="G1524" s="554" t="n"/>
    </row>
    <row r="1525">
      <c r="A1525" s="535" t="n">
        <v>33669</v>
      </c>
      <c r="B1525" s="534" t="n">
        <v>10.279</v>
      </c>
      <c r="C1525" s="534" t="n">
        <v>4908.9</v>
      </c>
      <c r="E1525" s="535" t="n">
        <v>37489</v>
      </c>
      <c r="F1525" s="534" t="n">
        <v>4.609</v>
      </c>
      <c r="G1525" s="554" t="n"/>
    </row>
    <row r="1526">
      <c r="A1526" s="535" t="n">
        <v>33672</v>
      </c>
      <c r="B1526" s="534" t="n">
        <v>10.453</v>
      </c>
      <c r="C1526" s="534" t="n">
        <v>4848.63</v>
      </c>
      <c r="E1526" s="535" t="n">
        <v>37490</v>
      </c>
      <c r="F1526" s="534" t="n">
        <v>4.654</v>
      </c>
      <c r="G1526" s="554" t="n"/>
    </row>
    <row r="1527">
      <c r="A1527" s="535" t="n">
        <v>33673</v>
      </c>
      <c r="B1527" s="534" t="n">
        <v>10.628</v>
      </c>
      <c r="C1527" s="534" t="n">
        <v>4918.95</v>
      </c>
      <c r="E1527" s="535" t="n">
        <v>37491</v>
      </c>
      <c r="F1527" s="534" t="n">
        <v>4.652</v>
      </c>
      <c r="G1527" s="554" t="n"/>
    </row>
    <row r="1528">
      <c r="A1528" s="535" t="n">
        <v>33674</v>
      </c>
      <c r="B1528" s="534" t="n">
        <v>11.063</v>
      </c>
      <c r="C1528" s="534" t="n">
        <v>5005.96</v>
      </c>
      <c r="E1528" s="535" t="n">
        <v>37494</v>
      </c>
      <c r="F1528" s="534" t="n">
        <v>4.633</v>
      </c>
      <c r="G1528" s="554" t="n"/>
    </row>
    <row r="1529">
      <c r="A1529" s="535" t="n">
        <v>33675</v>
      </c>
      <c r="B1529" s="534" t="n">
        <v>11.063</v>
      </c>
      <c r="C1529" s="534" t="n">
        <v>5042.81</v>
      </c>
      <c r="E1529" s="535" t="n">
        <v>37495</v>
      </c>
      <c r="F1529" s="534" t="n">
        <v>4.581</v>
      </c>
      <c r="G1529" s="554" t="n"/>
    </row>
    <row r="1530">
      <c r="A1530" s="535" t="n">
        <v>33676</v>
      </c>
      <c r="B1530" s="534" t="n">
        <v>10.976</v>
      </c>
      <c r="C1530" s="534" t="n">
        <v>5071.19</v>
      </c>
      <c r="E1530" s="535" t="n">
        <v>37496</v>
      </c>
      <c r="F1530" s="534" t="n">
        <v>4.571</v>
      </c>
      <c r="G1530" s="554" t="n"/>
    </row>
    <row r="1531">
      <c r="A1531" s="535" t="n">
        <v>33679</v>
      </c>
      <c r="B1531" s="534" t="n">
        <v>10.802</v>
      </c>
      <c r="C1531" s="534" t="n">
        <v>5059.86</v>
      </c>
      <c r="E1531" s="535" t="n">
        <v>37497</v>
      </c>
      <c r="F1531" s="534" t="n">
        <v>4.501</v>
      </c>
      <c r="G1531" s="554" t="n"/>
    </row>
    <row r="1532">
      <c r="A1532" s="535" t="n">
        <v>33680</v>
      </c>
      <c r="B1532" s="534" t="n">
        <v>10.54</v>
      </c>
      <c r="C1532" s="534" t="n">
        <v>5045.39</v>
      </c>
      <c r="E1532" s="535" t="n">
        <v>37498</v>
      </c>
      <c r="F1532" s="534" t="n">
        <v>4.412</v>
      </c>
      <c r="G1532" s="554" t="n"/>
    </row>
    <row r="1533">
      <c r="A1533" s="535" t="n">
        <v>33681</v>
      </c>
      <c r="B1533" s="534" t="n">
        <v>10.802</v>
      </c>
      <c r="C1533" s="534" t="n">
        <v>5036.07</v>
      </c>
      <c r="E1533" s="535" t="n">
        <v>37501</v>
      </c>
      <c r="F1533" s="534" t="n">
        <v>4.35</v>
      </c>
      <c r="G1533" s="554" t="n"/>
    </row>
    <row r="1534">
      <c r="A1534" s="535" t="n">
        <v>33682</v>
      </c>
      <c r="B1534" s="534" t="n">
        <v>10.54</v>
      </c>
      <c r="C1534" s="534" t="n">
        <v>4990.59</v>
      </c>
      <c r="E1534" s="535" t="n">
        <v>37502</v>
      </c>
      <c r="F1534" s="534" t="n">
        <v>4.243</v>
      </c>
      <c r="G1534" s="554" t="n"/>
    </row>
    <row r="1535">
      <c r="A1535" s="535" t="n">
        <v>33683</v>
      </c>
      <c r="B1535" s="534" t="n">
        <v>10.366</v>
      </c>
      <c r="C1535" s="534" t="n">
        <v>5015.81</v>
      </c>
      <c r="E1535" s="535" t="n">
        <v>37503</v>
      </c>
      <c r="F1535" s="534" t="n">
        <v>4.093</v>
      </c>
      <c r="G1535" s="554" t="n"/>
    </row>
    <row r="1536">
      <c r="A1536" s="535" t="n">
        <v>33686</v>
      </c>
      <c r="B1536" s="534" t="n">
        <v>10.453</v>
      </c>
      <c r="C1536" s="534" t="n">
        <v>5061.14</v>
      </c>
      <c r="E1536" s="535" t="n">
        <v>37504</v>
      </c>
      <c r="F1536" s="534" t="n">
        <v>4.15</v>
      </c>
      <c r="G1536" s="554" t="n"/>
    </row>
    <row r="1537">
      <c r="A1537" s="535" t="n">
        <v>33687</v>
      </c>
      <c r="B1537" s="534" t="n">
        <v>10.366</v>
      </c>
      <c r="C1537" s="534" t="n">
        <v>5052.32</v>
      </c>
      <c r="E1537" s="535" t="n">
        <v>37505</v>
      </c>
      <c r="F1537" s="534" t="n">
        <v>4.235</v>
      </c>
      <c r="G1537" s="554" t="n"/>
    </row>
    <row r="1538">
      <c r="A1538" s="535" t="n">
        <v>33688</v>
      </c>
      <c r="B1538" s="534" t="n">
        <v>10.453</v>
      </c>
      <c r="C1538" s="534" t="n">
        <v>5052.23</v>
      </c>
      <c r="E1538" s="535" t="n">
        <v>37508</v>
      </c>
      <c r="F1538" s="534" t="n">
        <v>4.378</v>
      </c>
      <c r="G1538" s="554" t="n"/>
    </row>
    <row r="1539">
      <c r="A1539" s="535" t="n">
        <v>33689</v>
      </c>
      <c r="B1539" s="534" t="n">
        <v>10.453</v>
      </c>
      <c r="C1539" s="534" t="n">
        <v>5037.71</v>
      </c>
      <c r="E1539" s="535" t="n">
        <v>37509</v>
      </c>
      <c r="F1539" s="534" t="n">
        <v>4.414</v>
      </c>
      <c r="G1539" s="554" t="n"/>
    </row>
    <row r="1540">
      <c r="A1540" s="535" t="n">
        <v>33690</v>
      </c>
      <c r="B1540" s="534" t="n">
        <v>10.279</v>
      </c>
      <c r="C1540" s="534" t="n">
        <v>5007.58</v>
      </c>
      <c r="E1540" s="535" t="n">
        <v>37510</v>
      </c>
      <c r="F1540" s="534" t="n">
        <v>4.391</v>
      </c>
      <c r="G1540" s="554" t="n"/>
    </row>
    <row r="1541">
      <c r="A1541" s="535" t="n">
        <v>33693</v>
      </c>
      <c r="B1541" s="534" t="n">
        <v>10.279</v>
      </c>
      <c r="C1541" s="534" t="n">
        <v>4978.27</v>
      </c>
      <c r="E1541" s="535" t="n">
        <v>37511</v>
      </c>
      <c r="F1541" s="534" t="n">
        <v>4.483</v>
      </c>
      <c r="G1541" s="554" t="n"/>
    </row>
    <row r="1542">
      <c r="A1542" s="535" t="n">
        <v>33694</v>
      </c>
      <c r="B1542" s="534" t="n">
        <v>10.105</v>
      </c>
      <c r="C1542" s="534" t="n">
        <v>4938.3</v>
      </c>
      <c r="E1542" s="535" t="n">
        <v>37512</v>
      </c>
      <c r="F1542" s="534" t="n">
        <v>4.316</v>
      </c>
      <c r="G1542" s="554" t="n"/>
    </row>
    <row r="1543">
      <c r="A1543" s="535" t="n">
        <v>33695</v>
      </c>
      <c r="B1543" s="534" t="n">
        <v>10.105</v>
      </c>
      <c r="C1543" s="534" t="n">
        <v>4909.96</v>
      </c>
      <c r="E1543" s="535" t="n">
        <v>37515</v>
      </c>
      <c r="F1543" s="534" t="n">
        <v>4.297</v>
      </c>
      <c r="G1543" s="554" t="n"/>
    </row>
    <row r="1544">
      <c r="A1544" s="535" t="n">
        <v>33696</v>
      </c>
      <c r="B1544" s="534" t="n">
        <v>10.105</v>
      </c>
      <c r="C1544" s="534" t="n">
        <v>4924.27</v>
      </c>
      <c r="E1544" s="535" t="n">
        <v>37516</v>
      </c>
      <c r="F1544" s="534" t="n">
        <v>4.285</v>
      </c>
      <c r="G1544" s="554" t="n"/>
    </row>
    <row r="1545">
      <c r="A1545" s="535" t="n">
        <v>33697</v>
      </c>
      <c r="B1545" s="534" t="n">
        <v>10.192</v>
      </c>
      <c r="C1545" s="534" t="n">
        <v>4916.7</v>
      </c>
      <c r="E1545" s="535" t="n">
        <v>37517</v>
      </c>
      <c r="F1545" s="534" t="n">
        <v>4.191</v>
      </c>
      <c r="G1545" s="554" t="n"/>
    </row>
    <row r="1546">
      <c r="A1546" s="535" t="n">
        <v>33700</v>
      </c>
      <c r="B1546" s="534" t="n">
        <v>10.018</v>
      </c>
      <c r="C1546" s="534" t="n">
        <v>4896.9</v>
      </c>
      <c r="E1546" s="535" t="n">
        <v>37518</v>
      </c>
      <c r="F1546" s="534" t="n">
        <v>4.201</v>
      </c>
      <c r="G1546" s="554" t="n"/>
    </row>
    <row r="1547">
      <c r="A1547" s="535" t="n">
        <v>33701</v>
      </c>
      <c r="B1547" s="534" t="n">
        <v>9.669</v>
      </c>
      <c r="C1547" s="534" t="n">
        <v>4926.43</v>
      </c>
      <c r="E1547" s="535" t="n">
        <v>37519</v>
      </c>
      <c r="F1547" s="534" t="n">
        <v>4.211</v>
      </c>
      <c r="G1547" s="554" t="n"/>
    </row>
    <row r="1548">
      <c r="A1548" s="535" t="n">
        <v>33702</v>
      </c>
      <c r="B1548" s="534" t="n">
        <v>9.407999999999999</v>
      </c>
      <c r="C1548" s="534" t="n">
        <v>4827.58</v>
      </c>
      <c r="E1548" s="535" t="n">
        <v>37522</v>
      </c>
      <c r="F1548" s="534" t="n">
        <v>4.21</v>
      </c>
      <c r="G1548" s="554" t="n"/>
    </row>
    <row r="1549">
      <c r="A1549" s="535" t="n">
        <v>33703</v>
      </c>
      <c r="B1549" s="534" t="n">
        <v>9.234</v>
      </c>
      <c r="C1549" s="534" t="n">
        <v>4729.39</v>
      </c>
      <c r="E1549" s="535" t="n">
        <v>37523</v>
      </c>
      <c r="F1549" s="534" t="n">
        <v>4.17</v>
      </c>
      <c r="G1549" s="554" t="n"/>
    </row>
    <row r="1550">
      <c r="A1550" s="535" t="n">
        <v>33704</v>
      </c>
      <c r="B1550" s="534" t="n">
        <v>10.192</v>
      </c>
      <c r="C1550" s="534" t="n">
        <v>4921.11</v>
      </c>
      <c r="E1550" s="535" t="n">
        <v>37524</v>
      </c>
      <c r="F1550" s="534" t="n">
        <v>4.097</v>
      </c>
      <c r="G1550" s="554" t="n"/>
    </row>
    <row r="1551">
      <c r="A1551" s="535" t="n">
        <v>33707</v>
      </c>
      <c r="B1551" s="534" t="n">
        <v>9.930999999999999</v>
      </c>
      <c r="C1551" s="534" t="n">
        <v>4889.14</v>
      </c>
      <c r="E1551" s="535" t="n">
        <v>37525</v>
      </c>
      <c r="F1551" s="534" t="n">
        <v>4.21</v>
      </c>
      <c r="G1551" s="554" t="n"/>
    </row>
    <row r="1552">
      <c r="A1552" s="535" t="n">
        <v>33708</v>
      </c>
      <c r="B1552" s="534" t="n">
        <v>9.582000000000001</v>
      </c>
      <c r="C1552" s="534" t="n">
        <v>4883.53</v>
      </c>
      <c r="E1552" s="535" t="n">
        <v>37526</v>
      </c>
      <c r="F1552" s="534" t="n">
        <v>4.233</v>
      </c>
      <c r="G1552" s="554" t="n"/>
    </row>
    <row r="1553">
      <c r="A1553" s="535" t="n">
        <v>33709</v>
      </c>
      <c r="B1553" s="534" t="n">
        <v>9.930999999999999</v>
      </c>
      <c r="C1553" s="534" t="n">
        <v>4986.11</v>
      </c>
      <c r="E1553" s="535" t="n">
        <v>37529</v>
      </c>
      <c r="F1553" s="534" t="n">
        <v>4.177</v>
      </c>
      <c r="G1553" s="554" t="n"/>
    </row>
    <row r="1554">
      <c r="A1554" s="535" t="n">
        <v>33710</v>
      </c>
      <c r="B1554" s="534" t="n">
        <v>10.105</v>
      </c>
      <c r="C1554" s="534" t="n">
        <v>5082.69</v>
      </c>
      <c r="E1554" s="535" t="n">
        <v>37530</v>
      </c>
      <c r="F1554" s="534" t="n">
        <v>4.177</v>
      </c>
      <c r="G1554" s="554" t="n"/>
    </row>
    <row r="1555">
      <c r="A1555" s="535" t="n">
        <v>33711</v>
      </c>
      <c r="B1555" s="534" t="n">
        <v>10.105</v>
      </c>
      <c r="C1555" s="534" t="n">
        <v>5082.69</v>
      </c>
      <c r="E1555" s="535" t="n">
        <v>37531</v>
      </c>
      <c r="F1555" s="534" t="n">
        <v>4.28</v>
      </c>
      <c r="G1555" s="554" t="n"/>
    </row>
    <row r="1556">
      <c r="A1556" s="535" t="n">
        <v>33714</v>
      </c>
      <c r="B1556" s="534" t="n">
        <v>10.105</v>
      </c>
      <c r="C1556" s="534" t="n">
        <v>5082.69</v>
      </c>
      <c r="E1556" s="535" t="n">
        <v>37532</v>
      </c>
      <c r="F1556" s="534" t="n">
        <v>4.267</v>
      </c>
      <c r="G1556" s="554" t="n"/>
    </row>
    <row r="1557">
      <c r="A1557" s="535" t="n">
        <v>33715</v>
      </c>
      <c r="B1557" s="534" t="n">
        <v>10.018</v>
      </c>
      <c r="C1557" s="534" t="n">
        <v>5093.09</v>
      </c>
      <c r="E1557" s="535" t="n">
        <v>37533</v>
      </c>
      <c r="F1557" s="534" t="n">
        <v>4.26</v>
      </c>
      <c r="G1557" s="554" t="n"/>
    </row>
    <row r="1558">
      <c r="A1558" s="535" t="n">
        <v>33716</v>
      </c>
      <c r="B1558" s="534" t="n">
        <v>10.192</v>
      </c>
      <c r="C1558" s="534" t="n">
        <v>5189.03</v>
      </c>
      <c r="E1558" s="535" t="n">
        <v>37536</v>
      </c>
      <c r="F1558" s="534" t="n">
        <v>4.26</v>
      </c>
      <c r="G1558" s="554" t="n"/>
    </row>
    <row r="1559">
      <c r="A1559" s="535" t="n">
        <v>33717</v>
      </c>
      <c r="B1559" s="534" t="n">
        <v>10.366</v>
      </c>
      <c r="C1559" s="534" t="n">
        <v>5287.78</v>
      </c>
      <c r="E1559" s="535" t="n">
        <v>37537</v>
      </c>
      <c r="F1559" s="534" t="n">
        <v>4.314</v>
      </c>
      <c r="G1559" s="554" t="n"/>
    </row>
    <row r="1560">
      <c r="A1560" s="535" t="n">
        <v>33718</v>
      </c>
      <c r="B1560" s="534" t="n">
        <v>10.366</v>
      </c>
      <c r="C1560" s="534" t="n">
        <v>5330.17</v>
      </c>
      <c r="E1560" s="535" t="n">
        <v>37538</v>
      </c>
      <c r="F1560" s="534" t="n">
        <v>4.283</v>
      </c>
      <c r="G1560" s="554" t="n"/>
    </row>
    <row r="1561">
      <c r="A1561" s="535" t="n">
        <v>33721</v>
      </c>
      <c r="B1561" s="534" t="n">
        <v>10.453</v>
      </c>
      <c r="C1561" s="534" t="n">
        <v>5371.77</v>
      </c>
      <c r="E1561" s="535" t="n">
        <v>37539</v>
      </c>
      <c r="F1561" s="534" t="n">
        <v>4.265</v>
      </c>
      <c r="G1561" s="554" t="n"/>
    </row>
    <row r="1562">
      <c r="A1562" s="535" t="n">
        <v>33722</v>
      </c>
      <c r="B1562" s="534" t="n">
        <v>10.54</v>
      </c>
      <c r="C1562" s="534" t="n">
        <v>5423.39</v>
      </c>
      <c r="E1562" s="535" t="n">
        <v>37540</v>
      </c>
      <c r="F1562" s="534" t="n">
        <v>4.336</v>
      </c>
      <c r="G1562" s="554" t="n"/>
    </row>
    <row r="1563">
      <c r="A1563" s="535" t="n">
        <v>33723</v>
      </c>
      <c r="B1563" s="534" t="n">
        <v>10.279</v>
      </c>
      <c r="C1563" s="534" t="n">
        <v>5362.41</v>
      </c>
      <c r="E1563" s="535" t="n">
        <v>37543</v>
      </c>
      <c r="F1563" s="534" t="n">
        <v>4.336</v>
      </c>
      <c r="G1563" s="554" t="n"/>
    </row>
    <row r="1564">
      <c r="A1564" s="535" t="n">
        <v>33724</v>
      </c>
      <c r="B1564" s="534" t="n">
        <v>10.192</v>
      </c>
      <c r="C1564" s="534" t="n">
        <v>5369.57</v>
      </c>
      <c r="E1564" s="535" t="n">
        <v>37544</v>
      </c>
      <c r="F1564" s="534" t="n">
        <v>4.569</v>
      </c>
      <c r="G1564" s="554" t="n"/>
    </row>
    <row r="1565">
      <c r="A1565" s="535" t="n">
        <v>33725</v>
      </c>
      <c r="B1565" s="534" t="n">
        <v>10.366</v>
      </c>
      <c r="C1565" s="534" t="n">
        <v>5484.21</v>
      </c>
      <c r="E1565" s="535" t="n">
        <v>37545</v>
      </c>
      <c r="F1565" s="534" t="n">
        <v>4.603</v>
      </c>
      <c r="G1565" s="554" t="n"/>
    </row>
    <row r="1566">
      <c r="A1566" s="535" t="n">
        <v>33728</v>
      </c>
      <c r="B1566" s="534" t="n">
        <v>10.628</v>
      </c>
      <c r="C1566" s="534" t="n">
        <v>5613.78</v>
      </c>
      <c r="E1566" s="535" t="n">
        <v>37546</v>
      </c>
      <c r="F1566" s="534" t="n">
        <v>4.759</v>
      </c>
      <c r="G1566" s="554" t="n"/>
    </row>
    <row r="1567">
      <c r="A1567" s="535" t="n">
        <v>33729</v>
      </c>
      <c r="B1567" s="534" t="n">
        <v>11.15</v>
      </c>
      <c r="C1567" s="534" t="n">
        <v>5631.21</v>
      </c>
      <c r="E1567" s="535" t="n">
        <v>37547</v>
      </c>
      <c r="F1567" s="534" t="n">
        <v>4.718</v>
      </c>
      <c r="G1567" s="554" t="n"/>
    </row>
    <row r="1568">
      <c r="A1568" s="535" t="n">
        <v>33730</v>
      </c>
      <c r="B1568" s="534" t="n">
        <v>10.976</v>
      </c>
      <c r="C1568" s="534" t="n">
        <v>5581.2</v>
      </c>
      <c r="E1568" s="535" t="n">
        <v>37550</v>
      </c>
      <c r="F1568" s="534" t="n">
        <v>4.67</v>
      </c>
      <c r="G1568" s="554" t="n"/>
    </row>
    <row r="1569">
      <c r="A1569" s="535" t="n">
        <v>33731</v>
      </c>
      <c r="B1569" s="534" t="n">
        <v>11.237</v>
      </c>
      <c r="C1569" s="534" t="n">
        <v>5629.58</v>
      </c>
      <c r="E1569" s="535" t="n">
        <v>37551</v>
      </c>
      <c r="F1569" s="534" t="n">
        <v>4.782</v>
      </c>
      <c r="G1569" s="554" t="n"/>
    </row>
    <row r="1570">
      <c r="A1570" s="535" t="n">
        <v>33732</v>
      </c>
      <c r="B1570" s="534" t="n">
        <v>11.063</v>
      </c>
      <c r="C1570" s="534" t="n">
        <v>5608.19</v>
      </c>
      <c r="E1570" s="535" t="n">
        <v>37552</v>
      </c>
      <c r="F1570" s="534" t="n">
        <v>4.774</v>
      </c>
      <c r="G1570" s="554" t="n"/>
    </row>
    <row r="1571">
      <c r="A1571" s="535" t="n">
        <v>33735</v>
      </c>
      <c r="B1571" s="534" t="n">
        <v>11.063</v>
      </c>
      <c r="C1571" s="534" t="n">
        <v>5632.34</v>
      </c>
      <c r="E1571" s="535" t="n">
        <v>37553</v>
      </c>
      <c r="F1571" s="534" t="n">
        <v>4.863</v>
      </c>
      <c r="G1571" s="554" t="n"/>
    </row>
    <row r="1572">
      <c r="A1572" s="535" t="n">
        <v>33736</v>
      </c>
      <c r="B1572" s="534" t="n">
        <v>11.237</v>
      </c>
      <c r="C1572" s="534" t="n">
        <v>5705.93</v>
      </c>
      <c r="E1572" s="535" t="n">
        <v>37554</v>
      </c>
      <c r="F1572" s="534" t="n">
        <v>4.79</v>
      </c>
      <c r="G1572" s="554" t="n"/>
    </row>
    <row r="1573">
      <c r="A1573" s="535" t="n">
        <v>33737</v>
      </c>
      <c r="B1573" s="534" t="n">
        <v>11.324</v>
      </c>
      <c r="C1573" s="534" t="n">
        <v>5757.95</v>
      </c>
      <c r="E1573" s="535" t="n">
        <v>37557</v>
      </c>
      <c r="F1573" s="534" t="n">
        <v>4.7</v>
      </c>
      <c r="G1573" s="554" t="n"/>
    </row>
    <row r="1574">
      <c r="A1574" s="535" t="n">
        <v>33738</v>
      </c>
      <c r="B1574" s="534" t="n">
        <v>11.324</v>
      </c>
      <c r="C1574" s="534" t="n">
        <v>5746.45</v>
      </c>
      <c r="E1574" s="535" t="n">
        <v>37558</v>
      </c>
      <c r="F1574" s="534" t="n">
        <v>4.649</v>
      </c>
      <c r="G1574" s="554" t="n"/>
    </row>
    <row r="1575">
      <c r="A1575" s="535" t="n">
        <v>33739</v>
      </c>
      <c r="B1575" s="534" t="n">
        <v>11.063</v>
      </c>
      <c r="C1575" s="534" t="n">
        <v>5704.5</v>
      </c>
      <c r="E1575" s="535" t="n">
        <v>37559</v>
      </c>
      <c r="F1575" s="534" t="n">
        <v>4.565</v>
      </c>
      <c r="G1575" s="554" t="n"/>
    </row>
    <row r="1576">
      <c r="A1576" s="535" t="n">
        <v>33742</v>
      </c>
      <c r="B1576" s="534" t="n">
        <v>11.063</v>
      </c>
      <c r="C1576" s="534" t="n">
        <v>5637.09</v>
      </c>
      <c r="E1576" s="535" t="n">
        <v>37560</v>
      </c>
      <c r="F1576" s="534" t="n">
        <v>4.557</v>
      </c>
      <c r="G1576" s="554" t="n"/>
    </row>
    <row r="1577">
      <c r="A1577" s="535" t="n">
        <v>33743</v>
      </c>
      <c r="B1577" s="534" t="n">
        <v>11.063</v>
      </c>
      <c r="C1577" s="534" t="n">
        <v>5642.24</v>
      </c>
      <c r="E1577" s="535" t="n">
        <v>37561</v>
      </c>
      <c r="F1577" s="534" t="n">
        <v>4.533</v>
      </c>
      <c r="G1577" s="554" t="n"/>
    </row>
    <row r="1578">
      <c r="A1578" s="535" t="n">
        <v>33744</v>
      </c>
      <c r="B1578" s="534" t="n">
        <v>11.673</v>
      </c>
      <c r="C1578" s="534" t="n">
        <v>5753.76</v>
      </c>
      <c r="E1578" s="535" t="n">
        <v>37564</v>
      </c>
      <c r="F1578" s="534" t="n">
        <v>4.663</v>
      </c>
      <c r="G1578" s="554" t="n"/>
    </row>
    <row r="1579">
      <c r="A1579" s="535" t="n">
        <v>33745</v>
      </c>
      <c r="B1579" s="534" t="n">
        <v>11.76</v>
      </c>
      <c r="C1579" s="534" t="n">
        <v>5865.61</v>
      </c>
      <c r="E1579" s="535" t="n">
        <v>37565</v>
      </c>
      <c r="F1579" s="534" t="n">
        <v>4.72</v>
      </c>
      <c r="G1579" s="554" t="n"/>
    </row>
    <row r="1580">
      <c r="A1580" s="535" t="n">
        <v>33746</v>
      </c>
      <c r="B1580" s="534" t="n">
        <v>11.934</v>
      </c>
      <c r="C1580" s="534" t="n">
        <v>5859.68</v>
      </c>
      <c r="E1580" s="535" t="n">
        <v>37566</v>
      </c>
      <c r="F1580" s="534" t="n">
        <v>4.771</v>
      </c>
      <c r="G1580" s="554" t="n"/>
    </row>
    <row r="1581">
      <c r="A1581" s="535" t="n">
        <v>33749</v>
      </c>
      <c r="B1581" s="534" t="n">
        <v>11.934</v>
      </c>
      <c r="C1581" s="534" t="n">
        <v>5993.11</v>
      </c>
      <c r="E1581" s="535" t="n">
        <v>37567</v>
      </c>
      <c r="F1581" s="534" t="n">
        <v>4.544</v>
      </c>
      <c r="G1581" s="554" t="n"/>
    </row>
    <row r="1582">
      <c r="A1582" s="535" t="n">
        <v>33750</v>
      </c>
      <c r="B1582" s="534" t="n">
        <v>12.108</v>
      </c>
      <c r="C1582" s="534" t="n">
        <v>6052.08</v>
      </c>
      <c r="E1582" s="535" t="n">
        <v>37568</v>
      </c>
      <c r="F1582" s="534" t="n">
        <v>4.363</v>
      </c>
      <c r="G1582" s="554" t="n"/>
    </row>
    <row r="1583">
      <c r="A1583" s="535" t="n">
        <v>33751</v>
      </c>
      <c r="B1583" s="534" t="n">
        <v>11.847</v>
      </c>
      <c r="C1583" s="534" t="n">
        <v>6082.7</v>
      </c>
      <c r="E1583" s="535" t="n">
        <v>37571</v>
      </c>
      <c r="F1583" s="534" t="n">
        <v>4.26</v>
      </c>
      <c r="G1583" s="554" t="n"/>
    </row>
    <row r="1584">
      <c r="A1584" s="535" t="n">
        <v>33752</v>
      </c>
      <c r="B1584" s="534" t="n">
        <v>11.237</v>
      </c>
      <c r="C1584" s="534" t="n">
        <v>5988.13</v>
      </c>
      <c r="E1584" s="535" t="n">
        <v>37572</v>
      </c>
      <c r="F1584" s="534" t="n">
        <v>4.217</v>
      </c>
      <c r="G1584" s="554" t="n"/>
    </row>
    <row r="1585">
      <c r="A1585" s="535" t="n">
        <v>33753</v>
      </c>
      <c r="B1585" s="534" t="n">
        <v>11.237</v>
      </c>
      <c r="C1585" s="534" t="n">
        <v>6080.15</v>
      </c>
      <c r="E1585" s="535" t="n">
        <v>37573</v>
      </c>
      <c r="F1585" s="534" t="n">
        <v>4.259</v>
      </c>
      <c r="G1585" s="554" t="n"/>
    </row>
    <row r="1586">
      <c r="A1586" s="535" t="n">
        <v>33756</v>
      </c>
      <c r="B1586" s="534" t="n">
        <v>11.237</v>
      </c>
      <c r="C1586" s="534" t="n">
        <v>6056</v>
      </c>
      <c r="E1586" s="535" t="n">
        <v>37574</v>
      </c>
      <c r="F1586" s="534" t="n">
        <v>4.296</v>
      </c>
      <c r="G1586" s="554" t="n"/>
    </row>
    <row r="1587">
      <c r="A1587" s="535" t="n">
        <v>33757</v>
      </c>
      <c r="B1587" s="534" t="n">
        <v>11.15</v>
      </c>
      <c r="C1587" s="534" t="n">
        <v>6059.39</v>
      </c>
      <c r="E1587" s="535" t="n">
        <v>37575</v>
      </c>
      <c r="F1587" s="534" t="n">
        <v>4.573</v>
      </c>
      <c r="G1587" s="554" t="n"/>
    </row>
    <row r="1588">
      <c r="A1588" s="535" t="n">
        <v>33758</v>
      </c>
      <c r="B1588" s="534" t="n">
        <v>10.976</v>
      </c>
      <c r="C1588" s="534" t="n">
        <v>6037.37</v>
      </c>
      <c r="E1588" s="535" t="n">
        <v>37578</v>
      </c>
      <c r="F1588" s="534" t="n">
        <v>4.547</v>
      </c>
      <c r="G1588" s="554" t="n"/>
    </row>
    <row r="1589">
      <c r="A1589" s="535" t="n">
        <v>33759</v>
      </c>
      <c r="B1589" s="534" t="n">
        <v>11.15</v>
      </c>
      <c r="C1589" s="534" t="n">
        <v>6035.8</v>
      </c>
      <c r="E1589" s="535" t="n">
        <v>37579</v>
      </c>
      <c r="F1589" s="534" t="n">
        <v>4.493</v>
      </c>
      <c r="G1589" s="554" t="n"/>
    </row>
    <row r="1590">
      <c r="A1590" s="535" t="n">
        <v>33760</v>
      </c>
      <c r="B1590" s="534" t="n">
        <v>11.15</v>
      </c>
      <c r="C1590" s="534" t="n">
        <v>6035.8</v>
      </c>
      <c r="E1590" s="535" t="n">
        <v>37580</v>
      </c>
      <c r="F1590" s="534" t="n">
        <v>4.453</v>
      </c>
      <c r="G1590" s="554" t="n"/>
    </row>
    <row r="1591">
      <c r="A1591" s="535" t="n">
        <v>33763</v>
      </c>
      <c r="B1591" s="534" t="n">
        <v>10.802</v>
      </c>
      <c r="C1591" s="534" t="n">
        <v>5978.75</v>
      </c>
      <c r="E1591" s="535" t="n">
        <v>37581</v>
      </c>
      <c r="F1591" s="534" t="n">
        <v>4.478</v>
      </c>
      <c r="G1591" s="554" t="n"/>
    </row>
    <row r="1592">
      <c r="A1592" s="535" t="n">
        <v>33764</v>
      </c>
      <c r="B1592" s="534" t="n">
        <v>10.802</v>
      </c>
      <c r="C1592" s="534" t="n">
        <v>5940.19</v>
      </c>
      <c r="E1592" s="535" t="n">
        <v>37582</v>
      </c>
      <c r="F1592" s="534" t="n">
        <v>4.47</v>
      </c>
      <c r="G1592" s="554" t="n"/>
    </row>
    <row r="1593">
      <c r="A1593" s="535" t="n">
        <v>33765</v>
      </c>
      <c r="B1593" s="534" t="n">
        <v>10.628</v>
      </c>
      <c r="C1593" s="534" t="n">
        <v>5917.5</v>
      </c>
      <c r="E1593" s="535" t="n">
        <v>37585</v>
      </c>
      <c r="F1593" s="534" t="n">
        <v>4.508</v>
      </c>
      <c r="G1593" s="554" t="n"/>
    </row>
    <row r="1594">
      <c r="A1594" s="535" t="n">
        <v>33766</v>
      </c>
      <c r="B1594" s="534" t="n">
        <v>10.54</v>
      </c>
      <c r="C1594" s="534" t="n">
        <v>5826.54</v>
      </c>
      <c r="E1594" s="535" t="n">
        <v>37586</v>
      </c>
      <c r="F1594" s="534" t="n">
        <v>4.495</v>
      </c>
      <c r="G1594" s="554" t="n"/>
    </row>
    <row r="1595">
      <c r="A1595" s="535" t="n">
        <v>33767</v>
      </c>
      <c r="B1595" s="534" t="n">
        <v>10.366</v>
      </c>
      <c r="C1595" s="534" t="n">
        <v>5819.07</v>
      </c>
      <c r="E1595" s="535" t="n">
        <v>37587</v>
      </c>
      <c r="F1595" s="534" t="n">
        <v>4.47</v>
      </c>
      <c r="G1595" s="554" t="n"/>
    </row>
    <row r="1596">
      <c r="A1596" s="535" t="n">
        <v>33770</v>
      </c>
      <c r="B1596" s="534" t="n">
        <v>10.366</v>
      </c>
      <c r="C1596" s="534" t="n">
        <v>5819.07</v>
      </c>
      <c r="E1596" s="535" t="n">
        <v>37588</v>
      </c>
      <c r="F1596" s="534" t="n">
        <v>4.63</v>
      </c>
      <c r="G1596" s="554" t="n"/>
    </row>
    <row r="1597">
      <c r="A1597" s="535" t="n">
        <v>33771</v>
      </c>
      <c r="B1597" s="534" t="n">
        <v>10.54</v>
      </c>
      <c r="C1597" s="534" t="n">
        <v>5846.75</v>
      </c>
      <c r="E1597" s="535" t="n">
        <v>37589</v>
      </c>
      <c r="F1597" s="534" t="n">
        <v>4.699</v>
      </c>
      <c r="G1597" s="554" t="n"/>
    </row>
    <row r="1598">
      <c r="A1598" s="535" t="n">
        <v>33772</v>
      </c>
      <c r="B1598" s="534" t="n">
        <v>10.54</v>
      </c>
      <c r="C1598" s="534" t="n">
        <v>5846.06</v>
      </c>
      <c r="E1598" s="535" t="n">
        <v>37592</v>
      </c>
      <c r="F1598" s="534" t="n">
        <v>4.744</v>
      </c>
      <c r="G1598" s="554" t="n"/>
    </row>
    <row r="1599">
      <c r="A1599" s="535" t="n">
        <v>33773</v>
      </c>
      <c r="B1599" s="534" t="n">
        <v>10.54</v>
      </c>
      <c r="C1599" s="534" t="n">
        <v>5796.1</v>
      </c>
      <c r="E1599" s="535" t="n">
        <v>37593</v>
      </c>
      <c r="F1599" s="534" t="n">
        <v>4.751</v>
      </c>
      <c r="G1599" s="554" t="n"/>
    </row>
    <row r="1600">
      <c r="A1600" s="535" t="n">
        <v>33774</v>
      </c>
      <c r="B1600" s="534" t="n">
        <v>10.279</v>
      </c>
      <c r="C1600" s="534" t="n">
        <v>5787.6</v>
      </c>
      <c r="E1600" s="535" t="n">
        <v>37594</v>
      </c>
      <c r="F1600" s="534" t="n">
        <v>4.687</v>
      </c>
      <c r="G1600" s="554" t="n"/>
    </row>
    <row r="1601">
      <c r="A1601" s="535" t="n">
        <v>33777</v>
      </c>
      <c r="B1601" s="534" t="n">
        <v>10.192</v>
      </c>
      <c r="C1601" s="534" t="n">
        <v>5819.94</v>
      </c>
      <c r="E1601" s="535" t="n">
        <v>37595</v>
      </c>
      <c r="F1601" s="534" t="n">
        <v>4.673</v>
      </c>
      <c r="G1601" s="554" t="n"/>
    </row>
    <row r="1602">
      <c r="A1602" s="535" t="n">
        <v>33778</v>
      </c>
      <c r="B1602" s="534" t="n">
        <v>10.366</v>
      </c>
      <c r="C1602" s="534" t="n">
        <v>5897.86</v>
      </c>
      <c r="E1602" s="535" t="n">
        <v>37596</v>
      </c>
      <c r="F1602" s="534" t="n">
        <v>4.679</v>
      </c>
      <c r="G1602" s="554" t="n"/>
    </row>
    <row r="1603">
      <c r="A1603" s="535" t="n">
        <v>33779</v>
      </c>
      <c r="B1603" s="534" t="n">
        <v>10.54</v>
      </c>
      <c r="C1603" s="534" t="n">
        <v>5965.21</v>
      </c>
      <c r="E1603" s="535" t="n">
        <v>37599</v>
      </c>
      <c r="F1603" s="534" t="n">
        <v>4.624</v>
      </c>
      <c r="G1603" s="554" t="n"/>
    </row>
    <row r="1604">
      <c r="A1604" s="535" t="n">
        <v>33780</v>
      </c>
      <c r="B1604" s="534" t="n">
        <v>10.715</v>
      </c>
      <c r="C1604" s="534" t="n">
        <v>6078.69</v>
      </c>
      <c r="E1604" s="535" t="n">
        <v>37600</v>
      </c>
      <c r="F1604" s="534" t="n">
        <v>4.608</v>
      </c>
      <c r="G1604" s="554" t="n"/>
    </row>
    <row r="1605">
      <c r="A1605" s="535" t="n">
        <v>33781</v>
      </c>
      <c r="B1605" s="534" t="n">
        <v>10.802</v>
      </c>
      <c r="C1605" s="534" t="n">
        <v>6113.1</v>
      </c>
      <c r="E1605" s="535" t="n">
        <v>37601</v>
      </c>
      <c r="F1605" s="534" t="n">
        <v>4.583</v>
      </c>
      <c r="G1605" s="554" t="n"/>
    </row>
    <row r="1606">
      <c r="A1606" s="535" t="n">
        <v>33784</v>
      </c>
      <c r="B1606" s="534" t="n">
        <v>10.715</v>
      </c>
      <c r="C1606" s="534" t="n">
        <v>6057.9</v>
      </c>
      <c r="E1606" s="535" t="n">
        <v>37602</v>
      </c>
      <c r="F1606" s="534" t="n">
        <v>4.602</v>
      </c>
      <c r="G1606" s="554" t="n"/>
    </row>
    <row r="1607">
      <c r="A1607" s="535" t="n">
        <v>33785</v>
      </c>
      <c r="B1607" s="534" t="n">
        <v>10.54</v>
      </c>
      <c r="C1607" s="534" t="n">
        <v>6103.92</v>
      </c>
      <c r="E1607" s="535" t="n">
        <v>37603</v>
      </c>
      <c r="F1607" s="534" t="n">
        <v>4.588</v>
      </c>
      <c r="G1607" s="554" t="n"/>
    </row>
    <row r="1608">
      <c r="A1608" s="535" t="n">
        <v>33786</v>
      </c>
      <c r="B1608" s="534" t="n">
        <v>10.453</v>
      </c>
      <c r="C1608" s="534" t="n">
        <v>6134.75</v>
      </c>
      <c r="E1608" s="535" t="n">
        <v>37606</v>
      </c>
      <c r="F1608" s="534" t="n">
        <v>4.654</v>
      </c>
      <c r="G1608" s="554" t="n"/>
    </row>
    <row r="1609">
      <c r="A1609" s="535" t="n">
        <v>33787</v>
      </c>
      <c r="B1609" s="534" t="n">
        <v>10.366</v>
      </c>
      <c r="C1609" s="534" t="n">
        <v>6073.74</v>
      </c>
      <c r="E1609" s="535" t="n">
        <v>37607</v>
      </c>
      <c r="F1609" s="534" t="n">
        <v>4.732</v>
      </c>
      <c r="G1609" s="554" t="n"/>
    </row>
    <row r="1610">
      <c r="A1610" s="535" t="n">
        <v>33788</v>
      </c>
      <c r="B1610" s="534" t="n">
        <v>10.279</v>
      </c>
      <c r="C1610" s="534" t="n">
        <v>6061.85</v>
      </c>
      <c r="E1610" s="535" t="n">
        <v>37608</v>
      </c>
      <c r="F1610" s="534" t="n">
        <v>4.721</v>
      </c>
      <c r="G1610" s="554" t="n"/>
    </row>
    <row r="1611">
      <c r="A1611" s="535" t="n">
        <v>33791</v>
      </c>
      <c r="B1611" s="534" t="n">
        <v>10.105</v>
      </c>
      <c r="C1611" s="534" t="n">
        <v>6024.77</v>
      </c>
      <c r="E1611" s="535" t="n">
        <v>37609</v>
      </c>
      <c r="F1611" s="534" t="n">
        <v>4.615</v>
      </c>
      <c r="G1611" s="554" t="n"/>
    </row>
    <row r="1612">
      <c r="A1612" s="535" t="n">
        <v>33792</v>
      </c>
      <c r="B1612" s="534" t="n">
        <v>10.279</v>
      </c>
      <c r="C1612" s="534" t="n">
        <v>5911.92</v>
      </c>
      <c r="E1612" s="535" t="n">
        <v>37610</v>
      </c>
      <c r="F1612" s="534" t="n">
        <v>4.557</v>
      </c>
      <c r="G1612" s="554" t="n"/>
    </row>
    <row r="1613">
      <c r="A1613" s="535" t="n">
        <v>33793</v>
      </c>
      <c r="B1613" s="534" t="n">
        <v>10.279</v>
      </c>
      <c r="C1613" s="534" t="n">
        <v>5981.91</v>
      </c>
      <c r="E1613" s="535" t="n">
        <v>37613</v>
      </c>
      <c r="F1613" s="534" t="n">
        <v>4.581</v>
      </c>
      <c r="G1613" s="554" t="n"/>
    </row>
    <row r="1614">
      <c r="A1614" s="535" t="n">
        <v>33794</v>
      </c>
      <c r="B1614" s="534" t="n">
        <v>10.192</v>
      </c>
      <c r="C1614" s="534" t="n">
        <v>5925.52</v>
      </c>
      <c r="E1614" s="535" t="n">
        <v>37614</v>
      </c>
      <c r="F1614" s="534" t="n">
        <v>4.55</v>
      </c>
      <c r="G1614" s="554" t="n"/>
    </row>
    <row r="1615">
      <c r="A1615" s="535" t="n">
        <v>33795</v>
      </c>
      <c r="B1615" s="534" t="n">
        <v>10.366</v>
      </c>
      <c r="C1615" s="534" t="n">
        <v>5981.36</v>
      </c>
      <c r="E1615" s="535" t="n">
        <v>37615</v>
      </c>
      <c r="F1615" s="534" t="n">
        <v>4.55</v>
      </c>
      <c r="G1615" s="554" t="n"/>
    </row>
    <row r="1616">
      <c r="A1616" s="535" t="n">
        <v>33798</v>
      </c>
      <c r="B1616" s="534" t="n">
        <v>10.976</v>
      </c>
      <c r="C1616" s="534" t="n">
        <v>6085.85</v>
      </c>
      <c r="E1616" s="535" t="n">
        <v>37616</v>
      </c>
      <c r="F1616" s="534" t="n">
        <v>4.55</v>
      </c>
      <c r="G1616" s="554" t="n"/>
    </row>
    <row r="1617">
      <c r="A1617" s="535" t="n">
        <v>33799</v>
      </c>
      <c r="B1617" s="534" t="n">
        <v>11.324</v>
      </c>
      <c r="C1617" s="534" t="n">
        <v>6097.19</v>
      </c>
      <c r="E1617" s="535" t="n">
        <v>37617</v>
      </c>
      <c r="F1617" s="534" t="n">
        <v>4.502</v>
      </c>
      <c r="G1617" s="554" t="n"/>
    </row>
    <row r="1618">
      <c r="A1618" s="535" t="n">
        <v>33800</v>
      </c>
      <c r="B1618" s="534" t="n">
        <v>10.976</v>
      </c>
      <c r="C1618" s="534" t="n">
        <v>6125.46</v>
      </c>
      <c r="E1618" s="535" t="n">
        <v>37620</v>
      </c>
      <c r="F1618" s="534" t="n">
        <v>4.431</v>
      </c>
      <c r="G1618" s="554" t="n"/>
    </row>
    <row r="1619">
      <c r="A1619" s="535" t="n">
        <v>33801</v>
      </c>
      <c r="B1619" s="534" t="n">
        <v>10.889</v>
      </c>
      <c r="C1619" s="534" t="n">
        <v>6162.53</v>
      </c>
      <c r="E1619" s="535" t="n">
        <v>37621</v>
      </c>
      <c r="F1619" s="534" t="n">
        <v>4.384</v>
      </c>
      <c r="G1619" s="554" t="n"/>
    </row>
    <row r="1620">
      <c r="A1620" s="535" t="n">
        <v>33802</v>
      </c>
      <c r="B1620" s="534" t="n">
        <v>10.889</v>
      </c>
      <c r="C1620" s="534" t="n">
        <v>6128.06</v>
      </c>
      <c r="E1620" s="535" t="n">
        <v>37622</v>
      </c>
      <c r="F1620" s="534" t="n">
        <v>4.384</v>
      </c>
      <c r="G1620" s="554" t="n"/>
    </row>
    <row r="1621">
      <c r="A1621" s="535" t="n">
        <v>33805</v>
      </c>
      <c r="B1621" s="534" t="n">
        <v>10.628</v>
      </c>
      <c r="C1621" s="534" t="n">
        <v>5986.49</v>
      </c>
      <c r="E1621" s="535" t="n">
        <v>37623</v>
      </c>
      <c r="F1621" s="534" t="n">
        <v>4.334</v>
      </c>
      <c r="G1621" s="554" t="n"/>
    </row>
    <row r="1622">
      <c r="A1622" s="535" t="n">
        <v>33806</v>
      </c>
      <c r="B1622" s="534" t="n">
        <v>10.54</v>
      </c>
      <c r="C1622" s="534" t="n">
        <v>6010.44</v>
      </c>
      <c r="E1622" s="535" t="n">
        <v>37624</v>
      </c>
      <c r="F1622" s="534" t="n">
        <v>4.519</v>
      </c>
      <c r="G1622" s="554" t="n"/>
    </row>
    <row r="1623">
      <c r="A1623" s="535" t="n">
        <v>33807</v>
      </c>
      <c r="B1623" s="534" t="n">
        <v>10.54</v>
      </c>
      <c r="C1623" s="534" t="n">
        <v>6010.44</v>
      </c>
      <c r="E1623" s="535" t="n">
        <v>37627</v>
      </c>
      <c r="F1623" s="534" t="n">
        <v>4.564</v>
      </c>
      <c r="G1623" s="554" t="n"/>
    </row>
    <row r="1624">
      <c r="A1624" s="535" t="n">
        <v>33808</v>
      </c>
      <c r="B1624" s="534" t="n">
        <v>10.366</v>
      </c>
      <c r="C1624" s="534" t="n">
        <v>5917.16</v>
      </c>
      <c r="E1624" s="535" t="n">
        <v>37628</v>
      </c>
      <c r="F1624" s="534" t="n">
        <v>4.561</v>
      </c>
      <c r="G1624" s="554" t="n"/>
    </row>
    <row r="1625">
      <c r="A1625" s="535" t="n">
        <v>33809</v>
      </c>
      <c r="B1625" s="534" t="n">
        <v>10.366</v>
      </c>
      <c r="C1625" s="534" t="n">
        <v>5772.76</v>
      </c>
      <c r="E1625" s="535" t="n">
        <v>37629</v>
      </c>
      <c r="F1625" s="534" t="n">
        <v>4.518</v>
      </c>
      <c r="G1625" s="554" t="n"/>
    </row>
    <row r="1626">
      <c r="A1626" s="535" t="n">
        <v>33812</v>
      </c>
      <c r="B1626" s="534" t="n">
        <v>10.54</v>
      </c>
      <c r="C1626" s="534" t="n">
        <v>5664.39</v>
      </c>
      <c r="E1626" s="535" t="n">
        <v>37630</v>
      </c>
      <c r="F1626" s="534" t="n">
        <v>4.573</v>
      </c>
      <c r="G1626" s="554" t="n"/>
    </row>
    <row r="1627">
      <c r="A1627" s="535" t="n">
        <v>33813</v>
      </c>
      <c r="B1627" s="534" t="n">
        <v>10.715</v>
      </c>
      <c r="C1627" s="534" t="n">
        <v>5782.63</v>
      </c>
      <c r="E1627" s="535" t="n">
        <v>37631</v>
      </c>
      <c r="F1627" s="534" t="n">
        <v>4.705</v>
      </c>
      <c r="G1627" s="554" t="n"/>
    </row>
    <row r="1628">
      <c r="A1628" s="535" t="n">
        <v>33814</v>
      </c>
      <c r="B1628" s="534" t="n">
        <v>10.802</v>
      </c>
      <c r="C1628" s="534" t="n">
        <v>5857.29</v>
      </c>
      <c r="E1628" s="535" t="n">
        <v>37634</v>
      </c>
      <c r="F1628" s="534" t="n">
        <v>4.691</v>
      </c>
      <c r="G1628" s="554" t="n"/>
    </row>
    <row r="1629">
      <c r="A1629" s="535" t="n">
        <v>33815</v>
      </c>
      <c r="B1629" s="534" t="n">
        <v>10.802</v>
      </c>
      <c r="C1629" s="534" t="n">
        <v>5829.83</v>
      </c>
      <c r="E1629" s="535" t="n">
        <v>37635</v>
      </c>
      <c r="F1629" s="534" t="n">
        <v>4.653</v>
      </c>
      <c r="G1629" s="554" t="n"/>
    </row>
    <row r="1630">
      <c r="A1630" s="535" t="n">
        <v>33816</v>
      </c>
      <c r="B1630" s="534" t="n">
        <v>10.715</v>
      </c>
      <c r="C1630" s="534" t="n">
        <v>5881.13</v>
      </c>
      <c r="E1630" s="535" t="n">
        <v>37636</v>
      </c>
      <c r="F1630" s="534" t="n">
        <v>4.61</v>
      </c>
      <c r="G1630" s="554" t="n"/>
    </row>
    <row r="1631">
      <c r="A1631" s="535" t="n">
        <v>33819</v>
      </c>
      <c r="B1631" s="534" t="n">
        <v>10.715</v>
      </c>
      <c r="C1631" s="534" t="n">
        <v>5910.73</v>
      </c>
      <c r="E1631" s="535" t="n">
        <v>37637</v>
      </c>
      <c r="F1631" s="534" t="n">
        <v>4.573</v>
      </c>
      <c r="G1631" s="554" t="n"/>
    </row>
    <row r="1632">
      <c r="A1632" s="535" t="n">
        <v>33820</v>
      </c>
      <c r="B1632" s="534" t="n">
        <v>10.802</v>
      </c>
      <c r="C1632" s="534" t="n">
        <v>5859.78</v>
      </c>
      <c r="E1632" s="535" t="n">
        <v>37638</v>
      </c>
      <c r="F1632" s="534" t="n">
        <v>4.537</v>
      </c>
      <c r="G1632" s="554" t="n"/>
    </row>
    <row r="1633">
      <c r="A1633" s="535" t="n">
        <v>33821</v>
      </c>
      <c r="B1633" s="534" t="n">
        <v>10.628</v>
      </c>
      <c r="C1633" s="534" t="n">
        <v>5841.24</v>
      </c>
      <c r="E1633" s="535" t="n">
        <v>37641</v>
      </c>
      <c r="F1633" s="534" t="n">
        <v>4.505</v>
      </c>
      <c r="G1633" s="554" t="n"/>
    </row>
    <row r="1634">
      <c r="A1634" s="535" t="n">
        <v>33822</v>
      </c>
      <c r="B1634" s="534" t="n">
        <v>10.54</v>
      </c>
      <c r="C1634" s="534" t="n">
        <v>5865.27</v>
      </c>
      <c r="E1634" s="535" t="n">
        <v>37642</v>
      </c>
      <c r="F1634" s="534" t="n">
        <v>4.492</v>
      </c>
      <c r="G1634" s="554" t="n"/>
    </row>
    <row r="1635">
      <c r="A1635" s="535" t="n">
        <v>33823</v>
      </c>
      <c r="B1635" s="534" t="n">
        <v>10.453</v>
      </c>
      <c r="C1635" s="534" t="n">
        <v>5850.93</v>
      </c>
      <c r="E1635" s="535" t="n">
        <v>37643</v>
      </c>
      <c r="F1635" s="534" t="n">
        <v>4.409</v>
      </c>
      <c r="G1635" s="554" t="n"/>
    </row>
    <row r="1636">
      <c r="A1636" s="535" t="n">
        <v>33826</v>
      </c>
      <c r="B1636" s="534" t="n">
        <v>10.453</v>
      </c>
      <c r="C1636" s="534" t="n">
        <v>5867.94</v>
      </c>
      <c r="E1636" s="535" t="n">
        <v>37644</v>
      </c>
      <c r="F1636" s="534" t="n">
        <v>4.422</v>
      </c>
      <c r="G1636" s="554" t="n"/>
    </row>
    <row r="1637">
      <c r="A1637" s="535" t="n">
        <v>33827</v>
      </c>
      <c r="B1637" s="534" t="n">
        <v>10.54</v>
      </c>
      <c r="C1637" s="534" t="n">
        <v>5886.75</v>
      </c>
      <c r="E1637" s="535" t="n">
        <v>37645</v>
      </c>
      <c r="F1637" s="534" t="n">
        <v>4.383</v>
      </c>
      <c r="G1637" s="554" t="n"/>
    </row>
    <row r="1638">
      <c r="A1638" s="535" t="n">
        <v>33828</v>
      </c>
      <c r="B1638" s="534" t="n">
        <v>10.54</v>
      </c>
      <c r="C1638" s="534" t="n">
        <v>5879.19</v>
      </c>
      <c r="E1638" s="535" t="n">
        <v>37648</v>
      </c>
      <c r="F1638" s="534" t="n">
        <v>4.402</v>
      </c>
      <c r="G1638" s="554" t="n"/>
    </row>
    <row r="1639">
      <c r="A1639" s="535" t="n">
        <v>33829</v>
      </c>
      <c r="B1639" s="534" t="n">
        <v>10.366</v>
      </c>
      <c r="C1639" s="534" t="n">
        <v>5857.11</v>
      </c>
      <c r="E1639" s="535" t="n">
        <v>37649</v>
      </c>
      <c r="F1639" s="534" t="n">
        <v>4.479</v>
      </c>
      <c r="G1639" s="554" t="n"/>
    </row>
    <row r="1640">
      <c r="A1640" s="535" t="n">
        <v>33830</v>
      </c>
      <c r="B1640" s="534" t="n">
        <v>10.192</v>
      </c>
      <c r="C1640" s="534" t="n">
        <v>5822.59</v>
      </c>
      <c r="E1640" s="535" t="n">
        <v>37650</v>
      </c>
      <c r="F1640" s="534" t="n">
        <v>4.486</v>
      </c>
      <c r="G1640" s="554" t="n"/>
    </row>
    <row r="1641">
      <c r="A1641" s="535" t="n">
        <v>33833</v>
      </c>
      <c r="B1641" s="534" t="n">
        <v>9.930999999999999</v>
      </c>
      <c r="C1641" s="534" t="n">
        <v>5667.85</v>
      </c>
      <c r="E1641" s="535" t="n">
        <v>37651</v>
      </c>
      <c r="F1641" s="534" t="n">
        <v>4.55</v>
      </c>
      <c r="G1641" s="554" t="n"/>
    </row>
    <row r="1642">
      <c r="A1642" s="535" t="n">
        <v>33834</v>
      </c>
      <c r="B1642" s="534" t="n">
        <v>10.105</v>
      </c>
      <c r="C1642" s="534" t="n">
        <v>5675.16</v>
      </c>
      <c r="E1642" s="535" t="n">
        <v>37652</v>
      </c>
      <c r="F1642" s="534" t="n">
        <v>4.55</v>
      </c>
      <c r="G1642" s="554" t="n"/>
    </row>
    <row r="1643">
      <c r="A1643" s="535" t="n">
        <v>33835</v>
      </c>
      <c r="B1643" s="534" t="n">
        <v>9.930999999999999</v>
      </c>
      <c r="C1643" s="534" t="n">
        <v>5620.44</v>
      </c>
      <c r="E1643" s="535" t="n">
        <v>37655</v>
      </c>
      <c r="F1643" s="534" t="n">
        <v>4.55</v>
      </c>
      <c r="G1643" s="554" t="n"/>
    </row>
    <row r="1644">
      <c r="A1644" s="535" t="n">
        <v>33836</v>
      </c>
      <c r="B1644" s="534" t="n">
        <v>9.582000000000001</v>
      </c>
      <c r="C1644" s="534" t="n">
        <v>5481.61</v>
      </c>
      <c r="E1644" s="535" t="n">
        <v>37656</v>
      </c>
      <c r="F1644" s="534" t="n">
        <v>4.505</v>
      </c>
      <c r="G1644" s="554" t="n"/>
    </row>
    <row r="1645">
      <c r="A1645" s="535" t="n">
        <v>33837</v>
      </c>
      <c r="B1645" s="534" t="n">
        <v>9.407999999999999</v>
      </c>
      <c r="C1645" s="534" t="n">
        <v>5509.39</v>
      </c>
      <c r="E1645" s="535" t="n">
        <v>37657</v>
      </c>
      <c r="F1645" s="534" t="n">
        <v>4.462</v>
      </c>
      <c r="G1645" s="554" t="n"/>
    </row>
    <row r="1646">
      <c r="A1646" s="535" t="n">
        <v>33840</v>
      </c>
      <c r="B1646" s="534" t="n">
        <v>9.06</v>
      </c>
      <c r="C1646" s="534" t="n">
        <v>5390.93</v>
      </c>
      <c r="E1646" s="535" t="n">
        <v>37658</v>
      </c>
      <c r="F1646" s="534" t="n">
        <v>4.505</v>
      </c>
      <c r="G1646" s="554" t="n"/>
    </row>
    <row r="1647">
      <c r="A1647" s="535" t="n">
        <v>33841</v>
      </c>
      <c r="B1647" s="534" t="n">
        <v>9.06</v>
      </c>
      <c r="C1647" s="534" t="n">
        <v>5291.49</v>
      </c>
      <c r="E1647" s="535" t="n">
        <v>37659</v>
      </c>
      <c r="F1647" s="534" t="n">
        <v>4.466</v>
      </c>
      <c r="G1647" s="554" t="n"/>
    </row>
    <row r="1648">
      <c r="A1648" s="535" t="n">
        <v>33842</v>
      </c>
      <c r="B1648" s="534" t="n">
        <v>9.407999999999999</v>
      </c>
      <c r="C1648" s="534" t="n">
        <v>5478.81</v>
      </c>
      <c r="E1648" s="535" t="n">
        <v>37662</v>
      </c>
      <c r="F1648" s="534" t="n">
        <v>4.498</v>
      </c>
      <c r="G1648" s="554" t="n"/>
    </row>
    <row r="1649">
      <c r="A1649" s="535" t="n">
        <v>33843</v>
      </c>
      <c r="B1649" s="534" t="n">
        <v>9.06</v>
      </c>
      <c r="C1649" s="534" t="n">
        <v>5460.72</v>
      </c>
      <c r="E1649" s="535" t="n">
        <v>37663</v>
      </c>
      <c r="F1649" s="534" t="n">
        <v>4.518</v>
      </c>
      <c r="G1649" s="554" t="n"/>
    </row>
    <row r="1650">
      <c r="A1650" s="535" t="n">
        <v>33844</v>
      </c>
      <c r="B1650" s="534" t="n">
        <v>9.147</v>
      </c>
      <c r="C1650" s="534" t="n">
        <v>5628.6</v>
      </c>
      <c r="E1650" s="535" t="n">
        <v>37664</v>
      </c>
      <c r="F1650" s="534" t="n">
        <v>4.492</v>
      </c>
      <c r="G1650" s="554" t="n"/>
    </row>
    <row r="1651">
      <c r="A1651" s="535" t="n">
        <v>33847</v>
      </c>
      <c r="B1651" s="534" t="n">
        <v>9.147</v>
      </c>
      <c r="C1651" s="534" t="n">
        <v>5628.6</v>
      </c>
      <c r="E1651" s="535" t="n">
        <v>37665</v>
      </c>
      <c r="F1651" s="534" t="n">
        <v>4.402</v>
      </c>
      <c r="G1651" s="554" t="n"/>
    </row>
    <row r="1652">
      <c r="A1652" s="535" t="n">
        <v>33848</v>
      </c>
      <c r="B1652" s="534" t="n">
        <v>9.407999999999999</v>
      </c>
      <c r="C1652" s="534" t="n">
        <v>5711.57</v>
      </c>
      <c r="E1652" s="535" t="n">
        <v>37666</v>
      </c>
      <c r="F1652" s="534" t="n">
        <v>4.376</v>
      </c>
      <c r="G1652" s="554" t="n"/>
    </row>
    <row r="1653">
      <c r="A1653" s="535" t="n">
        <v>33849</v>
      </c>
      <c r="B1653" s="534" t="n">
        <v>9.582000000000001</v>
      </c>
      <c r="C1653" s="534" t="n">
        <v>5734.45</v>
      </c>
      <c r="E1653" s="535" t="n">
        <v>37669</v>
      </c>
      <c r="F1653" s="534" t="n">
        <v>4.472</v>
      </c>
      <c r="G1653" s="554" t="n"/>
    </row>
    <row r="1654">
      <c r="A1654" s="535" t="n">
        <v>33850</v>
      </c>
      <c r="B1654" s="534" t="n">
        <v>9.756</v>
      </c>
      <c r="C1654" s="534" t="n">
        <v>5722.46</v>
      </c>
      <c r="E1654" s="535" t="n">
        <v>37670</v>
      </c>
      <c r="F1654" s="534" t="n">
        <v>4.447</v>
      </c>
      <c r="G1654" s="554" t="n"/>
    </row>
    <row r="1655">
      <c r="A1655" s="535" t="n">
        <v>33851</v>
      </c>
      <c r="B1655" s="534" t="n">
        <v>9.582000000000001</v>
      </c>
      <c r="C1655" s="534" t="n">
        <v>5707.51</v>
      </c>
      <c r="E1655" s="535" t="n">
        <v>37671</v>
      </c>
      <c r="F1655" s="534" t="n">
        <v>4.421</v>
      </c>
      <c r="G1655" s="554" t="n"/>
    </row>
    <row r="1656">
      <c r="A1656" s="535" t="n">
        <v>33854</v>
      </c>
      <c r="B1656" s="534" t="n">
        <v>9.407999999999999</v>
      </c>
      <c r="C1656" s="534" t="n">
        <v>5664.41</v>
      </c>
      <c r="E1656" s="535" t="n">
        <v>37672</v>
      </c>
      <c r="F1656" s="534" t="n">
        <v>4.401</v>
      </c>
      <c r="G1656" s="554" t="n"/>
    </row>
    <row r="1657">
      <c r="A1657" s="535" t="n">
        <v>33855</v>
      </c>
      <c r="B1657" s="534" t="n">
        <v>9.494999999999999</v>
      </c>
      <c r="C1657" s="534" t="n">
        <v>5700.59</v>
      </c>
      <c r="E1657" s="535" t="n">
        <v>37673</v>
      </c>
      <c r="F1657" s="534" t="n">
        <v>4.395</v>
      </c>
      <c r="G1657" s="554" t="n"/>
    </row>
    <row r="1658">
      <c r="A1658" s="535" t="n">
        <v>33856</v>
      </c>
      <c r="B1658" s="534" t="n">
        <v>9.407999999999999</v>
      </c>
      <c r="C1658" s="534" t="n">
        <v>5726.99</v>
      </c>
      <c r="E1658" s="535" t="n">
        <v>37676</v>
      </c>
      <c r="F1658" s="534" t="n">
        <v>4.401</v>
      </c>
      <c r="G1658" s="554" t="n"/>
    </row>
    <row r="1659">
      <c r="A1659" s="535" t="n">
        <v>33857</v>
      </c>
      <c r="B1659" s="534" t="n">
        <v>9.234</v>
      </c>
      <c r="C1659" s="534" t="n">
        <v>5631.55</v>
      </c>
      <c r="E1659" s="535" t="n">
        <v>37677</v>
      </c>
      <c r="F1659" s="534" t="n">
        <v>4.356</v>
      </c>
      <c r="G1659" s="554" t="n"/>
    </row>
    <row r="1660">
      <c r="A1660" s="535" t="n">
        <v>33858</v>
      </c>
      <c r="B1660" s="534" t="n">
        <v>9.234</v>
      </c>
      <c r="C1660" s="534" t="n">
        <v>5537.29</v>
      </c>
      <c r="E1660" s="535" t="n">
        <v>37678</v>
      </c>
      <c r="F1660" s="534" t="n">
        <v>4.382</v>
      </c>
      <c r="G1660" s="554" t="n"/>
    </row>
    <row r="1661">
      <c r="A1661" s="535" t="n">
        <v>33861</v>
      </c>
      <c r="B1661" s="534" t="n">
        <v>9.321</v>
      </c>
      <c r="C1661" s="534" t="n">
        <v>5607.15</v>
      </c>
      <c r="E1661" s="535" t="n">
        <v>37679</v>
      </c>
      <c r="F1661" s="534" t="n">
        <v>4.318</v>
      </c>
      <c r="G1661" s="554" t="n"/>
    </row>
    <row r="1662">
      <c r="A1662" s="535" t="n">
        <v>33862</v>
      </c>
      <c r="B1662" s="534" t="n">
        <v>9.494999999999999</v>
      </c>
      <c r="C1662" s="534" t="n">
        <v>5653.84</v>
      </c>
      <c r="E1662" s="535" t="n">
        <v>37680</v>
      </c>
      <c r="F1662" s="534" t="n">
        <v>4.341</v>
      </c>
      <c r="G1662" s="554" t="n"/>
    </row>
    <row r="1663">
      <c r="A1663" s="535" t="n">
        <v>33863</v>
      </c>
      <c r="B1663" s="534" t="n">
        <v>9.407999999999999</v>
      </c>
      <c r="C1663" s="534" t="n">
        <v>5633.13</v>
      </c>
      <c r="E1663" s="535" t="n">
        <v>37683</v>
      </c>
      <c r="F1663" s="534" t="n">
        <v>4.331</v>
      </c>
      <c r="G1663" s="554" t="n"/>
    </row>
    <row r="1664">
      <c r="A1664" s="535" t="n">
        <v>33864</v>
      </c>
      <c r="B1664" s="534" t="n">
        <v>9.407999999999999</v>
      </c>
      <c r="C1664" s="534" t="n">
        <v>5637.9</v>
      </c>
      <c r="E1664" s="535" t="n">
        <v>37684</v>
      </c>
      <c r="F1664" s="534" t="n">
        <v>4.248</v>
      </c>
      <c r="G1664" s="554" t="n"/>
    </row>
    <row r="1665">
      <c r="A1665" s="535" t="n">
        <v>33865</v>
      </c>
      <c r="B1665" s="534" t="n">
        <v>9.494999999999999</v>
      </c>
      <c r="C1665" s="534" t="n">
        <v>5689.32</v>
      </c>
      <c r="E1665" s="535" t="n">
        <v>37685</v>
      </c>
      <c r="F1665" s="534" t="n">
        <v>4.191</v>
      </c>
      <c r="G1665" s="554" t="n"/>
    </row>
    <row r="1666">
      <c r="A1666" s="535" t="n">
        <v>33868</v>
      </c>
      <c r="B1666" s="534" t="n">
        <v>9.669</v>
      </c>
      <c r="C1666" s="534" t="n">
        <v>5741.53</v>
      </c>
      <c r="E1666" s="535" t="n">
        <v>37686</v>
      </c>
      <c r="F1666" s="534" t="n">
        <v>4.241</v>
      </c>
      <c r="G1666" s="554" t="n"/>
    </row>
    <row r="1667">
      <c r="A1667" s="535" t="n">
        <v>33869</v>
      </c>
      <c r="B1667" s="534" t="n">
        <v>9.756</v>
      </c>
      <c r="C1667" s="534" t="n">
        <v>5740.18</v>
      </c>
      <c r="E1667" s="535" t="n">
        <v>37687</v>
      </c>
      <c r="F1667" s="534" t="n">
        <v>4.317</v>
      </c>
      <c r="G1667" s="554" t="n"/>
    </row>
    <row r="1668">
      <c r="A1668" s="535" t="n">
        <v>33870</v>
      </c>
      <c r="B1668" s="534" t="n">
        <v>9.321</v>
      </c>
      <c r="C1668" s="534" t="n">
        <v>5712.64</v>
      </c>
      <c r="E1668" s="535" t="n">
        <v>37690</v>
      </c>
      <c r="F1668" s="534" t="n">
        <v>4.235</v>
      </c>
      <c r="G1668" s="554" t="n"/>
    </row>
    <row r="1669">
      <c r="A1669" s="535" t="n">
        <v>33871</v>
      </c>
      <c r="B1669" s="534" t="n">
        <v>9.494999999999999</v>
      </c>
      <c r="C1669" s="534" t="n">
        <v>5658.73</v>
      </c>
      <c r="E1669" s="535" t="n">
        <v>37691</v>
      </c>
      <c r="F1669" s="534" t="n">
        <v>4.19</v>
      </c>
      <c r="G1669" s="554" t="n"/>
    </row>
    <row r="1670">
      <c r="A1670" s="535" t="n">
        <v>33872</v>
      </c>
      <c r="B1670" s="534" t="n">
        <v>9.494999999999999</v>
      </c>
      <c r="C1670" s="534" t="n">
        <v>5686.16</v>
      </c>
      <c r="E1670" s="535" t="n">
        <v>37692</v>
      </c>
      <c r="F1670" s="534" t="n">
        <v>4.311</v>
      </c>
      <c r="G1670" s="554" t="n"/>
    </row>
    <row r="1671">
      <c r="A1671" s="535" t="n">
        <v>33875</v>
      </c>
      <c r="B1671" s="534" t="n">
        <v>9.147</v>
      </c>
      <c r="C1671" s="534" t="n">
        <v>5597.2</v>
      </c>
      <c r="E1671" s="535" t="n">
        <v>37693</v>
      </c>
      <c r="F1671" s="534" t="n">
        <v>4.349</v>
      </c>
      <c r="G1671" s="554" t="n"/>
    </row>
    <row r="1672">
      <c r="A1672" s="535" t="n">
        <v>33876</v>
      </c>
      <c r="B1672" s="534" t="n">
        <v>9.234</v>
      </c>
      <c r="C1672" s="534" t="n">
        <v>5581.92</v>
      </c>
      <c r="E1672" s="535" t="n">
        <v>37694</v>
      </c>
      <c r="F1672" s="534" t="n">
        <v>4.407</v>
      </c>
      <c r="G1672" s="554" t="n"/>
    </row>
    <row r="1673">
      <c r="A1673" s="535" t="n">
        <v>33877</v>
      </c>
      <c r="B1673" s="534" t="n">
        <v>9.06</v>
      </c>
      <c r="C1673" s="534" t="n">
        <v>5505.44</v>
      </c>
      <c r="E1673" s="535" t="n">
        <v>37697</v>
      </c>
      <c r="F1673" s="534" t="n">
        <v>4.34</v>
      </c>
      <c r="G1673" s="554" t="n"/>
    </row>
    <row r="1674">
      <c r="A1674" s="535" t="n">
        <v>33878</v>
      </c>
      <c r="B1674" s="534" t="n">
        <v>9.06</v>
      </c>
      <c r="C1674" s="534" t="n">
        <v>5528.84</v>
      </c>
      <c r="E1674" s="535" t="n">
        <v>37698</v>
      </c>
      <c r="F1674" s="534" t="n">
        <v>4.472</v>
      </c>
      <c r="G1674" s="554" t="n"/>
    </row>
    <row r="1675">
      <c r="A1675" s="535" t="n">
        <v>33879</v>
      </c>
      <c r="B1675" s="534" t="n">
        <v>9.234</v>
      </c>
      <c r="C1675" s="534" t="n">
        <v>5595.44</v>
      </c>
      <c r="E1675" s="535" t="n">
        <v>37699</v>
      </c>
      <c r="F1675" s="534" t="n">
        <v>4.531</v>
      </c>
      <c r="G1675" s="554" t="n"/>
    </row>
    <row r="1676">
      <c r="A1676" s="535" t="n">
        <v>33882</v>
      </c>
      <c r="B1676" s="534" t="n">
        <v>9.234</v>
      </c>
      <c r="C1676" s="534" t="n">
        <v>5595.44</v>
      </c>
      <c r="E1676" s="535" t="n">
        <v>37700</v>
      </c>
      <c r="F1676" s="534" t="n">
        <v>4.583</v>
      </c>
      <c r="G1676" s="554" t="n"/>
    </row>
    <row r="1677">
      <c r="A1677" s="535" t="n">
        <v>33883</v>
      </c>
      <c r="B1677" s="534" t="n">
        <v>9.06</v>
      </c>
      <c r="C1677" s="534" t="n">
        <v>5553.12</v>
      </c>
      <c r="E1677" s="535" t="n">
        <v>37701</v>
      </c>
      <c r="F1677" s="534" t="n">
        <v>4.603</v>
      </c>
      <c r="G1677" s="554" t="n"/>
    </row>
    <row r="1678">
      <c r="A1678" s="535" t="n">
        <v>33884</v>
      </c>
      <c r="B1678" s="534" t="n">
        <v>9.234</v>
      </c>
      <c r="C1678" s="534" t="n">
        <v>5589.03</v>
      </c>
      <c r="E1678" s="535" t="n">
        <v>37704</v>
      </c>
      <c r="F1678" s="534" t="n">
        <v>4.643</v>
      </c>
      <c r="G1678" s="554" t="n"/>
    </row>
    <row r="1679">
      <c r="A1679" s="535" t="n">
        <v>33885</v>
      </c>
      <c r="B1679" s="534" t="n">
        <v>9.234</v>
      </c>
      <c r="C1679" s="534" t="n">
        <v>5555.53</v>
      </c>
      <c r="E1679" s="535" t="n">
        <v>37705</v>
      </c>
      <c r="F1679" s="534" t="n">
        <v>4.537</v>
      </c>
      <c r="G1679" s="554" t="n"/>
    </row>
    <row r="1680">
      <c r="A1680" s="535" t="n">
        <v>33886</v>
      </c>
      <c r="B1680" s="534" t="n">
        <v>9.234</v>
      </c>
      <c r="C1680" s="534" t="n">
        <v>5596.71</v>
      </c>
      <c r="E1680" s="535" t="n">
        <v>37706</v>
      </c>
      <c r="F1680" s="534" t="n">
        <v>4.537</v>
      </c>
      <c r="G1680" s="554" t="n"/>
    </row>
    <row r="1681">
      <c r="A1681" s="535" t="n">
        <v>33889</v>
      </c>
      <c r="B1681" s="534" t="n">
        <v>9.321</v>
      </c>
      <c r="C1681" s="534" t="n">
        <v>5725.57</v>
      </c>
      <c r="E1681" s="535" t="n">
        <v>37707</v>
      </c>
      <c r="F1681" s="534" t="n">
        <v>4.498</v>
      </c>
      <c r="G1681" s="554" t="n"/>
    </row>
    <row r="1682">
      <c r="A1682" s="535" t="n">
        <v>33890</v>
      </c>
      <c r="B1682" s="534" t="n">
        <v>9.407999999999999</v>
      </c>
      <c r="C1682" s="534" t="n">
        <v>5756.1</v>
      </c>
      <c r="E1682" s="535" t="n">
        <v>37708</v>
      </c>
      <c r="F1682" s="534" t="n">
        <v>4.472</v>
      </c>
      <c r="G1682" s="554" t="n"/>
    </row>
    <row r="1683">
      <c r="A1683" s="535" t="n">
        <v>33891</v>
      </c>
      <c r="B1683" s="534" t="n">
        <v>9.407999999999999</v>
      </c>
      <c r="C1683" s="534" t="n">
        <v>5806.77</v>
      </c>
      <c r="E1683" s="535" t="n">
        <v>37711</v>
      </c>
      <c r="F1683" s="534" t="n">
        <v>4.387</v>
      </c>
      <c r="G1683" s="554" t="n"/>
    </row>
    <row r="1684">
      <c r="A1684" s="535" t="n">
        <v>33892</v>
      </c>
      <c r="B1684" s="534" t="n">
        <v>9.494999999999999</v>
      </c>
      <c r="C1684" s="534" t="n">
        <v>5913.64</v>
      </c>
      <c r="E1684" s="535" t="n">
        <v>37712</v>
      </c>
      <c r="F1684" s="534" t="n">
        <v>4.377</v>
      </c>
      <c r="G1684" s="554" t="n"/>
    </row>
    <row r="1685">
      <c r="A1685" s="535" t="n">
        <v>33893</v>
      </c>
      <c r="B1685" s="534" t="n">
        <v>9.494999999999999</v>
      </c>
      <c r="C1685" s="534" t="n">
        <v>5985.33</v>
      </c>
      <c r="E1685" s="535" t="n">
        <v>37713</v>
      </c>
      <c r="F1685" s="534" t="n">
        <v>4.485</v>
      </c>
      <c r="G1685" s="554" t="n"/>
    </row>
    <row r="1686">
      <c r="A1686" s="535" t="n">
        <v>33896</v>
      </c>
      <c r="B1686" s="534" t="n">
        <v>9.756</v>
      </c>
      <c r="C1686" s="534" t="n">
        <v>6089.91</v>
      </c>
      <c r="E1686" s="535" t="n">
        <v>37714</v>
      </c>
      <c r="F1686" s="534" t="n">
        <v>4.504</v>
      </c>
      <c r="G1686" s="554" t="n"/>
    </row>
    <row r="1687">
      <c r="A1687" s="535" t="n">
        <v>33897</v>
      </c>
      <c r="B1687" s="534" t="n">
        <v>9.756</v>
      </c>
      <c r="C1687" s="534" t="n">
        <v>6088.51</v>
      </c>
      <c r="E1687" s="535" t="n">
        <v>37715</v>
      </c>
      <c r="F1687" s="534" t="n">
        <v>4.527</v>
      </c>
      <c r="G1687" s="554" t="n"/>
    </row>
    <row r="1688">
      <c r="A1688" s="535" t="n">
        <v>33898</v>
      </c>
      <c r="B1688" s="534" t="n">
        <v>10.192</v>
      </c>
      <c r="C1688" s="534" t="n">
        <v>6200.85</v>
      </c>
      <c r="E1688" s="535" t="n">
        <v>37718</v>
      </c>
      <c r="F1688" s="534" t="n">
        <v>4.623</v>
      </c>
      <c r="G1688" s="554" t="n"/>
    </row>
    <row r="1689">
      <c r="A1689" s="535" t="n">
        <v>33899</v>
      </c>
      <c r="B1689" s="534" t="n">
        <v>10.366</v>
      </c>
      <c r="C1689" s="534" t="n">
        <v>6329.12</v>
      </c>
      <c r="E1689" s="535" t="n">
        <v>37719</v>
      </c>
      <c r="F1689" s="534" t="n">
        <v>4.573</v>
      </c>
      <c r="G1689" s="554" t="n"/>
    </row>
    <row r="1690">
      <c r="A1690" s="535" t="n">
        <v>33900</v>
      </c>
      <c r="B1690" s="534" t="n">
        <v>10.018</v>
      </c>
      <c r="C1690" s="534" t="n">
        <v>6262.54</v>
      </c>
      <c r="E1690" s="535" t="n">
        <v>37720</v>
      </c>
      <c r="F1690" s="534" t="n">
        <v>4.478</v>
      </c>
      <c r="G1690" s="554" t="n"/>
    </row>
    <row r="1691">
      <c r="A1691" s="535" t="n">
        <v>33903</v>
      </c>
      <c r="B1691" s="534" t="n">
        <v>9.669</v>
      </c>
      <c r="C1691" s="534" t="n">
        <v>6062.47</v>
      </c>
      <c r="E1691" s="535" t="n">
        <v>37721</v>
      </c>
      <c r="F1691" s="534" t="n">
        <v>4.446</v>
      </c>
      <c r="G1691" s="554" t="n"/>
    </row>
    <row r="1692">
      <c r="A1692" s="535" t="n">
        <v>33904</v>
      </c>
      <c r="B1692" s="534" t="n">
        <v>9.843999999999999</v>
      </c>
      <c r="C1692" s="534" t="n">
        <v>6218.01</v>
      </c>
      <c r="E1692" s="535" t="n">
        <v>37722</v>
      </c>
      <c r="F1692" s="534" t="n">
        <v>4.504</v>
      </c>
      <c r="G1692" s="554" t="n"/>
    </row>
    <row r="1693">
      <c r="A1693" s="535" t="n">
        <v>33905</v>
      </c>
      <c r="B1693" s="534" t="n">
        <v>9.669</v>
      </c>
      <c r="C1693" s="534" t="n">
        <v>6126.98</v>
      </c>
      <c r="E1693" s="535" t="n">
        <v>37725</v>
      </c>
      <c r="F1693" s="534" t="n">
        <v>4.518</v>
      </c>
      <c r="G1693" s="554" t="n"/>
    </row>
    <row r="1694">
      <c r="A1694" s="535" t="n">
        <v>33906</v>
      </c>
      <c r="B1694" s="534" t="n">
        <v>9.669</v>
      </c>
      <c r="C1694" s="534" t="n">
        <v>6117.5</v>
      </c>
      <c r="E1694" s="535" t="n">
        <v>37726</v>
      </c>
      <c r="F1694" s="534" t="n">
        <v>4.544</v>
      </c>
      <c r="G1694" s="554" t="n"/>
    </row>
    <row r="1695">
      <c r="A1695" s="535" t="n">
        <v>33907</v>
      </c>
      <c r="B1695" s="534" t="n">
        <v>9.669</v>
      </c>
      <c r="C1695" s="534" t="n">
        <v>6190.69</v>
      </c>
      <c r="E1695" s="535" t="n">
        <v>37727</v>
      </c>
      <c r="F1695" s="534" t="n">
        <v>4.472</v>
      </c>
      <c r="G1695" s="554" t="n"/>
    </row>
    <row r="1696">
      <c r="A1696" s="535" t="n">
        <v>33910</v>
      </c>
      <c r="B1696" s="534" t="n">
        <v>9.756</v>
      </c>
      <c r="C1696" s="534" t="n">
        <v>6231.17</v>
      </c>
      <c r="E1696" s="535" t="n">
        <v>37728</v>
      </c>
      <c r="F1696" s="534" t="n">
        <v>4.348</v>
      </c>
      <c r="G1696" s="554" t="n"/>
    </row>
    <row r="1697">
      <c r="A1697" s="535" t="n">
        <v>33911</v>
      </c>
      <c r="B1697" s="534" t="n">
        <v>9.756</v>
      </c>
      <c r="C1697" s="534" t="n">
        <v>6197.44</v>
      </c>
      <c r="E1697" s="535" t="n">
        <v>37729</v>
      </c>
      <c r="F1697" s="534" t="n">
        <v>4.348</v>
      </c>
      <c r="G1697" s="554" t="n"/>
    </row>
    <row r="1698">
      <c r="A1698" s="535" t="n">
        <v>33912</v>
      </c>
      <c r="B1698" s="534" t="n">
        <v>9.756</v>
      </c>
      <c r="C1698" s="534" t="n">
        <v>6325.37</v>
      </c>
      <c r="E1698" s="535" t="n">
        <v>37732</v>
      </c>
      <c r="F1698" s="534" t="n">
        <v>4.348</v>
      </c>
      <c r="G1698" s="554" t="n"/>
    </row>
    <row r="1699">
      <c r="A1699" s="535" t="n">
        <v>33913</v>
      </c>
      <c r="B1699" s="534" t="n">
        <v>9.843999999999999</v>
      </c>
      <c r="C1699" s="534" t="n">
        <v>6347.77</v>
      </c>
      <c r="E1699" s="535" t="n">
        <v>37733</v>
      </c>
      <c r="F1699" s="534" t="n">
        <v>4.393</v>
      </c>
      <c r="G1699" s="554" t="n"/>
    </row>
    <row r="1700">
      <c r="A1700" s="535" t="n">
        <v>33914</v>
      </c>
      <c r="B1700" s="534" t="n">
        <v>9.756</v>
      </c>
      <c r="C1700" s="534" t="n">
        <v>6315.01</v>
      </c>
      <c r="E1700" s="535" t="n">
        <v>37734</v>
      </c>
      <c r="F1700" s="534" t="n">
        <v>4.426</v>
      </c>
      <c r="G1700" s="554" t="n"/>
    </row>
    <row r="1701">
      <c r="A1701" s="535" t="n">
        <v>33917</v>
      </c>
      <c r="B1701" s="534" t="n">
        <v>9.669</v>
      </c>
      <c r="C1701" s="534" t="n">
        <v>6267.91</v>
      </c>
      <c r="E1701" s="535" t="n">
        <v>37735</v>
      </c>
      <c r="F1701" s="534" t="n">
        <v>4.4</v>
      </c>
      <c r="G1701" s="554" t="n"/>
    </row>
    <row r="1702">
      <c r="A1702" s="535" t="n">
        <v>33918</v>
      </c>
      <c r="B1702" s="534" t="n">
        <v>9.582000000000001</v>
      </c>
      <c r="C1702" s="534" t="n">
        <v>6273.08</v>
      </c>
      <c r="E1702" s="535" t="n">
        <v>37736</v>
      </c>
      <c r="F1702" s="534" t="n">
        <v>4.367</v>
      </c>
      <c r="G1702" s="554" t="n"/>
    </row>
    <row r="1703">
      <c r="A1703" s="535" t="n">
        <v>33919</v>
      </c>
      <c r="B1703" s="534" t="n">
        <v>9.756</v>
      </c>
      <c r="C1703" s="534" t="n">
        <v>6422.03</v>
      </c>
      <c r="E1703" s="535" t="n">
        <v>37739</v>
      </c>
      <c r="F1703" s="534" t="n">
        <v>4.328</v>
      </c>
      <c r="G1703" s="554" t="n"/>
    </row>
    <row r="1704">
      <c r="A1704" s="535" t="n">
        <v>33920</v>
      </c>
      <c r="B1704" s="534" t="n">
        <v>9.756</v>
      </c>
      <c r="C1704" s="534" t="n">
        <v>6447.11</v>
      </c>
      <c r="E1704" s="535" t="n">
        <v>37740</v>
      </c>
      <c r="F1704" s="534" t="n">
        <v>4.328</v>
      </c>
      <c r="G1704" s="554" t="n"/>
    </row>
    <row r="1705">
      <c r="A1705" s="535" t="n">
        <v>33921</v>
      </c>
      <c r="B1705" s="534" t="n">
        <v>9.669</v>
      </c>
      <c r="C1705" s="534" t="n">
        <v>6366.56</v>
      </c>
      <c r="E1705" s="535" t="n">
        <v>37741</v>
      </c>
      <c r="F1705" s="534" t="n">
        <v>4.335</v>
      </c>
      <c r="G1705" s="554" t="n"/>
    </row>
    <row r="1706">
      <c r="A1706" s="535" t="n">
        <v>33924</v>
      </c>
      <c r="B1706" s="534" t="n">
        <v>9.321</v>
      </c>
      <c r="C1706" s="534" t="n">
        <v>6294.83</v>
      </c>
      <c r="E1706" s="535" t="n">
        <v>37742</v>
      </c>
      <c r="F1706" s="534" t="n">
        <v>4.335</v>
      </c>
      <c r="G1706" s="554" t="n"/>
    </row>
    <row r="1707">
      <c r="A1707" s="535" t="n">
        <v>33925</v>
      </c>
      <c r="B1707" s="534" t="n">
        <v>9.06</v>
      </c>
      <c r="C1707" s="534" t="n">
        <v>6088.52</v>
      </c>
      <c r="E1707" s="535" t="n">
        <v>37743</v>
      </c>
      <c r="F1707" s="534" t="n">
        <v>4.263</v>
      </c>
      <c r="G1707" s="554" t="n"/>
    </row>
    <row r="1708">
      <c r="A1708" s="535" t="n">
        <v>33926</v>
      </c>
      <c r="B1708" s="534" t="n">
        <v>8.798</v>
      </c>
      <c r="C1708" s="534" t="n">
        <v>5848.33</v>
      </c>
      <c r="E1708" s="535" t="n">
        <v>37746</v>
      </c>
      <c r="F1708" s="534" t="n">
        <v>4.335</v>
      </c>
      <c r="G1708" s="554" t="n"/>
    </row>
    <row r="1709">
      <c r="A1709" s="535" t="n">
        <v>33927</v>
      </c>
      <c r="B1709" s="534" t="n">
        <v>8.798</v>
      </c>
      <c r="C1709" s="534" t="n">
        <v>5855.41</v>
      </c>
      <c r="E1709" s="535" t="n">
        <v>37747</v>
      </c>
      <c r="F1709" s="534" t="n">
        <v>4.309</v>
      </c>
      <c r="G1709" s="554" t="n"/>
    </row>
    <row r="1710">
      <c r="A1710" s="535" t="n">
        <v>33928</v>
      </c>
      <c r="B1710" s="534" t="n">
        <v>8.885</v>
      </c>
      <c r="C1710" s="534" t="n">
        <v>5878.18</v>
      </c>
      <c r="E1710" s="535" t="n">
        <v>37748</v>
      </c>
      <c r="F1710" s="534" t="n">
        <v>4.218</v>
      </c>
      <c r="G1710" s="554" t="n"/>
    </row>
    <row r="1711">
      <c r="A1711" s="535" t="n">
        <v>33931</v>
      </c>
      <c r="B1711" s="534" t="n">
        <v>8.798</v>
      </c>
      <c r="C1711" s="534" t="n">
        <v>5894.97</v>
      </c>
      <c r="E1711" s="535" t="n">
        <v>37749</v>
      </c>
      <c r="F1711" s="534" t="n">
        <v>4.218</v>
      </c>
      <c r="G1711" s="554" t="n"/>
    </row>
    <row r="1712">
      <c r="A1712" s="535" t="n">
        <v>33932</v>
      </c>
      <c r="B1712" s="534" t="n">
        <v>8.711</v>
      </c>
      <c r="C1712" s="534" t="n">
        <v>5972.52</v>
      </c>
      <c r="E1712" s="535" t="n">
        <v>37750</v>
      </c>
      <c r="F1712" s="534" t="n">
        <v>4.116</v>
      </c>
      <c r="G1712" s="554" t="n"/>
    </row>
    <row r="1713">
      <c r="A1713" s="535" t="n">
        <v>33933</v>
      </c>
      <c r="B1713" s="534" t="n">
        <v>8.711</v>
      </c>
      <c r="C1713" s="534" t="n">
        <v>5918.54</v>
      </c>
      <c r="E1713" s="535" t="n">
        <v>37753</v>
      </c>
      <c r="F1713" s="534" t="n">
        <v>4.014</v>
      </c>
      <c r="G1713" s="554" t="n"/>
    </row>
    <row r="1714">
      <c r="A1714" s="535" t="n">
        <v>33934</v>
      </c>
      <c r="B1714" s="534" t="n">
        <v>8.711</v>
      </c>
      <c r="C1714" s="534" t="n">
        <v>5913.18</v>
      </c>
      <c r="E1714" s="535" t="n">
        <v>37754</v>
      </c>
      <c r="F1714" s="534" t="n">
        <v>4.027</v>
      </c>
      <c r="G1714" s="554" t="n"/>
    </row>
    <row r="1715">
      <c r="A1715" s="535" t="n">
        <v>33935</v>
      </c>
      <c r="B1715" s="534" t="n">
        <v>8.798</v>
      </c>
      <c r="C1715" s="534" t="n">
        <v>5986.67</v>
      </c>
      <c r="E1715" s="535" t="n">
        <v>37755</v>
      </c>
      <c r="F1715" s="534" t="n">
        <v>4.001</v>
      </c>
      <c r="G1715" s="554" t="n"/>
    </row>
    <row r="1716">
      <c r="A1716" s="535" t="n">
        <v>33938</v>
      </c>
      <c r="B1716" s="534" t="n">
        <v>8.58</v>
      </c>
      <c r="C1716" s="534" t="n">
        <v>5810.63</v>
      </c>
      <c r="E1716" s="535" t="n">
        <v>37756</v>
      </c>
      <c r="F1716" s="534" t="n">
        <v>3.907</v>
      </c>
      <c r="G1716" s="554" t="n"/>
    </row>
    <row r="1717">
      <c r="A1717" s="535" t="n">
        <v>33939</v>
      </c>
      <c r="B1717" s="534" t="n">
        <v>8.276</v>
      </c>
      <c r="C1717" s="534" t="n">
        <v>5501.71</v>
      </c>
      <c r="E1717" s="535" t="n">
        <v>37757</v>
      </c>
      <c r="F1717" s="534" t="n">
        <v>3.901</v>
      </c>
      <c r="G1717" s="554" t="n"/>
    </row>
    <row r="1718">
      <c r="A1718" s="535" t="n">
        <v>33940</v>
      </c>
      <c r="B1718" s="534" t="n">
        <v>8.013999999999999</v>
      </c>
      <c r="C1718" s="534" t="n">
        <v>5411.65</v>
      </c>
      <c r="E1718" s="535" t="n">
        <v>37760</v>
      </c>
      <c r="F1718" s="534" t="n">
        <v>3.752</v>
      </c>
      <c r="G1718" s="554" t="n"/>
    </row>
    <row r="1719">
      <c r="A1719" s="535" t="n">
        <v>33941</v>
      </c>
      <c r="B1719" s="534" t="n">
        <v>6.969</v>
      </c>
      <c r="C1719" s="534" t="n">
        <v>4978.21</v>
      </c>
      <c r="E1719" s="535" t="n">
        <v>37761</v>
      </c>
      <c r="F1719" s="534" t="n">
        <v>3.801</v>
      </c>
      <c r="G1719" s="554" t="n"/>
    </row>
    <row r="1720">
      <c r="A1720" s="535" t="n">
        <v>33942</v>
      </c>
      <c r="B1720" s="534" t="n">
        <v>7.709</v>
      </c>
      <c r="C1720" s="534" t="n">
        <v>5268.1</v>
      </c>
      <c r="E1720" s="535" t="n">
        <v>37762</v>
      </c>
      <c r="F1720" s="534" t="n">
        <v>3.727</v>
      </c>
      <c r="G1720" s="554" t="n"/>
    </row>
    <row r="1721">
      <c r="A1721" s="535" t="n">
        <v>33945</v>
      </c>
      <c r="B1721" s="534" t="n">
        <v>7.84</v>
      </c>
      <c r="C1721" s="534" t="n">
        <v>5191.75</v>
      </c>
      <c r="E1721" s="535" t="n">
        <v>37763</v>
      </c>
      <c r="F1721" s="534" t="n">
        <v>3.72</v>
      </c>
      <c r="G1721" s="554" t="n"/>
    </row>
    <row r="1722">
      <c r="A1722" s="535" t="n">
        <v>33946</v>
      </c>
      <c r="B1722" s="534" t="n">
        <v>7.884</v>
      </c>
      <c r="C1722" s="534" t="n">
        <v>5202.36</v>
      </c>
      <c r="E1722" s="535" t="n">
        <v>37764</v>
      </c>
      <c r="F1722" s="534" t="n">
        <v>3.652</v>
      </c>
      <c r="G1722" s="554" t="n"/>
    </row>
    <row r="1723">
      <c r="A1723" s="535" t="n">
        <v>33947</v>
      </c>
      <c r="B1723" s="534" t="n">
        <v>8.145</v>
      </c>
      <c r="C1723" s="534" t="n">
        <v>5339.25</v>
      </c>
      <c r="E1723" s="535" t="n">
        <v>37767</v>
      </c>
      <c r="F1723" s="534" t="n">
        <v>3.658</v>
      </c>
      <c r="G1723" s="554" t="n"/>
    </row>
    <row r="1724">
      <c r="A1724" s="535" t="n">
        <v>33948</v>
      </c>
      <c r="B1724" s="534" t="n">
        <v>8.145</v>
      </c>
      <c r="C1724" s="534" t="n">
        <v>5273.79</v>
      </c>
      <c r="E1724" s="535" t="n">
        <v>37768</v>
      </c>
      <c r="F1724" s="534" t="n">
        <v>3.644</v>
      </c>
      <c r="G1724" s="554" t="n"/>
    </row>
    <row r="1725">
      <c r="A1725" s="535" t="n">
        <v>33949</v>
      </c>
      <c r="B1725" s="534" t="n">
        <v>8.101000000000001</v>
      </c>
      <c r="C1725" s="534" t="n">
        <v>5253.18</v>
      </c>
      <c r="E1725" s="535" t="n">
        <v>37769</v>
      </c>
      <c r="F1725" s="534" t="n">
        <v>3.793</v>
      </c>
      <c r="G1725" s="554" t="n"/>
    </row>
    <row r="1726">
      <c r="A1726" s="535" t="n">
        <v>33952</v>
      </c>
      <c r="B1726" s="534" t="n">
        <v>8.101000000000001</v>
      </c>
      <c r="C1726" s="534" t="n">
        <v>5267.73</v>
      </c>
      <c r="E1726" s="535" t="n">
        <v>37770</v>
      </c>
      <c r="F1726" s="534" t="n">
        <v>3.781</v>
      </c>
      <c r="G1726" s="554" t="n"/>
    </row>
    <row r="1727">
      <c r="A1727" s="535" t="n">
        <v>33953</v>
      </c>
      <c r="B1727" s="534" t="n">
        <v>8.101000000000001</v>
      </c>
      <c r="C1727" s="534" t="n">
        <v>5315.81</v>
      </c>
      <c r="E1727" s="535" t="n">
        <v>37771</v>
      </c>
      <c r="F1727" s="534" t="n">
        <v>3.694</v>
      </c>
      <c r="G1727" s="554" t="n"/>
    </row>
    <row r="1728">
      <c r="A1728" s="535" t="n">
        <v>33954</v>
      </c>
      <c r="B1728" s="534" t="n">
        <v>8.101000000000001</v>
      </c>
      <c r="C1728" s="534" t="n">
        <v>5415.96</v>
      </c>
      <c r="E1728" s="535" t="n">
        <v>37774</v>
      </c>
      <c r="F1728" s="534" t="n">
        <v>3.762</v>
      </c>
      <c r="G1728" s="554" t="n"/>
    </row>
    <row r="1729">
      <c r="A1729" s="535" t="n">
        <v>33955</v>
      </c>
      <c r="B1729" s="534" t="n">
        <v>8.058</v>
      </c>
      <c r="C1729" s="534" t="n">
        <v>5329.46</v>
      </c>
      <c r="E1729" s="535" t="n">
        <v>37775</v>
      </c>
      <c r="F1729" s="534" t="n">
        <v>3.851</v>
      </c>
      <c r="G1729" s="554" t="n"/>
    </row>
    <row r="1730">
      <c r="A1730" s="535" t="n">
        <v>33956</v>
      </c>
      <c r="B1730" s="534" t="n">
        <v>7.884</v>
      </c>
      <c r="C1730" s="534" t="n">
        <v>5192.66</v>
      </c>
      <c r="E1730" s="535" t="n">
        <v>37776</v>
      </c>
      <c r="F1730" s="534" t="n">
        <v>3.851</v>
      </c>
      <c r="G1730" s="554" t="n"/>
    </row>
    <row r="1731">
      <c r="A1731" s="535" t="n">
        <v>33959</v>
      </c>
      <c r="B1731" s="534" t="n">
        <v>8.058</v>
      </c>
      <c r="C1731" s="534" t="n">
        <v>5242.48</v>
      </c>
      <c r="E1731" s="535" t="n">
        <v>37777</v>
      </c>
      <c r="F1731" s="534" t="n">
        <v>3.771</v>
      </c>
      <c r="G1731" s="554" t="n"/>
    </row>
    <row r="1732">
      <c r="A1732" s="535" t="n">
        <v>33960</v>
      </c>
      <c r="B1732" s="534" t="n">
        <v>8.101000000000001</v>
      </c>
      <c r="C1732" s="534" t="n">
        <v>5297.74</v>
      </c>
      <c r="E1732" s="535" t="n">
        <v>37778</v>
      </c>
      <c r="F1732" s="534" t="n">
        <v>3.777</v>
      </c>
      <c r="G1732" s="554" t="n"/>
    </row>
    <row r="1733">
      <c r="A1733" s="535" t="n">
        <v>33961</v>
      </c>
      <c r="B1733" s="534" t="n">
        <v>8.013999999999999</v>
      </c>
      <c r="C1733" s="534" t="n">
        <v>5317.99</v>
      </c>
      <c r="E1733" s="535" t="n">
        <v>37781</v>
      </c>
      <c r="F1733" s="534" t="n">
        <v>3.793</v>
      </c>
      <c r="G1733" s="554" t="n"/>
    </row>
    <row r="1734">
      <c r="A1734" s="535" t="n">
        <v>33962</v>
      </c>
      <c r="B1734" s="534" t="n">
        <v>8.058</v>
      </c>
      <c r="C1734" s="534" t="n">
        <v>5442.01</v>
      </c>
      <c r="E1734" s="535" t="n">
        <v>37782</v>
      </c>
      <c r="F1734" s="534" t="n">
        <v>3.74</v>
      </c>
      <c r="G1734" s="554" t="n"/>
    </row>
    <row r="1735">
      <c r="A1735" s="535" t="n">
        <v>33963</v>
      </c>
      <c r="B1735" s="534" t="n">
        <v>8.058</v>
      </c>
      <c r="C1735" s="534" t="n">
        <v>5442.01</v>
      </c>
      <c r="E1735" s="535" t="n">
        <v>37783</v>
      </c>
      <c r="F1735" s="534" t="n">
        <v>3.667</v>
      </c>
      <c r="G1735" s="554" t="n"/>
    </row>
    <row r="1736">
      <c r="A1736" s="535" t="n">
        <v>33966</v>
      </c>
      <c r="B1736" s="534" t="n">
        <v>8.058</v>
      </c>
      <c r="C1736" s="534" t="n">
        <v>5531.65</v>
      </c>
      <c r="E1736" s="535" t="n">
        <v>37784</v>
      </c>
      <c r="F1736" s="534" t="n">
        <v>3.685</v>
      </c>
      <c r="G1736" s="554" t="n"/>
    </row>
    <row r="1737">
      <c r="A1737" s="535" t="n">
        <v>33967</v>
      </c>
      <c r="B1737" s="534" t="n">
        <v>7.971</v>
      </c>
      <c r="C1737" s="534" t="n">
        <v>5444.13</v>
      </c>
      <c r="E1737" s="535" t="n">
        <v>37785</v>
      </c>
      <c r="F1737" s="534" t="n">
        <v>3.654</v>
      </c>
      <c r="G1737" s="554" t="n"/>
    </row>
    <row r="1738">
      <c r="A1738" s="535" t="n">
        <v>33968</v>
      </c>
      <c r="B1738" s="534" t="n">
        <v>7.971</v>
      </c>
      <c r="C1738" s="534" t="n">
        <v>5467.89</v>
      </c>
      <c r="E1738" s="535" t="n">
        <v>37788</v>
      </c>
      <c r="F1738" s="534" t="n">
        <v>3.606</v>
      </c>
      <c r="G1738" s="554" t="n"/>
    </row>
    <row r="1739">
      <c r="A1739" s="535" t="n">
        <v>33969</v>
      </c>
      <c r="B1739" s="534" t="n">
        <v>8.231999999999999</v>
      </c>
      <c r="C1739" s="534" t="n">
        <v>5512.39</v>
      </c>
      <c r="E1739" s="535" t="n">
        <v>37789</v>
      </c>
      <c r="F1739" s="534" t="n">
        <v>3.66</v>
      </c>
      <c r="G1739" s="554" t="n"/>
    </row>
    <row r="1740">
      <c r="A1740" s="535" t="n">
        <v>33970</v>
      </c>
      <c r="B1740" s="534" t="n">
        <v>8.231999999999999</v>
      </c>
      <c r="C1740" s="534" t="n">
        <v>5512.39</v>
      </c>
      <c r="E1740" s="535" t="n">
        <v>37790</v>
      </c>
      <c r="F1740" s="534" t="n">
        <v>3.697</v>
      </c>
      <c r="G1740" s="554" t="n"/>
    </row>
    <row r="1741">
      <c r="A1741" s="535" t="n">
        <v>33973</v>
      </c>
      <c r="B1741" s="534" t="n">
        <v>8.013999999999999</v>
      </c>
      <c r="C1741" s="534" t="n">
        <v>5437.8</v>
      </c>
      <c r="E1741" s="535" t="n">
        <v>37791</v>
      </c>
      <c r="F1741" s="534" t="n">
        <v>3.777</v>
      </c>
      <c r="G1741" s="554" t="n"/>
    </row>
    <row r="1742">
      <c r="A1742" s="535" t="n">
        <v>33974</v>
      </c>
      <c r="B1742" s="534" t="n">
        <v>8.145</v>
      </c>
      <c r="C1742" s="534" t="n">
        <v>5548.03</v>
      </c>
      <c r="E1742" s="535" t="n">
        <v>37792</v>
      </c>
      <c r="F1742" s="534" t="n">
        <v>3.74</v>
      </c>
      <c r="G1742" s="554" t="n"/>
    </row>
    <row r="1743">
      <c r="A1743" s="535" t="n">
        <v>33975</v>
      </c>
      <c r="B1743" s="534" t="n">
        <v>8.276</v>
      </c>
      <c r="C1743" s="534" t="n">
        <v>5586.67</v>
      </c>
      <c r="E1743" s="535" t="n">
        <v>37795</v>
      </c>
      <c r="F1743" s="534" t="n">
        <v>3.802</v>
      </c>
      <c r="G1743" s="554" t="n"/>
    </row>
    <row r="1744">
      <c r="A1744" s="535" t="n">
        <v>33976</v>
      </c>
      <c r="B1744" s="534" t="n">
        <v>8.231999999999999</v>
      </c>
      <c r="C1744" s="534" t="n">
        <v>5547.32</v>
      </c>
      <c r="E1744" s="535" t="n">
        <v>37796</v>
      </c>
      <c r="F1744" s="534" t="n">
        <v>3.769</v>
      </c>
      <c r="G1744" s="554" t="n"/>
    </row>
    <row r="1745">
      <c r="A1745" s="535" t="n">
        <v>33977</v>
      </c>
      <c r="B1745" s="534" t="n">
        <v>8.058</v>
      </c>
      <c r="C1745" s="534" t="n">
        <v>5529.56</v>
      </c>
      <c r="E1745" s="535" t="n">
        <v>37797</v>
      </c>
      <c r="F1745" s="534" t="n">
        <v>3.709</v>
      </c>
      <c r="G1745" s="554" t="n"/>
    </row>
    <row r="1746">
      <c r="A1746" s="535" t="n">
        <v>33980</v>
      </c>
      <c r="B1746" s="534" t="n">
        <v>8.276</v>
      </c>
      <c r="C1746" s="534" t="n">
        <v>5673.1</v>
      </c>
      <c r="E1746" s="535" t="n">
        <v>37798</v>
      </c>
      <c r="F1746" s="534" t="n">
        <v>3.826</v>
      </c>
      <c r="G1746" s="554" t="n"/>
    </row>
    <row r="1747">
      <c r="A1747" s="535" t="n">
        <v>33981</v>
      </c>
      <c r="B1747" s="534" t="n">
        <v>8.188000000000001</v>
      </c>
      <c r="C1747" s="534" t="n">
        <v>5671.26</v>
      </c>
      <c r="E1747" s="535" t="n">
        <v>37799</v>
      </c>
      <c r="F1747" s="534" t="n">
        <v>3.933</v>
      </c>
      <c r="G1747" s="554" t="n"/>
    </row>
    <row r="1748">
      <c r="A1748" s="535" t="n">
        <v>33982</v>
      </c>
      <c r="B1748" s="534" t="n">
        <v>8.276</v>
      </c>
      <c r="C1748" s="534" t="n">
        <v>5778.74</v>
      </c>
      <c r="E1748" s="535" t="n">
        <v>37802</v>
      </c>
      <c r="F1748" s="534" t="n">
        <v>3.933</v>
      </c>
      <c r="G1748" s="554" t="n"/>
    </row>
    <row r="1749">
      <c r="A1749" s="535" t="n">
        <v>33983</v>
      </c>
      <c r="B1749" s="534" t="n">
        <v>8.363</v>
      </c>
      <c r="C1749" s="534" t="n">
        <v>5890.16</v>
      </c>
      <c r="E1749" s="535" t="n">
        <v>37803</v>
      </c>
      <c r="F1749" s="534" t="n">
        <v>3.933</v>
      </c>
      <c r="G1749" s="554" t="n"/>
    </row>
    <row r="1750">
      <c r="A1750" s="535" t="n">
        <v>33984</v>
      </c>
      <c r="B1750" s="534" t="n">
        <v>8.188000000000001</v>
      </c>
      <c r="C1750" s="534" t="n">
        <v>5871.8</v>
      </c>
      <c r="E1750" s="535" t="n">
        <v>37804</v>
      </c>
      <c r="F1750" s="534" t="n">
        <v>3.983</v>
      </c>
      <c r="G1750" s="554" t="n"/>
    </row>
    <row r="1751">
      <c r="A1751" s="535" t="n">
        <v>33987</v>
      </c>
      <c r="B1751" s="534" t="n">
        <v>8.058</v>
      </c>
      <c r="C1751" s="534" t="n">
        <v>5882.02</v>
      </c>
      <c r="E1751" s="535" t="n">
        <v>37805</v>
      </c>
      <c r="F1751" s="534" t="n">
        <v>4.002</v>
      </c>
      <c r="G1751" s="554" t="n"/>
    </row>
    <row r="1752">
      <c r="A1752" s="535" t="n">
        <v>33988</v>
      </c>
      <c r="B1752" s="534" t="n">
        <v>8.188000000000001</v>
      </c>
      <c r="C1752" s="534" t="n">
        <v>5897.9</v>
      </c>
      <c r="E1752" s="535" t="n">
        <v>37806</v>
      </c>
      <c r="F1752" s="534" t="n">
        <v>4.04</v>
      </c>
      <c r="G1752" s="554" t="n"/>
    </row>
    <row r="1753">
      <c r="A1753" s="535" t="n">
        <v>33989</v>
      </c>
      <c r="B1753" s="534" t="n">
        <v>8.145</v>
      </c>
      <c r="C1753" s="534" t="n">
        <v>5877.02</v>
      </c>
      <c r="E1753" s="535" t="n">
        <v>37809</v>
      </c>
      <c r="F1753" s="534" t="n">
        <v>4.053</v>
      </c>
      <c r="G1753" s="554" t="n"/>
    </row>
    <row r="1754">
      <c r="A1754" s="535" t="n">
        <v>33990</v>
      </c>
      <c r="B1754" s="534" t="n">
        <v>8.145</v>
      </c>
      <c r="C1754" s="534" t="n">
        <v>5914.39</v>
      </c>
      <c r="E1754" s="535" t="n">
        <v>37810</v>
      </c>
      <c r="F1754" s="534" t="n">
        <v>4.136</v>
      </c>
      <c r="G1754" s="554" t="n"/>
    </row>
    <row r="1755">
      <c r="A1755" s="535" t="n">
        <v>33991</v>
      </c>
      <c r="B1755" s="534" t="n">
        <v>8.145</v>
      </c>
      <c r="C1755" s="534" t="n">
        <v>5914.39</v>
      </c>
      <c r="E1755" s="535" t="n">
        <v>37811</v>
      </c>
      <c r="F1755" s="534" t="n">
        <v>4.041</v>
      </c>
      <c r="G1755" s="554" t="n"/>
    </row>
    <row r="1756">
      <c r="A1756" s="535" t="n">
        <v>33994</v>
      </c>
      <c r="B1756" s="534" t="n">
        <v>8.145</v>
      </c>
      <c r="C1756" s="534" t="n">
        <v>5914.39</v>
      </c>
      <c r="E1756" s="535" t="n">
        <v>37812</v>
      </c>
      <c r="F1756" s="534" t="n">
        <v>3.99</v>
      </c>
      <c r="G1756" s="554" t="n"/>
    </row>
    <row r="1757">
      <c r="A1757" s="535" t="n">
        <v>33995</v>
      </c>
      <c r="B1757" s="534" t="n">
        <v>8.101000000000001</v>
      </c>
      <c r="C1757" s="534" t="n">
        <v>5923.73</v>
      </c>
      <c r="E1757" s="535" t="n">
        <v>37813</v>
      </c>
      <c r="F1757" s="534" t="n">
        <v>4.047</v>
      </c>
      <c r="G1757" s="554" t="n"/>
    </row>
    <row r="1758">
      <c r="A1758" s="535" t="n">
        <v>33996</v>
      </c>
      <c r="B1758" s="534" t="n">
        <v>8.145</v>
      </c>
      <c r="C1758" s="534" t="n">
        <v>5939.89</v>
      </c>
      <c r="E1758" s="535" t="n">
        <v>37816</v>
      </c>
      <c r="F1758" s="534" t="n">
        <v>3.996</v>
      </c>
      <c r="G1758" s="554" t="n"/>
    </row>
    <row r="1759">
      <c r="A1759" s="535" t="n">
        <v>33997</v>
      </c>
      <c r="B1759" s="534" t="n">
        <v>8.101000000000001</v>
      </c>
      <c r="C1759" s="534" t="n">
        <v>5804.5</v>
      </c>
      <c r="E1759" s="535" t="n">
        <v>37817</v>
      </c>
      <c r="F1759" s="534" t="n">
        <v>4.079</v>
      </c>
      <c r="G1759" s="554" t="n"/>
    </row>
    <row r="1760">
      <c r="A1760" s="535" t="n">
        <v>33998</v>
      </c>
      <c r="B1760" s="534" t="n">
        <v>8.101000000000001</v>
      </c>
      <c r="C1760" s="534" t="n">
        <v>5751.4</v>
      </c>
      <c r="E1760" s="535" t="n">
        <v>37818</v>
      </c>
      <c r="F1760" s="534" t="n">
        <v>4.345</v>
      </c>
      <c r="G1760" s="554" t="n"/>
    </row>
    <row r="1761">
      <c r="A1761" s="535" t="n">
        <v>34001</v>
      </c>
      <c r="B1761" s="534" t="n">
        <v>8.101000000000001</v>
      </c>
      <c r="C1761" s="534" t="n">
        <v>5697.78</v>
      </c>
      <c r="E1761" s="535" t="n">
        <v>37819</v>
      </c>
      <c r="F1761" s="534" t="n">
        <v>4.286</v>
      </c>
      <c r="G1761" s="554" t="n"/>
    </row>
    <row r="1762">
      <c r="A1762" s="535" t="n">
        <v>34002</v>
      </c>
      <c r="B1762" s="534" t="n">
        <v>8.145</v>
      </c>
      <c r="C1762" s="534" t="n">
        <v>5662.53</v>
      </c>
      <c r="E1762" s="535" t="n">
        <v>37820</v>
      </c>
      <c r="F1762" s="534" t="n">
        <v>4.313</v>
      </c>
      <c r="G1762" s="554" t="n"/>
    </row>
    <row r="1763">
      <c r="A1763" s="535" t="n">
        <v>34003</v>
      </c>
      <c r="B1763" s="534" t="n">
        <v>8.145</v>
      </c>
      <c r="C1763" s="534" t="n">
        <v>5710.8</v>
      </c>
      <c r="E1763" s="535" t="n">
        <v>37823</v>
      </c>
      <c r="F1763" s="534" t="n">
        <v>4.405</v>
      </c>
      <c r="G1763" s="554" t="n"/>
    </row>
    <row r="1764">
      <c r="A1764" s="535" t="n">
        <v>34004</v>
      </c>
      <c r="B1764" s="534" t="n">
        <v>8.058</v>
      </c>
      <c r="C1764" s="534" t="n">
        <v>5778.01</v>
      </c>
      <c r="E1764" s="535" t="n">
        <v>37824</v>
      </c>
      <c r="F1764" s="534" t="n">
        <v>4.512</v>
      </c>
      <c r="G1764" s="554" t="n"/>
    </row>
    <row r="1765">
      <c r="A1765" s="535" t="n">
        <v>34005</v>
      </c>
      <c r="B1765" s="534" t="n">
        <v>8.101000000000001</v>
      </c>
      <c r="C1765" s="534" t="n">
        <v>5747.21</v>
      </c>
      <c r="E1765" s="535" t="n">
        <v>37825</v>
      </c>
      <c r="F1765" s="534" t="n">
        <v>4.472</v>
      </c>
      <c r="G1765" s="554" t="n"/>
    </row>
    <row r="1766">
      <c r="A1766" s="535" t="n">
        <v>34008</v>
      </c>
      <c r="B1766" s="534" t="n">
        <v>8.188000000000001</v>
      </c>
      <c r="C1766" s="534" t="n">
        <v>5786.65</v>
      </c>
      <c r="E1766" s="535" t="n">
        <v>37826</v>
      </c>
      <c r="F1766" s="534" t="n">
        <v>4.439</v>
      </c>
      <c r="G1766" s="554" t="n"/>
    </row>
    <row r="1767">
      <c r="A1767" s="535" t="n">
        <v>34009</v>
      </c>
      <c r="B1767" s="534" t="n">
        <v>8.145</v>
      </c>
      <c r="C1767" s="534" t="n">
        <v>5789.52</v>
      </c>
      <c r="E1767" s="535" t="n">
        <v>37827</v>
      </c>
      <c r="F1767" s="534" t="n">
        <v>4.512</v>
      </c>
      <c r="G1767" s="554" t="n"/>
    </row>
    <row r="1768">
      <c r="A1768" s="535" t="n">
        <v>34010</v>
      </c>
      <c r="B1768" s="534" t="n">
        <v>8.188000000000001</v>
      </c>
      <c r="C1768" s="534" t="n">
        <v>5835.55</v>
      </c>
      <c r="E1768" s="535" t="n">
        <v>37830</v>
      </c>
      <c r="F1768" s="534" t="n">
        <v>4.6</v>
      </c>
      <c r="G1768" s="554" t="n"/>
    </row>
    <row r="1769">
      <c r="A1769" s="535" t="n">
        <v>34011</v>
      </c>
      <c r="B1769" s="534" t="n">
        <v>8.188000000000001</v>
      </c>
      <c r="C1769" s="534" t="n">
        <v>5857</v>
      </c>
      <c r="E1769" s="535" t="n">
        <v>37831</v>
      </c>
      <c r="F1769" s="534" t="n">
        <v>4.702</v>
      </c>
      <c r="G1769" s="554" t="n"/>
    </row>
    <row r="1770">
      <c r="A1770" s="535" t="n">
        <v>34012</v>
      </c>
      <c r="B1770" s="534" t="n">
        <v>8.188000000000001</v>
      </c>
      <c r="C1770" s="534" t="n">
        <v>5858.15</v>
      </c>
      <c r="E1770" s="535" t="n">
        <v>37832</v>
      </c>
      <c r="F1770" s="534" t="n">
        <v>4.84</v>
      </c>
      <c r="G1770" s="554" t="n"/>
    </row>
    <row r="1771">
      <c r="A1771" s="535" t="n">
        <v>34015</v>
      </c>
      <c r="B1771" s="534" t="n">
        <v>8.276</v>
      </c>
      <c r="C1771" s="534" t="n">
        <v>6049.44</v>
      </c>
      <c r="E1771" s="535" t="n">
        <v>37833</v>
      </c>
      <c r="F1771" s="534" t="n">
        <v>4.662</v>
      </c>
      <c r="G1771" s="554" t="n"/>
    </row>
    <row r="1772">
      <c r="A1772" s="535" t="n">
        <v>34016</v>
      </c>
      <c r="B1772" s="534" t="n">
        <v>8.276</v>
      </c>
      <c r="C1772" s="534" t="n">
        <v>6065.62</v>
      </c>
      <c r="E1772" s="535" t="n">
        <v>37834</v>
      </c>
      <c r="F1772" s="534" t="n">
        <v>4.841</v>
      </c>
      <c r="G1772" s="554" t="n"/>
    </row>
    <row r="1773">
      <c r="A1773" s="535" t="n">
        <v>34017</v>
      </c>
      <c r="B1773" s="534" t="n">
        <v>8.276</v>
      </c>
      <c r="C1773" s="534" t="n">
        <v>6087.46</v>
      </c>
      <c r="E1773" s="535" t="n">
        <v>37837</v>
      </c>
      <c r="F1773" s="534" t="n">
        <v>4.779</v>
      </c>
      <c r="G1773" s="554" t="n"/>
    </row>
    <row r="1774">
      <c r="A1774" s="535" t="n">
        <v>34018</v>
      </c>
      <c r="B1774" s="534" t="n">
        <v>8.58</v>
      </c>
      <c r="C1774" s="534" t="n">
        <v>6186.94</v>
      </c>
      <c r="E1774" s="535" t="n">
        <v>37838</v>
      </c>
      <c r="F1774" s="534" t="n">
        <v>4.683</v>
      </c>
      <c r="G1774" s="554" t="n"/>
    </row>
    <row r="1775">
      <c r="A1775" s="535" t="n">
        <v>34019</v>
      </c>
      <c r="B1775" s="534" t="n">
        <v>8.798</v>
      </c>
      <c r="C1775" s="534" t="n">
        <v>6170.09</v>
      </c>
      <c r="E1775" s="535" t="n">
        <v>37839</v>
      </c>
      <c r="F1775" s="534" t="n">
        <v>4.71</v>
      </c>
      <c r="G1775" s="554" t="n"/>
    </row>
    <row r="1776">
      <c r="A1776" s="535" t="n">
        <v>34022</v>
      </c>
      <c r="B1776" s="534" t="n">
        <v>8.798</v>
      </c>
      <c r="C1776" s="534" t="n">
        <v>6231.88</v>
      </c>
      <c r="E1776" s="535" t="n">
        <v>37840</v>
      </c>
      <c r="F1776" s="534" t="n">
        <v>4.548</v>
      </c>
      <c r="G1776" s="554" t="n"/>
    </row>
    <row r="1777">
      <c r="A1777" s="535" t="n">
        <v>34023</v>
      </c>
      <c r="B1777" s="534" t="n">
        <v>8.667999999999999</v>
      </c>
      <c r="C1777" s="534" t="n">
        <v>6149.19</v>
      </c>
      <c r="E1777" s="535" t="n">
        <v>37841</v>
      </c>
      <c r="F1777" s="534" t="n">
        <v>4.474</v>
      </c>
      <c r="G1777" s="554" t="n"/>
    </row>
    <row r="1778">
      <c r="A1778" s="535" t="n">
        <v>34024</v>
      </c>
      <c r="B1778" s="534" t="n">
        <v>8.537000000000001</v>
      </c>
      <c r="C1778" s="534" t="n">
        <v>6177.69</v>
      </c>
      <c r="E1778" s="535" t="n">
        <v>37844</v>
      </c>
      <c r="F1778" s="534" t="n">
        <v>4.528</v>
      </c>
      <c r="G1778" s="554" t="n"/>
    </row>
    <row r="1779">
      <c r="A1779" s="535" t="n">
        <v>34025</v>
      </c>
      <c r="B1779" s="534" t="n">
        <v>8.537000000000001</v>
      </c>
      <c r="C1779" s="534" t="n">
        <v>6203.88</v>
      </c>
      <c r="E1779" s="535" t="n">
        <v>37845</v>
      </c>
      <c r="F1779" s="534" t="n">
        <v>4.643</v>
      </c>
      <c r="G1779" s="554" t="n"/>
    </row>
    <row r="1780">
      <c r="A1780" s="535" t="n">
        <v>34026</v>
      </c>
      <c r="B1780" s="534" t="n">
        <v>8.711</v>
      </c>
      <c r="C1780" s="534" t="n">
        <v>6351.99</v>
      </c>
      <c r="E1780" s="535" t="n">
        <v>37846</v>
      </c>
      <c r="F1780" s="534" t="n">
        <v>4.726</v>
      </c>
      <c r="G1780" s="554" t="n"/>
    </row>
    <row r="1781">
      <c r="A1781" s="535" t="n">
        <v>34029</v>
      </c>
      <c r="B1781" s="534" t="n">
        <v>8.711</v>
      </c>
      <c r="C1781" s="534" t="n">
        <v>6398.82</v>
      </c>
      <c r="E1781" s="535" t="n">
        <v>37847</v>
      </c>
      <c r="F1781" s="534" t="n">
        <v>4.85</v>
      </c>
      <c r="G1781" s="554" t="n"/>
    </row>
    <row r="1782">
      <c r="A1782" s="535" t="n">
        <v>34030</v>
      </c>
      <c r="B1782" s="534" t="n">
        <v>8.667999999999999</v>
      </c>
      <c r="C1782" s="534" t="n">
        <v>6344.23</v>
      </c>
      <c r="E1782" s="535" t="n">
        <v>37848</v>
      </c>
      <c r="F1782" s="534" t="n">
        <v>4.761</v>
      </c>
      <c r="G1782" s="554" t="n"/>
    </row>
    <row r="1783">
      <c r="A1783" s="535" t="n">
        <v>34031</v>
      </c>
      <c r="B1783" s="534" t="n">
        <v>8.711</v>
      </c>
      <c r="C1783" s="534" t="n">
        <v>6436.64</v>
      </c>
      <c r="E1783" s="535" t="n">
        <v>37851</v>
      </c>
      <c r="F1783" s="534" t="n">
        <v>4.776</v>
      </c>
      <c r="G1783" s="554" t="n"/>
    </row>
    <row r="1784">
      <c r="A1784" s="535" t="n">
        <v>34032</v>
      </c>
      <c r="B1784" s="534" t="n">
        <v>8.798</v>
      </c>
      <c r="C1784" s="534" t="n">
        <v>6467.8</v>
      </c>
      <c r="E1784" s="535" t="n">
        <v>37852</v>
      </c>
      <c r="F1784" s="534" t="n">
        <v>4.734</v>
      </c>
      <c r="G1784" s="554" t="n"/>
    </row>
    <row r="1785">
      <c r="A1785" s="535" t="n">
        <v>34033</v>
      </c>
      <c r="B1785" s="534" t="n">
        <v>8.711</v>
      </c>
      <c r="C1785" s="534" t="n">
        <v>6502.81</v>
      </c>
      <c r="E1785" s="535" t="n">
        <v>37853</v>
      </c>
      <c r="F1785" s="534" t="n">
        <v>4.564</v>
      </c>
      <c r="G1785" s="554" t="n"/>
    </row>
    <row r="1786">
      <c r="A1786" s="535" t="n">
        <v>34036</v>
      </c>
      <c r="B1786" s="534" t="n">
        <v>8.667999999999999</v>
      </c>
      <c r="C1786" s="534" t="n">
        <v>6482.16</v>
      </c>
      <c r="E1786" s="535" t="n">
        <v>37854</v>
      </c>
      <c r="F1786" s="534" t="n">
        <v>4.666</v>
      </c>
      <c r="G1786" s="554" t="n"/>
    </row>
    <row r="1787">
      <c r="A1787" s="535" t="n">
        <v>34037</v>
      </c>
      <c r="B1787" s="534" t="n">
        <v>8.624000000000001</v>
      </c>
      <c r="C1787" s="534" t="n">
        <v>6508</v>
      </c>
      <c r="E1787" s="535" t="n">
        <v>37855</v>
      </c>
      <c r="F1787" s="534" t="n">
        <v>4.728</v>
      </c>
      <c r="G1787" s="554" t="n"/>
    </row>
    <row r="1788">
      <c r="A1788" s="535" t="n">
        <v>34038</v>
      </c>
      <c r="B1788" s="534" t="n">
        <v>8.58</v>
      </c>
      <c r="C1788" s="534" t="n">
        <v>6488.46</v>
      </c>
      <c r="E1788" s="535" t="n">
        <v>37858</v>
      </c>
      <c r="F1788" s="534" t="n">
        <v>4.742</v>
      </c>
      <c r="G1788" s="554" t="n"/>
    </row>
    <row r="1789">
      <c r="A1789" s="535" t="n">
        <v>34039</v>
      </c>
      <c r="B1789" s="534" t="n">
        <v>8.537000000000001</v>
      </c>
      <c r="C1789" s="534" t="n">
        <v>6371.84</v>
      </c>
      <c r="E1789" s="535" t="n">
        <v>37859</v>
      </c>
      <c r="F1789" s="534" t="n">
        <v>4.832</v>
      </c>
      <c r="G1789" s="554" t="n"/>
    </row>
    <row r="1790">
      <c r="A1790" s="535" t="n">
        <v>34040</v>
      </c>
      <c r="B1790" s="534" t="n">
        <v>8.363</v>
      </c>
      <c r="C1790" s="534" t="n">
        <v>6170.4</v>
      </c>
      <c r="E1790" s="535" t="n">
        <v>37860</v>
      </c>
      <c r="F1790" s="534" t="n">
        <v>4.805</v>
      </c>
      <c r="G1790" s="554" t="n"/>
    </row>
    <row r="1791">
      <c r="A1791" s="535" t="n">
        <v>34043</v>
      </c>
      <c r="B1791" s="534" t="n">
        <v>7.622</v>
      </c>
      <c r="C1791" s="534" t="n">
        <v>5854.61</v>
      </c>
      <c r="E1791" s="535" t="n">
        <v>37861</v>
      </c>
      <c r="F1791" s="534" t="n">
        <v>4.826</v>
      </c>
      <c r="G1791" s="554" t="n"/>
    </row>
    <row r="1792">
      <c r="A1792" s="535" t="n">
        <v>34044</v>
      </c>
      <c r="B1792" s="534" t="n">
        <v>7.753</v>
      </c>
      <c r="C1792" s="534" t="n">
        <v>5980.04</v>
      </c>
      <c r="E1792" s="535" t="n">
        <v>37862</v>
      </c>
      <c r="F1792" s="534" t="n">
        <v>4.698</v>
      </c>
      <c r="G1792" s="554" t="n"/>
    </row>
    <row r="1793">
      <c r="A1793" s="535" t="n">
        <v>34045</v>
      </c>
      <c r="B1793" s="534" t="n">
        <v>7.535</v>
      </c>
      <c r="C1793" s="534" t="n">
        <v>5958.33</v>
      </c>
      <c r="E1793" s="535" t="n">
        <v>37865</v>
      </c>
      <c r="F1793" s="534" t="n">
        <v>4.737</v>
      </c>
      <c r="G1793" s="554" t="n"/>
    </row>
    <row r="1794">
      <c r="A1794" s="535" t="n">
        <v>34046</v>
      </c>
      <c r="B1794" s="534" t="n">
        <v>7.84</v>
      </c>
      <c r="C1794" s="534" t="n">
        <v>6051.26</v>
      </c>
      <c r="E1794" s="535" t="n">
        <v>37866</v>
      </c>
      <c r="F1794" s="534" t="n">
        <v>4.785</v>
      </c>
      <c r="G1794" s="554" t="n"/>
    </row>
    <row r="1795">
      <c r="A1795" s="535" t="n">
        <v>34047</v>
      </c>
      <c r="B1795" s="534" t="n">
        <v>7.884</v>
      </c>
      <c r="C1795" s="534" t="n">
        <v>6088.34</v>
      </c>
      <c r="E1795" s="535" t="n">
        <v>37867</v>
      </c>
      <c r="F1795" s="534" t="n">
        <v>4.848</v>
      </c>
      <c r="G1795" s="554" t="n"/>
    </row>
    <row r="1796">
      <c r="A1796" s="535" t="n">
        <v>34050</v>
      </c>
      <c r="B1796" s="534" t="n">
        <v>7.84</v>
      </c>
      <c r="C1796" s="534" t="n">
        <v>6060.04</v>
      </c>
      <c r="E1796" s="535" t="n">
        <v>37868</v>
      </c>
      <c r="F1796" s="534" t="n">
        <v>4.8</v>
      </c>
      <c r="G1796" s="554" t="n"/>
    </row>
    <row r="1797">
      <c r="A1797" s="535" t="n">
        <v>34051</v>
      </c>
      <c r="B1797" s="534" t="n">
        <v>7.884</v>
      </c>
      <c r="C1797" s="534" t="n">
        <v>6117.95</v>
      </c>
      <c r="E1797" s="535" t="n">
        <v>37869</v>
      </c>
      <c r="F1797" s="534" t="n">
        <v>4.713</v>
      </c>
      <c r="G1797" s="554" t="n"/>
    </row>
    <row r="1798">
      <c r="A1798" s="535" t="n">
        <v>34052</v>
      </c>
      <c r="B1798" s="534" t="n">
        <v>7.971</v>
      </c>
      <c r="C1798" s="534" t="n">
        <v>6212.19</v>
      </c>
      <c r="E1798" s="535" t="n">
        <v>37872</v>
      </c>
      <c r="F1798" s="534" t="n">
        <v>4.581</v>
      </c>
      <c r="G1798" s="554" t="n"/>
    </row>
    <row r="1799">
      <c r="A1799" s="535" t="n">
        <v>34053</v>
      </c>
      <c r="B1799" s="534" t="n">
        <v>7.971</v>
      </c>
      <c r="C1799" s="534" t="n">
        <v>6246.97</v>
      </c>
      <c r="E1799" s="535" t="n">
        <v>37873</v>
      </c>
      <c r="F1799" s="534" t="n">
        <v>4.656</v>
      </c>
      <c r="G1799" s="554" t="n"/>
    </row>
    <row r="1800">
      <c r="A1800" s="535" t="n">
        <v>34054</v>
      </c>
      <c r="B1800" s="534" t="n">
        <v>8.145</v>
      </c>
      <c r="C1800" s="534" t="n">
        <v>6341.25</v>
      </c>
      <c r="E1800" s="535" t="n">
        <v>37874</v>
      </c>
      <c r="F1800" s="534" t="n">
        <v>4.595</v>
      </c>
      <c r="G1800" s="554" t="n"/>
    </row>
    <row r="1801">
      <c r="A1801" s="535" t="n">
        <v>34057</v>
      </c>
      <c r="B1801" s="534" t="n">
        <v>8.101000000000001</v>
      </c>
      <c r="C1801" s="534" t="n">
        <v>6322.9</v>
      </c>
      <c r="E1801" s="535" t="n">
        <v>37875</v>
      </c>
      <c r="F1801" s="534" t="n">
        <v>4.534</v>
      </c>
      <c r="G1801" s="554" t="n"/>
    </row>
    <row r="1802">
      <c r="A1802" s="535" t="n">
        <v>34058</v>
      </c>
      <c r="B1802" s="534" t="n">
        <v>8.276</v>
      </c>
      <c r="C1802" s="534" t="n">
        <v>6406.49</v>
      </c>
      <c r="E1802" s="535" t="n">
        <v>37876</v>
      </c>
      <c r="F1802" s="534" t="n">
        <v>4.534</v>
      </c>
      <c r="G1802" s="554" t="n"/>
    </row>
    <row r="1803">
      <c r="A1803" s="535" t="n">
        <v>34059</v>
      </c>
      <c r="B1803" s="534" t="n">
        <v>8.276</v>
      </c>
      <c r="C1803" s="534" t="n">
        <v>6388.86</v>
      </c>
      <c r="E1803" s="535" t="n">
        <v>37879</v>
      </c>
      <c r="F1803" s="534" t="n">
        <v>4.467</v>
      </c>
      <c r="G1803" s="554" t="n"/>
    </row>
    <row r="1804">
      <c r="A1804" s="535" t="n">
        <v>34060</v>
      </c>
      <c r="B1804" s="534" t="n">
        <v>8.363</v>
      </c>
      <c r="C1804" s="534" t="n">
        <v>6408.88</v>
      </c>
      <c r="E1804" s="535" t="n">
        <v>37880</v>
      </c>
      <c r="F1804" s="534" t="n">
        <v>4.48</v>
      </c>
      <c r="G1804" s="554" t="n"/>
    </row>
    <row r="1805">
      <c r="A1805" s="535" t="n">
        <v>34061</v>
      </c>
      <c r="B1805" s="534" t="n">
        <v>8.231999999999999</v>
      </c>
      <c r="C1805" s="534" t="n">
        <v>6404.44</v>
      </c>
      <c r="E1805" s="535" t="n">
        <v>37881</v>
      </c>
      <c r="F1805" s="534" t="n">
        <v>4.481</v>
      </c>
      <c r="G1805" s="554" t="n"/>
    </row>
    <row r="1806">
      <c r="A1806" s="535" t="n">
        <v>34064</v>
      </c>
      <c r="B1806" s="534" t="n">
        <v>8.231999999999999</v>
      </c>
      <c r="C1806" s="534" t="n">
        <v>6404.44</v>
      </c>
      <c r="E1806" s="535" t="n">
        <v>37882</v>
      </c>
      <c r="F1806" s="534" t="n">
        <v>4.36</v>
      </c>
      <c r="G1806" s="554" t="n"/>
    </row>
    <row r="1807">
      <c r="A1807" s="535" t="n">
        <v>34065</v>
      </c>
      <c r="B1807" s="534" t="n">
        <v>8.231999999999999</v>
      </c>
      <c r="C1807" s="534" t="n">
        <v>6340.83</v>
      </c>
      <c r="E1807" s="535" t="n">
        <v>37883</v>
      </c>
      <c r="F1807" s="534" t="n">
        <v>4.367</v>
      </c>
      <c r="G1807" s="554" t="n"/>
    </row>
    <row r="1808">
      <c r="A1808" s="535" t="n">
        <v>34066</v>
      </c>
      <c r="B1808" s="534" t="n">
        <v>8.145</v>
      </c>
      <c r="C1808" s="534" t="n">
        <v>6281.7</v>
      </c>
      <c r="E1808" s="535" t="n">
        <v>37886</v>
      </c>
      <c r="F1808" s="534" t="n">
        <v>4.41</v>
      </c>
      <c r="G1808" s="554" t="n"/>
    </row>
    <row r="1809">
      <c r="A1809" s="535" t="n">
        <v>34067</v>
      </c>
      <c r="B1809" s="534" t="n">
        <v>8.145</v>
      </c>
      <c r="C1809" s="534" t="n">
        <v>6285.67</v>
      </c>
      <c r="E1809" s="535" t="n">
        <v>37887</v>
      </c>
      <c r="F1809" s="534" t="n">
        <v>4.383</v>
      </c>
      <c r="G1809" s="554" t="n"/>
    </row>
    <row r="1810">
      <c r="A1810" s="535" t="n">
        <v>34068</v>
      </c>
      <c r="B1810" s="534" t="n">
        <v>8.145</v>
      </c>
      <c r="C1810" s="534" t="n">
        <v>6285.67</v>
      </c>
      <c r="E1810" s="535" t="n">
        <v>37888</v>
      </c>
      <c r="F1810" s="534" t="n">
        <v>4.381</v>
      </c>
      <c r="G1810" s="554" t="n"/>
    </row>
    <row r="1811">
      <c r="A1811" s="535" t="n">
        <v>34071</v>
      </c>
      <c r="B1811" s="534" t="n">
        <v>8.145</v>
      </c>
      <c r="C1811" s="534" t="n">
        <v>6285.67</v>
      </c>
      <c r="E1811" s="535" t="n">
        <v>37889</v>
      </c>
      <c r="F1811" s="534" t="n">
        <v>4.321</v>
      </c>
      <c r="G1811" s="554" t="n"/>
    </row>
    <row r="1812">
      <c r="A1812" s="535" t="n">
        <v>34072</v>
      </c>
      <c r="B1812" s="534" t="n">
        <v>8.363</v>
      </c>
      <c r="C1812" s="534" t="n">
        <v>6418.21</v>
      </c>
      <c r="E1812" s="535" t="n">
        <v>37890</v>
      </c>
      <c r="F1812" s="534" t="n">
        <v>4.284</v>
      </c>
      <c r="G1812" s="554" t="n"/>
    </row>
    <row r="1813">
      <c r="A1813" s="535" t="n">
        <v>34073</v>
      </c>
      <c r="B1813" s="534" t="n">
        <v>8.711</v>
      </c>
      <c r="C1813" s="534" t="n">
        <v>6789.74</v>
      </c>
      <c r="E1813" s="535" t="n">
        <v>37893</v>
      </c>
      <c r="F1813" s="534" t="n">
        <v>4.209</v>
      </c>
      <c r="G1813" s="554" t="n"/>
    </row>
    <row r="1814">
      <c r="A1814" s="535" t="n">
        <v>34074</v>
      </c>
      <c r="B1814" s="534" t="n">
        <v>8.406000000000001</v>
      </c>
      <c r="C1814" s="534" t="n">
        <v>6732.04</v>
      </c>
      <c r="E1814" s="535" t="n">
        <v>37894</v>
      </c>
      <c r="F1814" s="534" t="n">
        <v>4.235</v>
      </c>
      <c r="G1814" s="554" t="n"/>
    </row>
    <row r="1815">
      <c r="A1815" s="535" t="n">
        <v>34075</v>
      </c>
      <c r="B1815" s="534" t="n">
        <v>8.276</v>
      </c>
      <c r="C1815" s="534" t="n">
        <v>6697.15</v>
      </c>
      <c r="E1815" s="535" t="n">
        <v>37895</v>
      </c>
      <c r="F1815" s="534" t="n">
        <v>4.235</v>
      </c>
      <c r="G1815" s="554" t="n"/>
    </row>
    <row r="1816">
      <c r="A1816" s="535" t="n">
        <v>34078</v>
      </c>
      <c r="B1816" s="534" t="n">
        <v>8.145</v>
      </c>
      <c r="C1816" s="534" t="n">
        <v>6680.15</v>
      </c>
      <c r="E1816" s="535" t="n">
        <v>37896</v>
      </c>
      <c r="F1816" s="534" t="n">
        <v>4.183</v>
      </c>
      <c r="G1816" s="554" t="n"/>
    </row>
    <row r="1817">
      <c r="A1817" s="535" t="n">
        <v>34079</v>
      </c>
      <c r="B1817" s="534" t="n">
        <v>8.101000000000001</v>
      </c>
      <c r="C1817" s="534" t="n">
        <v>6638.54</v>
      </c>
      <c r="E1817" s="535" t="n">
        <v>37897</v>
      </c>
      <c r="F1817" s="534" t="n">
        <v>4.249</v>
      </c>
      <c r="G1817" s="554" t="n"/>
    </row>
    <row r="1818">
      <c r="A1818" s="535" t="n">
        <v>34080</v>
      </c>
      <c r="B1818" s="534" t="n">
        <v>8.319000000000001</v>
      </c>
      <c r="C1818" s="534" t="n">
        <v>6768.39</v>
      </c>
      <c r="E1818" s="535" t="n">
        <v>37900</v>
      </c>
      <c r="F1818" s="534" t="n">
        <v>4.383</v>
      </c>
      <c r="G1818" s="554" t="n"/>
    </row>
    <row r="1819">
      <c r="A1819" s="535" t="n">
        <v>34081</v>
      </c>
      <c r="B1819" s="534" t="n">
        <v>8.276</v>
      </c>
      <c r="C1819" s="534" t="n">
        <v>6759.24</v>
      </c>
      <c r="E1819" s="535" t="n">
        <v>37901</v>
      </c>
      <c r="F1819" s="534" t="n">
        <v>4.349</v>
      </c>
      <c r="G1819" s="554" t="n"/>
    </row>
    <row r="1820">
      <c r="A1820" s="535" t="n">
        <v>34082</v>
      </c>
      <c r="B1820" s="534" t="n">
        <v>8.363</v>
      </c>
      <c r="C1820" s="534" t="n">
        <v>6750.94</v>
      </c>
      <c r="E1820" s="535" t="n">
        <v>37902</v>
      </c>
      <c r="F1820" s="534" t="n">
        <v>4.417</v>
      </c>
      <c r="G1820" s="554" t="n"/>
    </row>
    <row r="1821">
      <c r="A1821" s="535" t="n">
        <v>34085</v>
      </c>
      <c r="B1821" s="534" t="n">
        <v>8.972</v>
      </c>
      <c r="C1821" s="534" t="n">
        <v>6845.75</v>
      </c>
      <c r="E1821" s="535" t="n">
        <v>37903</v>
      </c>
      <c r="F1821" s="534" t="n">
        <v>4.444</v>
      </c>
      <c r="G1821" s="554" t="n"/>
    </row>
    <row r="1822">
      <c r="A1822" s="535" t="n">
        <v>34086</v>
      </c>
      <c r="B1822" s="534" t="n">
        <v>9.321</v>
      </c>
      <c r="C1822" s="534" t="n">
        <v>6836.88</v>
      </c>
      <c r="E1822" s="535" t="n">
        <v>37904</v>
      </c>
      <c r="F1822" s="534" t="n">
        <v>4.485</v>
      </c>
      <c r="G1822" s="554" t="n"/>
    </row>
    <row r="1823">
      <c r="A1823" s="535" t="n">
        <v>34087</v>
      </c>
      <c r="B1823" s="534" t="n">
        <v>9.582000000000001</v>
      </c>
      <c r="C1823" s="534" t="n">
        <v>6894.9</v>
      </c>
      <c r="E1823" s="535" t="n">
        <v>37907</v>
      </c>
      <c r="F1823" s="534" t="n">
        <v>4.417</v>
      </c>
      <c r="G1823" s="554" t="n"/>
    </row>
    <row r="1824">
      <c r="A1824" s="535" t="n">
        <v>34088</v>
      </c>
      <c r="B1824" s="534" t="n">
        <v>9.582000000000001</v>
      </c>
      <c r="C1824" s="534" t="n">
        <v>6884.05</v>
      </c>
      <c r="E1824" s="535" t="n">
        <v>37908</v>
      </c>
      <c r="F1824" s="534" t="n">
        <v>4.478</v>
      </c>
      <c r="G1824" s="554" t="n"/>
    </row>
    <row r="1825">
      <c r="A1825" s="535" t="n">
        <v>34089</v>
      </c>
      <c r="B1825" s="534" t="n">
        <v>9.234</v>
      </c>
      <c r="C1825" s="534" t="n">
        <v>6830.51</v>
      </c>
      <c r="E1825" s="535" t="n">
        <v>37909</v>
      </c>
      <c r="F1825" s="534" t="n">
        <v>4.492</v>
      </c>
      <c r="G1825" s="554" t="n"/>
    </row>
    <row r="1826">
      <c r="A1826" s="535" t="n">
        <v>34092</v>
      </c>
      <c r="B1826" s="534" t="n">
        <v>9.147</v>
      </c>
      <c r="C1826" s="534" t="n">
        <v>6790.11</v>
      </c>
      <c r="E1826" s="535" t="n">
        <v>37910</v>
      </c>
      <c r="F1826" s="534" t="n">
        <v>4.561</v>
      </c>
      <c r="G1826" s="554" t="n"/>
    </row>
    <row r="1827">
      <c r="A1827" s="535" t="n">
        <v>34093</v>
      </c>
      <c r="B1827" s="534" t="n">
        <v>9.147</v>
      </c>
      <c r="C1827" s="534" t="n">
        <v>6827.29</v>
      </c>
      <c r="E1827" s="535" t="n">
        <v>37911</v>
      </c>
      <c r="F1827" s="534" t="n">
        <v>4.706</v>
      </c>
      <c r="G1827" s="554" t="n"/>
    </row>
    <row r="1828">
      <c r="A1828" s="535" t="n">
        <v>34094</v>
      </c>
      <c r="B1828" s="534" t="n">
        <v>9.234</v>
      </c>
      <c r="C1828" s="534" t="n">
        <v>6829.33</v>
      </c>
      <c r="E1828" s="535" t="n">
        <v>37914</v>
      </c>
      <c r="F1828" s="534" t="n">
        <v>4.548</v>
      </c>
      <c r="G1828" s="554" t="n"/>
    </row>
    <row r="1829">
      <c r="A1829" s="535" t="n">
        <v>34095</v>
      </c>
      <c r="B1829" s="534" t="n">
        <v>9.321</v>
      </c>
      <c r="C1829" s="534" t="n">
        <v>6795.52</v>
      </c>
      <c r="E1829" s="535" t="n">
        <v>37915</v>
      </c>
      <c r="F1829" s="534" t="n">
        <v>4.493</v>
      </c>
      <c r="G1829" s="554" t="n"/>
    </row>
    <row r="1830">
      <c r="A1830" s="535" t="n">
        <v>34096</v>
      </c>
      <c r="B1830" s="534" t="n">
        <v>9.147</v>
      </c>
      <c r="C1830" s="534" t="n">
        <v>6798.34</v>
      </c>
      <c r="E1830" s="535" t="n">
        <v>37916</v>
      </c>
      <c r="F1830" s="534" t="n">
        <v>4.358</v>
      </c>
      <c r="G1830" s="554" t="n"/>
    </row>
    <row r="1831">
      <c r="A1831" s="535" t="n">
        <v>34099</v>
      </c>
      <c r="B1831" s="534" t="n">
        <v>8.972</v>
      </c>
      <c r="C1831" s="534" t="n">
        <v>6739.23</v>
      </c>
      <c r="E1831" s="535" t="n">
        <v>37917</v>
      </c>
      <c r="F1831" s="534" t="n">
        <v>4.218</v>
      </c>
      <c r="G1831" s="554" t="n"/>
    </row>
    <row r="1832">
      <c r="A1832" s="535" t="n">
        <v>34100</v>
      </c>
      <c r="B1832" s="534" t="n">
        <v>9.147</v>
      </c>
      <c r="C1832" s="534" t="n">
        <v>6841.97</v>
      </c>
      <c r="E1832" s="535" t="n">
        <v>37918</v>
      </c>
      <c r="F1832" s="534" t="n">
        <v>4.318</v>
      </c>
      <c r="G1832" s="554" t="n"/>
    </row>
    <row r="1833">
      <c r="A1833" s="535" t="n">
        <v>34101</v>
      </c>
      <c r="B1833" s="534" t="n">
        <v>9.234</v>
      </c>
      <c r="C1833" s="534" t="n">
        <v>7002.6</v>
      </c>
      <c r="E1833" s="535" t="n">
        <v>37921</v>
      </c>
      <c r="F1833" s="534" t="n">
        <v>4.274</v>
      </c>
      <c r="G1833" s="554" t="n"/>
    </row>
    <row r="1834">
      <c r="A1834" s="535" t="n">
        <v>34102</v>
      </c>
      <c r="B1834" s="534" t="n">
        <v>9.407999999999999</v>
      </c>
      <c r="C1834" s="534" t="n">
        <v>7108.76</v>
      </c>
      <c r="E1834" s="535" t="n">
        <v>37922</v>
      </c>
      <c r="F1834" s="534" t="n">
        <v>4.32</v>
      </c>
      <c r="G1834" s="554" t="n"/>
    </row>
    <row r="1835">
      <c r="A1835" s="535" t="n">
        <v>34103</v>
      </c>
      <c r="B1835" s="534" t="n">
        <v>9.321</v>
      </c>
      <c r="C1835" s="534" t="n">
        <v>7005.29</v>
      </c>
      <c r="E1835" s="535" t="n">
        <v>37923</v>
      </c>
      <c r="F1835" s="534" t="n">
        <v>4.265</v>
      </c>
      <c r="G1835" s="554" t="n"/>
    </row>
    <row r="1836">
      <c r="A1836" s="535" t="n">
        <v>34106</v>
      </c>
      <c r="B1836" s="534" t="n">
        <v>9.407999999999999</v>
      </c>
      <c r="C1836" s="534" t="n">
        <v>7124.12</v>
      </c>
      <c r="E1836" s="535" t="n">
        <v>37924</v>
      </c>
      <c r="F1836" s="534" t="n">
        <v>4.326</v>
      </c>
      <c r="G1836" s="554" t="n"/>
    </row>
    <row r="1837">
      <c r="A1837" s="535" t="n">
        <v>34107</v>
      </c>
      <c r="B1837" s="534" t="n">
        <v>9.582000000000001</v>
      </c>
      <c r="C1837" s="534" t="n">
        <v>7149.3</v>
      </c>
      <c r="E1837" s="535" t="n">
        <v>37925</v>
      </c>
      <c r="F1837" s="534" t="n">
        <v>4.396</v>
      </c>
      <c r="G1837" s="554" t="n"/>
    </row>
    <row r="1838">
      <c r="A1838" s="535" t="n">
        <v>34108</v>
      </c>
      <c r="B1838" s="534" t="n">
        <v>9.494999999999999</v>
      </c>
      <c r="C1838" s="534" t="n">
        <v>7093.88</v>
      </c>
      <c r="E1838" s="535" t="n">
        <v>37928</v>
      </c>
      <c r="F1838" s="534" t="n">
        <v>4.4</v>
      </c>
      <c r="G1838" s="554" t="n"/>
    </row>
    <row r="1839">
      <c r="A1839" s="535" t="n">
        <v>34109</v>
      </c>
      <c r="B1839" s="534" t="n">
        <v>9.582000000000001</v>
      </c>
      <c r="C1839" s="534" t="n">
        <v>7118.96</v>
      </c>
      <c r="E1839" s="535" t="n">
        <v>37929</v>
      </c>
      <c r="F1839" s="534" t="n">
        <v>4.421</v>
      </c>
      <c r="G1839" s="554" t="n"/>
    </row>
    <row r="1840">
      <c r="A1840" s="535" t="n">
        <v>34110</v>
      </c>
      <c r="B1840" s="534" t="n">
        <v>9.582000000000001</v>
      </c>
      <c r="C1840" s="534" t="n">
        <v>7169.96</v>
      </c>
      <c r="E1840" s="535" t="n">
        <v>37930</v>
      </c>
      <c r="F1840" s="534" t="n">
        <v>4.376</v>
      </c>
      <c r="G1840" s="554" t="n"/>
    </row>
    <row r="1841">
      <c r="A1841" s="535" t="n">
        <v>34113</v>
      </c>
      <c r="B1841" s="534" t="n">
        <v>9.494999999999999</v>
      </c>
      <c r="C1841" s="534" t="n">
        <v>7276.39</v>
      </c>
      <c r="E1841" s="535" t="n">
        <v>37931</v>
      </c>
      <c r="F1841" s="534" t="n">
        <v>4.424</v>
      </c>
      <c r="G1841" s="554" t="n"/>
    </row>
    <row r="1842">
      <c r="A1842" s="535" t="n">
        <v>34114</v>
      </c>
      <c r="B1842" s="534" t="n">
        <v>9.494999999999999</v>
      </c>
      <c r="C1842" s="534" t="n">
        <v>7368.18</v>
      </c>
      <c r="E1842" s="535" t="n">
        <v>37932</v>
      </c>
      <c r="F1842" s="534" t="n">
        <v>4.49</v>
      </c>
      <c r="G1842" s="554" t="n"/>
    </row>
    <row r="1843">
      <c r="A1843" s="535" t="n">
        <v>34115</v>
      </c>
      <c r="B1843" s="534" t="n">
        <v>9.494999999999999</v>
      </c>
      <c r="C1843" s="534" t="n">
        <v>7349.72</v>
      </c>
      <c r="E1843" s="535" t="n">
        <v>37935</v>
      </c>
      <c r="F1843" s="534" t="n">
        <v>4.513</v>
      </c>
      <c r="G1843" s="554" t="n"/>
    </row>
    <row r="1844">
      <c r="A1844" s="535" t="n">
        <v>34116</v>
      </c>
      <c r="B1844" s="534" t="n">
        <v>9.582000000000001</v>
      </c>
      <c r="C1844" s="534" t="n">
        <v>7447.24</v>
      </c>
      <c r="E1844" s="535" t="n">
        <v>37936</v>
      </c>
      <c r="F1844" s="534" t="n">
        <v>4.497</v>
      </c>
      <c r="G1844" s="554" t="n"/>
    </row>
    <row r="1845">
      <c r="A1845" s="535" t="n">
        <v>34117</v>
      </c>
      <c r="B1845" s="534" t="n">
        <v>9.582000000000001</v>
      </c>
      <c r="C1845" s="534" t="n">
        <v>7397.91</v>
      </c>
      <c r="E1845" s="535" t="n">
        <v>37937</v>
      </c>
      <c r="F1845" s="534" t="n">
        <v>4.531</v>
      </c>
      <c r="G1845" s="554" t="n"/>
    </row>
    <row r="1846">
      <c r="A1846" s="535" t="n">
        <v>34120</v>
      </c>
      <c r="B1846" s="534" t="n">
        <v>9.582000000000001</v>
      </c>
      <c r="C1846" s="534" t="n">
        <v>7372.19</v>
      </c>
      <c r="E1846" s="535" t="n">
        <v>37938</v>
      </c>
      <c r="F1846" s="534" t="n">
        <v>4.511</v>
      </c>
      <c r="G1846" s="554" t="n"/>
    </row>
    <row r="1847">
      <c r="A1847" s="535" t="n">
        <v>34121</v>
      </c>
      <c r="B1847" s="534" t="n">
        <v>9.669</v>
      </c>
      <c r="C1847" s="534" t="n">
        <v>7375.81</v>
      </c>
      <c r="E1847" s="535" t="n">
        <v>37939</v>
      </c>
      <c r="F1847" s="534" t="n">
        <v>4.382</v>
      </c>
      <c r="G1847" s="554" t="n"/>
    </row>
    <row r="1848">
      <c r="A1848" s="535" t="n">
        <v>34122</v>
      </c>
      <c r="B1848" s="534" t="n">
        <v>9.669</v>
      </c>
      <c r="C1848" s="534" t="n">
        <v>7322.23</v>
      </c>
      <c r="E1848" s="535" t="n">
        <v>37942</v>
      </c>
      <c r="F1848" s="534" t="n">
        <v>4.268</v>
      </c>
      <c r="G1848" s="554" t="n"/>
    </row>
    <row r="1849">
      <c r="A1849" s="535" t="n">
        <v>34123</v>
      </c>
      <c r="B1849" s="534" t="n">
        <v>9.494999999999999</v>
      </c>
      <c r="C1849" s="534" t="n">
        <v>7155.29</v>
      </c>
      <c r="E1849" s="535" t="n">
        <v>37943</v>
      </c>
      <c r="F1849" s="534" t="n">
        <v>4.268</v>
      </c>
      <c r="G1849" s="554" t="n"/>
    </row>
    <row r="1850">
      <c r="A1850" s="535" t="n">
        <v>34124</v>
      </c>
      <c r="B1850" s="534" t="n">
        <v>9.582000000000001</v>
      </c>
      <c r="C1850" s="534" t="n">
        <v>7157.49</v>
      </c>
      <c r="E1850" s="535" t="n">
        <v>37944</v>
      </c>
      <c r="F1850" s="534" t="n">
        <v>4.174</v>
      </c>
      <c r="G1850" s="554" t="n"/>
    </row>
    <row r="1851">
      <c r="A1851" s="535" t="n">
        <v>34127</v>
      </c>
      <c r="B1851" s="534" t="n">
        <v>9.407999999999999</v>
      </c>
      <c r="C1851" s="534" t="n">
        <v>7124.73</v>
      </c>
      <c r="E1851" s="535" t="n">
        <v>37945</v>
      </c>
      <c r="F1851" s="534" t="n">
        <v>4.264</v>
      </c>
      <c r="G1851" s="554" t="n"/>
    </row>
    <row r="1852">
      <c r="A1852" s="535" t="n">
        <v>34128</v>
      </c>
      <c r="B1852" s="534" t="n">
        <v>9.582000000000001</v>
      </c>
      <c r="C1852" s="534" t="n">
        <v>7259.74</v>
      </c>
      <c r="E1852" s="535" t="n">
        <v>37946</v>
      </c>
      <c r="F1852" s="534" t="n">
        <v>4.235</v>
      </c>
      <c r="G1852" s="554" t="n"/>
    </row>
    <row r="1853">
      <c r="A1853" s="535" t="n">
        <v>34129</v>
      </c>
      <c r="B1853" s="534" t="n">
        <v>9.494999999999999</v>
      </c>
      <c r="C1853" s="534" t="n">
        <v>7339.08</v>
      </c>
      <c r="E1853" s="535" t="n">
        <v>37949</v>
      </c>
      <c r="F1853" s="534" t="n">
        <v>4.235</v>
      </c>
      <c r="G1853" s="554" t="n"/>
    </row>
    <row r="1854">
      <c r="A1854" s="535" t="n">
        <v>34130</v>
      </c>
      <c r="B1854" s="534" t="n">
        <v>9.407999999999999</v>
      </c>
      <c r="C1854" s="534" t="n">
        <v>7260.58</v>
      </c>
      <c r="E1854" s="535" t="n">
        <v>37950</v>
      </c>
      <c r="F1854" s="534" t="n">
        <v>4.369</v>
      </c>
      <c r="G1854" s="554" t="n"/>
    </row>
    <row r="1855">
      <c r="A1855" s="535" t="n">
        <v>34131</v>
      </c>
      <c r="B1855" s="534" t="n">
        <v>9.407999999999999</v>
      </c>
      <c r="C1855" s="534" t="n">
        <v>7266.74</v>
      </c>
      <c r="E1855" s="535" t="n">
        <v>37951</v>
      </c>
      <c r="F1855" s="534" t="n">
        <v>4.332</v>
      </c>
      <c r="G1855" s="554" t="n"/>
    </row>
    <row r="1856">
      <c r="A1856" s="535" t="n">
        <v>34134</v>
      </c>
      <c r="B1856" s="534" t="n">
        <v>9.407999999999999</v>
      </c>
      <c r="C1856" s="534" t="n">
        <v>7266.74</v>
      </c>
      <c r="E1856" s="535" t="n">
        <v>37952</v>
      </c>
      <c r="F1856" s="534" t="n">
        <v>4.411</v>
      </c>
      <c r="G1856" s="554" t="n"/>
    </row>
    <row r="1857">
      <c r="A1857" s="535" t="n">
        <v>34135</v>
      </c>
      <c r="B1857" s="534" t="n">
        <v>9.407999999999999</v>
      </c>
      <c r="C1857" s="534" t="n">
        <v>7283.46</v>
      </c>
      <c r="E1857" s="535" t="n">
        <v>37953</v>
      </c>
      <c r="F1857" s="534" t="n">
        <v>4.439</v>
      </c>
      <c r="G1857" s="554" t="n"/>
    </row>
    <row r="1858">
      <c r="A1858" s="535" t="n">
        <v>34136</v>
      </c>
      <c r="B1858" s="534" t="n">
        <v>9.669</v>
      </c>
      <c r="C1858" s="534" t="n">
        <v>7304.83</v>
      </c>
      <c r="E1858" s="535" t="n">
        <v>37956</v>
      </c>
      <c r="F1858" s="534" t="n">
        <v>4.585</v>
      </c>
      <c r="G1858" s="554" t="n"/>
    </row>
    <row r="1859">
      <c r="A1859" s="535" t="n">
        <v>34137</v>
      </c>
      <c r="B1859" s="534" t="n">
        <v>9.494999999999999</v>
      </c>
      <c r="C1859" s="534" t="n">
        <v>7189.1</v>
      </c>
      <c r="E1859" s="535" t="n">
        <v>37957</v>
      </c>
      <c r="F1859" s="534" t="n">
        <v>4.623</v>
      </c>
      <c r="G1859" s="554" t="n"/>
    </row>
    <row r="1860">
      <c r="A1860" s="535" t="n">
        <v>34138</v>
      </c>
      <c r="B1860" s="534" t="n">
        <v>9.494999999999999</v>
      </c>
      <c r="C1860" s="534" t="n">
        <v>7200.75</v>
      </c>
      <c r="E1860" s="535" t="n">
        <v>37958</v>
      </c>
      <c r="F1860" s="534" t="n">
        <v>4.598</v>
      </c>
      <c r="G1860" s="554" t="n"/>
    </row>
    <row r="1861">
      <c r="A1861" s="535" t="n">
        <v>34141</v>
      </c>
      <c r="B1861" s="534" t="n">
        <v>9.234</v>
      </c>
      <c r="C1861" s="534" t="n">
        <v>7003.58</v>
      </c>
      <c r="E1861" s="535" t="n">
        <v>37959</v>
      </c>
      <c r="F1861" s="534" t="n">
        <v>4.611</v>
      </c>
      <c r="G1861" s="554" t="n"/>
    </row>
    <row r="1862">
      <c r="A1862" s="535" t="n">
        <v>34142</v>
      </c>
      <c r="B1862" s="534" t="n">
        <v>9.06</v>
      </c>
      <c r="C1862" s="534" t="n">
        <v>7046.73</v>
      </c>
      <c r="E1862" s="535" t="n">
        <v>37960</v>
      </c>
      <c r="F1862" s="534" t="n">
        <v>4.572</v>
      </c>
      <c r="G1862" s="554" t="n"/>
    </row>
    <row r="1863">
      <c r="A1863" s="535" t="n">
        <v>34143</v>
      </c>
      <c r="B1863" s="534" t="n">
        <v>8.885</v>
      </c>
      <c r="C1863" s="534" t="n">
        <v>7062.64</v>
      </c>
      <c r="E1863" s="535" t="n">
        <v>37963</v>
      </c>
      <c r="F1863" s="534" t="n">
        <v>4.43</v>
      </c>
      <c r="G1863" s="554" t="n"/>
    </row>
    <row r="1864">
      <c r="A1864" s="535" t="n">
        <v>34144</v>
      </c>
      <c r="B1864" s="534" t="n">
        <v>8.885</v>
      </c>
      <c r="C1864" s="534" t="n">
        <v>7062.64</v>
      </c>
      <c r="E1864" s="535" t="n">
        <v>37964</v>
      </c>
      <c r="F1864" s="534" t="n">
        <v>4.465</v>
      </c>
      <c r="G1864" s="554" t="n"/>
    </row>
    <row r="1865">
      <c r="A1865" s="535" t="n">
        <v>34145</v>
      </c>
      <c r="B1865" s="534" t="n">
        <v>8.711</v>
      </c>
      <c r="C1865" s="534" t="n">
        <v>7014.08</v>
      </c>
      <c r="E1865" s="535" t="n">
        <v>37965</v>
      </c>
      <c r="F1865" s="534" t="n">
        <v>4.552</v>
      </c>
      <c r="G1865" s="554" t="n"/>
    </row>
    <row r="1866">
      <c r="A1866" s="535" t="n">
        <v>34148</v>
      </c>
      <c r="B1866" s="534" t="n">
        <v>8.798</v>
      </c>
      <c r="C1866" s="534" t="n">
        <v>7148.1</v>
      </c>
      <c r="E1866" s="535" t="n">
        <v>37966</v>
      </c>
      <c r="F1866" s="534" t="n">
        <v>4.488</v>
      </c>
      <c r="G1866" s="554" t="n"/>
    </row>
    <row r="1867">
      <c r="A1867" s="535" t="n">
        <v>34149</v>
      </c>
      <c r="B1867" s="534" t="n">
        <v>8.711</v>
      </c>
      <c r="C1867" s="534" t="n">
        <v>7107.47</v>
      </c>
      <c r="E1867" s="535" t="n">
        <v>37967</v>
      </c>
      <c r="F1867" s="534" t="n">
        <v>4.398</v>
      </c>
      <c r="G1867" s="554" t="n"/>
    </row>
    <row r="1868">
      <c r="A1868" s="535" t="n">
        <v>34150</v>
      </c>
      <c r="B1868" s="534" t="n">
        <v>8.711</v>
      </c>
      <c r="C1868" s="534" t="n">
        <v>7099.28</v>
      </c>
      <c r="E1868" s="535" t="n">
        <v>37970</v>
      </c>
      <c r="F1868" s="534" t="n">
        <v>4.456</v>
      </c>
      <c r="G1868" s="554" t="n"/>
    </row>
    <row r="1869">
      <c r="A1869" s="535" t="n">
        <v>34151</v>
      </c>
      <c r="B1869" s="534" t="n">
        <v>8.885</v>
      </c>
      <c r="C1869" s="534" t="n">
        <v>7205.38</v>
      </c>
      <c r="E1869" s="535" t="n">
        <v>37971</v>
      </c>
      <c r="F1869" s="534" t="n">
        <v>4.405</v>
      </c>
      <c r="G1869" s="554" t="n"/>
    </row>
    <row r="1870">
      <c r="A1870" s="535" t="n">
        <v>34152</v>
      </c>
      <c r="B1870" s="534" t="n">
        <v>8.624000000000001</v>
      </c>
      <c r="C1870" s="534" t="n">
        <v>7217.93</v>
      </c>
      <c r="E1870" s="535" t="n">
        <v>37972</v>
      </c>
      <c r="F1870" s="534" t="n">
        <v>4.405</v>
      </c>
      <c r="G1870" s="554" t="n"/>
    </row>
    <row r="1871">
      <c r="A1871" s="535" t="n">
        <v>34155</v>
      </c>
      <c r="B1871" s="534" t="n">
        <v>8.711</v>
      </c>
      <c r="C1871" s="534" t="n">
        <v>7205.41</v>
      </c>
      <c r="E1871" s="535" t="n">
        <v>37973</v>
      </c>
      <c r="F1871" s="534" t="n">
        <v>4.385</v>
      </c>
      <c r="G1871" s="554" t="n"/>
    </row>
    <row r="1872">
      <c r="A1872" s="535" t="n">
        <v>34156</v>
      </c>
      <c r="B1872" s="534" t="n">
        <v>8.667999999999999</v>
      </c>
      <c r="C1872" s="534" t="n">
        <v>7168.34</v>
      </c>
      <c r="E1872" s="535" t="n">
        <v>37974</v>
      </c>
      <c r="F1872" s="534" t="n">
        <v>4.334</v>
      </c>
      <c r="G1872" s="554" t="n"/>
    </row>
    <row r="1873">
      <c r="A1873" s="535" t="n">
        <v>34157</v>
      </c>
      <c r="B1873" s="534" t="n">
        <v>8.711</v>
      </c>
      <c r="C1873" s="534" t="n">
        <v>7141.11</v>
      </c>
      <c r="E1873" s="535" t="n">
        <v>37977</v>
      </c>
      <c r="F1873" s="534" t="n">
        <v>4.303</v>
      </c>
      <c r="G1873" s="554" t="n"/>
    </row>
    <row r="1874">
      <c r="A1874" s="535" t="n">
        <v>34158</v>
      </c>
      <c r="B1874" s="534" t="n">
        <v>8.885</v>
      </c>
      <c r="C1874" s="534" t="n">
        <v>7122.39</v>
      </c>
      <c r="E1874" s="535" t="n">
        <v>37978</v>
      </c>
      <c r="F1874" s="534" t="n">
        <v>4.353</v>
      </c>
      <c r="G1874" s="554" t="n"/>
    </row>
    <row r="1875">
      <c r="A1875" s="535" t="n">
        <v>34159</v>
      </c>
      <c r="B1875" s="534" t="n">
        <v>8.972</v>
      </c>
      <c r="C1875" s="534" t="n">
        <v>7070.61</v>
      </c>
      <c r="E1875" s="535" t="n">
        <v>37979</v>
      </c>
      <c r="F1875" s="534" t="n">
        <v>4.437</v>
      </c>
      <c r="G1875" s="554" t="n"/>
    </row>
    <row r="1876">
      <c r="A1876" s="535" t="n">
        <v>34162</v>
      </c>
      <c r="B1876" s="534" t="n">
        <v>8.885</v>
      </c>
      <c r="C1876" s="534" t="n">
        <v>6952.59</v>
      </c>
      <c r="E1876" s="535" t="n">
        <v>37980</v>
      </c>
      <c r="F1876" s="534" t="n">
        <v>4.437</v>
      </c>
      <c r="G1876" s="554" t="n"/>
    </row>
    <row r="1877">
      <c r="A1877" s="535" t="n">
        <v>34163</v>
      </c>
      <c r="B1877" s="534" t="n">
        <v>8.885</v>
      </c>
      <c r="C1877" s="534" t="n">
        <v>6956.1</v>
      </c>
      <c r="E1877" s="535" t="n">
        <v>37981</v>
      </c>
      <c r="F1877" s="534" t="n">
        <v>4.437</v>
      </c>
      <c r="G1877" s="554" t="n"/>
    </row>
    <row r="1878">
      <c r="A1878" s="535" t="n">
        <v>34164</v>
      </c>
      <c r="B1878" s="534" t="n">
        <v>8.798</v>
      </c>
      <c r="C1878" s="534" t="n">
        <v>6955.5</v>
      </c>
      <c r="E1878" s="535" t="n">
        <v>37984</v>
      </c>
      <c r="F1878" s="534" t="n">
        <v>4.328</v>
      </c>
      <c r="G1878" s="554" t="n"/>
    </row>
    <row r="1879">
      <c r="A1879" s="535" t="n">
        <v>34165</v>
      </c>
      <c r="B1879" s="534" t="n">
        <v>8.798</v>
      </c>
      <c r="C1879" s="534" t="n">
        <v>6978.54</v>
      </c>
      <c r="E1879" s="535" t="n">
        <v>37985</v>
      </c>
      <c r="F1879" s="534" t="n">
        <v>4.392</v>
      </c>
      <c r="G1879" s="554" t="n"/>
    </row>
    <row r="1880">
      <c r="A1880" s="535" t="n">
        <v>34166</v>
      </c>
      <c r="B1880" s="534" t="n">
        <v>8.798</v>
      </c>
      <c r="C1880" s="534" t="n">
        <v>6925.22</v>
      </c>
      <c r="E1880" s="535" t="n">
        <v>37986</v>
      </c>
      <c r="F1880" s="534" t="n">
        <v>4.372</v>
      </c>
      <c r="G1880" s="554" t="n"/>
    </row>
    <row r="1881">
      <c r="A1881" s="535" t="n">
        <v>34169</v>
      </c>
      <c r="B1881" s="534" t="n">
        <v>8.711</v>
      </c>
      <c r="C1881" s="534" t="n">
        <v>6813.72</v>
      </c>
      <c r="E1881" s="535" t="n">
        <v>37987</v>
      </c>
      <c r="F1881" s="534" t="n">
        <v>4.372</v>
      </c>
      <c r="G1881" s="554" t="n"/>
    </row>
    <row r="1882">
      <c r="A1882" s="535" t="n">
        <v>34170</v>
      </c>
      <c r="B1882" s="534" t="n">
        <v>8.885</v>
      </c>
      <c r="C1882" s="534" t="n">
        <v>6846.81</v>
      </c>
      <c r="E1882" s="535" t="n">
        <v>37988</v>
      </c>
      <c r="F1882" s="534" t="n">
        <v>4.398</v>
      </c>
      <c r="G1882" s="554" t="n"/>
    </row>
    <row r="1883">
      <c r="A1883" s="535" t="n">
        <v>34171</v>
      </c>
      <c r="B1883" s="534" t="n">
        <v>8.798</v>
      </c>
      <c r="C1883" s="534" t="n">
        <v>6839.98</v>
      </c>
      <c r="E1883" s="535" t="n">
        <v>37991</v>
      </c>
      <c r="F1883" s="534" t="n">
        <v>4.475</v>
      </c>
      <c r="G1883" s="554" t="n"/>
    </row>
    <row r="1884">
      <c r="A1884" s="535" t="n">
        <v>34172</v>
      </c>
      <c r="B1884" s="534" t="n">
        <v>8.624000000000001</v>
      </c>
      <c r="C1884" s="534" t="n">
        <v>6760.02</v>
      </c>
      <c r="E1884" s="535" t="n">
        <v>37992</v>
      </c>
      <c r="F1884" s="534" t="n">
        <v>4.385</v>
      </c>
      <c r="G1884" s="554" t="n"/>
    </row>
    <row r="1885">
      <c r="A1885" s="535" t="n">
        <v>34173</v>
      </c>
      <c r="B1885" s="534" t="n">
        <v>8.493</v>
      </c>
      <c r="C1885" s="534" t="n">
        <v>6750.33</v>
      </c>
      <c r="E1885" s="535" t="n">
        <v>37993</v>
      </c>
      <c r="F1885" s="534" t="n">
        <v>4.279</v>
      </c>
      <c r="G1885" s="554" t="n"/>
    </row>
    <row r="1886">
      <c r="A1886" s="535" t="n">
        <v>34176</v>
      </c>
      <c r="B1886" s="534" t="n">
        <v>8.624000000000001</v>
      </c>
      <c r="C1886" s="534" t="n">
        <v>6858.08</v>
      </c>
      <c r="E1886" s="535" t="n">
        <v>37994</v>
      </c>
      <c r="F1886" s="534" t="n">
        <v>4.229</v>
      </c>
      <c r="G1886" s="554" t="n"/>
    </row>
    <row r="1887">
      <c r="A1887" s="535" t="n">
        <v>34177</v>
      </c>
      <c r="B1887" s="534" t="n">
        <v>8.711</v>
      </c>
      <c r="C1887" s="534" t="n">
        <v>6865.97</v>
      </c>
      <c r="E1887" s="535" t="n">
        <v>37995</v>
      </c>
      <c r="F1887" s="534" t="n">
        <v>4.172</v>
      </c>
      <c r="G1887" s="554" t="n"/>
    </row>
    <row r="1888">
      <c r="A1888" s="535" t="n">
        <v>34178</v>
      </c>
      <c r="B1888" s="534" t="n">
        <v>8.667999999999999</v>
      </c>
      <c r="C1888" s="534" t="n">
        <v>6903.21</v>
      </c>
      <c r="E1888" s="535" t="n">
        <v>37998</v>
      </c>
      <c r="F1888" s="534" t="n">
        <v>3.964</v>
      </c>
      <c r="G1888" s="554" t="n"/>
    </row>
    <row r="1889">
      <c r="A1889" s="535" t="n">
        <v>34179</v>
      </c>
      <c r="B1889" s="534" t="n">
        <v>8.493</v>
      </c>
      <c r="C1889" s="534" t="n">
        <v>6899.93</v>
      </c>
      <c r="E1889" s="535" t="n">
        <v>37999</v>
      </c>
      <c r="F1889" s="534" t="n">
        <v>3.93</v>
      </c>
      <c r="G1889" s="554" t="n"/>
    </row>
    <row r="1890">
      <c r="A1890" s="535" t="n">
        <v>34180</v>
      </c>
      <c r="B1890" s="534" t="n">
        <v>8.537000000000001</v>
      </c>
      <c r="C1890" s="534" t="n">
        <v>6988.96</v>
      </c>
      <c r="E1890" s="535" t="n">
        <v>38000</v>
      </c>
      <c r="F1890" s="534" t="n">
        <v>3.939</v>
      </c>
      <c r="G1890" s="554" t="n"/>
    </row>
    <row r="1891">
      <c r="A1891" s="535" t="n">
        <v>34183</v>
      </c>
      <c r="B1891" s="534" t="n">
        <v>8.624000000000001</v>
      </c>
      <c r="C1891" s="534" t="n">
        <v>7029.03</v>
      </c>
      <c r="E1891" s="535" t="n">
        <v>38001</v>
      </c>
      <c r="F1891" s="534" t="n">
        <v>3.96</v>
      </c>
      <c r="G1891" s="554" t="n"/>
    </row>
    <row r="1892">
      <c r="A1892" s="535" t="n">
        <v>34184</v>
      </c>
      <c r="B1892" s="534" t="n">
        <v>8.885</v>
      </c>
      <c r="C1892" s="534" t="n">
        <v>7211.83</v>
      </c>
      <c r="E1892" s="535" t="n">
        <v>38002</v>
      </c>
      <c r="F1892" s="534" t="n">
        <v>3.964</v>
      </c>
      <c r="G1892" s="554" t="n"/>
    </row>
    <row r="1893">
      <c r="A1893" s="535" t="n">
        <v>34185</v>
      </c>
      <c r="B1893" s="534" t="n">
        <v>8.667999999999999</v>
      </c>
      <c r="C1893" s="534" t="n">
        <v>7164.2</v>
      </c>
      <c r="E1893" s="535" t="n">
        <v>38005</v>
      </c>
      <c r="F1893" s="534" t="n">
        <v>4.038</v>
      </c>
      <c r="G1893" s="554" t="n"/>
    </row>
    <row r="1894">
      <c r="A1894" s="535" t="n">
        <v>34186</v>
      </c>
      <c r="B1894" s="534" t="n">
        <v>8.667999999999999</v>
      </c>
      <c r="C1894" s="534" t="n">
        <v>7307.54</v>
      </c>
      <c r="E1894" s="535" t="n">
        <v>38006</v>
      </c>
      <c r="F1894" s="534" t="n">
        <v>4.022</v>
      </c>
      <c r="G1894" s="554" t="n"/>
    </row>
    <row r="1895">
      <c r="A1895" s="535" t="n">
        <v>34187</v>
      </c>
      <c r="B1895" s="534" t="n">
        <v>8.798</v>
      </c>
      <c r="C1895" s="534" t="n">
        <v>7396.77</v>
      </c>
      <c r="E1895" s="535" t="n">
        <v>38007</v>
      </c>
      <c r="F1895" s="534" t="n">
        <v>4.019</v>
      </c>
      <c r="G1895" s="554" t="n"/>
    </row>
    <row r="1896">
      <c r="A1896" s="535" t="n">
        <v>34190</v>
      </c>
      <c r="B1896" s="534" t="n">
        <v>8.711</v>
      </c>
      <c r="C1896" s="534" t="n">
        <v>7382.22</v>
      </c>
      <c r="E1896" s="535" t="n">
        <v>38008</v>
      </c>
      <c r="F1896" s="534" t="n">
        <v>4.019</v>
      </c>
      <c r="G1896" s="554" t="n"/>
    </row>
    <row r="1897">
      <c r="A1897" s="535" t="n">
        <v>34191</v>
      </c>
      <c r="B1897" s="534" t="n">
        <v>8.667999999999999</v>
      </c>
      <c r="C1897" s="534" t="n">
        <v>7329.81</v>
      </c>
      <c r="E1897" s="535" t="n">
        <v>38009</v>
      </c>
      <c r="F1897" s="534" t="n">
        <v>4.019</v>
      </c>
      <c r="G1897" s="554" t="n"/>
    </row>
    <row r="1898">
      <c r="A1898" s="535" t="n">
        <v>34192</v>
      </c>
      <c r="B1898" s="534" t="n">
        <v>8.624000000000001</v>
      </c>
      <c r="C1898" s="534" t="n">
        <v>7357.63</v>
      </c>
      <c r="E1898" s="535" t="n">
        <v>38012</v>
      </c>
      <c r="F1898" s="534" t="n">
        <v>4.007</v>
      </c>
      <c r="G1898" s="554" t="n"/>
    </row>
    <row r="1899">
      <c r="A1899" s="535" t="n">
        <v>34193</v>
      </c>
      <c r="B1899" s="534" t="n">
        <v>8.667999999999999</v>
      </c>
      <c r="C1899" s="534" t="n">
        <v>7339.55</v>
      </c>
      <c r="E1899" s="535" t="n">
        <v>38013</v>
      </c>
      <c r="F1899" s="534" t="n">
        <v>4.1</v>
      </c>
      <c r="G1899" s="554" t="n"/>
    </row>
    <row r="1900">
      <c r="A1900" s="535" t="n">
        <v>34194</v>
      </c>
      <c r="B1900" s="534" t="n">
        <v>8.885</v>
      </c>
      <c r="C1900" s="534" t="n">
        <v>7392.25</v>
      </c>
      <c r="E1900" s="535" t="n">
        <v>38014</v>
      </c>
      <c r="F1900" s="534" t="n">
        <v>4.049</v>
      </c>
      <c r="G1900" s="554" t="n"/>
    </row>
    <row r="1901">
      <c r="A1901" s="535" t="n">
        <v>34197</v>
      </c>
      <c r="B1901" s="534" t="n">
        <v>8.972</v>
      </c>
      <c r="C1901" s="534" t="n">
        <v>7489.49</v>
      </c>
      <c r="E1901" s="535" t="n">
        <v>38015</v>
      </c>
      <c r="F1901" s="534" t="n">
        <v>4.124</v>
      </c>
      <c r="G1901" s="554" t="n"/>
    </row>
    <row r="1902">
      <c r="A1902" s="535" t="n">
        <v>34198</v>
      </c>
      <c r="B1902" s="534" t="n">
        <v>9.06</v>
      </c>
      <c r="C1902" s="534" t="n">
        <v>7528.79</v>
      </c>
      <c r="E1902" s="535" t="n">
        <v>38016</v>
      </c>
      <c r="F1902" s="534" t="n">
        <v>4.127</v>
      </c>
      <c r="G1902" s="554" t="n"/>
    </row>
    <row r="1903">
      <c r="A1903" s="535" t="n">
        <v>34199</v>
      </c>
      <c r="B1903" s="534" t="n">
        <v>9.494999999999999</v>
      </c>
      <c r="C1903" s="534" t="n">
        <v>7560.97</v>
      </c>
      <c r="E1903" s="535" t="n">
        <v>38019</v>
      </c>
      <c r="F1903" s="534" t="n">
        <v>4.13</v>
      </c>
      <c r="G1903" s="554" t="n"/>
    </row>
    <row r="1904">
      <c r="A1904" s="535" t="n">
        <v>34200</v>
      </c>
      <c r="B1904" s="534" t="n">
        <v>9.494999999999999</v>
      </c>
      <c r="C1904" s="534" t="n">
        <v>7605.26</v>
      </c>
      <c r="E1904" s="535" t="n">
        <v>38020</v>
      </c>
      <c r="F1904" s="534" t="n">
        <v>4.105</v>
      </c>
      <c r="G1904" s="554" t="n"/>
    </row>
    <row r="1905">
      <c r="A1905" s="535" t="n">
        <v>34201</v>
      </c>
      <c r="B1905" s="534" t="n">
        <v>9.407999999999999</v>
      </c>
      <c r="C1905" s="534" t="n">
        <v>7545.36</v>
      </c>
      <c r="E1905" s="535" t="n">
        <v>38021</v>
      </c>
      <c r="F1905" s="534" t="n">
        <v>4.108</v>
      </c>
      <c r="G1905" s="554" t="n"/>
    </row>
    <row r="1906">
      <c r="A1906" s="535" t="n">
        <v>34204</v>
      </c>
      <c r="B1906" s="534" t="n">
        <v>9.234</v>
      </c>
      <c r="C1906" s="534" t="n">
        <v>7388.42</v>
      </c>
      <c r="E1906" s="535" t="n">
        <v>38022</v>
      </c>
      <c r="F1906" s="534" t="n">
        <v>4.108</v>
      </c>
      <c r="G1906" s="554" t="n"/>
    </row>
    <row r="1907">
      <c r="A1907" s="535" t="n">
        <v>34205</v>
      </c>
      <c r="B1907" s="534" t="n">
        <v>9.06</v>
      </c>
      <c r="C1907" s="534" t="n">
        <v>7327.68</v>
      </c>
      <c r="E1907" s="535" t="n">
        <v>38023</v>
      </c>
      <c r="F1907" s="534" t="n">
        <v>4.143</v>
      </c>
      <c r="G1907" s="554" t="n"/>
    </row>
    <row r="1908">
      <c r="A1908" s="535" t="n">
        <v>34206</v>
      </c>
      <c r="B1908" s="534" t="n">
        <v>8.711</v>
      </c>
      <c r="C1908" s="534" t="n">
        <v>7265.58</v>
      </c>
      <c r="E1908" s="535" t="n">
        <v>38026</v>
      </c>
      <c r="F1908" s="534" t="n">
        <v>4.02</v>
      </c>
      <c r="G1908" s="554" t="n"/>
    </row>
    <row r="1909">
      <c r="A1909" s="535" t="n">
        <v>34207</v>
      </c>
      <c r="B1909" s="534" t="n">
        <v>8.885</v>
      </c>
      <c r="C1909" s="534" t="n">
        <v>7449.08</v>
      </c>
      <c r="E1909" s="535" t="n">
        <v>38027</v>
      </c>
      <c r="F1909" s="534" t="n">
        <v>3.995</v>
      </c>
      <c r="G1909" s="554" t="n"/>
    </row>
    <row r="1910">
      <c r="A1910" s="535" t="n">
        <v>34208</v>
      </c>
      <c r="B1910" s="534" t="n">
        <v>8.972</v>
      </c>
      <c r="C1910" s="534" t="n">
        <v>7422.98</v>
      </c>
      <c r="E1910" s="535" t="n">
        <v>38028</v>
      </c>
      <c r="F1910" s="534" t="n">
        <v>4.055</v>
      </c>
      <c r="G1910" s="554" t="n"/>
    </row>
    <row r="1911">
      <c r="A1911" s="535" t="n">
        <v>34211</v>
      </c>
      <c r="B1911" s="534" t="n">
        <v>8.972</v>
      </c>
      <c r="C1911" s="534" t="n">
        <v>7422.98</v>
      </c>
      <c r="E1911" s="535" t="n">
        <v>38029</v>
      </c>
      <c r="F1911" s="534" t="n">
        <v>3.924</v>
      </c>
      <c r="G1911" s="554" t="n"/>
    </row>
    <row r="1912">
      <c r="A1912" s="535" t="n">
        <v>34212</v>
      </c>
      <c r="B1912" s="534" t="n">
        <v>9.147</v>
      </c>
      <c r="C1912" s="534" t="n">
        <v>7549.73</v>
      </c>
      <c r="E1912" s="535" t="n">
        <v>38030</v>
      </c>
      <c r="F1912" s="534" t="n">
        <v>3.948</v>
      </c>
      <c r="G1912" s="554" t="n"/>
    </row>
    <row r="1913">
      <c r="A1913" s="535" t="n">
        <v>34213</v>
      </c>
      <c r="B1913" s="534" t="n">
        <v>8.972</v>
      </c>
      <c r="C1913" s="534" t="n">
        <v>7542.19</v>
      </c>
      <c r="E1913" s="535" t="n">
        <v>38033</v>
      </c>
      <c r="F1913" s="534" t="n">
        <v>3.88</v>
      </c>
      <c r="G1913" s="554" t="n"/>
    </row>
    <row r="1914">
      <c r="A1914" s="535" t="n">
        <v>34214</v>
      </c>
      <c r="B1914" s="534" t="n">
        <v>8.972</v>
      </c>
      <c r="C1914" s="534" t="n">
        <v>7493.45</v>
      </c>
      <c r="E1914" s="535" t="n">
        <v>38034</v>
      </c>
      <c r="F1914" s="534" t="n">
        <v>3.906</v>
      </c>
      <c r="G1914" s="554" t="n"/>
    </row>
    <row r="1915">
      <c r="A1915" s="535" t="n">
        <v>34215</v>
      </c>
      <c r="B1915" s="534" t="n">
        <v>8.972</v>
      </c>
      <c r="C1915" s="534" t="n">
        <v>7512.13</v>
      </c>
      <c r="E1915" s="535" t="n">
        <v>38035</v>
      </c>
      <c r="F1915" s="534" t="n">
        <v>3.874</v>
      </c>
      <c r="G1915" s="554" t="n"/>
    </row>
    <row r="1916">
      <c r="A1916" s="535" t="n">
        <v>34218</v>
      </c>
      <c r="B1916" s="534" t="n">
        <v>9.147</v>
      </c>
      <c r="C1916" s="534" t="n">
        <v>7519.66</v>
      </c>
      <c r="E1916" s="535" t="n">
        <v>38036</v>
      </c>
      <c r="F1916" s="534" t="n">
        <v>3.936</v>
      </c>
      <c r="G1916" s="554" t="n"/>
    </row>
    <row r="1917">
      <c r="A1917" s="535" t="n">
        <v>34219</v>
      </c>
      <c r="B1917" s="534" t="n">
        <v>9.234</v>
      </c>
      <c r="C1917" s="534" t="n">
        <v>7546.71</v>
      </c>
      <c r="E1917" s="535" t="n">
        <v>38037</v>
      </c>
      <c r="F1917" s="534" t="n">
        <v>3.929</v>
      </c>
      <c r="G1917" s="554" t="n"/>
    </row>
    <row r="1918">
      <c r="A1918" s="535" t="n">
        <v>34220</v>
      </c>
      <c r="B1918" s="534" t="n">
        <v>9.407999999999999</v>
      </c>
      <c r="C1918" s="534" t="n">
        <v>7607.13</v>
      </c>
      <c r="E1918" s="535" t="n">
        <v>38040</v>
      </c>
      <c r="F1918" s="534" t="n">
        <v>3.979</v>
      </c>
      <c r="G1918" s="554" t="n"/>
    </row>
    <row r="1919">
      <c r="A1919" s="535" t="n">
        <v>34221</v>
      </c>
      <c r="B1919" s="534" t="n">
        <v>9.234</v>
      </c>
      <c r="C1919" s="534" t="n">
        <v>7586.76</v>
      </c>
      <c r="E1919" s="535" t="n">
        <v>38041</v>
      </c>
      <c r="F1919" s="534" t="n">
        <v>3.923</v>
      </c>
      <c r="G1919" s="554" t="n"/>
    </row>
    <row r="1920">
      <c r="A1920" s="535" t="n">
        <v>34222</v>
      </c>
      <c r="B1920" s="534" t="n">
        <v>9.407999999999999</v>
      </c>
      <c r="C1920" s="534" t="n">
        <v>7593.45</v>
      </c>
      <c r="E1920" s="535" t="n">
        <v>38042</v>
      </c>
      <c r="F1920" s="534" t="n">
        <v>3.904</v>
      </c>
      <c r="G1920" s="554" t="n"/>
    </row>
    <row r="1921">
      <c r="A1921" s="535" t="n">
        <v>34225</v>
      </c>
      <c r="B1921" s="534" t="n">
        <v>9.234</v>
      </c>
      <c r="C1921" s="534" t="n">
        <v>7475.97</v>
      </c>
      <c r="E1921" s="535" t="n">
        <v>38043</v>
      </c>
      <c r="F1921" s="534" t="n">
        <v>3.929</v>
      </c>
      <c r="G1921" s="554" t="n"/>
    </row>
    <row r="1922">
      <c r="A1922" s="535" t="n">
        <v>34226</v>
      </c>
      <c r="B1922" s="534" t="n">
        <v>9.234</v>
      </c>
      <c r="C1922" s="534" t="n">
        <v>7473.85</v>
      </c>
      <c r="E1922" s="535" t="n">
        <v>38044</v>
      </c>
      <c r="F1922" s="534" t="n">
        <v>3.95</v>
      </c>
      <c r="G1922" s="554" t="n"/>
    </row>
    <row r="1923">
      <c r="A1923" s="535" t="n">
        <v>34227</v>
      </c>
      <c r="B1923" s="534" t="n">
        <v>9.321</v>
      </c>
      <c r="C1923" s="534" t="n">
        <v>7488.77</v>
      </c>
      <c r="E1923" s="535" t="n">
        <v>38047</v>
      </c>
      <c r="F1923" s="534" t="n">
        <v>3.918</v>
      </c>
      <c r="G1923" s="554" t="n"/>
    </row>
    <row r="1924">
      <c r="A1924" s="535" t="n">
        <v>34228</v>
      </c>
      <c r="B1924" s="534" t="n">
        <v>9.147</v>
      </c>
      <c r="C1924" s="534" t="n">
        <v>7418.11</v>
      </c>
      <c r="E1924" s="535" t="n">
        <v>38048</v>
      </c>
      <c r="F1924" s="534" t="n">
        <v>3.928</v>
      </c>
      <c r="G1924" s="554" t="n"/>
    </row>
    <row r="1925">
      <c r="A1925" s="535" t="n">
        <v>34229</v>
      </c>
      <c r="B1925" s="534" t="n">
        <v>9.147</v>
      </c>
      <c r="C1925" s="534" t="n">
        <v>7418.11</v>
      </c>
      <c r="E1925" s="535" t="n">
        <v>38049</v>
      </c>
      <c r="F1925" s="534" t="n">
        <v>4.009</v>
      </c>
      <c r="G1925" s="554" t="n"/>
    </row>
    <row r="1926">
      <c r="A1926" s="535" t="n">
        <v>34232</v>
      </c>
      <c r="B1926" s="534" t="n">
        <v>9.147</v>
      </c>
      <c r="C1926" s="534" t="n">
        <v>7390.6</v>
      </c>
      <c r="E1926" s="535" t="n">
        <v>38050</v>
      </c>
      <c r="F1926" s="534" t="n">
        <v>3.98</v>
      </c>
      <c r="G1926" s="554" t="n"/>
    </row>
    <row r="1927">
      <c r="A1927" s="535" t="n">
        <v>34233</v>
      </c>
      <c r="B1927" s="534" t="n">
        <v>9.234</v>
      </c>
      <c r="C1927" s="534" t="n">
        <v>7495.31</v>
      </c>
      <c r="E1927" s="535" t="n">
        <v>38051</v>
      </c>
      <c r="F1927" s="534" t="n">
        <v>3.955</v>
      </c>
      <c r="G1927" s="554" t="n"/>
    </row>
    <row r="1928">
      <c r="A1928" s="535" t="n">
        <v>34234</v>
      </c>
      <c r="B1928" s="534" t="n">
        <v>9.234</v>
      </c>
      <c r="C1928" s="534" t="n">
        <v>7478.9</v>
      </c>
      <c r="E1928" s="535" t="n">
        <v>38054</v>
      </c>
      <c r="F1928" s="534" t="n">
        <v>3.764</v>
      </c>
      <c r="G1928" s="554" t="n"/>
    </row>
    <row r="1929">
      <c r="A1929" s="535" t="n">
        <v>34235</v>
      </c>
      <c r="B1929" s="534" t="n">
        <v>9.321</v>
      </c>
      <c r="C1929" s="534" t="n">
        <v>7581</v>
      </c>
      <c r="E1929" s="535" t="n">
        <v>38055</v>
      </c>
      <c r="F1929" s="534" t="n">
        <v>3.733</v>
      </c>
      <c r="G1929" s="554" t="n"/>
    </row>
    <row r="1930">
      <c r="A1930" s="535" t="n">
        <v>34236</v>
      </c>
      <c r="B1930" s="534" t="n">
        <v>9.234</v>
      </c>
      <c r="C1930" s="534" t="n">
        <v>7525.05</v>
      </c>
      <c r="E1930" s="535" t="n">
        <v>38056</v>
      </c>
      <c r="F1930" s="534" t="n">
        <v>3.73</v>
      </c>
      <c r="G1930" s="554" t="n"/>
    </row>
    <row r="1931">
      <c r="A1931" s="535" t="n">
        <v>34239</v>
      </c>
      <c r="B1931" s="534" t="n">
        <v>9.06</v>
      </c>
      <c r="C1931" s="534" t="n">
        <v>7452.09</v>
      </c>
      <c r="E1931" s="535" t="n">
        <v>38057</v>
      </c>
      <c r="F1931" s="534" t="n">
        <v>3.755</v>
      </c>
      <c r="G1931" s="554" t="n"/>
    </row>
    <row r="1932">
      <c r="A1932" s="535" t="n">
        <v>34240</v>
      </c>
      <c r="B1932" s="534" t="n">
        <v>9.06</v>
      </c>
      <c r="C1932" s="534" t="n">
        <v>7470.5</v>
      </c>
      <c r="E1932" s="535" t="n">
        <v>38058</v>
      </c>
      <c r="F1932" s="534" t="n">
        <v>3.677</v>
      </c>
      <c r="G1932" s="554" t="n"/>
    </row>
    <row r="1933">
      <c r="A1933" s="535" t="n">
        <v>34241</v>
      </c>
      <c r="B1933" s="534" t="n">
        <v>9.234</v>
      </c>
      <c r="C1933" s="534" t="n">
        <v>7551.1</v>
      </c>
      <c r="E1933" s="535" t="n">
        <v>38061</v>
      </c>
      <c r="F1933" s="534" t="n">
        <v>3.726</v>
      </c>
      <c r="G1933" s="554" t="n"/>
    </row>
    <row r="1934">
      <c r="A1934" s="535" t="n">
        <v>34242</v>
      </c>
      <c r="B1934" s="534" t="n">
        <v>9.234</v>
      </c>
      <c r="C1934" s="534" t="n">
        <v>7676.22</v>
      </c>
      <c r="E1934" s="535" t="n">
        <v>38062</v>
      </c>
      <c r="F1934" s="534" t="n">
        <v>3.736</v>
      </c>
      <c r="G1934" s="554" t="n"/>
    </row>
    <row r="1935">
      <c r="A1935" s="535" t="n">
        <v>34243</v>
      </c>
      <c r="B1935" s="534" t="n">
        <v>9.234</v>
      </c>
      <c r="C1935" s="534" t="n">
        <v>7676.22</v>
      </c>
      <c r="E1935" s="535" t="n">
        <v>38063</v>
      </c>
      <c r="F1935" s="534" t="n">
        <v>3.651</v>
      </c>
      <c r="G1935" s="554" t="n"/>
    </row>
    <row r="1936">
      <c r="A1936" s="535" t="n">
        <v>34246</v>
      </c>
      <c r="B1936" s="534" t="n">
        <v>9.147</v>
      </c>
      <c r="C1936" s="534" t="n">
        <v>7744.32</v>
      </c>
      <c r="E1936" s="535" t="n">
        <v>38064</v>
      </c>
      <c r="F1936" s="534" t="n">
        <v>3.644</v>
      </c>
      <c r="G1936" s="554" t="n"/>
    </row>
    <row r="1937">
      <c r="A1937" s="535" t="n">
        <v>34247</v>
      </c>
      <c r="B1937" s="534" t="n">
        <v>9.234</v>
      </c>
      <c r="C1937" s="534" t="n">
        <v>7869.48</v>
      </c>
      <c r="E1937" s="535" t="n">
        <v>38065</v>
      </c>
      <c r="F1937" s="534" t="n">
        <v>3.674</v>
      </c>
      <c r="G1937" s="554" t="n"/>
    </row>
    <row r="1938">
      <c r="A1938" s="535" t="n">
        <v>34248</v>
      </c>
      <c r="B1938" s="534" t="n">
        <v>9.494999999999999</v>
      </c>
      <c r="C1938" s="534" t="n">
        <v>8041.57</v>
      </c>
      <c r="E1938" s="535" t="n">
        <v>38068</v>
      </c>
      <c r="F1938" s="534" t="n">
        <v>3.668</v>
      </c>
      <c r="G1938" s="554" t="n"/>
    </row>
    <row r="1939">
      <c r="A1939" s="535" t="n">
        <v>34249</v>
      </c>
      <c r="B1939" s="534" t="n">
        <v>9.669</v>
      </c>
      <c r="C1939" s="534" t="n">
        <v>8066.79</v>
      </c>
      <c r="E1939" s="535" t="n">
        <v>38069</v>
      </c>
      <c r="F1939" s="534" t="n">
        <v>3.607</v>
      </c>
      <c r="G1939" s="554" t="n"/>
    </row>
    <row r="1940">
      <c r="A1940" s="535" t="n">
        <v>34250</v>
      </c>
      <c r="B1940" s="534" t="n">
        <v>9.756</v>
      </c>
      <c r="C1940" s="534" t="n">
        <v>8005.56</v>
      </c>
      <c r="E1940" s="535" t="n">
        <v>38070</v>
      </c>
      <c r="F1940" s="534" t="n">
        <v>3.603</v>
      </c>
      <c r="G1940" s="554" t="n"/>
    </row>
    <row r="1941">
      <c r="A1941" s="535" t="n">
        <v>34253</v>
      </c>
      <c r="B1941" s="534" t="n">
        <v>9.756</v>
      </c>
      <c r="C1941" s="534" t="n">
        <v>8192.18</v>
      </c>
      <c r="E1941" s="535" t="n">
        <v>38071</v>
      </c>
      <c r="F1941" s="534" t="n">
        <v>3.645</v>
      </c>
      <c r="G1941" s="554" t="n"/>
    </row>
    <row r="1942">
      <c r="A1942" s="535" t="n">
        <v>34254</v>
      </c>
      <c r="B1942" s="534" t="n">
        <v>9.582000000000001</v>
      </c>
      <c r="C1942" s="534" t="n">
        <v>8253.450000000001</v>
      </c>
      <c r="E1942" s="535" t="n">
        <v>38072</v>
      </c>
      <c r="F1942" s="534" t="n">
        <v>3.718</v>
      </c>
      <c r="G1942" s="554" t="n"/>
    </row>
    <row r="1943">
      <c r="A1943" s="535" t="n">
        <v>34255</v>
      </c>
      <c r="B1943" s="534" t="n">
        <v>9.756</v>
      </c>
      <c r="C1943" s="534" t="n">
        <v>8292.959999999999</v>
      </c>
      <c r="E1943" s="535" t="n">
        <v>38075</v>
      </c>
      <c r="F1943" s="534" t="n">
        <v>3.767</v>
      </c>
      <c r="G1943" s="554" t="n"/>
    </row>
    <row r="1944">
      <c r="A1944" s="535" t="n">
        <v>34256</v>
      </c>
      <c r="B1944" s="534" t="n">
        <v>9.843999999999999</v>
      </c>
      <c r="C1944" s="534" t="n">
        <v>8412.4</v>
      </c>
      <c r="E1944" s="535" t="n">
        <v>38076</v>
      </c>
      <c r="F1944" s="534" t="n">
        <v>3.801</v>
      </c>
      <c r="G1944" s="554" t="n"/>
    </row>
    <row r="1945">
      <c r="A1945" s="535" t="n">
        <v>34257</v>
      </c>
      <c r="B1945" s="534" t="n">
        <v>10.192</v>
      </c>
      <c r="C1945" s="534" t="n">
        <v>8763.98</v>
      </c>
      <c r="E1945" s="535" t="n">
        <v>38077</v>
      </c>
      <c r="F1945" s="534" t="n">
        <v>3.779</v>
      </c>
      <c r="G1945" s="554" t="n"/>
    </row>
    <row r="1946">
      <c r="A1946" s="535" t="n">
        <v>34260</v>
      </c>
      <c r="B1946" s="534" t="n">
        <v>10.715</v>
      </c>
      <c r="C1946" s="534" t="n">
        <v>9031.129999999999</v>
      </c>
      <c r="E1946" s="535" t="n">
        <v>38078</v>
      </c>
      <c r="F1946" s="534" t="n">
        <v>3.73</v>
      </c>
      <c r="G1946" s="554" t="n"/>
    </row>
    <row r="1947">
      <c r="A1947" s="535" t="n">
        <v>34261</v>
      </c>
      <c r="B1947" s="534" t="n">
        <v>10.802</v>
      </c>
      <c r="C1947" s="534" t="n">
        <v>8861.41</v>
      </c>
      <c r="E1947" s="535" t="n">
        <v>38079</v>
      </c>
      <c r="F1947" s="534" t="n">
        <v>3.763</v>
      </c>
      <c r="G1947" s="554" t="n"/>
    </row>
    <row r="1948">
      <c r="A1948" s="535" t="n">
        <v>34262</v>
      </c>
      <c r="B1948" s="534" t="n">
        <v>10.802</v>
      </c>
      <c r="C1948" s="534" t="n">
        <v>8902.799999999999</v>
      </c>
      <c r="E1948" s="535" t="n">
        <v>38082</v>
      </c>
      <c r="F1948" s="534" t="n">
        <v>3.763</v>
      </c>
      <c r="G1948" s="554" t="n"/>
    </row>
    <row r="1949">
      <c r="A1949" s="535" t="n">
        <v>34263</v>
      </c>
      <c r="B1949" s="534" t="n">
        <v>10.802</v>
      </c>
      <c r="C1949" s="534" t="n">
        <v>8882.68</v>
      </c>
      <c r="E1949" s="535" t="n">
        <v>38083</v>
      </c>
      <c r="F1949" s="534" t="n">
        <v>4.044</v>
      </c>
      <c r="G1949" s="554" t="n"/>
    </row>
    <row r="1950">
      <c r="A1950" s="535" t="n">
        <v>34264</v>
      </c>
      <c r="B1950" s="534" t="n">
        <v>10.453</v>
      </c>
      <c r="C1950" s="534" t="n">
        <v>8719.32</v>
      </c>
      <c r="E1950" s="535" t="n">
        <v>38084</v>
      </c>
      <c r="F1950" s="534" t="n">
        <v>3.985</v>
      </c>
      <c r="G1950" s="554" t="n"/>
    </row>
    <row r="1951">
      <c r="A1951" s="535" t="n">
        <v>34267</v>
      </c>
      <c r="B1951" s="534" t="n">
        <v>10.279</v>
      </c>
      <c r="C1951" s="534" t="n">
        <v>8767.5</v>
      </c>
      <c r="E1951" s="535" t="n">
        <v>38085</v>
      </c>
      <c r="F1951" s="534" t="n">
        <v>3.987</v>
      </c>
      <c r="G1951" s="554" t="n"/>
    </row>
    <row r="1952">
      <c r="A1952" s="535" t="n">
        <v>34268</v>
      </c>
      <c r="B1952" s="534" t="n">
        <v>10.279</v>
      </c>
      <c r="C1952" s="534" t="n">
        <v>8790.9</v>
      </c>
      <c r="E1952" s="535" t="n">
        <v>38086</v>
      </c>
      <c r="F1952" s="534" t="n">
        <v>3.987</v>
      </c>
      <c r="G1952" s="554" t="n"/>
    </row>
    <row r="1953">
      <c r="A1953" s="535" t="n">
        <v>34269</v>
      </c>
      <c r="B1953" s="534" t="n">
        <v>10.54</v>
      </c>
      <c r="C1953" s="534" t="n">
        <v>8903.200000000001</v>
      </c>
      <c r="E1953" s="535" t="n">
        <v>38089</v>
      </c>
      <c r="F1953" s="534" t="n">
        <v>3.987</v>
      </c>
      <c r="G1953" s="554" t="n"/>
    </row>
    <row r="1954">
      <c r="A1954" s="535" t="n">
        <v>34270</v>
      </c>
      <c r="B1954" s="534" t="n">
        <v>10.628</v>
      </c>
      <c r="C1954" s="534" t="n">
        <v>9010.27</v>
      </c>
      <c r="E1954" s="535" t="n">
        <v>38090</v>
      </c>
      <c r="F1954" s="534" t="n">
        <v>4.075</v>
      </c>
      <c r="G1954" s="554" t="n"/>
    </row>
    <row r="1955">
      <c r="A1955" s="535" t="n">
        <v>34271</v>
      </c>
      <c r="B1955" s="534" t="n">
        <v>10.976</v>
      </c>
      <c r="C1955" s="534" t="n">
        <v>9329.09</v>
      </c>
      <c r="E1955" s="535" t="n">
        <v>38091</v>
      </c>
      <c r="F1955" s="534" t="n">
        <v>4.165</v>
      </c>
      <c r="G1955" s="554" t="n"/>
    </row>
    <row r="1956">
      <c r="A1956" s="535" t="n">
        <v>34274</v>
      </c>
      <c r="B1956" s="534" t="n">
        <v>11.499</v>
      </c>
      <c r="C1956" s="534" t="n">
        <v>9629.190000000001</v>
      </c>
      <c r="E1956" s="535" t="n">
        <v>38092</v>
      </c>
      <c r="F1956" s="534" t="n">
        <v>4.203</v>
      </c>
      <c r="G1956" s="554" t="n"/>
    </row>
    <row r="1957">
      <c r="A1957" s="535" t="n">
        <v>34275</v>
      </c>
      <c r="B1957" s="534" t="n">
        <v>11.76</v>
      </c>
      <c r="C1957" s="534" t="n">
        <v>9642.91</v>
      </c>
      <c r="E1957" s="535" t="n">
        <v>38093</v>
      </c>
      <c r="F1957" s="534" t="n">
        <v>4.261</v>
      </c>
      <c r="G1957" s="554" t="n"/>
    </row>
    <row r="1958">
      <c r="A1958" s="535" t="n">
        <v>34276</v>
      </c>
      <c r="B1958" s="534" t="n">
        <v>11.499</v>
      </c>
      <c r="C1958" s="534" t="n">
        <v>9352.110000000001</v>
      </c>
      <c r="E1958" s="535" t="n">
        <v>38096</v>
      </c>
      <c r="F1958" s="534" t="n">
        <v>4.133</v>
      </c>
      <c r="G1958" s="554" t="n"/>
    </row>
    <row r="1959">
      <c r="A1959" s="535" t="n">
        <v>34277</v>
      </c>
      <c r="B1959" s="534" t="n">
        <v>11.063</v>
      </c>
      <c r="C1959" s="534" t="n">
        <v>9204.879999999999</v>
      </c>
      <c r="E1959" s="535" t="n">
        <v>38097</v>
      </c>
      <c r="F1959" s="534" t="n">
        <v>4.184</v>
      </c>
      <c r="G1959" s="554" t="n"/>
    </row>
    <row r="1960">
      <c r="A1960" s="535" t="n">
        <v>34278</v>
      </c>
      <c r="B1960" s="534" t="n">
        <v>10.802</v>
      </c>
      <c r="C1960" s="534" t="n">
        <v>8996.93</v>
      </c>
      <c r="E1960" s="535" t="n">
        <v>38098</v>
      </c>
      <c r="F1960" s="534" t="n">
        <v>4.255</v>
      </c>
      <c r="G1960" s="554" t="n"/>
    </row>
    <row r="1961">
      <c r="A1961" s="535" t="n">
        <v>34281</v>
      </c>
      <c r="B1961" s="534" t="n">
        <v>11.15</v>
      </c>
      <c r="C1961" s="534" t="n">
        <v>9177.950000000001</v>
      </c>
      <c r="E1961" s="535" t="n">
        <v>38099</v>
      </c>
      <c r="F1961" s="534" t="n">
        <v>4.203</v>
      </c>
      <c r="G1961" s="554" t="n"/>
    </row>
    <row r="1962">
      <c r="A1962" s="535" t="n">
        <v>34282</v>
      </c>
      <c r="B1962" s="534" t="n">
        <v>10.976</v>
      </c>
      <c r="C1962" s="534" t="n">
        <v>9088.469999999999</v>
      </c>
      <c r="E1962" s="535" t="n">
        <v>38100</v>
      </c>
      <c r="F1962" s="534" t="n">
        <v>4.172</v>
      </c>
      <c r="G1962" s="554" t="n"/>
    </row>
    <row r="1963">
      <c r="A1963" s="535" t="n">
        <v>34283</v>
      </c>
      <c r="B1963" s="534" t="n">
        <v>11.15</v>
      </c>
      <c r="C1963" s="534" t="n">
        <v>9325.440000000001</v>
      </c>
      <c r="E1963" s="535" t="n">
        <v>38103</v>
      </c>
      <c r="F1963" s="534" t="n">
        <v>4.274</v>
      </c>
      <c r="G1963" s="554" t="n"/>
    </row>
    <row r="1964">
      <c r="A1964" s="535" t="n">
        <v>34284</v>
      </c>
      <c r="B1964" s="534" t="n">
        <v>11.586</v>
      </c>
      <c r="C1964" s="534" t="n">
        <v>9674.83</v>
      </c>
      <c r="E1964" s="535" t="n">
        <v>38104</v>
      </c>
      <c r="F1964" s="534" t="n">
        <v>4.268</v>
      </c>
      <c r="G1964" s="554" t="n"/>
    </row>
    <row r="1965">
      <c r="A1965" s="535" t="n">
        <v>34285</v>
      </c>
      <c r="B1965" s="534" t="n">
        <v>11.499</v>
      </c>
      <c r="C1965" s="534" t="n">
        <v>9701.25</v>
      </c>
      <c r="E1965" s="535" t="n">
        <v>38105</v>
      </c>
      <c r="F1965" s="534" t="n">
        <v>4.265</v>
      </c>
      <c r="G1965" s="554" t="n"/>
    </row>
    <row r="1966">
      <c r="A1966" s="535" t="n">
        <v>34288</v>
      </c>
      <c r="B1966" s="534" t="n">
        <v>11.324</v>
      </c>
      <c r="C1966" s="534" t="n">
        <v>9733.34</v>
      </c>
      <c r="E1966" s="535" t="n">
        <v>38106</v>
      </c>
      <c r="F1966" s="534" t="n">
        <v>4.431</v>
      </c>
      <c r="G1966" s="554" t="n"/>
    </row>
    <row r="1967">
      <c r="A1967" s="535" t="n">
        <v>34289</v>
      </c>
      <c r="B1967" s="534" t="n">
        <v>11.237</v>
      </c>
      <c r="C1967" s="534" t="n">
        <v>9683.65</v>
      </c>
      <c r="E1967" s="535" t="n">
        <v>38107</v>
      </c>
      <c r="F1967" s="534" t="n">
        <v>4.531</v>
      </c>
      <c r="G1967" s="554" t="n"/>
    </row>
    <row r="1968">
      <c r="A1968" s="535" t="n">
        <v>34290</v>
      </c>
      <c r="B1968" s="534" t="n">
        <v>10.976</v>
      </c>
      <c r="C1968" s="534" t="n">
        <v>9506.98</v>
      </c>
      <c r="E1968" s="535" t="n">
        <v>38110</v>
      </c>
      <c r="F1968" s="534" t="n">
        <v>4.524</v>
      </c>
      <c r="G1968" s="554" t="n"/>
    </row>
    <row r="1969">
      <c r="A1969" s="535" t="n">
        <v>34291</v>
      </c>
      <c r="B1969" s="534" t="n">
        <v>10.715</v>
      </c>
      <c r="C1969" s="534" t="n">
        <v>9335.43</v>
      </c>
      <c r="E1969" s="535" t="n">
        <v>38111</v>
      </c>
      <c r="F1969" s="534" t="n">
        <v>4.524</v>
      </c>
      <c r="G1969" s="554" t="n"/>
    </row>
    <row r="1970">
      <c r="A1970" s="535" t="n">
        <v>34292</v>
      </c>
      <c r="B1970" s="534" t="n">
        <v>10.453</v>
      </c>
      <c r="C1970" s="534" t="n">
        <v>9263.940000000001</v>
      </c>
      <c r="E1970" s="535" t="n">
        <v>38112</v>
      </c>
      <c r="F1970" s="534" t="n">
        <v>4.551</v>
      </c>
      <c r="G1970" s="554" t="n"/>
    </row>
    <row r="1971">
      <c r="A1971" s="535" t="n">
        <v>34295</v>
      </c>
      <c r="B1971" s="534" t="n">
        <v>10.54</v>
      </c>
      <c r="C1971" s="534" t="n">
        <v>9170.639999999999</v>
      </c>
      <c r="E1971" s="535" t="n">
        <v>38113</v>
      </c>
      <c r="F1971" s="534" t="n">
        <v>4.598</v>
      </c>
      <c r="G1971" s="554" t="n"/>
    </row>
    <row r="1972">
      <c r="A1972" s="535" t="n">
        <v>34296</v>
      </c>
      <c r="B1972" s="534" t="n">
        <v>10.453</v>
      </c>
      <c r="C1972" s="534" t="n">
        <v>9036.02</v>
      </c>
      <c r="E1972" s="535" t="n">
        <v>38114</v>
      </c>
      <c r="F1972" s="534" t="n">
        <v>4.659</v>
      </c>
      <c r="G1972" s="554" t="n"/>
    </row>
    <row r="1973">
      <c r="A1973" s="535" t="n">
        <v>34297</v>
      </c>
      <c r="B1973" s="534" t="n">
        <v>10.628</v>
      </c>
      <c r="C1973" s="534" t="n">
        <v>9238.059999999999</v>
      </c>
      <c r="E1973" s="535" t="n">
        <v>38117</v>
      </c>
      <c r="F1973" s="534" t="n">
        <v>4.878</v>
      </c>
      <c r="G1973" s="554" t="n"/>
    </row>
    <row r="1974">
      <c r="A1974" s="535" t="n">
        <v>34298</v>
      </c>
      <c r="B1974" s="534" t="n">
        <v>10.366</v>
      </c>
      <c r="C1974" s="534" t="n">
        <v>9286.309999999999</v>
      </c>
      <c r="E1974" s="535" t="n">
        <v>38118</v>
      </c>
      <c r="F1974" s="534" t="n">
        <v>4.922</v>
      </c>
      <c r="G1974" s="554" t="n"/>
    </row>
    <row r="1975">
      <c r="A1975" s="535" t="n">
        <v>34299</v>
      </c>
      <c r="B1975" s="534" t="n">
        <v>10.366</v>
      </c>
      <c r="C1975" s="534" t="n">
        <v>9274.42</v>
      </c>
      <c r="E1975" s="535" t="n">
        <v>38119</v>
      </c>
      <c r="F1975" s="534" t="n">
        <v>4.899</v>
      </c>
      <c r="G1975" s="554" t="n"/>
    </row>
    <row r="1976">
      <c r="A1976" s="535" t="n">
        <v>34302</v>
      </c>
      <c r="B1976" s="534" t="n">
        <v>9.843999999999999</v>
      </c>
      <c r="C1976" s="534" t="n">
        <v>9012.77</v>
      </c>
      <c r="E1976" s="535" t="n">
        <v>38120</v>
      </c>
      <c r="F1976" s="534" t="n">
        <v>4.895</v>
      </c>
      <c r="G1976" s="554" t="n"/>
    </row>
    <row r="1977">
      <c r="A1977" s="535" t="n">
        <v>34303</v>
      </c>
      <c r="B1977" s="534" t="n">
        <v>10.105</v>
      </c>
      <c r="C1977" s="534" t="n">
        <v>9125.209999999999</v>
      </c>
      <c r="E1977" s="535" t="n">
        <v>38121</v>
      </c>
      <c r="F1977" s="534" t="n">
        <v>4.955</v>
      </c>
      <c r="G1977" s="554" t="n"/>
    </row>
    <row r="1978">
      <c r="A1978" s="535" t="n">
        <v>34304</v>
      </c>
      <c r="B1978" s="534" t="n">
        <v>10.192</v>
      </c>
      <c r="C1978" s="534" t="n">
        <v>9254.030000000001</v>
      </c>
      <c r="E1978" s="535" t="n">
        <v>38124</v>
      </c>
      <c r="F1978" s="534" t="n">
        <v>4.844</v>
      </c>
      <c r="G1978" s="554" t="n"/>
    </row>
    <row r="1979">
      <c r="A1979" s="535" t="n">
        <v>34305</v>
      </c>
      <c r="B1979" s="534" t="n">
        <v>9.930999999999999</v>
      </c>
      <c r="C1979" s="534" t="n">
        <v>9238.200000000001</v>
      </c>
      <c r="E1979" s="535" t="n">
        <v>38125</v>
      </c>
      <c r="F1979" s="534" t="n">
        <v>4.844</v>
      </c>
      <c r="G1979" s="554" t="n"/>
    </row>
    <row r="1980">
      <c r="A1980" s="535" t="n">
        <v>34306</v>
      </c>
      <c r="B1980" s="534" t="n">
        <v>10.366</v>
      </c>
      <c r="C1980" s="534" t="n">
        <v>9294.35</v>
      </c>
      <c r="E1980" s="535" t="n">
        <v>38126</v>
      </c>
      <c r="F1980" s="534" t="n">
        <v>4.791</v>
      </c>
      <c r="G1980" s="554" t="n"/>
    </row>
    <row r="1981">
      <c r="A1981" s="535" t="n">
        <v>34309</v>
      </c>
      <c r="B1981" s="534" t="n">
        <v>10.715</v>
      </c>
      <c r="C1981" s="534" t="n">
        <v>9609.690000000001</v>
      </c>
      <c r="E1981" s="535" t="n">
        <v>38127</v>
      </c>
      <c r="F1981" s="534" t="n">
        <v>4.839</v>
      </c>
      <c r="G1981" s="554" t="n"/>
    </row>
    <row r="1982">
      <c r="A1982" s="535" t="n">
        <v>34310</v>
      </c>
      <c r="B1982" s="534" t="n">
        <v>10.889</v>
      </c>
      <c r="C1982" s="534" t="n">
        <v>9736.57</v>
      </c>
      <c r="E1982" s="535" t="n">
        <v>38128</v>
      </c>
      <c r="F1982" s="534" t="n">
        <v>4.702</v>
      </c>
      <c r="G1982" s="554" t="n"/>
    </row>
    <row r="1983">
      <c r="A1983" s="535" t="n">
        <v>34311</v>
      </c>
      <c r="B1983" s="534" t="n">
        <v>10.628</v>
      </c>
      <c r="C1983" s="534" t="n">
        <v>9750.23</v>
      </c>
      <c r="E1983" s="535" t="n">
        <v>38131</v>
      </c>
      <c r="F1983" s="534" t="n">
        <v>4.811</v>
      </c>
      <c r="G1983" s="554" t="n"/>
    </row>
    <row r="1984">
      <c r="A1984" s="535" t="n">
        <v>34312</v>
      </c>
      <c r="B1984" s="534" t="n">
        <v>10.802</v>
      </c>
      <c r="C1984" s="534" t="n">
        <v>9990.26</v>
      </c>
      <c r="E1984" s="535" t="n">
        <v>38132</v>
      </c>
      <c r="F1984" s="534" t="n">
        <v>4.742</v>
      </c>
      <c r="G1984" s="554" t="n"/>
    </row>
    <row r="1985">
      <c r="A1985" s="535" t="n">
        <v>34313</v>
      </c>
      <c r="B1985" s="534" t="n">
        <v>10.802</v>
      </c>
      <c r="C1985" s="534" t="n">
        <v>10228.11</v>
      </c>
      <c r="E1985" s="535" t="n">
        <v>38133</v>
      </c>
      <c r="F1985" s="534" t="n">
        <v>4.742</v>
      </c>
      <c r="G1985" s="554" t="n"/>
    </row>
    <row r="1986">
      <c r="A1986" s="535" t="n">
        <v>34316</v>
      </c>
      <c r="B1986" s="534" t="n">
        <v>11.063</v>
      </c>
      <c r="C1986" s="534" t="n">
        <v>10248.59</v>
      </c>
      <c r="E1986" s="535" t="n">
        <v>38134</v>
      </c>
      <c r="F1986" s="534" t="n">
        <v>4.633</v>
      </c>
      <c r="G1986" s="554" t="n"/>
    </row>
    <row r="1987">
      <c r="A1987" s="535" t="n">
        <v>34317</v>
      </c>
      <c r="B1987" s="534" t="n">
        <v>10.976</v>
      </c>
      <c r="C1987" s="534" t="n">
        <v>10021.48</v>
      </c>
      <c r="E1987" s="535" t="n">
        <v>38135</v>
      </c>
      <c r="F1987" s="534" t="n">
        <v>4.559</v>
      </c>
      <c r="G1987" s="554" t="n"/>
    </row>
    <row r="1988">
      <c r="A1988" s="535" t="n">
        <v>34318</v>
      </c>
      <c r="B1988" s="534" t="n">
        <v>10.802</v>
      </c>
      <c r="C1988" s="534" t="n">
        <v>9945.26</v>
      </c>
      <c r="E1988" s="535" t="n">
        <v>38138</v>
      </c>
      <c r="F1988" s="534" t="n">
        <v>4.576</v>
      </c>
      <c r="G1988" s="554" t="n"/>
    </row>
    <row r="1989">
      <c r="A1989" s="535" t="n">
        <v>34319</v>
      </c>
      <c r="B1989" s="534" t="n">
        <v>11.063</v>
      </c>
      <c r="C1989" s="534" t="n">
        <v>10339.66</v>
      </c>
      <c r="E1989" s="535" t="n">
        <v>38139</v>
      </c>
      <c r="F1989" s="534" t="n">
        <v>4.673</v>
      </c>
      <c r="G1989" s="554" t="n"/>
    </row>
    <row r="1990">
      <c r="A1990" s="535" t="n">
        <v>34320</v>
      </c>
      <c r="B1990" s="534" t="n">
        <v>11.237</v>
      </c>
      <c r="C1990" s="534" t="n">
        <v>10568.86</v>
      </c>
      <c r="E1990" s="535" t="n">
        <v>38140</v>
      </c>
      <c r="F1990" s="534" t="n">
        <v>4.878</v>
      </c>
      <c r="G1990" s="554" t="n"/>
    </row>
    <row r="1991">
      <c r="A1991" s="535" t="n">
        <v>34323</v>
      </c>
      <c r="B1991" s="534" t="n">
        <v>11.499</v>
      </c>
      <c r="C1991" s="534" t="n">
        <v>10814.78</v>
      </c>
      <c r="E1991" s="535" t="n">
        <v>38141</v>
      </c>
      <c r="F1991" s="534" t="n">
        <v>4.787</v>
      </c>
      <c r="G1991" s="554" t="n"/>
    </row>
    <row r="1992">
      <c r="A1992" s="535" t="n">
        <v>34324</v>
      </c>
      <c r="B1992" s="534" t="n">
        <v>11.237</v>
      </c>
      <c r="C1992" s="534" t="n">
        <v>10524.28</v>
      </c>
      <c r="E1992" s="535" t="n">
        <v>38142</v>
      </c>
      <c r="F1992" s="534" t="n">
        <v>4.746</v>
      </c>
      <c r="G1992" s="554" t="n"/>
    </row>
    <row r="1993">
      <c r="A1993" s="535" t="n">
        <v>34325</v>
      </c>
      <c r="B1993" s="534" t="n">
        <v>11.412</v>
      </c>
      <c r="C1993" s="534" t="n">
        <v>10707.96</v>
      </c>
      <c r="E1993" s="535" t="n">
        <v>38145</v>
      </c>
      <c r="F1993" s="534" t="n">
        <v>4.742</v>
      </c>
      <c r="G1993" s="554" t="n"/>
    </row>
    <row r="1994">
      <c r="A1994" s="535" t="n">
        <v>34326</v>
      </c>
      <c r="B1994" s="534" t="n">
        <v>11.237</v>
      </c>
      <c r="C1994" s="534" t="n">
        <v>10881.2</v>
      </c>
      <c r="E1994" s="535" t="n">
        <v>38146</v>
      </c>
      <c r="F1994" s="534" t="n">
        <v>4.684</v>
      </c>
      <c r="G1994" s="554" t="n"/>
    </row>
    <row r="1995">
      <c r="A1995" s="535" t="n">
        <v>34327</v>
      </c>
      <c r="B1995" s="534" t="n">
        <v>11.324</v>
      </c>
      <c r="C1995" s="534" t="n">
        <v>11039.84</v>
      </c>
      <c r="E1995" s="535" t="n">
        <v>38147</v>
      </c>
      <c r="F1995" s="534" t="n">
        <v>4.722</v>
      </c>
      <c r="G1995" s="554" t="n"/>
    </row>
    <row r="1996">
      <c r="A1996" s="535" t="n">
        <v>34330</v>
      </c>
      <c r="B1996" s="534" t="n">
        <v>11.324</v>
      </c>
      <c r="C1996" s="534" t="n">
        <v>11039.84</v>
      </c>
      <c r="E1996" s="535" t="n">
        <v>38148</v>
      </c>
      <c r="F1996" s="534" t="n">
        <v>4.743</v>
      </c>
      <c r="G1996" s="554" t="n"/>
    </row>
    <row r="1997">
      <c r="A1997" s="535" t="n">
        <v>34331</v>
      </c>
      <c r="B1997" s="534" t="n">
        <v>11.499</v>
      </c>
      <c r="C1997" s="534" t="n">
        <v>11570.22</v>
      </c>
      <c r="E1997" s="535" t="n">
        <v>38149</v>
      </c>
      <c r="F1997" s="534" t="n">
        <v>4.748</v>
      </c>
      <c r="G1997" s="554" t="n"/>
    </row>
    <row r="1998">
      <c r="A1998" s="535" t="n">
        <v>34332</v>
      </c>
      <c r="B1998" s="534" t="n">
        <v>12.283</v>
      </c>
      <c r="C1998" s="534" t="n">
        <v>11449.77</v>
      </c>
      <c r="E1998" s="535" t="n">
        <v>38152</v>
      </c>
      <c r="F1998" s="534" t="n">
        <v>4.761</v>
      </c>
      <c r="G1998" s="554" t="n"/>
    </row>
    <row r="1999">
      <c r="A1999" s="535" t="n">
        <v>34333</v>
      </c>
      <c r="B1999" s="534" t="n">
        <v>13.241</v>
      </c>
      <c r="C1999" s="534" t="n">
        <v>11877.47</v>
      </c>
      <c r="E1999" s="535" t="n">
        <v>38153</v>
      </c>
      <c r="F1999" s="534" t="n">
        <v>4.757</v>
      </c>
      <c r="G1999" s="554" t="n"/>
    </row>
    <row r="2000">
      <c r="A2000" s="535" t="n">
        <v>34334</v>
      </c>
      <c r="B2000" s="534" t="n">
        <v>13.067</v>
      </c>
      <c r="C2000" s="534" t="n">
        <v>11888.39</v>
      </c>
      <c r="E2000" s="535" t="n">
        <v>38154</v>
      </c>
      <c r="F2000" s="534" t="n">
        <v>4.575</v>
      </c>
      <c r="G2000" s="554" t="n"/>
    </row>
    <row r="2001">
      <c r="A2001" s="535" t="n">
        <v>34337</v>
      </c>
      <c r="B2001" s="534" t="n">
        <v>13.067</v>
      </c>
      <c r="C2001" s="534" t="n">
        <v>12086.49</v>
      </c>
      <c r="E2001" s="535" t="n">
        <v>38155</v>
      </c>
      <c r="F2001" s="534" t="n">
        <v>4.607</v>
      </c>
      <c r="G2001" s="554" t="n"/>
    </row>
    <row r="2002">
      <c r="A2002" s="535" t="n">
        <v>34338</v>
      </c>
      <c r="B2002" s="534" t="n">
        <v>13.241</v>
      </c>
      <c r="C2002" s="534" t="n">
        <v>12201.09</v>
      </c>
      <c r="E2002" s="535" t="n">
        <v>38156</v>
      </c>
      <c r="F2002" s="534" t="n">
        <v>4.575</v>
      </c>
      <c r="G2002" s="554" t="n"/>
    </row>
    <row r="2003">
      <c r="A2003" s="535" t="n">
        <v>34339</v>
      </c>
      <c r="B2003" s="534" t="n">
        <v>13.154</v>
      </c>
      <c r="C2003" s="534" t="n">
        <v>12167.93</v>
      </c>
      <c r="E2003" s="535" t="n">
        <v>38159</v>
      </c>
      <c r="F2003" s="534" t="n">
        <v>4.59</v>
      </c>
      <c r="G2003" s="554" t="n"/>
    </row>
    <row r="2004">
      <c r="A2004" s="535" t="n">
        <v>34340</v>
      </c>
      <c r="B2004" s="534" t="n">
        <v>12.37</v>
      </c>
      <c r="C2004" s="534" t="n">
        <v>11374.5</v>
      </c>
      <c r="E2004" s="535" t="n">
        <v>38160</v>
      </c>
      <c r="F2004" s="534" t="n">
        <v>4.59</v>
      </c>
      <c r="G2004" s="554" t="n"/>
    </row>
    <row r="2005">
      <c r="A2005" s="535" t="n">
        <v>34341</v>
      </c>
      <c r="B2005" s="534" t="n">
        <v>11.586</v>
      </c>
      <c r="C2005" s="534" t="n">
        <v>11001.48</v>
      </c>
      <c r="E2005" s="535" t="n">
        <v>38161</v>
      </c>
      <c r="F2005" s="534" t="n">
        <v>4.606</v>
      </c>
      <c r="G2005" s="554" t="n"/>
    </row>
    <row r="2006">
      <c r="A2006" s="535" t="n">
        <v>34344</v>
      </c>
      <c r="B2006" s="534" t="n">
        <v>11.847</v>
      </c>
      <c r="C2006" s="534" t="n">
        <v>11366.94</v>
      </c>
      <c r="E2006" s="535" t="n">
        <v>38162</v>
      </c>
      <c r="F2006" s="534" t="n">
        <v>4.568</v>
      </c>
      <c r="G2006" s="554" t="n"/>
    </row>
    <row r="2007">
      <c r="A2007" s="535" t="n">
        <v>34345</v>
      </c>
      <c r="B2007" s="534" t="n">
        <v>11.673</v>
      </c>
      <c r="C2007" s="534" t="n">
        <v>11155.81</v>
      </c>
      <c r="E2007" s="535" t="n">
        <v>38163</v>
      </c>
      <c r="F2007" s="534" t="n">
        <v>4.504</v>
      </c>
      <c r="G2007" s="554" t="n"/>
    </row>
    <row r="2008">
      <c r="A2008" s="535" t="n">
        <v>34346</v>
      </c>
      <c r="B2008" s="534" t="n">
        <v>11.15</v>
      </c>
      <c r="C2008" s="534" t="n">
        <v>10712.73</v>
      </c>
      <c r="E2008" s="535" t="n">
        <v>38166</v>
      </c>
      <c r="F2008" s="534" t="n">
        <v>4.53</v>
      </c>
      <c r="G2008" s="554" t="n"/>
    </row>
    <row r="2009">
      <c r="A2009" s="535" t="n">
        <v>34347</v>
      </c>
      <c r="B2009" s="534" t="n">
        <v>10.628</v>
      </c>
      <c r="C2009" s="534" t="n">
        <v>10176.51</v>
      </c>
      <c r="E2009" s="535" t="n">
        <v>38167</v>
      </c>
      <c r="F2009" s="534" t="n">
        <v>4.619</v>
      </c>
      <c r="G2009" s="554" t="n"/>
    </row>
    <row r="2010">
      <c r="A2010" s="535" t="n">
        <v>34348</v>
      </c>
      <c r="B2010" s="534" t="n">
        <v>11.063</v>
      </c>
      <c r="C2010" s="534" t="n">
        <v>10774.25</v>
      </c>
      <c r="E2010" s="535" t="n">
        <v>38168</v>
      </c>
      <c r="F2010" s="534" t="n">
        <v>4.621</v>
      </c>
      <c r="G2010" s="554" t="n"/>
    </row>
    <row r="2011">
      <c r="A2011" s="535" t="n">
        <v>34351</v>
      </c>
      <c r="B2011" s="534" t="n">
        <v>10.976</v>
      </c>
      <c r="C2011" s="534" t="n">
        <v>10792.92</v>
      </c>
      <c r="E2011" s="535" t="n">
        <v>38169</v>
      </c>
      <c r="F2011" s="534" t="n">
        <v>4.621</v>
      </c>
      <c r="G2011" s="554" t="n"/>
    </row>
    <row r="2012">
      <c r="A2012" s="535" t="n">
        <v>34352</v>
      </c>
      <c r="B2012" s="534" t="n">
        <v>11.063</v>
      </c>
      <c r="C2012" s="534" t="n">
        <v>11017.69</v>
      </c>
      <c r="E2012" s="535" t="n">
        <v>38170</v>
      </c>
      <c r="F2012" s="534" t="n">
        <v>4.504</v>
      </c>
      <c r="G2012" s="554" t="n"/>
    </row>
    <row r="2013">
      <c r="A2013" s="535" t="n">
        <v>34353</v>
      </c>
      <c r="B2013" s="534" t="n">
        <v>11.847</v>
      </c>
      <c r="C2013" s="534" t="n">
        <v>11363.77</v>
      </c>
      <c r="E2013" s="535" t="n">
        <v>38173</v>
      </c>
      <c r="F2013" s="534" t="n">
        <v>4.403</v>
      </c>
      <c r="G2013" s="554" t="n"/>
    </row>
    <row r="2014">
      <c r="A2014" s="535" t="n">
        <v>34354</v>
      </c>
      <c r="B2014" s="534" t="n">
        <v>11.412</v>
      </c>
      <c r="C2014" s="534" t="n">
        <v>11264.84</v>
      </c>
      <c r="E2014" s="535" t="n">
        <v>38174</v>
      </c>
      <c r="F2014" s="534" t="n">
        <v>4.428</v>
      </c>
      <c r="G2014" s="554" t="n"/>
    </row>
    <row r="2015">
      <c r="A2015" s="535" t="n">
        <v>34355</v>
      </c>
      <c r="B2015" s="534" t="n">
        <v>11.673</v>
      </c>
      <c r="C2015" s="534" t="n">
        <v>11459.37</v>
      </c>
      <c r="E2015" s="535" t="n">
        <v>38175</v>
      </c>
      <c r="F2015" s="534" t="n">
        <v>4.491</v>
      </c>
      <c r="G2015" s="554" t="n"/>
    </row>
    <row r="2016">
      <c r="A2016" s="535" t="n">
        <v>34358</v>
      </c>
      <c r="B2016" s="534" t="n">
        <v>11.934</v>
      </c>
      <c r="C2016" s="534" t="n">
        <v>11600.09</v>
      </c>
      <c r="E2016" s="535" t="n">
        <v>38176</v>
      </c>
      <c r="F2016" s="534" t="n">
        <v>4.472</v>
      </c>
      <c r="G2016" s="554" t="n"/>
    </row>
    <row r="2017">
      <c r="A2017" s="535" t="n">
        <v>34359</v>
      </c>
      <c r="B2017" s="534" t="n">
        <v>11.586</v>
      </c>
      <c r="C2017" s="534" t="n">
        <v>11490.94</v>
      </c>
      <c r="E2017" s="535" t="n">
        <v>38177</v>
      </c>
      <c r="F2017" s="534" t="n">
        <v>4.459</v>
      </c>
      <c r="G2017" s="554" t="n"/>
    </row>
    <row r="2018">
      <c r="A2018" s="535" t="n">
        <v>34360</v>
      </c>
      <c r="B2018" s="534" t="n">
        <v>11.586</v>
      </c>
      <c r="C2018" s="534" t="n">
        <v>11239.57</v>
      </c>
      <c r="E2018" s="535" t="n">
        <v>38180</v>
      </c>
      <c r="F2018" s="534" t="n">
        <v>4.449</v>
      </c>
      <c r="G2018" s="554" t="n"/>
    </row>
    <row r="2019">
      <c r="A2019" s="535" t="n">
        <v>34361</v>
      </c>
      <c r="B2019" s="534" t="n">
        <v>11.76</v>
      </c>
      <c r="C2019" s="534" t="n">
        <v>11470.42</v>
      </c>
      <c r="E2019" s="535" t="n">
        <v>38181</v>
      </c>
      <c r="F2019" s="534" t="n">
        <v>4.495</v>
      </c>
      <c r="G2019" s="554" t="n"/>
    </row>
    <row r="2020">
      <c r="A2020" s="535" t="n">
        <v>34362</v>
      </c>
      <c r="B2020" s="534" t="n">
        <v>11.586</v>
      </c>
      <c r="C2020" s="534" t="n">
        <v>11377.83</v>
      </c>
      <c r="E2020" s="535" t="n">
        <v>38182</v>
      </c>
      <c r="F2020" s="534" t="n">
        <v>4.477</v>
      </c>
      <c r="G2020" s="554" t="n"/>
    </row>
    <row r="2021">
      <c r="A2021" s="535" t="n">
        <v>34365</v>
      </c>
      <c r="B2021" s="534" t="n">
        <v>12.021</v>
      </c>
      <c r="C2021" s="534" t="n">
        <v>11487.02</v>
      </c>
      <c r="E2021" s="535" t="n">
        <v>38183</v>
      </c>
      <c r="F2021" s="534" t="n">
        <v>4.509</v>
      </c>
      <c r="G2021" s="554" t="n"/>
    </row>
    <row r="2022">
      <c r="A2022" s="535" t="n">
        <v>34366</v>
      </c>
      <c r="B2022" s="534" t="n">
        <v>12.544</v>
      </c>
      <c r="C2022" s="534" t="n">
        <v>11826.89</v>
      </c>
      <c r="E2022" s="535" t="n">
        <v>38184</v>
      </c>
      <c r="F2022" s="534" t="n">
        <v>4.522</v>
      </c>
      <c r="G2022" s="554" t="n"/>
    </row>
    <row r="2023">
      <c r="A2023" s="535" t="n">
        <v>34367</v>
      </c>
      <c r="B2023" s="534" t="n">
        <v>12.108</v>
      </c>
      <c r="C2023" s="534" t="n">
        <v>11785.83</v>
      </c>
      <c r="E2023" s="535" t="n">
        <v>38187</v>
      </c>
      <c r="F2023" s="534" t="n">
        <v>4.425</v>
      </c>
      <c r="G2023" s="554" t="n"/>
    </row>
    <row r="2024">
      <c r="A2024" s="535" t="n">
        <v>34368</v>
      </c>
      <c r="B2024" s="534" t="n">
        <v>12.283</v>
      </c>
      <c r="C2024" s="534" t="n">
        <v>11851.13</v>
      </c>
      <c r="E2024" s="535" t="n">
        <v>38188</v>
      </c>
      <c r="F2024" s="534" t="n">
        <v>4.401</v>
      </c>
      <c r="G2024" s="554" t="n"/>
    </row>
    <row r="2025">
      <c r="A2025" s="535" t="n">
        <v>34369</v>
      </c>
      <c r="B2025" s="534" t="n">
        <v>12.196</v>
      </c>
      <c r="C2025" s="534" t="n">
        <v>12157.57</v>
      </c>
      <c r="E2025" s="535" t="n">
        <v>38189</v>
      </c>
      <c r="F2025" s="534" t="n">
        <v>4.491</v>
      </c>
      <c r="G2025" s="554" t="n"/>
    </row>
    <row r="2026">
      <c r="A2026" s="535" t="n">
        <v>34372</v>
      </c>
      <c r="B2026" s="534" t="n">
        <v>11.586</v>
      </c>
      <c r="C2026" s="534" t="n">
        <v>11414.27</v>
      </c>
      <c r="E2026" s="535" t="n">
        <v>38190</v>
      </c>
      <c r="F2026" s="534" t="n">
        <v>4.508</v>
      </c>
      <c r="G2026" s="554" t="n"/>
    </row>
    <row r="2027">
      <c r="A2027" s="535" t="n">
        <v>34373</v>
      </c>
      <c r="B2027" s="534" t="n">
        <v>11.847</v>
      </c>
      <c r="C2027" s="534" t="n">
        <v>11454.16</v>
      </c>
      <c r="E2027" s="535" t="n">
        <v>38191</v>
      </c>
      <c r="F2027" s="534" t="n">
        <v>4.511</v>
      </c>
      <c r="G2027" s="554" t="n"/>
    </row>
    <row r="2028">
      <c r="A2028" s="535" t="n">
        <v>34374</v>
      </c>
      <c r="B2028" s="534" t="n">
        <v>11.934</v>
      </c>
      <c r="C2028" s="534" t="n">
        <v>11504.03</v>
      </c>
      <c r="E2028" s="535" t="n">
        <v>38194</v>
      </c>
      <c r="F2028" s="534" t="n">
        <v>4.486</v>
      </c>
      <c r="G2028" s="554" t="n"/>
    </row>
    <row r="2029">
      <c r="A2029" s="535" t="n">
        <v>34375</v>
      </c>
      <c r="B2029" s="534" t="n">
        <v>11.934</v>
      </c>
      <c r="C2029" s="534" t="n">
        <v>11504.03</v>
      </c>
      <c r="E2029" s="535" t="n">
        <v>38195</v>
      </c>
      <c r="F2029" s="534" t="n">
        <v>4.5</v>
      </c>
      <c r="G2029" s="554" t="n"/>
    </row>
    <row r="2030">
      <c r="A2030" s="535" t="n">
        <v>34376</v>
      </c>
      <c r="B2030" s="534" t="n">
        <v>11.934</v>
      </c>
      <c r="C2030" s="534" t="n">
        <v>11504.03</v>
      </c>
      <c r="E2030" s="535" t="n">
        <v>38196</v>
      </c>
      <c r="F2030" s="534" t="n">
        <v>4.642</v>
      </c>
      <c r="G2030" s="554" t="n"/>
    </row>
    <row r="2031">
      <c r="A2031" s="535" t="n">
        <v>34379</v>
      </c>
      <c r="B2031" s="534" t="n">
        <v>11.673</v>
      </c>
      <c r="C2031" s="534" t="n">
        <v>10988.81</v>
      </c>
      <c r="E2031" s="535" t="n">
        <v>38197</v>
      </c>
      <c r="F2031" s="534" t="n">
        <v>4.636</v>
      </c>
      <c r="G2031" s="554" t="n"/>
    </row>
    <row r="2032">
      <c r="A2032" s="535" t="n">
        <v>34380</v>
      </c>
      <c r="B2032" s="534" t="n">
        <v>11.934</v>
      </c>
      <c r="C2032" s="534" t="n">
        <v>11012.33</v>
      </c>
      <c r="E2032" s="535" t="n">
        <v>38198</v>
      </c>
      <c r="F2032" s="534" t="n">
        <v>4.624</v>
      </c>
      <c r="G2032" s="554" t="n"/>
    </row>
    <row r="2033">
      <c r="A2033" s="535" t="n">
        <v>34381</v>
      </c>
      <c r="B2033" s="534" t="n">
        <v>11.847</v>
      </c>
      <c r="C2033" s="534" t="n">
        <v>10634.14</v>
      </c>
      <c r="E2033" s="535" t="n">
        <v>38201</v>
      </c>
      <c r="F2033" s="534" t="n">
        <v>4.552</v>
      </c>
      <c r="G2033" s="554" t="n"/>
    </row>
    <row r="2034">
      <c r="A2034" s="535" t="n">
        <v>34382</v>
      </c>
      <c r="B2034" s="534" t="n">
        <v>11.847</v>
      </c>
      <c r="C2034" s="534" t="n">
        <v>10786.58</v>
      </c>
      <c r="E2034" s="535" t="n">
        <v>38202</v>
      </c>
      <c r="F2034" s="534" t="n">
        <v>4.565</v>
      </c>
      <c r="G2034" s="554" t="n"/>
    </row>
    <row r="2035">
      <c r="A2035" s="535" t="n">
        <v>34383</v>
      </c>
      <c r="B2035" s="534" t="n">
        <v>11.673</v>
      </c>
      <c r="C2035" s="534" t="n">
        <v>10825.88</v>
      </c>
      <c r="E2035" s="535" t="n">
        <v>38203</v>
      </c>
      <c r="F2035" s="534" t="n">
        <v>4.552</v>
      </c>
      <c r="G2035" s="554" t="n"/>
    </row>
    <row r="2036">
      <c r="A2036" s="535" t="n">
        <v>34386</v>
      </c>
      <c r="B2036" s="534" t="n">
        <v>10.976</v>
      </c>
      <c r="C2036" s="534" t="n">
        <v>10456.45</v>
      </c>
      <c r="E2036" s="535" t="n">
        <v>38204</v>
      </c>
      <c r="F2036" s="534" t="n">
        <v>4.52</v>
      </c>
      <c r="G2036" s="554" t="n"/>
    </row>
    <row r="2037">
      <c r="A2037" s="535" t="n">
        <v>34387</v>
      </c>
      <c r="B2037" s="534" t="n">
        <v>11.063</v>
      </c>
      <c r="C2037" s="534" t="n">
        <v>10674.01</v>
      </c>
      <c r="E2037" s="535" t="n">
        <v>38205</v>
      </c>
      <c r="F2037" s="534" t="n">
        <v>4.481</v>
      </c>
      <c r="G2037" s="554" t="n"/>
    </row>
    <row r="2038">
      <c r="A2038" s="535" t="n">
        <v>34388</v>
      </c>
      <c r="B2038" s="534" t="n">
        <v>11.063</v>
      </c>
      <c r="C2038" s="534" t="n">
        <v>10763.23</v>
      </c>
      <c r="E2038" s="535" t="n">
        <v>38208</v>
      </c>
      <c r="F2038" s="534" t="n">
        <v>4.322</v>
      </c>
      <c r="G2038" s="554" t="n"/>
    </row>
    <row r="2039">
      <c r="A2039" s="535" t="n">
        <v>34389</v>
      </c>
      <c r="B2039" s="534" t="n">
        <v>10.628</v>
      </c>
      <c r="C2039" s="534" t="n">
        <v>10432.02</v>
      </c>
      <c r="E2039" s="535" t="n">
        <v>38209</v>
      </c>
      <c r="F2039" s="534" t="n">
        <v>4.38</v>
      </c>
      <c r="G2039" s="554" t="n"/>
    </row>
    <row r="2040">
      <c r="A2040" s="535" t="n">
        <v>34390</v>
      </c>
      <c r="B2040" s="534" t="n">
        <v>10.453</v>
      </c>
      <c r="C2040" s="534" t="n">
        <v>10100.25</v>
      </c>
      <c r="E2040" s="535" t="n">
        <v>38210</v>
      </c>
      <c r="F2040" s="534" t="n">
        <v>4.358</v>
      </c>
      <c r="G2040" s="554" t="n"/>
    </row>
    <row r="2041">
      <c r="A2041" s="535" t="n">
        <v>34393</v>
      </c>
      <c r="B2041" s="534" t="n">
        <v>10.715</v>
      </c>
      <c r="C2041" s="534" t="n">
        <v>10410.23</v>
      </c>
      <c r="E2041" s="535" t="n">
        <v>38211</v>
      </c>
      <c r="F2041" s="534" t="n">
        <v>4.329</v>
      </c>
      <c r="G2041" s="554" t="n"/>
    </row>
    <row r="2042">
      <c r="A2042" s="535" t="n">
        <v>34394</v>
      </c>
      <c r="B2042" s="534" t="n">
        <v>10.628</v>
      </c>
      <c r="C2042" s="534" t="n">
        <v>10148.36</v>
      </c>
      <c r="E2042" s="535" t="n">
        <v>38212</v>
      </c>
      <c r="F2042" s="534" t="n">
        <v>4.301</v>
      </c>
      <c r="G2042" s="554" t="n"/>
    </row>
    <row r="2043">
      <c r="A2043" s="535" t="n">
        <v>34395</v>
      </c>
      <c r="B2043" s="534" t="n">
        <v>10.54</v>
      </c>
      <c r="C2043" s="534" t="n">
        <v>9877.43</v>
      </c>
      <c r="E2043" s="535" t="n">
        <v>38215</v>
      </c>
      <c r="F2043" s="534" t="n">
        <v>4.235</v>
      </c>
      <c r="G2043" s="554" t="n"/>
    </row>
    <row r="2044">
      <c r="A2044" s="535" t="n">
        <v>34396</v>
      </c>
      <c r="B2044" s="534" t="n">
        <v>10.715</v>
      </c>
      <c r="C2044" s="534" t="n">
        <v>9802.030000000001</v>
      </c>
      <c r="E2044" s="535" t="n">
        <v>38216</v>
      </c>
      <c r="F2044" s="534" t="n">
        <v>4.254</v>
      </c>
      <c r="G2044" s="554" t="n"/>
    </row>
    <row r="2045">
      <c r="A2045" s="535" t="n">
        <v>34397</v>
      </c>
      <c r="B2045" s="534" t="n">
        <v>10.628</v>
      </c>
      <c r="C2045" s="534" t="n">
        <v>9918.190000000001</v>
      </c>
      <c r="E2045" s="535" t="n">
        <v>38217</v>
      </c>
      <c r="F2045" s="534" t="n">
        <v>4.173</v>
      </c>
      <c r="G2045" s="554" t="n"/>
    </row>
    <row r="2046">
      <c r="A2046" s="535" t="n">
        <v>34400</v>
      </c>
      <c r="B2046" s="534" t="n">
        <v>10.453</v>
      </c>
      <c r="C2046" s="534" t="n">
        <v>10061.55</v>
      </c>
      <c r="E2046" s="535" t="n">
        <v>38218</v>
      </c>
      <c r="F2046" s="534" t="n">
        <v>4.135</v>
      </c>
      <c r="G2046" s="554" t="n"/>
    </row>
    <row r="2047">
      <c r="A2047" s="535" t="n">
        <v>34401</v>
      </c>
      <c r="B2047" s="534" t="n">
        <v>10.715</v>
      </c>
      <c r="C2047" s="534" t="n">
        <v>10294.58</v>
      </c>
      <c r="E2047" s="535" t="n">
        <v>38219</v>
      </c>
      <c r="F2047" s="534" t="n">
        <v>4.059</v>
      </c>
      <c r="G2047" s="554" t="n"/>
    </row>
    <row r="2048">
      <c r="A2048" s="535" t="n">
        <v>34402</v>
      </c>
      <c r="B2048" s="534" t="n">
        <v>10.715</v>
      </c>
      <c r="C2048" s="534" t="n">
        <v>10224.38</v>
      </c>
      <c r="E2048" s="535" t="n">
        <v>38222</v>
      </c>
      <c r="F2048" s="534" t="n">
        <v>4.135</v>
      </c>
      <c r="G2048" s="554" t="n"/>
    </row>
    <row r="2049">
      <c r="A2049" s="535" t="n">
        <v>34403</v>
      </c>
      <c r="B2049" s="534" t="n">
        <v>10.889</v>
      </c>
      <c r="C2049" s="534" t="n">
        <v>10129.05</v>
      </c>
      <c r="E2049" s="535" t="n">
        <v>38223</v>
      </c>
      <c r="F2049" s="534" t="n">
        <v>4.172</v>
      </c>
      <c r="G2049" s="554" t="n"/>
    </row>
    <row r="2050">
      <c r="A2050" s="535" t="n">
        <v>34404</v>
      </c>
      <c r="B2050" s="534" t="n">
        <v>10.54</v>
      </c>
      <c r="C2050" s="534" t="n">
        <v>9905.66</v>
      </c>
      <c r="E2050" s="535" t="n">
        <v>38224</v>
      </c>
      <c r="F2050" s="534" t="n">
        <v>4.118</v>
      </c>
      <c r="G2050" s="554" t="n"/>
    </row>
    <row r="2051">
      <c r="A2051" s="535" t="n">
        <v>34407</v>
      </c>
      <c r="B2051" s="534" t="n">
        <v>10.802</v>
      </c>
      <c r="C2051" s="534" t="n">
        <v>9980.07</v>
      </c>
      <c r="E2051" s="535" t="n">
        <v>38225</v>
      </c>
      <c r="F2051" s="534" t="n">
        <v>4.126</v>
      </c>
      <c r="G2051" s="554" t="n"/>
    </row>
    <row r="2052">
      <c r="A2052" s="535" t="n">
        <v>34408</v>
      </c>
      <c r="B2052" s="534" t="n">
        <v>10.715</v>
      </c>
      <c r="C2052" s="534" t="n">
        <v>9863.559999999999</v>
      </c>
      <c r="E2052" s="535" t="n">
        <v>38226</v>
      </c>
      <c r="F2052" s="534" t="n">
        <v>4.128</v>
      </c>
      <c r="G2052" s="554" t="n"/>
    </row>
    <row r="2053">
      <c r="A2053" s="535" t="n">
        <v>34409</v>
      </c>
      <c r="B2053" s="534" t="n">
        <v>10.628</v>
      </c>
      <c r="C2053" s="534" t="n">
        <v>9720.610000000001</v>
      </c>
      <c r="E2053" s="535" t="n">
        <v>38229</v>
      </c>
      <c r="F2053" s="534" t="n">
        <v>4.158</v>
      </c>
      <c r="G2053" s="554" t="n"/>
    </row>
    <row r="2054">
      <c r="A2054" s="535" t="n">
        <v>34410</v>
      </c>
      <c r="B2054" s="534" t="n">
        <v>10.628</v>
      </c>
      <c r="C2054" s="534" t="n">
        <v>9513.129999999999</v>
      </c>
      <c r="E2054" s="535" t="n">
        <v>38230</v>
      </c>
      <c r="F2054" s="534" t="n">
        <v>4.077</v>
      </c>
      <c r="G2054" s="554" t="n"/>
    </row>
    <row r="2055">
      <c r="A2055" s="535" t="n">
        <v>34411</v>
      </c>
      <c r="B2055" s="534" t="n">
        <v>10.018</v>
      </c>
      <c r="C2055" s="534" t="n">
        <v>9132.309999999999</v>
      </c>
      <c r="E2055" s="535" t="n">
        <v>38231</v>
      </c>
      <c r="F2055" s="534" t="n">
        <v>4.004</v>
      </c>
      <c r="G2055" s="554" t="n"/>
    </row>
    <row r="2056">
      <c r="A2056" s="535" t="n">
        <v>34414</v>
      </c>
      <c r="B2056" s="534" t="n">
        <v>9.321</v>
      </c>
      <c r="C2056" s="534" t="n">
        <v>8667.030000000001</v>
      </c>
      <c r="E2056" s="535" t="n">
        <v>38232</v>
      </c>
      <c r="F2056" s="534" t="n">
        <v>4.027</v>
      </c>
      <c r="G2056" s="554" t="n"/>
    </row>
    <row r="2057">
      <c r="A2057" s="535" t="n">
        <v>34415</v>
      </c>
      <c r="B2057" s="534" t="n">
        <v>9.669</v>
      </c>
      <c r="C2057" s="534" t="n">
        <v>9012.17</v>
      </c>
      <c r="E2057" s="535" t="n">
        <v>38233</v>
      </c>
      <c r="F2057" s="534" t="n">
        <v>4.055</v>
      </c>
      <c r="G2057" s="554" t="n"/>
    </row>
    <row r="2058">
      <c r="A2058" s="535" t="n">
        <v>34416</v>
      </c>
      <c r="B2058" s="534" t="n">
        <v>9.669</v>
      </c>
      <c r="C2058" s="534" t="n">
        <v>9465.530000000001</v>
      </c>
      <c r="E2058" s="535" t="n">
        <v>38236</v>
      </c>
      <c r="F2058" s="534" t="n">
        <v>4.151</v>
      </c>
      <c r="G2058" s="554" t="n"/>
    </row>
    <row r="2059">
      <c r="A2059" s="535" t="n">
        <v>34417</v>
      </c>
      <c r="B2059" s="534" t="n">
        <v>9.843999999999999</v>
      </c>
      <c r="C2059" s="534" t="n">
        <v>9320.75</v>
      </c>
      <c r="E2059" s="535" t="n">
        <v>38237</v>
      </c>
      <c r="F2059" s="534" t="n">
        <v>4.157</v>
      </c>
      <c r="G2059" s="554" t="n"/>
    </row>
    <row r="2060">
      <c r="A2060" s="535" t="n">
        <v>34418</v>
      </c>
      <c r="B2060" s="534" t="n">
        <v>9.756</v>
      </c>
      <c r="C2060" s="534" t="n">
        <v>9234.209999999999</v>
      </c>
      <c r="E2060" s="535" t="n">
        <v>38238</v>
      </c>
      <c r="F2060" s="534" t="n">
        <v>4.097</v>
      </c>
      <c r="G2060" s="554" t="n"/>
    </row>
    <row r="2061">
      <c r="A2061" s="535" t="n">
        <v>34421</v>
      </c>
      <c r="B2061" s="534" t="n">
        <v>9.582000000000001</v>
      </c>
      <c r="C2061" s="534" t="n">
        <v>9197.030000000001</v>
      </c>
      <c r="E2061" s="535" t="n">
        <v>38239</v>
      </c>
      <c r="F2061" s="534" t="n">
        <v>3.992</v>
      </c>
      <c r="G2061" s="554" t="n"/>
    </row>
    <row r="2062">
      <c r="A2062" s="535" t="n">
        <v>34422</v>
      </c>
      <c r="B2062" s="534" t="n">
        <v>9.669</v>
      </c>
      <c r="C2062" s="534" t="n">
        <v>9480.139999999999</v>
      </c>
      <c r="E2062" s="535" t="n">
        <v>38240</v>
      </c>
      <c r="F2062" s="534" t="n">
        <v>3.995</v>
      </c>
      <c r="G2062" s="554" t="n"/>
    </row>
    <row r="2063">
      <c r="A2063" s="535" t="n">
        <v>34423</v>
      </c>
      <c r="B2063" s="534" t="n">
        <v>9.756</v>
      </c>
      <c r="C2063" s="534" t="n">
        <v>9232.209999999999</v>
      </c>
      <c r="E2063" s="535" t="n">
        <v>38243</v>
      </c>
      <c r="F2063" s="534" t="n">
        <v>3.987</v>
      </c>
      <c r="G2063" s="554" t="n"/>
    </row>
    <row r="2064">
      <c r="A2064" s="535" t="n">
        <v>34424</v>
      </c>
      <c r="B2064" s="534" t="n">
        <v>9.494999999999999</v>
      </c>
      <c r="C2064" s="534" t="n">
        <v>9029.91</v>
      </c>
      <c r="E2064" s="535" t="n">
        <v>38244</v>
      </c>
      <c r="F2064" s="534" t="n">
        <v>3.987</v>
      </c>
      <c r="G2064" s="554" t="n"/>
    </row>
    <row r="2065">
      <c r="A2065" s="535" t="n">
        <v>34425</v>
      </c>
      <c r="B2065" s="534" t="n">
        <v>9.494999999999999</v>
      </c>
      <c r="C2065" s="534" t="n">
        <v>9029.91</v>
      </c>
      <c r="E2065" s="535" t="n">
        <v>38245</v>
      </c>
      <c r="F2065" s="534" t="n">
        <v>3.987</v>
      </c>
      <c r="G2065" s="554" t="n"/>
    </row>
    <row r="2066">
      <c r="A2066" s="535" t="n">
        <v>34428</v>
      </c>
      <c r="B2066" s="534" t="n">
        <v>9.494999999999999</v>
      </c>
      <c r="C2066" s="534" t="n">
        <v>9029.91</v>
      </c>
      <c r="E2066" s="535" t="n">
        <v>38246</v>
      </c>
      <c r="F2066" s="534" t="n">
        <v>3.987</v>
      </c>
      <c r="G2066" s="554" t="n"/>
    </row>
    <row r="2067">
      <c r="A2067" s="535" t="n">
        <v>34429</v>
      </c>
      <c r="B2067" s="534" t="n">
        <v>9.494999999999999</v>
      </c>
      <c r="C2067" s="534" t="n">
        <v>9029.91</v>
      </c>
      <c r="E2067" s="535" t="n">
        <v>38247</v>
      </c>
      <c r="F2067" s="534" t="n">
        <v>3.987</v>
      </c>
      <c r="G2067" s="554" t="n"/>
    </row>
    <row r="2068">
      <c r="A2068" s="535" t="n">
        <v>34430</v>
      </c>
      <c r="B2068" s="534" t="n">
        <v>9.582000000000001</v>
      </c>
      <c r="C2068" s="534" t="n">
        <v>9234.309999999999</v>
      </c>
      <c r="E2068" s="535" t="n">
        <v>38250</v>
      </c>
      <c r="F2068" s="534" t="n">
        <v>3.987</v>
      </c>
      <c r="G2068" s="554" t="n"/>
    </row>
    <row r="2069">
      <c r="A2069" s="535" t="n">
        <v>34431</v>
      </c>
      <c r="B2069" s="534" t="n">
        <v>9.582000000000001</v>
      </c>
      <c r="C2069" s="534" t="n">
        <v>9285.92</v>
      </c>
      <c r="E2069" s="535" t="n">
        <v>38251</v>
      </c>
      <c r="F2069" s="534" t="n">
        <v>3.836</v>
      </c>
      <c r="G2069" s="554" t="n"/>
    </row>
    <row r="2070">
      <c r="A2070" s="535" t="n">
        <v>34432</v>
      </c>
      <c r="B2070" s="534" t="n">
        <v>9.582000000000001</v>
      </c>
      <c r="C2070" s="534" t="n">
        <v>9298.219999999999</v>
      </c>
      <c r="E2070" s="535" t="n">
        <v>38252</v>
      </c>
      <c r="F2070" s="534" t="n">
        <v>3.818</v>
      </c>
      <c r="G2070" s="554" t="n"/>
    </row>
    <row r="2071">
      <c r="A2071" s="535" t="n">
        <v>34435</v>
      </c>
      <c r="B2071" s="534" t="n">
        <v>10.018</v>
      </c>
      <c r="C2071" s="534" t="n">
        <v>9476.77</v>
      </c>
      <c r="E2071" s="535" t="n">
        <v>38253</v>
      </c>
      <c r="F2071" s="534" t="n">
        <v>3.745</v>
      </c>
      <c r="G2071" s="554" t="n"/>
    </row>
    <row r="2072">
      <c r="A2072" s="535" t="n">
        <v>34436</v>
      </c>
      <c r="B2072" s="534" t="n">
        <v>10.279</v>
      </c>
      <c r="C2072" s="534" t="n">
        <v>9738.09</v>
      </c>
      <c r="E2072" s="535" t="n">
        <v>38254</v>
      </c>
      <c r="F2072" s="534" t="n">
        <v>3.754</v>
      </c>
      <c r="G2072" s="554" t="n"/>
    </row>
    <row r="2073">
      <c r="A2073" s="535" t="n">
        <v>34437</v>
      </c>
      <c r="B2073" s="534" t="n">
        <v>10.105</v>
      </c>
      <c r="C2073" s="534" t="n">
        <v>9753.76</v>
      </c>
      <c r="E2073" s="535" t="n">
        <v>38257</v>
      </c>
      <c r="F2073" s="534" t="n">
        <v>3.791</v>
      </c>
      <c r="G2073" s="554" t="n"/>
    </row>
    <row r="2074">
      <c r="A2074" s="535" t="n">
        <v>34438</v>
      </c>
      <c r="B2074" s="534" t="n">
        <v>9.930999999999999</v>
      </c>
      <c r="C2074" s="534" t="n">
        <v>9600.629999999999</v>
      </c>
      <c r="E2074" s="535" t="n">
        <v>38258</v>
      </c>
      <c r="F2074" s="534" t="n">
        <v>3.75</v>
      </c>
      <c r="G2074" s="554" t="n"/>
    </row>
    <row r="2075">
      <c r="A2075" s="535" t="n">
        <v>34439</v>
      </c>
      <c r="B2075" s="534" t="n">
        <v>10.018</v>
      </c>
      <c r="C2075" s="534" t="n">
        <v>9536.059999999999</v>
      </c>
      <c r="E2075" s="535" t="n">
        <v>38259</v>
      </c>
      <c r="F2075" s="534" t="n">
        <v>3.75</v>
      </c>
      <c r="G2075" s="554" t="n"/>
    </row>
    <row r="2076">
      <c r="A2076" s="535" t="n">
        <v>34442</v>
      </c>
      <c r="B2076" s="534" t="n">
        <v>10.192</v>
      </c>
      <c r="C2076" s="534" t="n">
        <v>9506.84</v>
      </c>
      <c r="E2076" s="535" t="n">
        <v>38260</v>
      </c>
      <c r="F2076" s="534" t="n">
        <v>3.783</v>
      </c>
      <c r="G2076" s="554" t="n"/>
    </row>
    <row r="2077">
      <c r="A2077" s="535" t="n">
        <v>34443</v>
      </c>
      <c r="B2077" s="534" t="n">
        <v>9.843999999999999</v>
      </c>
      <c r="C2077" s="534" t="n">
        <v>9303.91</v>
      </c>
      <c r="E2077" s="535" t="n">
        <v>38261</v>
      </c>
      <c r="F2077" s="534" t="n">
        <v>3.783</v>
      </c>
      <c r="G2077" s="554" t="n"/>
    </row>
    <row r="2078">
      <c r="A2078" s="535" t="n">
        <v>34444</v>
      </c>
      <c r="B2078" s="534" t="n">
        <v>9.582000000000001</v>
      </c>
      <c r="C2078" s="534" t="n">
        <v>9221.01</v>
      </c>
      <c r="E2078" s="535" t="n">
        <v>38264</v>
      </c>
      <c r="F2078" s="534" t="n">
        <v>3.906</v>
      </c>
      <c r="G2078" s="554" t="n"/>
    </row>
    <row r="2079">
      <c r="A2079" s="535" t="n">
        <v>34445</v>
      </c>
      <c r="B2079" s="534" t="n">
        <v>9.494999999999999</v>
      </c>
      <c r="C2079" s="534" t="n">
        <v>8934.59</v>
      </c>
      <c r="E2079" s="535" t="n">
        <v>38265</v>
      </c>
      <c r="F2079" s="534" t="n">
        <v>3.881</v>
      </c>
      <c r="G2079" s="554" t="n"/>
    </row>
    <row r="2080">
      <c r="A2080" s="535" t="n">
        <v>34446</v>
      </c>
      <c r="B2080" s="534" t="n">
        <v>9.669</v>
      </c>
      <c r="C2080" s="534" t="n">
        <v>9156.85</v>
      </c>
      <c r="E2080" s="535" t="n">
        <v>38266</v>
      </c>
      <c r="F2080" s="534" t="n">
        <v>3.892</v>
      </c>
      <c r="G2080" s="554" t="n"/>
    </row>
    <row r="2081">
      <c r="A2081" s="535" t="n">
        <v>34449</v>
      </c>
      <c r="B2081" s="534" t="n">
        <v>9.756</v>
      </c>
      <c r="C2081" s="534" t="n">
        <v>9136.110000000001</v>
      </c>
      <c r="E2081" s="535" t="n">
        <v>38267</v>
      </c>
      <c r="F2081" s="534" t="n">
        <v>3.936</v>
      </c>
      <c r="G2081" s="554" t="n"/>
    </row>
    <row r="2082">
      <c r="A2082" s="535" t="n">
        <v>34450</v>
      </c>
      <c r="B2082" s="534" t="n">
        <v>9.843999999999999</v>
      </c>
      <c r="C2082" s="534" t="n">
        <v>9328.639999999999</v>
      </c>
      <c r="E2082" s="535" t="n">
        <v>38268</v>
      </c>
      <c r="F2082" s="534" t="n">
        <v>3.922</v>
      </c>
      <c r="G2082" s="554" t="n"/>
    </row>
    <row r="2083">
      <c r="A2083" s="535" t="n">
        <v>34451</v>
      </c>
      <c r="B2083" s="534" t="n">
        <v>9.756</v>
      </c>
      <c r="C2083" s="534" t="n">
        <v>9113.25</v>
      </c>
      <c r="E2083" s="535" t="n">
        <v>38271</v>
      </c>
      <c r="F2083" s="534" t="n">
        <v>3.801</v>
      </c>
      <c r="G2083" s="554" t="n"/>
    </row>
    <row r="2084">
      <c r="A2084" s="535" t="n">
        <v>34452</v>
      </c>
      <c r="B2084" s="534" t="n">
        <v>9.843999999999999</v>
      </c>
      <c r="C2084" s="534" t="n">
        <v>9163.09</v>
      </c>
      <c r="E2084" s="535" t="n">
        <v>38272</v>
      </c>
      <c r="F2084" s="534" t="n">
        <v>3.792</v>
      </c>
      <c r="G2084" s="554" t="n"/>
    </row>
    <row r="2085">
      <c r="A2085" s="535" t="n">
        <v>34453</v>
      </c>
      <c r="B2085" s="534" t="n">
        <v>9.756</v>
      </c>
      <c r="C2085" s="534" t="n">
        <v>8966.07</v>
      </c>
      <c r="E2085" s="535" t="n">
        <v>38273</v>
      </c>
      <c r="F2085" s="534" t="n">
        <v>3.8</v>
      </c>
      <c r="G2085" s="554" t="n"/>
    </row>
    <row r="2086">
      <c r="A2086" s="535" t="n">
        <v>34456</v>
      </c>
      <c r="B2086" s="534" t="n">
        <v>9.582000000000001</v>
      </c>
      <c r="C2086" s="534" t="n">
        <v>8799.700000000001</v>
      </c>
      <c r="E2086" s="535" t="n">
        <v>38274</v>
      </c>
      <c r="F2086" s="534" t="n">
        <v>3.74</v>
      </c>
      <c r="G2086" s="554" t="n"/>
    </row>
    <row r="2087">
      <c r="A2087" s="535" t="n">
        <v>34457</v>
      </c>
      <c r="B2087" s="534" t="n">
        <v>9.582000000000001</v>
      </c>
      <c r="C2087" s="534" t="n">
        <v>8679.129999999999</v>
      </c>
      <c r="E2087" s="535" t="n">
        <v>38275</v>
      </c>
      <c r="F2087" s="534" t="n">
        <v>3.68</v>
      </c>
      <c r="G2087" s="554" t="n"/>
    </row>
    <row r="2088">
      <c r="A2088" s="535" t="n">
        <v>34458</v>
      </c>
      <c r="B2088" s="534" t="n">
        <v>9.494999999999999</v>
      </c>
      <c r="C2088" s="534" t="n">
        <v>8369.440000000001</v>
      </c>
      <c r="E2088" s="535" t="n">
        <v>38278</v>
      </c>
      <c r="F2088" s="534" t="n">
        <v>3.745</v>
      </c>
      <c r="G2088" s="554" t="n"/>
    </row>
    <row r="2089">
      <c r="A2089" s="535" t="n">
        <v>34459</v>
      </c>
      <c r="B2089" s="534" t="n">
        <v>9.494999999999999</v>
      </c>
      <c r="C2089" s="534" t="n">
        <v>8412.879999999999</v>
      </c>
      <c r="E2089" s="535" t="n">
        <v>38279</v>
      </c>
      <c r="F2089" s="534" t="n">
        <v>3.733</v>
      </c>
      <c r="G2089" s="554" t="n"/>
    </row>
    <row r="2090">
      <c r="A2090" s="535" t="n">
        <v>34460</v>
      </c>
      <c r="B2090" s="534" t="n">
        <v>9.669</v>
      </c>
      <c r="C2090" s="534" t="n">
        <v>8620.27</v>
      </c>
      <c r="E2090" s="535" t="n">
        <v>38280</v>
      </c>
      <c r="F2090" s="534" t="n">
        <v>3.658</v>
      </c>
      <c r="G2090" s="554" t="n"/>
    </row>
    <row r="2091">
      <c r="A2091" s="535" t="n">
        <v>34463</v>
      </c>
      <c r="B2091" s="534" t="n">
        <v>9.582000000000001</v>
      </c>
      <c r="C2091" s="534" t="n">
        <v>8421.700000000001</v>
      </c>
      <c r="E2091" s="535" t="n">
        <v>38281</v>
      </c>
      <c r="F2091" s="534" t="n">
        <v>3.629</v>
      </c>
      <c r="G2091" s="554" t="n"/>
    </row>
    <row r="2092">
      <c r="A2092" s="535" t="n">
        <v>34464</v>
      </c>
      <c r="B2092" s="534" t="n">
        <v>9.756</v>
      </c>
      <c r="C2092" s="534" t="n">
        <v>8540.09</v>
      </c>
      <c r="E2092" s="535" t="n">
        <v>38282</v>
      </c>
      <c r="F2092" s="534" t="n">
        <v>3.629</v>
      </c>
      <c r="G2092" s="554" t="n"/>
    </row>
    <row r="2093">
      <c r="A2093" s="535" t="n">
        <v>34465</v>
      </c>
      <c r="B2093" s="534" t="n">
        <v>9.843999999999999</v>
      </c>
      <c r="C2093" s="534" t="n">
        <v>8906.16</v>
      </c>
      <c r="E2093" s="535" t="n">
        <v>38285</v>
      </c>
      <c r="F2093" s="534" t="n">
        <v>3.559</v>
      </c>
      <c r="G2093" s="554" t="n"/>
    </row>
    <row r="2094">
      <c r="A2094" s="535" t="n">
        <v>34466</v>
      </c>
      <c r="B2094" s="534" t="n">
        <v>9.407999999999999</v>
      </c>
      <c r="C2094" s="534" t="n">
        <v>8878.860000000001</v>
      </c>
      <c r="E2094" s="535" t="n">
        <v>38286</v>
      </c>
      <c r="F2094" s="534" t="n">
        <v>3.504</v>
      </c>
      <c r="G2094" s="554" t="n"/>
    </row>
    <row r="2095">
      <c r="A2095" s="535" t="n">
        <v>34467</v>
      </c>
      <c r="B2095" s="534" t="n">
        <v>9.756</v>
      </c>
      <c r="C2095" s="534" t="n">
        <v>9134.719999999999</v>
      </c>
      <c r="E2095" s="535" t="n">
        <v>38287</v>
      </c>
      <c r="F2095" s="534" t="n">
        <v>3.524</v>
      </c>
      <c r="G2095" s="554" t="n"/>
    </row>
    <row r="2096">
      <c r="A2096" s="535" t="n">
        <v>34470</v>
      </c>
      <c r="B2096" s="534" t="n">
        <v>9.669</v>
      </c>
      <c r="C2096" s="534" t="n">
        <v>9253.41</v>
      </c>
      <c r="E2096" s="535" t="n">
        <v>38288</v>
      </c>
      <c r="F2096" s="534" t="n">
        <v>3.533</v>
      </c>
      <c r="G2096" s="554" t="n"/>
    </row>
    <row r="2097">
      <c r="A2097" s="535" t="n">
        <v>34471</v>
      </c>
      <c r="B2097" s="534" t="n">
        <v>9.582000000000001</v>
      </c>
      <c r="C2097" s="534" t="n">
        <v>9044.700000000001</v>
      </c>
      <c r="E2097" s="535" t="n">
        <v>38289</v>
      </c>
      <c r="F2097" s="534" t="n">
        <v>3.544</v>
      </c>
      <c r="G2097" s="554" t="n"/>
    </row>
    <row r="2098">
      <c r="A2098" s="535" t="n">
        <v>34472</v>
      </c>
      <c r="B2098" s="534" t="n">
        <v>9.756</v>
      </c>
      <c r="C2098" s="534" t="n">
        <v>9476.639999999999</v>
      </c>
      <c r="E2098" s="535" t="n">
        <v>38292</v>
      </c>
      <c r="F2098" s="534" t="n">
        <v>3.538</v>
      </c>
      <c r="G2098" s="554" t="n"/>
    </row>
    <row r="2099">
      <c r="A2099" s="535" t="n">
        <v>34473</v>
      </c>
      <c r="B2099" s="534" t="n">
        <v>9.669</v>
      </c>
      <c r="C2099" s="534" t="n">
        <v>9354.98</v>
      </c>
      <c r="E2099" s="535" t="n">
        <v>38293</v>
      </c>
      <c r="F2099" s="534" t="n">
        <v>3.543</v>
      </c>
      <c r="G2099" s="554" t="n"/>
    </row>
    <row r="2100">
      <c r="A2100" s="535" t="n">
        <v>34474</v>
      </c>
      <c r="B2100" s="534" t="n">
        <v>9.930999999999999</v>
      </c>
      <c r="C2100" s="534" t="n">
        <v>9631.629999999999</v>
      </c>
      <c r="E2100" s="535" t="n">
        <v>38294</v>
      </c>
      <c r="F2100" s="534" t="n">
        <v>3.543</v>
      </c>
      <c r="G2100" s="554" t="n"/>
    </row>
    <row r="2101">
      <c r="A2101" s="535" t="n">
        <v>34477</v>
      </c>
      <c r="B2101" s="534" t="n">
        <v>9.930999999999999</v>
      </c>
      <c r="C2101" s="534" t="n">
        <v>9589.780000000001</v>
      </c>
      <c r="E2101" s="535" t="n">
        <v>38295</v>
      </c>
      <c r="F2101" s="534" t="n">
        <v>3.495</v>
      </c>
      <c r="G2101" s="554" t="n"/>
    </row>
    <row r="2102">
      <c r="A2102" s="535" t="n">
        <v>34478</v>
      </c>
      <c r="B2102" s="534" t="n">
        <v>9.756</v>
      </c>
      <c r="C2102" s="534" t="n">
        <v>9490.110000000001</v>
      </c>
      <c r="E2102" s="535" t="n">
        <v>38296</v>
      </c>
      <c r="F2102" s="534" t="n">
        <v>3.406</v>
      </c>
      <c r="G2102" s="554" t="n"/>
    </row>
    <row r="2103">
      <c r="A2103" s="535" t="n">
        <v>34479</v>
      </c>
      <c r="B2103" s="534" t="n">
        <v>9.930999999999999</v>
      </c>
      <c r="C2103" s="534" t="n">
        <v>9521.370000000001</v>
      </c>
      <c r="E2103" s="535" t="n">
        <v>38299</v>
      </c>
      <c r="F2103" s="534" t="n">
        <v>3.441</v>
      </c>
      <c r="G2103" s="554" t="n"/>
    </row>
    <row r="2104">
      <c r="A2104" s="535" t="n">
        <v>34480</v>
      </c>
      <c r="B2104" s="534" t="n">
        <v>9.756</v>
      </c>
      <c r="C2104" s="534" t="n">
        <v>9481.709999999999</v>
      </c>
      <c r="E2104" s="535" t="n">
        <v>38300</v>
      </c>
      <c r="F2104" s="534" t="n">
        <v>3.463</v>
      </c>
      <c r="G2104" s="554" t="n"/>
    </row>
    <row r="2105">
      <c r="A2105" s="535" t="n">
        <v>34481</v>
      </c>
      <c r="B2105" s="534" t="n">
        <v>9.582000000000001</v>
      </c>
      <c r="C2105" s="534" t="n">
        <v>9470.129999999999</v>
      </c>
      <c r="E2105" s="535" t="n">
        <v>38301</v>
      </c>
      <c r="F2105" s="534" t="n">
        <v>3.505</v>
      </c>
      <c r="G2105" s="554" t="n"/>
    </row>
    <row r="2106">
      <c r="A2106" s="535" t="n">
        <v>34484</v>
      </c>
      <c r="B2106" s="534" t="n">
        <v>9.582000000000001</v>
      </c>
      <c r="C2106" s="534" t="n">
        <v>9523.629999999999</v>
      </c>
      <c r="E2106" s="535" t="n">
        <v>38302</v>
      </c>
      <c r="F2106" s="534" t="n">
        <v>3.484</v>
      </c>
      <c r="G2106" s="554" t="n"/>
    </row>
    <row r="2107">
      <c r="A2107" s="535" t="n">
        <v>34485</v>
      </c>
      <c r="B2107" s="534" t="n">
        <v>9.669</v>
      </c>
      <c r="C2107" s="534" t="n">
        <v>9553.559999999999</v>
      </c>
      <c r="E2107" s="535" t="n">
        <v>38303</v>
      </c>
      <c r="F2107" s="534" t="n">
        <v>3.439</v>
      </c>
      <c r="G2107" s="554" t="n"/>
    </row>
    <row r="2108">
      <c r="A2108" s="535" t="n">
        <v>34486</v>
      </c>
      <c r="B2108" s="534" t="n">
        <v>9.756</v>
      </c>
      <c r="C2108" s="534" t="n">
        <v>9512.07</v>
      </c>
      <c r="E2108" s="535" t="n">
        <v>38306</v>
      </c>
      <c r="F2108" s="534" t="n">
        <v>3.39</v>
      </c>
      <c r="G2108" s="554" t="n"/>
    </row>
    <row r="2109">
      <c r="A2109" s="535" t="n">
        <v>34487</v>
      </c>
      <c r="B2109" s="534" t="n">
        <v>9.669</v>
      </c>
      <c r="C2109" s="534" t="n">
        <v>9222.34</v>
      </c>
      <c r="E2109" s="535" t="n">
        <v>38307</v>
      </c>
      <c r="F2109" s="534" t="n">
        <v>3.391</v>
      </c>
      <c r="G2109" s="554" t="n"/>
    </row>
    <row r="2110">
      <c r="A2110" s="535" t="n">
        <v>34488</v>
      </c>
      <c r="B2110" s="534" t="n">
        <v>9.582000000000001</v>
      </c>
      <c r="C2110" s="534" t="n">
        <v>9234.27</v>
      </c>
      <c r="E2110" s="535" t="n">
        <v>38308</v>
      </c>
      <c r="F2110" s="534" t="n">
        <v>3.403</v>
      </c>
      <c r="G2110" s="554" t="n"/>
    </row>
    <row r="2111">
      <c r="A2111" s="535" t="n">
        <v>34491</v>
      </c>
      <c r="B2111" s="534" t="n">
        <v>9.756</v>
      </c>
      <c r="C2111" s="534" t="n">
        <v>9383.030000000001</v>
      </c>
      <c r="E2111" s="535" t="n">
        <v>38309</v>
      </c>
      <c r="F2111" s="534" t="n">
        <v>3.332</v>
      </c>
      <c r="G2111" s="554" t="n"/>
    </row>
    <row r="2112">
      <c r="A2112" s="535" t="n">
        <v>34492</v>
      </c>
      <c r="B2112" s="534" t="n">
        <v>9.756</v>
      </c>
      <c r="C2112" s="534" t="n">
        <v>9247.879999999999</v>
      </c>
      <c r="E2112" s="535" t="n">
        <v>38310</v>
      </c>
      <c r="F2112" s="534" t="n">
        <v>3.378</v>
      </c>
      <c r="G2112" s="554" t="n"/>
    </row>
    <row r="2113">
      <c r="A2113" s="535" t="n">
        <v>34493</v>
      </c>
      <c r="B2113" s="534" t="n">
        <v>9.756</v>
      </c>
      <c r="C2113" s="534" t="n">
        <v>9291.18</v>
      </c>
      <c r="E2113" s="535" t="n">
        <v>38313</v>
      </c>
      <c r="F2113" s="534" t="n">
        <v>3.466</v>
      </c>
      <c r="G2113" s="554" t="n"/>
    </row>
    <row r="2114">
      <c r="A2114" s="535" t="n">
        <v>34494</v>
      </c>
      <c r="B2114" s="534" t="n">
        <v>9.407999999999999</v>
      </c>
      <c r="C2114" s="534" t="n">
        <v>9190.639999999999</v>
      </c>
      <c r="E2114" s="535" t="n">
        <v>38314</v>
      </c>
      <c r="F2114" s="534" t="n">
        <v>3.466</v>
      </c>
      <c r="G2114" s="554" t="n"/>
    </row>
    <row r="2115">
      <c r="A2115" s="535" t="n">
        <v>34495</v>
      </c>
      <c r="B2115" s="534" t="n">
        <v>9.494999999999999</v>
      </c>
      <c r="C2115" s="534" t="n">
        <v>9111.16</v>
      </c>
      <c r="E2115" s="535" t="n">
        <v>38315</v>
      </c>
      <c r="F2115" s="534" t="n">
        <v>3.48</v>
      </c>
      <c r="G2115" s="554" t="n"/>
    </row>
    <row r="2116">
      <c r="A2116" s="535" t="n">
        <v>34498</v>
      </c>
      <c r="B2116" s="534" t="n">
        <v>9.494999999999999</v>
      </c>
      <c r="C2116" s="534" t="n">
        <v>9111.16</v>
      </c>
      <c r="E2116" s="535" t="n">
        <v>38316</v>
      </c>
      <c r="F2116" s="534" t="n">
        <v>3.469</v>
      </c>
      <c r="G2116" s="554" t="n"/>
    </row>
    <row r="2117">
      <c r="A2117" s="535" t="n">
        <v>34499</v>
      </c>
      <c r="B2117" s="534" t="n">
        <v>9.494999999999999</v>
      </c>
      <c r="C2117" s="534" t="n">
        <v>9111.16</v>
      </c>
      <c r="E2117" s="535" t="n">
        <v>38317</v>
      </c>
      <c r="F2117" s="534" t="n">
        <v>3.518</v>
      </c>
      <c r="G2117" s="554" t="n"/>
    </row>
    <row r="2118">
      <c r="A2118" s="535" t="n">
        <v>34500</v>
      </c>
      <c r="B2118" s="534" t="n">
        <v>9.669</v>
      </c>
      <c r="C2118" s="534" t="n">
        <v>9149.52</v>
      </c>
      <c r="E2118" s="535" t="n">
        <v>38320</v>
      </c>
      <c r="F2118" s="534" t="n">
        <v>3.559</v>
      </c>
      <c r="G2118" s="554" t="n"/>
    </row>
    <row r="2119">
      <c r="A2119" s="535" t="n">
        <v>34501</v>
      </c>
      <c r="B2119" s="534" t="n">
        <v>9.669</v>
      </c>
      <c r="C2119" s="534" t="n">
        <v>9022.92</v>
      </c>
      <c r="E2119" s="535" t="n">
        <v>38321</v>
      </c>
      <c r="F2119" s="534" t="n">
        <v>3.619</v>
      </c>
      <c r="G2119" s="554" t="n"/>
    </row>
    <row r="2120">
      <c r="A2120" s="535" t="n">
        <v>34502</v>
      </c>
      <c r="B2120" s="534" t="n">
        <v>9.756</v>
      </c>
      <c r="C2120" s="534" t="n">
        <v>9113.959999999999</v>
      </c>
      <c r="E2120" s="535" t="n">
        <v>38322</v>
      </c>
      <c r="F2120" s="534" t="n">
        <v>3.602</v>
      </c>
      <c r="G2120" s="554" t="n"/>
    </row>
    <row r="2121">
      <c r="A2121" s="535" t="n">
        <v>34505</v>
      </c>
      <c r="B2121" s="534" t="n">
        <v>9.669</v>
      </c>
      <c r="C2121" s="534" t="n">
        <v>8998.18</v>
      </c>
      <c r="E2121" s="535" t="n">
        <v>38323</v>
      </c>
      <c r="F2121" s="534" t="n">
        <v>3.596</v>
      </c>
      <c r="G2121" s="554" t="n"/>
    </row>
    <row r="2122">
      <c r="A2122" s="535" t="n">
        <v>34506</v>
      </c>
      <c r="B2122" s="534" t="n">
        <v>9.582000000000001</v>
      </c>
      <c r="C2122" s="534" t="n">
        <v>8857.780000000001</v>
      </c>
      <c r="E2122" s="535" t="n">
        <v>38324</v>
      </c>
      <c r="F2122" s="534" t="n">
        <v>3.647</v>
      </c>
      <c r="G2122" s="554" t="n"/>
    </row>
    <row r="2123">
      <c r="A2123" s="535" t="n">
        <v>34507</v>
      </c>
      <c r="B2123" s="534" t="n">
        <v>9.494999999999999</v>
      </c>
      <c r="C2123" s="534" t="n">
        <v>8876.84</v>
      </c>
      <c r="E2123" s="535" t="n">
        <v>38327</v>
      </c>
      <c r="F2123" s="534" t="n">
        <v>3.523</v>
      </c>
      <c r="G2123" s="554" t="n"/>
    </row>
    <row r="2124">
      <c r="A2124" s="535" t="n">
        <v>34508</v>
      </c>
      <c r="B2124" s="534" t="n">
        <v>9.582000000000001</v>
      </c>
      <c r="C2124" s="534" t="n">
        <v>8966.790000000001</v>
      </c>
      <c r="E2124" s="535" t="n">
        <v>38328</v>
      </c>
      <c r="F2124" s="534" t="n">
        <v>3.602</v>
      </c>
      <c r="G2124" s="554" t="n"/>
    </row>
    <row r="2125">
      <c r="A2125" s="535" t="n">
        <v>34509</v>
      </c>
      <c r="B2125" s="534" t="n">
        <v>9.582000000000001</v>
      </c>
      <c r="C2125" s="534" t="n">
        <v>8881</v>
      </c>
      <c r="E2125" s="535" t="n">
        <v>38329</v>
      </c>
      <c r="F2125" s="534" t="n">
        <v>3.669</v>
      </c>
      <c r="G2125" s="554" t="n"/>
    </row>
    <row r="2126">
      <c r="A2126" s="535" t="n">
        <v>34512</v>
      </c>
      <c r="B2126" s="534" t="n">
        <v>9.407999999999999</v>
      </c>
      <c r="C2126" s="534" t="n">
        <v>8647.48</v>
      </c>
      <c r="E2126" s="535" t="n">
        <v>38330</v>
      </c>
      <c r="F2126" s="534" t="n">
        <v>3.639</v>
      </c>
      <c r="G2126" s="554" t="n"/>
    </row>
    <row r="2127">
      <c r="A2127" s="535" t="n">
        <v>34513</v>
      </c>
      <c r="B2127" s="534" t="n">
        <v>9.407999999999999</v>
      </c>
      <c r="C2127" s="534" t="n">
        <v>8673.49</v>
      </c>
      <c r="E2127" s="535" t="n">
        <v>38331</v>
      </c>
      <c r="F2127" s="534" t="n">
        <v>3.659</v>
      </c>
      <c r="G2127" s="554" t="n"/>
    </row>
    <row r="2128">
      <c r="A2128" s="535" t="n">
        <v>34514</v>
      </c>
      <c r="B2128" s="534" t="n">
        <v>9.494999999999999</v>
      </c>
      <c r="C2128" s="534" t="n">
        <v>8640.309999999999</v>
      </c>
      <c r="E2128" s="535" t="n">
        <v>38334</v>
      </c>
      <c r="F2128" s="534" t="n">
        <v>3.669</v>
      </c>
      <c r="G2128" s="554" t="n"/>
    </row>
    <row r="2129">
      <c r="A2129" s="535" t="n">
        <v>34515</v>
      </c>
      <c r="B2129" s="534" t="n">
        <v>9.930999999999999</v>
      </c>
      <c r="C2129" s="534" t="n">
        <v>8758.41</v>
      </c>
      <c r="E2129" s="535" t="n">
        <v>38335</v>
      </c>
      <c r="F2129" s="534" t="n">
        <v>3.69</v>
      </c>
      <c r="G2129" s="554" t="n"/>
    </row>
    <row r="2130">
      <c r="A2130" s="535" t="n">
        <v>34516</v>
      </c>
      <c r="B2130" s="534" t="n">
        <v>9.930999999999999</v>
      </c>
      <c r="C2130" s="534" t="n">
        <v>8634.370000000001</v>
      </c>
      <c r="E2130" s="535" t="n">
        <v>38336</v>
      </c>
      <c r="F2130" s="534" t="n">
        <v>3.669</v>
      </c>
      <c r="G2130" s="554" t="n"/>
    </row>
    <row r="2131">
      <c r="A2131" s="535" t="n">
        <v>34519</v>
      </c>
      <c r="B2131" s="534" t="n">
        <v>10.061</v>
      </c>
      <c r="C2131" s="534" t="n">
        <v>8628.280000000001</v>
      </c>
      <c r="E2131" s="535" t="n">
        <v>38337</v>
      </c>
      <c r="F2131" s="534" t="n">
        <v>3.631</v>
      </c>
      <c r="G2131" s="554" t="n"/>
    </row>
    <row r="2132">
      <c r="A2132" s="535" t="n">
        <v>34520</v>
      </c>
      <c r="B2132" s="534" t="n">
        <v>10.105</v>
      </c>
      <c r="C2132" s="534" t="n">
        <v>8623.190000000001</v>
      </c>
      <c r="E2132" s="535" t="n">
        <v>38338</v>
      </c>
      <c r="F2132" s="534" t="n">
        <v>3.648</v>
      </c>
      <c r="G2132" s="554" t="n"/>
    </row>
    <row r="2133">
      <c r="A2133" s="535" t="n">
        <v>34521</v>
      </c>
      <c r="B2133" s="534" t="n">
        <v>10.148</v>
      </c>
      <c r="C2133" s="534" t="n">
        <v>8454.92</v>
      </c>
      <c r="E2133" s="535" t="n">
        <v>38341</v>
      </c>
      <c r="F2133" s="534" t="n">
        <v>3.676</v>
      </c>
      <c r="G2133" s="554" t="n"/>
    </row>
    <row r="2134">
      <c r="A2134" s="535" t="n">
        <v>34522</v>
      </c>
      <c r="B2134" s="534" t="n">
        <v>10.628</v>
      </c>
      <c r="C2134" s="534" t="n">
        <v>8490.860000000001</v>
      </c>
      <c r="E2134" s="535" t="n">
        <v>38342</v>
      </c>
      <c r="F2134" s="534" t="n">
        <v>3.639</v>
      </c>
      <c r="G2134" s="554" t="n"/>
    </row>
    <row r="2135">
      <c r="A2135" s="535" t="n">
        <v>34523</v>
      </c>
      <c r="B2135" s="534" t="n">
        <v>10.54</v>
      </c>
      <c r="C2135" s="534" t="n">
        <v>8432.959999999999</v>
      </c>
      <c r="E2135" s="535" t="n">
        <v>38343</v>
      </c>
      <c r="F2135" s="534" t="n">
        <v>3.608</v>
      </c>
      <c r="G2135" s="554" t="n"/>
    </row>
    <row r="2136">
      <c r="A2136" s="535" t="n">
        <v>34526</v>
      </c>
      <c r="B2136" s="534" t="n">
        <v>10.41</v>
      </c>
      <c r="C2136" s="534" t="n">
        <v>8394.940000000001</v>
      </c>
      <c r="E2136" s="535" t="n">
        <v>38344</v>
      </c>
      <c r="F2136" s="534" t="n">
        <v>3.614</v>
      </c>
      <c r="G2136" s="554" t="n"/>
    </row>
    <row r="2137">
      <c r="A2137" s="535" t="n">
        <v>34527</v>
      </c>
      <c r="B2137" s="534" t="n">
        <v>10.54</v>
      </c>
      <c r="C2137" s="534" t="n">
        <v>8591.450000000001</v>
      </c>
      <c r="E2137" s="535" t="n">
        <v>38345</v>
      </c>
      <c r="F2137" s="534" t="n">
        <v>3.608</v>
      </c>
      <c r="G2137" s="554" t="n"/>
    </row>
    <row r="2138">
      <c r="A2138" s="535" t="n">
        <v>34528</v>
      </c>
      <c r="B2138" s="534" t="n">
        <v>10.584</v>
      </c>
      <c r="C2138" s="534" t="n">
        <v>8828.91</v>
      </c>
      <c r="E2138" s="535" t="n">
        <v>38348</v>
      </c>
      <c r="F2138" s="534" t="n">
        <v>3.608</v>
      </c>
      <c r="G2138" s="554" t="n"/>
    </row>
    <row r="2139">
      <c r="A2139" s="535" t="n">
        <v>34529</v>
      </c>
      <c r="B2139" s="534" t="n">
        <v>10.366</v>
      </c>
      <c r="C2139" s="534" t="n">
        <v>8808.280000000001</v>
      </c>
      <c r="E2139" s="535" t="n">
        <v>38349</v>
      </c>
      <c r="F2139" s="534" t="n">
        <v>3.608</v>
      </c>
      <c r="G2139" s="554" t="n"/>
    </row>
    <row r="2140">
      <c r="A2140" s="535" t="n">
        <v>34530</v>
      </c>
      <c r="B2140" s="534" t="n">
        <v>10.279</v>
      </c>
      <c r="C2140" s="534" t="n">
        <v>9117.02</v>
      </c>
      <c r="E2140" s="535" t="n">
        <v>38350</v>
      </c>
      <c r="F2140" s="534" t="n">
        <v>3.648</v>
      </c>
      <c r="G2140" s="554" t="n"/>
    </row>
    <row r="2141">
      <c r="A2141" s="535" t="n">
        <v>34533</v>
      </c>
      <c r="B2141" s="534" t="n">
        <v>10.279</v>
      </c>
      <c r="C2141" s="534" t="n">
        <v>9193.83</v>
      </c>
      <c r="E2141" s="535" t="n">
        <v>38351</v>
      </c>
      <c r="F2141" s="534" t="n">
        <v>3.664</v>
      </c>
      <c r="G2141" s="554" t="n"/>
    </row>
    <row r="2142">
      <c r="A2142" s="535" t="n">
        <v>34534</v>
      </c>
      <c r="B2142" s="534" t="n">
        <v>10.105</v>
      </c>
      <c r="C2142" s="534" t="n">
        <v>9145.01</v>
      </c>
      <c r="E2142" s="535" t="n">
        <v>38352</v>
      </c>
      <c r="F2142" s="534" t="n">
        <v>3.633</v>
      </c>
      <c r="G2142" s="554" t="n"/>
    </row>
    <row r="2143">
      <c r="A2143" s="535" t="n">
        <v>34535</v>
      </c>
      <c r="B2143" s="534" t="n">
        <v>10.366</v>
      </c>
      <c r="C2143" s="534" t="n">
        <v>9188.82</v>
      </c>
      <c r="E2143" s="535" t="n">
        <v>38355</v>
      </c>
      <c r="F2143" s="534" t="n">
        <v>3.657</v>
      </c>
      <c r="G2143" s="554" t="n"/>
    </row>
    <row r="2144">
      <c r="A2144" s="535" t="n">
        <v>34536</v>
      </c>
      <c r="B2144" s="534" t="n">
        <v>10.584</v>
      </c>
      <c r="C2144" s="534" t="n">
        <v>9117.66</v>
      </c>
      <c r="E2144" s="535" t="n">
        <v>38356</v>
      </c>
      <c r="F2144" s="534" t="n">
        <v>3.664</v>
      </c>
      <c r="G2144" s="554" t="n"/>
    </row>
    <row r="2145">
      <c r="A2145" s="535" t="n">
        <v>34537</v>
      </c>
      <c r="B2145" s="534" t="n">
        <v>10.54</v>
      </c>
      <c r="C2145" s="534" t="n">
        <v>9152.99</v>
      </c>
      <c r="E2145" s="535" t="n">
        <v>38357</v>
      </c>
      <c r="F2145" s="534" t="n">
        <v>3.754</v>
      </c>
      <c r="G2145" s="554" t="n"/>
    </row>
    <row r="2146">
      <c r="A2146" s="535" t="n">
        <v>34540</v>
      </c>
      <c r="B2146" s="534" t="n">
        <v>10.584</v>
      </c>
      <c r="C2146" s="534" t="n">
        <v>9174.620000000001</v>
      </c>
      <c r="E2146" s="535" t="n">
        <v>38358</v>
      </c>
      <c r="F2146" s="534" t="n">
        <v>3.807</v>
      </c>
      <c r="G2146" s="554" t="n"/>
    </row>
    <row r="2147">
      <c r="A2147" s="535" t="n">
        <v>34541</v>
      </c>
      <c r="B2147" s="534" t="n">
        <v>10.628</v>
      </c>
      <c r="C2147" s="534" t="n">
        <v>9194.360000000001</v>
      </c>
      <c r="E2147" s="535" t="n">
        <v>38359</v>
      </c>
      <c r="F2147" s="534" t="n">
        <v>3.795</v>
      </c>
      <c r="G2147" s="554" t="n"/>
    </row>
    <row r="2148">
      <c r="A2148" s="535" t="n">
        <v>34542</v>
      </c>
      <c r="B2148" s="534" t="n">
        <v>11.194</v>
      </c>
      <c r="C2148" s="534" t="n">
        <v>9402.18</v>
      </c>
      <c r="E2148" s="535" t="n">
        <v>38362</v>
      </c>
      <c r="F2148" s="534" t="n">
        <v>3.816</v>
      </c>
      <c r="G2148" s="554" t="n"/>
    </row>
    <row r="2149">
      <c r="A2149" s="535" t="n">
        <v>34543</v>
      </c>
      <c r="B2149" s="534" t="n">
        <v>10.976</v>
      </c>
      <c r="C2149" s="534" t="n">
        <v>9402.66</v>
      </c>
      <c r="E2149" s="535" t="n">
        <v>38363</v>
      </c>
      <c r="F2149" s="534" t="n">
        <v>3.82</v>
      </c>
      <c r="G2149" s="554" t="n"/>
    </row>
    <row r="2150">
      <c r="A2150" s="535" t="n">
        <v>34544</v>
      </c>
      <c r="B2150" s="534" t="n">
        <v>10.889</v>
      </c>
      <c r="C2150" s="534" t="n">
        <v>9482.809999999999</v>
      </c>
      <c r="E2150" s="535" t="n">
        <v>38364</v>
      </c>
      <c r="F2150" s="534" t="n">
        <v>3.807</v>
      </c>
      <c r="G2150" s="554" t="n"/>
    </row>
    <row r="2151">
      <c r="A2151" s="535" t="n">
        <v>34547</v>
      </c>
      <c r="B2151" s="534" t="n">
        <v>11.15</v>
      </c>
      <c r="C2151" s="534" t="n">
        <v>9683.68</v>
      </c>
      <c r="E2151" s="535" t="n">
        <v>38365</v>
      </c>
      <c r="F2151" s="534" t="n">
        <v>3.764</v>
      </c>
      <c r="G2151" s="554" t="n"/>
    </row>
    <row r="2152">
      <c r="A2152" s="535" t="n">
        <v>34548</v>
      </c>
      <c r="B2152" s="534" t="n">
        <v>11.281</v>
      </c>
      <c r="C2152" s="534" t="n">
        <v>9695.030000000001</v>
      </c>
      <c r="E2152" s="535" t="n">
        <v>38366</v>
      </c>
      <c r="F2152" s="534" t="n">
        <v>3.789</v>
      </c>
      <c r="G2152" s="554" t="n"/>
    </row>
    <row r="2153">
      <c r="A2153" s="535" t="n">
        <v>34549</v>
      </c>
      <c r="B2153" s="534" t="n">
        <v>11.107</v>
      </c>
      <c r="C2153" s="534" t="n">
        <v>9585.889999999999</v>
      </c>
      <c r="E2153" s="535" t="n">
        <v>38369</v>
      </c>
      <c r="F2153" s="534" t="n">
        <v>3.808</v>
      </c>
      <c r="G2153" s="554" t="n"/>
    </row>
    <row r="2154">
      <c r="A2154" s="535" t="n">
        <v>34550</v>
      </c>
      <c r="B2154" s="534" t="n">
        <v>11.107</v>
      </c>
      <c r="C2154" s="534" t="n">
        <v>9642.85</v>
      </c>
      <c r="E2154" s="535" t="n">
        <v>38370</v>
      </c>
      <c r="F2154" s="534" t="n">
        <v>3.852</v>
      </c>
      <c r="G2154" s="554" t="n"/>
    </row>
    <row r="2155">
      <c r="A2155" s="535" t="n">
        <v>34551</v>
      </c>
      <c r="B2155" s="534" t="n">
        <v>11.063</v>
      </c>
      <c r="C2155" s="534" t="n">
        <v>9602.209999999999</v>
      </c>
      <c r="E2155" s="535" t="n">
        <v>38371</v>
      </c>
      <c r="F2155" s="534" t="n">
        <v>3.795</v>
      </c>
      <c r="G2155" s="554" t="n"/>
    </row>
    <row r="2156">
      <c r="A2156" s="535" t="n">
        <v>34554</v>
      </c>
      <c r="B2156" s="534" t="n">
        <v>11.237</v>
      </c>
      <c r="C2156" s="534" t="n">
        <v>9537.870000000001</v>
      </c>
      <c r="E2156" s="535" t="n">
        <v>38372</v>
      </c>
      <c r="F2156" s="534" t="n">
        <v>3.72</v>
      </c>
      <c r="G2156" s="554" t="n"/>
    </row>
    <row r="2157">
      <c r="A2157" s="535" t="n">
        <v>34555</v>
      </c>
      <c r="B2157" s="534" t="n">
        <v>11.237</v>
      </c>
      <c r="C2157" s="534" t="n">
        <v>9446.43</v>
      </c>
      <c r="E2157" s="535" t="n">
        <v>38373</v>
      </c>
      <c r="F2157" s="534" t="n">
        <v>3.714</v>
      </c>
      <c r="G2157" s="554" t="n"/>
    </row>
    <row r="2158">
      <c r="A2158" s="535" t="n">
        <v>34556</v>
      </c>
      <c r="B2158" s="534" t="n">
        <v>11.194</v>
      </c>
      <c r="C2158" s="534" t="n">
        <v>9618.08</v>
      </c>
      <c r="E2158" s="535" t="n">
        <v>38376</v>
      </c>
      <c r="F2158" s="534" t="n">
        <v>3.695</v>
      </c>
      <c r="G2158" s="554" t="n"/>
    </row>
    <row r="2159">
      <c r="A2159" s="535" t="n">
        <v>34557</v>
      </c>
      <c r="B2159" s="534" t="n">
        <v>10.758</v>
      </c>
      <c r="C2159" s="534" t="n">
        <v>9524.540000000001</v>
      </c>
      <c r="E2159" s="535" t="n">
        <v>38377</v>
      </c>
      <c r="F2159" s="534" t="n">
        <v>3.693</v>
      </c>
      <c r="G2159" s="554" t="n"/>
    </row>
    <row r="2160">
      <c r="A2160" s="535" t="n">
        <v>34558</v>
      </c>
      <c r="B2160" s="534" t="n">
        <v>10.845</v>
      </c>
      <c r="C2160" s="534" t="n">
        <v>9464.559999999999</v>
      </c>
      <c r="E2160" s="535" t="n">
        <v>38378</v>
      </c>
      <c r="F2160" s="534" t="n">
        <v>3.689</v>
      </c>
      <c r="G2160" s="554" t="n"/>
    </row>
    <row r="2161">
      <c r="A2161" s="535" t="n">
        <v>34561</v>
      </c>
      <c r="B2161" s="534" t="n">
        <v>10.758</v>
      </c>
      <c r="C2161" s="534" t="n">
        <v>9486.129999999999</v>
      </c>
      <c r="E2161" s="535" t="n">
        <v>38379</v>
      </c>
      <c r="F2161" s="534" t="n">
        <v>3.66</v>
      </c>
      <c r="G2161" s="554" t="n"/>
    </row>
    <row r="2162">
      <c r="A2162" s="535" t="n">
        <v>34562</v>
      </c>
      <c r="B2162" s="534" t="n">
        <v>10.715</v>
      </c>
      <c r="C2162" s="534" t="n">
        <v>9366.620000000001</v>
      </c>
      <c r="E2162" s="535" t="n">
        <v>38380</v>
      </c>
      <c r="F2162" s="534" t="n">
        <v>3.646</v>
      </c>
      <c r="G2162" s="554" t="n"/>
    </row>
    <row r="2163">
      <c r="A2163" s="535" t="n">
        <v>34563</v>
      </c>
      <c r="B2163" s="534" t="n">
        <v>10.932</v>
      </c>
      <c r="C2163" s="534" t="n">
        <v>9537.98</v>
      </c>
      <c r="E2163" s="535" t="n">
        <v>38383</v>
      </c>
      <c r="F2163" s="534" t="n">
        <v>3.639</v>
      </c>
      <c r="G2163" s="554" t="n"/>
    </row>
    <row r="2164">
      <c r="A2164" s="535" t="n">
        <v>34564</v>
      </c>
      <c r="B2164" s="534" t="n">
        <v>10.932</v>
      </c>
      <c r="C2164" s="534" t="n">
        <v>9518.889999999999</v>
      </c>
      <c r="E2164" s="535" t="n">
        <v>38384</v>
      </c>
      <c r="F2164" s="534" t="n">
        <v>3.671</v>
      </c>
      <c r="G2164" s="554" t="n"/>
    </row>
    <row r="2165">
      <c r="A2165" s="535" t="n">
        <v>34565</v>
      </c>
      <c r="B2165" s="534" t="n">
        <v>10.889</v>
      </c>
      <c r="C2165" s="534" t="n">
        <v>9404.440000000001</v>
      </c>
      <c r="E2165" s="535" t="n">
        <v>38385</v>
      </c>
      <c r="F2165" s="534" t="n">
        <v>3.608</v>
      </c>
      <c r="G2165" s="554" t="n"/>
    </row>
    <row r="2166">
      <c r="A2166" s="535" t="n">
        <v>34568</v>
      </c>
      <c r="B2166" s="534" t="n">
        <v>10.845</v>
      </c>
      <c r="C2166" s="534" t="n">
        <v>9457.33</v>
      </c>
      <c r="E2166" s="535" t="n">
        <v>38386</v>
      </c>
      <c r="F2166" s="534" t="n">
        <v>3.633</v>
      </c>
      <c r="G2166" s="554" t="n"/>
    </row>
    <row r="2167">
      <c r="A2167" s="535" t="n">
        <v>34569</v>
      </c>
      <c r="B2167" s="534" t="n">
        <v>10.54</v>
      </c>
      <c r="C2167" s="534" t="n">
        <v>9234.059999999999</v>
      </c>
      <c r="E2167" s="535" t="n">
        <v>38387</v>
      </c>
      <c r="F2167" s="534" t="n">
        <v>3.637</v>
      </c>
      <c r="G2167" s="554" t="n"/>
    </row>
    <row r="2168">
      <c r="A2168" s="535" t="n">
        <v>34570</v>
      </c>
      <c r="B2168" s="534" t="n">
        <v>10.453</v>
      </c>
      <c r="C2168" s="534" t="n">
        <v>9238.690000000001</v>
      </c>
      <c r="E2168" s="535" t="n">
        <v>38390</v>
      </c>
      <c r="F2168" s="534" t="n">
        <v>3.601</v>
      </c>
      <c r="G2168" s="554" t="n"/>
    </row>
    <row r="2169">
      <c r="A2169" s="535" t="n">
        <v>34571</v>
      </c>
      <c r="B2169" s="534" t="n">
        <v>10.628</v>
      </c>
      <c r="C2169" s="534" t="n">
        <v>9336.110000000001</v>
      </c>
      <c r="E2169" s="535" t="n">
        <v>38391</v>
      </c>
      <c r="F2169" s="534" t="n">
        <v>3.528</v>
      </c>
      <c r="G2169" s="554" t="n"/>
    </row>
    <row r="2170">
      <c r="A2170" s="535" t="n">
        <v>34572</v>
      </c>
      <c r="B2170" s="534" t="n">
        <v>10.932</v>
      </c>
      <c r="C2170" s="534" t="n">
        <v>9399.08</v>
      </c>
      <c r="E2170" s="535" t="n">
        <v>38392</v>
      </c>
      <c r="F2170" s="534" t="n">
        <v>3.528</v>
      </c>
      <c r="G2170" s="554" t="n"/>
    </row>
    <row r="2171">
      <c r="A2171" s="535" t="n">
        <v>34575</v>
      </c>
      <c r="B2171" s="534" t="n">
        <v>10.932</v>
      </c>
      <c r="C2171" s="534" t="n">
        <v>9399.08</v>
      </c>
      <c r="E2171" s="535" t="n">
        <v>38393</v>
      </c>
      <c r="F2171" s="534" t="n">
        <v>3.528</v>
      </c>
      <c r="G2171" s="554" t="n"/>
    </row>
    <row r="2172">
      <c r="A2172" s="535" t="n">
        <v>34576</v>
      </c>
      <c r="B2172" s="534" t="n">
        <v>11.15</v>
      </c>
      <c r="C2172" s="534" t="n">
        <v>9686.559999999999</v>
      </c>
      <c r="E2172" s="535" t="n">
        <v>38394</v>
      </c>
      <c r="F2172" s="534" t="n">
        <v>3.528</v>
      </c>
      <c r="G2172" s="554" t="n"/>
    </row>
    <row r="2173">
      <c r="A2173" s="535" t="n">
        <v>34577</v>
      </c>
      <c r="B2173" s="534" t="n">
        <v>11.324</v>
      </c>
      <c r="C2173" s="534" t="n">
        <v>9929.389999999999</v>
      </c>
      <c r="E2173" s="535" t="n">
        <v>38397</v>
      </c>
      <c r="F2173" s="534" t="n">
        <v>3.522</v>
      </c>
      <c r="G2173" s="554" t="n"/>
    </row>
    <row r="2174">
      <c r="A2174" s="535" t="n">
        <v>34578</v>
      </c>
      <c r="B2174" s="534" t="n">
        <v>11.194</v>
      </c>
      <c r="C2174" s="534" t="n">
        <v>9890.9</v>
      </c>
      <c r="E2174" s="535" t="n">
        <v>38398</v>
      </c>
      <c r="F2174" s="534" t="n">
        <v>3.534</v>
      </c>
      <c r="G2174" s="554" t="n"/>
    </row>
    <row r="2175">
      <c r="A2175" s="535" t="n">
        <v>34579</v>
      </c>
      <c r="B2175" s="534" t="n">
        <v>11.15</v>
      </c>
      <c r="C2175" s="534" t="n">
        <v>9901.559999999999</v>
      </c>
      <c r="E2175" s="535" t="n">
        <v>38399</v>
      </c>
      <c r="F2175" s="534" t="n">
        <v>3.534</v>
      </c>
      <c r="G2175" s="554" t="n"/>
    </row>
    <row r="2176">
      <c r="A2176" s="535" t="n">
        <v>34582</v>
      </c>
      <c r="B2176" s="534" t="n">
        <v>11.412</v>
      </c>
      <c r="C2176" s="534" t="n">
        <v>9962.040000000001</v>
      </c>
      <c r="E2176" s="535" t="n">
        <v>38400</v>
      </c>
      <c r="F2176" s="534" t="n">
        <v>3.565</v>
      </c>
      <c r="G2176" s="554" t="n"/>
    </row>
    <row r="2177">
      <c r="A2177" s="535" t="n">
        <v>34583</v>
      </c>
      <c r="B2177" s="534" t="n">
        <v>11.542</v>
      </c>
      <c r="C2177" s="534" t="n">
        <v>10035.97</v>
      </c>
      <c r="E2177" s="535" t="n">
        <v>38401</v>
      </c>
      <c r="F2177" s="534" t="n">
        <v>3.665</v>
      </c>
      <c r="G2177" s="554" t="n"/>
    </row>
    <row r="2178">
      <c r="A2178" s="535" t="n">
        <v>34584</v>
      </c>
      <c r="B2178" s="534" t="n">
        <v>11.499</v>
      </c>
      <c r="C2178" s="534" t="n">
        <v>10165.87</v>
      </c>
      <c r="E2178" s="535" t="n">
        <v>38404</v>
      </c>
      <c r="F2178" s="534" t="n">
        <v>3.861</v>
      </c>
      <c r="G2178" s="554" t="n"/>
    </row>
    <row r="2179">
      <c r="A2179" s="535" t="n">
        <v>34585</v>
      </c>
      <c r="B2179" s="534" t="n">
        <v>11.15</v>
      </c>
      <c r="C2179" s="534" t="n">
        <v>10150.98</v>
      </c>
      <c r="E2179" s="535" t="n">
        <v>38405</v>
      </c>
      <c r="F2179" s="534" t="n">
        <v>3.816</v>
      </c>
      <c r="G2179" s="554" t="n"/>
    </row>
    <row r="2180">
      <c r="A2180" s="535" t="n">
        <v>34586</v>
      </c>
      <c r="B2180" s="534" t="n">
        <v>11.455</v>
      </c>
      <c r="C2180" s="534" t="n">
        <v>10145.02</v>
      </c>
      <c r="E2180" s="535" t="n">
        <v>38406</v>
      </c>
      <c r="F2180" s="534" t="n">
        <v>3.893</v>
      </c>
      <c r="G2180" s="554" t="n"/>
    </row>
    <row r="2181">
      <c r="A2181" s="535" t="n">
        <v>34589</v>
      </c>
      <c r="B2181" s="534" t="n">
        <v>11.107</v>
      </c>
      <c r="C2181" s="534" t="n">
        <v>9890.370000000001</v>
      </c>
      <c r="E2181" s="535" t="n">
        <v>38407</v>
      </c>
      <c r="F2181" s="534" t="n">
        <v>3.855</v>
      </c>
      <c r="G2181" s="554" t="n"/>
    </row>
    <row r="2182">
      <c r="A2182" s="535" t="n">
        <v>34590</v>
      </c>
      <c r="B2182" s="534" t="n">
        <v>11.15</v>
      </c>
      <c r="C2182" s="534" t="n">
        <v>9937.01</v>
      </c>
      <c r="E2182" s="535" t="n">
        <v>38408</v>
      </c>
      <c r="F2182" s="534" t="n">
        <v>3.9</v>
      </c>
      <c r="G2182" s="554" t="n"/>
    </row>
    <row r="2183">
      <c r="A2183" s="535" t="n">
        <v>34591</v>
      </c>
      <c r="B2183" s="534" t="n">
        <v>11.063</v>
      </c>
      <c r="C2183" s="534" t="n">
        <v>9846.4</v>
      </c>
      <c r="E2183" s="535" t="n">
        <v>38411</v>
      </c>
      <c r="F2183" s="534" t="n">
        <v>3.855</v>
      </c>
      <c r="G2183" s="554" t="n"/>
    </row>
    <row r="2184">
      <c r="A2184" s="535" t="n">
        <v>34592</v>
      </c>
      <c r="B2184" s="534" t="n">
        <v>11.02</v>
      </c>
      <c r="C2184" s="534" t="n">
        <v>9862.639999999999</v>
      </c>
      <c r="E2184" s="535" t="n">
        <v>38412</v>
      </c>
      <c r="F2184" s="534" t="n">
        <v>3.982</v>
      </c>
      <c r="G2184" s="554" t="n"/>
    </row>
    <row r="2185">
      <c r="A2185" s="535" t="n">
        <v>34593</v>
      </c>
      <c r="B2185" s="534" t="n">
        <v>11.281</v>
      </c>
      <c r="C2185" s="534" t="n">
        <v>9968.52</v>
      </c>
      <c r="E2185" s="535" t="n">
        <v>38413</v>
      </c>
      <c r="F2185" s="534" t="n">
        <v>4.081</v>
      </c>
      <c r="G2185" s="554" t="n"/>
    </row>
    <row r="2186">
      <c r="A2186" s="535" t="n">
        <v>34596</v>
      </c>
      <c r="B2186" s="534" t="n">
        <v>11.107</v>
      </c>
      <c r="C2186" s="534" t="n">
        <v>9801.43</v>
      </c>
      <c r="E2186" s="535" t="n">
        <v>38414</v>
      </c>
      <c r="F2186" s="534" t="n">
        <v>4.049</v>
      </c>
      <c r="G2186" s="554" t="n"/>
    </row>
    <row r="2187">
      <c r="A2187" s="535" t="n">
        <v>34597</v>
      </c>
      <c r="B2187" s="534" t="n">
        <v>11.15</v>
      </c>
      <c r="C2187" s="534" t="n">
        <v>9824.75</v>
      </c>
      <c r="E2187" s="535" t="n">
        <v>38415</v>
      </c>
      <c r="F2187" s="534" t="n">
        <v>4.115</v>
      </c>
      <c r="G2187" s="554" t="n"/>
    </row>
    <row r="2188">
      <c r="A2188" s="535" t="n">
        <v>34598</v>
      </c>
      <c r="B2188" s="534" t="n">
        <v>11.15</v>
      </c>
      <c r="C2188" s="534" t="n">
        <v>9824.75</v>
      </c>
      <c r="E2188" s="535" t="n">
        <v>38418</v>
      </c>
      <c r="F2188" s="534" t="n">
        <v>4.023</v>
      </c>
      <c r="G2188" s="554" t="n"/>
    </row>
    <row r="2189">
      <c r="A2189" s="535" t="n">
        <v>34599</v>
      </c>
      <c r="B2189" s="534" t="n">
        <v>10.976</v>
      </c>
      <c r="C2189" s="534" t="n">
        <v>9668.139999999999</v>
      </c>
      <c r="E2189" s="535" t="n">
        <v>38419</v>
      </c>
      <c r="F2189" s="534" t="n">
        <v>4.069</v>
      </c>
      <c r="G2189" s="554" t="n"/>
    </row>
    <row r="2190">
      <c r="A2190" s="535" t="n">
        <v>34600</v>
      </c>
      <c r="B2190" s="534" t="n">
        <v>10.976</v>
      </c>
      <c r="C2190" s="534" t="n">
        <v>9632.469999999999</v>
      </c>
      <c r="E2190" s="535" t="n">
        <v>38420</v>
      </c>
      <c r="F2190" s="534" t="n">
        <v>4.102</v>
      </c>
      <c r="G2190" s="554" t="n"/>
    </row>
    <row r="2191">
      <c r="A2191" s="535" t="n">
        <v>34603</v>
      </c>
      <c r="B2191" s="534" t="n">
        <v>10.976</v>
      </c>
      <c r="C2191" s="534" t="n">
        <v>9643.629999999999</v>
      </c>
      <c r="E2191" s="535" t="n">
        <v>38421</v>
      </c>
      <c r="F2191" s="534" t="n">
        <v>4.234</v>
      </c>
      <c r="G2191" s="554" t="n"/>
    </row>
    <row r="2192">
      <c r="A2192" s="535" t="n">
        <v>34604</v>
      </c>
      <c r="B2192" s="534" t="n">
        <v>10.976</v>
      </c>
      <c r="C2192" s="534" t="n">
        <v>9610.24</v>
      </c>
      <c r="E2192" s="535" t="n">
        <v>38422</v>
      </c>
      <c r="F2192" s="534" t="n">
        <v>4.193</v>
      </c>
      <c r="G2192" s="554" t="n"/>
    </row>
    <row r="2193">
      <c r="A2193" s="535" t="n">
        <v>34605</v>
      </c>
      <c r="B2193" s="534" t="n">
        <v>10.976</v>
      </c>
      <c r="C2193" s="534" t="n">
        <v>9693.49</v>
      </c>
      <c r="E2193" s="535" t="n">
        <v>38425</v>
      </c>
      <c r="F2193" s="534" t="n">
        <v>4.248</v>
      </c>
      <c r="G2193" s="554" t="n"/>
    </row>
    <row r="2194">
      <c r="A2194" s="535" t="n">
        <v>34606</v>
      </c>
      <c r="B2194" s="534" t="n">
        <v>10.845</v>
      </c>
      <c r="C2194" s="534" t="n">
        <v>9700.209999999999</v>
      </c>
      <c r="E2194" s="535" t="n">
        <v>38426</v>
      </c>
      <c r="F2194" s="534" t="n">
        <v>4.241</v>
      </c>
      <c r="G2194" s="554" t="n"/>
    </row>
    <row r="2195">
      <c r="A2195" s="535" t="n">
        <v>34607</v>
      </c>
      <c r="B2195" s="534" t="n">
        <v>10.671</v>
      </c>
      <c r="C2195" s="534" t="n">
        <v>9521.24</v>
      </c>
      <c r="E2195" s="535" t="n">
        <v>38427</v>
      </c>
      <c r="F2195" s="534" t="n">
        <v>4.28</v>
      </c>
      <c r="G2195" s="554" t="n"/>
    </row>
    <row r="2196">
      <c r="A2196" s="535" t="n">
        <v>34610</v>
      </c>
      <c r="B2196" s="534" t="n">
        <v>10.671</v>
      </c>
      <c r="C2196" s="534" t="n">
        <v>9492.49</v>
      </c>
      <c r="E2196" s="535" t="n">
        <v>38428</v>
      </c>
      <c r="F2196" s="534" t="n">
        <v>4.255</v>
      </c>
      <c r="G2196" s="554" t="n"/>
    </row>
    <row r="2197">
      <c r="A2197" s="535" t="n">
        <v>34611</v>
      </c>
      <c r="B2197" s="534" t="n">
        <v>10.671</v>
      </c>
      <c r="C2197" s="534" t="n">
        <v>9504.120000000001</v>
      </c>
      <c r="E2197" s="535" t="n">
        <v>38429</v>
      </c>
      <c r="F2197" s="534" t="n">
        <v>4.262</v>
      </c>
      <c r="G2197" s="554" t="n"/>
    </row>
    <row r="2198">
      <c r="A2198" s="535" t="n">
        <v>34612</v>
      </c>
      <c r="B2198" s="534" t="n">
        <v>10.497</v>
      </c>
      <c r="C2198" s="534" t="n">
        <v>9298.360000000001</v>
      </c>
      <c r="E2198" s="535" t="n">
        <v>38432</v>
      </c>
      <c r="F2198" s="534" t="n">
        <v>4.256</v>
      </c>
      <c r="G2198" s="554" t="n"/>
    </row>
    <row r="2199">
      <c r="A2199" s="535" t="n">
        <v>34613</v>
      </c>
      <c r="B2199" s="534" t="n">
        <v>10.54</v>
      </c>
      <c r="C2199" s="534" t="n">
        <v>9276.25</v>
      </c>
      <c r="E2199" s="535" t="n">
        <v>38433</v>
      </c>
      <c r="F2199" s="534" t="n">
        <v>4.272</v>
      </c>
      <c r="G2199" s="554" t="n"/>
    </row>
    <row r="2200">
      <c r="A2200" s="535" t="n">
        <v>34614</v>
      </c>
      <c r="B2200" s="534" t="n">
        <v>10.366</v>
      </c>
      <c r="C2200" s="534" t="n">
        <v>9284.879999999999</v>
      </c>
      <c r="E2200" s="535" t="n">
        <v>38434</v>
      </c>
      <c r="F2200" s="534" t="n">
        <v>4.398</v>
      </c>
      <c r="G2200" s="554" t="n"/>
    </row>
    <row r="2201">
      <c r="A2201" s="535" t="n">
        <v>34617</v>
      </c>
      <c r="B2201" s="534" t="n">
        <v>10.279</v>
      </c>
      <c r="C2201" s="534" t="n">
        <v>9248.4</v>
      </c>
      <c r="E2201" s="535" t="n">
        <v>38435</v>
      </c>
      <c r="F2201" s="534" t="n">
        <v>4.378</v>
      </c>
      <c r="G2201" s="554" t="n"/>
    </row>
    <row r="2202">
      <c r="A2202" s="535" t="n">
        <v>34618</v>
      </c>
      <c r="B2202" s="534" t="n">
        <v>10.148</v>
      </c>
      <c r="C2202" s="534" t="n">
        <v>9362.32</v>
      </c>
      <c r="E2202" s="535" t="n">
        <v>38436</v>
      </c>
      <c r="F2202" s="534" t="n">
        <v>4.378</v>
      </c>
      <c r="G2202" s="554" t="n"/>
    </row>
    <row r="2203">
      <c r="A2203" s="535" t="n">
        <v>34619</v>
      </c>
      <c r="B2203" s="534" t="n">
        <v>10.061</v>
      </c>
      <c r="C2203" s="534" t="n">
        <v>9532.35</v>
      </c>
      <c r="E2203" s="535" t="n">
        <v>38439</v>
      </c>
      <c r="F2203" s="534" t="n">
        <v>4.378</v>
      </c>
      <c r="G2203" s="554" t="n"/>
    </row>
    <row r="2204">
      <c r="A2204" s="535" t="n">
        <v>34620</v>
      </c>
      <c r="B2204" s="534" t="n">
        <v>10.061</v>
      </c>
      <c r="C2204" s="534" t="n">
        <v>9532.35</v>
      </c>
      <c r="E2204" s="535" t="n">
        <v>38440</v>
      </c>
      <c r="F2204" s="534" t="n">
        <v>4.429</v>
      </c>
      <c r="G2204" s="554" t="n"/>
    </row>
    <row r="2205">
      <c r="A2205" s="535" t="n">
        <v>34621</v>
      </c>
      <c r="B2205" s="534" t="n">
        <v>10.279</v>
      </c>
      <c r="C2205" s="534" t="n">
        <v>9550.93</v>
      </c>
      <c r="E2205" s="535" t="n">
        <v>38441</v>
      </c>
      <c r="F2205" s="534" t="n">
        <v>4.426</v>
      </c>
      <c r="G2205" s="554" t="n"/>
    </row>
    <row r="2206">
      <c r="A2206" s="535" t="n">
        <v>34624</v>
      </c>
      <c r="B2206" s="534" t="n">
        <v>10.192</v>
      </c>
      <c r="C2206" s="534" t="n">
        <v>9455.940000000001</v>
      </c>
      <c r="E2206" s="535" t="n">
        <v>38442</v>
      </c>
      <c r="F2206" s="534" t="n">
        <v>4.352</v>
      </c>
      <c r="G2206" s="554" t="n"/>
    </row>
    <row r="2207">
      <c r="A2207" s="535" t="n">
        <v>34625</v>
      </c>
      <c r="B2207" s="534" t="n">
        <v>10.105</v>
      </c>
      <c r="C2207" s="534" t="n">
        <v>9418.57</v>
      </c>
      <c r="E2207" s="535" t="n">
        <v>38443</v>
      </c>
      <c r="F2207" s="534" t="n">
        <v>4.285</v>
      </c>
      <c r="G2207" s="554" t="n"/>
    </row>
    <row r="2208">
      <c r="A2208" s="535" t="n">
        <v>34626</v>
      </c>
      <c r="B2208" s="534" t="n">
        <v>10.018</v>
      </c>
      <c r="C2208" s="534" t="n">
        <v>9320.059999999999</v>
      </c>
      <c r="E2208" s="535" t="n">
        <v>38446</v>
      </c>
      <c r="F2208" s="534" t="n">
        <v>4.306</v>
      </c>
      <c r="G2208" s="554" t="n"/>
    </row>
    <row r="2209">
      <c r="A2209" s="535" t="n">
        <v>34627</v>
      </c>
      <c r="B2209" s="534" t="n">
        <v>10.105</v>
      </c>
      <c r="C2209" s="534" t="n">
        <v>9388.780000000001</v>
      </c>
      <c r="E2209" s="535" t="n">
        <v>38447</v>
      </c>
      <c r="F2209" s="534" t="n">
        <v>4.306</v>
      </c>
      <c r="G2209" s="554" t="n"/>
    </row>
    <row r="2210">
      <c r="A2210" s="535" t="n">
        <v>34628</v>
      </c>
      <c r="B2210" s="534" t="n">
        <v>9.887</v>
      </c>
      <c r="C2210" s="534" t="n">
        <v>9338.59</v>
      </c>
      <c r="E2210" s="535" t="n">
        <v>38448</v>
      </c>
      <c r="F2210" s="534" t="n">
        <v>4.265</v>
      </c>
      <c r="G2210" s="554" t="n"/>
    </row>
    <row r="2211">
      <c r="A2211" s="535" t="n">
        <v>34631</v>
      </c>
      <c r="B2211" s="534" t="n">
        <v>9.930999999999999</v>
      </c>
      <c r="C2211" s="534" t="n">
        <v>9364.290000000001</v>
      </c>
      <c r="E2211" s="535" t="n">
        <v>38449</v>
      </c>
      <c r="F2211" s="534" t="n">
        <v>4.223</v>
      </c>
      <c r="G2211" s="554" t="n"/>
    </row>
    <row r="2212">
      <c r="A2212" s="535" t="n">
        <v>34632</v>
      </c>
      <c r="B2212" s="534" t="n">
        <v>9.800000000000001</v>
      </c>
      <c r="C2212" s="534" t="n">
        <v>9246.5</v>
      </c>
      <c r="E2212" s="535" t="n">
        <v>38450</v>
      </c>
      <c r="F2212" s="534" t="n">
        <v>4.273</v>
      </c>
      <c r="G2212" s="554" t="n"/>
    </row>
    <row r="2213">
      <c r="A2213" s="535" t="n">
        <v>34633</v>
      </c>
      <c r="B2213" s="534" t="n">
        <v>9.800000000000001</v>
      </c>
      <c r="C2213" s="534" t="n">
        <v>9252.440000000001</v>
      </c>
      <c r="E2213" s="535" t="n">
        <v>38453</v>
      </c>
      <c r="F2213" s="534" t="n">
        <v>4.226</v>
      </c>
      <c r="G2213" s="554" t="n"/>
    </row>
    <row r="2214">
      <c r="A2214" s="535" t="n">
        <v>34634</v>
      </c>
      <c r="B2214" s="534" t="n">
        <v>9.756</v>
      </c>
      <c r="C2214" s="534" t="n">
        <v>9304.58</v>
      </c>
      <c r="E2214" s="535" t="n">
        <v>38454</v>
      </c>
      <c r="F2214" s="534" t="n">
        <v>4.202</v>
      </c>
      <c r="G2214" s="554" t="n"/>
    </row>
    <row r="2215">
      <c r="A2215" s="535" t="n">
        <v>34635</v>
      </c>
      <c r="B2215" s="534" t="n">
        <v>9.843999999999999</v>
      </c>
      <c r="C2215" s="534" t="n">
        <v>9379.469999999999</v>
      </c>
      <c r="E2215" s="535" t="n">
        <v>38455</v>
      </c>
      <c r="F2215" s="534" t="n">
        <v>4.136</v>
      </c>
      <c r="G2215" s="554" t="n"/>
    </row>
    <row r="2216">
      <c r="A2216" s="535" t="n">
        <v>34638</v>
      </c>
      <c r="B2216" s="534" t="n">
        <v>9.974</v>
      </c>
      <c r="C2216" s="534" t="n">
        <v>9646.25</v>
      </c>
      <c r="E2216" s="535" t="n">
        <v>38456</v>
      </c>
      <c r="F2216" s="534" t="n">
        <v>4.101</v>
      </c>
      <c r="G2216" s="554" t="n"/>
    </row>
    <row r="2217">
      <c r="A2217" s="535" t="n">
        <v>34639</v>
      </c>
      <c r="B2217" s="534" t="n">
        <v>9.930999999999999</v>
      </c>
      <c r="C2217" s="534" t="n">
        <v>9573.4</v>
      </c>
      <c r="E2217" s="535" t="n">
        <v>38457</v>
      </c>
      <c r="F2217" s="534" t="n">
        <v>4.044</v>
      </c>
      <c r="G2217" s="554" t="n"/>
    </row>
    <row r="2218">
      <c r="A2218" s="535" t="n">
        <v>34640</v>
      </c>
      <c r="B2218" s="534" t="n">
        <v>10.018</v>
      </c>
      <c r="C2218" s="534" t="n">
        <v>9451.76</v>
      </c>
      <c r="E2218" s="535" t="n">
        <v>38460</v>
      </c>
      <c r="F2218" s="534" t="n">
        <v>3.894</v>
      </c>
      <c r="G2218" s="554" t="n"/>
    </row>
    <row r="2219">
      <c r="A2219" s="535" t="n">
        <v>34641</v>
      </c>
      <c r="B2219" s="534" t="n">
        <v>9.974</v>
      </c>
      <c r="C2219" s="534" t="n">
        <v>9491.959999999999</v>
      </c>
      <c r="E2219" s="535" t="n">
        <v>38461</v>
      </c>
      <c r="F2219" s="534" t="n">
        <v>3.828</v>
      </c>
      <c r="G2219" s="554" t="n"/>
    </row>
    <row r="2220">
      <c r="A2220" s="535" t="n">
        <v>34642</v>
      </c>
      <c r="B2220" s="534" t="n">
        <v>10.018</v>
      </c>
      <c r="C2220" s="534" t="n">
        <v>9530.4</v>
      </c>
      <c r="E2220" s="535" t="n">
        <v>38462</v>
      </c>
      <c r="F2220" s="534" t="n">
        <v>3.711</v>
      </c>
      <c r="G2220" s="554" t="n"/>
    </row>
    <row r="2221">
      <c r="A2221" s="535" t="n">
        <v>34645</v>
      </c>
      <c r="B2221" s="534" t="n">
        <v>9.843999999999999</v>
      </c>
      <c r="C2221" s="534" t="n">
        <v>9434.309999999999</v>
      </c>
      <c r="E2221" s="535" t="n">
        <v>38463</v>
      </c>
      <c r="F2221" s="534" t="n">
        <v>3.791</v>
      </c>
      <c r="G2221" s="554" t="n"/>
    </row>
    <row r="2222">
      <c r="A2222" s="535" t="n">
        <v>34646</v>
      </c>
      <c r="B2222" s="534" t="n">
        <v>9.712999999999999</v>
      </c>
      <c r="C2222" s="534" t="n">
        <v>9416.09</v>
      </c>
      <c r="E2222" s="535" t="n">
        <v>38464</v>
      </c>
      <c r="F2222" s="534" t="n">
        <v>3.778</v>
      </c>
      <c r="G2222" s="554" t="n"/>
    </row>
    <row r="2223">
      <c r="A2223" s="535" t="n">
        <v>34647</v>
      </c>
      <c r="B2223" s="534" t="n">
        <v>9.669</v>
      </c>
      <c r="C2223" s="534" t="n">
        <v>9405.48</v>
      </c>
      <c r="E2223" s="535" t="n">
        <v>38467</v>
      </c>
      <c r="F2223" s="534" t="n">
        <v>3.638</v>
      </c>
      <c r="G2223" s="554" t="n"/>
    </row>
    <row r="2224">
      <c r="A2224" s="535" t="n">
        <v>34648</v>
      </c>
      <c r="B2224" s="534" t="n">
        <v>9.669</v>
      </c>
      <c r="C2224" s="534" t="n">
        <v>9390.76</v>
      </c>
      <c r="E2224" s="535" t="n">
        <v>38468</v>
      </c>
      <c r="F2224" s="534" t="n">
        <v>3.682</v>
      </c>
      <c r="G2224" s="554" t="n"/>
    </row>
    <row r="2225">
      <c r="A2225" s="535" t="n">
        <v>34649</v>
      </c>
      <c r="B2225" s="534" t="n">
        <v>9.582000000000001</v>
      </c>
      <c r="C2225" s="534" t="n">
        <v>9367.85</v>
      </c>
      <c r="E2225" s="535" t="n">
        <v>38469</v>
      </c>
      <c r="F2225" s="534" t="n">
        <v>3.727</v>
      </c>
      <c r="G2225" s="554" t="n"/>
    </row>
    <row r="2226">
      <c r="A2226" s="535" t="n">
        <v>34652</v>
      </c>
      <c r="B2226" s="534" t="n">
        <v>9.582000000000001</v>
      </c>
      <c r="C2226" s="534" t="n">
        <v>9378.92</v>
      </c>
      <c r="E2226" s="535" t="n">
        <v>38470</v>
      </c>
      <c r="F2226" s="534" t="n">
        <v>3.676</v>
      </c>
      <c r="G2226" s="554" t="n"/>
    </row>
    <row r="2227">
      <c r="A2227" s="535" t="n">
        <v>34653</v>
      </c>
      <c r="B2227" s="534" t="n">
        <v>9.843999999999999</v>
      </c>
      <c r="C2227" s="534" t="n">
        <v>9565.66</v>
      </c>
      <c r="E2227" s="535" t="n">
        <v>38471</v>
      </c>
      <c r="F2227" s="534" t="n">
        <v>3.606</v>
      </c>
      <c r="G2227" s="554" t="n"/>
    </row>
    <row r="2228">
      <c r="A2228" s="535" t="n">
        <v>34654</v>
      </c>
      <c r="B2228" s="534" t="n">
        <v>9.800000000000001</v>
      </c>
      <c r="C2228" s="534" t="n">
        <v>9592.24</v>
      </c>
      <c r="E2228" s="535" t="n">
        <v>38474</v>
      </c>
      <c r="F2228" s="534" t="n">
        <v>3.606</v>
      </c>
      <c r="G2228" s="554" t="n"/>
    </row>
    <row r="2229">
      <c r="A2229" s="535" t="n">
        <v>34655</v>
      </c>
      <c r="B2229" s="534" t="n">
        <v>9.712999999999999</v>
      </c>
      <c r="C2229" s="534" t="n">
        <v>9518.280000000001</v>
      </c>
      <c r="E2229" s="535" t="n">
        <v>38475</v>
      </c>
      <c r="F2229" s="534" t="n">
        <v>3.625</v>
      </c>
      <c r="G2229" s="554" t="n"/>
    </row>
    <row r="2230">
      <c r="A2230" s="535" t="n">
        <v>34656</v>
      </c>
      <c r="B2230" s="534" t="n">
        <v>9.669</v>
      </c>
      <c r="C2230" s="534" t="n">
        <v>9427.440000000001</v>
      </c>
      <c r="E2230" s="535" t="n">
        <v>38476</v>
      </c>
      <c r="F2230" s="534" t="n">
        <v>3.575</v>
      </c>
      <c r="G2230" s="554" t="n"/>
    </row>
    <row r="2231">
      <c r="A2231" s="535" t="n">
        <v>34659</v>
      </c>
      <c r="B2231" s="534" t="n">
        <v>9.625999999999999</v>
      </c>
      <c r="C2231" s="534" t="n">
        <v>9303.24</v>
      </c>
      <c r="E2231" s="535" t="n">
        <v>38477</v>
      </c>
      <c r="F2231" s="534" t="n">
        <v>3.593</v>
      </c>
      <c r="G2231" s="554" t="n"/>
    </row>
    <row r="2232">
      <c r="A2232" s="535" t="n">
        <v>34660</v>
      </c>
      <c r="B2232" s="534" t="n">
        <v>9.321</v>
      </c>
      <c r="C2232" s="534" t="n">
        <v>8948.43</v>
      </c>
      <c r="E2232" s="535" t="n">
        <v>38478</v>
      </c>
      <c r="F2232" s="534" t="n">
        <v>3.581</v>
      </c>
      <c r="G2232" s="554" t="n"/>
    </row>
    <row r="2233">
      <c r="A2233" s="535" t="n">
        <v>34661</v>
      </c>
      <c r="B2233" s="534" t="n">
        <v>9.103</v>
      </c>
      <c r="C2233" s="534" t="n">
        <v>8576.030000000001</v>
      </c>
      <c r="E2233" s="535" t="n">
        <v>38481</v>
      </c>
      <c r="F2233" s="534" t="n">
        <v>3.727</v>
      </c>
      <c r="G2233" s="554" t="n"/>
    </row>
    <row r="2234">
      <c r="A2234" s="535" t="n">
        <v>34662</v>
      </c>
      <c r="B2234" s="534" t="n">
        <v>9.407999999999999</v>
      </c>
      <c r="C2234" s="534" t="n">
        <v>8647.860000000001</v>
      </c>
      <c r="E2234" s="535" t="n">
        <v>38482</v>
      </c>
      <c r="F2234" s="534" t="n">
        <v>3.818</v>
      </c>
      <c r="G2234" s="554" t="n"/>
    </row>
    <row r="2235">
      <c r="A2235" s="535" t="n">
        <v>34663</v>
      </c>
      <c r="B2235" s="534" t="n">
        <v>9.582000000000001</v>
      </c>
      <c r="C2235" s="534" t="n">
        <v>8658.83</v>
      </c>
      <c r="E2235" s="535" t="n">
        <v>38483</v>
      </c>
      <c r="F2235" s="534" t="n">
        <v>3.816</v>
      </c>
      <c r="G2235" s="554" t="n"/>
    </row>
    <row r="2236">
      <c r="A2236" s="535" t="n">
        <v>34666</v>
      </c>
      <c r="B2236" s="534" t="n">
        <v>9.582000000000001</v>
      </c>
      <c r="C2236" s="534" t="n">
        <v>8662.370000000001</v>
      </c>
      <c r="E2236" s="535" t="n">
        <v>38484</v>
      </c>
      <c r="F2236" s="534" t="n">
        <v>3.824</v>
      </c>
      <c r="G2236" s="554" t="n"/>
    </row>
    <row r="2237">
      <c r="A2237" s="535" t="n">
        <v>34667</v>
      </c>
      <c r="B2237" s="534" t="n">
        <v>9.625999999999999</v>
      </c>
      <c r="C2237" s="534" t="n">
        <v>8658.26</v>
      </c>
      <c r="E2237" s="535" t="n">
        <v>38485</v>
      </c>
      <c r="F2237" s="534" t="n">
        <v>3.825</v>
      </c>
      <c r="G2237" s="554" t="n"/>
    </row>
    <row r="2238">
      <c r="A2238" s="535" t="n">
        <v>34668</v>
      </c>
      <c r="B2238" s="534" t="n">
        <v>9.625999999999999</v>
      </c>
      <c r="C2238" s="534" t="n">
        <v>8466.26</v>
      </c>
      <c r="E2238" s="535" t="n">
        <v>38488</v>
      </c>
      <c r="F2238" s="534" t="n">
        <v>3.825</v>
      </c>
      <c r="G2238" s="554" t="n"/>
    </row>
    <row r="2239">
      <c r="A2239" s="535" t="n">
        <v>34669</v>
      </c>
      <c r="B2239" s="534" t="n">
        <v>9.800000000000001</v>
      </c>
      <c r="C2239" s="534" t="n">
        <v>8430.799999999999</v>
      </c>
      <c r="E2239" s="535" t="n">
        <v>38489</v>
      </c>
      <c r="F2239" s="534" t="n">
        <v>3.921</v>
      </c>
      <c r="G2239" s="554" t="n"/>
    </row>
    <row r="2240">
      <c r="A2240" s="535" t="n">
        <v>34670</v>
      </c>
      <c r="B2240" s="534" t="n">
        <v>9.582000000000001</v>
      </c>
      <c r="C2240" s="534" t="n">
        <v>8221.57</v>
      </c>
      <c r="E2240" s="535" t="n">
        <v>38490</v>
      </c>
      <c r="F2240" s="534" t="n">
        <v>3.873</v>
      </c>
      <c r="G2240" s="554" t="n"/>
    </row>
    <row r="2241">
      <c r="A2241" s="535" t="n">
        <v>34673</v>
      </c>
      <c r="B2241" s="534" t="n">
        <v>9.625999999999999</v>
      </c>
      <c r="C2241" s="534" t="n">
        <v>8302.530000000001</v>
      </c>
      <c r="E2241" s="535" t="n">
        <v>38491</v>
      </c>
      <c r="F2241" s="534" t="n">
        <v>3.949</v>
      </c>
      <c r="G2241" s="554" t="n"/>
    </row>
    <row r="2242">
      <c r="A2242" s="535" t="n">
        <v>34674</v>
      </c>
      <c r="B2242" s="534" t="n">
        <v>9.582000000000001</v>
      </c>
      <c r="C2242" s="534" t="n">
        <v>8332.65</v>
      </c>
      <c r="E2242" s="535" t="n">
        <v>38492</v>
      </c>
      <c r="F2242" s="534" t="n">
        <v>3.864</v>
      </c>
      <c r="G2242" s="554" t="n"/>
    </row>
    <row r="2243">
      <c r="A2243" s="535" t="n">
        <v>34675</v>
      </c>
      <c r="B2243" s="534" t="n">
        <v>9.582000000000001</v>
      </c>
      <c r="C2243" s="534" t="n">
        <v>8268.5</v>
      </c>
      <c r="E2243" s="535" t="n">
        <v>38495</v>
      </c>
      <c r="F2243" s="534" t="n">
        <v>3.819</v>
      </c>
      <c r="G2243" s="554" t="n"/>
    </row>
    <row r="2244">
      <c r="A2244" s="535" t="n">
        <v>34676</v>
      </c>
      <c r="B2244" s="534" t="n">
        <v>9.539</v>
      </c>
      <c r="C2244" s="534" t="n">
        <v>8068.31</v>
      </c>
      <c r="E2244" s="535" t="n">
        <v>38496</v>
      </c>
      <c r="F2244" s="534" t="n">
        <v>3.683</v>
      </c>
      <c r="G2244" s="554" t="n"/>
    </row>
    <row r="2245">
      <c r="A2245" s="535" t="n">
        <v>34677</v>
      </c>
      <c r="B2245" s="534" t="n">
        <v>9.06</v>
      </c>
      <c r="C2245" s="534" t="n">
        <v>7789.07</v>
      </c>
      <c r="E2245" s="535" t="n">
        <v>38497</v>
      </c>
      <c r="F2245" s="534" t="n">
        <v>3.626</v>
      </c>
      <c r="G2245" s="554" t="n"/>
    </row>
    <row r="2246">
      <c r="A2246" s="535" t="n">
        <v>34680</v>
      </c>
      <c r="B2246" s="534" t="n">
        <v>8.972</v>
      </c>
      <c r="C2246" s="534" t="n">
        <v>7707.78</v>
      </c>
      <c r="E2246" s="535" t="n">
        <v>38498</v>
      </c>
      <c r="F2246" s="534" t="n">
        <v>3.658</v>
      </c>
      <c r="G2246" s="554" t="n"/>
    </row>
    <row r="2247">
      <c r="A2247" s="535" t="n">
        <v>34681</v>
      </c>
      <c r="B2247" s="534" t="n">
        <v>9.06</v>
      </c>
      <c r="C2247" s="534" t="n">
        <v>7849.75</v>
      </c>
      <c r="E2247" s="535" t="n">
        <v>38499</v>
      </c>
      <c r="F2247" s="534" t="n">
        <v>3.617</v>
      </c>
      <c r="G2247" s="554" t="n"/>
    </row>
    <row r="2248">
      <c r="A2248" s="535" t="n">
        <v>34682</v>
      </c>
      <c r="B2248" s="534" t="n">
        <v>9.321</v>
      </c>
      <c r="C2248" s="534" t="n">
        <v>7997.35</v>
      </c>
      <c r="E2248" s="535" t="n">
        <v>38502</v>
      </c>
      <c r="F2248" s="534" t="n">
        <v>3.63</v>
      </c>
      <c r="G2248" s="554" t="n"/>
    </row>
    <row r="2249">
      <c r="A2249" s="535" t="n">
        <v>34683</v>
      </c>
      <c r="B2249" s="534" t="n">
        <v>9.539</v>
      </c>
      <c r="C2249" s="534" t="n">
        <v>8259.559999999999</v>
      </c>
      <c r="E2249" s="535" t="n">
        <v>38503</v>
      </c>
      <c r="F2249" s="534" t="n">
        <v>3.626</v>
      </c>
      <c r="G2249" s="554" t="n"/>
    </row>
    <row r="2250">
      <c r="A2250" s="535" t="n">
        <v>34684</v>
      </c>
      <c r="B2250" s="534" t="n">
        <v>9.494999999999999</v>
      </c>
      <c r="C2250" s="534" t="n">
        <v>8166.39</v>
      </c>
      <c r="E2250" s="535" t="n">
        <v>38504</v>
      </c>
      <c r="F2250" s="534" t="n">
        <v>3.613</v>
      </c>
      <c r="G2250" s="554" t="n"/>
    </row>
    <row r="2251">
      <c r="A2251" s="535" t="n">
        <v>34687</v>
      </c>
      <c r="B2251" s="534" t="n">
        <v>9.669</v>
      </c>
      <c r="C2251" s="534" t="n">
        <v>8178.34</v>
      </c>
      <c r="E2251" s="535" t="n">
        <v>38505</v>
      </c>
      <c r="F2251" s="534" t="n">
        <v>3.604</v>
      </c>
      <c r="G2251" s="554" t="n"/>
    </row>
    <row r="2252">
      <c r="A2252" s="535" t="n">
        <v>34688</v>
      </c>
      <c r="B2252" s="534" t="n">
        <v>9.582000000000001</v>
      </c>
      <c r="C2252" s="534" t="n">
        <v>8267.33</v>
      </c>
      <c r="E2252" s="535" t="n">
        <v>38506</v>
      </c>
      <c r="F2252" s="534" t="n">
        <v>3.583</v>
      </c>
      <c r="G2252" s="554" t="n"/>
    </row>
    <row r="2253">
      <c r="A2253" s="535" t="n">
        <v>34689</v>
      </c>
      <c r="B2253" s="534" t="n">
        <v>9.756</v>
      </c>
      <c r="C2253" s="534" t="n">
        <v>8331.559999999999</v>
      </c>
      <c r="E2253" s="535" t="n">
        <v>38509</v>
      </c>
      <c r="F2253" s="534" t="n">
        <v>3.601</v>
      </c>
      <c r="G2253" s="554" t="n"/>
    </row>
    <row r="2254">
      <c r="A2254" s="535" t="n">
        <v>34690</v>
      </c>
      <c r="B2254" s="534" t="n">
        <v>9.712999999999999</v>
      </c>
      <c r="C2254" s="534" t="n">
        <v>8412.66</v>
      </c>
      <c r="E2254" s="535" t="n">
        <v>38510</v>
      </c>
      <c r="F2254" s="534" t="n">
        <v>3.528</v>
      </c>
      <c r="G2254" s="554" t="n"/>
    </row>
    <row r="2255">
      <c r="A2255" s="535" t="n">
        <v>34691</v>
      </c>
      <c r="B2255" s="534" t="n">
        <v>9.539</v>
      </c>
      <c r="C2255" s="534" t="n">
        <v>8311.879999999999</v>
      </c>
      <c r="E2255" s="535" t="n">
        <v>38511</v>
      </c>
      <c r="F2255" s="534" t="n">
        <v>3.6</v>
      </c>
      <c r="G2255" s="554" t="n"/>
    </row>
    <row r="2256">
      <c r="A2256" s="535" t="n">
        <v>34694</v>
      </c>
      <c r="B2256" s="534" t="n">
        <v>9.539</v>
      </c>
      <c r="C2256" s="534" t="n">
        <v>8311.879999999999</v>
      </c>
      <c r="E2256" s="535" t="n">
        <v>38512</v>
      </c>
      <c r="F2256" s="534" t="n">
        <v>3.524</v>
      </c>
      <c r="G2256" s="554" t="n"/>
    </row>
    <row r="2257">
      <c r="A2257" s="535" t="n">
        <v>34695</v>
      </c>
      <c r="B2257" s="534" t="n">
        <v>9.539</v>
      </c>
      <c r="C2257" s="534" t="n">
        <v>8311.879999999999</v>
      </c>
      <c r="E2257" s="535" t="n">
        <v>38513</v>
      </c>
      <c r="F2257" s="534" t="n">
        <v>3.543</v>
      </c>
      <c r="G2257" s="554" t="n"/>
    </row>
    <row r="2258">
      <c r="A2258" s="535" t="n">
        <v>34696</v>
      </c>
      <c r="B2258" s="534" t="n">
        <v>9.669</v>
      </c>
      <c r="C2258" s="534" t="n">
        <v>8268.219999999999</v>
      </c>
      <c r="E2258" s="535" t="n">
        <v>38516</v>
      </c>
      <c r="F2258" s="534" t="n">
        <v>3.573</v>
      </c>
      <c r="G2258" s="554" t="n"/>
    </row>
    <row r="2259">
      <c r="A2259" s="535" t="n">
        <v>34697</v>
      </c>
      <c r="B2259" s="534" t="n">
        <v>9.539</v>
      </c>
      <c r="C2259" s="534" t="n">
        <v>8196.02</v>
      </c>
      <c r="E2259" s="535" t="n">
        <v>38517</v>
      </c>
      <c r="F2259" s="534" t="n">
        <v>3.585</v>
      </c>
      <c r="G2259" s="554" t="n"/>
    </row>
    <row r="2260">
      <c r="A2260" s="535" t="n">
        <v>34698</v>
      </c>
      <c r="B2260" s="534" t="n">
        <v>9.800000000000001</v>
      </c>
      <c r="C2260" s="534" t="n">
        <v>8191.04</v>
      </c>
      <c r="E2260" s="535" t="n">
        <v>38518</v>
      </c>
      <c r="F2260" s="534" t="n">
        <v>3.631</v>
      </c>
      <c r="G2260" s="554" t="n"/>
    </row>
    <row r="2261">
      <c r="A2261" s="535" t="n">
        <v>34701</v>
      </c>
      <c r="B2261" s="534" t="n">
        <v>9.800000000000001</v>
      </c>
      <c r="C2261" s="534" t="n">
        <v>8191.04</v>
      </c>
      <c r="E2261" s="535" t="n">
        <v>38519</v>
      </c>
      <c r="F2261" s="534" t="n">
        <v>3.617</v>
      </c>
      <c r="G2261" s="554" t="n"/>
    </row>
    <row r="2262">
      <c r="A2262" s="535" t="n">
        <v>34702</v>
      </c>
      <c r="B2262" s="534" t="n">
        <v>9.103</v>
      </c>
      <c r="C2262" s="534" t="n">
        <v>7844.14</v>
      </c>
      <c r="E2262" s="535" t="n">
        <v>38520</v>
      </c>
      <c r="F2262" s="534" t="n">
        <v>3.575</v>
      </c>
      <c r="G2262" s="554" t="n"/>
    </row>
    <row r="2263">
      <c r="A2263" s="535" t="n">
        <v>34703</v>
      </c>
      <c r="B2263" s="534" t="n">
        <v>9.407999999999999</v>
      </c>
      <c r="C2263" s="534" t="n">
        <v>7887.01</v>
      </c>
      <c r="E2263" s="535" t="n">
        <v>38523</v>
      </c>
      <c r="F2263" s="534" t="n">
        <v>3.587</v>
      </c>
      <c r="G2263" s="554" t="n"/>
    </row>
    <row r="2264">
      <c r="A2264" s="535" t="n">
        <v>34704</v>
      </c>
      <c r="B2264" s="534" t="n">
        <v>9.669</v>
      </c>
      <c r="C2264" s="534" t="n">
        <v>7918.38</v>
      </c>
      <c r="E2264" s="535" t="n">
        <v>38524</v>
      </c>
      <c r="F2264" s="534" t="n">
        <v>3.636</v>
      </c>
      <c r="G2264" s="554" t="n"/>
    </row>
    <row r="2265">
      <c r="A2265" s="535" t="n">
        <v>34705</v>
      </c>
      <c r="B2265" s="534" t="n">
        <v>9.625999999999999</v>
      </c>
      <c r="C2265" s="534" t="n">
        <v>7683.25</v>
      </c>
      <c r="E2265" s="535" t="n">
        <v>38525</v>
      </c>
      <c r="F2265" s="534" t="n">
        <v>3.578</v>
      </c>
      <c r="G2265" s="554" t="n"/>
    </row>
    <row r="2266">
      <c r="A2266" s="535" t="n">
        <v>34708</v>
      </c>
      <c r="B2266" s="534" t="n">
        <v>9.539</v>
      </c>
      <c r="C2266" s="534" t="n">
        <v>7528.88</v>
      </c>
      <c r="E2266" s="535" t="n">
        <v>38526</v>
      </c>
      <c r="F2266" s="534" t="n">
        <v>3.525</v>
      </c>
      <c r="G2266" s="554" t="n"/>
    </row>
    <row r="2267">
      <c r="A2267" s="535" t="n">
        <v>34709</v>
      </c>
      <c r="B2267" s="534" t="n">
        <v>9.494999999999999</v>
      </c>
      <c r="C2267" s="534" t="n">
        <v>7541.72</v>
      </c>
      <c r="E2267" s="535" t="n">
        <v>38527</v>
      </c>
      <c r="F2267" s="534" t="n">
        <v>3.532</v>
      </c>
      <c r="G2267" s="554" t="n"/>
    </row>
    <row r="2268">
      <c r="A2268" s="535" t="n">
        <v>34710</v>
      </c>
      <c r="B2268" s="534" t="n">
        <v>9.407999999999999</v>
      </c>
      <c r="C2268" s="534" t="n">
        <v>7392.75</v>
      </c>
      <c r="E2268" s="535" t="n">
        <v>38530</v>
      </c>
      <c r="F2268" s="534" t="n">
        <v>3.397</v>
      </c>
      <c r="G2268" s="554" t="n"/>
    </row>
    <row r="2269">
      <c r="A2269" s="535" t="n">
        <v>34711</v>
      </c>
      <c r="B2269" s="534" t="n">
        <v>9.321</v>
      </c>
      <c r="C2269" s="534" t="n">
        <v>7418.05</v>
      </c>
      <c r="E2269" s="535" t="n">
        <v>38531</v>
      </c>
      <c r="F2269" s="534" t="n">
        <v>3.587</v>
      </c>
      <c r="G2269" s="554" t="n"/>
    </row>
    <row r="2270">
      <c r="A2270" s="535" t="n">
        <v>34712</v>
      </c>
      <c r="B2270" s="534" t="n">
        <v>9.321</v>
      </c>
      <c r="C2270" s="534" t="n">
        <v>7252.34</v>
      </c>
      <c r="E2270" s="535" t="n">
        <v>38532</v>
      </c>
      <c r="F2270" s="534" t="n">
        <v>3.575</v>
      </c>
      <c r="G2270" s="554" t="n"/>
    </row>
    <row r="2271">
      <c r="A2271" s="535" t="n">
        <v>34715</v>
      </c>
      <c r="B2271" s="534" t="n">
        <v>9.494999999999999</v>
      </c>
      <c r="C2271" s="534" t="n">
        <v>7504.24</v>
      </c>
      <c r="E2271" s="535" t="n">
        <v>38533</v>
      </c>
      <c r="F2271" s="534" t="n">
        <v>3.571</v>
      </c>
      <c r="G2271" s="554" t="n"/>
    </row>
    <row r="2272">
      <c r="A2272" s="535" t="n">
        <v>34716</v>
      </c>
      <c r="B2272" s="534" t="n">
        <v>9.582000000000001</v>
      </c>
      <c r="C2272" s="534" t="n">
        <v>7606.51</v>
      </c>
      <c r="E2272" s="535" t="n">
        <v>38534</v>
      </c>
      <c r="F2272" s="534" t="n">
        <v>3.571</v>
      </c>
      <c r="G2272" s="554" t="n"/>
    </row>
    <row r="2273">
      <c r="A2273" s="535" t="n">
        <v>34717</v>
      </c>
      <c r="B2273" s="534" t="n">
        <v>9.539</v>
      </c>
      <c r="C2273" s="534" t="n">
        <v>7630.2</v>
      </c>
      <c r="E2273" s="535" t="n">
        <v>38537</v>
      </c>
      <c r="F2273" s="534" t="n">
        <v>3.622</v>
      </c>
      <c r="G2273" s="554" t="n"/>
    </row>
    <row r="2274">
      <c r="A2274" s="535" t="n">
        <v>34718</v>
      </c>
      <c r="B2274" s="534" t="n">
        <v>9.321</v>
      </c>
      <c r="C2274" s="534" t="n">
        <v>7422</v>
      </c>
      <c r="E2274" s="535" t="n">
        <v>38538</v>
      </c>
      <c r="F2274" s="534" t="n">
        <v>3.655</v>
      </c>
      <c r="G2274" s="554" t="n"/>
    </row>
    <row r="2275">
      <c r="A2275" s="535" t="n">
        <v>34719</v>
      </c>
      <c r="B2275" s="534" t="n">
        <v>9.19</v>
      </c>
      <c r="C2275" s="534" t="n">
        <v>7278.1</v>
      </c>
      <c r="E2275" s="535" t="n">
        <v>38539</v>
      </c>
      <c r="F2275" s="534" t="n">
        <v>3.636</v>
      </c>
      <c r="G2275" s="554" t="n"/>
    </row>
    <row r="2276">
      <c r="A2276" s="535" t="n">
        <v>34722</v>
      </c>
      <c r="B2276" s="534" t="n">
        <v>8.972</v>
      </c>
      <c r="C2276" s="534" t="n">
        <v>6967.93</v>
      </c>
      <c r="E2276" s="535" t="n">
        <v>38540</v>
      </c>
      <c r="F2276" s="534" t="n">
        <v>3.618</v>
      </c>
      <c r="G2276" s="554" t="n"/>
    </row>
    <row r="2277">
      <c r="A2277" s="535" t="n">
        <v>34723</v>
      </c>
      <c r="B2277" s="534" t="n">
        <v>8.972</v>
      </c>
      <c r="C2277" s="534" t="n">
        <v>7022.9</v>
      </c>
      <c r="E2277" s="535" t="n">
        <v>38541</v>
      </c>
      <c r="F2277" s="534" t="n">
        <v>3.593</v>
      </c>
      <c r="G2277" s="554" t="n"/>
    </row>
    <row r="2278">
      <c r="A2278" s="535" t="n">
        <v>34724</v>
      </c>
      <c r="B2278" s="534" t="n">
        <v>9.06</v>
      </c>
      <c r="C2278" s="534" t="n">
        <v>7240.72</v>
      </c>
      <c r="E2278" s="535" t="n">
        <v>38544</v>
      </c>
      <c r="F2278" s="534" t="n">
        <v>3.583</v>
      </c>
      <c r="G2278" s="554" t="n"/>
    </row>
    <row r="2279">
      <c r="A2279" s="535" t="n">
        <v>34725</v>
      </c>
      <c r="B2279" s="534" t="n">
        <v>8.972</v>
      </c>
      <c r="C2279" s="534" t="n">
        <v>7310.53</v>
      </c>
      <c r="E2279" s="535" t="n">
        <v>38545</v>
      </c>
      <c r="F2279" s="534" t="n">
        <v>3.575</v>
      </c>
      <c r="G2279" s="554" t="n"/>
    </row>
    <row r="2280">
      <c r="A2280" s="535" t="n">
        <v>34726</v>
      </c>
      <c r="B2280" s="534" t="n">
        <v>9.016</v>
      </c>
      <c r="C2280" s="534" t="n">
        <v>7297.12</v>
      </c>
      <c r="E2280" s="535" t="n">
        <v>38546</v>
      </c>
      <c r="F2280" s="534" t="n">
        <v>3.661</v>
      </c>
      <c r="G2280" s="554" t="n"/>
    </row>
    <row r="2281">
      <c r="A2281" s="535" t="n">
        <v>34729</v>
      </c>
      <c r="B2281" s="534" t="n">
        <v>9.016</v>
      </c>
      <c r="C2281" s="534" t="n">
        <v>7342.65</v>
      </c>
      <c r="E2281" s="535" t="n">
        <v>38547</v>
      </c>
      <c r="F2281" s="534" t="n">
        <v>3.698</v>
      </c>
      <c r="G2281" s="554" t="n"/>
    </row>
    <row r="2282">
      <c r="A2282" s="535" t="n">
        <v>34730</v>
      </c>
      <c r="B2282" s="534" t="n">
        <v>9.016</v>
      </c>
      <c r="C2282" s="534" t="n">
        <v>7342.65</v>
      </c>
      <c r="E2282" s="535" t="n">
        <v>38548</v>
      </c>
      <c r="F2282" s="534" t="n">
        <v>3.686</v>
      </c>
      <c r="G2282" s="554" t="n"/>
    </row>
    <row r="2283">
      <c r="A2283" s="535" t="n">
        <v>34731</v>
      </c>
      <c r="B2283" s="534" t="n">
        <v>9.016</v>
      </c>
      <c r="C2283" s="534" t="n">
        <v>7342.65</v>
      </c>
      <c r="E2283" s="535" t="n">
        <v>38551</v>
      </c>
      <c r="F2283" s="534" t="n">
        <v>3.704</v>
      </c>
      <c r="G2283" s="554" t="n"/>
    </row>
    <row r="2284">
      <c r="A2284" s="535" t="n">
        <v>34732</v>
      </c>
      <c r="B2284" s="534" t="n">
        <v>9.016</v>
      </c>
      <c r="C2284" s="534" t="n">
        <v>7342.65</v>
      </c>
      <c r="E2284" s="535" t="n">
        <v>38552</v>
      </c>
      <c r="F2284" s="534" t="n">
        <v>3.756</v>
      </c>
      <c r="G2284" s="554" t="n"/>
    </row>
    <row r="2285">
      <c r="A2285" s="535" t="n">
        <v>34733</v>
      </c>
      <c r="B2285" s="534" t="n">
        <v>9.276999999999999</v>
      </c>
      <c r="C2285" s="534" t="n">
        <v>7478.92</v>
      </c>
      <c r="E2285" s="535" t="n">
        <v>38553</v>
      </c>
      <c r="F2285" s="534" t="n">
        <v>3.748</v>
      </c>
      <c r="G2285" s="554" t="n"/>
    </row>
    <row r="2286">
      <c r="A2286" s="535" t="n">
        <v>34736</v>
      </c>
      <c r="B2286" s="534" t="n">
        <v>9.669</v>
      </c>
      <c r="C2286" s="534" t="n">
        <v>7897.8</v>
      </c>
      <c r="E2286" s="535" t="n">
        <v>38554</v>
      </c>
      <c r="F2286" s="534" t="n">
        <v>3.722</v>
      </c>
      <c r="G2286" s="554" t="n"/>
    </row>
    <row r="2287">
      <c r="A2287" s="535" t="n">
        <v>34737</v>
      </c>
      <c r="B2287" s="534" t="n">
        <v>9.887</v>
      </c>
      <c r="C2287" s="534" t="n">
        <v>8004.01</v>
      </c>
      <c r="E2287" s="535" t="n">
        <v>38555</v>
      </c>
      <c r="F2287" s="534" t="n">
        <v>3.773</v>
      </c>
      <c r="G2287" s="554" t="n"/>
    </row>
    <row r="2288">
      <c r="A2288" s="535" t="n">
        <v>34738</v>
      </c>
      <c r="B2288" s="534" t="n">
        <v>9.887</v>
      </c>
      <c r="C2288" s="534" t="n">
        <v>7934.83</v>
      </c>
      <c r="E2288" s="535" t="n">
        <v>38558</v>
      </c>
      <c r="F2288" s="534" t="n">
        <v>3.78</v>
      </c>
      <c r="G2288" s="554" t="n"/>
    </row>
    <row r="2289">
      <c r="A2289" s="535" t="n">
        <v>34739</v>
      </c>
      <c r="B2289" s="534" t="n">
        <v>10.192</v>
      </c>
      <c r="C2289" s="534" t="n">
        <v>8054.88</v>
      </c>
      <c r="E2289" s="535" t="n">
        <v>38559</v>
      </c>
      <c r="F2289" s="534" t="n">
        <v>3.824</v>
      </c>
      <c r="G2289" s="554" t="n"/>
    </row>
    <row r="2290">
      <c r="A2290" s="535" t="n">
        <v>34740</v>
      </c>
      <c r="B2290" s="534" t="n">
        <v>10.279</v>
      </c>
      <c r="C2290" s="534" t="n">
        <v>8012.82</v>
      </c>
      <c r="E2290" s="535" t="n">
        <v>38560</v>
      </c>
      <c r="F2290" s="534" t="n">
        <v>3.828</v>
      </c>
      <c r="G2290" s="554" t="n"/>
    </row>
    <row r="2291">
      <c r="A2291" s="535" t="n">
        <v>34743</v>
      </c>
      <c r="B2291" s="534" t="n">
        <v>10.279</v>
      </c>
      <c r="C2291" s="534" t="n">
        <v>7974.82</v>
      </c>
      <c r="E2291" s="535" t="n">
        <v>38561</v>
      </c>
      <c r="F2291" s="534" t="n">
        <v>3.849</v>
      </c>
      <c r="G2291" s="554" t="n"/>
    </row>
    <row r="2292">
      <c r="A2292" s="535" t="n">
        <v>34744</v>
      </c>
      <c r="B2292" s="534" t="n">
        <v>10.366</v>
      </c>
      <c r="C2292" s="534" t="n">
        <v>7862.67</v>
      </c>
      <c r="E2292" s="535" t="n">
        <v>38562</v>
      </c>
      <c r="F2292" s="534" t="n">
        <v>3.799</v>
      </c>
      <c r="G2292" s="554" t="n"/>
    </row>
    <row r="2293">
      <c r="A2293" s="535" t="n">
        <v>34745</v>
      </c>
      <c r="B2293" s="534" t="n">
        <v>10.802</v>
      </c>
      <c r="C2293" s="534" t="n">
        <v>8103.14</v>
      </c>
      <c r="E2293" s="535" t="n">
        <v>38565</v>
      </c>
      <c r="F2293" s="534" t="n">
        <v>3.896</v>
      </c>
      <c r="G2293" s="554" t="n"/>
    </row>
    <row r="2294">
      <c r="A2294" s="535" t="n">
        <v>34746</v>
      </c>
      <c r="B2294" s="534" t="n">
        <v>11.063</v>
      </c>
      <c r="C2294" s="534" t="n">
        <v>8133.34</v>
      </c>
      <c r="E2294" s="535" t="n">
        <v>38566</v>
      </c>
      <c r="F2294" s="534" t="n">
        <v>3.932</v>
      </c>
      <c r="G2294" s="554" t="n"/>
    </row>
    <row r="2295">
      <c r="A2295" s="535" t="n">
        <v>34747</v>
      </c>
      <c r="B2295" s="534" t="n">
        <v>10.715</v>
      </c>
      <c r="C2295" s="534" t="n">
        <v>8043.01</v>
      </c>
      <c r="E2295" s="535" t="n">
        <v>38567</v>
      </c>
      <c r="F2295" s="534" t="n">
        <v>3.995</v>
      </c>
      <c r="G2295" s="554" t="n"/>
    </row>
    <row r="2296">
      <c r="A2296" s="535" t="n">
        <v>34750</v>
      </c>
      <c r="B2296" s="534" t="n">
        <v>10.497</v>
      </c>
      <c r="C2296" s="534" t="n">
        <v>7906.74</v>
      </c>
      <c r="E2296" s="535" t="n">
        <v>38568</v>
      </c>
      <c r="F2296" s="534" t="n">
        <v>3.875</v>
      </c>
      <c r="G2296" s="554" t="n"/>
    </row>
    <row r="2297">
      <c r="A2297" s="535" t="n">
        <v>34751</v>
      </c>
      <c r="B2297" s="534" t="n">
        <v>10.584</v>
      </c>
      <c r="C2297" s="534" t="n">
        <v>8082.29</v>
      </c>
      <c r="E2297" s="535" t="n">
        <v>38569</v>
      </c>
      <c r="F2297" s="534" t="n">
        <v>4.061</v>
      </c>
      <c r="G2297" s="554" t="n"/>
    </row>
    <row r="2298">
      <c r="A2298" s="535" t="n">
        <v>34752</v>
      </c>
      <c r="B2298" s="534" t="n">
        <v>10.236</v>
      </c>
      <c r="C2298" s="534" t="n">
        <v>7909.27</v>
      </c>
      <c r="E2298" s="535" t="n">
        <v>38572</v>
      </c>
      <c r="F2298" s="534" t="n">
        <v>4.165</v>
      </c>
      <c r="G2298" s="554" t="n"/>
    </row>
    <row r="2299">
      <c r="A2299" s="535" t="n">
        <v>34753</v>
      </c>
      <c r="B2299" s="534" t="n">
        <v>10.584</v>
      </c>
      <c r="C2299" s="534" t="n">
        <v>7976.41</v>
      </c>
      <c r="E2299" s="535" t="n">
        <v>38573</v>
      </c>
      <c r="F2299" s="534" t="n">
        <v>4.205</v>
      </c>
      <c r="G2299" s="554" t="n"/>
    </row>
    <row r="2300">
      <c r="A2300" s="535" t="n">
        <v>34754</v>
      </c>
      <c r="B2300" s="534" t="n">
        <v>11.02</v>
      </c>
      <c r="C2300" s="534" t="n">
        <v>8218.950000000001</v>
      </c>
      <c r="E2300" s="535" t="n">
        <v>38574</v>
      </c>
      <c r="F2300" s="534" t="n">
        <v>4.162</v>
      </c>
      <c r="G2300" s="554" t="n"/>
    </row>
    <row r="2301">
      <c r="A2301" s="535" t="n">
        <v>34757</v>
      </c>
      <c r="B2301" s="534" t="n">
        <v>10.671</v>
      </c>
      <c r="C2301" s="534" t="n">
        <v>8126.65</v>
      </c>
      <c r="E2301" s="535" t="n">
        <v>38575</v>
      </c>
      <c r="F2301" s="534" t="n">
        <v>4.149</v>
      </c>
      <c r="G2301" s="554" t="n"/>
    </row>
    <row r="2302">
      <c r="A2302" s="535" t="n">
        <v>34758</v>
      </c>
      <c r="B2302" s="534" t="n">
        <v>10.889</v>
      </c>
      <c r="C2302" s="534" t="n">
        <v>8327.52</v>
      </c>
      <c r="E2302" s="535" t="n">
        <v>38576</v>
      </c>
      <c r="F2302" s="534" t="n">
        <v>4.088</v>
      </c>
      <c r="G2302" s="554" t="n"/>
    </row>
    <row r="2303">
      <c r="A2303" s="535" t="n">
        <v>34759</v>
      </c>
      <c r="B2303" s="534" t="n">
        <v>10.802</v>
      </c>
      <c r="C2303" s="534" t="n">
        <v>8296.959999999999</v>
      </c>
      <c r="E2303" s="535" t="n">
        <v>38579</v>
      </c>
      <c r="F2303" s="534" t="n">
        <v>4.036</v>
      </c>
      <c r="G2303" s="554" t="n"/>
    </row>
    <row r="2304">
      <c r="A2304" s="535" t="n">
        <v>34760</v>
      </c>
      <c r="B2304" s="534" t="n">
        <v>10.715</v>
      </c>
      <c r="C2304" s="534" t="n">
        <v>8253.33</v>
      </c>
      <c r="E2304" s="535" t="n">
        <v>38580</v>
      </c>
      <c r="F2304" s="534" t="n">
        <v>4.069</v>
      </c>
      <c r="G2304" s="554" t="n"/>
    </row>
    <row r="2305">
      <c r="A2305" s="535" t="n">
        <v>34761</v>
      </c>
      <c r="B2305" s="534" t="n">
        <v>10.758</v>
      </c>
      <c r="C2305" s="534" t="n">
        <v>8185.15</v>
      </c>
      <c r="E2305" s="535" t="n">
        <v>38581</v>
      </c>
      <c r="F2305" s="534" t="n">
        <v>4.04</v>
      </c>
      <c r="G2305" s="554" t="n"/>
    </row>
    <row r="2306">
      <c r="A2306" s="535" t="n">
        <v>34764</v>
      </c>
      <c r="B2306" s="534" t="n">
        <v>10.715</v>
      </c>
      <c r="C2306" s="534" t="n">
        <v>8093.91</v>
      </c>
      <c r="E2306" s="535" t="n">
        <v>38582</v>
      </c>
      <c r="F2306" s="534" t="n">
        <v>4.107</v>
      </c>
      <c r="G2306" s="554" t="n"/>
    </row>
    <row r="2307">
      <c r="A2307" s="535" t="n">
        <v>34765</v>
      </c>
      <c r="B2307" s="534" t="n">
        <v>10.845</v>
      </c>
      <c r="C2307" s="534" t="n">
        <v>8138.66</v>
      </c>
      <c r="E2307" s="535" t="n">
        <v>38583</v>
      </c>
      <c r="F2307" s="534" t="n">
        <v>4.05</v>
      </c>
      <c r="G2307" s="554" t="n"/>
    </row>
    <row r="2308">
      <c r="A2308" s="535" t="n">
        <v>34766</v>
      </c>
      <c r="B2308" s="534" t="n">
        <v>10.453</v>
      </c>
      <c r="C2308" s="534" t="n">
        <v>7929.99</v>
      </c>
      <c r="E2308" s="535" t="n">
        <v>38586</v>
      </c>
      <c r="F2308" s="534" t="n">
        <v>4.106</v>
      </c>
      <c r="G2308" s="554" t="n"/>
    </row>
    <row r="2309">
      <c r="A2309" s="535" t="n">
        <v>34767</v>
      </c>
      <c r="B2309" s="534" t="n">
        <v>10.671</v>
      </c>
      <c r="C2309" s="534" t="n">
        <v>8076.79</v>
      </c>
      <c r="E2309" s="535" t="n">
        <v>38587</v>
      </c>
      <c r="F2309" s="534" t="n">
        <v>4.114</v>
      </c>
      <c r="G2309" s="554" t="n"/>
    </row>
    <row r="2310">
      <c r="A2310" s="535" t="n">
        <v>34768</v>
      </c>
      <c r="B2310" s="534" t="n">
        <v>10.715</v>
      </c>
      <c r="C2310" s="534" t="n">
        <v>7949.39</v>
      </c>
      <c r="E2310" s="535" t="n">
        <v>38588</v>
      </c>
      <c r="F2310" s="534" t="n">
        <v>4.187</v>
      </c>
      <c r="G2310" s="554" t="n"/>
    </row>
    <row r="2311">
      <c r="A2311" s="535" t="n">
        <v>34771</v>
      </c>
      <c r="B2311" s="534" t="n">
        <v>10.889</v>
      </c>
      <c r="C2311" s="534" t="n">
        <v>8111.27</v>
      </c>
      <c r="E2311" s="535" t="n">
        <v>38589</v>
      </c>
      <c r="F2311" s="534" t="n">
        <v>4.207</v>
      </c>
      <c r="G2311" s="554" t="n"/>
    </row>
    <row r="2312">
      <c r="A2312" s="535" t="n">
        <v>34772</v>
      </c>
      <c r="B2312" s="534" t="n">
        <v>10.628</v>
      </c>
      <c r="C2312" s="534" t="n">
        <v>8094.58</v>
      </c>
      <c r="E2312" s="535" t="n">
        <v>38590</v>
      </c>
      <c r="F2312" s="534" t="n">
        <v>4.133</v>
      </c>
      <c r="G2312" s="554" t="n"/>
    </row>
    <row r="2313">
      <c r="A2313" s="535" t="n">
        <v>34773</v>
      </c>
      <c r="B2313" s="534" t="n">
        <v>10.802</v>
      </c>
      <c r="C2313" s="534" t="n">
        <v>8365.209999999999</v>
      </c>
      <c r="E2313" s="535" t="n">
        <v>38593</v>
      </c>
      <c r="F2313" s="534" t="n">
        <v>4.129</v>
      </c>
      <c r="G2313" s="554" t="n"/>
    </row>
    <row r="2314">
      <c r="A2314" s="535" t="n">
        <v>34774</v>
      </c>
      <c r="B2314" s="534" t="n">
        <v>10.802</v>
      </c>
      <c r="C2314" s="534" t="n">
        <v>8347.75</v>
      </c>
      <c r="E2314" s="535" t="n">
        <v>38594</v>
      </c>
      <c r="F2314" s="534" t="n">
        <v>4.145</v>
      </c>
      <c r="G2314" s="554" t="n"/>
    </row>
    <row r="2315">
      <c r="A2315" s="535" t="n">
        <v>34775</v>
      </c>
      <c r="B2315" s="534" t="n">
        <v>10.758</v>
      </c>
      <c r="C2315" s="534" t="n">
        <v>8534.709999999999</v>
      </c>
      <c r="E2315" s="535" t="n">
        <v>38595</v>
      </c>
      <c r="F2315" s="534" t="n">
        <v>4.077</v>
      </c>
      <c r="G2315" s="554" t="n"/>
    </row>
    <row r="2316">
      <c r="A2316" s="535" t="n">
        <v>34778</v>
      </c>
      <c r="B2316" s="534" t="n">
        <v>10.715</v>
      </c>
      <c r="C2316" s="534" t="n">
        <v>8594.43</v>
      </c>
      <c r="E2316" s="535" t="n">
        <v>38596</v>
      </c>
      <c r="F2316" s="534" t="n">
        <v>4.038</v>
      </c>
      <c r="G2316" s="554" t="n"/>
    </row>
    <row r="2317">
      <c r="A2317" s="535" t="n">
        <v>34779</v>
      </c>
      <c r="B2317" s="534" t="n">
        <v>10.54</v>
      </c>
      <c r="C2317" s="534" t="n">
        <v>8580.309999999999</v>
      </c>
      <c r="E2317" s="535" t="n">
        <v>38597</v>
      </c>
      <c r="F2317" s="534" t="n">
        <v>3.974</v>
      </c>
      <c r="G2317" s="554" t="n"/>
    </row>
    <row r="2318">
      <c r="A2318" s="535" t="n">
        <v>34780</v>
      </c>
      <c r="B2318" s="534" t="n">
        <v>10.54</v>
      </c>
      <c r="C2318" s="534" t="n">
        <v>8509.110000000001</v>
      </c>
      <c r="E2318" s="535" t="n">
        <v>38600</v>
      </c>
      <c r="F2318" s="534" t="n">
        <v>3.987</v>
      </c>
      <c r="G2318" s="554" t="n"/>
    </row>
    <row r="2319">
      <c r="A2319" s="535" t="n">
        <v>34781</v>
      </c>
      <c r="B2319" s="534" t="n">
        <v>10.453</v>
      </c>
      <c r="C2319" s="534" t="n">
        <v>8467.67</v>
      </c>
      <c r="E2319" s="535" t="n">
        <v>38601</v>
      </c>
      <c r="F2319" s="534" t="n">
        <v>4.026</v>
      </c>
      <c r="G2319" s="554" t="n"/>
    </row>
    <row r="2320">
      <c r="A2320" s="535" t="n">
        <v>34782</v>
      </c>
      <c r="B2320" s="534" t="n">
        <v>10.497</v>
      </c>
      <c r="C2320" s="534" t="n">
        <v>8484.66</v>
      </c>
      <c r="E2320" s="535" t="n">
        <v>38602</v>
      </c>
      <c r="F2320" s="534" t="n">
        <v>4.074</v>
      </c>
      <c r="G2320" s="554" t="n"/>
    </row>
    <row r="2321">
      <c r="A2321" s="535" t="n">
        <v>34785</v>
      </c>
      <c r="B2321" s="534" t="n">
        <v>10.715</v>
      </c>
      <c r="C2321" s="534" t="n">
        <v>8687.540000000001</v>
      </c>
      <c r="E2321" s="535" t="n">
        <v>38603</v>
      </c>
      <c r="F2321" s="534" t="n">
        <v>4.091</v>
      </c>
      <c r="G2321" s="554" t="n"/>
    </row>
    <row r="2322">
      <c r="A2322" s="535" t="n">
        <v>34786</v>
      </c>
      <c r="B2322" s="534" t="n">
        <v>10.715</v>
      </c>
      <c r="C2322" s="534" t="n">
        <v>8827.93</v>
      </c>
      <c r="E2322" s="535" t="n">
        <v>38604</v>
      </c>
      <c r="F2322" s="534" t="n">
        <v>4.102</v>
      </c>
      <c r="G2322" s="554" t="n"/>
    </row>
    <row r="2323">
      <c r="A2323" s="535" t="n">
        <v>34787</v>
      </c>
      <c r="B2323" s="534" t="n">
        <v>10.54</v>
      </c>
      <c r="C2323" s="534" t="n">
        <v>8732.75</v>
      </c>
      <c r="E2323" s="535" t="n">
        <v>38607</v>
      </c>
      <c r="F2323" s="534" t="n">
        <v>4.078</v>
      </c>
      <c r="G2323" s="554" t="n"/>
    </row>
    <row r="2324">
      <c r="A2324" s="535" t="n">
        <v>34788</v>
      </c>
      <c r="B2324" s="534" t="n">
        <v>10.41</v>
      </c>
      <c r="C2324" s="534" t="n">
        <v>8676.17</v>
      </c>
      <c r="E2324" s="535" t="n">
        <v>38608</v>
      </c>
      <c r="F2324" s="534" t="n">
        <v>4.138</v>
      </c>
      <c r="G2324" s="554" t="n"/>
    </row>
    <row r="2325">
      <c r="A2325" s="535" t="n">
        <v>34789</v>
      </c>
      <c r="B2325" s="534" t="n">
        <v>10.41</v>
      </c>
      <c r="C2325" s="534" t="n">
        <v>8587.719999999999</v>
      </c>
      <c r="E2325" s="535" t="n">
        <v>38609</v>
      </c>
      <c r="F2325" s="534" t="n">
        <v>4.092</v>
      </c>
      <c r="G2325" s="554" t="n"/>
    </row>
    <row r="2326">
      <c r="A2326" s="535" t="n">
        <v>34792</v>
      </c>
      <c r="B2326" s="534" t="n">
        <v>10.279</v>
      </c>
      <c r="C2326" s="534" t="n">
        <v>8400.440000000001</v>
      </c>
      <c r="E2326" s="535" t="n">
        <v>38610</v>
      </c>
      <c r="F2326" s="534" t="n">
        <v>4.105</v>
      </c>
      <c r="G2326" s="554" t="n"/>
    </row>
    <row r="2327">
      <c r="A2327" s="535" t="n">
        <v>34793</v>
      </c>
      <c r="B2327" s="534" t="n">
        <v>10.323</v>
      </c>
      <c r="C2327" s="534" t="n">
        <v>8491.93</v>
      </c>
      <c r="E2327" s="535" t="n">
        <v>38611</v>
      </c>
      <c r="F2327" s="534" t="n">
        <v>4.185</v>
      </c>
      <c r="G2327" s="554" t="n"/>
    </row>
    <row r="2328">
      <c r="A2328" s="535" t="n">
        <v>34794</v>
      </c>
      <c r="B2328" s="534" t="n">
        <v>10.323</v>
      </c>
      <c r="C2328" s="534" t="n">
        <v>8491.93</v>
      </c>
      <c r="E2328" s="535" t="n">
        <v>38614</v>
      </c>
      <c r="F2328" s="534" t="n">
        <v>4.185</v>
      </c>
      <c r="G2328" s="554" t="n"/>
    </row>
    <row r="2329">
      <c r="A2329" s="535" t="n">
        <v>34795</v>
      </c>
      <c r="B2329" s="534" t="n">
        <v>10.41</v>
      </c>
      <c r="C2329" s="534" t="n">
        <v>8418.18</v>
      </c>
      <c r="E2329" s="535" t="n">
        <v>38615</v>
      </c>
      <c r="F2329" s="534" t="n">
        <v>4.215</v>
      </c>
      <c r="G2329" s="554" t="n"/>
    </row>
    <row r="2330">
      <c r="A2330" s="535" t="n">
        <v>34796</v>
      </c>
      <c r="B2330" s="534" t="n">
        <v>10.192</v>
      </c>
      <c r="C2330" s="534" t="n">
        <v>8470.280000000001</v>
      </c>
      <c r="E2330" s="535" t="n">
        <v>38616</v>
      </c>
      <c r="F2330" s="534" t="n">
        <v>4.207</v>
      </c>
      <c r="G2330" s="554" t="n"/>
    </row>
    <row r="2331">
      <c r="A2331" s="535" t="n">
        <v>34799</v>
      </c>
      <c r="B2331" s="534" t="n">
        <v>10.148</v>
      </c>
      <c r="C2331" s="534" t="n">
        <v>8469.780000000001</v>
      </c>
      <c r="E2331" s="535" t="n">
        <v>38617</v>
      </c>
      <c r="F2331" s="534" t="n">
        <v>4.146</v>
      </c>
      <c r="G2331" s="554" t="n"/>
    </row>
    <row r="2332">
      <c r="A2332" s="535" t="n">
        <v>34800</v>
      </c>
      <c r="B2332" s="534" t="n">
        <v>10.366</v>
      </c>
      <c r="C2332" s="534" t="n">
        <v>8514.6</v>
      </c>
      <c r="E2332" s="535" t="n">
        <v>38618</v>
      </c>
      <c r="F2332" s="534" t="n">
        <v>4.19</v>
      </c>
      <c r="G2332" s="554" t="n"/>
    </row>
    <row r="2333">
      <c r="A2333" s="535" t="n">
        <v>34801</v>
      </c>
      <c r="B2333" s="534" t="n">
        <v>10.148</v>
      </c>
      <c r="C2333" s="534" t="n">
        <v>8509.690000000001</v>
      </c>
      <c r="E2333" s="535" t="n">
        <v>38621</v>
      </c>
      <c r="F2333" s="534" t="n">
        <v>4.251</v>
      </c>
      <c r="G2333" s="554" t="n"/>
    </row>
    <row r="2334">
      <c r="A2334" s="535" t="n">
        <v>34802</v>
      </c>
      <c r="B2334" s="534" t="n">
        <v>10.236</v>
      </c>
      <c r="C2334" s="534" t="n">
        <v>8661.99</v>
      </c>
      <c r="E2334" s="535" t="n">
        <v>38622</v>
      </c>
      <c r="F2334" s="534" t="n">
        <v>4.246</v>
      </c>
      <c r="G2334" s="554" t="n"/>
    </row>
    <row r="2335">
      <c r="A2335" s="535" t="n">
        <v>34803</v>
      </c>
      <c r="B2335" s="534" t="n">
        <v>10.236</v>
      </c>
      <c r="C2335" s="534" t="n">
        <v>8661.99</v>
      </c>
      <c r="E2335" s="535" t="n">
        <v>38623</v>
      </c>
      <c r="F2335" s="534" t="n">
        <v>4.205</v>
      </c>
      <c r="G2335" s="554" t="n"/>
    </row>
    <row r="2336">
      <c r="A2336" s="535" t="n">
        <v>34806</v>
      </c>
      <c r="B2336" s="534" t="n">
        <v>10.236</v>
      </c>
      <c r="C2336" s="534" t="n">
        <v>8661.99</v>
      </c>
      <c r="E2336" s="535" t="n">
        <v>38624</v>
      </c>
      <c r="F2336" s="534" t="n">
        <v>4.152</v>
      </c>
      <c r="G2336" s="554" t="n"/>
    </row>
    <row r="2337">
      <c r="A2337" s="535" t="n">
        <v>34807</v>
      </c>
      <c r="B2337" s="534" t="n">
        <v>10.061</v>
      </c>
      <c r="C2337" s="534" t="n">
        <v>8644.969999999999</v>
      </c>
      <c r="E2337" s="535" t="n">
        <v>38625</v>
      </c>
      <c r="F2337" s="534" t="n">
        <v>4.173</v>
      </c>
      <c r="G2337" s="554" t="n"/>
    </row>
    <row r="2338">
      <c r="A2338" s="535" t="n">
        <v>34808</v>
      </c>
      <c r="B2338" s="534" t="n">
        <v>9.930999999999999</v>
      </c>
      <c r="C2338" s="534" t="n">
        <v>8581.860000000001</v>
      </c>
      <c r="E2338" s="535" t="n">
        <v>38628</v>
      </c>
      <c r="F2338" s="534" t="n">
        <v>4.22</v>
      </c>
      <c r="G2338" s="554" t="n"/>
    </row>
    <row r="2339">
      <c r="A2339" s="535" t="n">
        <v>34809</v>
      </c>
      <c r="B2339" s="534" t="n">
        <v>9.930999999999999</v>
      </c>
      <c r="C2339" s="534" t="n">
        <v>8631.370000000001</v>
      </c>
      <c r="E2339" s="535" t="n">
        <v>38629</v>
      </c>
      <c r="F2339" s="534" t="n">
        <v>4.294</v>
      </c>
      <c r="G2339" s="554" t="n"/>
    </row>
    <row r="2340">
      <c r="A2340" s="535" t="n">
        <v>34810</v>
      </c>
      <c r="B2340" s="534" t="n">
        <v>9.930999999999999</v>
      </c>
      <c r="C2340" s="534" t="n">
        <v>8645.389999999999</v>
      </c>
      <c r="E2340" s="535" t="n">
        <v>38630</v>
      </c>
      <c r="F2340" s="534" t="n">
        <v>4.28</v>
      </c>
      <c r="G2340" s="554" t="n"/>
    </row>
    <row r="2341">
      <c r="A2341" s="535" t="n">
        <v>34813</v>
      </c>
      <c r="B2341" s="534" t="n">
        <v>9.843999999999999</v>
      </c>
      <c r="C2341" s="534" t="n">
        <v>8625.549999999999</v>
      </c>
      <c r="E2341" s="535" t="n">
        <v>38631</v>
      </c>
      <c r="F2341" s="534" t="n">
        <v>4.207</v>
      </c>
      <c r="G2341" s="554" t="n"/>
    </row>
    <row r="2342">
      <c r="A2342" s="535" t="n">
        <v>34814</v>
      </c>
      <c r="B2342" s="534" t="n">
        <v>9.539</v>
      </c>
      <c r="C2342" s="534" t="n">
        <v>8505.6</v>
      </c>
      <c r="E2342" s="535" t="n">
        <v>38632</v>
      </c>
      <c r="F2342" s="534" t="n">
        <v>4.261</v>
      </c>
      <c r="G2342" s="554" t="n"/>
    </row>
    <row r="2343">
      <c r="A2343" s="535" t="n">
        <v>34815</v>
      </c>
      <c r="B2343" s="534" t="n">
        <v>9.234</v>
      </c>
      <c r="C2343" s="534" t="n">
        <v>8285.690000000001</v>
      </c>
      <c r="E2343" s="535" t="n">
        <v>38635</v>
      </c>
      <c r="F2343" s="534" t="n">
        <v>4.263</v>
      </c>
      <c r="G2343" s="554" t="n"/>
    </row>
    <row r="2344">
      <c r="A2344" s="535" t="n">
        <v>34816</v>
      </c>
      <c r="B2344" s="534" t="n">
        <v>9.234</v>
      </c>
      <c r="C2344" s="534" t="n">
        <v>8312.290000000001</v>
      </c>
      <c r="E2344" s="535" t="n">
        <v>38636</v>
      </c>
      <c r="F2344" s="534" t="n">
        <v>4.263</v>
      </c>
      <c r="G2344" s="554" t="n"/>
    </row>
    <row r="2345">
      <c r="A2345" s="535" t="n">
        <v>34817</v>
      </c>
      <c r="B2345" s="534" t="n">
        <v>9.452</v>
      </c>
      <c r="C2345" s="534" t="n">
        <v>8361.030000000001</v>
      </c>
      <c r="E2345" s="535" t="n">
        <v>38637</v>
      </c>
      <c r="F2345" s="534" t="n">
        <v>4.302</v>
      </c>
      <c r="G2345" s="554" t="n"/>
    </row>
    <row r="2346">
      <c r="A2346" s="535" t="n">
        <v>34820</v>
      </c>
      <c r="B2346" s="534" t="n">
        <v>9.19</v>
      </c>
      <c r="C2346" s="534" t="n">
        <v>8226.040000000001</v>
      </c>
      <c r="E2346" s="535" t="n">
        <v>38638</v>
      </c>
      <c r="F2346" s="534" t="n">
        <v>4.315</v>
      </c>
      <c r="G2346" s="554" t="n"/>
    </row>
    <row r="2347">
      <c r="A2347" s="535" t="n">
        <v>34821</v>
      </c>
      <c r="B2347" s="534" t="n">
        <v>9.147</v>
      </c>
      <c r="C2347" s="534" t="n">
        <v>8212.110000000001</v>
      </c>
      <c r="E2347" s="535" t="n">
        <v>38639</v>
      </c>
      <c r="F2347" s="534" t="n">
        <v>4.336</v>
      </c>
      <c r="G2347" s="554" t="n"/>
    </row>
    <row r="2348">
      <c r="A2348" s="535" t="n">
        <v>34822</v>
      </c>
      <c r="B2348" s="534" t="n">
        <v>9.234</v>
      </c>
      <c r="C2348" s="534" t="n">
        <v>8299.67</v>
      </c>
      <c r="E2348" s="535" t="n">
        <v>38642</v>
      </c>
      <c r="F2348" s="534" t="n">
        <v>4.303</v>
      </c>
      <c r="G2348" s="554" t="n"/>
    </row>
    <row r="2349">
      <c r="A2349" s="535" t="n">
        <v>34823</v>
      </c>
      <c r="B2349" s="534" t="n">
        <v>8.972</v>
      </c>
      <c r="C2349" s="534" t="n">
        <v>8319.75</v>
      </c>
      <c r="E2349" s="535" t="n">
        <v>38643</v>
      </c>
      <c r="F2349" s="534" t="n">
        <v>4.317</v>
      </c>
      <c r="G2349" s="554" t="n"/>
    </row>
    <row r="2350">
      <c r="A2350" s="535" t="n">
        <v>34824</v>
      </c>
      <c r="B2350" s="534" t="n">
        <v>8.885</v>
      </c>
      <c r="C2350" s="534" t="n">
        <v>8332.17</v>
      </c>
      <c r="E2350" s="535" t="n">
        <v>38644</v>
      </c>
      <c r="F2350" s="534" t="n">
        <v>4.256</v>
      </c>
      <c r="G2350" s="554" t="n"/>
    </row>
    <row r="2351">
      <c r="A2351" s="535" t="n">
        <v>34827</v>
      </c>
      <c r="B2351" s="534" t="n">
        <v>8.885</v>
      </c>
      <c r="C2351" s="534" t="n">
        <v>8488.360000000001</v>
      </c>
      <c r="E2351" s="535" t="n">
        <v>38645</v>
      </c>
      <c r="F2351" s="534" t="n">
        <v>4.297</v>
      </c>
      <c r="G2351" s="554" t="n"/>
    </row>
    <row r="2352">
      <c r="A2352" s="535" t="n">
        <v>34828</v>
      </c>
      <c r="B2352" s="534" t="n">
        <v>9.016</v>
      </c>
      <c r="C2352" s="534" t="n">
        <v>8574.08</v>
      </c>
      <c r="E2352" s="535" t="n">
        <v>38646</v>
      </c>
      <c r="F2352" s="534" t="n">
        <v>4.311</v>
      </c>
      <c r="G2352" s="554" t="n"/>
    </row>
    <row r="2353">
      <c r="A2353" s="535" t="n">
        <v>34829</v>
      </c>
      <c r="B2353" s="534" t="n">
        <v>9.19</v>
      </c>
      <c r="C2353" s="534" t="n">
        <v>8796.879999999999</v>
      </c>
      <c r="E2353" s="535" t="n">
        <v>38649</v>
      </c>
      <c r="F2353" s="534" t="n">
        <v>4.257</v>
      </c>
      <c r="G2353" s="554" t="n"/>
    </row>
    <row r="2354">
      <c r="A2354" s="535" t="n">
        <v>34830</v>
      </c>
      <c r="B2354" s="534" t="n">
        <v>9.321</v>
      </c>
      <c r="C2354" s="534" t="n">
        <v>9025.66</v>
      </c>
      <c r="E2354" s="535" t="n">
        <v>38650</v>
      </c>
      <c r="F2354" s="534" t="n">
        <v>4.298</v>
      </c>
      <c r="G2354" s="554" t="n"/>
    </row>
    <row r="2355">
      <c r="A2355" s="535" t="n">
        <v>34831</v>
      </c>
      <c r="B2355" s="534" t="n">
        <v>9.669</v>
      </c>
      <c r="C2355" s="534" t="n">
        <v>9217.83</v>
      </c>
      <c r="E2355" s="535" t="n">
        <v>38651</v>
      </c>
      <c r="F2355" s="534" t="n">
        <v>4.399</v>
      </c>
      <c r="G2355" s="554" t="n"/>
    </row>
    <row r="2356">
      <c r="A2356" s="535" t="n">
        <v>34834</v>
      </c>
      <c r="B2356" s="534" t="n">
        <v>9.321</v>
      </c>
      <c r="C2356" s="534" t="n">
        <v>9189.790000000001</v>
      </c>
      <c r="E2356" s="535" t="n">
        <v>38652</v>
      </c>
      <c r="F2356" s="534" t="n">
        <v>4.42</v>
      </c>
      <c r="G2356" s="554" t="n"/>
    </row>
    <row r="2357">
      <c r="A2357" s="535" t="n">
        <v>34835</v>
      </c>
      <c r="B2357" s="534" t="n">
        <v>9.539</v>
      </c>
      <c r="C2357" s="534" t="n">
        <v>9162.32</v>
      </c>
      <c r="E2357" s="535" t="n">
        <v>38653</v>
      </c>
      <c r="F2357" s="534" t="n">
        <v>4.441</v>
      </c>
      <c r="G2357" s="554" t="n"/>
    </row>
    <row r="2358">
      <c r="A2358" s="535" t="n">
        <v>34836</v>
      </c>
      <c r="B2358" s="534" t="n">
        <v>9.539</v>
      </c>
      <c r="C2358" s="534" t="n">
        <v>9170.24</v>
      </c>
      <c r="E2358" s="535" t="n">
        <v>38656</v>
      </c>
      <c r="F2358" s="534" t="n">
        <v>4.503</v>
      </c>
      <c r="G2358" s="554" t="n"/>
    </row>
    <row r="2359">
      <c r="A2359" s="535" t="n">
        <v>34837</v>
      </c>
      <c r="B2359" s="534" t="n">
        <v>9.756</v>
      </c>
      <c r="C2359" s="534" t="n">
        <v>9115.719999999999</v>
      </c>
      <c r="E2359" s="535" t="n">
        <v>38657</v>
      </c>
      <c r="F2359" s="534" t="n">
        <v>4.503</v>
      </c>
      <c r="G2359" s="554" t="n"/>
    </row>
    <row r="2360">
      <c r="A2360" s="535" t="n">
        <v>34838</v>
      </c>
      <c r="B2360" s="534" t="n">
        <v>9.756</v>
      </c>
      <c r="C2360" s="534" t="n">
        <v>9013.32</v>
      </c>
      <c r="E2360" s="535" t="n">
        <v>38658</v>
      </c>
      <c r="F2360" s="534" t="n">
        <v>4.484</v>
      </c>
      <c r="G2360" s="554" t="n"/>
    </row>
    <row r="2361">
      <c r="A2361" s="535" t="n">
        <v>34841</v>
      </c>
      <c r="B2361" s="534" t="n">
        <v>9.669</v>
      </c>
      <c r="C2361" s="534" t="n">
        <v>9058.74</v>
      </c>
      <c r="E2361" s="535" t="n">
        <v>38659</v>
      </c>
      <c r="F2361" s="534" t="n">
        <v>4.552</v>
      </c>
      <c r="G2361" s="554" t="n"/>
    </row>
    <row r="2362">
      <c r="A2362" s="535" t="n">
        <v>34842</v>
      </c>
      <c r="B2362" s="534" t="n">
        <v>9.843999999999999</v>
      </c>
      <c r="C2362" s="534" t="n">
        <v>9302.860000000001</v>
      </c>
      <c r="E2362" s="535" t="n">
        <v>38660</v>
      </c>
      <c r="F2362" s="534" t="n">
        <v>4.609</v>
      </c>
      <c r="G2362" s="554" t="n"/>
    </row>
    <row r="2363">
      <c r="A2363" s="535" t="n">
        <v>34843</v>
      </c>
      <c r="B2363" s="534" t="n">
        <v>9.712999999999999</v>
      </c>
      <c r="C2363" s="534" t="n">
        <v>9258.18</v>
      </c>
      <c r="E2363" s="535" t="n">
        <v>38663</v>
      </c>
      <c r="F2363" s="534" t="n">
        <v>4.602</v>
      </c>
      <c r="G2363" s="554" t="n"/>
    </row>
    <row r="2364">
      <c r="A2364" s="535" t="n">
        <v>34844</v>
      </c>
      <c r="B2364" s="534" t="n">
        <v>9.669</v>
      </c>
      <c r="C2364" s="534" t="n">
        <v>9390.6</v>
      </c>
      <c r="E2364" s="535" t="n">
        <v>38664</v>
      </c>
      <c r="F2364" s="534" t="n">
        <v>4.554</v>
      </c>
      <c r="G2364" s="554" t="n"/>
    </row>
    <row r="2365">
      <c r="A2365" s="535" t="n">
        <v>34845</v>
      </c>
      <c r="B2365" s="534" t="n">
        <v>9.843999999999999</v>
      </c>
      <c r="C2365" s="534" t="n">
        <v>9329.18</v>
      </c>
      <c r="E2365" s="535" t="n">
        <v>38665</v>
      </c>
      <c r="F2365" s="534" t="n">
        <v>4.522</v>
      </c>
      <c r="G2365" s="554" t="n"/>
    </row>
    <row r="2366">
      <c r="A2366" s="535" t="n">
        <v>34848</v>
      </c>
      <c r="B2366" s="534" t="n">
        <v>9.625999999999999</v>
      </c>
      <c r="C2366" s="534" t="n">
        <v>9316.17</v>
      </c>
      <c r="E2366" s="535" t="n">
        <v>38666</v>
      </c>
      <c r="F2366" s="534" t="n">
        <v>4.603</v>
      </c>
      <c r="G2366" s="554" t="n"/>
    </row>
    <row r="2367">
      <c r="A2367" s="535" t="n">
        <v>34849</v>
      </c>
      <c r="B2367" s="534" t="n">
        <v>9.539</v>
      </c>
      <c r="C2367" s="534" t="n">
        <v>9245.299999999999</v>
      </c>
      <c r="E2367" s="535" t="n">
        <v>38667</v>
      </c>
      <c r="F2367" s="534" t="n">
        <v>4.541</v>
      </c>
      <c r="G2367" s="554" t="n"/>
    </row>
    <row r="2368">
      <c r="A2368" s="535" t="n">
        <v>34850</v>
      </c>
      <c r="B2368" s="534" t="n">
        <v>9.800000000000001</v>
      </c>
      <c r="C2368" s="534" t="n">
        <v>9407.379999999999</v>
      </c>
      <c r="E2368" s="535" t="n">
        <v>38670</v>
      </c>
      <c r="F2368" s="534" t="n">
        <v>4.544</v>
      </c>
      <c r="G2368" s="554" t="n"/>
    </row>
    <row r="2369">
      <c r="A2369" s="535" t="n">
        <v>34851</v>
      </c>
      <c r="B2369" s="534" t="n">
        <v>10.192</v>
      </c>
      <c r="C2369" s="534" t="n">
        <v>9559.74</v>
      </c>
      <c r="E2369" s="535" t="n">
        <v>38671</v>
      </c>
      <c r="F2369" s="534" t="n">
        <v>4.604</v>
      </c>
      <c r="G2369" s="554" t="n"/>
    </row>
    <row r="2370">
      <c r="A2370" s="535" t="n">
        <v>34852</v>
      </c>
      <c r="B2370" s="534" t="n">
        <v>10.192</v>
      </c>
      <c r="C2370" s="534" t="n">
        <v>9559.74</v>
      </c>
      <c r="E2370" s="535" t="n">
        <v>38672</v>
      </c>
      <c r="F2370" s="534" t="n">
        <v>4.59</v>
      </c>
      <c r="G2370" s="554" t="n"/>
    </row>
    <row r="2371">
      <c r="A2371" s="535" t="n">
        <v>34855</v>
      </c>
      <c r="B2371" s="534" t="n">
        <v>10.323</v>
      </c>
      <c r="C2371" s="534" t="n">
        <v>9570.370000000001</v>
      </c>
      <c r="E2371" s="535" t="n">
        <v>38673</v>
      </c>
      <c r="F2371" s="534" t="n">
        <v>4.549</v>
      </c>
      <c r="G2371" s="554" t="n"/>
    </row>
    <row r="2372">
      <c r="A2372" s="535" t="n">
        <v>34856</v>
      </c>
      <c r="B2372" s="534" t="n">
        <v>10.018</v>
      </c>
      <c r="C2372" s="534" t="n">
        <v>9497.83</v>
      </c>
      <c r="E2372" s="535" t="n">
        <v>38674</v>
      </c>
      <c r="F2372" s="534" t="n">
        <v>4.464</v>
      </c>
      <c r="G2372" s="554" t="n"/>
    </row>
    <row r="2373">
      <c r="A2373" s="535" t="n">
        <v>34857</v>
      </c>
      <c r="B2373" s="534" t="n">
        <v>9.974</v>
      </c>
      <c r="C2373" s="534" t="n">
        <v>9382.58</v>
      </c>
      <c r="E2373" s="535" t="n">
        <v>38677</v>
      </c>
      <c r="F2373" s="534" t="n">
        <v>4.472</v>
      </c>
      <c r="G2373" s="554" t="n"/>
    </row>
    <row r="2374">
      <c r="A2374" s="535" t="n">
        <v>34858</v>
      </c>
      <c r="B2374" s="534" t="n">
        <v>9.800000000000001</v>
      </c>
      <c r="C2374" s="534" t="n">
        <v>9292.780000000001</v>
      </c>
      <c r="E2374" s="535" t="n">
        <v>38678</v>
      </c>
      <c r="F2374" s="534" t="n">
        <v>4.446</v>
      </c>
      <c r="G2374" s="554" t="n"/>
    </row>
    <row r="2375">
      <c r="A2375" s="535" t="n">
        <v>34859</v>
      </c>
      <c r="B2375" s="534" t="n">
        <v>9.974</v>
      </c>
      <c r="C2375" s="534" t="n">
        <v>9267.620000000001</v>
      </c>
      <c r="E2375" s="535" t="n">
        <v>38679</v>
      </c>
      <c r="F2375" s="534" t="n">
        <v>4.351</v>
      </c>
      <c r="G2375" s="554" t="n"/>
    </row>
    <row r="2376">
      <c r="A2376" s="535" t="n">
        <v>34862</v>
      </c>
      <c r="B2376" s="534" t="n">
        <v>9.843999999999999</v>
      </c>
      <c r="C2376" s="534" t="n">
        <v>9121.450000000001</v>
      </c>
      <c r="E2376" s="535" t="n">
        <v>38680</v>
      </c>
      <c r="F2376" s="534" t="n">
        <v>4.41</v>
      </c>
      <c r="G2376" s="554" t="n"/>
    </row>
    <row r="2377">
      <c r="A2377" s="535" t="n">
        <v>34863</v>
      </c>
      <c r="B2377" s="534" t="n">
        <v>9.712999999999999</v>
      </c>
      <c r="C2377" s="534" t="n">
        <v>9103.17</v>
      </c>
      <c r="E2377" s="535" t="n">
        <v>38681</v>
      </c>
      <c r="F2377" s="534" t="n">
        <v>4.382</v>
      </c>
      <c r="G2377" s="554" t="n"/>
    </row>
    <row r="2378">
      <c r="A2378" s="535" t="n">
        <v>34864</v>
      </c>
      <c r="B2378" s="534" t="n">
        <v>9.974</v>
      </c>
      <c r="C2378" s="534" t="n">
        <v>9364.77</v>
      </c>
      <c r="E2378" s="535" t="n">
        <v>38684</v>
      </c>
      <c r="F2378" s="534" t="n">
        <v>4.434</v>
      </c>
      <c r="G2378" s="554" t="n"/>
    </row>
    <row r="2379">
      <c r="A2379" s="535" t="n">
        <v>34865</v>
      </c>
      <c r="B2379" s="534" t="n">
        <v>9.930999999999999</v>
      </c>
      <c r="C2379" s="534" t="n">
        <v>9262</v>
      </c>
      <c r="E2379" s="535" t="n">
        <v>38685</v>
      </c>
      <c r="F2379" s="534" t="n">
        <v>4.42</v>
      </c>
      <c r="G2379" s="554" t="n"/>
    </row>
    <row r="2380">
      <c r="A2380" s="535" t="n">
        <v>34866</v>
      </c>
      <c r="B2380" s="534" t="n">
        <v>9.974</v>
      </c>
      <c r="C2380" s="534" t="n">
        <v>9313.950000000001</v>
      </c>
      <c r="E2380" s="535" t="n">
        <v>38686</v>
      </c>
      <c r="F2380" s="534" t="n">
        <v>4.49</v>
      </c>
      <c r="G2380" s="554" t="n"/>
    </row>
    <row r="2381">
      <c r="A2381" s="535" t="n">
        <v>34869</v>
      </c>
      <c r="B2381" s="534" t="n">
        <v>9.974</v>
      </c>
      <c r="C2381" s="534" t="n">
        <v>9313.950000000001</v>
      </c>
      <c r="E2381" s="535" t="n">
        <v>38687</v>
      </c>
      <c r="F2381" s="534" t="n">
        <v>4.483</v>
      </c>
      <c r="G2381" s="554" t="n"/>
    </row>
    <row r="2382">
      <c r="A2382" s="535" t="n">
        <v>34870</v>
      </c>
      <c r="B2382" s="534" t="n">
        <v>9.843999999999999</v>
      </c>
      <c r="C2382" s="534" t="n">
        <v>9278.690000000001</v>
      </c>
      <c r="E2382" s="535" t="n">
        <v>38688</v>
      </c>
      <c r="F2382" s="534" t="n">
        <v>4.474</v>
      </c>
      <c r="G2382" s="554" t="n"/>
    </row>
    <row r="2383">
      <c r="A2383" s="535" t="n">
        <v>34871</v>
      </c>
      <c r="B2383" s="534" t="n">
        <v>9.800000000000001</v>
      </c>
      <c r="C2383" s="534" t="n">
        <v>9243.65</v>
      </c>
      <c r="E2383" s="535" t="n">
        <v>38691</v>
      </c>
      <c r="F2383" s="534" t="n">
        <v>4.481</v>
      </c>
      <c r="G2383" s="554" t="n"/>
    </row>
    <row r="2384">
      <c r="A2384" s="535" t="n">
        <v>34872</v>
      </c>
      <c r="B2384" s="534" t="n">
        <v>9.582000000000001</v>
      </c>
      <c r="C2384" s="534" t="n">
        <v>9158.950000000001</v>
      </c>
      <c r="E2384" s="535" t="n">
        <v>38692</v>
      </c>
      <c r="F2384" s="534" t="n">
        <v>4.481</v>
      </c>
      <c r="G2384" s="554" t="n"/>
    </row>
    <row r="2385">
      <c r="A2385" s="535" t="n">
        <v>34873</v>
      </c>
      <c r="B2385" s="534" t="n">
        <v>9.625999999999999</v>
      </c>
      <c r="C2385" s="534" t="n">
        <v>9224.360000000001</v>
      </c>
      <c r="E2385" s="535" t="n">
        <v>38693</v>
      </c>
      <c r="F2385" s="534" t="n">
        <v>4.473</v>
      </c>
      <c r="G2385" s="554" t="n"/>
    </row>
    <row r="2386">
      <c r="A2386" s="535" t="n">
        <v>34876</v>
      </c>
      <c r="B2386" s="534" t="n">
        <v>9.582000000000001</v>
      </c>
      <c r="C2386" s="534" t="n">
        <v>9201.25</v>
      </c>
      <c r="E2386" s="535" t="n">
        <v>38694</v>
      </c>
      <c r="F2386" s="534" t="n">
        <v>4.472</v>
      </c>
      <c r="G2386" s="554" t="n"/>
    </row>
    <row r="2387">
      <c r="A2387" s="535" t="n">
        <v>34877</v>
      </c>
      <c r="B2387" s="534" t="n">
        <v>9.712999999999999</v>
      </c>
      <c r="C2387" s="534" t="n">
        <v>9199.540000000001</v>
      </c>
      <c r="E2387" s="535" t="n">
        <v>38695</v>
      </c>
      <c r="F2387" s="534" t="n">
        <v>4.412</v>
      </c>
      <c r="G2387" s="554" t="n"/>
    </row>
    <row r="2388">
      <c r="A2388" s="535" t="n">
        <v>34878</v>
      </c>
      <c r="B2388" s="534" t="n">
        <v>9.669</v>
      </c>
      <c r="C2388" s="534" t="n">
        <v>9151.370000000001</v>
      </c>
      <c r="E2388" s="535" t="n">
        <v>38698</v>
      </c>
      <c r="F2388" s="534" t="n">
        <v>4.436</v>
      </c>
      <c r="G2388" s="554" t="n"/>
    </row>
    <row r="2389">
      <c r="A2389" s="535" t="n">
        <v>34879</v>
      </c>
      <c r="B2389" s="534" t="n">
        <v>9.800000000000001</v>
      </c>
      <c r="C2389" s="534" t="n">
        <v>9200.129999999999</v>
      </c>
      <c r="E2389" s="535" t="n">
        <v>38699</v>
      </c>
      <c r="F2389" s="534" t="n">
        <v>4.433</v>
      </c>
      <c r="G2389" s="554" t="n"/>
    </row>
    <row r="2390">
      <c r="A2390" s="535" t="n">
        <v>34880</v>
      </c>
      <c r="B2390" s="534" t="n">
        <v>9.843999999999999</v>
      </c>
      <c r="C2390" s="534" t="n">
        <v>9206.540000000001</v>
      </c>
      <c r="E2390" s="535" t="n">
        <v>38700</v>
      </c>
      <c r="F2390" s="534" t="n">
        <v>4.354</v>
      </c>
      <c r="G2390" s="554" t="n"/>
    </row>
    <row r="2391">
      <c r="A2391" s="535" t="n">
        <v>34883</v>
      </c>
      <c r="B2391" s="534" t="n">
        <v>9.756</v>
      </c>
      <c r="C2391" s="534" t="n">
        <v>9138.209999999999</v>
      </c>
      <c r="E2391" s="535" t="n">
        <v>38701</v>
      </c>
      <c r="F2391" s="534" t="n">
        <v>4.296</v>
      </c>
      <c r="G2391" s="554" t="n"/>
    </row>
    <row r="2392">
      <c r="A2392" s="535" t="n">
        <v>34884</v>
      </c>
      <c r="B2392" s="534" t="n">
        <v>9.800000000000001</v>
      </c>
      <c r="C2392" s="534" t="n">
        <v>9182.469999999999</v>
      </c>
      <c r="E2392" s="535" t="n">
        <v>38702</v>
      </c>
      <c r="F2392" s="534" t="n">
        <v>4.306</v>
      </c>
      <c r="G2392" s="554" t="n"/>
    </row>
    <row r="2393">
      <c r="A2393" s="535" t="n">
        <v>34885</v>
      </c>
      <c r="B2393" s="534" t="n">
        <v>9.800000000000001</v>
      </c>
      <c r="C2393" s="534" t="n">
        <v>9407.27</v>
      </c>
      <c r="E2393" s="535" t="n">
        <v>38705</v>
      </c>
      <c r="F2393" s="534" t="n">
        <v>4.284</v>
      </c>
      <c r="G2393" s="554" t="n"/>
    </row>
    <row r="2394">
      <c r="A2394" s="535" t="n">
        <v>34886</v>
      </c>
      <c r="B2394" s="534" t="n">
        <v>9.756</v>
      </c>
      <c r="C2394" s="534" t="n">
        <v>9376.870000000001</v>
      </c>
      <c r="E2394" s="535" t="n">
        <v>38706</v>
      </c>
      <c r="F2394" s="534" t="n">
        <v>4.304</v>
      </c>
      <c r="G2394" s="554" t="n"/>
    </row>
    <row r="2395">
      <c r="A2395" s="535" t="n">
        <v>34887</v>
      </c>
      <c r="B2395" s="534" t="n">
        <v>10.061</v>
      </c>
      <c r="C2395" s="534" t="n">
        <v>9632.25</v>
      </c>
      <c r="E2395" s="535" t="n">
        <v>38707</v>
      </c>
      <c r="F2395" s="534" t="n">
        <v>4.32</v>
      </c>
      <c r="G2395" s="554" t="n"/>
    </row>
    <row r="2396">
      <c r="A2396" s="535" t="n">
        <v>34890</v>
      </c>
      <c r="B2396" s="534" t="n">
        <v>9.843999999999999</v>
      </c>
      <c r="C2396" s="534" t="n">
        <v>9727.540000000001</v>
      </c>
      <c r="E2396" s="535" t="n">
        <v>38708</v>
      </c>
      <c r="F2396" s="534" t="n">
        <v>4.316</v>
      </c>
      <c r="G2396" s="554" t="n"/>
    </row>
    <row r="2397">
      <c r="A2397" s="535" t="n">
        <v>34891</v>
      </c>
      <c r="B2397" s="534" t="n">
        <v>9.800000000000001</v>
      </c>
      <c r="C2397" s="534" t="n">
        <v>9669.969999999999</v>
      </c>
      <c r="E2397" s="535" t="n">
        <v>38709</v>
      </c>
      <c r="F2397" s="534" t="n">
        <v>4.279</v>
      </c>
      <c r="G2397" s="554" t="n"/>
    </row>
    <row r="2398">
      <c r="A2398" s="535" t="n">
        <v>34892</v>
      </c>
      <c r="B2398" s="534" t="n">
        <v>9.843999999999999</v>
      </c>
      <c r="C2398" s="534" t="n">
        <v>9639.620000000001</v>
      </c>
      <c r="E2398" s="535" t="n">
        <v>38712</v>
      </c>
      <c r="F2398" s="534" t="n">
        <v>4.279</v>
      </c>
      <c r="G2398" s="554" t="n"/>
    </row>
    <row r="2399">
      <c r="A2399" s="535" t="n">
        <v>34893</v>
      </c>
      <c r="B2399" s="534" t="n">
        <v>10.018</v>
      </c>
      <c r="C2399" s="534" t="n">
        <v>9742.440000000001</v>
      </c>
      <c r="E2399" s="535" t="n">
        <v>38713</v>
      </c>
      <c r="F2399" s="534" t="n">
        <v>4.279</v>
      </c>
      <c r="G2399" s="554" t="n"/>
    </row>
    <row r="2400">
      <c r="A2400" s="535" t="n">
        <v>34894</v>
      </c>
      <c r="B2400" s="534" t="n">
        <v>9.930999999999999</v>
      </c>
      <c r="C2400" s="534" t="n">
        <v>9727.959999999999</v>
      </c>
      <c r="E2400" s="535" t="n">
        <v>38714</v>
      </c>
      <c r="F2400" s="534" t="n">
        <v>4.206</v>
      </c>
      <c r="G2400" s="554" t="n"/>
    </row>
    <row r="2401">
      <c r="A2401" s="535" t="n">
        <v>34897</v>
      </c>
      <c r="B2401" s="534" t="n">
        <v>9.843999999999999</v>
      </c>
      <c r="C2401" s="534" t="n">
        <v>9633.98</v>
      </c>
      <c r="E2401" s="535" t="n">
        <v>38715</v>
      </c>
      <c r="F2401" s="534" t="n">
        <v>4.221</v>
      </c>
      <c r="G2401" s="554" t="n"/>
    </row>
    <row r="2402">
      <c r="A2402" s="535" t="n">
        <v>34898</v>
      </c>
      <c r="B2402" s="534" t="n">
        <v>9.974</v>
      </c>
      <c r="C2402" s="534" t="n">
        <v>9616.98</v>
      </c>
      <c r="E2402" s="535" t="n">
        <v>38716</v>
      </c>
      <c r="F2402" s="534" t="n">
        <v>4.19</v>
      </c>
      <c r="G2402" s="554" t="n"/>
    </row>
    <row r="2403">
      <c r="A2403" s="535" t="n">
        <v>34899</v>
      </c>
      <c r="B2403" s="534" t="n">
        <v>9.800000000000001</v>
      </c>
      <c r="C2403" s="534" t="n">
        <v>9418.91</v>
      </c>
      <c r="E2403" s="535" t="n">
        <v>38719</v>
      </c>
      <c r="F2403" s="534" t="n">
        <v>4.19</v>
      </c>
      <c r="G2403" s="554" t="n"/>
    </row>
    <row r="2404">
      <c r="A2404" s="535" t="n">
        <v>34900</v>
      </c>
      <c r="B2404" s="534" t="n">
        <v>9.843999999999999</v>
      </c>
      <c r="C2404" s="534" t="n">
        <v>9423.200000000001</v>
      </c>
      <c r="E2404" s="535" t="n">
        <v>38720</v>
      </c>
      <c r="F2404" s="534" t="n">
        <v>4.207</v>
      </c>
      <c r="G2404" s="554" t="n"/>
    </row>
    <row r="2405">
      <c r="A2405" s="535" t="n">
        <v>34901</v>
      </c>
      <c r="B2405" s="534" t="n">
        <v>9.712999999999999</v>
      </c>
      <c r="C2405" s="534" t="n">
        <v>9410.23</v>
      </c>
      <c r="E2405" s="535" t="n">
        <v>38721</v>
      </c>
      <c r="F2405" s="534" t="n">
        <v>4.171</v>
      </c>
      <c r="G2405" s="554" t="n"/>
    </row>
    <row r="2406">
      <c r="A2406" s="535" t="n">
        <v>34904</v>
      </c>
      <c r="B2406" s="534" t="n">
        <v>9.625999999999999</v>
      </c>
      <c r="C2406" s="534" t="n">
        <v>9288.040000000001</v>
      </c>
      <c r="E2406" s="535" t="n">
        <v>38722</v>
      </c>
      <c r="F2406" s="534" t="n">
        <v>4.118</v>
      </c>
      <c r="G2406" s="554" t="n"/>
    </row>
    <row r="2407">
      <c r="A2407" s="535" t="n">
        <v>34905</v>
      </c>
      <c r="B2407" s="534" t="n">
        <v>9.625999999999999</v>
      </c>
      <c r="C2407" s="534" t="n">
        <v>9359.1</v>
      </c>
      <c r="E2407" s="535" t="n">
        <v>38723</v>
      </c>
      <c r="F2407" s="534" t="n">
        <v>4.128</v>
      </c>
      <c r="G2407" s="554" t="n"/>
    </row>
    <row r="2408">
      <c r="A2408" s="535" t="n">
        <v>34906</v>
      </c>
      <c r="B2408" s="534" t="n">
        <v>9.582000000000001</v>
      </c>
      <c r="C2408" s="534" t="n">
        <v>9354.950000000001</v>
      </c>
      <c r="E2408" s="535" t="n">
        <v>38726</v>
      </c>
      <c r="F2408" s="534" t="n">
        <v>4.126</v>
      </c>
      <c r="G2408" s="554" t="n"/>
    </row>
    <row r="2409">
      <c r="A2409" s="535" t="n">
        <v>34907</v>
      </c>
      <c r="B2409" s="534" t="n">
        <v>9.494999999999999</v>
      </c>
      <c r="C2409" s="534" t="n">
        <v>9361.33</v>
      </c>
      <c r="E2409" s="535" t="n">
        <v>38727</v>
      </c>
      <c r="F2409" s="534" t="n">
        <v>4.108</v>
      </c>
      <c r="G2409" s="554" t="n"/>
    </row>
    <row r="2410">
      <c r="A2410" s="535" t="n">
        <v>34908</v>
      </c>
      <c r="B2410" s="534" t="n">
        <v>9.582000000000001</v>
      </c>
      <c r="C2410" s="534" t="n">
        <v>9451.690000000001</v>
      </c>
      <c r="E2410" s="535" t="n">
        <v>38728</v>
      </c>
      <c r="F2410" s="534" t="n">
        <v>4.152</v>
      </c>
      <c r="G2410" s="554" t="n"/>
    </row>
    <row r="2411">
      <c r="A2411" s="535" t="n">
        <v>34911</v>
      </c>
      <c r="B2411" s="534" t="n">
        <v>9.625999999999999</v>
      </c>
      <c r="C2411" s="534" t="n">
        <v>9453.42</v>
      </c>
      <c r="E2411" s="535" t="n">
        <v>38729</v>
      </c>
      <c r="F2411" s="534" t="n">
        <v>4.154</v>
      </c>
      <c r="G2411" s="554" t="n"/>
    </row>
    <row r="2412">
      <c r="A2412" s="535" t="n">
        <v>34912</v>
      </c>
      <c r="B2412" s="534" t="n">
        <v>9.625999999999999</v>
      </c>
      <c r="C2412" s="534" t="n">
        <v>9385.27</v>
      </c>
      <c r="E2412" s="535" t="n">
        <v>38730</v>
      </c>
      <c r="F2412" s="534" t="n">
        <v>4.158</v>
      </c>
      <c r="G2412" s="554" t="n"/>
    </row>
    <row r="2413">
      <c r="A2413" s="535" t="n">
        <v>34913</v>
      </c>
      <c r="B2413" s="534" t="n">
        <v>9.582000000000001</v>
      </c>
      <c r="C2413" s="534" t="n">
        <v>9410.139999999999</v>
      </c>
      <c r="E2413" s="535" t="n">
        <v>38733</v>
      </c>
      <c r="F2413" s="534" t="n">
        <v>4.059</v>
      </c>
      <c r="G2413" s="554" t="n"/>
    </row>
    <row r="2414">
      <c r="A2414" s="535" t="n">
        <v>34914</v>
      </c>
      <c r="B2414" s="534" t="n">
        <v>9.625999999999999</v>
      </c>
      <c r="C2414" s="534" t="n">
        <v>9379.719999999999</v>
      </c>
      <c r="E2414" s="535" t="n">
        <v>38734</v>
      </c>
      <c r="F2414" s="534" t="n">
        <v>4.067</v>
      </c>
      <c r="G2414" s="554" t="n"/>
    </row>
    <row r="2415">
      <c r="A2415" s="535" t="n">
        <v>34915</v>
      </c>
      <c r="B2415" s="534" t="n">
        <v>9.582000000000001</v>
      </c>
      <c r="C2415" s="534" t="n">
        <v>9362.83</v>
      </c>
      <c r="E2415" s="535" t="n">
        <v>38735</v>
      </c>
      <c r="F2415" s="534" t="n">
        <v>4.064</v>
      </c>
      <c r="G2415" s="554" t="n"/>
    </row>
    <row r="2416">
      <c r="A2416" s="535" t="n">
        <v>34918</v>
      </c>
      <c r="B2416" s="534" t="n">
        <v>9.800000000000001</v>
      </c>
      <c r="C2416" s="534" t="n">
        <v>9318.4</v>
      </c>
      <c r="E2416" s="535" t="n">
        <v>38736</v>
      </c>
      <c r="F2416" s="534" t="n">
        <v>4.074</v>
      </c>
      <c r="G2416" s="554" t="n"/>
    </row>
    <row r="2417">
      <c r="A2417" s="535" t="n">
        <v>34919</v>
      </c>
      <c r="B2417" s="534" t="n">
        <v>9.930999999999999</v>
      </c>
      <c r="C2417" s="534" t="n">
        <v>9303.82</v>
      </c>
      <c r="E2417" s="535" t="n">
        <v>38737</v>
      </c>
      <c r="F2417" s="534" t="n">
        <v>4.107</v>
      </c>
      <c r="G2417" s="554" t="n"/>
    </row>
    <row r="2418">
      <c r="A2418" s="535" t="n">
        <v>34920</v>
      </c>
      <c r="B2418" s="534" t="n">
        <v>10.105</v>
      </c>
      <c r="C2418" s="534" t="n">
        <v>9301.65</v>
      </c>
      <c r="E2418" s="535" t="n">
        <v>38740</v>
      </c>
      <c r="F2418" s="534" t="n">
        <v>4.095</v>
      </c>
      <c r="G2418" s="554" t="n"/>
    </row>
    <row r="2419">
      <c r="A2419" s="535" t="n">
        <v>34921</v>
      </c>
      <c r="B2419" s="534" t="n">
        <v>10.105</v>
      </c>
      <c r="C2419" s="534" t="n">
        <v>9142.549999999999</v>
      </c>
      <c r="E2419" s="535" t="n">
        <v>38741</v>
      </c>
      <c r="F2419" s="534" t="n">
        <v>4.103</v>
      </c>
      <c r="G2419" s="554" t="n"/>
    </row>
    <row r="2420">
      <c r="A2420" s="535" t="n">
        <v>34922</v>
      </c>
      <c r="B2420" s="534" t="n">
        <v>10.279</v>
      </c>
      <c r="C2420" s="534" t="n">
        <v>9006.93</v>
      </c>
      <c r="E2420" s="535" t="n">
        <v>38742</v>
      </c>
      <c r="F2420" s="534" t="n">
        <v>4.125</v>
      </c>
      <c r="G2420" s="554" t="n"/>
    </row>
    <row r="2421">
      <c r="A2421" s="535" t="n">
        <v>34925</v>
      </c>
      <c r="B2421" s="534" t="n">
        <v>10.323</v>
      </c>
      <c r="C2421" s="534" t="n">
        <v>8924.27</v>
      </c>
      <c r="E2421" s="535" t="n">
        <v>38743</v>
      </c>
      <c r="F2421" s="534" t="n">
        <v>4.161</v>
      </c>
      <c r="G2421" s="554" t="n"/>
    </row>
    <row r="2422">
      <c r="A2422" s="535" t="n">
        <v>34926</v>
      </c>
      <c r="B2422" s="534" t="n">
        <v>10.279</v>
      </c>
      <c r="C2422" s="534" t="n">
        <v>8931.309999999999</v>
      </c>
      <c r="E2422" s="535" t="n">
        <v>38744</v>
      </c>
      <c r="F2422" s="534" t="n">
        <v>4.206</v>
      </c>
      <c r="G2422" s="554" t="n"/>
    </row>
    <row r="2423">
      <c r="A2423" s="535" t="n">
        <v>34927</v>
      </c>
      <c r="B2423" s="534" t="n">
        <v>10.148</v>
      </c>
      <c r="C2423" s="534" t="n">
        <v>8985.049999999999</v>
      </c>
      <c r="E2423" s="535" t="n">
        <v>38747</v>
      </c>
      <c r="F2423" s="534" t="n">
        <v>4.206</v>
      </c>
      <c r="G2423" s="554" t="n"/>
    </row>
    <row r="2424">
      <c r="A2424" s="535" t="n">
        <v>34928</v>
      </c>
      <c r="B2424" s="534" t="n">
        <v>9.974</v>
      </c>
      <c r="C2424" s="534" t="n">
        <v>8896.66</v>
      </c>
      <c r="E2424" s="535" t="n">
        <v>38748</v>
      </c>
      <c r="F2424" s="534" t="n">
        <v>4.206</v>
      </c>
      <c r="G2424" s="554" t="n"/>
    </row>
    <row r="2425">
      <c r="A2425" s="535" t="n">
        <v>34929</v>
      </c>
      <c r="B2425" s="534" t="n">
        <v>10.018</v>
      </c>
      <c r="C2425" s="534" t="n">
        <v>8895.82</v>
      </c>
      <c r="E2425" s="535" t="n">
        <v>38749</v>
      </c>
      <c r="F2425" s="534" t="n">
        <v>4.214</v>
      </c>
      <c r="G2425" s="554" t="n"/>
    </row>
    <row r="2426">
      <c r="A2426" s="535" t="n">
        <v>34932</v>
      </c>
      <c r="B2426" s="534" t="n">
        <v>10.061</v>
      </c>
      <c r="C2426" s="534" t="n">
        <v>8900.48</v>
      </c>
      <c r="E2426" s="535" t="n">
        <v>38750</v>
      </c>
      <c r="F2426" s="534" t="n">
        <v>4.253</v>
      </c>
      <c r="G2426" s="554" t="n"/>
    </row>
    <row r="2427">
      <c r="A2427" s="535" t="n">
        <v>34933</v>
      </c>
      <c r="B2427" s="534" t="n">
        <v>10.018</v>
      </c>
      <c r="C2427" s="534" t="n">
        <v>8947.190000000001</v>
      </c>
      <c r="E2427" s="535" t="n">
        <v>38751</v>
      </c>
      <c r="F2427" s="534" t="n">
        <v>4.249</v>
      </c>
      <c r="G2427" s="554" t="n"/>
    </row>
    <row r="2428">
      <c r="A2428" s="535" t="n">
        <v>34934</v>
      </c>
      <c r="B2428" s="534" t="n">
        <v>10.192</v>
      </c>
      <c r="C2428" s="534" t="n">
        <v>9132.639999999999</v>
      </c>
      <c r="E2428" s="535" t="n">
        <v>38754</v>
      </c>
      <c r="F2428" s="534" t="n">
        <v>4.198</v>
      </c>
      <c r="G2428" s="554" t="n"/>
    </row>
    <row r="2429">
      <c r="A2429" s="535" t="n">
        <v>34935</v>
      </c>
      <c r="B2429" s="534" t="n">
        <v>10.105</v>
      </c>
      <c r="C2429" s="534" t="n">
        <v>9058.34</v>
      </c>
      <c r="E2429" s="535" t="n">
        <v>38755</v>
      </c>
      <c r="F2429" s="534" t="n">
        <v>4.194</v>
      </c>
      <c r="G2429" s="554" t="n"/>
    </row>
    <row r="2430">
      <c r="A2430" s="535" t="n">
        <v>34936</v>
      </c>
      <c r="B2430" s="534" t="n">
        <v>10.148</v>
      </c>
      <c r="C2430" s="534" t="n">
        <v>9080.389999999999</v>
      </c>
      <c r="E2430" s="535" t="n">
        <v>38756</v>
      </c>
      <c r="F2430" s="534" t="n">
        <v>4.192</v>
      </c>
      <c r="G2430" s="554" t="n"/>
    </row>
    <row r="2431">
      <c r="A2431" s="535" t="n">
        <v>34939</v>
      </c>
      <c r="B2431" s="534" t="n">
        <v>10.148</v>
      </c>
      <c r="C2431" s="534" t="n">
        <v>9080.389999999999</v>
      </c>
      <c r="E2431" s="535" t="n">
        <v>38757</v>
      </c>
      <c r="F2431" s="534" t="n">
        <v>4.22</v>
      </c>
      <c r="G2431" s="554" t="n"/>
    </row>
    <row r="2432">
      <c r="A2432" s="535" t="n">
        <v>34940</v>
      </c>
      <c r="B2432" s="534" t="n">
        <v>10.236</v>
      </c>
      <c r="C2432" s="534" t="n">
        <v>9152.889999999999</v>
      </c>
      <c r="E2432" s="535" t="n">
        <v>38758</v>
      </c>
      <c r="F2432" s="534" t="n">
        <v>4.232</v>
      </c>
      <c r="G2432" s="554" t="n"/>
    </row>
    <row r="2433">
      <c r="A2433" s="535" t="n">
        <v>34941</v>
      </c>
      <c r="B2433" s="534" t="n">
        <v>10.148</v>
      </c>
      <c r="C2433" s="534" t="n">
        <v>9197.209999999999</v>
      </c>
      <c r="E2433" s="535" t="n">
        <v>38761</v>
      </c>
      <c r="F2433" s="534" t="n">
        <v>4.272</v>
      </c>
      <c r="G2433" s="554" t="n"/>
    </row>
    <row r="2434">
      <c r="A2434" s="535" t="n">
        <v>34942</v>
      </c>
      <c r="B2434" s="534" t="n">
        <v>10.148</v>
      </c>
      <c r="C2434" s="534" t="n">
        <v>9179.860000000001</v>
      </c>
      <c r="E2434" s="535" t="n">
        <v>38762</v>
      </c>
      <c r="F2434" s="534" t="n">
        <v>4.272</v>
      </c>
      <c r="G2434" s="554" t="n"/>
    </row>
    <row r="2435">
      <c r="A2435" s="535" t="n">
        <v>34943</v>
      </c>
      <c r="B2435" s="534" t="n">
        <v>10.105</v>
      </c>
      <c r="C2435" s="534" t="n">
        <v>9196.469999999999</v>
      </c>
      <c r="E2435" s="535" t="n">
        <v>38763</v>
      </c>
      <c r="F2435" s="534" t="n">
        <v>4.369</v>
      </c>
      <c r="G2435" s="554" t="n"/>
    </row>
    <row r="2436">
      <c r="A2436" s="535" t="n">
        <v>34946</v>
      </c>
      <c r="B2436" s="534" t="n">
        <v>10.236</v>
      </c>
      <c r="C2436" s="534" t="n">
        <v>9252.950000000001</v>
      </c>
      <c r="E2436" s="535" t="n">
        <v>38764</v>
      </c>
      <c r="F2436" s="534" t="n">
        <v>4.364</v>
      </c>
      <c r="G2436" s="554" t="n"/>
    </row>
    <row r="2437">
      <c r="A2437" s="535" t="n">
        <v>34947</v>
      </c>
      <c r="B2437" s="534" t="n">
        <v>10.192</v>
      </c>
      <c r="C2437" s="534" t="n">
        <v>9222.91</v>
      </c>
      <c r="E2437" s="535" t="n">
        <v>38765</v>
      </c>
      <c r="F2437" s="534" t="n">
        <v>4.323</v>
      </c>
      <c r="G2437" s="554" t="n"/>
    </row>
    <row r="2438">
      <c r="A2438" s="535" t="n">
        <v>34948</v>
      </c>
      <c r="B2438" s="534" t="n">
        <v>10.279</v>
      </c>
      <c r="C2438" s="534" t="n">
        <v>9194.68</v>
      </c>
      <c r="E2438" s="535" t="n">
        <v>38768</v>
      </c>
      <c r="F2438" s="534" t="n">
        <v>4.245</v>
      </c>
      <c r="G2438" s="554" t="n"/>
    </row>
    <row r="2439">
      <c r="A2439" s="535" t="n">
        <v>34949</v>
      </c>
      <c r="B2439" s="534" t="n">
        <v>10.41</v>
      </c>
      <c r="C2439" s="534" t="n">
        <v>9278.99</v>
      </c>
      <c r="E2439" s="535" t="n">
        <v>38769</v>
      </c>
      <c r="F2439" s="534" t="n">
        <v>4.238</v>
      </c>
      <c r="G2439" s="554" t="n"/>
    </row>
    <row r="2440">
      <c r="A2440" s="535" t="n">
        <v>34950</v>
      </c>
      <c r="B2440" s="534" t="n">
        <v>10.497</v>
      </c>
      <c r="C2440" s="534" t="n">
        <v>9393.209999999999</v>
      </c>
      <c r="E2440" s="535" t="n">
        <v>38770</v>
      </c>
      <c r="F2440" s="534" t="n">
        <v>4.238</v>
      </c>
      <c r="G2440" s="554" t="n"/>
    </row>
    <row r="2441">
      <c r="A2441" s="535" t="n">
        <v>34953</v>
      </c>
      <c r="B2441" s="534" t="n">
        <v>10.54</v>
      </c>
      <c r="C2441" s="534" t="n">
        <v>9438.950000000001</v>
      </c>
      <c r="E2441" s="535" t="n">
        <v>38771</v>
      </c>
      <c r="F2441" s="534" t="n">
        <v>4.194</v>
      </c>
      <c r="G2441" s="554" t="n"/>
    </row>
    <row r="2442">
      <c r="A2442" s="535" t="n">
        <v>34954</v>
      </c>
      <c r="B2442" s="534" t="n">
        <v>10.236</v>
      </c>
      <c r="C2442" s="534" t="n">
        <v>9434.809999999999</v>
      </c>
      <c r="E2442" s="535" t="n">
        <v>38772</v>
      </c>
      <c r="F2442" s="534" t="n">
        <v>4.223</v>
      </c>
      <c r="G2442" s="554" t="n"/>
    </row>
    <row r="2443">
      <c r="A2443" s="535" t="n">
        <v>34955</v>
      </c>
      <c r="B2443" s="534" t="n">
        <v>10.192</v>
      </c>
      <c r="C2443" s="534" t="n">
        <v>9581.360000000001</v>
      </c>
      <c r="E2443" s="535" t="n">
        <v>38775</v>
      </c>
      <c r="F2443" s="534" t="n">
        <v>4.241</v>
      </c>
      <c r="G2443" s="554" t="n"/>
    </row>
    <row r="2444">
      <c r="A2444" s="535" t="n">
        <v>34956</v>
      </c>
      <c r="B2444" s="534" t="n">
        <v>10.061</v>
      </c>
      <c r="C2444" s="534" t="n">
        <v>9680.1</v>
      </c>
      <c r="E2444" s="535" t="n">
        <v>38776</v>
      </c>
      <c r="F2444" s="534" t="n">
        <v>4.27</v>
      </c>
      <c r="G2444" s="554" t="n"/>
    </row>
    <row r="2445">
      <c r="A2445" s="535" t="n">
        <v>34957</v>
      </c>
      <c r="B2445" s="534" t="n">
        <v>10.366</v>
      </c>
      <c r="C2445" s="534" t="n">
        <v>9797.4</v>
      </c>
      <c r="E2445" s="535" t="n">
        <v>38777</v>
      </c>
      <c r="F2445" s="534" t="n">
        <v>4.232</v>
      </c>
      <c r="G2445" s="554" t="n"/>
    </row>
    <row r="2446">
      <c r="A2446" s="535" t="n">
        <v>34960</v>
      </c>
      <c r="B2446" s="534" t="n">
        <v>10.41</v>
      </c>
      <c r="C2446" s="534" t="n">
        <v>9770.049999999999</v>
      </c>
      <c r="E2446" s="535" t="n">
        <v>38778</v>
      </c>
      <c r="F2446" s="534" t="n">
        <v>4.267</v>
      </c>
      <c r="G2446" s="554" t="n"/>
    </row>
    <row r="2447">
      <c r="A2447" s="535" t="n">
        <v>34961</v>
      </c>
      <c r="B2447" s="534" t="n">
        <v>10.061</v>
      </c>
      <c r="C2447" s="534" t="n">
        <v>9646.139999999999</v>
      </c>
      <c r="E2447" s="535" t="n">
        <v>38779</v>
      </c>
      <c r="F2447" s="534" t="n">
        <v>4.324</v>
      </c>
      <c r="G2447" s="554" t="n"/>
    </row>
    <row r="2448">
      <c r="A2448" s="535" t="n">
        <v>34962</v>
      </c>
      <c r="B2448" s="534" t="n">
        <v>9.974</v>
      </c>
      <c r="C2448" s="534" t="n">
        <v>9630.959999999999</v>
      </c>
      <c r="E2448" s="535" t="n">
        <v>38782</v>
      </c>
      <c r="F2448" s="534" t="n">
        <v>4.401</v>
      </c>
      <c r="G2448" s="554" t="n"/>
    </row>
    <row r="2449">
      <c r="A2449" s="535" t="n">
        <v>34963</v>
      </c>
      <c r="B2449" s="534" t="n">
        <v>10.061</v>
      </c>
      <c r="C2449" s="534" t="n">
        <v>9536.27</v>
      </c>
      <c r="E2449" s="535" t="n">
        <v>38783</v>
      </c>
      <c r="F2449" s="534" t="n">
        <v>4.486</v>
      </c>
      <c r="G2449" s="554" t="n"/>
    </row>
    <row r="2450">
      <c r="A2450" s="535" t="n">
        <v>34964</v>
      </c>
      <c r="B2450" s="534" t="n">
        <v>10.148</v>
      </c>
      <c r="C2450" s="534" t="n">
        <v>9541.870000000001</v>
      </c>
      <c r="E2450" s="535" t="n">
        <v>38784</v>
      </c>
      <c r="F2450" s="534" t="n">
        <v>4.47</v>
      </c>
      <c r="G2450" s="554" t="n"/>
    </row>
    <row r="2451">
      <c r="A2451" s="535" t="n">
        <v>34967</v>
      </c>
      <c r="B2451" s="534" t="n">
        <v>10.192</v>
      </c>
      <c r="C2451" s="534" t="n">
        <v>9497.879999999999</v>
      </c>
      <c r="E2451" s="535" t="n">
        <v>38785</v>
      </c>
      <c r="F2451" s="534" t="n">
        <v>4.47</v>
      </c>
      <c r="G2451" s="554" t="n"/>
    </row>
    <row r="2452">
      <c r="A2452" s="535" t="n">
        <v>34968</v>
      </c>
      <c r="B2452" s="534" t="n">
        <v>10.279</v>
      </c>
      <c r="C2452" s="534" t="n">
        <v>9583.34</v>
      </c>
      <c r="E2452" s="535" t="n">
        <v>38786</v>
      </c>
      <c r="F2452" s="534" t="n">
        <v>4.451</v>
      </c>
      <c r="G2452" s="554" t="n"/>
    </row>
    <row r="2453">
      <c r="A2453" s="535" t="n">
        <v>34969</v>
      </c>
      <c r="B2453" s="534" t="n">
        <v>10.236</v>
      </c>
      <c r="C2453" s="534" t="n">
        <v>9650.6</v>
      </c>
      <c r="E2453" s="535" t="n">
        <v>38789</v>
      </c>
      <c r="F2453" s="534" t="n">
        <v>4.491</v>
      </c>
      <c r="G2453" s="554" t="n"/>
    </row>
    <row r="2454">
      <c r="A2454" s="535" t="n">
        <v>34970</v>
      </c>
      <c r="B2454" s="534" t="n">
        <v>10.236</v>
      </c>
      <c r="C2454" s="534" t="n">
        <v>9600.559999999999</v>
      </c>
      <c r="E2454" s="535" t="n">
        <v>38790</v>
      </c>
      <c r="F2454" s="534" t="n">
        <v>4.473</v>
      </c>
      <c r="G2454" s="554" t="n"/>
    </row>
    <row r="2455">
      <c r="A2455" s="535" t="n">
        <v>34971</v>
      </c>
      <c r="B2455" s="534" t="n">
        <v>10.236</v>
      </c>
      <c r="C2455" s="534" t="n">
        <v>9646.34</v>
      </c>
      <c r="E2455" s="535" t="n">
        <v>38791</v>
      </c>
      <c r="F2455" s="534" t="n">
        <v>4.418</v>
      </c>
      <c r="G2455" s="554" t="n"/>
    </row>
    <row r="2456">
      <c r="A2456" s="535" t="n">
        <v>34974</v>
      </c>
      <c r="B2456" s="534" t="n">
        <v>10.279</v>
      </c>
      <c r="C2456" s="534" t="n">
        <v>9724.98</v>
      </c>
      <c r="E2456" s="535" t="n">
        <v>38792</v>
      </c>
      <c r="F2456" s="534" t="n">
        <v>4.442</v>
      </c>
      <c r="G2456" s="554" t="n"/>
    </row>
    <row r="2457">
      <c r="A2457" s="535" t="n">
        <v>34975</v>
      </c>
      <c r="B2457" s="534" t="n">
        <v>10.323</v>
      </c>
      <c r="C2457" s="534" t="n">
        <v>9805.459999999999</v>
      </c>
      <c r="E2457" s="535" t="n">
        <v>38793</v>
      </c>
      <c r="F2457" s="534" t="n">
        <v>4.392</v>
      </c>
      <c r="G2457" s="554" t="n"/>
    </row>
    <row r="2458">
      <c r="A2458" s="535" t="n">
        <v>34976</v>
      </c>
      <c r="B2458" s="534" t="n">
        <v>10.366</v>
      </c>
      <c r="C2458" s="534" t="n">
        <v>9939.950000000001</v>
      </c>
      <c r="E2458" s="535" t="n">
        <v>38796</v>
      </c>
      <c r="F2458" s="534" t="n">
        <v>4.435</v>
      </c>
      <c r="G2458" s="554" t="n"/>
    </row>
    <row r="2459">
      <c r="A2459" s="535" t="n">
        <v>34977</v>
      </c>
      <c r="B2459" s="534" t="n">
        <v>10.453</v>
      </c>
      <c r="C2459" s="534" t="n">
        <v>9888.040000000001</v>
      </c>
      <c r="E2459" s="535" t="n">
        <v>38797</v>
      </c>
      <c r="F2459" s="534" t="n">
        <v>4.444</v>
      </c>
      <c r="G2459" s="554" t="n"/>
    </row>
    <row r="2460">
      <c r="A2460" s="535" t="n">
        <v>34978</v>
      </c>
      <c r="B2460" s="534" t="n">
        <v>10.453</v>
      </c>
      <c r="C2460" s="534" t="n">
        <v>9873.9</v>
      </c>
      <c r="E2460" s="535" t="n">
        <v>38798</v>
      </c>
      <c r="F2460" s="534" t="n">
        <v>4.496</v>
      </c>
      <c r="G2460" s="554" t="n"/>
    </row>
    <row r="2461">
      <c r="A2461" s="535" t="n">
        <v>34981</v>
      </c>
      <c r="B2461" s="534" t="n">
        <v>10.497</v>
      </c>
      <c r="C2461" s="534" t="n">
        <v>9863.440000000001</v>
      </c>
      <c r="E2461" s="535" t="n">
        <v>38799</v>
      </c>
      <c r="F2461" s="534" t="n">
        <v>4.508</v>
      </c>
      <c r="G2461" s="554" t="n"/>
    </row>
    <row r="2462">
      <c r="A2462" s="535" t="n">
        <v>34982</v>
      </c>
      <c r="B2462" s="534" t="n">
        <v>10.497</v>
      </c>
      <c r="C2462" s="534" t="n">
        <v>9730.92</v>
      </c>
      <c r="E2462" s="535" t="n">
        <v>38800</v>
      </c>
      <c r="F2462" s="534" t="n">
        <v>4.554</v>
      </c>
      <c r="G2462" s="554" t="n"/>
    </row>
    <row r="2463">
      <c r="A2463" s="535" t="n">
        <v>34983</v>
      </c>
      <c r="B2463" s="534" t="n">
        <v>10.453</v>
      </c>
      <c r="C2463" s="534" t="n">
        <v>9635.059999999999</v>
      </c>
      <c r="E2463" s="535" t="n">
        <v>38803</v>
      </c>
      <c r="F2463" s="534" t="n">
        <v>4.495</v>
      </c>
      <c r="G2463" s="554" t="n"/>
    </row>
    <row r="2464">
      <c r="A2464" s="535" t="n">
        <v>34984</v>
      </c>
      <c r="B2464" s="534" t="n">
        <v>10.366</v>
      </c>
      <c r="C2464" s="534" t="n">
        <v>9685.139999999999</v>
      </c>
      <c r="E2464" s="535" t="n">
        <v>38804</v>
      </c>
      <c r="F2464" s="534" t="n">
        <v>4.498</v>
      </c>
      <c r="G2464" s="554" t="n"/>
    </row>
    <row r="2465">
      <c r="A2465" s="535" t="n">
        <v>34985</v>
      </c>
      <c r="B2465" s="534" t="n">
        <v>10.453</v>
      </c>
      <c r="C2465" s="534" t="n">
        <v>9883.780000000001</v>
      </c>
      <c r="E2465" s="535" t="n">
        <v>38805</v>
      </c>
      <c r="F2465" s="534" t="n">
        <v>4.561</v>
      </c>
      <c r="G2465" s="554" t="n"/>
    </row>
    <row r="2466">
      <c r="A2466" s="535" t="n">
        <v>34988</v>
      </c>
      <c r="B2466" s="534" t="n">
        <v>10.54</v>
      </c>
      <c r="C2466" s="534" t="n">
        <v>10009.28</v>
      </c>
      <c r="E2466" s="535" t="n">
        <v>38806</v>
      </c>
      <c r="F2466" s="534" t="n">
        <v>4.55</v>
      </c>
      <c r="G2466" s="554" t="n"/>
    </row>
    <row r="2467">
      <c r="A2467" s="535" t="n">
        <v>34989</v>
      </c>
      <c r="B2467" s="534" t="n">
        <v>10.453</v>
      </c>
      <c r="C2467" s="534" t="n">
        <v>10032.93</v>
      </c>
      <c r="E2467" s="535" t="n">
        <v>38807</v>
      </c>
      <c r="F2467" s="534" t="n">
        <v>4.61</v>
      </c>
      <c r="G2467" s="554" t="n"/>
    </row>
    <row r="2468">
      <c r="A2468" s="535" t="n">
        <v>34990</v>
      </c>
      <c r="B2468" s="534" t="n">
        <v>10.54</v>
      </c>
      <c r="C2468" s="534" t="n">
        <v>9973.700000000001</v>
      </c>
      <c r="E2468" s="535" t="n">
        <v>38810</v>
      </c>
      <c r="F2468" s="534" t="n">
        <v>4.627</v>
      </c>
      <c r="G2468" s="554" t="n"/>
    </row>
    <row r="2469">
      <c r="A2469" s="535" t="n">
        <v>34991</v>
      </c>
      <c r="B2469" s="534" t="n">
        <v>10.497</v>
      </c>
      <c r="C2469" s="534" t="n">
        <v>9981.610000000001</v>
      </c>
      <c r="E2469" s="535" t="n">
        <v>38811</v>
      </c>
      <c r="F2469" s="534" t="n">
        <v>4.644</v>
      </c>
      <c r="G2469" s="554" t="n"/>
    </row>
    <row r="2470">
      <c r="A2470" s="535" t="n">
        <v>34992</v>
      </c>
      <c r="B2470" s="534" t="n">
        <v>10.54</v>
      </c>
      <c r="C2470" s="534" t="n">
        <v>9895.24</v>
      </c>
      <c r="E2470" s="535" t="n">
        <v>38812</v>
      </c>
      <c r="F2470" s="534" t="n">
        <v>4.644</v>
      </c>
      <c r="G2470" s="554" t="n"/>
    </row>
    <row r="2471">
      <c r="A2471" s="535" t="n">
        <v>34995</v>
      </c>
      <c r="B2471" s="534" t="n">
        <v>10.453</v>
      </c>
      <c r="C2471" s="534" t="n">
        <v>9880.530000000001</v>
      </c>
      <c r="E2471" s="535" t="n">
        <v>38813</v>
      </c>
      <c r="F2471" s="534" t="n">
        <v>4.604</v>
      </c>
      <c r="G2471" s="554" t="n"/>
    </row>
    <row r="2472">
      <c r="A2472" s="535" t="n">
        <v>34996</v>
      </c>
      <c r="B2472" s="534" t="n">
        <v>10.105</v>
      </c>
      <c r="C2472" s="534" t="n">
        <v>9775.66</v>
      </c>
      <c r="E2472" s="535" t="n">
        <v>38814</v>
      </c>
      <c r="F2472" s="534" t="n">
        <v>4.635</v>
      </c>
      <c r="G2472" s="554" t="n"/>
    </row>
    <row r="2473">
      <c r="A2473" s="535" t="n">
        <v>34997</v>
      </c>
      <c r="B2473" s="534" t="n">
        <v>9.974</v>
      </c>
      <c r="C2473" s="534" t="n">
        <v>9841.059999999999</v>
      </c>
      <c r="E2473" s="535" t="n">
        <v>38817</v>
      </c>
      <c r="F2473" s="534" t="n">
        <v>4.687</v>
      </c>
      <c r="G2473" s="554" t="n"/>
    </row>
    <row r="2474">
      <c r="A2474" s="535" t="n">
        <v>34998</v>
      </c>
      <c r="B2474" s="534" t="n">
        <v>9.974</v>
      </c>
      <c r="C2474" s="534" t="n">
        <v>9774.48</v>
      </c>
      <c r="E2474" s="535" t="n">
        <v>38818</v>
      </c>
      <c r="F2474" s="534" t="n">
        <v>4.687</v>
      </c>
      <c r="G2474" s="554" t="n"/>
    </row>
    <row r="2475">
      <c r="A2475" s="535" t="n">
        <v>34999</v>
      </c>
      <c r="B2475" s="534" t="n">
        <v>9.712999999999999</v>
      </c>
      <c r="C2475" s="534" t="n">
        <v>9680.75</v>
      </c>
      <c r="E2475" s="535" t="n">
        <v>38819</v>
      </c>
      <c r="F2475" s="534" t="n">
        <v>4.678</v>
      </c>
      <c r="G2475" s="554" t="n"/>
    </row>
    <row r="2476">
      <c r="A2476" s="535" t="n">
        <v>35002</v>
      </c>
      <c r="B2476" s="534" t="n">
        <v>9.756</v>
      </c>
      <c r="C2476" s="534" t="n">
        <v>9672.389999999999</v>
      </c>
      <c r="E2476" s="535" t="n">
        <v>38820</v>
      </c>
      <c r="F2476" s="534" t="n">
        <v>4.732</v>
      </c>
      <c r="G2476" s="554" t="n"/>
    </row>
    <row r="2477">
      <c r="A2477" s="535" t="n">
        <v>35003</v>
      </c>
      <c r="B2477" s="534" t="n">
        <v>9.930999999999999</v>
      </c>
      <c r="C2477" s="534" t="n">
        <v>9782.389999999999</v>
      </c>
      <c r="E2477" s="535" t="n">
        <v>38821</v>
      </c>
      <c r="F2477" s="534" t="n">
        <v>4.732</v>
      </c>
      <c r="G2477" s="554" t="n"/>
    </row>
    <row r="2478">
      <c r="A2478" s="535" t="n">
        <v>35004</v>
      </c>
      <c r="B2478" s="534" t="n">
        <v>9.930999999999999</v>
      </c>
      <c r="C2478" s="534" t="n">
        <v>9782.389999999999</v>
      </c>
      <c r="E2478" s="535" t="n">
        <v>38824</v>
      </c>
      <c r="F2478" s="534" t="n">
        <v>4.732</v>
      </c>
      <c r="G2478" s="554" t="n"/>
    </row>
    <row r="2479">
      <c r="A2479" s="535" t="n">
        <v>35005</v>
      </c>
      <c r="B2479" s="534" t="n">
        <v>9.756</v>
      </c>
      <c r="C2479" s="534" t="n">
        <v>9749.360000000001</v>
      </c>
      <c r="E2479" s="535" t="n">
        <v>38825</v>
      </c>
      <c r="F2479" s="534" t="n">
        <v>4.763</v>
      </c>
      <c r="G2479" s="554" t="n"/>
    </row>
    <row r="2480">
      <c r="A2480" s="535" t="n">
        <v>35006</v>
      </c>
      <c r="B2480" s="534" t="n">
        <v>9.887</v>
      </c>
      <c r="C2480" s="534" t="n">
        <v>9855.799999999999</v>
      </c>
      <c r="E2480" s="535" t="n">
        <v>38826</v>
      </c>
      <c r="F2480" s="534" t="n">
        <v>4.742</v>
      </c>
      <c r="G2480" s="554" t="n"/>
    </row>
    <row r="2481">
      <c r="A2481" s="535" t="n">
        <v>35009</v>
      </c>
      <c r="B2481" s="534" t="n">
        <v>9.800000000000001</v>
      </c>
      <c r="C2481" s="534" t="n">
        <v>9736.1</v>
      </c>
      <c r="E2481" s="535" t="n">
        <v>38827</v>
      </c>
      <c r="F2481" s="534" t="n">
        <v>4.789</v>
      </c>
      <c r="G2481" s="554" t="n"/>
    </row>
    <row r="2482">
      <c r="A2482" s="535" t="n">
        <v>35010</v>
      </c>
      <c r="B2482" s="534" t="n">
        <v>9.843999999999999</v>
      </c>
      <c r="C2482" s="534" t="n">
        <v>9732.41</v>
      </c>
      <c r="E2482" s="535" t="n">
        <v>38828</v>
      </c>
      <c r="F2482" s="534" t="n">
        <v>4.809</v>
      </c>
      <c r="G2482" s="554" t="n"/>
    </row>
    <row r="2483">
      <c r="A2483" s="535" t="n">
        <v>35011</v>
      </c>
      <c r="B2483" s="534" t="n">
        <v>9.712999999999999</v>
      </c>
      <c r="C2483" s="534" t="n">
        <v>9562.450000000001</v>
      </c>
      <c r="E2483" s="535" t="n">
        <v>38831</v>
      </c>
      <c r="F2483" s="534" t="n">
        <v>4.787</v>
      </c>
      <c r="G2483" s="554" t="n"/>
    </row>
    <row r="2484">
      <c r="A2484" s="535" t="n">
        <v>35012</v>
      </c>
      <c r="B2484" s="534" t="n">
        <v>9.582000000000001</v>
      </c>
      <c r="C2484" s="534" t="n">
        <v>9497.83</v>
      </c>
      <c r="E2484" s="535" t="n">
        <v>38832</v>
      </c>
      <c r="F2484" s="534" t="n">
        <v>4.738</v>
      </c>
      <c r="G2484" s="554" t="n"/>
    </row>
    <row r="2485">
      <c r="A2485" s="535" t="n">
        <v>35013</v>
      </c>
      <c r="B2485" s="534" t="n">
        <v>9.452</v>
      </c>
      <c r="C2485" s="534" t="n">
        <v>9411.85</v>
      </c>
      <c r="E2485" s="535" t="n">
        <v>38833</v>
      </c>
      <c r="F2485" s="534" t="n">
        <v>4.828</v>
      </c>
      <c r="G2485" s="554" t="n"/>
    </row>
    <row r="2486">
      <c r="A2486" s="535" t="n">
        <v>35016</v>
      </c>
      <c r="B2486" s="534" t="n">
        <v>9.539</v>
      </c>
      <c r="C2486" s="534" t="n">
        <v>9385.219999999999</v>
      </c>
      <c r="E2486" s="535" t="n">
        <v>38834</v>
      </c>
      <c r="F2486" s="534" t="n">
        <v>4.867</v>
      </c>
      <c r="G2486" s="554" t="n"/>
    </row>
    <row r="2487">
      <c r="A2487" s="535" t="n">
        <v>35017</v>
      </c>
      <c r="B2487" s="534" t="n">
        <v>9.539</v>
      </c>
      <c r="C2487" s="534" t="n">
        <v>9407.370000000001</v>
      </c>
      <c r="E2487" s="535" t="n">
        <v>38835</v>
      </c>
      <c r="F2487" s="534" t="n">
        <v>4.863</v>
      </c>
      <c r="G2487" s="554" t="n"/>
    </row>
    <row r="2488">
      <c r="A2488" s="535" t="n">
        <v>35018</v>
      </c>
      <c r="B2488" s="534" t="n">
        <v>9.669</v>
      </c>
      <c r="C2488" s="534" t="n">
        <v>9431.379999999999</v>
      </c>
      <c r="E2488" s="535" t="n">
        <v>38838</v>
      </c>
      <c r="F2488" s="534" t="n">
        <v>4.863</v>
      </c>
      <c r="G2488" s="554" t="n"/>
    </row>
    <row r="2489">
      <c r="A2489" s="535" t="n">
        <v>35019</v>
      </c>
      <c r="B2489" s="534" t="n">
        <v>9.452</v>
      </c>
      <c r="C2489" s="534" t="n">
        <v>9367.65</v>
      </c>
      <c r="E2489" s="535" t="n">
        <v>38839</v>
      </c>
      <c r="F2489" s="534" t="n">
        <v>4.909</v>
      </c>
      <c r="G2489" s="554" t="n"/>
    </row>
    <row r="2490">
      <c r="A2490" s="535" t="n">
        <v>35020</v>
      </c>
      <c r="B2490" s="534" t="n">
        <v>9.321</v>
      </c>
      <c r="C2490" s="534" t="n">
        <v>9287.9</v>
      </c>
      <c r="E2490" s="535" t="n">
        <v>38840</v>
      </c>
      <c r="F2490" s="534" t="n">
        <v>4.891</v>
      </c>
      <c r="G2490" s="554" t="n"/>
    </row>
    <row r="2491">
      <c r="A2491" s="535" t="n">
        <v>35023</v>
      </c>
      <c r="B2491" s="534" t="n">
        <v>9.539</v>
      </c>
      <c r="C2491" s="534" t="n">
        <v>9373.91</v>
      </c>
      <c r="E2491" s="535" t="n">
        <v>38841</v>
      </c>
      <c r="F2491" s="534" t="n">
        <v>4.916</v>
      </c>
      <c r="G2491" s="554" t="n"/>
    </row>
    <row r="2492">
      <c r="A2492" s="535" t="n">
        <v>35024</v>
      </c>
      <c r="B2492" s="534" t="n">
        <v>9.625999999999999</v>
      </c>
      <c r="C2492" s="534" t="n">
        <v>9452.09</v>
      </c>
      <c r="E2492" s="535" t="n">
        <v>38842</v>
      </c>
      <c r="F2492" s="534" t="n">
        <v>4.916</v>
      </c>
      <c r="G2492" s="554" t="n"/>
    </row>
    <row r="2493">
      <c r="A2493" s="535" t="n">
        <v>35025</v>
      </c>
      <c r="B2493" s="534" t="n">
        <v>9.494999999999999</v>
      </c>
      <c r="C2493" s="534" t="n">
        <v>9501.610000000001</v>
      </c>
      <c r="E2493" s="535" t="n">
        <v>38845</v>
      </c>
      <c r="F2493" s="534" t="n">
        <v>4.878</v>
      </c>
      <c r="G2493" s="554" t="n"/>
    </row>
    <row r="2494">
      <c r="A2494" s="535" t="n">
        <v>35026</v>
      </c>
      <c r="B2494" s="534" t="n">
        <v>9.669</v>
      </c>
      <c r="C2494" s="534" t="n">
        <v>9505.67</v>
      </c>
      <c r="E2494" s="535" t="n">
        <v>38846</v>
      </c>
      <c r="F2494" s="534" t="n">
        <v>4.911</v>
      </c>
      <c r="G2494" s="554" t="n"/>
    </row>
    <row r="2495">
      <c r="A2495" s="535" t="n">
        <v>35027</v>
      </c>
      <c r="B2495" s="534" t="n">
        <v>9.669</v>
      </c>
      <c r="C2495" s="534" t="n">
        <v>9488.75</v>
      </c>
      <c r="E2495" s="535" t="n">
        <v>38847</v>
      </c>
      <c r="F2495" s="534" t="n">
        <v>4.899</v>
      </c>
      <c r="G2495" s="554" t="n"/>
    </row>
    <row r="2496">
      <c r="A2496" s="535" t="n">
        <v>35030</v>
      </c>
      <c r="B2496" s="534" t="n">
        <v>9.756</v>
      </c>
      <c r="C2496" s="534" t="n">
        <v>9523.870000000001</v>
      </c>
      <c r="E2496" s="535" t="n">
        <v>38848</v>
      </c>
      <c r="F2496" s="534" t="n">
        <v>4.881</v>
      </c>
      <c r="G2496" s="554" t="n"/>
    </row>
    <row r="2497">
      <c r="A2497" s="535" t="n">
        <v>35031</v>
      </c>
      <c r="B2497" s="534" t="n">
        <v>9.843999999999999</v>
      </c>
      <c r="C2497" s="534" t="n">
        <v>9623.790000000001</v>
      </c>
      <c r="E2497" s="535" t="n">
        <v>38849</v>
      </c>
      <c r="F2497" s="534" t="n">
        <v>4.909</v>
      </c>
      <c r="G2497" s="554" t="n"/>
    </row>
    <row r="2498">
      <c r="A2498" s="535" t="n">
        <v>35032</v>
      </c>
      <c r="B2498" s="534" t="n">
        <v>9.930999999999999</v>
      </c>
      <c r="C2498" s="534" t="n">
        <v>9617.32</v>
      </c>
      <c r="E2498" s="535" t="n">
        <v>38852</v>
      </c>
      <c r="F2498" s="534" t="n">
        <v>4.976</v>
      </c>
      <c r="G2498" s="554" t="n"/>
    </row>
    <row r="2499">
      <c r="A2499" s="535" t="n">
        <v>35033</v>
      </c>
      <c r="B2499" s="534" t="n">
        <v>10.061</v>
      </c>
      <c r="C2499" s="534" t="n">
        <v>9813.34</v>
      </c>
      <c r="E2499" s="535" t="n">
        <v>38853</v>
      </c>
      <c r="F2499" s="534" t="n">
        <v>4.94</v>
      </c>
      <c r="G2499" s="554" t="n"/>
    </row>
    <row r="2500">
      <c r="A2500" s="535" t="n">
        <v>35034</v>
      </c>
      <c r="B2500" s="534" t="n">
        <v>10.236</v>
      </c>
      <c r="C2500" s="534" t="n">
        <v>9862.549999999999</v>
      </c>
      <c r="E2500" s="535" t="n">
        <v>38854</v>
      </c>
      <c r="F2500" s="534" t="n">
        <v>4.883</v>
      </c>
      <c r="G2500" s="554" t="n"/>
    </row>
    <row r="2501">
      <c r="A2501" s="535" t="n">
        <v>35037</v>
      </c>
      <c r="B2501" s="534" t="n">
        <v>10.453</v>
      </c>
      <c r="C2501" s="534" t="n">
        <v>9940.629999999999</v>
      </c>
      <c r="E2501" s="535" t="n">
        <v>38855</v>
      </c>
      <c r="F2501" s="534" t="n">
        <v>4.89</v>
      </c>
      <c r="G2501" s="554" t="n"/>
    </row>
    <row r="2502">
      <c r="A2502" s="535" t="n">
        <v>35038</v>
      </c>
      <c r="B2502" s="534" t="n">
        <v>10.54</v>
      </c>
      <c r="C2502" s="534" t="n">
        <v>9975.370000000001</v>
      </c>
      <c r="E2502" s="535" t="n">
        <v>38856</v>
      </c>
      <c r="F2502" s="534" t="n">
        <v>4.897</v>
      </c>
      <c r="G2502" s="554" t="n"/>
    </row>
    <row r="2503">
      <c r="A2503" s="535" t="n">
        <v>35039</v>
      </c>
      <c r="B2503" s="534" t="n">
        <v>10.628</v>
      </c>
      <c r="C2503" s="534" t="n">
        <v>9898.889999999999</v>
      </c>
      <c r="E2503" s="535" t="n">
        <v>38859</v>
      </c>
      <c r="F2503" s="534" t="n">
        <v>4.882</v>
      </c>
      <c r="G2503" s="554" t="n"/>
    </row>
    <row r="2504">
      <c r="A2504" s="535" t="n">
        <v>35040</v>
      </c>
      <c r="B2504" s="534" t="n">
        <v>10.628</v>
      </c>
      <c r="C2504" s="534" t="n">
        <v>9863.98</v>
      </c>
      <c r="E2504" s="535" t="n">
        <v>38860</v>
      </c>
      <c r="F2504" s="534" t="n">
        <v>4.903</v>
      </c>
      <c r="G2504" s="554" t="n"/>
    </row>
    <row r="2505">
      <c r="A2505" s="535" t="n">
        <v>35041</v>
      </c>
      <c r="B2505" s="534" t="n">
        <v>10.628</v>
      </c>
      <c r="C2505" s="534" t="n">
        <v>9863.610000000001</v>
      </c>
      <c r="E2505" s="535" t="n">
        <v>38861</v>
      </c>
      <c r="F2505" s="534" t="n">
        <v>4.905</v>
      </c>
      <c r="G2505" s="554" t="n"/>
    </row>
    <row r="2506">
      <c r="A2506" s="535" t="n">
        <v>35044</v>
      </c>
      <c r="B2506" s="534" t="n">
        <v>10.628</v>
      </c>
      <c r="C2506" s="534" t="n">
        <v>9835.17</v>
      </c>
      <c r="E2506" s="535" t="n">
        <v>38862</v>
      </c>
      <c r="F2506" s="534" t="n">
        <v>4.887</v>
      </c>
      <c r="G2506" s="554" t="n"/>
    </row>
    <row r="2507">
      <c r="A2507" s="535" t="n">
        <v>35045</v>
      </c>
      <c r="B2507" s="534" t="n">
        <v>10.584</v>
      </c>
      <c r="C2507" s="534" t="n">
        <v>9927.790000000001</v>
      </c>
      <c r="E2507" s="535" t="n">
        <v>38863</v>
      </c>
      <c r="F2507" s="534" t="n">
        <v>4.901</v>
      </c>
      <c r="G2507" s="554" t="n"/>
    </row>
    <row r="2508">
      <c r="A2508" s="535" t="n">
        <v>35046</v>
      </c>
      <c r="B2508" s="534" t="n">
        <v>10.497</v>
      </c>
      <c r="C2508" s="534" t="n">
        <v>9920.879999999999</v>
      </c>
      <c r="E2508" s="535" t="n">
        <v>38866</v>
      </c>
      <c r="F2508" s="534" t="n">
        <v>4.915</v>
      </c>
      <c r="G2508" s="554" t="n"/>
    </row>
    <row r="2509">
      <c r="A2509" s="535" t="n">
        <v>35047</v>
      </c>
      <c r="B2509" s="534" t="n">
        <v>10.323</v>
      </c>
      <c r="C2509" s="534" t="n">
        <v>9912.84</v>
      </c>
      <c r="E2509" s="535" t="n">
        <v>38867</v>
      </c>
      <c r="F2509" s="534" t="n">
        <v>4.89</v>
      </c>
      <c r="G2509" s="554" t="n"/>
    </row>
    <row r="2510">
      <c r="A2510" s="535" t="n">
        <v>35048</v>
      </c>
      <c r="B2510" s="534" t="n">
        <v>10.453</v>
      </c>
      <c r="C2510" s="534" t="n">
        <v>9858.65</v>
      </c>
      <c r="E2510" s="535" t="n">
        <v>38868</v>
      </c>
      <c r="F2510" s="534" t="n">
        <v>4.89</v>
      </c>
      <c r="G2510" s="554" t="n"/>
    </row>
    <row r="2511">
      <c r="A2511" s="535" t="n">
        <v>35051</v>
      </c>
      <c r="B2511" s="534" t="n">
        <v>10.453</v>
      </c>
      <c r="C2511" s="534" t="n">
        <v>9806.58</v>
      </c>
      <c r="E2511" s="535" t="n">
        <v>38869</v>
      </c>
      <c r="F2511" s="534" t="n">
        <v>4.985</v>
      </c>
      <c r="G2511" s="554" t="n"/>
    </row>
    <row r="2512">
      <c r="A2512" s="535" t="n">
        <v>35052</v>
      </c>
      <c r="B2512" s="534" t="n">
        <v>10.148</v>
      </c>
      <c r="C2512" s="534" t="n">
        <v>9705.860000000001</v>
      </c>
      <c r="E2512" s="535" t="n">
        <v>38870</v>
      </c>
      <c r="F2512" s="534" t="n">
        <v>4.888</v>
      </c>
      <c r="G2512" s="554" t="n"/>
    </row>
    <row r="2513">
      <c r="A2513" s="535" t="n">
        <v>35053</v>
      </c>
      <c r="B2513" s="534" t="n">
        <v>10.41</v>
      </c>
      <c r="C2513" s="534" t="n">
        <v>9877.860000000001</v>
      </c>
      <c r="E2513" s="535" t="n">
        <v>38873</v>
      </c>
      <c r="F2513" s="534" t="n">
        <v>4.799</v>
      </c>
      <c r="G2513" s="554" t="n"/>
    </row>
    <row r="2514">
      <c r="A2514" s="535" t="n">
        <v>35054</v>
      </c>
      <c r="B2514" s="534" t="n">
        <v>10.366</v>
      </c>
      <c r="C2514" s="534" t="n">
        <v>9907.610000000001</v>
      </c>
      <c r="E2514" s="535" t="n">
        <v>38874</v>
      </c>
      <c r="F2514" s="534" t="n">
        <v>4.865</v>
      </c>
      <c r="G2514" s="554" t="n"/>
    </row>
    <row r="2515">
      <c r="A2515" s="535" t="n">
        <v>35055</v>
      </c>
      <c r="B2515" s="534" t="n">
        <v>10.279</v>
      </c>
      <c r="C2515" s="534" t="n">
        <v>9932.200000000001</v>
      </c>
      <c r="E2515" s="535" t="n">
        <v>38875</v>
      </c>
      <c r="F2515" s="534" t="n">
        <v>4.842</v>
      </c>
      <c r="G2515" s="554" t="n"/>
    </row>
    <row r="2516">
      <c r="A2516" s="535" t="n">
        <v>35058</v>
      </c>
      <c r="B2516" s="534" t="n">
        <v>10.279</v>
      </c>
      <c r="C2516" s="534" t="n">
        <v>9932.200000000001</v>
      </c>
      <c r="E2516" s="535" t="n">
        <v>38876</v>
      </c>
      <c r="F2516" s="534" t="n">
        <v>4.816</v>
      </c>
      <c r="G2516" s="554" t="n"/>
    </row>
    <row r="2517">
      <c r="A2517" s="535" t="n">
        <v>35059</v>
      </c>
      <c r="B2517" s="534" t="n">
        <v>10.279</v>
      </c>
      <c r="C2517" s="534" t="n">
        <v>9932.200000000001</v>
      </c>
      <c r="E2517" s="535" t="n">
        <v>38877</v>
      </c>
      <c r="F2517" s="534" t="n">
        <v>4.792</v>
      </c>
      <c r="G2517" s="554" t="n"/>
    </row>
    <row r="2518">
      <c r="A2518" s="535" t="n">
        <v>35060</v>
      </c>
      <c r="B2518" s="534" t="n">
        <v>10.279</v>
      </c>
      <c r="C2518" s="534" t="n">
        <v>9985.23</v>
      </c>
      <c r="E2518" s="535" t="n">
        <v>38880</v>
      </c>
      <c r="F2518" s="534" t="n">
        <v>4.793</v>
      </c>
      <c r="G2518" s="554" t="n"/>
    </row>
    <row r="2519">
      <c r="A2519" s="535" t="n">
        <v>35061</v>
      </c>
      <c r="B2519" s="534" t="n">
        <v>10.236</v>
      </c>
      <c r="C2519" s="534" t="n">
        <v>9998.17</v>
      </c>
      <c r="E2519" s="535" t="n">
        <v>38881</v>
      </c>
      <c r="F2519" s="534" t="n">
        <v>4.746</v>
      </c>
      <c r="G2519" s="554" t="n"/>
    </row>
    <row r="2520">
      <c r="A2520" s="535" t="n">
        <v>35062</v>
      </c>
      <c r="B2520" s="534" t="n">
        <v>10.279</v>
      </c>
      <c r="C2520" s="534" t="n">
        <v>10073.39</v>
      </c>
      <c r="E2520" s="535" t="n">
        <v>38882</v>
      </c>
      <c r="F2520" s="534" t="n">
        <v>4.75</v>
      </c>
      <c r="G2520" s="554" t="n"/>
    </row>
    <row r="2521">
      <c r="A2521" s="535" t="n">
        <v>35065</v>
      </c>
      <c r="B2521" s="534" t="n">
        <v>10.279</v>
      </c>
      <c r="C2521" s="534" t="n">
        <v>10073.39</v>
      </c>
      <c r="E2521" s="535" t="n">
        <v>38883</v>
      </c>
      <c r="F2521" s="534" t="n">
        <v>4.79</v>
      </c>
      <c r="G2521" s="554" t="n"/>
    </row>
    <row r="2522">
      <c r="A2522" s="535" t="n">
        <v>35066</v>
      </c>
      <c r="B2522" s="534" t="n">
        <v>10.366</v>
      </c>
      <c r="C2522" s="534" t="n">
        <v>10204.87</v>
      </c>
      <c r="E2522" s="535" t="n">
        <v>38884</v>
      </c>
      <c r="F2522" s="534" t="n">
        <v>4.824</v>
      </c>
      <c r="G2522" s="554" t="n"/>
    </row>
    <row r="2523">
      <c r="A2523" s="535" t="n">
        <v>35067</v>
      </c>
      <c r="B2523" s="534" t="n">
        <v>10.453</v>
      </c>
      <c r="C2523" s="534" t="n">
        <v>10397.44</v>
      </c>
      <c r="E2523" s="535" t="n">
        <v>38887</v>
      </c>
      <c r="F2523" s="534" t="n">
        <v>4.846</v>
      </c>
      <c r="G2523" s="554" t="n"/>
    </row>
    <row r="2524">
      <c r="A2524" s="535" t="n">
        <v>35068</v>
      </c>
      <c r="B2524" s="534" t="n">
        <v>10.628</v>
      </c>
      <c r="C2524" s="534" t="n">
        <v>10573.9</v>
      </c>
      <c r="E2524" s="535" t="n">
        <v>38888</v>
      </c>
      <c r="F2524" s="534" t="n">
        <v>4.86</v>
      </c>
      <c r="G2524" s="554" t="n"/>
    </row>
    <row r="2525">
      <c r="A2525" s="535" t="n">
        <v>35069</v>
      </c>
      <c r="B2525" s="534" t="n">
        <v>10.889</v>
      </c>
      <c r="C2525" s="534" t="n">
        <v>10529.9</v>
      </c>
      <c r="E2525" s="535" t="n">
        <v>38889</v>
      </c>
      <c r="F2525" s="534" t="n">
        <v>4.874</v>
      </c>
      <c r="G2525" s="554" t="n"/>
    </row>
    <row r="2526">
      <c r="A2526" s="535" t="n">
        <v>35072</v>
      </c>
      <c r="B2526" s="534" t="n">
        <v>10.802</v>
      </c>
      <c r="C2526" s="534" t="n">
        <v>10466.67</v>
      </c>
      <c r="E2526" s="535" t="n">
        <v>38890</v>
      </c>
      <c r="F2526" s="534" t="n">
        <v>4.885</v>
      </c>
      <c r="G2526" s="554" t="n"/>
    </row>
    <row r="2527">
      <c r="A2527" s="535" t="n">
        <v>35073</v>
      </c>
      <c r="B2527" s="534" t="n">
        <v>10.584</v>
      </c>
      <c r="C2527" s="534" t="n">
        <v>10427.2</v>
      </c>
      <c r="E2527" s="535" t="n">
        <v>38891</v>
      </c>
      <c r="F2527" s="534" t="n">
        <v>4.917</v>
      </c>
      <c r="G2527" s="554" t="n"/>
    </row>
    <row r="2528">
      <c r="A2528" s="535" t="n">
        <v>35074</v>
      </c>
      <c r="B2528" s="534" t="n">
        <v>10.453</v>
      </c>
      <c r="C2528" s="534" t="n">
        <v>10304.63</v>
      </c>
      <c r="E2528" s="535" t="n">
        <v>38894</v>
      </c>
      <c r="F2528" s="534" t="n">
        <v>4.932</v>
      </c>
      <c r="G2528" s="554" t="n"/>
    </row>
    <row r="2529">
      <c r="A2529" s="535" t="n">
        <v>35075</v>
      </c>
      <c r="B2529" s="534" t="n">
        <v>10.889</v>
      </c>
      <c r="C2529" s="534" t="n">
        <v>10429.82</v>
      </c>
      <c r="E2529" s="535" t="n">
        <v>38895</v>
      </c>
      <c r="F2529" s="534" t="n">
        <v>4.924</v>
      </c>
      <c r="G2529" s="554" t="n"/>
    </row>
    <row r="2530">
      <c r="A2530" s="535" t="n">
        <v>35076</v>
      </c>
      <c r="B2530" s="534" t="n">
        <v>11.063</v>
      </c>
      <c r="C2530" s="534" t="n">
        <v>10540.01</v>
      </c>
      <c r="E2530" s="535" t="n">
        <v>38896</v>
      </c>
      <c r="F2530" s="534" t="n">
        <v>4.913</v>
      </c>
      <c r="G2530" s="554" t="n"/>
    </row>
    <row r="2531">
      <c r="A2531" s="535" t="n">
        <v>35079</v>
      </c>
      <c r="B2531" s="534" t="n">
        <v>11.15</v>
      </c>
      <c r="C2531" s="534" t="n">
        <v>10634.5</v>
      </c>
      <c r="E2531" s="535" t="n">
        <v>38897</v>
      </c>
      <c r="F2531" s="534" t="n">
        <v>4.919</v>
      </c>
      <c r="G2531" s="554" t="n"/>
    </row>
    <row r="2532">
      <c r="A2532" s="535" t="n">
        <v>35080</v>
      </c>
      <c r="B2532" s="534" t="n">
        <v>10.845</v>
      </c>
      <c r="C2532" s="534" t="n">
        <v>10671.15</v>
      </c>
      <c r="E2532" s="535" t="n">
        <v>38898</v>
      </c>
      <c r="F2532" s="534" t="n">
        <v>4.873</v>
      </c>
      <c r="G2532" s="554" t="n"/>
    </row>
    <row r="2533">
      <c r="A2533" s="535" t="n">
        <v>35081</v>
      </c>
      <c r="B2533" s="534" t="n">
        <v>10.889</v>
      </c>
      <c r="C2533" s="534" t="n">
        <v>10593.82</v>
      </c>
      <c r="E2533" s="535" t="n">
        <v>38901</v>
      </c>
      <c r="F2533" s="534" t="n">
        <v>4.835</v>
      </c>
      <c r="G2533" s="554" t="n"/>
    </row>
    <row r="2534">
      <c r="A2534" s="535" t="n">
        <v>35082</v>
      </c>
      <c r="B2534" s="534" t="n">
        <v>10.802</v>
      </c>
      <c r="C2534" s="534" t="n">
        <v>10536.49</v>
      </c>
      <c r="E2534" s="535" t="n">
        <v>38902</v>
      </c>
      <c r="F2534" s="534" t="n">
        <v>4.865</v>
      </c>
      <c r="G2534" s="554" t="n"/>
    </row>
    <row r="2535">
      <c r="A2535" s="535" t="n">
        <v>35083</v>
      </c>
      <c r="B2535" s="534" t="n">
        <v>11.063</v>
      </c>
      <c r="C2535" s="534" t="n">
        <v>10764.09</v>
      </c>
      <c r="E2535" s="535" t="n">
        <v>38903</v>
      </c>
      <c r="F2535" s="534" t="n">
        <v>4.895</v>
      </c>
      <c r="G2535" s="554" t="n"/>
    </row>
    <row r="2536">
      <c r="A2536" s="535" t="n">
        <v>35086</v>
      </c>
      <c r="B2536" s="534" t="n">
        <v>11.063</v>
      </c>
      <c r="C2536" s="534" t="n">
        <v>10955.33</v>
      </c>
      <c r="E2536" s="535" t="n">
        <v>38904</v>
      </c>
      <c r="F2536" s="534" t="n">
        <v>4.945</v>
      </c>
      <c r="G2536" s="554" t="n"/>
    </row>
    <row r="2537">
      <c r="A2537" s="535" t="n">
        <v>35087</v>
      </c>
      <c r="B2537" s="534" t="n">
        <v>10.845</v>
      </c>
      <c r="C2537" s="534" t="n">
        <v>10957.22</v>
      </c>
      <c r="E2537" s="535" t="n">
        <v>38905</v>
      </c>
      <c r="F2537" s="534" t="n">
        <v>4.898</v>
      </c>
      <c r="G2537" s="554" t="n"/>
    </row>
    <row r="2538">
      <c r="A2538" s="535" t="n">
        <v>35088</v>
      </c>
      <c r="B2538" s="534" t="n">
        <v>11.15</v>
      </c>
      <c r="C2538" s="534" t="n">
        <v>10960.21</v>
      </c>
      <c r="E2538" s="535" t="n">
        <v>38908</v>
      </c>
      <c r="F2538" s="534" t="n">
        <v>4.885</v>
      </c>
      <c r="G2538" s="554" t="n"/>
    </row>
    <row r="2539">
      <c r="A2539" s="535" t="n">
        <v>35089</v>
      </c>
      <c r="B2539" s="534" t="n">
        <v>11.455</v>
      </c>
      <c r="C2539" s="534" t="n">
        <v>11103.08</v>
      </c>
      <c r="E2539" s="535" t="n">
        <v>38909</v>
      </c>
      <c r="F2539" s="534" t="n">
        <v>4.865</v>
      </c>
      <c r="G2539" s="554" t="n"/>
    </row>
    <row r="2540">
      <c r="A2540" s="535" t="n">
        <v>35090</v>
      </c>
      <c r="B2540" s="534" t="n">
        <v>11.716</v>
      </c>
      <c r="C2540" s="534" t="n">
        <v>11111.87</v>
      </c>
      <c r="E2540" s="535" t="n">
        <v>38910</v>
      </c>
      <c r="F2540" s="534" t="n">
        <v>4.83</v>
      </c>
      <c r="G2540" s="554" t="n"/>
    </row>
    <row r="2541">
      <c r="A2541" s="535" t="n">
        <v>35093</v>
      </c>
      <c r="B2541" s="534" t="n">
        <v>11.891</v>
      </c>
      <c r="C2541" s="534" t="n">
        <v>11058.97</v>
      </c>
      <c r="E2541" s="535" t="n">
        <v>38911</v>
      </c>
      <c r="F2541" s="534" t="n">
        <v>4.839</v>
      </c>
      <c r="G2541" s="554" t="n"/>
    </row>
    <row r="2542">
      <c r="A2542" s="535" t="n">
        <v>35094</v>
      </c>
      <c r="B2542" s="534" t="n">
        <v>12.326</v>
      </c>
      <c r="C2542" s="534" t="n">
        <v>11201.46</v>
      </c>
      <c r="E2542" s="535" t="n">
        <v>38912</v>
      </c>
      <c r="F2542" s="534" t="n">
        <v>4.825</v>
      </c>
      <c r="G2542" s="554" t="n"/>
    </row>
    <row r="2543">
      <c r="A2543" s="535" t="n">
        <v>35095</v>
      </c>
      <c r="B2543" s="534" t="n">
        <v>12.5</v>
      </c>
      <c r="C2543" s="534" t="n">
        <v>11359.7</v>
      </c>
      <c r="E2543" s="535" t="n">
        <v>38915</v>
      </c>
      <c r="F2543" s="534" t="n">
        <v>4.82</v>
      </c>
      <c r="G2543" s="554" t="n"/>
    </row>
    <row r="2544">
      <c r="A2544" s="535" t="n">
        <v>35096</v>
      </c>
      <c r="B2544" s="534" t="n">
        <v>12.457</v>
      </c>
      <c r="C2544" s="534" t="n">
        <v>11362.8</v>
      </c>
      <c r="E2544" s="535" t="n">
        <v>38916</v>
      </c>
      <c r="F2544" s="534" t="n">
        <v>4.839</v>
      </c>
      <c r="G2544" s="554" t="n"/>
    </row>
    <row r="2545">
      <c r="A2545" s="535" t="n">
        <v>35097</v>
      </c>
      <c r="B2545" s="534" t="n">
        <v>12.239</v>
      </c>
      <c r="C2545" s="534" t="n">
        <v>11469.4</v>
      </c>
      <c r="E2545" s="535" t="n">
        <v>38917</v>
      </c>
      <c r="F2545" s="534" t="n">
        <v>4.871</v>
      </c>
      <c r="G2545" s="554" t="n"/>
    </row>
    <row r="2546">
      <c r="A2546" s="535" t="n">
        <v>35100</v>
      </c>
      <c r="B2546" s="534" t="n">
        <v>12.239</v>
      </c>
      <c r="C2546" s="534" t="n">
        <v>11484.12</v>
      </c>
      <c r="E2546" s="535" t="n">
        <v>38918</v>
      </c>
      <c r="F2546" s="534" t="n">
        <v>4.812</v>
      </c>
      <c r="G2546" s="554" t="n"/>
    </row>
    <row r="2547">
      <c r="A2547" s="535" t="n">
        <v>35101</v>
      </c>
      <c r="B2547" s="534" t="n">
        <v>11.978</v>
      </c>
      <c r="C2547" s="534" t="n">
        <v>11391.38</v>
      </c>
      <c r="E2547" s="535" t="n">
        <v>38919</v>
      </c>
      <c r="F2547" s="534" t="n">
        <v>4.771</v>
      </c>
      <c r="G2547" s="554" t="n"/>
    </row>
    <row r="2548">
      <c r="A2548" s="535" t="n">
        <v>35102</v>
      </c>
      <c r="B2548" s="534" t="n">
        <v>12.152</v>
      </c>
      <c r="C2548" s="534" t="n">
        <v>11388.59</v>
      </c>
      <c r="E2548" s="535" t="n">
        <v>38922</v>
      </c>
      <c r="F2548" s="534" t="n">
        <v>4.778</v>
      </c>
      <c r="G2548" s="554" t="n"/>
    </row>
    <row r="2549">
      <c r="A2549" s="535" t="n">
        <v>35103</v>
      </c>
      <c r="B2549" s="534" t="n">
        <v>12.152</v>
      </c>
      <c r="C2549" s="534" t="n">
        <v>11331.77</v>
      </c>
      <c r="E2549" s="535" t="n">
        <v>38923</v>
      </c>
      <c r="F2549" s="534" t="n">
        <v>4.783</v>
      </c>
      <c r="G2549" s="554" t="n"/>
    </row>
    <row r="2550">
      <c r="A2550" s="535" t="n">
        <v>35104</v>
      </c>
      <c r="B2550" s="534" t="n">
        <v>11.934</v>
      </c>
      <c r="C2550" s="534" t="n">
        <v>11310.28</v>
      </c>
      <c r="E2550" s="535" t="n">
        <v>38924</v>
      </c>
      <c r="F2550" s="534" t="n">
        <v>4.783</v>
      </c>
      <c r="G2550" s="554" t="n"/>
    </row>
    <row r="2551">
      <c r="A2551" s="535" t="n">
        <v>35107</v>
      </c>
      <c r="B2551" s="534" t="n">
        <v>12.065</v>
      </c>
      <c r="C2551" s="534" t="n">
        <v>11256.59</v>
      </c>
      <c r="E2551" s="535" t="n">
        <v>38925</v>
      </c>
      <c r="F2551" s="534" t="n">
        <v>4.7</v>
      </c>
      <c r="G2551" s="554" t="n"/>
    </row>
    <row r="2552">
      <c r="A2552" s="535" t="n">
        <v>35108</v>
      </c>
      <c r="B2552" s="534" t="n">
        <v>12.152</v>
      </c>
      <c r="C2552" s="534" t="n">
        <v>11200.19</v>
      </c>
      <c r="E2552" s="535" t="n">
        <v>38926</v>
      </c>
      <c r="F2552" s="534" t="n">
        <v>4.695</v>
      </c>
      <c r="G2552" s="554" t="n"/>
    </row>
    <row r="2553">
      <c r="A2553" s="535" t="n">
        <v>35109</v>
      </c>
      <c r="B2553" s="534" t="n">
        <v>12.457</v>
      </c>
      <c r="C2553" s="534" t="n">
        <v>11364.46</v>
      </c>
      <c r="E2553" s="535" t="n">
        <v>38929</v>
      </c>
      <c r="F2553" s="534" t="n">
        <v>4.634</v>
      </c>
      <c r="G2553" s="554" t="n"/>
    </row>
    <row r="2554">
      <c r="A2554" s="535" t="n">
        <v>35110</v>
      </c>
      <c r="B2554" s="534" t="n">
        <v>12.457</v>
      </c>
      <c r="C2554" s="534" t="n">
        <v>11471.81</v>
      </c>
      <c r="E2554" s="535" t="n">
        <v>38930</v>
      </c>
      <c r="F2554" s="534" t="n">
        <v>4.643</v>
      </c>
      <c r="G2554" s="554" t="n"/>
    </row>
    <row r="2555">
      <c r="A2555" s="535" t="n">
        <v>35111</v>
      </c>
      <c r="B2555" s="534" t="n">
        <v>12.239</v>
      </c>
      <c r="C2555" s="534" t="n">
        <v>11594.99</v>
      </c>
      <c r="E2555" s="535" t="n">
        <v>38931</v>
      </c>
      <c r="F2555" s="534" t="n">
        <v>4.611</v>
      </c>
      <c r="G2555" s="554" t="n"/>
    </row>
    <row r="2556">
      <c r="A2556" s="535" t="n">
        <v>35114</v>
      </c>
      <c r="B2556" s="534" t="n">
        <v>12.239</v>
      </c>
      <c r="C2556" s="534" t="n">
        <v>11594.99</v>
      </c>
      <c r="E2556" s="535" t="n">
        <v>38932</v>
      </c>
      <c r="F2556" s="534" t="n">
        <v>4.579</v>
      </c>
      <c r="G2556" s="554" t="n"/>
    </row>
    <row r="2557">
      <c r="A2557" s="535" t="n">
        <v>35115</v>
      </c>
      <c r="B2557" s="534" t="n">
        <v>12.239</v>
      </c>
      <c r="C2557" s="534" t="n">
        <v>11594.99</v>
      </c>
      <c r="E2557" s="535" t="n">
        <v>38933</v>
      </c>
      <c r="F2557" s="534" t="n">
        <v>4.561</v>
      </c>
      <c r="G2557" s="554" t="n"/>
    </row>
    <row r="2558">
      <c r="A2558" s="535" t="n">
        <v>35116</v>
      </c>
      <c r="B2558" s="534" t="n">
        <v>12.239</v>
      </c>
      <c r="C2558" s="534" t="n">
        <v>11594.99</v>
      </c>
      <c r="E2558" s="535" t="n">
        <v>38936</v>
      </c>
      <c r="F2558" s="534" t="n">
        <v>4.506</v>
      </c>
      <c r="G2558" s="554" t="n"/>
    </row>
    <row r="2559">
      <c r="A2559" s="535" t="n">
        <v>35117</v>
      </c>
      <c r="B2559" s="534" t="n">
        <v>12.239</v>
      </c>
      <c r="C2559" s="534" t="n">
        <v>11338.45</v>
      </c>
      <c r="E2559" s="535" t="n">
        <v>38937</v>
      </c>
      <c r="F2559" s="534" t="n">
        <v>4.522</v>
      </c>
      <c r="G2559" s="554" t="n"/>
    </row>
    <row r="2560">
      <c r="A2560" s="535" t="n">
        <v>35118</v>
      </c>
      <c r="B2560" s="534" t="n">
        <v>12.152</v>
      </c>
      <c r="C2560" s="534" t="n">
        <v>11390.41</v>
      </c>
      <c r="E2560" s="535" t="n">
        <v>38938</v>
      </c>
      <c r="F2560" s="534" t="n">
        <v>4.503</v>
      </c>
      <c r="G2560" s="554" t="n"/>
    </row>
    <row r="2561">
      <c r="A2561" s="535" t="n">
        <v>35121</v>
      </c>
      <c r="B2561" s="534" t="n">
        <v>11.847</v>
      </c>
      <c r="C2561" s="534" t="n">
        <v>11210.42</v>
      </c>
      <c r="E2561" s="535" t="n">
        <v>38939</v>
      </c>
      <c r="F2561" s="534" t="n">
        <v>4.465</v>
      </c>
      <c r="G2561" s="554" t="n"/>
    </row>
    <row r="2562">
      <c r="A2562" s="535" t="n">
        <v>35122</v>
      </c>
      <c r="B2562" s="534" t="n">
        <v>12.021</v>
      </c>
      <c r="C2562" s="534" t="n">
        <v>11197.02</v>
      </c>
      <c r="E2562" s="535" t="n">
        <v>38940</v>
      </c>
      <c r="F2562" s="534" t="n">
        <v>4.481</v>
      </c>
      <c r="G2562" s="554" t="n"/>
    </row>
    <row r="2563">
      <c r="A2563" s="535" t="n">
        <v>35123</v>
      </c>
      <c r="B2563" s="534" t="n">
        <v>12.021</v>
      </c>
      <c r="C2563" s="534" t="n">
        <v>11264.65</v>
      </c>
      <c r="E2563" s="535" t="n">
        <v>38943</v>
      </c>
      <c r="F2563" s="534" t="n">
        <v>4.525</v>
      </c>
      <c r="G2563" s="554" t="n"/>
    </row>
    <row r="2564">
      <c r="A2564" s="535" t="n">
        <v>35124</v>
      </c>
      <c r="B2564" s="534" t="n">
        <v>12.326</v>
      </c>
      <c r="C2564" s="534" t="n">
        <v>11125.68</v>
      </c>
      <c r="E2564" s="535" t="n">
        <v>38944</v>
      </c>
      <c r="F2564" s="534" t="n">
        <v>4.542</v>
      </c>
      <c r="G2564" s="554" t="n"/>
    </row>
    <row r="2565">
      <c r="A2565" s="535" t="n">
        <v>35125</v>
      </c>
      <c r="B2565" s="534" t="n">
        <v>12.283</v>
      </c>
      <c r="C2565" s="534" t="n">
        <v>11194.94</v>
      </c>
      <c r="E2565" s="535" t="n">
        <v>38945</v>
      </c>
      <c r="F2565" s="534" t="n">
        <v>4.463</v>
      </c>
      <c r="G2565" s="554" t="n"/>
    </row>
    <row r="2566">
      <c r="A2566" s="535" t="n">
        <v>35128</v>
      </c>
      <c r="B2566" s="534" t="n">
        <v>12.413</v>
      </c>
      <c r="C2566" s="534" t="n">
        <v>11254.05</v>
      </c>
      <c r="E2566" s="535" t="n">
        <v>38946</v>
      </c>
      <c r="F2566" s="534" t="n">
        <v>4.382</v>
      </c>
      <c r="G2566" s="554" t="n"/>
    </row>
    <row r="2567">
      <c r="A2567" s="535" t="n">
        <v>35129</v>
      </c>
      <c r="B2567" s="534" t="n">
        <v>12.457</v>
      </c>
      <c r="C2567" s="534" t="n">
        <v>11454.08</v>
      </c>
      <c r="E2567" s="535" t="n">
        <v>38947</v>
      </c>
      <c r="F2567" s="534" t="n">
        <v>4.381</v>
      </c>
      <c r="G2567" s="554" t="n"/>
    </row>
    <row r="2568">
      <c r="A2568" s="535" t="n">
        <v>35130</v>
      </c>
      <c r="B2568" s="534" t="n">
        <v>12.5</v>
      </c>
      <c r="C2568" s="534" t="n">
        <v>11378.73</v>
      </c>
      <c r="E2568" s="535" t="n">
        <v>38950</v>
      </c>
      <c r="F2568" s="534" t="n">
        <v>4.335</v>
      </c>
      <c r="G2568" s="554" t="n"/>
    </row>
    <row r="2569">
      <c r="A2569" s="535" t="n">
        <v>35131</v>
      </c>
      <c r="B2569" s="534" t="n">
        <v>12.5</v>
      </c>
      <c r="C2569" s="534" t="n">
        <v>11194.48</v>
      </c>
      <c r="E2569" s="535" t="n">
        <v>38951</v>
      </c>
      <c r="F2569" s="534" t="n">
        <v>4.323</v>
      </c>
      <c r="G2569" s="554" t="n"/>
    </row>
    <row r="2570">
      <c r="A2570" s="535" t="n">
        <v>35132</v>
      </c>
      <c r="B2570" s="534" t="n">
        <v>12.5</v>
      </c>
      <c r="C2570" s="534" t="n">
        <v>11217.79</v>
      </c>
      <c r="E2570" s="535" t="n">
        <v>38952</v>
      </c>
      <c r="F2570" s="534" t="n">
        <v>4.326</v>
      </c>
      <c r="G2570" s="554" t="n"/>
    </row>
    <row r="2571">
      <c r="A2571" s="535" t="n">
        <v>35135</v>
      </c>
      <c r="B2571" s="534" t="n">
        <v>11.891</v>
      </c>
      <c r="C2571" s="534" t="n">
        <v>10397.45</v>
      </c>
      <c r="E2571" s="535" t="n">
        <v>38953</v>
      </c>
      <c r="F2571" s="534" t="n">
        <v>4.329</v>
      </c>
      <c r="G2571" s="554" t="n"/>
    </row>
    <row r="2572">
      <c r="A2572" s="535" t="n">
        <v>35136</v>
      </c>
      <c r="B2572" s="534" t="n">
        <v>11.629</v>
      </c>
      <c r="C2572" s="534" t="n">
        <v>10602.45</v>
      </c>
      <c r="E2572" s="535" t="n">
        <v>38954</v>
      </c>
      <c r="F2572" s="534" t="n">
        <v>4.32</v>
      </c>
      <c r="G2572" s="554" t="n"/>
    </row>
    <row r="2573">
      <c r="A2573" s="535" t="n">
        <v>35137</v>
      </c>
      <c r="B2573" s="534" t="n">
        <v>11.412</v>
      </c>
      <c r="C2573" s="534" t="n">
        <v>10249.48</v>
      </c>
      <c r="E2573" s="535" t="n">
        <v>38957</v>
      </c>
      <c r="F2573" s="534" t="n">
        <v>4.3</v>
      </c>
      <c r="G2573" s="554" t="n"/>
    </row>
    <row r="2574">
      <c r="A2574" s="535" t="n">
        <v>35138</v>
      </c>
      <c r="B2574" s="534" t="n">
        <v>11.368</v>
      </c>
      <c r="C2574" s="534" t="n">
        <v>10451.75</v>
      </c>
      <c r="E2574" s="535" t="n">
        <v>38958</v>
      </c>
      <c r="F2574" s="534" t="n">
        <v>4.343</v>
      </c>
      <c r="G2574" s="554" t="n"/>
    </row>
    <row r="2575">
      <c r="A2575" s="535" t="n">
        <v>35139</v>
      </c>
      <c r="B2575" s="534" t="n">
        <v>11.368</v>
      </c>
      <c r="C2575" s="534" t="n">
        <v>10557.58</v>
      </c>
      <c r="E2575" s="535" t="n">
        <v>38959</v>
      </c>
      <c r="F2575" s="534" t="n">
        <v>4.288</v>
      </c>
      <c r="G2575" s="554" t="n"/>
    </row>
    <row r="2576">
      <c r="A2576" s="535" t="n">
        <v>35142</v>
      </c>
      <c r="B2576" s="534" t="n">
        <v>11.499</v>
      </c>
      <c r="C2576" s="534" t="n">
        <v>10601.28</v>
      </c>
      <c r="E2576" s="535" t="n">
        <v>38960</v>
      </c>
      <c r="F2576" s="534" t="n">
        <v>4.245</v>
      </c>
      <c r="G2576" s="554" t="n"/>
    </row>
    <row r="2577">
      <c r="A2577" s="535" t="n">
        <v>35143</v>
      </c>
      <c r="B2577" s="534" t="n">
        <v>11.455</v>
      </c>
      <c r="C2577" s="534" t="n">
        <v>10880.5</v>
      </c>
      <c r="E2577" s="535" t="n">
        <v>38961</v>
      </c>
      <c r="F2577" s="534" t="n">
        <v>4.208</v>
      </c>
      <c r="G2577" s="554" t="n"/>
    </row>
    <row r="2578">
      <c r="A2578" s="535" t="n">
        <v>35144</v>
      </c>
      <c r="B2578" s="534" t="n">
        <v>11.412</v>
      </c>
      <c r="C2578" s="534" t="n">
        <v>10836.53</v>
      </c>
      <c r="E2578" s="535" t="n">
        <v>38964</v>
      </c>
      <c r="F2578" s="534" t="n">
        <v>4.187</v>
      </c>
      <c r="G2578" s="554" t="n"/>
    </row>
    <row r="2579">
      <c r="A2579" s="535" t="n">
        <v>35145</v>
      </c>
      <c r="B2579" s="534" t="n">
        <v>11.804</v>
      </c>
      <c r="C2579" s="534" t="n">
        <v>11027.96</v>
      </c>
      <c r="E2579" s="535" t="n">
        <v>38965</v>
      </c>
      <c r="F2579" s="534" t="n">
        <v>4.192</v>
      </c>
      <c r="G2579" s="554" t="n"/>
    </row>
    <row r="2580">
      <c r="A2580" s="535" t="n">
        <v>35146</v>
      </c>
      <c r="B2580" s="534" t="n">
        <v>11.847</v>
      </c>
      <c r="C2580" s="534" t="n">
        <v>11026.73</v>
      </c>
      <c r="E2580" s="535" t="n">
        <v>38966</v>
      </c>
      <c r="F2580" s="534" t="n">
        <v>4.219</v>
      </c>
      <c r="G2580" s="554" t="n"/>
    </row>
    <row r="2581">
      <c r="A2581" s="535" t="n">
        <v>35149</v>
      </c>
      <c r="B2581" s="534" t="n">
        <v>12.065</v>
      </c>
      <c r="C2581" s="534" t="n">
        <v>11111.76</v>
      </c>
      <c r="E2581" s="535" t="n">
        <v>38967</v>
      </c>
      <c r="F2581" s="534" t="n">
        <v>4.239</v>
      </c>
      <c r="G2581" s="554" t="n"/>
    </row>
    <row r="2582">
      <c r="A2582" s="535" t="n">
        <v>35150</v>
      </c>
      <c r="B2582" s="534" t="n">
        <v>12.065</v>
      </c>
      <c r="C2582" s="534" t="n">
        <v>10984.47</v>
      </c>
      <c r="E2582" s="535" t="n">
        <v>38968</v>
      </c>
      <c r="F2582" s="534" t="n">
        <v>4.209</v>
      </c>
      <c r="G2582" s="554" t="n"/>
    </row>
    <row r="2583">
      <c r="A2583" s="535" t="n">
        <v>35151</v>
      </c>
      <c r="B2583" s="534" t="n">
        <v>11.891</v>
      </c>
      <c r="C2583" s="534" t="n">
        <v>11066.57</v>
      </c>
      <c r="E2583" s="535" t="n">
        <v>38971</v>
      </c>
      <c r="F2583" s="534" t="n">
        <v>4.218</v>
      </c>
      <c r="G2583" s="554" t="n"/>
    </row>
    <row r="2584">
      <c r="A2584" s="535" t="n">
        <v>35152</v>
      </c>
      <c r="B2584" s="534" t="n">
        <v>11.716</v>
      </c>
      <c r="C2584" s="534" t="n">
        <v>11030.58</v>
      </c>
      <c r="E2584" s="535" t="n">
        <v>38972</v>
      </c>
      <c r="F2584" s="534" t="n">
        <v>4.237</v>
      </c>
      <c r="G2584" s="554" t="n"/>
    </row>
    <row r="2585">
      <c r="A2585" s="535" t="n">
        <v>35153</v>
      </c>
      <c r="B2585" s="534" t="n">
        <v>11.847</v>
      </c>
      <c r="C2585" s="534" t="n">
        <v>10957.2</v>
      </c>
      <c r="E2585" s="535" t="n">
        <v>38973</v>
      </c>
      <c r="F2585" s="534" t="n">
        <v>4.187</v>
      </c>
      <c r="G2585" s="554" t="n"/>
    </row>
    <row r="2586">
      <c r="A2586" s="535" t="n">
        <v>35156</v>
      </c>
      <c r="B2586" s="534" t="n">
        <v>11.804</v>
      </c>
      <c r="C2586" s="534" t="n">
        <v>10926.84</v>
      </c>
      <c r="E2586" s="535" t="n">
        <v>38974</v>
      </c>
      <c r="F2586" s="534" t="n">
        <v>4.157</v>
      </c>
      <c r="G2586" s="554" t="n"/>
    </row>
    <row r="2587">
      <c r="A2587" s="535" t="n">
        <v>35157</v>
      </c>
      <c r="B2587" s="534" t="n">
        <v>11.804</v>
      </c>
      <c r="C2587" s="534" t="n">
        <v>11144.64</v>
      </c>
      <c r="E2587" s="535" t="n">
        <v>38975</v>
      </c>
      <c r="F2587" s="534" t="n">
        <v>4.199</v>
      </c>
      <c r="G2587" s="554" t="n"/>
    </row>
    <row r="2588">
      <c r="A2588" s="535" t="n">
        <v>35158</v>
      </c>
      <c r="B2588" s="534" t="n">
        <v>11.76</v>
      </c>
      <c r="C2588" s="534" t="n">
        <v>11139.88</v>
      </c>
      <c r="E2588" s="535" t="n">
        <v>38978</v>
      </c>
      <c r="F2588" s="534" t="n">
        <v>4.208</v>
      </c>
      <c r="G2588" s="554" t="n"/>
    </row>
    <row r="2589">
      <c r="A2589" s="535" t="n">
        <v>35159</v>
      </c>
      <c r="B2589" s="534" t="n">
        <v>11.76</v>
      </c>
      <c r="C2589" s="534" t="n">
        <v>11139.88</v>
      </c>
      <c r="E2589" s="535" t="n">
        <v>38979</v>
      </c>
      <c r="F2589" s="534" t="n">
        <v>4.211</v>
      </c>
      <c r="G2589" s="554" t="n"/>
    </row>
    <row r="2590">
      <c r="A2590" s="535" t="n">
        <v>35160</v>
      </c>
      <c r="B2590" s="534" t="n">
        <v>11.76</v>
      </c>
      <c r="C2590" s="534" t="n">
        <v>11139.88</v>
      </c>
      <c r="E2590" s="535" t="n">
        <v>38980</v>
      </c>
      <c r="F2590" s="534" t="n">
        <v>4.163</v>
      </c>
      <c r="G2590" s="554" t="n"/>
    </row>
    <row r="2591">
      <c r="A2591" s="535" t="n">
        <v>35163</v>
      </c>
      <c r="B2591" s="534" t="n">
        <v>11.76</v>
      </c>
      <c r="C2591" s="534" t="n">
        <v>11139.88</v>
      </c>
      <c r="E2591" s="535" t="n">
        <v>38981</v>
      </c>
      <c r="F2591" s="534" t="n">
        <v>4.089</v>
      </c>
      <c r="G2591" s="554" t="n"/>
    </row>
    <row r="2592">
      <c r="A2592" s="535" t="n">
        <v>35164</v>
      </c>
      <c r="B2592" s="534" t="n">
        <v>11.629</v>
      </c>
      <c r="C2592" s="534" t="n">
        <v>11107.37</v>
      </c>
      <c r="E2592" s="535" t="n">
        <v>38982</v>
      </c>
      <c r="F2592" s="534" t="n">
        <v>3.949</v>
      </c>
      <c r="G2592" s="554" t="n"/>
    </row>
    <row r="2593">
      <c r="A2593" s="535" t="n">
        <v>35165</v>
      </c>
      <c r="B2593" s="534" t="n">
        <v>11.281</v>
      </c>
      <c r="C2593" s="534" t="n">
        <v>11077.55</v>
      </c>
      <c r="E2593" s="535" t="n">
        <v>38985</v>
      </c>
      <c r="F2593" s="534" t="n">
        <v>3.928</v>
      </c>
      <c r="G2593" s="554" t="n"/>
    </row>
    <row r="2594">
      <c r="A2594" s="535" t="n">
        <v>35166</v>
      </c>
      <c r="B2594" s="534" t="n">
        <v>11.281</v>
      </c>
      <c r="C2594" s="534" t="n">
        <v>10892.57</v>
      </c>
      <c r="E2594" s="535" t="n">
        <v>38986</v>
      </c>
      <c r="F2594" s="534" t="n">
        <v>3.911</v>
      </c>
      <c r="G2594" s="554" t="n"/>
    </row>
    <row r="2595">
      <c r="A2595" s="535" t="n">
        <v>35167</v>
      </c>
      <c r="B2595" s="534" t="n">
        <v>11.063</v>
      </c>
      <c r="C2595" s="534" t="n">
        <v>10849.8</v>
      </c>
      <c r="E2595" s="535" t="n">
        <v>38987</v>
      </c>
      <c r="F2595" s="534" t="n">
        <v>3.935</v>
      </c>
      <c r="G2595" s="554" t="n"/>
    </row>
    <row r="2596">
      <c r="A2596" s="535" t="n">
        <v>35170</v>
      </c>
      <c r="B2596" s="534" t="n">
        <v>11.107</v>
      </c>
      <c r="C2596" s="534" t="n">
        <v>10949.57</v>
      </c>
      <c r="E2596" s="535" t="n">
        <v>38988</v>
      </c>
      <c r="F2596" s="534" t="n">
        <v>3.947</v>
      </c>
      <c r="G2596" s="554" t="n"/>
    </row>
    <row r="2597">
      <c r="A2597" s="535" t="n">
        <v>35171</v>
      </c>
      <c r="B2597" s="534" t="n">
        <v>11.194</v>
      </c>
      <c r="C2597" s="534" t="n">
        <v>11032.98</v>
      </c>
      <c r="E2597" s="535" t="n">
        <v>38989</v>
      </c>
      <c r="F2597" s="534" t="n">
        <v>3.968</v>
      </c>
      <c r="G2597" s="554" t="n"/>
    </row>
    <row r="2598">
      <c r="A2598" s="535" t="n">
        <v>35172</v>
      </c>
      <c r="B2598" s="534" t="n">
        <v>11.194</v>
      </c>
      <c r="C2598" s="534" t="n">
        <v>10962.69</v>
      </c>
      <c r="E2598" s="535" t="n">
        <v>38992</v>
      </c>
      <c r="F2598" s="534" t="n">
        <v>3.968</v>
      </c>
      <c r="G2598" s="554" t="n"/>
    </row>
    <row r="2599">
      <c r="A2599" s="535" t="n">
        <v>35173</v>
      </c>
      <c r="B2599" s="534" t="n">
        <v>10.889</v>
      </c>
      <c r="C2599" s="534" t="n">
        <v>10909.29</v>
      </c>
      <c r="E2599" s="535" t="n">
        <v>38993</v>
      </c>
      <c r="F2599" s="534" t="n">
        <v>3.982</v>
      </c>
      <c r="G2599" s="554" t="n"/>
    </row>
    <row r="2600">
      <c r="A2600" s="535" t="n">
        <v>35174</v>
      </c>
      <c r="B2600" s="534" t="n">
        <v>10.889</v>
      </c>
      <c r="C2600" s="534" t="n">
        <v>10818.49</v>
      </c>
      <c r="E2600" s="535" t="n">
        <v>38994</v>
      </c>
      <c r="F2600" s="534" t="n">
        <v>4.032</v>
      </c>
      <c r="G2600" s="554" t="n"/>
    </row>
    <row r="2601">
      <c r="A2601" s="535" t="n">
        <v>35177</v>
      </c>
      <c r="B2601" s="534" t="n">
        <v>11.063</v>
      </c>
      <c r="C2601" s="534" t="n">
        <v>10909.98</v>
      </c>
      <c r="E2601" s="535" t="n">
        <v>38995</v>
      </c>
      <c r="F2601" s="534" t="n">
        <v>3.971</v>
      </c>
      <c r="G2601" s="554" t="n"/>
    </row>
    <row r="2602">
      <c r="A2602" s="535" t="n">
        <v>35178</v>
      </c>
      <c r="B2602" s="534" t="n">
        <v>11.15</v>
      </c>
      <c r="C2602" s="534" t="n">
        <v>10889.05</v>
      </c>
      <c r="E2602" s="535" t="n">
        <v>38996</v>
      </c>
      <c r="F2602" s="534" t="n">
        <v>3.956</v>
      </c>
      <c r="G2602" s="554" t="n"/>
    </row>
    <row r="2603">
      <c r="A2603" s="535" t="n">
        <v>35179</v>
      </c>
      <c r="B2603" s="534" t="n">
        <v>11.237</v>
      </c>
      <c r="C2603" s="534" t="n">
        <v>10898.69</v>
      </c>
      <c r="E2603" s="535" t="n">
        <v>38999</v>
      </c>
      <c r="F2603" s="534" t="n">
        <v>4.048</v>
      </c>
      <c r="G2603" s="554" t="n"/>
    </row>
    <row r="2604">
      <c r="A2604" s="535" t="n">
        <v>35180</v>
      </c>
      <c r="B2604" s="534" t="n">
        <v>11.15</v>
      </c>
      <c r="C2604" s="534" t="n">
        <v>10753.38</v>
      </c>
      <c r="E2604" s="535" t="n">
        <v>39000</v>
      </c>
      <c r="F2604" s="534" t="n">
        <v>4.027</v>
      </c>
      <c r="G2604" s="554" t="n"/>
    </row>
    <row r="2605">
      <c r="A2605" s="535" t="n">
        <v>35181</v>
      </c>
      <c r="B2605" s="534" t="n">
        <v>11.237</v>
      </c>
      <c r="C2605" s="534" t="n">
        <v>10732.79</v>
      </c>
      <c r="E2605" s="535" t="n">
        <v>39001</v>
      </c>
      <c r="F2605" s="534" t="n">
        <v>4.062</v>
      </c>
      <c r="G2605" s="554" t="n"/>
    </row>
    <row r="2606">
      <c r="A2606" s="535" t="n">
        <v>35184</v>
      </c>
      <c r="B2606" s="534" t="n">
        <v>11.237</v>
      </c>
      <c r="C2606" s="534" t="n">
        <v>10835.75</v>
      </c>
      <c r="E2606" s="535" t="n">
        <v>39002</v>
      </c>
      <c r="F2606" s="534" t="n">
        <v>4.084</v>
      </c>
      <c r="G2606" s="554" t="n"/>
    </row>
    <row r="2607">
      <c r="A2607" s="535" t="n">
        <v>35185</v>
      </c>
      <c r="B2607" s="534" t="n">
        <v>11.76</v>
      </c>
      <c r="C2607" s="534" t="n">
        <v>10964.53</v>
      </c>
      <c r="E2607" s="535" t="n">
        <v>39003</v>
      </c>
      <c r="F2607" s="534" t="n">
        <v>4.075</v>
      </c>
      <c r="G2607" s="554" t="n"/>
    </row>
    <row r="2608">
      <c r="A2608" s="535" t="n">
        <v>35186</v>
      </c>
      <c r="B2608" s="534" t="n">
        <v>12.065</v>
      </c>
      <c r="C2608" s="534" t="n">
        <v>10907.01</v>
      </c>
      <c r="E2608" s="535" t="n">
        <v>39006</v>
      </c>
      <c r="F2608" s="534" t="n">
        <v>4.049</v>
      </c>
      <c r="G2608" s="554" t="n"/>
    </row>
    <row r="2609">
      <c r="A2609" s="535" t="n">
        <v>35187</v>
      </c>
      <c r="B2609" s="534" t="n">
        <v>11.891</v>
      </c>
      <c r="C2609" s="534" t="n">
        <v>10929.9</v>
      </c>
      <c r="E2609" s="535" t="n">
        <v>39007</v>
      </c>
      <c r="F2609" s="534" t="n">
        <v>4.022</v>
      </c>
      <c r="G2609" s="554" t="n"/>
    </row>
    <row r="2610">
      <c r="A2610" s="535" t="n">
        <v>35188</v>
      </c>
      <c r="B2610" s="534" t="n">
        <v>11.847</v>
      </c>
      <c r="C2610" s="534" t="n">
        <v>10734.24</v>
      </c>
      <c r="E2610" s="535" t="n">
        <v>39008</v>
      </c>
      <c r="F2610" s="534" t="n">
        <v>4.022</v>
      </c>
      <c r="G2610" s="554" t="n"/>
    </row>
    <row r="2611">
      <c r="A2611" s="535" t="n">
        <v>35191</v>
      </c>
      <c r="B2611" s="534" t="n">
        <v>11.804</v>
      </c>
      <c r="C2611" s="534" t="n">
        <v>10697.54</v>
      </c>
      <c r="E2611" s="535" t="n">
        <v>39009</v>
      </c>
      <c r="F2611" s="534" t="n">
        <v>4.019</v>
      </c>
      <c r="G2611" s="554" t="n"/>
    </row>
    <row r="2612">
      <c r="A2612" s="535" t="n">
        <v>35192</v>
      </c>
      <c r="B2612" s="534" t="n">
        <v>11.76</v>
      </c>
      <c r="C2612" s="534" t="n">
        <v>10702.17</v>
      </c>
      <c r="E2612" s="535" t="n">
        <v>39010</v>
      </c>
      <c r="F2612" s="534" t="n">
        <v>4.016</v>
      </c>
      <c r="G2612" s="554" t="n"/>
    </row>
    <row r="2613">
      <c r="A2613" s="535" t="n">
        <v>35193</v>
      </c>
      <c r="B2613" s="534" t="n">
        <v>11.76</v>
      </c>
      <c r="C2613" s="534" t="n">
        <v>10617.32</v>
      </c>
      <c r="E2613" s="535" t="n">
        <v>39013</v>
      </c>
      <c r="F2613" s="534" t="n">
        <v>4.052</v>
      </c>
      <c r="G2613" s="554" t="n"/>
    </row>
    <row r="2614">
      <c r="A2614" s="535" t="n">
        <v>35194</v>
      </c>
      <c r="B2614" s="534" t="n">
        <v>11.673</v>
      </c>
      <c r="C2614" s="534" t="n">
        <v>10573</v>
      </c>
      <c r="E2614" s="535" t="n">
        <v>39014</v>
      </c>
      <c r="F2614" s="534" t="n">
        <v>4.042</v>
      </c>
      <c r="G2614" s="554" t="n"/>
    </row>
    <row r="2615">
      <c r="A2615" s="535" t="n">
        <v>35195</v>
      </c>
      <c r="B2615" s="534" t="n">
        <v>11.891</v>
      </c>
      <c r="C2615" s="534" t="n">
        <v>10597.73</v>
      </c>
      <c r="E2615" s="535" t="n">
        <v>39015</v>
      </c>
      <c r="F2615" s="534" t="n">
        <v>4.055</v>
      </c>
      <c r="G2615" s="554" t="n"/>
    </row>
    <row r="2616">
      <c r="A2616" s="535" t="n">
        <v>35198</v>
      </c>
      <c r="B2616" s="534" t="n">
        <v>11.586</v>
      </c>
      <c r="C2616" s="534" t="n">
        <v>10746</v>
      </c>
      <c r="E2616" s="535" t="n">
        <v>39016</v>
      </c>
      <c r="F2616" s="534" t="n">
        <v>3.992</v>
      </c>
      <c r="G2616" s="554" t="n"/>
    </row>
    <row r="2617">
      <c r="A2617" s="535" t="n">
        <v>35199</v>
      </c>
      <c r="B2617" s="534" t="n">
        <v>11.891</v>
      </c>
      <c r="C2617" s="534" t="n">
        <v>10817.88</v>
      </c>
      <c r="E2617" s="535" t="n">
        <v>39017</v>
      </c>
      <c r="F2617" s="534" t="n">
        <v>3.951</v>
      </c>
      <c r="G2617" s="554" t="n"/>
    </row>
    <row r="2618">
      <c r="A2618" s="535" t="n">
        <v>35200</v>
      </c>
      <c r="B2618" s="534" t="n">
        <v>11.76</v>
      </c>
      <c r="C2618" s="534" t="n">
        <v>10863.83</v>
      </c>
      <c r="E2618" s="535" t="n">
        <v>39020</v>
      </c>
      <c r="F2618" s="534" t="n">
        <v>3.951</v>
      </c>
      <c r="G2618" s="554" t="n"/>
    </row>
    <row r="2619">
      <c r="A2619" s="535" t="n">
        <v>35201</v>
      </c>
      <c r="B2619" s="534" t="n">
        <v>11.891</v>
      </c>
      <c r="C2619" s="534" t="n">
        <v>10833.41</v>
      </c>
      <c r="E2619" s="535" t="n">
        <v>39021</v>
      </c>
      <c r="F2619" s="534" t="n">
        <v>3.895</v>
      </c>
      <c r="G2619" s="554" t="n"/>
    </row>
    <row r="2620">
      <c r="A2620" s="535" t="n">
        <v>35202</v>
      </c>
      <c r="B2620" s="534" t="n">
        <v>11.978</v>
      </c>
      <c r="C2620" s="534" t="n">
        <v>10816.85</v>
      </c>
      <c r="E2620" s="535" t="n">
        <v>39022</v>
      </c>
      <c r="F2620" s="534" t="n">
        <v>3.856</v>
      </c>
      <c r="G2620" s="554" t="n"/>
    </row>
    <row r="2621">
      <c r="A2621" s="535" t="n">
        <v>35205</v>
      </c>
      <c r="B2621" s="534" t="n">
        <v>12.108</v>
      </c>
      <c r="C2621" s="534" t="n">
        <v>10987.59</v>
      </c>
      <c r="E2621" s="535" t="n">
        <v>39023</v>
      </c>
      <c r="F2621" s="534" t="n">
        <v>3.849</v>
      </c>
      <c r="G2621" s="554" t="n"/>
    </row>
    <row r="2622">
      <c r="A2622" s="535" t="n">
        <v>35206</v>
      </c>
      <c r="B2622" s="534" t="n">
        <v>12.37</v>
      </c>
      <c r="C2622" s="534" t="n">
        <v>11088.77</v>
      </c>
      <c r="E2622" s="535" t="n">
        <v>39024</v>
      </c>
      <c r="F2622" s="534" t="n">
        <v>3.869</v>
      </c>
      <c r="G2622" s="554" t="n"/>
    </row>
    <row r="2623">
      <c r="A2623" s="535" t="n">
        <v>35207</v>
      </c>
      <c r="B2623" s="534" t="n">
        <v>12.457</v>
      </c>
      <c r="C2623" s="534" t="n">
        <v>11082.79</v>
      </c>
      <c r="E2623" s="535" t="n">
        <v>39027</v>
      </c>
      <c r="F2623" s="534" t="n">
        <v>3.992</v>
      </c>
      <c r="G2623" s="554" t="n"/>
    </row>
    <row r="2624">
      <c r="A2624" s="535" t="n">
        <v>35208</v>
      </c>
      <c r="B2624" s="534" t="n">
        <v>12.457</v>
      </c>
      <c r="C2624" s="534" t="n">
        <v>11030.84</v>
      </c>
      <c r="E2624" s="535" t="n">
        <v>39028</v>
      </c>
      <c r="F2624" s="534" t="n">
        <v>3.944</v>
      </c>
      <c r="G2624" s="554" t="n"/>
    </row>
    <row r="2625">
      <c r="A2625" s="535" t="n">
        <v>35209</v>
      </c>
      <c r="B2625" s="534" t="n">
        <v>12.37</v>
      </c>
      <c r="C2625" s="534" t="n">
        <v>11019.16</v>
      </c>
      <c r="E2625" s="535" t="n">
        <v>39029</v>
      </c>
      <c r="F2625" s="534" t="n">
        <v>3.885</v>
      </c>
      <c r="G2625" s="554" t="n"/>
    </row>
    <row r="2626">
      <c r="A2626" s="535" t="n">
        <v>35212</v>
      </c>
      <c r="B2626" s="534" t="n">
        <v>12.457</v>
      </c>
      <c r="C2626" s="534" t="n">
        <v>11081.69</v>
      </c>
      <c r="E2626" s="535" t="n">
        <v>39030</v>
      </c>
      <c r="F2626" s="534" t="n">
        <v>3.887</v>
      </c>
      <c r="G2626" s="554" t="n"/>
    </row>
    <row r="2627">
      <c r="A2627" s="535" t="n">
        <v>35213</v>
      </c>
      <c r="B2627" s="534" t="n">
        <v>12.5</v>
      </c>
      <c r="C2627" s="534" t="n">
        <v>11107.02</v>
      </c>
      <c r="E2627" s="535" t="n">
        <v>39031</v>
      </c>
      <c r="F2627" s="534" t="n">
        <v>3.847</v>
      </c>
      <c r="G2627" s="554" t="n"/>
    </row>
    <row r="2628">
      <c r="A2628" s="535" t="n">
        <v>35214</v>
      </c>
      <c r="B2628" s="534" t="n">
        <v>12.544</v>
      </c>
      <c r="C2628" s="534" t="n">
        <v>11200.56</v>
      </c>
      <c r="E2628" s="535" t="n">
        <v>39034</v>
      </c>
      <c r="F2628" s="534" t="n">
        <v>3.822</v>
      </c>
      <c r="G2628" s="554" t="n"/>
    </row>
    <row r="2629">
      <c r="A2629" s="535" t="n">
        <v>35215</v>
      </c>
      <c r="B2629" s="534" t="n">
        <v>12.544</v>
      </c>
      <c r="C2629" s="534" t="n">
        <v>11157.07</v>
      </c>
      <c r="E2629" s="535" t="n">
        <v>39035</v>
      </c>
      <c r="F2629" s="534" t="n">
        <v>3.87</v>
      </c>
      <c r="G2629" s="554" t="n"/>
    </row>
    <row r="2630">
      <c r="A2630" s="535" t="n">
        <v>35216</v>
      </c>
      <c r="B2630" s="534" t="n">
        <v>12.457</v>
      </c>
      <c r="C2630" s="534" t="n">
        <v>11264.73</v>
      </c>
      <c r="E2630" s="535" t="n">
        <v>39036</v>
      </c>
      <c r="F2630" s="534" t="n">
        <v>3.82</v>
      </c>
      <c r="G2630" s="554" t="n"/>
    </row>
    <row r="2631">
      <c r="A2631" s="535" t="n">
        <v>35219</v>
      </c>
      <c r="B2631" s="534" t="n">
        <v>12.413</v>
      </c>
      <c r="C2631" s="534" t="n">
        <v>11059.81</v>
      </c>
      <c r="E2631" s="535" t="n">
        <v>39037</v>
      </c>
      <c r="F2631" s="534" t="n">
        <v>3.859</v>
      </c>
      <c r="G2631" s="554" t="n"/>
    </row>
    <row r="2632">
      <c r="A2632" s="535" t="n">
        <v>35220</v>
      </c>
      <c r="B2632" s="534" t="n">
        <v>12.5</v>
      </c>
      <c r="C2632" s="534" t="n">
        <v>11086.91</v>
      </c>
      <c r="E2632" s="535" t="n">
        <v>39038</v>
      </c>
      <c r="F2632" s="534" t="n">
        <v>3.865</v>
      </c>
      <c r="G2632" s="554" t="n"/>
    </row>
    <row r="2633">
      <c r="A2633" s="535" t="n">
        <v>35221</v>
      </c>
      <c r="B2633" s="534" t="n">
        <v>12.457</v>
      </c>
      <c r="C2633" s="534" t="n">
        <v>11092.51</v>
      </c>
      <c r="E2633" s="535" t="n">
        <v>39041</v>
      </c>
      <c r="F2633" s="534" t="n">
        <v>3.825</v>
      </c>
      <c r="G2633" s="554" t="n"/>
    </row>
    <row r="2634">
      <c r="A2634" s="535" t="n">
        <v>35222</v>
      </c>
      <c r="B2634" s="534" t="n">
        <v>12.892</v>
      </c>
      <c r="C2634" s="534" t="n">
        <v>11225.83</v>
      </c>
      <c r="E2634" s="535" t="n">
        <v>39042</v>
      </c>
      <c r="F2634" s="534" t="n">
        <v>3.843</v>
      </c>
      <c r="G2634" s="554" t="n"/>
    </row>
    <row r="2635">
      <c r="A2635" s="535" t="n">
        <v>35223</v>
      </c>
      <c r="B2635" s="534" t="n">
        <v>12.762</v>
      </c>
      <c r="C2635" s="534" t="n">
        <v>11196.55</v>
      </c>
      <c r="E2635" s="535" t="n">
        <v>39043</v>
      </c>
      <c r="F2635" s="534" t="n">
        <v>3.847</v>
      </c>
      <c r="G2635" s="554" t="n"/>
    </row>
    <row r="2636">
      <c r="A2636" s="535" t="n">
        <v>35226</v>
      </c>
      <c r="B2636" s="534" t="n">
        <v>12.849</v>
      </c>
      <c r="C2636" s="534" t="n">
        <v>11143.24</v>
      </c>
      <c r="E2636" s="535" t="n">
        <v>39044</v>
      </c>
      <c r="F2636" s="534" t="n">
        <v>3.836</v>
      </c>
      <c r="G2636" s="554" t="n"/>
    </row>
    <row r="2637">
      <c r="A2637" s="535" t="n">
        <v>35227</v>
      </c>
      <c r="B2637" s="534" t="n">
        <v>12.631</v>
      </c>
      <c r="C2637" s="534" t="n">
        <v>10993.55</v>
      </c>
      <c r="E2637" s="535" t="n">
        <v>39045</v>
      </c>
      <c r="F2637" s="534" t="n">
        <v>3.842</v>
      </c>
      <c r="G2637" s="554" t="n"/>
    </row>
    <row r="2638">
      <c r="A2638" s="535" t="n">
        <v>35228</v>
      </c>
      <c r="B2638" s="534" t="n">
        <v>11.934</v>
      </c>
      <c r="C2638" s="534" t="n">
        <v>10958.67</v>
      </c>
      <c r="E2638" s="535" t="n">
        <v>39048</v>
      </c>
      <c r="F2638" s="534" t="n">
        <v>3.827</v>
      </c>
      <c r="G2638" s="554" t="n"/>
    </row>
    <row r="2639">
      <c r="A2639" s="535" t="n">
        <v>35229</v>
      </c>
      <c r="B2639" s="534" t="n">
        <v>12.065</v>
      </c>
      <c r="C2639" s="534" t="n">
        <v>10866.02</v>
      </c>
      <c r="E2639" s="535" t="n">
        <v>39049</v>
      </c>
      <c r="F2639" s="534" t="n">
        <v>3.83</v>
      </c>
      <c r="G2639" s="554" t="n"/>
    </row>
    <row r="2640">
      <c r="A2640" s="535" t="n">
        <v>35230</v>
      </c>
      <c r="B2640" s="534" t="n">
        <v>12.065</v>
      </c>
      <c r="C2640" s="534" t="n">
        <v>10864.99</v>
      </c>
      <c r="E2640" s="535" t="n">
        <v>39050</v>
      </c>
      <c r="F2640" s="534" t="n">
        <v>3.802</v>
      </c>
      <c r="G2640" s="554" t="n"/>
    </row>
    <row r="2641">
      <c r="A2641" s="535" t="n">
        <v>35233</v>
      </c>
      <c r="B2641" s="534" t="n">
        <v>12.065</v>
      </c>
      <c r="C2641" s="534" t="n">
        <v>10864.99</v>
      </c>
      <c r="E2641" s="535" t="n">
        <v>39051</v>
      </c>
      <c r="F2641" s="534" t="n">
        <v>3.811</v>
      </c>
      <c r="G2641" s="554" t="n"/>
    </row>
    <row r="2642">
      <c r="A2642" s="535" t="n">
        <v>35234</v>
      </c>
      <c r="B2642" s="534" t="n">
        <v>12.5</v>
      </c>
      <c r="C2642" s="534" t="n">
        <v>10952.78</v>
      </c>
      <c r="E2642" s="535" t="n">
        <v>39052</v>
      </c>
      <c r="F2642" s="534" t="n">
        <v>3.775</v>
      </c>
      <c r="G2642" s="554" t="n"/>
    </row>
    <row r="2643">
      <c r="A2643" s="535" t="n">
        <v>35235</v>
      </c>
      <c r="B2643" s="534" t="n">
        <v>12.283</v>
      </c>
      <c r="C2643" s="534" t="n">
        <v>10904.47</v>
      </c>
      <c r="E2643" s="535" t="n">
        <v>39055</v>
      </c>
      <c r="F2643" s="534" t="n">
        <v>3.74</v>
      </c>
      <c r="G2643" s="554" t="n"/>
    </row>
    <row r="2644">
      <c r="A2644" s="535" t="n">
        <v>35236</v>
      </c>
      <c r="B2644" s="534" t="n">
        <v>12.283</v>
      </c>
      <c r="C2644" s="534" t="n">
        <v>10904.47</v>
      </c>
      <c r="E2644" s="535" t="n">
        <v>39056</v>
      </c>
      <c r="F2644" s="534" t="n">
        <v>3.736</v>
      </c>
      <c r="G2644" s="554" t="n"/>
    </row>
    <row r="2645">
      <c r="A2645" s="535" t="n">
        <v>35237</v>
      </c>
      <c r="B2645" s="534" t="n">
        <v>12.196</v>
      </c>
      <c r="C2645" s="534" t="n">
        <v>10855.29</v>
      </c>
      <c r="E2645" s="535" t="n">
        <v>39057</v>
      </c>
      <c r="F2645" s="534" t="n">
        <v>3.739</v>
      </c>
      <c r="G2645" s="554" t="n"/>
    </row>
    <row r="2646">
      <c r="A2646" s="535" t="n">
        <v>35240</v>
      </c>
      <c r="B2646" s="534" t="n">
        <v>12.413</v>
      </c>
      <c r="C2646" s="534" t="n">
        <v>10959.72</v>
      </c>
      <c r="E2646" s="535" t="n">
        <v>39058</v>
      </c>
      <c r="F2646" s="534" t="n">
        <v>3.776</v>
      </c>
      <c r="G2646" s="554" t="n"/>
    </row>
    <row r="2647">
      <c r="A2647" s="535" t="n">
        <v>35241</v>
      </c>
      <c r="B2647" s="534" t="n">
        <v>12.108</v>
      </c>
      <c r="C2647" s="534" t="n">
        <v>10982.77</v>
      </c>
      <c r="E2647" s="535" t="n">
        <v>39059</v>
      </c>
      <c r="F2647" s="534" t="n">
        <v>3.804</v>
      </c>
      <c r="G2647" s="554" t="n"/>
    </row>
    <row r="2648">
      <c r="A2648" s="535" t="n">
        <v>35242</v>
      </c>
      <c r="B2648" s="534" t="n">
        <v>12.413</v>
      </c>
      <c r="C2648" s="534" t="n">
        <v>11059.92</v>
      </c>
      <c r="E2648" s="535" t="n">
        <v>39062</v>
      </c>
      <c r="F2648" s="534" t="n">
        <v>3.847</v>
      </c>
      <c r="G2648" s="554" t="n"/>
    </row>
    <row r="2649">
      <c r="A2649" s="535" t="n">
        <v>35243</v>
      </c>
      <c r="B2649" s="534" t="n">
        <v>12.413</v>
      </c>
      <c r="C2649" s="534" t="n">
        <v>11002.45</v>
      </c>
      <c r="E2649" s="535" t="n">
        <v>39063</v>
      </c>
      <c r="F2649" s="534" t="n">
        <v>3.824</v>
      </c>
      <c r="G2649" s="554" t="n"/>
    </row>
    <row r="2650">
      <c r="A2650" s="535" t="n">
        <v>35244</v>
      </c>
      <c r="B2650" s="534" t="n">
        <v>12.37</v>
      </c>
      <c r="C2650" s="534" t="n">
        <v>11020.9</v>
      </c>
      <c r="E2650" s="535" t="n">
        <v>39064</v>
      </c>
      <c r="F2650" s="534" t="n">
        <v>3.784</v>
      </c>
      <c r="G2650" s="554" t="n"/>
    </row>
    <row r="2651">
      <c r="A2651" s="535" t="n">
        <v>35247</v>
      </c>
      <c r="B2651" s="534" t="n">
        <v>12.196</v>
      </c>
      <c r="C2651" s="534" t="n">
        <v>11002.61</v>
      </c>
      <c r="E2651" s="535" t="n">
        <v>39065</v>
      </c>
      <c r="F2651" s="534" t="n">
        <v>3.843</v>
      </c>
      <c r="G2651" s="554" t="n"/>
    </row>
    <row r="2652">
      <c r="A2652" s="535" t="n">
        <v>35248</v>
      </c>
      <c r="B2652" s="534" t="n">
        <v>12.152</v>
      </c>
      <c r="C2652" s="534" t="n">
        <v>11084.43</v>
      </c>
      <c r="E2652" s="535" t="n">
        <v>39066</v>
      </c>
      <c r="F2652" s="534" t="n">
        <v>3.862</v>
      </c>
      <c r="G2652" s="554" t="n"/>
    </row>
    <row r="2653">
      <c r="A2653" s="535" t="n">
        <v>35249</v>
      </c>
      <c r="B2653" s="534" t="n">
        <v>12.108</v>
      </c>
      <c r="C2653" s="534" t="n">
        <v>11063.28</v>
      </c>
      <c r="E2653" s="535" t="n">
        <v>39069</v>
      </c>
      <c r="F2653" s="534" t="n">
        <v>3.847</v>
      </c>
      <c r="G2653" s="554" t="n"/>
    </row>
    <row r="2654">
      <c r="A2654" s="535" t="n">
        <v>35250</v>
      </c>
      <c r="B2654" s="534" t="n">
        <v>12.108</v>
      </c>
      <c r="C2654" s="534" t="n">
        <v>11181.82</v>
      </c>
      <c r="E2654" s="535" t="n">
        <v>39070</v>
      </c>
      <c r="F2654" s="534" t="n">
        <v>3.846</v>
      </c>
      <c r="G2654" s="554" t="n"/>
    </row>
    <row r="2655">
      <c r="A2655" s="535" t="n">
        <v>35251</v>
      </c>
      <c r="B2655" s="534" t="n">
        <v>12.196</v>
      </c>
      <c r="C2655" s="534" t="n">
        <v>11177.13</v>
      </c>
      <c r="E2655" s="535" t="n">
        <v>39071</v>
      </c>
      <c r="F2655" s="534" t="n">
        <v>3.847</v>
      </c>
      <c r="G2655" s="554" t="n"/>
    </row>
    <row r="2656">
      <c r="A2656" s="535" t="n">
        <v>35254</v>
      </c>
      <c r="B2656" s="534" t="n">
        <v>11.586</v>
      </c>
      <c r="C2656" s="534" t="n">
        <v>10890.05</v>
      </c>
      <c r="E2656" s="535" t="n">
        <v>39072</v>
      </c>
      <c r="F2656" s="534" t="n">
        <v>3.81</v>
      </c>
      <c r="G2656" s="554" t="n"/>
    </row>
    <row r="2657">
      <c r="A2657" s="535" t="n">
        <v>35255</v>
      </c>
      <c r="B2657" s="534" t="n">
        <v>11.586</v>
      </c>
      <c r="C2657" s="534" t="n">
        <v>10929.63</v>
      </c>
      <c r="E2657" s="535" t="n">
        <v>39073</v>
      </c>
      <c r="F2657" s="534" t="n">
        <v>3.747</v>
      </c>
      <c r="G2657" s="554" t="n"/>
    </row>
    <row r="2658">
      <c r="A2658" s="535" t="n">
        <v>35256</v>
      </c>
      <c r="B2658" s="534" t="n">
        <v>11.673</v>
      </c>
      <c r="C2658" s="534" t="n">
        <v>10911.76</v>
      </c>
      <c r="E2658" s="535" t="n">
        <v>39076</v>
      </c>
      <c r="F2658" s="534" t="n">
        <v>3.747</v>
      </c>
      <c r="G2658" s="554" t="n"/>
    </row>
    <row r="2659">
      <c r="A2659" s="535" t="n">
        <v>35257</v>
      </c>
      <c r="B2659" s="534" t="n">
        <v>11.716</v>
      </c>
      <c r="C2659" s="534" t="n">
        <v>10921.35</v>
      </c>
      <c r="E2659" s="535" t="n">
        <v>39077</v>
      </c>
      <c r="F2659" s="534" t="n">
        <v>3.747</v>
      </c>
      <c r="G2659" s="554" t="n"/>
    </row>
    <row r="2660">
      <c r="A2660" s="535" t="n">
        <v>35258</v>
      </c>
      <c r="B2660" s="534" t="n">
        <v>11.542</v>
      </c>
      <c r="C2660" s="534" t="n">
        <v>10802.68</v>
      </c>
      <c r="E2660" s="535" t="n">
        <v>39078</v>
      </c>
      <c r="F2660" s="534" t="n">
        <v>3.708</v>
      </c>
      <c r="G2660" s="554" t="n"/>
    </row>
    <row r="2661">
      <c r="A2661" s="535" t="n">
        <v>35261</v>
      </c>
      <c r="B2661" s="534" t="n">
        <v>11.586</v>
      </c>
      <c r="C2661" s="534" t="n">
        <v>10800.13</v>
      </c>
      <c r="E2661" s="535" t="n">
        <v>39079</v>
      </c>
      <c r="F2661" s="534" t="n">
        <v>3.738</v>
      </c>
      <c r="G2661" s="554" t="n"/>
    </row>
    <row r="2662">
      <c r="A2662" s="535" t="n">
        <v>35262</v>
      </c>
      <c r="B2662" s="534" t="n">
        <v>11.499</v>
      </c>
      <c r="C2662" s="534" t="n">
        <v>10627.98</v>
      </c>
      <c r="E2662" s="535" t="n">
        <v>39080</v>
      </c>
      <c r="F2662" s="534" t="n">
        <v>3.742</v>
      </c>
      <c r="G2662" s="554" t="n"/>
    </row>
    <row r="2663">
      <c r="A2663" s="535" t="n">
        <v>35263</v>
      </c>
      <c r="B2663" s="534" t="n">
        <v>11.629</v>
      </c>
      <c r="C2663" s="534" t="n">
        <v>10609.1</v>
      </c>
      <c r="E2663" s="535" t="n">
        <v>39083</v>
      </c>
      <c r="F2663" s="534" t="n">
        <v>3.742</v>
      </c>
      <c r="G2663" s="554" t="n"/>
    </row>
    <row r="2664">
      <c r="A2664" s="535" t="n">
        <v>35264</v>
      </c>
      <c r="B2664" s="534" t="n">
        <v>11.847</v>
      </c>
      <c r="C2664" s="534" t="n">
        <v>10711.24</v>
      </c>
      <c r="E2664" s="535" t="n">
        <v>39084</v>
      </c>
      <c r="F2664" s="534" t="n">
        <v>3.74</v>
      </c>
      <c r="G2664" s="554" t="n"/>
    </row>
    <row r="2665">
      <c r="A2665" s="535" t="n">
        <v>35265</v>
      </c>
      <c r="B2665" s="534" t="n">
        <v>11.934</v>
      </c>
      <c r="C2665" s="534" t="n">
        <v>10845.3</v>
      </c>
      <c r="E2665" s="535" t="n">
        <v>39085</v>
      </c>
      <c r="F2665" s="534" t="n">
        <v>3.74</v>
      </c>
      <c r="G2665" s="554" t="n"/>
    </row>
    <row r="2666">
      <c r="A2666" s="535" t="n">
        <v>35268</v>
      </c>
      <c r="B2666" s="534" t="n">
        <v>11.542</v>
      </c>
      <c r="C2666" s="534" t="n">
        <v>10798.29</v>
      </c>
      <c r="E2666" s="535" t="n">
        <v>39086</v>
      </c>
      <c r="F2666" s="534" t="n">
        <v>3.726</v>
      </c>
      <c r="G2666" s="554" t="n"/>
    </row>
    <row r="2667">
      <c r="A2667" s="535" t="n">
        <v>35269</v>
      </c>
      <c r="B2667" s="534" t="n">
        <v>11.804</v>
      </c>
      <c r="C2667" s="534" t="n">
        <v>10865.31</v>
      </c>
      <c r="E2667" s="535" t="n">
        <v>39087</v>
      </c>
      <c r="F2667" s="534" t="n">
        <v>3.69</v>
      </c>
      <c r="G2667" s="554" t="n"/>
    </row>
    <row r="2668">
      <c r="A2668" s="535" t="n">
        <v>35270</v>
      </c>
      <c r="B2668" s="534" t="n">
        <v>11.281</v>
      </c>
      <c r="C2668" s="534" t="n">
        <v>10699.86</v>
      </c>
      <c r="E2668" s="535" t="n">
        <v>39090</v>
      </c>
      <c r="F2668" s="534" t="n">
        <v>3.71</v>
      </c>
      <c r="G2668" s="554" t="n"/>
    </row>
    <row r="2669">
      <c r="A2669" s="535" t="n">
        <v>35271</v>
      </c>
      <c r="B2669" s="534" t="n">
        <v>11.237</v>
      </c>
      <c r="C2669" s="534" t="n">
        <v>10706.97</v>
      </c>
      <c r="E2669" s="535" t="n">
        <v>39091</v>
      </c>
      <c r="F2669" s="534" t="n">
        <v>3.716</v>
      </c>
      <c r="G2669" s="554" t="n"/>
    </row>
    <row r="2670">
      <c r="A2670" s="535" t="n">
        <v>35272</v>
      </c>
      <c r="B2670" s="534" t="n">
        <v>10.932</v>
      </c>
      <c r="C2670" s="534" t="n">
        <v>10705.57</v>
      </c>
      <c r="E2670" s="535" t="n">
        <v>39092</v>
      </c>
      <c r="F2670" s="534" t="n">
        <v>3.739</v>
      </c>
      <c r="G2670" s="554" t="n"/>
    </row>
    <row r="2671">
      <c r="A2671" s="535" t="n">
        <v>35275</v>
      </c>
      <c r="B2671" s="534" t="n">
        <v>10.932</v>
      </c>
      <c r="C2671" s="534" t="n">
        <v>10651.8</v>
      </c>
      <c r="E2671" s="535" t="n">
        <v>39093</v>
      </c>
      <c r="F2671" s="534" t="n">
        <v>3.771</v>
      </c>
      <c r="G2671" s="554" t="n"/>
    </row>
    <row r="2672">
      <c r="A2672" s="535" t="n">
        <v>35276</v>
      </c>
      <c r="B2672" s="534" t="n">
        <v>10.976</v>
      </c>
      <c r="C2672" s="534" t="n">
        <v>10585.86</v>
      </c>
      <c r="E2672" s="535" t="n">
        <v>39094</v>
      </c>
      <c r="F2672" s="534" t="n">
        <v>3.865</v>
      </c>
      <c r="G2672" s="554" t="n"/>
    </row>
    <row r="2673">
      <c r="A2673" s="535" t="n">
        <v>35277</v>
      </c>
      <c r="B2673" s="534" t="n">
        <v>11.063</v>
      </c>
      <c r="C2673" s="534" t="n">
        <v>10681.42</v>
      </c>
      <c r="E2673" s="535" t="n">
        <v>39097</v>
      </c>
      <c r="F2673" s="534" t="n">
        <v>3.893</v>
      </c>
      <c r="G2673" s="554" t="n"/>
    </row>
    <row r="2674">
      <c r="A2674" s="535" t="n">
        <v>35278</v>
      </c>
      <c r="B2674" s="534" t="n">
        <v>11.281</v>
      </c>
      <c r="C2674" s="534" t="n">
        <v>10789.87</v>
      </c>
      <c r="E2674" s="535" t="n">
        <v>39098</v>
      </c>
      <c r="F2674" s="534" t="n">
        <v>3.907</v>
      </c>
      <c r="G2674" s="554" t="n"/>
    </row>
    <row r="2675">
      <c r="A2675" s="535" t="n">
        <v>35279</v>
      </c>
      <c r="B2675" s="534" t="n">
        <v>11.281</v>
      </c>
      <c r="C2675" s="534" t="n">
        <v>10961.97</v>
      </c>
      <c r="E2675" s="535" t="n">
        <v>39099</v>
      </c>
      <c r="F2675" s="534" t="n">
        <v>3.936</v>
      </c>
      <c r="G2675" s="554" t="n"/>
    </row>
    <row r="2676">
      <c r="A2676" s="535" t="n">
        <v>35282</v>
      </c>
      <c r="B2676" s="534" t="n">
        <v>11.455</v>
      </c>
      <c r="C2676" s="534" t="n">
        <v>11071.43</v>
      </c>
      <c r="E2676" s="535" t="n">
        <v>39100</v>
      </c>
      <c r="F2676" s="534" t="n">
        <v>4.026</v>
      </c>
      <c r="G2676" s="554" t="n"/>
    </row>
    <row r="2677">
      <c r="A2677" s="535" t="n">
        <v>35283</v>
      </c>
      <c r="B2677" s="534" t="n">
        <v>11.586</v>
      </c>
      <c r="C2677" s="534" t="n">
        <v>11134.6</v>
      </c>
      <c r="E2677" s="535" t="n">
        <v>39101</v>
      </c>
      <c r="F2677" s="534" t="n">
        <v>4.089</v>
      </c>
      <c r="G2677" s="554" t="n"/>
    </row>
    <row r="2678">
      <c r="A2678" s="535" t="n">
        <v>35284</v>
      </c>
      <c r="B2678" s="534" t="n">
        <v>11.412</v>
      </c>
      <c r="C2678" s="534" t="n">
        <v>11127.54</v>
      </c>
      <c r="E2678" s="535" t="n">
        <v>39104</v>
      </c>
      <c r="F2678" s="534" t="n">
        <v>4.104</v>
      </c>
      <c r="G2678" s="554" t="n"/>
    </row>
    <row r="2679">
      <c r="A2679" s="535" t="n">
        <v>35285</v>
      </c>
      <c r="B2679" s="534" t="n">
        <v>11.194</v>
      </c>
      <c r="C2679" s="534" t="n">
        <v>11164.36</v>
      </c>
      <c r="E2679" s="535" t="n">
        <v>39105</v>
      </c>
      <c r="F2679" s="534" t="n">
        <v>4.034</v>
      </c>
      <c r="G2679" s="554" t="n"/>
    </row>
    <row r="2680">
      <c r="A2680" s="535" t="n">
        <v>35286</v>
      </c>
      <c r="B2680" s="534" t="n">
        <v>11.237</v>
      </c>
      <c r="C2680" s="534" t="n">
        <v>11104.03</v>
      </c>
      <c r="E2680" s="535" t="n">
        <v>39106</v>
      </c>
      <c r="F2680" s="534" t="n">
        <v>4.036</v>
      </c>
      <c r="G2680" s="554" t="n"/>
    </row>
    <row r="2681">
      <c r="A2681" s="535" t="n">
        <v>35289</v>
      </c>
      <c r="B2681" s="534" t="n">
        <v>11.237</v>
      </c>
      <c r="C2681" s="534" t="n">
        <v>11181.88</v>
      </c>
      <c r="E2681" s="535" t="n">
        <v>39107</v>
      </c>
      <c r="F2681" s="534" t="n">
        <v>4.072</v>
      </c>
      <c r="G2681" s="554" t="n"/>
    </row>
    <row r="2682">
      <c r="A2682" s="535" t="n">
        <v>35290</v>
      </c>
      <c r="B2682" s="534" t="n">
        <v>11.281</v>
      </c>
      <c r="C2682" s="534" t="n">
        <v>11165.67</v>
      </c>
      <c r="E2682" s="535" t="n">
        <v>39108</v>
      </c>
      <c r="F2682" s="534" t="n">
        <v>4.149</v>
      </c>
      <c r="G2682" s="554" t="n"/>
    </row>
    <row r="2683">
      <c r="A2683" s="535" t="n">
        <v>35291</v>
      </c>
      <c r="B2683" s="534" t="n">
        <v>11.194</v>
      </c>
      <c r="C2683" s="534" t="n">
        <v>11166.77</v>
      </c>
      <c r="E2683" s="535" t="n">
        <v>39111</v>
      </c>
      <c r="F2683" s="534" t="n">
        <v>4.175</v>
      </c>
      <c r="G2683" s="554" t="n"/>
    </row>
    <row r="2684">
      <c r="A2684" s="535" t="n">
        <v>35292</v>
      </c>
      <c r="B2684" s="534" t="n">
        <v>11.237</v>
      </c>
      <c r="C2684" s="534" t="n">
        <v>11158.39</v>
      </c>
      <c r="E2684" s="535" t="n">
        <v>39112</v>
      </c>
      <c r="F2684" s="534" t="n">
        <v>4.195</v>
      </c>
      <c r="G2684" s="554" t="n"/>
    </row>
    <row r="2685">
      <c r="A2685" s="535" t="n">
        <v>35293</v>
      </c>
      <c r="B2685" s="534" t="n">
        <v>11.107</v>
      </c>
      <c r="C2685" s="534" t="n">
        <v>11175.98</v>
      </c>
      <c r="E2685" s="535" t="n">
        <v>39113</v>
      </c>
      <c r="F2685" s="534" t="n">
        <v>4.161</v>
      </c>
      <c r="G2685" s="554" t="n"/>
    </row>
    <row r="2686">
      <c r="A2686" s="535" t="n">
        <v>35296</v>
      </c>
      <c r="B2686" s="534" t="n">
        <v>11.063</v>
      </c>
      <c r="C2686" s="534" t="n">
        <v>11213.48</v>
      </c>
      <c r="E2686" s="535" t="n">
        <v>39114</v>
      </c>
      <c r="F2686" s="534" t="n">
        <v>4.146</v>
      </c>
      <c r="G2686" s="554" t="n"/>
    </row>
    <row r="2687">
      <c r="A2687" s="535" t="n">
        <v>35297</v>
      </c>
      <c r="B2687" s="534" t="n">
        <v>11.107</v>
      </c>
      <c r="C2687" s="534" t="n">
        <v>11312.51</v>
      </c>
      <c r="E2687" s="535" t="n">
        <v>39115</v>
      </c>
      <c r="F2687" s="534" t="n">
        <v>4.241</v>
      </c>
      <c r="G2687" s="554" t="n"/>
    </row>
    <row r="2688">
      <c r="A2688" s="535" t="n">
        <v>35298</v>
      </c>
      <c r="B2688" s="534" t="n">
        <v>11.237</v>
      </c>
      <c r="C2688" s="534" t="n">
        <v>11436.5</v>
      </c>
      <c r="E2688" s="535" t="n">
        <v>39118</v>
      </c>
      <c r="F2688" s="534" t="n">
        <v>4.291</v>
      </c>
      <c r="G2688" s="554" t="n"/>
    </row>
    <row r="2689">
      <c r="A2689" s="535" t="n">
        <v>35299</v>
      </c>
      <c r="B2689" s="534" t="n">
        <v>11.281</v>
      </c>
      <c r="C2689" s="534" t="n">
        <v>11478.77</v>
      </c>
      <c r="E2689" s="535" t="n">
        <v>39119</v>
      </c>
      <c r="F2689" s="534" t="n">
        <v>4.267</v>
      </c>
      <c r="G2689" s="554" t="n"/>
    </row>
    <row r="2690">
      <c r="A2690" s="535" t="n">
        <v>35300</v>
      </c>
      <c r="B2690" s="534" t="n">
        <v>11.324</v>
      </c>
      <c r="C2690" s="534" t="n">
        <v>11424.64</v>
      </c>
      <c r="E2690" s="535" t="n">
        <v>39120</v>
      </c>
      <c r="F2690" s="534" t="n">
        <v>4.263</v>
      </c>
      <c r="G2690" s="554" t="n"/>
    </row>
    <row r="2691">
      <c r="A2691" s="535" t="n">
        <v>35303</v>
      </c>
      <c r="B2691" s="534" t="n">
        <v>11.324</v>
      </c>
      <c r="C2691" s="534" t="n">
        <v>11424.64</v>
      </c>
      <c r="E2691" s="535" t="n">
        <v>39121</v>
      </c>
      <c r="F2691" s="534" t="n">
        <v>4.306</v>
      </c>
      <c r="G2691" s="554" t="n"/>
    </row>
    <row r="2692">
      <c r="A2692" s="535" t="n">
        <v>35304</v>
      </c>
      <c r="B2692" s="534" t="n">
        <v>11.063</v>
      </c>
      <c r="C2692" s="534" t="n">
        <v>11338.93</v>
      </c>
      <c r="E2692" s="535" t="n">
        <v>39122</v>
      </c>
      <c r="F2692" s="534" t="n">
        <v>4.292</v>
      </c>
      <c r="G2692" s="554" t="n"/>
    </row>
    <row r="2693">
      <c r="A2693" s="535" t="n">
        <v>35305</v>
      </c>
      <c r="B2693" s="534" t="n">
        <v>11.15</v>
      </c>
      <c r="C2693" s="534" t="n">
        <v>11379.49</v>
      </c>
      <c r="E2693" s="535" t="n">
        <v>39125</v>
      </c>
      <c r="F2693" s="534" t="n">
        <v>4.34</v>
      </c>
      <c r="G2693" s="554" t="n"/>
    </row>
    <row r="2694">
      <c r="A2694" s="535" t="n">
        <v>35306</v>
      </c>
      <c r="B2694" s="534" t="n">
        <v>11.324</v>
      </c>
      <c r="C2694" s="534" t="n">
        <v>11328.21</v>
      </c>
      <c r="E2694" s="535" t="n">
        <v>39126</v>
      </c>
      <c r="F2694" s="534" t="n">
        <v>4.382</v>
      </c>
      <c r="G2694" s="554" t="n"/>
    </row>
    <row r="2695">
      <c r="A2695" s="535" t="n">
        <v>35307</v>
      </c>
      <c r="B2695" s="534" t="n">
        <v>11.194</v>
      </c>
      <c r="C2695" s="534" t="n">
        <v>11159.02</v>
      </c>
      <c r="E2695" s="535" t="n">
        <v>39127</v>
      </c>
      <c r="F2695" s="534" t="n">
        <v>4.404</v>
      </c>
      <c r="G2695" s="554" t="n"/>
    </row>
    <row r="2696">
      <c r="A2696" s="535" t="n">
        <v>35310</v>
      </c>
      <c r="B2696" s="534" t="n">
        <v>11.194</v>
      </c>
      <c r="C2696" s="534" t="n">
        <v>11106.57</v>
      </c>
      <c r="E2696" s="535" t="n">
        <v>39128</v>
      </c>
      <c r="F2696" s="534" t="n">
        <v>4.32</v>
      </c>
      <c r="G2696" s="554" t="n"/>
    </row>
    <row r="2697">
      <c r="A2697" s="535" t="n">
        <v>35311</v>
      </c>
      <c r="B2697" s="534" t="n">
        <v>10.976</v>
      </c>
      <c r="C2697" s="534" t="n">
        <v>10957.18</v>
      </c>
      <c r="E2697" s="535" t="n">
        <v>39129</v>
      </c>
      <c r="F2697" s="534" t="n">
        <v>4.253</v>
      </c>
      <c r="G2697" s="554" t="n"/>
    </row>
    <row r="2698">
      <c r="A2698" s="535" t="n">
        <v>35312</v>
      </c>
      <c r="B2698" s="534" t="n">
        <v>10.976</v>
      </c>
      <c r="C2698" s="534" t="n">
        <v>11076.95</v>
      </c>
      <c r="E2698" s="535" t="n">
        <v>39132</v>
      </c>
      <c r="F2698" s="534" t="n">
        <v>4.253</v>
      </c>
      <c r="G2698" s="554" t="n"/>
    </row>
    <row r="2699">
      <c r="A2699" s="535" t="n">
        <v>35313</v>
      </c>
      <c r="B2699" s="534" t="n">
        <v>10.845</v>
      </c>
      <c r="C2699" s="534" t="n">
        <v>11040.51</v>
      </c>
      <c r="E2699" s="535" t="n">
        <v>39133</v>
      </c>
      <c r="F2699" s="534" t="n">
        <v>4.253</v>
      </c>
      <c r="G2699" s="554" t="n"/>
    </row>
    <row r="2700">
      <c r="A2700" s="535" t="n">
        <v>35314</v>
      </c>
      <c r="B2700" s="534" t="n">
        <v>10.976</v>
      </c>
      <c r="C2700" s="534" t="n">
        <v>11025.59</v>
      </c>
      <c r="E2700" s="535" t="n">
        <v>39134</v>
      </c>
      <c r="F2700" s="534" t="n">
        <v>4.253</v>
      </c>
      <c r="G2700" s="554" t="n"/>
    </row>
    <row r="2701">
      <c r="A2701" s="535" t="n">
        <v>35317</v>
      </c>
      <c r="B2701" s="534" t="n">
        <v>11.02</v>
      </c>
      <c r="C2701" s="534" t="n">
        <v>11212.6</v>
      </c>
      <c r="E2701" s="535" t="n">
        <v>39135</v>
      </c>
      <c r="F2701" s="534" t="n">
        <v>4.265</v>
      </c>
      <c r="G2701" s="554" t="n"/>
    </row>
    <row r="2702">
      <c r="A2702" s="535" t="n">
        <v>35318</v>
      </c>
      <c r="B2702" s="534" t="n">
        <v>11.107</v>
      </c>
      <c r="C2702" s="534" t="n">
        <v>11223.62</v>
      </c>
      <c r="E2702" s="535" t="n">
        <v>39136</v>
      </c>
      <c r="F2702" s="534" t="n">
        <v>4.273</v>
      </c>
      <c r="G2702" s="554" t="n"/>
    </row>
    <row r="2703">
      <c r="A2703" s="535" t="n">
        <v>35319</v>
      </c>
      <c r="B2703" s="534" t="n">
        <v>11.15</v>
      </c>
      <c r="C2703" s="534" t="n">
        <v>11236.36</v>
      </c>
      <c r="E2703" s="535" t="n">
        <v>39139</v>
      </c>
      <c r="F2703" s="534" t="n">
        <v>4.204</v>
      </c>
      <c r="G2703" s="554" t="n"/>
    </row>
    <row r="2704">
      <c r="A2704" s="535" t="n">
        <v>35320</v>
      </c>
      <c r="B2704" s="534" t="n">
        <v>10.932</v>
      </c>
      <c r="C2704" s="534" t="n">
        <v>11251.72</v>
      </c>
      <c r="E2704" s="535" t="n">
        <v>39140</v>
      </c>
      <c r="F2704" s="534" t="n">
        <v>4.219</v>
      </c>
      <c r="G2704" s="554" t="n"/>
    </row>
    <row r="2705">
      <c r="A2705" s="535" t="n">
        <v>35321</v>
      </c>
      <c r="B2705" s="534" t="n">
        <v>11.063</v>
      </c>
      <c r="C2705" s="534" t="n">
        <v>11369.04</v>
      </c>
      <c r="E2705" s="535" t="n">
        <v>39141</v>
      </c>
      <c r="F2705" s="534" t="n">
        <v>4.175</v>
      </c>
      <c r="G2705" s="554" t="n"/>
    </row>
    <row r="2706">
      <c r="A2706" s="535" t="n">
        <v>35324</v>
      </c>
      <c r="B2706" s="534" t="n">
        <v>10.976</v>
      </c>
      <c r="C2706" s="534" t="n">
        <v>11567.9</v>
      </c>
      <c r="E2706" s="535" t="n">
        <v>39142</v>
      </c>
      <c r="F2706" s="534" t="n">
        <v>4.18</v>
      </c>
      <c r="G2706" s="554" t="n"/>
    </row>
    <row r="2707">
      <c r="A2707" s="535" t="n">
        <v>35325</v>
      </c>
      <c r="B2707" s="534" t="n">
        <v>11.237</v>
      </c>
      <c r="C2707" s="534" t="n">
        <v>11621.61</v>
      </c>
      <c r="E2707" s="535" t="n">
        <v>39143</v>
      </c>
      <c r="F2707" s="534" t="n">
        <v>4.224</v>
      </c>
      <c r="G2707" s="554" t="n"/>
    </row>
    <row r="2708">
      <c r="A2708" s="535" t="n">
        <v>35326</v>
      </c>
      <c r="B2708" s="534" t="n">
        <v>11.15</v>
      </c>
      <c r="C2708" s="534" t="n">
        <v>11594.03</v>
      </c>
      <c r="E2708" s="535" t="n">
        <v>39146</v>
      </c>
      <c r="F2708" s="534" t="n">
        <v>4.2</v>
      </c>
      <c r="G2708" s="554" t="n"/>
    </row>
    <row r="2709">
      <c r="A2709" s="535" t="n">
        <v>35327</v>
      </c>
      <c r="B2709" s="534" t="n">
        <v>11.02</v>
      </c>
      <c r="C2709" s="534" t="n">
        <v>11586.68</v>
      </c>
      <c r="E2709" s="535" t="n">
        <v>39147</v>
      </c>
      <c r="F2709" s="534" t="n">
        <v>4.202</v>
      </c>
      <c r="G2709" s="554" t="n"/>
    </row>
    <row r="2710">
      <c r="A2710" s="535" t="n">
        <v>35328</v>
      </c>
      <c r="B2710" s="534" t="n">
        <v>10.976</v>
      </c>
      <c r="C2710" s="534" t="n">
        <v>11592.36</v>
      </c>
      <c r="E2710" s="535" t="n">
        <v>39148</v>
      </c>
      <c r="F2710" s="534" t="n">
        <v>4.221</v>
      </c>
      <c r="G2710" s="554" t="n"/>
    </row>
    <row r="2711">
      <c r="A2711" s="535" t="n">
        <v>35331</v>
      </c>
      <c r="B2711" s="534" t="n">
        <v>11.107</v>
      </c>
      <c r="C2711" s="534" t="n">
        <v>11622.13</v>
      </c>
      <c r="E2711" s="535" t="n">
        <v>39149</v>
      </c>
      <c r="F2711" s="534" t="n">
        <v>4.208</v>
      </c>
      <c r="G2711" s="554" t="n"/>
    </row>
    <row r="2712">
      <c r="A2712" s="535" t="n">
        <v>35332</v>
      </c>
      <c r="B2712" s="534" t="n">
        <v>11.107</v>
      </c>
      <c r="C2712" s="534" t="n">
        <v>11546.7</v>
      </c>
      <c r="E2712" s="535" t="n">
        <v>39150</v>
      </c>
      <c r="F2712" s="534" t="n">
        <v>4.187</v>
      </c>
      <c r="G2712" s="554" t="n"/>
    </row>
    <row r="2713">
      <c r="A2713" s="535" t="n">
        <v>35333</v>
      </c>
      <c r="B2713" s="534" t="n">
        <v>11.15</v>
      </c>
      <c r="C2713" s="534" t="n">
        <v>11603.53</v>
      </c>
      <c r="E2713" s="535" t="n">
        <v>39153</v>
      </c>
      <c r="F2713" s="534" t="n">
        <v>4.243</v>
      </c>
      <c r="G2713" s="554" t="n"/>
    </row>
    <row r="2714">
      <c r="A2714" s="535" t="n">
        <v>35334</v>
      </c>
      <c r="B2714" s="534" t="n">
        <v>10.932</v>
      </c>
      <c r="C2714" s="534" t="n">
        <v>11636.13</v>
      </c>
      <c r="E2714" s="535" t="n">
        <v>39154</v>
      </c>
      <c r="F2714" s="534" t="n">
        <v>4.24</v>
      </c>
      <c r="G2714" s="554" t="n"/>
    </row>
    <row r="2715">
      <c r="A2715" s="535" t="n">
        <v>35335</v>
      </c>
      <c r="B2715" s="534" t="n">
        <v>11.02</v>
      </c>
      <c r="C2715" s="534" t="n">
        <v>11759.39</v>
      </c>
      <c r="E2715" s="535" t="n">
        <v>39155</v>
      </c>
      <c r="F2715" s="534" t="n">
        <v>4.197</v>
      </c>
      <c r="G2715" s="554" t="n"/>
    </row>
    <row r="2716">
      <c r="A2716" s="535" t="n">
        <v>35338</v>
      </c>
      <c r="B2716" s="534" t="n">
        <v>10.932</v>
      </c>
      <c r="C2716" s="534" t="n">
        <v>11902.43</v>
      </c>
      <c r="E2716" s="535" t="n">
        <v>39156</v>
      </c>
      <c r="F2716" s="534" t="n">
        <v>4.214</v>
      </c>
      <c r="G2716" s="554" t="n"/>
    </row>
    <row r="2717">
      <c r="A2717" s="535" t="n">
        <v>35339</v>
      </c>
      <c r="B2717" s="534" t="n">
        <v>10.845</v>
      </c>
      <c r="C2717" s="534" t="n">
        <v>11921.22</v>
      </c>
      <c r="E2717" s="535" t="n">
        <v>39157</v>
      </c>
      <c r="F2717" s="534" t="n">
        <v>4.211</v>
      </c>
      <c r="G2717" s="554" t="n"/>
    </row>
    <row r="2718">
      <c r="A2718" s="535" t="n">
        <v>35340</v>
      </c>
      <c r="B2718" s="534" t="n">
        <v>11.063</v>
      </c>
      <c r="C2718" s="534" t="n">
        <v>11951.88</v>
      </c>
      <c r="E2718" s="535" t="n">
        <v>39160</v>
      </c>
      <c r="F2718" s="534" t="n">
        <v>4.206</v>
      </c>
      <c r="G2718" s="554" t="n"/>
    </row>
    <row r="2719">
      <c r="A2719" s="535" t="n">
        <v>35341</v>
      </c>
      <c r="B2719" s="534" t="n">
        <v>11.063</v>
      </c>
      <c r="C2719" s="534" t="n">
        <v>12014.56</v>
      </c>
      <c r="E2719" s="535" t="n">
        <v>39161</v>
      </c>
      <c r="F2719" s="534" t="n">
        <v>4.227</v>
      </c>
      <c r="G2719" s="554" t="n"/>
    </row>
    <row r="2720">
      <c r="A2720" s="535" t="n">
        <v>35342</v>
      </c>
      <c r="B2720" s="534" t="n">
        <v>11.063</v>
      </c>
      <c r="C2720" s="534" t="n">
        <v>11905.51</v>
      </c>
      <c r="E2720" s="535" t="n">
        <v>39162</v>
      </c>
      <c r="F2720" s="534" t="n">
        <v>4.18</v>
      </c>
      <c r="G2720" s="554" t="n"/>
    </row>
    <row r="2721">
      <c r="A2721" s="535" t="n">
        <v>35345</v>
      </c>
      <c r="B2721" s="534" t="n">
        <v>11.15</v>
      </c>
      <c r="C2721" s="534" t="n">
        <v>12133.07</v>
      </c>
      <c r="E2721" s="535" t="n">
        <v>39163</v>
      </c>
      <c r="F2721" s="534" t="n">
        <v>4.094</v>
      </c>
      <c r="G2721" s="554" t="n"/>
    </row>
    <row r="2722">
      <c r="A2722" s="535" t="n">
        <v>35346</v>
      </c>
      <c r="B2722" s="534" t="n">
        <v>11.194</v>
      </c>
      <c r="C2722" s="534" t="n">
        <v>12106.76</v>
      </c>
      <c r="E2722" s="535" t="n">
        <v>39164</v>
      </c>
      <c r="F2722" s="534" t="n">
        <v>4.13</v>
      </c>
      <c r="G2722" s="554" t="n"/>
    </row>
    <row r="2723">
      <c r="A2723" s="535" t="n">
        <v>35347</v>
      </c>
      <c r="B2723" s="534" t="n">
        <v>11.107</v>
      </c>
      <c r="C2723" s="534" t="n">
        <v>12250.57</v>
      </c>
      <c r="E2723" s="535" t="n">
        <v>39167</v>
      </c>
      <c r="F2723" s="534" t="n">
        <v>4.117</v>
      </c>
      <c r="G2723" s="554" t="n"/>
    </row>
    <row r="2724">
      <c r="A2724" s="535" t="n">
        <v>35348</v>
      </c>
      <c r="B2724" s="534" t="n">
        <v>11.063</v>
      </c>
      <c r="C2724" s="534" t="n">
        <v>12242.47</v>
      </c>
      <c r="E2724" s="535" t="n">
        <v>39168</v>
      </c>
      <c r="F2724" s="534" t="n">
        <v>4.147</v>
      </c>
      <c r="G2724" s="554" t="n"/>
    </row>
    <row r="2725">
      <c r="A2725" s="535" t="n">
        <v>35349</v>
      </c>
      <c r="B2725" s="534" t="n">
        <v>11.107</v>
      </c>
      <c r="C2725" s="534" t="n">
        <v>12218.4</v>
      </c>
      <c r="E2725" s="535" t="n">
        <v>39169</v>
      </c>
      <c r="F2725" s="534" t="n">
        <v>4.134</v>
      </c>
      <c r="G2725" s="554" t="n"/>
    </row>
    <row r="2726">
      <c r="A2726" s="535" t="n">
        <v>35352</v>
      </c>
      <c r="B2726" s="534" t="n">
        <v>10.976</v>
      </c>
      <c r="C2726" s="534" t="n">
        <v>12330.35</v>
      </c>
      <c r="E2726" s="535" t="n">
        <v>39170</v>
      </c>
      <c r="F2726" s="534" t="n">
        <v>4.199</v>
      </c>
      <c r="G2726" s="554" t="n"/>
    </row>
    <row r="2727">
      <c r="A2727" s="535" t="n">
        <v>35353</v>
      </c>
      <c r="B2727" s="534" t="n">
        <v>10.976</v>
      </c>
      <c r="C2727" s="534" t="n">
        <v>12490.7</v>
      </c>
      <c r="E2727" s="535" t="n">
        <v>39171</v>
      </c>
      <c r="F2727" s="534" t="n">
        <v>4.196</v>
      </c>
      <c r="G2727" s="554" t="n"/>
    </row>
    <row r="2728">
      <c r="A2728" s="535" t="n">
        <v>35354</v>
      </c>
      <c r="B2728" s="534" t="n">
        <v>10.889</v>
      </c>
      <c r="C2728" s="534" t="n">
        <v>12396.18</v>
      </c>
      <c r="E2728" s="535" t="n">
        <v>39174</v>
      </c>
      <c r="F2728" s="534" t="n">
        <v>4.194</v>
      </c>
      <c r="G2728" s="554" t="n"/>
    </row>
    <row r="2729">
      <c r="A2729" s="535" t="n">
        <v>35355</v>
      </c>
      <c r="B2729" s="534" t="n">
        <v>11.02</v>
      </c>
      <c r="C2729" s="534" t="n">
        <v>12436.8</v>
      </c>
      <c r="E2729" s="535" t="n">
        <v>39175</v>
      </c>
      <c r="F2729" s="534" t="n">
        <v>4.18</v>
      </c>
      <c r="G2729" s="554" t="n"/>
    </row>
    <row r="2730">
      <c r="A2730" s="535" t="n">
        <v>35356</v>
      </c>
      <c r="B2730" s="534" t="n">
        <v>10.976</v>
      </c>
      <c r="C2730" s="534" t="n">
        <v>12510.05</v>
      </c>
      <c r="E2730" s="535" t="n">
        <v>39176</v>
      </c>
      <c r="F2730" s="534" t="n">
        <v>4.198</v>
      </c>
      <c r="G2730" s="554" t="n"/>
    </row>
    <row r="2731">
      <c r="A2731" s="535" t="n">
        <v>35359</v>
      </c>
      <c r="B2731" s="534" t="n">
        <v>10.976</v>
      </c>
      <c r="C2731" s="534" t="n">
        <v>12510.05</v>
      </c>
      <c r="E2731" s="535" t="n">
        <v>39177</v>
      </c>
      <c r="F2731" s="534" t="n">
        <v>4.198</v>
      </c>
      <c r="G2731" s="554" t="n"/>
    </row>
    <row r="2732">
      <c r="A2732" s="535" t="n">
        <v>35360</v>
      </c>
      <c r="B2732" s="534" t="n">
        <v>10.628</v>
      </c>
      <c r="C2732" s="534" t="n">
        <v>12444.66</v>
      </c>
      <c r="E2732" s="535" t="n">
        <v>39178</v>
      </c>
      <c r="F2732" s="534" t="n">
        <v>4.198</v>
      </c>
      <c r="G2732" s="554" t="n"/>
    </row>
    <row r="2733">
      <c r="A2733" s="535" t="n">
        <v>35361</v>
      </c>
      <c r="B2733" s="534" t="n">
        <v>10.758</v>
      </c>
      <c r="C2733" s="534" t="n">
        <v>12492.37</v>
      </c>
      <c r="E2733" s="535" t="n">
        <v>39181</v>
      </c>
      <c r="F2733" s="534" t="n">
        <v>4.198</v>
      </c>
      <c r="G2733" s="554" t="n"/>
    </row>
    <row r="2734">
      <c r="A2734" s="535" t="n">
        <v>35362</v>
      </c>
      <c r="B2734" s="534" t="n">
        <v>10.628</v>
      </c>
      <c r="C2734" s="534" t="n">
        <v>12473.56</v>
      </c>
      <c r="E2734" s="535" t="n">
        <v>39182</v>
      </c>
      <c r="F2734" s="534" t="n">
        <v>4.251</v>
      </c>
      <c r="G2734" s="554" t="n"/>
    </row>
    <row r="2735">
      <c r="A2735" s="535" t="n">
        <v>35363</v>
      </c>
      <c r="B2735" s="534" t="n">
        <v>10.497</v>
      </c>
      <c r="C2735" s="534" t="n">
        <v>12388.38</v>
      </c>
      <c r="E2735" s="535" t="n">
        <v>39183</v>
      </c>
      <c r="F2735" s="534" t="n">
        <v>4.236</v>
      </c>
      <c r="G2735" s="554" t="n"/>
    </row>
    <row r="2736">
      <c r="A2736" s="535" t="n">
        <v>35366</v>
      </c>
      <c r="B2736" s="534" t="n">
        <v>10.497</v>
      </c>
      <c r="C2736" s="534" t="n">
        <v>12262.77</v>
      </c>
      <c r="E2736" s="535" t="n">
        <v>39184</v>
      </c>
      <c r="F2736" s="534" t="n">
        <v>4.267</v>
      </c>
      <c r="G2736" s="554" t="n"/>
    </row>
    <row r="2737">
      <c r="A2737" s="535" t="n">
        <v>35367</v>
      </c>
      <c r="B2737" s="534" t="n">
        <v>10.497</v>
      </c>
      <c r="C2737" s="534" t="n">
        <v>12192.17</v>
      </c>
      <c r="E2737" s="535" t="n">
        <v>39185</v>
      </c>
      <c r="F2737" s="534" t="n">
        <v>4.287</v>
      </c>
      <c r="G2737" s="554" t="n"/>
    </row>
    <row r="2738">
      <c r="A2738" s="535" t="n">
        <v>35368</v>
      </c>
      <c r="B2738" s="534" t="n">
        <v>10.584</v>
      </c>
      <c r="C2738" s="534" t="n">
        <v>12405.47</v>
      </c>
      <c r="E2738" s="535" t="n">
        <v>39188</v>
      </c>
      <c r="F2738" s="534" t="n">
        <v>4.327</v>
      </c>
      <c r="G2738" s="554" t="n"/>
    </row>
    <row r="2739">
      <c r="A2739" s="535" t="n">
        <v>35369</v>
      </c>
      <c r="B2739" s="534" t="n">
        <v>10.54</v>
      </c>
      <c r="C2739" s="534" t="n">
        <v>12477.56</v>
      </c>
      <c r="E2739" s="535" t="n">
        <v>39189</v>
      </c>
      <c r="F2739" s="534" t="n">
        <v>4.309</v>
      </c>
      <c r="G2739" s="554" t="n"/>
    </row>
    <row r="2740">
      <c r="A2740" s="535" t="n">
        <v>35370</v>
      </c>
      <c r="B2740" s="534" t="n">
        <v>10.41</v>
      </c>
      <c r="C2740" s="534" t="n">
        <v>12529.27</v>
      </c>
      <c r="E2740" s="535" t="n">
        <v>39190</v>
      </c>
      <c r="F2740" s="534" t="n">
        <v>4.268</v>
      </c>
      <c r="G2740" s="554" t="n"/>
    </row>
    <row r="2741">
      <c r="A2741" s="535" t="n">
        <v>35373</v>
      </c>
      <c r="B2741" s="534" t="n">
        <v>10.41</v>
      </c>
      <c r="C2741" s="534" t="n">
        <v>12559.4</v>
      </c>
      <c r="E2741" s="535" t="n">
        <v>39191</v>
      </c>
      <c r="F2741" s="534" t="n">
        <v>4.212</v>
      </c>
      <c r="G2741" s="554" t="n"/>
    </row>
    <row r="2742">
      <c r="A2742" s="535" t="n">
        <v>35374</v>
      </c>
      <c r="B2742" s="534" t="n">
        <v>10.236</v>
      </c>
      <c r="C2742" s="534" t="n">
        <v>12502.7</v>
      </c>
      <c r="E2742" s="535" t="n">
        <v>39192</v>
      </c>
      <c r="F2742" s="534" t="n">
        <v>4.236</v>
      </c>
      <c r="G2742" s="554" t="n"/>
    </row>
    <row r="2743">
      <c r="A2743" s="535" t="n">
        <v>35375</v>
      </c>
      <c r="B2743" s="534" t="n">
        <v>10.453</v>
      </c>
      <c r="C2743" s="534" t="n">
        <v>12775.47</v>
      </c>
      <c r="E2743" s="535" t="n">
        <v>39195</v>
      </c>
      <c r="F2743" s="534" t="n">
        <v>4.223</v>
      </c>
      <c r="G2743" s="554" t="n"/>
    </row>
    <row r="2744">
      <c r="A2744" s="535" t="n">
        <v>35376</v>
      </c>
      <c r="B2744" s="534" t="n">
        <v>10.323</v>
      </c>
      <c r="C2744" s="534" t="n">
        <v>12735.26</v>
      </c>
      <c r="E2744" s="535" t="n">
        <v>39196</v>
      </c>
      <c r="F2744" s="534" t="n">
        <v>4.173</v>
      </c>
      <c r="G2744" s="554" t="n"/>
    </row>
    <row r="2745">
      <c r="A2745" s="535" t="n">
        <v>35377</v>
      </c>
      <c r="B2745" s="534" t="n">
        <v>10.192</v>
      </c>
      <c r="C2745" s="534" t="n">
        <v>12751.16</v>
      </c>
      <c r="E2745" s="535" t="n">
        <v>39197</v>
      </c>
      <c r="F2745" s="534" t="n">
        <v>4.178</v>
      </c>
      <c r="G2745" s="554" t="n"/>
    </row>
    <row r="2746">
      <c r="A2746" s="535" t="n">
        <v>35380</v>
      </c>
      <c r="B2746" s="534" t="n">
        <v>10.192</v>
      </c>
      <c r="C2746" s="534" t="n">
        <v>12771.86</v>
      </c>
      <c r="E2746" s="535" t="n">
        <v>39198</v>
      </c>
      <c r="F2746" s="534" t="n">
        <v>4.243</v>
      </c>
      <c r="G2746" s="554" t="n"/>
    </row>
    <row r="2747">
      <c r="A2747" s="535" t="n">
        <v>35381</v>
      </c>
      <c r="B2747" s="534" t="n">
        <v>10.148</v>
      </c>
      <c r="C2747" s="534" t="n">
        <v>12806.31</v>
      </c>
      <c r="E2747" s="535" t="n">
        <v>39199</v>
      </c>
      <c r="F2747" s="534" t="n">
        <v>4.305</v>
      </c>
      <c r="G2747" s="554" t="n"/>
    </row>
    <row r="2748">
      <c r="A2748" s="535" t="n">
        <v>35382</v>
      </c>
      <c r="B2748" s="534" t="n">
        <v>10.323</v>
      </c>
      <c r="C2748" s="534" t="n">
        <v>12943.69</v>
      </c>
      <c r="E2748" s="535" t="n">
        <v>39202</v>
      </c>
      <c r="F2748" s="534" t="n">
        <v>4.288</v>
      </c>
      <c r="G2748" s="554" t="n"/>
    </row>
    <row r="2749">
      <c r="A2749" s="535" t="n">
        <v>35383</v>
      </c>
      <c r="B2749" s="534" t="n">
        <v>10.279</v>
      </c>
      <c r="C2749" s="534" t="n">
        <v>13004.8</v>
      </c>
      <c r="E2749" s="535" t="n">
        <v>39203</v>
      </c>
      <c r="F2749" s="534" t="n">
        <v>4.288</v>
      </c>
      <c r="G2749" s="554" t="n"/>
    </row>
    <row r="2750">
      <c r="A2750" s="535" t="n">
        <v>35384</v>
      </c>
      <c r="B2750" s="534" t="n">
        <v>10.323</v>
      </c>
      <c r="C2750" s="534" t="n">
        <v>12889.37</v>
      </c>
      <c r="E2750" s="535" t="n">
        <v>39204</v>
      </c>
      <c r="F2750" s="534" t="n">
        <v>4.266</v>
      </c>
      <c r="G2750" s="554" t="n"/>
    </row>
    <row r="2751">
      <c r="A2751" s="535" t="n">
        <v>35387</v>
      </c>
      <c r="B2751" s="534" t="n">
        <v>10.323</v>
      </c>
      <c r="C2751" s="534" t="n">
        <v>13042.8</v>
      </c>
      <c r="E2751" s="535" t="n">
        <v>39205</v>
      </c>
      <c r="F2751" s="534" t="n">
        <v>4.299</v>
      </c>
      <c r="G2751" s="554" t="n"/>
    </row>
    <row r="2752">
      <c r="A2752" s="535" t="n">
        <v>35388</v>
      </c>
      <c r="B2752" s="534" t="n">
        <v>10.148</v>
      </c>
      <c r="C2752" s="534" t="n">
        <v>13056.93</v>
      </c>
      <c r="E2752" s="535" t="n">
        <v>39206</v>
      </c>
      <c r="F2752" s="534" t="n">
        <v>4.315</v>
      </c>
      <c r="G2752" s="554" t="n"/>
    </row>
    <row r="2753">
      <c r="A2753" s="535" t="n">
        <v>35389</v>
      </c>
      <c r="B2753" s="534" t="n">
        <v>10.366</v>
      </c>
      <c r="C2753" s="534" t="n">
        <v>13167.16</v>
      </c>
      <c r="E2753" s="535" t="n">
        <v>39209</v>
      </c>
      <c r="F2753" s="534" t="n">
        <v>4.282</v>
      </c>
      <c r="G2753" s="554" t="n"/>
    </row>
    <row r="2754">
      <c r="A2754" s="535" t="n">
        <v>35390</v>
      </c>
      <c r="B2754" s="534" t="n">
        <v>10.323</v>
      </c>
      <c r="C2754" s="534" t="n">
        <v>13099.56</v>
      </c>
      <c r="E2754" s="535" t="n">
        <v>39210</v>
      </c>
      <c r="F2754" s="534" t="n">
        <v>4.258</v>
      </c>
      <c r="G2754" s="554" t="n"/>
    </row>
    <row r="2755">
      <c r="A2755" s="535" t="n">
        <v>35391</v>
      </c>
      <c r="B2755" s="534" t="n">
        <v>10.236</v>
      </c>
      <c r="C2755" s="534" t="n">
        <v>13116.79</v>
      </c>
      <c r="E2755" s="535" t="n">
        <v>39211</v>
      </c>
      <c r="F2755" s="534" t="n">
        <v>4.235</v>
      </c>
      <c r="G2755" s="554" t="n"/>
    </row>
    <row r="2756">
      <c r="A2756" s="535" t="n">
        <v>35394</v>
      </c>
      <c r="B2756" s="534" t="n">
        <v>10.628</v>
      </c>
      <c r="C2756" s="534" t="n">
        <v>13239.39</v>
      </c>
      <c r="E2756" s="535" t="n">
        <v>39212</v>
      </c>
      <c r="F2756" s="534" t="n">
        <v>4.265</v>
      </c>
      <c r="G2756" s="554" t="n"/>
    </row>
    <row r="2757">
      <c r="A2757" s="535" t="n">
        <v>35395</v>
      </c>
      <c r="B2757" s="534" t="n">
        <v>11.02</v>
      </c>
      <c r="C2757" s="534" t="n">
        <v>13485.33</v>
      </c>
      <c r="E2757" s="535" t="n">
        <v>39213</v>
      </c>
      <c r="F2757" s="534" t="n">
        <v>4.229</v>
      </c>
      <c r="G2757" s="554" t="n"/>
    </row>
    <row r="2758">
      <c r="A2758" s="535" t="n">
        <v>35396</v>
      </c>
      <c r="B2758" s="534" t="n">
        <v>11.237</v>
      </c>
      <c r="C2758" s="534" t="n">
        <v>13530.95</v>
      </c>
      <c r="E2758" s="535" t="n">
        <v>39216</v>
      </c>
      <c r="F2758" s="534" t="n">
        <v>4.164</v>
      </c>
      <c r="G2758" s="554" t="n"/>
    </row>
    <row r="2759">
      <c r="A2759" s="535" t="n">
        <v>35397</v>
      </c>
      <c r="B2759" s="534" t="n">
        <v>11.15</v>
      </c>
      <c r="C2759" s="534" t="n">
        <v>13310.76</v>
      </c>
      <c r="E2759" s="535" t="n">
        <v>39217</v>
      </c>
      <c r="F2759" s="534" t="n">
        <v>4.189</v>
      </c>
      <c r="G2759" s="554" t="n"/>
    </row>
    <row r="2760">
      <c r="A2760" s="535" t="n">
        <v>35398</v>
      </c>
      <c r="B2760" s="534" t="n">
        <v>11.107</v>
      </c>
      <c r="C2760" s="534" t="n">
        <v>13393.93</v>
      </c>
      <c r="E2760" s="535" t="n">
        <v>39218</v>
      </c>
      <c r="F2760" s="534" t="n">
        <v>4.206</v>
      </c>
      <c r="G2760" s="554" t="n"/>
    </row>
    <row r="2761">
      <c r="A2761" s="535" t="n">
        <v>35401</v>
      </c>
      <c r="B2761" s="534" t="n">
        <v>11.15</v>
      </c>
      <c r="C2761" s="534" t="n">
        <v>13517.56</v>
      </c>
      <c r="E2761" s="535" t="n">
        <v>39219</v>
      </c>
      <c r="F2761" s="534" t="n">
        <v>4.212</v>
      </c>
      <c r="G2761" s="554" t="n"/>
    </row>
    <row r="2762">
      <c r="A2762" s="535" t="n">
        <v>35402</v>
      </c>
      <c r="B2762" s="534" t="n">
        <v>11.02</v>
      </c>
      <c r="C2762" s="534" t="n">
        <v>13456.26</v>
      </c>
      <c r="E2762" s="535" t="n">
        <v>39220</v>
      </c>
      <c r="F2762" s="534" t="n">
        <v>4.249</v>
      </c>
      <c r="G2762" s="554" t="n"/>
    </row>
    <row r="2763">
      <c r="A2763" s="535" t="n">
        <v>35403</v>
      </c>
      <c r="B2763" s="534" t="n">
        <v>10.889</v>
      </c>
      <c r="C2763" s="534" t="n">
        <v>13434.24</v>
      </c>
      <c r="E2763" s="535" t="n">
        <v>39223</v>
      </c>
      <c r="F2763" s="534" t="n">
        <v>4.271</v>
      </c>
      <c r="G2763" s="554" t="n"/>
    </row>
    <row r="2764">
      <c r="A2764" s="535" t="n">
        <v>35404</v>
      </c>
      <c r="B2764" s="534" t="n">
        <v>10.845</v>
      </c>
      <c r="C2764" s="534" t="n">
        <v>13491.56</v>
      </c>
      <c r="E2764" s="535" t="n">
        <v>39224</v>
      </c>
      <c r="F2764" s="534" t="n">
        <v>4.285</v>
      </c>
      <c r="G2764" s="554" t="n"/>
    </row>
    <row r="2765">
      <c r="A2765" s="535" t="n">
        <v>35405</v>
      </c>
      <c r="B2765" s="534" t="n">
        <v>10.497</v>
      </c>
      <c r="C2765" s="534" t="n">
        <v>13102.73</v>
      </c>
      <c r="E2765" s="535" t="n">
        <v>39225</v>
      </c>
      <c r="F2765" s="534" t="n">
        <v>4.323</v>
      </c>
      <c r="G2765" s="554" t="n"/>
    </row>
    <row r="2766">
      <c r="A2766" s="535" t="n">
        <v>35408</v>
      </c>
      <c r="B2766" s="534" t="n">
        <v>10.54</v>
      </c>
      <c r="C2766" s="534" t="n">
        <v>13144.23</v>
      </c>
      <c r="E2766" s="535" t="n">
        <v>39226</v>
      </c>
      <c r="F2766" s="534" t="n">
        <v>4.323</v>
      </c>
      <c r="G2766" s="554" t="n"/>
    </row>
    <row r="2767">
      <c r="A2767" s="535" t="n">
        <v>35409</v>
      </c>
      <c r="B2767" s="534" t="n">
        <v>10.584</v>
      </c>
      <c r="C2767" s="534" t="n">
        <v>13342.46</v>
      </c>
      <c r="E2767" s="535" t="n">
        <v>39227</v>
      </c>
      <c r="F2767" s="534" t="n">
        <v>4.443</v>
      </c>
      <c r="G2767" s="554" t="n"/>
    </row>
    <row r="2768">
      <c r="A2768" s="535" t="n">
        <v>35410</v>
      </c>
      <c r="B2768" s="534" t="n">
        <v>10.366</v>
      </c>
      <c r="C2768" s="534" t="n">
        <v>13189.6</v>
      </c>
      <c r="E2768" s="535" t="n">
        <v>39230</v>
      </c>
      <c r="F2768" s="534" t="n">
        <v>4.489</v>
      </c>
      <c r="G2768" s="554" t="n"/>
    </row>
    <row r="2769">
      <c r="A2769" s="535" t="n">
        <v>35411</v>
      </c>
      <c r="B2769" s="534" t="n">
        <v>10.41</v>
      </c>
      <c r="C2769" s="534" t="n">
        <v>13053.28</v>
      </c>
      <c r="E2769" s="535" t="n">
        <v>39231</v>
      </c>
      <c r="F2769" s="534" t="n">
        <v>4.548</v>
      </c>
      <c r="G2769" s="554" t="n"/>
    </row>
    <row r="2770">
      <c r="A2770" s="535" t="n">
        <v>35412</v>
      </c>
      <c r="B2770" s="534" t="n">
        <v>10.323</v>
      </c>
      <c r="C2770" s="534" t="n">
        <v>12784.07</v>
      </c>
      <c r="E2770" s="535" t="n">
        <v>39232</v>
      </c>
      <c r="F2770" s="534" t="n">
        <v>4.636</v>
      </c>
      <c r="G2770" s="554" t="n"/>
    </row>
    <row r="2771">
      <c r="A2771" s="535" t="n">
        <v>35415</v>
      </c>
      <c r="B2771" s="534" t="n">
        <v>10.628</v>
      </c>
      <c r="C2771" s="534" t="n">
        <v>12937.48</v>
      </c>
      <c r="E2771" s="535" t="n">
        <v>39233</v>
      </c>
      <c r="F2771" s="534" t="n">
        <v>4.587</v>
      </c>
      <c r="G2771" s="554" t="n"/>
    </row>
    <row r="2772">
      <c r="A2772" s="535" t="n">
        <v>35416</v>
      </c>
      <c r="B2772" s="534" t="n">
        <v>10.453</v>
      </c>
      <c r="C2772" s="534" t="n">
        <v>12815.37</v>
      </c>
      <c r="E2772" s="535" t="n">
        <v>39234</v>
      </c>
      <c r="F2772" s="534" t="n">
        <v>4.674</v>
      </c>
      <c r="G2772" s="554" t="n"/>
    </row>
    <row r="2773">
      <c r="A2773" s="535" t="n">
        <v>35417</v>
      </c>
      <c r="B2773" s="534" t="n">
        <v>10.366</v>
      </c>
      <c r="C2773" s="534" t="n">
        <v>12766.02</v>
      </c>
      <c r="E2773" s="535" t="n">
        <v>39237</v>
      </c>
      <c r="F2773" s="534" t="n">
        <v>4.719</v>
      </c>
      <c r="G2773" s="554" t="n"/>
    </row>
    <row r="2774">
      <c r="A2774" s="535" t="n">
        <v>35418</v>
      </c>
      <c r="B2774" s="534" t="n">
        <v>10.41</v>
      </c>
      <c r="C2774" s="534" t="n">
        <v>12846.56</v>
      </c>
      <c r="E2774" s="535" t="n">
        <v>39238</v>
      </c>
      <c r="F2774" s="534" t="n">
        <v>4.668</v>
      </c>
      <c r="G2774" s="554" t="n"/>
    </row>
    <row r="2775">
      <c r="A2775" s="535" t="n">
        <v>35419</v>
      </c>
      <c r="B2775" s="534" t="n">
        <v>10.715</v>
      </c>
      <c r="C2775" s="534" t="n">
        <v>13131.41</v>
      </c>
      <c r="E2775" s="535" t="n">
        <v>39239</v>
      </c>
      <c r="F2775" s="534" t="n">
        <v>4.747</v>
      </c>
      <c r="G2775" s="554" t="n"/>
    </row>
    <row r="2776">
      <c r="A2776" s="535" t="n">
        <v>35422</v>
      </c>
      <c r="B2776" s="534" t="n">
        <v>10.584</v>
      </c>
      <c r="C2776" s="534" t="n">
        <v>13331.48</v>
      </c>
      <c r="E2776" s="535" t="n">
        <v>39240</v>
      </c>
      <c r="F2776" s="534" t="n">
        <v>4.737</v>
      </c>
      <c r="G2776" s="554" t="n"/>
    </row>
    <row r="2777">
      <c r="A2777" s="535" t="n">
        <v>35423</v>
      </c>
      <c r="B2777" s="534" t="n">
        <v>10.715</v>
      </c>
      <c r="C2777" s="534" t="n">
        <v>13341.61</v>
      </c>
      <c r="E2777" s="535" t="n">
        <v>39241</v>
      </c>
      <c r="F2777" s="534" t="n">
        <v>4.872</v>
      </c>
      <c r="G2777" s="554" t="n"/>
    </row>
    <row r="2778">
      <c r="A2778" s="535" t="n">
        <v>35424</v>
      </c>
      <c r="B2778" s="534" t="n">
        <v>10.715</v>
      </c>
      <c r="C2778" s="534" t="n">
        <v>13341.61</v>
      </c>
      <c r="E2778" s="535" t="n">
        <v>39244</v>
      </c>
      <c r="F2778" s="534" t="n">
        <v>4.789</v>
      </c>
      <c r="G2778" s="554" t="n"/>
    </row>
    <row r="2779">
      <c r="A2779" s="535" t="n">
        <v>35425</v>
      </c>
      <c r="B2779" s="534" t="n">
        <v>10.715</v>
      </c>
      <c r="C2779" s="534" t="n">
        <v>13341.61</v>
      </c>
      <c r="E2779" s="535" t="n">
        <v>39245</v>
      </c>
      <c r="F2779" s="534" t="n">
        <v>4.807</v>
      </c>
      <c r="G2779" s="554" t="n"/>
    </row>
    <row r="2780">
      <c r="A2780" s="535" t="n">
        <v>35426</v>
      </c>
      <c r="B2780" s="534" t="n">
        <v>10.497</v>
      </c>
      <c r="C2780" s="534" t="n">
        <v>13404.14</v>
      </c>
      <c r="E2780" s="535" t="n">
        <v>39246</v>
      </c>
      <c r="F2780" s="534" t="n">
        <v>4.94</v>
      </c>
      <c r="G2780" s="554" t="n"/>
    </row>
    <row r="2781">
      <c r="A2781" s="535" t="n">
        <v>35429</v>
      </c>
      <c r="B2781" s="534" t="n">
        <v>10.41</v>
      </c>
      <c r="C2781" s="534" t="n">
        <v>13480.75</v>
      </c>
      <c r="E2781" s="535" t="n">
        <v>39247</v>
      </c>
      <c r="F2781" s="534" t="n">
        <v>4.869</v>
      </c>
      <c r="G2781" s="554" t="n"/>
    </row>
    <row r="2782">
      <c r="A2782" s="535" t="n">
        <v>35430</v>
      </c>
      <c r="B2782" s="534" t="n">
        <v>10.628</v>
      </c>
      <c r="C2782" s="534" t="n">
        <v>13451.45</v>
      </c>
      <c r="E2782" s="535" t="n">
        <v>39248</v>
      </c>
      <c r="F2782" s="534" t="n">
        <v>4.885</v>
      </c>
      <c r="G2782" s="554" t="n"/>
    </row>
    <row r="2783">
      <c r="A2783" s="535" t="n">
        <v>35431</v>
      </c>
      <c r="B2783" s="534" t="n">
        <v>10.628</v>
      </c>
      <c r="C2783" s="534" t="n">
        <v>13451.45</v>
      </c>
      <c r="E2783" s="535" t="n">
        <v>39251</v>
      </c>
      <c r="F2783" s="534" t="n">
        <v>4.805</v>
      </c>
      <c r="G2783" s="554" t="n"/>
    </row>
    <row r="2784">
      <c r="A2784" s="535" t="n">
        <v>35432</v>
      </c>
      <c r="B2784" s="534" t="n">
        <v>10.366</v>
      </c>
      <c r="C2784" s="534" t="n">
        <v>13203.44</v>
      </c>
      <c r="E2784" s="535" t="n">
        <v>39252</v>
      </c>
      <c r="F2784" s="534" t="n">
        <v>4.805</v>
      </c>
      <c r="G2784" s="554" t="n"/>
    </row>
    <row r="2785">
      <c r="A2785" s="535" t="n">
        <v>35433</v>
      </c>
      <c r="B2785" s="534" t="n">
        <v>10.497</v>
      </c>
      <c r="C2785" s="534" t="n">
        <v>13222.79</v>
      </c>
      <c r="E2785" s="535" t="n">
        <v>39253</v>
      </c>
      <c r="F2785" s="534" t="n">
        <v>4.736</v>
      </c>
      <c r="G2785" s="554" t="n"/>
    </row>
    <row r="2786">
      <c r="A2786" s="535" t="n">
        <v>35436</v>
      </c>
      <c r="B2786" s="534" t="n">
        <v>10.628</v>
      </c>
      <c r="C2786" s="534" t="n">
        <v>13443.93</v>
      </c>
      <c r="E2786" s="535" t="n">
        <v>39254</v>
      </c>
      <c r="F2786" s="534" t="n">
        <v>4.821</v>
      </c>
      <c r="G2786" s="554" t="n"/>
    </row>
    <row r="2787">
      <c r="A2787" s="535" t="n">
        <v>35437</v>
      </c>
      <c r="B2787" s="534" t="n">
        <v>10.584</v>
      </c>
      <c r="C2787" s="534" t="n">
        <v>13420.16</v>
      </c>
      <c r="E2787" s="535" t="n">
        <v>39255</v>
      </c>
      <c r="F2787" s="534" t="n">
        <v>4.843</v>
      </c>
      <c r="G2787" s="554" t="n"/>
    </row>
    <row r="2788">
      <c r="A2788" s="535" t="n">
        <v>35438</v>
      </c>
      <c r="B2788" s="534" t="n">
        <v>10.366</v>
      </c>
      <c r="C2788" s="534" t="n">
        <v>13454.93</v>
      </c>
      <c r="E2788" s="535" t="n">
        <v>39258</v>
      </c>
      <c r="F2788" s="534" t="n">
        <v>4.79</v>
      </c>
      <c r="G2788" s="554" t="n"/>
    </row>
    <row r="2789">
      <c r="A2789" s="535" t="n">
        <v>35439</v>
      </c>
      <c r="B2789" s="534" t="n">
        <v>10.279</v>
      </c>
      <c r="C2789" s="534" t="n">
        <v>13198.11</v>
      </c>
      <c r="E2789" s="535" t="n">
        <v>39259</v>
      </c>
      <c r="F2789" s="534" t="n">
        <v>4.789</v>
      </c>
      <c r="G2789" s="554" t="n"/>
    </row>
    <row r="2790">
      <c r="A2790" s="535" t="n">
        <v>35440</v>
      </c>
      <c r="B2790" s="534" t="n">
        <v>10.323</v>
      </c>
      <c r="C2790" s="534" t="n">
        <v>13191.5</v>
      </c>
      <c r="E2790" s="535" t="n">
        <v>39260</v>
      </c>
      <c r="F2790" s="534" t="n">
        <v>4.796</v>
      </c>
      <c r="G2790" s="554" t="n"/>
    </row>
    <row r="2791">
      <c r="A2791" s="535" t="n">
        <v>35443</v>
      </c>
      <c r="B2791" s="534" t="n">
        <v>10.54</v>
      </c>
      <c r="C2791" s="534" t="n">
        <v>13289.21</v>
      </c>
      <c r="E2791" s="535" t="n">
        <v>39261</v>
      </c>
      <c r="F2791" s="534" t="n">
        <v>4.802</v>
      </c>
      <c r="G2791" s="554" t="n"/>
    </row>
    <row r="2792">
      <c r="A2792" s="535" t="n">
        <v>35444</v>
      </c>
      <c r="B2792" s="534" t="n">
        <v>10.54</v>
      </c>
      <c r="C2792" s="534" t="n">
        <v>13293.87</v>
      </c>
      <c r="E2792" s="535" t="n">
        <v>39262</v>
      </c>
      <c r="F2792" s="534" t="n">
        <v>4.789</v>
      </c>
      <c r="G2792" s="554" t="n"/>
    </row>
    <row r="2793">
      <c r="A2793" s="535" t="n">
        <v>35445</v>
      </c>
      <c r="B2793" s="534" t="n">
        <v>10.453</v>
      </c>
      <c r="C2793" s="534" t="n">
        <v>13766.65</v>
      </c>
      <c r="E2793" s="535" t="n">
        <v>39265</v>
      </c>
      <c r="F2793" s="534" t="n">
        <v>4.789</v>
      </c>
      <c r="G2793" s="554" t="n"/>
    </row>
    <row r="2794">
      <c r="A2794" s="535" t="n">
        <v>35446</v>
      </c>
      <c r="B2794" s="534" t="n">
        <v>10.453</v>
      </c>
      <c r="C2794" s="534" t="n">
        <v>13830.68</v>
      </c>
      <c r="E2794" s="535" t="n">
        <v>39266</v>
      </c>
      <c r="F2794" s="534" t="n">
        <v>4.731</v>
      </c>
      <c r="G2794" s="554" t="n"/>
    </row>
    <row r="2795">
      <c r="A2795" s="535" t="n">
        <v>35447</v>
      </c>
      <c r="B2795" s="534" t="n">
        <v>10.497</v>
      </c>
      <c r="C2795" s="534" t="n">
        <v>13856.4</v>
      </c>
      <c r="E2795" s="535" t="n">
        <v>39267</v>
      </c>
      <c r="F2795" s="534" t="n">
        <v>4.737</v>
      </c>
      <c r="G2795" s="554" t="n"/>
    </row>
    <row r="2796">
      <c r="A2796" s="535" t="n">
        <v>35450</v>
      </c>
      <c r="B2796" s="534" t="n">
        <v>10.453</v>
      </c>
      <c r="C2796" s="534" t="n">
        <v>13868.24</v>
      </c>
      <c r="E2796" s="535" t="n">
        <v>39268</v>
      </c>
      <c r="F2796" s="534" t="n">
        <v>4.8</v>
      </c>
      <c r="G2796" s="554" t="n"/>
    </row>
    <row r="2797">
      <c r="A2797" s="535" t="n">
        <v>35451</v>
      </c>
      <c r="B2797" s="534" t="n">
        <v>10.41</v>
      </c>
      <c r="C2797" s="534" t="n">
        <v>13732.79</v>
      </c>
      <c r="E2797" s="535" t="n">
        <v>39269</v>
      </c>
      <c r="F2797" s="534" t="n">
        <v>4.855</v>
      </c>
      <c r="G2797" s="554" t="n"/>
    </row>
    <row r="2798">
      <c r="A2798" s="535" t="n">
        <v>35452</v>
      </c>
      <c r="B2798" s="534" t="n">
        <v>10.366</v>
      </c>
      <c r="C2798" s="534" t="n">
        <v>13692.79</v>
      </c>
      <c r="E2798" s="535" t="n">
        <v>39272</v>
      </c>
      <c r="F2798" s="534" t="n">
        <v>4.895</v>
      </c>
      <c r="G2798" s="554" t="n"/>
    </row>
    <row r="2799">
      <c r="A2799" s="535" t="n">
        <v>35453</v>
      </c>
      <c r="B2799" s="534" t="n">
        <v>10.41</v>
      </c>
      <c r="C2799" s="534" t="n">
        <v>13610.33</v>
      </c>
      <c r="E2799" s="535" t="n">
        <v>39273</v>
      </c>
      <c r="F2799" s="534" t="n">
        <v>4.857</v>
      </c>
      <c r="G2799" s="554" t="n"/>
    </row>
    <row r="2800">
      <c r="A2800" s="535" t="n">
        <v>35454</v>
      </c>
      <c r="B2800" s="534" t="n">
        <v>10.236</v>
      </c>
      <c r="C2800" s="534" t="n">
        <v>13379.55</v>
      </c>
      <c r="E2800" s="535" t="n">
        <v>39274</v>
      </c>
      <c r="F2800" s="534" t="n">
        <v>4.781</v>
      </c>
      <c r="G2800" s="554" t="n"/>
    </row>
    <row r="2801">
      <c r="A2801" s="535" t="n">
        <v>35457</v>
      </c>
      <c r="B2801" s="534" t="n">
        <v>10.236</v>
      </c>
      <c r="C2801" s="534" t="n">
        <v>13294.9</v>
      </c>
      <c r="E2801" s="535" t="n">
        <v>39275</v>
      </c>
      <c r="F2801" s="534" t="n">
        <v>4.84</v>
      </c>
      <c r="G2801" s="554" t="n"/>
    </row>
    <row r="2802">
      <c r="A2802" s="535" t="n">
        <v>35458</v>
      </c>
      <c r="B2802" s="534" t="n">
        <v>10.192</v>
      </c>
      <c r="C2802" s="534" t="n">
        <v>13403.29</v>
      </c>
      <c r="E2802" s="535" t="n">
        <v>39276</v>
      </c>
      <c r="F2802" s="534" t="n">
        <v>4.854</v>
      </c>
      <c r="G2802" s="554" t="n"/>
    </row>
    <row r="2803">
      <c r="A2803" s="535" t="n">
        <v>35459</v>
      </c>
      <c r="B2803" s="534" t="n">
        <v>10.148</v>
      </c>
      <c r="C2803" s="534" t="n">
        <v>13285.43</v>
      </c>
      <c r="E2803" s="535" t="n">
        <v>39279</v>
      </c>
      <c r="F2803" s="534" t="n">
        <v>4.814</v>
      </c>
      <c r="G2803" s="554" t="n"/>
    </row>
    <row r="2804">
      <c r="A2804" s="535" t="n">
        <v>35460</v>
      </c>
      <c r="B2804" s="534" t="n">
        <v>10.236</v>
      </c>
      <c r="C2804" s="534" t="n">
        <v>13288.4</v>
      </c>
      <c r="E2804" s="535" t="n">
        <v>39280</v>
      </c>
      <c r="F2804" s="534" t="n">
        <v>4.793</v>
      </c>
      <c r="G2804" s="554" t="n"/>
    </row>
    <row r="2805">
      <c r="A2805" s="535" t="n">
        <v>35461</v>
      </c>
      <c r="B2805" s="534" t="n">
        <v>10.453</v>
      </c>
      <c r="C2805" s="534" t="n">
        <v>13321.79</v>
      </c>
      <c r="E2805" s="535" t="n">
        <v>39281</v>
      </c>
      <c r="F2805" s="534" t="n">
        <v>4.81</v>
      </c>
      <c r="G2805" s="554" t="n"/>
    </row>
    <row r="2806">
      <c r="A2806" s="535" t="n">
        <v>35464</v>
      </c>
      <c r="B2806" s="534" t="n">
        <v>10.41</v>
      </c>
      <c r="C2806" s="534" t="n">
        <v>13451.07</v>
      </c>
      <c r="E2806" s="535" t="n">
        <v>39282</v>
      </c>
      <c r="F2806" s="534" t="n">
        <v>4.831</v>
      </c>
      <c r="G2806" s="554" t="n"/>
    </row>
    <row r="2807">
      <c r="A2807" s="535" t="n">
        <v>35465</v>
      </c>
      <c r="B2807" s="534" t="n">
        <v>10.323</v>
      </c>
      <c r="C2807" s="534" t="n">
        <v>13548.43</v>
      </c>
      <c r="E2807" s="535" t="n">
        <v>39283</v>
      </c>
      <c r="F2807" s="534" t="n">
        <v>4.817</v>
      </c>
      <c r="G2807" s="554" t="n"/>
    </row>
    <row r="2808">
      <c r="A2808" s="535" t="n">
        <v>35466</v>
      </c>
      <c r="B2808" s="534" t="n">
        <v>10.41</v>
      </c>
      <c r="C2808" s="534" t="n">
        <v>13660.5</v>
      </c>
      <c r="E2808" s="535" t="n">
        <v>39286</v>
      </c>
      <c r="F2808" s="534" t="n">
        <v>4.768</v>
      </c>
      <c r="G2808" s="554" t="n"/>
    </row>
    <row r="2809">
      <c r="A2809" s="535" t="n">
        <v>35467</v>
      </c>
      <c r="B2809" s="534" t="n">
        <v>10.41</v>
      </c>
      <c r="C2809" s="534" t="n">
        <v>13660.5</v>
      </c>
      <c r="E2809" s="535" t="n">
        <v>39287</v>
      </c>
      <c r="F2809" s="534" t="n">
        <v>4.75</v>
      </c>
      <c r="G2809" s="554" t="n"/>
    </row>
    <row r="2810">
      <c r="A2810" s="535" t="n">
        <v>35468</v>
      </c>
      <c r="B2810" s="534" t="n">
        <v>10.41</v>
      </c>
      <c r="C2810" s="534" t="n">
        <v>13660.5</v>
      </c>
      <c r="E2810" s="535" t="n">
        <v>39288</v>
      </c>
      <c r="F2810" s="534" t="n">
        <v>4.731</v>
      </c>
      <c r="G2810" s="554" t="n"/>
    </row>
    <row r="2811">
      <c r="A2811" s="535" t="n">
        <v>35471</v>
      </c>
      <c r="B2811" s="534" t="n">
        <v>10.54</v>
      </c>
      <c r="C2811" s="534" t="n">
        <v>13643.54</v>
      </c>
      <c r="E2811" s="535" t="n">
        <v>39289</v>
      </c>
      <c r="F2811" s="534" t="n">
        <v>4.728</v>
      </c>
      <c r="G2811" s="554" t="n"/>
    </row>
    <row r="2812">
      <c r="A2812" s="535" t="n">
        <v>35472</v>
      </c>
      <c r="B2812" s="534" t="n">
        <v>10.453</v>
      </c>
      <c r="C2812" s="534" t="n">
        <v>13454.21</v>
      </c>
      <c r="E2812" s="535" t="n">
        <v>39290</v>
      </c>
      <c r="F2812" s="534" t="n">
        <v>4.623</v>
      </c>
      <c r="G2812" s="554" t="n"/>
    </row>
    <row r="2813">
      <c r="A2813" s="535" t="n">
        <v>35473</v>
      </c>
      <c r="B2813" s="534" t="n">
        <v>10.497</v>
      </c>
      <c r="C2813" s="534" t="n">
        <v>13462.61</v>
      </c>
      <c r="E2813" s="535" t="n">
        <v>39293</v>
      </c>
      <c r="F2813" s="534" t="n">
        <v>4.65</v>
      </c>
      <c r="G2813" s="554" t="n"/>
    </row>
    <row r="2814">
      <c r="A2814" s="535" t="n">
        <v>35474</v>
      </c>
      <c r="B2814" s="534" t="n">
        <v>10.366</v>
      </c>
      <c r="C2814" s="534" t="n">
        <v>13239.95</v>
      </c>
      <c r="E2814" s="535" t="n">
        <v>39294</v>
      </c>
      <c r="F2814" s="534" t="n">
        <v>4.648</v>
      </c>
      <c r="G2814" s="554" t="n"/>
    </row>
    <row r="2815">
      <c r="A2815" s="535" t="n">
        <v>35475</v>
      </c>
      <c r="B2815" s="534" t="n">
        <v>10.279</v>
      </c>
      <c r="C2815" s="534" t="n">
        <v>13113.26</v>
      </c>
      <c r="E2815" s="535" t="n">
        <v>39295</v>
      </c>
      <c r="F2815" s="534" t="n">
        <v>4.582</v>
      </c>
      <c r="G2815" s="554" t="n"/>
    </row>
    <row r="2816">
      <c r="A2816" s="535" t="n">
        <v>35478</v>
      </c>
      <c r="B2816" s="534" t="n">
        <v>10.41</v>
      </c>
      <c r="C2816" s="534" t="n">
        <v>13144.62</v>
      </c>
      <c r="E2816" s="535" t="n">
        <v>39296</v>
      </c>
      <c r="F2816" s="534" t="n">
        <v>4.634</v>
      </c>
      <c r="G2816" s="554" t="n"/>
    </row>
    <row r="2817">
      <c r="A2817" s="535" t="n">
        <v>35479</v>
      </c>
      <c r="B2817" s="534" t="n">
        <v>10.41</v>
      </c>
      <c r="C2817" s="534" t="n">
        <v>13102.94</v>
      </c>
      <c r="E2817" s="535" t="n">
        <v>39297</v>
      </c>
      <c r="F2817" s="534" t="n">
        <v>4.625</v>
      </c>
      <c r="G2817" s="554" t="n"/>
    </row>
    <row r="2818">
      <c r="A2818" s="535" t="n">
        <v>35480</v>
      </c>
      <c r="B2818" s="534" t="n">
        <v>10.279</v>
      </c>
      <c r="C2818" s="534" t="n">
        <v>13106.32</v>
      </c>
      <c r="E2818" s="535" t="n">
        <v>39300</v>
      </c>
      <c r="F2818" s="534" t="n">
        <v>4.574</v>
      </c>
      <c r="G2818" s="554" t="n"/>
    </row>
    <row r="2819">
      <c r="A2819" s="535" t="n">
        <v>35481</v>
      </c>
      <c r="B2819" s="534" t="n">
        <v>10.41</v>
      </c>
      <c r="C2819" s="534" t="n">
        <v>13411.33</v>
      </c>
      <c r="E2819" s="535" t="n">
        <v>39301</v>
      </c>
      <c r="F2819" s="534" t="n">
        <v>4.597</v>
      </c>
      <c r="G2819" s="554" t="n"/>
    </row>
    <row r="2820">
      <c r="A2820" s="535" t="n">
        <v>35482</v>
      </c>
      <c r="B2820" s="534" t="n">
        <v>10.54</v>
      </c>
      <c r="C2820" s="534" t="n">
        <v>13444.85</v>
      </c>
      <c r="E2820" s="535" t="n">
        <v>39302</v>
      </c>
      <c r="F2820" s="534" t="n">
        <v>4.634</v>
      </c>
      <c r="G2820" s="554" t="n"/>
    </row>
    <row r="2821">
      <c r="A2821" s="535" t="n">
        <v>35485</v>
      </c>
      <c r="B2821" s="534" t="n">
        <v>10.453</v>
      </c>
      <c r="C2821" s="534" t="n">
        <v>13375.69</v>
      </c>
      <c r="E2821" s="535" t="n">
        <v>39303</v>
      </c>
      <c r="F2821" s="534" t="n">
        <v>4.64</v>
      </c>
      <c r="G2821" s="554" t="n"/>
    </row>
    <row r="2822">
      <c r="A2822" s="535" t="n">
        <v>35486</v>
      </c>
      <c r="B2822" s="534" t="n">
        <v>10.497</v>
      </c>
      <c r="C2822" s="534" t="n">
        <v>13520.26</v>
      </c>
      <c r="E2822" s="535" t="n">
        <v>39304</v>
      </c>
      <c r="F2822" s="534" t="n">
        <v>4.578</v>
      </c>
      <c r="G2822" s="554" t="n"/>
    </row>
    <row r="2823">
      <c r="A2823" s="535" t="n">
        <v>35487</v>
      </c>
      <c r="B2823" s="534" t="n">
        <v>10.584</v>
      </c>
      <c r="C2823" s="534" t="n">
        <v>13541.83</v>
      </c>
      <c r="E2823" s="535" t="n">
        <v>39307</v>
      </c>
      <c r="F2823" s="534" t="n">
        <v>4.619</v>
      </c>
      <c r="G2823" s="554" t="n"/>
    </row>
    <row r="2824">
      <c r="A2824" s="535" t="n">
        <v>35488</v>
      </c>
      <c r="B2824" s="534" t="n">
        <v>10.802</v>
      </c>
      <c r="C2824" s="534" t="n">
        <v>13546.6</v>
      </c>
      <c r="E2824" s="535" t="n">
        <v>39308</v>
      </c>
      <c r="F2824" s="534" t="n">
        <v>4.605</v>
      </c>
      <c r="G2824" s="554" t="n"/>
    </row>
    <row r="2825">
      <c r="A2825" s="535" t="n">
        <v>35489</v>
      </c>
      <c r="B2825" s="534" t="n">
        <v>10.497</v>
      </c>
      <c r="C2825" s="534" t="n">
        <v>13398.72</v>
      </c>
      <c r="E2825" s="535" t="n">
        <v>39309</v>
      </c>
      <c r="F2825" s="534" t="n">
        <v>4.576</v>
      </c>
      <c r="G2825" s="554" t="n"/>
    </row>
    <row r="2826">
      <c r="A2826" s="535" t="n">
        <v>35492</v>
      </c>
      <c r="B2826" s="534" t="n">
        <v>10.584</v>
      </c>
      <c r="C2826" s="534" t="n">
        <v>13507.28</v>
      </c>
      <c r="E2826" s="535" t="n">
        <v>39310</v>
      </c>
      <c r="F2826" s="534" t="n">
        <v>4.554</v>
      </c>
      <c r="G2826" s="554" t="n"/>
    </row>
    <row r="2827">
      <c r="A2827" s="535" t="n">
        <v>35493</v>
      </c>
      <c r="B2827" s="534" t="n">
        <v>10.323</v>
      </c>
      <c r="C2827" s="534" t="n">
        <v>13450.08</v>
      </c>
      <c r="E2827" s="535" t="n">
        <v>39311</v>
      </c>
      <c r="F2827" s="534" t="n">
        <v>4.482</v>
      </c>
      <c r="G2827" s="554" t="n"/>
    </row>
    <row r="2828">
      <c r="A2828" s="535" t="n">
        <v>35494</v>
      </c>
      <c r="B2828" s="534" t="n">
        <v>10.323</v>
      </c>
      <c r="C2828" s="534" t="n">
        <v>13410.76</v>
      </c>
      <c r="E2828" s="535" t="n">
        <v>39314</v>
      </c>
      <c r="F2828" s="534" t="n">
        <v>4.525</v>
      </c>
      <c r="G2828" s="554" t="n"/>
    </row>
    <row r="2829">
      <c r="A2829" s="535" t="n">
        <v>35495</v>
      </c>
      <c r="B2829" s="534" t="n">
        <v>10.366</v>
      </c>
      <c r="C2829" s="534" t="n">
        <v>13416.36</v>
      </c>
      <c r="E2829" s="535" t="n">
        <v>39315</v>
      </c>
      <c r="F2829" s="534" t="n">
        <v>4.435</v>
      </c>
      <c r="G2829" s="554" t="n"/>
    </row>
    <row r="2830">
      <c r="A2830" s="535" t="n">
        <v>35496</v>
      </c>
      <c r="B2830" s="534" t="n">
        <v>10.41</v>
      </c>
      <c r="C2830" s="534" t="n">
        <v>13337.35</v>
      </c>
      <c r="E2830" s="535" t="n">
        <v>39316</v>
      </c>
      <c r="F2830" s="534" t="n">
        <v>4.467</v>
      </c>
      <c r="G2830" s="554" t="n"/>
    </row>
    <row r="2831">
      <c r="A2831" s="535" t="n">
        <v>35499</v>
      </c>
      <c r="B2831" s="534" t="n">
        <v>10.497</v>
      </c>
      <c r="C2831" s="534" t="n">
        <v>13268.76</v>
      </c>
      <c r="E2831" s="535" t="n">
        <v>39317</v>
      </c>
      <c r="F2831" s="534" t="n">
        <v>4.519</v>
      </c>
      <c r="G2831" s="554" t="n"/>
    </row>
    <row r="2832">
      <c r="A2832" s="535" t="n">
        <v>35500</v>
      </c>
      <c r="B2832" s="534" t="n">
        <v>10.41</v>
      </c>
      <c r="C2832" s="534" t="n">
        <v>13252.2</v>
      </c>
      <c r="E2832" s="535" t="n">
        <v>39318</v>
      </c>
      <c r="F2832" s="534" t="n">
        <v>4.499</v>
      </c>
      <c r="G2832" s="554" t="n"/>
    </row>
    <row r="2833">
      <c r="A2833" s="535" t="n">
        <v>35501</v>
      </c>
      <c r="B2833" s="534" t="n">
        <v>10.453</v>
      </c>
      <c r="C2833" s="534" t="n">
        <v>13119.13</v>
      </c>
      <c r="E2833" s="535" t="n">
        <v>39321</v>
      </c>
      <c r="F2833" s="534" t="n">
        <v>4.493</v>
      </c>
      <c r="G2833" s="554" t="n"/>
    </row>
    <row r="2834">
      <c r="A2834" s="535" t="n">
        <v>35502</v>
      </c>
      <c r="B2834" s="534" t="n">
        <v>10.41</v>
      </c>
      <c r="C2834" s="534" t="n">
        <v>12917.09</v>
      </c>
      <c r="E2834" s="535" t="n">
        <v>39322</v>
      </c>
      <c r="F2834" s="534" t="n">
        <v>4.494</v>
      </c>
      <c r="G2834" s="554" t="n"/>
    </row>
    <row r="2835">
      <c r="A2835" s="535" t="n">
        <v>35503</v>
      </c>
      <c r="B2835" s="534" t="n">
        <v>10.366</v>
      </c>
      <c r="C2835" s="534" t="n">
        <v>12736.53</v>
      </c>
      <c r="E2835" s="535" t="n">
        <v>39323</v>
      </c>
      <c r="F2835" s="534" t="n">
        <v>4.458</v>
      </c>
      <c r="G2835" s="554" t="n"/>
    </row>
    <row r="2836">
      <c r="A2836" s="535" t="n">
        <v>35506</v>
      </c>
      <c r="B2836" s="534" t="n">
        <v>10.366</v>
      </c>
      <c r="C2836" s="534" t="n">
        <v>12838.53</v>
      </c>
      <c r="E2836" s="535" t="n">
        <v>39324</v>
      </c>
      <c r="F2836" s="534" t="n">
        <v>4.477</v>
      </c>
      <c r="G2836" s="554" t="n"/>
    </row>
    <row r="2837">
      <c r="A2837" s="535" t="n">
        <v>35507</v>
      </c>
      <c r="B2837" s="534" t="n">
        <v>10.323</v>
      </c>
      <c r="C2837" s="534" t="n">
        <v>12748.91</v>
      </c>
      <c r="E2837" s="535" t="n">
        <v>39325</v>
      </c>
      <c r="F2837" s="534" t="n">
        <v>4.524</v>
      </c>
      <c r="G2837" s="554" t="n"/>
    </row>
    <row r="2838">
      <c r="A2838" s="535" t="n">
        <v>35508</v>
      </c>
      <c r="B2838" s="534" t="n">
        <v>10.323</v>
      </c>
      <c r="C2838" s="534" t="n">
        <v>12651.42</v>
      </c>
      <c r="E2838" s="535" t="n">
        <v>39328</v>
      </c>
      <c r="F2838" s="534" t="n">
        <v>4.489</v>
      </c>
      <c r="G2838" s="554" t="n"/>
    </row>
    <row r="2839">
      <c r="A2839" s="535" t="n">
        <v>35509</v>
      </c>
      <c r="B2839" s="534" t="n">
        <v>10.192</v>
      </c>
      <c r="C2839" s="534" t="n">
        <v>12472.33</v>
      </c>
      <c r="E2839" s="535" t="n">
        <v>39329</v>
      </c>
      <c r="F2839" s="534" t="n">
        <v>4.471</v>
      </c>
      <c r="G2839" s="554" t="n"/>
    </row>
    <row r="2840">
      <c r="A2840" s="535" t="n">
        <v>35510</v>
      </c>
      <c r="B2840" s="534" t="n">
        <v>10.236</v>
      </c>
      <c r="C2840" s="534" t="n">
        <v>12489.3</v>
      </c>
      <c r="E2840" s="535" t="n">
        <v>39330</v>
      </c>
      <c r="F2840" s="534" t="n">
        <v>4.486</v>
      </c>
      <c r="G2840" s="554" t="n"/>
    </row>
    <row r="2841">
      <c r="A2841" s="535" t="n">
        <v>35513</v>
      </c>
      <c r="B2841" s="534" t="n">
        <v>10.236</v>
      </c>
      <c r="C2841" s="534" t="n">
        <v>12749.14</v>
      </c>
      <c r="E2841" s="535" t="n">
        <v>39331</v>
      </c>
      <c r="F2841" s="534" t="n">
        <v>4.435</v>
      </c>
      <c r="G2841" s="554" t="n"/>
    </row>
    <row r="2842">
      <c r="A2842" s="535" t="n">
        <v>35514</v>
      </c>
      <c r="B2842" s="534" t="n">
        <v>10.41</v>
      </c>
      <c r="C2842" s="534" t="n">
        <v>12832.53</v>
      </c>
      <c r="E2842" s="535" t="n">
        <v>39332</v>
      </c>
      <c r="F2842" s="534" t="n">
        <v>4.455</v>
      </c>
      <c r="G2842" s="554" t="n"/>
    </row>
    <row r="2843">
      <c r="A2843" s="535" t="n">
        <v>35515</v>
      </c>
      <c r="B2843" s="534" t="n">
        <v>10.279</v>
      </c>
      <c r="C2843" s="534" t="n">
        <v>12776.39</v>
      </c>
      <c r="E2843" s="535" t="n">
        <v>39335</v>
      </c>
      <c r="F2843" s="534" t="n">
        <v>4.324</v>
      </c>
      <c r="G2843" s="554" t="n"/>
    </row>
    <row r="2844">
      <c r="A2844" s="535" t="n">
        <v>35516</v>
      </c>
      <c r="B2844" s="534" t="n">
        <v>10.105</v>
      </c>
      <c r="C2844" s="534" t="n">
        <v>12534.32</v>
      </c>
      <c r="E2844" s="535" t="n">
        <v>39336</v>
      </c>
      <c r="F2844" s="534" t="n">
        <v>4.303</v>
      </c>
      <c r="G2844" s="554" t="n"/>
    </row>
    <row r="2845">
      <c r="A2845" s="535" t="n">
        <v>35517</v>
      </c>
      <c r="B2845" s="534" t="n">
        <v>10.105</v>
      </c>
      <c r="C2845" s="534" t="n">
        <v>12534.32</v>
      </c>
      <c r="E2845" s="535" t="n">
        <v>39337</v>
      </c>
      <c r="F2845" s="534" t="n">
        <v>4.322</v>
      </c>
      <c r="G2845" s="554" t="n"/>
    </row>
    <row r="2846">
      <c r="A2846" s="535" t="n">
        <v>35520</v>
      </c>
      <c r="B2846" s="534" t="n">
        <v>10.105</v>
      </c>
      <c r="C2846" s="534" t="n">
        <v>12534.32</v>
      </c>
      <c r="E2846" s="535" t="n">
        <v>39338</v>
      </c>
      <c r="F2846" s="534" t="n">
        <v>4.279</v>
      </c>
      <c r="G2846" s="554" t="n"/>
    </row>
    <row r="2847">
      <c r="A2847" s="535" t="n">
        <v>35521</v>
      </c>
      <c r="B2847" s="534" t="n">
        <v>9.930999999999999</v>
      </c>
      <c r="C2847" s="534" t="n">
        <v>12074.19</v>
      </c>
      <c r="E2847" s="535" t="n">
        <v>39339</v>
      </c>
      <c r="F2847" s="534" t="n">
        <v>4.3</v>
      </c>
      <c r="G2847" s="554" t="n"/>
    </row>
    <row r="2848">
      <c r="A2848" s="535" t="n">
        <v>35522</v>
      </c>
      <c r="B2848" s="534" t="n">
        <v>10.018</v>
      </c>
      <c r="C2848" s="534" t="n">
        <v>12136.32</v>
      </c>
      <c r="E2848" s="535" t="n">
        <v>39342</v>
      </c>
      <c r="F2848" s="534" t="n">
        <v>4.281</v>
      </c>
      <c r="G2848" s="554" t="n"/>
    </row>
    <row r="2849">
      <c r="A2849" s="535" t="n">
        <v>35523</v>
      </c>
      <c r="B2849" s="534" t="n">
        <v>9.930999999999999</v>
      </c>
      <c r="C2849" s="534" t="n">
        <v>12055.17</v>
      </c>
      <c r="E2849" s="535" t="n">
        <v>39343</v>
      </c>
      <c r="F2849" s="534" t="n">
        <v>4.276</v>
      </c>
      <c r="G2849" s="554" t="n"/>
    </row>
    <row r="2850">
      <c r="A2850" s="535" t="n">
        <v>35524</v>
      </c>
      <c r="B2850" s="534" t="n">
        <v>10.192</v>
      </c>
      <c r="C2850" s="534" t="n">
        <v>12204.59</v>
      </c>
      <c r="E2850" s="535" t="n">
        <v>39344</v>
      </c>
      <c r="F2850" s="534" t="n">
        <v>4.267</v>
      </c>
      <c r="G2850" s="554" t="n"/>
    </row>
    <row r="2851">
      <c r="A2851" s="535" t="n">
        <v>35527</v>
      </c>
      <c r="B2851" s="534" t="n">
        <v>10.279</v>
      </c>
      <c r="C2851" s="534" t="n">
        <v>12287.84</v>
      </c>
      <c r="E2851" s="535" t="n">
        <v>39345</v>
      </c>
      <c r="F2851" s="534" t="n">
        <v>4.297</v>
      </c>
      <c r="G2851" s="554" t="n"/>
    </row>
    <row r="2852">
      <c r="A2852" s="535" t="n">
        <v>35528</v>
      </c>
      <c r="B2852" s="534" t="n">
        <v>10.453</v>
      </c>
      <c r="C2852" s="534" t="n">
        <v>12398.57</v>
      </c>
      <c r="E2852" s="535" t="n">
        <v>39346</v>
      </c>
      <c r="F2852" s="534" t="n">
        <v>4.42</v>
      </c>
      <c r="G2852" s="554" t="n"/>
    </row>
    <row r="2853">
      <c r="A2853" s="535" t="n">
        <v>35529</v>
      </c>
      <c r="B2853" s="534" t="n">
        <v>10.453</v>
      </c>
      <c r="C2853" s="534" t="n">
        <v>12426.68</v>
      </c>
      <c r="E2853" s="535" t="n">
        <v>39349</v>
      </c>
      <c r="F2853" s="534" t="n">
        <v>4.45</v>
      </c>
      <c r="G2853" s="554" t="n"/>
    </row>
    <row r="2854">
      <c r="A2854" s="535" t="n">
        <v>35530</v>
      </c>
      <c r="B2854" s="534" t="n">
        <v>10.453</v>
      </c>
      <c r="C2854" s="534" t="n">
        <v>12358.7</v>
      </c>
      <c r="E2854" s="535" t="n">
        <v>39350</v>
      </c>
      <c r="F2854" s="534" t="n">
        <v>4.396</v>
      </c>
      <c r="G2854" s="554" t="n"/>
    </row>
    <row r="2855">
      <c r="A2855" s="535" t="n">
        <v>35531</v>
      </c>
      <c r="B2855" s="534" t="n">
        <v>10.41</v>
      </c>
      <c r="C2855" s="534" t="n">
        <v>12516.6</v>
      </c>
      <c r="E2855" s="535" t="n">
        <v>39351</v>
      </c>
      <c r="F2855" s="534" t="n">
        <v>4.396</v>
      </c>
      <c r="G2855" s="554" t="n"/>
    </row>
    <row r="2856">
      <c r="A2856" s="535" t="n">
        <v>35534</v>
      </c>
      <c r="B2856" s="534" t="n">
        <v>10.453</v>
      </c>
      <c r="C2856" s="534" t="n">
        <v>12295.97</v>
      </c>
      <c r="E2856" s="535" t="n">
        <v>39352</v>
      </c>
      <c r="F2856" s="534" t="n">
        <v>4.428</v>
      </c>
      <c r="G2856" s="554" t="n"/>
    </row>
    <row r="2857">
      <c r="A2857" s="535" t="n">
        <v>35535</v>
      </c>
      <c r="B2857" s="534" t="n">
        <v>10.453</v>
      </c>
      <c r="C2857" s="534" t="n">
        <v>12342.02</v>
      </c>
      <c r="E2857" s="535" t="n">
        <v>39353</v>
      </c>
      <c r="F2857" s="534" t="n">
        <v>4.423</v>
      </c>
      <c r="G2857" s="554" t="n"/>
    </row>
    <row r="2858">
      <c r="A2858" s="535" t="n">
        <v>35536</v>
      </c>
      <c r="B2858" s="534" t="n">
        <v>10.41</v>
      </c>
      <c r="C2858" s="534" t="n">
        <v>12581.31</v>
      </c>
      <c r="E2858" s="535" t="n">
        <v>39356</v>
      </c>
      <c r="F2858" s="534" t="n">
        <v>4.423</v>
      </c>
      <c r="G2858" s="554" t="n"/>
    </row>
    <row r="2859">
      <c r="A2859" s="535" t="n">
        <v>35537</v>
      </c>
      <c r="B2859" s="534" t="n">
        <v>10.279</v>
      </c>
      <c r="C2859" s="534" t="n">
        <v>12516.23</v>
      </c>
      <c r="E2859" s="535" t="n">
        <v>39357</v>
      </c>
      <c r="F2859" s="534" t="n">
        <v>4.372</v>
      </c>
      <c r="G2859" s="554" t="n"/>
    </row>
    <row r="2860">
      <c r="A2860" s="535" t="n">
        <v>35538</v>
      </c>
      <c r="B2860" s="534" t="n">
        <v>10.366</v>
      </c>
      <c r="C2860" s="534" t="n">
        <v>12541.18</v>
      </c>
      <c r="E2860" s="535" t="n">
        <v>39358</v>
      </c>
      <c r="F2860" s="534" t="n">
        <v>4.347</v>
      </c>
      <c r="G2860" s="554" t="n"/>
    </row>
    <row r="2861">
      <c r="A2861" s="535" t="n">
        <v>35541</v>
      </c>
      <c r="B2861" s="534" t="n">
        <v>10.41</v>
      </c>
      <c r="C2861" s="534" t="n">
        <v>12626.04</v>
      </c>
      <c r="E2861" s="535" t="n">
        <v>39359</v>
      </c>
      <c r="F2861" s="534" t="n">
        <v>4.326</v>
      </c>
      <c r="G2861" s="554" t="n"/>
    </row>
    <row r="2862">
      <c r="A2862" s="535" t="n">
        <v>35542</v>
      </c>
      <c r="B2862" s="534" t="n">
        <v>10.279</v>
      </c>
      <c r="C2862" s="534" t="n">
        <v>12580.85</v>
      </c>
      <c r="E2862" s="535" t="n">
        <v>39360</v>
      </c>
      <c r="F2862" s="534" t="n">
        <v>4.291</v>
      </c>
      <c r="G2862" s="554" t="n"/>
    </row>
    <row r="2863">
      <c r="A2863" s="535" t="n">
        <v>35543</v>
      </c>
      <c r="B2863" s="534" t="n">
        <v>10.323</v>
      </c>
      <c r="C2863" s="534" t="n">
        <v>12707.04</v>
      </c>
      <c r="E2863" s="535" t="n">
        <v>39363</v>
      </c>
      <c r="F2863" s="534" t="n">
        <v>4.317</v>
      </c>
      <c r="G2863" s="554" t="n"/>
    </row>
    <row r="2864">
      <c r="A2864" s="535" t="n">
        <v>35544</v>
      </c>
      <c r="B2864" s="534" t="n">
        <v>10.236</v>
      </c>
      <c r="C2864" s="534" t="n">
        <v>12726.83</v>
      </c>
      <c r="E2864" s="535" t="n">
        <v>39364</v>
      </c>
      <c r="F2864" s="534" t="n">
        <v>4.283</v>
      </c>
      <c r="G2864" s="554" t="n"/>
    </row>
    <row r="2865">
      <c r="A2865" s="535" t="n">
        <v>35545</v>
      </c>
      <c r="B2865" s="534" t="n">
        <v>10.236</v>
      </c>
      <c r="C2865" s="534" t="n">
        <v>12645.76</v>
      </c>
      <c r="E2865" s="535" t="n">
        <v>39365</v>
      </c>
      <c r="F2865" s="534" t="n">
        <v>4.311</v>
      </c>
      <c r="G2865" s="554" t="n"/>
    </row>
    <row r="2866">
      <c r="A2866" s="535" t="n">
        <v>35548</v>
      </c>
      <c r="B2866" s="534" t="n">
        <v>10.453</v>
      </c>
      <c r="C2866" s="534" t="n">
        <v>12610.17</v>
      </c>
      <c r="E2866" s="535" t="n">
        <v>39366</v>
      </c>
      <c r="F2866" s="534" t="n">
        <v>4.331</v>
      </c>
      <c r="G2866" s="554" t="n"/>
    </row>
    <row r="2867">
      <c r="A2867" s="535" t="n">
        <v>35549</v>
      </c>
      <c r="B2867" s="534" t="n">
        <v>10.41</v>
      </c>
      <c r="C2867" s="534" t="n">
        <v>12600.42</v>
      </c>
      <c r="E2867" s="535" t="n">
        <v>39367</v>
      </c>
      <c r="F2867" s="534" t="n">
        <v>4.295</v>
      </c>
      <c r="G2867" s="554" t="n"/>
    </row>
    <row r="2868">
      <c r="A2868" s="535" t="n">
        <v>35550</v>
      </c>
      <c r="B2868" s="534" t="n">
        <v>10.497</v>
      </c>
      <c r="C2868" s="534" t="n">
        <v>12903.3</v>
      </c>
      <c r="E2868" s="535" t="n">
        <v>39370</v>
      </c>
      <c r="F2868" s="534" t="n">
        <v>4.352</v>
      </c>
      <c r="G2868" s="554" t="n"/>
    </row>
    <row r="2869">
      <c r="A2869" s="535" t="n">
        <v>35551</v>
      </c>
      <c r="B2869" s="534" t="n">
        <v>10.236</v>
      </c>
      <c r="C2869" s="534" t="n">
        <v>13020.78</v>
      </c>
      <c r="E2869" s="535" t="n">
        <v>39371</v>
      </c>
      <c r="F2869" s="534" t="n">
        <v>4.352</v>
      </c>
      <c r="G2869" s="554" t="n"/>
    </row>
    <row r="2870">
      <c r="A2870" s="535" t="n">
        <v>35552</v>
      </c>
      <c r="B2870" s="534" t="n">
        <v>10.236</v>
      </c>
      <c r="C2870" s="534" t="n">
        <v>13081.7</v>
      </c>
      <c r="E2870" s="535" t="n">
        <v>39372</v>
      </c>
      <c r="F2870" s="534" t="n">
        <v>4.319</v>
      </c>
      <c r="G2870" s="554" t="n"/>
    </row>
    <row r="2871">
      <c r="A2871" s="535" t="n">
        <v>35555</v>
      </c>
      <c r="B2871" s="534" t="n">
        <v>10.192</v>
      </c>
      <c r="C2871" s="534" t="n">
        <v>13399.34</v>
      </c>
      <c r="E2871" s="535" t="n">
        <v>39373</v>
      </c>
      <c r="F2871" s="534" t="n">
        <v>4.118</v>
      </c>
      <c r="G2871" s="554" t="n"/>
    </row>
    <row r="2872">
      <c r="A2872" s="535" t="n">
        <v>35556</v>
      </c>
      <c r="B2872" s="534" t="n">
        <v>10.366</v>
      </c>
      <c r="C2872" s="534" t="n">
        <v>13579.34</v>
      </c>
      <c r="E2872" s="535" t="n">
        <v>39374</v>
      </c>
      <c r="F2872" s="534" t="n">
        <v>4.118</v>
      </c>
      <c r="G2872" s="554" t="n"/>
    </row>
    <row r="2873">
      <c r="A2873" s="535" t="n">
        <v>35557</v>
      </c>
      <c r="B2873" s="534" t="n">
        <v>10.279</v>
      </c>
      <c r="C2873" s="534" t="n">
        <v>13605.91</v>
      </c>
      <c r="E2873" s="535" t="n">
        <v>39377</v>
      </c>
      <c r="F2873" s="534" t="n">
        <v>3.926</v>
      </c>
      <c r="G2873" s="554" t="n"/>
    </row>
    <row r="2874">
      <c r="A2874" s="535" t="n">
        <v>35558</v>
      </c>
      <c r="B2874" s="534" t="n">
        <v>10.279</v>
      </c>
      <c r="C2874" s="534" t="n">
        <v>13740.3</v>
      </c>
      <c r="E2874" s="535" t="n">
        <v>39378</v>
      </c>
      <c r="F2874" s="534" t="n">
        <v>4.016</v>
      </c>
      <c r="G2874" s="554" t="n"/>
    </row>
    <row r="2875">
      <c r="A2875" s="535" t="n">
        <v>35559</v>
      </c>
      <c r="B2875" s="534" t="n">
        <v>10.366</v>
      </c>
      <c r="C2875" s="534" t="n">
        <v>13930.8</v>
      </c>
      <c r="E2875" s="535" t="n">
        <v>39379</v>
      </c>
      <c r="F2875" s="534" t="n">
        <v>3.994</v>
      </c>
      <c r="G2875" s="554" t="n"/>
    </row>
    <row r="2876">
      <c r="A2876" s="535" t="n">
        <v>35562</v>
      </c>
      <c r="B2876" s="534" t="n">
        <v>10.323</v>
      </c>
      <c r="C2876" s="534" t="n">
        <v>13987.8</v>
      </c>
      <c r="E2876" s="535" t="n">
        <v>39380</v>
      </c>
      <c r="F2876" s="534" t="n">
        <v>3.942</v>
      </c>
      <c r="G2876" s="554" t="n"/>
    </row>
    <row r="2877">
      <c r="A2877" s="535" t="n">
        <v>35563</v>
      </c>
      <c r="B2877" s="534" t="n">
        <v>10.41</v>
      </c>
      <c r="C2877" s="534" t="n">
        <v>13906.46</v>
      </c>
      <c r="E2877" s="535" t="n">
        <v>39381</v>
      </c>
      <c r="F2877" s="534" t="n">
        <v>3.911</v>
      </c>
      <c r="G2877" s="554" t="n"/>
    </row>
    <row r="2878">
      <c r="A2878" s="535" t="n">
        <v>35564</v>
      </c>
      <c r="B2878" s="534" t="n">
        <v>10.54</v>
      </c>
      <c r="C2878" s="534" t="n">
        <v>14153.58</v>
      </c>
      <c r="E2878" s="535" t="n">
        <v>39384</v>
      </c>
      <c r="F2878" s="534" t="n">
        <v>3.893</v>
      </c>
      <c r="G2878" s="554" t="n"/>
    </row>
    <row r="2879">
      <c r="A2879" s="535" t="n">
        <v>35565</v>
      </c>
      <c r="B2879" s="534" t="n">
        <v>10.236</v>
      </c>
      <c r="C2879" s="534" t="n">
        <v>14041.9</v>
      </c>
      <c r="E2879" s="535" t="n">
        <v>39385</v>
      </c>
      <c r="F2879" s="534" t="n">
        <v>3.933</v>
      </c>
      <c r="G2879" s="554" t="n"/>
    </row>
    <row r="2880">
      <c r="A2880" s="535" t="n">
        <v>35566</v>
      </c>
      <c r="B2880" s="534" t="n">
        <v>10.453</v>
      </c>
      <c r="C2880" s="534" t="n">
        <v>14062.37</v>
      </c>
      <c r="E2880" s="535" t="n">
        <v>39386</v>
      </c>
      <c r="F2880" s="534" t="n">
        <v>3.884</v>
      </c>
      <c r="G2880" s="554" t="n"/>
    </row>
    <row r="2881">
      <c r="A2881" s="535" t="n">
        <v>35569</v>
      </c>
      <c r="B2881" s="534" t="n">
        <v>10.41</v>
      </c>
      <c r="C2881" s="534" t="n">
        <v>14108.82</v>
      </c>
      <c r="E2881" s="535" t="n">
        <v>39387</v>
      </c>
      <c r="F2881" s="534" t="n">
        <v>3.935</v>
      </c>
      <c r="G2881" s="554" t="n"/>
    </row>
    <row r="2882">
      <c r="A2882" s="535" t="n">
        <v>35570</v>
      </c>
      <c r="B2882" s="534" t="n">
        <v>10.323</v>
      </c>
      <c r="C2882" s="534" t="n">
        <v>14236.2</v>
      </c>
      <c r="E2882" s="535" t="n">
        <v>39388</v>
      </c>
      <c r="F2882" s="534" t="n">
        <v>3.743</v>
      </c>
      <c r="G2882" s="554" t="n"/>
    </row>
    <row r="2883">
      <c r="A2883" s="535" t="n">
        <v>35571</v>
      </c>
      <c r="B2883" s="534" t="n">
        <v>10.279</v>
      </c>
      <c r="C2883" s="534" t="n">
        <v>14235.52</v>
      </c>
      <c r="E2883" s="535" t="n">
        <v>39391</v>
      </c>
      <c r="F2883" s="534" t="n">
        <v>3.695</v>
      </c>
      <c r="G2883" s="554" t="n"/>
    </row>
    <row r="2884">
      <c r="A2884" s="535" t="n">
        <v>35572</v>
      </c>
      <c r="B2884" s="534" t="n">
        <v>10.323</v>
      </c>
      <c r="C2884" s="534" t="n">
        <v>14212</v>
      </c>
      <c r="E2884" s="535" t="n">
        <v>39392</v>
      </c>
      <c r="F2884" s="534" t="n">
        <v>3.674</v>
      </c>
      <c r="G2884" s="554" t="n"/>
    </row>
    <row r="2885">
      <c r="A2885" s="535" t="n">
        <v>35573</v>
      </c>
      <c r="B2885" s="534" t="n">
        <v>10.236</v>
      </c>
      <c r="C2885" s="534" t="n">
        <v>14331.68</v>
      </c>
      <c r="E2885" s="535" t="n">
        <v>39393</v>
      </c>
      <c r="F2885" s="534" t="n">
        <v>3.623</v>
      </c>
      <c r="G2885" s="554" t="n"/>
    </row>
    <row r="2886">
      <c r="A2886" s="535" t="n">
        <v>35576</v>
      </c>
      <c r="B2886" s="534" t="n">
        <v>10.148</v>
      </c>
      <c r="C2886" s="534" t="n">
        <v>14574.64</v>
      </c>
      <c r="E2886" s="535" t="n">
        <v>39394</v>
      </c>
      <c r="F2886" s="534" t="n">
        <v>3.532</v>
      </c>
      <c r="G2886" s="554" t="n"/>
    </row>
    <row r="2887">
      <c r="A2887" s="535" t="n">
        <v>35577</v>
      </c>
      <c r="B2887" s="534" t="n">
        <v>10.279</v>
      </c>
      <c r="C2887" s="534" t="n">
        <v>14540.16</v>
      </c>
      <c r="E2887" s="535" t="n">
        <v>39395</v>
      </c>
      <c r="F2887" s="534" t="n">
        <v>3.517</v>
      </c>
      <c r="G2887" s="554" t="n"/>
    </row>
    <row r="2888">
      <c r="A2888" s="535" t="n">
        <v>35578</v>
      </c>
      <c r="B2888" s="534" t="n">
        <v>10.192</v>
      </c>
      <c r="C2888" s="534" t="n">
        <v>14556.48</v>
      </c>
      <c r="E2888" s="535" t="n">
        <v>39398</v>
      </c>
      <c r="F2888" s="534" t="n">
        <v>3.501</v>
      </c>
      <c r="G2888" s="554" t="n"/>
    </row>
    <row r="2889">
      <c r="A2889" s="535" t="n">
        <v>35579</v>
      </c>
      <c r="B2889" s="534" t="n">
        <v>10.192</v>
      </c>
      <c r="C2889" s="534" t="n">
        <v>14416.57</v>
      </c>
      <c r="E2889" s="535" t="n">
        <v>39399</v>
      </c>
      <c r="F2889" s="534" t="n">
        <v>3.533</v>
      </c>
      <c r="G2889" s="554" t="n"/>
    </row>
    <row r="2890">
      <c r="A2890" s="535" t="n">
        <v>35580</v>
      </c>
      <c r="B2890" s="534" t="n">
        <v>10.148</v>
      </c>
      <c r="C2890" s="534" t="n">
        <v>14757.81</v>
      </c>
      <c r="E2890" s="535" t="n">
        <v>39400</v>
      </c>
      <c r="F2890" s="534" t="n">
        <v>3.658</v>
      </c>
      <c r="G2890" s="554" t="n"/>
    </row>
    <row r="2891">
      <c r="A2891" s="535" t="n">
        <v>35583</v>
      </c>
      <c r="B2891" s="534" t="n">
        <v>10.148</v>
      </c>
      <c r="C2891" s="534" t="n">
        <v>14990.9</v>
      </c>
      <c r="E2891" s="535" t="n">
        <v>39401</v>
      </c>
      <c r="F2891" s="534" t="n">
        <v>3.672</v>
      </c>
      <c r="G2891" s="554" t="n"/>
    </row>
    <row r="2892">
      <c r="A2892" s="535" t="n">
        <v>35584</v>
      </c>
      <c r="B2892" s="534" t="n">
        <v>10.148</v>
      </c>
      <c r="C2892" s="534" t="n">
        <v>14760.17</v>
      </c>
      <c r="E2892" s="535" t="n">
        <v>39402</v>
      </c>
      <c r="F2892" s="534" t="n">
        <v>3.626</v>
      </c>
      <c r="G2892" s="554" t="n"/>
    </row>
    <row r="2893">
      <c r="A2893" s="535" t="n">
        <v>35585</v>
      </c>
      <c r="B2893" s="534" t="n">
        <v>10.323</v>
      </c>
      <c r="C2893" s="534" t="n">
        <v>14831.58</v>
      </c>
      <c r="E2893" s="535" t="n">
        <v>39405</v>
      </c>
      <c r="F2893" s="534" t="n">
        <v>3.581</v>
      </c>
      <c r="G2893" s="554" t="n"/>
    </row>
    <row r="2894">
      <c r="A2894" s="535" t="n">
        <v>35586</v>
      </c>
      <c r="B2894" s="534" t="n">
        <v>10.453</v>
      </c>
      <c r="C2894" s="534" t="n">
        <v>14795.52</v>
      </c>
      <c r="E2894" s="535" t="n">
        <v>39406</v>
      </c>
      <c r="F2894" s="534" t="n">
        <v>3.552</v>
      </c>
      <c r="G2894" s="554" t="n"/>
    </row>
    <row r="2895">
      <c r="A2895" s="535" t="n">
        <v>35587</v>
      </c>
      <c r="B2895" s="534" t="n">
        <v>10.323</v>
      </c>
      <c r="C2895" s="534" t="n">
        <v>14655.13</v>
      </c>
      <c r="E2895" s="535" t="n">
        <v>39407</v>
      </c>
      <c r="F2895" s="534" t="n">
        <v>3.496</v>
      </c>
      <c r="G2895" s="554" t="n"/>
    </row>
    <row r="2896">
      <c r="A2896" s="535" t="n">
        <v>35590</v>
      </c>
      <c r="B2896" s="534" t="n">
        <v>10.323</v>
      </c>
      <c r="C2896" s="534" t="n">
        <v>14655.13</v>
      </c>
      <c r="E2896" s="535" t="n">
        <v>39408</v>
      </c>
      <c r="F2896" s="534" t="n">
        <v>3.424</v>
      </c>
      <c r="G2896" s="554" t="n"/>
    </row>
    <row r="2897">
      <c r="A2897" s="535" t="n">
        <v>35591</v>
      </c>
      <c r="B2897" s="534" t="n">
        <v>10.453</v>
      </c>
      <c r="C2897" s="534" t="n">
        <v>14439.71</v>
      </c>
      <c r="E2897" s="535" t="n">
        <v>39409</v>
      </c>
      <c r="F2897" s="534" t="n">
        <v>3.409</v>
      </c>
      <c r="G2897" s="554" t="n"/>
    </row>
    <row r="2898">
      <c r="A2898" s="535" t="n">
        <v>35592</v>
      </c>
      <c r="B2898" s="534" t="n">
        <v>11.324</v>
      </c>
      <c r="C2898" s="534" t="n">
        <v>14421.52</v>
      </c>
      <c r="E2898" s="535" t="n">
        <v>39412</v>
      </c>
      <c r="F2898" s="534" t="n">
        <v>3.435</v>
      </c>
      <c r="G2898" s="554" t="n"/>
    </row>
    <row r="2899">
      <c r="A2899" s="535" t="n">
        <v>35593</v>
      </c>
      <c r="B2899" s="534" t="n">
        <v>10.976</v>
      </c>
      <c r="C2899" s="534" t="n">
        <v>13924.34</v>
      </c>
      <c r="E2899" s="535" t="n">
        <v>39413</v>
      </c>
      <c r="F2899" s="534" t="n">
        <v>3.295</v>
      </c>
      <c r="G2899" s="554" t="n"/>
    </row>
    <row r="2900">
      <c r="A2900" s="535" t="n">
        <v>35594</v>
      </c>
      <c r="B2900" s="534" t="n">
        <v>10.976</v>
      </c>
      <c r="C2900" s="534" t="n">
        <v>14112.55</v>
      </c>
      <c r="E2900" s="535" t="n">
        <v>39414</v>
      </c>
      <c r="F2900" s="534" t="n">
        <v>3.277</v>
      </c>
      <c r="G2900" s="554" t="n"/>
    </row>
    <row r="2901">
      <c r="A2901" s="535" t="n">
        <v>35597</v>
      </c>
      <c r="B2901" s="534" t="n">
        <v>11.194</v>
      </c>
      <c r="C2901" s="534" t="n">
        <v>14394.6</v>
      </c>
      <c r="E2901" s="535" t="n">
        <v>39415</v>
      </c>
      <c r="F2901" s="534" t="n">
        <v>3.312</v>
      </c>
      <c r="G2901" s="554" t="n"/>
    </row>
    <row r="2902">
      <c r="A2902" s="535" t="n">
        <v>35598</v>
      </c>
      <c r="B2902" s="534" t="n">
        <v>11.107</v>
      </c>
      <c r="C2902" s="534" t="n">
        <v>14307.15</v>
      </c>
      <c r="E2902" s="535" t="n">
        <v>39416</v>
      </c>
      <c r="F2902" s="534" t="n">
        <v>3.203</v>
      </c>
      <c r="G2902" s="554" t="n"/>
    </row>
    <row r="2903">
      <c r="A2903" s="535" t="n">
        <v>35599</v>
      </c>
      <c r="B2903" s="534" t="n">
        <v>11.542</v>
      </c>
      <c r="C2903" s="534" t="n">
        <v>14203.89</v>
      </c>
      <c r="E2903" s="535" t="n">
        <v>39419</v>
      </c>
      <c r="F2903" s="534" t="n">
        <v>3.21</v>
      </c>
      <c r="G2903" s="554" t="n"/>
    </row>
    <row r="2904">
      <c r="A2904" s="535" t="n">
        <v>35600</v>
      </c>
      <c r="B2904" s="534" t="n">
        <v>12.021</v>
      </c>
      <c r="C2904" s="534" t="n">
        <v>14506.49</v>
      </c>
      <c r="E2904" s="535" t="n">
        <v>39420</v>
      </c>
      <c r="F2904" s="534" t="n">
        <v>3.184</v>
      </c>
      <c r="G2904" s="554" t="n"/>
    </row>
    <row r="2905">
      <c r="A2905" s="535" t="n">
        <v>35601</v>
      </c>
      <c r="B2905" s="534" t="n">
        <v>12.631</v>
      </c>
      <c r="C2905" s="534" t="n">
        <v>15154.36</v>
      </c>
      <c r="E2905" s="535" t="n">
        <v>39421</v>
      </c>
      <c r="F2905" s="534" t="n">
        <v>3.104</v>
      </c>
      <c r="G2905" s="554" t="n"/>
    </row>
    <row r="2906">
      <c r="A2906" s="535" t="n">
        <v>35604</v>
      </c>
      <c r="B2906" s="534" t="n">
        <v>12.675</v>
      </c>
      <c r="C2906" s="534" t="n">
        <v>15021.23</v>
      </c>
      <c r="E2906" s="535" t="n">
        <v>39422</v>
      </c>
      <c r="F2906" s="534" t="n">
        <v>3.107</v>
      </c>
      <c r="G2906" s="554" t="n"/>
    </row>
    <row r="2907">
      <c r="A2907" s="535" t="n">
        <v>35605</v>
      </c>
      <c r="B2907" s="534" t="n">
        <v>12.631</v>
      </c>
      <c r="C2907" s="534" t="n">
        <v>14890.96</v>
      </c>
      <c r="E2907" s="535" t="n">
        <v>39423</v>
      </c>
      <c r="F2907" s="534" t="n">
        <v>3.15</v>
      </c>
      <c r="G2907" s="554" t="n"/>
    </row>
    <row r="2908">
      <c r="A2908" s="535" t="n">
        <v>35606</v>
      </c>
      <c r="B2908" s="534" t="n">
        <v>12.936</v>
      </c>
      <c r="C2908" s="534" t="n">
        <v>15065.02</v>
      </c>
      <c r="E2908" s="535" t="n">
        <v>39426</v>
      </c>
      <c r="F2908" s="534" t="n">
        <v>3.265</v>
      </c>
      <c r="G2908" s="554" t="n"/>
    </row>
    <row r="2909">
      <c r="A2909" s="535" t="n">
        <v>35607</v>
      </c>
      <c r="B2909" s="534" t="n">
        <v>13.633</v>
      </c>
      <c r="C2909" s="534" t="n">
        <v>15128.02</v>
      </c>
      <c r="E2909" s="535" t="n">
        <v>39427</v>
      </c>
      <c r="F2909" s="534" t="n">
        <v>3.358</v>
      </c>
      <c r="G2909" s="554" t="n"/>
    </row>
    <row r="2910">
      <c r="A2910" s="535" t="n">
        <v>35608</v>
      </c>
      <c r="B2910" s="534" t="n">
        <v>13.981</v>
      </c>
      <c r="C2910" s="534" t="n">
        <v>15196.79</v>
      </c>
      <c r="E2910" s="535" t="n">
        <v>39428</v>
      </c>
      <c r="F2910" s="534" t="n">
        <v>3.277</v>
      </c>
      <c r="G2910" s="554" t="n"/>
    </row>
    <row r="2911">
      <c r="A2911" s="535" t="n">
        <v>35611</v>
      </c>
      <c r="B2911" s="534" t="n">
        <v>13.981</v>
      </c>
      <c r="C2911" s="534" t="n">
        <v>15196.79</v>
      </c>
      <c r="E2911" s="535" t="n">
        <v>39429</v>
      </c>
      <c r="F2911" s="534" t="n">
        <v>3.283</v>
      </c>
      <c r="G2911" s="554" t="n"/>
    </row>
    <row r="2912">
      <c r="A2912" s="535" t="n">
        <v>35612</v>
      </c>
      <c r="B2912" s="534" t="n">
        <v>13.981</v>
      </c>
      <c r="C2912" s="534" t="n">
        <v>15196.79</v>
      </c>
      <c r="E2912" s="535" t="n">
        <v>39430</v>
      </c>
      <c r="F2912" s="534" t="n">
        <v>3.362</v>
      </c>
      <c r="G2912" s="554" t="n"/>
    </row>
    <row r="2913">
      <c r="A2913" s="535" t="n">
        <v>35613</v>
      </c>
      <c r="B2913" s="534" t="n">
        <v>13.981</v>
      </c>
      <c r="C2913" s="534" t="n">
        <v>15196.79</v>
      </c>
      <c r="E2913" s="535" t="n">
        <v>39433</v>
      </c>
      <c r="F2913" s="534" t="n">
        <v>3.413</v>
      </c>
      <c r="G2913" s="554" t="n"/>
    </row>
    <row r="2914">
      <c r="A2914" s="535" t="n">
        <v>35614</v>
      </c>
      <c r="B2914" s="534" t="n">
        <v>12.892</v>
      </c>
      <c r="C2914" s="534" t="n">
        <v>15055.74</v>
      </c>
      <c r="E2914" s="535" t="n">
        <v>39434</v>
      </c>
      <c r="F2914" s="534" t="n">
        <v>3.397</v>
      </c>
      <c r="G2914" s="554" t="n"/>
    </row>
    <row r="2915">
      <c r="A2915" s="535" t="n">
        <v>35615</v>
      </c>
      <c r="B2915" s="534" t="n">
        <v>12.196</v>
      </c>
      <c r="C2915" s="534" t="n">
        <v>14822.97</v>
      </c>
      <c r="E2915" s="535" t="n">
        <v>39435</v>
      </c>
      <c r="F2915" s="534" t="n">
        <v>3.381</v>
      </c>
      <c r="G2915" s="554" t="n"/>
    </row>
    <row r="2916">
      <c r="A2916" s="535" t="n">
        <v>35618</v>
      </c>
      <c r="B2916" s="534" t="n">
        <v>11.934</v>
      </c>
      <c r="C2916" s="534" t="n">
        <v>14858.58</v>
      </c>
      <c r="E2916" s="535" t="n">
        <v>39436</v>
      </c>
      <c r="F2916" s="534" t="n">
        <v>3.301</v>
      </c>
      <c r="G2916" s="554" t="n"/>
    </row>
    <row r="2917">
      <c r="A2917" s="535" t="n">
        <v>35619</v>
      </c>
      <c r="B2917" s="534" t="n">
        <v>11.891</v>
      </c>
      <c r="C2917" s="534" t="n">
        <v>14792.17</v>
      </c>
      <c r="E2917" s="535" t="n">
        <v>39437</v>
      </c>
      <c r="F2917" s="534" t="n">
        <v>3.357</v>
      </c>
      <c r="G2917" s="554" t="n"/>
    </row>
    <row r="2918">
      <c r="A2918" s="535" t="n">
        <v>35620</v>
      </c>
      <c r="B2918" s="534" t="n">
        <v>11.716</v>
      </c>
      <c r="C2918" s="534" t="n">
        <v>14703.73</v>
      </c>
      <c r="E2918" s="535" t="n">
        <v>39440</v>
      </c>
      <c r="F2918" s="534" t="n">
        <v>3.435</v>
      </c>
      <c r="G2918" s="554" t="n"/>
    </row>
    <row r="2919">
      <c r="A2919" s="535" t="n">
        <v>35621</v>
      </c>
      <c r="B2919" s="534" t="n">
        <v>12.065</v>
      </c>
      <c r="C2919" s="534" t="n">
        <v>14839.23</v>
      </c>
      <c r="E2919" s="535" t="n">
        <v>39441</v>
      </c>
      <c r="F2919" s="534" t="n">
        <v>3.435</v>
      </c>
      <c r="G2919" s="554" t="n"/>
    </row>
    <row r="2920">
      <c r="A2920" s="535" t="n">
        <v>35622</v>
      </c>
      <c r="B2920" s="534" t="n">
        <v>12.544</v>
      </c>
      <c r="C2920" s="534" t="n">
        <v>15225.29</v>
      </c>
      <c r="E2920" s="535" t="n">
        <v>39442</v>
      </c>
      <c r="F2920" s="534" t="n">
        <v>3.435</v>
      </c>
      <c r="G2920" s="554" t="n"/>
    </row>
    <row r="2921">
      <c r="A2921" s="535" t="n">
        <v>35625</v>
      </c>
      <c r="B2921" s="534" t="n">
        <v>12.805</v>
      </c>
      <c r="C2921" s="534" t="n">
        <v>15370.94</v>
      </c>
      <c r="E2921" s="535" t="n">
        <v>39443</v>
      </c>
      <c r="F2921" s="534" t="n">
        <v>3.516</v>
      </c>
      <c r="G2921" s="554" t="n"/>
    </row>
    <row r="2922">
      <c r="A2922" s="535" t="n">
        <v>35626</v>
      </c>
      <c r="B2922" s="534" t="n">
        <v>13.284</v>
      </c>
      <c r="C2922" s="534" t="n">
        <v>15487.24</v>
      </c>
      <c r="E2922" s="535" t="n">
        <v>39444</v>
      </c>
      <c r="F2922" s="534" t="n">
        <v>3.537</v>
      </c>
      <c r="G2922" s="554" t="n"/>
    </row>
    <row r="2923">
      <c r="A2923" s="535" t="n">
        <v>35627</v>
      </c>
      <c r="B2923" s="534" t="n">
        <v>12.849</v>
      </c>
      <c r="C2923" s="534" t="n">
        <v>15446.02</v>
      </c>
      <c r="E2923" s="535" t="n">
        <v>39447</v>
      </c>
      <c r="F2923" s="534" t="n">
        <v>3.462</v>
      </c>
      <c r="G2923" s="554" t="n"/>
    </row>
    <row r="2924">
      <c r="A2924" s="535" t="n">
        <v>35628</v>
      </c>
      <c r="B2924" s="534" t="n">
        <v>12.892</v>
      </c>
      <c r="C2924" s="534" t="n">
        <v>15706.29</v>
      </c>
      <c r="E2924" s="535" t="n">
        <v>39448</v>
      </c>
      <c r="F2924" s="534" t="n">
        <v>3.462</v>
      </c>
      <c r="G2924" s="554" t="n"/>
    </row>
    <row r="2925">
      <c r="A2925" s="535" t="n">
        <v>35629</v>
      </c>
      <c r="B2925" s="534" t="n">
        <v>12.892</v>
      </c>
      <c r="C2925" s="534" t="n">
        <v>15570.4</v>
      </c>
      <c r="E2925" s="535" t="n">
        <v>39449</v>
      </c>
      <c r="F2925" s="534" t="n">
        <v>3.456</v>
      </c>
      <c r="G2925" s="554" t="n"/>
    </row>
    <row r="2926">
      <c r="A2926" s="535" t="n">
        <v>35632</v>
      </c>
      <c r="B2926" s="534" t="n">
        <v>12.805</v>
      </c>
      <c r="C2926" s="534" t="n">
        <v>15536.3</v>
      </c>
      <c r="E2926" s="535" t="n">
        <v>39450</v>
      </c>
      <c r="F2926" s="534" t="n">
        <v>3.258</v>
      </c>
      <c r="G2926" s="554" t="n"/>
    </row>
    <row r="2927">
      <c r="A2927" s="535" t="n">
        <v>35633</v>
      </c>
      <c r="B2927" s="534" t="n">
        <v>12.98</v>
      </c>
      <c r="C2927" s="534" t="n">
        <v>15446.78</v>
      </c>
      <c r="E2927" s="535" t="n">
        <v>39451</v>
      </c>
      <c r="F2927" s="534" t="n">
        <v>3.305</v>
      </c>
      <c r="G2927" s="554" t="n"/>
    </row>
    <row r="2928">
      <c r="A2928" s="535" t="n">
        <v>35634</v>
      </c>
      <c r="B2928" s="534" t="n">
        <v>12.936</v>
      </c>
      <c r="C2928" s="534" t="n">
        <v>15738.81</v>
      </c>
      <c r="E2928" s="535" t="n">
        <v>39454</v>
      </c>
      <c r="F2928" s="534" t="n">
        <v>3.223</v>
      </c>
      <c r="G2928" s="554" t="n"/>
    </row>
    <row r="2929">
      <c r="A2929" s="535" t="n">
        <v>35635</v>
      </c>
      <c r="B2929" s="534" t="n">
        <v>12.849</v>
      </c>
      <c r="C2929" s="534" t="n">
        <v>15709.23</v>
      </c>
      <c r="E2929" s="535" t="n">
        <v>39455</v>
      </c>
      <c r="F2929" s="534" t="n">
        <v>3.247</v>
      </c>
      <c r="G2929" s="554" t="n"/>
    </row>
    <row r="2930">
      <c r="A2930" s="535" t="n">
        <v>35636</v>
      </c>
      <c r="B2930" s="534" t="n">
        <v>13.241</v>
      </c>
      <c r="C2930" s="534" t="n">
        <v>15658.12</v>
      </c>
      <c r="E2930" s="535" t="n">
        <v>39456</v>
      </c>
      <c r="F2930" s="534" t="n">
        <v>3.167</v>
      </c>
      <c r="G2930" s="554" t="n"/>
    </row>
    <row r="2931">
      <c r="A2931" s="535" t="n">
        <v>35639</v>
      </c>
      <c r="B2931" s="534" t="n">
        <v>13.154</v>
      </c>
      <c r="C2931" s="534" t="n">
        <v>15666.59</v>
      </c>
      <c r="E2931" s="535" t="n">
        <v>39457</v>
      </c>
      <c r="F2931" s="534" t="n">
        <v>3.129</v>
      </c>
      <c r="G2931" s="554" t="n"/>
    </row>
    <row r="2932">
      <c r="A2932" s="535" t="n">
        <v>35640</v>
      </c>
      <c r="B2932" s="534" t="n">
        <v>13.023</v>
      </c>
      <c r="C2932" s="534" t="n">
        <v>15772.06</v>
      </c>
      <c r="E2932" s="535" t="n">
        <v>39458</v>
      </c>
      <c r="F2932" s="534" t="n">
        <v>3.062</v>
      </c>
      <c r="G2932" s="554" t="n"/>
    </row>
    <row r="2933">
      <c r="A2933" s="535" t="n">
        <v>35641</v>
      </c>
      <c r="B2933" s="534" t="n">
        <v>13.241</v>
      </c>
      <c r="C2933" s="534" t="n">
        <v>15983.18</v>
      </c>
      <c r="E2933" s="535" t="n">
        <v>39461</v>
      </c>
      <c r="F2933" s="534" t="n">
        <v>2.879</v>
      </c>
      <c r="G2933" s="554" t="n"/>
    </row>
    <row r="2934">
      <c r="A2934" s="535" t="n">
        <v>35642</v>
      </c>
      <c r="B2934" s="534" t="n">
        <v>13.197</v>
      </c>
      <c r="C2934" s="534" t="n">
        <v>16365.71</v>
      </c>
      <c r="E2934" s="535" t="n">
        <v>39462</v>
      </c>
      <c r="F2934" s="534" t="n">
        <v>2.83</v>
      </c>
      <c r="G2934" s="554" t="n"/>
    </row>
    <row r="2935">
      <c r="A2935" s="535" t="n">
        <v>35643</v>
      </c>
      <c r="B2935" s="534" t="n">
        <v>12.631</v>
      </c>
      <c r="C2935" s="534" t="n">
        <v>16379.22</v>
      </c>
      <c r="E2935" s="535" t="n">
        <v>39463</v>
      </c>
      <c r="F2935" s="534" t="n">
        <v>2.692</v>
      </c>
      <c r="G2935" s="554" t="n"/>
    </row>
    <row r="2936">
      <c r="A2936" s="535" t="n">
        <v>35646</v>
      </c>
      <c r="B2936" s="534" t="n">
        <v>12.762</v>
      </c>
      <c r="C2936" s="534" t="n">
        <v>16259.59</v>
      </c>
      <c r="E2936" s="535" t="n">
        <v>39464</v>
      </c>
      <c r="F2936" s="534" t="n">
        <v>2.752</v>
      </c>
      <c r="G2936" s="554" t="n"/>
    </row>
    <row r="2937">
      <c r="A2937" s="535" t="n">
        <v>35647</v>
      </c>
      <c r="B2937" s="534" t="n">
        <v>12.37</v>
      </c>
      <c r="C2937" s="534" t="n">
        <v>16371.52</v>
      </c>
      <c r="E2937" s="535" t="n">
        <v>39465</v>
      </c>
      <c r="F2937" s="534" t="n">
        <v>2.667</v>
      </c>
      <c r="G2937" s="554" t="n"/>
    </row>
    <row r="2938">
      <c r="A2938" s="535" t="n">
        <v>35648</v>
      </c>
      <c r="B2938" s="534" t="n">
        <v>12.196</v>
      </c>
      <c r="C2938" s="534" t="n">
        <v>16541.6</v>
      </c>
      <c r="E2938" s="535" t="n">
        <v>39468</v>
      </c>
      <c r="F2938" s="534" t="n">
        <v>2.838</v>
      </c>
      <c r="G2938" s="554" t="n"/>
    </row>
    <row r="2939">
      <c r="A2939" s="535" t="n">
        <v>35649</v>
      </c>
      <c r="B2939" s="534" t="n">
        <v>12.805</v>
      </c>
      <c r="C2939" s="534" t="n">
        <v>16673.27</v>
      </c>
      <c r="E2939" s="535" t="n">
        <v>39469</v>
      </c>
      <c r="F2939" s="534" t="n">
        <v>2.759</v>
      </c>
      <c r="G2939" s="554" t="n"/>
    </row>
    <row r="2940">
      <c r="A2940" s="535" t="n">
        <v>35650</v>
      </c>
      <c r="B2940" s="534" t="n">
        <v>12.108</v>
      </c>
      <c r="C2940" s="534" t="n">
        <v>16647.54</v>
      </c>
      <c r="E2940" s="535" t="n">
        <v>39470</v>
      </c>
      <c r="F2940" s="534" t="n">
        <v>2.665</v>
      </c>
      <c r="G2940" s="554" t="n"/>
    </row>
    <row r="2941">
      <c r="A2941" s="535" t="n">
        <v>35653</v>
      </c>
      <c r="B2941" s="534" t="n">
        <v>12.5</v>
      </c>
      <c r="C2941" s="534" t="n">
        <v>16460.47</v>
      </c>
      <c r="E2941" s="535" t="n">
        <v>39471</v>
      </c>
      <c r="F2941" s="534" t="n">
        <v>2.551</v>
      </c>
      <c r="G2941" s="554" t="n"/>
    </row>
    <row r="2942">
      <c r="A2942" s="535" t="n">
        <v>35654</v>
      </c>
      <c r="B2942" s="534" t="n">
        <v>12.718</v>
      </c>
      <c r="C2942" s="534" t="n">
        <v>16383.41</v>
      </c>
      <c r="E2942" s="535" t="n">
        <v>39472</v>
      </c>
      <c r="F2942" s="534" t="n">
        <v>2.664</v>
      </c>
      <c r="G2942" s="554" t="n"/>
    </row>
    <row r="2943">
      <c r="A2943" s="535" t="n">
        <v>35655</v>
      </c>
      <c r="B2943" s="534" t="n">
        <v>12.37</v>
      </c>
      <c r="C2943" s="534" t="n">
        <v>16482.93</v>
      </c>
      <c r="E2943" s="535" t="n">
        <v>39475</v>
      </c>
      <c r="F2943" s="534" t="n">
        <v>2.561</v>
      </c>
      <c r="G2943" s="554" t="n"/>
    </row>
    <row r="2944">
      <c r="A2944" s="535" t="n">
        <v>35656</v>
      </c>
      <c r="B2944" s="534" t="n">
        <v>12.5</v>
      </c>
      <c r="C2944" s="534" t="n">
        <v>16497.71</v>
      </c>
      <c r="E2944" s="535" t="n">
        <v>39476</v>
      </c>
      <c r="F2944" s="534" t="n">
        <v>2.638</v>
      </c>
      <c r="G2944" s="554" t="n"/>
    </row>
    <row r="2945">
      <c r="A2945" s="535" t="n">
        <v>35657</v>
      </c>
      <c r="B2945" s="534" t="n">
        <v>12.196</v>
      </c>
      <c r="C2945" s="534" t="n">
        <v>16096.88</v>
      </c>
      <c r="E2945" s="535" t="n">
        <v>39477</v>
      </c>
      <c r="F2945" s="534" t="n">
        <v>2.684</v>
      </c>
      <c r="G2945" s="554" t="n"/>
    </row>
    <row r="2946">
      <c r="A2946" s="535" t="n">
        <v>35660</v>
      </c>
      <c r="B2946" s="534" t="n">
        <v>12.196</v>
      </c>
      <c r="C2946" s="534" t="n">
        <v>16096.88</v>
      </c>
      <c r="E2946" s="535" t="n">
        <v>39478</v>
      </c>
      <c r="F2946" s="534" t="n">
        <v>2.674</v>
      </c>
      <c r="G2946" s="554" t="n"/>
    </row>
    <row r="2947">
      <c r="A2947" s="535" t="n">
        <v>35661</v>
      </c>
      <c r="B2947" s="534" t="n">
        <v>11.629</v>
      </c>
      <c r="C2947" s="534" t="n">
        <v>15477.26</v>
      </c>
      <c r="E2947" s="535" t="n">
        <v>39479</v>
      </c>
      <c r="F2947" s="534" t="n">
        <v>2.606</v>
      </c>
      <c r="G2947" s="554" t="n"/>
    </row>
    <row r="2948">
      <c r="A2948" s="535" t="n">
        <v>35662</v>
      </c>
      <c r="B2948" s="534" t="n">
        <v>12.065</v>
      </c>
      <c r="C2948" s="534" t="n">
        <v>15855.67</v>
      </c>
      <c r="E2948" s="535" t="n">
        <v>39482</v>
      </c>
      <c r="F2948" s="534" t="n">
        <v>2.586</v>
      </c>
      <c r="G2948" s="554" t="n"/>
    </row>
    <row r="2949">
      <c r="A2949" s="535" t="n">
        <v>35663</v>
      </c>
      <c r="B2949" s="534" t="n">
        <v>11.586</v>
      </c>
      <c r="C2949" s="534" t="n">
        <v>15654.03</v>
      </c>
      <c r="E2949" s="535" t="n">
        <v>39483</v>
      </c>
      <c r="F2949" s="534" t="n">
        <v>2.612</v>
      </c>
      <c r="G2949" s="554" t="n"/>
    </row>
    <row r="2950">
      <c r="A2950" s="535" t="n">
        <v>35664</v>
      </c>
      <c r="B2950" s="534" t="n">
        <v>11.368</v>
      </c>
      <c r="C2950" s="534" t="n">
        <v>15429.75</v>
      </c>
      <c r="E2950" s="535" t="n">
        <v>39484</v>
      </c>
      <c r="F2950" s="534" t="n">
        <v>2.543</v>
      </c>
      <c r="G2950" s="554" t="n"/>
    </row>
    <row r="2951">
      <c r="A2951" s="535" t="n">
        <v>35667</v>
      </c>
      <c r="B2951" s="534" t="n">
        <v>11.716</v>
      </c>
      <c r="C2951" s="534" t="n">
        <v>15598.88</v>
      </c>
      <c r="E2951" s="535" t="n">
        <v>39485</v>
      </c>
      <c r="F2951" s="534" t="n">
        <v>2.543</v>
      </c>
      <c r="G2951" s="554" t="n"/>
    </row>
    <row r="2952">
      <c r="A2952" s="535" t="n">
        <v>35668</v>
      </c>
      <c r="B2952" s="534" t="n">
        <v>11.586</v>
      </c>
      <c r="C2952" s="534" t="n">
        <v>15547.22</v>
      </c>
      <c r="E2952" s="535" t="n">
        <v>39486</v>
      </c>
      <c r="F2952" s="534" t="n">
        <v>2.543</v>
      </c>
      <c r="G2952" s="554" t="n"/>
    </row>
    <row r="2953">
      <c r="A2953" s="535" t="n">
        <v>35669</v>
      </c>
      <c r="B2953" s="534" t="n">
        <v>11.412</v>
      </c>
      <c r="C2953" s="534" t="n">
        <v>15533.95</v>
      </c>
      <c r="E2953" s="535" t="n">
        <v>39489</v>
      </c>
      <c r="F2953" s="534" t="n">
        <v>2.565</v>
      </c>
      <c r="G2953" s="554" t="n"/>
    </row>
    <row r="2954">
      <c r="A2954" s="535" t="n">
        <v>35670</v>
      </c>
      <c r="B2954" s="534" t="n">
        <v>11.281</v>
      </c>
      <c r="C2954" s="534" t="n">
        <v>14876.1</v>
      </c>
      <c r="E2954" s="535" t="n">
        <v>39490</v>
      </c>
      <c r="F2954" s="534" t="n">
        <v>2.694</v>
      </c>
      <c r="G2954" s="554" t="n"/>
    </row>
    <row r="2955">
      <c r="A2955" s="535" t="n">
        <v>35671</v>
      </c>
      <c r="B2955" s="534" t="n">
        <v>11.02</v>
      </c>
      <c r="C2955" s="534" t="n">
        <v>14135.25</v>
      </c>
      <c r="E2955" s="535" t="n">
        <v>39491</v>
      </c>
      <c r="F2955" s="534" t="n">
        <v>2.725</v>
      </c>
      <c r="G2955" s="554" t="n"/>
    </row>
    <row r="2956">
      <c r="A2956" s="535" t="n">
        <v>35674</v>
      </c>
      <c r="B2956" s="534" t="n">
        <v>10.671</v>
      </c>
      <c r="C2956" s="534" t="n">
        <v>13425.65</v>
      </c>
      <c r="E2956" s="535" t="n">
        <v>39492</v>
      </c>
      <c r="F2956" s="534" t="n">
        <v>2.799</v>
      </c>
      <c r="G2956" s="554" t="n"/>
    </row>
    <row r="2957">
      <c r="A2957" s="535" t="n">
        <v>35675</v>
      </c>
      <c r="B2957" s="534" t="n">
        <v>10.584</v>
      </c>
      <c r="C2957" s="534" t="n">
        <v>13735.33</v>
      </c>
      <c r="E2957" s="535" t="n">
        <v>39493</v>
      </c>
      <c r="F2957" s="534" t="n">
        <v>2.965</v>
      </c>
      <c r="G2957" s="554" t="n"/>
    </row>
    <row r="2958">
      <c r="A2958" s="535" t="n">
        <v>35676</v>
      </c>
      <c r="B2958" s="534" t="n">
        <v>10.889</v>
      </c>
      <c r="C2958" s="534" t="n">
        <v>14713.99</v>
      </c>
      <c r="E2958" s="535" t="n">
        <v>39496</v>
      </c>
      <c r="F2958" s="534" t="n">
        <v>2.958</v>
      </c>
      <c r="G2958" s="554" t="n"/>
    </row>
    <row r="2959">
      <c r="A2959" s="535" t="n">
        <v>35677</v>
      </c>
      <c r="B2959" s="534" t="n">
        <v>10.671</v>
      </c>
      <c r="C2959" s="534" t="n">
        <v>14199.17</v>
      </c>
      <c r="E2959" s="535" t="n">
        <v>39497</v>
      </c>
      <c r="F2959" s="534" t="n">
        <v>3.053</v>
      </c>
      <c r="G2959" s="554" t="n"/>
    </row>
    <row r="2960">
      <c r="A2960" s="535" t="n">
        <v>35678</v>
      </c>
      <c r="B2960" s="534" t="n">
        <v>11.063</v>
      </c>
      <c r="C2960" s="534" t="n">
        <v>14563.55</v>
      </c>
      <c r="E2960" s="535" t="n">
        <v>39498</v>
      </c>
      <c r="F2960" s="534" t="n">
        <v>3.154</v>
      </c>
      <c r="G2960" s="554" t="n"/>
    </row>
    <row r="2961">
      <c r="A2961" s="535" t="n">
        <v>35681</v>
      </c>
      <c r="B2961" s="534" t="n">
        <v>11.673</v>
      </c>
      <c r="C2961" s="534" t="n">
        <v>14806.49</v>
      </c>
      <c r="E2961" s="535" t="n">
        <v>39499</v>
      </c>
      <c r="F2961" s="534" t="n">
        <v>3.177</v>
      </c>
      <c r="G2961" s="554" t="n"/>
    </row>
    <row r="2962">
      <c r="A2962" s="535" t="n">
        <v>35682</v>
      </c>
      <c r="B2962" s="534" t="n">
        <v>11.455</v>
      </c>
      <c r="C2962" s="534" t="n">
        <v>14996.66</v>
      </c>
      <c r="E2962" s="535" t="n">
        <v>39500</v>
      </c>
      <c r="F2962" s="534" t="n">
        <v>3.089</v>
      </c>
      <c r="G2962" s="554" t="n"/>
    </row>
    <row r="2963">
      <c r="A2963" s="535" t="n">
        <v>35683</v>
      </c>
      <c r="B2963" s="534" t="n">
        <v>11.324</v>
      </c>
      <c r="C2963" s="534" t="n">
        <v>14805.44</v>
      </c>
      <c r="E2963" s="535" t="n">
        <v>39503</v>
      </c>
      <c r="F2963" s="534" t="n">
        <v>3.187</v>
      </c>
      <c r="G2963" s="554" t="n"/>
    </row>
    <row r="2964">
      <c r="A2964" s="535" t="n">
        <v>35684</v>
      </c>
      <c r="B2964" s="534" t="n">
        <v>10.671</v>
      </c>
      <c r="C2964" s="534" t="n">
        <v>14308.3</v>
      </c>
      <c r="E2964" s="535" t="n">
        <v>39504</v>
      </c>
      <c r="F2964" s="534" t="n">
        <v>3.237</v>
      </c>
      <c r="G2964" s="554" t="n"/>
    </row>
    <row r="2965">
      <c r="A2965" s="535" t="n">
        <v>35685</v>
      </c>
      <c r="B2965" s="534" t="n">
        <v>11.063</v>
      </c>
      <c r="C2965" s="534" t="n">
        <v>14470.46</v>
      </c>
      <c r="E2965" s="535" t="n">
        <v>39505</v>
      </c>
      <c r="F2965" s="534" t="n">
        <v>3.155</v>
      </c>
      <c r="G2965" s="554" t="n"/>
    </row>
    <row r="2966">
      <c r="A2966" s="535" t="n">
        <v>35688</v>
      </c>
      <c r="B2966" s="534" t="n">
        <v>10.932</v>
      </c>
      <c r="C2966" s="534" t="n">
        <v>14630.65</v>
      </c>
      <c r="E2966" s="535" t="n">
        <v>39506</v>
      </c>
      <c r="F2966" s="534" t="n">
        <v>3.064</v>
      </c>
      <c r="G2966" s="554" t="n"/>
    </row>
    <row r="2967">
      <c r="A2967" s="535" t="n">
        <v>35689</v>
      </c>
      <c r="B2967" s="534" t="n">
        <v>10.976</v>
      </c>
      <c r="C2967" s="534" t="n">
        <v>14411.19</v>
      </c>
      <c r="E2967" s="535" t="n">
        <v>39507</v>
      </c>
      <c r="F2967" s="534" t="n">
        <v>2.903</v>
      </c>
      <c r="G2967" s="554" t="n"/>
    </row>
    <row r="2968">
      <c r="A2968" s="535" t="n">
        <v>35690</v>
      </c>
      <c r="B2968" s="534" t="n">
        <v>10.976</v>
      </c>
      <c r="C2968" s="534" t="n">
        <v>14411.19</v>
      </c>
      <c r="E2968" s="535" t="n">
        <v>39510</v>
      </c>
      <c r="F2968" s="534" t="n">
        <v>2.766</v>
      </c>
      <c r="G2968" s="554" t="n"/>
    </row>
    <row r="2969">
      <c r="A2969" s="535" t="n">
        <v>35691</v>
      </c>
      <c r="B2969" s="534" t="n">
        <v>11.412</v>
      </c>
      <c r="C2969" s="534" t="n">
        <v>14419.45</v>
      </c>
      <c r="E2969" s="535" t="n">
        <v>39511</v>
      </c>
      <c r="F2969" s="534" t="n">
        <v>2.788</v>
      </c>
      <c r="G2969" s="554" t="n"/>
    </row>
    <row r="2970">
      <c r="A2970" s="535" t="n">
        <v>35692</v>
      </c>
      <c r="B2970" s="534" t="n">
        <v>10.889</v>
      </c>
      <c r="C2970" s="534" t="n">
        <v>14384.13</v>
      </c>
      <c r="E2970" s="535" t="n">
        <v>39512</v>
      </c>
      <c r="F2970" s="534" t="n">
        <v>2.793</v>
      </c>
      <c r="G2970" s="554" t="n"/>
    </row>
    <row r="2971">
      <c r="A2971" s="535" t="n">
        <v>35695</v>
      </c>
      <c r="B2971" s="534" t="n">
        <v>10.584</v>
      </c>
      <c r="C2971" s="534" t="n">
        <v>14108.08</v>
      </c>
      <c r="E2971" s="535" t="n">
        <v>39513</v>
      </c>
      <c r="F2971" s="534" t="n">
        <v>2.834</v>
      </c>
      <c r="G2971" s="554" t="n"/>
    </row>
    <row r="2972">
      <c r="A2972" s="535" t="n">
        <v>35696</v>
      </c>
      <c r="B2972" s="534" t="n">
        <v>10.323</v>
      </c>
      <c r="C2972" s="534" t="n">
        <v>14094.38</v>
      </c>
      <c r="E2972" s="535" t="n">
        <v>39514</v>
      </c>
      <c r="F2972" s="534" t="n">
        <v>2.734</v>
      </c>
      <c r="G2972" s="554" t="n"/>
    </row>
    <row r="2973">
      <c r="A2973" s="535" t="n">
        <v>35697</v>
      </c>
      <c r="B2973" s="534" t="n">
        <v>9.930999999999999</v>
      </c>
      <c r="C2973" s="534" t="n">
        <v>14205.44</v>
      </c>
      <c r="E2973" s="535" t="n">
        <v>39517</v>
      </c>
      <c r="F2973" s="534" t="n">
        <v>2.69</v>
      </c>
      <c r="G2973" s="554" t="n"/>
    </row>
    <row r="2974">
      <c r="A2974" s="535" t="n">
        <v>35698</v>
      </c>
      <c r="B2974" s="534" t="n">
        <v>10.366</v>
      </c>
      <c r="C2974" s="534" t="n">
        <v>14636.59</v>
      </c>
      <c r="E2974" s="535" t="n">
        <v>39518</v>
      </c>
      <c r="F2974" s="534" t="n">
        <v>2.663</v>
      </c>
      <c r="G2974" s="554" t="n"/>
    </row>
    <row r="2975">
      <c r="A2975" s="535" t="n">
        <v>35699</v>
      </c>
      <c r="B2975" s="534" t="n">
        <v>10.236</v>
      </c>
      <c r="C2975" s="534" t="n">
        <v>14710.87</v>
      </c>
      <c r="E2975" s="535" t="n">
        <v>39519</v>
      </c>
      <c r="F2975" s="534" t="n">
        <v>2.666</v>
      </c>
      <c r="G2975" s="554" t="n"/>
    </row>
    <row r="2976">
      <c r="A2976" s="535" t="n">
        <v>35702</v>
      </c>
      <c r="B2976" s="534" t="n">
        <v>10.148</v>
      </c>
      <c r="C2976" s="534" t="n">
        <v>14864.37</v>
      </c>
      <c r="E2976" s="535" t="n">
        <v>39520</v>
      </c>
      <c r="F2976" s="534" t="n">
        <v>2.551</v>
      </c>
      <c r="G2976" s="554" t="n"/>
    </row>
    <row r="2977">
      <c r="A2977" s="535" t="n">
        <v>35703</v>
      </c>
      <c r="B2977" s="534" t="n">
        <v>9.452</v>
      </c>
      <c r="C2977" s="534" t="n">
        <v>15049.3</v>
      </c>
      <c r="E2977" s="535" t="n">
        <v>39521</v>
      </c>
      <c r="F2977" s="534" t="n">
        <v>2.555</v>
      </c>
      <c r="G2977" s="554" t="n"/>
    </row>
    <row r="2978">
      <c r="A2978" s="535" t="n">
        <v>35704</v>
      </c>
      <c r="B2978" s="534" t="n">
        <v>9.452</v>
      </c>
      <c r="C2978" s="534" t="n">
        <v>15049.3</v>
      </c>
      <c r="E2978" s="535" t="n">
        <v>39524</v>
      </c>
      <c r="F2978" s="534" t="n">
        <v>2.417</v>
      </c>
      <c r="G2978" s="554" t="n"/>
    </row>
    <row r="2979">
      <c r="A2979" s="535" t="n">
        <v>35705</v>
      </c>
      <c r="B2979" s="534" t="n">
        <v>9.452</v>
      </c>
      <c r="C2979" s="534" t="n">
        <v>15049.3</v>
      </c>
      <c r="E2979" s="535" t="n">
        <v>39525</v>
      </c>
      <c r="F2979" s="534" t="n">
        <v>2.388</v>
      </c>
    </row>
    <row r="2980">
      <c r="A2980" s="535" t="n">
        <v>35706</v>
      </c>
      <c r="B2980" s="534" t="n">
        <v>9.147</v>
      </c>
      <c r="C2980" s="534" t="n">
        <v>15128.02</v>
      </c>
      <c r="E2980" s="535" t="n">
        <v>39526</v>
      </c>
      <c r="F2980" s="534" t="n">
        <v>2.517</v>
      </c>
    </row>
    <row r="2981">
      <c r="A2981" s="535" t="n">
        <v>35709</v>
      </c>
      <c r="B2981" s="534" t="n">
        <v>9.103</v>
      </c>
      <c r="C2981" s="534" t="n">
        <v>14776.78</v>
      </c>
      <c r="E2981" s="535" t="n">
        <v>39527</v>
      </c>
      <c r="F2981" s="534" t="n">
        <v>2.337</v>
      </c>
    </row>
    <row r="2982">
      <c r="A2982" s="535" t="n">
        <v>35710</v>
      </c>
      <c r="B2982" s="534" t="n">
        <v>9.103</v>
      </c>
      <c r="C2982" s="534" t="n">
        <v>14810.76</v>
      </c>
      <c r="E2982" s="535" t="n">
        <v>39528</v>
      </c>
      <c r="F2982" s="534" t="n">
        <v>2.337</v>
      </c>
    </row>
    <row r="2983">
      <c r="A2983" s="535" t="n">
        <v>35711</v>
      </c>
      <c r="B2983" s="534" t="n">
        <v>8.842000000000001</v>
      </c>
      <c r="C2983" s="534" t="n">
        <v>14838.52</v>
      </c>
      <c r="E2983" s="535" t="n">
        <v>39531</v>
      </c>
      <c r="F2983" s="534" t="n">
        <v>2.337</v>
      </c>
    </row>
    <row r="2984">
      <c r="A2984" s="535" t="n">
        <v>35712</v>
      </c>
      <c r="B2984" s="534" t="n">
        <v>8.537000000000001</v>
      </c>
      <c r="C2984" s="534" t="n">
        <v>14273.12</v>
      </c>
      <c r="E2984" s="535" t="n">
        <v>39532</v>
      </c>
      <c r="F2984" s="534" t="n">
        <v>2.516</v>
      </c>
    </row>
    <row r="2985">
      <c r="A2985" s="535" t="n">
        <v>35713</v>
      </c>
      <c r="B2985" s="534" t="n">
        <v>8.537000000000001</v>
      </c>
      <c r="C2985" s="534" t="n">
        <v>14273.12</v>
      </c>
      <c r="E2985" s="535" t="n">
        <v>39533</v>
      </c>
      <c r="F2985" s="534" t="n">
        <v>2.526</v>
      </c>
    </row>
    <row r="2986">
      <c r="A2986" s="535" t="n">
        <v>35716</v>
      </c>
      <c r="B2986" s="534" t="n">
        <v>7.796</v>
      </c>
      <c r="C2986" s="534" t="n">
        <v>14072.9</v>
      </c>
      <c r="E2986" s="535" t="n">
        <v>39534</v>
      </c>
      <c r="F2986" s="534" t="n">
        <v>2.551</v>
      </c>
    </row>
    <row r="2987">
      <c r="A2987" s="535" t="n">
        <v>35717</v>
      </c>
      <c r="B2987" s="534" t="n">
        <v>7.579</v>
      </c>
      <c r="C2987" s="534" t="n">
        <v>13836.56</v>
      </c>
      <c r="E2987" s="535" t="n">
        <v>39535</v>
      </c>
      <c r="F2987" s="534" t="n">
        <v>2.669</v>
      </c>
    </row>
    <row r="2988">
      <c r="A2988" s="535" t="n">
        <v>35718</v>
      </c>
      <c r="B2988" s="534" t="n">
        <v>7.579</v>
      </c>
      <c r="C2988" s="534" t="n">
        <v>13384.24</v>
      </c>
      <c r="E2988" s="535" t="n">
        <v>39538</v>
      </c>
      <c r="F2988" s="534" t="n">
        <v>2.628</v>
      </c>
    </row>
    <row r="2989">
      <c r="A2989" s="535" t="n">
        <v>35719</v>
      </c>
      <c r="B2989" s="534" t="n">
        <v>8.406000000000001</v>
      </c>
      <c r="C2989" s="534" t="n">
        <v>13567.26</v>
      </c>
      <c r="E2989" s="535" t="n">
        <v>39539</v>
      </c>
      <c r="F2989" s="534" t="n">
        <v>2.626</v>
      </c>
    </row>
    <row r="2990">
      <c r="A2990" s="535" t="n">
        <v>35720</v>
      </c>
      <c r="B2990" s="534" t="n">
        <v>8.58</v>
      </c>
      <c r="C2990" s="534" t="n">
        <v>13601.01</v>
      </c>
      <c r="E2990" s="535" t="n">
        <v>39540</v>
      </c>
      <c r="F2990" s="534" t="n">
        <v>2.679</v>
      </c>
    </row>
    <row r="2991">
      <c r="A2991" s="535" t="n">
        <v>35723</v>
      </c>
      <c r="B2991" s="534" t="n">
        <v>7.971</v>
      </c>
      <c r="C2991" s="534" t="n">
        <v>12970.88</v>
      </c>
      <c r="E2991" s="535" t="n">
        <v>39541</v>
      </c>
      <c r="F2991" s="534" t="n">
        <v>2.717</v>
      </c>
    </row>
    <row r="2992">
      <c r="A2992" s="535" t="n">
        <v>35724</v>
      </c>
      <c r="B2992" s="534" t="n">
        <v>7.709</v>
      </c>
      <c r="C2992" s="534" t="n">
        <v>12403.1</v>
      </c>
      <c r="E2992" s="535" t="n">
        <v>39542</v>
      </c>
      <c r="F2992" s="534" t="n">
        <v>2.717</v>
      </c>
    </row>
    <row r="2993">
      <c r="A2993" s="535" t="n">
        <v>35725</v>
      </c>
      <c r="B2993" s="534" t="n">
        <v>7.579</v>
      </c>
      <c r="C2993" s="534" t="n">
        <v>11637.77</v>
      </c>
      <c r="E2993" s="535" t="n">
        <v>39545</v>
      </c>
      <c r="F2993" s="534" t="n">
        <v>2.671</v>
      </c>
    </row>
    <row r="2994">
      <c r="A2994" s="535" t="n">
        <v>35726</v>
      </c>
      <c r="B2994" s="534" t="n">
        <v>7.056</v>
      </c>
      <c r="C2994" s="534" t="n">
        <v>10426.3</v>
      </c>
      <c r="E2994" s="535" t="n">
        <v>39546</v>
      </c>
      <c r="F2994" s="534" t="n">
        <v>2.61</v>
      </c>
    </row>
    <row r="2995">
      <c r="A2995" s="535" t="n">
        <v>35727</v>
      </c>
      <c r="B2995" s="534" t="n">
        <v>7.23</v>
      </c>
      <c r="C2995" s="534" t="n">
        <v>11144.34</v>
      </c>
      <c r="E2995" s="535" t="n">
        <v>39547</v>
      </c>
      <c r="F2995" s="534" t="n">
        <v>2.553</v>
      </c>
    </row>
    <row r="2996">
      <c r="A2996" s="535" t="n">
        <v>35730</v>
      </c>
      <c r="B2996" s="534" t="n">
        <v>7.012</v>
      </c>
      <c r="C2996" s="534" t="n">
        <v>10498.2</v>
      </c>
      <c r="E2996" s="535" t="n">
        <v>39548</v>
      </c>
      <c r="F2996" s="534" t="n">
        <v>2.486</v>
      </c>
    </row>
    <row r="2997">
      <c r="A2997" s="535" t="n">
        <v>35731</v>
      </c>
      <c r="B2997" s="534" t="n">
        <v>6.708</v>
      </c>
      <c r="C2997" s="534" t="n">
        <v>9059.889999999999</v>
      </c>
      <c r="E2997" s="535" t="n">
        <v>39549</v>
      </c>
      <c r="F2997" s="534" t="n">
        <v>2.545</v>
      </c>
    </row>
    <row r="2998">
      <c r="A2998" s="535" t="n">
        <v>35732</v>
      </c>
      <c r="B2998" s="534" t="n">
        <v>7.317</v>
      </c>
      <c r="C2998" s="534" t="n">
        <v>10765.3</v>
      </c>
      <c r="E2998" s="535" t="n">
        <v>39552</v>
      </c>
      <c r="F2998" s="534" t="n">
        <v>2.493</v>
      </c>
    </row>
    <row r="2999">
      <c r="A2999" s="535" t="n">
        <v>35733</v>
      </c>
      <c r="B2999" s="534" t="n">
        <v>6.795</v>
      </c>
      <c r="C2999" s="534" t="n">
        <v>10362.86</v>
      </c>
      <c r="E2999" s="535" t="n">
        <v>39553</v>
      </c>
      <c r="F2999" s="534" t="n">
        <v>2.583</v>
      </c>
    </row>
    <row r="3000">
      <c r="A3000" s="535" t="n">
        <v>35734</v>
      </c>
      <c r="B3000" s="534" t="n">
        <v>7.1</v>
      </c>
      <c r="C3000" s="534" t="n">
        <v>10623.78</v>
      </c>
      <c r="E3000" s="535" t="n">
        <v>39554</v>
      </c>
      <c r="F3000" s="534" t="n">
        <v>2.63</v>
      </c>
    </row>
    <row r="3001">
      <c r="A3001" s="535" t="n">
        <v>35737</v>
      </c>
      <c r="B3001" s="534" t="n">
        <v>7.579</v>
      </c>
      <c r="C3001" s="534" t="n">
        <v>11255.11</v>
      </c>
      <c r="E3001" s="535" t="n">
        <v>39555</v>
      </c>
      <c r="F3001" s="534" t="n">
        <v>2.691</v>
      </c>
    </row>
    <row r="3002">
      <c r="A3002" s="535" t="n">
        <v>35738</v>
      </c>
      <c r="B3002" s="534" t="n">
        <v>7.361</v>
      </c>
      <c r="C3002" s="534" t="n">
        <v>10780.78</v>
      </c>
      <c r="E3002" s="535" t="n">
        <v>39556</v>
      </c>
      <c r="F3002" s="534" t="n">
        <v>2.732</v>
      </c>
    </row>
    <row r="3003">
      <c r="A3003" s="535" t="n">
        <v>35739</v>
      </c>
      <c r="B3003" s="534" t="n">
        <v>7.23</v>
      </c>
      <c r="C3003" s="534" t="n">
        <v>10681.75</v>
      </c>
      <c r="E3003" s="535" t="n">
        <v>39559</v>
      </c>
      <c r="F3003" s="534" t="n">
        <v>2.699</v>
      </c>
    </row>
    <row r="3004">
      <c r="A3004" s="535" t="n">
        <v>35740</v>
      </c>
      <c r="B3004" s="534" t="n">
        <v>6.925</v>
      </c>
      <c r="C3004" s="534" t="n">
        <v>10412.56</v>
      </c>
      <c r="E3004" s="535" t="n">
        <v>39560</v>
      </c>
      <c r="F3004" s="534" t="n">
        <v>2.682</v>
      </c>
    </row>
    <row r="3005">
      <c r="A3005" s="535" t="n">
        <v>35741</v>
      </c>
      <c r="B3005" s="534" t="n">
        <v>6.49</v>
      </c>
      <c r="C3005" s="534" t="n">
        <v>10104.5</v>
      </c>
      <c r="E3005" s="535" t="n">
        <v>39561</v>
      </c>
      <c r="F3005" s="534" t="n">
        <v>2.606</v>
      </c>
    </row>
    <row r="3006">
      <c r="A3006" s="535" t="n">
        <v>35744</v>
      </c>
      <c r="B3006" s="534" t="n">
        <v>6.533</v>
      </c>
      <c r="C3006" s="534" t="n">
        <v>9992.84</v>
      </c>
      <c r="E3006" s="535" t="n">
        <v>39562</v>
      </c>
      <c r="F3006" s="534" t="n">
        <v>2.651</v>
      </c>
    </row>
    <row r="3007">
      <c r="A3007" s="535" t="n">
        <v>35745</v>
      </c>
      <c r="B3007" s="534" t="n">
        <v>6.403</v>
      </c>
      <c r="C3007" s="534" t="n">
        <v>10004.13</v>
      </c>
      <c r="E3007" s="535" t="n">
        <v>39563</v>
      </c>
      <c r="F3007" s="534" t="n">
        <v>2.802</v>
      </c>
    </row>
    <row r="3008">
      <c r="A3008" s="535" t="n">
        <v>35746</v>
      </c>
      <c r="B3008" s="534" t="n">
        <v>6.098</v>
      </c>
      <c r="C3008" s="534" t="n">
        <v>9607.91</v>
      </c>
      <c r="E3008" s="535" t="n">
        <v>39566</v>
      </c>
      <c r="F3008" s="534" t="n">
        <v>2.862</v>
      </c>
    </row>
    <row r="3009">
      <c r="A3009" s="535" t="n">
        <v>35747</v>
      </c>
      <c r="B3009" s="534" t="n">
        <v>6.185</v>
      </c>
      <c r="C3009" s="534" t="n">
        <v>9720.780000000001</v>
      </c>
      <c r="E3009" s="535" t="n">
        <v>39567</v>
      </c>
      <c r="F3009" s="534" t="n">
        <v>2.803</v>
      </c>
    </row>
    <row r="3010">
      <c r="A3010" s="535" t="n">
        <v>35748</v>
      </c>
      <c r="B3010" s="534" t="n">
        <v>6.316</v>
      </c>
      <c r="C3010" s="534" t="n">
        <v>9957.33</v>
      </c>
      <c r="E3010" s="535" t="n">
        <v>39568</v>
      </c>
      <c r="F3010" s="534" t="n">
        <v>2.786</v>
      </c>
    </row>
    <row r="3011">
      <c r="A3011" s="535" t="n">
        <v>35751</v>
      </c>
      <c r="B3011" s="534" t="n">
        <v>6.316</v>
      </c>
      <c r="C3011" s="534" t="n">
        <v>10419.75</v>
      </c>
      <c r="E3011" s="535" t="n">
        <v>39569</v>
      </c>
      <c r="F3011" s="534" t="n">
        <v>2.786</v>
      </c>
    </row>
    <row r="3012">
      <c r="A3012" s="535" t="n">
        <v>35752</v>
      </c>
      <c r="B3012" s="534" t="n">
        <v>6.316</v>
      </c>
      <c r="C3012" s="534" t="n">
        <v>10245.18</v>
      </c>
      <c r="E3012" s="535" t="n">
        <v>39570</v>
      </c>
      <c r="F3012" s="534" t="n">
        <v>2.749</v>
      </c>
    </row>
    <row r="3013">
      <c r="A3013" s="535" t="n">
        <v>35753</v>
      </c>
      <c r="B3013" s="534" t="n">
        <v>6.011</v>
      </c>
      <c r="C3013" s="534" t="n">
        <v>10154.36</v>
      </c>
      <c r="E3013" s="535" t="n">
        <v>39573</v>
      </c>
      <c r="F3013" s="534" t="n">
        <v>2.84</v>
      </c>
    </row>
    <row r="3014">
      <c r="A3014" s="535" t="n">
        <v>35754</v>
      </c>
      <c r="B3014" s="534" t="n">
        <v>5.967</v>
      </c>
      <c r="C3014" s="534" t="n">
        <v>10050.68</v>
      </c>
      <c r="E3014" s="535" t="n">
        <v>39574</v>
      </c>
      <c r="F3014" s="534" t="n">
        <v>2.841</v>
      </c>
    </row>
    <row r="3015">
      <c r="A3015" s="535" t="n">
        <v>35755</v>
      </c>
      <c r="B3015" s="534" t="n">
        <v>6.272</v>
      </c>
      <c r="C3015" s="534" t="n">
        <v>10548.2</v>
      </c>
      <c r="E3015" s="535" t="n">
        <v>39575</v>
      </c>
      <c r="F3015" s="534" t="n">
        <v>2.919</v>
      </c>
    </row>
    <row r="3016">
      <c r="A3016" s="535" t="n">
        <v>35758</v>
      </c>
      <c r="B3016" s="534" t="n">
        <v>6.098</v>
      </c>
      <c r="C3016" s="534" t="n">
        <v>10586.36</v>
      </c>
      <c r="E3016" s="535" t="n">
        <v>39576</v>
      </c>
      <c r="F3016" s="534" t="n">
        <v>2.892</v>
      </c>
    </row>
    <row r="3017">
      <c r="A3017" s="535" t="n">
        <v>35759</v>
      </c>
      <c r="B3017" s="534" t="n">
        <v>5.967</v>
      </c>
      <c r="C3017" s="534" t="n">
        <v>10325.56</v>
      </c>
      <c r="E3017" s="535" t="n">
        <v>39577</v>
      </c>
      <c r="F3017" s="534" t="n">
        <v>2.834</v>
      </c>
    </row>
    <row r="3018">
      <c r="A3018" s="535" t="n">
        <v>35760</v>
      </c>
      <c r="B3018" s="534" t="n">
        <v>6.098</v>
      </c>
      <c r="C3018" s="534" t="n">
        <v>10590.11</v>
      </c>
      <c r="E3018" s="535" t="n">
        <v>39580</v>
      </c>
      <c r="F3018" s="534" t="n">
        <v>2.834</v>
      </c>
    </row>
    <row r="3019">
      <c r="A3019" s="535" t="n">
        <v>35761</v>
      </c>
      <c r="B3019" s="534" t="n">
        <v>5.924</v>
      </c>
      <c r="C3019" s="534" t="n">
        <v>10583.1</v>
      </c>
      <c r="E3019" s="535" t="n">
        <v>39581</v>
      </c>
      <c r="F3019" s="534" t="n">
        <v>2.893</v>
      </c>
    </row>
    <row r="3020">
      <c r="A3020" s="535" t="n">
        <v>35762</v>
      </c>
      <c r="B3020" s="534" t="n">
        <v>5.88</v>
      </c>
      <c r="C3020" s="534" t="n">
        <v>10526.92</v>
      </c>
      <c r="E3020" s="535" t="n">
        <v>39582</v>
      </c>
      <c r="F3020" s="534" t="n">
        <v>3.085</v>
      </c>
    </row>
    <row r="3021">
      <c r="A3021" s="535" t="n">
        <v>35765</v>
      </c>
      <c r="B3021" s="534" t="n">
        <v>5.924</v>
      </c>
      <c r="C3021" s="534" t="n">
        <v>10750.88</v>
      </c>
      <c r="E3021" s="535" t="n">
        <v>39583</v>
      </c>
      <c r="F3021" s="534" t="n">
        <v>3.046</v>
      </c>
    </row>
    <row r="3022">
      <c r="A3022" s="535" t="n">
        <v>35766</v>
      </c>
      <c r="B3022" s="534" t="n">
        <v>6.098</v>
      </c>
      <c r="C3022" s="534" t="n">
        <v>11216.35</v>
      </c>
      <c r="E3022" s="535" t="n">
        <v>39584</v>
      </c>
      <c r="F3022" s="534" t="n">
        <v>2.951</v>
      </c>
    </row>
    <row r="3023">
      <c r="A3023" s="535" t="n">
        <v>35767</v>
      </c>
      <c r="B3023" s="534" t="n">
        <v>6.011</v>
      </c>
      <c r="C3023" s="534" t="n">
        <v>11207.58</v>
      </c>
      <c r="E3023" s="535" t="n">
        <v>39587</v>
      </c>
      <c r="F3023" s="534" t="n">
        <v>2.924</v>
      </c>
    </row>
    <row r="3024">
      <c r="A3024" s="535" t="n">
        <v>35768</v>
      </c>
      <c r="B3024" s="534" t="n">
        <v>6.098</v>
      </c>
      <c r="C3024" s="534" t="n">
        <v>11474.94</v>
      </c>
      <c r="E3024" s="535" t="n">
        <v>39588</v>
      </c>
      <c r="F3024" s="534" t="n">
        <v>2.923</v>
      </c>
    </row>
    <row r="3025">
      <c r="A3025" s="535" t="n">
        <v>35769</v>
      </c>
      <c r="B3025" s="534" t="n">
        <v>6.228</v>
      </c>
      <c r="C3025" s="534" t="n">
        <v>11527.6</v>
      </c>
      <c r="E3025" s="535" t="n">
        <v>39589</v>
      </c>
      <c r="F3025" s="534" t="n">
        <v>2.908</v>
      </c>
    </row>
    <row r="3026">
      <c r="A3026" s="535" t="n">
        <v>35772</v>
      </c>
      <c r="B3026" s="534" t="n">
        <v>6.185</v>
      </c>
      <c r="C3026" s="534" t="n">
        <v>11722.94</v>
      </c>
      <c r="E3026" s="535" t="n">
        <v>39590</v>
      </c>
      <c r="F3026" s="534" t="n">
        <v>2.931</v>
      </c>
    </row>
    <row r="3027">
      <c r="A3027" s="535" t="n">
        <v>35773</v>
      </c>
      <c r="B3027" s="534" t="n">
        <v>6.228</v>
      </c>
      <c r="C3027" s="534" t="n">
        <v>11490.66</v>
      </c>
      <c r="E3027" s="535" t="n">
        <v>39591</v>
      </c>
      <c r="F3027" s="534" t="n">
        <v>3.021</v>
      </c>
    </row>
    <row r="3028">
      <c r="A3028" s="535" t="n">
        <v>35774</v>
      </c>
      <c r="B3028" s="534" t="n">
        <v>6.098</v>
      </c>
      <c r="C3028" s="534" t="n">
        <v>11022.41</v>
      </c>
      <c r="E3028" s="535" t="n">
        <v>39594</v>
      </c>
      <c r="F3028" s="534" t="n">
        <v>2.947</v>
      </c>
    </row>
    <row r="3029">
      <c r="A3029" s="535" t="n">
        <v>35775</v>
      </c>
      <c r="B3029" s="534" t="n">
        <v>5.749</v>
      </c>
      <c r="C3029" s="534" t="n">
        <v>10420.22</v>
      </c>
      <c r="E3029" s="535" t="n">
        <v>39595</v>
      </c>
      <c r="F3029" s="534" t="n">
        <v>3.109</v>
      </c>
    </row>
    <row r="3030">
      <c r="A3030" s="535" t="n">
        <v>35776</v>
      </c>
      <c r="B3030" s="534" t="n">
        <v>5.793</v>
      </c>
      <c r="C3030" s="534" t="n">
        <v>10614.66</v>
      </c>
      <c r="E3030" s="535" t="n">
        <v>39596</v>
      </c>
      <c r="F3030" s="534" t="n">
        <v>3.147</v>
      </c>
    </row>
    <row r="3031">
      <c r="A3031" s="535" t="n">
        <v>35779</v>
      </c>
      <c r="B3031" s="534" t="n">
        <v>5.27</v>
      </c>
      <c r="C3031" s="534" t="n">
        <v>10435.15</v>
      </c>
      <c r="E3031" s="535" t="n">
        <v>39597</v>
      </c>
      <c r="F3031" s="534" t="n">
        <v>3.247</v>
      </c>
    </row>
    <row r="3032">
      <c r="A3032" s="535" t="n">
        <v>35780</v>
      </c>
      <c r="B3032" s="534" t="n">
        <v>5.096</v>
      </c>
      <c r="C3032" s="534" t="n">
        <v>10346.38</v>
      </c>
      <c r="E3032" s="535" t="n">
        <v>39598</v>
      </c>
      <c r="F3032" s="534" t="n">
        <v>3.268</v>
      </c>
    </row>
    <row r="3033">
      <c r="A3033" s="535" t="n">
        <v>35781</v>
      </c>
      <c r="B3033" s="534" t="n">
        <v>5.052</v>
      </c>
      <c r="C3033" s="534" t="n">
        <v>10692.7</v>
      </c>
      <c r="E3033" s="535" t="n">
        <v>39601</v>
      </c>
      <c r="F3033" s="534" t="n">
        <v>3.242</v>
      </c>
    </row>
    <row r="3034">
      <c r="A3034" s="535" t="n">
        <v>35782</v>
      </c>
      <c r="B3034" s="534" t="n">
        <v>5.183</v>
      </c>
      <c r="C3034" s="534" t="n">
        <v>10754.11</v>
      </c>
      <c r="E3034" s="535" t="n">
        <v>39602</v>
      </c>
      <c r="F3034" s="534" t="n">
        <v>3.159</v>
      </c>
    </row>
    <row r="3035">
      <c r="A3035" s="535" t="n">
        <v>35783</v>
      </c>
      <c r="B3035" s="534" t="n">
        <v>5.052</v>
      </c>
      <c r="C3035" s="534" t="n">
        <v>10405.81</v>
      </c>
      <c r="E3035" s="535" t="n">
        <v>39603</v>
      </c>
      <c r="F3035" s="534" t="n">
        <v>3.201</v>
      </c>
    </row>
    <row r="3036">
      <c r="A3036" s="535" t="n">
        <v>35786</v>
      </c>
      <c r="B3036" s="534" t="n">
        <v>4.748</v>
      </c>
      <c r="C3036" s="534" t="n">
        <v>10172.47</v>
      </c>
      <c r="E3036" s="535" t="n">
        <v>39604</v>
      </c>
      <c r="F3036" s="534" t="n">
        <v>3.296</v>
      </c>
    </row>
    <row r="3037">
      <c r="A3037" s="535" t="n">
        <v>35787</v>
      </c>
      <c r="B3037" s="534" t="n">
        <v>4.748</v>
      </c>
      <c r="C3037" s="534" t="n">
        <v>10368.1</v>
      </c>
      <c r="E3037" s="535" t="n">
        <v>39605</v>
      </c>
      <c r="F3037" s="534" t="n">
        <v>3.401</v>
      </c>
    </row>
    <row r="3038">
      <c r="A3038" s="535" t="n">
        <v>35788</v>
      </c>
      <c r="B3038" s="534" t="n">
        <v>5.009</v>
      </c>
      <c r="C3038" s="534" t="n">
        <v>10342.44</v>
      </c>
      <c r="E3038" s="535" t="n">
        <v>39608</v>
      </c>
      <c r="F3038" s="534" t="n">
        <v>3.401</v>
      </c>
    </row>
    <row r="3039">
      <c r="A3039" s="535" t="n">
        <v>35789</v>
      </c>
      <c r="B3039" s="534" t="n">
        <v>5.009</v>
      </c>
      <c r="C3039" s="534" t="n">
        <v>10342.44</v>
      </c>
      <c r="E3039" s="535" t="n">
        <v>39609</v>
      </c>
      <c r="F3039" s="534" t="n">
        <v>3.555</v>
      </c>
    </row>
    <row r="3040">
      <c r="A3040" s="535" t="n">
        <v>35790</v>
      </c>
      <c r="B3040" s="534" t="n">
        <v>5.009</v>
      </c>
      <c r="C3040" s="534" t="n">
        <v>10342.44</v>
      </c>
      <c r="E3040" s="535" t="n">
        <v>39610</v>
      </c>
      <c r="F3040" s="534" t="n">
        <v>3.585</v>
      </c>
    </row>
    <row r="3041">
      <c r="A3041" s="535" t="n">
        <v>35793</v>
      </c>
      <c r="B3041" s="534" t="n">
        <v>5.14</v>
      </c>
      <c r="C3041" s="534" t="n">
        <v>10502.99</v>
      </c>
      <c r="E3041" s="535" t="n">
        <v>39611</v>
      </c>
      <c r="F3041" s="534" t="n">
        <v>3.638</v>
      </c>
    </row>
    <row r="3042">
      <c r="A3042" s="535" t="n">
        <v>35794</v>
      </c>
      <c r="B3042" s="534" t="n">
        <v>5.227</v>
      </c>
      <c r="C3042" s="534" t="n">
        <v>10755.21</v>
      </c>
      <c r="E3042" s="535" t="n">
        <v>39612</v>
      </c>
      <c r="F3042" s="534" t="n">
        <v>3.915</v>
      </c>
    </row>
    <row r="3043">
      <c r="A3043" s="535" t="n">
        <v>35795</v>
      </c>
      <c r="B3043" s="534" t="n">
        <v>5.488</v>
      </c>
      <c r="C3043" s="534" t="n">
        <v>10722.76</v>
      </c>
      <c r="E3043" s="535" t="n">
        <v>39615</v>
      </c>
      <c r="F3043" s="534" t="n">
        <v>3.888</v>
      </c>
    </row>
    <row r="3044">
      <c r="A3044" s="535" t="n">
        <v>35796</v>
      </c>
      <c r="B3044" s="534" t="n">
        <v>5.488</v>
      </c>
      <c r="C3044" s="534" t="n">
        <v>10722.76</v>
      </c>
      <c r="E3044" s="535" t="n">
        <v>39616</v>
      </c>
      <c r="F3044" s="534" t="n">
        <v>3.816</v>
      </c>
    </row>
    <row r="3045">
      <c r="A3045" s="535" t="n">
        <v>35797</v>
      </c>
      <c r="B3045" s="534" t="n">
        <v>5.14</v>
      </c>
      <c r="C3045" s="534" t="n">
        <v>10680.57</v>
      </c>
      <c r="E3045" s="535" t="n">
        <v>39617</v>
      </c>
      <c r="F3045" s="534" t="n">
        <v>3.845</v>
      </c>
    </row>
    <row r="3046">
      <c r="A3046" s="535" t="n">
        <v>35800</v>
      </c>
      <c r="B3046" s="534" t="n">
        <v>5.052</v>
      </c>
      <c r="C3046" s="534" t="n">
        <v>10303.54</v>
      </c>
      <c r="E3046" s="535" t="n">
        <v>39618</v>
      </c>
      <c r="F3046" s="534" t="n">
        <v>3.783</v>
      </c>
    </row>
    <row r="3047">
      <c r="A3047" s="535" t="n">
        <v>35801</v>
      </c>
      <c r="B3047" s="534" t="n">
        <v>4.791</v>
      </c>
      <c r="C3047" s="534" t="n">
        <v>10135.51</v>
      </c>
      <c r="E3047" s="535" t="n">
        <v>39619</v>
      </c>
      <c r="F3047" s="534" t="n">
        <v>3.823</v>
      </c>
    </row>
    <row r="3048">
      <c r="A3048" s="535" t="n">
        <v>35802</v>
      </c>
      <c r="B3048" s="534" t="n">
        <v>4.486</v>
      </c>
      <c r="C3048" s="534" t="n">
        <v>9538.610000000001</v>
      </c>
      <c r="E3048" s="535" t="n">
        <v>39622</v>
      </c>
      <c r="F3048" s="534" t="n">
        <v>3.773</v>
      </c>
    </row>
    <row r="3049">
      <c r="A3049" s="535" t="n">
        <v>35803</v>
      </c>
      <c r="B3049" s="534" t="n">
        <v>4.66</v>
      </c>
      <c r="C3049" s="534" t="n">
        <v>9254.530000000001</v>
      </c>
      <c r="E3049" s="535" t="n">
        <v>39623</v>
      </c>
      <c r="F3049" s="534" t="n">
        <v>3.81</v>
      </c>
    </row>
    <row r="3050">
      <c r="A3050" s="535" t="n">
        <v>35804</v>
      </c>
      <c r="B3050" s="534" t="n">
        <v>4.704</v>
      </c>
      <c r="C3050" s="534" t="n">
        <v>8894.639999999999</v>
      </c>
      <c r="E3050" s="535" t="n">
        <v>39624</v>
      </c>
      <c r="F3050" s="534" t="n">
        <v>3.778</v>
      </c>
    </row>
    <row r="3051">
      <c r="A3051" s="535" t="n">
        <v>35807</v>
      </c>
      <c r="B3051" s="534" t="n">
        <v>4.965</v>
      </c>
      <c r="C3051" s="534" t="n">
        <v>8121.06</v>
      </c>
      <c r="E3051" s="535" t="n">
        <v>39625</v>
      </c>
      <c r="F3051" s="534" t="n">
        <v>3.696</v>
      </c>
    </row>
    <row r="3052">
      <c r="A3052" s="535" t="n">
        <v>35808</v>
      </c>
      <c r="B3052" s="534" t="n">
        <v>5.14</v>
      </c>
      <c r="C3052" s="534" t="n">
        <v>8720</v>
      </c>
      <c r="E3052" s="535" t="n">
        <v>39626</v>
      </c>
      <c r="F3052" s="534" t="n">
        <v>3.589</v>
      </c>
    </row>
    <row r="3053">
      <c r="A3053" s="535" t="n">
        <v>35809</v>
      </c>
      <c r="B3053" s="534" t="n">
        <v>5.227</v>
      </c>
      <c r="C3053" s="534" t="n">
        <v>9226.549999999999</v>
      </c>
      <c r="E3053" s="535" t="n">
        <v>39629</v>
      </c>
      <c r="F3053" s="534" t="n">
        <v>3.525</v>
      </c>
    </row>
    <row r="3054">
      <c r="A3054" s="535" t="n">
        <v>35810</v>
      </c>
      <c r="B3054" s="534" t="n">
        <v>5.227</v>
      </c>
      <c r="C3054" s="534" t="n">
        <v>8578.98</v>
      </c>
      <c r="E3054" s="535" t="n">
        <v>39630</v>
      </c>
      <c r="F3054" s="534" t="n">
        <v>3.525</v>
      </c>
    </row>
    <row r="3055">
      <c r="A3055" s="535" t="n">
        <v>35811</v>
      </c>
      <c r="B3055" s="534" t="n">
        <v>5.227</v>
      </c>
      <c r="C3055" s="534" t="n">
        <v>8900.040000000001</v>
      </c>
      <c r="E3055" s="535" t="n">
        <v>39631</v>
      </c>
      <c r="F3055" s="534" t="n">
        <v>3.608</v>
      </c>
    </row>
    <row r="3056">
      <c r="A3056" s="535" t="n">
        <v>35814</v>
      </c>
      <c r="B3056" s="534" t="n">
        <v>5.314</v>
      </c>
      <c r="C3056" s="534" t="n">
        <v>9400.42</v>
      </c>
      <c r="E3056" s="535" t="n">
        <v>39632</v>
      </c>
      <c r="F3056" s="534" t="n">
        <v>3.638</v>
      </c>
    </row>
    <row r="3057">
      <c r="A3057" s="535" t="n">
        <v>35815</v>
      </c>
      <c r="B3057" s="534" t="n">
        <v>5.619</v>
      </c>
      <c r="C3057" s="534" t="n">
        <v>9433.700000000001</v>
      </c>
      <c r="E3057" s="535" t="n">
        <v>39633</v>
      </c>
      <c r="F3057" s="534" t="n">
        <v>3.651</v>
      </c>
    </row>
    <row r="3058">
      <c r="A3058" s="535" t="n">
        <v>35816</v>
      </c>
      <c r="B3058" s="534" t="n">
        <v>5.662</v>
      </c>
      <c r="C3058" s="534" t="n">
        <v>9246.799999999999</v>
      </c>
      <c r="E3058" s="535" t="n">
        <v>39636</v>
      </c>
      <c r="F3058" s="534" t="n">
        <v>3.668</v>
      </c>
    </row>
    <row r="3059">
      <c r="A3059" s="535" t="n">
        <v>35817</v>
      </c>
      <c r="B3059" s="534" t="n">
        <v>5.401</v>
      </c>
      <c r="C3059" s="534" t="n">
        <v>8883.73</v>
      </c>
      <c r="E3059" s="535" t="n">
        <v>39637</v>
      </c>
      <c r="F3059" s="534" t="n">
        <v>3.589</v>
      </c>
    </row>
    <row r="3060">
      <c r="A3060" s="535" t="n">
        <v>35818</v>
      </c>
      <c r="B3060" s="534" t="n">
        <v>5.488</v>
      </c>
      <c r="C3060" s="534" t="n">
        <v>8920.200000000001</v>
      </c>
      <c r="E3060" s="535" t="n">
        <v>39638</v>
      </c>
      <c r="F3060" s="534" t="n">
        <v>3.576</v>
      </c>
    </row>
    <row r="3061">
      <c r="A3061" s="535" t="n">
        <v>35821</v>
      </c>
      <c r="B3061" s="534" t="n">
        <v>5.924</v>
      </c>
      <c r="C3061" s="534" t="n">
        <v>8973.860000000001</v>
      </c>
      <c r="E3061" s="535" t="n">
        <v>39639</v>
      </c>
      <c r="F3061" s="534" t="n">
        <v>3.496</v>
      </c>
    </row>
    <row r="3062">
      <c r="A3062" s="535" t="n">
        <v>35822</v>
      </c>
      <c r="B3062" s="534" t="n">
        <v>6.185</v>
      </c>
      <c r="C3062" s="534" t="n">
        <v>9252.360000000001</v>
      </c>
      <c r="E3062" s="535" t="n">
        <v>39640</v>
      </c>
      <c r="F3062" s="534" t="n">
        <v>3.619</v>
      </c>
    </row>
    <row r="3063">
      <c r="A3063" s="535" t="n">
        <v>35823</v>
      </c>
      <c r="B3063" s="534" t="n">
        <v>6.185</v>
      </c>
      <c r="C3063" s="534" t="n">
        <v>9252.360000000001</v>
      </c>
      <c r="E3063" s="535" t="n">
        <v>39643</v>
      </c>
      <c r="F3063" s="534" t="n">
        <v>3.752</v>
      </c>
    </row>
    <row r="3064">
      <c r="A3064" s="535" t="n">
        <v>35824</v>
      </c>
      <c r="B3064" s="534" t="n">
        <v>6.185</v>
      </c>
      <c r="C3064" s="534" t="n">
        <v>9252.360000000001</v>
      </c>
      <c r="E3064" s="535" t="n">
        <v>39644</v>
      </c>
      <c r="F3064" s="534" t="n">
        <v>3.569</v>
      </c>
    </row>
    <row r="3065">
      <c r="A3065" s="535" t="n">
        <v>35825</v>
      </c>
      <c r="B3065" s="534" t="n">
        <v>6.185</v>
      </c>
      <c r="C3065" s="534" t="n">
        <v>9252.360000000001</v>
      </c>
      <c r="E3065" s="535" t="n">
        <v>39645</v>
      </c>
      <c r="F3065" s="534" t="n">
        <v>3.527</v>
      </c>
    </row>
    <row r="3066">
      <c r="A3066" s="535" t="n">
        <v>35828</v>
      </c>
      <c r="B3066" s="534" t="n">
        <v>7.317</v>
      </c>
      <c r="C3066" s="534" t="n">
        <v>10578.6</v>
      </c>
      <c r="E3066" s="535" t="n">
        <v>39646</v>
      </c>
      <c r="F3066" s="534" t="n">
        <v>3.593</v>
      </c>
    </row>
    <row r="3067">
      <c r="A3067" s="535" t="n">
        <v>35829</v>
      </c>
      <c r="B3067" s="534" t="n">
        <v>7.187</v>
      </c>
      <c r="C3067" s="534" t="n">
        <v>10525.51</v>
      </c>
      <c r="E3067" s="535" t="n">
        <v>39647</v>
      </c>
      <c r="F3067" s="534" t="n">
        <v>3.581</v>
      </c>
    </row>
    <row r="3068">
      <c r="A3068" s="535" t="n">
        <v>35830</v>
      </c>
      <c r="B3068" s="534" t="n">
        <v>6.577</v>
      </c>
      <c r="C3068" s="534" t="n">
        <v>10302.61</v>
      </c>
      <c r="E3068" s="535" t="n">
        <v>39650</v>
      </c>
      <c r="F3068" s="534" t="n">
        <v>3.745</v>
      </c>
    </row>
    <row r="3069">
      <c r="A3069" s="535" t="n">
        <v>35831</v>
      </c>
      <c r="B3069" s="534" t="n">
        <v>6.708</v>
      </c>
      <c r="C3069" s="534" t="n">
        <v>10442.13</v>
      </c>
      <c r="E3069" s="535" t="n">
        <v>39651</v>
      </c>
      <c r="F3069" s="534" t="n">
        <v>3.705</v>
      </c>
    </row>
    <row r="3070">
      <c r="A3070" s="535" t="n">
        <v>35832</v>
      </c>
      <c r="B3070" s="534" t="n">
        <v>6.62</v>
      </c>
      <c r="C3070" s="534" t="n">
        <v>10485.86</v>
      </c>
      <c r="E3070" s="535" t="n">
        <v>39652</v>
      </c>
      <c r="F3070" s="534" t="n">
        <v>3.799</v>
      </c>
    </row>
    <row r="3071">
      <c r="A3071" s="535" t="n">
        <v>35835</v>
      </c>
      <c r="B3071" s="534" t="n">
        <v>6.925</v>
      </c>
      <c r="C3071" s="534" t="n">
        <v>10873.15</v>
      </c>
      <c r="E3071" s="535" t="n">
        <v>39653</v>
      </c>
      <c r="F3071" s="534" t="n">
        <v>3.741</v>
      </c>
    </row>
    <row r="3072">
      <c r="A3072" s="535" t="n">
        <v>35836</v>
      </c>
      <c r="B3072" s="534" t="n">
        <v>6.795</v>
      </c>
      <c r="C3072" s="534" t="n">
        <v>10859.67</v>
      </c>
      <c r="E3072" s="535" t="n">
        <v>39654</v>
      </c>
      <c r="F3072" s="534" t="n">
        <v>3.685</v>
      </c>
    </row>
    <row r="3073">
      <c r="A3073" s="535" t="n">
        <v>35837</v>
      </c>
      <c r="B3073" s="534" t="n">
        <v>6.969</v>
      </c>
      <c r="C3073" s="534" t="n">
        <v>10793.41</v>
      </c>
      <c r="E3073" s="535" t="n">
        <v>39657</v>
      </c>
      <c r="F3073" s="534" t="n">
        <v>3.766</v>
      </c>
    </row>
    <row r="3074">
      <c r="A3074" s="535" t="n">
        <v>35838</v>
      </c>
      <c r="B3074" s="534" t="n">
        <v>6.925</v>
      </c>
      <c r="C3074" s="534" t="n">
        <v>10620.03</v>
      </c>
      <c r="E3074" s="535" t="n">
        <v>39658</v>
      </c>
      <c r="F3074" s="534" t="n">
        <v>3.71</v>
      </c>
    </row>
    <row r="3075">
      <c r="A3075" s="535" t="n">
        <v>35839</v>
      </c>
      <c r="B3075" s="534" t="n">
        <v>6.403</v>
      </c>
      <c r="C3075" s="534" t="n">
        <v>10274.6</v>
      </c>
      <c r="E3075" s="535" t="n">
        <v>39659</v>
      </c>
      <c r="F3075" s="534" t="n">
        <v>3.738</v>
      </c>
    </row>
    <row r="3076">
      <c r="A3076" s="535" t="n">
        <v>35842</v>
      </c>
      <c r="B3076" s="534" t="n">
        <v>6.098</v>
      </c>
      <c r="C3076" s="534" t="n">
        <v>10124.03</v>
      </c>
      <c r="E3076" s="535" t="n">
        <v>39660</v>
      </c>
      <c r="F3076" s="534" t="n">
        <v>3.688</v>
      </c>
    </row>
    <row r="3077">
      <c r="A3077" s="535" t="n">
        <v>35843</v>
      </c>
      <c r="B3077" s="534" t="n">
        <v>6.185</v>
      </c>
      <c r="C3077" s="534" t="n">
        <v>10232.03</v>
      </c>
      <c r="E3077" s="535" t="n">
        <v>39661</v>
      </c>
      <c r="F3077" s="534" t="n">
        <v>3.633</v>
      </c>
    </row>
    <row r="3078">
      <c r="A3078" s="535" t="n">
        <v>35844</v>
      </c>
      <c r="B3078" s="534" t="n">
        <v>5.836</v>
      </c>
      <c r="C3078" s="534" t="n">
        <v>10670.95</v>
      </c>
      <c r="E3078" s="535" t="n">
        <v>39664</v>
      </c>
      <c r="F3078" s="534" t="n">
        <v>3.609</v>
      </c>
    </row>
    <row r="3079">
      <c r="A3079" s="535" t="n">
        <v>35845</v>
      </c>
      <c r="B3079" s="534" t="n">
        <v>5.924</v>
      </c>
      <c r="C3079" s="534" t="n">
        <v>10581.27</v>
      </c>
      <c r="E3079" s="535" t="n">
        <v>39665</v>
      </c>
      <c r="F3079" s="534" t="n">
        <v>3.593</v>
      </c>
    </row>
    <row r="3080">
      <c r="A3080" s="535" t="n">
        <v>35846</v>
      </c>
      <c r="B3080" s="534" t="n">
        <v>5.967</v>
      </c>
      <c r="C3080" s="534" t="n">
        <v>10599.79</v>
      </c>
      <c r="E3080" s="535" t="n">
        <v>39666</v>
      </c>
      <c r="F3080" s="534" t="n">
        <v>3.593</v>
      </c>
    </row>
    <row r="3081">
      <c r="A3081" s="535" t="n">
        <v>35849</v>
      </c>
      <c r="B3081" s="534" t="n">
        <v>6.011</v>
      </c>
      <c r="C3081" s="534" t="n">
        <v>10685.21</v>
      </c>
      <c r="E3081" s="535" t="n">
        <v>39667</v>
      </c>
      <c r="F3081" s="534" t="n">
        <v>3.509</v>
      </c>
    </row>
    <row r="3082">
      <c r="A3082" s="535" t="n">
        <v>35850</v>
      </c>
      <c r="B3082" s="534" t="n">
        <v>6.011</v>
      </c>
      <c r="C3082" s="534" t="n">
        <v>10683.34</v>
      </c>
      <c r="E3082" s="535" t="n">
        <v>39668</v>
      </c>
      <c r="F3082" s="534" t="n">
        <v>3.464</v>
      </c>
    </row>
    <row r="3083">
      <c r="A3083" s="535" t="n">
        <v>35851</v>
      </c>
      <c r="B3083" s="534" t="n">
        <v>5.924</v>
      </c>
      <c r="C3083" s="534" t="n">
        <v>10886.74</v>
      </c>
      <c r="E3083" s="535" t="n">
        <v>39671</v>
      </c>
      <c r="F3083" s="534" t="n">
        <v>3.355</v>
      </c>
    </row>
    <row r="3084">
      <c r="A3084" s="535" t="n">
        <v>35852</v>
      </c>
      <c r="B3084" s="534" t="n">
        <v>6.054</v>
      </c>
      <c r="C3084" s="534" t="n">
        <v>11224.78</v>
      </c>
      <c r="E3084" s="535" t="n">
        <v>39672</v>
      </c>
      <c r="F3084" s="534" t="n">
        <v>3.416</v>
      </c>
    </row>
    <row r="3085">
      <c r="A3085" s="535" t="n">
        <v>35853</v>
      </c>
      <c r="B3085" s="534" t="n">
        <v>5.793</v>
      </c>
      <c r="C3085" s="534" t="n">
        <v>11480.69</v>
      </c>
      <c r="E3085" s="535" t="n">
        <v>39673</v>
      </c>
      <c r="F3085" s="534" t="n">
        <v>3.339</v>
      </c>
    </row>
    <row r="3086">
      <c r="A3086" s="535" t="n">
        <v>35856</v>
      </c>
      <c r="B3086" s="534" t="n">
        <v>6.054</v>
      </c>
      <c r="C3086" s="534" t="n">
        <v>11318.84</v>
      </c>
      <c r="E3086" s="535" t="n">
        <v>39674</v>
      </c>
      <c r="F3086" s="534" t="n">
        <v>3.237</v>
      </c>
    </row>
    <row r="3087">
      <c r="A3087" s="535" t="n">
        <v>35857</v>
      </c>
      <c r="B3087" s="534" t="n">
        <v>6.228</v>
      </c>
      <c r="C3087" s="534" t="n">
        <v>11425.46</v>
      </c>
      <c r="E3087" s="535" t="n">
        <v>39675</v>
      </c>
      <c r="F3087" s="534" t="n">
        <v>3.263</v>
      </c>
    </row>
    <row r="3088">
      <c r="A3088" s="535" t="n">
        <v>35858</v>
      </c>
      <c r="B3088" s="534" t="n">
        <v>6.011</v>
      </c>
      <c r="C3088" s="534" t="n">
        <v>11350.81</v>
      </c>
      <c r="E3088" s="535" t="n">
        <v>39678</v>
      </c>
      <c r="F3088" s="534" t="n">
        <v>3.234</v>
      </c>
    </row>
    <row r="3089">
      <c r="A3089" s="535" t="n">
        <v>35859</v>
      </c>
      <c r="B3089" s="534" t="n">
        <v>5.793</v>
      </c>
      <c r="C3089" s="534" t="n">
        <v>10803.68</v>
      </c>
      <c r="E3089" s="535" t="n">
        <v>39679</v>
      </c>
      <c r="F3089" s="534" t="n">
        <v>3.204</v>
      </c>
    </row>
    <row r="3090">
      <c r="A3090" s="535" t="n">
        <v>35860</v>
      </c>
      <c r="B3090" s="534" t="n">
        <v>5.662</v>
      </c>
      <c r="C3090" s="534" t="n">
        <v>10919.53</v>
      </c>
      <c r="E3090" s="535" t="n">
        <v>39680</v>
      </c>
      <c r="F3090" s="534" t="n">
        <v>3.161</v>
      </c>
    </row>
    <row r="3091">
      <c r="A3091" s="535" t="n">
        <v>35863</v>
      </c>
      <c r="B3091" s="534" t="n">
        <v>5.532</v>
      </c>
      <c r="C3091" s="534" t="n">
        <v>10994.09</v>
      </c>
      <c r="E3091" s="535" t="n">
        <v>39681</v>
      </c>
      <c r="F3091" s="534" t="n">
        <v>3.067</v>
      </c>
    </row>
    <row r="3092">
      <c r="A3092" s="535" t="n">
        <v>35864</v>
      </c>
      <c r="B3092" s="534" t="n">
        <v>5.532</v>
      </c>
      <c r="C3092" s="534" t="n">
        <v>10898.57</v>
      </c>
      <c r="E3092" s="535" t="n">
        <v>39682</v>
      </c>
      <c r="F3092" s="534" t="n">
        <v>3.067</v>
      </c>
    </row>
    <row r="3093">
      <c r="A3093" s="535" t="n">
        <v>35865</v>
      </c>
      <c r="B3093" s="534" t="n">
        <v>5.662</v>
      </c>
      <c r="C3093" s="534" t="n">
        <v>11118.85</v>
      </c>
      <c r="E3093" s="535" t="n">
        <v>39685</v>
      </c>
      <c r="F3093" s="534" t="n">
        <v>3.168</v>
      </c>
    </row>
    <row r="3094">
      <c r="A3094" s="535" t="n">
        <v>35866</v>
      </c>
      <c r="B3094" s="534" t="n">
        <v>5.532</v>
      </c>
      <c r="C3094" s="534" t="n">
        <v>10902.47</v>
      </c>
      <c r="E3094" s="535" t="n">
        <v>39686</v>
      </c>
      <c r="F3094" s="534" t="n">
        <v>3.091</v>
      </c>
    </row>
    <row r="3095">
      <c r="A3095" s="535" t="n">
        <v>35867</v>
      </c>
      <c r="B3095" s="534" t="n">
        <v>5.619</v>
      </c>
      <c r="C3095" s="534" t="n">
        <v>11057.03</v>
      </c>
      <c r="E3095" s="535" t="n">
        <v>39687</v>
      </c>
      <c r="F3095" s="534" t="n">
        <v>3.072</v>
      </c>
    </row>
    <row r="3096">
      <c r="A3096" s="535" t="n">
        <v>35870</v>
      </c>
      <c r="B3096" s="534" t="n">
        <v>5.662</v>
      </c>
      <c r="C3096" s="534" t="n">
        <v>11181.54</v>
      </c>
      <c r="E3096" s="535" t="n">
        <v>39688</v>
      </c>
      <c r="F3096" s="534" t="n">
        <v>3.052</v>
      </c>
    </row>
    <row r="3097">
      <c r="A3097" s="535" t="n">
        <v>35871</v>
      </c>
      <c r="B3097" s="534" t="n">
        <v>5.662</v>
      </c>
      <c r="C3097" s="534" t="n">
        <v>11255.54</v>
      </c>
      <c r="E3097" s="535" t="n">
        <v>39689</v>
      </c>
      <c r="F3097" s="534" t="n">
        <v>3.019</v>
      </c>
    </row>
    <row r="3098">
      <c r="A3098" s="535" t="n">
        <v>35872</v>
      </c>
      <c r="B3098" s="534" t="n">
        <v>5.662</v>
      </c>
      <c r="C3098" s="534" t="n">
        <v>11121.65</v>
      </c>
      <c r="E3098" s="535" t="n">
        <v>39692</v>
      </c>
      <c r="F3098" s="534" t="n">
        <v>3.019</v>
      </c>
    </row>
    <row r="3099">
      <c r="A3099" s="535" t="n">
        <v>35873</v>
      </c>
      <c r="B3099" s="534" t="n">
        <v>5.793</v>
      </c>
      <c r="C3099" s="534" t="n">
        <v>11445.04</v>
      </c>
      <c r="E3099" s="535" t="n">
        <v>39693</v>
      </c>
      <c r="F3099" s="534" t="n">
        <v>3.049</v>
      </c>
    </row>
    <row r="3100">
      <c r="A3100" s="535" t="n">
        <v>35874</v>
      </c>
      <c r="B3100" s="534" t="n">
        <v>5.88</v>
      </c>
      <c r="C3100" s="534" t="n">
        <v>11564.23</v>
      </c>
      <c r="E3100" s="535" t="n">
        <v>39694</v>
      </c>
      <c r="F3100" s="534" t="n">
        <v>3.048</v>
      </c>
    </row>
    <row r="3101">
      <c r="A3101" s="535" t="n">
        <v>35877</v>
      </c>
      <c r="B3101" s="534" t="n">
        <v>5.793</v>
      </c>
      <c r="C3101" s="534" t="n">
        <v>11594.33</v>
      </c>
      <c r="E3101" s="535" t="n">
        <v>39695</v>
      </c>
      <c r="F3101" s="534" t="n">
        <v>3.016</v>
      </c>
    </row>
    <row r="3102">
      <c r="A3102" s="535" t="n">
        <v>35878</v>
      </c>
      <c r="B3102" s="534" t="n">
        <v>5.924</v>
      </c>
      <c r="C3102" s="534" t="n">
        <v>11645.43</v>
      </c>
      <c r="E3102" s="535" t="n">
        <v>39696</v>
      </c>
      <c r="F3102" s="534" t="n">
        <v>2.907</v>
      </c>
    </row>
    <row r="3103">
      <c r="A3103" s="535" t="n">
        <v>35879</v>
      </c>
      <c r="B3103" s="534" t="n">
        <v>6.272</v>
      </c>
      <c r="C3103" s="534" t="n">
        <v>11810.63</v>
      </c>
      <c r="E3103" s="535" t="n">
        <v>39699</v>
      </c>
      <c r="F3103" s="534" t="n">
        <v>3.015</v>
      </c>
    </row>
    <row r="3104">
      <c r="A3104" s="535" t="n">
        <v>35880</v>
      </c>
      <c r="B3104" s="534" t="n">
        <v>6.185</v>
      </c>
      <c r="C3104" s="534" t="n">
        <v>11757.88</v>
      </c>
      <c r="E3104" s="535" t="n">
        <v>39700</v>
      </c>
      <c r="F3104" s="534" t="n">
        <v>2.874</v>
      </c>
    </row>
    <row r="3105">
      <c r="A3105" s="535" t="n">
        <v>35881</v>
      </c>
      <c r="B3105" s="534" t="n">
        <v>6.141</v>
      </c>
      <c r="C3105" s="534" t="n">
        <v>11735.5</v>
      </c>
      <c r="E3105" s="535" t="n">
        <v>39701</v>
      </c>
      <c r="F3105" s="534" t="n">
        <v>2.863</v>
      </c>
    </row>
    <row r="3106">
      <c r="A3106" s="535" t="n">
        <v>35884</v>
      </c>
      <c r="B3106" s="534" t="n">
        <v>6.272</v>
      </c>
      <c r="C3106" s="534" t="n">
        <v>11503.76</v>
      </c>
      <c r="E3106" s="535" t="n">
        <v>39702</v>
      </c>
      <c r="F3106" s="534" t="n">
        <v>2.828</v>
      </c>
    </row>
    <row r="3107">
      <c r="A3107" s="535" t="n">
        <v>35885</v>
      </c>
      <c r="B3107" s="534" t="n">
        <v>6.577</v>
      </c>
      <c r="C3107" s="534" t="n">
        <v>11518.68</v>
      </c>
      <c r="E3107" s="535" t="n">
        <v>39703</v>
      </c>
      <c r="F3107" s="534" t="n">
        <v>2.823</v>
      </c>
    </row>
    <row r="3108">
      <c r="A3108" s="535" t="n">
        <v>35886</v>
      </c>
      <c r="B3108" s="534" t="n">
        <v>6.403</v>
      </c>
      <c r="C3108" s="534" t="n">
        <v>11331.42</v>
      </c>
      <c r="E3108" s="535" t="n">
        <v>39706</v>
      </c>
      <c r="F3108" s="534" t="n">
        <v>2.823</v>
      </c>
    </row>
    <row r="3109">
      <c r="A3109" s="535" t="n">
        <v>35887</v>
      </c>
      <c r="B3109" s="534" t="n">
        <v>6.011</v>
      </c>
      <c r="C3109" s="534" t="n">
        <v>11189.71</v>
      </c>
      <c r="E3109" s="535" t="n">
        <v>39707</v>
      </c>
      <c r="F3109" s="534" t="n">
        <v>2.528</v>
      </c>
    </row>
    <row r="3110">
      <c r="A3110" s="535" t="n">
        <v>35888</v>
      </c>
      <c r="B3110" s="534" t="n">
        <v>6.098</v>
      </c>
      <c r="C3110" s="534" t="n">
        <v>11052.68</v>
      </c>
      <c r="E3110" s="535" t="n">
        <v>39708</v>
      </c>
      <c r="F3110" s="534" t="n">
        <v>2.679</v>
      </c>
    </row>
    <row r="3111">
      <c r="A3111" s="535" t="n">
        <v>35891</v>
      </c>
      <c r="B3111" s="534" t="n">
        <v>6.098</v>
      </c>
      <c r="C3111" s="534" t="n">
        <v>11052.68</v>
      </c>
      <c r="E3111" s="535" t="n">
        <v>39709</v>
      </c>
      <c r="F3111" s="534" t="n">
        <v>2.649</v>
      </c>
    </row>
    <row r="3112">
      <c r="A3112" s="535" t="n">
        <v>35892</v>
      </c>
      <c r="B3112" s="534" t="n">
        <v>6.098</v>
      </c>
      <c r="C3112" s="534" t="n">
        <v>11049.43</v>
      </c>
      <c r="E3112" s="535" t="n">
        <v>39710</v>
      </c>
      <c r="F3112" s="534" t="n">
        <v>2.752</v>
      </c>
    </row>
    <row r="3113">
      <c r="A3113" s="535" t="n">
        <v>35893</v>
      </c>
      <c r="B3113" s="534" t="n">
        <v>6.228</v>
      </c>
      <c r="C3113" s="534" t="n">
        <v>11314.46</v>
      </c>
      <c r="E3113" s="535" t="n">
        <v>39713</v>
      </c>
      <c r="F3113" s="534" t="n">
        <v>2.986</v>
      </c>
    </row>
    <row r="3114">
      <c r="A3114" s="535" t="n">
        <v>35894</v>
      </c>
      <c r="B3114" s="534" t="n">
        <v>6.141</v>
      </c>
      <c r="C3114" s="534" t="n">
        <v>11342.02</v>
      </c>
      <c r="E3114" s="535" t="n">
        <v>39714</v>
      </c>
      <c r="F3114" s="534" t="n">
        <v>3.096</v>
      </c>
    </row>
    <row r="3115">
      <c r="A3115" s="535" t="n">
        <v>35895</v>
      </c>
      <c r="B3115" s="534" t="n">
        <v>6.141</v>
      </c>
      <c r="C3115" s="534" t="n">
        <v>11342.02</v>
      </c>
      <c r="E3115" s="535" t="n">
        <v>39715</v>
      </c>
      <c r="F3115" s="534" t="n">
        <v>3.17</v>
      </c>
    </row>
    <row r="3116">
      <c r="A3116" s="535" t="n">
        <v>35898</v>
      </c>
      <c r="B3116" s="534" t="n">
        <v>6.141</v>
      </c>
      <c r="C3116" s="534" t="n">
        <v>11342.02</v>
      </c>
      <c r="E3116" s="535" t="n">
        <v>39716</v>
      </c>
      <c r="F3116" s="534" t="n">
        <v>3.231</v>
      </c>
    </row>
    <row r="3117">
      <c r="A3117" s="535" t="n">
        <v>35899</v>
      </c>
      <c r="B3117" s="534" t="n">
        <v>5.924</v>
      </c>
      <c r="C3117" s="534" t="n">
        <v>11420.34</v>
      </c>
      <c r="E3117" s="535" t="n">
        <v>39717</v>
      </c>
      <c r="F3117" s="534" t="n">
        <v>3.124</v>
      </c>
    </row>
    <row r="3118">
      <c r="A3118" s="535" t="n">
        <v>35900</v>
      </c>
      <c r="B3118" s="534" t="n">
        <v>6.011</v>
      </c>
      <c r="C3118" s="534" t="n">
        <v>11371.06</v>
      </c>
      <c r="E3118" s="535" t="n">
        <v>39720</v>
      </c>
      <c r="F3118" s="534" t="n">
        <v>3.164</v>
      </c>
    </row>
    <row r="3119">
      <c r="A3119" s="535" t="n">
        <v>35901</v>
      </c>
      <c r="B3119" s="534" t="n">
        <v>5.924</v>
      </c>
      <c r="C3119" s="534" t="n">
        <v>11187.78</v>
      </c>
      <c r="E3119" s="535" t="n">
        <v>39721</v>
      </c>
      <c r="F3119" s="534" t="n">
        <v>2.912</v>
      </c>
    </row>
    <row r="3120">
      <c r="A3120" s="535" t="n">
        <v>35902</v>
      </c>
      <c r="B3120" s="534" t="n">
        <v>6.054</v>
      </c>
      <c r="C3120" s="534" t="n">
        <v>11001.32</v>
      </c>
      <c r="E3120" s="535" t="n">
        <v>39722</v>
      </c>
      <c r="F3120" s="534" t="n">
        <v>2.912</v>
      </c>
    </row>
    <row r="3121">
      <c r="A3121" s="535" t="n">
        <v>35905</v>
      </c>
      <c r="B3121" s="534" t="n">
        <v>6.49</v>
      </c>
      <c r="C3121" s="534" t="n">
        <v>11151.63</v>
      </c>
      <c r="E3121" s="535" t="n">
        <v>39723</v>
      </c>
      <c r="F3121" s="534" t="n">
        <v>2.963</v>
      </c>
    </row>
    <row r="3122">
      <c r="A3122" s="535" t="n">
        <v>35906</v>
      </c>
      <c r="B3122" s="534" t="n">
        <v>6.316</v>
      </c>
      <c r="C3122" s="534" t="n">
        <v>10968.26</v>
      </c>
      <c r="E3122" s="535" t="n">
        <v>39724</v>
      </c>
      <c r="F3122" s="534" t="n">
        <v>2.9</v>
      </c>
    </row>
    <row r="3123">
      <c r="A3123" s="535" t="n">
        <v>35907</v>
      </c>
      <c r="B3123" s="534" t="n">
        <v>6.403</v>
      </c>
      <c r="C3123" s="534" t="n">
        <v>10977.47</v>
      </c>
      <c r="E3123" s="535" t="n">
        <v>39727</v>
      </c>
      <c r="F3123" s="534" t="n">
        <v>2.772</v>
      </c>
    </row>
    <row r="3124">
      <c r="A3124" s="535" t="n">
        <v>35908</v>
      </c>
      <c r="B3124" s="534" t="n">
        <v>6.403</v>
      </c>
      <c r="C3124" s="534" t="n">
        <v>10918.94</v>
      </c>
      <c r="E3124" s="535" t="n">
        <v>39728</v>
      </c>
      <c r="F3124" s="534" t="n">
        <v>2.772</v>
      </c>
    </row>
    <row r="3125">
      <c r="A3125" s="535" t="n">
        <v>35909</v>
      </c>
      <c r="B3125" s="534" t="n">
        <v>6.403</v>
      </c>
      <c r="C3125" s="534" t="n">
        <v>10879.93</v>
      </c>
      <c r="E3125" s="535" t="n">
        <v>39729</v>
      </c>
      <c r="F3125" s="534" t="n">
        <v>2.498</v>
      </c>
    </row>
    <row r="3126">
      <c r="A3126" s="535" t="n">
        <v>35912</v>
      </c>
      <c r="B3126" s="534" t="n">
        <v>6.228</v>
      </c>
      <c r="C3126" s="534" t="n">
        <v>10593.71</v>
      </c>
      <c r="E3126" s="535" t="n">
        <v>39730</v>
      </c>
      <c r="F3126" s="534" t="n">
        <v>2.67</v>
      </c>
    </row>
    <row r="3127">
      <c r="A3127" s="535" t="n">
        <v>35913</v>
      </c>
      <c r="B3127" s="534" t="n">
        <v>6.359</v>
      </c>
      <c r="C3127" s="534" t="n">
        <v>10678.61</v>
      </c>
      <c r="E3127" s="535" t="n">
        <v>39731</v>
      </c>
      <c r="F3127" s="534" t="n">
        <v>2.595</v>
      </c>
    </row>
    <row r="3128">
      <c r="A3128" s="535" t="n">
        <v>35914</v>
      </c>
      <c r="B3128" s="534" t="n">
        <v>6.272</v>
      </c>
      <c r="C3128" s="534" t="n">
        <v>10471.15</v>
      </c>
      <c r="E3128" s="535" t="n">
        <v>39734</v>
      </c>
      <c r="F3128" s="534" t="n">
        <v>2.667</v>
      </c>
    </row>
    <row r="3129">
      <c r="A3129" s="535" t="n">
        <v>35915</v>
      </c>
      <c r="B3129" s="534" t="n">
        <v>5.924</v>
      </c>
      <c r="C3129" s="534" t="n">
        <v>10383.68</v>
      </c>
      <c r="E3129" s="535" t="n">
        <v>39735</v>
      </c>
      <c r="F3129" s="534" t="n">
        <v>2.756</v>
      </c>
    </row>
    <row r="3130">
      <c r="A3130" s="535" t="n">
        <v>35916</v>
      </c>
      <c r="B3130" s="534" t="n">
        <v>6.098</v>
      </c>
      <c r="C3130" s="534" t="n">
        <v>10563.68</v>
      </c>
      <c r="E3130" s="535" t="n">
        <v>39736</v>
      </c>
      <c r="F3130" s="534" t="n">
        <v>2.784</v>
      </c>
    </row>
    <row r="3131">
      <c r="A3131" s="535" t="n">
        <v>35919</v>
      </c>
      <c r="B3131" s="534" t="n">
        <v>5.793</v>
      </c>
      <c r="C3131" s="534" t="n">
        <v>10439.42</v>
      </c>
      <c r="E3131" s="535" t="n">
        <v>39737</v>
      </c>
      <c r="F3131" s="534" t="n">
        <v>2.771</v>
      </c>
    </row>
    <row r="3132">
      <c r="A3132" s="535" t="n">
        <v>35920</v>
      </c>
      <c r="B3132" s="534" t="n">
        <v>5.88</v>
      </c>
      <c r="C3132" s="534" t="n">
        <v>10153.66</v>
      </c>
      <c r="E3132" s="535" t="n">
        <v>39738</v>
      </c>
      <c r="F3132" s="534" t="n">
        <v>2.775</v>
      </c>
    </row>
    <row r="3133">
      <c r="A3133" s="535" t="n">
        <v>35921</v>
      </c>
      <c r="B3133" s="534" t="n">
        <v>5.836</v>
      </c>
      <c r="C3133" s="534" t="n">
        <v>10109.14</v>
      </c>
      <c r="E3133" s="535" t="n">
        <v>39741</v>
      </c>
      <c r="F3133" s="534" t="n">
        <v>2.684</v>
      </c>
    </row>
    <row r="3134">
      <c r="A3134" s="535" t="n">
        <v>35922</v>
      </c>
      <c r="B3134" s="534" t="n">
        <v>5.836</v>
      </c>
      <c r="C3134" s="534" t="n">
        <v>9971.93</v>
      </c>
      <c r="E3134" s="535" t="n">
        <v>39742</v>
      </c>
      <c r="F3134" s="534" t="n">
        <v>2.608</v>
      </c>
    </row>
    <row r="3135">
      <c r="A3135" s="535" t="n">
        <v>35923</v>
      </c>
      <c r="B3135" s="534" t="n">
        <v>5.967</v>
      </c>
      <c r="C3135" s="534" t="n">
        <v>10060.38</v>
      </c>
      <c r="E3135" s="535" t="n">
        <v>39743</v>
      </c>
      <c r="F3135" s="534" t="n">
        <v>2.426</v>
      </c>
    </row>
    <row r="3136">
      <c r="A3136" s="535" t="n">
        <v>35926</v>
      </c>
      <c r="B3136" s="534" t="n">
        <v>5.924</v>
      </c>
      <c r="C3136" s="534" t="n">
        <v>10096.37</v>
      </c>
      <c r="E3136" s="535" t="n">
        <v>39744</v>
      </c>
      <c r="F3136" s="534" t="n">
        <v>2.45</v>
      </c>
    </row>
    <row r="3137">
      <c r="A3137" s="535" t="n">
        <v>35927</v>
      </c>
      <c r="B3137" s="534" t="n">
        <v>5.836</v>
      </c>
      <c r="C3137" s="534" t="n">
        <v>9841.51</v>
      </c>
      <c r="E3137" s="535" t="n">
        <v>39745</v>
      </c>
      <c r="F3137" s="534" t="n">
        <v>2.458</v>
      </c>
    </row>
    <row r="3138">
      <c r="A3138" s="535" t="n">
        <v>35928</v>
      </c>
      <c r="B3138" s="534" t="n">
        <v>5.444</v>
      </c>
      <c r="C3138" s="534" t="n">
        <v>9469.290000000001</v>
      </c>
      <c r="E3138" s="535" t="n">
        <v>39748</v>
      </c>
      <c r="F3138" s="534" t="n">
        <v>2.519</v>
      </c>
    </row>
    <row r="3139">
      <c r="A3139" s="535" t="n">
        <v>35929</v>
      </c>
      <c r="B3139" s="534" t="n">
        <v>5.619</v>
      </c>
      <c r="C3139" s="534" t="n">
        <v>9591.950000000001</v>
      </c>
      <c r="E3139" s="535" t="n">
        <v>39749</v>
      </c>
      <c r="F3139" s="534" t="n">
        <v>2.523</v>
      </c>
    </row>
    <row r="3140">
      <c r="A3140" s="535" t="n">
        <v>35930</v>
      </c>
      <c r="B3140" s="534" t="n">
        <v>5.619</v>
      </c>
      <c r="C3140" s="534" t="n">
        <v>9538.389999999999</v>
      </c>
      <c r="E3140" s="535" t="n">
        <v>39750</v>
      </c>
      <c r="F3140" s="534" t="n">
        <v>2.466</v>
      </c>
    </row>
    <row r="3141">
      <c r="A3141" s="535" t="n">
        <v>35933</v>
      </c>
      <c r="B3141" s="534" t="n">
        <v>5.662</v>
      </c>
      <c r="C3141" s="534" t="n">
        <v>9411.969999999999</v>
      </c>
      <c r="E3141" s="535" t="n">
        <v>39751</v>
      </c>
      <c r="F3141" s="534" t="n">
        <v>2.401</v>
      </c>
    </row>
    <row r="3142">
      <c r="A3142" s="535" t="n">
        <v>35934</v>
      </c>
      <c r="B3142" s="534" t="n">
        <v>5.662</v>
      </c>
      <c r="C3142" s="534" t="n">
        <v>9449.110000000001</v>
      </c>
      <c r="E3142" s="535" t="n">
        <v>39752</v>
      </c>
      <c r="F3142" s="534" t="n">
        <v>2.416</v>
      </c>
    </row>
    <row r="3143">
      <c r="A3143" s="535" t="n">
        <v>35935</v>
      </c>
      <c r="B3143" s="534" t="n">
        <v>5.706</v>
      </c>
      <c r="C3143" s="534" t="n">
        <v>9549.18</v>
      </c>
      <c r="E3143" s="535" t="n">
        <v>39755</v>
      </c>
      <c r="F3143" s="534" t="n">
        <v>2.454</v>
      </c>
    </row>
    <row r="3144">
      <c r="A3144" s="535" t="n">
        <v>35936</v>
      </c>
      <c r="B3144" s="534" t="n">
        <v>5.619</v>
      </c>
      <c r="C3144" s="534" t="n">
        <v>9670.450000000001</v>
      </c>
      <c r="E3144" s="535" t="n">
        <v>39756</v>
      </c>
      <c r="F3144" s="534" t="n">
        <v>2.402</v>
      </c>
    </row>
    <row r="3145">
      <c r="A3145" s="535" t="n">
        <v>35937</v>
      </c>
      <c r="B3145" s="534" t="n">
        <v>5.444</v>
      </c>
      <c r="C3145" s="534" t="n">
        <v>9555.98</v>
      </c>
      <c r="E3145" s="535" t="n">
        <v>39757</v>
      </c>
      <c r="F3145" s="534" t="n">
        <v>2.279</v>
      </c>
    </row>
    <row r="3146">
      <c r="A3146" s="535" t="n">
        <v>35940</v>
      </c>
      <c r="B3146" s="534" t="n">
        <v>5.706</v>
      </c>
      <c r="C3146" s="534" t="n">
        <v>9544.530000000001</v>
      </c>
      <c r="E3146" s="535" t="n">
        <v>39758</v>
      </c>
      <c r="F3146" s="534" t="n">
        <v>2.224</v>
      </c>
    </row>
    <row r="3147">
      <c r="A3147" s="535" t="n">
        <v>35941</v>
      </c>
      <c r="B3147" s="534" t="n">
        <v>5.706</v>
      </c>
      <c r="C3147" s="534" t="n">
        <v>9482.209999999999</v>
      </c>
      <c r="E3147" s="535" t="n">
        <v>39759</v>
      </c>
      <c r="F3147" s="534" t="n">
        <v>2.177</v>
      </c>
    </row>
    <row r="3148">
      <c r="A3148" s="535" t="n">
        <v>35942</v>
      </c>
      <c r="B3148" s="534" t="n">
        <v>4.965</v>
      </c>
      <c r="C3148" s="534" t="n">
        <v>8983.43</v>
      </c>
      <c r="E3148" s="535" t="n">
        <v>39762</v>
      </c>
      <c r="F3148" s="534" t="n">
        <v>2.192</v>
      </c>
    </row>
    <row r="3149">
      <c r="A3149" s="535" t="n">
        <v>35943</v>
      </c>
      <c r="B3149" s="534" t="n">
        <v>5.052</v>
      </c>
      <c r="C3149" s="534" t="n">
        <v>8877.940000000001</v>
      </c>
      <c r="E3149" s="535" t="n">
        <v>39763</v>
      </c>
      <c r="F3149" s="534" t="n">
        <v>2.098</v>
      </c>
    </row>
    <row r="3150">
      <c r="A3150" s="535" t="n">
        <v>35944</v>
      </c>
      <c r="B3150" s="534" t="n">
        <v>4.617</v>
      </c>
      <c r="C3150" s="534" t="n">
        <v>8934.559999999999</v>
      </c>
      <c r="E3150" s="535" t="n">
        <v>39764</v>
      </c>
      <c r="F3150" s="534" t="n">
        <v>2.043</v>
      </c>
    </row>
    <row r="3151">
      <c r="A3151" s="535" t="n">
        <v>35947</v>
      </c>
      <c r="B3151" s="534" t="n">
        <v>4.356</v>
      </c>
      <c r="C3151" s="534" t="n">
        <v>8612.01</v>
      </c>
      <c r="E3151" s="535" t="n">
        <v>39765</v>
      </c>
      <c r="F3151" s="534" t="n">
        <v>2.002</v>
      </c>
    </row>
    <row r="3152">
      <c r="A3152" s="535" t="n">
        <v>35948</v>
      </c>
      <c r="B3152" s="534" t="n">
        <v>4.53</v>
      </c>
      <c r="C3152" s="534" t="n">
        <v>8598.17</v>
      </c>
      <c r="E3152" s="535" t="n">
        <v>39766</v>
      </c>
      <c r="F3152" s="534" t="n">
        <v>1.678</v>
      </c>
    </row>
    <row r="3153">
      <c r="A3153" s="535" t="n">
        <v>35949</v>
      </c>
      <c r="B3153" s="534" t="n">
        <v>5.052</v>
      </c>
      <c r="C3153" s="534" t="n">
        <v>8819.219999999999</v>
      </c>
      <c r="E3153" s="535" t="n">
        <v>39769</v>
      </c>
      <c r="F3153" s="534" t="n">
        <v>1.635</v>
      </c>
    </row>
    <row r="3154">
      <c r="A3154" s="535" t="n">
        <v>35950</v>
      </c>
      <c r="B3154" s="534" t="n">
        <v>4.791</v>
      </c>
      <c r="C3154" s="534" t="n">
        <v>8558.43</v>
      </c>
      <c r="E3154" s="535" t="n">
        <v>39770</v>
      </c>
      <c r="F3154" s="534" t="n">
        <v>1.588</v>
      </c>
    </row>
    <row r="3155">
      <c r="A3155" s="535" t="n">
        <v>35951</v>
      </c>
      <c r="B3155" s="534" t="n">
        <v>4.791</v>
      </c>
      <c r="C3155" s="534" t="n">
        <v>8569.469999999999</v>
      </c>
      <c r="E3155" s="535" t="n">
        <v>39771</v>
      </c>
      <c r="F3155" s="534" t="n">
        <v>1.542</v>
      </c>
    </row>
    <row r="3156">
      <c r="A3156" s="535" t="n">
        <v>35954</v>
      </c>
      <c r="B3156" s="534" t="n">
        <v>4.791</v>
      </c>
      <c r="C3156" s="534" t="n">
        <v>8586.629999999999</v>
      </c>
      <c r="E3156" s="535" t="n">
        <v>39772</v>
      </c>
      <c r="F3156" s="534" t="n">
        <v>1.472</v>
      </c>
    </row>
    <row r="3157">
      <c r="A3157" s="535" t="n">
        <v>35955</v>
      </c>
      <c r="B3157" s="534" t="n">
        <v>4.791</v>
      </c>
      <c r="C3157" s="534" t="n">
        <v>8391.459999999999</v>
      </c>
      <c r="E3157" s="535" t="n">
        <v>39773</v>
      </c>
      <c r="F3157" s="534" t="n">
        <v>1.387</v>
      </c>
    </row>
    <row r="3158">
      <c r="A3158" s="535" t="n">
        <v>35956</v>
      </c>
      <c r="B3158" s="534" t="n">
        <v>4.573</v>
      </c>
      <c r="C3158" s="534" t="n">
        <v>7979.37</v>
      </c>
      <c r="E3158" s="535" t="n">
        <v>39776</v>
      </c>
      <c r="F3158" s="534" t="n">
        <v>1.76</v>
      </c>
    </row>
    <row r="3159">
      <c r="A3159" s="535" t="n">
        <v>35957</v>
      </c>
      <c r="B3159" s="534" t="n">
        <v>4.835</v>
      </c>
      <c r="C3159" s="534" t="n">
        <v>7886.07</v>
      </c>
      <c r="E3159" s="535" t="n">
        <v>39777</v>
      </c>
      <c r="F3159" s="534" t="n">
        <v>1.876</v>
      </c>
    </row>
    <row r="3160">
      <c r="A3160" s="535" t="n">
        <v>35958</v>
      </c>
      <c r="B3160" s="534" t="n">
        <v>5.052</v>
      </c>
      <c r="C3160" s="534" t="n">
        <v>7915.44</v>
      </c>
      <c r="E3160" s="535" t="n">
        <v>39778</v>
      </c>
      <c r="F3160" s="534" t="n">
        <v>1.798</v>
      </c>
    </row>
    <row r="3161">
      <c r="A3161" s="535" t="n">
        <v>35961</v>
      </c>
      <c r="B3161" s="534" t="n">
        <v>4.66</v>
      </c>
      <c r="C3161" s="534" t="n">
        <v>7462.5</v>
      </c>
      <c r="E3161" s="535" t="n">
        <v>39779</v>
      </c>
      <c r="F3161" s="534" t="n">
        <v>1.823</v>
      </c>
    </row>
    <row r="3162">
      <c r="A3162" s="535" t="n">
        <v>35962</v>
      </c>
      <c r="B3162" s="534" t="n">
        <v>4.748</v>
      </c>
      <c r="C3162" s="534" t="n">
        <v>7526.45</v>
      </c>
      <c r="E3162" s="535" t="n">
        <v>39780</v>
      </c>
      <c r="F3162" s="534" t="n">
        <v>1.94</v>
      </c>
    </row>
    <row r="3163">
      <c r="A3163" s="535" t="n">
        <v>35963</v>
      </c>
      <c r="B3163" s="534" t="n">
        <v>5.009</v>
      </c>
      <c r="C3163" s="534" t="n">
        <v>8004.35</v>
      </c>
      <c r="E3163" s="535" t="n">
        <v>39783</v>
      </c>
      <c r="F3163" s="534" t="n">
        <v>1.993</v>
      </c>
    </row>
    <row r="3164">
      <c r="A3164" s="535" t="n">
        <v>35964</v>
      </c>
      <c r="B3164" s="534" t="n">
        <v>5.096</v>
      </c>
      <c r="C3164" s="534" t="n">
        <v>8515.969999999999</v>
      </c>
      <c r="E3164" s="535" t="n">
        <v>39784</v>
      </c>
      <c r="F3164" s="534" t="n">
        <v>1.935</v>
      </c>
    </row>
    <row r="3165">
      <c r="A3165" s="535" t="n">
        <v>35965</v>
      </c>
      <c r="B3165" s="534" t="n">
        <v>4.965</v>
      </c>
      <c r="C3165" s="534" t="n">
        <v>8591.91</v>
      </c>
      <c r="E3165" s="535" t="n">
        <v>39785</v>
      </c>
      <c r="F3165" s="534" t="n">
        <v>1.92</v>
      </c>
    </row>
    <row r="3166">
      <c r="A3166" s="535" t="n">
        <v>35968</v>
      </c>
      <c r="B3166" s="534" t="n">
        <v>4.922</v>
      </c>
      <c r="C3166" s="534" t="n">
        <v>8204.209999999999</v>
      </c>
      <c r="E3166" s="535" t="n">
        <v>39786</v>
      </c>
      <c r="F3166" s="534" t="n">
        <v>1.94</v>
      </c>
    </row>
    <row r="3167">
      <c r="A3167" s="535" t="n">
        <v>35969</v>
      </c>
      <c r="B3167" s="534" t="n">
        <v>4.748</v>
      </c>
      <c r="C3167" s="534" t="n">
        <v>8219.67</v>
      </c>
      <c r="E3167" s="535" t="n">
        <v>39787</v>
      </c>
      <c r="F3167" s="534" t="n">
        <v>1.996</v>
      </c>
    </row>
    <row r="3168">
      <c r="A3168" s="535" t="n">
        <v>35970</v>
      </c>
      <c r="B3168" s="534" t="n">
        <v>4.748</v>
      </c>
      <c r="C3168" s="534" t="n">
        <v>8296.77</v>
      </c>
      <c r="E3168" s="535" t="n">
        <v>39790</v>
      </c>
      <c r="F3168" s="534" t="n">
        <v>2.048</v>
      </c>
    </row>
    <row r="3169">
      <c r="A3169" s="535" t="n">
        <v>35971</v>
      </c>
      <c r="B3169" s="534" t="n">
        <v>4.835</v>
      </c>
      <c r="C3169" s="534" t="n">
        <v>8665.83</v>
      </c>
      <c r="E3169" s="535" t="n">
        <v>39791</v>
      </c>
      <c r="F3169" s="534" t="n">
        <v>1.861</v>
      </c>
    </row>
    <row r="3170">
      <c r="A3170" s="535" t="n">
        <v>35972</v>
      </c>
      <c r="B3170" s="534" t="n">
        <v>4.922</v>
      </c>
      <c r="C3170" s="534" t="n">
        <v>8607.860000000001</v>
      </c>
      <c r="E3170" s="535" t="n">
        <v>39792</v>
      </c>
      <c r="F3170" s="534" t="n">
        <v>1.86</v>
      </c>
    </row>
    <row r="3171">
      <c r="A3171" s="535" t="n">
        <v>35975</v>
      </c>
      <c r="B3171" s="534" t="n">
        <v>4.66</v>
      </c>
      <c r="C3171" s="534" t="n">
        <v>8460.709999999999</v>
      </c>
      <c r="E3171" s="535" t="n">
        <v>39793</v>
      </c>
      <c r="F3171" s="534" t="n">
        <v>1.817</v>
      </c>
    </row>
    <row r="3172">
      <c r="A3172" s="535" t="n">
        <v>35976</v>
      </c>
      <c r="B3172" s="534" t="n">
        <v>4.748</v>
      </c>
      <c r="C3172" s="534" t="n">
        <v>8543.1</v>
      </c>
      <c r="E3172" s="535" t="n">
        <v>39794</v>
      </c>
      <c r="F3172" s="534" t="n">
        <v>1.752</v>
      </c>
    </row>
    <row r="3173">
      <c r="A3173" s="535" t="n">
        <v>35977</v>
      </c>
      <c r="B3173" s="534" t="n">
        <v>4.748</v>
      </c>
      <c r="C3173" s="534" t="n">
        <v>8543.1</v>
      </c>
      <c r="E3173" s="535" t="n">
        <v>39797</v>
      </c>
      <c r="F3173" s="534" t="n">
        <v>1.741</v>
      </c>
    </row>
    <row r="3174">
      <c r="A3174" s="535" t="n">
        <v>35978</v>
      </c>
      <c r="B3174" s="534" t="n">
        <v>5.227</v>
      </c>
      <c r="C3174" s="534" t="n">
        <v>8866.16</v>
      </c>
      <c r="E3174" s="535" t="n">
        <v>39798</v>
      </c>
      <c r="F3174" s="534" t="n">
        <v>1.73</v>
      </c>
    </row>
    <row r="3175">
      <c r="A3175" s="535" t="n">
        <v>35979</v>
      </c>
      <c r="B3175" s="534" t="n">
        <v>5.27</v>
      </c>
      <c r="C3175" s="534" t="n">
        <v>8639.309999999999</v>
      </c>
      <c r="E3175" s="535" t="n">
        <v>39799</v>
      </c>
      <c r="F3175" s="534" t="n">
        <v>1.558</v>
      </c>
    </row>
    <row r="3176">
      <c r="A3176" s="535" t="n">
        <v>35982</v>
      </c>
      <c r="B3176" s="534" t="n">
        <v>5.227</v>
      </c>
      <c r="C3176" s="534" t="n">
        <v>8484.120000000001</v>
      </c>
      <c r="E3176" s="535" t="n">
        <v>39800</v>
      </c>
      <c r="F3176" s="534" t="n">
        <v>1.517</v>
      </c>
    </row>
    <row r="3177">
      <c r="A3177" s="535" t="n">
        <v>35983</v>
      </c>
      <c r="B3177" s="534" t="n">
        <v>5.314</v>
      </c>
      <c r="C3177" s="534" t="n">
        <v>8444.18</v>
      </c>
      <c r="E3177" s="535" t="n">
        <v>39801</v>
      </c>
      <c r="F3177" s="534" t="n">
        <v>1.5</v>
      </c>
    </row>
    <row r="3178">
      <c r="A3178" s="535" t="n">
        <v>35984</v>
      </c>
      <c r="B3178" s="534" t="n">
        <v>5.488</v>
      </c>
      <c r="C3178" s="534" t="n">
        <v>8629.18</v>
      </c>
      <c r="E3178" s="535" t="n">
        <v>39804</v>
      </c>
      <c r="F3178" s="534" t="n">
        <v>1.5</v>
      </c>
    </row>
    <row r="3179">
      <c r="A3179" s="535" t="n">
        <v>35985</v>
      </c>
      <c r="B3179" s="534" t="n">
        <v>5.662</v>
      </c>
      <c r="C3179" s="534" t="n">
        <v>8433.780000000001</v>
      </c>
      <c r="E3179" s="535" t="n">
        <v>39805</v>
      </c>
      <c r="F3179" s="534" t="n">
        <v>1.48</v>
      </c>
    </row>
    <row r="3180">
      <c r="A3180" s="535" t="n">
        <v>35986</v>
      </c>
      <c r="B3180" s="534" t="n">
        <v>5.619</v>
      </c>
      <c r="C3180" s="534" t="n">
        <v>8205.77</v>
      </c>
      <c r="E3180" s="535" t="n">
        <v>39806</v>
      </c>
      <c r="F3180" s="534" t="n">
        <v>1.462</v>
      </c>
    </row>
    <row r="3181">
      <c r="A3181" s="535" t="n">
        <v>35989</v>
      </c>
      <c r="B3181" s="534" t="n">
        <v>5.88</v>
      </c>
      <c r="C3181" s="534" t="n">
        <v>8099.2</v>
      </c>
      <c r="E3181" s="535" t="n">
        <v>39807</v>
      </c>
      <c r="F3181" s="534" t="n">
        <v>1.462</v>
      </c>
    </row>
    <row r="3182">
      <c r="A3182" s="535" t="n">
        <v>35990</v>
      </c>
      <c r="B3182" s="534" t="n">
        <v>5.836</v>
      </c>
      <c r="C3182" s="534" t="n">
        <v>8178.93</v>
      </c>
      <c r="E3182" s="535" t="n">
        <v>39808</v>
      </c>
      <c r="F3182" s="534" t="n">
        <v>1.462</v>
      </c>
    </row>
    <row r="3183">
      <c r="A3183" s="535" t="n">
        <v>35991</v>
      </c>
      <c r="B3183" s="534" t="n">
        <v>5.836</v>
      </c>
      <c r="C3183" s="534" t="n">
        <v>8456.219999999999</v>
      </c>
      <c r="E3183" s="535" t="n">
        <v>39811</v>
      </c>
      <c r="F3183" s="534" t="n">
        <v>1.435</v>
      </c>
    </row>
    <row r="3184">
      <c r="A3184" s="535" t="n">
        <v>35992</v>
      </c>
      <c r="B3184" s="534" t="n">
        <v>5.836</v>
      </c>
      <c r="C3184" s="534" t="n">
        <v>8586.57</v>
      </c>
      <c r="E3184" s="535" t="n">
        <v>39812</v>
      </c>
      <c r="F3184" s="534" t="n">
        <v>1.395</v>
      </c>
    </row>
    <row r="3185">
      <c r="A3185" s="535" t="n">
        <v>35993</v>
      </c>
      <c r="B3185" s="534" t="n">
        <v>5.749</v>
      </c>
      <c r="C3185" s="534" t="n">
        <v>8628.93</v>
      </c>
      <c r="E3185" s="535" t="n">
        <v>39813</v>
      </c>
      <c r="F3185" s="534" t="n">
        <v>1.349</v>
      </c>
    </row>
    <row r="3186">
      <c r="A3186" s="535" t="n">
        <v>35996</v>
      </c>
      <c r="B3186" s="534" t="n">
        <v>5.662</v>
      </c>
      <c r="C3186" s="534" t="n">
        <v>8493.25</v>
      </c>
      <c r="E3186" s="535" t="n">
        <v>39814</v>
      </c>
      <c r="F3186" s="534" t="n">
        <v>1.349</v>
      </c>
    </row>
    <row r="3187">
      <c r="A3187" s="535" t="n">
        <v>35997</v>
      </c>
      <c r="B3187" s="534" t="n">
        <v>5.836</v>
      </c>
      <c r="C3187" s="534" t="n">
        <v>8564.549999999999</v>
      </c>
      <c r="E3187" s="535" t="n">
        <v>39815</v>
      </c>
      <c r="F3187" s="534" t="n">
        <v>1.433</v>
      </c>
    </row>
    <row r="3188">
      <c r="A3188" s="535" t="n">
        <v>35998</v>
      </c>
      <c r="B3188" s="534" t="n">
        <v>5.619</v>
      </c>
      <c r="C3188" s="534" t="n">
        <v>8420.719999999999</v>
      </c>
      <c r="E3188" s="535" t="n">
        <v>39818</v>
      </c>
      <c r="F3188" s="534" t="n">
        <v>1.492</v>
      </c>
    </row>
    <row r="3189">
      <c r="A3189" s="535" t="n">
        <v>35999</v>
      </c>
      <c r="B3189" s="534" t="n">
        <v>5.401</v>
      </c>
      <c r="C3189" s="534" t="n">
        <v>8176.25</v>
      </c>
      <c r="E3189" s="535" t="n">
        <v>39819</v>
      </c>
      <c r="F3189" s="534" t="n">
        <v>1.642</v>
      </c>
    </row>
    <row r="3190">
      <c r="A3190" s="535" t="n">
        <v>36000</v>
      </c>
      <c r="B3190" s="534" t="n">
        <v>5.357</v>
      </c>
      <c r="C3190" s="534" t="n">
        <v>8257.459999999999</v>
      </c>
      <c r="E3190" s="535" t="n">
        <v>39820</v>
      </c>
      <c r="F3190" s="534" t="n">
        <v>1.661</v>
      </c>
    </row>
    <row r="3191">
      <c r="A3191" s="535" t="n">
        <v>36003</v>
      </c>
      <c r="B3191" s="534" t="n">
        <v>5.052</v>
      </c>
      <c r="C3191" s="534" t="n">
        <v>7984.43</v>
      </c>
      <c r="E3191" s="535" t="n">
        <v>39821</v>
      </c>
      <c r="F3191" s="534" t="n">
        <v>1.558</v>
      </c>
    </row>
    <row r="3192">
      <c r="A3192" s="535" t="n">
        <v>36004</v>
      </c>
      <c r="B3192" s="534" t="n">
        <v>5.009</v>
      </c>
      <c r="C3192" s="534" t="n">
        <v>7926.1</v>
      </c>
      <c r="E3192" s="535" t="n">
        <v>39822</v>
      </c>
      <c r="F3192" s="534" t="n">
        <v>1.508</v>
      </c>
    </row>
    <row r="3193">
      <c r="A3193" s="535" t="n">
        <v>36005</v>
      </c>
      <c r="B3193" s="534" t="n">
        <v>4.704</v>
      </c>
      <c r="C3193" s="534" t="n">
        <v>7808.83</v>
      </c>
      <c r="E3193" s="535" t="n">
        <v>39825</v>
      </c>
      <c r="F3193" s="534" t="n">
        <v>1.486</v>
      </c>
    </row>
    <row r="3194">
      <c r="A3194" s="535" t="n">
        <v>36006</v>
      </c>
      <c r="B3194" s="534" t="n">
        <v>5.009</v>
      </c>
      <c r="C3194" s="534" t="n">
        <v>7906.16</v>
      </c>
      <c r="E3194" s="535" t="n">
        <v>39826</v>
      </c>
      <c r="F3194" s="534" t="n">
        <v>1.496</v>
      </c>
    </row>
    <row r="3195">
      <c r="A3195" s="535" t="n">
        <v>36007</v>
      </c>
      <c r="B3195" s="534" t="n">
        <v>5.096</v>
      </c>
      <c r="C3195" s="534" t="n">
        <v>7936.2</v>
      </c>
      <c r="E3195" s="535" t="n">
        <v>39827</v>
      </c>
      <c r="F3195" s="534" t="n">
        <v>1.442</v>
      </c>
    </row>
    <row r="3196">
      <c r="A3196" s="535" t="n">
        <v>36010</v>
      </c>
      <c r="B3196" s="534" t="n">
        <v>4.878</v>
      </c>
      <c r="C3196" s="534" t="n">
        <v>7552.77</v>
      </c>
      <c r="E3196" s="535" t="n">
        <v>39828</v>
      </c>
      <c r="F3196" s="534" t="n">
        <v>1.495</v>
      </c>
    </row>
    <row r="3197">
      <c r="A3197" s="535" t="n">
        <v>36011</v>
      </c>
      <c r="B3197" s="534" t="n">
        <v>5.27</v>
      </c>
      <c r="C3197" s="534" t="n">
        <v>7580.8</v>
      </c>
      <c r="E3197" s="535" t="n">
        <v>39829</v>
      </c>
      <c r="F3197" s="534" t="n">
        <v>1.554</v>
      </c>
    </row>
    <row r="3198">
      <c r="A3198" s="535" t="n">
        <v>36012</v>
      </c>
      <c r="B3198" s="534" t="n">
        <v>5.14</v>
      </c>
      <c r="C3198" s="534" t="n">
        <v>7466.43</v>
      </c>
      <c r="E3198" s="535" t="n">
        <v>39832</v>
      </c>
      <c r="F3198" s="534" t="n">
        <v>1.527</v>
      </c>
    </row>
    <row r="3199">
      <c r="A3199" s="535" t="n">
        <v>36013</v>
      </c>
      <c r="B3199" s="534" t="n">
        <v>4.922</v>
      </c>
      <c r="C3199" s="534" t="n">
        <v>7254.36</v>
      </c>
      <c r="E3199" s="535" t="n">
        <v>39833</v>
      </c>
      <c r="F3199" s="534" t="n">
        <v>1.551</v>
      </c>
    </row>
    <row r="3200">
      <c r="A3200" s="535" t="n">
        <v>36014</v>
      </c>
      <c r="B3200" s="534" t="n">
        <v>4.791</v>
      </c>
      <c r="C3200" s="534" t="n">
        <v>7018.41</v>
      </c>
      <c r="E3200" s="535" t="n">
        <v>39834</v>
      </c>
      <c r="F3200" s="534" t="n">
        <v>1.556</v>
      </c>
    </row>
    <row r="3201">
      <c r="A3201" s="535" t="n">
        <v>36017</v>
      </c>
      <c r="B3201" s="534" t="n">
        <v>4.748</v>
      </c>
      <c r="C3201" s="534" t="n">
        <v>7034.62</v>
      </c>
      <c r="E3201" s="535" t="n">
        <v>39835</v>
      </c>
      <c r="F3201" s="534" t="n">
        <v>1.587</v>
      </c>
    </row>
    <row r="3202">
      <c r="A3202" s="535" t="n">
        <v>36018</v>
      </c>
      <c r="B3202" s="534" t="n">
        <v>4.66</v>
      </c>
      <c r="C3202" s="534" t="n">
        <v>6779.95</v>
      </c>
      <c r="E3202" s="535" t="n">
        <v>39836</v>
      </c>
      <c r="F3202" s="534" t="n">
        <v>1.485</v>
      </c>
    </row>
    <row r="3203">
      <c r="A3203" s="535" t="n">
        <v>36019</v>
      </c>
      <c r="B3203" s="534" t="n">
        <v>4.791</v>
      </c>
      <c r="C3203" s="534" t="n">
        <v>6859.48</v>
      </c>
      <c r="E3203" s="535" t="n">
        <v>39839</v>
      </c>
      <c r="F3203" s="534" t="n">
        <v>1.485</v>
      </c>
    </row>
    <row r="3204">
      <c r="A3204" s="535" t="n">
        <v>36020</v>
      </c>
      <c r="B3204" s="534" t="n">
        <v>4.486</v>
      </c>
      <c r="C3204" s="534" t="n">
        <v>6660.42</v>
      </c>
      <c r="E3204" s="535" t="n">
        <v>39840</v>
      </c>
      <c r="F3204" s="534" t="n">
        <v>1.485</v>
      </c>
    </row>
    <row r="3205">
      <c r="A3205" s="535" t="n">
        <v>36021</v>
      </c>
      <c r="B3205" s="534" t="n">
        <v>4.791</v>
      </c>
      <c r="C3205" s="534" t="n">
        <v>7224.69</v>
      </c>
      <c r="E3205" s="535" t="n">
        <v>39841</v>
      </c>
      <c r="F3205" s="534" t="n">
        <v>1.485</v>
      </c>
    </row>
    <row r="3206">
      <c r="A3206" s="535" t="n">
        <v>36024</v>
      </c>
      <c r="B3206" s="534" t="n">
        <v>4.791</v>
      </c>
      <c r="C3206" s="534" t="n">
        <v>7224.69</v>
      </c>
      <c r="E3206" s="535" t="n">
        <v>39842</v>
      </c>
      <c r="F3206" s="534" t="n">
        <v>1.688</v>
      </c>
    </row>
    <row r="3207">
      <c r="A3207" s="535" t="n">
        <v>36025</v>
      </c>
      <c r="B3207" s="534" t="n">
        <v>5.009</v>
      </c>
      <c r="C3207" s="534" t="n">
        <v>7210.92</v>
      </c>
      <c r="E3207" s="535" t="n">
        <v>39843</v>
      </c>
      <c r="F3207" s="534" t="n">
        <v>1.842</v>
      </c>
    </row>
    <row r="3208">
      <c r="A3208" s="535" t="n">
        <v>36026</v>
      </c>
      <c r="B3208" s="534" t="n">
        <v>5.314</v>
      </c>
      <c r="C3208" s="534" t="n">
        <v>7622.58</v>
      </c>
      <c r="E3208" s="535" t="n">
        <v>39846</v>
      </c>
      <c r="F3208" s="534" t="n">
        <v>1.901</v>
      </c>
    </row>
    <row r="3209">
      <c r="A3209" s="535" t="n">
        <v>36027</v>
      </c>
      <c r="B3209" s="534" t="n">
        <v>5.706</v>
      </c>
      <c r="C3209" s="534" t="n">
        <v>7742.53</v>
      </c>
      <c r="E3209" s="535" t="n">
        <v>39847</v>
      </c>
      <c r="F3209" s="534" t="n">
        <v>1.772</v>
      </c>
    </row>
    <row r="3210">
      <c r="A3210" s="535" t="n">
        <v>36028</v>
      </c>
      <c r="B3210" s="534" t="n">
        <v>5.314</v>
      </c>
      <c r="C3210" s="534" t="n">
        <v>7527.61</v>
      </c>
      <c r="E3210" s="535" t="n">
        <v>39848</v>
      </c>
      <c r="F3210" s="534" t="n">
        <v>1.873</v>
      </c>
    </row>
    <row r="3211">
      <c r="A3211" s="535" t="n">
        <v>36031</v>
      </c>
      <c r="B3211" s="534" t="n">
        <v>4.878</v>
      </c>
      <c r="C3211" s="534" t="n">
        <v>7845.48</v>
      </c>
      <c r="E3211" s="535" t="n">
        <v>39849</v>
      </c>
      <c r="F3211" s="534" t="n">
        <v>1.869</v>
      </c>
    </row>
    <row r="3212">
      <c r="A3212" s="535" t="n">
        <v>36032</v>
      </c>
      <c r="B3212" s="534" t="n">
        <v>5.662</v>
      </c>
      <c r="C3212" s="534" t="n">
        <v>7890.09</v>
      </c>
      <c r="E3212" s="535" t="n">
        <v>39850</v>
      </c>
      <c r="F3212" s="534" t="n">
        <v>1.822</v>
      </c>
    </row>
    <row r="3213">
      <c r="A3213" s="535" t="n">
        <v>36033</v>
      </c>
      <c r="B3213" s="534" t="n">
        <v>5.444</v>
      </c>
      <c r="C3213" s="534" t="n">
        <v>7834.4</v>
      </c>
      <c r="E3213" s="535" t="n">
        <v>39853</v>
      </c>
      <c r="F3213" s="534" t="n">
        <v>1.845</v>
      </c>
    </row>
    <row r="3214">
      <c r="A3214" s="535" t="n">
        <v>36034</v>
      </c>
      <c r="B3214" s="534" t="n">
        <v>5.575</v>
      </c>
      <c r="C3214" s="534" t="n">
        <v>7922.97</v>
      </c>
      <c r="E3214" s="535" t="n">
        <v>39854</v>
      </c>
      <c r="F3214" s="534" t="n">
        <v>1.846</v>
      </c>
    </row>
    <row r="3215">
      <c r="A3215" s="535" t="n">
        <v>36035</v>
      </c>
      <c r="B3215" s="534" t="n">
        <v>5.444</v>
      </c>
      <c r="C3215" s="534" t="n">
        <v>7829.74</v>
      </c>
      <c r="E3215" s="535" t="n">
        <v>39855</v>
      </c>
      <c r="F3215" s="534" t="n">
        <v>1.758</v>
      </c>
    </row>
    <row r="3216">
      <c r="A3216" s="535" t="n">
        <v>36038</v>
      </c>
      <c r="B3216" s="534" t="n">
        <v>4.922</v>
      </c>
      <c r="C3216" s="534" t="n">
        <v>7275.04</v>
      </c>
      <c r="E3216" s="535" t="n">
        <v>39856</v>
      </c>
      <c r="F3216" s="534" t="n">
        <v>1.725</v>
      </c>
    </row>
    <row r="3217">
      <c r="A3217" s="535" t="n">
        <v>36039</v>
      </c>
      <c r="B3217" s="534" t="n">
        <v>4.878</v>
      </c>
      <c r="C3217" s="534" t="n">
        <v>7062.47</v>
      </c>
      <c r="E3217" s="535" t="n">
        <v>39857</v>
      </c>
      <c r="F3217" s="534" t="n">
        <v>1.744</v>
      </c>
    </row>
    <row r="3218">
      <c r="A3218" s="535" t="n">
        <v>36040</v>
      </c>
      <c r="B3218" s="534" t="n">
        <v>5.009</v>
      </c>
      <c r="C3218" s="534" t="n">
        <v>7355.67</v>
      </c>
      <c r="E3218" s="535" t="n">
        <v>39860</v>
      </c>
      <c r="F3218" s="534" t="n">
        <v>1.851</v>
      </c>
    </row>
    <row r="3219">
      <c r="A3219" s="535" t="n">
        <v>36041</v>
      </c>
      <c r="B3219" s="534" t="n">
        <v>5.183</v>
      </c>
      <c r="C3219" s="534" t="n">
        <v>7318.59</v>
      </c>
      <c r="E3219" s="535" t="n">
        <v>39861</v>
      </c>
      <c r="F3219" s="534" t="n">
        <v>1.768</v>
      </c>
    </row>
    <row r="3220">
      <c r="A3220" s="535" t="n">
        <v>36042</v>
      </c>
      <c r="B3220" s="534" t="n">
        <v>5.401</v>
      </c>
      <c r="C3220" s="534" t="n">
        <v>7488.47</v>
      </c>
      <c r="E3220" s="535" t="n">
        <v>39862</v>
      </c>
      <c r="F3220" s="534" t="n">
        <v>1.696</v>
      </c>
    </row>
    <row r="3221">
      <c r="A3221" s="535" t="n">
        <v>36045</v>
      </c>
      <c r="B3221" s="534" t="n">
        <v>6.185</v>
      </c>
      <c r="C3221" s="534" t="n">
        <v>8076.76</v>
      </c>
      <c r="E3221" s="535" t="n">
        <v>39863</v>
      </c>
      <c r="F3221" s="534" t="n">
        <v>1.825</v>
      </c>
    </row>
    <row r="3222">
      <c r="A3222" s="535" t="n">
        <v>36046</v>
      </c>
      <c r="B3222" s="534" t="n">
        <v>6.141</v>
      </c>
      <c r="C3222" s="534" t="n">
        <v>8189.25</v>
      </c>
      <c r="E3222" s="535" t="n">
        <v>39864</v>
      </c>
      <c r="F3222" s="534" t="n">
        <v>1.825</v>
      </c>
    </row>
    <row r="3223">
      <c r="A3223" s="535" t="n">
        <v>36047</v>
      </c>
      <c r="B3223" s="534" t="n">
        <v>6.098</v>
      </c>
      <c r="C3223" s="534" t="n">
        <v>7905.45</v>
      </c>
      <c r="E3223" s="535" t="n">
        <v>39867</v>
      </c>
      <c r="F3223" s="534" t="n">
        <v>1.826</v>
      </c>
    </row>
    <row r="3224">
      <c r="A3224" s="535" t="n">
        <v>36048</v>
      </c>
      <c r="B3224" s="534" t="n">
        <v>6.011</v>
      </c>
      <c r="C3224" s="534" t="n">
        <v>7849.96</v>
      </c>
      <c r="E3224" s="535" t="n">
        <v>39868</v>
      </c>
      <c r="F3224" s="534" t="n">
        <v>1.775</v>
      </c>
    </row>
    <row r="3225">
      <c r="A3225" s="535" t="n">
        <v>36049</v>
      </c>
      <c r="B3225" s="534" t="n">
        <v>5.619</v>
      </c>
      <c r="C3225" s="534" t="n">
        <v>7578.48</v>
      </c>
      <c r="E3225" s="535" t="n">
        <v>39869</v>
      </c>
      <c r="F3225" s="534" t="n">
        <v>1.892</v>
      </c>
    </row>
    <row r="3226">
      <c r="A3226" s="535" t="n">
        <v>36052</v>
      </c>
      <c r="B3226" s="534" t="n">
        <v>5.575</v>
      </c>
      <c r="C3226" s="534" t="n">
        <v>7661.86</v>
      </c>
      <c r="E3226" s="535" t="n">
        <v>39870</v>
      </c>
      <c r="F3226" s="534" t="n">
        <v>2.04</v>
      </c>
    </row>
    <row r="3227">
      <c r="A3227" s="535" t="n">
        <v>36053</v>
      </c>
      <c r="B3227" s="534" t="n">
        <v>5.619</v>
      </c>
      <c r="C3227" s="534" t="n">
        <v>7733.47</v>
      </c>
      <c r="E3227" s="535" t="n">
        <v>39871</v>
      </c>
      <c r="F3227" s="534" t="n">
        <v>2.138</v>
      </c>
    </row>
    <row r="3228">
      <c r="A3228" s="535" t="n">
        <v>36054</v>
      </c>
      <c r="B3228" s="534" t="n">
        <v>5.662</v>
      </c>
      <c r="C3228" s="534" t="n">
        <v>7860.68</v>
      </c>
      <c r="E3228" s="535" t="n">
        <v>39874</v>
      </c>
      <c r="F3228" s="534" t="n">
        <v>2.154</v>
      </c>
    </row>
    <row r="3229">
      <c r="A3229" s="535" t="n">
        <v>36055</v>
      </c>
      <c r="B3229" s="534" t="n">
        <v>5.706</v>
      </c>
      <c r="C3229" s="534" t="n">
        <v>7576.57</v>
      </c>
      <c r="E3229" s="535" t="n">
        <v>39875</v>
      </c>
      <c r="F3229" s="534" t="n">
        <v>2.154</v>
      </c>
    </row>
    <row r="3230">
      <c r="A3230" s="535" t="n">
        <v>36056</v>
      </c>
      <c r="B3230" s="534" t="n">
        <v>5.619</v>
      </c>
      <c r="C3230" s="534" t="n">
        <v>7445.96</v>
      </c>
      <c r="E3230" s="535" t="n">
        <v>39876</v>
      </c>
      <c r="F3230" s="534" t="n">
        <v>2.059</v>
      </c>
    </row>
    <row r="3231">
      <c r="A3231" s="535" t="n">
        <v>36059</v>
      </c>
      <c r="B3231" s="534" t="n">
        <v>5.88</v>
      </c>
      <c r="C3231" s="534" t="n">
        <v>7170.23</v>
      </c>
      <c r="E3231" s="535" t="n">
        <v>39877</v>
      </c>
      <c r="F3231" s="534" t="n">
        <v>2.164</v>
      </c>
    </row>
    <row r="3232">
      <c r="A3232" s="535" t="n">
        <v>36060</v>
      </c>
      <c r="B3232" s="534" t="n">
        <v>5.924</v>
      </c>
      <c r="C3232" s="534" t="n">
        <v>7373.51</v>
      </c>
      <c r="E3232" s="535" t="n">
        <v>39878</v>
      </c>
      <c r="F3232" s="534" t="n">
        <v>2.064</v>
      </c>
    </row>
    <row r="3233">
      <c r="A3233" s="535" t="n">
        <v>36061</v>
      </c>
      <c r="B3233" s="534" t="n">
        <v>6.011</v>
      </c>
      <c r="C3233" s="534" t="n">
        <v>7504.39</v>
      </c>
      <c r="E3233" s="535" t="n">
        <v>39881</v>
      </c>
      <c r="F3233" s="534" t="n">
        <v>2.081</v>
      </c>
    </row>
    <row r="3234">
      <c r="A3234" s="535" t="n">
        <v>36062</v>
      </c>
      <c r="B3234" s="534" t="n">
        <v>6.228</v>
      </c>
      <c r="C3234" s="534" t="n">
        <v>7834.61</v>
      </c>
      <c r="E3234" s="535" t="n">
        <v>39882</v>
      </c>
      <c r="F3234" s="534" t="n">
        <v>2.177</v>
      </c>
    </row>
    <row r="3235">
      <c r="A3235" s="535" t="n">
        <v>36063</v>
      </c>
      <c r="B3235" s="534" t="n">
        <v>5.967</v>
      </c>
      <c r="C3235" s="534" t="n">
        <v>7701.61</v>
      </c>
      <c r="E3235" s="535" t="n">
        <v>39883</v>
      </c>
      <c r="F3235" s="534" t="n">
        <v>2.167</v>
      </c>
    </row>
    <row r="3236">
      <c r="A3236" s="535" t="n">
        <v>36066</v>
      </c>
      <c r="B3236" s="534" t="n">
        <v>6.577</v>
      </c>
      <c r="C3236" s="534" t="n">
        <v>7946.04</v>
      </c>
      <c r="E3236" s="535" t="n">
        <v>39884</v>
      </c>
      <c r="F3236" s="534" t="n">
        <v>2.064</v>
      </c>
    </row>
    <row r="3237">
      <c r="A3237" s="535" t="n">
        <v>36067</v>
      </c>
      <c r="B3237" s="534" t="n">
        <v>6.446</v>
      </c>
      <c r="C3237" s="534" t="n">
        <v>7837.61</v>
      </c>
      <c r="E3237" s="535" t="n">
        <v>39885</v>
      </c>
      <c r="F3237" s="534" t="n">
        <v>2.097</v>
      </c>
    </row>
    <row r="3238">
      <c r="A3238" s="535" t="n">
        <v>36068</v>
      </c>
      <c r="B3238" s="534" t="n">
        <v>6.359</v>
      </c>
      <c r="C3238" s="534" t="n">
        <v>7883.46</v>
      </c>
      <c r="E3238" s="535" t="n">
        <v>39888</v>
      </c>
      <c r="F3238" s="534" t="n">
        <v>2.036</v>
      </c>
    </row>
    <row r="3239">
      <c r="A3239" s="535" t="n">
        <v>36069</v>
      </c>
      <c r="B3239" s="534" t="n">
        <v>6.359</v>
      </c>
      <c r="C3239" s="534" t="n">
        <v>7883.46</v>
      </c>
      <c r="E3239" s="535" t="n">
        <v>39889</v>
      </c>
      <c r="F3239" s="534" t="n">
        <v>2.188</v>
      </c>
    </row>
    <row r="3240">
      <c r="A3240" s="535" t="n">
        <v>36070</v>
      </c>
      <c r="B3240" s="534" t="n">
        <v>6.359</v>
      </c>
      <c r="C3240" s="534" t="n">
        <v>7883.46</v>
      </c>
      <c r="E3240" s="535" t="n">
        <v>39890</v>
      </c>
      <c r="F3240" s="534" t="n">
        <v>2.267</v>
      </c>
    </row>
    <row r="3241">
      <c r="A3241" s="535" t="n">
        <v>36073</v>
      </c>
      <c r="B3241" s="534" t="n">
        <v>5.924</v>
      </c>
      <c r="C3241" s="534" t="n">
        <v>7564.54</v>
      </c>
      <c r="E3241" s="535" t="n">
        <v>39891</v>
      </c>
      <c r="F3241" s="534" t="n">
        <v>2.053</v>
      </c>
    </row>
    <row r="3242">
      <c r="A3242" s="535" t="n">
        <v>36074</v>
      </c>
      <c r="B3242" s="534" t="n">
        <v>5.924</v>
      </c>
      <c r="C3242" s="534" t="n">
        <v>7564.54</v>
      </c>
      <c r="E3242" s="535" t="n">
        <v>39892</v>
      </c>
      <c r="F3242" s="534" t="n">
        <v>2.068</v>
      </c>
    </row>
    <row r="3243">
      <c r="A3243" s="535" t="n">
        <v>36075</v>
      </c>
      <c r="B3243" s="534" t="n">
        <v>6.359</v>
      </c>
      <c r="C3243" s="534" t="n">
        <v>7744.72</v>
      </c>
      <c r="E3243" s="535" t="n">
        <v>39895</v>
      </c>
      <c r="F3243" s="534" t="n">
        <v>2.037</v>
      </c>
    </row>
    <row r="3244">
      <c r="A3244" s="535" t="n">
        <v>36076</v>
      </c>
      <c r="B3244" s="534" t="n">
        <v>6.359</v>
      </c>
      <c r="C3244" s="534" t="n">
        <v>7939.51</v>
      </c>
      <c r="E3244" s="535" t="n">
        <v>39896</v>
      </c>
      <c r="F3244" s="534" t="n">
        <v>2.129</v>
      </c>
    </row>
    <row r="3245">
      <c r="A3245" s="535" t="n">
        <v>36077</v>
      </c>
      <c r="B3245" s="534" t="n">
        <v>6.49</v>
      </c>
      <c r="C3245" s="534" t="n">
        <v>8506.790000000001</v>
      </c>
      <c r="E3245" s="535" t="n">
        <v>39897</v>
      </c>
      <c r="F3245" s="534" t="n">
        <v>2.119</v>
      </c>
    </row>
    <row r="3246">
      <c r="A3246" s="535" t="n">
        <v>36080</v>
      </c>
      <c r="B3246" s="534" t="n">
        <v>6.882</v>
      </c>
      <c r="C3246" s="534" t="n">
        <v>8990.27</v>
      </c>
      <c r="E3246" s="535" t="n">
        <v>39898</v>
      </c>
      <c r="F3246" s="534" t="n">
        <v>2.163</v>
      </c>
    </row>
    <row r="3247">
      <c r="A3247" s="535" t="n">
        <v>36081</v>
      </c>
      <c r="B3247" s="534" t="n">
        <v>7.187</v>
      </c>
      <c r="C3247" s="534" t="n">
        <v>9008.83</v>
      </c>
      <c r="E3247" s="535" t="n">
        <v>39899</v>
      </c>
      <c r="F3247" s="534" t="n">
        <v>2.128</v>
      </c>
    </row>
    <row r="3248">
      <c r="A3248" s="535" t="n">
        <v>36082</v>
      </c>
      <c r="B3248" s="534" t="n">
        <v>6.795</v>
      </c>
      <c r="C3248" s="534" t="n">
        <v>8840.01</v>
      </c>
      <c r="E3248" s="535" t="n">
        <v>39902</v>
      </c>
      <c r="F3248" s="534" t="n">
        <v>2.119</v>
      </c>
    </row>
    <row r="3249">
      <c r="A3249" s="535" t="n">
        <v>36083</v>
      </c>
      <c r="B3249" s="534" t="n">
        <v>6.969</v>
      </c>
      <c r="C3249" s="534" t="n">
        <v>8970.42</v>
      </c>
      <c r="E3249" s="535" t="n">
        <v>39903</v>
      </c>
      <c r="F3249" s="534" t="n">
        <v>2.128</v>
      </c>
    </row>
    <row r="3250">
      <c r="A3250" s="535" t="n">
        <v>36084</v>
      </c>
      <c r="B3250" s="534" t="n">
        <v>7.448</v>
      </c>
      <c r="C3250" s="534" t="n">
        <v>9777.01</v>
      </c>
      <c r="E3250" s="535" t="n">
        <v>39904</v>
      </c>
      <c r="F3250" s="534" t="n">
        <v>2.122</v>
      </c>
    </row>
    <row r="3251">
      <c r="A3251" s="535" t="n">
        <v>36087</v>
      </c>
      <c r="B3251" s="534" t="n">
        <v>7.361</v>
      </c>
      <c r="C3251" s="534" t="n">
        <v>9599.049999999999</v>
      </c>
      <c r="E3251" s="535" t="n">
        <v>39905</v>
      </c>
      <c r="F3251" s="534" t="n">
        <v>2.044</v>
      </c>
    </row>
    <row r="3252">
      <c r="A3252" s="535" t="n">
        <v>36088</v>
      </c>
      <c r="B3252" s="534" t="n">
        <v>7.317</v>
      </c>
      <c r="C3252" s="534" t="n">
        <v>9642.75</v>
      </c>
      <c r="E3252" s="535" t="n">
        <v>39906</v>
      </c>
      <c r="F3252" s="534" t="n">
        <v>2.162</v>
      </c>
    </row>
    <row r="3253">
      <c r="A3253" s="535" t="n">
        <v>36089</v>
      </c>
      <c r="B3253" s="534" t="n">
        <v>7.274</v>
      </c>
      <c r="C3253" s="534" t="n">
        <v>9662.120000000001</v>
      </c>
      <c r="E3253" s="535" t="n">
        <v>39909</v>
      </c>
      <c r="F3253" s="534" t="n">
        <v>2.223</v>
      </c>
    </row>
    <row r="3254">
      <c r="A3254" s="535" t="n">
        <v>36090</v>
      </c>
      <c r="B3254" s="534" t="n">
        <v>7.23</v>
      </c>
      <c r="C3254" s="534" t="n">
        <v>9658.58</v>
      </c>
      <c r="E3254" s="535" t="n">
        <v>39910</v>
      </c>
      <c r="F3254" s="534" t="n">
        <v>2.229</v>
      </c>
    </row>
    <row r="3255">
      <c r="A3255" s="535" t="n">
        <v>36091</v>
      </c>
      <c r="B3255" s="534" t="n">
        <v>7.187</v>
      </c>
      <c r="C3255" s="534" t="n">
        <v>9817.75</v>
      </c>
      <c r="E3255" s="535" t="n">
        <v>39911</v>
      </c>
      <c r="F3255" s="534" t="n">
        <v>2.224</v>
      </c>
    </row>
    <row r="3256">
      <c r="A3256" s="535" t="n">
        <v>36094</v>
      </c>
      <c r="B3256" s="534" t="n">
        <v>7.143</v>
      </c>
      <c r="C3256" s="534" t="n">
        <v>9778.91</v>
      </c>
      <c r="E3256" s="535" t="n">
        <v>39912</v>
      </c>
      <c r="F3256" s="534" t="n">
        <v>2.316</v>
      </c>
    </row>
    <row r="3257">
      <c r="A3257" s="535" t="n">
        <v>36095</v>
      </c>
      <c r="B3257" s="534" t="n">
        <v>7.187</v>
      </c>
      <c r="C3257" s="534" t="n">
        <v>9927.049999999999</v>
      </c>
      <c r="E3257" s="535" t="n">
        <v>39913</v>
      </c>
      <c r="F3257" s="534" t="n">
        <v>2.316</v>
      </c>
    </row>
    <row r="3258">
      <c r="A3258" s="535" t="n">
        <v>36096</v>
      </c>
      <c r="B3258" s="534" t="n">
        <v>7.187</v>
      </c>
      <c r="C3258" s="534" t="n">
        <v>9927.049999999999</v>
      </c>
      <c r="E3258" s="535" t="n">
        <v>39916</v>
      </c>
      <c r="F3258" s="534" t="n">
        <v>2.316</v>
      </c>
    </row>
    <row r="3259">
      <c r="A3259" s="535" t="n">
        <v>36097</v>
      </c>
      <c r="B3259" s="534" t="n">
        <v>7.143</v>
      </c>
      <c r="C3259" s="534" t="n">
        <v>9931.459999999999</v>
      </c>
      <c r="E3259" s="535" t="n">
        <v>39917</v>
      </c>
      <c r="F3259" s="534" t="n">
        <v>2.29</v>
      </c>
    </row>
    <row r="3260">
      <c r="A3260" s="535" t="n">
        <v>36098</v>
      </c>
      <c r="B3260" s="534" t="n">
        <v>7.187</v>
      </c>
      <c r="C3260" s="534" t="n">
        <v>10154.94</v>
      </c>
      <c r="E3260" s="535" t="n">
        <v>39918</v>
      </c>
      <c r="F3260" s="534" t="n">
        <v>2.216</v>
      </c>
    </row>
    <row r="3261">
      <c r="A3261" s="535" t="n">
        <v>36101</v>
      </c>
      <c r="B3261" s="534" t="n">
        <v>6.925</v>
      </c>
      <c r="C3261" s="534" t="n">
        <v>10170.08</v>
      </c>
      <c r="E3261" s="535" t="n">
        <v>39919</v>
      </c>
      <c r="F3261" s="534" t="n">
        <v>2.238</v>
      </c>
    </row>
    <row r="3262">
      <c r="A3262" s="535" t="n">
        <v>36102</v>
      </c>
      <c r="B3262" s="534" t="n">
        <v>6.925</v>
      </c>
      <c r="C3262" s="534" t="n">
        <v>10358.52</v>
      </c>
      <c r="E3262" s="535" t="n">
        <v>39920</v>
      </c>
      <c r="F3262" s="534" t="n">
        <v>2.293</v>
      </c>
    </row>
    <row r="3263">
      <c r="A3263" s="535" t="n">
        <v>36103</v>
      </c>
      <c r="B3263" s="534" t="n">
        <v>6.969</v>
      </c>
      <c r="C3263" s="534" t="n">
        <v>10508.25</v>
      </c>
      <c r="E3263" s="535" t="n">
        <v>39923</v>
      </c>
      <c r="F3263" s="534" t="n">
        <v>2.352</v>
      </c>
    </row>
    <row r="3264">
      <c r="A3264" s="535" t="n">
        <v>36104</v>
      </c>
      <c r="B3264" s="534" t="n">
        <v>6.969</v>
      </c>
      <c r="C3264" s="534" t="n">
        <v>10221.98</v>
      </c>
      <c r="E3264" s="535" t="n">
        <v>39924</v>
      </c>
      <c r="F3264" s="534" t="n">
        <v>2.363</v>
      </c>
    </row>
    <row r="3265">
      <c r="A3265" s="535" t="n">
        <v>36105</v>
      </c>
      <c r="B3265" s="534" t="n">
        <v>6.795</v>
      </c>
      <c r="C3265" s="534" t="n">
        <v>10139.75</v>
      </c>
      <c r="E3265" s="535" t="n">
        <v>39925</v>
      </c>
      <c r="F3265" s="534" t="n">
        <v>2.378</v>
      </c>
    </row>
    <row r="3266">
      <c r="A3266" s="535" t="n">
        <v>36108</v>
      </c>
      <c r="B3266" s="534" t="n">
        <v>6.403</v>
      </c>
      <c r="C3266" s="534" t="n">
        <v>9851.93</v>
      </c>
      <c r="E3266" s="535" t="n">
        <v>39926</v>
      </c>
      <c r="F3266" s="534" t="n">
        <v>2.332</v>
      </c>
    </row>
    <row r="3267">
      <c r="A3267" s="535" t="n">
        <v>36109</v>
      </c>
      <c r="B3267" s="534" t="n">
        <v>6.228</v>
      </c>
      <c r="C3267" s="534" t="n">
        <v>9721.33</v>
      </c>
      <c r="E3267" s="535" t="n">
        <v>39927</v>
      </c>
      <c r="F3267" s="534" t="n">
        <v>2.324</v>
      </c>
    </row>
    <row r="3268">
      <c r="A3268" s="535" t="n">
        <v>36110</v>
      </c>
      <c r="B3268" s="534" t="n">
        <v>6.708</v>
      </c>
      <c r="C3268" s="534" t="n">
        <v>10137.32</v>
      </c>
      <c r="E3268" s="535" t="n">
        <v>39930</v>
      </c>
      <c r="F3268" s="534" t="n">
        <v>2.329</v>
      </c>
    </row>
    <row r="3269">
      <c r="A3269" s="535" t="n">
        <v>36111</v>
      </c>
      <c r="B3269" s="534" t="n">
        <v>6.577</v>
      </c>
      <c r="C3269" s="534" t="n">
        <v>9948.18</v>
      </c>
      <c r="E3269" s="535" t="n">
        <v>39931</v>
      </c>
      <c r="F3269" s="534" t="n">
        <v>2.279</v>
      </c>
    </row>
    <row r="3270">
      <c r="A3270" s="535" t="n">
        <v>36112</v>
      </c>
      <c r="B3270" s="534" t="n">
        <v>6.446</v>
      </c>
      <c r="C3270" s="534" t="n">
        <v>9997.99</v>
      </c>
      <c r="E3270" s="535" t="n">
        <v>39932</v>
      </c>
      <c r="F3270" s="534" t="n">
        <v>2.292</v>
      </c>
    </row>
    <row r="3271">
      <c r="A3271" s="535" t="n">
        <v>36115</v>
      </c>
      <c r="B3271" s="534" t="n">
        <v>6.49</v>
      </c>
      <c r="C3271" s="534" t="n">
        <v>10298.09</v>
      </c>
      <c r="E3271" s="535" t="n">
        <v>39933</v>
      </c>
      <c r="F3271" s="534" t="n">
        <v>2.308</v>
      </c>
    </row>
    <row r="3272">
      <c r="A3272" s="535" t="n">
        <v>36116</v>
      </c>
      <c r="B3272" s="534" t="n">
        <v>6.359</v>
      </c>
      <c r="C3272" s="534" t="n">
        <v>10148.69</v>
      </c>
      <c r="E3272" s="535" t="n">
        <v>39934</v>
      </c>
      <c r="F3272" s="534" t="n">
        <v>2.308</v>
      </c>
    </row>
    <row r="3273">
      <c r="A3273" s="535" t="n">
        <v>36117</v>
      </c>
      <c r="B3273" s="534" t="n">
        <v>6.359</v>
      </c>
      <c r="C3273" s="534" t="n">
        <v>10213.42</v>
      </c>
      <c r="E3273" s="535" t="n">
        <v>39937</v>
      </c>
      <c r="F3273" s="534" t="n">
        <v>2.331</v>
      </c>
    </row>
    <row r="3274">
      <c r="A3274" s="535" t="n">
        <v>36118</v>
      </c>
      <c r="B3274" s="534" t="n">
        <v>6.359</v>
      </c>
      <c r="C3274" s="534" t="n">
        <v>10313.3</v>
      </c>
      <c r="E3274" s="535" t="n">
        <v>39938</v>
      </c>
      <c r="F3274" s="534" t="n">
        <v>2.334</v>
      </c>
    </row>
    <row r="3275">
      <c r="A3275" s="535" t="n">
        <v>36119</v>
      </c>
      <c r="B3275" s="534" t="n">
        <v>6.316</v>
      </c>
      <c r="C3275" s="534" t="n">
        <v>10233.36</v>
      </c>
      <c r="E3275" s="535" t="n">
        <v>39939</v>
      </c>
      <c r="F3275" s="534" t="n">
        <v>2.321</v>
      </c>
    </row>
    <row r="3276">
      <c r="A3276" s="535" t="n">
        <v>36122</v>
      </c>
      <c r="B3276" s="534" t="n">
        <v>6.664</v>
      </c>
      <c r="C3276" s="534" t="n">
        <v>10514.53</v>
      </c>
      <c r="E3276" s="535" t="n">
        <v>39940</v>
      </c>
      <c r="F3276" s="534" t="n">
        <v>2.318</v>
      </c>
    </row>
    <row r="3277">
      <c r="A3277" s="535" t="n">
        <v>36123</v>
      </c>
      <c r="B3277" s="534" t="n">
        <v>7.012</v>
      </c>
      <c r="C3277" s="534" t="n">
        <v>10851.71</v>
      </c>
      <c r="E3277" s="535" t="n">
        <v>39941</v>
      </c>
      <c r="F3277" s="534" t="n">
        <v>2.433</v>
      </c>
    </row>
    <row r="3278">
      <c r="A3278" s="535" t="n">
        <v>36124</v>
      </c>
      <c r="B3278" s="534" t="n">
        <v>7.1</v>
      </c>
      <c r="C3278" s="534" t="n">
        <v>10720.99</v>
      </c>
      <c r="E3278" s="535" t="n">
        <v>39944</v>
      </c>
      <c r="F3278" s="534" t="n">
        <v>2.432</v>
      </c>
    </row>
    <row r="3279">
      <c r="A3279" s="535" t="n">
        <v>36125</v>
      </c>
      <c r="B3279" s="534" t="n">
        <v>7.056</v>
      </c>
      <c r="C3279" s="534" t="n">
        <v>10778.92</v>
      </c>
      <c r="E3279" s="535" t="n">
        <v>39945</v>
      </c>
      <c r="F3279" s="534" t="n">
        <v>2.44</v>
      </c>
    </row>
    <row r="3280">
      <c r="A3280" s="535" t="n">
        <v>36126</v>
      </c>
      <c r="B3280" s="534" t="n">
        <v>7.056</v>
      </c>
      <c r="C3280" s="534" t="n">
        <v>10742.11</v>
      </c>
      <c r="E3280" s="535" t="n">
        <v>39946</v>
      </c>
      <c r="F3280" s="534" t="n">
        <v>2.513</v>
      </c>
    </row>
    <row r="3281">
      <c r="A3281" s="535" t="n">
        <v>36129</v>
      </c>
      <c r="B3281" s="534" t="n">
        <v>6.533</v>
      </c>
      <c r="C3281" s="534" t="n">
        <v>10402.32</v>
      </c>
      <c r="E3281" s="535" t="n">
        <v>39947</v>
      </c>
      <c r="F3281" s="534" t="n">
        <v>2.401</v>
      </c>
    </row>
    <row r="3282">
      <c r="A3282" s="535" t="n">
        <v>36130</v>
      </c>
      <c r="B3282" s="534" t="n">
        <v>6.62</v>
      </c>
      <c r="C3282" s="534" t="n">
        <v>9975.85</v>
      </c>
      <c r="E3282" s="535" t="n">
        <v>39948</v>
      </c>
      <c r="F3282" s="534" t="n">
        <v>2.315</v>
      </c>
    </row>
    <row r="3283">
      <c r="A3283" s="535" t="n">
        <v>36131</v>
      </c>
      <c r="B3283" s="534" t="n">
        <v>6.664</v>
      </c>
      <c r="C3283" s="534" t="n">
        <v>10055.78</v>
      </c>
      <c r="E3283" s="535" t="n">
        <v>39951</v>
      </c>
      <c r="F3283" s="534" t="n">
        <v>2.388</v>
      </c>
    </row>
    <row r="3284">
      <c r="A3284" s="535" t="n">
        <v>36132</v>
      </c>
      <c r="B3284" s="534" t="n">
        <v>6.664</v>
      </c>
      <c r="C3284" s="534" t="n">
        <v>10046.15</v>
      </c>
      <c r="E3284" s="535" t="n">
        <v>39952</v>
      </c>
      <c r="F3284" s="534" t="n">
        <v>2.483</v>
      </c>
    </row>
    <row r="3285">
      <c r="A3285" s="535" t="n">
        <v>36133</v>
      </c>
      <c r="B3285" s="534" t="n">
        <v>6.708</v>
      </c>
      <c r="C3285" s="534" t="n">
        <v>9963.139999999999</v>
      </c>
      <c r="E3285" s="535" t="n">
        <v>39953</v>
      </c>
      <c r="F3285" s="534" t="n">
        <v>2.478</v>
      </c>
    </row>
    <row r="3286">
      <c r="A3286" s="535" t="n">
        <v>36136</v>
      </c>
      <c r="B3286" s="534" t="n">
        <v>6.969</v>
      </c>
      <c r="C3286" s="534" t="n">
        <v>10428.82</v>
      </c>
      <c r="E3286" s="535" t="n">
        <v>39954</v>
      </c>
      <c r="F3286" s="534" t="n">
        <v>2.494</v>
      </c>
    </row>
    <row r="3287">
      <c r="A3287" s="535" t="n">
        <v>36137</v>
      </c>
      <c r="B3287" s="534" t="n">
        <v>6.925</v>
      </c>
      <c r="C3287" s="534" t="n">
        <v>10351.08</v>
      </c>
      <c r="E3287" s="535" t="n">
        <v>39955</v>
      </c>
      <c r="F3287" s="534" t="n">
        <v>2.72</v>
      </c>
    </row>
    <row r="3288">
      <c r="A3288" s="535" t="n">
        <v>36138</v>
      </c>
      <c r="B3288" s="534" t="n">
        <v>6.62</v>
      </c>
      <c r="C3288" s="534" t="n">
        <v>10361.29</v>
      </c>
      <c r="E3288" s="535" t="n">
        <v>39958</v>
      </c>
      <c r="F3288" s="534" t="n">
        <v>2.825</v>
      </c>
    </row>
    <row r="3289">
      <c r="A3289" s="535" t="n">
        <v>36139</v>
      </c>
      <c r="B3289" s="534" t="n">
        <v>6.751</v>
      </c>
      <c r="C3289" s="534" t="n">
        <v>10315.44</v>
      </c>
      <c r="E3289" s="535" t="n">
        <v>39959</v>
      </c>
      <c r="F3289" s="534" t="n">
        <v>2.773</v>
      </c>
    </row>
    <row r="3290">
      <c r="A3290" s="535" t="n">
        <v>36140</v>
      </c>
      <c r="B3290" s="534" t="n">
        <v>6.533</v>
      </c>
      <c r="C3290" s="534" t="n">
        <v>9952</v>
      </c>
      <c r="E3290" s="535" t="n">
        <v>39960</v>
      </c>
      <c r="F3290" s="534" t="n">
        <v>2.796</v>
      </c>
    </row>
    <row r="3291">
      <c r="A3291" s="535" t="n">
        <v>36143</v>
      </c>
      <c r="B3291" s="534" t="n">
        <v>6.359</v>
      </c>
      <c r="C3291" s="534" t="n">
        <v>9825.209999999999</v>
      </c>
      <c r="E3291" s="535" t="n">
        <v>39961</v>
      </c>
      <c r="F3291" s="534" t="n">
        <v>2.796</v>
      </c>
    </row>
    <row r="3292">
      <c r="A3292" s="535" t="n">
        <v>36144</v>
      </c>
      <c r="B3292" s="534" t="n">
        <v>6.49</v>
      </c>
      <c r="C3292" s="534" t="n">
        <v>9952.84</v>
      </c>
      <c r="E3292" s="535" t="n">
        <v>39962</v>
      </c>
      <c r="F3292" s="534" t="n">
        <v>2.982</v>
      </c>
    </row>
    <row r="3293">
      <c r="A3293" s="535" t="n">
        <v>36145</v>
      </c>
      <c r="B3293" s="534" t="n">
        <v>6.49</v>
      </c>
      <c r="C3293" s="534" t="n">
        <v>9939.389999999999</v>
      </c>
      <c r="E3293" s="535" t="n">
        <v>39965</v>
      </c>
      <c r="F3293" s="534" t="n">
        <v>2.836</v>
      </c>
    </row>
    <row r="3294">
      <c r="A3294" s="535" t="n">
        <v>36146</v>
      </c>
      <c r="B3294" s="534" t="n">
        <v>6.664</v>
      </c>
      <c r="C3294" s="534" t="n">
        <v>10083.31</v>
      </c>
      <c r="E3294" s="535" t="n">
        <v>39966</v>
      </c>
      <c r="F3294" s="534" t="n">
        <v>3.11</v>
      </c>
    </row>
    <row r="3295">
      <c r="A3295" s="535" t="n">
        <v>36147</v>
      </c>
      <c r="B3295" s="534" t="n">
        <v>6.795</v>
      </c>
      <c r="C3295" s="534" t="n">
        <v>10226.23</v>
      </c>
      <c r="E3295" s="535" t="n">
        <v>39967</v>
      </c>
      <c r="F3295" s="534" t="n">
        <v>3.055</v>
      </c>
    </row>
    <row r="3296">
      <c r="A3296" s="535" t="n">
        <v>36150</v>
      </c>
      <c r="B3296" s="534" t="n">
        <v>7.012</v>
      </c>
      <c r="C3296" s="534" t="n">
        <v>10396.01</v>
      </c>
      <c r="E3296" s="535" t="n">
        <v>39968</v>
      </c>
      <c r="F3296" s="534" t="n">
        <v>2.839</v>
      </c>
    </row>
    <row r="3297">
      <c r="A3297" s="535" t="n">
        <v>36151</v>
      </c>
      <c r="B3297" s="534" t="n">
        <v>6.838</v>
      </c>
      <c r="C3297" s="534" t="n">
        <v>10322.56</v>
      </c>
      <c r="E3297" s="535" t="n">
        <v>39969</v>
      </c>
      <c r="F3297" s="534" t="n">
        <v>3.038</v>
      </c>
    </row>
    <row r="3298">
      <c r="A3298" s="535" t="n">
        <v>36152</v>
      </c>
      <c r="B3298" s="534" t="n">
        <v>6.795</v>
      </c>
      <c r="C3298" s="534" t="n">
        <v>10158.75</v>
      </c>
      <c r="E3298" s="535" t="n">
        <v>39972</v>
      </c>
      <c r="F3298" s="534" t="n">
        <v>3.336</v>
      </c>
    </row>
    <row r="3299">
      <c r="A3299" s="535" t="n">
        <v>36153</v>
      </c>
      <c r="B3299" s="534" t="n">
        <v>6.751</v>
      </c>
      <c r="C3299" s="534" t="n">
        <v>10292.2</v>
      </c>
      <c r="E3299" s="535" t="n">
        <v>39973</v>
      </c>
      <c r="F3299" s="534" t="n">
        <v>3.336</v>
      </c>
    </row>
    <row r="3300">
      <c r="A3300" s="535" t="n">
        <v>36154</v>
      </c>
      <c r="B3300" s="534" t="n">
        <v>6.751</v>
      </c>
      <c r="C3300" s="534" t="n">
        <v>10292.2</v>
      </c>
      <c r="E3300" s="535" t="n">
        <v>39974</v>
      </c>
      <c r="F3300" s="534" t="n">
        <v>3.336</v>
      </c>
    </row>
    <row r="3301">
      <c r="A3301" s="535" t="n">
        <v>36157</v>
      </c>
      <c r="B3301" s="534" t="n">
        <v>6.533</v>
      </c>
      <c r="C3301" s="534" t="n">
        <v>10170.14</v>
      </c>
      <c r="E3301" s="535" t="n">
        <v>39975</v>
      </c>
      <c r="F3301" s="534" t="n">
        <v>3.319</v>
      </c>
    </row>
    <row r="3302">
      <c r="A3302" s="535" t="n">
        <v>36158</v>
      </c>
      <c r="B3302" s="534" t="n">
        <v>6.664</v>
      </c>
      <c r="C3302" s="534" t="n">
        <v>10225.97</v>
      </c>
      <c r="E3302" s="535" t="n">
        <v>39976</v>
      </c>
      <c r="F3302" s="534" t="n">
        <v>3.179</v>
      </c>
    </row>
    <row r="3303">
      <c r="A3303" s="535" t="n">
        <v>36159</v>
      </c>
      <c r="B3303" s="534" t="n">
        <v>6.708</v>
      </c>
      <c r="C3303" s="534" t="n">
        <v>10121.44</v>
      </c>
      <c r="E3303" s="535" t="n">
        <v>39979</v>
      </c>
      <c r="F3303" s="534" t="n">
        <v>3.095</v>
      </c>
    </row>
    <row r="3304">
      <c r="A3304" s="535" t="n">
        <v>36160</v>
      </c>
      <c r="B3304" s="534" t="n">
        <v>6.708</v>
      </c>
      <c r="C3304" s="534" t="n">
        <v>10048.58</v>
      </c>
      <c r="E3304" s="535" t="n">
        <v>39980</v>
      </c>
      <c r="F3304" s="534" t="n">
        <v>2.941</v>
      </c>
    </row>
    <row r="3305">
      <c r="A3305" s="535" t="n">
        <v>36161</v>
      </c>
      <c r="B3305" s="534" t="n">
        <v>6.708</v>
      </c>
      <c r="C3305" s="534" t="n">
        <v>10048.58</v>
      </c>
      <c r="E3305" s="535" t="n">
        <v>39981</v>
      </c>
      <c r="F3305" s="534" t="n">
        <v>3.022</v>
      </c>
    </row>
    <row r="3306">
      <c r="A3306" s="535" t="n">
        <v>36164</v>
      </c>
      <c r="B3306" s="534" t="n">
        <v>6.62</v>
      </c>
      <c r="C3306" s="534" t="n">
        <v>9809.17</v>
      </c>
      <c r="E3306" s="535" t="n">
        <v>39982</v>
      </c>
      <c r="F3306" s="534" t="n">
        <v>3.023</v>
      </c>
    </row>
    <row r="3307">
      <c r="A3307" s="535" t="n">
        <v>36165</v>
      </c>
      <c r="B3307" s="534" t="n">
        <v>7.143</v>
      </c>
      <c r="C3307" s="534" t="n">
        <v>9891.059999999999</v>
      </c>
      <c r="E3307" s="535" t="n">
        <v>39983</v>
      </c>
      <c r="F3307" s="534" t="n">
        <v>3.161</v>
      </c>
    </row>
    <row r="3308">
      <c r="A3308" s="535" t="n">
        <v>36166</v>
      </c>
      <c r="B3308" s="534" t="n">
        <v>7.143</v>
      </c>
      <c r="C3308" s="534" t="n">
        <v>10233.8</v>
      </c>
      <c r="E3308" s="535" t="n">
        <v>39986</v>
      </c>
      <c r="F3308" s="534" t="n">
        <v>3.128</v>
      </c>
    </row>
    <row r="3309">
      <c r="A3309" s="535" t="n">
        <v>36167</v>
      </c>
      <c r="B3309" s="534" t="n">
        <v>8.013999999999999</v>
      </c>
      <c r="C3309" s="534" t="n">
        <v>10693.57</v>
      </c>
      <c r="E3309" s="535" t="n">
        <v>39987</v>
      </c>
      <c r="F3309" s="534" t="n">
        <v>3.039</v>
      </c>
    </row>
    <row r="3310">
      <c r="A3310" s="535" t="n">
        <v>36168</v>
      </c>
      <c r="B3310" s="534" t="n">
        <v>7.971</v>
      </c>
      <c r="C3310" s="534" t="n">
        <v>10722.7</v>
      </c>
      <c r="E3310" s="535" t="n">
        <v>39988</v>
      </c>
      <c r="F3310" s="534" t="n">
        <v>2.988</v>
      </c>
    </row>
    <row r="3311">
      <c r="A3311" s="535" t="n">
        <v>36171</v>
      </c>
      <c r="B3311" s="534" t="n">
        <v>7.492</v>
      </c>
      <c r="C3311" s="534" t="n">
        <v>10634.27</v>
      </c>
      <c r="E3311" s="535" t="n">
        <v>39989</v>
      </c>
      <c r="F3311" s="534" t="n">
        <v>3.014</v>
      </c>
    </row>
    <row r="3312">
      <c r="A3312" s="535" t="n">
        <v>36172</v>
      </c>
      <c r="B3312" s="534" t="n">
        <v>7.622</v>
      </c>
      <c r="C3312" s="534" t="n">
        <v>10711.56</v>
      </c>
      <c r="E3312" s="535" t="n">
        <v>39990</v>
      </c>
      <c r="F3312" s="534" t="n">
        <v>2.88</v>
      </c>
    </row>
    <row r="3313">
      <c r="A3313" s="535" t="n">
        <v>36173</v>
      </c>
      <c r="B3313" s="534" t="n">
        <v>7.361</v>
      </c>
      <c r="C3313" s="534" t="n">
        <v>10273.77</v>
      </c>
      <c r="E3313" s="535" t="n">
        <v>39993</v>
      </c>
      <c r="F3313" s="534" t="n">
        <v>2.834</v>
      </c>
    </row>
    <row r="3314">
      <c r="A3314" s="535" t="n">
        <v>36174</v>
      </c>
      <c r="B3314" s="534" t="n">
        <v>7.492</v>
      </c>
      <c r="C3314" s="534" t="n">
        <v>10183.13</v>
      </c>
      <c r="E3314" s="535" t="n">
        <v>39994</v>
      </c>
      <c r="F3314" s="534" t="n">
        <v>2.653</v>
      </c>
    </row>
    <row r="3315">
      <c r="A3315" s="535" t="n">
        <v>36175</v>
      </c>
      <c r="B3315" s="534" t="n">
        <v>7.535</v>
      </c>
      <c r="C3315" s="534" t="n">
        <v>10147.4</v>
      </c>
      <c r="E3315" s="535" t="n">
        <v>39995</v>
      </c>
      <c r="F3315" s="534" t="n">
        <v>2.653</v>
      </c>
    </row>
    <row r="3316">
      <c r="A3316" s="535" t="n">
        <v>36178</v>
      </c>
      <c r="B3316" s="534" t="n">
        <v>7.666</v>
      </c>
      <c r="C3316" s="534" t="n">
        <v>10402.54</v>
      </c>
      <c r="E3316" s="535" t="n">
        <v>39996</v>
      </c>
      <c r="F3316" s="534" t="n">
        <v>2.839</v>
      </c>
    </row>
    <row r="3317">
      <c r="A3317" s="535" t="n">
        <v>36179</v>
      </c>
      <c r="B3317" s="534" t="n">
        <v>7.187</v>
      </c>
      <c r="C3317" s="534" t="n">
        <v>10290.11</v>
      </c>
      <c r="E3317" s="535" t="n">
        <v>39997</v>
      </c>
      <c r="F3317" s="534" t="n">
        <v>2.784</v>
      </c>
    </row>
    <row r="3318">
      <c r="A3318" s="535" t="n">
        <v>36180</v>
      </c>
      <c r="B3318" s="534" t="n">
        <v>7.1</v>
      </c>
      <c r="C3318" s="534" t="n">
        <v>10314.91</v>
      </c>
      <c r="E3318" s="535" t="n">
        <v>40000</v>
      </c>
      <c r="F3318" s="534" t="n">
        <v>2.78</v>
      </c>
    </row>
    <row r="3319">
      <c r="A3319" s="535" t="n">
        <v>36181</v>
      </c>
      <c r="B3319" s="534" t="n">
        <v>7.317</v>
      </c>
      <c r="C3319" s="534" t="n">
        <v>10048.57</v>
      </c>
      <c r="E3319" s="535" t="n">
        <v>40001</v>
      </c>
      <c r="F3319" s="534" t="n">
        <v>2.777</v>
      </c>
    </row>
    <row r="3320">
      <c r="A3320" s="535" t="n">
        <v>36182</v>
      </c>
      <c r="B3320" s="534" t="n">
        <v>7.23</v>
      </c>
      <c r="C3320" s="534" t="n">
        <v>9738.52</v>
      </c>
      <c r="E3320" s="535" t="n">
        <v>40002</v>
      </c>
      <c r="F3320" s="534" t="n">
        <v>2.704</v>
      </c>
    </row>
    <row r="3321">
      <c r="A3321" s="535" t="n">
        <v>36185</v>
      </c>
      <c r="B3321" s="534" t="n">
        <v>7.1</v>
      </c>
      <c r="C3321" s="534" t="n">
        <v>9499.5</v>
      </c>
      <c r="E3321" s="535" t="n">
        <v>40003</v>
      </c>
      <c r="F3321" s="534" t="n">
        <v>2.615</v>
      </c>
    </row>
    <row r="3322">
      <c r="A3322" s="535" t="n">
        <v>36186</v>
      </c>
      <c r="B3322" s="534" t="n">
        <v>6.882</v>
      </c>
      <c r="C3322" s="534" t="n">
        <v>9509.83</v>
      </c>
      <c r="E3322" s="535" t="n">
        <v>40004</v>
      </c>
      <c r="F3322" s="534" t="n">
        <v>2.6</v>
      </c>
    </row>
    <row r="3323">
      <c r="A3323" s="535" t="n">
        <v>36187</v>
      </c>
      <c r="B3323" s="534" t="n">
        <v>6.838</v>
      </c>
      <c r="C3323" s="534" t="n">
        <v>9719.66</v>
      </c>
      <c r="E3323" s="535" t="n">
        <v>40007</v>
      </c>
      <c r="F3323" s="534" t="n">
        <v>2.547</v>
      </c>
    </row>
    <row r="3324">
      <c r="A3324" s="535" t="n">
        <v>36188</v>
      </c>
      <c r="B3324" s="534" t="n">
        <v>6.577</v>
      </c>
      <c r="C3324" s="534" t="n">
        <v>9360.959999999999</v>
      </c>
      <c r="E3324" s="535" t="n">
        <v>40008</v>
      </c>
      <c r="F3324" s="534" t="n">
        <v>2.574</v>
      </c>
    </row>
    <row r="3325">
      <c r="A3325" s="535" t="n">
        <v>36189</v>
      </c>
      <c r="B3325" s="534" t="n">
        <v>6.577</v>
      </c>
      <c r="C3325" s="534" t="n">
        <v>9506.9</v>
      </c>
      <c r="E3325" s="535" t="n">
        <v>40009</v>
      </c>
      <c r="F3325" s="534" t="n">
        <v>2.433</v>
      </c>
    </row>
    <row r="3326">
      <c r="A3326" s="535" t="n">
        <v>36192</v>
      </c>
      <c r="B3326" s="534" t="n">
        <v>6.795</v>
      </c>
      <c r="C3326" s="534" t="n">
        <v>9599.549999999999</v>
      </c>
      <c r="E3326" s="535" t="n">
        <v>40010</v>
      </c>
      <c r="F3326" s="534" t="n">
        <v>2.637</v>
      </c>
    </row>
    <row r="3327">
      <c r="A3327" s="535" t="n">
        <v>36193</v>
      </c>
      <c r="B3327" s="534" t="n">
        <v>6.751</v>
      </c>
      <c r="C3327" s="534" t="n">
        <v>9502.719999999999</v>
      </c>
      <c r="E3327" s="535" t="n">
        <v>40011</v>
      </c>
      <c r="F3327" s="534" t="n">
        <v>2.59</v>
      </c>
    </row>
    <row r="3328">
      <c r="A3328" s="535" t="n">
        <v>36194</v>
      </c>
      <c r="B3328" s="534" t="n">
        <v>6.795</v>
      </c>
      <c r="C3328" s="534" t="n">
        <v>9419.85</v>
      </c>
      <c r="E3328" s="535" t="n">
        <v>40014</v>
      </c>
      <c r="F3328" s="534" t="n">
        <v>2.664</v>
      </c>
    </row>
    <row r="3329">
      <c r="A3329" s="535" t="n">
        <v>36195</v>
      </c>
      <c r="B3329" s="534" t="n">
        <v>6.838</v>
      </c>
      <c r="C3329" s="534" t="n">
        <v>9438.65</v>
      </c>
      <c r="E3329" s="535" t="n">
        <v>40015</v>
      </c>
      <c r="F3329" s="534" t="n">
        <v>2.609</v>
      </c>
    </row>
    <row r="3330">
      <c r="A3330" s="535" t="n">
        <v>36196</v>
      </c>
      <c r="B3330" s="534" t="n">
        <v>7.056</v>
      </c>
      <c r="C3330" s="534" t="n">
        <v>9190.200000000001</v>
      </c>
      <c r="E3330" s="535" t="n">
        <v>40016</v>
      </c>
      <c r="F3330" s="534" t="n">
        <v>2.518</v>
      </c>
    </row>
    <row r="3331">
      <c r="A3331" s="535" t="n">
        <v>36199</v>
      </c>
      <c r="B3331" s="534" t="n">
        <v>6.664</v>
      </c>
      <c r="C3331" s="534" t="n">
        <v>9139.6</v>
      </c>
      <c r="E3331" s="535" t="n">
        <v>40017</v>
      </c>
      <c r="F3331" s="534" t="n">
        <v>2.548</v>
      </c>
    </row>
    <row r="3332">
      <c r="A3332" s="535" t="n">
        <v>36200</v>
      </c>
      <c r="B3332" s="534" t="n">
        <v>6.751</v>
      </c>
      <c r="C3332" s="534" t="n">
        <v>9244.49</v>
      </c>
      <c r="E3332" s="535" t="n">
        <v>40018</v>
      </c>
      <c r="F3332" s="534" t="n">
        <v>2.624</v>
      </c>
    </row>
    <row r="3333">
      <c r="A3333" s="535" t="n">
        <v>36201</v>
      </c>
      <c r="B3333" s="534" t="n">
        <v>6.62</v>
      </c>
      <c r="C3333" s="534" t="n">
        <v>9076.33</v>
      </c>
      <c r="E3333" s="535" t="n">
        <v>40021</v>
      </c>
      <c r="F3333" s="534" t="n">
        <v>2.613</v>
      </c>
    </row>
    <row r="3334">
      <c r="A3334" s="535" t="n">
        <v>36202</v>
      </c>
      <c r="B3334" s="534" t="n">
        <v>6.577</v>
      </c>
      <c r="C3334" s="534" t="n">
        <v>9146.799999999999</v>
      </c>
      <c r="E3334" s="535" t="n">
        <v>40022</v>
      </c>
      <c r="F3334" s="534" t="n">
        <v>2.599</v>
      </c>
    </row>
    <row r="3335">
      <c r="A3335" s="535" t="n">
        <v>36203</v>
      </c>
      <c r="B3335" s="534" t="n">
        <v>6.838</v>
      </c>
      <c r="C3335" s="534" t="n">
        <v>9425.42</v>
      </c>
      <c r="E3335" s="535" t="n">
        <v>40023</v>
      </c>
      <c r="F3335" s="534" t="n">
        <v>2.369</v>
      </c>
    </row>
    <row r="3336">
      <c r="A3336" s="535" t="n">
        <v>36206</v>
      </c>
      <c r="B3336" s="534" t="n">
        <v>6.838</v>
      </c>
      <c r="C3336" s="534" t="n">
        <v>9402.389999999999</v>
      </c>
      <c r="E3336" s="535" t="n">
        <v>40024</v>
      </c>
      <c r="F3336" s="534" t="n">
        <v>2.575</v>
      </c>
    </row>
    <row r="3337">
      <c r="A3337" s="535" t="n">
        <v>36207</v>
      </c>
      <c r="B3337" s="534" t="n">
        <v>6.838</v>
      </c>
      <c r="C3337" s="534" t="n">
        <v>9402.389999999999</v>
      </c>
      <c r="E3337" s="535" t="n">
        <v>40025</v>
      </c>
      <c r="F3337" s="534" t="n">
        <v>2.524</v>
      </c>
    </row>
    <row r="3338">
      <c r="A3338" s="535" t="n">
        <v>36208</v>
      </c>
      <c r="B3338" s="534" t="n">
        <v>6.838</v>
      </c>
      <c r="C3338" s="534" t="n">
        <v>9402.389999999999</v>
      </c>
      <c r="E3338" s="535" t="n">
        <v>40028</v>
      </c>
      <c r="F3338" s="534" t="n">
        <v>2.451</v>
      </c>
    </row>
    <row r="3339">
      <c r="A3339" s="535" t="n">
        <v>36209</v>
      </c>
      <c r="B3339" s="534" t="n">
        <v>6.838</v>
      </c>
      <c r="C3339" s="534" t="n">
        <v>9402.389999999999</v>
      </c>
      <c r="E3339" s="535" t="n">
        <v>40029</v>
      </c>
      <c r="F3339" s="534" t="n">
        <v>2.576</v>
      </c>
    </row>
    <row r="3340">
      <c r="A3340" s="535" t="n">
        <v>36210</v>
      </c>
      <c r="B3340" s="534" t="n">
        <v>6.708</v>
      </c>
      <c r="C3340" s="534" t="n">
        <v>9254.120000000001</v>
      </c>
      <c r="E3340" s="535" t="n">
        <v>40030</v>
      </c>
      <c r="F3340" s="534" t="n">
        <v>2.631</v>
      </c>
    </row>
    <row r="3341">
      <c r="A3341" s="535" t="n">
        <v>36213</v>
      </c>
      <c r="B3341" s="534" t="n">
        <v>7.1</v>
      </c>
      <c r="C3341" s="534" t="n">
        <v>9229.34</v>
      </c>
      <c r="E3341" s="535" t="n">
        <v>40031</v>
      </c>
      <c r="F3341" s="534" t="n">
        <v>2.704</v>
      </c>
    </row>
    <row r="3342">
      <c r="A3342" s="535" t="n">
        <v>36214</v>
      </c>
      <c r="B3342" s="534" t="n">
        <v>7.187</v>
      </c>
      <c r="C3342" s="534" t="n">
        <v>9433.99</v>
      </c>
      <c r="E3342" s="535" t="n">
        <v>40032</v>
      </c>
      <c r="F3342" s="534" t="n">
        <v>2.738</v>
      </c>
    </row>
    <row r="3343">
      <c r="A3343" s="535" t="n">
        <v>36215</v>
      </c>
      <c r="B3343" s="534" t="n">
        <v>7.448</v>
      </c>
      <c r="C3343" s="534" t="n">
        <v>9677.57</v>
      </c>
      <c r="E3343" s="535" t="n">
        <v>40035</v>
      </c>
      <c r="F3343" s="534" t="n">
        <v>2.836</v>
      </c>
    </row>
    <row r="3344">
      <c r="A3344" s="535" t="n">
        <v>36216</v>
      </c>
      <c r="B3344" s="534" t="n">
        <v>7.404</v>
      </c>
      <c r="C3344" s="534" t="n">
        <v>9658.07</v>
      </c>
      <c r="E3344" s="535" t="n">
        <v>40036</v>
      </c>
      <c r="F3344" s="534" t="n">
        <v>2.811</v>
      </c>
    </row>
    <row r="3345">
      <c r="A3345" s="535" t="n">
        <v>36217</v>
      </c>
      <c r="B3345" s="534" t="n">
        <v>7.535</v>
      </c>
      <c r="C3345" s="534" t="n">
        <v>9858.49</v>
      </c>
      <c r="E3345" s="535" t="n">
        <v>40037</v>
      </c>
      <c r="F3345" s="534" t="n">
        <v>2.735</v>
      </c>
    </row>
    <row r="3346">
      <c r="A3346" s="535" t="n">
        <v>36220</v>
      </c>
      <c r="B3346" s="534" t="n">
        <v>7.579</v>
      </c>
      <c r="C3346" s="534" t="n">
        <v>10020.46</v>
      </c>
      <c r="E3346" s="535" t="n">
        <v>40038</v>
      </c>
      <c r="F3346" s="534" t="n">
        <v>2.756</v>
      </c>
    </row>
    <row r="3347">
      <c r="A3347" s="535" t="n">
        <v>36221</v>
      </c>
      <c r="B3347" s="534" t="n">
        <v>7.666</v>
      </c>
      <c r="C3347" s="534" t="n">
        <v>9913.58</v>
      </c>
      <c r="E3347" s="535" t="n">
        <v>40039</v>
      </c>
      <c r="F3347" s="534" t="n">
        <v>2.651</v>
      </c>
    </row>
    <row r="3348">
      <c r="A3348" s="535" t="n">
        <v>36222</v>
      </c>
      <c r="B3348" s="534" t="n">
        <v>7.666</v>
      </c>
      <c r="C3348" s="534" t="n">
        <v>9922.4</v>
      </c>
      <c r="E3348" s="535" t="n">
        <v>40042</v>
      </c>
      <c r="F3348" s="534" t="n">
        <v>2.587</v>
      </c>
    </row>
    <row r="3349">
      <c r="A3349" s="535" t="n">
        <v>36223</v>
      </c>
      <c r="B3349" s="534" t="n">
        <v>7.317</v>
      </c>
      <c r="C3349" s="534" t="n">
        <v>9912.76</v>
      </c>
      <c r="E3349" s="535" t="n">
        <v>40043</v>
      </c>
      <c r="F3349" s="534" t="n">
        <v>2.63</v>
      </c>
    </row>
    <row r="3350">
      <c r="A3350" s="535" t="n">
        <v>36224</v>
      </c>
      <c r="B3350" s="534" t="n">
        <v>7.579</v>
      </c>
      <c r="C3350" s="534" t="n">
        <v>10241.12</v>
      </c>
      <c r="E3350" s="535" t="n">
        <v>40044</v>
      </c>
      <c r="F3350" s="534" t="n">
        <v>2.591</v>
      </c>
    </row>
    <row r="3351">
      <c r="A3351" s="535" t="n">
        <v>36227</v>
      </c>
      <c r="B3351" s="534" t="n">
        <v>7.361</v>
      </c>
      <c r="C3351" s="534" t="n">
        <v>10263.99</v>
      </c>
      <c r="E3351" s="535" t="n">
        <v>40045</v>
      </c>
      <c r="F3351" s="534" t="n">
        <v>2.623</v>
      </c>
    </row>
    <row r="3352">
      <c r="A3352" s="535" t="n">
        <v>36228</v>
      </c>
      <c r="B3352" s="534" t="n">
        <v>7.666</v>
      </c>
      <c r="C3352" s="534" t="n">
        <v>10532.95</v>
      </c>
      <c r="E3352" s="535" t="n">
        <v>40046</v>
      </c>
      <c r="F3352" s="534" t="n">
        <v>2.569</v>
      </c>
    </row>
    <row r="3353">
      <c r="A3353" s="535" t="n">
        <v>36229</v>
      </c>
      <c r="B3353" s="534" t="n">
        <v>8.058</v>
      </c>
      <c r="C3353" s="534" t="n">
        <v>10749.01</v>
      </c>
      <c r="E3353" s="535" t="n">
        <v>40049</v>
      </c>
      <c r="F3353" s="534" t="n">
        <v>2.699</v>
      </c>
    </row>
    <row r="3354">
      <c r="A3354" s="535" t="n">
        <v>36230</v>
      </c>
      <c r="B3354" s="534" t="n">
        <v>8.493</v>
      </c>
      <c r="C3354" s="534" t="n">
        <v>10662.81</v>
      </c>
      <c r="E3354" s="535" t="n">
        <v>40050</v>
      </c>
      <c r="F3354" s="534" t="n">
        <v>2.63</v>
      </c>
    </row>
    <row r="3355">
      <c r="A3355" s="535" t="n">
        <v>36231</v>
      </c>
      <c r="B3355" s="534" t="n">
        <v>8.363</v>
      </c>
      <c r="C3355" s="534" t="n">
        <v>10801.76</v>
      </c>
      <c r="E3355" s="535" t="n">
        <v>40051</v>
      </c>
      <c r="F3355" s="534" t="n">
        <v>2.494</v>
      </c>
    </row>
    <row r="3356">
      <c r="A3356" s="535" t="n">
        <v>36234</v>
      </c>
      <c r="B3356" s="534" t="n">
        <v>8.363</v>
      </c>
      <c r="C3356" s="534" t="n">
        <v>10836.86</v>
      </c>
      <c r="E3356" s="535" t="n">
        <v>40052</v>
      </c>
      <c r="F3356" s="534" t="n">
        <v>2.592</v>
      </c>
    </row>
    <row r="3357">
      <c r="A3357" s="535" t="n">
        <v>36235</v>
      </c>
      <c r="B3357" s="534" t="n">
        <v>8.101000000000001</v>
      </c>
      <c r="C3357" s="534" t="n">
        <v>10911.25</v>
      </c>
      <c r="E3357" s="535" t="n">
        <v>40053</v>
      </c>
      <c r="F3357" s="534" t="n">
        <v>2.63</v>
      </c>
    </row>
    <row r="3358">
      <c r="A3358" s="535" t="n">
        <v>36236</v>
      </c>
      <c r="B3358" s="534" t="n">
        <v>7.971</v>
      </c>
      <c r="C3358" s="534" t="n">
        <v>10940.07</v>
      </c>
      <c r="E3358" s="535" t="n">
        <v>40056</v>
      </c>
      <c r="F3358" s="534" t="n">
        <v>2.558</v>
      </c>
    </row>
    <row r="3359">
      <c r="A3359" s="535" t="n">
        <v>36237</v>
      </c>
      <c r="B3359" s="534" t="n">
        <v>7.709</v>
      </c>
      <c r="C3359" s="534" t="n">
        <v>10659.32</v>
      </c>
      <c r="E3359" s="535" t="n">
        <v>40057</v>
      </c>
      <c r="F3359" s="534" t="n">
        <v>2.535</v>
      </c>
    </row>
    <row r="3360">
      <c r="A3360" s="535" t="n">
        <v>36238</v>
      </c>
      <c r="B3360" s="534" t="n">
        <v>8.276</v>
      </c>
      <c r="C3360" s="534" t="n">
        <v>11082.92</v>
      </c>
      <c r="E3360" s="535" t="n">
        <v>40058</v>
      </c>
      <c r="F3360" s="534" t="n">
        <v>2.532</v>
      </c>
    </row>
    <row r="3361">
      <c r="A3361" s="535" t="n">
        <v>36241</v>
      </c>
      <c r="B3361" s="534" t="n">
        <v>8.276</v>
      </c>
      <c r="C3361" s="534" t="n">
        <v>11107.24</v>
      </c>
      <c r="E3361" s="535" t="n">
        <v>40059</v>
      </c>
      <c r="F3361" s="534" t="n">
        <v>2.401</v>
      </c>
    </row>
    <row r="3362">
      <c r="A3362" s="535" t="n">
        <v>36242</v>
      </c>
      <c r="B3362" s="534" t="n">
        <v>8.188000000000001</v>
      </c>
      <c r="C3362" s="534" t="n">
        <v>11041.01</v>
      </c>
      <c r="E3362" s="535" t="n">
        <v>40060</v>
      </c>
      <c r="F3362" s="534" t="n">
        <v>2.509</v>
      </c>
    </row>
    <row r="3363">
      <c r="A3363" s="535" t="n">
        <v>36243</v>
      </c>
      <c r="B3363" s="534" t="n">
        <v>7.709</v>
      </c>
      <c r="C3363" s="534" t="n">
        <v>10711.34</v>
      </c>
      <c r="E3363" s="535" t="n">
        <v>40063</v>
      </c>
      <c r="F3363" s="534" t="n">
        <v>2.556</v>
      </c>
    </row>
    <row r="3364">
      <c r="A3364" s="535" t="n">
        <v>36244</v>
      </c>
      <c r="B3364" s="534" t="n">
        <v>7.84</v>
      </c>
      <c r="C3364" s="534" t="n">
        <v>10826.13</v>
      </c>
      <c r="E3364" s="535" t="n">
        <v>40064</v>
      </c>
      <c r="F3364" s="534" t="n">
        <v>2.552</v>
      </c>
    </row>
    <row r="3365">
      <c r="A3365" s="535" t="n">
        <v>36245</v>
      </c>
      <c r="B3365" s="534" t="n">
        <v>7.535</v>
      </c>
      <c r="C3365" s="534" t="n">
        <v>10803.31</v>
      </c>
      <c r="E3365" s="535" t="n">
        <v>40065</v>
      </c>
      <c r="F3365" s="534" t="n">
        <v>2.418</v>
      </c>
    </row>
    <row r="3366">
      <c r="A3366" s="535" t="n">
        <v>36248</v>
      </c>
      <c r="B3366" s="534" t="n">
        <v>7.535</v>
      </c>
      <c r="C3366" s="534" t="n">
        <v>10688.47</v>
      </c>
      <c r="E3366" s="535" t="n">
        <v>40066</v>
      </c>
      <c r="F3366" s="534" t="n">
        <v>2.58</v>
      </c>
    </row>
    <row r="3367">
      <c r="A3367" s="535" t="n">
        <v>36249</v>
      </c>
      <c r="B3367" s="534" t="n">
        <v>7.796</v>
      </c>
      <c r="C3367" s="534" t="n">
        <v>10940.21</v>
      </c>
      <c r="E3367" s="535" t="n">
        <v>40067</v>
      </c>
      <c r="F3367" s="534" t="n">
        <v>2.532</v>
      </c>
    </row>
    <row r="3368">
      <c r="A3368" s="535" t="n">
        <v>36250</v>
      </c>
      <c r="B3368" s="534" t="n">
        <v>7.753</v>
      </c>
      <c r="C3368" s="534" t="n">
        <v>10942.2</v>
      </c>
      <c r="E3368" s="535" t="n">
        <v>40070</v>
      </c>
      <c r="F3368" s="534" t="n">
        <v>2.525</v>
      </c>
    </row>
    <row r="3369">
      <c r="A3369" s="535" t="n">
        <v>36251</v>
      </c>
      <c r="B3369" s="534" t="n">
        <v>7.927</v>
      </c>
      <c r="C3369" s="534" t="n">
        <v>11072.98</v>
      </c>
      <c r="E3369" s="535" t="n">
        <v>40071</v>
      </c>
      <c r="F3369" s="534" t="n">
        <v>2.461</v>
      </c>
    </row>
    <row r="3370">
      <c r="A3370" s="535" t="n">
        <v>36252</v>
      </c>
      <c r="B3370" s="534" t="n">
        <v>7.927</v>
      </c>
      <c r="C3370" s="534" t="n">
        <v>11072.98</v>
      </c>
      <c r="E3370" s="535" t="n">
        <v>40072</v>
      </c>
      <c r="F3370" s="534" t="n">
        <v>2.464</v>
      </c>
    </row>
    <row r="3371">
      <c r="A3371" s="535" t="n">
        <v>36255</v>
      </c>
      <c r="B3371" s="534" t="n">
        <v>7.927</v>
      </c>
      <c r="C3371" s="534" t="n">
        <v>11072.98</v>
      </c>
      <c r="E3371" s="535" t="n">
        <v>40073</v>
      </c>
      <c r="F3371" s="534" t="n">
        <v>2.622</v>
      </c>
    </row>
    <row r="3372">
      <c r="A3372" s="535" t="n">
        <v>36256</v>
      </c>
      <c r="B3372" s="534" t="n">
        <v>7.927</v>
      </c>
      <c r="C3372" s="534" t="n">
        <v>11072.98</v>
      </c>
      <c r="E3372" s="535" t="n">
        <v>40074</v>
      </c>
      <c r="F3372" s="534" t="n">
        <v>2.56</v>
      </c>
    </row>
    <row r="3373">
      <c r="A3373" s="535" t="n">
        <v>36257</v>
      </c>
      <c r="B3373" s="534" t="n">
        <v>8.276</v>
      </c>
      <c r="C3373" s="534" t="n">
        <v>11614.87</v>
      </c>
      <c r="E3373" s="535" t="n">
        <v>40077</v>
      </c>
      <c r="F3373" s="534" t="n">
        <v>2.628</v>
      </c>
    </row>
    <row r="3374">
      <c r="A3374" s="535" t="n">
        <v>36258</v>
      </c>
      <c r="B3374" s="534" t="n">
        <v>8.231999999999999</v>
      </c>
      <c r="C3374" s="534" t="n">
        <v>11727.84</v>
      </c>
      <c r="E3374" s="535" t="n">
        <v>40078</v>
      </c>
      <c r="F3374" s="534" t="n">
        <v>2.629</v>
      </c>
    </row>
    <row r="3375">
      <c r="A3375" s="535" t="n">
        <v>36259</v>
      </c>
      <c r="B3375" s="534" t="n">
        <v>8.798</v>
      </c>
      <c r="C3375" s="534" t="n">
        <v>11914.1</v>
      </c>
      <c r="E3375" s="535" t="n">
        <v>40079</v>
      </c>
      <c r="F3375" s="534" t="n">
        <v>2.62</v>
      </c>
    </row>
    <row r="3376">
      <c r="A3376" s="535" t="n">
        <v>36262</v>
      </c>
      <c r="B3376" s="534" t="n">
        <v>8.58</v>
      </c>
      <c r="C3376" s="534" t="n">
        <v>11744.74</v>
      </c>
      <c r="E3376" s="535" t="n">
        <v>40080</v>
      </c>
      <c r="F3376" s="534" t="n">
        <v>2.586</v>
      </c>
    </row>
    <row r="3377">
      <c r="A3377" s="535" t="n">
        <v>36263</v>
      </c>
      <c r="B3377" s="534" t="n">
        <v>8.711</v>
      </c>
      <c r="C3377" s="534" t="n">
        <v>11899.69</v>
      </c>
      <c r="E3377" s="535" t="n">
        <v>40081</v>
      </c>
      <c r="F3377" s="534" t="n">
        <v>2.565</v>
      </c>
    </row>
    <row r="3378">
      <c r="A3378" s="535" t="n">
        <v>36264</v>
      </c>
      <c r="B3378" s="534" t="n">
        <v>8.972</v>
      </c>
      <c r="C3378" s="534" t="n">
        <v>11834.13</v>
      </c>
      <c r="E3378" s="535" t="n">
        <v>40084</v>
      </c>
      <c r="F3378" s="534" t="n">
        <v>2.547</v>
      </c>
    </row>
    <row r="3379">
      <c r="A3379" s="535" t="n">
        <v>36265</v>
      </c>
      <c r="B3379" s="534" t="n">
        <v>9.016</v>
      </c>
      <c r="C3379" s="534" t="n">
        <v>11962.23</v>
      </c>
      <c r="E3379" s="535" t="n">
        <v>40085</v>
      </c>
      <c r="F3379" s="534" t="n">
        <v>2.564</v>
      </c>
    </row>
    <row r="3380">
      <c r="A3380" s="535" t="n">
        <v>36266</v>
      </c>
      <c r="B3380" s="534" t="n">
        <v>9.407999999999999</v>
      </c>
      <c r="C3380" s="534" t="n">
        <v>12490.3</v>
      </c>
      <c r="E3380" s="535" t="n">
        <v>40086</v>
      </c>
      <c r="F3380" s="534" t="n">
        <v>2.423</v>
      </c>
    </row>
    <row r="3381">
      <c r="A3381" s="535" t="n">
        <v>36269</v>
      </c>
      <c r="B3381" s="534" t="n">
        <v>9.669</v>
      </c>
      <c r="C3381" s="534" t="n">
        <v>12766.44</v>
      </c>
      <c r="E3381" s="535" t="n">
        <v>40087</v>
      </c>
      <c r="F3381" s="534" t="n">
        <v>2.423</v>
      </c>
    </row>
    <row r="3382">
      <c r="A3382" s="535" t="n">
        <v>36270</v>
      </c>
      <c r="B3382" s="534" t="n">
        <v>9.669</v>
      </c>
      <c r="C3382" s="534" t="n">
        <v>12409.78</v>
      </c>
      <c r="E3382" s="535" t="n">
        <v>40088</v>
      </c>
      <c r="F3382" s="534" t="n">
        <v>2.371</v>
      </c>
    </row>
    <row r="3383">
      <c r="A3383" s="535" t="n">
        <v>36271</v>
      </c>
      <c r="B3383" s="534" t="n">
        <v>9.843999999999999</v>
      </c>
      <c r="C3383" s="534" t="n">
        <v>12543.76</v>
      </c>
      <c r="E3383" s="535" t="n">
        <v>40091</v>
      </c>
      <c r="F3383" s="534" t="n">
        <v>2.391</v>
      </c>
    </row>
    <row r="3384">
      <c r="A3384" s="535" t="n">
        <v>36272</v>
      </c>
      <c r="B3384" s="534" t="n">
        <v>9.974</v>
      </c>
      <c r="C3384" s="534" t="n">
        <v>12933.54</v>
      </c>
      <c r="E3384" s="535" t="n">
        <v>40092</v>
      </c>
      <c r="F3384" s="534" t="n">
        <v>2.407</v>
      </c>
    </row>
    <row r="3385">
      <c r="A3385" s="535" t="n">
        <v>36273</v>
      </c>
      <c r="B3385" s="534" t="n">
        <v>10.192</v>
      </c>
      <c r="C3385" s="534" t="n">
        <v>12905.3</v>
      </c>
      <c r="E3385" s="535" t="n">
        <v>40093</v>
      </c>
      <c r="F3385" s="534" t="n">
        <v>2.429</v>
      </c>
    </row>
    <row r="3386">
      <c r="A3386" s="535" t="n">
        <v>36276</v>
      </c>
      <c r="B3386" s="534" t="n">
        <v>10.41</v>
      </c>
      <c r="C3386" s="534" t="n">
        <v>13127.02</v>
      </c>
      <c r="E3386" s="535" t="n">
        <v>40094</v>
      </c>
      <c r="F3386" s="534" t="n">
        <v>2.384</v>
      </c>
    </row>
    <row r="3387">
      <c r="A3387" s="535" t="n">
        <v>36277</v>
      </c>
      <c r="B3387" s="534" t="n">
        <v>10.758</v>
      </c>
      <c r="C3387" s="534" t="n">
        <v>13364.79</v>
      </c>
      <c r="E3387" s="535" t="n">
        <v>40095</v>
      </c>
      <c r="F3387" s="534" t="n">
        <v>2.405</v>
      </c>
    </row>
    <row r="3388">
      <c r="A3388" s="535" t="n">
        <v>36278</v>
      </c>
      <c r="B3388" s="534" t="n">
        <v>10.889</v>
      </c>
      <c r="C3388" s="534" t="n">
        <v>13133.39</v>
      </c>
      <c r="E3388" s="535" t="n">
        <v>40098</v>
      </c>
      <c r="F3388" s="534" t="n">
        <v>2.341</v>
      </c>
    </row>
    <row r="3389">
      <c r="A3389" s="535" t="n">
        <v>36279</v>
      </c>
      <c r="B3389" s="534" t="n">
        <v>10.715</v>
      </c>
      <c r="C3389" s="534" t="n">
        <v>13179.7</v>
      </c>
      <c r="E3389" s="535" t="n">
        <v>40099</v>
      </c>
      <c r="F3389" s="534" t="n">
        <v>2.416</v>
      </c>
    </row>
    <row r="3390">
      <c r="A3390" s="535" t="n">
        <v>36280</v>
      </c>
      <c r="B3390" s="534" t="n">
        <v>10.845</v>
      </c>
      <c r="C3390" s="534" t="n">
        <v>13333.2</v>
      </c>
      <c r="E3390" s="535" t="n">
        <v>40100</v>
      </c>
      <c r="F3390" s="534" t="n">
        <v>2.385</v>
      </c>
    </row>
    <row r="3391">
      <c r="A3391" s="535" t="n">
        <v>36283</v>
      </c>
      <c r="B3391" s="534" t="n">
        <v>10.932</v>
      </c>
      <c r="C3391" s="534" t="n">
        <v>13337.07</v>
      </c>
      <c r="E3391" s="535" t="n">
        <v>40101</v>
      </c>
      <c r="F3391" s="534" t="n">
        <v>2.407</v>
      </c>
    </row>
    <row r="3392">
      <c r="A3392" s="535" t="n">
        <v>36284</v>
      </c>
      <c r="B3392" s="534" t="n">
        <v>10.932</v>
      </c>
      <c r="C3392" s="534" t="n">
        <v>13559.69</v>
      </c>
      <c r="E3392" s="535" t="n">
        <v>40102</v>
      </c>
      <c r="F3392" s="534" t="n">
        <v>2.418</v>
      </c>
    </row>
    <row r="3393">
      <c r="A3393" s="535" t="n">
        <v>36285</v>
      </c>
      <c r="B3393" s="534" t="n">
        <v>10.976</v>
      </c>
      <c r="C3393" s="534" t="n">
        <v>13586.21</v>
      </c>
      <c r="E3393" s="535" t="n">
        <v>40105</v>
      </c>
      <c r="F3393" s="534" t="n">
        <v>2.399</v>
      </c>
    </row>
    <row r="3394">
      <c r="A3394" s="535" t="n">
        <v>36286</v>
      </c>
      <c r="B3394" s="534" t="n">
        <v>11.107</v>
      </c>
      <c r="C3394" s="534" t="n">
        <v>13570.24</v>
      </c>
      <c r="E3394" s="535" t="n">
        <v>40106</v>
      </c>
      <c r="F3394" s="534" t="n">
        <v>2.372</v>
      </c>
    </row>
    <row r="3395">
      <c r="A3395" s="535" t="n">
        <v>36287</v>
      </c>
      <c r="B3395" s="534" t="n">
        <v>10.54</v>
      </c>
      <c r="C3395" s="534" t="n">
        <v>12997.43</v>
      </c>
      <c r="E3395" s="535" t="n">
        <v>40107</v>
      </c>
      <c r="F3395" s="534" t="n">
        <v>2.359</v>
      </c>
    </row>
    <row r="3396">
      <c r="A3396" s="535" t="n">
        <v>36290</v>
      </c>
      <c r="B3396" s="534" t="n">
        <v>10.628</v>
      </c>
      <c r="C3396" s="534" t="n">
        <v>13163.2</v>
      </c>
      <c r="E3396" s="535" t="n">
        <v>40108</v>
      </c>
      <c r="F3396" s="534" t="n">
        <v>2.403</v>
      </c>
    </row>
    <row r="3397">
      <c r="A3397" s="535" t="n">
        <v>36291</v>
      </c>
      <c r="B3397" s="534" t="n">
        <v>10.41</v>
      </c>
      <c r="C3397" s="534" t="n">
        <v>12874.37</v>
      </c>
      <c r="E3397" s="535" t="n">
        <v>40109</v>
      </c>
      <c r="F3397" s="534" t="n">
        <v>2.299</v>
      </c>
    </row>
    <row r="3398">
      <c r="A3398" s="535" t="n">
        <v>36292</v>
      </c>
      <c r="B3398" s="534" t="n">
        <v>10.671</v>
      </c>
      <c r="C3398" s="534" t="n">
        <v>13012.97</v>
      </c>
      <c r="E3398" s="535" t="n">
        <v>40112</v>
      </c>
      <c r="F3398" s="534" t="n">
        <v>2.299</v>
      </c>
    </row>
    <row r="3399">
      <c r="A3399" s="535" t="n">
        <v>36293</v>
      </c>
      <c r="B3399" s="534" t="n">
        <v>10.54</v>
      </c>
      <c r="C3399" s="534" t="n">
        <v>13053.67</v>
      </c>
      <c r="E3399" s="535" t="n">
        <v>40113</v>
      </c>
      <c r="F3399" s="534" t="n">
        <v>2.467</v>
      </c>
    </row>
    <row r="3400">
      <c r="A3400" s="535" t="n">
        <v>36294</v>
      </c>
      <c r="B3400" s="534" t="n">
        <v>10.366</v>
      </c>
      <c r="C3400" s="534" t="n">
        <v>12855.52</v>
      </c>
      <c r="E3400" s="535" t="n">
        <v>40114</v>
      </c>
      <c r="F3400" s="534" t="n">
        <v>2.42</v>
      </c>
    </row>
    <row r="3401">
      <c r="A3401" s="535" t="n">
        <v>36297</v>
      </c>
      <c r="B3401" s="534" t="n">
        <v>10.628</v>
      </c>
      <c r="C3401" s="534" t="n">
        <v>12588.6</v>
      </c>
      <c r="E3401" s="535" t="n">
        <v>40115</v>
      </c>
      <c r="F3401" s="534" t="n">
        <v>2.405</v>
      </c>
    </row>
    <row r="3402">
      <c r="A3402" s="535" t="n">
        <v>36298</v>
      </c>
      <c r="B3402" s="534" t="n">
        <v>10.628</v>
      </c>
      <c r="C3402" s="534" t="n">
        <v>12627.1</v>
      </c>
      <c r="E3402" s="535" t="n">
        <v>40116</v>
      </c>
      <c r="F3402" s="534" t="n">
        <v>2.322</v>
      </c>
    </row>
    <row r="3403">
      <c r="A3403" s="535" t="n">
        <v>36299</v>
      </c>
      <c r="B3403" s="534" t="n">
        <v>10.802</v>
      </c>
      <c r="C3403" s="534" t="n">
        <v>12403.14</v>
      </c>
      <c r="E3403" s="535" t="n">
        <v>40119</v>
      </c>
      <c r="F3403" s="534" t="n">
        <v>2.423</v>
      </c>
    </row>
    <row r="3404">
      <c r="A3404" s="535" t="n">
        <v>36300</v>
      </c>
      <c r="B3404" s="534" t="n">
        <v>10.453</v>
      </c>
      <c r="C3404" s="534" t="n">
        <v>12375.42</v>
      </c>
      <c r="E3404" s="535" t="n">
        <v>40120</v>
      </c>
      <c r="F3404" s="534" t="n">
        <v>2.418</v>
      </c>
    </row>
    <row r="3405">
      <c r="A3405" s="535" t="n">
        <v>36301</v>
      </c>
      <c r="B3405" s="534" t="n">
        <v>10.497</v>
      </c>
      <c r="C3405" s="534" t="n">
        <v>12272.14</v>
      </c>
      <c r="E3405" s="535" t="n">
        <v>40121</v>
      </c>
      <c r="F3405" s="534" t="n">
        <v>2.453</v>
      </c>
    </row>
    <row r="3406">
      <c r="A3406" s="535" t="n">
        <v>36304</v>
      </c>
      <c r="B3406" s="534" t="n">
        <v>10.497</v>
      </c>
      <c r="C3406" s="534" t="n">
        <v>12436.86</v>
      </c>
      <c r="E3406" s="535" t="n">
        <v>40122</v>
      </c>
      <c r="F3406" s="534" t="n">
        <v>2.475</v>
      </c>
    </row>
    <row r="3407">
      <c r="A3407" s="535" t="n">
        <v>36305</v>
      </c>
      <c r="B3407" s="534" t="n">
        <v>10.366</v>
      </c>
      <c r="C3407" s="534" t="n">
        <v>12346.91</v>
      </c>
      <c r="E3407" s="535" t="n">
        <v>40123</v>
      </c>
      <c r="F3407" s="534" t="n">
        <v>2.479</v>
      </c>
    </row>
    <row r="3408">
      <c r="A3408" s="535" t="n">
        <v>36306</v>
      </c>
      <c r="B3408" s="534" t="n">
        <v>10.54</v>
      </c>
      <c r="C3408" s="534" t="n">
        <v>12409.16</v>
      </c>
      <c r="E3408" s="535" t="n">
        <v>40126</v>
      </c>
      <c r="F3408" s="534" t="n">
        <v>2.46</v>
      </c>
    </row>
    <row r="3409">
      <c r="A3409" s="535" t="n">
        <v>36307</v>
      </c>
      <c r="B3409" s="534" t="n">
        <v>10.54</v>
      </c>
      <c r="C3409" s="534" t="n">
        <v>12308.53</v>
      </c>
      <c r="E3409" s="535" t="n">
        <v>40127</v>
      </c>
      <c r="F3409" s="534" t="n">
        <v>2.447</v>
      </c>
    </row>
    <row r="3410">
      <c r="A3410" s="535" t="n">
        <v>36308</v>
      </c>
      <c r="B3410" s="534" t="n">
        <v>10.279</v>
      </c>
      <c r="C3410" s="534" t="n">
        <v>12059.25</v>
      </c>
      <c r="E3410" s="535" t="n">
        <v>40128</v>
      </c>
      <c r="F3410" s="534" t="n">
        <v>2.43</v>
      </c>
    </row>
    <row r="3411">
      <c r="A3411" s="535" t="n">
        <v>36311</v>
      </c>
      <c r="B3411" s="534" t="n">
        <v>9.276999999999999</v>
      </c>
      <c r="C3411" s="534" t="n">
        <v>12147.12</v>
      </c>
      <c r="E3411" s="535" t="n">
        <v>40129</v>
      </c>
      <c r="F3411" s="534" t="n">
        <v>2.381</v>
      </c>
    </row>
    <row r="3412">
      <c r="A3412" s="535" t="n">
        <v>36312</v>
      </c>
      <c r="B3412" s="534" t="n">
        <v>9.494999999999999</v>
      </c>
      <c r="C3412" s="534" t="n">
        <v>12363.56</v>
      </c>
      <c r="E3412" s="535" t="n">
        <v>40130</v>
      </c>
      <c r="F3412" s="534" t="n">
        <v>2.384</v>
      </c>
    </row>
    <row r="3413">
      <c r="A3413" s="535" t="n">
        <v>36313</v>
      </c>
      <c r="B3413" s="534" t="n">
        <v>9.843999999999999</v>
      </c>
      <c r="C3413" s="534" t="n">
        <v>12458.64</v>
      </c>
      <c r="E3413" s="535" t="n">
        <v>40133</v>
      </c>
      <c r="F3413" s="534" t="n">
        <v>2.245</v>
      </c>
    </row>
    <row r="3414">
      <c r="A3414" s="535" t="n">
        <v>36314</v>
      </c>
      <c r="B3414" s="534" t="n">
        <v>9.887</v>
      </c>
      <c r="C3414" s="534" t="n">
        <v>12471.61</v>
      </c>
      <c r="E3414" s="535" t="n">
        <v>40134</v>
      </c>
      <c r="F3414" s="534" t="n">
        <v>2.296</v>
      </c>
    </row>
    <row r="3415">
      <c r="A3415" s="535" t="n">
        <v>36315</v>
      </c>
      <c r="B3415" s="534" t="n">
        <v>9.887</v>
      </c>
      <c r="C3415" s="534" t="n">
        <v>12415.54</v>
      </c>
      <c r="E3415" s="535" t="n">
        <v>40135</v>
      </c>
      <c r="F3415" s="534" t="n">
        <v>2.301</v>
      </c>
    </row>
    <row r="3416">
      <c r="A3416" s="535" t="n">
        <v>36318</v>
      </c>
      <c r="B3416" s="534" t="n">
        <v>10.41</v>
      </c>
      <c r="C3416" s="534" t="n">
        <v>12837.39</v>
      </c>
      <c r="E3416" s="535" t="n">
        <v>40136</v>
      </c>
      <c r="F3416" s="534" t="n">
        <v>2.304</v>
      </c>
    </row>
    <row r="3417">
      <c r="A3417" s="535" t="n">
        <v>36319</v>
      </c>
      <c r="B3417" s="534" t="n">
        <v>10.105</v>
      </c>
      <c r="C3417" s="534" t="n">
        <v>12864.86</v>
      </c>
      <c r="E3417" s="535" t="n">
        <v>40137</v>
      </c>
      <c r="F3417" s="534" t="n">
        <v>2.303</v>
      </c>
    </row>
    <row r="3418">
      <c r="A3418" s="535" t="n">
        <v>36320</v>
      </c>
      <c r="B3418" s="534" t="n">
        <v>10.54</v>
      </c>
      <c r="C3418" s="534" t="n">
        <v>12874.42</v>
      </c>
      <c r="E3418" s="535" t="n">
        <v>40140</v>
      </c>
      <c r="F3418" s="534" t="n">
        <v>2.326</v>
      </c>
    </row>
    <row r="3419">
      <c r="A3419" s="535" t="n">
        <v>36321</v>
      </c>
      <c r="B3419" s="534" t="n">
        <v>10.41</v>
      </c>
      <c r="C3419" s="534" t="n">
        <v>12839.21</v>
      </c>
      <c r="E3419" s="535" t="n">
        <v>40141</v>
      </c>
      <c r="F3419" s="534" t="n">
        <v>2.319</v>
      </c>
    </row>
    <row r="3420">
      <c r="A3420" s="535" t="n">
        <v>36322</v>
      </c>
      <c r="B3420" s="534" t="n">
        <v>11.107</v>
      </c>
      <c r="C3420" s="534" t="n">
        <v>12992.76</v>
      </c>
      <c r="E3420" s="535" t="n">
        <v>40142</v>
      </c>
      <c r="F3420" s="534" t="n">
        <v>2.314</v>
      </c>
    </row>
    <row r="3421">
      <c r="A3421" s="535" t="n">
        <v>36325</v>
      </c>
      <c r="B3421" s="534" t="n">
        <v>10.845</v>
      </c>
      <c r="C3421" s="534" t="n">
        <v>13007.57</v>
      </c>
      <c r="E3421" s="535" t="n">
        <v>40143</v>
      </c>
      <c r="F3421" s="534" t="n">
        <v>2.304</v>
      </c>
    </row>
    <row r="3422">
      <c r="A3422" s="535" t="n">
        <v>36326</v>
      </c>
      <c r="B3422" s="534" t="n">
        <v>10.932</v>
      </c>
      <c r="C3422" s="534" t="n">
        <v>12935.41</v>
      </c>
      <c r="E3422" s="535" t="n">
        <v>40144</v>
      </c>
      <c r="F3422" s="534" t="n">
        <v>2.267</v>
      </c>
    </row>
    <row r="3423">
      <c r="A3423" s="535" t="n">
        <v>36327</v>
      </c>
      <c r="B3423" s="534" t="n">
        <v>10.802</v>
      </c>
      <c r="C3423" s="534" t="n">
        <v>13155.12</v>
      </c>
      <c r="E3423" s="535" t="n">
        <v>40147</v>
      </c>
      <c r="F3423" s="534" t="n">
        <v>2.288</v>
      </c>
    </row>
    <row r="3424">
      <c r="A3424" s="535" t="n">
        <v>36328</v>
      </c>
      <c r="B3424" s="534" t="n">
        <v>10.54</v>
      </c>
      <c r="C3424" s="534" t="n">
        <v>13408.27</v>
      </c>
      <c r="E3424" s="535" t="n">
        <v>40148</v>
      </c>
      <c r="F3424" s="534" t="n">
        <v>2.308</v>
      </c>
    </row>
    <row r="3425">
      <c r="A3425" s="535" t="n">
        <v>36329</v>
      </c>
      <c r="B3425" s="534" t="n">
        <v>10.54</v>
      </c>
      <c r="C3425" s="534" t="n">
        <v>13408.27</v>
      </c>
      <c r="E3425" s="535" t="n">
        <v>40149</v>
      </c>
      <c r="F3425" s="534" t="n">
        <v>2.336</v>
      </c>
    </row>
    <row r="3426">
      <c r="A3426" s="535" t="n">
        <v>36332</v>
      </c>
      <c r="B3426" s="534" t="n">
        <v>11.02</v>
      </c>
      <c r="C3426" s="534" t="n">
        <v>13994.23</v>
      </c>
      <c r="E3426" s="535" t="n">
        <v>40150</v>
      </c>
      <c r="F3426" s="534" t="n">
        <v>2.367</v>
      </c>
    </row>
    <row r="3427">
      <c r="A3427" s="535" t="n">
        <v>36333</v>
      </c>
      <c r="B3427" s="534" t="n">
        <v>11.107</v>
      </c>
      <c r="C3427" s="534" t="n">
        <v>14004.88</v>
      </c>
      <c r="E3427" s="535" t="n">
        <v>40151</v>
      </c>
      <c r="F3427" s="534" t="n">
        <v>2.398</v>
      </c>
    </row>
    <row r="3428">
      <c r="A3428" s="535" t="n">
        <v>36334</v>
      </c>
      <c r="B3428" s="534" t="n">
        <v>10.584</v>
      </c>
      <c r="C3428" s="534" t="n">
        <v>13976.04</v>
      </c>
      <c r="E3428" s="535" t="n">
        <v>40154</v>
      </c>
      <c r="F3428" s="534" t="n">
        <v>2.543</v>
      </c>
    </row>
    <row r="3429">
      <c r="A3429" s="535" t="n">
        <v>36335</v>
      </c>
      <c r="B3429" s="534" t="n">
        <v>10.497</v>
      </c>
      <c r="C3429" s="534" t="n">
        <v>13780.12</v>
      </c>
      <c r="E3429" s="535" t="n">
        <v>40155</v>
      </c>
      <c r="F3429" s="534" t="n">
        <v>2.497</v>
      </c>
    </row>
    <row r="3430">
      <c r="A3430" s="535" t="n">
        <v>36336</v>
      </c>
      <c r="B3430" s="534" t="n">
        <v>10.584</v>
      </c>
      <c r="C3430" s="534" t="n">
        <v>13784.51</v>
      </c>
      <c r="E3430" s="535" t="n">
        <v>40156</v>
      </c>
      <c r="F3430" s="534" t="n">
        <v>2.477</v>
      </c>
    </row>
    <row r="3431">
      <c r="A3431" s="535" t="n">
        <v>36339</v>
      </c>
      <c r="B3431" s="534" t="n">
        <v>10.802</v>
      </c>
      <c r="C3431" s="534" t="n">
        <v>13840.29</v>
      </c>
      <c r="E3431" s="535" t="n">
        <v>40157</v>
      </c>
      <c r="F3431" s="534" t="n">
        <v>2.48</v>
      </c>
    </row>
    <row r="3432">
      <c r="A3432" s="535" t="n">
        <v>36340</v>
      </c>
      <c r="B3432" s="534" t="n">
        <v>10.584</v>
      </c>
      <c r="C3432" s="534" t="n">
        <v>13765.49</v>
      </c>
      <c r="E3432" s="535" t="n">
        <v>40158</v>
      </c>
      <c r="F3432" s="534" t="n">
        <v>2.385</v>
      </c>
    </row>
    <row r="3433">
      <c r="A3433" s="535" t="n">
        <v>36341</v>
      </c>
      <c r="B3433" s="534" t="n">
        <v>10.366</v>
      </c>
      <c r="C3433" s="534" t="n">
        <v>13532.14</v>
      </c>
      <c r="E3433" s="535" t="n">
        <v>40161</v>
      </c>
      <c r="F3433" s="534" t="n">
        <v>2.402</v>
      </c>
    </row>
    <row r="3434">
      <c r="A3434" s="535" t="n">
        <v>36342</v>
      </c>
      <c r="B3434" s="534" t="n">
        <v>10.366</v>
      </c>
      <c r="C3434" s="534" t="n">
        <v>13532.14</v>
      </c>
      <c r="E3434" s="535" t="n">
        <v>40162</v>
      </c>
      <c r="F3434" s="534" t="n">
        <v>2.552</v>
      </c>
    </row>
    <row r="3435">
      <c r="A3435" s="535" t="n">
        <v>36343</v>
      </c>
      <c r="B3435" s="534" t="n">
        <v>10.932</v>
      </c>
      <c r="C3435" s="534" t="n">
        <v>14184.58</v>
      </c>
      <c r="E3435" s="535" t="n">
        <v>40163</v>
      </c>
      <c r="F3435" s="534" t="n">
        <v>2.589</v>
      </c>
    </row>
    <row r="3436">
      <c r="A3436" s="535" t="n">
        <v>36346</v>
      </c>
      <c r="B3436" s="534" t="n">
        <v>11.281</v>
      </c>
      <c r="C3436" s="534" t="n">
        <v>14506.74</v>
      </c>
      <c r="E3436" s="535" t="n">
        <v>40164</v>
      </c>
      <c r="F3436" s="534" t="n">
        <v>2.598</v>
      </c>
    </row>
    <row r="3437">
      <c r="A3437" s="535" t="n">
        <v>36347</v>
      </c>
      <c r="B3437" s="534" t="n">
        <v>11.847</v>
      </c>
      <c r="C3437" s="534" t="n">
        <v>14372.61</v>
      </c>
      <c r="E3437" s="535" t="n">
        <v>40165</v>
      </c>
      <c r="F3437" s="534" t="n">
        <v>2.547</v>
      </c>
    </row>
    <row r="3438">
      <c r="A3438" s="535" t="n">
        <v>36348</v>
      </c>
      <c r="B3438" s="534" t="n">
        <v>11.586</v>
      </c>
      <c r="C3438" s="534" t="n">
        <v>14257.44</v>
      </c>
      <c r="E3438" s="535" t="n">
        <v>40168</v>
      </c>
      <c r="F3438" s="534" t="n">
        <v>2.449</v>
      </c>
    </row>
    <row r="3439">
      <c r="A3439" s="535" t="n">
        <v>36349</v>
      </c>
      <c r="B3439" s="534" t="n">
        <v>11.804</v>
      </c>
      <c r="C3439" s="534" t="n">
        <v>14226.3</v>
      </c>
      <c r="E3439" s="535" t="n">
        <v>40169</v>
      </c>
      <c r="F3439" s="534" t="n">
        <v>2.555</v>
      </c>
    </row>
    <row r="3440">
      <c r="A3440" s="535" t="n">
        <v>36350</v>
      </c>
      <c r="B3440" s="534" t="n">
        <v>11.978</v>
      </c>
      <c r="C3440" s="534" t="n">
        <v>14222.57</v>
      </c>
      <c r="E3440" s="535" t="n">
        <v>40170</v>
      </c>
      <c r="F3440" s="534" t="n">
        <v>2.736</v>
      </c>
    </row>
    <row r="3441">
      <c r="A3441" s="535" t="n">
        <v>36353</v>
      </c>
      <c r="B3441" s="534" t="n">
        <v>11.542</v>
      </c>
      <c r="C3441" s="534" t="n">
        <v>14061.84</v>
      </c>
      <c r="E3441" s="535" t="n">
        <v>40171</v>
      </c>
      <c r="F3441" s="534" t="n">
        <v>2.738</v>
      </c>
    </row>
    <row r="3442">
      <c r="A3442" s="535" t="n">
        <v>36354</v>
      </c>
      <c r="B3442" s="534" t="n">
        <v>11.107</v>
      </c>
      <c r="C3442" s="534" t="n">
        <v>13980.93</v>
      </c>
      <c r="E3442" s="535" t="n">
        <v>40172</v>
      </c>
      <c r="F3442" s="534" t="n">
        <v>2.738</v>
      </c>
    </row>
    <row r="3443">
      <c r="A3443" s="535" t="n">
        <v>36355</v>
      </c>
      <c r="B3443" s="534" t="n">
        <v>10.715</v>
      </c>
      <c r="C3443" s="534" t="n">
        <v>13575.57</v>
      </c>
      <c r="E3443" s="535" t="n">
        <v>40175</v>
      </c>
      <c r="F3443" s="534" t="n">
        <v>2.831</v>
      </c>
    </row>
    <row r="3444">
      <c r="A3444" s="535" t="n">
        <v>36356</v>
      </c>
      <c r="B3444" s="534" t="n">
        <v>11.02</v>
      </c>
      <c r="C3444" s="534" t="n">
        <v>13758.89</v>
      </c>
      <c r="E3444" s="535" t="n">
        <v>40176</v>
      </c>
      <c r="F3444" s="534" t="n">
        <v>2.852</v>
      </c>
    </row>
    <row r="3445">
      <c r="A3445" s="535" t="n">
        <v>36357</v>
      </c>
      <c r="B3445" s="534" t="n">
        <v>10.715</v>
      </c>
      <c r="C3445" s="534" t="n">
        <v>13545.24</v>
      </c>
      <c r="E3445" s="535" t="n">
        <v>40177</v>
      </c>
      <c r="F3445" s="534" t="n">
        <v>2.776</v>
      </c>
    </row>
    <row r="3446">
      <c r="A3446" s="535" t="n">
        <v>36360</v>
      </c>
      <c r="B3446" s="534" t="n">
        <v>10.628</v>
      </c>
      <c r="C3446" s="534" t="n">
        <v>13447.13</v>
      </c>
      <c r="E3446" s="535" t="n">
        <v>40178</v>
      </c>
      <c r="F3446" s="534" t="n">
        <v>2.779</v>
      </c>
    </row>
    <row r="3447">
      <c r="A3447" s="535" t="n">
        <v>36361</v>
      </c>
      <c r="B3447" s="534" t="n">
        <v>10.453</v>
      </c>
      <c r="C3447" s="534" t="n">
        <v>13600.4</v>
      </c>
      <c r="E3447" s="535" t="n">
        <v>40179</v>
      </c>
      <c r="F3447" s="534" t="n">
        <v>2.779</v>
      </c>
    </row>
    <row r="3448">
      <c r="A3448" s="535" t="n">
        <v>36362</v>
      </c>
      <c r="B3448" s="534" t="n">
        <v>10.236</v>
      </c>
      <c r="C3448" s="534" t="n">
        <v>13419.66</v>
      </c>
      <c r="E3448" s="535" t="n">
        <v>40182</v>
      </c>
      <c r="F3448" s="534" t="n">
        <v>2.977</v>
      </c>
    </row>
    <row r="3449">
      <c r="A3449" s="535" t="n">
        <v>36363</v>
      </c>
      <c r="B3449" s="534" t="n">
        <v>10.236</v>
      </c>
      <c r="C3449" s="534" t="n">
        <v>13369.06</v>
      </c>
      <c r="E3449" s="535" t="n">
        <v>40183</v>
      </c>
      <c r="F3449" s="534" t="n">
        <v>2.893</v>
      </c>
    </row>
    <row r="3450">
      <c r="A3450" s="535" t="n">
        <v>36364</v>
      </c>
      <c r="B3450" s="534" t="n">
        <v>9.887</v>
      </c>
      <c r="C3450" s="534" t="n">
        <v>13093.7</v>
      </c>
      <c r="E3450" s="535" t="n">
        <v>40184</v>
      </c>
      <c r="F3450" s="534" t="n">
        <v>2.808</v>
      </c>
    </row>
    <row r="3451">
      <c r="A3451" s="535" t="n">
        <v>36367</v>
      </c>
      <c r="B3451" s="534" t="n">
        <v>9.582000000000001</v>
      </c>
      <c r="C3451" s="534" t="n">
        <v>12866.52</v>
      </c>
      <c r="E3451" s="535" t="n">
        <v>40185</v>
      </c>
      <c r="F3451" s="534" t="n">
        <v>2.987</v>
      </c>
    </row>
    <row r="3452">
      <c r="A3452" s="535" t="n">
        <v>36368</v>
      </c>
      <c r="B3452" s="534" t="n">
        <v>9.669</v>
      </c>
      <c r="C3452" s="534" t="n">
        <v>13075.09</v>
      </c>
      <c r="E3452" s="535" t="n">
        <v>40186</v>
      </c>
      <c r="F3452" s="534" t="n">
        <v>3.09</v>
      </c>
    </row>
    <row r="3453">
      <c r="A3453" s="535" t="n">
        <v>36369</v>
      </c>
      <c r="B3453" s="534" t="n">
        <v>9.800000000000001</v>
      </c>
      <c r="C3453" s="534" t="n">
        <v>13140.42</v>
      </c>
      <c r="E3453" s="535" t="n">
        <v>40189</v>
      </c>
      <c r="F3453" s="534" t="n">
        <v>3.181</v>
      </c>
    </row>
    <row r="3454">
      <c r="A3454" s="535" t="n">
        <v>36370</v>
      </c>
      <c r="B3454" s="534" t="n">
        <v>9.887</v>
      </c>
      <c r="C3454" s="534" t="n">
        <v>13117.84</v>
      </c>
      <c r="E3454" s="535" t="n">
        <v>40190</v>
      </c>
      <c r="F3454" s="534" t="n">
        <v>3.088</v>
      </c>
    </row>
    <row r="3455">
      <c r="A3455" s="535" t="n">
        <v>36371</v>
      </c>
      <c r="B3455" s="534" t="n">
        <v>9.625999999999999</v>
      </c>
      <c r="C3455" s="534" t="n">
        <v>13186.86</v>
      </c>
      <c r="E3455" s="535" t="n">
        <v>40191</v>
      </c>
      <c r="F3455" s="534" t="n">
        <v>3.006</v>
      </c>
    </row>
    <row r="3456">
      <c r="A3456" s="535" t="n">
        <v>36374</v>
      </c>
      <c r="B3456" s="534" t="n">
        <v>9.930999999999999</v>
      </c>
      <c r="C3456" s="534" t="n">
        <v>13435.43</v>
      </c>
      <c r="E3456" s="535" t="n">
        <v>40192</v>
      </c>
      <c r="F3456" s="534" t="n">
        <v>3.046</v>
      </c>
    </row>
    <row r="3457">
      <c r="A3457" s="535" t="n">
        <v>36375</v>
      </c>
      <c r="B3457" s="534" t="n">
        <v>9.930999999999999</v>
      </c>
      <c r="C3457" s="534" t="n">
        <v>13473.84</v>
      </c>
      <c r="E3457" s="535" t="n">
        <v>40193</v>
      </c>
      <c r="F3457" s="534" t="n">
        <v>2.973</v>
      </c>
    </row>
    <row r="3458">
      <c r="A3458" s="535" t="n">
        <v>36376</v>
      </c>
      <c r="B3458" s="534" t="n">
        <v>10.018</v>
      </c>
      <c r="C3458" s="534" t="n">
        <v>13591.02</v>
      </c>
      <c r="E3458" s="535" t="n">
        <v>40196</v>
      </c>
      <c r="F3458" s="534" t="n">
        <v>2.953</v>
      </c>
    </row>
    <row r="3459">
      <c r="A3459" s="535" t="n">
        <v>36377</v>
      </c>
      <c r="B3459" s="534" t="n">
        <v>9.843999999999999</v>
      </c>
      <c r="C3459" s="534" t="n">
        <v>13254.34</v>
      </c>
      <c r="E3459" s="535" t="n">
        <v>40197</v>
      </c>
      <c r="F3459" s="534" t="n">
        <v>2.974</v>
      </c>
    </row>
    <row r="3460">
      <c r="A3460" s="535" t="n">
        <v>36378</v>
      </c>
      <c r="B3460" s="534" t="n">
        <v>10.105</v>
      </c>
      <c r="C3460" s="534" t="n">
        <v>13167.06</v>
      </c>
      <c r="E3460" s="535" t="n">
        <v>40198</v>
      </c>
      <c r="F3460" s="534" t="n">
        <v>3.025</v>
      </c>
    </row>
    <row r="3461">
      <c r="A3461" s="535" t="n">
        <v>36381</v>
      </c>
      <c r="B3461" s="534" t="n">
        <v>9.843999999999999</v>
      </c>
      <c r="C3461" s="534" t="n">
        <v>12945.47</v>
      </c>
      <c r="E3461" s="535" t="n">
        <v>40199</v>
      </c>
      <c r="F3461" s="534" t="n">
        <v>3.069</v>
      </c>
    </row>
    <row r="3462">
      <c r="A3462" s="535" t="n">
        <v>36382</v>
      </c>
      <c r="B3462" s="534" t="n">
        <v>9.407999999999999</v>
      </c>
      <c r="C3462" s="534" t="n">
        <v>12596.71</v>
      </c>
      <c r="E3462" s="535" t="n">
        <v>40200</v>
      </c>
      <c r="F3462" s="534" t="n">
        <v>2.98</v>
      </c>
    </row>
    <row r="3463">
      <c r="A3463" s="535" t="n">
        <v>36383</v>
      </c>
      <c r="B3463" s="534" t="n">
        <v>9.669</v>
      </c>
      <c r="C3463" s="534" t="n">
        <v>12437.8</v>
      </c>
      <c r="E3463" s="535" t="n">
        <v>40203</v>
      </c>
      <c r="F3463" s="534" t="n">
        <v>3.004</v>
      </c>
    </row>
    <row r="3464">
      <c r="A3464" s="535" t="n">
        <v>36384</v>
      </c>
      <c r="B3464" s="534" t="n">
        <v>10.061</v>
      </c>
      <c r="C3464" s="534" t="n">
        <v>12779.75</v>
      </c>
      <c r="E3464" s="535" t="n">
        <v>40204</v>
      </c>
      <c r="F3464" s="534" t="n">
        <v>2.878</v>
      </c>
    </row>
    <row r="3465">
      <c r="A3465" s="535" t="n">
        <v>36385</v>
      </c>
      <c r="B3465" s="534" t="n">
        <v>11.02</v>
      </c>
      <c r="C3465" s="534" t="n">
        <v>12608.18</v>
      </c>
      <c r="E3465" s="535" t="n">
        <v>40205</v>
      </c>
      <c r="F3465" s="534" t="n">
        <v>3.006</v>
      </c>
    </row>
    <row r="3466">
      <c r="A3466" s="535" t="n">
        <v>36388</v>
      </c>
      <c r="B3466" s="534" t="n">
        <v>11.716</v>
      </c>
      <c r="C3466" s="534" t="n">
        <v>12894.78</v>
      </c>
      <c r="E3466" s="535" t="n">
        <v>40206</v>
      </c>
      <c r="F3466" s="534" t="n">
        <v>3.036</v>
      </c>
    </row>
    <row r="3467">
      <c r="A3467" s="535" t="n">
        <v>36389</v>
      </c>
      <c r="B3467" s="534" t="n">
        <v>11.455</v>
      </c>
      <c r="C3467" s="534" t="n">
        <v>12783.16</v>
      </c>
      <c r="E3467" s="535" t="n">
        <v>40207</v>
      </c>
      <c r="F3467" s="534" t="n">
        <v>3.023</v>
      </c>
    </row>
    <row r="3468">
      <c r="A3468" s="535" t="n">
        <v>36390</v>
      </c>
      <c r="B3468" s="534" t="n">
        <v>12.239</v>
      </c>
      <c r="C3468" s="534" t="n">
        <v>12993.1</v>
      </c>
      <c r="E3468" s="535" t="n">
        <v>40210</v>
      </c>
      <c r="F3468" s="534" t="n">
        <v>3.02</v>
      </c>
    </row>
    <row r="3469">
      <c r="A3469" s="535" t="n">
        <v>36391</v>
      </c>
      <c r="B3469" s="534" t="n">
        <v>12.892</v>
      </c>
      <c r="C3469" s="534" t="n">
        <v>13403.59</v>
      </c>
      <c r="E3469" s="535" t="n">
        <v>40211</v>
      </c>
      <c r="F3469" s="534" t="n">
        <v>3.072</v>
      </c>
    </row>
    <row r="3470">
      <c r="A3470" s="535" t="n">
        <v>36392</v>
      </c>
      <c r="B3470" s="534" t="n">
        <v>12.762</v>
      </c>
      <c r="C3470" s="534" t="n">
        <v>13566.74</v>
      </c>
      <c r="E3470" s="535" t="n">
        <v>40212</v>
      </c>
      <c r="F3470" s="534" t="n">
        <v>3.068</v>
      </c>
    </row>
    <row r="3471">
      <c r="A3471" s="535" t="n">
        <v>36395</v>
      </c>
      <c r="B3471" s="534" t="n">
        <v>12.588</v>
      </c>
      <c r="C3471" s="534" t="n">
        <v>13573.66</v>
      </c>
      <c r="E3471" s="535" t="n">
        <v>40213</v>
      </c>
      <c r="F3471" s="534" t="n">
        <v>3.099</v>
      </c>
    </row>
    <row r="3472">
      <c r="A3472" s="535" t="n">
        <v>36396</v>
      </c>
      <c r="B3472" s="534" t="n">
        <v>12.021</v>
      </c>
      <c r="C3472" s="534" t="n">
        <v>13633.87</v>
      </c>
      <c r="E3472" s="535" t="n">
        <v>40214</v>
      </c>
      <c r="F3472" s="534" t="n">
        <v>3.033</v>
      </c>
    </row>
    <row r="3473">
      <c r="A3473" s="535" t="n">
        <v>36397</v>
      </c>
      <c r="B3473" s="534" t="n">
        <v>11.847</v>
      </c>
      <c r="C3473" s="534" t="n">
        <v>13479.13</v>
      </c>
      <c r="E3473" s="535" t="n">
        <v>40217</v>
      </c>
      <c r="F3473" s="534" t="n">
        <v>3.036</v>
      </c>
    </row>
    <row r="3474">
      <c r="A3474" s="535" t="n">
        <v>36398</v>
      </c>
      <c r="B3474" s="534" t="n">
        <v>11.76</v>
      </c>
      <c r="C3474" s="534" t="n">
        <v>13608.38</v>
      </c>
      <c r="E3474" s="535" t="n">
        <v>40218</v>
      </c>
      <c r="F3474" s="534" t="n">
        <v>3.027</v>
      </c>
    </row>
    <row r="3475">
      <c r="A3475" s="535" t="n">
        <v>36399</v>
      </c>
      <c r="B3475" s="534" t="n">
        <v>11.542</v>
      </c>
      <c r="C3475" s="534" t="n">
        <v>13383.13</v>
      </c>
      <c r="E3475" s="535" t="n">
        <v>40219</v>
      </c>
      <c r="F3475" s="534" t="n">
        <v>3.057</v>
      </c>
    </row>
    <row r="3476">
      <c r="A3476" s="535" t="n">
        <v>36402</v>
      </c>
      <c r="B3476" s="534" t="n">
        <v>11.978</v>
      </c>
      <c r="C3476" s="534" t="n">
        <v>13688.66</v>
      </c>
      <c r="E3476" s="535" t="n">
        <v>40220</v>
      </c>
      <c r="F3476" s="534" t="n">
        <v>3.093</v>
      </c>
    </row>
    <row r="3477">
      <c r="A3477" s="535" t="n">
        <v>36403</v>
      </c>
      <c r="B3477" s="534" t="n">
        <v>11.499</v>
      </c>
      <c r="C3477" s="534" t="n">
        <v>13482.77</v>
      </c>
      <c r="E3477" s="535" t="n">
        <v>40221</v>
      </c>
      <c r="F3477" s="534" t="n">
        <v>3.095</v>
      </c>
    </row>
    <row r="3478">
      <c r="A3478" s="535" t="n">
        <v>36404</v>
      </c>
      <c r="B3478" s="534" t="n">
        <v>11.847</v>
      </c>
      <c r="C3478" s="534" t="n">
        <v>13544.19</v>
      </c>
      <c r="E3478" s="535" t="n">
        <v>40224</v>
      </c>
      <c r="F3478" s="534" t="n">
        <v>3.095</v>
      </c>
    </row>
    <row r="3479">
      <c r="A3479" s="535" t="n">
        <v>36405</v>
      </c>
      <c r="B3479" s="534" t="n">
        <v>12.152</v>
      </c>
      <c r="C3479" s="534" t="n">
        <v>13367.56</v>
      </c>
      <c r="E3479" s="535" t="n">
        <v>40225</v>
      </c>
      <c r="F3479" s="534" t="n">
        <v>3.095</v>
      </c>
    </row>
    <row r="3480">
      <c r="A3480" s="535" t="n">
        <v>36406</v>
      </c>
      <c r="B3480" s="534" t="n">
        <v>12.152</v>
      </c>
      <c r="C3480" s="534" t="n">
        <v>13178.31</v>
      </c>
      <c r="E3480" s="535" t="n">
        <v>40226</v>
      </c>
      <c r="F3480" s="534" t="n">
        <v>2.963</v>
      </c>
    </row>
    <row r="3481">
      <c r="A3481" s="535" t="n">
        <v>36409</v>
      </c>
      <c r="B3481" s="534" t="n">
        <v>12.413</v>
      </c>
      <c r="C3481" s="534" t="n">
        <v>13385.16</v>
      </c>
      <c r="E3481" s="535" t="n">
        <v>40227</v>
      </c>
      <c r="F3481" s="534" t="n">
        <v>3.095</v>
      </c>
    </row>
    <row r="3482">
      <c r="A3482" s="535" t="n">
        <v>36410</v>
      </c>
      <c r="B3482" s="534" t="n">
        <v>12.413</v>
      </c>
      <c r="C3482" s="534" t="n">
        <v>13396.09</v>
      </c>
      <c r="E3482" s="535" t="n">
        <v>40228</v>
      </c>
      <c r="F3482" s="534" t="n">
        <v>3.152</v>
      </c>
    </row>
    <row r="3483">
      <c r="A3483" s="535" t="n">
        <v>36411</v>
      </c>
      <c r="B3483" s="534" t="n">
        <v>12.239</v>
      </c>
      <c r="C3483" s="534" t="n">
        <v>13356.63</v>
      </c>
      <c r="E3483" s="535" t="n">
        <v>40231</v>
      </c>
      <c r="F3483" s="534" t="n">
        <v>3.13</v>
      </c>
    </row>
    <row r="3484">
      <c r="A3484" s="535" t="n">
        <v>36412</v>
      </c>
      <c r="B3484" s="534" t="n">
        <v>12.718</v>
      </c>
      <c r="C3484" s="534" t="n">
        <v>13854.88</v>
      </c>
      <c r="E3484" s="535" t="n">
        <v>40232</v>
      </c>
      <c r="F3484" s="534" t="n">
        <v>2.951</v>
      </c>
    </row>
    <row r="3485">
      <c r="A3485" s="535" t="n">
        <v>36413</v>
      </c>
      <c r="B3485" s="534" t="n">
        <v>12.849</v>
      </c>
      <c r="C3485" s="534" t="n">
        <v>13855.93</v>
      </c>
      <c r="E3485" s="535" t="n">
        <v>40233</v>
      </c>
      <c r="F3485" s="534" t="n">
        <v>2.955</v>
      </c>
    </row>
    <row r="3486">
      <c r="A3486" s="535" t="n">
        <v>36416</v>
      </c>
      <c r="B3486" s="534" t="n">
        <v>12.892</v>
      </c>
      <c r="C3486" s="534" t="n">
        <v>13860.85</v>
      </c>
      <c r="E3486" s="535" t="n">
        <v>40234</v>
      </c>
      <c r="F3486" s="534" t="n">
        <v>2.939</v>
      </c>
    </row>
    <row r="3487">
      <c r="A3487" s="535" t="n">
        <v>36417</v>
      </c>
      <c r="B3487" s="534" t="n">
        <v>12.805</v>
      </c>
      <c r="C3487" s="534" t="n">
        <v>13804.03</v>
      </c>
      <c r="E3487" s="535" t="n">
        <v>40235</v>
      </c>
      <c r="F3487" s="534" t="n">
        <v>2.895</v>
      </c>
    </row>
    <row r="3488">
      <c r="A3488" s="535" t="n">
        <v>36418</v>
      </c>
      <c r="B3488" s="534" t="n">
        <v>12.283</v>
      </c>
      <c r="C3488" s="534" t="n">
        <v>13430.6</v>
      </c>
      <c r="E3488" s="535" t="n">
        <v>40238</v>
      </c>
      <c r="F3488" s="534" t="n">
        <v>2.883</v>
      </c>
    </row>
    <row r="3489">
      <c r="A3489" s="535" t="n">
        <v>36419</v>
      </c>
      <c r="B3489" s="534" t="n">
        <v>12.283</v>
      </c>
      <c r="C3489" s="534" t="n">
        <v>13430.6</v>
      </c>
      <c r="E3489" s="535" t="n">
        <v>40239</v>
      </c>
      <c r="F3489" s="534" t="n">
        <v>2.871</v>
      </c>
    </row>
    <row r="3490">
      <c r="A3490" s="535" t="n">
        <v>36420</v>
      </c>
      <c r="B3490" s="534" t="n">
        <v>12.152</v>
      </c>
      <c r="C3490" s="534" t="n">
        <v>13484.84</v>
      </c>
      <c r="E3490" s="535" t="n">
        <v>40240</v>
      </c>
      <c r="F3490" s="534" t="n">
        <v>2.873</v>
      </c>
    </row>
    <row r="3491">
      <c r="A3491" s="535" t="n">
        <v>36423</v>
      </c>
      <c r="B3491" s="534" t="n">
        <v>11.847</v>
      </c>
      <c r="C3491" s="534" t="n">
        <v>13472.37</v>
      </c>
      <c r="E3491" s="535" t="n">
        <v>40241</v>
      </c>
      <c r="F3491" s="534" t="n">
        <v>2.868</v>
      </c>
    </row>
    <row r="3492">
      <c r="A3492" s="535" t="n">
        <v>36424</v>
      </c>
      <c r="B3492" s="534" t="n">
        <v>12.065</v>
      </c>
      <c r="C3492" s="534" t="n">
        <v>13420.46</v>
      </c>
      <c r="E3492" s="535" t="n">
        <v>40242</v>
      </c>
      <c r="F3492" s="534" t="n">
        <v>2.859</v>
      </c>
    </row>
    <row r="3493">
      <c r="A3493" s="535" t="n">
        <v>36425</v>
      </c>
      <c r="B3493" s="534" t="n">
        <v>12.152</v>
      </c>
      <c r="C3493" s="534" t="n">
        <v>13187.62</v>
      </c>
      <c r="E3493" s="535" t="n">
        <v>40245</v>
      </c>
      <c r="F3493" s="534" t="n">
        <v>2.914</v>
      </c>
    </row>
    <row r="3494">
      <c r="A3494" s="535" t="n">
        <v>36426</v>
      </c>
      <c r="B3494" s="534" t="n">
        <v>12.457</v>
      </c>
      <c r="C3494" s="534" t="n">
        <v>13214.44</v>
      </c>
      <c r="E3494" s="535" t="n">
        <v>40246</v>
      </c>
      <c r="F3494" s="534" t="n">
        <v>2.799</v>
      </c>
    </row>
    <row r="3495">
      <c r="A3495" s="535" t="n">
        <v>36427</v>
      </c>
      <c r="B3495" s="534" t="n">
        <v>12.021</v>
      </c>
      <c r="C3495" s="534" t="n">
        <v>13032.07</v>
      </c>
      <c r="E3495" s="535" t="n">
        <v>40247</v>
      </c>
      <c r="F3495" s="534" t="n">
        <v>2.933</v>
      </c>
    </row>
    <row r="3496">
      <c r="A3496" s="535" t="n">
        <v>36430</v>
      </c>
      <c r="B3496" s="534" t="n">
        <v>11.586</v>
      </c>
      <c r="C3496" s="534" t="n">
        <v>12760.46</v>
      </c>
      <c r="E3496" s="535" t="n">
        <v>40248</v>
      </c>
      <c r="F3496" s="534" t="n">
        <v>2.932</v>
      </c>
    </row>
    <row r="3497">
      <c r="A3497" s="535" t="n">
        <v>36431</v>
      </c>
      <c r="B3497" s="534" t="n">
        <v>12.108</v>
      </c>
      <c r="C3497" s="534" t="n">
        <v>12844.93</v>
      </c>
      <c r="E3497" s="535" t="n">
        <v>40249</v>
      </c>
      <c r="F3497" s="534" t="n">
        <v>2.927</v>
      </c>
    </row>
    <row r="3498">
      <c r="A3498" s="535" t="n">
        <v>36432</v>
      </c>
      <c r="B3498" s="534" t="n">
        <v>12.762</v>
      </c>
      <c r="C3498" s="534" t="n">
        <v>12834.89</v>
      </c>
      <c r="E3498" s="535" t="n">
        <v>40252</v>
      </c>
      <c r="F3498" s="534" t="n">
        <v>2.794</v>
      </c>
    </row>
    <row r="3499">
      <c r="A3499" s="535" t="n">
        <v>36433</v>
      </c>
      <c r="B3499" s="534" t="n">
        <v>12.196</v>
      </c>
      <c r="C3499" s="534" t="n">
        <v>12733.24</v>
      </c>
      <c r="E3499" s="535" t="n">
        <v>40253</v>
      </c>
      <c r="F3499" s="534" t="n">
        <v>2.907</v>
      </c>
    </row>
    <row r="3500">
      <c r="A3500" s="535" t="n">
        <v>36434</v>
      </c>
      <c r="B3500" s="534" t="n">
        <v>12.196</v>
      </c>
      <c r="C3500" s="534" t="n">
        <v>12733.24</v>
      </c>
      <c r="E3500" s="535" t="n">
        <v>40254</v>
      </c>
      <c r="F3500" s="534" t="n">
        <v>2.866</v>
      </c>
    </row>
    <row r="3501">
      <c r="A3501" s="535" t="n">
        <v>36437</v>
      </c>
      <c r="B3501" s="534" t="n">
        <v>12.37</v>
      </c>
      <c r="C3501" s="534" t="n">
        <v>12875.86</v>
      </c>
      <c r="E3501" s="535" t="n">
        <v>40255</v>
      </c>
      <c r="F3501" s="534" t="n">
        <v>2.846</v>
      </c>
    </row>
    <row r="3502">
      <c r="A3502" s="535" t="n">
        <v>36438</v>
      </c>
      <c r="B3502" s="534" t="n">
        <v>12.762</v>
      </c>
      <c r="C3502" s="534" t="n">
        <v>12998.89</v>
      </c>
      <c r="E3502" s="535" t="n">
        <v>40256</v>
      </c>
      <c r="F3502" s="534" t="n">
        <v>2.872</v>
      </c>
    </row>
    <row r="3503">
      <c r="A3503" s="535" t="n">
        <v>36439</v>
      </c>
      <c r="B3503" s="534" t="n">
        <v>12.892</v>
      </c>
      <c r="C3503" s="534" t="n">
        <v>13017.98</v>
      </c>
      <c r="E3503" s="535" t="n">
        <v>40259</v>
      </c>
      <c r="F3503" s="534" t="n">
        <v>2.878</v>
      </c>
    </row>
    <row r="3504">
      <c r="A3504" s="535" t="n">
        <v>36440</v>
      </c>
      <c r="B3504" s="534" t="n">
        <v>13.241</v>
      </c>
      <c r="C3504" s="534" t="n">
        <v>13113.2</v>
      </c>
      <c r="E3504" s="535" t="n">
        <v>40260</v>
      </c>
      <c r="F3504" s="534" t="n">
        <v>2.862</v>
      </c>
    </row>
    <row r="3505">
      <c r="A3505" s="535" t="n">
        <v>36441</v>
      </c>
      <c r="B3505" s="534" t="n">
        <v>13.241</v>
      </c>
      <c r="C3505" s="534" t="n">
        <v>13112.42</v>
      </c>
      <c r="E3505" s="535" t="n">
        <v>40261</v>
      </c>
      <c r="F3505" s="534" t="n">
        <v>2.874</v>
      </c>
    </row>
    <row r="3506">
      <c r="A3506" s="535" t="n">
        <v>36444</v>
      </c>
      <c r="B3506" s="534" t="n">
        <v>13.502</v>
      </c>
      <c r="C3506" s="534" t="n">
        <v>12992.72</v>
      </c>
      <c r="E3506" s="535" t="n">
        <v>40262</v>
      </c>
      <c r="F3506" s="534" t="n">
        <v>2.903</v>
      </c>
    </row>
    <row r="3507">
      <c r="A3507" s="535" t="n">
        <v>36445</v>
      </c>
      <c r="B3507" s="534" t="n">
        <v>13.676</v>
      </c>
      <c r="C3507" s="534" t="n">
        <v>12759.35</v>
      </c>
      <c r="E3507" s="535" t="n">
        <v>40263</v>
      </c>
      <c r="F3507" s="534" t="n">
        <v>2.808</v>
      </c>
    </row>
    <row r="3508">
      <c r="A3508" s="535" t="n">
        <v>36446</v>
      </c>
      <c r="B3508" s="534" t="n">
        <v>12.718</v>
      </c>
      <c r="C3508" s="534" t="n">
        <v>12475.87</v>
      </c>
      <c r="E3508" s="535" t="n">
        <v>40266</v>
      </c>
      <c r="F3508" s="534" t="n">
        <v>2.949</v>
      </c>
    </row>
    <row r="3509">
      <c r="A3509" s="535" t="n">
        <v>36447</v>
      </c>
      <c r="B3509" s="534" t="n">
        <v>13.415</v>
      </c>
      <c r="C3509" s="534" t="n">
        <v>12486.82</v>
      </c>
      <c r="E3509" s="535" t="n">
        <v>40267</v>
      </c>
      <c r="F3509" s="534" t="n">
        <v>2.967</v>
      </c>
    </row>
    <row r="3510">
      <c r="A3510" s="535" t="n">
        <v>36448</v>
      </c>
      <c r="B3510" s="534" t="n">
        <v>13.241</v>
      </c>
      <c r="C3510" s="534" t="n">
        <v>12299.08</v>
      </c>
      <c r="E3510" s="535" t="n">
        <v>40268</v>
      </c>
      <c r="F3510" s="534" t="n">
        <v>2.995</v>
      </c>
    </row>
    <row r="3511">
      <c r="A3511" s="535" t="n">
        <v>36451</v>
      </c>
      <c r="B3511" s="534" t="n">
        <v>13.241</v>
      </c>
      <c r="C3511" s="534" t="n">
        <v>12299.08</v>
      </c>
      <c r="E3511" s="535" t="n">
        <v>40269</v>
      </c>
      <c r="F3511" s="534" t="n">
        <v>2.989</v>
      </c>
    </row>
    <row r="3512">
      <c r="A3512" s="535" t="n">
        <v>36452</v>
      </c>
      <c r="B3512" s="534" t="n">
        <v>12.936</v>
      </c>
      <c r="C3512" s="534" t="n">
        <v>12134.13</v>
      </c>
      <c r="E3512" s="535" t="n">
        <v>40270</v>
      </c>
      <c r="F3512" s="534" t="n">
        <v>2.989</v>
      </c>
    </row>
    <row r="3513">
      <c r="A3513" s="535" t="n">
        <v>36453</v>
      </c>
      <c r="B3513" s="534" t="n">
        <v>13.328</v>
      </c>
      <c r="C3513" s="534" t="n">
        <v>12498.56</v>
      </c>
      <c r="E3513" s="535" t="n">
        <v>40273</v>
      </c>
      <c r="F3513" s="534" t="n">
        <v>2.989</v>
      </c>
    </row>
    <row r="3514">
      <c r="A3514" s="535" t="n">
        <v>36454</v>
      </c>
      <c r="B3514" s="534" t="n">
        <v>13.372</v>
      </c>
      <c r="C3514" s="534" t="n">
        <v>12523</v>
      </c>
      <c r="E3514" s="535" t="n">
        <v>40274</v>
      </c>
      <c r="F3514" s="534" t="n">
        <v>2.989</v>
      </c>
    </row>
    <row r="3515">
      <c r="A3515" s="535" t="n">
        <v>36455</v>
      </c>
      <c r="B3515" s="534" t="n">
        <v>13.72</v>
      </c>
      <c r="C3515" s="534" t="n">
        <v>12863.08</v>
      </c>
      <c r="E3515" s="535" t="n">
        <v>40275</v>
      </c>
      <c r="F3515" s="534" t="n">
        <v>3.063</v>
      </c>
    </row>
    <row r="3516">
      <c r="A3516" s="535" t="n">
        <v>36458</v>
      </c>
      <c r="B3516" s="534" t="n">
        <v>14.635</v>
      </c>
      <c r="C3516" s="534" t="n">
        <v>13034.18</v>
      </c>
      <c r="E3516" s="535" t="n">
        <v>40276</v>
      </c>
      <c r="F3516" s="534" t="n">
        <v>3.031</v>
      </c>
    </row>
    <row r="3517">
      <c r="A3517" s="535" t="n">
        <v>36459</v>
      </c>
      <c r="B3517" s="534" t="n">
        <v>14.33</v>
      </c>
      <c r="C3517" s="534" t="n">
        <v>12797.38</v>
      </c>
      <c r="E3517" s="535" t="n">
        <v>40277</v>
      </c>
      <c r="F3517" s="534" t="n">
        <v>3.032</v>
      </c>
    </row>
    <row r="3518">
      <c r="A3518" s="535" t="n">
        <v>36460</v>
      </c>
      <c r="B3518" s="534" t="n">
        <v>13.067</v>
      </c>
      <c r="C3518" s="534" t="n">
        <v>12709.07</v>
      </c>
      <c r="E3518" s="535" t="n">
        <v>40280</v>
      </c>
      <c r="F3518" s="534" t="n">
        <v>3.069</v>
      </c>
    </row>
    <row r="3519">
      <c r="A3519" s="535" t="n">
        <v>36461</v>
      </c>
      <c r="B3519" s="534" t="n">
        <v>13.11</v>
      </c>
      <c r="C3519" s="534" t="n">
        <v>12758.88</v>
      </c>
      <c r="E3519" s="535" t="n">
        <v>40281</v>
      </c>
      <c r="F3519" s="534" t="n">
        <v>3.025</v>
      </c>
    </row>
    <row r="3520">
      <c r="A3520" s="535" t="n">
        <v>36462</v>
      </c>
      <c r="B3520" s="534" t="n">
        <v>13.764</v>
      </c>
      <c r="C3520" s="534" t="n">
        <v>13256.95</v>
      </c>
      <c r="E3520" s="535" t="n">
        <v>40282</v>
      </c>
      <c r="F3520" s="534" t="n">
        <v>3.026</v>
      </c>
    </row>
    <row r="3521">
      <c r="A3521" s="535" t="n">
        <v>36465</v>
      </c>
      <c r="B3521" s="534" t="n">
        <v>13.459</v>
      </c>
      <c r="C3521" s="534" t="n">
        <v>13322.11</v>
      </c>
      <c r="E3521" s="535" t="n">
        <v>40283</v>
      </c>
      <c r="F3521" s="534" t="n">
        <v>3.061</v>
      </c>
    </row>
    <row r="3522">
      <c r="A3522" s="535" t="n">
        <v>36466</v>
      </c>
      <c r="B3522" s="534" t="n">
        <v>13.284</v>
      </c>
      <c r="C3522" s="534" t="n">
        <v>13335.84</v>
      </c>
      <c r="E3522" s="535" t="n">
        <v>40284</v>
      </c>
      <c r="F3522" s="534" t="n">
        <v>2.99</v>
      </c>
    </row>
    <row r="3523">
      <c r="A3523" s="535" t="n">
        <v>36467</v>
      </c>
      <c r="B3523" s="534" t="n">
        <v>13.241</v>
      </c>
      <c r="C3523" s="534" t="n">
        <v>13257.33</v>
      </c>
      <c r="E3523" s="535" t="n">
        <v>40287</v>
      </c>
      <c r="F3523" s="534" t="n">
        <v>2.918</v>
      </c>
    </row>
    <row r="3524">
      <c r="A3524" s="535" t="n">
        <v>36468</v>
      </c>
      <c r="B3524" s="534" t="n">
        <v>13.415</v>
      </c>
      <c r="C3524" s="534" t="n">
        <v>13651.51</v>
      </c>
      <c r="E3524" s="535" t="n">
        <v>40288</v>
      </c>
      <c r="F3524" s="534" t="n">
        <v>2.972</v>
      </c>
    </row>
    <row r="3525">
      <c r="A3525" s="535" t="n">
        <v>36469</v>
      </c>
      <c r="B3525" s="534" t="n">
        <v>13.11</v>
      </c>
      <c r="C3525" s="534" t="n">
        <v>13610.27</v>
      </c>
      <c r="E3525" s="535" t="n">
        <v>40289</v>
      </c>
      <c r="F3525" s="534" t="n">
        <v>2.983</v>
      </c>
    </row>
    <row r="3526">
      <c r="A3526" s="535" t="n">
        <v>36472</v>
      </c>
      <c r="B3526" s="534" t="n">
        <v>12.718</v>
      </c>
      <c r="C3526" s="534" t="n">
        <v>13521.11</v>
      </c>
      <c r="E3526" s="535" t="n">
        <v>40290</v>
      </c>
      <c r="F3526" s="534" t="n">
        <v>2.947</v>
      </c>
    </row>
    <row r="3527">
      <c r="A3527" s="535" t="n">
        <v>36473</v>
      </c>
      <c r="B3527" s="534" t="n">
        <v>12.805</v>
      </c>
      <c r="C3527" s="534" t="n">
        <v>13669.7</v>
      </c>
      <c r="E3527" s="535" t="n">
        <v>40291</v>
      </c>
      <c r="F3527" s="534" t="n">
        <v>2.995</v>
      </c>
    </row>
    <row r="3528">
      <c r="A3528" s="535" t="n">
        <v>36474</v>
      </c>
      <c r="B3528" s="534" t="n">
        <v>13.459</v>
      </c>
      <c r="C3528" s="534" t="n">
        <v>13975.54</v>
      </c>
      <c r="E3528" s="535" t="n">
        <v>40294</v>
      </c>
      <c r="F3528" s="534" t="n">
        <v>3.017</v>
      </c>
    </row>
    <row r="3529">
      <c r="A3529" s="535" t="n">
        <v>36475</v>
      </c>
      <c r="B3529" s="534" t="n">
        <v>14.025</v>
      </c>
      <c r="C3529" s="534" t="n">
        <v>14105.71</v>
      </c>
      <c r="E3529" s="535" t="n">
        <v>40295</v>
      </c>
      <c r="F3529" s="534" t="n">
        <v>3.039</v>
      </c>
    </row>
    <row r="3530">
      <c r="A3530" s="535" t="n">
        <v>36476</v>
      </c>
      <c r="B3530" s="534" t="n">
        <v>14.112</v>
      </c>
      <c r="C3530" s="534" t="n">
        <v>14189.67</v>
      </c>
      <c r="E3530" s="535" t="n">
        <v>40296</v>
      </c>
      <c r="F3530" s="534" t="n">
        <v>2.986</v>
      </c>
    </row>
    <row r="3531">
      <c r="A3531" s="535" t="n">
        <v>36479</v>
      </c>
      <c r="B3531" s="534" t="n">
        <v>13.764</v>
      </c>
      <c r="C3531" s="534" t="n">
        <v>14562.22</v>
      </c>
      <c r="E3531" s="535" t="n">
        <v>40297</v>
      </c>
      <c r="F3531" s="534" t="n">
        <v>3.01</v>
      </c>
    </row>
    <row r="3532">
      <c r="A3532" s="535" t="n">
        <v>36480</v>
      </c>
      <c r="B3532" s="534" t="n">
        <v>13.067</v>
      </c>
      <c r="C3532" s="534" t="n">
        <v>14689.46</v>
      </c>
      <c r="E3532" s="535" t="n">
        <v>40298</v>
      </c>
      <c r="F3532" s="534" t="n">
        <v>2.987</v>
      </c>
    </row>
    <row r="3533">
      <c r="A3533" s="535" t="n">
        <v>36481</v>
      </c>
      <c r="B3533" s="534" t="n">
        <v>12.762</v>
      </c>
      <c r="C3533" s="534" t="n">
        <v>14704.48</v>
      </c>
      <c r="E3533" s="535" t="n">
        <v>40301</v>
      </c>
      <c r="F3533" s="534" t="n">
        <v>2.96</v>
      </c>
    </row>
    <row r="3534">
      <c r="A3534" s="535" t="n">
        <v>36482</v>
      </c>
      <c r="B3534" s="534" t="n">
        <v>13.023</v>
      </c>
      <c r="C3534" s="534" t="n">
        <v>14721.74</v>
      </c>
      <c r="E3534" s="535" t="n">
        <v>40302</v>
      </c>
      <c r="F3534" s="534" t="n">
        <v>3.029</v>
      </c>
    </row>
    <row r="3535">
      <c r="A3535" s="535" t="n">
        <v>36483</v>
      </c>
      <c r="B3535" s="534" t="n">
        <v>13.284</v>
      </c>
      <c r="C3535" s="534" t="n">
        <v>15073.1</v>
      </c>
      <c r="E3535" s="535" t="n">
        <v>40303</v>
      </c>
      <c r="F3535" s="534" t="n">
        <v>2.961</v>
      </c>
    </row>
    <row r="3536">
      <c r="A3536" s="535" t="n">
        <v>36486</v>
      </c>
      <c r="B3536" s="534" t="n">
        <v>13.415</v>
      </c>
      <c r="C3536" s="534" t="n">
        <v>15285.03</v>
      </c>
      <c r="E3536" s="535" t="n">
        <v>40304</v>
      </c>
      <c r="F3536" s="534" t="n">
        <v>2.889</v>
      </c>
    </row>
    <row r="3537">
      <c r="A3537" s="535" t="n">
        <v>36487</v>
      </c>
      <c r="B3537" s="534" t="n">
        <v>13.197</v>
      </c>
      <c r="C3537" s="534" t="n">
        <v>15393.2</v>
      </c>
      <c r="E3537" s="535" t="n">
        <v>40305</v>
      </c>
      <c r="F3537" s="534" t="n">
        <v>2.79</v>
      </c>
    </row>
    <row r="3538">
      <c r="A3538" s="535" t="n">
        <v>36488</v>
      </c>
      <c r="B3538" s="534" t="n">
        <v>12.936</v>
      </c>
      <c r="C3538" s="534" t="n">
        <v>15307.28</v>
      </c>
      <c r="E3538" s="535" t="n">
        <v>40308</v>
      </c>
      <c r="F3538" s="534" t="n">
        <v>2.968</v>
      </c>
    </row>
    <row r="3539">
      <c r="A3539" s="535" t="n">
        <v>36489</v>
      </c>
      <c r="B3539" s="534" t="n">
        <v>12.675</v>
      </c>
      <c r="C3539" s="534" t="n">
        <v>14998.77</v>
      </c>
      <c r="E3539" s="535" t="n">
        <v>40309</v>
      </c>
      <c r="F3539" s="534" t="n">
        <v>2.93</v>
      </c>
    </row>
    <row r="3540">
      <c r="A3540" s="535" t="n">
        <v>36490</v>
      </c>
      <c r="B3540" s="534" t="n">
        <v>13.067</v>
      </c>
      <c r="C3540" s="534" t="n">
        <v>15274.53</v>
      </c>
      <c r="E3540" s="535" t="n">
        <v>40310</v>
      </c>
      <c r="F3540" s="534" t="n">
        <v>2.783</v>
      </c>
    </row>
    <row r="3541">
      <c r="A3541" s="535" t="n">
        <v>36493</v>
      </c>
      <c r="B3541" s="534" t="n">
        <v>13.067</v>
      </c>
      <c r="C3541" s="534" t="n">
        <v>15461.11</v>
      </c>
      <c r="E3541" s="535" t="n">
        <v>40311</v>
      </c>
      <c r="F3541" s="534" t="n">
        <v>2.918</v>
      </c>
    </row>
    <row r="3542">
      <c r="A3542" s="535" t="n">
        <v>36494</v>
      </c>
      <c r="B3542" s="534" t="n">
        <v>12.805</v>
      </c>
      <c r="C3542" s="534" t="n">
        <v>15377.19</v>
      </c>
      <c r="E3542" s="535" t="n">
        <v>40312</v>
      </c>
      <c r="F3542" s="534" t="n">
        <v>2.732</v>
      </c>
    </row>
    <row r="3543">
      <c r="A3543" s="535" t="n">
        <v>36495</v>
      </c>
      <c r="B3543" s="534" t="n">
        <v>12.718</v>
      </c>
      <c r="C3543" s="534" t="n">
        <v>15422.52</v>
      </c>
      <c r="E3543" s="535" t="n">
        <v>40315</v>
      </c>
      <c r="F3543" s="534" t="n">
        <v>2.683</v>
      </c>
    </row>
    <row r="3544">
      <c r="A3544" s="535" t="n">
        <v>36496</v>
      </c>
      <c r="B3544" s="534" t="n">
        <v>12.892</v>
      </c>
      <c r="C3544" s="534" t="n">
        <v>15603.04</v>
      </c>
      <c r="E3544" s="535" t="n">
        <v>40316</v>
      </c>
      <c r="F3544" s="534" t="n">
        <v>2.705</v>
      </c>
    </row>
    <row r="3545">
      <c r="A3545" s="535" t="n">
        <v>36497</v>
      </c>
      <c r="B3545" s="534" t="n">
        <v>12.631</v>
      </c>
      <c r="C3545" s="534" t="n">
        <v>15840.41</v>
      </c>
      <c r="E3545" s="535" t="n">
        <v>40317</v>
      </c>
      <c r="F3545" s="534" t="n">
        <v>2.664</v>
      </c>
    </row>
    <row r="3546">
      <c r="A3546" s="535" t="n">
        <v>36500</v>
      </c>
      <c r="B3546" s="534" t="n">
        <v>12.936</v>
      </c>
      <c r="C3546" s="534" t="n">
        <v>16168.62</v>
      </c>
      <c r="E3546" s="535" t="n">
        <v>40318</v>
      </c>
      <c r="F3546" s="534" t="n">
        <v>2.676</v>
      </c>
    </row>
    <row r="3547">
      <c r="A3547" s="535" t="n">
        <v>36501</v>
      </c>
      <c r="B3547" s="534" t="n">
        <v>13.197</v>
      </c>
      <c r="C3547" s="534" t="n">
        <v>16073.09</v>
      </c>
      <c r="E3547" s="535" t="n">
        <v>40319</v>
      </c>
      <c r="F3547" s="534" t="n">
        <v>2.676</v>
      </c>
    </row>
    <row r="3548">
      <c r="A3548" s="535" t="n">
        <v>36502</v>
      </c>
      <c r="B3548" s="534" t="n">
        <v>13.241</v>
      </c>
      <c r="C3548" s="534" t="n">
        <v>15989.38</v>
      </c>
      <c r="E3548" s="535" t="n">
        <v>40322</v>
      </c>
      <c r="F3548" s="534" t="n">
        <v>2.566</v>
      </c>
    </row>
    <row r="3549">
      <c r="A3549" s="535" t="n">
        <v>36503</v>
      </c>
      <c r="B3549" s="534" t="n">
        <v>13.241</v>
      </c>
      <c r="C3549" s="534" t="n">
        <v>16370.95</v>
      </c>
      <c r="E3549" s="535" t="n">
        <v>40323</v>
      </c>
      <c r="F3549" s="534" t="n">
        <v>2.499</v>
      </c>
    </row>
    <row r="3550">
      <c r="A3550" s="535" t="n">
        <v>36504</v>
      </c>
      <c r="B3550" s="534" t="n">
        <v>12.936</v>
      </c>
      <c r="C3550" s="534" t="n">
        <v>16380.21</v>
      </c>
      <c r="E3550" s="535" t="n">
        <v>40324</v>
      </c>
      <c r="F3550" s="534" t="n">
        <v>2.497</v>
      </c>
    </row>
    <row r="3551">
      <c r="A3551" s="535" t="n">
        <v>36507</v>
      </c>
      <c r="B3551" s="534" t="n">
        <v>12.849</v>
      </c>
      <c r="C3551" s="534" t="n">
        <v>16442.11</v>
      </c>
      <c r="E3551" s="535" t="n">
        <v>40325</v>
      </c>
      <c r="F3551" s="534" t="n">
        <v>2.611</v>
      </c>
    </row>
    <row r="3552">
      <c r="A3552" s="535" t="n">
        <v>36508</v>
      </c>
      <c r="B3552" s="534" t="n">
        <v>12.805</v>
      </c>
      <c r="C3552" s="534" t="n">
        <v>16282.7</v>
      </c>
      <c r="E3552" s="535" t="n">
        <v>40326</v>
      </c>
      <c r="F3552" s="534" t="n">
        <v>2.652</v>
      </c>
    </row>
    <row r="3553">
      <c r="A3553" s="535" t="n">
        <v>36509</v>
      </c>
      <c r="B3553" s="534" t="n">
        <v>12.588</v>
      </c>
      <c r="C3553" s="534" t="n">
        <v>15825.31</v>
      </c>
      <c r="E3553" s="535" t="n">
        <v>40329</v>
      </c>
      <c r="F3553" s="534" t="n">
        <v>2.582</v>
      </c>
    </row>
    <row r="3554">
      <c r="A3554" s="535" t="n">
        <v>36510</v>
      </c>
      <c r="B3554" s="534" t="n">
        <v>12.762</v>
      </c>
      <c r="C3554" s="534" t="n">
        <v>15571.36</v>
      </c>
      <c r="E3554" s="535" t="n">
        <v>40330</v>
      </c>
      <c r="F3554" s="534" t="n">
        <v>2.534</v>
      </c>
    </row>
    <row r="3555">
      <c r="A3555" s="535" t="n">
        <v>36511</v>
      </c>
      <c r="B3555" s="534" t="n">
        <v>12.631</v>
      </c>
      <c r="C3555" s="534" t="n">
        <v>15986.35</v>
      </c>
      <c r="E3555" s="535" t="n">
        <v>40331</v>
      </c>
      <c r="F3555" s="534" t="n">
        <v>2.529</v>
      </c>
    </row>
    <row r="3556">
      <c r="A3556" s="535" t="n">
        <v>36514</v>
      </c>
      <c r="B3556" s="534" t="n">
        <v>12.588</v>
      </c>
      <c r="C3556" s="534" t="n">
        <v>16212.39</v>
      </c>
      <c r="E3556" s="535" t="n">
        <v>40332</v>
      </c>
      <c r="F3556" s="534" t="n">
        <v>2.607</v>
      </c>
    </row>
    <row r="3557">
      <c r="A3557" s="535" t="n">
        <v>36515</v>
      </c>
      <c r="B3557" s="534" t="n">
        <v>12.108</v>
      </c>
      <c r="C3557" s="534" t="n">
        <v>16248.74</v>
      </c>
      <c r="E3557" s="535" t="n">
        <v>40333</v>
      </c>
      <c r="F3557" s="534" t="n">
        <v>2.57</v>
      </c>
    </row>
    <row r="3558">
      <c r="A3558" s="535" t="n">
        <v>36516</v>
      </c>
      <c r="B3558" s="534" t="n">
        <v>12.196</v>
      </c>
      <c r="C3558" s="534" t="n">
        <v>16192.4</v>
      </c>
      <c r="E3558" s="535" t="n">
        <v>40336</v>
      </c>
      <c r="F3558" s="534" t="n">
        <v>2.414</v>
      </c>
    </row>
    <row r="3559">
      <c r="A3559" s="535" t="n">
        <v>36517</v>
      </c>
      <c r="B3559" s="534" t="n">
        <v>12.021</v>
      </c>
      <c r="C3559" s="534" t="n">
        <v>16296.08</v>
      </c>
      <c r="E3559" s="535" t="n">
        <v>40337</v>
      </c>
      <c r="F3559" s="534" t="n">
        <v>2.402</v>
      </c>
    </row>
    <row r="3560">
      <c r="A3560" s="535" t="n">
        <v>36518</v>
      </c>
      <c r="B3560" s="534" t="n">
        <v>12.152</v>
      </c>
      <c r="C3560" s="534" t="n">
        <v>16833.28</v>
      </c>
      <c r="E3560" s="535" t="n">
        <v>40338</v>
      </c>
      <c r="F3560" s="534" t="n">
        <v>2.46</v>
      </c>
    </row>
    <row r="3561">
      <c r="A3561" s="535" t="n">
        <v>36521</v>
      </c>
      <c r="B3561" s="534" t="n">
        <v>12.152</v>
      </c>
      <c r="C3561" s="534" t="n">
        <v>16833.28</v>
      </c>
      <c r="E3561" s="535" t="n">
        <v>40339</v>
      </c>
      <c r="F3561" s="534" t="n">
        <v>2.463</v>
      </c>
    </row>
    <row r="3562">
      <c r="A3562" s="535" t="n">
        <v>36522</v>
      </c>
      <c r="B3562" s="534" t="n">
        <v>11.891</v>
      </c>
      <c r="C3562" s="534" t="n">
        <v>16928.29</v>
      </c>
      <c r="E3562" s="535" t="n">
        <v>40340</v>
      </c>
      <c r="F3562" s="534" t="n">
        <v>2.543</v>
      </c>
    </row>
    <row r="3563">
      <c r="A3563" s="535" t="n">
        <v>36523</v>
      </c>
      <c r="B3563" s="534" t="n">
        <v>11.934</v>
      </c>
      <c r="C3563" s="534" t="n">
        <v>16660.82</v>
      </c>
      <c r="E3563" s="535" t="n">
        <v>40343</v>
      </c>
      <c r="F3563" s="534" t="n">
        <v>2.499</v>
      </c>
    </row>
    <row r="3564">
      <c r="A3564" s="535" t="n">
        <v>36524</v>
      </c>
      <c r="B3564" s="534" t="n">
        <v>12.065</v>
      </c>
      <c r="C3564" s="534" t="n">
        <v>16962.1</v>
      </c>
      <c r="E3564" s="535" t="n">
        <v>40344</v>
      </c>
      <c r="F3564" s="534" t="n">
        <v>2.542</v>
      </c>
    </row>
    <row r="3565">
      <c r="A3565" s="535" t="n">
        <v>36525</v>
      </c>
      <c r="B3565" s="534" t="n">
        <v>12.065</v>
      </c>
      <c r="C3565" s="534" t="n">
        <v>16962.1</v>
      </c>
      <c r="E3565" s="535" t="n">
        <v>40345</v>
      </c>
      <c r="F3565" s="534" t="n">
        <v>2.542</v>
      </c>
    </row>
    <row r="3566">
      <c r="A3566" s="535" t="n">
        <v>36528</v>
      </c>
      <c r="B3566" s="534" t="n">
        <v>11.673</v>
      </c>
      <c r="C3566" s="534" t="n">
        <v>17369.63</v>
      </c>
      <c r="E3566" s="535" t="n">
        <v>40346</v>
      </c>
      <c r="F3566" s="534" t="n">
        <v>2.523</v>
      </c>
    </row>
    <row r="3567">
      <c r="A3567" s="535" t="n">
        <v>36529</v>
      </c>
      <c r="B3567" s="534" t="n">
        <v>11.499</v>
      </c>
      <c r="C3567" s="534" t="n">
        <v>17072.82</v>
      </c>
      <c r="E3567" s="535" t="n">
        <v>40347</v>
      </c>
      <c r="F3567" s="534" t="n">
        <v>2.693</v>
      </c>
    </row>
    <row r="3568">
      <c r="A3568" s="535" t="n">
        <v>36530</v>
      </c>
      <c r="B3568" s="534" t="n">
        <v>10.715</v>
      </c>
      <c r="C3568" s="534" t="n">
        <v>15846.72</v>
      </c>
      <c r="E3568" s="535" t="n">
        <v>40350</v>
      </c>
      <c r="F3568" s="534" t="n">
        <v>2.733</v>
      </c>
    </row>
    <row r="3569">
      <c r="A3569" s="535" t="n">
        <v>36531</v>
      </c>
      <c r="B3569" s="534" t="n">
        <v>11.324</v>
      </c>
      <c r="C3569" s="534" t="n">
        <v>15153.23</v>
      </c>
      <c r="E3569" s="535" t="n">
        <v>40351</v>
      </c>
      <c r="F3569" s="534" t="n">
        <v>2.594</v>
      </c>
    </row>
    <row r="3570">
      <c r="A3570" s="535" t="n">
        <v>36532</v>
      </c>
      <c r="B3570" s="534" t="n">
        <v>11.76</v>
      </c>
      <c r="C3570" s="534" t="n">
        <v>15405.63</v>
      </c>
      <c r="E3570" s="535" t="n">
        <v>40352</v>
      </c>
      <c r="F3570" s="534" t="n">
        <v>2.663</v>
      </c>
    </row>
    <row r="3571">
      <c r="A3571" s="535" t="n">
        <v>36535</v>
      </c>
      <c r="B3571" s="534" t="n">
        <v>12.457</v>
      </c>
      <c r="C3571" s="534" t="n">
        <v>15848.15</v>
      </c>
      <c r="E3571" s="535" t="n">
        <v>40353</v>
      </c>
      <c r="F3571" s="534" t="n">
        <v>2.527</v>
      </c>
    </row>
    <row r="3572">
      <c r="A3572" s="535" t="n">
        <v>36536</v>
      </c>
      <c r="B3572" s="534" t="n">
        <v>12.588</v>
      </c>
      <c r="C3572" s="534" t="n">
        <v>15862.1</v>
      </c>
      <c r="E3572" s="535" t="n">
        <v>40354</v>
      </c>
      <c r="F3572" s="534" t="n">
        <v>2.537</v>
      </c>
    </row>
    <row r="3573">
      <c r="A3573" s="535" t="n">
        <v>36537</v>
      </c>
      <c r="B3573" s="534" t="n">
        <v>12.413</v>
      </c>
      <c r="C3573" s="534" t="n">
        <v>15714.2</v>
      </c>
      <c r="E3573" s="535" t="n">
        <v>40357</v>
      </c>
      <c r="F3573" s="534" t="n">
        <v>2.51</v>
      </c>
    </row>
    <row r="3574">
      <c r="A3574" s="535" t="n">
        <v>36538</v>
      </c>
      <c r="B3574" s="534" t="n">
        <v>12.196</v>
      </c>
      <c r="C3574" s="534" t="n">
        <v>15633.96</v>
      </c>
      <c r="E3574" s="535" t="n">
        <v>40358</v>
      </c>
      <c r="F3574" s="534" t="n">
        <v>2.4</v>
      </c>
    </row>
    <row r="3575">
      <c r="A3575" s="535" t="n">
        <v>36539</v>
      </c>
      <c r="B3575" s="534" t="n">
        <v>12.108</v>
      </c>
      <c r="C3575" s="534" t="n">
        <v>15542.23</v>
      </c>
      <c r="E3575" s="535" t="n">
        <v>40359</v>
      </c>
      <c r="F3575" s="534" t="n">
        <v>2.373</v>
      </c>
    </row>
    <row r="3576">
      <c r="A3576" s="535" t="n">
        <v>36542</v>
      </c>
      <c r="B3576" s="534" t="n">
        <v>11.629</v>
      </c>
      <c r="C3576" s="534" t="n">
        <v>15574.56</v>
      </c>
      <c r="E3576" s="535" t="n">
        <v>40360</v>
      </c>
      <c r="F3576" s="534" t="n">
        <v>2.373</v>
      </c>
    </row>
    <row r="3577">
      <c r="A3577" s="535" t="n">
        <v>36543</v>
      </c>
      <c r="B3577" s="534" t="n">
        <v>11.76</v>
      </c>
      <c r="C3577" s="534" t="n">
        <v>15789.2</v>
      </c>
      <c r="E3577" s="535" t="n">
        <v>40361</v>
      </c>
      <c r="F3577" s="534" t="n">
        <v>2.387</v>
      </c>
    </row>
    <row r="3578">
      <c r="A3578" s="535" t="n">
        <v>36544</v>
      </c>
      <c r="B3578" s="534" t="n">
        <v>11.412</v>
      </c>
      <c r="C3578" s="534" t="n">
        <v>15275.34</v>
      </c>
      <c r="E3578" s="535" t="n">
        <v>40364</v>
      </c>
      <c r="F3578" s="534" t="n">
        <v>2.44</v>
      </c>
    </row>
    <row r="3579">
      <c r="A3579" s="535" t="n">
        <v>36545</v>
      </c>
      <c r="B3579" s="534" t="n">
        <v>11.716</v>
      </c>
      <c r="C3579" s="534" t="n">
        <v>15215.31</v>
      </c>
      <c r="E3579" s="535" t="n">
        <v>40365</v>
      </c>
      <c r="F3579" s="534" t="n">
        <v>2.41</v>
      </c>
    </row>
    <row r="3580">
      <c r="A3580" s="535" t="n">
        <v>36546</v>
      </c>
      <c r="B3580" s="534" t="n">
        <v>11.586</v>
      </c>
      <c r="C3580" s="534" t="n">
        <v>15108.41</v>
      </c>
      <c r="E3580" s="535" t="n">
        <v>40366</v>
      </c>
      <c r="F3580" s="534" t="n">
        <v>2.4</v>
      </c>
    </row>
    <row r="3581">
      <c r="A3581" s="535" t="n">
        <v>36549</v>
      </c>
      <c r="B3581" s="534" t="n">
        <v>11.194</v>
      </c>
      <c r="C3581" s="534" t="n">
        <v>15167.55</v>
      </c>
      <c r="E3581" s="535" t="n">
        <v>40367</v>
      </c>
      <c r="F3581" s="534" t="n">
        <v>2.457</v>
      </c>
    </row>
    <row r="3582">
      <c r="A3582" s="535" t="n">
        <v>36550</v>
      </c>
      <c r="B3582" s="534" t="n">
        <v>11.107</v>
      </c>
      <c r="C3582" s="534" t="n">
        <v>15103.04</v>
      </c>
      <c r="E3582" s="535" t="n">
        <v>40368</v>
      </c>
      <c r="F3582" s="534" t="n">
        <v>2.478</v>
      </c>
    </row>
    <row r="3583">
      <c r="A3583" s="535" t="n">
        <v>36551</v>
      </c>
      <c r="B3583" s="534" t="n">
        <v>11.063</v>
      </c>
      <c r="C3583" s="534" t="n">
        <v>15427.72</v>
      </c>
      <c r="E3583" s="535" t="n">
        <v>40371</v>
      </c>
      <c r="F3583" s="534" t="n">
        <v>2.478</v>
      </c>
    </row>
    <row r="3584">
      <c r="A3584" s="535" t="n">
        <v>36552</v>
      </c>
      <c r="B3584" s="534" t="n">
        <v>11.324</v>
      </c>
      <c r="C3584" s="534" t="n">
        <v>15917.81</v>
      </c>
      <c r="E3584" s="535" t="n">
        <v>40372</v>
      </c>
      <c r="F3584" s="534" t="n">
        <v>2.455</v>
      </c>
    </row>
    <row r="3585">
      <c r="A3585" s="535" t="n">
        <v>36553</v>
      </c>
      <c r="B3585" s="534" t="n">
        <v>10.932</v>
      </c>
      <c r="C3585" s="534" t="n">
        <v>16185.94</v>
      </c>
      <c r="E3585" s="535" t="n">
        <v>40373</v>
      </c>
      <c r="F3585" s="534" t="n">
        <v>2.479</v>
      </c>
    </row>
    <row r="3586">
      <c r="A3586" s="535" t="n">
        <v>36556</v>
      </c>
      <c r="B3586" s="534" t="n">
        <v>10.715</v>
      </c>
      <c r="C3586" s="534" t="n">
        <v>15532.34</v>
      </c>
      <c r="E3586" s="535" t="n">
        <v>40374</v>
      </c>
      <c r="F3586" s="534" t="n">
        <v>2.434</v>
      </c>
    </row>
    <row r="3587">
      <c r="A3587" s="535" t="n">
        <v>36557</v>
      </c>
      <c r="B3587" s="534" t="n">
        <v>10.628</v>
      </c>
      <c r="C3587" s="534" t="n">
        <v>15653.86</v>
      </c>
      <c r="E3587" s="535" t="n">
        <v>40375</v>
      </c>
      <c r="F3587" s="534" t="n">
        <v>2.391</v>
      </c>
    </row>
    <row r="3588">
      <c r="A3588" s="535" t="n">
        <v>36558</v>
      </c>
      <c r="B3588" s="534" t="n">
        <v>10.802</v>
      </c>
      <c r="C3588" s="534" t="n">
        <v>15789.82</v>
      </c>
      <c r="E3588" s="535" t="n">
        <v>40378</v>
      </c>
      <c r="F3588" s="534" t="n">
        <v>2.349</v>
      </c>
    </row>
    <row r="3589">
      <c r="A3589" s="535" t="n">
        <v>36559</v>
      </c>
      <c r="B3589" s="534" t="n">
        <v>11.673</v>
      </c>
      <c r="C3589" s="534" t="n">
        <v>15968.12</v>
      </c>
      <c r="E3589" s="535" t="n">
        <v>40379</v>
      </c>
      <c r="F3589" s="534" t="n">
        <v>2.367</v>
      </c>
    </row>
    <row r="3590">
      <c r="A3590" s="535" t="n">
        <v>36560</v>
      </c>
      <c r="B3590" s="534" t="n">
        <v>11.673</v>
      </c>
      <c r="C3590" s="534" t="n">
        <v>15968.12</v>
      </c>
      <c r="E3590" s="535" t="n">
        <v>40380</v>
      </c>
      <c r="F3590" s="534" t="n">
        <v>2.353</v>
      </c>
    </row>
    <row r="3591">
      <c r="A3591" s="535" t="n">
        <v>36563</v>
      </c>
      <c r="B3591" s="534" t="n">
        <v>11.673</v>
      </c>
      <c r="C3591" s="534" t="n">
        <v>15968.12</v>
      </c>
      <c r="E3591" s="535" t="n">
        <v>40381</v>
      </c>
      <c r="F3591" s="534" t="n">
        <v>2.293</v>
      </c>
    </row>
    <row r="3592">
      <c r="A3592" s="535" t="n">
        <v>36564</v>
      </c>
      <c r="B3592" s="534" t="n">
        <v>11.499</v>
      </c>
      <c r="C3592" s="534" t="n">
        <v>16228.73</v>
      </c>
      <c r="E3592" s="535" t="n">
        <v>40382</v>
      </c>
      <c r="F3592" s="534" t="n">
        <v>2.31</v>
      </c>
    </row>
    <row r="3593">
      <c r="A3593" s="535" t="n">
        <v>36565</v>
      </c>
      <c r="B3593" s="534" t="n">
        <v>11.499</v>
      </c>
      <c r="C3593" s="534" t="n">
        <v>16819.46</v>
      </c>
      <c r="E3593" s="535" t="n">
        <v>40385</v>
      </c>
      <c r="F3593" s="534" t="n">
        <v>2.352</v>
      </c>
    </row>
    <row r="3594">
      <c r="A3594" s="535" t="n">
        <v>36566</v>
      </c>
      <c r="B3594" s="534" t="n">
        <v>11.324</v>
      </c>
      <c r="C3594" s="534" t="n">
        <v>16845.17</v>
      </c>
      <c r="E3594" s="535" t="n">
        <v>40386</v>
      </c>
      <c r="F3594" s="534" t="n">
        <v>2.36</v>
      </c>
    </row>
    <row r="3595">
      <c r="A3595" s="535" t="n">
        <v>36567</v>
      </c>
      <c r="B3595" s="534" t="n">
        <v>11.063</v>
      </c>
      <c r="C3595" s="534" t="n">
        <v>17380.3</v>
      </c>
      <c r="E3595" s="535" t="n">
        <v>40387</v>
      </c>
      <c r="F3595" s="534" t="n">
        <v>2.36</v>
      </c>
    </row>
    <row r="3596">
      <c r="A3596" s="535" t="n">
        <v>36570</v>
      </c>
      <c r="B3596" s="534" t="n">
        <v>10.236</v>
      </c>
      <c r="C3596" s="534" t="n">
        <v>17188.96</v>
      </c>
      <c r="E3596" s="535" t="n">
        <v>40388</v>
      </c>
      <c r="F3596" s="534" t="n">
        <v>2.334</v>
      </c>
    </row>
    <row r="3597">
      <c r="A3597" s="535" t="n">
        <v>36571</v>
      </c>
      <c r="B3597" s="534" t="n">
        <v>9.539</v>
      </c>
      <c r="C3597" s="534" t="n">
        <v>16688.16</v>
      </c>
      <c r="E3597" s="535" t="n">
        <v>40389</v>
      </c>
      <c r="F3597" s="534" t="n">
        <v>2.318</v>
      </c>
    </row>
    <row r="3598">
      <c r="A3598" s="535" t="n">
        <v>36572</v>
      </c>
      <c r="B3598" s="534" t="n">
        <v>9.756</v>
      </c>
      <c r="C3598" s="534" t="n">
        <v>17043.39</v>
      </c>
      <c r="E3598" s="535" t="n">
        <v>40392</v>
      </c>
      <c r="F3598" s="534" t="n">
        <v>2.319</v>
      </c>
    </row>
    <row r="3599">
      <c r="A3599" s="535" t="n">
        <v>36573</v>
      </c>
      <c r="B3599" s="534" t="n">
        <v>10.018</v>
      </c>
      <c r="C3599" s="534" t="n">
        <v>16981.23</v>
      </c>
      <c r="E3599" s="535" t="n">
        <v>40393</v>
      </c>
      <c r="F3599" s="534" t="n">
        <v>2.311</v>
      </c>
    </row>
    <row r="3600">
      <c r="A3600" s="535" t="n">
        <v>36574</v>
      </c>
      <c r="B3600" s="534" t="n">
        <v>10.148</v>
      </c>
      <c r="C3600" s="534" t="n">
        <v>16599.16</v>
      </c>
      <c r="E3600" s="535" t="n">
        <v>40394</v>
      </c>
      <c r="F3600" s="534" t="n">
        <v>2.317</v>
      </c>
    </row>
    <row r="3601">
      <c r="A3601" s="535" t="n">
        <v>36577</v>
      </c>
      <c r="B3601" s="534" t="n">
        <v>9.712999999999999</v>
      </c>
      <c r="C3601" s="534" t="n">
        <v>16322.37</v>
      </c>
      <c r="E3601" s="535" t="n">
        <v>40395</v>
      </c>
      <c r="F3601" s="534" t="n">
        <v>2.349</v>
      </c>
    </row>
    <row r="3602">
      <c r="A3602" s="535" t="n">
        <v>36578</v>
      </c>
      <c r="B3602" s="534" t="n">
        <v>9.756</v>
      </c>
      <c r="C3602" s="534" t="n">
        <v>16255.17</v>
      </c>
      <c r="E3602" s="535" t="n">
        <v>40396</v>
      </c>
      <c r="F3602" s="534" t="n">
        <v>2.315</v>
      </c>
    </row>
    <row r="3603">
      <c r="A3603" s="535" t="n">
        <v>36579</v>
      </c>
      <c r="B3603" s="534" t="n">
        <v>10.061</v>
      </c>
      <c r="C3603" s="534" t="n">
        <v>16376.79</v>
      </c>
      <c r="E3603" s="535" t="n">
        <v>40399</v>
      </c>
      <c r="F3603" s="534" t="n">
        <v>2.278</v>
      </c>
    </row>
    <row r="3604">
      <c r="A3604" s="535" t="n">
        <v>36580</v>
      </c>
      <c r="B3604" s="534" t="n">
        <v>10.061</v>
      </c>
      <c r="C3604" s="534" t="n">
        <v>17058.66</v>
      </c>
      <c r="E3604" s="535" t="n">
        <v>40400</v>
      </c>
      <c r="F3604" s="534" t="n">
        <v>2.24</v>
      </c>
    </row>
    <row r="3605">
      <c r="A3605" s="535" t="n">
        <v>36581</v>
      </c>
      <c r="B3605" s="534" t="n">
        <v>9.756</v>
      </c>
      <c r="C3605" s="534" t="n">
        <v>17200.98</v>
      </c>
      <c r="E3605" s="535" t="n">
        <v>40401</v>
      </c>
      <c r="F3605" s="534" t="n">
        <v>2.163</v>
      </c>
    </row>
    <row r="3606">
      <c r="A3606" s="535" t="n">
        <v>36584</v>
      </c>
      <c r="B3606" s="534" t="n">
        <v>9.147</v>
      </c>
      <c r="C3606" s="534" t="n">
        <v>16984.44</v>
      </c>
      <c r="E3606" s="535" t="n">
        <v>40402</v>
      </c>
      <c r="F3606" s="534" t="n">
        <v>2.14</v>
      </c>
    </row>
    <row r="3607">
      <c r="A3607" s="535" t="n">
        <v>36585</v>
      </c>
      <c r="B3607" s="534" t="n">
        <v>9.407999999999999</v>
      </c>
      <c r="C3607" s="534" t="n">
        <v>17169.44</v>
      </c>
      <c r="E3607" s="535" t="n">
        <v>40403</v>
      </c>
      <c r="F3607" s="534" t="n">
        <v>2.159</v>
      </c>
    </row>
    <row r="3608">
      <c r="A3608" s="535" t="n">
        <v>36586</v>
      </c>
      <c r="B3608" s="534" t="n">
        <v>8.972</v>
      </c>
      <c r="C3608" s="534" t="n">
        <v>16843.59</v>
      </c>
      <c r="E3608" s="535" t="n">
        <v>40406</v>
      </c>
      <c r="F3608" s="534" t="n">
        <v>2.077</v>
      </c>
    </row>
    <row r="3609">
      <c r="A3609" s="535" t="n">
        <v>36587</v>
      </c>
      <c r="B3609" s="534" t="n">
        <v>9.19</v>
      </c>
      <c r="C3609" s="534" t="n">
        <v>16936.81</v>
      </c>
      <c r="E3609" s="535" t="n">
        <v>40407</v>
      </c>
      <c r="F3609" s="534" t="n">
        <v>2.04</v>
      </c>
    </row>
    <row r="3610">
      <c r="A3610" s="535" t="n">
        <v>36588</v>
      </c>
      <c r="B3610" s="534" t="n">
        <v>9.364000000000001</v>
      </c>
      <c r="C3610" s="534" t="n">
        <v>17285.24</v>
      </c>
      <c r="E3610" s="535" t="n">
        <v>40408</v>
      </c>
      <c r="F3610" s="534" t="n">
        <v>2.074</v>
      </c>
    </row>
    <row r="3611">
      <c r="A3611" s="535" t="n">
        <v>36591</v>
      </c>
      <c r="B3611" s="534" t="n">
        <v>10.148</v>
      </c>
      <c r="C3611" s="534" t="n">
        <v>17758.76</v>
      </c>
      <c r="E3611" s="535" t="n">
        <v>40409</v>
      </c>
      <c r="F3611" s="534" t="n">
        <v>2.07</v>
      </c>
    </row>
    <row r="3612">
      <c r="A3612" s="535" t="n">
        <v>36592</v>
      </c>
      <c r="B3612" s="534" t="n">
        <v>10.671</v>
      </c>
      <c r="C3612" s="534" t="n">
        <v>17865.36</v>
      </c>
      <c r="E3612" s="535" t="n">
        <v>40410</v>
      </c>
      <c r="F3612" s="534" t="n">
        <v>2.025</v>
      </c>
    </row>
    <row r="3613">
      <c r="A3613" s="535" t="n">
        <v>36593</v>
      </c>
      <c r="B3613" s="534" t="n">
        <v>10.845</v>
      </c>
      <c r="C3613" s="534" t="n">
        <v>17951.43</v>
      </c>
      <c r="E3613" s="535" t="n">
        <v>40413</v>
      </c>
      <c r="F3613" s="534" t="n">
        <v>2.05</v>
      </c>
    </row>
    <row r="3614">
      <c r="A3614" s="535" t="n">
        <v>36594</v>
      </c>
      <c r="B3614" s="534" t="n">
        <v>10.54</v>
      </c>
      <c r="C3614" s="534" t="n">
        <v>17637.03</v>
      </c>
      <c r="E3614" s="535" t="n">
        <v>40414</v>
      </c>
      <c r="F3614" s="534" t="n">
        <v>2.022</v>
      </c>
    </row>
    <row r="3615">
      <c r="A3615" s="535" t="n">
        <v>36595</v>
      </c>
      <c r="B3615" s="534" t="n">
        <v>9.930999999999999</v>
      </c>
      <c r="C3615" s="534" t="n">
        <v>17831.86</v>
      </c>
      <c r="E3615" s="535" t="n">
        <v>40415</v>
      </c>
      <c r="F3615" s="534" t="n">
        <v>1.981</v>
      </c>
    </row>
    <row r="3616">
      <c r="A3616" s="535" t="n">
        <v>36598</v>
      </c>
      <c r="B3616" s="534" t="n">
        <v>10.453</v>
      </c>
      <c r="C3616" s="534" t="n">
        <v>17096.68</v>
      </c>
      <c r="E3616" s="535" t="n">
        <v>40416</v>
      </c>
      <c r="F3616" s="534" t="n">
        <v>2.013</v>
      </c>
    </row>
    <row r="3617">
      <c r="A3617" s="535" t="n">
        <v>36599</v>
      </c>
      <c r="B3617" s="534" t="n">
        <v>10.279</v>
      </c>
      <c r="C3617" s="534" t="n">
        <v>16929.16</v>
      </c>
      <c r="E3617" s="535" t="n">
        <v>40417</v>
      </c>
      <c r="F3617" s="534" t="n">
        <v>2.007</v>
      </c>
    </row>
    <row r="3618">
      <c r="A3618" s="535" t="n">
        <v>36600</v>
      </c>
      <c r="B3618" s="534" t="n">
        <v>10.018</v>
      </c>
      <c r="C3618" s="534" t="n">
        <v>16747.2</v>
      </c>
      <c r="E3618" s="535" t="n">
        <v>40420</v>
      </c>
      <c r="F3618" s="534" t="n">
        <v>2.087</v>
      </c>
    </row>
    <row r="3619">
      <c r="A3619" s="535" t="n">
        <v>36601</v>
      </c>
      <c r="B3619" s="534" t="n">
        <v>10.279</v>
      </c>
      <c r="C3619" s="534" t="n">
        <v>16359</v>
      </c>
      <c r="E3619" s="535" t="n">
        <v>40421</v>
      </c>
      <c r="F3619" s="534" t="n">
        <v>2.007</v>
      </c>
    </row>
    <row r="3620">
      <c r="A3620" s="535" t="n">
        <v>36602</v>
      </c>
      <c r="B3620" s="534" t="n">
        <v>10.758</v>
      </c>
      <c r="C3620" s="534" t="n">
        <v>17082.99</v>
      </c>
      <c r="E3620" s="535" t="n">
        <v>40422</v>
      </c>
      <c r="F3620" s="534" t="n">
        <v>2.001</v>
      </c>
    </row>
    <row r="3621">
      <c r="A3621" s="535" t="n">
        <v>36605</v>
      </c>
      <c r="B3621" s="534" t="n">
        <v>10.671</v>
      </c>
      <c r="C3621" s="534" t="n">
        <v>17234.46</v>
      </c>
      <c r="E3621" s="535" t="n">
        <v>40423</v>
      </c>
      <c r="F3621" s="534" t="n">
        <v>2.004</v>
      </c>
    </row>
    <row r="3622">
      <c r="A3622" s="535" t="n">
        <v>36606</v>
      </c>
      <c r="B3622" s="534" t="n">
        <v>10.192</v>
      </c>
      <c r="C3622" s="534" t="n">
        <v>17199.98</v>
      </c>
      <c r="E3622" s="535" t="n">
        <v>40424</v>
      </c>
      <c r="F3622" s="534" t="n">
        <v>2.023</v>
      </c>
    </row>
    <row r="3623">
      <c r="A3623" s="535" t="n">
        <v>36607</v>
      </c>
      <c r="B3623" s="534" t="n">
        <v>10.453</v>
      </c>
      <c r="C3623" s="534" t="n">
        <v>17547.04</v>
      </c>
      <c r="E3623" s="535" t="n">
        <v>40427</v>
      </c>
      <c r="F3623" s="534" t="n">
        <v>2.065</v>
      </c>
    </row>
    <row r="3624">
      <c r="A3624" s="535" t="n">
        <v>36608</v>
      </c>
      <c r="B3624" s="534" t="n">
        <v>10.366</v>
      </c>
      <c r="C3624" s="534" t="n">
        <v>17710.58</v>
      </c>
      <c r="E3624" s="535" t="n">
        <v>40428</v>
      </c>
      <c r="F3624" s="534" t="n">
        <v>2.032</v>
      </c>
    </row>
    <row r="3625">
      <c r="A3625" s="535" t="n">
        <v>36609</v>
      </c>
      <c r="B3625" s="534" t="n">
        <v>10.628</v>
      </c>
      <c r="C3625" s="534" t="n">
        <v>17784.57</v>
      </c>
      <c r="E3625" s="535" t="n">
        <v>40429</v>
      </c>
      <c r="F3625" s="534" t="n">
        <v>1.995</v>
      </c>
    </row>
    <row r="3626">
      <c r="A3626" s="535" t="n">
        <v>36612</v>
      </c>
      <c r="B3626" s="534" t="n">
        <v>10.279</v>
      </c>
      <c r="C3626" s="534" t="n">
        <v>18292.86</v>
      </c>
      <c r="E3626" s="535" t="n">
        <v>40430</v>
      </c>
      <c r="F3626" s="534" t="n">
        <v>2.024</v>
      </c>
    </row>
    <row r="3627">
      <c r="A3627" s="535" t="n">
        <v>36613</v>
      </c>
      <c r="B3627" s="534" t="n">
        <v>10.236</v>
      </c>
      <c r="C3627" s="534" t="n">
        <v>18301.69</v>
      </c>
      <c r="E3627" s="535" t="n">
        <v>40431</v>
      </c>
      <c r="F3627" s="534" t="n">
        <v>2.088</v>
      </c>
    </row>
    <row r="3628">
      <c r="A3628" s="535" t="n">
        <v>36614</v>
      </c>
      <c r="B3628" s="534" t="n">
        <v>10.279</v>
      </c>
      <c r="C3628" s="534" t="n">
        <v>18096.37</v>
      </c>
      <c r="E3628" s="535" t="n">
        <v>40434</v>
      </c>
      <c r="F3628" s="534" t="n">
        <v>2.143</v>
      </c>
    </row>
    <row r="3629">
      <c r="A3629" s="535" t="n">
        <v>36615</v>
      </c>
      <c r="B3629" s="534" t="n">
        <v>10.148</v>
      </c>
      <c r="C3629" s="534" t="n">
        <v>17467.15</v>
      </c>
      <c r="E3629" s="535" t="n">
        <v>40435</v>
      </c>
      <c r="F3629" s="534" t="n">
        <v>2.088</v>
      </c>
    </row>
    <row r="3630">
      <c r="A3630" s="535" t="n">
        <v>36616</v>
      </c>
      <c r="B3630" s="534" t="n">
        <v>10.061</v>
      </c>
      <c r="C3630" s="534" t="n">
        <v>17406.54</v>
      </c>
      <c r="E3630" s="535" t="n">
        <v>40436</v>
      </c>
      <c r="F3630" s="534" t="n">
        <v>2.066</v>
      </c>
    </row>
    <row r="3631">
      <c r="A3631" s="535" t="n">
        <v>36619</v>
      </c>
      <c r="B3631" s="534" t="n">
        <v>10.018</v>
      </c>
      <c r="C3631" s="534" t="n">
        <v>16892.93</v>
      </c>
      <c r="E3631" s="535" t="n">
        <v>40437</v>
      </c>
      <c r="F3631" s="534" t="n">
        <v>2.084</v>
      </c>
    </row>
    <row r="3632">
      <c r="A3632" s="535" t="n">
        <v>36620</v>
      </c>
      <c r="B3632" s="534" t="n">
        <v>10.018</v>
      </c>
      <c r="C3632" s="534" t="n">
        <v>16892.93</v>
      </c>
      <c r="E3632" s="535" t="n">
        <v>40438</v>
      </c>
      <c r="F3632" s="534" t="n">
        <v>2.2</v>
      </c>
    </row>
    <row r="3633">
      <c r="A3633" s="535" t="n">
        <v>36621</v>
      </c>
      <c r="B3633" s="534" t="n">
        <v>10.497</v>
      </c>
      <c r="C3633" s="534" t="n">
        <v>16318.44</v>
      </c>
      <c r="E3633" s="535" t="n">
        <v>40441</v>
      </c>
      <c r="F3633" s="534" t="n">
        <v>2.23</v>
      </c>
    </row>
    <row r="3634">
      <c r="A3634" s="535" t="n">
        <v>36622</v>
      </c>
      <c r="B3634" s="534" t="n">
        <v>11.412</v>
      </c>
      <c r="C3634" s="534" t="n">
        <v>16491.39</v>
      </c>
      <c r="E3634" s="535" t="n">
        <v>40442</v>
      </c>
      <c r="F3634" s="534" t="n">
        <v>2.336</v>
      </c>
    </row>
    <row r="3635">
      <c r="A3635" s="535" t="n">
        <v>36623</v>
      </c>
      <c r="B3635" s="534" t="n">
        <v>11.412</v>
      </c>
      <c r="C3635" s="534" t="n">
        <v>16941.68</v>
      </c>
      <c r="E3635" s="535" t="n">
        <v>40443</v>
      </c>
      <c r="F3635" s="534" t="n">
        <v>2.26</v>
      </c>
    </row>
    <row r="3636">
      <c r="A3636" s="535" t="n">
        <v>36626</v>
      </c>
      <c r="B3636" s="534" t="n">
        <v>11.15</v>
      </c>
      <c r="C3636" s="534" t="n">
        <v>16850.74</v>
      </c>
      <c r="E3636" s="535" t="n">
        <v>40444</v>
      </c>
      <c r="F3636" s="534" t="n">
        <v>2.26</v>
      </c>
    </row>
    <row r="3637">
      <c r="A3637" s="535" t="n">
        <v>36627</v>
      </c>
      <c r="B3637" s="534" t="n">
        <v>11.324</v>
      </c>
      <c r="C3637" s="534" t="n">
        <v>16487.66</v>
      </c>
      <c r="E3637" s="535" t="n">
        <v>40445</v>
      </c>
      <c r="F3637" s="534" t="n">
        <v>2.26</v>
      </c>
    </row>
    <row r="3638">
      <c r="A3638" s="535" t="n">
        <v>36628</v>
      </c>
      <c r="B3638" s="534" t="n">
        <v>11.934</v>
      </c>
      <c r="C3638" s="534" t="n">
        <v>16577.09</v>
      </c>
      <c r="E3638" s="535" t="n">
        <v>40448</v>
      </c>
      <c r="F3638" s="534" t="n">
        <v>2.32</v>
      </c>
    </row>
    <row r="3639">
      <c r="A3639" s="535" t="n">
        <v>36629</v>
      </c>
      <c r="B3639" s="534" t="n">
        <v>12.413</v>
      </c>
      <c r="C3639" s="534" t="n">
        <v>16352.56</v>
      </c>
      <c r="E3639" s="535" t="n">
        <v>40449</v>
      </c>
      <c r="F3639" s="534" t="n">
        <v>2.254</v>
      </c>
    </row>
    <row r="3640">
      <c r="A3640" s="535" t="n">
        <v>36630</v>
      </c>
      <c r="B3640" s="534" t="n">
        <v>12.152</v>
      </c>
      <c r="C3640" s="534" t="n">
        <v>16142.76</v>
      </c>
      <c r="E3640" s="535" t="n">
        <v>40450</v>
      </c>
      <c r="F3640" s="534" t="n">
        <v>2.18</v>
      </c>
    </row>
    <row r="3641">
      <c r="A3641" s="535" t="n">
        <v>36633</v>
      </c>
      <c r="B3641" s="534" t="n">
        <v>11.324</v>
      </c>
      <c r="C3641" s="534" t="n">
        <v>14762.37</v>
      </c>
      <c r="E3641" s="535" t="n">
        <v>40451</v>
      </c>
      <c r="F3641" s="534" t="n">
        <v>2.188</v>
      </c>
    </row>
    <row r="3642">
      <c r="A3642" s="535" t="n">
        <v>36634</v>
      </c>
      <c r="B3642" s="534" t="n">
        <v>11.76</v>
      </c>
      <c r="C3642" s="534" t="n">
        <v>15278.32</v>
      </c>
      <c r="E3642" s="535" t="n">
        <v>40452</v>
      </c>
      <c r="F3642" s="534" t="n">
        <v>2.188</v>
      </c>
    </row>
    <row r="3643">
      <c r="A3643" s="535" t="n">
        <v>36635</v>
      </c>
      <c r="B3643" s="534" t="n">
        <v>12.413</v>
      </c>
      <c r="C3643" s="534" t="n">
        <v>15427.2</v>
      </c>
      <c r="E3643" s="535" t="n">
        <v>40455</v>
      </c>
      <c r="F3643" s="534" t="n">
        <v>2.209</v>
      </c>
    </row>
    <row r="3644">
      <c r="A3644" s="535" t="n">
        <v>36636</v>
      </c>
      <c r="B3644" s="534" t="n">
        <v>12.108</v>
      </c>
      <c r="C3644" s="534" t="n">
        <v>15367.14</v>
      </c>
      <c r="E3644" s="535" t="n">
        <v>40456</v>
      </c>
      <c r="F3644" s="534" t="n">
        <v>2.197</v>
      </c>
    </row>
    <row r="3645">
      <c r="A3645" s="535" t="n">
        <v>36637</v>
      </c>
      <c r="B3645" s="534" t="n">
        <v>12.108</v>
      </c>
      <c r="C3645" s="534" t="n">
        <v>15367.14</v>
      </c>
      <c r="E3645" s="535" t="n">
        <v>40457</v>
      </c>
      <c r="F3645" s="534" t="n">
        <v>2.226</v>
      </c>
    </row>
    <row r="3646">
      <c r="A3646" s="535" t="n">
        <v>36640</v>
      </c>
      <c r="B3646" s="534" t="n">
        <v>12.108</v>
      </c>
      <c r="C3646" s="534" t="n">
        <v>15367.14</v>
      </c>
      <c r="E3646" s="535" t="n">
        <v>40458</v>
      </c>
      <c r="F3646" s="534" t="n">
        <v>2.22</v>
      </c>
    </row>
    <row r="3647">
      <c r="A3647" s="535" t="n">
        <v>36641</v>
      </c>
      <c r="B3647" s="534" t="n">
        <v>12.544</v>
      </c>
      <c r="C3647" s="534" t="n">
        <v>15380.01</v>
      </c>
      <c r="E3647" s="535" t="n">
        <v>40459</v>
      </c>
      <c r="F3647" s="534" t="n">
        <v>2.228</v>
      </c>
    </row>
    <row r="3648">
      <c r="A3648" s="535" t="n">
        <v>36642</v>
      </c>
      <c r="B3648" s="534" t="n">
        <v>12.413</v>
      </c>
      <c r="C3648" s="534" t="n">
        <v>15227.39</v>
      </c>
      <c r="E3648" s="535" t="n">
        <v>40462</v>
      </c>
      <c r="F3648" s="534" t="n">
        <v>2.239</v>
      </c>
    </row>
    <row r="3649">
      <c r="A3649" s="535" t="n">
        <v>36643</v>
      </c>
      <c r="B3649" s="534" t="n">
        <v>12.196</v>
      </c>
      <c r="C3649" s="534" t="n">
        <v>15192.87</v>
      </c>
      <c r="E3649" s="535" t="n">
        <v>40463</v>
      </c>
      <c r="F3649" s="534" t="n">
        <v>2.238</v>
      </c>
    </row>
    <row r="3650">
      <c r="A3650" s="535" t="n">
        <v>36644</v>
      </c>
      <c r="B3650" s="534" t="n">
        <v>12.239</v>
      </c>
      <c r="C3650" s="534" t="n">
        <v>15519.3</v>
      </c>
      <c r="E3650" s="535" t="n">
        <v>40464</v>
      </c>
      <c r="F3650" s="534" t="n">
        <v>2.254</v>
      </c>
    </row>
    <row r="3651">
      <c r="A3651" s="535" t="n">
        <v>36647</v>
      </c>
      <c r="B3651" s="534" t="n">
        <v>12.239</v>
      </c>
      <c r="C3651" s="534" t="n">
        <v>15519.3</v>
      </c>
      <c r="E3651" s="535" t="n">
        <v>40465</v>
      </c>
      <c r="F3651" s="534" t="n">
        <v>2.225</v>
      </c>
    </row>
    <row r="3652">
      <c r="A3652" s="535" t="n">
        <v>36648</v>
      </c>
      <c r="B3652" s="534" t="n">
        <v>11.76</v>
      </c>
      <c r="C3652" s="534" t="n">
        <v>15817.76</v>
      </c>
      <c r="E3652" s="535" t="n">
        <v>40466</v>
      </c>
      <c r="F3652" s="534" t="n">
        <v>2.279</v>
      </c>
    </row>
    <row r="3653">
      <c r="A3653" s="535" t="n">
        <v>36649</v>
      </c>
      <c r="B3653" s="534" t="n">
        <v>11.847</v>
      </c>
      <c r="C3653" s="534" t="n">
        <v>15577.47</v>
      </c>
      <c r="E3653" s="535" t="n">
        <v>40469</v>
      </c>
      <c r="F3653" s="534" t="n">
        <v>2.299</v>
      </c>
    </row>
    <row r="3654">
      <c r="A3654" s="535" t="n">
        <v>36650</v>
      </c>
      <c r="B3654" s="534" t="n">
        <v>11.804</v>
      </c>
      <c r="C3654" s="534" t="n">
        <v>15314.07</v>
      </c>
      <c r="E3654" s="535" t="n">
        <v>40470</v>
      </c>
      <c r="F3654" s="534" t="n">
        <v>2.28</v>
      </c>
    </row>
    <row r="3655">
      <c r="A3655" s="535" t="n">
        <v>36651</v>
      </c>
      <c r="B3655" s="534" t="n">
        <v>11.891</v>
      </c>
      <c r="C3655" s="534" t="n">
        <v>15268.64</v>
      </c>
      <c r="E3655" s="535" t="n">
        <v>40471</v>
      </c>
      <c r="F3655" s="534" t="n">
        <v>2.27</v>
      </c>
    </row>
    <row r="3656">
      <c r="A3656" s="535" t="n">
        <v>36654</v>
      </c>
      <c r="B3656" s="534" t="n">
        <v>12.544</v>
      </c>
      <c r="C3656" s="534" t="n">
        <v>14901</v>
      </c>
      <c r="E3656" s="535" t="n">
        <v>40472</v>
      </c>
      <c r="F3656" s="534" t="n">
        <v>2.274</v>
      </c>
    </row>
    <row r="3657">
      <c r="A3657" s="535" t="n">
        <v>36655</v>
      </c>
      <c r="B3657" s="534" t="n">
        <v>12.196</v>
      </c>
      <c r="C3657" s="534" t="n">
        <v>14776.9</v>
      </c>
      <c r="E3657" s="535" t="n">
        <v>40473</v>
      </c>
      <c r="F3657" s="534" t="n">
        <v>2.28</v>
      </c>
    </row>
    <row r="3658">
      <c r="A3658" s="535" t="n">
        <v>36656</v>
      </c>
      <c r="B3658" s="534" t="n">
        <v>12.196</v>
      </c>
      <c r="C3658" s="534" t="n">
        <v>14492.92</v>
      </c>
      <c r="E3658" s="535" t="n">
        <v>40476</v>
      </c>
      <c r="F3658" s="534" t="n">
        <v>2.296</v>
      </c>
    </row>
    <row r="3659">
      <c r="A3659" s="535" t="n">
        <v>36657</v>
      </c>
      <c r="B3659" s="534" t="n">
        <v>12.196</v>
      </c>
      <c r="C3659" s="534" t="n">
        <v>14492.92</v>
      </c>
      <c r="E3659" s="535" t="n">
        <v>40477</v>
      </c>
      <c r="F3659" s="534" t="n">
        <v>2.309</v>
      </c>
    </row>
    <row r="3660">
      <c r="A3660" s="535" t="n">
        <v>36658</v>
      </c>
      <c r="B3660" s="534" t="n">
        <v>12.457</v>
      </c>
      <c r="C3660" s="534" t="n">
        <v>15111.94</v>
      </c>
      <c r="E3660" s="535" t="n">
        <v>40478</v>
      </c>
      <c r="F3660" s="534" t="n">
        <v>2.381</v>
      </c>
    </row>
    <row r="3661">
      <c r="A3661" s="535" t="n">
        <v>36661</v>
      </c>
      <c r="B3661" s="534" t="n">
        <v>12.108</v>
      </c>
      <c r="C3661" s="534" t="n">
        <v>14881.3</v>
      </c>
      <c r="E3661" s="535" t="n">
        <v>40479</v>
      </c>
      <c r="F3661" s="534" t="n">
        <v>2.37</v>
      </c>
    </row>
    <row r="3662">
      <c r="A3662" s="535" t="n">
        <v>36662</v>
      </c>
      <c r="B3662" s="534" t="n">
        <v>12.152</v>
      </c>
      <c r="C3662" s="534" t="n">
        <v>15160.29</v>
      </c>
      <c r="E3662" s="535" t="n">
        <v>40480</v>
      </c>
      <c r="F3662" s="534" t="n">
        <v>2.337</v>
      </c>
    </row>
    <row r="3663">
      <c r="A3663" s="535" t="n">
        <v>36663</v>
      </c>
      <c r="B3663" s="534" t="n">
        <v>12.196</v>
      </c>
      <c r="C3663" s="534" t="n">
        <v>14827.81</v>
      </c>
      <c r="E3663" s="535" t="n">
        <v>40483</v>
      </c>
      <c r="F3663" s="534" t="n">
        <v>2.206</v>
      </c>
    </row>
    <row r="3664">
      <c r="A3664" s="535" t="n">
        <v>36664</v>
      </c>
      <c r="B3664" s="534" t="n">
        <v>12.326</v>
      </c>
      <c r="C3664" s="534" t="n">
        <v>14322.6</v>
      </c>
      <c r="E3664" s="535" t="n">
        <v>40484</v>
      </c>
      <c r="F3664" s="534" t="n">
        <v>2.335</v>
      </c>
    </row>
    <row r="3665">
      <c r="A3665" s="535" t="n">
        <v>36665</v>
      </c>
      <c r="B3665" s="534" t="n">
        <v>12.631</v>
      </c>
      <c r="C3665" s="534" t="n">
        <v>14478.26</v>
      </c>
      <c r="E3665" s="535" t="n">
        <v>40485</v>
      </c>
      <c r="F3665" s="534" t="n">
        <v>2.328</v>
      </c>
    </row>
    <row r="3666">
      <c r="A3666" s="535" t="n">
        <v>36668</v>
      </c>
      <c r="B3666" s="534" t="n">
        <v>12.239</v>
      </c>
      <c r="C3666" s="534" t="n">
        <v>14140.73</v>
      </c>
      <c r="E3666" s="535" t="n">
        <v>40486</v>
      </c>
      <c r="F3666" s="534" t="n">
        <v>2.31</v>
      </c>
    </row>
    <row r="3667">
      <c r="A3667" s="535" t="n">
        <v>36669</v>
      </c>
      <c r="B3667" s="534" t="n">
        <v>12.718</v>
      </c>
      <c r="C3667" s="534" t="n">
        <v>14257.18</v>
      </c>
      <c r="E3667" s="535" t="n">
        <v>40487</v>
      </c>
      <c r="F3667" s="534" t="n">
        <v>2.312</v>
      </c>
    </row>
    <row r="3668">
      <c r="A3668" s="535" t="n">
        <v>36670</v>
      </c>
      <c r="B3668" s="534" t="n">
        <v>12.631</v>
      </c>
      <c r="C3668" s="534" t="n">
        <v>13933.98</v>
      </c>
      <c r="E3668" s="535" t="n">
        <v>40490</v>
      </c>
      <c r="F3668" s="534" t="n">
        <v>2.333</v>
      </c>
    </row>
    <row r="3669">
      <c r="A3669" s="535" t="n">
        <v>36671</v>
      </c>
      <c r="B3669" s="534" t="n">
        <v>12.631</v>
      </c>
      <c r="C3669" s="534" t="n">
        <v>13921.06</v>
      </c>
      <c r="E3669" s="535" t="n">
        <v>40491</v>
      </c>
      <c r="F3669" s="534" t="n">
        <v>2.353</v>
      </c>
    </row>
    <row r="3670">
      <c r="A3670" s="535" t="n">
        <v>36672</v>
      </c>
      <c r="B3670" s="534" t="n">
        <v>12.326</v>
      </c>
      <c r="C3670" s="534" t="n">
        <v>13722.7</v>
      </c>
      <c r="E3670" s="535" t="n">
        <v>40492</v>
      </c>
      <c r="F3670" s="534" t="n">
        <v>2.335</v>
      </c>
    </row>
    <row r="3671">
      <c r="A3671" s="535" t="n">
        <v>36675</v>
      </c>
      <c r="B3671" s="534" t="n">
        <v>12.108</v>
      </c>
      <c r="C3671" s="534" t="n">
        <v>13975.07</v>
      </c>
      <c r="E3671" s="535" t="n">
        <v>40493</v>
      </c>
      <c r="F3671" s="534" t="n">
        <v>2.271</v>
      </c>
    </row>
    <row r="3672">
      <c r="A3672" s="535" t="n">
        <v>36676</v>
      </c>
      <c r="B3672" s="534" t="n">
        <v>12.065</v>
      </c>
      <c r="C3672" s="534" t="n">
        <v>13990.9</v>
      </c>
      <c r="E3672" s="535" t="n">
        <v>40494</v>
      </c>
      <c r="F3672" s="534" t="n">
        <v>2.42</v>
      </c>
    </row>
    <row r="3673">
      <c r="A3673" s="535" t="n">
        <v>36677</v>
      </c>
      <c r="B3673" s="534" t="n">
        <v>12.196</v>
      </c>
      <c r="C3673" s="534" t="n">
        <v>14713.86</v>
      </c>
      <c r="E3673" s="535" t="n">
        <v>40497</v>
      </c>
      <c r="F3673" s="534" t="n">
        <v>2.53</v>
      </c>
    </row>
    <row r="3674">
      <c r="A3674" s="535" t="n">
        <v>36678</v>
      </c>
      <c r="B3674" s="534" t="n">
        <v>12.152</v>
      </c>
      <c r="C3674" s="534" t="n">
        <v>14941.19</v>
      </c>
      <c r="E3674" s="535" t="n">
        <v>40498</v>
      </c>
      <c r="F3674" s="534" t="n">
        <v>2.609</v>
      </c>
    </row>
    <row r="3675">
      <c r="A3675" s="535" t="n">
        <v>36679</v>
      </c>
      <c r="B3675" s="534" t="n">
        <v>11.978</v>
      </c>
      <c r="C3675" s="534" t="n">
        <v>15284.1</v>
      </c>
      <c r="E3675" s="535" t="n">
        <v>40499</v>
      </c>
      <c r="F3675" s="534" t="n">
        <v>2.593</v>
      </c>
    </row>
    <row r="3676">
      <c r="A3676" s="535" t="n">
        <v>36682</v>
      </c>
      <c r="B3676" s="534" t="n">
        <v>12.239</v>
      </c>
      <c r="C3676" s="534" t="n">
        <v>15861.68</v>
      </c>
      <c r="E3676" s="535" t="n">
        <v>40500</v>
      </c>
      <c r="F3676" s="534" t="n">
        <v>2.63</v>
      </c>
    </row>
    <row r="3677">
      <c r="A3677" s="535" t="n">
        <v>36683</v>
      </c>
      <c r="B3677" s="534" t="n">
        <v>12.239</v>
      </c>
      <c r="C3677" s="534" t="n">
        <v>15861.68</v>
      </c>
      <c r="E3677" s="535" t="n">
        <v>40501</v>
      </c>
      <c r="F3677" s="534" t="n">
        <v>2.618</v>
      </c>
    </row>
    <row r="3678">
      <c r="A3678" s="535" t="n">
        <v>36684</v>
      </c>
      <c r="B3678" s="534" t="n">
        <v>12.805</v>
      </c>
      <c r="C3678" s="534" t="n">
        <v>15900.06</v>
      </c>
      <c r="E3678" s="535" t="n">
        <v>40504</v>
      </c>
      <c r="F3678" s="534" t="n">
        <v>2.625</v>
      </c>
    </row>
    <row r="3679">
      <c r="A3679" s="535" t="n">
        <v>36685</v>
      </c>
      <c r="B3679" s="534" t="n">
        <v>13.067</v>
      </c>
      <c r="C3679" s="534" t="n">
        <v>15876.93</v>
      </c>
      <c r="E3679" s="535" t="n">
        <v>40505</v>
      </c>
      <c r="F3679" s="534" t="n">
        <v>2.566</v>
      </c>
    </row>
    <row r="3680">
      <c r="A3680" s="535" t="n">
        <v>36686</v>
      </c>
      <c r="B3680" s="534" t="n">
        <v>13.154</v>
      </c>
      <c r="C3680" s="534" t="n">
        <v>16120.26</v>
      </c>
      <c r="E3680" s="535" t="n">
        <v>40506</v>
      </c>
      <c r="F3680" s="534" t="n">
        <v>2.571</v>
      </c>
    </row>
    <row r="3681">
      <c r="A3681" s="535" t="n">
        <v>36689</v>
      </c>
      <c r="B3681" s="534" t="n">
        <v>12.892</v>
      </c>
      <c r="C3681" s="534" t="n">
        <v>16055.05</v>
      </c>
      <c r="E3681" s="535" t="n">
        <v>40507</v>
      </c>
      <c r="F3681" s="534" t="n">
        <v>2.657</v>
      </c>
    </row>
    <row r="3682">
      <c r="A3682" s="535" t="n">
        <v>36690</v>
      </c>
      <c r="B3682" s="534" t="n">
        <v>12.37</v>
      </c>
      <c r="C3682" s="534" t="n">
        <v>15692.94</v>
      </c>
      <c r="E3682" s="535" t="n">
        <v>40508</v>
      </c>
      <c r="F3682" s="534" t="n">
        <v>2.701</v>
      </c>
    </row>
    <row r="3683">
      <c r="A3683" s="535" t="n">
        <v>36691</v>
      </c>
      <c r="B3683" s="534" t="n">
        <v>12.283</v>
      </c>
      <c r="C3683" s="534" t="n">
        <v>15857.07</v>
      </c>
      <c r="E3683" s="535" t="n">
        <v>40511</v>
      </c>
      <c r="F3683" s="534" t="n">
        <v>2.698</v>
      </c>
    </row>
    <row r="3684">
      <c r="A3684" s="535" t="n">
        <v>36692</v>
      </c>
      <c r="B3684" s="534" t="n">
        <v>12.457</v>
      </c>
      <c r="C3684" s="534" t="n">
        <v>16080.34</v>
      </c>
      <c r="E3684" s="535" t="n">
        <v>40512</v>
      </c>
      <c r="F3684" s="534" t="n">
        <v>2.679</v>
      </c>
    </row>
    <row r="3685">
      <c r="A3685" s="535" t="n">
        <v>36693</v>
      </c>
      <c r="B3685" s="534" t="n">
        <v>12.5</v>
      </c>
      <c r="C3685" s="534" t="n">
        <v>16434.38</v>
      </c>
      <c r="E3685" s="535" t="n">
        <v>40513</v>
      </c>
      <c r="F3685" s="534" t="n">
        <v>2.53</v>
      </c>
    </row>
    <row r="3686">
      <c r="A3686" s="535" t="n">
        <v>36696</v>
      </c>
      <c r="B3686" s="534" t="n">
        <v>12.196</v>
      </c>
      <c r="C3686" s="534" t="n">
        <v>16267.47</v>
      </c>
      <c r="E3686" s="535" t="n">
        <v>40514</v>
      </c>
      <c r="F3686" s="534" t="n">
        <v>2.832</v>
      </c>
    </row>
    <row r="3687">
      <c r="A3687" s="535" t="n">
        <v>36697</v>
      </c>
      <c r="B3687" s="534" t="n">
        <v>12.152</v>
      </c>
      <c r="C3687" s="534" t="n">
        <v>16086.74</v>
      </c>
      <c r="E3687" s="535" t="n">
        <v>40515</v>
      </c>
      <c r="F3687" s="534" t="n">
        <v>2.913</v>
      </c>
    </row>
    <row r="3688">
      <c r="A3688" s="535" t="n">
        <v>36698</v>
      </c>
      <c r="B3688" s="534" t="n">
        <v>12.108</v>
      </c>
      <c r="C3688" s="534" t="n">
        <v>16238.14</v>
      </c>
      <c r="E3688" s="535" t="n">
        <v>40518</v>
      </c>
      <c r="F3688" s="534" t="n">
        <v>2.869</v>
      </c>
    </row>
    <row r="3689">
      <c r="A3689" s="535" t="n">
        <v>36699</v>
      </c>
      <c r="B3689" s="534" t="n">
        <v>12.544</v>
      </c>
      <c r="C3689" s="534" t="n">
        <v>15952.36</v>
      </c>
      <c r="E3689" s="535" t="n">
        <v>40519</v>
      </c>
      <c r="F3689" s="534" t="n">
        <v>2.762</v>
      </c>
    </row>
    <row r="3690">
      <c r="A3690" s="535" t="n">
        <v>36700</v>
      </c>
      <c r="B3690" s="534" t="n">
        <v>12.762</v>
      </c>
      <c r="C3690" s="534" t="n">
        <v>15738.08</v>
      </c>
      <c r="E3690" s="535" t="n">
        <v>40520</v>
      </c>
      <c r="F3690" s="534" t="n">
        <v>3.018</v>
      </c>
    </row>
    <row r="3691">
      <c r="A3691" s="535" t="n">
        <v>36703</v>
      </c>
      <c r="B3691" s="534" t="n">
        <v>13.067</v>
      </c>
      <c r="C3691" s="534" t="n">
        <v>15978.91</v>
      </c>
      <c r="E3691" s="535" t="n">
        <v>40521</v>
      </c>
      <c r="F3691" s="534" t="n">
        <v>3.018</v>
      </c>
    </row>
    <row r="3692">
      <c r="A3692" s="535" t="n">
        <v>36704</v>
      </c>
      <c r="B3692" s="534" t="n">
        <v>13.067</v>
      </c>
      <c r="C3692" s="534" t="n">
        <v>16155.77</v>
      </c>
      <c r="E3692" s="535" t="n">
        <v>40522</v>
      </c>
      <c r="F3692" s="534" t="n">
        <v>2.96</v>
      </c>
    </row>
    <row r="3693">
      <c r="A3693" s="535" t="n">
        <v>36705</v>
      </c>
      <c r="B3693" s="534" t="n">
        <v>13.023</v>
      </c>
      <c r="C3693" s="534" t="n">
        <v>16438.42</v>
      </c>
      <c r="E3693" s="535" t="n">
        <v>40525</v>
      </c>
      <c r="F3693" s="534" t="n">
        <v>3.067</v>
      </c>
    </row>
    <row r="3694">
      <c r="A3694" s="535" t="n">
        <v>36706</v>
      </c>
      <c r="B3694" s="534" t="n">
        <v>12.457</v>
      </c>
      <c r="C3694" s="534" t="n">
        <v>16286.8</v>
      </c>
      <c r="E3694" s="535" t="n">
        <v>40526</v>
      </c>
      <c r="F3694" s="534" t="n">
        <v>3.023</v>
      </c>
    </row>
    <row r="3695">
      <c r="A3695" s="535" t="n">
        <v>36707</v>
      </c>
      <c r="B3695" s="534" t="n">
        <v>12.588</v>
      </c>
      <c r="C3695" s="534" t="n">
        <v>16155.78</v>
      </c>
      <c r="E3695" s="535" t="n">
        <v>40527</v>
      </c>
      <c r="F3695" s="534" t="n">
        <v>3.134</v>
      </c>
    </row>
    <row r="3696">
      <c r="A3696" s="535" t="n">
        <v>36710</v>
      </c>
      <c r="B3696" s="534" t="n">
        <v>12.675</v>
      </c>
      <c r="C3696" s="534" t="n">
        <v>16124.97</v>
      </c>
      <c r="E3696" s="535" t="n">
        <v>40528</v>
      </c>
      <c r="F3696" s="534" t="n">
        <v>3.176</v>
      </c>
    </row>
    <row r="3697">
      <c r="A3697" s="535" t="n">
        <v>36711</v>
      </c>
      <c r="B3697" s="534" t="n">
        <v>13.241</v>
      </c>
      <c r="C3697" s="534" t="n">
        <v>16235.76</v>
      </c>
      <c r="E3697" s="535" t="n">
        <v>40529</v>
      </c>
      <c r="F3697" s="534" t="n">
        <v>3.135</v>
      </c>
    </row>
    <row r="3698">
      <c r="A3698" s="535" t="n">
        <v>36712</v>
      </c>
      <c r="B3698" s="534" t="n">
        <v>14.504</v>
      </c>
      <c r="C3698" s="534" t="n">
        <v>16474.27</v>
      </c>
      <c r="E3698" s="535" t="n">
        <v>40532</v>
      </c>
      <c r="F3698" s="534" t="n">
        <v>3.084</v>
      </c>
    </row>
    <row r="3699">
      <c r="A3699" s="535" t="n">
        <v>36713</v>
      </c>
      <c r="B3699" s="534" t="n">
        <v>14.025</v>
      </c>
      <c r="C3699" s="534" t="n">
        <v>16489.59</v>
      </c>
      <c r="E3699" s="535" t="n">
        <v>40533</v>
      </c>
      <c r="F3699" s="534" t="n">
        <v>3.085</v>
      </c>
    </row>
    <row r="3700">
      <c r="A3700" s="535" t="n">
        <v>36714</v>
      </c>
      <c r="B3700" s="534" t="n">
        <v>13.894</v>
      </c>
      <c r="C3700" s="534" t="n">
        <v>16829.96</v>
      </c>
      <c r="E3700" s="535" t="n">
        <v>40534</v>
      </c>
      <c r="F3700" s="534" t="n">
        <v>3.068</v>
      </c>
    </row>
    <row r="3701">
      <c r="A3701" s="535" t="n">
        <v>36717</v>
      </c>
      <c r="B3701" s="534" t="n">
        <v>14.373</v>
      </c>
      <c r="C3701" s="534" t="n">
        <v>17238.67</v>
      </c>
      <c r="E3701" s="535" t="n">
        <v>40535</v>
      </c>
      <c r="F3701" s="534" t="n">
        <v>3.077</v>
      </c>
    </row>
    <row r="3702">
      <c r="A3702" s="535" t="n">
        <v>36718</v>
      </c>
      <c r="B3702" s="534" t="n">
        <v>13.981</v>
      </c>
      <c r="C3702" s="534" t="n">
        <v>17359.66</v>
      </c>
      <c r="E3702" s="535" t="n">
        <v>40536</v>
      </c>
      <c r="F3702" s="534" t="n">
        <v>3.104</v>
      </c>
    </row>
    <row r="3703">
      <c r="A3703" s="535" t="n">
        <v>36719</v>
      </c>
      <c r="B3703" s="534" t="n">
        <v>14.635</v>
      </c>
      <c r="C3703" s="534" t="n">
        <v>17552.26</v>
      </c>
      <c r="E3703" s="535" t="n">
        <v>40539</v>
      </c>
      <c r="F3703" s="534" t="n">
        <v>3.104</v>
      </c>
    </row>
    <row r="3704">
      <c r="A3704" s="535" t="n">
        <v>36720</v>
      </c>
      <c r="B3704" s="534" t="n">
        <v>14.286</v>
      </c>
      <c r="C3704" s="534" t="n">
        <v>17449.5</v>
      </c>
      <c r="E3704" s="535" t="n">
        <v>40540</v>
      </c>
      <c r="F3704" s="534" t="n">
        <v>3.064</v>
      </c>
    </row>
    <row r="3705">
      <c r="A3705" s="535" t="n">
        <v>36721</v>
      </c>
      <c r="B3705" s="534" t="n">
        <v>14.199</v>
      </c>
      <c r="C3705" s="534" t="n">
        <v>17586.16</v>
      </c>
      <c r="E3705" s="535" t="n">
        <v>40541</v>
      </c>
      <c r="F3705" s="534" t="n">
        <v>3.111</v>
      </c>
    </row>
    <row r="3706">
      <c r="A3706" s="535" t="n">
        <v>36724</v>
      </c>
      <c r="B3706" s="534" t="n">
        <v>14.243</v>
      </c>
      <c r="C3706" s="534" t="n">
        <v>17834.78</v>
      </c>
      <c r="E3706" s="535" t="n">
        <v>40542</v>
      </c>
      <c r="F3706" s="534" t="n">
        <v>3.04</v>
      </c>
    </row>
    <row r="3707">
      <c r="A3707" s="535" t="n">
        <v>36725</v>
      </c>
      <c r="B3707" s="534" t="n">
        <v>13.938</v>
      </c>
      <c r="C3707" s="534" t="n">
        <v>17440.83</v>
      </c>
      <c r="E3707" s="535" t="n">
        <v>40543</v>
      </c>
      <c r="F3707" s="534" t="n">
        <v>3.044</v>
      </c>
    </row>
    <row r="3708">
      <c r="A3708" s="535" t="n">
        <v>36726</v>
      </c>
      <c r="B3708" s="534" t="n">
        <v>14.678</v>
      </c>
      <c r="C3708" s="534" t="n">
        <v>17710.07</v>
      </c>
      <c r="E3708" s="535" t="n">
        <v>40546</v>
      </c>
      <c r="F3708" s="534" t="n">
        <v>3.005</v>
      </c>
    </row>
    <row r="3709">
      <c r="A3709" s="535" t="n">
        <v>36727</v>
      </c>
      <c r="B3709" s="534" t="n">
        <v>14.94</v>
      </c>
      <c r="C3709" s="534" t="n">
        <v>17758.51</v>
      </c>
      <c r="E3709" s="535" t="n">
        <v>40547</v>
      </c>
      <c r="F3709" s="534" t="n">
        <v>2.956</v>
      </c>
    </row>
    <row r="3710">
      <c r="A3710" s="535" t="n">
        <v>36728</v>
      </c>
      <c r="B3710" s="534" t="n">
        <v>15.027</v>
      </c>
      <c r="C3710" s="534" t="n">
        <v>17920.86</v>
      </c>
      <c r="E3710" s="535" t="n">
        <v>40548</v>
      </c>
      <c r="F3710" s="534" t="n">
        <v>2.941</v>
      </c>
    </row>
    <row r="3711">
      <c r="A3711" s="535" t="n">
        <v>36731</v>
      </c>
      <c r="B3711" s="534" t="n">
        <v>14.896</v>
      </c>
      <c r="C3711" s="534" t="n">
        <v>17659.69</v>
      </c>
      <c r="E3711" s="535" t="n">
        <v>40549</v>
      </c>
      <c r="F3711" s="534" t="n">
        <v>3.011</v>
      </c>
    </row>
    <row r="3712">
      <c r="A3712" s="535" t="n">
        <v>36732</v>
      </c>
      <c r="B3712" s="534" t="n">
        <v>14.025</v>
      </c>
      <c r="C3712" s="534" t="n">
        <v>17375.34</v>
      </c>
      <c r="E3712" s="535" t="n">
        <v>40550</v>
      </c>
      <c r="F3712" s="534" t="n">
        <v>2.988</v>
      </c>
    </row>
    <row r="3713">
      <c r="A3713" s="535" t="n">
        <v>36733</v>
      </c>
      <c r="B3713" s="534" t="n">
        <v>14.504</v>
      </c>
      <c r="C3713" s="534" t="n">
        <v>17620.23</v>
      </c>
      <c r="E3713" s="535" t="n">
        <v>40553</v>
      </c>
      <c r="F3713" s="534" t="n">
        <v>2.953</v>
      </c>
    </row>
    <row r="3714">
      <c r="A3714" s="535" t="n">
        <v>36734</v>
      </c>
      <c r="B3714" s="534" t="n">
        <v>14.591</v>
      </c>
      <c r="C3714" s="534" t="n">
        <v>17450.09</v>
      </c>
      <c r="E3714" s="535" t="n">
        <v>40554</v>
      </c>
      <c r="F3714" s="534" t="n">
        <v>2.937</v>
      </c>
    </row>
    <row r="3715">
      <c r="A3715" s="535" t="n">
        <v>36735</v>
      </c>
      <c r="B3715" s="534" t="n">
        <v>14.635</v>
      </c>
      <c r="C3715" s="534" t="n">
        <v>17183.93</v>
      </c>
      <c r="E3715" s="535" t="n">
        <v>40555</v>
      </c>
      <c r="F3715" s="534" t="n">
        <v>2.967</v>
      </c>
    </row>
    <row r="3716">
      <c r="A3716" s="535" t="n">
        <v>36738</v>
      </c>
      <c r="B3716" s="534" t="n">
        <v>14.286</v>
      </c>
      <c r="C3716" s="534" t="n">
        <v>16840.98</v>
      </c>
      <c r="E3716" s="535" t="n">
        <v>40556</v>
      </c>
      <c r="F3716" s="534" t="n">
        <v>2.972</v>
      </c>
    </row>
    <row r="3717">
      <c r="A3717" s="535" t="n">
        <v>36739</v>
      </c>
      <c r="B3717" s="534" t="n">
        <v>14.243</v>
      </c>
      <c r="C3717" s="534" t="n">
        <v>16897.45</v>
      </c>
      <c r="E3717" s="535" t="n">
        <v>40557</v>
      </c>
      <c r="F3717" s="534" t="n">
        <v>2.923</v>
      </c>
    </row>
    <row r="3718">
      <c r="A3718" s="535" t="n">
        <v>36740</v>
      </c>
      <c r="B3718" s="534" t="n">
        <v>14.896</v>
      </c>
      <c r="C3718" s="534" t="n">
        <v>17277.39</v>
      </c>
      <c r="E3718" s="535" t="n">
        <v>40560</v>
      </c>
      <c r="F3718" s="534" t="n">
        <v>2.938</v>
      </c>
    </row>
    <row r="3719">
      <c r="A3719" s="535" t="n">
        <v>36741</v>
      </c>
      <c r="B3719" s="534" t="n">
        <v>15.332</v>
      </c>
      <c r="C3719" s="534" t="n">
        <v>17274.28</v>
      </c>
      <c r="E3719" s="535" t="n">
        <v>40561</v>
      </c>
      <c r="F3719" s="534" t="n">
        <v>2.931</v>
      </c>
    </row>
    <row r="3720">
      <c r="A3720" s="535" t="n">
        <v>36742</v>
      </c>
      <c r="B3720" s="534" t="n">
        <v>15.244</v>
      </c>
      <c r="C3720" s="534" t="n">
        <v>17425.7</v>
      </c>
      <c r="E3720" s="535" t="n">
        <v>40562</v>
      </c>
      <c r="F3720" s="534" t="n">
        <v>2.984</v>
      </c>
    </row>
    <row r="3721">
      <c r="A3721" s="535" t="n">
        <v>36745</v>
      </c>
      <c r="B3721" s="534" t="n">
        <v>15.201</v>
      </c>
      <c r="C3721" s="534" t="n">
        <v>17727.25</v>
      </c>
      <c r="E3721" s="535" t="n">
        <v>40563</v>
      </c>
      <c r="F3721" s="534" t="n">
        <v>2.941</v>
      </c>
    </row>
    <row r="3722">
      <c r="A3722" s="535" t="n">
        <v>36746</v>
      </c>
      <c r="B3722" s="534" t="n">
        <v>14.548</v>
      </c>
      <c r="C3722" s="534" t="n">
        <v>17211.84</v>
      </c>
      <c r="E3722" s="535" t="n">
        <v>40564</v>
      </c>
      <c r="F3722" s="534" t="n">
        <v>3.017</v>
      </c>
    </row>
    <row r="3723">
      <c r="A3723" s="535" t="n">
        <v>36747</v>
      </c>
      <c r="B3723" s="534" t="n">
        <v>14.46</v>
      </c>
      <c r="C3723" s="534" t="n">
        <v>17181.99</v>
      </c>
      <c r="E3723" s="535" t="n">
        <v>40567</v>
      </c>
      <c r="F3723" s="534" t="n">
        <v>3.049</v>
      </c>
    </row>
    <row r="3724">
      <c r="A3724" s="535" t="n">
        <v>36748</v>
      </c>
      <c r="B3724" s="534" t="n">
        <v>14.373</v>
      </c>
      <c r="C3724" s="534" t="n">
        <v>17333.21</v>
      </c>
      <c r="E3724" s="535" t="n">
        <v>40568</v>
      </c>
      <c r="F3724" s="534" t="n">
        <v>3.043</v>
      </c>
    </row>
    <row r="3725">
      <c r="A3725" s="535" t="n">
        <v>36749</v>
      </c>
      <c r="B3725" s="534" t="n">
        <v>13.807</v>
      </c>
      <c r="C3725" s="534" t="n">
        <v>17214.42</v>
      </c>
      <c r="E3725" s="535" t="n">
        <v>40569</v>
      </c>
      <c r="F3725" s="534" t="n">
        <v>3.014</v>
      </c>
    </row>
    <row r="3726">
      <c r="A3726" s="535" t="n">
        <v>36752</v>
      </c>
      <c r="B3726" s="534" t="n">
        <v>13.72</v>
      </c>
      <c r="C3726" s="534" t="n">
        <v>16998.06</v>
      </c>
      <c r="E3726" s="535" t="n">
        <v>40570</v>
      </c>
      <c r="F3726" s="534" t="n">
        <v>3.031</v>
      </c>
    </row>
    <row r="3727">
      <c r="A3727" s="535" t="n">
        <v>36753</v>
      </c>
      <c r="B3727" s="534" t="n">
        <v>14.025</v>
      </c>
      <c r="C3727" s="534" t="n">
        <v>17463.53</v>
      </c>
      <c r="E3727" s="535" t="n">
        <v>40571</v>
      </c>
      <c r="F3727" s="534" t="n">
        <v>3.018</v>
      </c>
    </row>
    <row r="3728">
      <c r="A3728" s="535" t="n">
        <v>36754</v>
      </c>
      <c r="B3728" s="534" t="n">
        <v>14.112</v>
      </c>
      <c r="C3728" s="534" t="n">
        <v>17734.15</v>
      </c>
      <c r="E3728" s="535" t="n">
        <v>40574</v>
      </c>
      <c r="F3728" s="534" t="n">
        <v>2.974</v>
      </c>
    </row>
    <row r="3729">
      <c r="A3729" s="535" t="n">
        <v>36755</v>
      </c>
      <c r="B3729" s="534" t="n">
        <v>14.068</v>
      </c>
      <c r="C3729" s="534" t="n">
        <v>17622.01</v>
      </c>
      <c r="E3729" s="535" t="n">
        <v>40575</v>
      </c>
      <c r="F3729" s="534" t="n">
        <v>2.999</v>
      </c>
    </row>
    <row r="3730">
      <c r="A3730" s="535" t="n">
        <v>36756</v>
      </c>
      <c r="B3730" s="534" t="n">
        <v>14.373</v>
      </c>
      <c r="C3730" s="534" t="n">
        <v>17440</v>
      </c>
      <c r="E3730" s="535" t="n">
        <v>40576</v>
      </c>
      <c r="F3730" s="534" t="n">
        <v>3.047</v>
      </c>
    </row>
    <row r="3731">
      <c r="A3731" s="535" t="n">
        <v>36759</v>
      </c>
      <c r="B3731" s="534" t="n">
        <v>14.46</v>
      </c>
      <c r="C3731" s="534" t="n">
        <v>17501.48</v>
      </c>
      <c r="E3731" s="535" t="n">
        <v>40577</v>
      </c>
      <c r="F3731" s="534" t="n">
        <v>3.047</v>
      </c>
    </row>
    <row r="3732">
      <c r="A3732" s="535" t="n">
        <v>36760</v>
      </c>
      <c r="B3732" s="534" t="n">
        <v>14.33</v>
      </c>
      <c r="C3732" s="534" t="n">
        <v>17668.28</v>
      </c>
      <c r="E3732" s="535" t="n">
        <v>40578</v>
      </c>
      <c r="F3732" s="534" t="n">
        <v>3.047</v>
      </c>
    </row>
    <row r="3733">
      <c r="A3733" s="535" t="n">
        <v>36761</v>
      </c>
      <c r="B3733" s="534" t="n">
        <v>13.981</v>
      </c>
      <c r="C3733" s="534" t="n">
        <v>17427.4</v>
      </c>
      <c r="E3733" s="535" t="n">
        <v>40581</v>
      </c>
      <c r="F3733" s="534" t="n">
        <v>3.22</v>
      </c>
    </row>
    <row r="3734">
      <c r="A3734" s="535" t="n">
        <v>36762</v>
      </c>
      <c r="B3734" s="534" t="n">
        <v>13.284</v>
      </c>
      <c r="C3734" s="534" t="n">
        <v>17439.7</v>
      </c>
      <c r="E3734" s="535" t="n">
        <v>40582</v>
      </c>
      <c r="F3734" s="534" t="n">
        <v>3.207</v>
      </c>
    </row>
    <row r="3735">
      <c r="A3735" s="535" t="n">
        <v>36763</v>
      </c>
      <c r="B3735" s="534" t="n">
        <v>13.154</v>
      </c>
      <c r="C3735" s="534" t="n">
        <v>17236.74</v>
      </c>
      <c r="E3735" s="535" t="n">
        <v>40583</v>
      </c>
      <c r="F3735" s="534" t="n">
        <v>3.283</v>
      </c>
    </row>
    <row r="3736">
      <c r="A3736" s="535" t="n">
        <v>36766</v>
      </c>
      <c r="B3736" s="534" t="n">
        <v>13.328</v>
      </c>
      <c r="C3736" s="534" t="n">
        <v>17019.76</v>
      </c>
      <c r="E3736" s="535" t="n">
        <v>40584</v>
      </c>
      <c r="F3736" s="534" t="n">
        <v>3.248</v>
      </c>
    </row>
    <row r="3737">
      <c r="A3737" s="535" t="n">
        <v>36767</v>
      </c>
      <c r="B3737" s="534" t="n">
        <v>13.459</v>
      </c>
      <c r="C3737" s="534" t="n">
        <v>17240.11</v>
      </c>
      <c r="E3737" s="535" t="n">
        <v>40585</v>
      </c>
      <c r="F3737" s="534" t="n">
        <v>3.257</v>
      </c>
    </row>
    <row r="3738">
      <c r="A3738" s="535" t="n">
        <v>36768</v>
      </c>
      <c r="B3738" s="534" t="n">
        <v>13.197</v>
      </c>
      <c r="C3738" s="534" t="n">
        <v>17095.88</v>
      </c>
      <c r="E3738" s="535" t="n">
        <v>40588</v>
      </c>
      <c r="F3738" s="534" t="n">
        <v>3.226</v>
      </c>
    </row>
    <row r="3739">
      <c r="A3739" s="535" t="n">
        <v>36769</v>
      </c>
      <c r="B3739" s="534" t="n">
        <v>13.197</v>
      </c>
      <c r="C3739" s="534" t="n">
        <v>17097.51</v>
      </c>
      <c r="E3739" s="535" t="n">
        <v>40589</v>
      </c>
      <c r="F3739" s="534" t="n">
        <v>3.2</v>
      </c>
    </row>
    <row r="3740">
      <c r="A3740" s="535" t="n">
        <v>36770</v>
      </c>
      <c r="B3740" s="534" t="n">
        <v>13.241</v>
      </c>
      <c r="C3740" s="534" t="n">
        <v>17333.61</v>
      </c>
      <c r="E3740" s="535" t="n">
        <v>40590</v>
      </c>
      <c r="F3740" s="534" t="n">
        <v>3.147</v>
      </c>
    </row>
    <row r="3741">
      <c r="A3741" s="535" t="n">
        <v>36773</v>
      </c>
      <c r="B3741" s="534" t="n">
        <v>13.067</v>
      </c>
      <c r="C3741" s="534" t="n">
        <v>17726.17</v>
      </c>
      <c r="E3741" s="535" t="n">
        <v>40591</v>
      </c>
      <c r="F3741" s="534" t="n">
        <v>3.101</v>
      </c>
    </row>
    <row r="3742">
      <c r="A3742" s="535" t="n">
        <v>36774</v>
      </c>
      <c r="B3742" s="534" t="n">
        <v>13.067</v>
      </c>
      <c r="C3742" s="534" t="n">
        <v>17595.22</v>
      </c>
      <c r="E3742" s="535" t="n">
        <v>40592</v>
      </c>
      <c r="F3742" s="534" t="n">
        <v>3.063</v>
      </c>
    </row>
    <row r="3743">
      <c r="A3743" s="535" t="n">
        <v>36775</v>
      </c>
      <c r="B3743" s="534" t="n">
        <v>13.415</v>
      </c>
      <c r="C3743" s="534" t="n">
        <v>17605.23</v>
      </c>
      <c r="E3743" s="535" t="n">
        <v>40595</v>
      </c>
      <c r="F3743" s="534" t="n">
        <v>3.062</v>
      </c>
    </row>
    <row r="3744">
      <c r="A3744" s="535" t="n">
        <v>36776</v>
      </c>
      <c r="B3744" s="534" t="n">
        <v>12.892</v>
      </c>
      <c r="C3744" s="534" t="n">
        <v>17431.95</v>
      </c>
      <c r="E3744" s="535" t="n">
        <v>40596</v>
      </c>
      <c r="F3744" s="534" t="n">
        <v>3.032</v>
      </c>
    </row>
    <row r="3745">
      <c r="A3745" s="535" t="n">
        <v>36777</v>
      </c>
      <c r="B3745" s="534" t="n">
        <v>12.849</v>
      </c>
      <c r="C3745" s="534" t="n">
        <v>17275.45</v>
      </c>
      <c r="E3745" s="535" t="n">
        <v>40597</v>
      </c>
      <c r="F3745" s="534" t="n">
        <v>2.996</v>
      </c>
    </row>
    <row r="3746">
      <c r="A3746" s="535" t="n">
        <v>36780</v>
      </c>
      <c r="B3746" s="534" t="n">
        <v>13.067</v>
      </c>
      <c r="C3746" s="534" t="n">
        <v>17007.98</v>
      </c>
      <c r="E3746" s="535" t="n">
        <v>40598</v>
      </c>
      <c r="F3746" s="534" t="n">
        <v>3.008</v>
      </c>
    </row>
    <row r="3747">
      <c r="A3747" s="535" t="n">
        <v>36781</v>
      </c>
      <c r="B3747" s="534" t="n">
        <v>12.762</v>
      </c>
      <c r="C3747" s="534" t="n">
        <v>16629.78</v>
      </c>
      <c r="E3747" s="535" t="n">
        <v>40599</v>
      </c>
      <c r="F3747" s="534" t="n">
        <v>3.009</v>
      </c>
    </row>
    <row r="3748">
      <c r="A3748" s="535" t="n">
        <v>36782</v>
      </c>
      <c r="B3748" s="534" t="n">
        <v>12.762</v>
      </c>
      <c r="C3748" s="534" t="n">
        <v>16629.78</v>
      </c>
      <c r="E3748" s="535" t="n">
        <v>40602</v>
      </c>
      <c r="F3748" s="534" t="n">
        <v>2.977</v>
      </c>
    </row>
    <row r="3749">
      <c r="A3749" s="535" t="n">
        <v>36783</v>
      </c>
      <c r="B3749" s="534" t="n">
        <v>12.283</v>
      </c>
      <c r="C3749" s="534" t="n">
        <v>16395.43</v>
      </c>
      <c r="E3749" s="535" t="n">
        <v>40603</v>
      </c>
      <c r="F3749" s="534" t="n">
        <v>2.974</v>
      </c>
    </row>
    <row r="3750">
      <c r="A3750" s="535" t="n">
        <v>36784</v>
      </c>
      <c r="B3750" s="534" t="n">
        <v>12.413</v>
      </c>
      <c r="C3750" s="534" t="n">
        <v>16249.53</v>
      </c>
      <c r="E3750" s="535" t="n">
        <v>40604</v>
      </c>
      <c r="F3750" s="534" t="n">
        <v>2.941</v>
      </c>
    </row>
    <row r="3751">
      <c r="A3751" s="535" t="n">
        <v>36787</v>
      </c>
      <c r="B3751" s="534" t="n">
        <v>12.152</v>
      </c>
      <c r="C3751" s="534" t="n">
        <v>15560.16</v>
      </c>
      <c r="E3751" s="535" t="n">
        <v>40605</v>
      </c>
      <c r="F3751" s="534" t="n">
        <v>2.983</v>
      </c>
    </row>
    <row r="3752">
      <c r="A3752" s="535" t="n">
        <v>36788</v>
      </c>
      <c r="B3752" s="534" t="n">
        <v>11.978</v>
      </c>
      <c r="C3752" s="534" t="n">
        <v>15677.2</v>
      </c>
      <c r="E3752" s="535" t="n">
        <v>40606</v>
      </c>
      <c r="F3752" s="534" t="n">
        <v>3.044</v>
      </c>
    </row>
    <row r="3753">
      <c r="A3753" s="535" t="n">
        <v>36789</v>
      </c>
      <c r="B3753" s="534" t="n">
        <v>12.021</v>
      </c>
      <c r="C3753" s="534" t="n">
        <v>15665.62</v>
      </c>
      <c r="E3753" s="535" t="n">
        <v>40609</v>
      </c>
      <c r="F3753" s="534" t="n">
        <v>2.985</v>
      </c>
    </row>
    <row r="3754">
      <c r="A3754" s="535" t="n">
        <v>36790</v>
      </c>
      <c r="B3754" s="534" t="n">
        <v>11.934</v>
      </c>
      <c r="C3754" s="534" t="n">
        <v>15164.45</v>
      </c>
      <c r="E3754" s="535" t="n">
        <v>40610</v>
      </c>
      <c r="F3754" s="534" t="n">
        <v>2.986</v>
      </c>
    </row>
    <row r="3755">
      <c r="A3755" s="535" t="n">
        <v>36791</v>
      </c>
      <c r="B3755" s="534" t="n">
        <v>11.716</v>
      </c>
      <c r="C3755" s="534" t="n">
        <v>14612.88</v>
      </c>
      <c r="E3755" s="535" t="n">
        <v>40611</v>
      </c>
      <c r="F3755" s="534" t="n">
        <v>2.98</v>
      </c>
    </row>
    <row r="3756">
      <c r="A3756" s="535" t="n">
        <v>36794</v>
      </c>
      <c r="B3756" s="534" t="n">
        <v>12.326</v>
      </c>
      <c r="C3756" s="534" t="n">
        <v>15428.95</v>
      </c>
      <c r="E3756" s="535" t="n">
        <v>40612</v>
      </c>
      <c r="F3756" s="534" t="n">
        <v>2.897</v>
      </c>
    </row>
    <row r="3757">
      <c r="A3757" s="535" t="n">
        <v>36795</v>
      </c>
      <c r="B3757" s="534" t="n">
        <v>12.239</v>
      </c>
      <c r="C3757" s="534" t="n">
        <v>15290.85</v>
      </c>
      <c r="E3757" s="535" t="n">
        <v>40613</v>
      </c>
      <c r="F3757" s="534" t="n">
        <v>2.819</v>
      </c>
    </row>
    <row r="3758">
      <c r="A3758" s="535" t="n">
        <v>36796</v>
      </c>
      <c r="B3758" s="534" t="n">
        <v>12.065</v>
      </c>
      <c r="C3758" s="534" t="n">
        <v>15444.13</v>
      </c>
      <c r="E3758" s="535" t="n">
        <v>40616</v>
      </c>
      <c r="F3758" s="534" t="n">
        <v>2.747</v>
      </c>
    </row>
    <row r="3759">
      <c r="A3759" s="535" t="n">
        <v>36797</v>
      </c>
      <c r="B3759" s="534" t="n">
        <v>11.847</v>
      </c>
      <c r="C3759" s="534" t="n">
        <v>15415.75</v>
      </c>
      <c r="E3759" s="535" t="n">
        <v>40617</v>
      </c>
      <c r="F3759" s="534" t="n">
        <v>2.763</v>
      </c>
    </row>
    <row r="3760">
      <c r="A3760" s="535" t="n">
        <v>36798</v>
      </c>
      <c r="B3760" s="534" t="n">
        <v>12.457</v>
      </c>
      <c r="C3760" s="534" t="n">
        <v>15648.98</v>
      </c>
      <c r="E3760" s="535" t="n">
        <v>40618</v>
      </c>
      <c r="F3760" s="534" t="n">
        <v>2.823</v>
      </c>
    </row>
    <row r="3761">
      <c r="A3761" s="535" t="n">
        <v>36801</v>
      </c>
      <c r="B3761" s="534" t="n">
        <v>12.457</v>
      </c>
      <c r="C3761" s="534" t="n">
        <v>15648.98</v>
      </c>
      <c r="E3761" s="535" t="n">
        <v>40619</v>
      </c>
      <c r="F3761" s="534" t="n">
        <v>2.758</v>
      </c>
    </row>
    <row r="3762">
      <c r="A3762" s="535" t="n">
        <v>36802</v>
      </c>
      <c r="B3762" s="534" t="n">
        <v>12.413</v>
      </c>
      <c r="C3762" s="534" t="n">
        <v>15725.96</v>
      </c>
      <c r="E3762" s="535" t="n">
        <v>40620</v>
      </c>
      <c r="F3762" s="534" t="n">
        <v>2.806</v>
      </c>
    </row>
    <row r="3763">
      <c r="A3763" s="535" t="n">
        <v>36803</v>
      </c>
      <c r="B3763" s="534" t="n">
        <v>12.805</v>
      </c>
      <c r="C3763" s="534" t="n">
        <v>15878.89</v>
      </c>
      <c r="E3763" s="535" t="n">
        <v>40623</v>
      </c>
      <c r="F3763" s="534" t="n">
        <v>2.831</v>
      </c>
    </row>
    <row r="3764">
      <c r="A3764" s="535" t="n">
        <v>36804</v>
      </c>
      <c r="B3764" s="534" t="n">
        <v>12.675</v>
      </c>
      <c r="C3764" s="534" t="n">
        <v>16184.68</v>
      </c>
      <c r="E3764" s="535" t="n">
        <v>40624</v>
      </c>
      <c r="F3764" s="534" t="n">
        <v>2.849</v>
      </c>
    </row>
    <row r="3765">
      <c r="A3765" s="535" t="n">
        <v>36805</v>
      </c>
      <c r="B3765" s="534" t="n">
        <v>12.675</v>
      </c>
      <c r="C3765" s="534" t="n">
        <v>16184.68</v>
      </c>
      <c r="E3765" s="535" t="n">
        <v>40625</v>
      </c>
      <c r="F3765" s="534" t="n">
        <v>2.819</v>
      </c>
    </row>
    <row r="3766">
      <c r="A3766" s="535" t="n">
        <v>36808</v>
      </c>
      <c r="B3766" s="534" t="n">
        <v>12.108</v>
      </c>
      <c r="C3766" s="534" t="n">
        <v>15693.5</v>
      </c>
      <c r="E3766" s="535" t="n">
        <v>40626</v>
      </c>
      <c r="F3766" s="534" t="n">
        <v>2.835</v>
      </c>
    </row>
    <row r="3767">
      <c r="A3767" s="535" t="n">
        <v>36809</v>
      </c>
      <c r="B3767" s="534" t="n">
        <v>11.978</v>
      </c>
      <c r="C3767" s="534" t="n">
        <v>15554.11</v>
      </c>
      <c r="E3767" s="535" t="n">
        <v>40627</v>
      </c>
      <c r="F3767" s="534" t="n">
        <v>2.881</v>
      </c>
    </row>
    <row r="3768">
      <c r="A3768" s="535" t="n">
        <v>36810</v>
      </c>
      <c r="B3768" s="534" t="n">
        <v>11.586</v>
      </c>
      <c r="C3768" s="534" t="n">
        <v>15127</v>
      </c>
      <c r="E3768" s="535" t="n">
        <v>40630</v>
      </c>
      <c r="F3768" s="534" t="n">
        <v>2.934</v>
      </c>
    </row>
    <row r="3769">
      <c r="A3769" s="535" t="n">
        <v>36811</v>
      </c>
      <c r="B3769" s="534" t="n">
        <v>11.324</v>
      </c>
      <c r="C3769" s="534" t="n">
        <v>15074.8</v>
      </c>
      <c r="E3769" s="535" t="n">
        <v>40631</v>
      </c>
      <c r="F3769" s="534" t="n">
        <v>2.915</v>
      </c>
    </row>
    <row r="3770">
      <c r="A3770" s="535" t="n">
        <v>36812</v>
      </c>
      <c r="B3770" s="534" t="n">
        <v>10.671</v>
      </c>
      <c r="C3770" s="534" t="n">
        <v>14680.5</v>
      </c>
      <c r="E3770" s="535" t="n">
        <v>40632</v>
      </c>
      <c r="F3770" s="534" t="n">
        <v>2.933</v>
      </c>
    </row>
    <row r="3771">
      <c r="A3771" s="535" t="n">
        <v>36815</v>
      </c>
      <c r="B3771" s="534" t="n">
        <v>11.194</v>
      </c>
      <c r="C3771" s="534" t="n">
        <v>14973.4</v>
      </c>
      <c r="E3771" s="535" t="n">
        <v>40633</v>
      </c>
      <c r="F3771" s="534" t="n">
        <v>2.87</v>
      </c>
    </row>
    <row r="3772">
      <c r="A3772" s="535" t="n">
        <v>36816</v>
      </c>
      <c r="B3772" s="534" t="n">
        <v>10.889</v>
      </c>
      <c r="C3772" s="534" t="n">
        <v>14873.43</v>
      </c>
      <c r="E3772" s="535" t="n">
        <v>40634</v>
      </c>
      <c r="F3772" s="534" t="n">
        <v>2.926</v>
      </c>
    </row>
    <row r="3773">
      <c r="A3773" s="535" t="n">
        <v>36817</v>
      </c>
      <c r="B3773" s="534" t="n">
        <v>10.932</v>
      </c>
      <c r="C3773" s="534" t="n">
        <v>14458.52</v>
      </c>
      <c r="E3773" s="535" t="n">
        <v>40637</v>
      </c>
      <c r="F3773" s="534" t="n">
        <v>2.893</v>
      </c>
    </row>
    <row r="3774">
      <c r="A3774" s="535" t="n">
        <v>36818</v>
      </c>
      <c r="B3774" s="534" t="n">
        <v>10.845</v>
      </c>
      <c r="C3774" s="534" t="n">
        <v>14422.52</v>
      </c>
      <c r="E3774" s="535" t="n">
        <v>40638</v>
      </c>
      <c r="F3774" s="534" t="n">
        <v>2.893</v>
      </c>
    </row>
    <row r="3775">
      <c r="A3775" s="535" t="n">
        <v>36819</v>
      </c>
      <c r="B3775" s="534" t="n">
        <v>11.281</v>
      </c>
      <c r="C3775" s="534" t="n">
        <v>15044.53</v>
      </c>
      <c r="E3775" s="535" t="n">
        <v>40639</v>
      </c>
      <c r="F3775" s="534" t="n">
        <v>2.931</v>
      </c>
    </row>
    <row r="3776">
      <c r="A3776" s="535" t="n">
        <v>36822</v>
      </c>
      <c r="B3776" s="534" t="n">
        <v>11.412</v>
      </c>
      <c r="C3776" s="534" t="n">
        <v>15102.36</v>
      </c>
      <c r="E3776" s="535" t="n">
        <v>40640</v>
      </c>
      <c r="F3776" s="534" t="n">
        <v>2.98</v>
      </c>
    </row>
    <row r="3777">
      <c r="A3777" s="535" t="n">
        <v>36823</v>
      </c>
      <c r="B3777" s="534" t="n">
        <v>11.107</v>
      </c>
      <c r="C3777" s="534" t="n">
        <v>14925.93</v>
      </c>
      <c r="E3777" s="535" t="n">
        <v>40641</v>
      </c>
      <c r="F3777" s="534" t="n">
        <v>3.003</v>
      </c>
    </row>
    <row r="3778">
      <c r="A3778" s="535" t="n">
        <v>36824</v>
      </c>
      <c r="B3778" s="534" t="n">
        <v>11.237</v>
      </c>
      <c r="C3778" s="534" t="n">
        <v>15061.14</v>
      </c>
      <c r="E3778" s="535" t="n">
        <v>40644</v>
      </c>
      <c r="F3778" s="534" t="n">
        <v>3.027</v>
      </c>
    </row>
    <row r="3779">
      <c r="A3779" s="535" t="n">
        <v>36825</v>
      </c>
      <c r="B3779" s="534" t="n">
        <v>11.673</v>
      </c>
      <c r="C3779" s="534" t="n">
        <v>14996.24</v>
      </c>
      <c r="E3779" s="535" t="n">
        <v>40645</v>
      </c>
      <c r="F3779" s="534" t="n">
        <v>3.001</v>
      </c>
    </row>
    <row r="3780">
      <c r="A3780" s="535" t="n">
        <v>36826</v>
      </c>
      <c r="B3780" s="534" t="n">
        <v>11.673</v>
      </c>
      <c r="C3780" s="534" t="n">
        <v>14902.46</v>
      </c>
      <c r="E3780" s="535" t="n">
        <v>40646</v>
      </c>
      <c r="F3780" s="534" t="n">
        <v>2.957</v>
      </c>
    </row>
    <row r="3781">
      <c r="A3781" s="535" t="n">
        <v>36829</v>
      </c>
      <c r="B3781" s="534" t="n">
        <v>11.978</v>
      </c>
      <c r="C3781" s="534" t="n">
        <v>14799.9</v>
      </c>
      <c r="E3781" s="535" t="n">
        <v>40647</v>
      </c>
      <c r="F3781" s="534" t="n">
        <v>2.927</v>
      </c>
    </row>
    <row r="3782">
      <c r="A3782" s="535" t="n">
        <v>36830</v>
      </c>
      <c r="B3782" s="534" t="n">
        <v>12.326</v>
      </c>
      <c r="C3782" s="534" t="n">
        <v>14895.34</v>
      </c>
      <c r="E3782" s="535" t="n">
        <v>40648</v>
      </c>
      <c r="F3782" s="534" t="n">
        <v>2.932</v>
      </c>
    </row>
    <row r="3783">
      <c r="A3783" s="535" t="n">
        <v>36831</v>
      </c>
      <c r="B3783" s="534" t="n">
        <v>12.457</v>
      </c>
      <c r="C3783" s="534" t="n">
        <v>15349.01</v>
      </c>
      <c r="E3783" s="535" t="n">
        <v>40651</v>
      </c>
      <c r="F3783" s="534" t="n">
        <v>2.883</v>
      </c>
    </row>
    <row r="3784">
      <c r="A3784" s="535" t="n">
        <v>36832</v>
      </c>
      <c r="B3784" s="534" t="n">
        <v>12.37</v>
      </c>
      <c r="C3784" s="534" t="n">
        <v>15291.54</v>
      </c>
      <c r="E3784" s="535" t="n">
        <v>40652</v>
      </c>
      <c r="F3784" s="534" t="n">
        <v>2.851</v>
      </c>
    </row>
    <row r="3785">
      <c r="A3785" s="535" t="n">
        <v>36833</v>
      </c>
      <c r="B3785" s="534" t="n">
        <v>12.544</v>
      </c>
      <c r="C3785" s="534" t="n">
        <v>15594.12</v>
      </c>
      <c r="E3785" s="535" t="n">
        <v>40653</v>
      </c>
      <c r="F3785" s="534" t="n">
        <v>2.846</v>
      </c>
    </row>
    <row r="3786">
      <c r="A3786" s="535" t="n">
        <v>36836</v>
      </c>
      <c r="B3786" s="534" t="n">
        <v>12.5</v>
      </c>
      <c r="C3786" s="534" t="n">
        <v>15671.15</v>
      </c>
      <c r="E3786" s="535" t="n">
        <v>40654</v>
      </c>
      <c r="F3786" s="534" t="n">
        <v>2.868</v>
      </c>
    </row>
    <row r="3787">
      <c r="A3787" s="535" t="n">
        <v>36837</v>
      </c>
      <c r="B3787" s="534" t="n">
        <v>12.413</v>
      </c>
      <c r="C3787" s="534" t="n">
        <v>15820.79</v>
      </c>
      <c r="E3787" s="535" t="n">
        <v>40655</v>
      </c>
      <c r="F3787" s="534" t="n">
        <v>2.868</v>
      </c>
    </row>
    <row r="3788">
      <c r="A3788" s="535" t="n">
        <v>36838</v>
      </c>
      <c r="B3788" s="534" t="n">
        <v>12.675</v>
      </c>
      <c r="C3788" s="534" t="n">
        <v>15654.13</v>
      </c>
      <c r="E3788" s="535" t="n">
        <v>40658</v>
      </c>
      <c r="F3788" s="534" t="n">
        <v>2.868</v>
      </c>
    </row>
    <row r="3789">
      <c r="A3789" s="535" t="n">
        <v>36839</v>
      </c>
      <c r="B3789" s="534" t="n">
        <v>12.544</v>
      </c>
      <c r="C3789" s="534" t="n">
        <v>15504.8</v>
      </c>
      <c r="E3789" s="535" t="n">
        <v>40659</v>
      </c>
      <c r="F3789" s="534" t="n">
        <v>2.847</v>
      </c>
    </row>
    <row r="3790">
      <c r="A3790" s="535" t="n">
        <v>36840</v>
      </c>
      <c r="B3790" s="534" t="n">
        <v>12.283</v>
      </c>
      <c r="C3790" s="534" t="n">
        <v>15389.39</v>
      </c>
      <c r="E3790" s="535" t="n">
        <v>40660</v>
      </c>
      <c r="F3790" s="534" t="n">
        <v>2.794</v>
      </c>
    </row>
    <row r="3791">
      <c r="A3791" s="535" t="n">
        <v>36843</v>
      </c>
      <c r="B3791" s="534" t="n">
        <v>12.196</v>
      </c>
      <c r="C3791" s="534" t="n">
        <v>14815.69</v>
      </c>
      <c r="E3791" s="535" t="n">
        <v>40661</v>
      </c>
      <c r="F3791" s="534" t="n">
        <v>2.776</v>
      </c>
    </row>
    <row r="3792">
      <c r="A3792" s="535" t="n">
        <v>36844</v>
      </c>
      <c r="B3792" s="534" t="n">
        <v>12.021</v>
      </c>
      <c r="C3792" s="534" t="n">
        <v>15177.52</v>
      </c>
      <c r="E3792" s="535" t="n">
        <v>40662</v>
      </c>
      <c r="F3792" s="534" t="n">
        <v>2.761</v>
      </c>
    </row>
    <row r="3793">
      <c r="A3793" s="535" t="n">
        <v>36845</v>
      </c>
      <c r="B3793" s="534" t="n">
        <v>12.108</v>
      </c>
      <c r="C3793" s="534" t="n">
        <v>15127.4</v>
      </c>
      <c r="E3793" s="535" t="n">
        <v>40665</v>
      </c>
      <c r="F3793" s="534" t="n">
        <v>2.761</v>
      </c>
    </row>
    <row r="3794">
      <c r="A3794" s="535" t="n">
        <v>36846</v>
      </c>
      <c r="B3794" s="534" t="n">
        <v>12.108</v>
      </c>
      <c r="C3794" s="534" t="n">
        <v>15298.35</v>
      </c>
      <c r="E3794" s="535" t="n">
        <v>40666</v>
      </c>
      <c r="F3794" s="534" t="n">
        <v>2.761</v>
      </c>
    </row>
    <row r="3795">
      <c r="A3795" s="535" t="n">
        <v>36847</v>
      </c>
      <c r="B3795" s="534" t="n">
        <v>12.196</v>
      </c>
      <c r="C3795" s="534" t="n">
        <v>15180.85</v>
      </c>
      <c r="E3795" s="535" t="n">
        <v>40667</v>
      </c>
      <c r="F3795" s="534" t="n">
        <v>2.613</v>
      </c>
    </row>
    <row r="3796">
      <c r="A3796" s="535" t="n">
        <v>36850</v>
      </c>
      <c r="B3796" s="534" t="n">
        <v>12.457</v>
      </c>
      <c r="C3796" s="534" t="n">
        <v>15346.66</v>
      </c>
      <c r="E3796" s="535" t="n">
        <v>40668</v>
      </c>
      <c r="F3796" s="534" t="n">
        <v>2.725</v>
      </c>
    </row>
    <row r="3797">
      <c r="A3797" s="535" t="n">
        <v>36851</v>
      </c>
      <c r="B3797" s="534" t="n">
        <v>12.196</v>
      </c>
      <c r="C3797" s="534" t="n">
        <v>15188.3</v>
      </c>
      <c r="E3797" s="535" t="n">
        <v>40669</v>
      </c>
      <c r="F3797" s="534" t="n">
        <v>2.671</v>
      </c>
    </row>
    <row r="3798">
      <c r="A3798" s="535" t="n">
        <v>36852</v>
      </c>
      <c r="B3798" s="534" t="n">
        <v>12.239</v>
      </c>
      <c r="C3798" s="534" t="n">
        <v>14772.51</v>
      </c>
      <c r="E3798" s="535" t="n">
        <v>40672</v>
      </c>
      <c r="F3798" s="534" t="n">
        <v>2.676</v>
      </c>
    </row>
    <row r="3799">
      <c r="A3799" s="535" t="n">
        <v>36853</v>
      </c>
      <c r="B3799" s="534" t="n">
        <v>12.283</v>
      </c>
      <c r="C3799" s="534" t="n">
        <v>14563.51</v>
      </c>
      <c r="E3799" s="535" t="n">
        <v>40673</v>
      </c>
      <c r="F3799" s="534" t="n">
        <v>2.676</v>
      </c>
    </row>
    <row r="3800">
      <c r="A3800" s="535" t="n">
        <v>36854</v>
      </c>
      <c r="B3800" s="534" t="n">
        <v>12.108</v>
      </c>
      <c r="C3800" s="534" t="n">
        <v>14376.9</v>
      </c>
      <c r="E3800" s="535" t="n">
        <v>40674</v>
      </c>
      <c r="F3800" s="534" t="n">
        <v>2.7</v>
      </c>
    </row>
    <row r="3801">
      <c r="A3801" s="535" t="n">
        <v>36857</v>
      </c>
      <c r="B3801" s="534" t="n">
        <v>12.239</v>
      </c>
      <c r="C3801" s="534" t="n">
        <v>14602.76</v>
      </c>
      <c r="E3801" s="535" t="n">
        <v>40675</v>
      </c>
      <c r="F3801" s="534" t="n">
        <v>2.644</v>
      </c>
    </row>
    <row r="3802">
      <c r="A3802" s="535" t="n">
        <v>36858</v>
      </c>
      <c r="B3802" s="534" t="n">
        <v>12.239</v>
      </c>
      <c r="C3802" s="534" t="n">
        <v>14566.22</v>
      </c>
      <c r="E3802" s="535" t="n">
        <v>40676</v>
      </c>
      <c r="F3802" s="534" t="n">
        <v>2.67</v>
      </c>
    </row>
    <row r="3803">
      <c r="A3803" s="535" t="n">
        <v>36859</v>
      </c>
      <c r="B3803" s="534" t="n">
        <v>12.196</v>
      </c>
      <c r="C3803" s="534" t="n">
        <v>14169.06</v>
      </c>
      <c r="E3803" s="535" t="n">
        <v>40679</v>
      </c>
      <c r="F3803" s="534" t="n">
        <v>2.634</v>
      </c>
    </row>
    <row r="3804">
      <c r="A3804" s="535" t="n">
        <v>36860</v>
      </c>
      <c r="B3804" s="534" t="n">
        <v>12.065</v>
      </c>
      <c r="C3804" s="534" t="n">
        <v>13984.39</v>
      </c>
      <c r="E3804" s="535" t="n">
        <v>40680</v>
      </c>
      <c r="F3804" s="534" t="n">
        <v>2.633</v>
      </c>
    </row>
    <row r="3805">
      <c r="A3805" s="535" t="n">
        <v>36861</v>
      </c>
      <c r="B3805" s="534" t="n">
        <v>12.283</v>
      </c>
      <c r="C3805" s="534" t="n">
        <v>14441.43</v>
      </c>
      <c r="E3805" s="535" t="n">
        <v>40681</v>
      </c>
      <c r="F3805" s="534" t="n">
        <v>2.605</v>
      </c>
    </row>
    <row r="3806">
      <c r="A3806" s="535" t="n">
        <v>36864</v>
      </c>
      <c r="B3806" s="534" t="n">
        <v>11.978</v>
      </c>
      <c r="C3806" s="534" t="n">
        <v>14559.24</v>
      </c>
      <c r="E3806" s="535" t="n">
        <v>40682</v>
      </c>
      <c r="F3806" s="534" t="n">
        <v>2.511</v>
      </c>
    </row>
    <row r="3807">
      <c r="A3807" s="535" t="n">
        <v>36865</v>
      </c>
      <c r="B3807" s="534" t="n">
        <v>11.629</v>
      </c>
      <c r="C3807" s="534" t="n">
        <v>14573.21</v>
      </c>
      <c r="E3807" s="535" t="n">
        <v>40683</v>
      </c>
      <c r="F3807" s="534" t="n">
        <v>2.635</v>
      </c>
    </row>
    <row r="3808">
      <c r="A3808" s="535" t="n">
        <v>36866</v>
      </c>
      <c r="B3808" s="534" t="n">
        <v>11.716</v>
      </c>
      <c r="C3808" s="534" t="n">
        <v>15098.95</v>
      </c>
      <c r="E3808" s="535" t="n">
        <v>40686</v>
      </c>
      <c r="F3808" s="534" t="n">
        <v>2.601</v>
      </c>
    </row>
    <row r="3809">
      <c r="A3809" s="535" t="n">
        <v>36867</v>
      </c>
      <c r="B3809" s="534" t="n">
        <v>11.412</v>
      </c>
      <c r="C3809" s="534" t="n">
        <v>15011.52</v>
      </c>
      <c r="E3809" s="535" t="n">
        <v>40687</v>
      </c>
      <c r="F3809" s="534" t="n">
        <v>2.627</v>
      </c>
    </row>
    <row r="3810">
      <c r="A3810" s="535" t="n">
        <v>36868</v>
      </c>
      <c r="B3810" s="534" t="n">
        <v>11.673</v>
      </c>
      <c r="C3810" s="534" t="n">
        <v>15189.33</v>
      </c>
      <c r="E3810" s="535" t="n">
        <v>40688</v>
      </c>
      <c r="F3810" s="534" t="n">
        <v>2.608</v>
      </c>
    </row>
    <row r="3811">
      <c r="A3811" s="535" t="n">
        <v>36871</v>
      </c>
      <c r="B3811" s="534" t="n">
        <v>12.108</v>
      </c>
      <c r="C3811" s="534" t="n">
        <v>15408.54</v>
      </c>
      <c r="E3811" s="535" t="n">
        <v>40689</v>
      </c>
      <c r="F3811" s="534" t="n">
        <v>2.644</v>
      </c>
    </row>
    <row r="3812">
      <c r="A3812" s="535" t="n">
        <v>36872</v>
      </c>
      <c r="B3812" s="534" t="n">
        <v>11.891</v>
      </c>
      <c r="C3812" s="534" t="n">
        <v>15329.6</v>
      </c>
      <c r="E3812" s="535" t="n">
        <v>40690</v>
      </c>
      <c r="F3812" s="534" t="n">
        <v>2.572</v>
      </c>
    </row>
    <row r="3813">
      <c r="A3813" s="535" t="n">
        <v>36873</v>
      </c>
      <c r="B3813" s="534" t="n">
        <v>12.108</v>
      </c>
      <c r="C3813" s="534" t="n">
        <v>15621.73</v>
      </c>
      <c r="E3813" s="535" t="n">
        <v>40693</v>
      </c>
      <c r="F3813" s="534" t="n">
        <v>2.522</v>
      </c>
    </row>
    <row r="3814">
      <c r="A3814" s="535" t="n">
        <v>36874</v>
      </c>
      <c r="B3814" s="534" t="n">
        <v>11.891</v>
      </c>
      <c r="C3814" s="534" t="n">
        <v>15496.99</v>
      </c>
      <c r="E3814" s="535" t="n">
        <v>40694</v>
      </c>
      <c r="F3814" s="534" t="n">
        <v>2.587</v>
      </c>
    </row>
    <row r="3815">
      <c r="A3815" s="535" t="n">
        <v>36875</v>
      </c>
      <c r="B3815" s="534" t="n">
        <v>11.586</v>
      </c>
      <c r="C3815" s="534" t="n">
        <v>14975.53</v>
      </c>
      <c r="E3815" s="535" t="n">
        <v>40695</v>
      </c>
      <c r="F3815" s="534" t="n">
        <v>2.556</v>
      </c>
    </row>
    <row r="3816">
      <c r="A3816" s="535" t="n">
        <v>36878</v>
      </c>
      <c r="B3816" s="534" t="n">
        <v>11.891</v>
      </c>
      <c r="C3816" s="534" t="n">
        <v>15024.53</v>
      </c>
      <c r="E3816" s="535" t="n">
        <v>40696</v>
      </c>
      <c r="F3816" s="534" t="n">
        <v>2.456</v>
      </c>
    </row>
    <row r="3817">
      <c r="A3817" s="535" t="n">
        <v>36879</v>
      </c>
      <c r="B3817" s="534" t="n">
        <v>11.629</v>
      </c>
      <c r="C3817" s="534" t="n">
        <v>15188.04</v>
      </c>
      <c r="E3817" s="535" t="n">
        <v>40697</v>
      </c>
      <c r="F3817" s="534" t="n">
        <v>2.484</v>
      </c>
    </row>
    <row r="3818">
      <c r="A3818" s="535" t="n">
        <v>36880</v>
      </c>
      <c r="B3818" s="534" t="n">
        <v>11.804</v>
      </c>
      <c r="C3818" s="534" t="n">
        <v>14930.72</v>
      </c>
      <c r="E3818" s="535" t="n">
        <v>40700</v>
      </c>
      <c r="F3818" s="534" t="n">
        <v>2.484</v>
      </c>
    </row>
    <row r="3819">
      <c r="A3819" s="535" t="n">
        <v>36881</v>
      </c>
      <c r="B3819" s="534" t="n">
        <v>11.716</v>
      </c>
      <c r="C3819" s="534" t="n">
        <v>14659.32</v>
      </c>
      <c r="E3819" s="535" t="n">
        <v>40701</v>
      </c>
      <c r="F3819" s="534" t="n">
        <v>2.471</v>
      </c>
    </row>
    <row r="3820">
      <c r="A3820" s="535" t="n">
        <v>36882</v>
      </c>
      <c r="B3820" s="534" t="n">
        <v>12.283</v>
      </c>
      <c r="C3820" s="534" t="n">
        <v>14738.21</v>
      </c>
      <c r="E3820" s="535" t="n">
        <v>40702</v>
      </c>
      <c r="F3820" s="534" t="n">
        <v>2.453</v>
      </c>
    </row>
    <row r="3821">
      <c r="A3821" s="535" t="n">
        <v>36885</v>
      </c>
      <c r="B3821" s="534" t="n">
        <v>12.283</v>
      </c>
      <c r="C3821" s="534" t="n">
        <v>14738.21</v>
      </c>
      <c r="E3821" s="535" t="n">
        <v>40703</v>
      </c>
      <c r="F3821" s="534" t="n">
        <v>2.418</v>
      </c>
    </row>
    <row r="3822">
      <c r="A3822" s="535" t="n">
        <v>36886</v>
      </c>
      <c r="B3822" s="534" t="n">
        <v>12.283</v>
      </c>
      <c r="C3822" s="534" t="n">
        <v>14738.21</v>
      </c>
      <c r="E3822" s="535" t="n">
        <v>40704</v>
      </c>
      <c r="F3822" s="534" t="n">
        <v>2.403</v>
      </c>
    </row>
    <row r="3823">
      <c r="A3823" s="535" t="n">
        <v>36887</v>
      </c>
      <c r="B3823" s="534" t="n">
        <v>12.065</v>
      </c>
      <c r="C3823" s="534" t="n">
        <v>14748.36</v>
      </c>
      <c r="E3823" s="535" t="n">
        <v>40707</v>
      </c>
      <c r="F3823" s="534" t="n">
        <v>2.396</v>
      </c>
    </row>
    <row r="3824">
      <c r="A3824" s="535" t="n">
        <v>36888</v>
      </c>
      <c r="B3824" s="534" t="n">
        <v>12.283</v>
      </c>
      <c r="C3824" s="534" t="n">
        <v>14796.55</v>
      </c>
      <c r="E3824" s="535" t="n">
        <v>40708</v>
      </c>
      <c r="F3824" s="534" t="n">
        <v>2.375</v>
      </c>
    </row>
    <row r="3825">
      <c r="A3825" s="535" t="n">
        <v>36889</v>
      </c>
      <c r="B3825" s="534" t="n">
        <v>12.544</v>
      </c>
      <c r="C3825" s="534" t="n">
        <v>15095.53</v>
      </c>
      <c r="E3825" s="535" t="n">
        <v>40709</v>
      </c>
      <c r="F3825" s="534" t="n">
        <v>2.428</v>
      </c>
    </row>
    <row r="3826">
      <c r="A3826" s="535" t="n">
        <v>36892</v>
      </c>
      <c r="B3826" s="534" t="n">
        <v>12.544</v>
      </c>
      <c r="C3826" s="534" t="n">
        <v>15095.53</v>
      </c>
      <c r="E3826" s="535" t="n">
        <v>40710</v>
      </c>
      <c r="F3826" s="534" t="n">
        <v>2.347</v>
      </c>
    </row>
    <row r="3827">
      <c r="A3827" s="535" t="n">
        <v>36893</v>
      </c>
      <c r="B3827" s="534" t="n">
        <v>12.457</v>
      </c>
      <c r="C3827" s="534" t="n">
        <v>14869.94</v>
      </c>
      <c r="E3827" s="535" t="n">
        <v>40711</v>
      </c>
      <c r="F3827" s="534" t="n">
        <v>2.44</v>
      </c>
    </row>
    <row r="3828">
      <c r="A3828" s="535" t="n">
        <v>36894</v>
      </c>
      <c r="B3828" s="534" t="n">
        <v>12.196</v>
      </c>
      <c r="C3828" s="534" t="n">
        <v>14589.58</v>
      </c>
      <c r="E3828" s="535" t="n">
        <v>40714</v>
      </c>
      <c r="F3828" s="534" t="n">
        <v>2.441</v>
      </c>
    </row>
    <row r="3829">
      <c r="A3829" s="535" t="n">
        <v>36895</v>
      </c>
      <c r="B3829" s="534" t="n">
        <v>12.152</v>
      </c>
      <c r="C3829" s="534" t="n">
        <v>15235.03</v>
      </c>
      <c r="E3829" s="535" t="n">
        <v>40715</v>
      </c>
      <c r="F3829" s="534" t="n">
        <v>2.421</v>
      </c>
    </row>
    <row r="3830">
      <c r="A3830" s="535" t="n">
        <v>36896</v>
      </c>
      <c r="B3830" s="534" t="n">
        <v>11.804</v>
      </c>
      <c r="C3830" s="534" t="n">
        <v>15447.61</v>
      </c>
      <c r="E3830" s="535" t="n">
        <v>40716</v>
      </c>
      <c r="F3830" s="534" t="n">
        <v>2.433</v>
      </c>
    </row>
    <row r="3831">
      <c r="A3831" s="535" t="n">
        <v>36899</v>
      </c>
      <c r="B3831" s="534" t="n">
        <v>11.629</v>
      </c>
      <c r="C3831" s="534" t="n">
        <v>15436.53</v>
      </c>
      <c r="E3831" s="535" t="n">
        <v>40717</v>
      </c>
      <c r="F3831" s="534" t="n">
        <v>2.39</v>
      </c>
    </row>
    <row r="3832">
      <c r="A3832" s="535" t="n">
        <v>36900</v>
      </c>
      <c r="B3832" s="534" t="n">
        <v>11.76</v>
      </c>
      <c r="C3832" s="534" t="n">
        <v>15500.59</v>
      </c>
      <c r="E3832" s="535" t="n">
        <v>40718</v>
      </c>
      <c r="F3832" s="534" t="n">
        <v>2.353</v>
      </c>
    </row>
    <row r="3833">
      <c r="A3833" s="535" t="n">
        <v>36901</v>
      </c>
      <c r="B3833" s="534" t="n">
        <v>11.673</v>
      </c>
      <c r="C3833" s="534" t="n">
        <v>15435.79</v>
      </c>
      <c r="E3833" s="535" t="n">
        <v>40721</v>
      </c>
      <c r="F3833" s="534" t="n">
        <v>2.286</v>
      </c>
    </row>
    <row r="3834">
      <c r="A3834" s="535" t="n">
        <v>36902</v>
      </c>
      <c r="B3834" s="534" t="n">
        <v>11.194</v>
      </c>
      <c r="C3834" s="534" t="n">
        <v>15090.77</v>
      </c>
      <c r="E3834" s="535" t="n">
        <v>40722</v>
      </c>
      <c r="F3834" s="534" t="n">
        <v>2.313</v>
      </c>
    </row>
    <row r="3835">
      <c r="A3835" s="535" t="n">
        <v>36903</v>
      </c>
      <c r="B3835" s="534" t="n">
        <v>11.02</v>
      </c>
      <c r="C3835" s="534" t="n">
        <v>15295.42</v>
      </c>
      <c r="E3835" s="535" t="n">
        <v>40723</v>
      </c>
      <c r="F3835" s="534" t="n">
        <v>2.387</v>
      </c>
    </row>
    <row r="3836">
      <c r="A3836" s="535" t="n">
        <v>36906</v>
      </c>
      <c r="B3836" s="534" t="n">
        <v>10.628</v>
      </c>
      <c r="C3836" s="534" t="n">
        <v>15293.76</v>
      </c>
      <c r="E3836" s="535" t="n">
        <v>40724</v>
      </c>
      <c r="F3836" s="534" t="n">
        <v>2.422</v>
      </c>
    </row>
    <row r="3837">
      <c r="A3837" s="535" t="n">
        <v>36907</v>
      </c>
      <c r="B3837" s="534" t="n">
        <v>10.758</v>
      </c>
      <c r="C3837" s="534" t="n">
        <v>15363.15</v>
      </c>
      <c r="E3837" s="535" t="n">
        <v>40725</v>
      </c>
      <c r="F3837" s="534" t="n">
        <v>2.422</v>
      </c>
    </row>
    <row r="3838">
      <c r="A3838" s="535" t="n">
        <v>36908</v>
      </c>
      <c r="B3838" s="534" t="n">
        <v>10.715</v>
      </c>
      <c r="C3838" s="534" t="n">
        <v>15261.48</v>
      </c>
      <c r="E3838" s="535" t="n">
        <v>40728</v>
      </c>
      <c r="F3838" s="534" t="n">
        <v>2.489</v>
      </c>
    </row>
    <row r="3839">
      <c r="A3839" s="535" t="n">
        <v>36909</v>
      </c>
      <c r="B3839" s="534" t="n">
        <v>10.628</v>
      </c>
      <c r="C3839" s="534" t="n">
        <v>15528.75</v>
      </c>
      <c r="E3839" s="535" t="n">
        <v>40729</v>
      </c>
      <c r="F3839" s="534" t="n">
        <v>2.502</v>
      </c>
    </row>
    <row r="3840">
      <c r="A3840" s="535" t="n">
        <v>36910</v>
      </c>
      <c r="B3840" s="534" t="n">
        <v>10.932</v>
      </c>
      <c r="C3840" s="534" t="n">
        <v>15933.55</v>
      </c>
      <c r="E3840" s="535" t="n">
        <v>40730</v>
      </c>
      <c r="F3840" s="534" t="n">
        <v>2.475</v>
      </c>
    </row>
    <row r="3841">
      <c r="A3841" s="535" t="n">
        <v>36913</v>
      </c>
      <c r="B3841" s="534" t="n">
        <v>10.845</v>
      </c>
      <c r="C3841" s="534" t="n">
        <v>16099.27</v>
      </c>
      <c r="E3841" s="535" t="n">
        <v>40731</v>
      </c>
      <c r="F3841" s="534" t="n">
        <v>2.497</v>
      </c>
    </row>
    <row r="3842">
      <c r="A3842" s="535" t="n">
        <v>36914</v>
      </c>
      <c r="B3842" s="534" t="n">
        <v>10.932</v>
      </c>
      <c r="C3842" s="534" t="n">
        <v>16044.21</v>
      </c>
      <c r="E3842" s="535" t="n">
        <v>40732</v>
      </c>
      <c r="F3842" s="534" t="n">
        <v>2.567</v>
      </c>
    </row>
    <row r="3843">
      <c r="A3843" s="535" t="n">
        <v>36915</v>
      </c>
      <c r="B3843" s="534" t="n">
        <v>10.932</v>
      </c>
      <c r="C3843" s="534" t="n">
        <v>16044.21</v>
      </c>
      <c r="E3843" s="535" t="n">
        <v>40735</v>
      </c>
      <c r="F3843" s="534" t="n">
        <v>2.429</v>
      </c>
    </row>
    <row r="3844">
      <c r="A3844" s="535" t="n">
        <v>36916</v>
      </c>
      <c r="B3844" s="534" t="n">
        <v>10.932</v>
      </c>
      <c r="C3844" s="534" t="n">
        <v>16044.21</v>
      </c>
      <c r="E3844" s="535" t="n">
        <v>40736</v>
      </c>
      <c r="F3844" s="534" t="n">
        <v>2.33</v>
      </c>
    </row>
    <row r="3845">
      <c r="A3845" s="535" t="n">
        <v>36917</v>
      </c>
      <c r="B3845" s="534" t="n">
        <v>10.932</v>
      </c>
      <c r="C3845" s="534" t="n">
        <v>16044.21</v>
      </c>
      <c r="E3845" s="535" t="n">
        <v>40737</v>
      </c>
      <c r="F3845" s="534" t="n">
        <v>2.372</v>
      </c>
    </row>
    <row r="3846">
      <c r="A3846" s="535" t="n">
        <v>36920</v>
      </c>
      <c r="B3846" s="534" t="n">
        <v>10.758</v>
      </c>
      <c r="C3846" s="534" t="n">
        <v>16099.82</v>
      </c>
      <c r="E3846" s="535" t="n">
        <v>40738</v>
      </c>
      <c r="F3846" s="534" t="n">
        <v>2.361</v>
      </c>
    </row>
    <row r="3847">
      <c r="A3847" s="535" t="n">
        <v>36921</v>
      </c>
      <c r="B3847" s="534" t="n">
        <v>10.628</v>
      </c>
      <c r="C3847" s="534" t="n">
        <v>15893.07</v>
      </c>
      <c r="E3847" s="535" t="n">
        <v>40739</v>
      </c>
      <c r="F3847" s="534" t="n">
        <v>2.374</v>
      </c>
    </row>
    <row r="3848">
      <c r="A3848" s="535" t="n">
        <v>36922</v>
      </c>
      <c r="B3848" s="534" t="n">
        <v>10.584</v>
      </c>
      <c r="C3848" s="534" t="n">
        <v>16102.35</v>
      </c>
      <c r="E3848" s="535" t="n">
        <v>40742</v>
      </c>
      <c r="F3848" s="534" t="n">
        <v>2.341</v>
      </c>
    </row>
    <row r="3849">
      <c r="A3849" s="535" t="n">
        <v>36923</v>
      </c>
      <c r="B3849" s="534" t="n">
        <v>10.889</v>
      </c>
      <c r="C3849" s="534" t="n">
        <v>16163.99</v>
      </c>
      <c r="E3849" s="535" t="n">
        <v>40743</v>
      </c>
      <c r="F3849" s="534" t="n">
        <v>2.372</v>
      </c>
    </row>
    <row r="3850">
      <c r="A3850" s="535" t="n">
        <v>36924</v>
      </c>
      <c r="B3850" s="534" t="n">
        <v>10.758</v>
      </c>
      <c r="C3850" s="534" t="n">
        <v>16071.29</v>
      </c>
      <c r="E3850" s="535" t="n">
        <v>40744</v>
      </c>
      <c r="F3850" s="534" t="n">
        <v>2.382</v>
      </c>
    </row>
    <row r="3851">
      <c r="A3851" s="535" t="n">
        <v>36927</v>
      </c>
      <c r="B3851" s="534" t="n">
        <v>10.758</v>
      </c>
      <c r="C3851" s="534" t="n">
        <v>15830.84</v>
      </c>
      <c r="E3851" s="535" t="n">
        <v>40745</v>
      </c>
      <c r="F3851" s="534" t="n">
        <v>2.416</v>
      </c>
    </row>
    <row r="3852">
      <c r="A3852" s="535" t="n">
        <v>36928</v>
      </c>
      <c r="B3852" s="534" t="n">
        <v>10.584</v>
      </c>
      <c r="C3852" s="534" t="n">
        <v>15913.24</v>
      </c>
      <c r="E3852" s="535" t="n">
        <v>40746</v>
      </c>
      <c r="F3852" s="534" t="n">
        <v>2.453</v>
      </c>
    </row>
    <row r="3853">
      <c r="A3853" s="535" t="n">
        <v>36929</v>
      </c>
      <c r="B3853" s="534" t="n">
        <v>10.584</v>
      </c>
      <c r="C3853" s="534" t="n">
        <v>16049.47</v>
      </c>
      <c r="E3853" s="535" t="n">
        <v>40749</v>
      </c>
      <c r="F3853" s="534" t="n">
        <v>2.432</v>
      </c>
    </row>
    <row r="3854">
      <c r="A3854" s="535" t="n">
        <v>36930</v>
      </c>
      <c r="B3854" s="534" t="n">
        <v>10.366</v>
      </c>
      <c r="C3854" s="534" t="n">
        <v>15909.4</v>
      </c>
      <c r="E3854" s="535" t="n">
        <v>40750</v>
      </c>
      <c r="F3854" s="534" t="n">
        <v>2.452</v>
      </c>
    </row>
    <row r="3855">
      <c r="A3855" s="535" t="n">
        <v>36931</v>
      </c>
      <c r="B3855" s="534" t="n">
        <v>10.279</v>
      </c>
      <c r="C3855" s="534" t="n">
        <v>15873.28</v>
      </c>
      <c r="E3855" s="535" t="n">
        <v>40751</v>
      </c>
      <c r="F3855" s="534" t="n">
        <v>2.414</v>
      </c>
    </row>
    <row r="3856">
      <c r="A3856" s="535" t="n">
        <v>36934</v>
      </c>
      <c r="B3856" s="534" t="n">
        <v>10.453</v>
      </c>
      <c r="C3856" s="534" t="n">
        <v>15693.11</v>
      </c>
      <c r="E3856" s="535" t="n">
        <v>40752</v>
      </c>
      <c r="F3856" s="534" t="n">
        <v>2.422</v>
      </c>
    </row>
    <row r="3857">
      <c r="A3857" s="535" t="n">
        <v>36935</v>
      </c>
      <c r="B3857" s="534" t="n">
        <v>10.584</v>
      </c>
      <c r="C3857" s="534" t="n">
        <v>15842.72</v>
      </c>
      <c r="E3857" s="535" t="n">
        <v>40753</v>
      </c>
      <c r="F3857" s="534" t="n">
        <v>2.406</v>
      </c>
    </row>
    <row r="3858">
      <c r="A3858" s="535" t="n">
        <v>36936</v>
      </c>
      <c r="B3858" s="534" t="n">
        <v>10.584</v>
      </c>
      <c r="C3858" s="534" t="n">
        <v>15860.42</v>
      </c>
      <c r="E3858" s="535" t="n">
        <v>40756</v>
      </c>
      <c r="F3858" s="534" t="n">
        <v>2.328</v>
      </c>
    </row>
    <row r="3859">
      <c r="A3859" s="535" t="n">
        <v>36937</v>
      </c>
      <c r="B3859" s="534" t="n">
        <v>10.54</v>
      </c>
      <c r="C3859" s="534" t="n">
        <v>15756.37</v>
      </c>
      <c r="E3859" s="535" t="n">
        <v>40757</v>
      </c>
      <c r="F3859" s="534" t="n">
        <v>2.253</v>
      </c>
    </row>
    <row r="3860">
      <c r="A3860" s="535" t="n">
        <v>36938</v>
      </c>
      <c r="B3860" s="534" t="n">
        <v>10.453</v>
      </c>
      <c r="C3860" s="534" t="n">
        <v>15630.31</v>
      </c>
      <c r="E3860" s="535" t="n">
        <v>40758</v>
      </c>
      <c r="F3860" s="534" t="n">
        <v>2.209</v>
      </c>
    </row>
    <row r="3861">
      <c r="A3861" s="535" t="n">
        <v>36941</v>
      </c>
      <c r="B3861" s="534" t="n">
        <v>10.41</v>
      </c>
      <c r="C3861" s="534" t="n">
        <v>15490.96</v>
      </c>
      <c r="E3861" s="535" t="n">
        <v>40759</v>
      </c>
      <c r="F3861" s="534" t="n">
        <v>2.236</v>
      </c>
    </row>
    <row r="3862">
      <c r="A3862" s="535" t="n">
        <v>36942</v>
      </c>
      <c r="B3862" s="534" t="n">
        <v>10.366</v>
      </c>
      <c r="C3862" s="534" t="n">
        <v>15527.36</v>
      </c>
      <c r="E3862" s="535" t="n">
        <v>40760</v>
      </c>
      <c r="F3862" s="534" t="n">
        <v>2.064</v>
      </c>
    </row>
    <row r="3863">
      <c r="A3863" s="535" t="n">
        <v>36943</v>
      </c>
      <c r="B3863" s="534" t="n">
        <v>10.453</v>
      </c>
      <c r="C3863" s="534" t="n">
        <v>15351.51</v>
      </c>
      <c r="E3863" s="535" t="n">
        <v>40763</v>
      </c>
      <c r="F3863" s="534" t="n">
        <v>2.195</v>
      </c>
    </row>
    <row r="3864">
      <c r="A3864" s="535" t="n">
        <v>36944</v>
      </c>
      <c r="B3864" s="534" t="n">
        <v>10.497</v>
      </c>
      <c r="C3864" s="534" t="n">
        <v>15098.64</v>
      </c>
      <c r="E3864" s="535" t="n">
        <v>40764</v>
      </c>
      <c r="F3864" s="534" t="n">
        <v>2.141</v>
      </c>
    </row>
    <row r="3865">
      <c r="A3865" s="535" t="n">
        <v>36945</v>
      </c>
      <c r="B3865" s="534" t="n">
        <v>10.41</v>
      </c>
      <c r="C3865" s="534" t="n">
        <v>15280.56</v>
      </c>
      <c r="E3865" s="535" t="n">
        <v>40765</v>
      </c>
      <c r="F3865" s="534" t="n">
        <v>2.027</v>
      </c>
    </row>
    <row r="3866">
      <c r="A3866" s="535" t="n">
        <v>36948</v>
      </c>
      <c r="B3866" s="534" t="n">
        <v>10.279</v>
      </c>
      <c r="C3866" s="534" t="n">
        <v>15230.22</v>
      </c>
      <c r="E3866" s="535" t="n">
        <v>40766</v>
      </c>
      <c r="F3866" s="534" t="n">
        <v>1.949</v>
      </c>
    </row>
    <row r="3867">
      <c r="A3867" s="535" t="n">
        <v>36949</v>
      </c>
      <c r="B3867" s="534" t="n">
        <v>10.236</v>
      </c>
      <c r="C3867" s="534" t="n">
        <v>14834.73</v>
      </c>
      <c r="E3867" s="535" t="n">
        <v>40767</v>
      </c>
      <c r="F3867" s="534" t="n">
        <v>1.973</v>
      </c>
    </row>
    <row r="3868">
      <c r="A3868" s="535" t="n">
        <v>36950</v>
      </c>
      <c r="B3868" s="534" t="n">
        <v>10.148</v>
      </c>
      <c r="C3868" s="534" t="n">
        <v>14787.87</v>
      </c>
      <c r="E3868" s="535" t="n">
        <v>40770</v>
      </c>
      <c r="F3868" s="534" t="n">
        <v>1.999</v>
      </c>
    </row>
    <row r="3869">
      <c r="A3869" s="535" t="n">
        <v>36951</v>
      </c>
      <c r="B3869" s="534" t="n">
        <v>9.930999999999999</v>
      </c>
      <c r="C3869" s="534" t="n">
        <v>14360.56</v>
      </c>
      <c r="E3869" s="535" t="n">
        <v>40771</v>
      </c>
      <c r="F3869" s="534" t="n">
        <v>2.013</v>
      </c>
    </row>
    <row r="3870">
      <c r="A3870" s="535" t="n">
        <v>36952</v>
      </c>
      <c r="B3870" s="534" t="n">
        <v>9.930999999999999</v>
      </c>
      <c r="C3870" s="534" t="n">
        <v>13966.43</v>
      </c>
      <c r="E3870" s="535" t="n">
        <v>40772</v>
      </c>
      <c r="F3870" s="534" t="n">
        <v>1.964</v>
      </c>
    </row>
    <row r="3871">
      <c r="A3871" s="535" t="n">
        <v>36955</v>
      </c>
      <c r="B3871" s="534" t="n">
        <v>10.148</v>
      </c>
      <c r="C3871" s="534" t="n">
        <v>14135.26</v>
      </c>
      <c r="E3871" s="535" t="n">
        <v>40773</v>
      </c>
      <c r="F3871" s="534" t="n">
        <v>1.846</v>
      </c>
    </row>
    <row r="3872">
      <c r="A3872" s="535" t="n">
        <v>36956</v>
      </c>
      <c r="B3872" s="534" t="n">
        <v>10.54</v>
      </c>
      <c r="C3872" s="534" t="n">
        <v>14321.05</v>
      </c>
      <c r="E3872" s="535" t="n">
        <v>40774</v>
      </c>
      <c r="F3872" s="534" t="n">
        <v>1.778</v>
      </c>
    </row>
    <row r="3873">
      <c r="A3873" s="535" t="n">
        <v>36957</v>
      </c>
      <c r="B3873" s="534" t="n">
        <v>10.497</v>
      </c>
      <c r="C3873" s="534" t="n">
        <v>14177.36</v>
      </c>
      <c r="E3873" s="535" t="n">
        <v>40777</v>
      </c>
      <c r="F3873" s="534" t="n">
        <v>1.79</v>
      </c>
    </row>
    <row r="3874">
      <c r="A3874" s="535" t="n">
        <v>36958</v>
      </c>
      <c r="B3874" s="534" t="n">
        <v>10.497</v>
      </c>
      <c r="C3874" s="534" t="n">
        <v>14208.95</v>
      </c>
      <c r="E3874" s="535" t="n">
        <v>40778</v>
      </c>
      <c r="F3874" s="534" t="n">
        <v>1.815</v>
      </c>
    </row>
    <row r="3875">
      <c r="A3875" s="535" t="n">
        <v>36959</v>
      </c>
      <c r="B3875" s="534" t="n">
        <v>10.628</v>
      </c>
      <c r="C3875" s="534" t="n">
        <v>14194.35</v>
      </c>
      <c r="E3875" s="535" t="n">
        <v>40779</v>
      </c>
      <c r="F3875" s="534" t="n">
        <v>1.807</v>
      </c>
    </row>
    <row r="3876">
      <c r="A3876" s="535" t="n">
        <v>36962</v>
      </c>
      <c r="B3876" s="534" t="n">
        <v>10.192</v>
      </c>
      <c r="C3876" s="534" t="n">
        <v>13776.72</v>
      </c>
      <c r="E3876" s="535" t="n">
        <v>40780</v>
      </c>
      <c r="F3876" s="534" t="n">
        <v>1.911</v>
      </c>
    </row>
    <row r="3877">
      <c r="A3877" s="535" t="n">
        <v>36963</v>
      </c>
      <c r="B3877" s="534" t="n">
        <v>10.018</v>
      </c>
      <c r="C3877" s="534" t="n">
        <v>13493.03</v>
      </c>
      <c r="E3877" s="535" t="n">
        <v>40781</v>
      </c>
      <c r="F3877" s="534" t="n">
        <v>1.897</v>
      </c>
    </row>
    <row r="3878">
      <c r="A3878" s="535" t="n">
        <v>36964</v>
      </c>
      <c r="B3878" s="534" t="n">
        <v>9.974</v>
      </c>
      <c r="C3878" s="534" t="n">
        <v>13330.84</v>
      </c>
      <c r="E3878" s="535" t="n">
        <v>40784</v>
      </c>
      <c r="F3878" s="534" t="n">
        <v>1.888</v>
      </c>
    </row>
    <row r="3879">
      <c r="A3879" s="535" t="n">
        <v>36965</v>
      </c>
      <c r="B3879" s="534" t="n">
        <v>10.279</v>
      </c>
      <c r="C3879" s="534" t="n">
        <v>13504.17</v>
      </c>
      <c r="E3879" s="535" t="n">
        <v>40785</v>
      </c>
      <c r="F3879" s="534" t="n">
        <v>1.901</v>
      </c>
    </row>
    <row r="3880">
      <c r="A3880" s="535" t="n">
        <v>36966</v>
      </c>
      <c r="B3880" s="534" t="n">
        <v>10.192</v>
      </c>
      <c r="C3880" s="534" t="n">
        <v>13522.04</v>
      </c>
      <c r="E3880" s="535" t="n">
        <v>40786</v>
      </c>
      <c r="F3880" s="534" t="n">
        <v>1.895</v>
      </c>
    </row>
    <row r="3881">
      <c r="A3881" s="535" t="n">
        <v>36969</v>
      </c>
      <c r="B3881" s="534" t="n">
        <v>10.366</v>
      </c>
      <c r="C3881" s="534" t="n">
        <v>13457.69</v>
      </c>
      <c r="E3881" s="535" t="n">
        <v>40787</v>
      </c>
      <c r="F3881" s="534" t="n">
        <v>1.918</v>
      </c>
    </row>
    <row r="3882">
      <c r="A3882" s="535" t="n">
        <v>36970</v>
      </c>
      <c r="B3882" s="534" t="n">
        <v>10.323</v>
      </c>
      <c r="C3882" s="534" t="n">
        <v>13223.86</v>
      </c>
      <c r="E3882" s="535" t="n">
        <v>40788</v>
      </c>
      <c r="F3882" s="534" t="n">
        <v>1.868</v>
      </c>
    </row>
    <row r="3883">
      <c r="A3883" s="535" t="n">
        <v>36971</v>
      </c>
      <c r="B3883" s="534" t="n">
        <v>10.192</v>
      </c>
      <c r="C3883" s="534" t="n">
        <v>13154.44</v>
      </c>
      <c r="E3883" s="535" t="n">
        <v>40791</v>
      </c>
      <c r="F3883" s="534" t="n">
        <v>1.75</v>
      </c>
    </row>
    <row r="3884">
      <c r="A3884" s="535" t="n">
        <v>36972</v>
      </c>
      <c r="B3884" s="534" t="n">
        <v>9.887</v>
      </c>
      <c r="C3884" s="534" t="n">
        <v>12621.85</v>
      </c>
      <c r="E3884" s="535" t="n">
        <v>40792</v>
      </c>
      <c r="F3884" s="534" t="n">
        <v>1.705</v>
      </c>
    </row>
    <row r="3885">
      <c r="A3885" s="535" t="n">
        <v>36973</v>
      </c>
      <c r="B3885" s="534" t="n">
        <v>9.887</v>
      </c>
      <c r="C3885" s="534" t="n">
        <v>12583.36</v>
      </c>
      <c r="E3885" s="535" t="n">
        <v>40793</v>
      </c>
      <c r="F3885" s="534" t="n">
        <v>1.735</v>
      </c>
    </row>
    <row r="3886">
      <c r="A3886" s="535" t="n">
        <v>36976</v>
      </c>
      <c r="B3886" s="534" t="n">
        <v>10.061</v>
      </c>
      <c r="C3886" s="534" t="n">
        <v>12950.49</v>
      </c>
      <c r="E3886" s="535" t="n">
        <v>40794</v>
      </c>
      <c r="F3886" s="534" t="n">
        <v>1.635</v>
      </c>
    </row>
    <row r="3887">
      <c r="A3887" s="535" t="n">
        <v>36977</v>
      </c>
      <c r="B3887" s="534" t="n">
        <v>10.061</v>
      </c>
      <c r="C3887" s="534" t="n">
        <v>12707.9</v>
      </c>
      <c r="E3887" s="535" t="n">
        <v>40795</v>
      </c>
      <c r="F3887" s="534" t="n">
        <v>1.716</v>
      </c>
    </row>
    <row r="3888">
      <c r="A3888" s="535" t="n">
        <v>36978</v>
      </c>
      <c r="B3888" s="534" t="n">
        <v>9.930999999999999</v>
      </c>
      <c r="C3888" s="534" t="n">
        <v>12851.41</v>
      </c>
      <c r="E3888" s="535" t="n">
        <v>40798</v>
      </c>
      <c r="F3888" s="534" t="n">
        <v>1.668</v>
      </c>
    </row>
    <row r="3889">
      <c r="A3889" s="535" t="n">
        <v>36979</v>
      </c>
      <c r="B3889" s="534" t="n">
        <v>9.887</v>
      </c>
      <c r="C3889" s="534" t="n">
        <v>12677.89</v>
      </c>
      <c r="E3889" s="535" t="n">
        <v>40799</v>
      </c>
      <c r="F3889" s="534" t="n">
        <v>1.668</v>
      </c>
    </row>
    <row r="3890">
      <c r="A3890" s="535" t="n">
        <v>36980</v>
      </c>
      <c r="B3890" s="534" t="n">
        <v>9.887</v>
      </c>
      <c r="C3890" s="534" t="n">
        <v>12760.64</v>
      </c>
      <c r="E3890" s="535" t="n">
        <v>40800</v>
      </c>
      <c r="F3890" s="534" t="n">
        <v>1.676</v>
      </c>
    </row>
    <row r="3891">
      <c r="A3891" s="535" t="n">
        <v>36983</v>
      </c>
      <c r="B3891" s="534" t="n">
        <v>9.843999999999999</v>
      </c>
      <c r="C3891" s="534" t="n">
        <v>12727.3</v>
      </c>
      <c r="E3891" s="535" t="n">
        <v>40801</v>
      </c>
      <c r="F3891" s="534" t="n">
        <v>1.673</v>
      </c>
    </row>
    <row r="3892">
      <c r="A3892" s="535" t="n">
        <v>36984</v>
      </c>
      <c r="B3892" s="534" t="n">
        <v>10.018</v>
      </c>
      <c r="C3892" s="534" t="n">
        <v>12584.22</v>
      </c>
      <c r="E3892" s="535" t="n">
        <v>40802</v>
      </c>
      <c r="F3892" s="534" t="n">
        <v>1.684</v>
      </c>
    </row>
    <row r="3893">
      <c r="A3893" s="535" t="n">
        <v>36985</v>
      </c>
      <c r="B3893" s="534" t="n">
        <v>9.625999999999999</v>
      </c>
      <c r="C3893" s="534" t="n">
        <v>12063.71</v>
      </c>
      <c r="E3893" s="535" t="n">
        <v>40805</v>
      </c>
      <c r="F3893" s="534" t="n">
        <v>1.648</v>
      </c>
    </row>
    <row r="3894">
      <c r="A3894" s="535" t="n">
        <v>36986</v>
      </c>
      <c r="B3894" s="534" t="n">
        <v>9.625999999999999</v>
      </c>
      <c r="C3894" s="534" t="n">
        <v>12063.71</v>
      </c>
      <c r="E3894" s="535" t="n">
        <v>40806</v>
      </c>
      <c r="F3894" s="534" t="n">
        <v>1.592</v>
      </c>
    </row>
    <row r="3895">
      <c r="A3895" s="535" t="n">
        <v>36987</v>
      </c>
      <c r="B3895" s="534" t="n">
        <v>9.452</v>
      </c>
      <c r="C3895" s="534" t="n">
        <v>12386.61</v>
      </c>
      <c r="E3895" s="535" t="n">
        <v>40807</v>
      </c>
      <c r="F3895" s="534" t="n">
        <v>1.586</v>
      </c>
    </row>
    <row r="3896">
      <c r="A3896" s="535" t="n">
        <v>36990</v>
      </c>
      <c r="B3896" s="534" t="n">
        <v>9.19</v>
      </c>
      <c r="C3896" s="534" t="n">
        <v>12202.1</v>
      </c>
      <c r="E3896" s="535" t="n">
        <v>40808</v>
      </c>
      <c r="F3896" s="534" t="n">
        <v>1.473</v>
      </c>
    </row>
    <row r="3897">
      <c r="A3897" s="535" t="n">
        <v>36991</v>
      </c>
      <c r="B3897" s="534" t="n">
        <v>9.016</v>
      </c>
      <c r="C3897" s="534" t="n">
        <v>12213.67</v>
      </c>
      <c r="E3897" s="535" t="n">
        <v>40809</v>
      </c>
      <c r="F3897" s="534" t="n">
        <v>1.379</v>
      </c>
    </row>
    <row r="3898">
      <c r="A3898" s="535" t="n">
        <v>36992</v>
      </c>
      <c r="B3898" s="534" t="n">
        <v>9.276999999999999</v>
      </c>
      <c r="C3898" s="534" t="n">
        <v>12706.43</v>
      </c>
      <c r="E3898" s="535" t="n">
        <v>40812</v>
      </c>
      <c r="F3898" s="534" t="n">
        <v>1.395</v>
      </c>
    </row>
    <row r="3899">
      <c r="A3899" s="535" t="n">
        <v>36993</v>
      </c>
      <c r="B3899" s="534" t="n">
        <v>9.539</v>
      </c>
      <c r="C3899" s="534" t="n">
        <v>12989.47</v>
      </c>
      <c r="E3899" s="535" t="n">
        <v>40813</v>
      </c>
      <c r="F3899" s="534" t="n">
        <v>1.443</v>
      </c>
    </row>
    <row r="3900">
      <c r="A3900" s="535" t="n">
        <v>36994</v>
      </c>
      <c r="B3900" s="534" t="n">
        <v>9.539</v>
      </c>
      <c r="C3900" s="534" t="n">
        <v>12989.47</v>
      </c>
      <c r="E3900" s="535" t="n">
        <v>40814</v>
      </c>
      <c r="F3900" s="534" t="n">
        <v>1.412</v>
      </c>
    </row>
    <row r="3901">
      <c r="A3901" s="535" t="n">
        <v>36997</v>
      </c>
      <c r="B3901" s="534" t="n">
        <v>9.539</v>
      </c>
      <c r="C3901" s="534" t="n">
        <v>12989.47</v>
      </c>
      <c r="E3901" s="535" t="n">
        <v>40815</v>
      </c>
      <c r="F3901" s="534" t="n">
        <v>1.412</v>
      </c>
    </row>
    <row r="3902">
      <c r="A3902" s="535" t="n">
        <v>36998</v>
      </c>
      <c r="B3902" s="534" t="n">
        <v>9.364000000000001</v>
      </c>
      <c r="C3902" s="534" t="n">
        <v>12606.45</v>
      </c>
      <c r="E3902" s="535" t="n">
        <v>40816</v>
      </c>
      <c r="F3902" s="534" t="n">
        <v>1.408</v>
      </c>
    </row>
    <row r="3903">
      <c r="A3903" s="535" t="n">
        <v>36999</v>
      </c>
      <c r="B3903" s="534" t="n">
        <v>9.582000000000001</v>
      </c>
      <c r="C3903" s="534" t="n">
        <v>12972.8</v>
      </c>
      <c r="E3903" s="535" t="n">
        <v>40819</v>
      </c>
      <c r="F3903" s="534" t="n">
        <v>1.376</v>
      </c>
    </row>
    <row r="3904">
      <c r="A3904" s="535" t="n">
        <v>37000</v>
      </c>
      <c r="B3904" s="534" t="n">
        <v>9.669</v>
      </c>
      <c r="C3904" s="534" t="n">
        <v>13548.95</v>
      </c>
      <c r="E3904" s="535" t="n">
        <v>40820</v>
      </c>
      <c r="F3904" s="534" t="n">
        <v>1.319</v>
      </c>
    </row>
    <row r="3905">
      <c r="A3905" s="535" t="n">
        <v>37001</v>
      </c>
      <c r="B3905" s="534" t="n">
        <v>9.625999999999999</v>
      </c>
      <c r="C3905" s="534" t="n">
        <v>13448.13</v>
      </c>
      <c r="E3905" s="535" t="n">
        <v>40821</v>
      </c>
      <c r="F3905" s="534" t="n">
        <v>1.319</v>
      </c>
    </row>
    <row r="3906">
      <c r="A3906" s="535" t="n">
        <v>37004</v>
      </c>
      <c r="B3906" s="534" t="n">
        <v>9.756</v>
      </c>
      <c r="C3906" s="534" t="n">
        <v>13311.5</v>
      </c>
      <c r="E3906" s="535" t="n">
        <v>40822</v>
      </c>
      <c r="F3906" s="534" t="n">
        <v>1.364</v>
      </c>
    </row>
    <row r="3907">
      <c r="A3907" s="535" t="n">
        <v>37005</v>
      </c>
      <c r="B3907" s="534" t="n">
        <v>9.843999999999999</v>
      </c>
      <c r="C3907" s="534" t="n">
        <v>13274.61</v>
      </c>
      <c r="E3907" s="535" t="n">
        <v>40823</v>
      </c>
      <c r="F3907" s="534" t="n">
        <v>1.419</v>
      </c>
    </row>
    <row r="3908">
      <c r="A3908" s="535" t="n">
        <v>37006</v>
      </c>
      <c r="B3908" s="534" t="n">
        <v>9.974</v>
      </c>
      <c r="C3908" s="534" t="n">
        <v>13249.55</v>
      </c>
      <c r="E3908" s="535" t="n">
        <v>40826</v>
      </c>
      <c r="F3908" s="534" t="n">
        <v>1.501</v>
      </c>
    </row>
    <row r="3909">
      <c r="A3909" s="535" t="n">
        <v>37007</v>
      </c>
      <c r="B3909" s="534" t="n">
        <v>10.192</v>
      </c>
      <c r="C3909" s="534" t="n">
        <v>13293.11</v>
      </c>
      <c r="E3909" s="535" t="n">
        <v>40827</v>
      </c>
      <c r="F3909" s="534" t="n">
        <v>1.43</v>
      </c>
    </row>
    <row r="3910">
      <c r="A3910" s="535" t="n">
        <v>37008</v>
      </c>
      <c r="B3910" s="534" t="n">
        <v>10.279</v>
      </c>
      <c r="C3910" s="534" t="n">
        <v>13386.04</v>
      </c>
      <c r="E3910" s="535" t="n">
        <v>40828</v>
      </c>
      <c r="F3910" s="534" t="n">
        <v>1.502</v>
      </c>
    </row>
    <row r="3911">
      <c r="A3911" s="535" t="n">
        <v>37011</v>
      </c>
      <c r="B3911" s="534" t="n">
        <v>10.279</v>
      </c>
      <c r="C3911" s="534" t="n">
        <v>13386.04</v>
      </c>
      <c r="E3911" s="535" t="n">
        <v>40829</v>
      </c>
      <c r="F3911" s="534" t="n">
        <v>1.506</v>
      </c>
    </row>
    <row r="3912">
      <c r="A3912" s="535" t="n">
        <v>37012</v>
      </c>
      <c r="B3912" s="534" t="n">
        <v>10.279</v>
      </c>
      <c r="C3912" s="534" t="n">
        <v>13386.04</v>
      </c>
      <c r="E3912" s="535" t="n">
        <v>40830</v>
      </c>
      <c r="F3912" s="534" t="n">
        <v>1.482</v>
      </c>
    </row>
    <row r="3913">
      <c r="A3913" s="535" t="n">
        <v>37013</v>
      </c>
      <c r="B3913" s="534" t="n">
        <v>10.628</v>
      </c>
      <c r="C3913" s="534" t="n">
        <v>13814.24</v>
      </c>
      <c r="E3913" s="535" t="n">
        <v>40833</v>
      </c>
      <c r="F3913" s="534" t="n">
        <v>1.564</v>
      </c>
    </row>
    <row r="3914">
      <c r="A3914" s="535" t="n">
        <v>37014</v>
      </c>
      <c r="B3914" s="534" t="n">
        <v>10.584</v>
      </c>
      <c r="C3914" s="534" t="n">
        <v>13718.14</v>
      </c>
      <c r="E3914" s="535" t="n">
        <v>40834</v>
      </c>
      <c r="F3914" s="534" t="n">
        <v>1.492</v>
      </c>
    </row>
    <row r="3915">
      <c r="A3915" s="535" t="n">
        <v>37015</v>
      </c>
      <c r="B3915" s="534" t="n">
        <v>10.323</v>
      </c>
      <c r="C3915" s="534" t="n">
        <v>13390.99</v>
      </c>
      <c r="E3915" s="535" t="n">
        <v>40835</v>
      </c>
      <c r="F3915" s="534" t="n">
        <v>1.537</v>
      </c>
    </row>
    <row r="3916">
      <c r="A3916" s="535" t="n">
        <v>37018</v>
      </c>
      <c r="B3916" s="534" t="n">
        <v>10.453</v>
      </c>
      <c r="C3916" s="534" t="n">
        <v>13600.78</v>
      </c>
      <c r="E3916" s="535" t="n">
        <v>40836</v>
      </c>
      <c r="F3916" s="534" t="n">
        <v>1.514</v>
      </c>
    </row>
    <row r="3917">
      <c r="A3917" s="535" t="n">
        <v>37019</v>
      </c>
      <c r="B3917" s="534" t="n">
        <v>10.497</v>
      </c>
      <c r="C3917" s="534" t="n">
        <v>13540.81</v>
      </c>
      <c r="E3917" s="535" t="n">
        <v>40837</v>
      </c>
      <c r="F3917" s="534" t="n">
        <v>1.544</v>
      </c>
    </row>
    <row r="3918">
      <c r="A3918" s="535" t="n">
        <v>37020</v>
      </c>
      <c r="B3918" s="534" t="n">
        <v>10.105</v>
      </c>
      <c r="C3918" s="534" t="n">
        <v>13585.14</v>
      </c>
      <c r="E3918" s="535" t="n">
        <v>40840</v>
      </c>
      <c r="F3918" s="534" t="n">
        <v>1.486</v>
      </c>
    </row>
    <row r="3919">
      <c r="A3919" s="535" t="n">
        <v>37021</v>
      </c>
      <c r="B3919" s="534" t="n">
        <v>9.974</v>
      </c>
      <c r="C3919" s="534" t="n">
        <v>13604.8</v>
      </c>
      <c r="E3919" s="535" t="n">
        <v>40841</v>
      </c>
      <c r="F3919" s="534" t="n">
        <v>1.588</v>
      </c>
    </row>
    <row r="3920">
      <c r="A3920" s="535" t="n">
        <v>37022</v>
      </c>
      <c r="B3920" s="534" t="n">
        <v>9.930999999999999</v>
      </c>
      <c r="C3920" s="534" t="n">
        <v>13636.61</v>
      </c>
      <c r="E3920" s="535" t="n">
        <v>40842</v>
      </c>
      <c r="F3920" s="534" t="n">
        <v>1.537</v>
      </c>
    </row>
    <row r="3921">
      <c r="A3921" s="535" t="n">
        <v>37025</v>
      </c>
      <c r="B3921" s="534" t="n">
        <v>9.843999999999999</v>
      </c>
      <c r="C3921" s="534" t="n">
        <v>13259.17</v>
      </c>
      <c r="E3921" s="535" t="n">
        <v>40843</v>
      </c>
      <c r="F3921" s="534" t="n">
        <v>1.626</v>
      </c>
    </row>
    <row r="3922">
      <c r="A3922" s="535" t="n">
        <v>37026</v>
      </c>
      <c r="B3922" s="534" t="n">
        <v>9.800000000000001</v>
      </c>
      <c r="C3922" s="534" t="n">
        <v>13250.09</v>
      </c>
      <c r="E3922" s="535" t="n">
        <v>40844</v>
      </c>
      <c r="F3922" s="534" t="n">
        <v>1.718</v>
      </c>
    </row>
    <row r="3923">
      <c r="A3923" s="535" t="n">
        <v>37027</v>
      </c>
      <c r="B3923" s="534" t="n">
        <v>9.843999999999999</v>
      </c>
      <c r="C3923" s="534" t="n">
        <v>13335.95</v>
      </c>
      <c r="E3923" s="535" t="n">
        <v>40847</v>
      </c>
      <c r="F3923" s="534" t="n">
        <v>1.666</v>
      </c>
    </row>
    <row r="3924">
      <c r="A3924" s="535" t="n">
        <v>37028</v>
      </c>
      <c r="B3924" s="534" t="n">
        <v>9.974</v>
      </c>
      <c r="C3924" s="534" t="n">
        <v>13637.87</v>
      </c>
      <c r="E3924" s="535" t="n">
        <v>40848</v>
      </c>
      <c r="F3924" s="534" t="n">
        <v>1.567</v>
      </c>
    </row>
    <row r="3925">
      <c r="A3925" s="535" t="n">
        <v>37029</v>
      </c>
      <c r="B3925" s="534" t="n">
        <v>9.843999999999999</v>
      </c>
      <c r="C3925" s="534" t="n">
        <v>13459.18</v>
      </c>
      <c r="E3925" s="535" t="n">
        <v>40849</v>
      </c>
      <c r="F3925" s="534" t="n">
        <v>1.524</v>
      </c>
    </row>
    <row r="3926">
      <c r="A3926" s="535" t="n">
        <v>37032</v>
      </c>
      <c r="B3926" s="534" t="n">
        <v>9.800000000000001</v>
      </c>
      <c r="C3926" s="534" t="n">
        <v>13721.27</v>
      </c>
      <c r="E3926" s="535" t="n">
        <v>40850</v>
      </c>
      <c r="F3926" s="534" t="n">
        <v>1.453</v>
      </c>
    </row>
    <row r="3927">
      <c r="A3927" s="535" t="n">
        <v>37033</v>
      </c>
      <c r="B3927" s="534" t="n">
        <v>9.756</v>
      </c>
      <c r="C3927" s="534" t="n">
        <v>13877.95</v>
      </c>
      <c r="E3927" s="535" t="n">
        <v>40851</v>
      </c>
      <c r="F3927" s="534" t="n">
        <v>1.524</v>
      </c>
    </row>
    <row r="3928">
      <c r="A3928" s="535" t="n">
        <v>37034</v>
      </c>
      <c r="B3928" s="534" t="n">
        <v>9.843999999999999</v>
      </c>
      <c r="C3928" s="534" t="n">
        <v>13839.1</v>
      </c>
      <c r="E3928" s="535" t="n">
        <v>40854</v>
      </c>
      <c r="F3928" s="534" t="n">
        <v>1.501</v>
      </c>
    </row>
    <row r="3929">
      <c r="A3929" s="535" t="n">
        <v>37035</v>
      </c>
      <c r="B3929" s="534" t="n">
        <v>9.756</v>
      </c>
      <c r="C3929" s="534" t="n">
        <v>13810.6</v>
      </c>
      <c r="E3929" s="535" t="n">
        <v>40855</v>
      </c>
      <c r="F3929" s="534" t="n">
        <v>1.463</v>
      </c>
    </row>
    <row r="3930">
      <c r="A3930" s="535" t="n">
        <v>37036</v>
      </c>
      <c r="B3930" s="534" t="n">
        <v>9.712999999999999</v>
      </c>
      <c r="C3930" s="534" t="n">
        <v>13753.99</v>
      </c>
      <c r="E3930" s="535" t="n">
        <v>40856</v>
      </c>
      <c r="F3930" s="534" t="n">
        <v>1.497</v>
      </c>
    </row>
    <row r="3931">
      <c r="A3931" s="535" t="n">
        <v>37039</v>
      </c>
      <c r="B3931" s="534" t="n">
        <v>9.625999999999999</v>
      </c>
      <c r="C3931" s="534" t="n">
        <v>13739.07</v>
      </c>
      <c r="E3931" s="535" t="n">
        <v>40857</v>
      </c>
      <c r="F3931" s="534" t="n">
        <v>1.414</v>
      </c>
    </row>
    <row r="3932">
      <c r="A3932" s="535" t="n">
        <v>37040</v>
      </c>
      <c r="B3932" s="534" t="n">
        <v>9.582000000000001</v>
      </c>
      <c r="C3932" s="534" t="n">
        <v>13629.61</v>
      </c>
      <c r="E3932" s="535" t="n">
        <v>40858</v>
      </c>
      <c r="F3932" s="534" t="n">
        <v>1.455</v>
      </c>
    </row>
    <row r="3933">
      <c r="A3933" s="535" t="n">
        <v>37041</v>
      </c>
      <c r="B3933" s="534" t="n">
        <v>9.452</v>
      </c>
      <c r="C3933" s="534" t="n">
        <v>13420.13</v>
      </c>
      <c r="E3933" s="535" t="n">
        <v>40861</v>
      </c>
      <c r="F3933" s="534" t="n">
        <v>1.498</v>
      </c>
    </row>
    <row r="3934">
      <c r="A3934" s="535" t="n">
        <v>37042</v>
      </c>
      <c r="B3934" s="534" t="n">
        <v>9.276999999999999</v>
      </c>
      <c r="C3934" s="534" t="n">
        <v>13174.41</v>
      </c>
      <c r="E3934" s="535" t="n">
        <v>40862</v>
      </c>
      <c r="F3934" s="534" t="n">
        <v>1.441</v>
      </c>
    </row>
    <row r="3935">
      <c r="A3935" s="535" t="n">
        <v>37043</v>
      </c>
      <c r="B3935" s="534" t="n">
        <v>9.234</v>
      </c>
      <c r="C3935" s="534" t="n">
        <v>13141.38</v>
      </c>
      <c r="E3935" s="535" t="n">
        <v>40863</v>
      </c>
      <c r="F3935" s="534" t="n">
        <v>1.388</v>
      </c>
    </row>
    <row r="3936">
      <c r="A3936" s="535" t="n">
        <v>37046</v>
      </c>
      <c r="B3936" s="534" t="n">
        <v>9.582000000000001</v>
      </c>
      <c r="C3936" s="534" t="n">
        <v>13207.49</v>
      </c>
      <c r="E3936" s="535" t="n">
        <v>40864</v>
      </c>
      <c r="F3936" s="534" t="n">
        <v>1.355</v>
      </c>
    </row>
    <row r="3937">
      <c r="A3937" s="535" t="n">
        <v>37047</v>
      </c>
      <c r="B3937" s="534" t="n">
        <v>9.800000000000001</v>
      </c>
      <c r="C3937" s="534" t="n">
        <v>13451.87</v>
      </c>
      <c r="E3937" s="535" t="n">
        <v>40865</v>
      </c>
      <c r="F3937" s="534" t="n">
        <v>1.337</v>
      </c>
    </row>
    <row r="3938">
      <c r="A3938" s="535" t="n">
        <v>37048</v>
      </c>
      <c r="B3938" s="534" t="n">
        <v>9.452</v>
      </c>
      <c r="C3938" s="534" t="n">
        <v>13576.01</v>
      </c>
      <c r="E3938" s="535" t="n">
        <v>40868</v>
      </c>
      <c r="F3938" s="534" t="n">
        <v>1.338</v>
      </c>
    </row>
    <row r="3939">
      <c r="A3939" s="535" t="n">
        <v>37049</v>
      </c>
      <c r="B3939" s="534" t="n">
        <v>9.494999999999999</v>
      </c>
      <c r="C3939" s="534" t="n">
        <v>13703.43</v>
      </c>
      <c r="E3939" s="535" t="n">
        <v>40869</v>
      </c>
      <c r="F3939" s="534" t="n">
        <v>1.355</v>
      </c>
    </row>
    <row r="3940">
      <c r="A3940" s="535" t="n">
        <v>37050</v>
      </c>
      <c r="B3940" s="534" t="n">
        <v>9.452</v>
      </c>
      <c r="C3940" s="534" t="n">
        <v>13808.89</v>
      </c>
      <c r="E3940" s="535" t="n">
        <v>40870</v>
      </c>
      <c r="F3940" s="534" t="n">
        <v>1.321</v>
      </c>
    </row>
    <row r="3941">
      <c r="A3941" s="535" t="n">
        <v>37053</v>
      </c>
      <c r="B3941" s="534" t="n">
        <v>9.582000000000001</v>
      </c>
      <c r="C3941" s="534" t="n">
        <v>13675.49</v>
      </c>
      <c r="E3941" s="535" t="n">
        <v>40871</v>
      </c>
      <c r="F3941" s="534" t="n">
        <v>1.387</v>
      </c>
    </row>
    <row r="3942">
      <c r="A3942" s="535" t="n">
        <v>37054</v>
      </c>
      <c r="B3942" s="534" t="n">
        <v>9.539</v>
      </c>
      <c r="C3942" s="534" t="n">
        <v>13526.68</v>
      </c>
      <c r="E3942" s="535" t="n">
        <v>40872</v>
      </c>
      <c r="F3942" s="534" t="n">
        <v>1.333</v>
      </c>
    </row>
    <row r="3943">
      <c r="A3943" s="535" t="n">
        <v>37055</v>
      </c>
      <c r="B3943" s="534" t="n">
        <v>9.494999999999999</v>
      </c>
      <c r="C3943" s="534" t="n">
        <v>13523.31</v>
      </c>
      <c r="E3943" s="535" t="n">
        <v>40875</v>
      </c>
      <c r="F3943" s="534" t="n">
        <v>1.376</v>
      </c>
    </row>
    <row r="3944">
      <c r="A3944" s="535" t="n">
        <v>37056</v>
      </c>
      <c r="B3944" s="534" t="n">
        <v>9.276999999999999</v>
      </c>
      <c r="C3944" s="534" t="n">
        <v>13248.89</v>
      </c>
      <c r="E3944" s="535" t="n">
        <v>40876</v>
      </c>
      <c r="F3944" s="534" t="n">
        <v>1.403</v>
      </c>
    </row>
    <row r="3945">
      <c r="A3945" s="535" t="n">
        <v>37057</v>
      </c>
      <c r="B3945" s="534" t="n">
        <v>8.842000000000001</v>
      </c>
      <c r="C3945" s="534" t="n">
        <v>13102.5</v>
      </c>
      <c r="E3945" s="535" t="n">
        <v>40877</v>
      </c>
      <c r="F3945" s="534" t="n">
        <v>1.402</v>
      </c>
    </row>
    <row r="3946">
      <c r="A3946" s="535" t="n">
        <v>37060</v>
      </c>
      <c r="B3946" s="534" t="n">
        <v>8.842000000000001</v>
      </c>
      <c r="C3946" s="534" t="n">
        <v>12948.78</v>
      </c>
      <c r="E3946" s="535" t="n">
        <v>40878</v>
      </c>
      <c r="F3946" s="534" t="n">
        <v>1.413</v>
      </c>
    </row>
    <row r="3947">
      <c r="A3947" s="535" t="n">
        <v>37061</v>
      </c>
      <c r="B3947" s="534" t="n">
        <v>9.016</v>
      </c>
      <c r="C3947" s="534" t="n">
        <v>13133.66</v>
      </c>
      <c r="E3947" s="535" t="n">
        <v>40879</v>
      </c>
      <c r="F3947" s="534" t="n">
        <v>1.434</v>
      </c>
    </row>
    <row r="3948">
      <c r="A3948" s="535" t="n">
        <v>37062</v>
      </c>
      <c r="B3948" s="534" t="n">
        <v>8.755000000000001</v>
      </c>
      <c r="C3948" s="534" t="n">
        <v>12918.71</v>
      </c>
      <c r="E3948" s="535" t="n">
        <v>40882</v>
      </c>
      <c r="F3948" s="534" t="n">
        <v>1.427</v>
      </c>
    </row>
    <row r="3949">
      <c r="A3949" s="535" t="n">
        <v>37063</v>
      </c>
      <c r="B3949" s="534" t="n">
        <v>8.798</v>
      </c>
      <c r="C3949" s="534" t="n">
        <v>13187.45</v>
      </c>
      <c r="E3949" s="535" t="n">
        <v>40883</v>
      </c>
      <c r="F3949" s="534" t="n">
        <v>1.422</v>
      </c>
    </row>
    <row r="3950">
      <c r="A3950" s="535" t="n">
        <v>37064</v>
      </c>
      <c r="B3950" s="534" t="n">
        <v>8.842000000000001</v>
      </c>
      <c r="C3950" s="534" t="n">
        <v>13174.02</v>
      </c>
      <c r="E3950" s="535" t="n">
        <v>40884</v>
      </c>
      <c r="F3950" s="534" t="n">
        <v>1.493</v>
      </c>
    </row>
    <row r="3951">
      <c r="A3951" s="535" t="n">
        <v>37067</v>
      </c>
      <c r="B3951" s="534" t="n">
        <v>8.842000000000001</v>
      </c>
      <c r="C3951" s="534" t="n">
        <v>13174.02</v>
      </c>
      <c r="E3951" s="535" t="n">
        <v>40885</v>
      </c>
      <c r="F3951" s="534" t="n">
        <v>1.488</v>
      </c>
    </row>
    <row r="3952">
      <c r="A3952" s="535" t="n">
        <v>37068</v>
      </c>
      <c r="B3952" s="534" t="n">
        <v>8.842000000000001</v>
      </c>
      <c r="C3952" s="534" t="n">
        <v>12961.97</v>
      </c>
      <c r="E3952" s="535" t="n">
        <v>40886</v>
      </c>
      <c r="F3952" s="534" t="n">
        <v>1.455</v>
      </c>
    </row>
    <row r="3953">
      <c r="A3953" s="535" t="n">
        <v>37069</v>
      </c>
      <c r="B3953" s="534" t="n">
        <v>9.103</v>
      </c>
      <c r="C3953" s="534" t="n">
        <v>13004.21</v>
      </c>
      <c r="E3953" s="535" t="n">
        <v>40889</v>
      </c>
      <c r="F3953" s="534" t="n">
        <v>1.455</v>
      </c>
    </row>
    <row r="3954">
      <c r="A3954" s="535" t="n">
        <v>37070</v>
      </c>
      <c r="B3954" s="534" t="n">
        <v>9.06</v>
      </c>
      <c r="C3954" s="534" t="n">
        <v>12827.82</v>
      </c>
      <c r="E3954" s="535" t="n">
        <v>40890</v>
      </c>
      <c r="F3954" s="534" t="n">
        <v>1.45</v>
      </c>
    </row>
    <row r="3955">
      <c r="A3955" s="535" t="n">
        <v>37071</v>
      </c>
      <c r="B3955" s="534" t="n">
        <v>9.19</v>
      </c>
      <c r="C3955" s="534" t="n">
        <v>13042.53</v>
      </c>
      <c r="E3955" s="535" t="n">
        <v>40891</v>
      </c>
      <c r="F3955" s="534" t="n">
        <v>1.437</v>
      </c>
    </row>
    <row r="3956">
      <c r="A3956" s="535" t="n">
        <v>37074</v>
      </c>
      <c r="B3956" s="534" t="n">
        <v>9.19</v>
      </c>
      <c r="C3956" s="534" t="n">
        <v>13042.53</v>
      </c>
      <c r="E3956" s="535" t="n">
        <v>40892</v>
      </c>
      <c r="F3956" s="534" t="n">
        <v>1.411</v>
      </c>
    </row>
    <row r="3957">
      <c r="A3957" s="535" t="n">
        <v>37075</v>
      </c>
      <c r="B3957" s="534" t="n">
        <v>9.321</v>
      </c>
      <c r="C3957" s="534" t="n">
        <v>13184.75</v>
      </c>
      <c r="E3957" s="535" t="n">
        <v>40893</v>
      </c>
      <c r="F3957" s="534" t="n">
        <v>1.461</v>
      </c>
    </row>
    <row r="3958">
      <c r="A3958" s="535" t="n">
        <v>37076</v>
      </c>
      <c r="B3958" s="534" t="n">
        <v>9.234</v>
      </c>
      <c r="C3958" s="534" t="n">
        <v>13207.53</v>
      </c>
      <c r="E3958" s="535" t="n">
        <v>40896</v>
      </c>
      <c r="F3958" s="534" t="n">
        <v>1.423</v>
      </c>
    </row>
    <row r="3959">
      <c r="A3959" s="535" t="n">
        <v>37077</v>
      </c>
      <c r="B3959" s="534" t="n">
        <v>9.147</v>
      </c>
      <c r="C3959" s="534" t="n">
        <v>12999.48</v>
      </c>
      <c r="E3959" s="535" t="n">
        <v>40897</v>
      </c>
      <c r="F3959" s="534" t="n">
        <v>1.454</v>
      </c>
    </row>
    <row r="3960">
      <c r="A3960" s="535" t="n">
        <v>37078</v>
      </c>
      <c r="B3960" s="534" t="n">
        <v>9.147</v>
      </c>
      <c r="C3960" s="534" t="n">
        <v>12999.48</v>
      </c>
      <c r="E3960" s="535" t="n">
        <v>40898</v>
      </c>
      <c r="F3960" s="534" t="n">
        <v>1.495</v>
      </c>
    </row>
    <row r="3961">
      <c r="A3961" s="535" t="n">
        <v>37081</v>
      </c>
      <c r="B3961" s="534" t="n">
        <v>8.842000000000001</v>
      </c>
      <c r="C3961" s="534" t="n">
        <v>12690.68</v>
      </c>
      <c r="E3961" s="535" t="n">
        <v>40899</v>
      </c>
      <c r="F3961" s="534" t="n">
        <v>1.528</v>
      </c>
    </row>
    <row r="3962">
      <c r="A3962" s="535" t="n">
        <v>37082</v>
      </c>
      <c r="B3962" s="534" t="n">
        <v>8.929</v>
      </c>
      <c r="C3962" s="534" t="n">
        <v>12713.9</v>
      </c>
      <c r="E3962" s="535" t="n">
        <v>40900</v>
      </c>
      <c r="F3962" s="534" t="n">
        <v>1.567</v>
      </c>
    </row>
    <row r="3963">
      <c r="A3963" s="535" t="n">
        <v>37083</v>
      </c>
      <c r="B3963" s="534" t="n">
        <v>8.885</v>
      </c>
      <c r="C3963" s="534" t="n">
        <v>12527.9</v>
      </c>
      <c r="E3963" s="535" t="n">
        <v>40903</v>
      </c>
      <c r="F3963" s="534" t="n">
        <v>1.567</v>
      </c>
    </row>
    <row r="3964">
      <c r="A3964" s="535" t="n">
        <v>37084</v>
      </c>
      <c r="B3964" s="534" t="n">
        <v>9.103</v>
      </c>
      <c r="C3964" s="534" t="n">
        <v>12660.2</v>
      </c>
      <c r="E3964" s="535" t="n">
        <v>40904</v>
      </c>
      <c r="F3964" s="534" t="n">
        <v>1.567</v>
      </c>
    </row>
    <row r="3965">
      <c r="A3965" s="535" t="n">
        <v>37085</v>
      </c>
      <c r="B3965" s="534" t="n">
        <v>9.147</v>
      </c>
      <c r="C3965" s="534" t="n">
        <v>12612.79</v>
      </c>
      <c r="E3965" s="535" t="n">
        <v>40905</v>
      </c>
      <c r="F3965" s="534" t="n">
        <v>1.599</v>
      </c>
    </row>
    <row r="3966">
      <c r="A3966" s="535" t="n">
        <v>37088</v>
      </c>
      <c r="B3966" s="534" t="n">
        <v>9.407999999999999</v>
      </c>
      <c r="C3966" s="534" t="n">
        <v>12624.53</v>
      </c>
      <c r="E3966" s="535" t="n">
        <v>40906</v>
      </c>
      <c r="F3966" s="534" t="n">
        <v>1.551</v>
      </c>
    </row>
    <row r="3967">
      <c r="A3967" s="535" t="n">
        <v>37089</v>
      </c>
      <c r="B3967" s="534" t="n">
        <v>9.407999999999999</v>
      </c>
      <c r="C3967" s="534" t="n">
        <v>12495.25</v>
      </c>
      <c r="E3967" s="535" t="n">
        <v>40907</v>
      </c>
      <c r="F3967" s="534" t="n">
        <v>1.529</v>
      </c>
    </row>
    <row r="3968">
      <c r="A3968" s="535" t="n">
        <v>37090</v>
      </c>
      <c r="B3968" s="534" t="n">
        <v>9.103</v>
      </c>
      <c r="C3968" s="534" t="n">
        <v>12427.19</v>
      </c>
      <c r="E3968" s="535" t="n">
        <v>40910</v>
      </c>
      <c r="F3968" s="534" t="n">
        <v>1.529</v>
      </c>
    </row>
    <row r="3969">
      <c r="A3969" s="535" t="n">
        <v>37091</v>
      </c>
      <c r="B3969" s="534" t="n">
        <v>9.19</v>
      </c>
      <c r="C3969" s="534" t="n">
        <v>12279.82</v>
      </c>
      <c r="E3969" s="535" t="n">
        <v>40911</v>
      </c>
      <c r="F3969" s="534" t="n">
        <v>1.54</v>
      </c>
    </row>
    <row r="3970">
      <c r="A3970" s="535" t="n">
        <v>37092</v>
      </c>
      <c r="B3970" s="534" t="n">
        <v>9.234</v>
      </c>
      <c r="C3970" s="534" t="n">
        <v>12301.68</v>
      </c>
      <c r="E3970" s="535" t="n">
        <v>40912</v>
      </c>
      <c r="F3970" s="534" t="n">
        <v>1.568</v>
      </c>
    </row>
    <row r="3971">
      <c r="A3971" s="535" t="n">
        <v>37095</v>
      </c>
      <c r="B3971" s="534" t="n">
        <v>9.19</v>
      </c>
      <c r="C3971" s="534" t="n">
        <v>12236.45</v>
      </c>
      <c r="E3971" s="535" t="n">
        <v>40913</v>
      </c>
      <c r="F3971" s="534" t="n">
        <v>1.591</v>
      </c>
    </row>
    <row r="3972">
      <c r="A3972" s="535" t="n">
        <v>37096</v>
      </c>
      <c r="B3972" s="534" t="n">
        <v>9.19</v>
      </c>
      <c r="C3972" s="534" t="n">
        <v>12214.1</v>
      </c>
      <c r="E3972" s="535" t="n">
        <v>40914</v>
      </c>
      <c r="F3972" s="534" t="n">
        <v>1.574</v>
      </c>
    </row>
    <row r="3973">
      <c r="A3973" s="535" t="n">
        <v>37097</v>
      </c>
      <c r="B3973" s="534" t="n">
        <v>9.19</v>
      </c>
      <c r="C3973" s="534" t="n">
        <v>12214.1</v>
      </c>
      <c r="E3973" s="535" t="n">
        <v>40917</v>
      </c>
      <c r="F3973" s="534" t="n">
        <v>1.552</v>
      </c>
    </row>
    <row r="3974">
      <c r="A3974" s="535" t="n">
        <v>37098</v>
      </c>
      <c r="B3974" s="534" t="n">
        <v>9.147</v>
      </c>
      <c r="C3974" s="534" t="n">
        <v>12039.82</v>
      </c>
      <c r="E3974" s="535" t="n">
        <v>40918</v>
      </c>
      <c r="F3974" s="534" t="n">
        <v>1.608</v>
      </c>
    </row>
    <row r="3975">
      <c r="A3975" s="535" t="n">
        <v>37099</v>
      </c>
      <c r="B3975" s="534" t="n">
        <v>8.929</v>
      </c>
      <c r="C3975" s="534" t="n">
        <v>12182.17</v>
      </c>
      <c r="E3975" s="535" t="n">
        <v>40919</v>
      </c>
      <c r="F3975" s="534" t="n">
        <v>1.53</v>
      </c>
    </row>
    <row r="3976">
      <c r="A3976" s="535" t="n">
        <v>37102</v>
      </c>
      <c r="B3976" s="534" t="n">
        <v>9.016</v>
      </c>
      <c r="C3976" s="534" t="n">
        <v>12086.66</v>
      </c>
      <c r="E3976" s="535" t="n">
        <v>40920</v>
      </c>
      <c r="F3976" s="534" t="n">
        <v>1.541</v>
      </c>
    </row>
    <row r="3977">
      <c r="A3977" s="535" t="n">
        <v>37103</v>
      </c>
      <c r="B3977" s="534" t="n">
        <v>9.06</v>
      </c>
      <c r="C3977" s="534" t="n">
        <v>12316.69</v>
      </c>
      <c r="E3977" s="535" t="n">
        <v>40921</v>
      </c>
      <c r="F3977" s="534" t="n">
        <v>1.541</v>
      </c>
    </row>
    <row r="3978">
      <c r="A3978" s="535" t="n">
        <v>37104</v>
      </c>
      <c r="B3978" s="534" t="n">
        <v>8.929</v>
      </c>
      <c r="C3978" s="534" t="n">
        <v>12478.74</v>
      </c>
      <c r="E3978" s="535" t="n">
        <v>40924</v>
      </c>
      <c r="F3978" s="534" t="n">
        <v>1.508</v>
      </c>
    </row>
    <row r="3979">
      <c r="A3979" s="535" t="n">
        <v>37105</v>
      </c>
      <c r="B3979" s="534" t="n">
        <v>8.929</v>
      </c>
      <c r="C3979" s="534" t="n">
        <v>12466.37</v>
      </c>
      <c r="E3979" s="535" t="n">
        <v>40925</v>
      </c>
      <c r="F3979" s="534" t="n">
        <v>1.48</v>
      </c>
    </row>
    <row r="3980">
      <c r="A3980" s="535" t="n">
        <v>37106</v>
      </c>
      <c r="B3980" s="534" t="n">
        <v>8.972</v>
      </c>
      <c r="C3980" s="534" t="n">
        <v>12269.08</v>
      </c>
      <c r="E3980" s="535" t="n">
        <v>40926</v>
      </c>
      <c r="F3980" s="534" t="n">
        <v>1.413</v>
      </c>
    </row>
    <row r="3981">
      <c r="A3981" s="535" t="n">
        <v>37109</v>
      </c>
      <c r="B3981" s="534" t="n">
        <v>8.929</v>
      </c>
      <c r="C3981" s="534" t="n">
        <v>12148.81</v>
      </c>
      <c r="E3981" s="535" t="n">
        <v>40927</v>
      </c>
      <c r="F3981" s="534" t="n">
        <v>1.413</v>
      </c>
    </row>
    <row r="3982">
      <c r="A3982" s="535" t="n">
        <v>37110</v>
      </c>
      <c r="B3982" s="534" t="n">
        <v>8.798</v>
      </c>
      <c r="C3982" s="534" t="n">
        <v>12007.19</v>
      </c>
      <c r="E3982" s="535" t="n">
        <v>40928</v>
      </c>
      <c r="F3982" s="534" t="n">
        <v>1.441</v>
      </c>
    </row>
    <row r="3983">
      <c r="A3983" s="535" t="n">
        <v>37111</v>
      </c>
      <c r="B3983" s="534" t="n">
        <v>8.363</v>
      </c>
      <c r="C3983" s="534" t="n">
        <v>11958.01</v>
      </c>
      <c r="E3983" s="535" t="n">
        <v>40931</v>
      </c>
      <c r="F3983" s="534" t="n">
        <v>1.441</v>
      </c>
    </row>
    <row r="3984">
      <c r="A3984" s="535" t="n">
        <v>37112</v>
      </c>
      <c r="B3984" s="534" t="n">
        <v>8.188000000000001</v>
      </c>
      <c r="C3984" s="534" t="n">
        <v>11716.77</v>
      </c>
      <c r="E3984" s="535" t="n">
        <v>40932</v>
      </c>
      <c r="F3984" s="534" t="n">
        <v>1.441</v>
      </c>
    </row>
    <row r="3985">
      <c r="A3985" s="535" t="n">
        <v>37113</v>
      </c>
      <c r="B3985" s="534" t="n">
        <v>8.231999999999999</v>
      </c>
      <c r="C3985" s="534" t="n">
        <v>11765.81</v>
      </c>
      <c r="E3985" s="535" t="n">
        <v>40933</v>
      </c>
      <c r="F3985" s="534" t="n">
        <v>1.441</v>
      </c>
    </row>
    <row r="3986">
      <c r="A3986" s="535" t="n">
        <v>37116</v>
      </c>
      <c r="B3986" s="534" t="n">
        <v>8.363</v>
      </c>
      <c r="C3986" s="534" t="n">
        <v>11694.29</v>
      </c>
      <c r="E3986" s="535" t="n">
        <v>40934</v>
      </c>
      <c r="F3986" s="534" t="n">
        <v>1.414</v>
      </c>
    </row>
    <row r="3987">
      <c r="A3987" s="535" t="n">
        <v>37117</v>
      </c>
      <c r="B3987" s="534" t="n">
        <v>8.537000000000001</v>
      </c>
      <c r="C3987" s="534" t="n">
        <v>11991.01</v>
      </c>
      <c r="E3987" s="535" t="n">
        <v>40935</v>
      </c>
      <c r="F3987" s="534" t="n">
        <v>1.359</v>
      </c>
    </row>
    <row r="3988">
      <c r="A3988" s="535" t="n">
        <v>37118</v>
      </c>
      <c r="B3988" s="534" t="n">
        <v>8.449999999999999</v>
      </c>
      <c r="C3988" s="534" t="n">
        <v>12141.63</v>
      </c>
      <c r="E3988" s="535" t="n">
        <v>40938</v>
      </c>
      <c r="F3988" s="534" t="n">
        <v>1.331</v>
      </c>
    </row>
    <row r="3989">
      <c r="A3989" s="535" t="n">
        <v>37119</v>
      </c>
      <c r="B3989" s="534" t="n">
        <v>8.449999999999999</v>
      </c>
      <c r="C3989" s="534" t="n">
        <v>11832.44</v>
      </c>
      <c r="E3989" s="535" t="n">
        <v>40939</v>
      </c>
      <c r="F3989" s="534" t="n">
        <v>1.304</v>
      </c>
    </row>
    <row r="3990">
      <c r="A3990" s="535" t="n">
        <v>37120</v>
      </c>
      <c r="B3990" s="534" t="n">
        <v>8.537000000000001</v>
      </c>
      <c r="C3990" s="534" t="n">
        <v>11754.81</v>
      </c>
      <c r="E3990" s="535" t="n">
        <v>40940</v>
      </c>
      <c r="F3990" s="534" t="n">
        <v>1.298</v>
      </c>
    </row>
    <row r="3991">
      <c r="A3991" s="535" t="n">
        <v>37123</v>
      </c>
      <c r="B3991" s="534" t="n">
        <v>8.493</v>
      </c>
      <c r="C3991" s="534" t="n">
        <v>11458.7</v>
      </c>
      <c r="E3991" s="535" t="n">
        <v>40941</v>
      </c>
      <c r="F3991" s="534" t="n">
        <v>1.326</v>
      </c>
    </row>
    <row r="3992">
      <c r="A3992" s="535" t="n">
        <v>37124</v>
      </c>
      <c r="B3992" s="534" t="n">
        <v>8.363</v>
      </c>
      <c r="C3992" s="534" t="n">
        <v>11440.35</v>
      </c>
      <c r="E3992" s="535" t="n">
        <v>40942</v>
      </c>
      <c r="F3992" s="534" t="n">
        <v>1.293</v>
      </c>
    </row>
    <row r="3993">
      <c r="A3993" s="535" t="n">
        <v>37125</v>
      </c>
      <c r="B3993" s="534" t="n">
        <v>8.231999999999999</v>
      </c>
      <c r="C3993" s="534" t="n">
        <v>11188.57</v>
      </c>
      <c r="E3993" s="535" t="n">
        <v>40945</v>
      </c>
      <c r="F3993" s="534" t="n">
        <v>1.381</v>
      </c>
    </row>
    <row r="3994">
      <c r="A3994" s="535" t="n">
        <v>37126</v>
      </c>
      <c r="B3994" s="534" t="n">
        <v>8.101000000000001</v>
      </c>
      <c r="C3994" s="534" t="n">
        <v>11345.38</v>
      </c>
      <c r="E3994" s="535" t="n">
        <v>40946</v>
      </c>
      <c r="F3994" s="534" t="n">
        <v>1.392</v>
      </c>
    </row>
    <row r="3995">
      <c r="A3995" s="535" t="n">
        <v>37127</v>
      </c>
      <c r="B3995" s="534" t="n">
        <v>7.927</v>
      </c>
      <c r="C3995" s="534" t="n">
        <v>11110.3</v>
      </c>
      <c r="E3995" s="535" t="n">
        <v>40947</v>
      </c>
      <c r="F3995" s="534" t="n">
        <v>1.448</v>
      </c>
    </row>
    <row r="3996">
      <c r="A3996" s="535" t="n">
        <v>37130</v>
      </c>
      <c r="B3996" s="534" t="n">
        <v>7.884</v>
      </c>
      <c r="C3996" s="534" t="n">
        <v>11234.72</v>
      </c>
      <c r="E3996" s="535" t="n">
        <v>40948</v>
      </c>
      <c r="F3996" s="534" t="n">
        <v>1.437</v>
      </c>
    </row>
    <row r="3997">
      <c r="A3997" s="535" t="n">
        <v>37131</v>
      </c>
      <c r="B3997" s="534" t="n">
        <v>7.796</v>
      </c>
      <c r="C3997" s="534" t="n">
        <v>11300.53</v>
      </c>
      <c r="E3997" s="535" t="n">
        <v>40949</v>
      </c>
      <c r="F3997" s="534" t="n">
        <v>1.426</v>
      </c>
    </row>
    <row r="3998">
      <c r="A3998" s="535" t="n">
        <v>37132</v>
      </c>
      <c r="B3998" s="534" t="n">
        <v>7.535</v>
      </c>
      <c r="C3998" s="534" t="n">
        <v>11242.41</v>
      </c>
      <c r="E3998" s="535" t="n">
        <v>40952</v>
      </c>
      <c r="F3998" s="534" t="n">
        <v>1.443</v>
      </c>
    </row>
    <row r="3999">
      <c r="A3999" s="535" t="n">
        <v>37133</v>
      </c>
      <c r="B3999" s="534" t="n">
        <v>7.317</v>
      </c>
      <c r="C3999" s="534" t="n">
        <v>11315.63</v>
      </c>
      <c r="E3999" s="535" t="n">
        <v>40953</v>
      </c>
      <c r="F3999" s="534" t="n">
        <v>1.404</v>
      </c>
    </row>
    <row r="4000">
      <c r="A4000" s="535" t="n">
        <v>37134</v>
      </c>
      <c r="B4000" s="534" t="n">
        <v>7.492</v>
      </c>
      <c r="C4000" s="534" t="n">
        <v>11090.48</v>
      </c>
      <c r="E4000" s="535" t="n">
        <v>40954</v>
      </c>
      <c r="F4000" s="534" t="n">
        <v>1.398</v>
      </c>
    </row>
    <row r="4001">
      <c r="A4001" s="535" t="n">
        <v>37137</v>
      </c>
      <c r="B4001" s="534" t="n">
        <v>7.796</v>
      </c>
      <c r="C4001" s="534" t="n">
        <v>10902.64</v>
      </c>
      <c r="E4001" s="535" t="n">
        <v>40955</v>
      </c>
      <c r="F4001" s="534" t="n">
        <v>1.348</v>
      </c>
    </row>
    <row r="4002">
      <c r="A4002" s="535" t="n">
        <v>37138</v>
      </c>
      <c r="B4002" s="534" t="n">
        <v>7.927</v>
      </c>
      <c r="C4002" s="534" t="n">
        <v>11136.86</v>
      </c>
      <c r="E4002" s="535" t="n">
        <v>40956</v>
      </c>
      <c r="F4002" s="534" t="n">
        <v>1.387</v>
      </c>
    </row>
    <row r="4003">
      <c r="A4003" s="535" t="n">
        <v>37139</v>
      </c>
      <c r="B4003" s="534" t="n">
        <v>7.622</v>
      </c>
      <c r="C4003" s="534" t="n">
        <v>10943.14</v>
      </c>
      <c r="E4003" s="535" t="n">
        <v>40959</v>
      </c>
      <c r="F4003" s="534" t="n">
        <v>1.402</v>
      </c>
    </row>
    <row r="4004">
      <c r="A4004" s="535" t="n">
        <v>37140</v>
      </c>
      <c r="B4004" s="534" t="n">
        <v>7.492</v>
      </c>
      <c r="C4004" s="534" t="n">
        <v>10664.32</v>
      </c>
      <c r="E4004" s="535" t="n">
        <v>40960</v>
      </c>
      <c r="F4004" s="534" t="n">
        <v>1.404</v>
      </c>
    </row>
    <row r="4005">
      <c r="A4005" s="535" t="n">
        <v>37141</v>
      </c>
      <c r="B4005" s="534" t="n">
        <v>7.404</v>
      </c>
      <c r="C4005" s="534" t="n">
        <v>10384.2</v>
      </c>
      <c r="E4005" s="535" t="n">
        <v>40961</v>
      </c>
      <c r="F4005" s="534" t="n">
        <v>1.443</v>
      </c>
    </row>
    <row r="4006">
      <c r="A4006" s="535" t="n">
        <v>37144</v>
      </c>
      <c r="B4006" s="534" t="n">
        <v>7.448</v>
      </c>
      <c r="C4006" s="534" t="n">
        <v>10366.32</v>
      </c>
      <c r="E4006" s="535" t="n">
        <v>40962</v>
      </c>
      <c r="F4006" s="534" t="n">
        <v>1.404</v>
      </c>
    </row>
    <row r="4007">
      <c r="A4007" s="535" t="n">
        <v>37145</v>
      </c>
      <c r="B4007" s="534" t="n">
        <v>7.274</v>
      </c>
      <c r="C4007" s="534" t="n">
        <v>10417.36</v>
      </c>
      <c r="E4007" s="535" t="n">
        <v>40963</v>
      </c>
      <c r="F4007" s="534" t="n">
        <v>1.393</v>
      </c>
    </row>
    <row r="4008">
      <c r="A4008" s="535" t="n">
        <v>37146</v>
      </c>
      <c r="B4008" s="534" t="n">
        <v>5.88</v>
      </c>
      <c r="C4008" s="534" t="n">
        <v>9493.620000000001</v>
      </c>
      <c r="E4008" s="535" t="n">
        <v>40966</v>
      </c>
      <c r="F4008" s="534" t="n">
        <v>1.371</v>
      </c>
    </row>
    <row r="4009">
      <c r="A4009" s="535" t="n">
        <v>37147</v>
      </c>
      <c r="B4009" s="534" t="n">
        <v>6.185</v>
      </c>
      <c r="C4009" s="534" t="n">
        <v>9569.209999999999</v>
      </c>
      <c r="E4009" s="535" t="n">
        <v>40967</v>
      </c>
      <c r="F4009" s="534" t="n">
        <v>1.332</v>
      </c>
    </row>
    <row r="4010">
      <c r="A4010" s="535" t="n">
        <v>37148</v>
      </c>
      <c r="B4010" s="534" t="n">
        <v>6.054</v>
      </c>
      <c r="C4010" s="534" t="n">
        <v>9655.450000000001</v>
      </c>
      <c r="E4010" s="535" t="n">
        <v>40968</v>
      </c>
      <c r="F4010" s="534" t="n">
        <v>1.321</v>
      </c>
    </row>
    <row r="4011">
      <c r="A4011" s="535" t="n">
        <v>37151</v>
      </c>
      <c r="B4011" s="534" t="n">
        <v>5.444</v>
      </c>
      <c r="C4011" s="534" t="n">
        <v>9319.35</v>
      </c>
      <c r="E4011" s="535" t="n">
        <v>40969</v>
      </c>
      <c r="F4011" s="534" t="n">
        <v>1.343</v>
      </c>
    </row>
    <row r="4012">
      <c r="A4012" s="535" t="n">
        <v>37152</v>
      </c>
      <c r="B4012" s="534" t="n">
        <v>5.27</v>
      </c>
      <c r="C4012" s="534" t="n">
        <v>9307.9</v>
      </c>
      <c r="E4012" s="535" t="n">
        <v>40970</v>
      </c>
      <c r="F4012" s="534" t="n">
        <v>1.371</v>
      </c>
    </row>
    <row r="4013">
      <c r="A4013" s="535" t="n">
        <v>37153</v>
      </c>
      <c r="B4013" s="534" t="n">
        <v>5.444</v>
      </c>
      <c r="C4013" s="534" t="n">
        <v>9558.15</v>
      </c>
      <c r="E4013" s="535" t="n">
        <v>40973</v>
      </c>
      <c r="F4013" s="534" t="n">
        <v>1.343</v>
      </c>
    </row>
    <row r="4014">
      <c r="A4014" s="535" t="n">
        <v>37154</v>
      </c>
      <c r="B4014" s="534" t="n">
        <v>5.662</v>
      </c>
      <c r="C4014" s="534" t="n">
        <v>9317.98</v>
      </c>
      <c r="E4014" s="535" t="n">
        <v>40974</v>
      </c>
      <c r="F4014" s="534" t="n">
        <v>1.355</v>
      </c>
    </row>
    <row r="4015">
      <c r="A4015" s="535" t="n">
        <v>37155</v>
      </c>
      <c r="B4015" s="534" t="n">
        <v>5.488</v>
      </c>
      <c r="C4015" s="534" t="n">
        <v>8934.200000000001</v>
      </c>
      <c r="E4015" s="535" t="n">
        <v>40975</v>
      </c>
      <c r="F4015" s="534" t="n">
        <v>1.305</v>
      </c>
    </row>
    <row r="4016">
      <c r="A4016" s="535" t="n">
        <v>37158</v>
      </c>
      <c r="B4016" s="534" t="n">
        <v>5.575</v>
      </c>
      <c r="C4016" s="534" t="n">
        <v>9284.5</v>
      </c>
      <c r="E4016" s="535" t="n">
        <v>40976</v>
      </c>
      <c r="F4016" s="534" t="n">
        <v>1.327</v>
      </c>
    </row>
    <row r="4017">
      <c r="A4017" s="535" t="n">
        <v>37159</v>
      </c>
      <c r="B4017" s="534" t="n">
        <v>5.836</v>
      </c>
      <c r="C4017" s="534" t="n">
        <v>9210.059999999999</v>
      </c>
      <c r="E4017" s="535" t="n">
        <v>40977</v>
      </c>
      <c r="F4017" s="534" t="n">
        <v>1.338</v>
      </c>
    </row>
    <row r="4018">
      <c r="A4018" s="535" t="n">
        <v>37160</v>
      </c>
      <c r="B4018" s="534" t="n">
        <v>5.793</v>
      </c>
      <c r="C4018" s="534" t="n">
        <v>9371.75</v>
      </c>
      <c r="E4018" s="535" t="n">
        <v>40980</v>
      </c>
      <c r="F4018" s="534" t="n">
        <v>1.338</v>
      </c>
    </row>
    <row r="4019">
      <c r="A4019" s="535" t="n">
        <v>37161</v>
      </c>
      <c r="B4019" s="534" t="n">
        <v>5.619</v>
      </c>
      <c r="C4019" s="534" t="n">
        <v>9600.790000000001</v>
      </c>
      <c r="E4019" s="535" t="n">
        <v>40981</v>
      </c>
      <c r="F4019" s="534" t="n">
        <v>1.355</v>
      </c>
    </row>
    <row r="4020">
      <c r="A4020" s="535" t="n">
        <v>37162</v>
      </c>
      <c r="B4020" s="534" t="n">
        <v>5.836</v>
      </c>
      <c r="C4020" s="534" t="n">
        <v>9950.700000000001</v>
      </c>
      <c r="E4020" s="535" t="n">
        <v>40982</v>
      </c>
      <c r="F4020" s="534" t="n">
        <v>1.439</v>
      </c>
    </row>
    <row r="4021">
      <c r="A4021" s="535" t="n">
        <v>37165</v>
      </c>
      <c r="B4021" s="534" t="n">
        <v>5.836</v>
      </c>
      <c r="C4021" s="534" t="n">
        <v>9950.700000000001</v>
      </c>
      <c r="E4021" s="535" t="n">
        <v>40983</v>
      </c>
      <c r="F4021" s="534" t="n">
        <v>1.496</v>
      </c>
    </row>
    <row r="4022">
      <c r="A4022" s="535" t="n">
        <v>37166</v>
      </c>
      <c r="B4022" s="534" t="n">
        <v>5.836</v>
      </c>
      <c r="C4022" s="534" t="n">
        <v>9950.700000000001</v>
      </c>
      <c r="E4022" s="535" t="n">
        <v>40984</v>
      </c>
      <c r="F4022" s="534" t="n">
        <v>1.479</v>
      </c>
    </row>
    <row r="4023">
      <c r="A4023" s="535" t="n">
        <v>37167</v>
      </c>
      <c r="B4023" s="534" t="n">
        <v>6.185</v>
      </c>
      <c r="C4023" s="534" t="n">
        <v>9897.139999999999</v>
      </c>
      <c r="E4023" s="535" t="n">
        <v>40987</v>
      </c>
      <c r="F4023" s="534" t="n">
        <v>1.451</v>
      </c>
    </row>
    <row r="4024">
      <c r="A4024" s="535" t="n">
        <v>37168</v>
      </c>
      <c r="B4024" s="534" t="n">
        <v>6.446</v>
      </c>
      <c r="C4024" s="534" t="n">
        <v>10286.39</v>
      </c>
      <c r="E4024" s="535" t="n">
        <v>40988</v>
      </c>
      <c r="F4024" s="534" t="n">
        <v>1.502</v>
      </c>
    </row>
    <row r="4025">
      <c r="A4025" s="535" t="n">
        <v>37169</v>
      </c>
      <c r="B4025" s="534" t="n">
        <v>6.533</v>
      </c>
      <c r="C4025" s="534" t="n">
        <v>10277.38</v>
      </c>
      <c r="E4025" s="535" t="n">
        <v>40989</v>
      </c>
      <c r="F4025" s="534" t="n">
        <v>1.502</v>
      </c>
    </row>
    <row r="4026">
      <c r="A4026" s="535" t="n">
        <v>37172</v>
      </c>
      <c r="B4026" s="534" t="n">
        <v>6.185</v>
      </c>
      <c r="C4026" s="534" t="n">
        <v>9967.83</v>
      </c>
      <c r="E4026" s="535" t="n">
        <v>40990</v>
      </c>
      <c r="F4026" s="534" t="n">
        <v>1.445</v>
      </c>
    </row>
    <row r="4027">
      <c r="A4027" s="535" t="n">
        <v>37173</v>
      </c>
      <c r="B4027" s="534" t="n">
        <v>6.359</v>
      </c>
      <c r="C4027" s="534" t="n">
        <v>10358.93</v>
      </c>
      <c r="E4027" s="535" t="n">
        <v>40991</v>
      </c>
      <c r="F4027" s="534" t="n">
        <v>1.436</v>
      </c>
    </row>
    <row r="4028">
      <c r="A4028" s="535" t="n">
        <v>37174</v>
      </c>
      <c r="B4028" s="534" t="n">
        <v>6.403</v>
      </c>
      <c r="C4028" s="534" t="n">
        <v>10298.24</v>
      </c>
      <c r="E4028" s="535" t="n">
        <v>40994</v>
      </c>
      <c r="F4028" s="534" t="n">
        <v>1.408</v>
      </c>
    </row>
    <row r="4029">
      <c r="A4029" s="535" t="n">
        <v>37175</v>
      </c>
      <c r="B4029" s="534" t="n">
        <v>6.664</v>
      </c>
      <c r="C4029" s="534" t="n">
        <v>10522.61</v>
      </c>
      <c r="E4029" s="535" t="n">
        <v>40995</v>
      </c>
      <c r="F4029" s="534" t="n">
        <v>1.372</v>
      </c>
    </row>
    <row r="4030">
      <c r="A4030" s="535" t="n">
        <v>37176</v>
      </c>
      <c r="B4030" s="534" t="n">
        <v>6.359</v>
      </c>
      <c r="C4030" s="534" t="n">
        <v>10274.13</v>
      </c>
      <c r="E4030" s="535" t="n">
        <v>40996</v>
      </c>
      <c r="F4030" s="534" t="n">
        <v>1.316</v>
      </c>
    </row>
    <row r="4031">
      <c r="A4031" s="535" t="n">
        <v>37179</v>
      </c>
      <c r="B4031" s="534" t="n">
        <v>6.185</v>
      </c>
      <c r="C4031" s="534" t="n">
        <v>10130.59</v>
      </c>
      <c r="E4031" s="535" t="n">
        <v>40997</v>
      </c>
      <c r="F4031" s="534" t="n">
        <v>1.305</v>
      </c>
    </row>
    <row r="4032">
      <c r="A4032" s="535" t="n">
        <v>37180</v>
      </c>
      <c r="B4032" s="534" t="n">
        <v>6.272</v>
      </c>
      <c r="C4032" s="534" t="n">
        <v>10148.49</v>
      </c>
      <c r="E4032" s="535" t="n">
        <v>40998</v>
      </c>
      <c r="F4032" s="534" t="n">
        <v>1.289</v>
      </c>
    </row>
    <row r="4033">
      <c r="A4033" s="535" t="n">
        <v>37181</v>
      </c>
      <c r="B4033" s="534" t="n">
        <v>6.446</v>
      </c>
      <c r="C4033" s="534" t="n">
        <v>10260.81</v>
      </c>
      <c r="E4033" s="535" t="n">
        <v>41001</v>
      </c>
      <c r="F4033" s="534" t="n">
        <v>1.35</v>
      </c>
    </row>
    <row r="4034">
      <c r="A4034" s="535" t="n">
        <v>37182</v>
      </c>
      <c r="B4034" s="534" t="n">
        <v>6.228</v>
      </c>
      <c r="C4034" s="534" t="n">
        <v>9880.610000000001</v>
      </c>
      <c r="E4034" s="535" t="n">
        <v>41002</v>
      </c>
      <c r="F4034" s="534" t="n">
        <v>1.345</v>
      </c>
    </row>
    <row r="4035">
      <c r="A4035" s="535" t="n">
        <v>37183</v>
      </c>
      <c r="B4035" s="534" t="n">
        <v>6.228</v>
      </c>
      <c r="C4035" s="534" t="n">
        <v>9825.84</v>
      </c>
      <c r="E4035" s="535" t="n">
        <v>41003</v>
      </c>
      <c r="F4035" s="534" t="n">
        <v>1.345</v>
      </c>
    </row>
    <row r="4036">
      <c r="A4036" s="535" t="n">
        <v>37186</v>
      </c>
      <c r="B4036" s="534" t="n">
        <v>6.228</v>
      </c>
      <c r="C4036" s="534" t="n">
        <v>9797.540000000001</v>
      </c>
      <c r="E4036" s="535" t="n">
        <v>41004</v>
      </c>
      <c r="F4036" s="534" t="n">
        <v>1.373</v>
      </c>
    </row>
    <row r="4037">
      <c r="A4037" s="535" t="n">
        <v>37187</v>
      </c>
      <c r="B4037" s="534" t="n">
        <v>6.49</v>
      </c>
      <c r="C4037" s="534" t="n">
        <v>10219.84</v>
      </c>
      <c r="E4037" s="535" t="n">
        <v>41005</v>
      </c>
      <c r="F4037" s="534" t="n">
        <v>1.373</v>
      </c>
    </row>
    <row r="4038">
      <c r="A4038" s="535" t="n">
        <v>37188</v>
      </c>
      <c r="B4038" s="534" t="n">
        <v>6.795</v>
      </c>
      <c r="C4038" s="534" t="n">
        <v>10243.46</v>
      </c>
      <c r="E4038" s="535" t="n">
        <v>41008</v>
      </c>
      <c r="F4038" s="534" t="n">
        <v>1.373</v>
      </c>
    </row>
    <row r="4039">
      <c r="A4039" s="535" t="n">
        <v>37189</v>
      </c>
      <c r="B4039" s="534" t="n">
        <v>6.795</v>
      </c>
      <c r="C4039" s="534" t="n">
        <v>10243.46</v>
      </c>
      <c r="E4039" s="535" t="n">
        <v>41009</v>
      </c>
      <c r="F4039" s="534" t="n">
        <v>1.266</v>
      </c>
    </row>
    <row r="4040">
      <c r="A4040" s="535" t="n">
        <v>37190</v>
      </c>
      <c r="B4040" s="534" t="n">
        <v>7.23</v>
      </c>
      <c r="C4040" s="534" t="n">
        <v>10404.74</v>
      </c>
      <c r="E4040" s="535" t="n">
        <v>41010</v>
      </c>
      <c r="F4040" s="534" t="n">
        <v>1.25</v>
      </c>
    </row>
    <row r="4041">
      <c r="A4041" s="535" t="n">
        <v>37193</v>
      </c>
      <c r="B4041" s="534" t="n">
        <v>6.533</v>
      </c>
      <c r="C4041" s="534" t="n">
        <v>10178.09</v>
      </c>
      <c r="E4041" s="535" t="n">
        <v>41011</v>
      </c>
      <c r="F4041" s="534" t="n">
        <v>1.266</v>
      </c>
    </row>
    <row r="4042">
      <c r="A4042" s="535" t="n">
        <v>37194</v>
      </c>
      <c r="B4042" s="534" t="n">
        <v>6.49</v>
      </c>
      <c r="C4042" s="534" t="n">
        <v>10076.43</v>
      </c>
      <c r="E4042" s="535" t="n">
        <v>41012</v>
      </c>
      <c r="F4042" s="534" t="n">
        <v>1.283</v>
      </c>
    </row>
    <row r="4043">
      <c r="A4043" s="535" t="n">
        <v>37195</v>
      </c>
      <c r="B4043" s="534" t="n">
        <v>6.882</v>
      </c>
      <c r="C4043" s="534" t="n">
        <v>10073.97</v>
      </c>
      <c r="E4043" s="535" t="n">
        <v>41015</v>
      </c>
      <c r="F4043" s="534" t="n">
        <v>1.255</v>
      </c>
    </row>
    <row r="4044">
      <c r="A4044" s="535" t="n">
        <v>37196</v>
      </c>
      <c r="B4044" s="534" t="n">
        <v>6.795</v>
      </c>
      <c r="C4044" s="534" t="n">
        <v>10158.85</v>
      </c>
      <c r="E4044" s="535" t="n">
        <v>41016</v>
      </c>
      <c r="F4044" s="534" t="n">
        <v>1.25</v>
      </c>
    </row>
    <row r="4045">
      <c r="A4045" s="535" t="n">
        <v>37197</v>
      </c>
      <c r="B4045" s="534" t="n">
        <v>6.751</v>
      </c>
      <c r="C4045" s="534" t="n">
        <v>10186.06</v>
      </c>
      <c r="E4045" s="535" t="n">
        <v>41017</v>
      </c>
      <c r="F4045" s="534" t="n">
        <v>1.25</v>
      </c>
    </row>
    <row r="4046">
      <c r="A4046" s="535" t="n">
        <v>37200</v>
      </c>
      <c r="B4046" s="534" t="n">
        <v>6.708</v>
      </c>
      <c r="C4046" s="534" t="n">
        <v>10430.72</v>
      </c>
      <c r="E4046" s="535" t="n">
        <v>41018</v>
      </c>
      <c r="F4046" s="534" t="n">
        <v>1.239</v>
      </c>
    </row>
    <row r="4047">
      <c r="A4047" s="535" t="n">
        <v>37201</v>
      </c>
      <c r="B4047" s="534" t="n">
        <v>6.577</v>
      </c>
      <c r="C4047" s="534" t="n">
        <v>10356.05</v>
      </c>
      <c r="E4047" s="535" t="n">
        <v>41019</v>
      </c>
      <c r="F4047" s="534" t="n">
        <v>1.23</v>
      </c>
    </row>
    <row r="4048">
      <c r="A4048" s="535" t="n">
        <v>37202</v>
      </c>
      <c r="B4048" s="534" t="n">
        <v>6.62</v>
      </c>
      <c r="C4048" s="534" t="n">
        <v>10269.79</v>
      </c>
      <c r="E4048" s="535" t="n">
        <v>41022</v>
      </c>
      <c r="F4048" s="534" t="n">
        <v>1.222</v>
      </c>
    </row>
    <row r="4049">
      <c r="A4049" s="535" t="n">
        <v>37203</v>
      </c>
      <c r="B4049" s="534" t="n">
        <v>6.882</v>
      </c>
      <c r="C4049" s="534" t="n">
        <v>10538.62</v>
      </c>
      <c r="E4049" s="535" t="n">
        <v>41023</v>
      </c>
      <c r="F4049" s="534" t="n">
        <v>1.228</v>
      </c>
    </row>
    <row r="4050">
      <c r="A4050" s="535" t="n">
        <v>37204</v>
      </c>
      <c r="B4050" s="534" t="n">
        <v>7.012</v>
      </c>
      <c r="C4050" s="534" t="n">
        <v>10609.25</v>
      </c>
      <c r="E4050" s="535" t="n">
        <v>41024</v>
      </c>
      <c r="F4050" s="534" t="n">
        <v>1.245</v>
      </c>
    </row>
    <row r="4051">
      <c r="A4051" s="535" t="n">
        <v>37207</v>
      </c>
      <c r="B4051" s="534" t="n">
        <v>7.056</v>
      </c>
      <c r="C4051" s="534" t="n">
        <v>10592.45</v>
      </c>
      <c r="E4051" s="535" t="n">
        <v>41025</v>
      </c>
      <c r="F4051" s="534" t="n">
        <v>1.233</v>
      </c>
    </row>
    <row r="4052">
      <c r="A4052" s="535" t="n">
        <v>37208</v>
      </c>
      <c r="B4052" s="534" t="n">
        <v>7.056</v>
      </c>
      <c r="C4052" s="534" t="n">
        <v>10662.84</v>
      </c>
      <c r="E4052" s="535" t="n">
        <v>41026</v>
      </c>
      <c r="F4052" s="534" t="n">
        <v>1.183</v>
      </c>
    </row>
    <row r="4053">
      <c r="A4053" s="535" t="n">
        <v>37209</v>
      </c>
      <c r="B4053" s="534" t="n">
        <v>7.274</v>
      </c>
      <c r="C4053" s="534" t="n">
        <v>10950.04</v>
      </c>
      <c r="E4053" s="535" t="n">
        <v>41029</v>
      </c>
      <c r="F4053" s="534" t="n">
        <v>1.2</v>
      </c>
    </row>
    <row r="4054">
      <c r="A4054" s="535" t="n">
        <v>37210</v>
      </c>
      <c r="B4054" s="534" t="n">
        <v>7.709</v>
      </c>
      <c r="C4054" s="534" t="n">
        <v>11239.39</v>
      </c>
      <c r="E4054" s="535" t="n">
        <v>41030</v>
      </c>
      <c r="F4054" s="534" t="n">
        <v>1.2</v>
      </c>
    </row>
    <row r="4055">
      <c r="A4055" s="535" t="n">
        <v>37211</v>
      </c>
      <c r="B4055" s="534" t="n">
        <v>7.753</v>
      </c>
      <c r="C4055" s="534" t="n">
        <v>11287.37</v>
      </c>
      <c r="E4055" s="535" t="n">
        <v>41031</v>
      </c>
      <c r="F4055" s="534" t="n">
        <v>1.211</v>
      </c>
    </row>
    <row r="4056">
      <c r="A4056" s="535" t="n">
        <v>37214</v>
      </c>
      <c r="B4056" s="534" t="n">
        <v>7.884</v>
      </c>
      <c r="C4056" s="534" t="n">
        <v>11360.26</v>
      </c>
      <c r="E4056" s="535" t="n">
        <v>41032</v>
      </c>
      <c r="F4056" s="534" t="n">
        <v>1.2</v>
      </c>
    </row>
    <row r="4057">
      <c r="A4057" s="535" t="n">
        <v>37215</v>
      </c>
      <c r="B4057" s="534" t="n">
        <v>8.058</v>
      </c>
      <c r="C4057" s="534" t="n">
        <v>11225.79</v>
      </c>
      <c r="E4057" s="535" t="n">
        <v>41033</v>
      </c>
      <c r="F4057" s="534" t="n">
        <v>1.211</v>
      </c>
    </row>
    <row r="4058">
      <c r="A4058" s="535" t="n">
        <v>37216</v>
      </c>
      <c r="B4058" s="534" t="n">
        <v>8.188000000000001</v>
      </c>
      <c r="C4058" s="534" t="n">
        <v>11173.92</v>
      </c>
      <c r="E4058" s="535" t="n">
        <v>41036</v>
      </c>
      <c r="F4058" s="534" t="n">
        <v>1.161</v>
      </c>
    </row>
    <row r="4059">
      <c r="A4059" s="535" t="n">
        <v>37217</v>
      </c>
      <c r="B4059" s="534" t="n">
        <v>8.058</v>
      </c>
      <c r="C4059" s="534" t="n">
        <v>11253.3</v>
      </c>
      <c r="E4059" s="535" t="n">
        <v>41037</v>
      </c>
      <c r="F4059" s="534" t="n">
        <v>1.144</v>
      </c>
    </row>
    <row r="4060">
      <c r="A4060" s="535" t="n">
        <v>37218</v>
      </c>
      <c r="B4060" s="534" t="n">
        <v>7.927</v>
      </c>
      <c r="C4060" s="534" t="n">
        <v>11322.36</v>
      </c>
      <c r="E4060" s="535" t="n">
        <v>41038</v>
      </c>
      <c r="F4060" s="534" t="n">
        <v>1.15</v>
      </c>
    </row>
    <row r="4061">
      <c r="A4061" s="535" t="n">
        <v>37221</v>
      </c>
      <c r="B4061" s="534" t="n">
        <v>7.971</v>
      </c>
      <c r="C4061" s="534" t="n">
        <v>11391.96</v>
      </c>
      <c r="E4061" s="535" t="n">
        <v>41039</v>
      </c>
      <c r="F4061" s="534" t="n">
        <v>1.161</v>
      </c>
    </row>
    <row r="4062">
      <c r="A4062" s="535" t="n">
        <v>37222</v>
      </c>
      <c r="B4062" s="534" t="n">
        <v>7.796</v>
      </c>
      <c r="C4062" s="534" t="n">
        <v>11261.54</v>
      </c>
      <c r="E4062" s="535" t="n">
        <v>41040</v>
      </c>
      <c r="F4062" s="534" t="n">
        <v>1.144</v>
      </c>
    </row>
    <row r="4063">
      <c r="A4063" s="535" t="n">
        <v>37223</v>
      </c>
      <c r="B4063" s="534" t="n">
        <v>7.622</v>
      </c>
      <c r="C4063" s="534" t="n">
        <v>11066.19</v>
      </c>
      <c r="E4063" s="535" t="n">
        <v>41043</v>
      </c>
      <c r="F4063" s="534" t="n">
        <v>1.111</v>
      </c>
    </row>
    <row r="4064">
      <c r="A4064" s="535" t="n">
        <v>37224</v>
      </c>
      <c r="B4064" s="534" t="n">
        <v>7.622</v>
      </c>
      <c r="C4064" s="534" t="n">
        <v>11090.74</v>
      </c>
      <c r="E4064" s="535" t="n">
        <v>41044</v>
      </c>
      <c r="F4064" s="534" t="n">
        <v>1.117</v>
      </c>
    </row>
    <row r="4065">
      <c r="A4065" s="535" t="n">
        <v>37225</v>
      </c>
      <c r="B4065" s="534" t="n">
        <v>8.145</v>
      </c>
      <c r="C4065" s="534" t="n">
        <v>11279.25</v>
      </c>
      <c r="E4065" s="535" t="n">
        <v>41045</v>
      </c>
      <c r="F4065" s="534" t="n">
        <v>1.117</v>
      </c>
    </row>
    <row r="4066">
      <c r="A4066" s="535" t="n">
        <v>37228</v>
      </c>
      <c r="B4066" s="534" t="n">
        <v>8.101000000000001</v>
      </c>
      <c r="C4066" s="534" t="n">
        <v>11155.15</v>
      </c>
      <c r="E4066" s="535" t="n">
        <v>41046</v>
      </c>
      <c r="F4066" s="534" t="n">
        <v>1.111</v>
      </c>
    </row>
    <row r="4067">
      <c r="A4067" s="535" t="n">
        <v>37229</v>
      </c>
      <c r="B4067" s="534" t="n">
        <v>8.145</v>
      </c>
      <c r="C4067" s="534" t="n">
        <v>11427.28</v>
      </c>
      <c r="E4067" s="535" t="n">
        <v>41047</v>
      </c>
      <c r="F4067" s="534" t="n">
        <v>1.045</v>
      </c>
    </row>
    <row r="4068">
      <c r="A4068" s="535" t="n">
        <v>37230</v>
      </c>
      <c r="B4068" s="534" t="n">
        <v>8.319000000000001</v>
      </c>
      <c r="C4068" s="534" t="n">
        <v>11678.44</v>
      </c>
      <c r="E4068" s="535" t="n">
        <v>41050</v>
      </c>
      <c r="F4068" s="534" t="n">
        <v>1.044</v>
      </c>
    </row>
    <row r="4069">
      <c r="A4069" s="535" t="n">
        <v>37231</v>
      </c>
      <c r="B4069" s="534" t="n">
        <v>8.449999999999999</v>
      </c>
      <c r="C4069" s="534" t="n">
        <v>11745.84</v>
      </c>
      <c r="E4069" s="535" t="n">
        <v>41051</v>
      </c>
      <c r="F4069" s="534" t="n">
        <v>1.044</v>
      </c>
    </row>
    <row r="4070">
      <c r="A4070" s="535" t="n">
        <v>37232</v>
      </c>
      <c r="B4070" s="534" t="n">
        <v>8.842000000000001</v>
      </c>
      <c r="C4070" s="534" t="n">
        <v>11832.18</v>
      </c>
      <c r="E4070" s="535" t="n">
        <v>41052</v>
      </c>
      <c r="F4070" s="534" t="n">
        <v>1.026</v>
      </c>
    </row>
    <row r="4071">
      <c r="A4071" s="535" t="n">
        <v>37235</v>
      </c>
      <c r="B4071" s="534" t="n">
        <v>9.321</v>
      </c>
      <c r="C4071" s="534" t="n">
        <v>11784.92</v>
      </c>
      <c r="E4071" s="535" t="n">
        <v>41053</v>
      </c>
      <c r="F4071" s="534" t="n">
        <v>1.022</v>
      </c>
    </row>
    <row r="4072">
      <c r="A4072" s="535" t="n">
        <v>37236</v>
      </c>
      <c r="B4072" s="534" t="n">
        <v>8.885</v>
      </c>
      <c r="C4072" s="534" t="n">
        <v>11693.05</v>
      </c>
      <c r="E4072" s="535" t="n">
        <v>41054</v>
      </c>
      <c r="F4072" s="534" t="n">
        <v>1.055</v>
      </c>
    </row>
    <row r="4073">
      <c r="A4073" s="535" t="n">
        <v>37237</v>
      </c>
      <c r="B4073" s="534" t="n">
        <v>8.885</v>
      </c>
      <c r="C4073" s="534" t="n">
        <v>11847.06</v>
      </c>
      <c r="E4073" s="535" t="n">
        <v>41057</v>
      </c>
      <c r="F4073" s="534" t="n">
        <v>1.05</v>
      </c>
    </row>
    <row r="4074">
      <c r="A4074" s="535" t="n">
        <v>37238</v>
      </c>
      <c r="B4074" s="534" t="n">
        <v>8.755000000000001</v>
      </c>
      <c r="C4074" s="534" t="n">
        <v>11529.54</v>
      </c>
      <c r="E4074" s="535" t="n">
        <v>41058</v>
      </c>
      <c r="F4074" s="534" t="n">
        <v>1.089</v>
      </c>
    </row>
    <row r="4075">
      <c r="A4075" s="535" t="n">
        <v>37239</v>
      </c>
      <c r="B4075" s="534" t="n">
        <v>8.624000000000001</v>
      </c>
      <c r="C4075" s="534" t="n">
        <v>11466.11</v>
      </c>
      <c r="E4075" s="535" t="n">
        <v>41059</v>
      </c>
      <c r="F4075" s="534" t="n">
        <v>1.072</v>
      </c>
    </row>
    <row r="4076">
      <c r="A4076" s="535" t="n">
        <v>37242</v>
      </c>
      <c r="B4076" s="534" t="n">
        <v>8.449999999999999</v>
      </c>
      <c r="C4076" s="534" t="n">
        <v>11465.78</v>
      </c>
      <c r="E4076" s="535" t="n">
        <v>41060</v>
      </c>
      <c r="F4076" s="534" t="n">
        <v>1.044</v>
      </c>
    </row>
    <row r="4077">
      <c r="A4077" s="535" t="n">
        <v>37243</v>
      </c>
      <c r="B4077" s="534" t="n">
        <v>8.319000000000001</v>
      </c>
      <c r="C4077" s="534" t="n">
        <v>11486.93</v>
      </c>
      <c r="E4077" s="535" t="n">
        <v>41061</v>
      </c>
      <c r="F4077" s="534" t="n">
        <v>1.011</v>
      </c>
    </row>
    <row r="4078">
      <c r="A4078" s="535" t="n">
        <v>37244</v>
      </c>
      <c r="B4078" s="534" t="n">
        <v>8.58</v>
      </c>
      <c r="C4078" s="534" t="n">
        <v>11565.23</v>
      </c>
      <c r="E4078" s="535" t="n">
        <v>41064</v>
      </c>
      <c r="F4078" s="534" t="n">
        <v>0.978</v>
      </c>
    </row>
    <row r="4079">
      <c r="A4079" s="535" t="n">
        <v>37245</v>
      </c>
      <c r="B4079" s="534" t="n">
        <v>8.798</v>
      </c>
      <c r="C4079" s="534" t="n">
        <v>11601.14</v>
      </c>
      <c r="E4079" s="535" t="n">
        <v>41065</v>
      </c>
      <c r="F4079" s="534" t="n">
        <v>1.011</v>
      </c>
    </row>
    <row r="4080">
      <c r="A4080" s="535" t="n">
        <v>37246</v>
      </c>
      <c r="B4080" s="534" t="n">
        <v>8.188000000000001</v>
      </c>
      <c r="C4080" s="534" t="n">
        <v>11158.1</v>
      </c>
      <c r="E4080" s="535" t="n">
        <v>41066</v>
      </c>
      <c r="F4080" s="534" t="n">
        <v>1.055</v>
      </c>
    </row>
    <row r="4081">
      <c r="A4081" s="535" t="n">
        <v>37249</v>
      </c>
      <c r="B4081" s="534" t="n">
        <v>8.493</v>
      </c>
      <c r="C4081" s="534" t="n">
        <v>11209.78</v>
      </c>
      <c r="E4081" s="535" t="n">
        <v>41067</v>
      </c>
      <c r="F4081" s="534" t="n">
        <v>1.055</v>
      </c>
    </row>
    <row r="4082">
      <c r="A4082" s="535" t="n">
        <v>37250</v>
      </c>
      <c r="B4082" s="534" t="n">
        <v>8.493</v>
      </c>
      <c r="C4082" s="534" t="n">
        <v>11209.78</v>
      </c>
      <c r="E4082" s="535" t="n">
        <v>41068</v>
      </c>
      <c r="F4082" s="534" t="n">
        <v>1.038</v>
      </c>
    </row>
    <row r="4083">
      <c r="A4083" s="535" t="n">
        <v>37251</v>
      </c>
      <c r="B4083" s="534" t="n">
        <v>8.493</v>
      </c>
      <c r="C4083" s="534" t="n">
        <v>11209.78</v>
      </c>
      <c r="E4083" s="535" t="n">
        <v>41071</v>
      </c>
      <c r="F4083" s="534" t="n">
        <v>1.116</v>
      </c>
    </row>
    <row r="4084">
      <c r="A4084" s="535" t="n">
        <v>37252</v>
      </c>
      <c r="B4084" s="534" t="n">
        <v>8.58</v>
      </c>
      <c r="C4084" s="534" t="n">
        <v>11359.5</v>
      </c>
      <c r="E4084" s="535" t="n">
        <v>41072</v>
      </c>
      <c r="F4084" s="534" t="n">
        <v>1.099</v>
      </c>
    </row>
    <row r="4085">
      <c r="A4085" s="535" t="n">
        <v>37253</v>
      </c>
      <c r="B4085" s="534" t="n">
        <v>8.667999999999999</v>
      </c>
      <c r="C4085" s="534" t="n">
        <v>11431.59</v>
      </c>
      <c r="E4085" s="535" t="n">
        <v>41073</v>
      </c>
      <c r="F4085" s="534" t="n">
        <v>1.133</v>
      </c>
    </row>
    <row r="4086">
      <c r="A4086" s="535" t="n">
        <v>37256</v>
      </c>
      <c r="B4086" s="534" t="n">
        <v>8.711</v>
      </c>
      <c r="C4086" s="534" t="n">
        <v>11397.21</v>
      </c>
      <c r="E4086" s="535" t="n">
        <v>41074</v>
      </c>
      <c r="F4086" s="534" t="n">
        <v>1.088</v>
      </c>
    </row>
    <row r="4087">
      <c r="A4087" s="535" t="n">
        <v>37257</v>
      </c>
      <c r="B4087" s="534" t="n">
        <v>8.711</v>
      </c>
      <c r="C4087" s="534" t="n">
        <v>11397.21</v>
      </c>
      <c r="E4087" s="535" t="n">
        <v>41075</v>
      </c>
      <c r="F4087" s="534" t="n">
        <v>1.077</v>
      </c>
    </row>
    <row r="4088">
      <c r="A4088" s="535" t="n">
        <v>37258</v>
      </c>
      <c r="B4088" s="534" t="n">
        <v>8.624000000000001</v>
      </c>
      <c r="C4088" s="534" t="n">
        <v>11350.85</v>
      </c>
      <c r="E4088" s="535" t="n">
        <v>41078</v>
      </c>
      <c r="F4088" s="534" t="n">
        <v>1.053</v>
      </c>
    </row>
    <row r="4089">
      <c r="A4089" s="535" t="n">
        <v>37259</v>
      </c>
      <c r="B4089" s="534" t="n">
        <v>8.929</v>
      </c>
      <c r="C4089" s="534" t="n">
        <v>11423.52</v>
      </c>
      <c r="E4089" s="535" t="n">
        <v>41079</v>
      </c>
      <c r="F4089" s="534" t="n">
        <v>1.026</v>
      </c>
    </row>
    <row r="4090">
      <c r="A4090" s="535" t="n">
        <v>37260</v>
      </c>
      <c r="B4090" s="534" t="n">
        <v>9.103</v>
      </c>
      <c r="C4090" s="534" t="n">
        <v>11702.15</v>
      </c>
      <c r="E4090" s="535" t="n">
        <v>41080</v>
      </c>
      <c r="F4090" s="534" t="n">
        <v>1.038</v>
      </c>
    </row>
    <row r="4091">
      <c r="A4091" s="535" t="n">
        <v>37263</v>
      </c>
      <c r="B4091" s="534" t="n">
        <v>9.364000000000001</v>
      </c>
      <c r="C4091" s="534" t="n">
        <v>11892.64</v>
      </c>
      <c r="E4091" s="535" t="n">
        <v>41081</v>
      </c>
      <c r="F4091" s="534" t="n">
        <v>1.047</v>
      </c>
    </row>
    <row r="4092">
      <c r="A4092" s="535" t="n">
        <v>37264</v>
      </c>
      <c r="B4092" s="534" t="n">
        <v>9.19</v>
      </c>
      <c r="C4092" s="534" t="n">
        <v>11713.71</v>
      </c>
      <c r="E4092" s="535" t="n">
        <v>41082</v>
      </c>
      <c r="F4092" s="534" t="n">
        <v>1.036</v>
      </c>
    </row>
    <row r="4093">
      <c r="A4093" s="535" t="n">
        <v>37265</v>
      </c>
      <c r="B4093" s="534" t="n">
        <v>9.06</v>
      </c>
      <c r="C4093" s="534" t="n">
        <v>11440.72</v>
      </c>
      <c r="E4093" s="535" t="n">
        <v>41085</v>
      </c>
      <c r="F4093" s="534" t="n">
        <v>1.036</v>
      </c>
    </row>
    <row r="4094">
      <c r="A4094" s="535" t="n">
        <v>37266</v>
      </c>
      <c r="B4094" s="534" t="n">
        <v>9.364000000000001</v>
      </c>
      <c r="C4094" s="534" t="n">
        <v>11256.07</v>
      </c>
      <c r="E4094" s="535" t="n">
        <v>41086</v>
      </c>
      <c r="F4094" s="534" t="n">
        <v>1.02</v>
      </c>
    </row>
    <row r="4095">
      <c r="A4095" s="535" t="n">
        <v>37267</v>
      </c>
      <c r="B4095" s="534" t="n">
        <v>8.885</v>
      </c>
      <c r="C4095" s="534" t="n">
        <v>11166.46</v>
      </c>
      <c r="E4095" s="535" t="n">
        <v>41087</v>
      </c>
      <c r="F4095" s="534" t="n">
        <v>1.024</v>
      </c>
    </row>
    <row r="4096">
      <c r="A4096" s="535" t="n">
        <v>37270</v>
      </c>
      <c r="B4096" s="534" t="n">
        <v>8.842000000000001</v>
      </c>
      <c r="C4096" s="534" t="n">
        <v>11209.43</v>
      </c>
      <c r="E4096" s="535" t="n">
        <v>41088</v>
      </c>
      <c r="F4096" s="534" t="n">
        <v>1.015</v>
      </c>
    </row>
    <row r="4097">
      <c r="A4097" s="535" t="n">
        <v>37271</v>
      </c>
      <c r="B4097" s="534" t="n">
        <v>8.972</v>
      </c>
      <c r="C4097" s="534" t="n">
        <v>11013.59</v>
      </c>
      <c r="E4097" s="535" t="n">
        <v>41089</v>
      </c>
      <c r="F4097" s="534" t="n">
        <v>1.005</v>
      </c>
    </row>
    <row r="4098">
      <c r="A4098" s="535" t="n">
        <v>37272</v>
      </c>
      <c r="B4098" s="534" t="n">
        <v>9.147</v>
      </c>
      <c r="C4098" s="534" t="n">
        <v>10964.09</v>
      </c>
      <c r="E4098" s="535" t="n">
        <v>41092</v>
      </c>
      <c r="F4098" s="534" t="n">
        <v>1.005</v>
      </c>
    </row>
    <row r="4099">
      <c r="A4099" s="535" t="n">
        <v>37273</v>
      </c>
      <c r="B4099" s="534" t="n">
        <v>9.147</v>
      </c>
      <c r="C4099" s="534" t="n">
        <v>11013.84</v>
      </c>
      <c r="E4099" s="535" t="n">
        <v>41093</v>
      </c>
      <c r="F4099" s="534" t="n">
        <v>0.983</v>
      </c>
    </row>
    <row r="4100">
      <c r="A4100" s="535" t="n">
        <v>37274</v>
      </c>
      <c r="B4100" s="534" t="n">
        <v>9.364000000000001</v>
      </c>
      <c r="C4100" s="534" t="n">
        <v>10972.96</v>
      </c>
      <c r="E4100" s="535" t="n">
        <v>41094</v>
      </c>
      <c r="F4100" s="534" t="n">
        <v>0.994</v>
      </c>
    </row>
    <row r="4101">
      <c r="A4101" s="535" t="n">
        <v>37277</v>
      </c>
      <c r="B4101" s="534" t="n">
        <v>9.582000000000001</v>
      </c>
      <c r="C4101" s="534" t="n">
        <v>11000.25</v>
      </c>
      <c r="E4101" s="535" t="n">
        <v>41095</v>
      </c>
      <c r="F4101" s="534" t="n">
        <v>0.985</v>
      </c>
    </row>
    <row r="4102">
      <c r="A4102" s="535" t="n">
        <v>37278</v>
      </c>
      <c r="B4102" s="534" t="n">
        <v>9.539</v>
      </c>
      <c r="C4102" s="534" t="n">
        <v>10797.69</v>
      </c>
      <c r="E4102" s="535" t="n">
        <v>41096</v>
      </c>
      <c r="F4102" s="534" t="n">
        <v>0.973</v>
      </c>
    </row>
    <row r="4103">
      <c r="A4103" s="535" t="n">
        <v>37279</v>
      </c>
      <c r="B4103" s="534" t="n">
        <v>9.494999999999999</v>
      </c>
      <c r="C4103" s="534" t="n">
        <v>10762.14</v>
      </c>
      <c r="E4103" s="535" t="n">
        <v>41099</v>
      </c>
      <c r="F4103" s="534" t="n">
        <v>0.973</v>
      </c>
    </row>
    <row r="4104">
      <c r="A4104" s="535" t="n">
        <v>37280</v>
      </c>
      <c r="B4104" s="534" t="n">
        <v>9.756</v>
      </c>
      <c r="C4104" s="534" t="n">
        <v>10741.46</v>
      </c>
      <c r="E4104" s="535" t="n">
        <v>41100</v>
      </c>
      <c r="F4104" s="534" t="n">
        <v>0.967</v>
      </c>
    </row>
    <row r="4105">
      <c r="A4105" s="535" t="n">
        <v>37281</v>
      </c>
      <c r="B4105" s="534" t="n">
        <v>10.453</v>
      </c>
      <c r="C4105" s="534" t="n">
        <v>10772.96</v>
      </c>
      <c r="E4105" s="535" t="n">
        <v>41101</v>
      </c>
      <c r="F4105" s="534" t="n">
        <v>0.957</v>
      </c>
    </row>
    <row r="4106">
      <c r="A4106" s="535" t="n">
        <v>37284</v>
      </c>
      <c r="B4106" s="534" t="n">
        <v>10.236</v>
      </c>
      <c r="C4106" s="534" t="n">
        <v>10767.46</v>
      </c>
      <c r="E4106" s="535" t="n">
        <v>41102</v>
      </c>
      <c r="F4106" s="534" t="n">
        <v>0.962</v>
      </c>
    </row>
    <row r="4107">
      <c r="A4107" s="535" t="n">
        <v>37285</v>
      </c>
      <c r="B4107" s="534" t="n">
        <v>10.497</v>
      </c>
      <c r="C4107" s="534" t="n">
        <v>11014.24</v>
      </c>
      <c r="E4107" s="535" t="n">
        <v>41103</v>
      </c>
      <c r="F4107" s="534" t="n">
        <v>0.914</v>
      </c>
    </row>
    <row r="4108">
      <c r="A4108" s="535" t="n">
        <v>37286</v>
      </c>
      <c r="B4108" s="534" t="n">
        <v>10.148</v>
      </c>
      <c r="C4108" s="534" t="n">
        <v>10756.96</v>
      </c>
      <c r="E4108" s="535" t="n">
        <v>41106</v>
      </c>
      <c r="F4108" s="534" t="n">
        <v>0.925</v>
      </c>
    </row>
    <row r="4109">
      <c r="A4109" s="535" t="n">
        <v>37287</v>
      </c>
      <c r="B4109" s="534" t="n">
        <v>10.018</v>
      </c>
      <c r="C4109" s="534" t="n">
        <v>10725.3</v>
      </c>
      <c r="E4109" s="535" t="n">
        <v>41107</v>
      </c>
      <c r="F4109" s="534" t="n">
        <v>0.909</v>
      </c>
    </row>
    <row r="4110">
      <c r="A4110" s="535" t="n">
        <v>37288</v>
      </c>
      <c r="B4110" s="534" t="n">
        <v>9.800000000000001</v>
      </c>
      <c r="C4110" s="534" t="n">
        <v>10691.25</v>
      </c>
      <c r="E4110" s="535" t="n">
        <v>41108</v>
      </c>
      <c r="F4110" s="534" t="n">
        <v>0.904</v>
      </c>
    </row>
    <row r="4111">
      <c r="A4111" s="535" t="n">
        <v>37291</v>
      </c>
      <c r="B4111" s="534" t="n">
        <v>10.105</v>
      </c>
      <c r="C4111" s="534" t="n">
        <v>10721.32</v>
      </c>
      <c r="E4111" s="535" t="n">
        <v>41109</v>
      </c>
      <c r="F4111" s="534" t="n">
        <v>0.893</v>
      </c>
    </row>
    <row r="4112">
      <c r="A4112" s="535" t="n">
        <v>37292</v>
      </c>
      <c r="B4112" s="534" t="n">
        <v>9.930999999999999</v>
      </c>
      <c r="C4112" s="534" t="n">
        <v>10609.19</v>
      </c>
      <c r="E4112" s="535" t="n">
        <v>41110</v>
      </c>
      <c r="F4112" s="534" t="n">
        <v>0.867</v>
      </c>
    </row>
    <row r="4113">
      <c r="A4113" s="535" t="n">
        <v>37293</v>
      </c>
      <c r="B4113" s="534" t="n">
        <v>10.105</v>
      </c>
      <c r="C4113" s="534" t="n">
        <v>10592.39</v>
      </c>
      <c r="E4113" s="535" t="n">
        <v>41113</v>
      </c>
      <c r="F4113" s="534" t="n">
        <v>0.825</v>
      </c>
    </row>
    <row r="4114">
      <c r="A4114" s="535" t="n">
        <v>37294</v>
      </c>
      <c r="B4114" s="534" t="n">
        <v>10.105</v>
      </c>
      <c r="C4114" s="534" t="n">
        <v>10409.68</v>
      </c>
      <c r="E4114" s="535" t="n">
        <v>41114</v>
      </c>
      <c r="F4114" s="534" t="n">
        <v>0.798</v>
      </c>
    </row>
    <row r="4115">
      <c r="A4115" s="535" t="n">
        <v>37295</v>
      </c>
      <c r="B4115" s="534" t="n">
        <v>10.192</v>
      </c>
      <c r="C4115" s="534" t="n">
        <v>10518.99</v>
      </c>
      <c r="E4115" s="535" t="n">
        <v>41115</v>
      </c>
      <c r="F4115" s="534" t="n">
        <v>0.757</v>
      </c>
    </row>
    <row r="4116">
      <c r="A4116" s="535" t="n">
        <v>37298</v>
      </c>
      <c r="B4116" s="534" t="n">
        <v>10.366</v>
      </c>
      <c r="C4116" s="534" t="n">
        <v>10832.74</v>
      </c>
      <c r="E4116" s="535" t="n">
        <v>41116</v>
      </c>
      <c r="F4116" s="534" t="n">
        <v>0.6889999999999999</v>
      </c>
    </row>
    <row r="4117">
      <c r="A4117" s="535" t="n">
        <v>37299</v>
      </c>
      <c r="B4117" s="534" t="n">
        <v>10.366</v>
      </c>
      <c r="C4117" s="534" t="n">
        <v>10832.74</v>
      </c>
      <c r="E4117" s="535" t="n">
        <v>41117</v>
      </c>
      <c r="F4117" s="534" t="n">
        <v>0.699</v>
      </c>
    </row>
    <row r="4118">
      <c r="A4118" s="535" t="n">
        <v>37300</v>
      </c>
      <c r="B4118" s="534" t="n">
        <v>10.366</v>
      </c>
      <c r="C4118" s="534" t="n">
        <v>10832.74</v>
      </c>
      <c r="E4118" s="535" t="n">
        <v>41120</v>
      </c>
      <c r="F4118" s="534" t="n">
        <v>0.73</v>
      </c>
    </row>
    <row r="4119">
      <c r="A4119" s="535" t="n">
        <v>37301</v>
      </c>
      <c r="B4119" s="534" t="n">
        <v>10.366</v>
      </c>
      <c r="C4119" s="534" t="n">
        <v>10832.74</v>
      </c>
      <c r="E4119" s="535" t="n">
        <v>41121</v>
      </c>
      <c r="F4119" s="534" t="n">
        <v>0.6830000000000001</v>
      </c>
    </row>
    <row r="4120">
      <c r="A4120" s="535" t="n">
        <v>37302</v>
      </c>
      <c r="B4120" s="534" t="n">
        <v>10.54</v>
      </c>
      <c r="C4120" s="534" t="n">
        <v>10961.88</v>
      </c>
      <c r="E4120" s="535" t="n">
        <v>41122</v>
      </c>
      <c r="F4120" s="534" t="n">
        <v>0.6879999999999999</v>
      </c>
    </row>
    <row r="4121">
      <c r="A4121" s="535" t="n">
        <v>37305</v>
      </c>
      <c r="B4121" s="534" t="n">
        <v>10.54</v>
      </c>
      <c r="C4121" s="534" t="n">
        <v>11002.81</v>
      </c>
      <c r="E4121" s="535" t="n">
        <v>41123</v>
      </c>
      <c r="F4121" s="534" t="n">
        <v>0.699</v>
      </c>
    </row>
    <row r="4122">
      <c r="A4122" s="535" t="n">
        <v>37306</v>
      </c>
      <c r="B4122" s="534" t="n">
        <v>10.453</v>
      </c>
      <c r="C4122" s="534" t="n">
        <v>10840.49</v>
      </c>
      <c r="E4122" s="535" t="n">
        <v>41124</v>
      </c>
      <c r="F4122" s="534" t="n">
        <v>0.6929999999999999</v>
      </c>
    </row>
    <row r="4123">
      <c r="A4123" s="535" t="n">
        <v>37307</v>
      </c>
      <c r="B4123" s="534" t="n">
        <v>9.930999999999999</v>
      </c>
      <c r="C4123" s="534" t="n">
        <v>10749.06</v>
      </c>
      <c r="E4123" s="535" t="n">
        <v>41127</v>
      </c>
      <c r="F4123" s="534" t="n">
        <v>0.725</v>
      </c>
    </row>
    <row r="4124">
      <c r="A4124" s="535" t="n">
        <v>37308</v>
      </c>
      <c r="B4124" s="534" t="n">
        <v>10.018</v>
      </c>
      <c r="C4124" s="534" t="n">
        <v>10788.9</v>
      </c>
      <c r="E4124" s="535" t="n">
        <v>41128</v>
      </c>
      <c r="F4124" s="534" t="n">
        <v>0.74</v>
      </c>
    </row>
    <row r="4125">
      <c r="A4125" s="535" t="n">
        <v>37309</v>
      </c>
      <c r="B4125" s="534" t="n">
        <v>9.843999999999999</v>
      </c>
      <c r="C4125" s="534" t="n">
        <v>10664.94</v>
      </c>
      <c r="E4125" s="535" t="n">
        <v>41129</v>
      </c>
      <c r="F4125" s="534" t="n">
        <v>0.735</v>
      </c>
    </row>
    <row r="4126">
      <c r="A4126" s="535" t="n">
        <v>37312</v>
      </c>
      <c r="B4126" s="534" t="n">
        <v>9.669</v>
      </c>
      <c r="C4126" s="534" t="n">
        <v>10496.02</v>
      </c>
      <c r="E4126" s="535" t="n">
        <v>41130</v>
      </c>
      <c r="F4126" s="534" t="n">
        <v>0.756</v>
      </c>
    </row>
    <row r="4127">
      <c r="A4127" s="535" t="n">
        <v>37313</v>
      </c>
      <c r="B4127" s="534" t="n">
        <v>9.800000000000001</v>
      </c>
      <c r="C4127" s="534" t="n">
        <v>10547.13</v>
      </c>
      <c r="E4127" s="535" t="n">
        <v>41131</v>
      </c>
      <c r="F4127" s="534" t="n">
        <v>0.745</v>
      </c>
    </row>
    <row r="4128">
      <c r="A4128" s="535" t="n">
        <v>37314</v>
      </c>
      <c r="B4128" s="534" t="n">
        <v>10.192</v>
      </c>
      <c r="C4128" s="534" t="n">
        <v>10648.71</v>
      </c>
      <c r="E4128" s="535" t="n">
        <v>41134</v>
      </c>
      <c r="F4128" s="534" t="n">
        <v>0.74</v>
      </c>
    </row>
    <row r="4129">
      <c r="A4129" s="535" t="n">
        <v>37315</v>
      </c>
      <c r="B4129" s="534" t="n">
        <v>10.192</v>
      </c>
      <c r="C4129" s="534" t="n">
        <v>10482.55</v>
      </c>
      <c r="E4129" s="535" t="n">
        <v>41135</v>
      </c>
      <c r="F4129" s="534" t="n">
        <v>0.766</v>
      </c>
    </row>
    <row r="4130">
      <c r="A4130" s="535" t="n">
        <v>37316</v>
      </c>
      <c r="B4130" s="534" t="n">
        <v>9.974</v>
      </c>
      <c r="C4130" s="534" t="n">
        <v>10425.31</v>
      </c>
      <c r="E4130" s="535" t="n">
        <v>41136</v>
      </c>
      <c r="F4130" s="534" t="n">
        <v>0.8129999999999999</v>
      </c>
    </row>
    <row r="4131">
      <c r="A4131" s="535" t="n">
        <v>37319</v>
      </c>
      <c r="B4131" s="534" t="n">
        <v>10.279</v>
      </c>
      <c r="C4131" s="534" t="n">
        <v>10704.12</v>
      </c>
      <c r="E4131" s="535" t="n">
        <v>41137</v>
      </c>
      <c r="F4131" s="534" t="n">
        <v>0.877</v>
      </c>
    </row>
    <row r="4132">
      <c r="A4132" s="535" t="n">
        <v>37320</v>
      </c>
      <c r="B4132" s="534" t="n">
        <v>10.366</v>
      </c>
      <c r="C4132" s="534" t="n">
        <v>10985.84</v>
      </c>
      <c r="E4132" s="535" t="n">
        <v>41138</v>
      </c>
      <c r="F4132" s="534" t="n">
        <v>0.855</v>
      </c>
    </row>
    <row r="4133">
      <c r="A4133" s="535" t="n">
        <v>37321</v>
      </c>
      <c r="B4133" s="534" t="n">
        <v>10.236</v>
      </c>
      <c r="C4133" s="534" t="n">
        <v>11003</v>
      </c>
      <c r="E4133" s="535" t="n">
        <v>41141</v>
      </c>
      <c r="F4133" s="534" t="n">
        <v>0.855</v>
      </c>
    </row>
    <row r="4134">
      <c r="A4134" s="535" t="n">
        <v>37322</v>
      </c>
      <c r="B4134" s="534" t="n">
        <v>10.192</v>
      </c>
      <c r="C4134" s="534" t="n">
        <v>11188.07</v>
      </c>
      <c r="E4134" s="535" t="n">
        <v>41142</v>
      </c>
      <c r="F4134" s="534" t="n">
        <v>0.845</v>
      </c>
    </row>
    <row r="4135">
      <c r="A4135" s="535" t="n">
        <v>37323</v>
      </c>
      <c r="B4135" s="534" t="n">
        <v>10.279</v>
      </c>
      <c r="C4135" s="534" t="n">
        <v>11233.23</v>
      </c>
      <c r="E4135" s="535" t="n">
        <v>41143</v>
      </c>
      <c r="F4135" s="534" t="n">
        <v>0.823</v>
      </c>
    </row>
    <row r="4136">
      <c r="A4136" s="535" t="n">
        <v>37326</v>
      </c>
      <c r="B4136" s="534" t="n">
        <v>10.236</v>
      </c>
      <c r="C4136" s="534" t="n">
        <v>11318.87</v>
      </c>
      <c r="E4136" s="535" t="n">
        <v>41144</v>
      </c>
      <c r="F4136" s="534" t="n">
        <v>0.76</v>
      </c>
    </row>
    <row r="4137">
      <c r="A4137" s="535" t="n">
        <v>37327</v>
      </c>
      <c r="B4137" s="534" t="n">
        <v>9.712999999999999</v>
      </c>
      <c r="C4137" s="534" t="n">
        <v>11273.86</v>
      </c>
      <c r="E4137" s="535" t="n">
        <v>41145</v>
      </c>
      <c r="F4137" s="534" t="n">
        <v>0.718</v>
      </c>
    </row>
    <row r="4138">
      <c r="A4138" s="535" t="n">
        <v>37328</v>
      </c>
      <c r="B4138" s="534" t="n">
        <v>10.018</v>
      </c>
      <c r="C4138" s="534" t="n">
        <v>11217.5</v>
      </c>
      <c r="E4138" s="535" t="n">
        <v>41148</v>
      </c>
      <c r="F4138" s="534" t="n">
        <v>0.739</v>
      </c>
    </row>
    <row r="4139">
      <c r="A4139" s="535" t="n">
        <v>37329</v>
      </c>
      <c r="B4139" s="534" t="n">
        <v>10.192</v>
      </c>
      <c r="C4139" s="534" t="n">
        <v>11303.7</v>
      </c>
      <c r="E4139" s="535" t="n">
        <v>41149</v>
      </c>
      <c r="F4139" s="534" t="n">
        <v>0.713</v>
      </c>
    </row>
    <row r="4140">
      <c r="A4140" s="535" t="n">
        <v>37330</v>
      </c>
      <c r="B4140" s="534" t="n">
        <v>10.192</v>
      </c>
      <c r="C4140" s="534" t="n">
        <v>11210.25</v>
      </c>
      <c r="E4140" s="535" t="n">
        <v>41150</v>
      </c>
      <c r="F4140" s="534" t="n">
        <v>0.723</v>
      </c>
    </row>
    <row r="4141">
      <c r="A4141" s="535" t="n">
        <v>37333</v>
      </c>
      <c r="B4141" s="534" t="n">
        <v>10.018</v>
      </c>
      <c r="C4141" s="534" t="n">
        <v>11230.64</v>
      </c>
      <c r="E4141" s="535" t="n">
        <v>41151</v>
      </c>
      <c r="F4141" s="534" t="n">
        <v>0.734</v>
      </c>
    </row>
    <row r="4142">
      <c r="A4142" s="535" t="n">
        <v>37334</v>
      </c>
      <c r="B4142" s="534" t="n">
        <v>10.105</v>
      </c>
      <c r="C4142" s="534" t="n">
        <v>11222.83</v>
      </c>
      <c r="E4142" s="535" t="n">
        <v>41152</v>
      </c>
      <c r="F4142" s="534" t="n">
        <v>0.717</v>
      </c>
    </row>
    <row r="4143">
      <c r="A4143" s="535" t="n">
        <v>37335</v>
      </c>
      <c r="B4143" s="534" t="n">
        <v>10.148</v>
      </c>
      <c r="C4143" s="534" t="n">
        <v>11036.6</v>
      </c>
      <c r="E4143" s="535" t="n">
        <v>41155</v>
      </c>
      <c r="F4143" s="534" t="n">
        <v>0.6909999999999999</v>
      </c>
    </row>
    <row r="4144">
      <c r="A4144" s="535" t="n">
        <v>37336</v>
      </c>
      <c r="B4144" s="534" t="n">
        <v>10.41</v>
      </c>
      <c r="C4144" s="534" t="n">
        <v>10829.73</v>
      </c>
      <c r="E4144" s="535" t="n">
        <v>41156</v>
      </c>
      <c r="F4144" s="534" t="n">
        <v>0.707</v>
      </c>
    </row>
    <row r="4145">
      <c r="A4145" s="535" t="n">
        <v>37337</v>
      </c>
      <c r="B4145" s="534" t="n">
        <v>10.453</v>
      </c>
      <c r="C4145" s="534" t="n">
        <v>10863.07</v>
      </c>
      <c r="E4145" s="535" t="n">
        <v>41157</v>
      </c>
      <c r="F4145" s="534" t="n">
        <v>0.717</v>
      </c>
    </row>
    <row r="4146">
      <c r="A4146" s="535" t="n">
        <v>37340</v>
      </c>
      <c r="B4146" s="534" t="n">
        <v>10.453</v>
      </c>
      <c r="C4146" s="534" t="n">
        <v>10836.64</v>
      </c>
      <c r="E4146" s="535" t="n">
        <v>41158</v>
      </c>
      <c r="F4146" s="534" t="n">
        <v>0.733</v>
      </c>
    </row>
    <row r="4147">
      <c r="A4147" s="535" t="n">
        <v>37341</v>
      </c>
      <c r="B4147" s="534" t="n">
        <v>10.279</v>
      </c>
      <c r="C4147" s="534" t="n">
        <v>10786.92</v>
      </c>
      <c r="E4147" s="535" t="n">
        <v>41159</v>
      </c>
      <c r="F4147" s="534" t="n">
        <v>0.759</v>
      </c>
    </row>
    <row r="4148">
      <c r="A4148" s="535" t="n">
        <v>37342</v>
      </c>
      <c r="B4148" s="534" t="n">
        <v>10.41</v>
      </c>
      <c r="C4148" s="534" t="n">
        <v>10987.88</v>
      </c>
      <c r="E4148" s="535" t="n">
        <v>41162</v>
      </c>
      <c r="F4148" s="534" t="n">
        <v>0.706</v>
      </c>
    </row>
    <row r="4149">
      <c r="A4149" s="535" t="n">
        <v>37343</v>
      </c>
      <c r="B4149" s="534" t="n">
        <v>10.323</v>
      </c>
      <c r="C4149" s="534" t="n">
        <v>11032.92</v>
      </c>
      <c r="E4149" s="535" t="n">
        <v>41163</v>
      </c>
      <c r="F4149" s="534" t="n">
        <v>0.712</v>
      </c>
    </row>
    <row r="4150">
      <c r="A4150" s="535" t="n">
        <v>37344</v>
      </c>
      <c r="B4150" s="534" t="n">
        <v>10.323</v>
      </c>
      <c r="C4150" s="534" t="n">
        <v>11032.92</v>
      </c>
      <c r="E4150" s="535" t="n">
        <v>41164</v>
      </c>
      <c r="F4150" s="534" t="n">
        <v>0.743</v>
      </c>
    </row>
    <row r="4151">
      <c r="A4151" s="535" t="n">
        <v>37347</v>
      </c>
      <c r="B4151" s="534" t="n">
        <v>10.323</v>
      </c>
      <c r="C4151" s="534" t="n">
        <v>11032.92</v>
      </c>
      <c r="E4151" s="535" t="n">
        <v>41165</v>
      </c>
      <c r="F4151" s="534" t="n">
        <v>0.77</v>
      </c>
    </row>
    <row r="4152">
      <c r="A4152" s="535" t="n">
        <v>37348</v>
      </c>
      <c r="B4152" s="534" t="n">
        <v>10.018</v>
      </c>
      <c r="C4152" s="534" t="n">
        <v>10878.04</v>
      </c>
      <c r="E4152" s="535" t="n">
        <v>41166</v>
      </c>
      <c r="F4152" s="534" t="n">
        <v>0.796</v>
      </c>
    </row>
    <row r="4153">
      <c r="A4153" s="535" t="n">
        <v>37349</v>
      </c>
      <c r="B4153" s="534" t="n">
        <v>9.712999999999999</v>
      </c>
      <c r="C4153" s="534" t="n">
        <v>10833.96</v>
      </c>
      <c r="E4153" s="535" t="n">
        <v>41169</v>
      </c>
      <c r="F4153" s="534" t="n">
        <v>0.844</v>
      </c>
    </row>
    <row r="4154">
      <c r="A4154" s="535" t="n">
        <v>37350</v>
      </c>
      <c r="B4154" s="534" t="n">
        <v>9.539</v>
      </c>
      <c r="C4154" s="534" t="n">
        <v>10831.37</v>
      </c>
      <c r="E4154" s="535" t="n">
        <v>41170</v>
      </c>
      <c r="F4154" s="534" t="n">
        <v>0.828</v>
      </c>
    </row>
    <row r="4155">
      <c r="A4155" s="535" t="n">
        <v>37351</v>
      </c>
      <c r="B4155" s="534" t="n">
        <v>9.539</v>
      </c>
      <c r="C4155" s="534" t="n">
        <v>10831.37</v>
      </c>
      <c r="E4155" s="535" t="n">
        <v>41171</v>
      </c>
      <c r="F4155" s="534" t="n">
        <v>0.854</v>
      </c>
    </row>
    <row r="4156">
      <c r="A4156" s="535" t="n">
        <v>37354</v>
      </c>
      <c r="B4156" s="534" t="n">
        <v>9.712999999999999</v>
      </c>
      <c r="C4156" s="534" t="n">
        <v>10723.68</v>
      </c>
      <c r="E4156" s="535" t="n">
        <v>41172</v>
      </c>
      <c r="F4156" s="534" t="n">
        <v>0.775</v>
      </c>
    </row>
    <row r="4157">
      <c r="A4157" s="535" t="n">
        <v>37355</v>
      </c>
      <c r="B4157" s="534" t="n">
        <v>9.800000000000001</v>
      </c>
      <c r="C4157" s="534" t="n">
        <v>10733.69</v>
      </c>
      <c r="E4157" s="535" t="n">
        <v>41173</v>
      </c>
      <c r="F4157" s="534" t="n">
        <v>0.806</v>
      </c>
    </row>
    <row r="4158">
      <c r="A4158" s="535" t="n">
        <v>37356</v>
      </c>
      <c r="B4158" s="534" t="n">
        <v>9.887</v>
      </c>
      <c r="C4158" s="534" t="n">
        <v>10643.14</v>
      </c>
      <c r="E4158" s="535" t="n">
        <v>41176</v>
      </c>
      <c r="F4158" s="534" t="n">
        <v>0.79</v>
      </c>
    </row>
    <row r="4159">
      <c r="A4159" s="535" t="n">
        <v>37357</v>
      </c>
      <c r="B4159" s="534" t="n">
        <v>10.148</v>
      </c>
      <c r="C4159" s="534" t="n">
        <v>10744.91</v>
      </c>
      <c r="E4159" s="535" t="n">
        <v>41177</v>
      </c>
      <c r="F4159" s="534" t="n">
        <v>0.79</v>
      </c>
    </row>
    <row r="4160">
      <c r="A4160" s="535" t="n">
        <v>37358</v>
      </c>
      <c r="B4160" s="534" t="n">
        <v>10.105</v>
      </c>
      <c r="C4160" s="534" t="n">
        <v>10710.48</v>
      </c>
      <c r="E4160" s="535" t="n">
        <v>41178</v>
      </c>
      <c r="F4160" s="534" t="n">
        <v>0.78</v>
      </c>
    </row>
    <row r="4161">
      <c r="A4161" s="535" t="n">
        <v>37361</v>
      </c>
      <c r="B4161" s="534" t="n">
        <v>10.192</v>
      </c>
      <c r="C4161" s="534" t="n">
        <v>10727.98</v>
      </c>
      <c r="E4161" s="535" t="n">
        <v>41179</v>
      </c>
      <c r="F4161" s="534" t="n">
        <v>0.795</v>
      </c>
    </row>
    <row r="4162">
      <c r="A4162" s="535" t="n">
        <v>37362</v>
      </c>
      <c r="B4162" s="534" t="n">
        <v>10.192</v>
      </c>
      <c r="C4162" s="534" t="n">
        <v>10788.53</v>
      </c>
      <c r="E4162" s="535" t="n">
        <v>41180</v>
      </c>
      <c r="F4162" s="534" t="n">
        <v>0.779</v>
      </c>
    </row>
    <row r="4163">
      <c r="A4163" s="535" t="n">
        <v>37363</v>
      </c>
      <c r="B4163" s="534" t="n">
        <v>10.41</v>
      </c>
      <c r="C4163" s="534" t="n">
        <v>11090.58</v>
      </c>
      <c r="E4163" s="535" t="n">
        <v>41183</v>
      </c>
      <c r="F4163" s="534" t="n">
        <v>0.779</v>
      </c>
    </row>
    <row r="4164">
      <c r="A4164" s="535" t="n">
        <v>37364</v>
      </c>
      <c r="B4164" s="534" t="n">
        <v>10.671</v>
      </c>
      <c r="C4164" s="534" t="n">
        <v>11217.15</v>
      </c>
      <c r="E4164" s="535" t="n">
        <v>41184</v>
      </c>
      <c r="F4164" s="534" t="n">
        <v>0.779</v>
      </c>
    </row>
    <row r="4165">
      <c r="A4165" s="535" t="n">
        <v>37365</v>
      </c>
      <c r="B4165" s="534" t="n">
        <v>11.02</v>
      </c>
      <c r="C4165" s="534" t="n">
        <v>11252.18</v>
      </c>
      <c r="E4165" s="535" t="n">
        <v>41185</v>
      </c>
      <c r="F4165" s="534" t="n">
        <v>0.747</v>
      </c>
    </row>
    <row r="4166">
      <c r="A4166" s="535" t="n">
        <v>37368</v>
      </c>
      <c r="B4166" s="534" t="n">
        <v>11.368</v>
      </c>
      <c r="C4166" s="534" t="n">
        <v>11139.42</v>
      </c>
      <c r="E4166" s="535" t="n">
        <v>41186</v>
      </c>
      <c r="F4166" s="534" t="n">
        <v>0.747</v>
      </c>
    </row>
    <row r="4167">
      <c r="A4167" s="535" t="n">
        <v>37369</v>
      </c>
      <c r="B4167" s="534" t="n">
        <v>11.324</v>
      </c>
      <c r="C4167" s="534" t="n">
        <v>11345.18</v>
      </c>
      <c r="E4167" s="535" t="n">
        <v>41187</v>
      </c>
      <c r="F4167" s="534" t="n">
        <v>0.774</v>
      </c>
    </row>
    <row r="4168">
      <c r="A4168" s="535" t="n">
        <v>37370</v>
      </c>
      <c r="B4168" s="534" t="n">
        <v>11.194</v>
      </c>
      <c r="C4168" s="534" t="n">
        <v>11396.57</v>
      </c>
      <c r="E4168" s="535" t="n">
        <v>41190</v>
      </c>
      <c r="F4168" s="534" t="n">
        <v>0.803</v>
      </c>
    </row>
    <row r="4169">
      <c r="A4169" s="535" t="n">
        <v>37371</v>
      </c>
      <c r="B4169" s="534" t="n">
        <v>11.412</v>
      </c>
      <c r="C4169" s="534" t="n">
        <v>11409.29</v>
      </c>
      <c r="E4169" s="535" t="n">
        <v>41191</v>
      </c>
      <c r="F4169" s="534" t="n">
        <v>0.795</v>
      </c>
    </row>
    <row r="4170">
      <c r="A4170" s="535" t="n">
        <v>37372</v>
      </c>
      <c r="B4170" s="534" t="n">
        <v>11.324</v>
      </c>
      <c r="C4170" s="534" t="n">
        <v>11385.08</v>
      </c>
      <c r="E4170" s="535" t="n">
        <v>41192</v>
      </c>
      <c r="F4170" s="534" t="n">
        <v>0.8</v>
      </c>
    </row>
    <row r="4171">
      <c r="A4171" s="535" t="n">
        <v>37375</v>
      </c>
      <c r="B4171" s="534" t="n">
        <v>11.499</v>
      </c>
      <c r="C4171" s="534" t="n">
        <v>11361.49</v>
      </c>
      <c r="E4171" s="535" t="n">
        <v>41193</v>
      </c>
      <c r="F4171" s="534" t="n">
        <v>0.768</v>
      </c>
    </row>
    <row r="4172">
      <c r="A4172" s="535" t="n">
        <v>37376</v>
      </c>
      <c r="B4172" s="534" t="n">
        <v>11.76</v>
      </c>
      <c r="C4172" s="534" t="n">
        <v>11497.58</v>
      </c>
      <c r="E4172" s="535" t="n">
        <v>41194</v>
      </c>
      <c r="F4172" s="534" t="n">
        <v>0.768</v>
      </c>
    </row>
    <row r="4173">
      <c r="A4173" s="535" t="n">
        <v>37377</v>
      </c>
      <c r="B4173" s="534" t="n">
        <v>11.76</v>
      </c>
      <c r="C4173" s="534" t="n">
        <v>11497.58</v>
      </c>
      <c r="E4173" s="535" t="n">
        <v>41197</v>
      </c>
      <c r="F4173" s="534" t="n">
        <v>0.773</v>
      </c>
    </row>
    <row r="4174">
      <c r="A4174" s="535" t="n">
        <v>37378</v>
      </c>
      <c r="B4174" s="534" t="n">
        <v>11.847</v>
      </c>
      <c r="C4174" s="534" t="n">
        <v>11780.11</v>
      </c>
      <c r="E4174" s="535" t="n">
        <v>41198</v>
      </c>
      <c r="F4174" s="534" t="n">
        <v>0.784</v>
      </c>
    </row>
    <row r="4175">
      <c r="A4175" s="535" t="n">
        <v>37379</v>
      </c>
      <c r="B4175" s="534" t="n">
        <v>11.716</v>
      </c>
      <c r="C4175" s="534" t="n">
        <v>11797.22</v>
      </c>
      <c r="E4175" s="535" t="n">
        <v>41199</v>
      </c>
      <c r="F4175" s="534" t="n">
        <v>0.768</v>
      </c>
    </row>
    <row r="4176">
      <c r="A4176" s="535" t="n">
        <v>37382</v>
      </c>
      <c r="B4176" s="534" t="n">
        <v>11.629</v>
      </c>
      <c r="C4176" s="534" t="n">
        <v>11736.2</v>
      </c>
      <c r="E4176" s="535" t="n">
        <v>41200</v>
      </c>
      <c r="F4176" s="534" t="n">
        <v>0.784</v>
      </c>
    </row>
    <row r="4177">
      <c r="A4177" s="535" t="n">
        <v>37383</v>
      </c>
      <c r="B4177" s="534" t="n">
        <v>11.542</v>
      </c>
      <c r="C4177" s="534" t="n">
        <v>11795.98</v>
      </c>
      <c r="E4177" s="535" t="n">
        <v>41201</v>
      </c>
      <c r="F4177" s="534" t="n">
        <v>0.784</v>
      </c>
    </row>
    <row r="4178">
      <c r="A4178" s="535" t="n">
        <v>37384</v>
      </c>
      <c r="B4178" s="534" t="n">
        <v>11.499</v>
      </c>
      <c r="C4178" s="534" t="n">
        <v>11768.31</v>
      </c>
      <c r="E4178" s="535" t="n">
        <v>41204</v>
      </c>
      <c r="F4178" s="534" t="n">
        <v>0.757</v>
      </c>
    </row>
    <row r="4179">
      <c r="A4179" s="535" t="n">
        <v>37385</v>
      </c>
      <c r="B4179" s="534" t="n">
        <v>11.542</v>
      </c>
      <c r="C4179" s="534" t="n">
        <v>11700.76</v>
      </c>
      <c r="E4179" s="535" t="n">
        <v>41205</v>
      </c>
      <c r="F4179" s="534" t="n">
        <v>0.757</v>
      </c>
    </row>
    <row r="4180">
      <c r="A4180" s="535" t="n">
        <v>37386</v>
      </c>
      <c r="B4180" s="534" t="n">
        <v>11.673</v>
      </c>
      <c r="C4180" s="534" t="n">
        <v>11645.9</v>
      </c>
      <c r="E4180" s="535" t="n">
        <v>41206</v>
      </c>
      <c r="F4180" s="534" t="n">
        <v>0.751</v>
      </c>
    </row>
    <row r="4181">
      <c r="A4181" s="535" t="n">
        <v>37389</v>
      </c>
      <c r="B4181" s="534" t="n">
        <v>11.673</v>
      </c>
      <c r="C4181" s="534" t="n">
        <v>11733.43</v>
      </c>
      <c r="E4181" s="535" t="n">
        <v>41207</v>
      </c>
      <c r="F4181" s="534" t="n">
        <v>0.751</v>
      </c>
    </row>
    <row r="4182">
      <c r="A4182" s="535" t="n">
        <v>37390</v>
      </c>
      <c r="B4182" s="534" t="n">
        <v>11.455</v>
      </c>
      <c r="C4182" s="534" t="n">
        <v>11690.31</v>
      </c>
      <c r="E4182" s="535" t="n">
        <v>41208</v>
      </c>
      <c r="F4182" s="534" t="n">
        <v>0.746</v>
      </c>
    </row>
    <row r="4183">
      <c r="A4183" s="535" t="n">
        <v>37391</v>
      </c>
      <c r="B4183" s="534" t="n">
        <v>11.107</v>
      </c>
      <c r="C4183" s="534" t="n">
        <v>11838.36</v>
      </c>
      <c r="E4183" s="535" t="n">
        <v>41211</v>
      </c>
      <c r="F4183" s="534" t="n">
        <v>0.714</v>
      </c>
    </row>
    <row r="4184">
      <c r="A4184" s="535" t="n">
        <v>37392</v>
      </c>
      <c r="B4184" s="534" t="n">
        <v>11.368</v>
      </c>
      <c r="C4184" s="534" t="n">
        <v>11832.77</v>
      </c>
      <c r="E4184" s="535" t="n">
        <v>41212</v>
      </c>
      <c r="F4184" s="534" t="n">
        <v>0.708</v>
      </c>
    </row>
    <row r="4185">
      <c r="A4185" s="535" t="n">
        <v>37393</v>
      </c>
      <c r="B4185" s="534" t="n">
        <v>11.542</v>
      </c>
      <c r="C4185" s="534" t="n">
        <v>11974.61</v>
      </c>
      <c r="E4185" s="535" t="n">
        <v>41213</v>
      </c>
      <c r="F4185" s="534" t="n">
        <v>0.724</v>
      </c>
    </row>
    <row r="4186">
      <c r="A4186" s="535" t="n">
        <v>37396</v>
      </c>
      <c r="B4186" s="534" t="n">
        <v>11.542</v>
      </c>
      <c r="C4186" s="534" t="n">
        <v>11974.61</v>
      </c>
      <c r="E4186" s="535" t="n">
        <v>41214</v>
      </c>
      <c r="F4186" s="534" t="n">
        <v>0.708</v>
      </c>
    </row>
    <row r="4187">
      <c r="A4187" s="535" t="n">
        <v>37397</v>
      </c>
      <c r="B4187" s="534" t="n">
        <v>11.107</v>
      </c>
      <c r="C4187" s="534" t="n">
        <v>11753.29</v>
      </c>
      <c r="E4187" s="535" t="n">
        <v>41215</v>
      </c>
      <c r="F4187" s="534" t="n">
        <v>0.719</v>
      </c>
    </row>
    <row r="4188">
      <c r="A4188" s="535" t="n">
        <v>37398</v>
      </c>
      <c r="B4188" s="534" t="n">
        <v>11.107</v>
      </c>
      <c r="C4188" s="534" t="n">
        <v>11795.2</v>
      </c>
      <c r="E4188" s="535" t="n">
        <v>41218</v>
      </c>
      <c r="F4188" s="534" t="n">
        <v>0.702</v>
      </c>
    </row>
    <row r="4189">
      <c r="A4189" s="535" t="n">
        <v>37399</v>
      </c>
      <c r="B4189" s="534" t="n">
        <v>10.932</v>
      </c>
      <c r="C4189" s="534" t="n">
        <v>11624.75</v>
      </c>
      <c r="E4189" s="535" t="n">
        <v>41219</v>
      </c>
      <c r="F4189" s="534" t="n">
        <v>0.67</v>
      </c>
    </row>
    <row r="4190">
      <c r="A4190" s="535" t="n">
        <v>37400</v>
      </c>
      <c r="B4190" s="534" t="n">
        <v>10.976</v>
      </c>
      <c r="C4190" s="534" t="n">
        <v>11626.78</v>
      </c>
      <c r="E4190" s="535" t="n">
        <v>41220</v>
      </c>
      <c r="F4190" s="534" t="n">
        <v>0.6919999999999999</v>
      </c>
    </row>
    <row r="4191">
      <c r="A4191" s="535" t="n">
        <v>37403</v>
      </c>
      <c r="B4191" s="534" t="n">
        <v>10.889</v>
      </c>
      <c r="C4191" s="534" t="n">
        <v>11564.73</v>
      </c>
      <c r="E4191" s="535" t="n">
        <v>41221</v>
      </c>
      <c r="F4191" s="534" t="n">
        <v>0.596</v>
      </c>
    </row>
    <row r="4192">
      <c r="A4192" s="535" t="n">
        <v>37404</v>
      </c>
      <c r="B4192" s="534" t="n">
        <v>10.758</v>
      </c>
      <c r="C4192" s="534" t="n">
        <v>11581.58</v>
      </c>
      <c r="E4192" s="535" t="n">
        <v>41222</v>
      </c>
      <c r="F4192" s="534" t="n">
        <v>0.58</v>
      </c>
    </row>
    <row r="4193">
      <c r="A4193" s="535" t="n">
        <v>37405</v>
      </c>
      <c r="B4193" s="534" t="n">
        <v>10.758</v>
      </c>
      <c r="C4193" s="534" t="n">
        <v>11430.66</v>
      </c>
      <c r="E4193" s="535" t="n">
        <v>41225</v>
      </c>
      <c r="F4193" s="534" t="n">
        <v>0.5639999999999999</v>
      </c>
    </row>
    <row r="4194">
      <c r="A4194" s="535" t="n">
        <v>37406</v>
      </c>
      <c r="B4194" s="534" t="n">
        <v>10.889</v>
      </c>
      <c r="C4194" s="534" t="n">
        <v>11380.61</v>
      </c>
      <c r="E4194" s="535" t="n">
        <v>41226</v>
      </c>
      <c r="F4194" s="534" t="n">
        <v>0.553</v>
      </c>
    </row>
    <row r="4195">
      <c r="A4195" s="535" t="n">
        <v>37407</v>
      </c>
      <c r="B4195" s="534" t="n">
        <v>10.845</v>
      </c>
      <c r="C4195" s="534" t="n">
        <v>11301.94</v>
      </c>
      <c r="E4195" s="535" t="n">
        <v>41227</v>
      </c>
      <c r="F4195" s="534" t="n">
        <v>0.58</v>
      </c>
    </row>
    <row r="4196">
      <c r="A4196" s="535" t="n">
        <v>37410</v>
      </c>
      <c r="B4196" s="534" t="n">
        <v>10.889</v>
      </c>
      <c r="C4196" s="534" t="n">
        <v>11359.8</v>
      </c>
      <c r="E4196" s="535" t="n">
        <v>41228</v>
      </c>
      <c r="F4196" s="534" t="n">
        <v>0.5639999999999999</v>
      </c>
    </row>
    <row r="4197">
      <c r="A4197" s="535" t="n">
        <v>37411</v>
      </c>
      <c r="B4197" s="534" t="n">
        <v>10.715</v>
      </c>
      <c r="C4197" s="534" t="n">
        <v>11312.55</v>
      </c>
      <c r="E4197" s="535" t="n">
        <v>41229</v>
      </c>
      <c r="F4197" s="534" t="n">
        <v>0.5580000000000001</v>
      </c>
    </row>
    <row r="4198">
      <c r="A4198" s="535" t="n">
        <v>37412</v>
      </c>
      <c r="B4198" s="534" t="n">
        <v>10.802</v>
      </c>
      <c r="C4198" s="534" t="n">
        <v>11402.38</v>
      </c>
      <c r="E4198" s="535" t="n">
        <v>41232</v>
      </c>
      <c r="F4198" s="534" t="n">
        <v>0.579</v>
      </c>
    </row>
    <row r="4199">
      <c r="A4199" s="535" t="n">
        <v>37413</v>
      </c>
      <c r="B4199" s="534" t="n">
        <v>10.715</v>
      </c>
      <c r="C4199" s="534" t="n">
        <v>11380.77</v>
      </c>
      <c r="E4199" s="535" t="n">
        <v>41233</v>
      </c>
      <c r="F4199" s="534" t="n">
        <v>0.595</v>
      </c>
    </row>
    <row r="4200">
      <c r="A4200" s="535" t="n">
        <v>37414</v>
      </c>
      <c r="B4200" s="534" t="n">
        <v>10.715</v>
      </c>
      <c r="C4200" s="534" t="n">
        <v>11284.71</v>
      </c>
      <c r="E4200" s="535" t="n">
        <v>41234</v>
      </c>
      <c r="F4200" s="534" t="n">
        <v>0.632</v>
      </c>
    </row>
    <row r="4201">
      <c r="A4201" s="535" t="n">
        <v>37417</v>
      </c>
      <c r="B4201" s="534" t="n">
        <v>10.845</v>
      </c>
      <c r="C4201" s="534" t="n">
        <v>11288.84</v>
      </c>
      <c r="E4201" s="535" t="n">
        <v>41235</v>
      </c>
      <c r="F4201" s="534" t="n">
        <v>0.669</v>
      </c>
    </row>
    <row r="4202">
      <c r="A4202" s="535" t="n">
        <v>37418</v>
      </c>
      <c r="B4202" s="534" t="n">
        <v>10.758</v>
      </c>
      <c r="C4202" s="534" t="n">
        <v>11215.02</v>
      </c>
      <c r="E4202" s="535" t="n">
        <v>41236</v>
      </c>
      <c r="F4202" s="534" t="n">
        <v>0.658</v>
      </c>
    </row>
    <row r="4203">
      <c r="A4203" s="535" t="n">
        <v>37419</v>
      </c>
      <c r="B4203" s="534" t="n">
        <v>10.845</v>
      </c>
      <c r="C4203" s="534" t="n">
        <v>11147.97</v>
      </c>
      <c r="E4203" s="535" t="n">
        <v>41239</v>
      </c>
      <c r="F4203" s="534" t="n">
        <v>0.653</v>
      </c>
    </row>
    <row r="4204">
      <c r="A4204" s="535" t="n">
        <v>37420</v>
      </c>
      <c r="B4204" s="534" t="n">
        <v>10.715</v>
      </c>
      <c r="C4204" s="534" t="n">
        <v>11119.33</v>
      </c>
      <c r="E4204" s="535" t="n">
        <v>41240</v>
      </c>
      <c r="F4204" s="534" t="n">
        <v>0.642</v>
      </c>
    </row>
    <row r="4205">
      <c r="A4205" s="535" t="n">
        <v>37421</v>
      </c>
      <c r="B4205" s="534" t="n">
        <v>10.584</v>
      </c>
      <c r="C4205" s="534" t="n">
        <v>10955.52</v>
      </c>
      <c r="E4205" s="535" t="n">
        <v>41241</v>
      </c>
      <c r="F4205" s="534" t="n">
        <v>0.61</v>
      </c>
    </row>
    <row r="4206">
      <c r="A4206" s="535" t="n">
        <v>37424</v>
      </c>
      <c r="B4206" s="534" t="n">
        <v>10.497</v>
      </c>
      <c r="C4206" s="534" t="n">
        <v>10832.26</v>
      </c>
      <c r="E4206" s="535" t="n">
        <v>41242</v>
      </c>
      <c r="F4206" s="534" t="n">
        <v>0.615</v>
      </c>
    </row>
    <row r="4207">
      <c r="A4207" s="535" t="n">
        <v>37425</v>
      </c>
      <c r="B4207" s="534" t="n">
        <v>10.584</v>
      </c>
      <c r="C4207" s="534" t="n">
        <v>10852.04</v>
      </c>
      <c r="E4207" s="535" t="n">
        <v>41243</v>
      </c>
      <c r="F4207" s="534" t="n">
        <v>0.613</v>
      </c>
    </row>
    <row r="4208">
      <c r="A4208" s="535" t="n">
        <v>37426</v>
      </c>
      <c r="B4208" s="534" t="n">
        <v>10.148</v>
      </c>
      <c r="C4208" s="534" t="n">
        <v>10673.11</v>
      </c>
      <c r="E4208" s="535" t="n">
        <v>41246</v>
      </c>
      <c r="F4208" s="534" t="n">
        <v>0.639</v>
      </c>
    </row>
    <row r="4209">
      <c r="A4209" s="535" t="n">
        <v>37427</v>
      </c>
      <c r="B4209" s="534" t="n">
        <v>10.497</v>
      </c>
      <c r="C4209" s="534" t="n">
        <v>10754.41</v>
      </c>
      <c r="E4209" s="535" t="n">
        <v>41247</v>
      </c>
      <c r="F4209" s="534" t="n">
        <v>0.65</v>
      </c>
    </row>
    <row r="4210">
      <c r="A4210" s="535" t="n">
        <v>37428</v>
      </c>
      <c r="B4210" s="534" t="n">
        <v>10.366</v>
      </c>
      <c r="C4210" s="534" t="n">
        <v>10591.86</v>
      </c>
      <c r="E4210" s="535" t="n">
        <v>41248</v>
      </c>
      <c r="F4210" s="534" t="n">
        <v>0.65</v>
      </c>
    </row>
    <row r="4211">
      <c r="A4211" s="535" t="n">
        <v>37431</v>
      </c>
      <c r="B4211" s="534" t="n">
        <v>10.453</v>
      </c>
      <c r="C4211" s="534" t="n">
        <v>10657.34</v>
      </c>
      <c r="E4211" s="535" t="n">
        <v>41249</v>
      </c>
      <c r="F4211" s="534" t="n">
        <v>0.608</v>
      </c>
    </row>
    <row r="4212">
      <c r="A4212" s="535" t="n">
        <v>37432</v>
      </c>
      <c r="B4212" s="534" t="n">
        <v>10.453</v>
      </c>
      <c r="C4212" s="534" t="n">
        <v>10608.98</v>
      </c>
      <c r="E4212" s="535" t="n">
        <v>41250</v>
      </c>
      <c r="F4212" s="534" t="n">
        <v>0.598</v>
      </c>
    </row>
    <row r="4213">
      <c r="A4213" s="535" t="n">
        <v>37433</v>
      </c>
      <c r="B4213" s="534" t="n">
        <v>10.018</v>
      </c>
      <c r="C4213" s="534" t="n">
        <v>10355.92</v>
      </c>
      <c r="E4213" s="535" t="n">
        <v>41253</v>
      </c>
      <c r="F4213" s="534" t="n">
        <v>0.619</v>
      </c>
    </row>
    <row r="4214">
      <c r="A4214" s="535" t="n">
        <v>37434</v>
      </c>
      <c r="B4214" s="534" t="n">
        <v>10.279</v>
      </c>
      <c r="C4214" s="534" t="n">
        <v>10518.09</v>
      </c>
      <c r="E4214" s="535" t="n">
        <v>41254</v>
      </c>
      <c r="F4214" s="534" t="n">
        <v>0.613</v>
      </c>
    </row>
    <row r="4215">
      <c r="A4215" s="535" t="n">
        <v>37435</v>
      </c>
      <c r="B4215" s="534" t="n">
        <v>10.41</v>
      </c>
      <c r="C4215" s="534" t="n">
        <v>10598.55</v>
      </c>
      <c r="E4215" s="535" t="n">
        <v>41255</v>
      </c>
      <c r="F4215" s="534" t="n">
        <v>0.634</v>
      </c>
    </row>
    <row r="4216">
      <c r="A4216" s="535" t="n">
        <v>37438</v>
      </c>
      <c r="B4216" s="534" t="n">
        <v>10.41</v>
      </c>
      <c r="C4216" s="534" t="n">
        <v>10598.55</v>
      </c>
      <c r="E4216" s="535" t="n">
        <v>41256</v>
      </c>
      <c r="F4216" s="534" t="n">
        <v>0.655</v>
      </c>
    </row>
    <row r="4217">
      <c r="A4217" s="535" t="n">
        <v>37439</v>
      </c>
      <c r="B4217" s="534" t="n">
        <v>10.366</v>
      </c>
      <c r="C4217" s="534" t="n">
        <v>10491.76</v>
      </c>
      <c r="E4217" s="535" t="n">
        <v>41257</v>
      </c>
      <c r="F4217" s="534" t="n">
        <v>0.702</v>
      </c>
    </row>
    <row r="4218">
      <c r="A4218" s="535" t="n">
        <v>37440</v>
      </c>
      <c r="B4218" s="534" t="n">
        <v>10.366</v>
      </c>
      <c r="C4218" s="534" t="n">
        <v>10579.19</v>
      </c>
      <c r="E4218" s="535" t="n">
        <v>41260</v>
      </c>
      <c r="F4218" s="534" t="n">
        <v>0.676</v>
      </c>
    </row>
    <row r="4219">
      <c r="A4219" s="535" t="n">
        <v>37441</v>
      </c>
      <c r="B4219" s="534" t="n">
        <v>10.845</v>
      </c>
      <c r="C4219" s="534" t="n">
        <v>10765.58</v>
      </c>
      <c r="E4219" s="535" t="n">
        <v>41261</v>
      </c>
      <c r="F4219" s="534" t="n">
        <v>0.697</v>
      </c>
    </row>
    <row r="4220">
      <c r="A4220" s="535" t="n">
        <v>37442</v>
      </c>
      <c r="B4220" s="534" t="n">
        <v>10.845</v>
      </c>
      <c r="C4220" s="534" t="n">
        <v>10806.16</v>
      </c>
      <c r="E4220" s="535" t="n">
        <v>41262</v>
      </c>
      <c r="F4220" s="534" t="n">
        <v>0.708</v>
      </c>
    </row>
    <row r="4221">
      <c r="A4221" s="535" t="n">
        <v>37445</v>
      </c>
      <c r="B4221" s="534" t="n">
        <v>10.715</v>
      </c>
      <c r="C4221" s="534" t="n">
        <v>10803.45</v>
      </c>
      <c r="E4221" s="535" t="n">
        <v>41263</v>
      </c>
      <c r="F4221" s="534" t="n">
        <v>0.6820000000000001</v>
      </c>
    </row>
    <row r="4222">
      <c r="A4222" s="535" t="n">
        <v>37446</v>
      </c>
      <c r="B4222" s="534" t="n">
        <v>10.932</v>
      </c>
      <c r="C4222" s="534" t="n">
        <v>10843.15</v>
      </c>
      <c r="E4222" s="535" t="n">
        <v>41264</v>
      </c>
      <c r="F4222" s="534" t="n">
        <v>0.655</v>
      </c>
    </row>
    <row r="4223">
      <c r="A4223" s="535" t="n">
        <v>37447</v>
      </c>
      <c r="B4223" s="534" t="n">
        <v>11.063</v>
      </c>
      <c r="C4223" s="534" t="n">
        <v>10787.54</v>
      </c>
      <c r="E4223" s="535" t="n">
        <v>41267</v>
      </c>
      <c r="F4223" s="534" t="n">
        <v>0.655</v>
      </c>
    </row>
    <row r="4224">
      <c r="A4224" s="535" t="n">
        <v>37448</v>
      </c>
      <c r="B4224" s="534" t="n">
        <v>10.715</v>
      </c>
      <c r="C4224" s="534" t="n">
        <v>10558.81</v>
      </c>
      <c r="E4224" s="535" t="n">
        <v>41268</v>
      </c>
      <c r="F4224" s="534" t="n">
        <v>0.655</v>
      </c>
    </row>
    <row r="4225">
      <c r="A4225" s="535" t="n">
        <v>37449</v>
      </c>
      <c r="B4225" s="534" t="n">
        <v>10.976</v>
      </c>
      <c r="C4225" s="534" t="n">
        <v>10648.3</v>
      </c>
      <c r="E4225" s="535" t="n">
        <v>41269</v>
      </c>
      <c r="F4225" s="534" t="n">
        <v>0.655</v>
      </c>
    </row>
    <row r="4226">
      <c r="A4226" s="535" t="n">
        <v>37452</v>
      </c>
      <c r="B4226" s="534" t="n">
        <v>11.02</v>
      </c>
      <c r="C4226" s="534" t="n">
        <v>10581.66</v>
      </c>
      <c r="E4226" s="535" t="n">
        <v>41270</v>
      </c>
      <c r="F4226" s="534" t="n">
        <v>0.671</v>
      </c>
    </row>
    <row r="4227">
      <c r="A4227" s="535" t="n">
        <v>37453</v>
      </c>
      <c r="B4227" s="534" t="n">
        <v>10.889</v>
      </c>
      <c r="C4227" s="534" t="n">
        <v>10421.49</v>
      </c>
      <c r="E4227" s="535" t="n">
        <v>41271</v>
      </c>
      <c r="F4227" s="534" t="n">
        <v>0.666</v>
      </c>
    </row>
    <row r="4228">
      <c r="A4228" s="535" t="n">
        <v>37454</v>
      </c>
      <c r="B4228" s="534" t="n">
        <v>10.715</v>
      </c>
      <c r="C4228" s="534" t="n">
        <v>10335.12</v>
      </c>
      <c r="E4228" s="535" t="n">
        <v>41274</v>
      </c>
      <c r="F4228" s="534" t="n">
        <v>0.65</v>
      </c>
    </row>
    <row r="4229">
      <c r="A4229" s="535" t="n">
        <v>37455</v>
      </c>
      <c r="B4229" s="534" t="n">
        <v>10.802</v>
      </c>
      <c r="C4229" s="534" t="n">
        <v>10452.55</v>
      </c>
      <c r="E4229" s="535" t="n">
        <v>41275</v>
      </c>
      <c r="F4229" s="534" t="n">
        <v>0.65</v>
      </c>
    </row>
    <row r="4230">
      <c r="A4230" s="535" t="n">
        <v>37456</v>
      </c>
      <c r="B4230" s="534" t="n">
        <v>10.628</v>
      </c>
      <c r="C4230" s="534" t="n">
        <v>10325.46</v>
      </c>
      <c r="E4230" s="535" t="n">
        <v>41276</v>
      </c>
      <c r="F4230" s="534" t="n">
        <v>0.74</v>
      </c>
    </row>
    <row r="4231">
      <c r="A4231" s="535" t="n">
        <v>37459</v>
      </c>
      <c r="B4231" s="534" t="n">
        <v>10.453</v>
      </c>
      <c r="C4231" s="534" t="n">
        <v>10110.25</v>
      </c>
      <c r="E4231" s="535" t="n">
        <v>41277</v>
      </c>
      <c r="F4231" s="534" t="n">
        <v>0.746</v>
      </c>
    </row>
    <row r="4232">
      <c r="A4232" s="535" t="n">
        <v>37460</v>
      </c>
      <c r="B4232" s="534" t="n">
        <v>10.671</v>
      </c>
      <c r="C4232" s="534" t="n">
        <v>10313.89</v>
      </c>
      <c r="E4232" s="535" t="n">
        <v>41278</v>
      </c>
      <c r="F4232" s="534" t="n">
        <v>0.847</v>
      </c>
    </row>
    <row r="4233">
      <c r="A4233" s="535" t="n">
        <v>37461</v>
      </c>
      <c r="B4233" s="534" t="n">
        <v>10.148</v>
      </c>
      <c r="C4233" s="534" t="n">
        <v>9971.99</v>
      </c>
      <c r="E4233" s="535" t="n">
        <v>41281</v>
      </c>
      <c r="F4233" s="534" t="n">
        <v>0.8070000000000001</v>
      </c>
    </row>
    <row r="4234">
      <c r="A4234" s="535" t="n">
        <v>37462</v>
      </c>
      <c r="B4234" s="534" t="n">
        <v>9.887</v>
      </c>
      <c r="C4234" s="534" t="n">
        <v>9884.780000000001</v>
      </c>
      <c r="E4234" s="535" t="n">
        <v>41282</v>
      </c>
      <c r="F4234" s="534" t="n">
        <v>0.8149999999999999</v>
      </c>
    </row>
    <row r="4235">
      <c r="A4235" s="535" t="n">
        <v>37463</v>
      </c>
      <c r="B4235" s="534" t="n">
        <v>9.800000000000001</v>
      </c>
      <c r="C4235" s="534" t="n">
        <v>9773.120000000001</v>
      </c>
      <c r="E4235" s="535" t="n">
        <v>41283</v>
      </c>
      <c r="F4235" s="534" t="n">
        <v>0.858</v>
      </c>
    </row>
    <row r="4236">
      <c r="A4236" s="535" t="n">
        <v>37466</v>
      </c>
      <c r="B4236" s="534" t="n">
        <v>9.800000000000001</v>
      </c>
      <c r="C4236" s="534" t="n">
        <v>9975.99</v>
      </c>
      <c r="E4236" s="535" t="n">
        <v>41284</v>
      </c>
      <c r="F4236" s="534" t="n">
        <v>0.864</v>
      </c>
    </row>
    <row r="4237">
      <c r="A4237" s="535" t="n">
        <v>37467</v>
      </c>
      <c r="B4237" s="534" t="n">
        <v>10.453</v>
      </c>
      <c r="C4237" s="534" t="n">
        <v>10155.25</v>
      </c>
      <c r="E4237" s="535" t="n">
        <v>41285</v>
      </c>
      <c r="F4237" s="534" t="n">
        <v>0.907</v>
      </c>
    </row>
    <row r="4238">
      <c r="A4238" s="535" t="n">
        <v>37468</v>
      </c>
      <c r="B4238" s="534" t="n">
        <v>10.54</v>
      </c>
      <c r="C4238" s="534" t="n">
        <v>10267.36</v>
      </c>
      <c r="E4238" s="535" t="n">
        <v>41288</v>
      </c>
      <c r="F4238" s="534" t="n">
        <v>0.859</v>
      </c>
    </row>
    <row r="4239">
      <c r="A4239" s="535" t="n">
        <v>37469</v>
      </c>
      <c r="B4239" s="534" t="n">
        <v>10.54</v>
      </c>
      <c r="C4239" s="534" t="n">
        <v>10180.02</v>
      </c>
      <c r="E4239" s="535" t="n">
        <v>41289</v>
      </c>
      <c r="F4239" s="534" t="n">
        <v>0.843</v>
      </c>
    </row>
    <row r="4240">
      <c r="A4240" s="535" t="n">
        <v>37470</v>
      </c>
      <c r="B4240" s="534" t="n">
        <v>10.192</v>
      </c>
      <c r="C4240" s="534" t="n">
        <v>9991.719999999999</v>
      </c>
      <c r="E4240" s="535" t="n">
        <v>41290</v>
      </c>
      <c r="F4240" s="534" t="n">
        <v>0.87</v>
      </c>
    </row>
    <row r="4241">
      <c r="A4241" s="535" t="n">
        <v>37473</v>
      </c>
      <c r="B4241" s="534" t="n">
        <v>10.018</v>
      </c>
      <c r="C4241" s="534" t="n">
        <v>9862.33</v>
      </c>
      <c r="E4241" s="535" t="n">
        <v>41291</v>
      </c>
      <c r="F4241" s="534" t="n">
        <v>0.9350000000000001</v>
      </c>
    </row>
    <row r="4242">
      <c r="A4242" s="535" t="n">
        <v>37474</v>
      </c>
      <c r="B4242" s="534" t="n">
        <v>9.321</v>
      </c>
      <c r="C4242" s="534" t="n">
        <v>9700.690000000001</v>
      </c>
      <c r="E4242" s="535" t="n">
        <v>41292</v>
      </c>
      <c r="F4242" s="534" t="n">
        <v>1.072</v>
      </c>
    </row>
    <row r="4243">
      <c r="A4243" s="535" t="n">
        <v>37475</v>
      </c>
      <c r="B4243" s="534" t="n">
        <v>10.279</v>
      </c>
      <c r="C4243" s="534" t="n">
        <v>9977.74</v>
      </c>
      <c r="E4243" s="535" t="n">
        <v>41295</v>
      </c>
      <c r="F4243" s="534" t="n">
        <v>1.039</v>
      </c>
    </row>
    <row r="4244">
      <c r="A4244" s="535" t="n">
        <v>37476</v>
      </c>
      <c r="B4244" s="534" t="n">
        <v>10.671</v>
      </c>
      <c r="C4244" s="534" t="n">
        <v>9962.24</v>
      </c>
      <c r="E4244" s="535" t="n">
        <v>41296</v>
      </c>
      <c r="F4244" s="534" t="n">
        <v>1.039</v>
      </c>
    </row>
    <row r="4245">
      <c r="A4245" s="535" t="n">
        <v>37477</v>
      </c>
      <c r="B4245" s="534" t="n">
        <v>10.758</v>
      </c>
      <c r="C4245" s="534" t="n">
        <v>10014.06</v>
      </c>
      <c r="E4245" s="535" t="n">
        <v>41297</v>
      </c>
      <c r="F4245" s="534" t="n">
        <v>1.001</v>
      </c>
    </row>
    <row r="4246">
      <c r="A4246" s="535" t="n">
        <v>37480</v>
      </c>
      <c r="B4246" s="534" t="n">
        <v>10.584</v>
      </c>
      <c r="C4246" s="534" t="n">
        <v>9959.92</v>
      </c>
      <c r="E4246" s="535" t="n">
        <v>41298</v>
      </c>
      <c r="F4246" s="534" t="n">
        <v>1.012</v>
      </c>
    </row>
    <row r="4247">
      <c r="A4247" s="535" t="n">
        <v>37481</v>
      </c>
      <c r="B4247" s="534" t="n">
        <v>10.453</v>
      </c>
      <c r="C4247" s="534" t="n">
        <v>10100.06</v>
      </c>
      <c r="E4247" s="535" t="n">
        <v>41299</v>
      </c>
      <c r="F4247" s="534" t="n">
        <v>1.04</v>
      </c>
    </row>
    <row r="4248">
      <c r="A4248" s="535" t="n">
        <v>37482</v>
      </c>
      <c r="B4248" s="534" t="n">
        <v>10.105</v>
      </c>
      <c r="C4248" s="534" t="n">
        <v>9961.35</v>
      </c>
      <c r="E4248" s="535" t="n">
        <v>41302</v>
      </c>
      <c r="F4248" s="534" t="n">
        <v>1.146</v>
      </c>
    </row>
    <row r="4249">
      <c r="A4249" s="535" t="n">
        <v>37483</v>
      </c>
      <c r="B4249" s="534" t="n">
        <v>10.671</v>
      </c>
      <c r="C4249" s="534" t="n">
        <v>10219.71</v>
      </c>
      <c r="E4249" s="535" t="n">
        <v>41303</v>
      </c>
      <c r="F4249" s="534" t="n">
        <v>1.151</v>
      </c>
    </row>
    <row r="4250">
      <c r="A4250" s="535" t="n">
        <v>37484</v>
      </c>
      <c r="B4250" s="534" t="n">
        <v>10.889</v>
      </c>
      <c r="C4250" s="534" t="n">
        <v>10265.04</v>
      </c>
      <c r="E4250" s="535" t="n">
        <v>41304</v>
      </c>
      <c r="F4250" s="534" t="n">
        <v>1.258</v>
      </c>
    </row>
    <row r="4251">
      <c r="A4251" s="535" t="n">
        <v>37487</v>
      </c>
      <c r="B4251" s="534" t="n">
        <v>10.802</v>
      </c>
      <c r="C4251" s="534" t="n">
        <v>10246.96</v>
      </c>
      <c r="E4251" s="535" t="n">
        <v>41305</v>
      </c>
      <c r="F4251" s="534" t="n">
        <v>1.264</v>
      </c>
    </row>
    <row r="4252">
      <c r="A4252" s="535" t="n">
        <v>37488</v>
      </c>
      <c r="B4252" s="534" t="n">
        <v>10.54</v>
      </c>
      <c r="C4252" s="534" t="n">
        <v>10408.01</v>
      </c>
      <c r="E4252" s="535" t="n">
        <v>41306</v>
      </c>
      <c r="F4252" s="534" t="n">
        <v>1.293</v>
      </c>
    </row>
    <row r="4253">
      <c r="A4253" s="535" t="n">
        <v>37489</v>
      </c>
      <c r="B4253" s="534" t="n">
        <v>10.628</v>
      </c>
      <c r="C4253" s="534" t="n">
        <v>10402.26</v>
      </c>
      <c r="E4253" s="535" t="n">
        <v>41309</v>
      </c>
      <c r="F4253" s="534" t="n">
        <v>1.373</v>
      </c>
    </row>
    <row r="4254">
      <c r="A4254" s="535" t="n">
        <v>37490</v>
      </c>
      <c r="B4254" s="534" t="n">
        <v>10.628</v>
      </c>
      <c r="C4254" s="534" t="n">
        <v>10424</v>
      </c>
      <c r="E4254" s="535" t="n">
        <v>41310</v>
      </c>
      <c r="F4254" s="534" t="n">
        <v>1.316</v>
      </c>
    </row>
    <row r="4255">
      <c r="A4255" s="535" t="n">
        <v>37491</v>
      </c>
      <c r="B4255" s="534" t="n">
        <v>10.54</v>
      </c>
      <c r="C4255" s="534" t="n">
        <v>10245.69</v>
      </c>
      <c r="E4255" s="535" t="n">
        <v>41311</v>
      </c>
      <c r="F4255" s="534" t="n">
        <v>1.334</v>
      </c>
    </row>
    <row r="4256">
      <c r="A4256" s="535" t="n">
        <v>37494</v>
      </c>
      <c r="B4256" s="534" t="n">
        <v>10.41</v>
      </c>
      <c r="C4256" s="534" t="n">
        <v>10226.33</v>
      </c>
      <c r="E4256" s="535" t="n">
        <v>41312</v>
      </c>
      <c r="F4256" s="534" t="n">
        <v>1.305</v>
      </c>
    </row>
    <row r="4257">
      <c r="A4257" s="535" t="n">
        <v>37495</v>
      </c>
      <c r="B4257" s="534" t="n">
        <v>10.236</v>
      </c>
      <c r="C4257" s="534" t="n">
        <v>10185.52</v>
      </c>
      <c r="E4257" s="535" t="n">
        <v>41313</v>
      </c>
      <c r="F4257" s="534" t="n">
        <v>1.263</v>
      </c>
    </row>
    <row r="4258">
      <c r="A4258" s="535" t="n">
        <v>37496</v>
      </c>
      <c r="B4258" s="534" t="n">
        <v>10.279</v>
      </c>
      <c r="C4258" s="534" t="n">
        <v>10130.25</v>
      </c>
      <c r="E4258" s="535" t="n">
        <v>41316</v>
      </c>
      <c r="F4258" s="534" t="n">
        <v>1.263</v>
      </c>
    </row>
    <row r="4259">
      <c r="A4259" s="535" t="n">
        <v>37497</v>
      </c>
      <c r="B4259" s="534" t="n">
        <v>10.236</v>
      </c>
      <c r="C4259" s="534" t="n">
        <v>10061.15</v>
      </c>
      <c r="E4259" s="535" t="n">
        <v>41317</v>
      </c>
      <c r="F4259" s="534" t="n">
        <v>1.263</v>
      </c>
    </row>
    <row r="4260">
      <c r="A4260" s="535" t="n">
        <v>37498</v>
      </c>
      <c r="B4260" s="534" t="n">
        <v>10.497</v>
      </c>
      <c r="C4260" s="534" t="n">
        <v>10043.87</v>
      </c>
      <c r="E4260" s="535" t="n">
        <v>41318</v>
      </c>
      <c r="F4260" s="534" t="n">
        <v>1.263</v>
      </c>
    </row>
    <row r="4261">
      <c r="A4261" s="535" t="n">
        <v>37501</v>
      </c>
      <c r="B4261" s="534" t="n">
        <v>10.584</v>
      </c>
      <c r="C4261" s="534" t="n">
        <v>9896.98</v>
      </c>
      <c r="E4261" s="535" t="n">
        <v>41319</v>
      </c>
      <c r="F4261" s="534" t="n">
        <v>1.335</v>
      </c>
    </row>
    <row r="4262">
      <c r="A4262" s="535" t="n">
        <v>37502</v>
      </c>
      <c r="B4262" s="534" t="n">
        <v>10.366</v>
      </c>
      <c r="C4262" s="534" t="n">
        <v>9790.68</v>
      </c>
      <c r="E4262" s="535" t="n">
        <v>41320</v>
      </c>
      <c r="F4262" s="534" t="n">
        <v>1.302</v>
      </c>
    </row>
    <row r="4263">
      <c r="A4263" s="535" t="n">
        <v>37503</v>
      </c>
      <c r="B4263" s="534" t="n">
        <v>10.366</v>
      </c>
      <c r="C4263" s="534" t="n">
        <v>9820.33</v>
      </c>
      <c r="E4263" s="535" t="n">
        <v>41323</v>
      </c>
      <c r="F4263" s="534" t="n">
        <v>1.353</v>
      </c>
    </row>
    <row r="4264">
      <c r="A4264" s="535" t="n">
        <v>37504</v>
      </c>
      <c r="B4264" s="534" t="n">
        <v>9.800000000000001</v>
      </c>
      <c r="C4264" s="534" t="n">
        <v>9726.030000000001</v>
      </c>
      <c r="E4264" s="535" t="n">
        <v>41324</v>
      </c>
      <c r="F4264" s="534" t="n">
        <v>1.359</v>
      </c>
    </row>
    <row r="4265">
      <c r="A4265" s="535" t="n">
        <v>37505</v>
      </c>
      <c r="B4265" s="534" t="n">
        <v>9.364000000000001</v>
      </c>
      <c r="C4265" s="534" t="n">
        <v>9720.860000000001</v>
      </c>
      <c r="E4265" s="535" t="n">
        <v>41325</v>
      </c>
      <c r="F4265" s="534" t="n">
        <v>1.377</v>
      </c>
    </row>
    <row r="4266">
      <c r="A4266" s="535" t="n">
        <v>37508</v>
      </c>
      <c r="B4266" s="534" t="n">
        <v>9.016</v>
      </c>
      <c r="C4266" s="534" t="n">
        <v>9723.67</v>
      </c>
      <c r="E4266" s="535" t="n">
        <v>41326</v>
      </c>
      <c r="F4266" s="534" t="n">
        <v>1.365</v>
      </c>
    </row>
    <row r="4267">
      <c r="A4267" s="535" t="n">
        <v>37509</v>
      </c>
      <c r="B4267" s="534" t="n">
        <v>9.364000000000001</v>
      </c>
      <c r="C4267" s="534" t="n">
        <v>9885.77</v>
      </c>
      <c r="E4267" s="535" t="n">
        <v>41327</v>
      </c>
      <c r="F4267" s="534" t="n">
        <v>1.349</v>
      </c>
    </row>
    <row r="4268">
      <c r="A4268" s="535" t="n">
        <v>37510</v>
      </c>
      <c r="B4268" s="534" t="n">
        <v>9.276999999999999</v>
      </c>
      <c r="C4268" s="534" t="n">
        <v>9882.35</v>
      </c>
      <c r="E4268" s="535" t="n">
        <v>41330</v>
      </c>
      <c r="F4268" s="534" t="n">
        <v>1.349</v>
      </c>
    </row>
    <row r="4269">
      <c r="A4269" s="535" t="n">
        <v>37511</v>
      </c>
      <c r="B4269" s="534" t="n">
        <v>9.452</v>
      </c>
      <c r="C4269" s="534" t="n">
        <v>9896.33</v>
      </c>
      <c r="E4269" s="535" t="n">
        <v>41331</v>
      </c>
      <c r="F4269" s="534" t="n">
        <v>1.264</v>
      </c>
    </row>
    <row r="4270">
      <c r="A4270" s="535" t="n">
        <v>37512</v>
      </c>
      <c r="B4270" s="534" t="n">
        <v>9.147</v>
      </c>
      <c r="C4270" s="534" t="n">
        <v>9650.969999999999</v>
      </c>
      <c r="E4270" s="535" t="n">
        <v>41332</v>
      </c>
      <c r="F4270" s="534" t="n">
        <v>1.179</v>
      </c>
    </row>
    <row r="4271">
      <c r="A4271" s="535" t="n">
        <v>37515</v>
      </c>
      <c r="B4271" s="534" t="n">
        <v>8.755000000000001</v>
      </c>
      <c r="C4271" s="534" t="n">
        <v>9505.129999999999</v>
      </c>
      <c r="E4271" s="535" t="n">
        <v>41333</v>
      </c>
      <c r="F4271" s="534" t="n">
        <v>1.213</v>
      </c>
    </row>
    <row r="4272">
      <c r="A4272" s="535" t="n">
        <v>37516</v>
      </c>
      <c r="B4272" s="534" t="n">
        <v>9.321</v>
      </c>
      <c r="C4272" s="534" t="n">
        <v>9707.25</v>
      </c>
      <c r="E4272" s="535" t="n">
        <v>41334</v>
      </c>
      <c r="F4272" s="534" t="n">
        <v>1.211</v>
      </c>
    </row>
    <row r="4273">
      <c r="A4273" s="535" t="n">
        <v>37517</v>
      </c>
      <c r="B4273" s="534" t="n">
        <v>9.276999999999999</v>
      </c>
      <c r="C4273" s="534" t="n">
        <v>9474.07</v>
      </c>
      <c r="E4273" s="535" t="n">
        <v>41337</v>
      </c>
      <c r="F4273" s="534" t="n">
        <v>1.197</v>
      </c>
    </row>
    <row r="4274">
      <c r="A4274" s="535" t="n">
        <v>37518</v>
      </c>
      <c r="B4274" s="534" t="n">
        <v>9.494999999999999</v>
      </c>
      <c r="C4274" s="534" t="n">
        <v>9427.790000000001</v>
      </c>
      <c r="E4274" s="535" t="n">
        <v>41338</v>
      </c>
      <c r="F4274" s="534" t="n">
        <v>1.231</v>
      </c>
    </row>
    <row r="4275">
      <c r="A4275" s="535" t="n">
        <v>37519</v>
      </c>
      <c r="B4275" s="534" t="n">
        <v>9.276999999999999</v>
      </c>
      <c r="C4275" s="534" t="n">
        <v>9328.219999999999</v>
      </c>
      <c r="E4275" s="535" t="n">
        <v>41339</v>
      </c>
      <c r="F4275" s="534" t="n">
        <v>1.242</v>
      </c>
    </row>
    <row r="4276">
      <c r="A4276" s="535" t="n">
        <v>37522</v>
      </c>
      <c r="B4276" s="534" t="n">
        <v>9.147</v>
      </c>
      <c r="C4276" s="534" t="n">
        <v>9314.870000000001</v>
      </c>
      <c r="E4276" s="535" t="n">
        <v>41340</v>
      </c>
      <c r="F4276" s="534" t="n">
        <v>1.248</v>
      </c>
    </row>
    <row r="4277">
      <c r="A4277" s="535" t="n">
        <v>37523</v>
      </c>
      <c r="B4277" s="534" t="n">
        <v>9.06</v>
      </c>
      <c r="C4277" s="534" t="n">
        <v>9197.68</v>
      </c>
      <c r="E4277" s="535" t="n">
        <v>41341</v>
      </c>
      <c r="F4277" s="534" t="n">
        <v>1.266</v>
      </c>
    </row>
    <row r="4278">
      <c r="A4278" s="535" t="n">
        <v>37524</v>
      </c>
      <c r="B4278" s="534" t="n">
        <v>9.016</v>
      </c>
      <c r="C4278" s="534" t="n">
        <v>9124.91</v>
      </c>
      <c r="E4278" s="535" t="n">
        <v>41344</v>
      </c>
      <c r="F4278" s="534" t="n">
        <v>1.312</v>
      </c>
    </row>
    <row r="4279">
      <c r="A4279" s="535" t="n">
        <v>37525</v>
      </c>
      <c r="B4279" s="534" t="n">
        <v>9.06</v>
      </c>
      <c r="C4279" s="534" t="n">
        <v>9270.709999999999</v>
      </c>
      <c r="E4279" s="535" t="n">
        <v>41345</v>
      </c>
      <c r="F4279" s="534" t="n">
        <v>1.312</v>
      </c>
    </row>
    <row r="4280">
      <c r="A4280" s="535" t="n">
        <v>37526</v>
      </c>
      <c r="B4280" s="534" t="n">
        <v>9.234</v>
      </c>
      <c r="C4280" s="534" t="n">
        <v>9294.459999999999</v>
      </c>
      <c r="E4280" s="535" t="n">
        <v>41346</v>
      </c>
      <c r="F4280" s="534" t="n">
        <v>1.272</v>
      </c>
    </row>
    <row r="4281">
      <c r="A4281" s="535" t="n">
        <v>37529</v>
      </c>
      <c r="B4281" s="534" t="n">
        <v>9.19</v>
      </c>
      <c r="C4281" s="534" t="n">
        <v>9072.209999999999</v>
      </c>
      <c r="E4281" s="535" t="n">
        <v>41347</v>
      </c>
      <c r="F4281" s="534" t="n">
        <v>1.284</v>
      </c>
    </row>
    <row r="4282">
      <c r="A4282" s="535" t="n">
        <v>37530</v>
      </c>
      <c r="B4282" s="534" t="n">
        <v>9.19</v>
      </c>
      <c r="C4282" s="534" t="n">
        <v>9072.209999999999</v>
      </c>
      <c r="E4282" s="535" t="n">
        <v>41348</v>
      </c>
      <c r="F4282" s="534" t="n">
        <v>1.296</v>
      </c>
    </row>
    <row r="4283">
      <c r="A4283" s="535" t="n">
        <v>37531</v>
      </c>
      <c r="B4283" s="534" t="n">
        <v>9.364000000000001</v>
      </c>
      <c r="C4283" s="534" t="n">
        <v>9109.35</v>
      </c>
      <c r="E4283" s="535" t="n">
        <v>41351</v>
      </c>
      <c r="F4283" s="534" t="n">
        <v>1.211</v>
      </c>
    </row>
    <row r="4284">
      <c r="A4284" s="535" t="n">
        <v>37532</v>
      </c>
      <c r="B4284" s="534" t="n">
        <v>9.452</v>
      </c>
      <c r="C4284" s="534" t="n">
        <v>8984.32</v>
      </c>
      <c r="E4284" s="535" t="n">
        <v>41352</v>
      </c>
      <c r="F4284" s="534" t="n">
        <v>1.245</v>
      </c>
    </row>
    <row r="4285">
      <c r="A4285" s="535" t="n">
        <v>37533</v>
      </c>
      <c r="B4285" s="534" t="n">
        <v>9.756</v>
      </c>
      <c r="C4285" s="534" t="n">
        <v>9051.370000000001</v>
      </c>
      <c r="E4285" s="535" t="n">
        <v>41353</v>
      </c>
      <c r="F4285" s="534" t="n">
        <v>1.194</v>
      </c>
    </row>
    <row r="4286">
      <c r="A4286" s="535" t="n">
        <v>37536</v>
      </c>
      <c r="B4286" s="534" t="n">
        <v>9.669</v>
      </c>
      <c r="C4286" s="534" t="n">
        <v>8931.4</v>
      </c>
      <c r="E4286" s="535" t="n">
        <v>41354</v>
      </c>
      <c r="F4286" s="534" t="n">
        <v>1.24</v>
      </c>
    </row>
    <row r="4287">
      <c r="A4287" s="535" t="n">
        <v>37537</v>
      </c>
      <c r="B4287" s="534" t="n">
        <v>9.582000000000001</v>
      </c>
      <c r="C4287" s="534" t="n">
        <v>8977.41</v>
      </c>
      <c r="E4287" s="535" t="n">
        <v>41355</v>
      </c>
      <c r="F4287" s="534" t="n">
        <v>1.223</v>
      </c>
    </row>
    <row r="4288">
      <c r="A4288" s="535" t="n">
        <v>37538</v>
      </c>
      <c r="B4288" s="534" t="n">
        <v>9.669</v>
      </c>
      <c r="C4288" s="534" t="n">
        <v>8977.35</v>
      </c>
      <c r="E4288" s="535" t="n">
        <v>41358</v>
      </c>
      <c r="F4288" s="534" t="n">
        <v>1.28</v>
      </c>
    </row>
    <row r="4289">
      <c r="A4289" s="535" t="n">
        <v>37539</v>
      </c>
      <c r="B4289" s="534" t="n">
        <v>9.494999999999999</v>
      </c>
      <c r="C4289" s="534" t="n">
        <v>8858.690000000001</v>
      </c>
      <c r="E4289" s="535" t="n">
        <v>41359</v>
      </c>
      <c r="F4289" s="534" t="n">
        <v>1.281</v>
      </c>
    </row>
    <row r="4290">
      <c r="A4290" s="535" t="n">
        <v>37540</v>
      </c>
      <c r="B4290" s="534" t="n">
        <v>9.756</v>
      </c>
      <c r="C4290" s="534" t="n">
        <v>8965.73</v>
      </c>
      <c r="E4290" s="535" t="n">
        <v>41360</v>
      </c>
      <c r="F4290" s="534" t="n">
        <v>1.229</v>
      </c>
    </row>
    <row r="4291">
      <c r="A4291" s="535" t="n">
        <v>37543</v>
      </c>
      <c r="B4291" s="534" t="n">
        <v>9.756</v>
      </c>
      <c r="C4291" s="534" t="n">
        <v>8965.73</v>
      </c>
      <c r="E4291" s="535" t="n">
        <v>41361</v>
      </c>
      <c r="F4291" s="534" t="n">
        <v>1.156</v>
      </c>
    </row>
    <row r="4292">
      <c r="A4292" s="535" t="n">
        <v>37544</v>
      </c>
      <c r="B4292" s="534" t="n">
        <v>9.930999999999999</v>
      </c>
      <c r="C4292" s="534" t="n">
        <v>9336.389999999999</v>
      </c>
      <c r="E4292" s="535" t="n">
        <v>41362</v>
      </c>
      <c r="F4292" s="534" t="n">
        <v>1.156</v>
      </c>
    </row>
    <row r="4293">
      <c r="A4293" s="535" t="n">
        <v>37545</v>
      </c>
      <c r="B4293" s="534" t="n">
        <v>9.843999999999999</v>
      </c>
      <c r="C4293" s="534" t="n">
        <v>9459.139999999999</v>
      </c>
      <c r="E4293" s="535" t="n">
        <v>41365</v>
      </c>
      <c r="F4293" s="534" t="n">
        <v>1.156</v>
      </c>
    </row>
    <row r="4294">
      <c r="A4294" s="535" t="n">
        <v>37546</v>
      </c>
      <c r="B4294" s="534" t="n">
        <v>9.930999999999999</v>
      </c>
      <c r="C4294" s="534" t="n">
        <v>9576.15</v>
      </c>
      <c r="E4294" s="535" t="n">
        <v>41366</v>
      </c>
      <c r="F4294" s="534" t="n">
        <v>1.145</v>
      </c>
    </row>
    <row r="4295">
      <c r="A4295" s="535" t="n">
        <v>37547</v>
      </c>
      <c r="B4295" s="534" t="n">
        <v>10.279</v>
      </c>
      <c r="C4295" s="534" t="n">
        <v>9613.07</v>
      </c>
      <c r="E4295" s="535" t="n">
        <v>41367</v>
      </c>
      <c r="F4295" s="534" t="n">
        <v>1.168</v>
      </c>
    </row>
    <row r="4296">
      <c r="A4296" s="535" t="n">
        <v>37550</v>
      </c>
      <c r="B4296" s="534" t="n">
        <v>9.974</v>
      </c>
      <c r="C4296" s="534" t="n">
        <v>9570.360000000001</v>
      </c>
      <c r="E4296" s="535" t="n">
        <v>41368</v>
      </c>
      <c r="F4296" s="534" t="n">
        <v>1.168</v>
      </c>
    </row>
    <row r="4297">
      <c r="A4297" s="535" t="n">
        <v>37551</v>
      </c>
      <c r="B4297" s="534" t="n">
        <v>10.061</v>
      </c>
      <c r="C4297" s="534" t="n">
        <v>9548.940000000001</v>
      </c>
      <c r="E4297" s="535" t="n">
        <v>41369</v>
      </c>
      <c r="F4297" s="534" t="n">
        <v>1.089</v>
      </c>
    </row>
    <row r="4298">
      <c r="A4298" s="535" t="n">
        <v>37552</v>
      </c>
      <c r="B4298" s="534" t="n">
        <v>10.148</v>
      </c>
      <c r="C4298" s="534" t="n">
        <v>9804.65</v>
      </c>
      <c r="E4298" s="535" t="n">
        <v>41372</v>
      </c>
      <c r="F4298" s="534" t="n">
        <v>1.038</v>
      </c>
    </row>
    <row r="4299">
      <c r="A4299" s="535" t="n">
        <v>37553</v>
      </c>
      <c r="B4299" s="534" t="n">
        <v>10.279</v>
      </c>
      <c r="C4299" s="534" t="n">
        <v>9787.49</v>
      </c>
      <c r="E4299" s="535" t="n">
        <v>41373</v>
      </c>
      <c r="F4299" s="534" t="n">
        <v>1.033</v>
      </c>
    </row>
    <row r="4300">
      <c r="A4300" s="535" t="n">
        <v>37554</v>
      </c>
      <c r="B4300" s="534" t="n">
        <v>10.279</v>
      </c>
      <c r="C4300" s="534" t="n">
        <v>9722.540000000001</v>
      </c>
      <c r="E4300" s="535" t="n">
        <v>41374</v>
      </c>
      <c r="F4300" s="534" t="n">
        <v>1.005</v>
      </c>
    </row>
    <row r="4301">
      <c r="A4301" s="535" t="n">
        <v>37557</v>
      </c>
      <c r="B4301" s="534" t="n">
        <v>10.279</v>
      </c>
      <c r="C4301" s="534" t="n">
        <v>9853.74</v>
      </c>
      <c r="E4301" s="535" t="n">
        <v>41375</v>
      </c>
      <c r="F4301" s="534" t="n">
        <v>1.022</v>
      </c>
    </row>
    <row r="4302">
      <c r="A4302" s="535" t="n">
        <v>37558</v>
      </c>
      <c r="B4302" s="534" t="n">
        <v>9.930999999999999</v>
      </c>
      <c r="C4302" s="534" t="n">
        <v>9634.67</v>
      </c>
      <c r="E4302" s="535" t="n">
        <v>41376</v>
      </c>
      <c r="F4302" s="534" t="n">
        <v>0.994</v>
      </c>
    </row>
    <row r="4303">
      <c r="A4303" s="535" t="n">
        <v>37559</v>
      </c>
      <c r="B4303" s="534" t="n">
        <v>9.800000000000001</v>
      </c>
      <c r="C4303" s="534" t="n">
        <v>9560.459999999999</v>
      </c>
      <c r="E4303" s="535" t="n">
        <v>41379</v>
      </c>
      <c r="F4303" s="534" t="n">
        <v>0.961</v>
      </c>
    </row>
    <row r="4304">
      <c r="A4304" s="535" t="n">
        <v>37560</v>
      </c>
      <c r="B4304" s="534" t="n">
        <v>9.539</v>
      </c>
      <c r="C4304" s="534" t="n">
        <v>9441.25</v>
      </c>
      <c r="E4304" s="535" t="n">
        <v>41380</v>
      </c>
      <c r="F4304" s="534" t="n">
        <v>0.95</v>
      </c>
    </row>
    <row r="4305">
      <c r="A4305" s="535" t="n">
        <v>37561</v>
      </c>
      <c r="B4305" s="534" t="n">
        <v>9.452</v>
      </c>
      <c r="C4305" s="534" t="n">
        <v>9407.68</v>
      </c>
      <c r="E4305" s="535" t="n">
        <v>41381</v>
      </c>
      <c r="F4305" s="534" t="n">
        <v>0.961</v>
      </c>
    </row>
    <row r="4306">
      <c r="A4306" s="535" t="n">
        <v>37564</v>
      </c>
      <c r="B4306" s="534" t="n">
        <v>10.105</v>
      </c>
      <c r="C4306" s="534" t="n">
        <v>9720.83</v>
      </c>
      <c r="E4306" s="535" t="n">
        <v>41382</v>
      </c>
      <c r="F4306" s="534" t="n">
        <v>0.945</v>
      </c>
    </row>
    <row r="4307">
      <c r="A4307" s="535" t="n">
        <v>37565</v>
      </c>
      <c r="B4307" s="534" t="n">
        <v>10.018</v>
      </c>
      <c r="C4307" s="534" t="n">
        <v>9655.360000000001</v>
      </c>
      <c r="E4307" s="535" t="n">
        <v>41383</v>
      </c>
      <c r="F4307" s="534" t="n">
        <v>0.956</v>
      </c>
    </row>
    <row r="4308">
      <c r="A4308" s="535" t="n">
        <v>37566</v>
      </c>
      <c r="B4308" s="534" t="n">
        <v>10.192</v>
      </c>
      <c r="C4308" s="534" t="n">
        <v>9773.98</v>
      </c>
      <c r="E4308" s="535" t="n">
        <v>41386</v>
      </c>
      <c r="F4308" s="534" t="n">
        <v>0.956</v>
      </c>
    </row>
    <row r="4309">
      <c r="A4309" s="535" t="n">
        <v>37567</v>
      </c>
      <c r="B4309" s="534" t="n">
        <v>10.236</v>
      </c>
      <c r="C4309" s="534" t="n">
        <v>9844.379999999999</v>
      </c>
      <c r="E4309" s="535" t="n">
        <v>41387</v>
      </c>
      <c r="F4309" s="534" t="n">
        <v>0.923</v>
      </c>
    </row>
    <row r="4310">
      <c r="A4310" s="535" t="n">
        <v>37568</v>
      </c>
      <c r="B4310" s="534" t="n">
        <v>10.061</v>
      </c>
      <c r="C4310" s="534" t="n">
        <v>9770.68</v>
      </c>
      <c r="E4310" s="535" t="n">
        <v>41388</v>
      </c>
      <c r="F4310" s="534" t="n">
        <v>0.951</v>
      </c>
    </row>
    <row r="4311">
      <c r="A4311" s="535" t="n">
        <v>37571</v>
      </c>
      <c r="B4311" s="534" t="n">
        <v>9.843999999999999</v>
      </c>
      <c r="C4311" s="534" t="n">
        <v>9580.879999999999</v>
      </c>
      <c r="E4311" s="535" t="n">
        <v>41389</v>
      </c>
      <c r="F4311" s="534" t="n">
        <v>0.9340000000000001</v>
      </c>
    </row>
    <row r="4312">
      <c r="A4312" s="535" t="n">
        <v>37572</v>
      </c>
      <c r="B4312" s="534" t="n">
        <v>9.669</v>
      </c>
      <c r="C4312" s="534" t="n">
        <v>9613.84</v>
      </c>
      <c r="E4312" s="535" t="n">
        <v>41390</v>
      </c>
      <c r="F4312" s="534" t="n">
        <v>0.9399999999999999</v>
      </c>
    </row>
    <row r="4313">
      <c r="A4313" s="535" t="n">
        <v>37573</v>
      </c>
      <c r="B4313" s="534" t="n">
        <v>9.539</v>
      </c>
      <c r="C4313" s="534" t="n">
        <v>9616.620000000001</v>
      </c>
      <c r="E4313" s="535" t="n">
        <v>41393</v>
      </c>
      <c r="F4313" s="534" t="n">
        <v>0.918</v>
      </c>
    </row>
    <row r="4314">
      <c r="A4314" s="535" t="n">
        <v>37574</v>
      </c>
      <c r="B4314" s="534" t="n">
        <v>9.625999999999999</v>
      </c>
      <c r="C4314" s="534" t="n">
        <v>9740.84</v>
      </c>
      <c r="E4314" s="535" t="n">
        <v>41394</v>
      </c>
      <c r="F4314" s="534" t="n">
        <v>0.901</v>
      </c>
    </row>
    <row r="4315">
      <c r="A4315" s="535" t="n">
        <v>37575</v>
      </c>
      <c r="B4315" s="534" t="n">
        <v>9.930999999999999</v>
      </c>
      <c r="C4315" s="534" t="n">
        <v>9865.65</v>
      </c>
      <c r="E4315" s="535" t="n">
        <v>41395</v>
      </c>
      <c r="F4315" s="534" t="n">
        <v>0.901</v>
      </c>
    </row>
    <row r="4316">
      <c r="A4316" s="535" t="n">
        <v>37578</v>
      </c>
      <c r="B4316" s="534" t="n">
        <v>9.800000000000001</v>
      </c>
      <c r="C4316" s="534" t="n">
        <v>9920.09</v>
      </c>
      <c r="E4316" s="535" t="n">
        <v>41396</v>
      </c>
      <c r="F4316" s="534" t="n">
        <v>0.879</v>
      </c>
    </row>
    <row r="4317">
      <c r="A4317" s="535" t="n">
        <v>37579</v>
      </c>
      <c r="B4317" s="534" t="n">
        <v>9.800000000000001</v>
      </c>
      <c r="C4317" s="534" t="n">
        <v>9965.030000000001</v>
      </c>
      <c r="E4317" s="535" t="n">
        <v>41397</v>
      </c>
      <c r="F4317" s="534" t="n">
        <v>0.879</v>
      </c>
    </row>
    <row r="4318">
      <c r="A4318" s="535" t="n">
        <v>37580</v>
      </c>
      <c r="B4318" s="534" t="n">
        <v>9.756</v>
      </c>
      <c r="C4318" s="534" t="n">
        <v>9971.15</v>
      </c>
      <c r="E4318" s="535" t="n">
        <v>41400</v>
      </c>
      <c r="F4318" s="534" t="n">
        <v>0.958</v>
      </c>
    </row>
    <row r="4319">
      <c r="A4319" s="535" t="n">
        <v>37581</v>
      </c>
      <c r="B4319" s="534" t="n">
        <v>9.800000000000001</v>
      </c>
      <c r="C4319" s="534" t="n">
        <v>10003.54</v>
      </c>
      <c r="E4319" s="535" t="n">
        <v>41401</v>
      </c>
      <c r="F4319" s="534" t="n">
        <v>0.969</v>
      </c>
    </row>
    <row r="4320">
      <c r="A4320" s="535" t="n">
        <v>37582</v>
      </c>
      <c r="B4320" s="534" t="n">
        <v>9.800000000000001</v>
      </c>
      <c r="C4320" s="534" t="n">
        <v>10065.32</v>
      </c>
      <c r="E4320" s="535" t="n">
        <v>41402</v>
      </c>
      <c r="F4320" s="534" t="n">
        <v>0.98</v>
      </c>
    </row>
    <row r="4321">
      <c r="A4321" s="535" t="n">
        <v>37585</v>
      </c>
      <c r="B4321" s="534" t="n">
        <v>9.800000000000001</v>
      </c>
      <c r="C4321" s="534" t="n">
        <v>10100.77</v>
      </c>
      <c r="E4321" s="535" t="n">
        <v>41403</v>
      </c>
      <c r="F4321" s="534" t="n">
        <v>0.964</v>
      </c>
    </row>
    <row r="4322">
      <c r="A4322" s="535" t="n">
        <v>37586</v>
      </c>
      <c r="B4322" s="534" t="n">
        <v>9.887</v>
      </c>
      <c r="C4322" s="534" t="n">
        <v>9995.52</v>
      </c>
      <c r="E4322" s="535" t="n">
        <v>41404</v>
      </c>
      <c r="F4322" s="534" t="n">
        <v>1.032</v>
      </c>
    </row>
    <row r="4323">
      <c r="A4323" s="535" t="n">
        <v>37587</v>
      </c>
      <c r="B4323" s="534" t="n">
        <v>9.800000000000001</v>
      </c>
      <c r="C4323" s="534" t="n">
        <v>9944.59</v>
      </c>
      <c r="E4323" s="535" t="n">
        <v>41407</v>
      </c>
      <c r="F4323" s="534" t="n">
        <v>1.085</v>
      </c>
    </row>
    <row r="4324">
      <c r="A4324" s="535" t="n">
        <v>37588</v>
      </c>
      <c r="B4324" s="534" t="n">
        <v>10.061</v>
      </c>
      <c r="C4324" s="534" t="n">
        <v>10147.84</v>
      </c>
      <c r="E4324" s="535" t="n">
        <v>41408</v>
      </c>
      <c r="F4324" s="534" t="n">
        <v>1.083</v>
      </c>
    </row>
    <row r="4325">
      <c r="A4325" s="535" t="n">
        <v>37589</v>
      </c>
      <c r="B4325" s="534" t="n">
        <v>9.887</v>
      </c>
      <c r="C4325" s="534" t="n">
        <v>10069.87</v>
      </c>
      <c r="E4325" s="535" t="n">
        <v>41409</v>
      </c>
      <c r="F4325" s="534" t="n">
        <v>1.1</v>
      </c>
    </row>
    <row r="4326">
      <c r="A4326" s="535" t="n">
        <v>37592</v>
      </c>
      <c r="B4326" s="534" t="n">
        <v>10.105</v>
      </c>
      <c r="C4326" s="534" t="n">
        <v>10205.16</v>
      </c>
      <c r="E4326" s="535" t="n">
        <v>41410</v>
      </c>
      <c r="F4326" s="534" t="n">
        <v>1.09</v>
      </c>
    </row>
    <row r="4327">
      <c r="A4327" s="535" t="n">
        <v>37593</v>
      </c>
      <c r="B4327" s="534" t="n">
        <v>10.236</v>
      </c>
      <c r="C4327" s="534" t="n">
        <v>10227.01</v>
      </c>
      <c r="E4327" s="535" t="n">
        <v>41411</v>
      </c>
      <c r="F4327" s="534" t="n">
        <v>1.09</v>
      </c>
    </row>
    <row r="4328">
      <c r="A4328" s="535" t="n">
        <v>37594</v>
      </c>
      <c r="B4328" s="534" t="n">
        <v>10.192</v>
      </c>
      <c r="C4328" s="534" t="n">
        <v>9995.73</v>
      </c>
      <c r="E4328" s="535" t="n">
        <v>41414</v>
      </c>
      <c r="F4328" s="534" t="n">
        <v>1.164</v>
      </c>
    </row>
    <row r="4329">
      <c r="A4329" s="535" t="n">
        <v>37595</v>
      </c>
      <c r="B4329" s="534" t="n">
        <v>10.236</v>
      </c>
      <c r="C4329" s="534" t="n">
        <v>10009.88</v>
      </c>
      <c r="E4329" s="535" t="n">
        <v>41415</v>
      </c>
      <c r="F4329" s="534" t="n">
        <v>1.165</v>
      </c>
    </row>
    <row r="4330">
      <c r="A4330" s="535" t="n">
        <v>37596</v>
      </c>
      <c r="B4330" s="534" t="n">
        <v>10.279</v>
      </c>
      <c r="C4330" s="534" t="n">
        <v>9973.75</v>
      </c>
      <c r="E4330" s="535" t="n">
        <v>41416</v>
      </c>
      <c r="F4330" s="534" t="n">
        <v>1.142</v>
      </c>
    </row>
    <row r="4331">
      <c r="A4331" s="535" t="n">
        <v>37599</v>
      </c>
      <c r="B4331" s="534" t="n">
        <v>9.843999999999999</v>
      </c>
      <c r="C4331" s="534" t="n">
        <v>9868.48</v>
      </c>
      <c r="E4331" s="535" t="n">
        <v>41417</v>
      </c>
      <c r="F4331" s="534" t="n">
        <v>1.223</v>
      </c>
    </row>
    <row r="4332">
      <c r="A4332" s="535" t="n">
        <v>37600</v>
      </c>
      <c r="B4332" s="534" t="n">
        <v>9.800000000000001</v>
      </c>
      <c r="C4332" s="534" t="n">
        <v>9857.99</v>
      </c>
      <c r="E4332" s="535" t="n">
        <v>41418</v>
      </c>
      <c r="F4332" s="534" t="n">
        <v>1.305</v>
      </c>
    </row>
    <row r="4333">
      <c r="A4333" s="535" t="n">
        <v>37601</v>
      </c>
      <c r="B4333" s="534" t="n">
        <v>9.756</v>
      </c>
      <c r="C4333" s="534" t="n">
        <v>9784.57</v>
      </c>
      <c r="E4333" s="535" t="n">
        <v>41421</v>
      </c>
      <c r="F4333" s="534" t="n">
        <v>1.307</v>
      </c>
    </row>
    <row r="4334">
      <c r="A4334" s="535" t="n">
        <v>37602</v>
      </c>
      <c r="B4334" s="534" t="n">
        <v>9.887</v>
      </c>
      <c r="C4334" s="534" t="n">
        <v>9813.780000000001</v>
      </c>
      <c r="E4334" s="535" t="n">
        <v>41422</v>
      </c>
      <c r="F4334" s="534" t="n">
        <v>1.376</v>
      </c>
    </row>
    <row r="4335">
      <c r="A4335" s="535" t="n">
        <v>37603</v>
      </c>
      <c r="B4335" s="534" t="n">
        <v>9.887</v>
      </c>
      <c r="C4335" s="534" t="n">
        <v>9728.43</v>
      </c>
      <c r="E4335" s="535" t="n">
        <v>41423</v>
      </c>
      <c r="F4335" s="534" t="n">
        <v>1.566</v>
      </c>
    </row>
    <row r="4336">
      <c r="A4336" s="535" t="n">
        <v>37606</v>
      </c>
      <c r="B4336" s="534" t="n">
        <v>9.800000000000001</v>
      </c>
      <c r="C4336" s="534" t="n">
        <v>9656.459999999999</v>
      </c>
      <c r="E4336" s="535" t="n">
        <v>41424</v>
      </c>
      <c r="F4336" s="534" t="n">
        <v>1.519</v>
      </c>
    </row>
    <row r="4337">
      <c r="A4337" s="535" t="n">
        <v>37607</v>
      </c>
      <c r="B4337" s="534" t="n">
        <v>9.800000000000001</v>
      </c>
      <c r="C4337" s="534" t="n">
        <v>9715.74</v>
      </c>
      <c r="E4337" s="535" t="n">
        <v>41425</v>
      </c>
      <c r="F4337" s="534" t="n">
        <v>1.484</v>
      </c>
    </row>
    <row r="4338">
      <c r="A4338" s="535" t="n">
        <v>37608</v>
      </c>
      <c r="B4338" s="534" t="n">
        <v>9.539</v>
      </c>
      <c r="C4338" s="534" t="n">
        <v>9548.65</v>
      </c>
      <c r="E4338" s="535" t="n">
        <v>41428</v>
      </c>
      <c r="F4338" s="534" t="n">
        <v>1.55</v>
      </c>
    </row>
    <row r="4339">
      <c r="A4339" s="535" t="n">
        <v>37609</v>
      </c>
      <c r="B4339" s="534" t="n">
        <v>9.494999999999999</v>
      </c>
      <c r="C4339" s="534" t="n">
        <v>9557.860000000001</v>
      </c>
      <c r="E4339" s="535" t="n">
        <v>41429</v>
      </c>
      <c r="F4339" s="534" t="n">
        <v>1.585</v>
      </c>
    </row>
    <row r="4340">
      <c r="A4340" s="535" t="n">
        <v>37610</v>
      </c>
      <c r="B4340" s="534" t="n">
        <v>9.582000000000001</v>
      </c>
      <c r="C4340" s="534" t="n">
        <v>9628.690000000001</v>
      </c>
      <c r="E4340" s="535" t="n">
        <v>41430</v>
      </c>
      <c r="F4340" s="534" t="n">
        <v>1.596</v>
      </c>
    </row>
    <row r="4341">
      <c r="A4341" s="535" t="n">
        <v>37613</v>
      </c>
      <c r="B4341" s="534" t="n">
        <v>9.539</v>
      </c>
      <c r="C4341" s="534" t="n">
        <v>9570.93</v>
      </c>
      <c r="E4341" s="535" t="n">
        <v>41431</v>
      </c>
      <c r="F4341" s="534" t="n">
        <v>1.548</v>
      </c>
    </row>
    <row r="4342">
      <c r="A4342" s="535" t="n">
        <v>37614</v>
      </c>
      <c r="B4342" s="534" t="n">
        <v>9.625999999999999</v>
      </c>
      <c r="C4342" s="534" t="n">
        <v>9561.629999999999</v>
      </c>
      <c r="E4342" s="535" t="n">
        <v>41432</v>
      </c>
      <c r="F4342" s="534" t="n">
        <v>1.515</v>
      </c>
    </row>
    <row r="4343">
      <c r="A4343" s="535" t="n">
        <v>37615</v>
      </c>
      <c r="B4343" s="534" t="n">
        <v>9.625999999999999</v>
      </c>
      <c r="C4343" s="534" t="n">
        <v>9561.629999999999</v>
      </c>
      <c r="E4343" s="535" t="n">
        <v>41435</v>
      </c>
      <c r="F4343" s="534" t="n">
        <v>1.608</v>
      </c>
    </row>
    <row r="4344">
      <c r="A4344" s="535" t="n">
        <v>37616</v>
      </c>
      <c r="B4344" s="534" t="n">
        <v>9.625999999999999</v>
      </c>
      <c r="C4344" s="534" t="n">
        <v>9561.629999999999</v>
      </c>
      <c r="E4344" s="535" t="n">
        <v>41436</v>
      </c>
      <c r="F4344" s="534" t="n">
        <v>1.716</v>
      </c>
    </row>
    <row r="4345">
      <c r="A4345" s="535" t="n">
        <v>37617</v>
      </c>
      <c r="B4345" s="534" t="n">
        <v>9.452</v>
      </c>
      <c r="C4345" s="534" t="n">
        <v>9445.26</v>
      </c>
      <c r="E4345" s="535" t="n">
        <v>41437</v>
      </c>
      <c r="F4345" s="534" t="n">
        <v>1.716</v>
      </c>
    </row>
    <row r="4346">
      <c r="A4346" s="535" t="n">
        <v>37620</v>
      </c>
      <c r="B4346" s="534" t="n">
        <v>9.321</v>
      </c>
      <c r="C4346" s="534" t="n">
        <v>9272.33</v>
      </c>
      <c r="E4346" s="535" t="n">
        <v>41438</v>
      </c>
      <c r="F4346" s="534" t="n">
        <v>1.699</v>
      </c>
    </row>
    <row r="4347">
      <c r="A4347" s="535" t="n">
        <v>37621</v>
      </c>
      <c r="B4347" s="534" t="n">
        <v>9.276999999999999</v>
      </c>
      <c r="C4347" s="534" t="n">
        <v>9321.290000000001</v>
      </c>
      <c r="E4347" s="535" t="n">
        <v>41439</v>
      </c>
      <c r="F4347" s="534" t="n">
        <v>1.654</v>
      </c>
    </row>
    <row r="4348">
      <c r="A4348" s="535" t="n">
        <v>37622</v>
      </c>
      <c r="B4348" s="534" t="n">
        <v>9.276999999999999</v>
      </c>
      <c r="C4348" s="534" t="n">
        <v>9321.290000000001</v>
      </c>
      <c r="E4348" s="535" t="n">
        <v>41442</v>
      </c>
      <c r="F4348" s="534" t="n">
        <v>1.66</v>
      </c>
    </row>
    <row r="4349">
      <c r="A4349" s="535" t="n">
        <v>37623</v>
      </c>
      <c r="B4349" s="534" t="n">
        <v>9.321</v>
      </c>
      <c r="C4349" s="534" t="n">
        <v>9365.52</v>
      </c>
      <c r="E4349" s="535" t="n">
        <v>41443</v>
      </c>
      <c r="F4349" s="534" t="n">
        <v>1.688</v>
      </c>
    </row>
    <row r="4350">
      <c r="A4350" s="535" t="n">
        <v>37624</v>
      </c>
      <c r="B4350" s="534" t="n">
        <v>9.364000000000001</v>
      </c>
      <c r="C4350" s="534" t="n">
        <v>9583.85</v>
      </c>
      <c r="E4350" s="535" t="n">
        <v>41444</v>
      </c>
      <c r="F4350" s="534" t="n">
        <v>1.677</v>
      </c>
    </row>
    <row r="4351">
      <c r="A4351" s="535" t="n">
        <v>37627</v>
      </c>
      <c r="B4351" s="534" t="n">
        <v>9.321</v>
      </c>
      <c r="C4351" s="534" t="n">
        <v>9665.959999999999</v>
      </c>
      <c r="E4351" s="535" t="n">
        <v>41445</v>
      </c>
      <c r="F4351" s="534" t="n">
        <v>1.931</v>
      </c>
    </row>
    <row r="4352">
      <c r="A4352" s="535" t="n">
        <v>37628</v>
      </c>
      <c r="B4352" s="534" t="n">
        <v>9.234</v>
      </c>
      <c r="C4352" s="534" t="n">
        <v>9652.4</v>
      </c>
      <c r="E4352" s="535" t="n">
        <v>41446</v>
      </c>
      <c r="F4352" s="534" t="n">
        <v>1.99</v>
      </c>
    </row>
    <row r="4353">
      <c r="A4353" s="535" t="n">
        <v>37629</v>
      </c>
      <c r="B4353" s="534" t="n">
        <v>9.364000000000001</v>
      </c>
      <c r="C4353" s="534" t="n">
        <v>9688.209999999999</v>
      </c>
      <c r="E4353" s="535" t="n">
        <v>41449</v>
      </c>
      <c r="F4353" s="534" t="n">
        <v>2.204</v>
      </c>
    </row>
    <row r="4354">
      <c r="A4354" s="535" t="n">
        <v>37630</v>
      </c>
      <c r="B4354" s="534" t="n">
        <v>9.669</v>
      </c>
      <c r="C4354" s="534" t="n">
        <v>9675.41</v>
      </c>
      <c r="E4354" s="535" t="n">
        <v>41450</v>
      </c>
      <c r="F4354" s="534" t="n">
        <v>2.127</v>
      </c>
    </row>
    <row r="4355">
      <c r="A4355" s="535" t="n">
        <v>37631</v>
      </c>
      <c r="B4355" s="534" t="n">
        <v>9.887</v>
      </c>
      <c r="C4355" s="534" t="n">
        <v>9721.5</v>
      </c>
      <c r="E4355" s="535" t="n">
        <v>41451</v>
      </c>
      <c r="F4355" s="534" t="n">
        <v>2.157</v>
      </c>
    </row>
    <row r="4356">
      <c r="A4356" s="535" t="n">
        <v>37634</v>
      </c>
      <c r="B4356" s="534" t="n">
        <v>9.974</v>
      </c>
      <c r="C4356" s="534" t="n">
        <v>9834.08</v>
      </c>
      <c r="E4356" s="535" t="n">
        <v>41452</v>
      </c>
      <c r="F4356" s="534" t="n">
        <v>2.121</v>
      </c>
    </row>
    <row r="4357">
      <c r="A4357" s="535" t="n">
        <v>37635</v>
      </c>
      <c r="B4357" s="534" t="n">
        <v>10.41</v>
      </c>
      <c r="C4357" s="534" t="n">
        <v>9796.309999999999</v>
      </c>
      <c r="E4357" s="535" t="n">
        <v>41453</v>
      </c>
      <c r="F4357" s="534" t="n">
        <v>2.075</v>
      </c>
    </row>
    <row r="4358">
      <c r="A4358" s="535" t="n">
        <v>37636</v>
      </c>
      <c r="B4358" s="534" t="n">
        <v>10.236</v>
      </c>
      <c r="C4358" s="534" t="n">
        <v>9873.49</v>
      </c>
      <c r="E4358" s="535" t="n">
        <v>41456</v>
      </c>
      <c r="F4358" s="534" t="n">
        <v>2.075</v>
      </c>
    </row>
    <row r="4359">
      <c r="A4359" s="535" t="n">
        <v>37637</v>
      </c>
      <c r="B4359" s="534" t="n">
        <v>10.105</v>
      </c>
      <c r="C4359" s="534" t="n">
        <v>9743.23</v>
      </c>
      <c r="E4359" s="535" t="n">
        <v>41457</v>
      </c>
      <c r="F4359" s="534" t="n">
        <v>2.099</v>
      </c>
    </row>
    <row r="4360">
      <c r="A4360" s="535" t="n">
        <v>37638</v>
      </c>
      <c r="B4360" s="534" t="n">
        <v>9.887</v>
      </c>
      <c r="C4360" s="534" t="n">
        <v>9614.59</v>
      </c>
      <c r="E4360" s="535" t="n">
        <v>41458</v>
      </c>
      <c r="F4360" s="534" t="n">
        <v>2.159</v>
      </c>
    </row>
    <row r="4361">
      <c r="A4361" s="535" t="n">
        <v>37641</v>
      </c>
      <c r="B4361" s="534" t="n">
        <v>9.843999999999999</v>
      </c>
      <c r="C4361" s="534" t="n">
        <v>9552.02</v>
      </c>
      <c r="E4361" s="535" t="n">
        <v>41459</v>
      </c>
      <c r="F4361" s="534" t="n">
        <v>2.304</v>
      </c>
    </row>
    <row r="4362">
      <c r="A4362" s="535" t="n">
        <v>37642</v>
      </c>
      <c r="B4362" s="534" t="n">
        <v>10.018</v>
      </c>
      <c r="C4362" s="534" t="n">
        <v>9568.469999999999</v>
      </c>
      <c r="E4362" s="535" t="n">
        <v>41460</v>
      </c>
      <c r="F4362" s="534" t="n">
        <v>2.33</v>
      </c>
    </row>
    <row r="4363">
      <c r="A4363" s="535" t="n">
        <v>37643</v>
      </c>
      <c r="B4363" s="534" t="n">
        <v>10.192</v>
      </c>
      <c r="C4363" s="534" t="n">
        <v>9560.290000000001</v>
      </c>
      <c r="E4363" s="535" t="n">
        <v>41463</v>
      </c>
      <c r="F4363" s="534" t="n">
        <v>2.534</v>
      </c>
    </row>
    <row r="4364">
      <c r="A4364" s="535" t="n">
        <v>37644</v>
      </c>
      <c r="B4364" s="534" t="n">
        <v>10.236</v>
      </c>
      <c r="C4364" s="534" t="n">
        <v>9584.700000000001</v>
      </c>
      <c r="E4364" s="535" t="n">
        <v>41464</v>
      </c>
      <c r="F4364" s="534" t="n">
        <v>2.516</v>
      </c>
    </row>
    <row r="4365">
      <c r="A4365" s="535" t="n">
        <v>37645</v>
      </c>
      <c r="B4365" s="534" t="n">
        <v>10.148</v>
      </c>
      <c r="C4365" s="534" t="n">
        <v>9460.6</v>
      </c>
      <c r="E4365" s="535" t="n">
        <v>41465</v>
      </c>
      <c r="F4365" s="534" t="n">
        <v>2.398</v>
      </c>
    </row>
    <row r="4366">
      <c r="A4366" s="535" t="n">
        <v>37648</v>
      </c>
      <c r="B4366" s="534" t="n">
        <v>10.105</v>
      </c>
      <c r="C4366" s="534" t="n">
        <v>9298.67</v>
      </c>
      <c r="E4366" s="535" t="n">
        <v>41466</v>
      </c>
      <c r="F4366" s="534" t="n">
        <v>2.355</v>
      </c>
    </row>
    <row r="4367">
      <c r="A4367" s="535" t="n">
        <v>37649</v>
      </c>
      <c r="B4367" s="534" t="n">
        <v>10.192</v>
      </c>
      <c r="C4367" s="534" t="n">
        <v>9325.6</v>
      </c>
      <c r="E4367" s="535" t="n">
        <v>41467</v>
      </c>
      <c r="F4367" s="534" t="n">
        <v>2.277</v>
      </c>
    </row>
    <row r="4368">
      <c r="A4368" s="535" t="n">
        <v>37650</v>
      </c>
      <c r="B4368" s="534" t="n">
        <v>10.105</v>
      </c>
      <c r="C4368" s="534" t="n">
        <v>9240.790000000001</v>
      </c>
      <c r="E4368" s="535" t="n">
        <v>41470</v>
      </c>
      <c r="F4368" s="534" t="n">
        <v>2.32</v>
      </c>
    </row>
    <row r="4369">
      <c r="A4369" s="535" t="n">
        <v>37651</v>
      </c>
      <c r="B4369" s="534" t="n">
        <v>10.148</v>
      </c>
      <c r="C4369" s="534" t="n">
        <v>9258.950000000001</v>
      </c>
      <c r="E4369" s="535" t="n">
        <v>41471</v>
      </c>
      <c r="F4369" s="534" t="n">
        <v>2.278</v>
      </c>
    </row>
    <row r="4370">
      <c r="A4370" s="535" t="n">
        <v>37652</v>
      </c>
      <c r="B4370" s="534" t="n">
        <v>10.148</v>
      </c>
      <c r="C4370" s="534" t="n">
        <v>9258.950000000001</v>
      </c>
      <c r="E4370" s="535" t="n">
        <v>41472</v>
      </c>
      <c r="F4370" s="534" t="n">
        <v>2.284</v>
      </c>
    </row>
    <row r="4371">
      <c r="A4371" s="535" t="n">
        <v>37655</v>
      </c>
      <c r="B4371" s="534" t="n">
        <v>10.148</v>
      </c>
      <c r="C4371" s="534" t="n">
        <v>9258.950000000001</v>
      </c>
      <c r="E4371" s="535" t="n">
        <v>41473</v>
      </c>
      <c r="F4371" s="534" t="n">
        <v>2.224</v>
      </c>
    </row>
    <row r="4372">
      <c r="A4372" s="535" t="n">
        <v>37656</v>
      </c>
      <c r="B4372" s="534" t="n">
        <v>9.930999999999999</v>
      </c>
      <c r="C4372" s="534" t="n">
        <v>9252.709999999999</v>
      </c>
      <c r="E4372" s="535" t="n">
        <v>41474</v>
      </c>
      <c r="F4372" s="534" t="n">
        <v>2.261</v>
      </c>
    </row>
    <row r="4373">
      <c r="A4373" s="535" t="n">
        <v>37657</v>
      </c>
      <c r="B4373" s="534" t="n">
        <v>9.756</v>
      </c>
      <c r="C4373" s="534" t="n">
        <v>9180.469999999999</v>
      </c>
      <c r="E4373" s="535" t="n">
        <v>41477</v>
      </c>
      <c r="F4373" s="534" t="n">
        <v>2.22</v>
      </c>
    </row>
    <row r="4374">
      <c r="A4374" s="535" t="n">
        <v>37658</v>
      </c>
      <c r="B4374" s="534" t="n">
        <v>9.669</v>
      </c>
      <c r="C4374" s="534" t="n">
        <v>9126.15</v>
      </c>
      <c r="E4374" s="535" t="n">
        <v>41478</v>
      </c>
      <c r="F4374" s="534" t="n">
        <v>2.227</v>
      </c>
    </row>
    <row r="4375">
      <c r="A4375" s="535" t="n">
        <v>37659</v>
      </c>
      <c r="B4375" s="534" t="n">
        <v>9.712999999999999</v>
      </c>
      <c r="C4375" s="534" t="n">
        <v>9150.950000000001</v>
      </c>
      <c r="E4375" s="535" t="n">
        <v>41479</v>
      </c>
      <c r="F4375" s="534" t="n">
        <v>2.268</v>
      </c>
    </row>
    <row r="4376">
      <c r="A4376" s="535" t="n">
        <v>37662</v>
      </c>
      <c r="B4376" s="534" t="n">
        <v>9.930999999999999</v>
      </c>
      <c r="C4376" s="534" t="n">
        <v>9232.139999999999</v>
      </c>
      <c r="E4376" s="535" t="n">
        <v>41480</v>
      </c>
      <c r="F4376" s="534" t="n">
        <v>2.354</v>
      </c>
    </row>
    <row r="4377">
      <c r="A4377" s="535" t="n">
        <v>37663</v>
      </c>
      <c r="B4377" s="534" t="n">
        <v>9.974</v>
      </c>
      <c r="C4377" s="534" t="n">
        <v>9194.91</v>
      </c>
      <c r="E4377" s="535" t="n">
        <v>41481</v>
      </c>
      <c r="F4377" s="534" t="n">
        <v>2.312</v>
      </c>
    </row>
    <row r="4378">
      <c r="A4378" s="535" t="n">
        <v>37664</v>
      </c>
      <c r="B4378" s="534" t="n">
        <v>10.279</v>
      </c>
      <c r="C4378" s="534" t="n">
        <v>9314.9</v>
      </c>
      <c r="E4378" s="535" t="n">
        <v>41484</v>
      </c>
      <c r="F4378" s="534" t="n">
        <v>2.291</v>
      </c>
    </row>
    <row r="4379">
      <c r="A4379" s="535" t="n">
        <v>37665</v>
      </c>
      <c r="B4379" s="534" t="n">
        <v>9.887</v>
      </c>
      <c r="C4379" s="534" t="n">
        <v>9173.43</v>
      </c>
      <c r="E4379" s="535" t="n">
        <v>41485</v>
      </c>
      <c r="F4379" s="534" t="n">
        <v>2.331</v>
      </c>
    </row>
    <row r="4380">
      <c r="A4380" s="535" t="n">
        <v>37666</v>
      </c>
      <c r="B4380" s="534" t="n">
        <v>9.800000000000001</v>
      </c>
      <c r="C4380" s="534" t="n">
        <v>9201.76</v>
      </c>
      <c r="E4380" s="535" t="n">
        <v>41486</v>
      </c>
      <c r="F4380" s="534" t="n">
        <v>2.35</v>
      </c>
    </row>
    <row r="4381">
      <c r="A4381" s="535" t="n">
        <v>37669</v>
      </c>
      <c r="B4381" s="534" t="n">
        <v>10.148</v>
      </c>
      <c r="C4381" s="534" t="n">
        <v>9383.68</v>
      </c>
      <c r="E4381" s="535" t="n">
        <v>41487</v>
      </c>
      <c r="F4381" s="534" t="n">
        <v>2.338</v>
      </c>
    </row>
    <row r="4382">
      <c r="A4382" s="535" t="n">
        <v>37670</v>
      </c>
      <c r="B4382" s="534" t="n">
        <v>10.192</v>
      </c>
      <c r="C4382" s="534" t="n">
        <v>9397.049999999999</v>
      </c>
      <c r="E4382" s="535" t="n">
        <v>41488</v>
      </c>
      <c r="F4382" s="534" t="n">
        <v>2.444</v>
      </c>
    </row>
    <row r="4383">
      <c r="A4383" s="535" t="n">
        <v>37671</v>
      </c>
      <c r="B4383" s="534" t="n">
        <v>10.323</v>
      </c>
      <c r="C4383" s="534" t="n">
        <v>9427.629999999999</v>
      </c>
      <c r="E4383" s="535" t="n">
        <v>41491</v>
      </c>
      <c r="F4383" s="534" t="n">
        <v>2.296</v>
      </c>
    </row>
    <row r="4384">
      <c r="A4384" s="535" t="n">
        <v>37672</v>
      </c>
      <c r="B4384" s="534" t="n">
        <v>9.887</v>
      </c>
      <c r="C4384" s="534" t="n">
        <v>9390.48</v>
      </c>
      <c r="E4384" s="535" t="n">
        <v>41492</v>
      </c>
      <c r="F4384" s="534" t="n">
        <v>2.315</v>
      </c>
    </row>
    <row r="4385">
      <c r="A4385" s="535" t="n">
        <v>37673</v>
      </c>
      <c r="B4385" s="534" t="n">
        <v>9.756</v>
      </c>
      <c r="C4385" s="534" t="n">
        <v>9250.860000000001</v>
      </c>
      <c r="E4385" s="535" t="n">
        <v>41493</v>
      </c>
      <c r="F4385" s="534" t="n">
        <v>2.303</v>
      </c>
    </row>
    <row r="4386">
      <c r="A4386" s="535" t="n">
        <v>37676</v>
      </c>
      <c r="B4386" s="534" t="n">
        <v>9.800000000000001</v>
      </c>
      <c r="C4386" s="534" t="n">
        <v>9239.469999999999</v>
      </c>
      <c r="E4386" s="535" t="n">
        <v>41494</v>
      </c>
      <c r="F4386" s="534" t="n">
        <v>2.275</v>
      </c>
    </row>
    <row r="4387">
      <c r="A4387" s="535" t="n">
        <v>37677</v>
      </c>
      <c r="B4387" s="534" t="n">
        <v>9.712999999999999</v>
      </c>
      <c r="C4387" s="534" t="n">
        <v>9148.48</v>
      </c>
      <c r="E4387" s="535" t="n">
        <v>41495</v>
      </c>
      <c r="F4387" s="534" t="n">
        <v>2.304</v>
      </c>
    </row>
    <row r="4388">
      <c r="A4388" s="535" t="n">
        <v>37678</v>
      </c>
      <c r="B4388" s="534" t="n">
        <v>9.669</v>
      </c>
      <c r="C4388" s="534" t="n">
        <v>9116.280000000001</v>
      </c>
      <c r="E4388" s="535" t="n">
        <v>41498</v>
      </c>
      <c r="F4388" s="534" t="n">
        <v>2.286</v>
      </c>
    </row>
    <row r="4389">
      <c r="A4389" s="535" t="n">
        <v>37679</v>
      </c>
      <c r="B4389" s="534" t="n">
        <v>9.539</v>
      </c>
      <c r="C4389" s="534" t="n">
        <v>9134.24</v>
      </c>
      <c r="E4389" s="535" t="n">
        <v>41499</v>
      </c>
      <c r="F4389" s="534" t="n">
        <v>2.355</v>
      </c>
    </row>
    <row r="4390">
      <c r="A4390" s="535" t="n">
        <v>37680</v>
      </c>
      <c r="B4390" s="534" t="n">
        <v>9.494999999999999</v>
      </c>
      <c r="C4390" s="534" t="n">
        <v>9122.66</v>
      </c>
      <c r="E4390" s="535" t="n">
        <v>41500</v>
      </c>
      <c r="F4390" s="534" t="n">
        <v>2.423</v>
      </c>
    </row>
    <row r="4391">
      <c r="A4391" s="535" t="n">
        <v>37683</v>
      </c>
      <c r="B4391" s="534" t="n">
        <v>9.974</v>
      </c>
      <c r="C4391" s="534" t="n">
        <v>9268.77</v>
      </c>
      <c r="E4391" s="535" t="n">
        <v>41501</v>
      </c>
      <c r="F4391" s="534" t="n">
        <v>2.432</v>
      </c>
    </row>
    <row r="4392">
      <c r="A4392" s="535" t="n">
        <v>37684</v>
      </c>
      <c r="B4392" s="534" t="n">
        <v>10.105</v>
      </c>
      <c r="C4392" s="534" t="n">
        <v>9181.889999999999</v>
      </c>
      <c r="E4392" s="535" t="n">
        <v>41502</v>
      </c>
      <c r="F4392" s="534" t="n">
        <v>2.474</v>
      </c>
    </row>
    <row r="4393">
      <c r="A4393" s="535" t="n">
        <v>37685</v>
      </c>
      <c r="B4393" s="534" t="n">
        <v>10.192</v>
      </c>
      <c r="C4393" s="534" t="n">
        <v>9109.18</v>
      </c>
      <c r="E4393" s="535" t="n">
        <v>41505</v>
      </c>
      <c r="F4393" s="534" t="n">
        <v>2.582</v>
      </c>
    </row>
    <row r="4394">
      <c r="A4394" s="535" t="n">
        <v>37686</v>
      </c>
      <c r="B4394" s="534" t="n">
        <v>9.800000000000001</v>
      </c>
      <c r="C4394" s="534" t="n">
        <v>8962.26</v>
      </c>
      <c r="E4394" s="535" t="n">
        <v>41506</v>
      </c>
      <c r="F4394" s="534" t="n">
        <v>2.566</v>
      </c>
    </row>
    <row r="4395">
      <c r="A4395" s="535" t="n">
        <v>37687</v>
      </c>
      <c r="B4395" s="534" t="n">
        <v>9.669</v>
      </c>
      <c r="C4395" s="534" t="n">
        <v>8907.1</v>
      </c>
      <c r="E4395" s="535" t="n">
        <v>41507</v>
      </c>
      <c r="F4395" s="534" t="n">
        <v>2.534</v>
      </c>
    </row>
    <row r="4396">
      <c r="A4396" s="535" t="n">
        <v>37690</v>
      </c>
      <c r="B4396" s="534" t="n">
        <v>9.712999999999999</v>
      </c>
      <c r="C4396" s="534" t="n">
        <v>8861.870000000001</v>
      </c>
      <c r="E4396" s="535" t="n">
        <v>41508</v>
      </c>
      <c r="F4396" s="534" t="n">
        <v>2.646</v>
      </c>
    </row>
    <row r="4397">
      <c r="A4397" s="535" t="n">
        <v>37691</v>
      </c>
      <c r="B4397" s="534" t="n">
        <v>9.712999999999999</v>
      </c>
      <c r="C4397" s="534" t="n">
        <v>8859.93</v>
      </c>
      <c r="E4397" s="535" t="n">
        <v>41509</v>
      </c>
      <c r="F4397" s="534" t="n">
        <v>2.622</v>
      </c>
    </row>
    <row r="4398">
      <c r="A4398" s="535" t="n">
        <v>37692</v>
      </c>
      <c r="B4398" s="534" t="n">
        <v>9.582000000000001</v>
      </c>
      <c r="C4398" s="534" t="n">
        <v>8874.99</v>
      </c>
      <c r="E4398" s="535" t="n">
        <v>41512</v>
      </c>
      <c r="F4398" s="534" t="n">
        <v>2.524</v>
      </c>
    </row>
    <row r="4399">
      <c r="A4399" s="535" t="n">
        <v>37693</v>
      </c>
      <c r="B4399" s="534" t="n">
        <v>9.625999999999999</v>
      </c>
      <c r="C4399" s="534" t="n">
        <v>8787.450000000001</v>
      </c>
      <c r="E4399" s="535" t="n">
        <v>41513</v>
      </c>
      <c r="F4399" s="534" t="n">
        <v>2.46</v>
      </c>
    </row>
    <row r="4400">
      <c r="A4400" s="535" t="n">
        <v>37694</v>
      </c>
      <c r="B4400" s="534" t="n">
        <v>9.887</v>
      </c>
      <c r="C4400" s="534" t="n">
        <v>8956.17</v>
      </c>
      <c r="E4400" s="535" t="n">
        <v>41514</v>
      </c>
      <c r="F4400" s="534" t="n">
        <v>2.435</v>
      </c>
    </row>
    <row r="4401">
      <c r="A4401" s="535" t="n">
        <v>37697</v>
      </c>
      <c r="B4401" s="534" t="n">
        <v>9.494999999999999</v>
      </c>
      <c r="C4401" s="534" t="n">
        <v>8804.16</v>
      </c>
      <c r="E4401" s="535" t="n">
        <v>41515</v>
      </c>
      <c r="F4401" s="534" t="n">
        <v>2.447</v>
      </c>
    </row>
    <row r="4402">
      <c r="A4402" s="535" t="n">
        <v>37698</v>
      </c>
      <c r="B4402" s="534" t="n">
        <v>9.712999999999999</v>
      </c>
      <c r="C4402" s="534" t="n">
        <v>9041.51</v>
      </c>
      <c r="E4402" s="535" t="n">
        <v>41516</v>
      </c>
      <c r="F4402" s="534" t="n">
        <v>2.392</v>
      </c>
    </row>
    <row r="4403">
      <c r="A4403" s="535" t="n">
        <v>37699</v>
      </c>
      <c r="B4403" s="534" t="n">
        <v>9.887</v>
      </c>
      <c r="C4403" s="534" t="n">
        <v>9158.59</v>
      </c>
      <c r="E4403" s="535" t="n">
        <v>41519</v>
      </c>
      <c r="F4403" s="534" t="n">
        <v>2.448</v>
      </c>
    </row>
    <row r="4404">
      <c r="A4404" s="535" t="n">
        <v>37700</v>
      </c>
      <c r="B4404" s="534" t="n">
        <v>9.974</v>
      </c>
      <c r="C4404" s="534" t="n">
        <v>9194.559999999999</v>
      </c>
      <c r="E4404" s="535" t="n">
        <v>41520</v>
      </c>
      <c r="F4404" s="534" t="n">
        <v>2.461</v>
      </c>
    </row>
    <row r="4405">
      <c r="A4405" s="535" t="n">
        <v>37701</v>
      </c>
      <c r="B4405" s="534" t="n">
        <v>10.105</v>
      </c>
      <c r="C4405" s="534" t="n">
        <v>9179.190000000001</v>
      </c>
      <c r="E4405" s="535" t="n">
        <v>41521</v>
      </c>
      <c r="F4405" s="534" t="n">
        <v>2.47</v>
      </c>
    </row>
    <row r="4406">
      <c r="A4406" s="535" t="n">
        <v>37704</v>
      </c>
      <c r="B4406" s="534" t="n">
        <v>9.930999999999999</v>
      </c>
      <c r="C4406" s="534" t="n">
        <v>9108.450000000001</v>
      </c>
      <c r="E4406" s="535" t="n">
        <v>41522</v>
      </c>
      <c r="F4406" s="534" t="n">
        <v>2.544</v>
      </c>
    </row>
    <row r="4407">
      <c r="A4407" s="535" t="n">
        <v>37705</v>
      </c>
      <c r="B4407" s="534" t="n">
        <v>9.712999999999999</v>
      </c>
      <c r="C4407" s="534" t="n">
        <v>9062.15</v>
      </c>
      <c r="E4407" s="535" t="n">
        <v>41523</v>
      </c>
      <c r="F4407" s="534" t="n">
        <v>2.592</v>
      </c>
    </row>
    <row r="4408">
      <c r="A4408" s="535" t="n">
        <v>37706</v>
      </c>
      <c r="B4408" s="534" t="n">
        <v>9.582000000000001</v>
      </c>
      <c r="C4408" s="534" t="n">
        <v>9047.09</v>
      </c>
      <c r="E4408" s="535" t="n">
        <v>41526</v>
      </c>
      <c r="F4408" s="534" t="n">
        <v>2.526</v>
      </c>
    </row>
    <row r="4409">
      <c r="A4409" s="535" t="n">
        <v>37707</v>
      </c>
      <c r="B4409" s="534" t="n">
        <v>9.147</v>
      </c>
      <c r="C4409" s="534" t="n">
        <v>8872.32</v>
      </c>
      <c r="E4409" s="535" t="n">
        <v>41527</v>
      </c>
      <c r="F4409" s="534" t="n">
        <v>2.594</v>
      </c>
    </row>
    <row r="4410">
      <c r="A4410" s="535" t="n">
        <v>37708</v>
      </c>
      <c r="B4410" s="534" t="n">
        <v>8.885</v>
      </c>
      <c r="C4410" s="534" t="n">
        <v>8863.360000000001</v>
      </c>
      <c r="E4410" s="535" t="n">
        <v>41528</v>
      </c>
      <c r="F4410" s="534" t="n">
        <v>2.486</v>
      </c>
    </row>
    <row r="4411">
      <c r="A4411" s="535" t="n">
        <v>37711</v>
      </c>
      <c r="B4411" s="534" t="n">
        <v>8.276</v>
      </c>
      <c r="C4411" s="534" t="n">
        <v>8634.450000000001</v>
      </c>
      <c r="E4411" s="535" t="n">
        <v>41529</v>
      </c>
      <c r="F4411" s="534" t="n">
        <v>2.392</v>
      </c>
    </row>
    <row r="4412">
      <c r="A4412" s="535" t="n">
        <v>37712</v>
      </c>
      <c r="B4412" s="534" t="n">
        <v>8.406000000000001</v>
      </c>
      <c r="C4412" s="534" t="n">
        <v>8596.889999999999</v>
      </c>
      <c r="E4412" s="535" t="n">
        <v>41530</v>
      </c>
      <c r="F4412" s="534" t="n">
        <v>2.409</v>
      </c>
    </row>
    <row r="4413">
      <c r="A4413" s="535" t="n">
        <v>37713</v>
      </c>
      <c r="B4413" s="534" t="n">
        <v>8.624000000000001</v>
      </c>
      <c r="C4413" s="534" t="n">
        <v>8706.190000000001</v>
      </c>
      <c r="E4413" s="535" t="n">
        <v>41533</v>
      </c>
      <c r="F4413" s="534" t="n">
        <v>2.257</v>
      </c>
    </row>
    <row r="4414">
      <c r="A4414" s="535" t="n">
        <v>37714</v>
      </c>
      <c r="B4414" s="534" t="n">
        <v>8.537000000000001</v>
      </c>
      <c r="C4414" s="534" t="n">
        <v>8648.16</v>
      </c>
      <c r="E4414" s="535" t="n">
        <v>41534</v>
      </c>
      <c r="F4414" s="534" t="n">
        <v>2.307</v>
      </c>
    </row>
    <row r="4415">
      <c r="A4415" s="535" t="n">
        <v>37715</v>
      </c>
      <c r="B4415" s="534" t="n">
        <v>8.667999999999999</v>
      </c>
      <c r="C4415" s="534" t="n">
        <v>8822.450000000001</v>
      </c>
      <c r="E4415" s="535" t="n">
        <v>41535</v>
      </c>
      <c r="F4415" s="534" t="n">
        <v>2.329</v>
      </c>
    </row>
    <row r="4416">
      <c r="A4416" s="535" t="n">
        <v>37718</v>
      </c>
      <c r="B4416" s="534" t="n">
        <v>8.624000000000001</v>
      </c>
      <c r="C4416" s="534" t="n">
        <v>8962.209999999999</v>
      </c>
      <c r="E4416" s="535" t="n">
        <v>41536</v>
      </c>
      <c r="F4416" s="534" t="n">
        <v>2.194</v>
      </c>
    </row>
    <row r="4417">
      <c r="A4417" s="535" t="n">
        <v>37719</v>
      </c>
      <c r="B4417" s="534" t="n">
        <v>8.363</v>
      </c>
      <c r="C4417" s="534" t="n">
        <v>8806.66</v>
      </c>
      <c r="E4417" s="535" t="n">
        <v>41537</v>
      </c>
      <c r="F4417" s="534" t="n">
        <v>2.194</v>
      </c>
    </row>
    <row r="4418">
      <c r="A4418" s="535" t="n">
        <v>37720</v>
      </c>
      <c r="B4418" s="534" t="n">
        <v>8.013999999999999</v>
      </c>
      <c r="C4418" s="534" t="n">
        <v>8636.85</v>
      </c>
      <c r="E4418" s="535" t="n">
        <v>41540</v>
      </c>
      <c r="F4418" s="534" t="n">
        <v>2.244</v>
      </c>
    </row>
    <row r="4419">
      <c r="A4419" s="535" t="n">
        <v>37721</v>
      </c>
      <c r="B4419" s="534" t="n">
        <v>7.796</v>
      </c>
      <c r="C4419" s="534" t="n">
        <v>8625.719999999999</v>
      </c>
      <c r="E4419" s="535" t="n">
        <v>41541</v>
      </c>
      <c r="F4419" s="534" t="n">
        <v>2.201</v>
      </c>
    </row>
    <row r="4420">
      <c r="A4420" s="535" t="n">
        <v>37722</v>
      </c>
      <c r="B4420" s="534" t="n">
        <v>7.796</v>
      </c>
      <c r="C4420" s="534" t="n">
        <v>8645.65</v>
      </c>
      <c r="E4420" s="535" t="n">
        <v>41542</v>
      </c>
      <c r="F4420" s="534" t="n">
        <v>2.177</v>
      </c>
    </row>
    <row r="4421">
      <c r="A4421" s="535" t="n">
        <v>37725</v>
      </c>
      <c r="B4421" s="534" t="n">
        <v>7.317</v>
      </c>
      <c r="C4421" s="534" t="n">
        <v>8533.549999999999</v>
      </c>
      <c r="E4421" s="535" t="n">
        <v>41543</v>
      </c>
      <c r="F4421" s="534" t="n">
        <v>2.189</v>
      </c>
    </row>
    <row r="4422">
      <c r="A4422" s="535" t="n">
        <v>37726</v>
      </c>
      <c r="B4422" s="534" t="n">
        <v>7.535</v>
      </c>
      <c r="C4422" s="534" t="n">
        <v>8632.1</v>
      </c>
      <c r="E4422" s="535" t="n">
        <v>41544</v>
      </c>
      <c r="F4422" s="534" t="n">
        <v>2.193</v>
      </c>
    </row>
    <row r="4423">
      <c r="A4423" s="535" t="n">
        <v>37727</v>
      </c>
      <c r="B4423" s="534" t="n">
        <v>7.666</v>
      </c>
      <c r="C4423" s="534" t="n">
        <v>8675.139999999999</v>
      </c>
      <c r="E4423" s="535" t="n">
        <v>41547</v>
      </c>
      <c r="F4423" s="534" t="n">
        <v>2.125</v>
      </c>
    </row>
    <row r="4424">
      <c r="A4424" s="535" t="n">
        <v>37728</v>
      </c>
      <c r="B4424" s="534" t="n">
        <v>7.666</v>
      </c>
      <c r="C4424" s="534" t="n">
        <v>8579.139999999999</v>
      </c>
      <c r="E4424" s="535" t="n">
        <v>41548</v>
      </c>
      <c r="F4424" s="534" t="n">
        <v>2.125</v>
      </c>
    </row>
    <row r="4425">
      <c r="A4425" s="535" t="n">
        <v>37729</v>
      </c>
      <c r="B4425" s="534" t="n">
        <v>7.666</v>
      </c>
      <c r="C4425" s="534" t="n">
        <v>8579.139999999999</v>
      </c>
      <c r="E4425" s="535" t="n">
        <v>41549</v>
      </c>
      <c r="F4425" s="534" t="n">
        <v>2.148</v>
      </c>
    </row>
    <row r="4426">
      <c r="A4426" s="535" t="n">
        <v>37732</v>
      </c>
      <c r="B4426" s="534" t="n">
        <v>7.666</v>
      </c>
      <c r="C4426" s="534" t="n">
        <v>8579.139999999999</v>
      </c>
      <c r="E4426" s="535" t="n">
        <v>41550</v>
      </c>
      <c r="F4426" s="534" t="n">
        <v>2.136</v>
      </c>
    </row>
    <row r="4427">
      <c r="A4427" s="535" t="n">
        <v>37733</v>
      </c>
      <c r="B4427" s="534" t="n">
        <v>7.84</v>
      </c>
      <c r="C4427" s="534" t="n">
        <v>8571.91</v>
      </c>
      <c r="E4427" s="535" t="n">
        <v>41551</v>
      </c>
      <c r="F4427" s="534" t="n">
        <v>2.137</v>
      </c>
    </row>
    <row r="4428">
      <c r="A4428" s="535" t="n">
        <v>37734</v>
      </c>
      <c r="B4428" s="534" t="n">
        <v>7.709</v>
      </c>
      <c r="C4428" s="534" t="n">
        <v>8519.6</v>
      </c>
      <c r="E4428" s="535" t="n">
        <v>41554</v>
      </c>
      <c r="F4428" s="534" t="n">
        <v>2.131</v>
      </c>
    </row>
    <row r="4429">
      <c r="A4429" s="535" t="n">
        <v>37735</v>
      </c>
      <c r="B4429" s="534" t="n">
        <v>7.404</v>
      </c>
      <c r="C4429" s="534" t="n">
        <v>8442.110000000001</v>
      </c>
      <c r="E4429" s="535" t="n">
        <v>41555</v>
      </c>
      <c r="F4429" s="534" t="n">
        <v>2.132</v>
      </c>
    </row>
    <row r="4430">
      <c r="A4430" s="535" t="n">
        <v>37736</v>
      </c>
      <c r="B4430" s="534" t="n">
        <v>7.404</v>
      </c>
      <c r="C4430" s="534" t="n">
        <v>8409.01</v>
      </c>
      <c r="E4430" s="535" t="n">
        <v>41556</v>
      </c>
      <c r="F4430" s="534" t="n">
        <v>2.11</v>
      </c>
    </row>
    <row r="4431">
      <c r="A4431" s="535" t="n">
        <v>37739</v>
      </c>
      <c r="B4431" s="534" t="n">
        <v>7.579</v>
      </c>
      <c r="C4431" s="534" t="n">
        <v>8435.040000000001</v>
      </c>
      <c r="E4431" s="535" t="n">
        <v>41557</v>
      </c>
      <c r="F4431" s="534" t="n">
        <v>2.157</v>
      </c>
    </row>
    <row r="4432">
      <c r="A4432" s="535" t="n">
        <v>37740</v>
      </c>
      <c r="B4432" s="534" t="n">
        <v>8.101000000000001</v>
      </c>
      <c r="C4432" s="534" t="n">
        <v>8744.219999999999</v>
      </c>
      <c r="E4432" s="535" t="n">
        <v>41558</v>
      </c>
      <c r="F4432" s="534" t="n">
        <v>2.147</v>
      </c>
    </row>
    <row r="4433">
      <c r="A4433" s="535" t="n">
        <v>37741</v>
      </c>
      <c r="B4433" s="534" t="n">
        <v>8.188000000000001</v>
      </c>
      <c r="C4433" s="534" t="n">
        <v>8717.219999999999</v>
      </c>
      <c r="E4433" s="535" t="n">
        <v>41561</v>
      </c>
      <c r="F4433" s="534" t="n">
        <v>2.147</v>
      </c>
    </row>
    <row r="4434">
      <c r="A4434" s="535" t="n">
        <v>37742</v>
      </c>
      <c r="B4434" s="534" t="n">
        <v>8.188000000000001</v>
      </c>
      <c r="C4434" s="534" t="n">
        <v>8717.219999999999</v>
      </c>
      <c r="E4434" s="535" t="n">
        <v>41562</v>
      </c>
      <c r="F4434" s="534" t="n">
        <v>2.189</v>
      </c>
    </row>
    <row r="4435">
      <c r="A4435" s="535" t="n">
        <v>37743</v>
      </c>
      <c r="B4435" s="534" t="n">
        <v>8.406000000000001</v>
      </c>
      <c r="C4435" s="534" t="n">
        <v>8808.18</v>
      </c>
      <c r="E4435" s="535" t="n">
        <v>41563</v>
      </c>
      <c r="F4435" s="534" t="n">
        <v>2.192</v>
      </c>
    </row>
    <row r="4436">
      <c r="A4436" s="535" t="n">
        <v>37746</v>
      </c>
      <c r="B4436" s="534" t="n">
        <v>8.537000000000001</v>
      </c>
      <c r="C4436" s="534" t="n">
        <v>8916.49</v>
      </c>
      <c r="E4436" s="535" t="n">
        <v>41564</v>
      </c>
      <c r="F4436" s="534" t="n">
        <v>2.097</v>
      </c>
    </row>
    <row r="4437">
      <c r="A4437" s="535" t="n">
        <v>37747</v>
      </c>
      <c r="B4437" s="534" t="n">
        <v>8.624000000000001</v>
      </c>
      <c r="C4437" s="534" t="n">
        <v>8889.219999999999</v>
      </c>
      <c r="E4437" s="535" t="n">
        <v>41565</v>
      </c>
      <c r="F4437" s="534" t="n">
        <v>2.027</v>
      </c>
    </row>
    <row r="4438">
      <c r="A4438" s="535" t="n">
        <v>37748</v>
      </c>
      <c r="B4438" s="534" t="n">
        <v>8.145</v>
      </c>
      <c r="C4438" s="534" t="n">
        <v>8901.049999999999</v>
      </c>
      <c r="E4438" s="535" t="n">
        <v>41568</v>
      </c>
      <c r="F4438" s="534" t="n">
        <v>2.016</v>
      </c>
    </row>
    <row r="4439">
      <c r="A4439" s="535" t="n">
        <v>37749</v>
      </c>
      <c r="B4439" s="534" t="n">
        <v>8.145</v>
      </c>
      <c r="C4439" s="534" t="n">
        <v>8901.049999999999</v>
      </c>
      <c r="E4439" s="535" t="n">
        <v>41569</v>
      </c>
      <c r="F4439" s="534" t="n">
        <v>2.013</v>
      </c>
    </row>
    <row r="4440">
      <c r="A4440" s="535" t="n">
        <v>37750</v>
      </c>
      <c r="B4440" s="534" t="n">
        <v>8.363</v>
      </c>
      <c r="C4440" s="534" t="n">
        <v>9084.16</v>
      </c>
      <c r="E4440" s="535" t="n">
        <v>41570</v>
      </c>
      <c r="F4440" s="534" t="n">
        <v>1.911</v>
      </c>
    </row>
    <row r="4441">
      <c r="A4441" s="535" t="n">
        <v>37753</v>
      </c>
      <c r="B4441" s="534" t="n">
        <v>8.449999999999999</v>
      </c>
      <c r="C4441" s="534" t="n">
        <v>9155.57</v>
      </c>
      <c r="E4441" s="535" t="n">
        <v>41571</v>
      </c>
      <c r="F4441" s="534" t="n">
        <v>1.917</v>
      </c>
    </row>
    <row r="4442">
      <c r="A4442" s="535" t="n">
        <v>37754</v>
      </c>
      <c r="B4442" s="534" t="n">
        <v>8.406000000000001</v>
      </c>
      <c r="C4442" s="534" t="n">
        <v>9119.040000000001</v>
      </c>
      <c r="E4442" s="535" t="n">
        <v>41572</v>
      </c>
      <c r="F4442" s="534" t="n">
        <v>1.912</v>
      </c>
    </row>
    <row r="4443">
      <c r="A4443" s="535" t="n">
        <v>37755</v>
      </c>
      <c r="B4443" s="534" t="n">
        <v>8.188000000000001</v>
      </c>
      <c r="C4443" s="534" t="n">
        <v>9103.690000000001</v>
      </c>
      <c r="E4443" s="535" t="n">
        <v>41575</v>
      </c>
      <c r="F4443" s="534" t="n">
        <v>1.914</v>
      </c>
    </row>
    <row r="4444">
      <c r="A4444" s="535" t="n">
        <v>37756</v>
      </c>
      <c r="B4444" s="534" t="n">
        <v>7.796</v>
      </c>
      <c r="C4444" s="534" t="n">
        <v>9126.07</v>
      </c>
      <c r="E4444" s="535" t="n">
        <v>41576</v>
      </c>
      <c r="F4444" s="534" t="n">
        <v>1.894</v>
      </c>
    </row>
    <row r="4445">
      <c r="A4445" s="535" t="n">
        <v>37757</v>
      </c>
      <c r="B4445" s="534" t="n">
        <v>7.84</v>
      </c>
      <c r="C4445" s="534" t="n">
        <v>9093.18</v>
      </c>
      <c r="E4445" s="535" t="n">
        <v>41577</v>
      </c>
      <c r="F4445" s="534" t="n">
        <v>1.847</v>
      </c>
    </row>
    <row r="4446">
      <c r="A4446" s="535" t="n">
        <v>37760</v>
      </c>
      <c r="B4446" s="534" t="n">
        <v>7.971</v>
      </c>
      <c r="C4446" s="534" t="n">
        <v>9087.370000000001</v>
      </c>
      <c r="E4446" s="535" t="n">
        <v>41578</v>
      </c>
      <c r="F4446" s="534" t="n">
        <v>1.88</v>
      </c>
    </row>
    <row r="4447">
      <c r="A4447" s="535" t="n">
        <v>37761</v>
      </c>
      <c r="B4447" s="534" t="n">
        <v>8.145</v>
      </c>
      <c r="C4447" s="534" t="n">
        <v>9050.4</v>
      </c>
      <c r="E4447" s="535" t="n">
        <v>41579</v>
      </c>
      <c r="F4447" s="534" t="n">
        <v>1.906</v>
      </c>
    </row>
    <row r="4448">
      <c r="A4448" s="535" t="n">
        <v>37762</v>
      </c>
      <c r="B4448" s="534" t="n">
        <v>8.188000000000001</v>
      </c>
      <c r="C4448" s="534" t="n">
        <v>9059.799999999999</v>
      </c>
      <c r="E4448" s="535" t="n">
        <v>41582</v>
      </c>
      <c r="F4448" s="534" t="n">
        <v>1.95</v>
      </c>
    </row>
    <row r="4449">
      <c r="A4449" s="535" t="n">
        <v>37763</v>
      </c>
      <c r="B4449" s="534" t="n">
        <v>8.145</v>
      </c>
      <c r="C4449" s="534" t="n">
        <v>9131.49</v>
      </c>
      <c r="E4449" s="535" t="n">
        <v>41583</v>
      </c>
      <c r="F4449" s="534" t="n">
        <v>1.926</v>
      </c>
    </row>
    <row r="4450">
      <c r="A4450" s="535" t="n">
        <v>37764</v>
      </c>
      <c r="B4450" s="534" t="n">
        <v>8.276</v>
      </c>
      <c r="C4450" s="534" t="n">
        <v>9303.73</v>
      </c>
      <c r="E4450" s="535" t="n">
        <v>41584</v>
      </c>
      <c r="F4450" s="534" t="n">
        <v>1.898</v>
      </c>
    </row>
    <row r="4451">
      <c r="A4451" s="535" t="n">
        <v>37767</v>
      </c>
      <c r="B4451" s="534" t="n">
        <v>8.667999999999999</v>
      </c>
      <c r="C4451" s="534" t="n">
        <v>9492.709999999999</v>
      </c>
      <c r="E4451" s="535" t="n">
        <v>41585</v>
      </c>
      <c r="F4451" s="534" t="n">
        <v>1.854</v>
      </c>
    </row>
    <row r="4452">
      <c r="A4452" s="535" t="n">
        <v>37768</v>
      </c>
      <c r="B4452" s="534" t="n">
        <v>8.624000000000001</v>
      </c>
      <c r="C4452" s="534" t="n">
        <v>9420.809999999999</v>
      </c>
      <c r="E4452" s="535" t="n">
        <v>41586</v>
      </c>
      <c r="F4452" s="534" t="n">
        <v>1.849</v>
      </c>
    </row>
    <row r="4453">
      <c r="A4453" s="535" t="n">
        <v>37769</v>
      </c>
      <c r="B4453" s="534" t="n">
        <v>8.58</v>
      </c>
      <c r="C4453" s="534" t="n">
        <v>9510.620000000001</v>
      </c>
      <c r="E4453" s="535" t="n">
        <v>41589</v>
      </c>
      <c r="F4453" s="534" t="n">
        <v>1.954</v>
      </c>
    </row>
    <row r="4454">
      <c r="A4454" s="535" t="n">
        <v>37770</v>
      </c>
      <c r="B4454" s="534" t="n">
        <v>8.493</v>
      </c>
      <c r="C4454" s="534" t="n">
        <v>9508.549999999999</v>
      </c>
      <c r="E4454" s="535" t="n">
        <v>41590</v>
      </c>
      <c r="F4454" s="534" t="n">
        <v>2.055</v>
      </c>
    </row>
    <row r="4455">
      <c r="A4455" s="535" t="n">
        <v>37771</v>
      </c>
      <c r="B4455" s="534" t="n">
        <v>8.58</v>
      </c>
      <c r="C4455" s="534" t="n">
        <v>9487.379999999999</v>
      </c>
      <c r="E4455" s="535" t="n">
        <v>41591</v>
      </c>
      <c r="F4455" s="534" t="n">
        <v>2.043</v>
      </c>
    </row>
    <row r="4456">
      <c r="A4456" s="535" t="n">
        <v>37774</v>
      </c>
      <c r="B4456" s="534" t="n">
        <v>8.711</v>
      </c>
      <c r="C4456" s="534" t="n">
        <v>9637.530000000001</v>
      </c>
      <c r="E4456" s="535" t="n">
        <v>41592</v>
      </c>
      <c r="F4456" s="534" t="n">
        <v>1.977</v>
      </c>
    </row>
    <row r="4457">
      <c r="A4457" s="535" t="n">
        <v>37775</v>
      </c>
      <c r="B4457" s="534" t="n">
        <v>8.624000000000001</v>
      </c>
      <c r="C4457" s="534" t="n">
        <v>9662.82</v>
      </c>
      <c r="E4457" s="535" t="n">
        <v>41593</v>
      </c>
      <c r="F4457" s="534" t="n">
        <v>1.974</v>
      </c>
    </row>
    <row r="4458">
      <c r="A4458" s="535" t="n">
        <v>37776</v>
      </c>
      <c r="B4458" s="534" t="n">
        <v>8.624000000000001</v>
      </c>
      <c r="C4458" s="534" t="n">
        <v>9662.82</v>
      </c>
      <c r="E4458" s="535" t="n">
        <v>41596</v>
      </c>
      <c r="F4458" s="534" t="n">
        <v>1.965</v>
      </c>
    </row>
    <row r="4459">
      <c r="A4459" s="535" t="n">
        <v>37777</v>
      </c>
      <c r="B4459" s="534" t="n">
        <v>9.016</v>
      </c>
      <c r="C4459" s="534" t="n">
        <v>9639.01</v>
      </c>
      <c r="E4459" s="535" t="n">
        <v>41597</v>
      </c>
      <c r="F4459" s="534" t="n">
        <v>1.959</v>
      </c>
    </row>
    <row r="4460">
      <c r="A4460" s="535" t="n">
        <v>37778</v>
      </c>
      <c r="B4460" s="534" t="n">
        <v>9.147</v>
      </c>
      <c r="C4460" s="534" t="n">
        <v>9694.629999999999</v>
      </c>
      <c r="E4460" s="535" t="n">
        <v>41598</v>
      </c>
      <c r="F4460" s="534" t="n">
        <v>2.017</v>
      </c>
    </row>
    <row r="4461">
      <c r="A4461" s="535" t="n">
        <v>37781</v>
      </c>
      <c r="B4461" s="534" t="n">
        <v>9.103</v>
      </c>
      <c r="C4461" s="534" t="n">
        <v>9733.51</v>
      </c>
      <c r="E4461" s="535" t="n">
        <v>41599</v>
      </c>
      <c r="F4461" s="534" t="n">
        <v>2.082</v>
      </c>
    </row>
    <row r="4462">
      <c r="A4462" s="535" t="n">
        <v>37782</v>
      </c>
      <c r="B4462" s="534" t="n">
        <v>9.103</v>
      </c>
      <c r="C4462" s="534" t="n">
        <v>9703.719999999999</v>
      </c>
      <c r="E4462" s="535" t="n">
        <v>41600</v>
      </c>
      <c r="F4462" s="534" t="n">
        <v>2.055</v>
      </c>
    </row>
    <row r="4463">
      <c r="A4463" s="535" t="n">
        <v>37783</v>
      </c>
      <c r="B4463" s="534" t="n">
        <v>9.103</v>
      </c>
      <c r="C4463" s="534" t="n">
        <v>9662.059999999999</v>
      </c>
      <c r="E4463" s="535" t="n">
        <v>41603</v>
      </c>
      <c r="F4463" s="534" t="n">
        <v>2.091</v>
      </c>
    </row>
    <row r="4464">
      <c r="A4464" s="535" t="n">
        <v>37784</v>
      </c>
      <c r="B4464" s="534" t="n">
        <v>9.19</v>
      </c>
      <c r="C4464" s="534" t="n">
        <v>9736.84</v>
      </c>
      <c r="E4464" s="535" t="n">
        <v>41604</v>
      </c>
      <c r="F4464" s="534" t="n">
        <v>2.063</v>
      </c>
    </row>
    <row r="4465">
      <c r="A4465" s="535" t="n">
        <v>37785</v>
      </c>
      <c r="B4465" s="534" t="n">
        <v>9.494999999999999</v>
      </c>
      <c r="C4465" s="534" t="n">
        <v>9855.639999999999</v>
      </c>
      <c r="E4465" s="535" t="n">
        <v>41605</v>
      </c>
      <c r="F4465" s="534" t="n">
        <v>2.064</v>
      </c>
    </row>
    <row r="4466">
      <c r="A4466" s="535" t="n">
        <v>37788</v>
      </c>
      <c r="B4466" s="534" t="n">
        <v>9.452</v>
      </c>
      <c r="C4466" s="534" t="n">
        <v>9862.280000000001</v>
      </c>
      <c r="E4466" s="535" t="n">
        <v>41606</v>
      </c>
      <c r="F4466" s="534" t="n">
        <v>2.08</v>
      </c>
    </row>
    <row r="4467">
      <c r="A4467" s="535" t="n">
        <v>37789</v>
      </c>
      <c r="B4467" s="534" t="n">
        <v>9.494999999999999</v>
      </c>
      <c r="C4467" s="534" t="n">
        <v>10030.37</v>
      </c>
      <c r="E4467" s="535" t="n">
        <v>41607</v>
      </c>
      <c r="F4467" s="534" t="n">
        <v>2.156</v>
      </c>
    </row>
    <row r="4468">
      <c r="A4468" s="535" t="n">
        <v>37790</v>
      </c>
      <c r="B4468" s="534" t="n">
        <v>9.364000000000001</v>
      </c>
      <c r="C4468" s="534" t="n">
        <v>9970.299999999999</v>
      </c>
      <c r="E4468" s="535" t="n">
        <v>41610</v>
      </c>
      <c r="F4468" s="534" t="n">
        <v>2.184</v>
      </c>
    </row>
    <row r="4469">
      <c r="A4469" s="535" t="n">
        <v>37791</v>
      </c>
      <c r="B4469" s="534" t="n">
        <v>9.321</v>
      </c>
      <c r="C4469" s="534" t="n">
        <v>9980.110000000001</v>
      </c>
      <c r="E4469" s="535" t="n">
        <v>41611</v>
      </c>
      <c r="F4469" s="534" t="n">
        <v>2.219</v>
      </c>
    </row>
    <row r="4470">
      <c r="A4470" s="535" t="n">
        <v>37792</v>
      </c>
      <c r="B4470" s="534" t="n">
        <v>9.321</v>
      </c>
      <c r="C4470" s="534" t="n">
        <v>9930.309999999999</v>
      </c>
      <c r="E4470" s="535" t="n">
        <v>41612</v>
      </c>
      <c r="F4470" s="534" t="n">
        <v>2.205</v>
      </c>
    </row>
    <row r="4471">
      <c r="A4471" s="535" t="n">
        <v>37795</v>
      </c>
      <c r="B4471" s="534" t="n">
        <v>9.016</v>
      </c>
      <c r="C4471" s="534" t="n">
        <v>9734.290000000001</v>
      </c>
      <c r="E4471" s="535" t="n">
        <v>41613</v>
      </c>
      <c r="F4471" s="534" t="n">
        <v>2.28</v>
      </c>
    </row>
    <row r="4472">
      <c r="A4472" s="535" t="n">
        <v>37796</v>
      </c>
      <c r="B4472" s="534" t="n">
        <v>8.885</v>
      </c>
      <c r="C4472" s="534" t="n">
        <v>9629.35</v>
      </c>
      <c r="E4472" s="535" t="n">
        <v>41614</v>
      </c>
      <c r="F4472" s="534" t="n">
        <v>2.205</v>
      </c>
    </row>
    <row r="4473">
      <c r="A4473" s="535" t="n">
        <v>37797</v>
      </c>
      <c r="B4473" s="534" t="n">
        <v>8.972</v>
      </c>
      <c r="C4473" s="534" t="n">
        <v>9628.99</v>
      </c>
      <c r="E4473" s="535" t="n">
        <v>41617</v>
      </c>
      <c r="F4473" s="534" t="n">
        <v>2.284</v>
      </c>
    </row>
    <row r="4474">
      <c r="A4474" s="535" t="n">
        <v>37798</v>
      </c>
      <c r="B4474" s="534" t="n">
        <v>8.972</v>
      </c>
      <c r="C4474" s="534" t="n">
        <v>9606.110000000001</v>
      </c>
      <c r="E4474" s="535" t="n">
        <v>41618</v>
      </c>
      <c r="F4474" s="534" t="n">
        <v>2.257</v>
      </c>
    </row>
    <row r="4475">
      <c r="A4475" s="535" t="n">
        <v>37799</v>
      </c>
      <c r="B4475" s="534" t="n">
        <v>9.103</v>
      </c>
      <c r="C4475" s="534" t="n">
        <v>9657.209999999999</v>
      </c>
      <c r="E4475" s="535" t="n">
        <v>41619</v>
      </c>
      <c r="F4475" s="534" t="n">
        <v>2.234</v>
      </c>
    </row>
    <row r="4476">
      <c r="A4476" s="535" t="n">
        <v>37802</v>
      </c>
      <c r="B4476" s="534" t="n">
        <v>9.147</v>
      </c>
      <c r="C4476" s="534" t="n">
        <v>9577.120000000001</v>
      </c>
      <c r="E4476" s="535" t="n">
        <v>41620</v>
      </c>
      <c r="F4476" s="534" t="n">
        <v>2.274</v>
      </c>
    </row>
    <row r="4477">
      <c r="A4477" s="535" t="n">
        <v>37803</v>
      </c>
      <c r="B4477" s="534" t="n">
        <v>9.147</v>
      </c>
      <c r="C4477" s="534" t="n">
        <v>9577.120000000001</v>
      </c>
      <c r="E4477" s="535" t="n">
        <v>41621</v>
      </c>
      <c r="F4477" s="534" t="n">
        <v>2.298</v>
      </c>
    </row>
    <row r="4478">
      <c r="A4478" s="535" t="n">
        <v>37804</v>
      </c>
      <c r="B4478" s="534" t="n">
        <v>9.103</v>
      </c>
      <c r="C4478" s="534" t="n">
        <v>9602.620000000001</v>
      </c>
      <c r="E4478" s="535" t="n">
        <v>41624</v>
      </c>
      <c r="F4478" s="534" t="n">
        <v>2.322</v>
      </c>
    </row>
    <row r="4479">
      <c r="A4479" s="535" t="n">
        <v>37805</v>
      </c>
      <c r="B4479" s="534" t="n">
        <v>9.234</v>
      </c>
      <c r="C4479" s="534" t="n">
        <v>9646.1</v>
      </c>
      <c r="E4479" s="535" t="n">
        <v>41625</v>
      </c>
      <c r="F4479" s="534" t="n">
        <v>2.339</v>
      </c>
    </row>
    <row r="4480">
      <c r="A4480" s="535" t="n">
        <v>37806</v>
      </c>
      <c r="B4480" s="534" t="n">
        <v>9.147</v>
      </c>
      <c r="C4480" s="534" t="n">
        <v>9636.809999999999</v>
      </c>
      <c r="E4480" s="535" t="n">
        <v>41626</v>
      </c>
      <c r="F4480" s="534" t="n">
        <v>2.293</v>
      </c>
    </row>
    <row r="4481">
      <c r="A4481" s="535" t="n">
        <v>37809</v>
      </c>
      <c r="B4481" s="534" t="n">
        <v>9.321</v>
      </c>
      <c r="C4481" s="534" t="n">
        <v>9892.4</v>
      </c>
      <c r="E4481" s="535" t="n">
        <v>41627</v>
      </c>
      <c r="F4481" s="534" t="n">
        <v>2.339</v>
      </c>
    </row>
    <row r="4482">
      <c r="A4482" s="535" t="n">
        <v>37810</v>
      </c>
      <c r="B4482" s="534" t="n">
        <v>9.452</v>
      </c>
      <c r="C4482" s="534" t="n">
        <v>9992.870000000001</v>
      </c>
      <c r="E4482" s="535" t="n">
        <v>41628</v>
      </c>
      <c r="F4482" s="534" t="n">
        <v>2.377</v>
      </c>
    </row>
    <row r="4483">
      <c r="A4483" s="535" t="n">
        <v>37811</v>
      </c>
      <c r="B4483" s="534" t="n">
        <v>9.494999999999999</v>
      </c>
      <c r="C4483" s="534" t="n">
        <v>10027.41</v>
      </c>
      <c r="E4483" s="535" t="n">
        <v>41631</v>
      </c>
      <c r="F4483" s="534" t="n">
        <v>2.334</v>
      </c>
    </row>
    <row r="4484">
      <c r="A4484" s="535" t="n">
        <v>37812</v>
      </c>
      <c r="B4484" s="534" t="n">
        <v>9.494999999999999</v>
      </c>
      <c r="C4484" s="534" t="n">
        <v>9983.309999999999</v>
      </c>
      <c r="E4484" s="535" t="n">
        <v>41632</v>
      </c>
      <c r="F4484" s="534" t="n">
        <v>2.346</v>
      </c>
    </row>
    <row r="4485">
      <c r="A4485" s="535" t="n">
        <v>37813</v>
      </c>
      <c r="B4485" s="534" t="n">
        <v>9.364000000000001</v>
      </c>
      <c r="C4485" s="534" t="n">
        <v>9911.5</v>
      </c>
      <c r="E4485" s="535" t="n">
        <v>41633</v>
      </c>
      <c r="F4485" s="534" t="n">
        <v>2.346</v>
      </c>
    </row>
    <row r="4486">
      <c r="A4486" s="535" t="n">
        <v>37816</v>
      </c>
      <c r="B4486" s="534" t="n">
        <v>9.494999999999999</v>
      </c>
      <c r="C4486" s="534" t="n">
        <v>10122.4</v>
      </c>
      <c r="E4486" s="535" t="n">
        <v>41634</v>
      </c>
      <c r="F4486" s="534" t="n">
        <v>2.346</v>
      </c>
    </row>
    <row r="4487">
      <c r="A4487" s="535" t="n">
        <v>37817</v>
      </c>
      <c r="B4487" s="534" t="n">
        <v>9.407999999999999</v>
      </c>
      <c r="C4487" s="534" t="n">
        <v>10135.55</v>
      </c>
      <c r="E4487" s="535" t="n">
        <v>41635</v>
      </c>
      <c r="F4487" s="534" t="n">
        <v>2.381</v>
      </c>
    </row>
    <row r="4488">
      <c r="A4488" s="535" t="n">
        <v>37818</v>
      </c>
      <c r="B4488" s="534" t="n">
        <v>9.364000000000001</v>
      </c>
      <c r="C4488" s="534" t="n">
        <v>10207.17</v>
      </c>
      <c r="E4488" s="535" t="n">
        <v>41638</v>
      </c>
      <c r="F4488" s="534" t="n">
        <v>2.384</v>
      </c>
    </row>
    <row r="4489">
      <c r="A4489" s="535" t="n">
        <v>37819</v>
      </c>
      <c r="B4489" s="534" t="n">
        <v>9.494999999999999</v>
      </c>
      <c r="C4489" s="534" t="n">
        <v>10096.72</v>
      </c>
      <c r="E4489" s="535" t="n">
        <v>41639</v>
      </c>
      <c r="F4489" s="534" t="n">
        <v>2.349</v>
      </c>
    </row>
    <row r="4490">
      <c r="A4490" s="535" t="n">
        <v>37820</v>
      </c>
      <c r="B4490" s="534" t="n">
        <v>9.582000000000001</v>
      </c>
      <c r="C4490" s="534" t="n">
        <v>10140.84</v>
      </c>
      <c r="E4490" s="535" t="n">
        <v>41640</v>
      </c>
      <c r="F4490" s="534" t="n">
        <v>2.349</v>
      </c>
    </row>
    <row r="4491">
      <c r="A4491" s="535" t="n">
        <v>37823</v>
      </c>
      <c r="B4491" s="534" t="n">
        <v>9.756</v>
      </c>
      <c r="C4491" s="534" t="n">
        <v>10102.86</v>
      </c>
      <c r="E4491" s="535" t="n">
        <v>41641</v>
      </c>
      <c r="F4491" s="534" t="n">
        <v>2.417</v>
      </c>
    </row>
    <row r="4492">
      <c r="A4492" s="535" t="n">
        <v>37824</v>
      </c>
      <c r="B4492" s="534" t="n">
        <v>9.712999999999999</v>
      </c>
      <c r="C4492" s="534" t="n">
        <v>10008.71</v>
      </c>
      <c r="E4492" s="535" t="n">
        <v>41642</v>
      </c>
      <c r="F4492" s="534" t="n">
        <v>2.412</v>
      </c>
    </row>
    <row r="4493">
      <c r="A4493" s="535" t="n">
        <v>37825</v>
      </c>
      <c r="B4493" s="534" t="n">
        <v>9.582000000000001</v>
      </c>
      <c r="C4493" s="534" t="n">
        <v>9900.559999999999</v>
      </c>
      <c r="E4493" s="535" t="n">
        <v>41645</v>
      </c>
      <c r="F4493" s="534" t="n">
        <v>2.435</v>
      </c>
    </row>
    <row r="4494">
      <c r="A4494" s="535" t="n">
        <v>37826</v>
      </c>
      <c r="B4494" s="534" t="n">
        <v>9.625999999999999</v>
      </c>
      <c r="C4494" s="534" t="n">
        <v>9923.139999999999</v>
      </c>
      <c r="E4494" s="535" t="n">
        <v>41646</v>
      </c>
      <c r="F4494" s="534" t="n">
        <v>2.406</v>
      </c>
    </row>
    <row r="4495">
      <c r="A4495" s="535" t="n">
        <v>37827</v>
      </c>
      <c r="B4495" s="534" t="n">
        <v>9.539</v>
      </c>
      <c r="C4495" s="534" t="n">
        <v>9939.200000000001</v>
      </c>
      <c r="E4495" s="535" t="n">
        <v>41647</v>
      </c>
      <c r="F4495" s="534" t="n">
        <v>2.412</v>
      </c>
    </row>
    <row r="4496">
      <c r="A4496" s="535" t="n">
        <v>37830</v>
      </c>
      <c r="B4496" s="534" t="n">
        <v>9.712999999999999</v>
      </c>
      <c r="C4496" s="534" t="n">
        <v>10134.88</v>
      </c>
      <c r="E4496" s="535" t="n">
        <v>41648</v>
      </c>
      <c r="F4496" s="534" t="n">
        <v>2.438</v>
      </c>
    </row>
    <row r="4497">
      <c r="A4497" s="535" t="n">
        <v>37831</v>
      </c>
      <c r="B4497" s="534" t="n">
        <v>9.625999999999999</v>
      </c>
      <c r="C4497" s="534" t="n">
        <v>10198.6</v>
      </c>
      <c r="E4497" s="535" t="n">
        <v>41649</v>
      </c>
      <c r="F4497" s="534" t="n">
        <v>2.418</v>
      </c>
    </row>
    <row r="4498">
      <c r="A4498" s="535" t="n">
        <v>37832</v>
      </c>
      <c r="B4498" s="534" t="n">
        <v>9.539</v>
      </c>
      <c r="C4498" s="534" t="n">
        <v>10121.22</v>
      </c>
      <c r="E4498" s="535" t="n">
        <v>41652</v>
      </c>
      <c r="F4498" s="534" t="n">
        <v>2.342</v>
      </c>
    </row>
    <row r="4499">
      <c r="A4499" s="535" t="n">
        <v>37833</v>
      </c>
      <c r="B4499" s="534" t="n">
        <v>9.539</v>
      </c>
      <c r="C4499" s="534" t="n">
        <v>10134.83</v>
      </c>
      <c r="E4499" s="535" t="n">
        <v>41653</v>
      </c>
      <c r="F4499" s="534" t="n">
        <v>2.33</v>
      </c>
    </row>
    <row r="4500">
      <c r="A4500" s="535" t="n">
        <v>37834</v>
      </c>
      <c r="B4500" s="534" t="n">
        <v>9.625999999999999</v>
      </c>
      <c r="C4500" s="534" t="n">
        <v>10248.6</v>
      </c>
      <c r="E4500" s="535" t="n">
        <v>41654</v>
      </c>
      <c r="F4500" s="534" t="n">
        <v>2.384</v>
      </c>
    </row>
    <row r="4501">
      <c r="A4501" s="535" t="n">
        <v>37837</v>
      </c>
      <c r="B4501" s="534" t="n">
        <v>9.582000000000001</v>
      </c>
      <c r="C4501" s="534" t="n">
        <v>10183.14</v>
      </c>
      <c r="E4501" s="535" t="n">
        <v>41655</v>
      </c>
      <c r="F4501" s="534" t="n">
        <v>2.403</v>
      </c>
    </row>
    <row r="4502">
      <c r="A4502" s="535" t="n">
        <v>37838</v>
      </c>
      <c r="B4502" s="534" t="n">
        <v>9.582000000000001</v>
      </c>
      <c r="C4502" s="534" t="n">
        <v>10177.38</v>
      </c>
      <c r="E4502" s="535" t="n">
        <v>41656</v>
      </c>
      <c r="F4502" s="534" t="n">
        <v>2.36</v>
      </c>
    </row>
    <row r="4503">
      <c r="A4503" s="535" t="n">
        <v>37839</v>
      </c>
      <c r="B4503" s="534" t="n">
        <v>9.539</v>
      </c>
      <c r="C4503" s="534" t="n">
        <v>9987.540000000001</v>
      </c>
      <c r="E4503" s="535" t="n">
        <v>41659</v>
      </c>
      <c r="F4503" s="534" t="n">
        <v>2.339</v>
      </c>
    </row>
    <row r="4504">
      <c r="A4504" s="535" t="n">
        <v>37840</v>
      </c>
      <c r="B4504" s="534" t="n">
        <v>9.843999999999999</v>
      </c>
      <c r="C4504" s="534" t="n">
        <v>9958.049999999999</v>
      </c>
      <c r="E4504" s="535" t="n">
        <v>41660</v>
      </c>
      <c r="F4504" s="534" t="n">
        <v>2.208</v>
      </c>
    </row>
    <row r="4505">
      <c r="A4505" s="535" t="n">
        <v>37841</v>
      </c>
      <c r="B4505" s="534" t="n">
        <v>10.061</v>
      </c>
      <c r="C4505" s="534" t="n">
        <v>9945.219999999999</v>
      </c>
      <c r="E4505" s="535" t="n">
        <v>41661</v>
      </c>
      <c r="F4505" s="534" t="n">
        <v>2.378</v>
      </c>
    </row>
    <row r="4506">
      <c r="A4506" s="535" t="n">
        <v>37844</v>
      </c>
      <c r="B4506" s="534" t="n">
        <v>10.148</v>
      </c>
      <c r="C4506" s="534" t="n">
        <v>10093.54</v>
      </c>
      <c r="E4506" s="535" t="n">
        <v>41662</v>
      </c>
      <c r="F4506" s="534" t="n">
        <v>2.402</v>
      </c>
    </row>
    <row r="4507">
      <c r="A4507" s="535" t="n">
        <v>37845</v>
      </c>
      <c r="B4507" s="534" t="n">
        <v>10.845</v>
      </c>
      <c r="C4507" s="534" t="n">
        <v>10184.17</v>
      </c>
      <c r="E4507" s="535" t="n">
        <v>41663</v>
      </c>
      <c r="F4507" s="534" t="n">
        <v>2.351</v>
      </c>
    </row>
    <row r="4508">
      <c r="A4508" s="535" t="n">
        <v>37846</v>
      </c>
      <c r="B4508" s="534" t="n">
        <v>11.15</v>
      </c>
      <c r="C4508" s="534" t="n">
        <v>10301.47</v>
      </c>
      <c r="E4508" s="535" t="n">
        <v>41666</v>
      </c>
      <c r="F4508" s="534" t="n">
        <v>2.328</v>
      </c>
    </row>
    <row r="4509">
      <c r="A4509" s="535" t="n">
        <v>37847</v>
      </c>
      <c r="B4509" s="534" t="n">
        <v>10.802</v>
      </c>
      <c r="C4509" s="534" t="n">
        <v>10374.02</v>
      </c>
      <c r="E4509" s="535" t="n">
        <v>41667</v>
      </c>
      <c r="F4509" s="534" t="n">
        <v>2.349</v>
      </c>
    </row>
    <row r="4510">
      <c r="A4510" s="535" t="n">
        <v>37848</v>
      </c>
      <c r="B4510" s="534" t="n">
        <v>10.584</v>
      </c>
      <c r="C4510" s="534" t="n">
        <v>10424.56</v>
      </c>
      <c r="E4510" s="535" t="n">
        <v>41668</v>
      </c>
      <c r="F4510" s="534" t="n">
        <v>2.355</v>
      </c>
    </row>
    <row r="4511">
      <c r="A4511" s="535" t="n">
        <v>37851</v>
      </c>
      <c r="B4511" s="534" t="n">
        <v>10.802</v>
      </c>
      <c r="C4511" s="534" t="n">
        <v>10525.04</v>
      </c>
      <c r="E4511" s="535" t="n">
        <v>41669</v>
      </c>
      <c r="F4511" s="534" t="n">
        <v>2.297</v>
      </c>
    </row>
    <row r="4512">
      <c r="A4512" s="535" t="n">
        <v>37852</v>
      </c>
      <c r="B4512" s="534" t="n">
        <v>10.976</v>
      </c>
      <c r="C4512" s="534" t="n">
        <v>10509.29</v>
      </c>
      <c r="E4512" s="535" t="n">
        <v>41670</v>
      </c>
      <c r="F4512" s="534" t="n">
        <v>2.297</v>
      </c>
    </row>
    <row r="4513">
      <c r="A4513" s="535" t="n">
        <v>37853</v>
      </c>
      <c r="B4513" s="534" t="n">
        <v>11.194</v>
      </c>
      <c r="C4513" s="534" t="n">
        <v>10475.33</v>
      </c>
      <c r="E4513" s="535" t="n">
        <v>41673</v>
      </c>
      <c r="F4513" s="534" t="n">
        <v>2.297</v>
      </c>
    </row>
    <row r="4514">
      <c r="A4514" s="535" t="n">
        <v>37854</v>
      </c>
      <c r="B4514" s="534" t="n">
        <v>11.194</v>
      </c>
      <c r="C4514" s="534" t="n">
        <v>10643.63</v>
      </c>
      <c r="E4514" s="535" t="n">
        <v>41674</v>
      </c>
      <c r="F4514" s="534" t="n">
        <v>2.209</v>
      </c>
    </row>
    <row r="4515">
      <c r="A4515" s="535" t="n">
        <v>37855</v>
      </c>
      <c r="B4515" s="534" t="n">
        <v>10.976</v>
      </c>
      <c r="C4515" s="534" t="n">
        <v>10760.73</v>
      </c>
      <c r="E4515" s="535" t="n">
        <v>41675</v>
      </c>
      <c r="F4515" s="534" t="n">
        <v>2.224</v>
      </c>
    </row>
    <row r="4516">
      <c r="A4516" s="535" t="n">
        <v>37858</v>
      </c>
      <c r="B4516" s="534" t="n">
        <v>11.063</v>
      </c>
      <c r="C4516" s="534" t="n">
        <v>10764.22</v>
      </c>
      <c r="E4516" s="535" t="n">
        <v>41676</v>
      </c>
      <c r="F4516" s="534" t="n">
        <v>2.268</v>
      </c>
    </row>
    <row r="4517">
      <c r="A4517" s="535" t="n">
        <v>37859</v>
      </c>
      <c r="B4517" s="534" t="n">
        <v>11.194</v>
      </c>
      <c r="C4517" s="534" t="n">
        <v>10753.93</v>
      </c>
      <c r="E4517" s="535" t="n">
        <v>41677</v>
      </c>
      <c r="F4517" s="534" t="n">
        <v>2.28</v>
      </c>
    </row>
    <row r="4518">
      <c r="A4518" s="535" t="n">
        <v>37860</v>
      </c>
      <c r="B4518" s="534" t="n">
        <v>10.932</v>
      </c>
      <c r="C4518" s="534" t="n">
        <v>10678.55</v>
      </c>
      <c r="E4518" s="535" t="n">
        <v>41680</v>
      </c>
      <c r="F4518" s="534" t="n">
        <v>2.256</v>
      </c>
    </row>
    <row r="4519">
      <c r="A4519" s="535" t="n">
        <v>37861</v>
      </c>
      <c r="B4519" s="534" t="n">
        <v>11.15</v>
      </c>
      <c r="C4519" s="534" t="n">
        <v>10760.12</v>
      </c>
      <c r="E4519" s="535" t="n">
        <v>41681</v>
      </c>
      <c r="F4519" s="534" t="n">
        <v>2.229</v>
      </c>
    </row>
    <row r="4520">
      <c r="A4520" s="535" t="n">
        <v>37862</v>
      </c>
      <c r="B4520" s="534" t="n">
        <v>11.76</v>
      </c>
      <c r="C4520" s="534" t="n">
        <v>10908.99</v>
      </c>
      <c r="E4520" s="535" t="n">
        <v>41682</v>
      </c>
      <c r="F4520" s="534" t="n">
        <v>2.274</v>
      </c>
    </row>
    <row r="4521">
      <c r="A4521" s="535" t="n">
        <v>37865</v>
      </c>
      <c r="B4521" s="534" t="n">
        <v>11.716</v>
      </c>
      <c r="C4521" s="534" t="n">
        <v>10903.4</v>
      </c>
      <c r="E4521" s="535" t="n">
        <v>41683</v>
      </c>
      <c r="F4521" s="534" t="n">
        <v>2.28</v>
      </c>
    </row>
    <row r="4522">
      <c r="A4522" s="535" t="n">
        <v>37866</v>
      </c>
      <c r="B4522" s="534" t="n">
        <v>11.76</v>
      </c>
      <c r="C4522" s="534" t="n">
        <v>10939.94</v>
      </c>
      <c r="E4522" s="535" t="n">
        <v>41684</v>
      </c>
      <c r="F4522" s="534" t="n">
        <v>2.267</v>
      </c>
    </row>
    <row r="4523">
      <c r="A4523" s="535" t="n">
        <v>37867</v>
      </c>
      <c r="B4523" s="534" t="n">
        <v>11.804</v>
      </c>
      <c r="C4523" s="534" t="n">
        <v>11102.36</v>
      </c>
      <c r="E4523" s="535" t="n">
        <v>41687</v>
      </c>
      <c r="F4523" s="534" t="n">
        <v>2.298</v>
      </c>
    </row>
    <row r="4524">
      <c r="A4524" s="535" t="n">
        <v>37868</v>
      </c>
      <c r="B4524" s="534" t="n">
        <v>11.76</v>
      </c>
      <c r="C4524" s="534" t="n">
        <v>11138.62</v>
      </c>
      <c r="E4524" s="535" t="n">
        <v>41688</v>
      </c>
      <c r="F4524" s="534" t="n">
        <v>2.292</v>
      </c>
    </row>
    <row r="4525">
      <c r="A4525" s="535" t="n">
        <v>37869</v>
      </c>
      <c r="B4525" s="534" t="n">
        <v>11.76</v>
      </c>
      <c r="C4525" s="534" t="n">
        <v>11170.61</v>
      </c>
      <c r="E4525" s="535" t="n">
        <v>41689</v>
      </c>
      <c r="F4525" s="534" t="n">
        <v>2.263</v>
      </c>
    </row>
    <row r="4526">
      <c r="A4526" s="535" t="n">
        <v>37872</v>
      </c>
      <c r="B4526" s="534" t="n">
        <v>11.804</v>
      </c>
      <c r="C4526" s="534" t="n">
        <v>11165.28</v>
      </c>
      <c r="E4526" s="535" t="n">
        <v>41690</v>
      </c>
      <c r="F4526" s="534" t="n">
        <v>2.289</v>
      </c>
    </row>
    <row r="4527">
      <c r="A4527" s="535" t="n">
        <v>37873</v>
      </c>
      <c r="B4527" s="534" t="n">
        <v>11.412</v>
      </c>
      <c r="C4527" s="534" t="n">
        <v>11046.82</v>
      </c>
      <c r="E4527" s="535" t="n">
        <v>41691</v>
      </c>
      <c r="F4527" s="534" t="n">
        <v>2.325</v>
      </c>
    </row>
    <row r="4528">
      <c r="A4528" s="535" t="n">
        <v>37874</v>
      </c>
      <c r="B4528" s="534" t="n">
        <v>10.845</v>
      </c>
      <c r="C4528" s="534" t="n">
        <v>10810.31</v>
      </c>
      <c r="E4528" s="535" t="n">
        <v>41694</v>
      </c>
      <c r="F4528" s="534" t="n">
        <v>2.299</v>
      </c>
    </row>
    <row r="4529">
      <c r="A4529" s="535" t="n">
        <v>37875</v>
      </c>
      <c r="B4529" s="534" t="n">
        <v>11.15</v>
      </c>
      <c r="C4529" s="534" t="n">
        <v>10883.52</v>
      </c>
      <c r="E4529" s="535" t="n">
        <v>41695</v>
      </c>
      <c r="F4529" s="534" t="n">
        <v>2.305</v>
      </c>
    </row>
    <row r="4530">
      <c r="A4530" s="535" t="n">
        <v>37876</v>
      </c>
      <c r="B4530" s="534" t="n">
        <v>11.15</v>
      </c>
      <c r="C4530" s="534" t="n">
        <v>10883.52</v>
      </c>
      <c r="E4530" s="535" t="n">
        <v>41696</v>
      </c>
      <c r="F4530" s="534" t="n">
        <v>2.299</v>
      </c>
    </row>
    <row r="4531">
      <c r="A4531" s="535" t="n">
        <v>37879</v>
      </c>
      <c r="B4531" s="534" t="n">
        <v>11.107</v>
      </c>
      <c r="C4531" s="534" t="n">
        <v>10992.73</v>
      </c>
      <c r="E4531" s="535" t="n">
        <v>41697</v>
      </c>
      <c r="F4531" s="534" t="n">
        <v>2.299</v>
      </c>
    </row>
    <row r="4532">
      <c r="A4532" s="535" t="n">
        <v>37880</v>
      </c>
      <c r="B4532" s="534" t="n">
        <v>11.063</v>
      </c>
      <c r="C4532" s="534" t="n">
        <v>11071.38</v>
      </c>
      <c r="E4532" s="535" t="n">
        <v>41698</v>
      </c>
      <c r="F4532" s="534" t="n">
        <v>2.243</v>
      </c>
    </row>
    <row r="4533">
      <c r="A4533" s="535" t="n">
        <v>37881</v>
      </c>
      <c r="B4533" s="534" t="n">
        <v>10.889</v>
      </c>
      <c r="C4533" s="534" t="n">
        <v>11140.05</v>
      </c>
      <c r="E4533" s="535" t="n">
        <v>41701</v>
      </c>
      <c r="F4533" s="534" t="n">
        <v>2.217</v>
      </c>
    </row>
    <row r="4534">
      <c r="A4534" s="535" t="n">
        <v>37882</v>
      </c>
      <c r="B4534" s="534" t="n">
        <v>10.845</v>
      </c>
      <c r="C4534" s="534" t="n">
        <v>11069.22</v>
      </c>
      <c r="E4534" s="535" t="n">
        <v>41702</v>
      </c>
      <c r="F4534" s="534" t="n">
        <v>2.24</v>
      </c>
    </row>
    <row r="4535">
      <c r="A4535" s="535" t="n">
        <v>37883</v>
      </c>
      <c r="B4535" s="534" t="n">
        <v>10.54</v>
      </c>
      <c r="C4535" s="534" t="n">
        <v>10968.42</v>
      </c>
      <c r="E4535" s="535" t="n">
        <v>41703</v>
      </c>
      <c r="F4535" s="534" t="n">
        <v>2.276</v>
      </c>
    </row>
    <row r="4536">
      <c r="A4536" s="535" t="n">
        <v>37886</v>
      </c>
      <c r="B4536" s="534" t="n">
        <v>10.628</v>
      </c>
      <c r="C4536" s="534" t="n">
        <v>10873.27</v>
      </c>
      <c r="E4536" s="535" t="n">
        <v>41704</v>
      </c>
      <c r="F4536" s="534" t="n">
        <v>2.299</v>
      </c>
    </row>
    <row r="4537">
      <c r="A4537" s="535" t="n">
        <v>37887</v>
      </c>
      <c r="B4537" s="534" t="n">
        <v>10.715</v>
      </c>
      <c r="C4537" s="534" t="n">
        <v>10944.36</v>
      </c>
      <c r="E4537" s="535" t="n">
        <v>41705</v>
      </c>
      <c r="F4537" s="534" t="n">
        <v>2.318</v>
      </c>
    </row>
    <row r="4538">
      <c r="A4538" s="535" t="n">
        <v>37888</v>
      </c>
      <c r="B4538" s="534" t="n">
        <v>10.932</v>
      </c>
      <c r="C4538" s="534" t="n">
        <v>11295.89</v>
      </c>
      <c r="E4538" s="535" t="n">
        <v>41708</v>
      </c>
      <c r="F4538" s="534" t="n">
        <v>2.347</v>
      </c>
    </row>
    <row r="4539">
      <c r="A4539" s="535" t="n">
        <v>37889</v>
      </c>
      <c r="B4539" s="534" t="n">
        <v>10.802</v>
      </c>
      <c r="C4539" s="534" t="n">
        <v>11286.52</v>
      </c>
      <c r="E4539" s="535" t="n">
        <v>41709</v>
      </c>
      <c r="F4539" s="534" t="n">
        <v>2.342</v>
      </c>
    </row>
    <row r="4540">
      <c r="A4540" s="535" t="n">
        <v>37890</v>
      </c>
      <c r="B4540" s="534" t="n">
        <v>11.02</v>
      </c>
      <c r="C4540" s="534" t="n">
        <v>11290.15</v>
      </c>
      <c r="E4540" s="535" t="n">
        <v>41710</v>
      </c>
      <c r="F4540" s="534" t="n">
        <v>2.318</v>
      </c>
    </row>
    <row r="4541">
      <c r="A4541" s="535" t="n">
        <v>37893</v>
      </c>
      <c r="B4541" s="534" t="n">
        <v>11.107</v>
      </c>
      <c r="C4541" s="534" t="n">
        <v>11141.28</v>
      </c>
      <c r="E4541" s="535" t="n">
        <v>41711</v>
      </c>
      <c r="F4541" s="534" t="n">
        <v>2.3</v>
      </c>
    </row>
    <row r="4542">
      <c r="A4542" s="535" t="n">
        <v>37894</v>
      </c>
      <c r="B4542" s="534" t="n">
        <v>11.412</v>
      </c>
      <c r="C4542" s="534" t="n">
        <v>11229.87</v>
      </c>
      <c r="E4542" s="535" t="n">
        <v>41712</v>
      </c>
      <c r="F4542" s="534" t="n">
        <v>2.232</v>
      </c>
    </row>
    <row r="4543">
      <c r="A4543" s="535" t="n">
        <v>37895</v>
      </c>
      <c r="B4543" s="534" t="n">
        <v>11.412</v>
      </c>
      <c r="C4543" s="534" t="n">
        <v>11229.87</v>
      </c>
      <c r="E4543" s="535" t="n">
        <v>41715</v>
      </c>
      <c r="F4543" s="534" t="n">
        <v>2.241</v>
      </c>
    </row>
    <row r="4544">
      <c r="A4544" s="535" t="n">
        <v>37896</v>
      </c>
      <c r="B4544" s="534" t="n">
        <v>11.629</v>
      </c>
      <c r="C4544" s="534" t="n">
        <v>11546.12</v>
      </c>
      <c r="E4544" s="535" t="n">
        <v>41716</v>
      </c>
      <c r="F4544" s="534" t="n">
        <v>2.265</v>
      </c>
    </row>
    <row r="4545">
      <c r="A4545" s="535" t="n">
        <v>37897</v>
      </c>
      <c r="B4545" s="534" t="n">
        <v>11.542</v>
      </c>
      <c r="C4545" s="534" t="n">
        <v>11608.72</v>
      </c>
      <c r="E4545" s="535" t="n">
        <v>41717</v>
      </c>
      <c r="F4545" s="534" t="n">
        <v>2.256</v>
      </c>
    </row>
    <row r="4546">
      <c r="A4546" s="535" t="n">
        <v>37900</v>
      </c>
      <c r="B4546" s="534" t="n">
        <v>11.542</v>
      </c>
      <c r="C4546" s="534" t="n">
        <v>11734.48</v>
      </c>
      <c r="E4546" s="535" t="n">
        <v>41718</v>
      </c>
      <c r="F4546" s="534" t="n">
        <v>2.385</v>
      </c>
    </row>
    <row r="4547">
      <c r="A4547" s="535" t="n">
        <v>37901</v>
      </c>
      <c r="B4547" s="534" t="n">
        <v>11.412</v>
      </c>
      <c r="C4547" s="534" t="n">
        <v>11723.92</v>
      </c>
      <c r="E4547" s="535" t="n">
        <v>41719</v>
      </c>
      <c r="F4547" s="534" t="n">
        <v>2.397</v>
      </c>
    </row>
    <row r="4548">
      <c r="A4548" s="535" t="n">
        <v>37902</v>
      </c>
      <c r="B4548" s="534" t="n">
        <v>11.15</v>
      </c>
      <c r="C4548" s="534" t="n">
        <v>11720.8</v>
      </c>
      <c r="E4548" s="535" t="n">
        <v>41722</v>
      </c>
      <c r="F4548" s="534" t="n">
        <v>2.393</v>
      </c>
    </row>
    <row r="4549">
      <c r="A4549" s="535" t="n">
        <v>37903</v>
      </c>
      <c r="B4549" s="534" t="n">
        <v>11.499</v>
      </c>
      <c r="C4549" s="534" t="n">
        <v>11800.37</v>
      </c>
      <c r="E4549" s="535" t="n">
        <v>41723</v>
      </c>
      <c r="F4549" s="534" t="n">
        <v>2.339</v>
      </c>
    </row>
    <row r="4550">
      <c r="A4550" s="535" t="n">
        <v>37904</v>
      </c>
      <c r="B4550" s="534" t="n">
        <v>11.716</v>
      </c>
      <c r="C4550" s="534" t="n">
        <v>11935.83</v>
      </c>
      <c r="E4550" s="535" t="n">
        <v>41724</v>
      </c>
      <c r="F4550" s="534" t="n">
        <v>2.357</v>
      </c>
    </row>
    <row r="4551">
      <c r="A4551" s="535" t="n">
        <v>37907</v>
      </c>
      <c r="B4551" s="534" t="n">
        <v>12.065</v>
      </c>
      <c r="C4551" s="534" t="n">
        <v>11961.97</v>
      </c>
      <c r="E4551" s="535" t="n">
        <v>41725</v>
      </c>
      <c r="F4551" s="534" t="n">
        <v>2.316</v>
      </c>
    </row>
    <row r="4552">
      <c r="A4552" s="535" t="n">
        <v>37908</v>
      </c>
      <c r="B4552" s="534" t="n">
        <v>11.804</v>
      </c>
      <c r="C4552" s="534" t="n">
        <v>11856.02</v>
      </c>
      <c r="E4552" s="535" t="n">
        <v>41726</v>
      </c>
      <c r="F4552" s="534" t="n">
        <v>2.304</v>
      </c>
    </row>
    <row r="4553">
      <c r="A4553" s="535" t="n">
        <v>37909</v>
      </c>
      <c r="B4553" s="534" t="n">
        <v>12.108</v>
      </c>
      <c r="C4553" s="534" t="n">
        <v>12056.18</v>
      </c>
      <c r="E4553" s="535" t="n">
        <v>41729</v>
      </c>
      <c r="F4553" s="534" t="n">
        <v>2.366</v>
      </c>
    </row>
    <row r="4554">
      <c r="A4554" s="535" t="n">
        <v>37910</v>
      </c>
      <c r="B4554" s="534" t="n">
        <v>12.065</v>
      </c>
      <c r="C4554" s="534" t="n">
        <v>12027.57</v>
      </c>
      <c r="E4554" s="535" t="n">
        <v>41730</v>
      </c>
      <c r="F4554" s="534" t="n">
        <v>2.368</v>
      </c>
    </row>
    <row r="4555">
      <c r="A4555" s="535" t="n">
        <v>37911</v>
      </c>
      <c r="B4555" s="534" t="n">
        <v>12.108</v>
      </c>
      <c r="C4555" s="534" t="n">
        <v>12044.49</v>
      </c>
      <c r="E4555" s="535" t="n">
        <v>41731</v>
      </c>
      <c r="F4555" s="534" t="n">
        <v>2.386</v>
      </c>
    </row>
    <row r="4556">
      <c r="A4556" s="535" t="n">
        <v>37914</v>
      </c>
      <c r="B4556" s="534" t="n">
        <v>12.631</v>
      </c>
      <c r="C4556" s="534" t="n">
        <v>12147.89</v>
      </c>
      <c r="E4556" s="535" t="n">
        <v>41732</v>
      </c>
      <c r="F4556" s="534" t="n">
        <v>2.418</v>
      </c>
    </row>
    <row r="4557">
      <c r="A4557" s="535" t="n">
        <v>37915</v>
      </c>
      <c r="B4557" s="534" t="n">
        <v>12.5</v>
      </c>
      <c r="C4557" s="534" t="n">
        <v>12250.69</v>
      </c>
      <c r="E4557" s="535" t="n">
        <v>41733</v>
      </c>
      <c r="F4557" s="534" t="n">
        <v>2.389</v>
      </c>
    </row>
    <row r="4558">
      <c r="A4558" s="535" t="n">
        <v>37916</v>
      </c>
      <c r="B4558" s="534" t="n">
        <v>12.37</v>
      </c>
      <c r="C4558" s="534" t="n">
        <v>12238.63</v>
      </c>
      <c r="E4558" s="535" t="n">
        <v>41736</v>
      </c>
      <c r="F4558" s="534" t="n">
        <v>2.326</v>
      </c>
    </row>
    <row r="4559">
      <c r="A4559" s="535" t="n">
        <v>37917</v>
      </c>
      <c r="B4559" s="534" t="n">
        <v>11.76</v>
      </c>
      <c r="C4559" s="534" t="n">
        <v>11737.18</v>
      </c>
      <c r="E4559" s="535" t="n">
        <v>41737</v>
      </c>
      <c r="F4559" s="534" t="n">
        <v>2.303</v>
      </c>
    </row>
    <row r="4560">
      <c r="A4560" s="535" t="n">
        <v>37918</v>
      </c>
      <c r="B4560" s="534" t="n">
        <v>11.934</v>
      </c>
      <c r="C4560" s="534" t="n">
        <v>11736.37</v>
      </c>
      <c r="E4560" s="535" t="n">
        <v>41738</v>
      </c>
      <c r="F4560" s="534" t="n">
        <v>2.293</v>
      </c>
    </row>
    <row r="4561">
      <c r="A4561" s="535" t="n">
        <v>37921</v>
      </c>
      <c r="B4561" s="534" t="n">
        <v>11.978</v>
      </c>
      <c r="C4561" s="534" t="n">
        <v>11749.7</v>
      </c>
      <c r="E4561" s="535" t="n">
        <v>41739</v>
      </c>
      <c r="F4561" s="534" t="n">
        <v>2.249</v>
      </c>
    </row>
    <row r="4562">
      <c r="A4562" s="535" t="n">
        <v>37922</v>
      </c>
      <c r="B4562" s="534" t="n">
        <v>12.021</v>
      </c>
      <c r="C4562" s="534" t="n">
        <v>12091.88</v>
      </c>
      <c r="E4562" s="535" t="n">
        <v>41740</v>
      </c>
      <c r="F4562" s="534" t="n">
        <v>2.243</v>
      </c>
    </row>
    <row r="4563">
      <c r="A4563" s="535" t="n">
        <v>37923</v>
      </c>
      <c r="B4563" s="534" t="n">
        <v>12.326</v>
      </c>
      <c r="C4563" s="534" t="n">
        <v>12130.51</v>
      </c>
      <c r="E4563" s="535" t="n">
        <v>41743</v>
      </c>
      <c r="F4563" s="534" t="n">
        <v>2.208</v>
      </c>
    </row>
    <row r="4564">
      <c r="A4564" s="535" t="n">
        <v>37924</v>
      </c>
      <c r="B4564" s="534" t="n">
        <v>12.544</v>
      </c>
      <c r="C4564" s="534" t="n">
        <v>12143.35</v>
      </c>
      <c r="E4564" s="535" t="n">
        <v>41744</v>
      </c>
      <c r="F4564" s="534" t="n">
        <v>2.232</v>
      </c>
    </row>
    <row r="4565">
      <c r="A4565" s="535" t="n">
        <v>37925</v>
      </c>
      <c r="B4565" s="534" t="n">
        <v>12.936</v>
      </c>
      <c r="C4565" s="534" t="n">
        <v>12190.1</v>
      </c>
      <c r="E4565" s="535" t="n">
        <v>41745</v>
      </c>
      <c r="F4565" s="534" t="n">
        <v>2.226</v>
      </c>
    </row>
    <row r="4566">
      <c r="A4566" s="535" t="n">
        <v>37928</v>
      </c>
      <c r="B4566" s="534" t="n">
        <v>12.98</v>
      </c>
      <c r="C4566" s="534" t="n">
        <v>12386.81</v>
      </c>
      <c r="E4566" s="535" t="n">
        <v>41746</v>
      </c>
      <c r="F4566" s="534" t="n">
        <v>2.214</v>
      </c>
    </row>
    <row r="4567">
      <c r="A4567" s="535" t="n">
        <v>37929</v>
      </c>
      <c r="B4567" s="534" t="n">
        <v>13.372</v>
      </c>
      <c r="C4567" s="534" t="n">
        <v>12440.72</v>
      </c>
      <c r="E4567" s="535" t="n">
        <v>41747</v>
      </c>
      <c r="F4567" s="534" t="n">
        <v>2.214</v>
      </c>
    </row>
    <row r="4568">
      <c r="A4568" s="535" t="n">
        <v>37930</v>
      </c>
      <c r="B4568" s="534" t="n">
        <v>13.459</v>
      </c>
      <c r="C4568" s="534" t="n">
        <v>12438.92</v>
      </c>
      <c r="E4568" s="535" t="n">
        <v>41750</v>
      </c>
      <c r="F4568" s="534" t="n">
        <v>2.214</v>
      </c>
    </row>
    <row r="4569">
      <c r="A4569" s="535" t="n">
        <v>37931</v>
      </c>
      <c r="B4569" s="534" t="n">
        <v>12.849</v>
      </c>
      <c r="C4569" s="534" t="n">
        <v>12150.09</v>
      </c>
      <c r="E4569" s="535" t="n">
        <v>41751</v>
      </c>
      <c r="F4569" s="534" t="n">
        <v>2.281</v>
      </c>
    </row>
    <row r="4570">
      <c r="A4570" s="535" t="n">
        <v>37932</v>
      </c>
      <c r="B4570" s="534" t="n">
        <v>13.154</v>
      </c>
      <c r="C4570" s="534" t="n">
        <v>12215.17</v>
      </c>
      <c r="E4570" s="535" t="n">
        <v>41752</v>
      </c>
      <c r="F4570" s="534" t="n">
        <v>2.279</v>
      </c>
    </row>
    <row r="4571">
      <c r="A4571" s="535" t="n">
        <v>37935</v>
      </c>
      <c r="B4571" s="534" t="n">
        <v>13.023</v>
      </c>
      <c r="C4571" s="534" t="n">
        <v>12156.68</v>
      </c>
      <c r="E4571" s="535" t="n">
        <v>41753</v>
      </c>
      <c r="F4571" s="534" t="n">
        <v>2.273</v>
      </c>
    </row>
    <row r="4572">
      <c r="A4572" s="535" t="n">
        <v>37936</v>
      </c>
      <c r="B4572" s="534" t="n">
        <v>12.849</v>
      </c>
      <c r="C4572" s="534" t="n">
        <v>12003.62</v>
      </c>
      <c r="E4572" s="535" t="n">
        <v>41754</v>
      </c>
      <c r="F4572" s="534" t="n">
        <v>2.235</v>
      </c>
    </row>
    <row r="4573">
      <c r="A4573" s="535" t="n">
        <v>37937</v>
      </c>
      <c r="B4573" s="534" t="n">
        <v>12.37</v>
      </c>
      <c r="C4573" s="534" t="n">
        <v>11971.48</v>
      </c>
      <c r="E4573" s="535" t="n">
        <v>41757</v>
      </c>
      <c r="F4573" s="534" t="n">
        <v>2.236</v>
      </c>
    </row>
    <row r="4574">
      <c r="A4574" s="535" t="n">
        <v>37938</v>
      </c>
      <c r="B4574" s="534" t="n">
        <v>12.936</v>
      </c>
      <c r="C4574" s="534" t="n">
        <v>12227.57</v>
      </c>
      <c r="E4574" s="535" t="n">
        <v>41758</v>
      </c>
      <c r="F4574" s="534" t="n">
        <v>2.261</v>
      </c>
    </row>
    <row r="4575">
      <c r="A4575" s="535" t="n">
        <v>37939</v>
      </c>
      <c r="B4575" s="534" t="n">
        <v>12.718</v>
      </c>
      <c r="C4575" s="534" t="n">
        <v>12203.53</v>
      </c>
      <c r="E4575" s="535" t="n">
        <v>41759</v>
      </c>
      <c r="F4575" s="534" t="n">
        <v>2.223</v>
      </c>
    </row>
    <row r="4576">
      <c r="A4576" s="535" t="n">
        <v>37942</v>
      </c>
      <c r="B4576" s="534" t="n">
        <v>12.544</v>
      </c>
      <c r="C4576" s="534" t="n">
        <v>11997.02</v>
      </c>
      <c r="E4576" s="535" t="n">
        <v>41760</v>
      </c>
      <c r="F4576" s="534" t="n">
        <v>2.223</v>
      </c>
    </row>
    <row r="4577">
      <c r="A4577" s="535" t="n">
        <v>37943</v>
      </c>
      <c r="B4577" s="534" t="n">
        <v>12.457</v>
      </c>
      <c r="C4577" s="534" t="n">
        <v>12027.26</v>
      </c>
      <c r="E4577" s="535" t="n">
        <v>41761</v>
      </c>
      <c r="F4577" s="534" t="n">
        <v>2.168</v>
      </c>
    </row>
    <row r="4578">
      <c r="A4578" s="535" t="n">
        <v>37944</v>
      </c>
      <c r="B4578" s="534" t="n">
        <v>12.065</v>
      </c>
      <c r="C4578" s="534" t="n">
        <v>11872.99</v>
      </c>
      <c r="E4578" s="535" t="n">
        <v>41764</v>
      </c>
      <c r="F4578" s="534" t="n">
        <v>2.123</v>
      </c>
    </row>
    <row r="4579">
      <c r="A4579" s="535" t="n">
        <v>37945</v>
      </c>
      <c r="B4579" s="534" t="n">
        <v>12.326</v>
      </c>
      <c r="C4579" s="534" t="n">
        <v>11845.41</v>
      </c>
      <c r="E4579" s="535" t="n">
        <v>41765</v>
      </c>
      <c r="F4579" s="534" t="n">
        <v>2.123</v>
      </c>
    </row>
    <row r="4580">
      <c r="A4580" s="535" t="n">
        <v>37946</v>
      </c>
      <c r="B4580" s="534" t="n">
        <v>12.196</v>
      </c>
      <c r="C4580" s="534" t="n">
        <v>11839.8</v>
      </c>
      <c r="E4580" s="535" t="n">
        <v>41766</v>
      </c>
      <c r="F4580" s="534" t="n">
        <v>2.119</v>
      </c>
    </row>
    <row r="4581">
      <c r="A4581" s="535" t="n">
        <v>37949</v>
      </c>
      <c r="B4581" s="534" t="n">
        <v>12.065</v>
      </c>
      <c r="C4581" s="534" t="n">
        <v>11848.56</v>
      </c>
      <c r="E4581" s="535" t="n">
        <v>41767</v>
      </c>
      <c r="F4581" s="534" t="n">
        <v>2.097</v>
      </c>
    </row>
    <row r="4582">
      <c r="A4582" s="535" t="n">
        <v>37950</v>
      </c>
      <c r="B4582" s="534" t="n">
        <v>12.544</v>
      </c>
      <c r="C4582" s="534" t="n">
        <v>12008.07</v>
      </c>
      <c r="E4582" s="535" t="n">
        <v>41768</v>
      </c>
      <c r="F4582" s="534" t="n">
        <v>2.079</v>
      </c>
    </row>
    <row r="4583">
      <c r="A4583" s="535" t="n">
        <v>37951</v>
      </c>
      <c r="B4583" s="534" t="n">
        <v>12.544</v>
      </c>
      <c r="C4583" s="534" t="n">
        <v>12086.67</v>
      </c>
      <c r="E4583" s="535" t="n">
        <v>41771</v>
      </c>
      <c r="F4583" s="534" t="n">
        <v>2.109</v>
      </c>
    </row>
    <row r="4584">
      <c r="A4584" s="535" t="n">
        <v>37952</v>
      </c>
      <c r="B4584" s="534" t="n">
        <v>12.675</v>
      </c>
      <c r="C4584" s="534" t="n">
        <v>12075.99</v>
      </c>
      <c r="E4584" s="535" t="n">
        <v>41772</v>
      </c>
      <c r="F4584" s="534" t="n">
        <v>2.127</v>
      </c>
    </row>
    <row r="4585">
      <c r="A4585" s="535" t="n">
        <v>37953</v>
      </c>
      <c r="B4585" s="534" t="n">
        <v>13.067</v>
      </c>
      <c r="C4585" s="534" t="n">
        <v>12317.47</v>
      </c>
      <c r="E4585" s="535" t="n">
        <v>41773</v>
      </c>
      <c r="F4585" s="534" t="n">
        <v>2.085</v>
      </c>
    </row>
    <row r="4586">
      <c r="A4586" s="535" t="n">
        <v>37956</v>
      </c>
      <c r="B4586" s="534" t="n">
        <v>13.067</v>
      </c>
      <c r="C4586" s="534" t="n">
        <v>12456.99</v>
      </c>
      <c r="E4586" s="535" t="n">
        <v>41774</v>
      </c>
      <c r="F4586" s="534" t="n">
        <v>2.031</v>
      </c>
    </row>
    <row r="4587">
      <c r="A4587" s="535" t="n">
        <v>37957</v>
      </c>
      <c r="B4587" s="534" t="n">
        <v>13.11</v>
      </c>
      <c r="C4587" s="534" t="n">
        <v>12412.23</v>
      </c>
      <c r="E4587" s="535" t="n">
        <v>41775</v>
      </c>
      <c r="F4587" s="534" t="n">
        <v>1.994</v>
      </c>
    </row>
    <row r="4588">
      <c r="A4588" s="535" t="n">
        <v>37958</v>
      </c>
      <c r="B4588" s="534" t="n">
        <v>13.197</v>
      </c>
      <c r="C4588" s="534" t="n">
        <v>12361.18</v>
      </c>
      <c r="E4588" s="535" t="n">
        <v>41778</v>
      </c>
      <c r="F4588" s="534" t="n">
        <v>1.997</v>
      </c>
    </row>
    <row r="4589">
      <c r="A4589" s="535" t="n">
        <v>37959</v>
      </c>
      <c r="B4589" s="534" t="n">
        <v>12.98</v>
      </c>
      <c r="C4589" s="534" t="n">
        <v>12342.65</v>
      </c>
      <c r="E4589" s="535" t="n">
        <v>41779</v>
      </c>
      <c r="F4589" s="534" t="n">
        <v>2.022</v>
      </c>
    </row>
    <row r="4590">
      <c r="A4590" s="535" t="n">
        <v>37960</v>
      </c>
      <c r="B4590" s="534" t="n">
        <v>12.98</v>
      </c>
      <c r="C4590" s="534" t="n">
        <v>12314.73</v>
      </c>
      <c r="E4590" s="535" t="n">
        <v>41780</v>
      </c>
      <c r="F4590" s="534" t="n">
        <v>1.997</v>
      </c>
    </row>
    <row r="4591">
      <c r="A4591" s="535" t="n">
        <v>37963</v>
      </c>
      <c r="B4591" s="534" t="n">
        <v>12.936</v>
      </c>
      <c r="C4591" s="534" t="n">
        <v>12177.44</v>
      </c>
      <c r="E4591" s="535" t="n">
        <v>41781</v>
      </c>
      <c r="F4591" s="534" t="n">
        <v>2.023</v>
      </c>
    </row>
    <row r="4592">
      <c r="A4592" s="535" t="n">
        <v>37964</v>
      </c>
      <c r="B4592" s="534" t="n">
        <v>13.197</v>
      </c>
      <c r="C4592" s="534" t="n">
        <v>12393.64</v>
      </c>
      <c r="E4592" s="535" t="n">
        <v>41782</v>
      </c>
      <c r="F4592" s="534" t="n">
        <v>2.017</v>
      </c>
    </row>
    <row r="4593">
      <c r="A4593" s="535" t="n">
        <v>37965</v>
      </c>
      <c r="B4593" s="534" t="n">
        <v>13.154</v>
      </c>
      <c r="C4593" s="534" t="n">
        <v>12398.38</v>
      </c>
      <c r="E4593" s="535" t="n">
        <v>41785</v>
      </c>
      <c r="F4593" s="534" t="n">
        <v>2.003</v>
      </c>
    </row>
    <row r="4594">
      <c r="A4594" s="535" t="n">
        <v>37966</v>
      </c>
      <c r="B4594" s="534" t="n">
        <v>13.241</v>
      </c>
      <c r="C4594" s="534" t="n">
        <v>12554.58</v>
      </c>
      <c r="E4594" s="535" t="n">
        <v>41786</v>
      </c>
      <c r="F4594" s="534" t="n">
        <v>2.001</v>
      </c>
    </row>
    <row r="4595">
      <c r="A4595" s="535" t="n">
        <v>37967</v>
      </c>
      <c r="B4595" s="534" t="n">
        <v>13.154</v>
      </c>
      <c r="C4595" s="534" t="n">
        <v>12594.42</v>
      </c>
      <c r="E4595" s="535" t="n">
        <v>41787</v>
      </c>
      <c r="F4595" s="534" t="n">
        <v>1.965</v>
      </c>
    </row>
    <row r="4596">
      <c r="A4596" s="535" t="n">
        <v>37970</v>
      </c>
      <c r="B4596" s="534" t="n">
        <v>13.197</v>
      </c>
      <c r="C4596" s="534" t="n">
        <v>12520.17</v>
      </c>
      <c r="E4596" s="535" t="n">
        <v>41788</v>
      </c>
      <c r="F4596" s="534" t="n">
        <v>1.916</v>
      </c>
    </row>
    <row r="4597">
      <c r="A4597" s="535" t="n">
        <v>37971</v>
      </c>
      <c r="B4597" s="534" t="n">
        <v>12.936</v>
      </c>
      <c r="C4597" s="534" t="n">
        <v>12260.33</v>
      </c>
      <c r="E4597" s="535" t="n">
        <v>41789</v>
      </c>
      <c r="F4597" s="534" t="n">
        <v>1.984</v>
      </c>
    </row>
    <row r="4598">
      <c r="A4598" s="535" t="n">
        <v>37972</v>
      </c>
      <c r="B4598" s="534" t="n">
        <v>12.588</v>
      </c>
      <c r="C4598" s="534" t="n">
        <v>12193.12</v>
      </c>
      <c r="E4598" s="535" t="n">
        <v>41792</v>
      </c>
      <c r="F4598" s="534" t="n">
        <v>1.984</v>
      </c>
    </row>
    <row r="4599">
      <c r="A4599" s="535" t="n">
        <v>37973</v>
      </c>
      <c r="B4599" s="534" t="n">
        <v>12.631</v>
      </c>
      <c r="C4599" s="534" t="n">
        <v>12240.25</v>
      </c>
      <c r="E4599" s="535" t="n">
        <v>41793</v>
      </c>
      <c r="F4599" s="534" t="n">
        <v>2.046</v>
      </c>
    </row>
    <row r="4600">
      <c r="A4600" s="535" t="n">
        <v>37974</v>
      </c>
      <c r="B4600" s="534" t="n">
        <v>12.762</v>
      </c>
      <c r="C4600" s="534" t="n">
        <v>12371.75</v>
      </c>
      <c r="E4600" s="535" t="n">
        <v>41794</v>
      </c>
      <c r="F4600" s="534" t="n">
        <v>2.087</v>
      </c>
    </row>
    <row r="4601">
      <c r="A4601" s="535" t="n">
        <v>37977</v>
      </c>
      <c r="B4601" s="534" t="n">
        <v>12.849</v>
      </c>
      <c r="C4601" s="534" t="n">
        <v>12487.99</v>
      </c>
      <c r="E4601" s="535" t="n">
        <v>41795</v>
      </c>
      <c r="F4601" s="534" t="n">
        <v>2.097</v>
      </c>
    </row>
    <row r="4602">
      <c r="A4602" s="535" t="n">
        <v>37978</v>
      </c>
      <c r="B4602" s="534" t="n">
        <v>12.762</v>
      </c>
      <c r="C4602" s="534" t="n">
        <v>12420.51</v>
      </c>
      <c r="E4602" s="535" t="n">
        <v>41796</v>
      </c>
      <c r="F4602" s="534" t="n">
        <v>2.062</v>
      </c>
    </row>
    <row r="4603">
      <c r="A4603" s="535" t="n">
        <v>37979</v>
      </c>
      <c r="B4603" s="534" t="n">
        <v>12.675</v>
      </c>
      <c r="C4603" s="534" t="n">
        <v>12456.7</v>
      </c>
      <c r="E4603" s="535" t="n">
        <v>41799</v>
      </c>
      <c r="F4603" s="534" t="n">
        <v>2.12</v>
      </c>
    </row>
    <row r="4604">
      <c r="A4604" s="535" t="n">
        <v>37980</v>
      </c>
      <c r="B4604" s="534" t="n">
        <v>12.675</v>
      </c>
      <c r="C4604" s="534" t="n">
        <v>12456.7</v>
      </c>
      <c r="E4604" s="535" t="n">
        <v>41800</v>
      </c>
      <c r="F4604" s="534" t="n">
        <v>2.12</v>
      </c>
    </row>
    <row r="4605">
      <c r="A4605" s="535" t="n">
        <v>37981</v>
      </c>
      <c r="B4605" s="534" t="n">
        <v>12.675</v>
      </c>
      <c r="C4605" s="534" t="n">
        <v>12456.7</v>
      </c>
      <c r="E4605" s="535" t="n">
        <v>41801</v>
      </c>
      <c r="F4605" s="534" t="n">
        <v>2.165</v>
      </c>
    </row>
    <row r="4606">
      <c r="A4606" s="535" t="n">
        <v>37984</v>
      </c>
      <c r="B4606" s="534" t="n">
        <v>12.675</v>
      </c>
      <c r="C4606" s="534" t="n">
        <v>12464.29</v>
      </c>
      <c r="E4606" s="535" t="n">
        <v>41802</v>
      </c>
      <c r="F4606" s="534" t="n">
        <v>2.152</v>
      </c>
    </row>
    <row r="4607">
      <c r="A4607" s="535" t="n">
        <v>37985</v>
      </c>
      <c r="B4607" s="534" t="n">
        <v>12.718</v>
      </c>
      <c r="C4607" s="534" t="n">
        <v>12526.74</v>
      </c>
      <c r="E4607" s="535" t="n">
        <v>41803</v>
      </c>
      <c r="F4607" s="534" t="n">
        <v>2.129</v>
      </c>
    </row>
    <row r="4608">
      <c r="A4608" s="535" t="n">
        <v>37986</v>
      </c>
      <c r="B4608" s="534" t="n">
        <v>12.849</v>
      </c>
      <c r="C4608" s="534" t="n">
        <v>12575.94</v>
      </c>
      <c r="E4608" s="535" t="n">
        <v>41806</v>
      </c>
      <c r="F4608" s="534" t="n">
        <v>2.101</v>
      </c>
    </row>
    <row r="4609">
      <c r="A4609" s="535" t="n">
        <v>37987</v>
      </c>
      <c r="B4609" s="534" t="n">
        <v>12.849</v>
      </c>
      <c r="C4609" s="534" t="n">
        <v>12575.94</v>
      </c>
      <c r="E4609" s="535" t="n">
        <v>41807</v>
      </c>
      <c r="F4609" s="534" t="n">
        <v>2.109</v>
      </c>
    </row>
    <row r="4610">
      <c r="A4610" s="535" t="n">
        <v>37988</v>
      </c>
      <c r="B4610" s="534" t="n">
        <v>12.849</v>
      </c>
      <c r="C4610" s="534" t="n">
        <v>12801.48</v>
      </c>
      <c r="E4610" s="535" t="n">
        <v>41808</v>
      </c>
      <c r="F4610" s="534" t="n">
        <v>2.166</v>
      </c>
    </row>
    <row r="4611">
      <c r="A4611" s="535" t="n">
        <v>37991</v>
      </c>
      <c r="B4611" s="534" t="n">
        <v>12.849</v>
      </c>
      <c r="C4611" s="534" t="n">
        <v>13005.33</v>
      </c>
      <c r="E4611" s="535" t="n">
        <v>41809</v>
      </c>
      <c r="F4611" s="534" t="n">
        <v>2.101</v>
      </c>
    </row>
    <row r="4612">
      <c r="A4612" s="535" t="n">
        <v>37992</v>
      </c>
      <c r="B4612" s="534" t="n">
        <v>12.936</v>
      </c>
      <c r="C4612" s="534" t="n">
        <v>13036.32</v>
      </c>
      <c r="E4612" s="535" t="n">
        <v>41810</v>
      </c>
      <c r="F4612" s="534" t="n">
        <v>2.142</v>
      </c>
    </row>
    <row r="4613">
      <c r="A4613" s="535" t="n">
        <v>37993</v>
      </c>
      <c r="B4613" s="534" t="n">
        <v>13.067</v>
      </c>
      <c r="C4613" s="534" t="n">
        <v>13157.68</v>
      </c>
      <c r="E4613" s="535" t="n">
        <v>41813</v>
      </c>
      <c r="F4613" s="534" t="n">
        <v>2.141</v>
      </c>
    </row>
    <row r="4614">
      <c r="A4614" s="535" t="n">
        <v>37994</v>
      </c>
      <c r="B4614" s="534" t="n">
        <v>13.11</v>
      </c>
      <c r="C4614" s="534" t="n">
        <v>13203.59</v>
      </c>
      <c r="E4614" s="535" t="n">
        <v>41814</v>
      </c>
      <c r="F4614" s="534" t="n">
        <v>2.141</v>
      </c>
    </row>
    <row r="4615">
      <c r="A4615" s="535" t="n">
        <v>37995</v>
      </c>
      <c r="B4615" s="534" t="n">
        <v>12.805</v>
      </c>
      <c r="C4615" s="534" t="n">
        <v>13385.8</v>
      </c>
      <c r="E4615" s="535" t="n">
        <v>41815</v>
      </c>
      <c r="F4615" s="534" t="n">
        <v>2.116</v>
      </c>
    </row>
    <row r="4616">
      <c r="A4616" s="535" t="n">
        <v>37998</v>
      </c>
      <c r="B4616" s="534" t="n">
        <v>12.892</v>
      </c>
      <c r="C4616" s="534" t="n">
        <v>13352.2</v>
      </c>
      <c r="E4616" s="535" t="n">
        <v>41816</v>
      </c>
      <c r="F4616" s="534" t="n">
        <v>2.092</v>
      </c>
    </row>
    <row r="4617">
      <c r="A4617" s="535" t="n">
        <v>37999</v>
      </c>
      <c r="B4617" s="534" t="n">
        <v>12.849</v>
      </c>
      <c r="C4617" s="534" t="n">
        <v>13396.65</v>
      </c>
      <c r="E4617" s="535" t="n">
        <v>41817</v>
      </c>
      <c r="F4617" s="534" t="n">
        <v>2.058</v>
      </c>
    </row>
    <row r="4618">
      <c r="A4618" s="535" t="n">
        <v>38000</v>
      </c>
      <c r="B4618" s="534" t="n">
        <v>12.675</v>
      </c>
      <c r="C4618" s="534" t="n">
        <v>13320.88</v>
      </c>
      <c r="E4618" s="535" t="n">
        <v>41820</v>
      </c>
      <c r="F4618" s="534" t="n">
        <v>2.067</v>
      </c>
    </row>
    <row r="4619">
      <c r="A4619" s="535" t="n">
        <v>38001</v>
      </c>
      <c r="B4619" s="534" t="n">
        <v>12.544</v>
      </c>
      <c r="C4619" s="534" t="n">
        <v>13249.81</v>
      </c>
      <c r="E4619" s="535" t="n">
        <v>41821</v>
      </c>
      <c r="F4619" s="534" t="n">
        <v>2.067</v>
      </c>
    </row>
    <row r="4620">
      <c r="A4620" s="535" t="n">
        <v>38002</v>
      </c>
      <c r="B4620" s="534" t="n">
        <v>12.675</v>
      </c>
      <c r="C4620" s="534" t="n">
        <v>13167.76</v>
      </c>
      <c r="E4620" s="535" t="n">
        <v>41822</v>
      </c>
      <c r="F4620" s="534" t="n">
        <v>2.107</v>
      </c>
    </row>
    <row r="4621">
      <c r="A4621" s="535" t="n">
        <v>38005</v>
      </c>
      <c r="B4621" s="534" t="n">
        <v>12.675</v>
      </c>
      <c r="C4621" s="534" t="n">
        <v>13253.31</v>
      </c>
      <c r="E4621" s="535" t="n">
        <v>41823</v>
      </c>
      <c r="F4621" s="534" t="n">
        <v>2.153</v>
      </c>
    </row>
    <row r="4622">
      <c r="A4622" s="535" t="n">
        <v>38006</v>
      </c>
      <c r="B4622" s="534" t="n">
        <v>12.892</v>
      </c>
      <c r="C4622" s="534" t="n">
        <v>13570.43</v>
      </c>
      <c r="E4622" s="535" t="n">
        <v>41824</v>
      </c>
      <c r="F4622" s="534" t="n">
        <v>2.164</v>
      </c>
    </row>
    <row r="4623">
      <c r="A4623" s="535" t="n">
        <v>38007</v>
      </c>
      <c r="B4623" s="534" t="n">
        <v>13.11</v>
      </c>
      <c r="C4623" s="534" t="n">
        <v>13750.58</v>
      </c>
      <c r="E4623" s="535" t="n">
        <v>41827</v>
      </c>
      <c r="F4623" s="534" t="n">
        <v>2.184</v>
      </c>
    </row>
    <row r="4624">
      <c r="A4624" s="535" t="n">
        <v>38008</v>
      </c>
      <c r="B4624" s="534" t="n">
        <v>13.11</v>
      </c>
      <c r="C4624" s="534" t="n">
        <v>13750.58</v>
      </c>
      <c r="E4624" s="535" t="n">
        <v>41828</v>
      </c>
      <c r="F4624" s="534" t="n">
        <v>2.149</v>
      </c>
    </row>
    <row r="4625">
      <c r="A4625" s="535" t="n">
        <v>38009</v>
      </c>
      <c r="B4625" s="534" t="n">
        <v>13.11</v>
      </c>
      <c r="C4625" s="534" t="n">
        <v>13750.58</v>
      </c>
      <c r="E4625" s="535" t="n">
        <v>41829</v>
      </c>
      <c r="F4625" s="534" t="n">
        <v>2.113</v>
      </c>
    </row>
    <row r="4626">
      <c r="A4626" s="535" t="n">
        <v>38012</v>
      </c>
      <c r="B4626" s="534" t="n">
        <v>12.936</v>
      </c>
      <c r="C4626" s="534" t="n">
        <v>13727.27</v>
      </c>
      <c r="E4626" s="535" t="n">
        <v>41830</v>
      </c>
      <c r="F4626" s="534" t="n">
        <v>2.09</v>
      </c>
    </row>
    <row r="4627">
      <c r="A4627" s="535" t="n">
        <v>38013</v>
      </c>
      <c r="B4627" s="534" t="n">
        <v>12.675</v>
      </c>
      <c r="C4627" s="534" t="n">
        <v>13761.88</v>
      </c>
      <c r="E4627" s="535" t="n">
        <v>41831</v>
      </c>
      <c r="F4627" s="534" t="n">
        <v>2.081</v>
      </c>
    </row>
    <row r="4628">
      <c r="A4628" s="535" t="n">
        <v>38014</v>
      </c>
      <c r="B4628" s="534" t="n">
        <v>12.37</v>
      </c>
      <c r="C4628" s="534" t="n">
        <v>13431.78</v>
      </c>
      <c r="E4628" s="535" t="n">
        <v>41834</v>
      </c>
      <c r="F4628" s="534" t="n">
        <v>2.068</v>
      </c>
    </row>
    <row r="4629">
      <c r="A4629" s="535" t="n">
        <v>38015</v>
      </c>
      <c r="B4629" s="534" t="n">
        <v>12.283</v>
      </c>
      <c r="C4629" s="534" t="n">
        <v>13334.01</v>
      </c>
      <c r="E4629" s="535" t="n">
        <v>41835</v>
      </c>
      <c r="F4629" s="534" t="n">
        <v>2.073</v>
      </c>
    </row>
    <row r="4630">
      <c r="A4630" s="535" t="n">
        <v>38016</v>
      </c>
      <c r="B4630" s="534" t="n">
        <v>12.413</v>
      </c>
      <c r="C4630" s="534" t="n">
        <v>13289.4</v>
      </c>
      <c r="E4630" s="535" t="n">
        <v>41836</v>
      </c>
      <c r="F4630" s="534" t="n">
        <v>2.081</v>
      </c>
    </row>
    <row r="4631">
      <c r="A4631" s="535" t="n">
        <v>38019</v>
      </c>
      <c r="B4631" s="534" t="n">
        <v>12.196</v>
      </c>
      <c r="C4631" s="534" t="n">
        <v>12999.98</v>
      </c>
      <c r="E4631" s="535" t="n">
        <v>41837</v>
      </c>
      <c r="F4631" s="534" t="n">
        <v>2.045</v>
      </c>
    </row>
    <row r="4632">
      <c r="A4632" s="535" t="n">
        <v>38020</v>
      </c>
      <c r="B4632" s="534" t="n">
        <v>11.978</v>
      </c>
      <c r="C4632" s="534" t="n">
        <v>13090.01</v>
      </c>
      <c r="E4632" s="535" t="n">
        <v>41838</v>
      </c>
      <c r="F4632" s="534" t="n">
        <v>2.018</v>
      </c>
    </row>
    <row r="4633">
      <c r="A4633" s="535" t="n">
        <v>38021</v>
      </c>
      <c r="B4633" s="534" t="n">
        <v>11.978</v>
      </c>
      <c r="C4633" s="534" t="n">
        <v>13086.73</v>
      </c>
      <c r="E4633" s="535" t="n">
        <v>41841</v>
      </c>
      <c r="F4633" s="534" t="n">
        <v>2.001</v>
      </c>
    </row>
    <row r="4634">
      <c r="A4634" s="535" t="n">
        <v>38022</v>
      </c>
      <c r="B4634" s="534" t="n">
        <v>12.196</v>
      </c>
      <c r="C4634" s="534" t="n">
        <v>13030.94</v>
      </c>
      <c r="E4634" s="535" t="n">
        <v>41842</v>
      </c>
      <c r="F4634" s="534" t="n">
        <v>2.005</v>
      </c>
    </row>
    <row r="4635">
      <c r="A4635" s="535" t="n">
        <v>38023</v>
      </c>
      <c r="B4635" s="534" t="n">
        <v>12.457</v>
      </c>
      <c r="C4635" s="534" t="n">
        <v>13309.6</v>
      </c>
      <c r="E4635" s="535" t="n">
        <v>41843</v>
      </c>
      <c r="F4635" s="534" t="n">
        <v>2.01</v>
      </c>
    </row>
    <row r="4636">
      <c r="A4636" s="535" t="n">
        <v>38026</v>
      </c>
      <c r="B4636" s="534" t="n">
        <v>12.762</v>
      </c>
      <c r="C4636" s="534" t="n">
        <v>13576.68</v>
      </c>
      <c r="E4636" s="535" t="n">
        <v>41844</v>
      </c>
      <c r="F4636" s="534" t="n">
        <v>2.01</v>
      </c>
    </row>
    <row r="4637">
      <c r="A4637" s="535" t="n">
        <v>38027</v>
      </c>
      <c r="B4637" s="534" t="n">
        <v>12.588</v>
      </c>
      <c r="C4637" s="534" t="n">
        <v>13515.66</v>
      </c>
      <c r="E4637" s="535" t="n">
        <v>41845</v>
      </c>
      <c r="F4637" s="534" t="n">
        <v>2.033</v>
      </c>
    </row>
    <row r="4638">
      <c r="A4638" s="535" t="n">
        <v>38028</v>
      </c>
      <c r="B4638" s="534" t="n">
        <v>12.675</v>
      </c>
      <c r="C4638" s="534" t="n">
        <v>13524.76</v>
      </c>
      <c r="E4638" s="535" t="n">
        <v>41848</v>
      </c>
      <c r="F4638" s="534" t="n">
        <v>1.993</v>
      </c>
    </row>
    <row r="4639">
      <c r="A4639" s="535" t="n">
        <v>38029</v>
      </c>
      <c r="B4639" s="534" t="n">
        <v>13.11</v>
      </c>
      <c r="C4639" s="534" t="n">
        <v>13625.13</v>
      </c>
      <c r="E4639" s="535" t="n">
        <v>41849</v>
      </c>
      <c r="F4639" s="534" t="n">
        <v>2.007</v>
      </c>
    </row>
    <row r="4640">
      <c r="A4640" s="535" t="n">
        <v>38030</v>
      </c>
      <c r="B4640" s="534" t="n">
        <v>13.241</v>
      </c>
      <c r="C4640" s="534" t="n">
        <v>13739.8</v>
      </c>
      <c r="E4640" s="535" t="n">
        <v>41850</v>
      </c>
      <c r="F4640" s="534" t="n">
        <v>2.005</v>
      </c>
    </row>
    <row r="4641">
      <c r="A4641" s="535" t="n">
        <v>38033</v>
      </c>
      <c r="B4641" s="534" t="n">
        <v>13.328</v>
      </c>
      <c r="C4641" s="534" t="n">
        <v>13831.5</v>
      </c>
      <c r="E4641" s="535" t="n">
        <v>41851</v>
      </c>
      <c r="F4641" s="534" t="n">
        <v>2.081</v>
      </c>
    </row>
    <row r="4642">
      <c r="A4642" s="535" t="n">
        <v>38034</v>
      </c>
      <c r="B4642" s="534" t="n">
        <v>13.284</v>
      </c>
      <c r="C4642" s="534" t="n">
        <v>13815.4</v>
      </c>
      <c r="E4642" s="535" t="n">
        <v>41852</v>
      </c>
      <c r="F4642" s="534" t="n">
        <v>2.119</v>
      </c>
    </row>
    <row r="4643">
      <c r="A4643" s="535" t="n">
        <v>38035</v>
      </c>
      <c r="B4643" s="534" t="n">
        <v>13.372</v>
      </c>
      <c r="C4643" s="534" t="n">
        <v>13928.4</v>
      </c>
      <c r="E4643" s="535" t="n">
        <v>41855</v>
      </c>
      <c r="F4643" s="534" t="n">
        <v>2.056</v>
      </c>
    </row>
    <row r="4644">
      <c r="A4644" s="535" t="n">
        <v>38036</v>
      </c>
      <c r="B4644" s="534" t="n">
        <v>13.328</v>
      </c>
      <c r="C4644" s="534" t="n">
        <v>13867.2</v>
      </c>
      <c r="E4644" s="535" t="n">
        <v>41856</v>
      </c>
      <c r="F4644" s="534" t="n">
        <v>2.052</v>
      </c>
    </row>
    <row r="4645">
      <c r="A4645" s="535" t="n">
        <v>38037</v>
      </c>
      <c r="B4645" s="534" t="n">
        <v>13.372</v>
      </c>
      <c r="C4645" s="534" t="n">
        <v>13868.4</v>
      </c>
      <c r="E4645" s="535" t="n">
        <v>41857</v>
      </c>
      <c r="F4645" s="534" t="n">
        <v>2.051</v>
      </c>
    </row>
    <row r="4646">
      <c r="A4646" s="535" t="n">
        <v>38040</v>
      </c>
      <c r="B4646" s="534" t="n">
        <v>13.676</v>
      </c>
      <c r="C4646" s="534" t="n">
        <v>13765.07</v>
      </c>
      <c r="E4646" s="535" t="n">
        <v>41858</v>
      </c>
      <c r="F4646" s="534" t="n">
        <v>2.033</v>
      </c>
    </row>
    <row r="4647">
      <c r="A4647" s="535" t="n">
        <v>38041</v>
      </c>
      <c r="B4647" s="534" t="n">
        <v>13.894</v>
      </c>
      <c r="C4647" s="534" t="n">
        <v>13756.41</v>
      </c>
      <c r="E4647" s="535" t="n">
        <v>41859</v>
      </c>
      <c r="F4647" s="534" t="n">
        <v>1.973</v>
      </c>
    </row>
    <row r="4648">
      <c r="A4648" s="535" t="n">
        <v>38042</v>
      </c>
      <c r="B4648" s="534" t="n">
        <v>13.546</v>
      </c>
      <c r="C4648" s="534" t="n">
        <v>13599.47</v>
      </c>
      <c r="E4648" s="535" t="n">
        <v>41862</v>
      </c>
      <c r="F4648" s="534" t="n">
        <v>2.028</v>
      </c>
    </row>
    <row r="4649">
      <c r="A4649" s="535" t="n">
        <v>38043</v>
      </c>
      <c r="B4649" s="534" t="n">
        <v>13.764</v>
      </c>
      <c r="C4649" s="534" t="n">
        <v>13674.64</v>
      </c>
      <c r="E4649" s="535" t="n">
        <v>41863</v>
      </c>
      <c r="F4649" s="534" t="n">
        <v>2.019</v>
      </c>
    </row>
    <row r="4650">
      <c r="A4650" s="535" t="n">
        <v>38044</v>
      </c>
      <c r="B4650" s="534" t="n">
        <v>13.807</v>
      </c>
      <c r="C4650" s="534" t="n">
        <v>13907.03</v>
      </c>
      <c r="E4650" s="535" t="n">
        <v>41864</v>
      </c>
      <c r="F4650" s="534" t="n">
        <v>2.03</v>
      </c>
    </row>
    <row r="4651">
      <c r="A4651" s="535" t="n">
        <v>38047</v>
      </c>
      <c r="B4651" s="534" t="n">
        <v>13.981</v>
      </c>
      <c r="C4651" s="534" t="n">
        <v>13918.65</v>
      </c>
      <c r="E4651" s="535" t="n">
        <v>41865</v>
      </c>
      <c r="F4651" s="534" t="n">
        <v>1.973</v>
      </c>
    </row>
    <row r="4652">
      <c r="A4652" s="535" t="n">
        <v>38048</v>
      </c>
      <c r="B4652" s="534" t="n">
        <v>13.807</v>
      </c>
      <c r="C4652" s="534" t="n">
        <v>13731.35</v>
      </c>
      <c r="E4652" s="535" t="n">
        <v>41866</v>
      </c>
      <c r="F4652" s="534" t="n">
        <v>1.948</v>
      </c>
    </row>
    <row r="4653">
      <c r="A4653" s="535" t="n">
        <v>38049</v>
      </c>
      <c r="B4653" s="534" t="n">
        <v>13.72</v>
      </c>
      <c r="C4653" s="534" t="n">
        <v>13454.09</v>
      </c>
      <c r="E4653" s="535" t="n">
        <v>41869</v>
      </c>
      <c r="F4653" s="534" t="n">
        <v>1.93</v>
      </c>
    </row>
    <row r="4654">
      <c r="A4654" s="535" t="n">
        <v>38050</v>
      </c>
      <c r="B4654" s="534" t="n">
        <v>13.676</v>
      </c>
      <c r="C4654" s="534" t="n">
        <v>13451.56</v>
      </c>
      <c r="E4654" s="535" t="n">
        <v>41870</v>
      </c>
      <c r="F4654" s="534" t="n">
        <v>1.942</v>
      </c>
    </row>
    <row r="4655">
      <c r="A4655" s="535" t="n">
        <v>38051</v>
      </c>
      <c r="B4655" s="534" t="n">
        <v>13.807</v>
      </c>
      <c r="C4655" s="534" t="n">
        <v>13454.76</v>
      </c>
      <c r="E4655" s="535" t="n">
        <v>41871</v>
      </c>
      <c r="F4655" s="534" t="n">
        <v>1.955</v>
      </c>
    </row>
    <row r="4656">
      <c r="A4656" s="535" t="n">
        <v>38054</v>
      </c>
      <c r="B4656" s="534" t="n">
        <v>14.112</v>
      </c>
      <c r="C4656" s="534" t="n">
        <v>13573.54</v>
      </c>
      <c r="E4656" s="535" t="n">
        <v>41872</v>
      </c>
      <c r="F4656" s="534" t="n">
        <v>1.977</v>
      </c>
    </row>
    <row r="4657">
      <c r="A4657" s="535" t="n">
        <v>38055</v>
      </c>
      <c r="B4657" s="534" t="n">
        <v>14.286</v>
      </c>
      <c r="C4657" s="534" t="n">
        <v>13397.25</v>
      </c>
      <c r="E4657" s="535" t="n">
        <v>41873</v>
      </c>
      <c r="F4657" s="534" t="n">
        <v>1.939</v>
      </c>
    </row>
    <row r="4658">
      <c r="A4658" s="535" t="n">
        <v>38056</v>
      </c>
      <c r="B4658" s="534" t="n">
        <v>14.025</v>
      </c>
      <c r="C4658" s="534" t="n">
        <v>13214.2</v>
      </c>
      <c r="E4658" s="535" t="n">
        <v>41876</v>
      </c>
      <c r="F4658" s="534" t="n">
        <v>1.942</v>
      </c>
    </row>
    <row r="4659">
      <c r="A4659" s="535" t="n">
        <v>38057</v>
      </c>
      <c r="B4659" s="534" t="n">
        <v>13.459</v>
      </c>
      <c r="C4659" s="534" t="n">
        <v>13024.06</v>
      </c>
      <c r="E4659" s="535" t="n">
        <v>41877</v>
      </c>
      <c r="F4659" s="534" t="n">
        <v>1.92</v>
      </c>
    </row>
    <row r="4660">
      <c r="A4660" s="535" t="n">
        <v>38058</v>
      </c>
      <c r="B4660" s="534" t="n">
        <v>13.72</v>
      </c>
      <c r="C4660" s="534" t="n">
        <v>12932.23</v>
      </c>
      <c r="E4660" s="535" t="n">
        <v>41878</v>
      </c>
      <c r="F4660" s="534" t="n">
        <v>1.931</v>
      </c>
    </row>
    <row r="4661">
      <c r="A4661" s="535" t="n">
        <v>38061</v>
      </c>
      <c r="B4661" s="534" t="n">
        <v>13.502</v>
      </c>
      <c r="C4661" s="534" t="n">
        <v>12919.41</v>
      </c>
      <c r="E4661" s="535" t="n">
        <v>41879</v>
      </c>
      <c r="F4661" s="534" t="n">
        <v>1.925</v>
      </c>
    </row>
    <row r="4662">
      <c r="A4662" s="535" t="n">
        <v>38062</v>
      </c>
      <c r="B4662" s="534" t="n">
        <v>13.546</v>
      </c>
      <c r="C4662" s="534" t="n">
        <v>12932.62</v>
      </c>
      <c r="E4662" s="535" t="n">
        <v>41880</v>
      </c>
      <c r="F4662" s="534" t="n">
        <v>1.903</v>
      </c>
    </row>
    <row r="4663">
      <c r="A4663" s="535" t="n">
        <v>38063</v>
      </c>
      <c r="B4663" s="534" t="n">
        <v>13.764</v>
      </c>
      <c r="C4663" s="534" t="n">
        <v>12975.72</v>
      </c>
      <c r="E4663" s="535" t="n">
        <v>41883</v>
      </c>
      <c r="F4663" s="534" t="n">
        <v>1.907</v>
      </c>
    </row>
    <row r="4664">
      <c r="A4664" s="535" t="n">
        <v>38064</v>
      </c>
      <c r="B4664" s="534" t="n">
        <v>13.589</v>
      </c>
      <c r="C4664" s="534" t="n">
        <v>12816.19</v>
      </c>
      <c r="E4664" s="535" t="n">
        <v>41884</v>
      </c>
      <c r="F4664" s="534" t="n">
        <v>1.921</v>
      </c>
    </row>
    <row r="4665">
      <c r="A4665" s="535" t="n">
        <v>38065</v>
      </c>
      <c r="B4665" s="534" t="n">
        <v>13.633</v>
      </c>
      <c r="C4665" s="534" t="n">
        <v>12790.58</v>
      </c>
      <c r="E4665" s="535" t="n">
        <v>41885</v>
      </c>
      <c r="F4665" s="534" t="n">
        <v>1.954</v>
      </c>
    </row>
    <row r="4666">
      <c r="A4666" s="535" t="n">
        <v>38068</v>
      </c>
      <c r="B4666" s="534" t="n">
        <v>13.197</v>
      </c>
      <c r="C4666" s="534" t="n">
        <v>12550.91</v>
      </c>
      <c r="E4666" s="535" t="n">
        <v>41886</v>
      </c>
      <c r="F4666" s="534" t="n">
        <v>1.928</v>
      </c>
    </row>
    <row r="4667">
      <c r="A4667" s="535" t="n">
        <v>38069</v>
      </c>
      <c r="B4667" s="534" t="n">
        <v>13.197</v>
      </c>
      <c r="C4667" s="534" t="n">
        <v>12588.36</v>
      </c>
      <c r="E4667" s="535" t="n">
        <v>41887</v>
      </c>
      <c r="F4667" s="534" t="n">
        <v>1.974</v>
      </c>
    </row>
    <row r="4668">
      <c r="A4668" s="535" t="n">
        <v>38070</v>
      </c>
      <c r="B4668" s="534" t="n">
        <v>13.459</v>
      </c>
      <c r="C4668" s="534" t="n">
        <v>12678.13</v>
      </c>
      <c r="E4668" s="535" t="n">
        <v>41890</v>
      </c>
      <c r="F4668" s="534" t="n">
        <v>1.977</v>
      </c>
    </row>
    <row r="4669">
      <c r="A4669" s="535" t="n">
        <v>38071</v>
      </c>
      <c r="B4669" s="534" t="n">
        <v>13.415</v>
      </c>
      <c r="C4669" s="534" t="n">
        <v>12520.21</v>
      </c>
      <c r="E4669" s="535" t="n">
        <v>41891</v>
      </c>
      <c r="F4669" s="534" t="n">
        <v>1.977</v>
      </c>
    </row>
    <row r="4670">
      <c r="A4670" s="535" t="n">
        <v>38072</v>
      </c>
      <c r="B4670" s="534" t="n">
        <v>13.589</v>
      </c>
      <c r="C4670" s="534" t="n">
        <v>12483.24</v>
      </c>
      <c r="E4670" s="535" t="n">
        <v>41892</v>
      </c>
      <c r="F4670" s="534" t="n">
        <v>2.04</v>
      </c>
    </row>
    <row r="4671">
      <c r="A4671" s="535" t="n">
        <v>38075</v>
      </c>
      <c r="B4671" s="534" t="n">
        <v>13.459</v>
      </c>
      <c r="C4671" s="534" t="n">
        <v>12427.34</v>
      </c>
      <c r="E4671" s="535" t="n">
        <v>41893</v>
      </c>
      <c r="F4671" s="534" t="n">
        <v>2.042</v>
      </c>
    </row>
    <row r="4672">
      <c r="A4672" s="535" t="n">
        <v>38076</v>
      </c>
      <c r="B4672" s="534" t="n">
        <v>13.72</v>
      </c>
      <c r="C4672" s="534" t="n">
        <v>12641.39</v>
      </c>
      <c r="E4672" s="535" t="n">
        <v>41894</v>
      </c>
      <c r="F4672" s="534" t="n">
        <v>2.089</v>
      </c>
    </row>
    <row r="4673">
      <c r="A4673" s="535" t="n">
        <v>38077</v>
      </c>
      <c r="B4673" s="534" t="n">
        <v>13.851</v>
      </c>
      <c r="C4673" s="534" t="n">
        <v>12681.67</v>
      </c>
      <c r="E4673" s="535" t="n">
        <v>41897</v>
      </c>
      <c r="F4673" s="534" t="n">
        <v>2.138</v>
      </c>
    </row>
    <row r="4674">
      <c r="A4674" s="535" t="n">
        <v>38078</v>
      </c>
      <c r="B4674" s="534" t="n">
        <v>13.676</v>
      </c>
      <c r="C4674" s="534" t="n">
        <v>12676.25</v>
      </c>
      <c r="E4674" s="535" t="n">
        <v>41898</v>
      </c>
      <c r="F4674" s="534" t="n">
        <v>2.106</v>
      </c>
    </row>
    <row r="4675">
      <c r="A4675" s="535" t="n">
        <v>38079</v>
      </c>
      <c r="B4675" s="534" t="n">
        <v>13.676</v>
      </c>
      <c r="C4675" s="534" t="n">
        <v>12731.76</v>
      </c>
      <c r="E4675" s="535" t="n">
        <v>41899</v>
      </c>
      <c r="F4675" s="534" t="n">
        <v>2.121</v>
      </c>
    </row>
    <row r="4676">
      <c r="A4676" s="535" t="n">
        <v>38082</v>
      </c>
      <c r="B4676" s="534" t="n">
        <v>13.676</v>
      </c>
      <c r="C4676" s="534" t="n">
        <v>12731.76</v>
      </c>
      <c r="E4676" s="535" t="n">
        <v>41900</v>
      </c>
      <c r="F4676" s="534" t="n">
        <v>2.156</v>
      </c>
    </row>
    <row r="4677">
      <c r="A4677" s="535" t="n">
        <v>38083</v>
      </c>
      <c r="B4677" s="534" t="n">
        <v>14.156</v>
      </c>
      <c r="C4677" s="534" t="n">
        <v>12886.97</v>
      </c>
      <c r="E4677" s="535" t="n">
        <v>41901</v>
      </c>
      <c r="F4677" s="534" t="n">
        <v>2.18</v>
      </c>
    </row>
    <row r="4678">
      <c r="A4678" s="535" t="n">
        <v>38084</v>
      </c>
      <c r="B4678" s="534" t="n">
        <v>14.199</v>
      </c>
      <c r="C4678" s="534" t="n">
        <v>12920.05</v>
      </c>
      <c r="E4678" s="535" t="n">
        <v>41904</v>
      </c>
      <c r="F4678" s="534" t="n">
        <v>2.1</v>
      </c>
    </row>
    <row r="4679">
      <c r="A4679" s="535" t="n">
        <v>38085</v>
      </c>
      <c r="B4679" s="534" t="n">
        <v>14.025</v>
      </c>
      <c r="C4679" s="534" t="n">
        <v>12909.37</v>
      </c>
      <c r="E4679" s="535" t="n">
        <v>41905</v>
      </c>
      <c r="F4679" s="534" t="n">
        <v>2.063</v>
      </c>
    </row>
    <row r="4680">
      <c r="A4680" s="535" t="n">
        <v>38086</v>
      </c>
      <c r="B4680" s="534" t="n">
        <v>14.025</v>
      </c>
      <c r="C4680" s="534" t="n">
        <v>12909.37</v>
      </c>
      <c r="E4680" s="535" t="n">
        <v>41906</v>
      </c>
      <c r="F4680" s="534" t="n">
        <v>2.057</v>
      </c>
    </row>
    <row r="4681">
      <c r="A4681" s="535" t="n">
        <v>38089</v>
      </c>
      <c r="B4681" s="534" t="n">
        <v>14.025</v>
      </c>
      <c r="C4681" s="534" t="n">
        <v>12909.37</v>
      </c>
      <c r="E4681" s="535" t="n">
        <v>41907</v>
      </c>
      <c r="F4681" s="534" t="n">
        <v>2.083</v>
      </c>
    </row>
    <row r="4682">
      <c r="A4682" s="535" t="n">
        <v>38090</v>
      </c>
      <c r="B4682" s="534" t="n">
        <v>14.33</v>
      </c>
      <c r="C4682" s="534" t="n">
        <v>13031.81</v>
      </c>
      <c r="E4682" s="535" t="n">
        <v>41908</v>
      </c>
      <c r="F4682" s="534" t="n">
        <v>2.029</v>
      </c>
    </row>
    <row r="4683">
      <c r="A4683" s="535" t="n">
        <v>38091</v>
      </c>
      <c r="B4683" s="534" t="n">
        <v>14.068</v>
      </c>
      <c r="C4683" s="534" t="n">
        <v>12669.86</v>
      </c>
      <c r="E4683" s="535" t="n">
        <v>41911</v>
      </c>
      <c r="F4683" s="534" t="n">
        <v>2.081</v>
      </c>
    </row>
    <row r="4684">
      <c r="A4684" s="535" t="n">
        <v>38092</v>
      </c>
      <c r="B4684" s="534" t="n">
        <v>13.589</v>
      </c>
      <c r="C4684" s="534" t="n">
        <v>12479.26</v>
      </c>
      <c r="E4684" s="535" t="n">
        <v>41912</v>
      </c>
      <c r="F4684" s="534" t="n">
        <v>2.048</v>
      </c>
    </row>
    <row r="4685">
      <c r="A4685" s="535" t="n">
        <v>38093</v>
      </c>
      <c r="B4685" s="534" t="n">
        <v>13.633</v>
      </c>
      <c r="C4685" s="534" t="n">
        <v>12458.38</v>
      </c>
      <c r="E4685" s="535" t="n">
        <v>41913</v>
      </c>
      <c r="F4685" s="534" t="n">
        <v>2.048</v>
      </c>
    </row>
    <row r="4686">
      <c r="A4686" s="535" t="n">
        <v>38096</v>
      </c>
      <c r="B4686" s="534" t="n">
        <v>13.546</v>
      </c>
      <c r="C4686" s="534" t="n">
        <v>12450</v>
      </c>
      <c r="E4686" s="535" t="n">
        <v>41914</v>
      </c>
      <c r="F4686" s="534" t="n">
        <v>2.048</v>
      </c>
    </row>
    <row r="4687">
      <c r="A4687" s="535" t="n">
        <v>38097</v>
      </c>
      <c r="B4687" s="534" t="n">
        <v>13.633</v>
      </c>
      <c r="C4687" s="534" t="n">
        <v>12394.37</v>
      </c>
      <c r="E4687" s="535" t="n">
        <v>41915</v>
      </c>
      <c r="F4687" s="534" t="n">
        <v>1.994</v>
      </c>
    </row>
    <row r="4688">
      <c r="A4688" s="535" t="n">
        <v>38098</v>
      </c>
      <c r="B4688" s="534" t="n">
        <v>13.415</v>
      </c>
      <c r="C4688" s="534" t="n">
        <v>12227.3</v>
      </c>
      <c r="E4688" s="535" t="n">
        <v>41918</v>
      </c>
      <c r="F4688" s="534" t="n">
        <v>2.006</v>
      </c>
    </row>
    <row r="4689">
      <c r="A4689" s="535" t="n">
        <v>38099</v>
      </c>
      <c r="B4689" s="534" t="n">
        <v>13.11</v>
      </c>
      <c r="C4689" s="534" t="n">
        <v>12167.7</v>
      </c>
      <c r="E4689" s="535" t="n">
        <v>41919</v>
      </c>
      <c r="F4689" s="534" t="n">
        <v>1.964</v>
      </c>
    </row>
    <row r="4690">
      <c r="A4690" s="535" t="n">
        <v>38100</v>
      </c>
      <c r="B4690" s="534" t="n">
        <v>12.98</v>
      </c>
      <c r="C4690" s="534" t="n">
        <v>12383.94</v>
      </c>
      <c r="E4690" s="535" t="n">
        <v>41920</v>
      </c>
      <c r="F4690" s="534" t="n">
        <v>1.913</v>
      </c>
    </row>
    <row r="4691">
      <c r="A4691" s="535" t="n">
        <v>38103</v>
      </c>
      <c r="B4691" s="534" t="n">
        <v>12.675</v>
      </c>
      <c r="C4691" s="534" t="n">
        <v>12132.68</v>
      </c>
      <c r="E4691" s="535" t="n">
        <v>41921</v>
      </c>
      <c r="F4691" s="534" t="n">
        <v>1.862</v>
      </c>
    </row>
    <row r="4692">
      <c r="A4692" s="535" t="n">
        <v>38104</v>
      </c>
      <c r="B4692" s="534" t="n">
        <v>12.631</v>
      </c>
      <c r="C4692" s="534" t="n">
        <v>12154.91</v>
      </c>
      <c r="E4692" s="535" t="n">
        <v>41922</v>
      </c>
      <c r="F4692" s="534" t="n">
        <v>1.89</v>
      </c>
    </row>
    <row r="4693">
      <c r="A4693" s="535" t="n">
        <v>38105</v>
      </c>
      <c r="B4693" s="534" t="n">
        <v>12.631</v>
      </c>
      <c r="C4693" s="534" t="n">
        <v>12165.31</v>
      </c>
      <c r="E4693" s="535" t="n">
        <v>41925</v>
      </c>
      <c r="F4693" s="534" t="n">
        <v>1.839</v>
      </c>
    </row>
    <row r="4694">
      <c r="A4694" s="535" t="n">
        <v>38106</v>
      </c>
      <c r="B4694" s="534" t="n">
        <v>12.152</v>
      </c>
      <c r="C4694" s="534" t="n">
        <v>12005.58</v>
      </c>
      <c r="E4694" s="535" t="n">
        <v>41926</v>
      </c>
      <c r="F4694" s="534" t="n">
        <v>1.811</v>
      </c>
    </row>
    <row r="4695">
      <c r="A4695" s="535" t="n">
        <v>38107</v>
      </c>
      <c r="B4695" s="534" t="n">
        <v>12.326</v>
      </c>
      <c r="C4695" s="534" t="n">
        <v>11942.96</v>
      </c>
      <c r="E4695" s="535" t="n">
        <v>41927</v>
      </c>
      <c r="F4695" s="534" t="n">
        <v>1.788</v>
      </c>
    </row>
    <row r="4696">
      <c r="A4696" s="535" t="n">
        <v>38110</v>
      </c>
      <c r="B4696" s="534" t="n">
        <v>12.326</v>
      </c>
      <c r="C4696" s="534" t="n">
        <v>11950.62</v>
      </c>
      <c r="E4696" s="535" t="n">
        <v>41928</v>
      </c>
      <c r="F4696" s="534" t="n">
        <v>1.709</v>
      </c>
    </row>
    <row r="4697">
      <c r="A4697" s="535" t="n">
        <v>38111</v>
      </c>
      <c r="B4697" s="534" t="n">
        <v>12.762</v>
      </c>
      <c r="C4697" s="534" t="n">
        <v>12098.3</v>
      </c>
      <c r="E4697" s="535" t="n">
        <v>41929</v>
      </c>
      <c r="F4697" s="534" t="n">
        <v>1.77</v>
      </c>
    </row>
    <row r="4698">
      <c r="A4698" s="535" t="n">
        <v>38112</v>
      </c>
      <c r="B4698" s="534" t="n">
        <v>12.152</v>
      </c>
      <c r="C4698" s="534" t="n">
        <v>11950.46</v>
      </c>
      <c r="E4698" s="535" t="n">
        <v>41932</v>
      </c>
      <c r="F4698" s="534" t="n">
        <v>1.827</v>
      </c>
    </row>
    <row r="4699">
      <c r="A4699" s="535" t="n">
        <v>38113</v>
      </c>
      <c r="B4699" s="534" t="n">
        <v>12.152</v>
      </c>
      <c r="C4699" s="534" t="n">
        <v>12010.31</v>
      </c>
      <c r="E4699" s="535" t="n">
        <v>41933</v>
      </c>
      <c r="F4699" s="534" t="n">
        <v>1.753</v>
      </c>
    </row>
    <row r="4700">
      <c r="A4700" s="535" t="n">
        <v>38114</v>
      </c>
      <c r="B4700" s="534" t="n">
        <v>11.978</v>
      </c>
      <c r="C4700" s="534" t="n">
        <v>11910.76</v>
      </c>
      <c r="E4700" s="535" t="n">
        <v>41934</v>
      </c>
      <c r="F4700" s="534" t="n">
        <v>1.787</v>
      </c>
    </row>
    <row r="4701">
      <c r="A4701" s="535" t="n">
        <v>38117</v>
      </c>
      <c r="B4701" s="534" t="n">
        <v>11.412</v>
      </c>
      <c r="C4701" s="534" t="n">
        <v>11485.5</v>
      </c>
      <c r="E4701" s="535" t="n">
        <v>41935</v>
      </c>
      <c r="F4701" s="534" t="n">
        <v>1.807</v>
      </c>
    </row>
    <row r="4702">
      <c r="A4702" s="535" t="n">
        <v>38118</v>
      </c>
      <c r="B4702" s="534" t="n">
        <v>11.499</v>
      </c>
      <c r="C4702" s="534" t="n">
        <v>11508.1</v>
      </c>
      <c r="E4702" s="535" t="n">
        <v>41936</v>
      </c>
      <c r="F4702" s="534" t="n">
        <v>1.84</v>
      </c>
    </row>
    <row r="4703">
      <c r="A4703" s="535" t="n">
        <v>38119</v>
      </c>
      <c r="B4703" s="534" t="n">
        <v>11.716</v>
      </c>
      <c r="C4703" s="534" t="n">
        <v>11528.18</v>
      </c>
      <c r="E4703" s="535" t="n">
        <v>41939</v>
      </c>
      <c r="F4703" s="534" t="n">
        <v>1.871</v>
      </c>
    </row>
    <row r="4704">
      <c r="A4704" s="535" t="n">
        <v>38120</v>
      </c>
      <c r="B4704" s="534" t="n">
        <v>11.412</v>
      </c>
      <c r="C4704" s="534" t="n">
        <v>11396.94</v>
      </c>
      <c r="E4704" s="535" t="n">
        <v>41940</v>
      </c>
      <c r="F4704" s="534" t="n">
        <v>1.856</v>
      </c>
    </row>
    <row r="4705">
      <c r="A4705" s="535" t="n">
        <v>38121</v>
      </c>
      <c r="B4705" s="534" t="n">
        <v>11.499</v>
      </c>
      <c r="C4705" s="534" t="n">
        <v>11276.86</v>
      </c>
      <c r="E4705" s="535" t="n">
        <v>41941</v>
      </c>
      <c r="F4705" s="534" t="n">
        <v>1.864</v>
      </c>
    </row>
    <row r="4706">
      <c r="A4706" s="535" t="n">
        <v>38124</v>
      </c>
      <c r="B4706" s="534" t="n">
        <v>11.324</v>
      </c>
      <c r="C4706" s="534" t="n">
        <v>10967.65</v>
      </c>
      <c r="E4706" s="535" t="n">
        <v>41942</v>
      </c>
      <c r="F4706" s="534" t="n">
        <v>1.908</v>
      </c>
    </row>
    <row r="4707">
      <c r="A4707" s="535" t="n">
        <v>38125</v>
      </c>
      <c r="B4707" s="534" t="n">
        <v>11.412</v>
      </c>
      <c r="C4707" s="534" t="n">
        <v>11072.39</v>
      </c>
      <c r="E4707" s="535" t="n">
        <v>41943</v>
      </c>
      <c r="F4707" s="534" t="n">
        <v>1.913</v>
      </c>
    </row>
    <row r="4708">
      <c r="A4708" s="535" t="n">
        <v>38126</v>
      </c>
      <c r="B4708" s="534" t="n">
        <v>12.021</v>
      </c>
      <c r="C4708" s="534" t="n">
        <v>11469.41</v>
      </c>
      <c r="E4708" s="535" t="n">
        <v>41946</v>
      </c>
      <c r="F4708" s="534" t="n">
        <v>1.892</v>
      </c>
    </row>
    <row r="4709">
      <c r="A4709" s="535" t="n">
        <v>38127</v>
      </c>
      <c r="B4709" s="534" t="n">
        <v>11.847</v>
      </c>
      <c r="C4709" s="534" t="n">
        <v>11339.62</v>
      </c>
      <c r="E4709" s="535" t="n">
        <v>41947</v>
      </c>
      <c r="F4709" s="534" t="n">
        <v>1.901</v>
      </c>
    </row>
    <row r="4710">
      <c r="A4710" s="535" t="n">
        <v>38128</v>
      </c>
      <c r="B4710" s="534" t="n">
        <v>12.152</v>
      </c>
      <c r="C4710" s="534" t="n">
        <v>11576.01</v>
      </c>
      <c r="E4710" s="535" t="n">
        <v>41948</v>
      </c>
      <c r="F4710" s="534" t="n">
        <v>1.896</v>
      </c>
    </row>
    <row r="4711">
      <c r="A4711" s="535" t="n">
        <v>38131</v>
      </c>
      <c r="B4711" s="534" t="n">
        <v>12.588</v>
      </c>
      <c r="C4711" s="534" t="n">
        <v>11662.97</v>
      </c>
      <c r="E4711" s="535" t="n">
        <v>41949</v>
      </c>
      <c r="F4711" s="534" t="n">
        <v>1.913</v>
      </c>
    </row>
    <row r="4712">
      <c r="A4712" s="535" t="n">
        <v>38132</v>
      </c>
      <c r="B4712" s="534" t="n">
        <v>12.544</v>
      </c>
      <c r="C4712" s="534" t="n">
        <v>11692.56</v>
      </c>
      <c r="E4712" s="535" t="n">
        <v>41950</v>
      </c>
      <c r="F4712" s="534" t="n">
        <v>1.924</v>
      </c>
    </row>
    <row r="4713">
      <c r="A4713" s="535" t="n">
        <v>38133</v>
      </c>
      <c r="B4713" s="534" t="n">
        <v>12.544</v>
      </c>
      <c r="C4713" s="534" t="n">
        <v>11692.56</v>
      </c>
      <c r="E4713" s="535" t="n">
        <v>41953</v>
      </c>
      <c r="F4713" s="534" t="n">
        <v>1.861</v>
      </c>
    </row>
    <row r="4714">
      <c r="A4714" s="535" t="n">
        <v>38134</v>
      </c>
      <c r="B4714" s="534" t="n">
        <v>12.5</v>
      </c>
      <c r="C4714" s="534" t="n">
        <v>11983.9</v>
      </c>
      <c r="E4714" s="535" t="n">
        <v>41954</v>
      </c>
      <c r="F4714" s="534" t="n">
        <v>1.928</v>
      </c>
    </row>
    <row r="4715">
      <c r="A4715" s="535" t="n">
        <v>38135</v>
      </c>
      <c r="B4715" s="534" t="n">
        <v>12.805</v>
      </c>
      <c r="C4715" s="534" t="n">
        <v>12116.87</v>
      </c>
      <c r="E4715" s="535" t="n">
        <v>41955</v>
      </c>
      <c r="F4715" s="534" t="n">
        <v>1.93</v>
      </c>
    </row>
    <row r="4716">
      <c r="A4716" s="535" t="n">
        <v>38138</v>
      </c>
      <c r="B4716" s="534" t="n">
        <v>12.588</v>
      </c>
      <c r="C4716" s="534" t="n">
        <v>12198.24</v>
      </c>
      <c r="E4716" s="535" t="n">
        <v>41956</v>
      </c>
      <c r="F4716" s="534" t="n">
        <v>1.936</v>
      </c>
    </row>
    <row r="4717">
      <c r="A4717" s="535" t="n">
        <v>38139</v>
      </c>
      <c r="B4717" s="534" t="n">
        <v>12.457</v>
      </c>
      <c r="C4717" s="534" t="n">
        <v>12105.55</v>
      </c>
      <c r="E4717" s="535" t="n">
        <v>41957</v>
      </c>
      <c r="F4717" s="534" t="n">
        <v>1.913</v>
      </c>
    </row>
    <row r="4718">
      <c r="A4718" s="535" t="n">
        <v>38140</v>
      </c>
      <c r="B4718" s="534" t="n">
        <v>12.413</v>
      </c>
      <c r="C4718" s="534" t="n">
        <v>12201.75</v>
      </c>
      <c r="E4718" s="535" t="n">
        <v>41960</v>
      </c>
      <c r="F4718" s="534" t="n">
        <v>1.872</v>
      </c>
    </row>
    <row r="4719">
      <c r="A4719" s="535" t="n">
        <v>38141</v>
      </c>
      <c r="B4719" s="534" t="n">
        <v>12.196</v>
      </c>
      <c r="C4719" s="534" t="n">
        <v>11929.93</v>
      </c>
      <c r="E4719" s="535" t="n">
        <v>41961</v>
      </c>
      <c r="F4719" s="534" t="n">
        <v>1.895</v>
      </c>
    </row>
    <row r="4720">
      <c r="A4720" s="535" t="n">
        <v>38142</v>
      </c>
      <c r="B4720" s="534" t="n">
        <v>12.413</v>
      </c>
      <c r="C4720" s="534" t="n">
        <v>12022.64</v>
      </c>
      <c r="E4720" s="535" t="n">
        <v>41962</v>
      </c>
      <c r="F4720" s="534" t="n">
        <v>1.89</v>
      </c>
    </row>
    <row r="4721">
      <c r="A4721" s="535" t="n">
        <v>38145</v>
      </c>
      <c r="B4721" s="534" t="n">
        <v>12.675</v>
      </c>
      <c r="C4721" s="534" t="n">
        <v>12326.85</v>
      </c>
      <c r="E4721" s="535" t="n">
        <v>41963</v>
      </c>
      <c r="F4721" s="534" t="n">
        <v>1.913</v>
      </c>
    </row>
    <row r="4722">
      <c r="A4722" s="535" t="n">
        <v>38146</v>
      </c>
      <c r="B4722" s="534" t="n">
        <v>12.631</v>
      </c>
      <c r="C4722" s="534" t="n">
        <v>12344.16</v>
      </c>
      <c r="E4722" s="535" t="n">
        <v>41964</v>
      </c>
      <c r="F4722" s="534" t="n">
        <v>1.913</v>
      </c>
    </row>
    <row r="4723">
      <c r="A4723" s="535" t="n">
        <v>38147</v>
      </c>
      <c r="B4723" s="534" t="n">
        <v>12.631</v>
      </c>
      <c r="C4723" s="534" t="n">
        <v>12339.94</v>
      </c>
      <c r="E4723" s="535" t="n">
        <v>41967</v>
      </c>
      <c r="F4723" s="534" t="n">
        <v>1.866</v>
      </c>
    </row>
    <row r="4724">
      <c r="A4724" s="535" t="n">
        <v>38148</v>
      </c>
      <c r="B4724" s="534" t="n">
        <v>12.849</v>
      </c>
      <c r="C4724" s="534" t="n">
        <v>12422.87</v>
      </c>
      <c r="E4724" s="535" t="n">
        <v>41968</v>
      </c>
      <c r="F4724" s="534" t="n">
        <v>1.855</v>
      </c>
    </row>
    <row r="4725">
      <c r="A4725" s="535" t="n">
        <v>38149</v>
      </c>
      <c r="B4725" s="534" t="n">
        <v>12.718</v>
      </c>
      <c r="C4725" s="534" t="n">
        <v>12396.39</v>
      </c>
      <c r="E4725" s="535" t="n">
        <v>41969</v>
      </c>
      <c r="F4725" s="534" t="n">
        <v>1.809</v>
      </c>
    </row>
    <row r="4726">
      <c r="A4726" s="535" t="n">
        <v>38152</v>
      </c>
      <c r="B4726" s="534" t="n">
        <v>12.413</v>
      </c>
      <c r="C4726" s="534" t="n">
        <v>12076.57</v>
      </c>
      <c r="E4726" s="535" t="n">
        <v>41970</v>
      </c>
      <c r="F4726" s="534" t="n">
        <v>1.797</v>
      </c>
    </row>
    <row r="4727">
      <c r="A4727" s="535" t="n">
        <v>38153</v>
      </c>
      <c r="B4727" s="534" t="n">
        <v>12.5</v>
      </c>
      <c r="C4727" s="534" t="n">
        <v>12050.69</v>
      </c>
      <c r="E4727" s="535" t="n">
        <v>41971</v>
      </c>
      <c r="F4727" s="534" t="n">
        <v>1.774</v>
      </c>
    </row>
    <row r="4728">
      <c r="A4728" s="535" t="n">
        <v>38154</v>
      </c>
      <c r="B4728" s="534" t="n">
        <v>12.718</v>
      </c>
      <c r="C4728" s="534" t="n">
        <v>12161.78</v>
      </c>
      <c r="E4728" s="535" t="n">
        <v>41974</v>
      </c>
      <c r="F4728" s="534" t="n">
        <v>1.728</v>
      </c>
    </row>
    <row r="4729">
      <c r="A4729" s="535" t="n">
        <v>38155</v>
      </c>
      <c r="B4729" s="534" t="n">
        <v>12.5</v>
      </c>
      <c r="C4729" s="534" t="n">
        <v>12082.86</v>
      </c>
      <c r="E4729" s="535" t="n">
        <v>41975</v>
      </c>
      <c r="F4729" s="534" t="n">
        <v>1.786</v>
      </c>
    </row>
    <row r="4730">
      <c r="A4730" s="535" t="n">
        <v>38156</v>
      </c>
      <c r="B4730" s="534" t="n">
        <v>12.196</v>
      </c>
      <c r="C4730" s="534" t="n">
        <v>11855.55</v>
      </c>
      <c r="E4730" s="535" t="n">
        <v>41976</v>
      </c>
      <c r="F4730" s="534" t="n">
        <v>1.843</v>
      </c>
    </row>
    <row r="4731">
      <c r="A4731" s="535" t="n">
        <v>38159</v>
      </c>
      <c r="B4731" s="534" t="n">
        <v>12.239</v>
      </c>
      <c r="C4731" s="534" t="n">
        <v>11845.59</v>
      </c>
      <c r="E4731" s="535" t="n">
        <v>41977</v>
      </c>
      <c r="F4731" s="534" t="n">
        <v>1.838</v>
      </c>
    </row>
    <row r="4732">
      <c r="A4732" s="535" t="n">
        <v>38160</v>
      </c>
      <c r="B4732" s="534" t="n">
        <v>12.239</v>
      </c>
      <c r="C4732" s="534" t="n">
        <v>11845.59</v>
      </c>
      <c r="E4732" s="535" t="n">
        <v>41978</v>
      </c>
      <c r="F4732" s="534" t="n">
        <v>1.819</v>
      </c>
    </row>
    <row r="4733">
      <c r="A4733" s="535" t="n">
        <v>38161</v>
      </c>
      <c r="B4733" s="534" t="n">
        <v>12.021</v>
      </c>
      <c r="C4733" s="534" t="n">
        <v>11849.77</v>
      </c>
      <c r="E4733" s="535" t="n">
        <v>41981</v>
      </c>
      <c r="F4733" s="534" t="n">
        <v>1.927</v>
      </c>
    </row>
    <row r="4734">
      <c r="A4734" s="535" t="n">
        <v>38162</v>
      </c>
      <c r="B4734" s="534" t="n">
        <v>12.413</v>
      </c>
      <c r="C4734" s="534" t="n">
        <v>12163.68</v>
      </c>
      <c r="E4734" s="535" t="n">
        <v>41982</v>
      </c>
      <c r="F4734" s="534" t="n">
        <v>1.869</v>
      </c>
    </row>
    <row r="4735">
      <c r="A4735" s="535" t="n">
        <v>38163</v>
      </c>
      <c r="B4735" s="534" t="n">
        <v>12.37</v>
      </c>
      <c r="C4735" s="534" t="n">
        <v>12185.52</v>
      </c>
      <c r="E4735" s="535" t="n">
        <v>41983</v>
      </c>
      <c r="F4735" s="534" t="n">
        <v>1.841</v>
      </c>
    </row>
    <row r="4736">
      <c r="A4736" s="535" t="n">
        <v>38166</v>
      </c>
      <c r="B4736" s="534" t="n">
        <v>12.457</v>
      </c>
      <c r="C4736" s="534" t="n">
        <v>12194.6</v>
      </c>
      <c r="E4736" s="535" t="n">
        <v>41984</v>
      </c>
      <c r="F4736" s="534" t="n">
        <v>1.804</v>
      </c>
    </row>
    <row r="4737">
      <c r="A4737" s="535" t="n">
        <v>38167</v>
      </c>
      <c r="B4737" s="534" t="n">
        <v>12.413</v>
      </c>
      <c r="C4737" s="534" t="n">
        <v>12116.3</v>
      </c>
      <c r="E4737" s="535" t="n">
        <v>41985</v>
      </c>
      <c r="F4737" s="534" t="n">
        <v>1.822</v>
      </c>
    </row>
    <row r="4738">
      <c r="A4738" s="535" t="n">
        <v>38168</v>
      </c>
      <c r="B4738" s="534" t="n">
        <v>12.805</v>
      </c>
      <c r="C4738" s="534" t="n">
        <v>12285.75</v>
      </c>
      <c r="E4738" s="535" t="n">
        <v>41988</v>
      </c>
      <c r="F4738" s="534" t="n">
        <v>1.767</v>
      </c>
    </row>
    <row r="4739">
      <c r="A4739" s="535" t="n">
        <v>38169</v>
      </c>
      <c r="B4739" s="534" t="n">
        <v>12.805</v>
      </c>
      <c r="C4739" s="534" t="n">
        <v>12285.75</v>
      </c>
      <c r="E4739" s="535" t="n">
        <v>41989</v>
      </c>
      <c r="F4739" s="534" t="n">
        <v>1.785</v>
      </c>
    </row>
    <row r="4740">
      <c r="A4740" s="535" t="n">
        <v>38170</v>
      </c>
      <c r="B4740" s="534" t="n">
        <v>12.631</v>
      </c>
      <c r="C4740" s="534" t="n">
        <v>12220.13</v>
      </c>
      <c r="E4740" s="535" t="n">
        <v>41990</v>
      </c>
      <c r="F4740" s="534" t="n">
        <v>1.78</v>
      </c>
    </row>
    <row r="4741">
      <c r="A4741" s="535" t="n">
        <v>38173</v>
      </c>
      <c r="B4741" s="534" t="n">
        <v>12.631</v>
      </c>
      <c r="C4741" s="534" t="n">
        <v>12252.11</v>
      </c>
      <c r="E4741" s="535" t="n">
        <v>41991</v>
      </c>
      <c r="F4741" s="534" t="n">
        <v>1.828</v>
      </c>
    </row>
    <row r="4742">
      <c r="A4742" s="535" t="n">
        <v>38174</v>
      </c>
      <c r="B4742" s="534" t="n">
        <v>12.762</v>
      </c>
      <c r="C4742" s="534" t="n">
        <v>12284.08</v>
      </c>
      <c r="E4742" s="535" t="n">
        <v>41992</v>
      </c>
      <c r="F4742" s="534" t="n">
        <v>1.914</v>
      </c>
    </row>
    <row r="4743">
      <c r="A4743" s="535" t="n">
        <v>38175</v>
      </c>
      <c r="B4743" s="534" t="n">
        <v>12.849</v>
      </c>
      <c r="C4743" s="534" t="n">
        <v>12320.26</v>
      </c>
      <c r="E4743" s="535" t="n">
        <v>41995</v>
      </c>
      <c r="F4743" s="534" t="n">
        <v>1.88</v>
      </c>
    </row>
    <row r="4744">
      <c r="A4744" s="535" t="n">
        <v>38176</v>
      </c>
      <c r="B4744" s="534" t="n">
        <v>12.37</v>
      </c>
      <c r="C4744" s="534" t="n">
        <v>12119.75</v>
      </c>
      <c r="E4744" s="535" t="n">
        <v>41996</v>
      </c>
      <c r="F4744" s="534" t="n">
        <v>1.884</v>
      </c>
    </row>
    <row r="4745">
      <c r="A4745" s="535" t="n">
        <v>38177</v>
      </c>
      <c r="B4745" s="534" t="n">
        <v>12.5</v>
      </c>
      <c r="C4745" s="534" t="n">
        <v>12202.26</v>
      </c>
      <c r="E4745" s="535" t="n">
        <v>41997</v>
      </c>
      <c r="F4745" s="534" t="n">
        <v>1.957</v>
      </c>
    </row>
    <row r="4746">
      <c r="A4746" s="535" t="n">
        <v>38180</v>
      </c>
      <c r="B4746" s="534" t="n">
        <v>12.413</v>
      </c>
      <c r="C4746" s="534" t="n">
        <v>12191.01</v>
      </c>
      <c r="E4746" s="535" t="n">
        <v>41998</v>
      </c>
      <c r="F4746" s="534" t="n">
        <v>1.957</v>
      </c>
    </row>
    <row r="4747">
      <c r="A4747" s="535" t="n">
        <v>38181</v>
      </c>
      <c r="B4747" s="534" t="n">
        <v>12.283</v>
      </c>
      <c r="C4747" s="534" t="n">
        <v>12078.33</v>
      </c>
      <c r="E4747" s="535" t="n">
        <v>41999</v>
      </c>
      <c r="F4747" s="534" t="n">
        <v>1.957</v>
      </c>
    </row>
    <row r="4748">
      <c r="A4748" s="535" t="n">
        <v>38182</v>
      </c>
      <c r="B4748" s="534" t="n">
        <v>12.239</v>
      </c>
      <c r="C4748" s="534" t="n">
        <v>11932.83</v>
      </c>
      <c r="E4748" s="535" t="n">
        <v>42002</v>
      </c>
      <c r="F4748" s="534" t="n">
        <v>1.957</v>
      </c>
    </row>
    <row r="4749">
      <c r="A4749" s="535" t="n">
        <v>38183</v>
      </c>
      <c r="B4749" s="534" t="n">
        <v>12.152</v>
      </c>
      <c r="C4749" s="534" t="n">
        <v>11939.41</v>
      </c>
      <c r="E4749" s="535" t="n">
        <v>42003</v>
      </c>
      <c r="F4749" s="534" t="n">
        <v>1.943</v>
      </c>
    </row>
    <row r="4750">
      <c r="A4750" s="535" t="n">
        <v>38184</v>
      </c>
      <c r="B4750" s="534" t="n">
        <v>12.283</v>
      </c>
      <c r="C4750" s="534" t="n">
        <v>12059.2</v>
      </c>
      <c r="E4750" s="535" t="n">
        <v>42004</v>
      </c>
      <c r="F4750" s="534" t="n">
        <v>1.92</v>
      </c>
    </row>
    <row r="4751">
      <c r="A4751" s="535" t="n">
        <v>38187</v>
      </c>
      <c r="B4751" s="534" t="n">
        <v>12.283</v>
      </c>
      <c r="C4751" s="534" t="n">
        <v>12166.95</v>
      </c>
      <c r="E4751" s="535" t="n">
        <v>42005</v>
      </c>
      <c r="F4751" s="534" t="n">
        <v>1.92</v>
      </c>
    </row>
    <row r="4752">
      <c r="A4752" s="535" t="n">
        <v>38188</v>
      </c>
      <c r="B4752" s="534" t="n">
        <v>12.152</v>
      </c>
      <c r="C4752" s="534" t="n">
        <v>12123.63</v>
      </c>
      <c r="E4752" s="535" t="n">
        <v>42006</v>
      </c>
      <c r="F4752" s="534" t="n">
        <v>1.976</v>
      </c>
    </row>
    <row r="4753">
      <c r="A4753" s="535" t="n">
        <v>38189</v>
      </c>
      <c r="B4753" s="534" t="n">
        <v>12.413</v>
      </c>
      <c r="C4753" s="534" t="n">
        <v>12395.11</v>
      </c>
      <c r="E4753" s="535" t="n">
        <v>42009</v>
      </c>
      <c r="F4753" s="534" t="n">
        <v>1.889</v>
      </c>
    </row>
    <row r="4754">
      <c r="A4754" s="535" t="n">
        <v>38190</v>
      </c>
      <c r="B4754" s="534" t="n">
        <v>12.326</v>
      </c>
      <c r="C4754" s="534" t="n">
        <v>12320.21</v>
      </c>
      <c r="E4754" s="535" t="n">
        <v>42010</v>
      </c>
      <c r="F4754" s="534" t="n">
        <v>1.776</v>
      </c>
    </row>
    <row r="4755">
      <c r="A4755" s="535" t="n">
        <v>38191</v>
      </c>
      <c r="B4755" s="534" t="n">
        <v>12.283</v>
      </c>
      <c r="C4755" s="534" t="n">
        <v>12352.99</v>
      </c>
      <c r="E4755" s="535" t="n">
        <v>42011</v>
      </c>
      <c r="F4755" s="534" t="n">
        <v>1.706</v>
      </c>
    </row>
    <row r="4756">
      <c r="A4756" s="535" t="n">
        <v>38194</v>
      </c>
      <c r="B4756" s="534" t="n">
        <v>12.108</v>
      </c>
      <c r="C4756" s="534" t="n">
        <v>12319.83</v>
      </c>
      <c r="E4756" s="535" t="n">
        <v>42012</v>
      </c>
      <c r="F4756" s="534" t="n">
        <v>1.734</v>
      </c>
    </row>
    <row r="4757">
      <c r="A4757" s="535" t="n">
        <v>38195</v>
      </c>
      <c r="B4757" s="534" t="n">
        <v>12.196</v>
      </c>
      <c r="C4757" s="534" t="n">
        <v>12301.32</v>
      </c>
      <c r="E4757" s="535" t="n">
        <v>42013</v>
      </c>
      <c r="F4757" s="534" t="n">
        <v>1.721</v>
      </c>
    </row>
    <row r="4758">
      <c r="A4758" s="535" t="n">
        <v>38196</v>
      </c>
      <c r="B4758" s="534" t="n">
        <v>12.326</v>
      </c>
      <c r="C4758" s="534" t="n">
        <v>12320.27</v>
      </c>
      <c r="E4758" s="535" t="n">
        <v>42016</v>
      </c>
      <c r="F4758" s="534" t="n">
        <v>1.645</v>
      </c>
    </row>
    <row r="4759">
      <c r="A4759" s="535" t="n">
        <v>38197</v>
      </c>
      <c r="B4759" s="534" t="n">
        <v>12.021</v>
      </c>
      <c r="C4759" s="534" t="n">
        <v>12183.1</v>
      </c>
      <c r="E4759" s="535" t="n">
        <v>42017</v>
      </c>
      <c r="F4759" s="534" t="n">
        <v>1.56</v>
      </c>
    </row>
    <row r="4760">
      <c r="A4760" s="535" t="n">
        <v>38198</v>
      </c>
      <c r="B4760" s="534" t="n">
        <v>12.108</v>
      </c>
      <c r="C4760" s="534" t="n">
        <v>12238.03</v>
      </c>
      <c r="E4760" s="535" t="n">
        <v>42018</v>
      </c>
      <c r="F4760" s="534" t="n">
        <v>1.542</v>
      </c>
    </row>
    <row r="4761">
      <c r="A4761" s="535" t="n">
        <v>38201</v>
      </c>
      <c r="B4761" s="534" t="n">
        <v>11.934</v>
      </c>
      <c r="C4761" s="534" t="n">
        <v>12201.39</v>
      </c>
      <c r="E4761" s="535" t="n">
        <v>42019</v>
      </c>
      <c r="F4761" s="534" t="n">
        <v>1.569</v>
      </c>
    </row>
    <row r="4762">
      <c r="A4762" s="535" t="n">
        <v>38202</v>
      </c>
      <c r="B4762" s="534" t="n">
        <v>11.978</v>
      </c>
      <c r="C4762" s="534" t="n">
        <v>12357.12</v>
      </c>
      <c r="E4762" s="535" t="n">
        <v>42020</v>
      </c>
      <c r="F4762" s="534" t="n">
        <v>1.433</v>
      </c>
    </row>
    <row r="4763">
      <c r="A4763" s="535" t="n">
        <v>38203</v>
      </c>
      <c r="B4763" s="534" t="n">
        <v>11.804</v>
      </c>
      <c r="C4763" s="534" t="n">
        <v>12280.26</v>
      </c>
      <c r="E4763" s="535" t="n">
        <v>42023</v>
      </c>
      <c r="F4763" s="534" t="n">
        <v>1.471</v>
      </c>
    </row>
    <row r="4764">
      <c r="A4764" s="535" t="n">
        <v>38204</v>
      </c>
      <c r="B4764" s="534" t="n">
        <v>12.196</v>
      </c>
      <c r="C4764" s="534" t="n">
        <v>12491.92</v>
      </c>
      <c r="E4764" s="535" t="n">
        <v>42024</v>
      </c>
      <c r="F4764" s="534" t="n">
        <v>1.467</v>
      </c>
    </row>
    <row r="4765">
      <c r="A4765" s="535" t="n">
        <v>38205</v>
      </c>
      <c r="B4765" s="534" t="n">
        <v>12.108</v>
      </c>
      <c r="C4765" s="534" t="n">
        <v>12478.68</v>
      </c>
      <c r="E4765" s="535" t="n">
        <v>42025</v>
      </c>
      <c r="F4765" s="534" t="n">
        <v>1.457</v>
      </c>
    </row>
    <row r="4766">
      <c r="A4766" s="535" t="n">
        <v>38208</v>
      </c>
      <c r="B4766" s="534" t="n">
        <v>12.239</v>
      </c>
      <c r="C4766" s="534" t="n">
        <v>12467.41</v>
      </c>
      <c r="E4766" s="535" t="n">
        <v>42026</v>
      </c>
      <c r="F4766" s="534" t="n">
        <v>1.563</v>
      </c>
    </row>
    <row r="4767">
      <c r="A4767" s="535" t="n">
        <v>38209</v>
      </c>
      <c r="B4767" s="534" t="n">
        <v>12.196</v>
      </c>
      <c r="C4767" s="534" t="n">
        <v>12408.04</v>
      </c>
      <c r="E4767" s="535" t="n">
        <v>42027</v>
      </c>
      <c r="F4767" s="534" t="n">
        <v>1.503</v>
      </c>
    </row>
    <row r="4768">
      <c r="A4768" s="535" t="n">
        <v>38210</v>
      </c>
      <c r="B4768" s="534" t="n">
        <v>11.629</v>
      </c>
      <c r="C4768" s="534" t="n">
        <v>12343.13</v>
      </c>
      <c r="E4768" s="535" t="n">
        <v>42030</v>
      </c>
      <c r="F4768" s="534" t="n">
        <v>1.456</v>
      </c>
    </row>
    <row r="4769">
      <c r="A4769" s="535" t="n">
        <v>38211</v>
      </c>
      <c r="B4769" s="534" t="n">
        <v>11.412</v>
      </c>
      <c r="C4769" s="534" t="n">
        <v>12413.43</v>
      </c>
      <c r="E4769" s="535" t="n">
        <v>42031</v>
      </c>
      <c r="F4769" s="534" t="n">
        <v>1.492</v>
      </c>
    </row>
    <row r="4770">
      <c r="A4770" s="535" t="n">
        <v>38212</v>
      </c>
      <c r="B4770" s="534" t="n">
        <v>11.281</v>
      </c>
      <c r="C4770" s="534" t="n">
        <v>12359.83</v>
      </c>
      <c r="E4770" s="535" t="n">
        <v>42032</v>
      </c>
      <c r="F4770" s="534" t="n">
        <v>1.503</v>
      </c>
    </row>
    <row r="4771">
      <c r="A4771" s="535" t="n">
        <v>38215</v>
      </c>
      <c r="B4771" s="534" t="n">
        <v>10.932</v>
      </c>
      <c r="C4771" s="534" t="n">
        <v>12219.75</v>
      </c>
      <c r="E4771" s="535" t="n">
        <v>42033</v>
      </c>
      <c r="F4771" s="534" t="n">
        <v>1.431</v>
      </c>
    </row>
    <row r="4772">
      <c r="A4772" s="535" t="n">
        <v>38216</v>
      </c>
      <c r="B4772" s="534" t="n">
        <v>11.107</v>
      </c>
      <c r="C4772" s="534" t="n">
        <v>12256.12</v>
      </c>
      <c r="E4772" s="535" t="n">
        <v>42034</v>
      </c>
      <c r="F4772" s="534" t="n">
        <v>1.389</v>
      </c>
    </row>
    <row r="4773">
      <c r="A4773" s="535" t="n">
        <v>38217</v>
      </c>
      <c r="B4773" s="534" t="n">
        <v>11.324</v>
      </c>
      <c r="C4773" s="534" t="n">
        <v>12228.54</v>
      </c>
      <c r="E4773" s="535" t="n">
        <v>42037</v>
      </c>
      <c r="F4773" s="534" t="n">
        <v>1.309</v>
      </c>
    </row>
    <row r="4774">
      <c r="A4774" s="535" t="n">
        <v>38218</v>
      </c>
      <c r="B4774" s="534" t="n">
        <v>11.586</v>
      </c>
      <c r="C4774" s="534" t="n">
        <v>12396.67</v>
      </c>
      <c r="E4774" s="535" t="n">
        <v>42038</v>
      </c>
      <c r="F4774" s="534" t="n">
        <v>1.3</v>
      </c>
    </row>
    <row r="4775">
      <c r="A4775" s="535" t="n">
        <v>38219</v>
      </c>
      <c r="B4775" s="534" t="n">
        <v>11.455</v>
      </c>
      <c r="C4775" s="534" t="n">
        <v>12376.9</v>
      </c>
      <c r="E4775" s="535" t="n">
        <v>42039</v>
      </c>
      <c r="F4775" s="534" t="n">
        <v>1.401</v>
      </c>
    </row>
    <row r="4776">
      <c r="A4776" s="535" t="n">
        <v>38222</v>
      </c>
      <c r="B4776" s="534" t="n">
        <v>11.542</v>
      </c>
      <c r="C4776" s="534" t="n">
        <v>12431.77</v>
      </c>
      <c r="E4776" s="535" t="n">
        <v>42040</v>
      </c>
      <c r="F4776" s="534" t="n">
        <v>1.367</v>
      </c>
    </row>
    <row r="4777">
      <c r="A4777" s="535" t="n">
        <v>38223</v>
      </c>
      <c r="B4777" s="534" t="n">
        <v>12.021</v>
      </c>
      <c r="C4777" s="534" t="n">
        <v>12646.49</v>
      </c>
      <c r="E4777" s="535" t="n">
        <v>42041</v>
      </c>
      <c r="F4777" s="534" t="n">
        <v>1.41</v>
      </c>
    </row>
    <row r="4778">
      <c r="A4778" s="535" t="n">
        <v>38224</v>
      </c>
      <c r="B4778" s="534" t="n">
        <v>12.065</v>
      </c>
      <c r="C4778" s="534" t="n">
        <v>12793.03</v>
      </c>
      <c r="E4778" s="535" t="n">
        <v>42044</v>
      </c>
      <c r="F4778" s="534" t="n">
        <v>1.509</v>
      </c>
    </row>
    <row r="4779">
      <c r="A4779" s="535" t="n">
        <v>38225</v>
      </c>
      <c r="B4779" s="534" t="n">
        <v>12.196</v>
      </c>
      <c r="C4779" s="534" t="n">
        <v>12784.39</v>
      </c>
      <c r="E4779" s="535" t="n">
        <v>42045</v>
      </c>
      <c r="F4779" s="534" t="n">
        <v>1.55</v>
      </c>
    </row>
    <row r="4780">
      <c r="A4780" s="535" t="n">
        <v>38226</v>
      </c>
      <c r="B4780" s="534" t="n">
        <v>12.108</v>
      </c>
      <c r="C4780" s="534" t="n">
        <v>12818.42</v>
      </c>
      <c r="E4780" s="535" t="n">
        <v>42046</v>
      </c>
      <c r="F4780" s="534" t="n">
        <v>1.546</v>
      </c>
    </row>
    <row r="4781">
      <c r="A4781" s="535" t="n">
        <v>38229</v>
      </c>
      <c r="B4781" s="534" t="n">
        <v>12.021</v>
      </c>
      <c r="C4781" s="534" t="n">
        <v>12877.78</v>
      </c>
      <c r="E4781" s="535" t="n">
        <v>42047</v>
      </c>
      <c r="F4781" s="534" t="n">
        <v>1.562</v>
      </c>
    </row>
    <row r="4782">
      <c r="A4782" s="535" t="n">
        <v>38230</v>
      </c>
      <c r="B4782" s="534" t="n">
        <v>11.934</v>
      </c>
      <c r="C4782" s="534" t="n">
        <v>12850.28</v>
      </c>
      <c r="E4782" s="535" t="n">
        <v>42048</v>
      </c>
      <c r="F4782" s="534" t="n">
        <v>1.566</v>
      </c>
    </row>
    <row r="4783">
      <c r="A4783" s="535" t="n">
        <v>38231</v>
      </c>
      <c r="B4783" s="534" t="n">
        <v>12.152</v>
      </c>
      <c r="C4783" s="534" t="n">
        <v>13023.87</v>
      </c>
      <c r="E4783" s="535" t="n">
        <v>42051</v>
      </c>
      <c r="F4783" s="534" t="n">
        <v>1.618</v>
      </c>
    </row>
    <row r="4784">
      <c r="A4784" s="535" t="n">
        <v>38232</v>
      </c>
      <c r="B4784" s="534" t="n">
        <v>12.021</v>
      </c>
      <c r="C4784" s="534" t="n">
        <v>12999.07</v>
      </c>
      <c r="E4784" s="535" t="n">
        <v>42052</v>
      </c>
      <c r="F4784" s="534" t="n">
        <v>1.59</v>
      </c>
    </row>
    <row r="4785">
      <c r="A4785" s="535" t="n">
        <v>38233</v>
      </c>
      <c r="B4785" s="534" t="n">
        <v>12.021</v>
      </c>
      <c r="C4785" s="534" t="n">
        <v>12948.1</v>
      </c>
      <c r="E4785" s="535" t="n">
        <v>42053</v>
      </c>
      <c r="F4785" s="534" t="n">
        <v>1.71</v>
      </c>
    </row>
    <row r="4786">
      <c r="A4786" s="535" t="n">
        <v>38236</v>
      </c>
      <c r="B4786" s="534" t="n">
        <v>12.065</v>
      </c>
      <c r="C4786" s="534" t="n">
        <v>13104.34</v>
      </c>
      <c r="E4786" s="535" t="n">
        <v>42054</v>
      </c>
      <c r="F4786" s="534" t="n">
        <v>1.71</v>
      </c>
    </row>
    <row r="4787">
      <c r="A4787" s="535" t="n">
        <v>38237</v>
      </c>
      <c r="B4787" s="534" t="n">
        <v>12.108</v>
      </c>
      <c r="C4787" s="534" t="n">
        <v>13136.04</v>
      </c>
      <c r="E4787" s="535" t="n">
        <v>42055</v>
      </c>
      <c r="F4787" s="534" t="n">
        <v>1.71</v>
      </c>
    </row>
    <row r="4788">
      <c r="A4788" s="535" t="n">
        <v>38238</v>
      </c>
      <c r="B4788" s="534" t="n">
        <v>12.239</v>
      </c>
      <c r="C4788" s="534" t="n">
        <v>13049.96</v>
      </c>
      <c r="E4788" s="535" t="n">
        <v>42058</v>
      </c>
      <c r="F4788" s="534" t="n">
        <v>1.701</v>
      </c>
    </row>
    <row r="4789">
      <c r="A4789" s="535" t="n">
        <v>38239</v>
      </c>
      <c r="B4789" s="534" t="n">
        <v>12.239</v>
      </c>
      <c r="C4789" s="534" t="n">
        <v>12942.2</v>
      </c>
      <c r="E4789" s="535" t="n">
        <v>42059</v>
      </c>
      <c r="F4789" s="534" t="n">
        <v>1.671</v>
      </c>
    </row>
    <row r="4790">
      <c r="A4790" s="535" t="n">
        <v>38240</v>
      </c>
      <c r="B4790" s="534" t="n">
        <v>12.021</v>
      </c>
      <c r="C4790" s="534" t="n">
        <v>13003.99</v>
      </c>
      <c r="E4790" s="535" t="n">
        <v>42060</v>
      </c>
      <c r="F4790" s="534" t="n">
        <v>1.56</v>
      </c>
    </row>
    <row r="4791">
      <c r="A4791" s="535" t="n">
        <v>38243</v>
      </c>
      <c r="B4791" s="534" t="n">
        <v>12.152</v>
      </c>
      <c r="C4791" s="534" t="n">
        <v>13139.57</v>
      </c>
      <c r="E4791" s="535" t="n">
        <v>42061</v>
      </c>
      <c r="F4791" s="534" t="n">
        <v>1.518</v>
      </c>
    </row>
    <row r="4792">
      <c r="A4792" s="535" t="n">
        <v>38244</v>
      </c>
      <c r="B4792" s="534" t="n">
        <v>12.152</v>
      </c>
      <c r="C4792" s="534" t="n">
        <v>13148.06</v>
      </c>
      <c r="E4792" s="535" t="n">
        <v>42062</v>
      </c>
      <c r="F4792" s="534" t="n">
        <v>1.582</v>
      </c>
    </row>
    <row r="4793">
      <c r="A4793" s="535" t="n">
        <v>38245</v>
      </c>
      <c r="B4793" s="534" t="n">
        <v>12.152</v>
      </c>
      <c r="C4793" s="534" t="n">
        <v>13084.4</v>
      </c>
      <c r="E4793" s="535" t="n">
        <v>42065</v>
      </c>
      <c r="F4793" s="534" t="n">
        <v>1.574</v>
      </c>
    </row>
    <row r="4794">
      <c r="A4794" s="535" t="n">
        <v>38246</v>
      </c>
      <c r="B4794" s="534" t="n">
        <v>12.108</v>
      </c>
      <c r="C4794" s="534" t="n">
        <v>13209.84</v>
      </c>
      <c r="E4794" s="535" t="n">
        <v>42066</v>
      </c>
      <c r="F4794" s="534" t="n">
        <v>1.626</v>
      </c>
    </row>
    <row r="4795">
      <c r="A4795" s="535" t="n">
        <v>38247</v>
      </c>
      <c r="B4795" s="534" t="n">
        <v>12.021</v>
      </c>
      <c r="C4795" s="534" t="n">
        <v>13224.93</v>
      </c>
      <c r="E4795" s="535" t="n">
        <v>42067</v>
      </c>
      <c r="F4795" s="534" t="n">
        <v>1.681</v>
      </c>
    </row>
    <row r="4796">
      <c r="A4796" s="535" t="n">
        <v>38250</v>
      </c>
      <c r="B4796" s="534" t="n">
        <v>11.978</v>
      </c>
      <c r="C4796" s="534" t="n">
        <v>13221.33</v>
      </c>
      <c r="E4796" s="535" t="n">
        <v>42068</v>
      </c>
      <c r="F4796" s="534" t="n">
        <v>1.67</v>
      </c>
    </row>
    <row r="4797">
      <c r="A4797" s="535" t="n">
        <v>38251</v>
      </c>
      <c r="B4797" s="534" t="n">
        <v>11.891</v>
      </c>
      <c r="C4797" s="534" t="n">
        <v>13304.48</v>
      </c>
      <c r="E4797" s="535" t="n">
        <v>42069</v>
      </c>
      <c r="F4797" s="534" t="n">
        <v>1.648</v>
      </c>
    </row>
    <row r="4798">
      <c r="A4798" s="535" t="n">
        <v>38252</v>
      </c>
      <c r="B4798" s="534" t="n">
        <v>11.847</v>
      </c>
      <c r="C4798" s="534" t="n">
        <v>13272.23</v>
      </c>
      <c r="E4798" s="535" t="n">
        <v>42072</v>
      </c>
      <c r="F4798" s="534" t="n">
        <v>1.76</v>
      </c>
    </row>
    <row r="4799">
      <c r="A4799" s="535" t="n">
        <v>38253</v>
      </c>
      <c r="B4799" s="534" t="n">
        <v>11.716</v>
      </c>
      <c r="C4799" s="534" t="n">
        <v>13280.43</v>
      </c>
      <c r="E4799" s="535" t="n">
        <v>42073</v>
      </c>
      <c r="F4799" s="534" t="n">
        <v>1.715</v>
      </c>
    </row>
    <row r="4800">
      <c r="A4800" s="535" t="n">
        <v>38254</v>
      </c>
      <c r="B4800" s="534" t="n">
        <v>11.586</v>
      </c>
      <c r="C4800" s="534" t="n">
        <v>13066.84</v>
      </c>
      <c r="E4800" s="535" t="n">
        <v>42074</v>
      </c>
      <c r="F4800" s="534" t="n">
        <v>1.646</v>
      </c>
    </row>
    <row r="4801">
      <c r="A4801" s="535" t="n">
        <v>38257</v>
      </c>
      <c r="B4801" s="534" t="n">
        <v>11.586</v>
      </c>
      <c r="C4801" s="534" t="n">
        <v>13021.9</v>
      </c>
      <c r="E4801" s="535" t="n">
        <v>42075</v>
      </c>
      <c r="F4801" s="534" t="n">
        <v>1.664</v>
      </c>
    </row>
    <row r="4802">
      <c r="A4802" s="535" t="n">
        <v>38258</v>
      </c>
      <c r="B4802" s="534" t="n">
        <v>11.412</v>
      </c>
      <c r="C4802" s="534" t="n">
        <v>12950.8</v>
      </c>
      <c r="E4802" s="535" t="n">
        <v>42076</v>
      </c>
      <c r="F4802" s="534" t="n">
        <v>1.676</v>
      </c>
    </row>
    <row r="4803">
      <c r="A4803" s="535" t="n">
        <v>38259</v>
      </c>
      <c r="B4803" s="534" t="n">
        <v>11.412</v>
      </c>
      <c r="C4803" s="534" t="n">
        <v>12950.8</v>
      </c>
      <c r="E4803" s="535" t="n">
        <v>42079</v>
      </c>
      <c r="F4803" s="534" t="n">
        <v>1.661</v>
      </c>
    </row>
    <row r="4804">
      <c r="A4804" s="535" t="n">
        <v>38260</v>
      </c>
      <c r="B4804" s="534" t="n">
        <v>11.629</v>
      </c>
      <c r="C4804" s="534" t="n">
        <v>13120.03</v>
      </c>
      <c r="E4804" s="535" t="n">
        <v>42080</v>
      </c>
      <c r="F4804" s="534" t="n">
        <v>1.642</v>
      </c>
    </row>
    <row r="4805">
      <c r="A4805" s="535" t="n">
        <v>38261</v>
      </c>
      <c r="B4805" s="534" t="n">
        <v>11.629</v>
      </c>
      <c r="C4805" s="534" t="n">
        <v>13120.03</v>
      </c>
      <c r="E4805" s="535" t="n">
        <v>42081</v>
      </c>
      <c r="F4805" s="534" t="n">
        <v>1.62</v>
      </c>
    </row>
    <row r="4806">
      <c r="A4806" s="535" t="n">
        <v>38264</v>
      </c>
      <c r="B4806" s="534" t="n">
        <v>11.673</v>
      </c>
      <c r="C4806" s="534" t="n">
        <v>13359.25</v>
      </c>
      <c r="E4806" s="535" t="n">
        <v>42082</v>
      </c>
      <c r="F4806" s="534" t="n">
        <v>1.487</v>
      </c>
    </row>
    <row r="4807">
      <c r="A4807" s="535" t="n">
        <v>38265</v>
      </c>
      <c r="B4807" s="534" t="n">
        <v>11.673</v>
      </c>
      <c r="C4807" s="534" t="n">
        <v>13331.1</v>
      </c>
      <c r="E4807" s="535" t="n">
        <v>42083</v>
      </c>
      <c r="F4807" s="534" t="n">
        <v>1.507</v>
      </c>
    </row>
    <row r="4808">
      <c r="A4808" s="535" t="n">
        <v>38266</v>
      </c>
      <c r="B4808" s="534" t="n">
        <v>11.586</v>
      </c>
      <c r="C4808" s="534" t="n">
        <v>13271.57</v>
      </c>
      <c r="E4808" s="535" t="n">
        <v>42086</v>
      </c>
      <c r="F4808" s="534" t="n">
        <v>1.465</v>
      </c>
    </row>
    <row r="4809">
      <c r="A4809" s="535" t="n">
        <v>38267</v>
      </c>
      <c r="B4809" s="534" t="n">
        <v>11.542</v>
      </c>
      <c r="C4809" s="534" t="n">
        <v>13321.73</v>
      </c>
      <c r="E4809" s="535" t="n">
        <v>42087</v>
      </c>
      <c r="F4809" s="534" t="n">
        <v>1.454</v>
      </c>
    </row>
    <row r="4810">
      <c r="A4810" s="535" t="n">
        <v>38268</v>
      </c>
      <c r="B4810" s="534" t="n">
        <v>11.455</v>
      </c>
      <c r="C4810" s="534" t="n">
        <v>13241.46</v>
      </c>
      <c r="E4810" s="535" t="n">
        <v>42088</v>
      </c>
      <c r="F4810" s="534" t="n">
        <v>1.41</v>
      </c>
    </row>
    <row r="4811">
      <c r="A4811" s="535" t="n">
        <v>38271</v>
      </c>
      <c r="B4811" s="534" t="n">
        <v>11.455</v>
      </c>
      <c r="C4811" s="534" t="n">
        <v>13305.13</v>
      </c>
      <c r="E4811" s="535" t="n">
        <v>42089</v>
      </c>
      <c r="F4811" s="534" t="n">
        <v>1.448</v>
      </c>
    </row>
    <row r="4812">
      <c r="A4812" s="535" t="n">
        <v>38272</v>
      </c>
      <c r="B4812" s="534" t="n">
        <v>11.412</v>
      </c>
      <c r="C4812" s="534" t="n">
        <v>13251.59</v>
      </c>
      <c r="E4812" s="535" t="n">
        <v>42090</v>
      </c>
      <c r="F4812" s="534" t="n">
        <v>1.519</v>
      </c>
    </row>
    <row r="4813">
      <c r="A4813" s="535" t="n">
        <v>38273</v>
      </c>
      <c r="B4813" s="534" t="n">
        <v>11.455</v>
      </c>
      <c r="C4813" s="534" t="n">
        <v>13171.58</v>
      </c>
      <c r="E4813" s="535" t="n">
        <v>42093</v>
      </c>
      <c r="F4813" s="534" t="n">
        <v>1.497</v>
      </c>
    </row>
    <row r="4814">
      <c r="A4814" s="535" t="n">
        <v>38274</v>
      </c>
      <c r="B4814" s="534" t="n">
        <v>11.542</v>
      </c>
      <c r="C4814" s="534" t="n">
        <v>13035.38</v>
      </c>
      <c r="E4814" s="535" t="n">
        <v>42094</v>
      </c>
      <c r="F4814" s="534" t="n">
        <v>1.502</v>
      </c>
    </row>
    <row r="4815">
      <c r="A4815" s="535" t="n">
        <v>38275</v>
      </c>
      <c r="B4815" s="534" t="n">
        <v>11.455</v>
      </c>
      <c r="C4815" s="534" t="n">
        <v>13059.43</v>
      </c>
      <c r="E4815" s="535" t="n">
        <v>42095</v>
      </c>
      <c r="F4815" s="534" t="n">
        <v>1.48</v>
      </c>
    </row>
    <row r="4816">
      <c r="A4816" s="535" t="n">
        <v>38278</v>
      </c>
      <c r="B4816" s="534" t="n">
        <v>11.412</v>
      </c>
      <c r="C4816" s="534" t="n">
        <v>13034.74</v>
      </c>
      <c r="E4816" s="535" t="n">
        <v>42096</v>
      </c>
      <c r="F4816" s="534" t="n">
        <v>1.43</v>
      </c>
    </row>
    <row r="4817">
      <c r="A4817" s="535" t="n">
        <v>38279</v>
      </c>
      <c r="B4817" s="534" t="n">
        <v>11.499</v>
      </c>
      <c r="C4817" s="534" t="n">
        <v>13154.55</v>
      </c>
      <c r="E4817" s="535" t="n">
        <v>42097</v>
      </c>
      <c r="F4817" s="534" t="n">
        <v>1.43</v>
      </c>
    </row>
    <row r="4818">
      <c r="A4818" s="535" t="n">
        <v>38280</v>
      </c>
      <c r="B4818" s="534" t="n">
        <v>11.455</v>
      </c>
      <c r="C4818" s="534" t="n">
        <v>12999.13</v>
      </c>
      <c r="E4818" s="535" t="n">
        <v>42100</v>
      </c>
      <c r="F4818" s="534" t="n">
        <v>1.43</v>
      </c>
    </row>
    <row r="4819">
      <c r="A4819" s="535" t="n">
        <v>38281</v>
      </c>
      <c r="B4819" s="534" t="n">
        <v>11.455</v>
      </c>
      <c r="C4819" s="534" t="n">
        <v>13015.2</v>
      </c>
      <c r="E4819" s="535" t="n">
        <v>42101</v>
      </c>
      <c r="F4819" s="534" t="n">
        <v>1.43</v>
      </c>
    </row>
    <row r="4820">
      <c r="A4820" s="535" t="n">
        <v>38282</v>
      </c>
      <c r="B4820" s="534" t="n">
        <v>11.455</v>
      </c>
      <c r="C4820" s="534" t="n">
        <v>13015.2</v>
      </c>
      <c r="E4820" s="535" t="n">
        <v>42102</v>
      </c>
      <c r="F4820" s="534" t="n">
        <v>1.43</v>
      </c>
    </row>
    <row r="4821">
      <c r="A4821" s="535" t="n">
        <v>38285</v>
      </c>
      <c r="B4821" s="534" t="n">
        <v>11.281</v>
      </c>
      <c r="C4821" s="534" t="n">
        <v>12818.1</v>
      </c>
      <c r="E4821" s="535" t="n">
        <v>42103</v>
      </c>
      <c r="F4821" s="534" t="n">
        <v>1.43</v>
      </c>
    </row>
    <row r="4822">
      <c r="A4822" s="535" t="n">
        <v>38286</v>
      </c>
      <c r="B4822" s="534" t="n">
        <v>11.324</v>
      </c>
      <c r="C4822" s="534" t="n">
        <v>12852.35</v>
      </c>
      <c r="E4822" s="535" t="n">
        <v>42104</v>
      </c>
      <c r="F4822" s="534" t="n">
        <v>1.496</v>
      </c>
    </row>
    <row r="4823">
      <c r="A4823" s="535" t="n">
        <v>38287</v>
      </c>
      <c r="B4823" s="534" t="n">
        <v>11.281</v>
      </c>
      <c r="C4823" s="534" t="n">
        <v>12838.71</v>
      </c>
      <c r="E4823" s="535" t="n">
        <v>42107</v>
      </c>
      <c r="F4823" s="534" t="n">
        <v>1.49</v>
      </c>
    </row>
    <row r="4824">
      <c r="A4824" s="535" t="n">
        <v>38288</v>
      </c>
      <c r="B4824" s="534" t="n">
        <v>11.76</v>
      </c>
      <c r="C4824" s="534" t="n">
        <v>13113.15</v>
      </c>
      <c r="E4824" s="535" t="n">
        <v>42108</v>
      </c>
      <c r="F4824" s="534" t="n">
        <v>1.452</v>
      </c>
    </row>
    <row r="4825">
      <c r="A4825" s="535" t="n">
        <v>38289</v>
      </c>
      <c r="B4825" s="534" t="n">
        <v>11.76</v>
      </c>
      <c r="C4825" s="534" t="n">
        <v>13054.66</v>
      </c>
      <c r="E4825" s="535" t="n">
        <v>42109</v>
      </c>
      <c r="F4825" s="534" t="n">
        <v>1.413</v>
      </c>
    </row>
    <row r="4826">
      <c r="A4826" s="535" t="n">
        <v>38292</v>
      </c>
      <c r="B4826" s="534" t="n">
        <v>11.716</v>
      </c>
      <c r="C4826" s="534" t="n">
        <v>13094.25</v>
      </c>
      <c r="E4826" s="535" t="n">
        <v>42110</v>
      </c>
      <c r="F4826" s="534" t="n">
        <v>1.415</v>
      </c>
    </row>
    <row r="4827">
      <c r="A4827" s="535" t="n">
        <v>38293</v>
      </c>
      <c r="B4827" s="534" t="n">
        <v>11.847</v>
      </c>
      <c r="C4827" s="534" t="n">
        <v>13308.74</v>
      </c>
      <c r="E4827" s="535" t="n">
        <v>42111</v>
      </c>
      <c r="F4827" s="534" t="n">
        <v>1.407</v>
      </c>
    </row>
    <row r="4828">
      <c r="A4828" s="535" t="n">
        <v>38294</v>
      </c>
      <c r="B4828" s="534" t="n">
        <v>11.847</v>
      </c>
      <c r="C4828" s="534" t="n">
        <v>13397.67</v>
      </c>
      <c r="E4828" s="535" t="n">
        <v>42114</v>
      </c>
      <c r="F4828" s="534" t="n">
        <v>1.415</v>
      </c>
    </row>
    <row r="4829">
      <c r="A4829" s="535" t="n">
        <v>38295</v>
      </c>
      <c r="B4829" s="534" t="n">
        <v>11.673</v>
      </c>
      <c r="C4829" s="534" t="n">
        <v>13369.09</v>
      </c>
      <c r="E4829" s="535" t="n">
        <v>42115</v>
      </c>
      <c r="F4829" s="534" t="n">
        <v>1.423</v>
      </c>
    </row>
    <row r="4830">
      <c r="A4830" s="535" t="n">
        <v>38296</v>
      </c>
      <c r="B4830" s="534" t="n">
        <v>11.847</v>
      </c>
      <c r="C4830" s="534" t="n">
        <v>13494.95</v>
      </c>
      <c r="E4830" s="535" t="n">
        <v>42116</v>
      </c>
      <c r="F4830" s="534" t="n">
        <v>1.44</v>
      </c>
    </row>
    <row r="4831">
      <c r="A4831" s="535" t="n">
        <v>38299</v>
      </c>
      <c r="B4831" s="534" t="n">
        <v>11.847</v>
      </c>
      <c r="C4831" s="534" t="n">
        <v>13561.49</v>
      </c>
      <c r="E4831" s="535" t="n">
        <v>42117</v>
      </c>
      <c r="F4831" s="534" t="n">
        <v>1.469</v>
      </c>
    </row>
    <row r="4832">
      <c r="A4832" s="535" t="n">
        <v>38300</v>
      </c>
      <c r="B4832" s="534" t="n">
        <v>11.804</v>
      </c>
      <c r="C4832" s="534" t="n">
        <v>13516.67</v>
      </c>
      <c r="E4832" s="535" t="n">
        <v>42118</v>
      </c>
      <c r="F4832" s="534" t="n">
        <v>1.445</v>
      </c>
    </row>
    <row r="4833">
      <c r="A4833" s="535" t="n">
        <v>38301</v>
      </c>
      <c r="B4833" s="534" t="n">
        <v>11.978</v>
      </c>
      <c r="C4833" s="534" t="n">
        <v>13672.37</v>
      </c>
      <c r="E4833" s="535" t="n">
        <v>42121</v>
      </c>
      <c r="F4833" s="534" t="n">
        <v>1.408</v>
      </c>
    </row>
    <row r="4834">
      <c r="A4834" s="535" t="n">
        <v>38302</v>
      </c>
      <c r="B4834" s="534" t="n">
        <v>12.021</v>
      </c>
      <c r="C4834" s="534" t="n">
        <v>13624.51</v>
      </c>
      <c r="E4834" s="535" t="n">
        <v>42122</v>
      </c>
      <c r="F4834" s="534" t="n">
        <v>1.43</v>
      </c>
    </row>
    <row r="4835">
      <c r="A4835" s="535" t="n">
        <v>38303</v>
      </c>
      <c r="B4835" s="534" t="n">
        <v>12.196</v>
      </c>
      <c r="C4835" s="534" t="n">
        <v>13784.46</v>
      </c>
      <c r="E4835" s="535" t="n">
        <v>42123</v>
      </c>
      <c r="F4835" s="534" t="n">
        <v>1.516</v>
      </c>
    </row>
    <row r="4836">
      <c r="A4836" s="535" t="n">
        <v>38306</v>
      </c>
      <c r="B4836" s="534" t="n">
        <v>12.283</v>
      </c>
      <c r="C4836" s="534" t="n">
        <v>13932.22</v>
      </c>
      <c r="E4836" s="535" t="n">
        <v>42124</v>
      </c>
      <c r="F4836" s="534" t="n">
        <v>1.544</v>
      </c>
    </row>
    <row r="4837">
      <c r="A4837" s="535" t="n">
        <v>38307</v>
      </c>
      <c r="B4837" s="534" t="n">
        <v>12.152</v>
      </c>
      <c r="C4837" s="534" t="n">
        <v>13746.08</v>
      </c>
      <c r="E4837" s="535" t="n">
        <v>42125</v>
      </c>
      <c r="F4837" s="534" t="n">
        <v>1.544</v>
      </c>
    </row>
    <row r="4838">
      <c r="A4838" s="535" t="n">
        <v>38308</v>
      </c>
      <c r="B4838" s="534" t="n">
        <v>12.239</v>
      </c>
      <c r="C4838" s="534" t="n">
        <v>13824.98</v>
      </c>
      <c r="E4838" s="535" t="n">
        <v>42128</v>
      </c>
      <c r="F4838" s="534" t="n">
        <v>1.628</v>
      </c>
    </row>
    <row r="4839">
      <c r="A4839" s="535" t="n">
        <v>38309</v>
      </c>
      <c r="B4839" s="534" t="n">
        <v>12.239</v>
      </c>
      <c r="C4839" s="534" t="n">
        <v>13799.82</v>
      </c>
      <c r="E4839" s="535" t="n">
        <v>42129</v>
      </c>
      <c r="F4839" s="534" t="n">
        <v>1.639</v>
      </c>
    </row>
    <row r="4840">
      <c r="A4840" s="535" t="n">
        <v>38310</v>
      </c>
      <c r="B4840" s="534" t="n">
        <v>12.108</v>
      </c>
      <c r="C4840" s="534" t="n">
        <v>13787.68</v>
      </c>
      <c r="E4840" s="535" t="n">
        <v>42130</v>
      </c>
      <c r="F4840" s="534" t="n">
        <v>1.724</v>
      </c>
    </row>
    <row r="4841">
      <c r="A4841" s="535" t="n">
        <v>38313</v>
      </c>
      <c r="B4841" s="534" t="n">
        <v>12.065</v>
      </c>
      <c r="C4841" s="534" t="n">
        <v>13800.6</v>
      </c>
      <c r="E4841" s="535" t="n">
        <v>42131</v>
      </c>
      <c r="F4841" s="534" t="n">
        <v>1.772</v>
      </c>
    </row>
    <row r="4842">
      <c r="A4842" s="535" t="n">
        <v>38314</v>
      </c>
      <c r="B4842" s="534" t="n">
        <v>12.239</v>
      </c>
      <c r="C4842" s="534" t="n">
        <v>14023.29</v>
      </c>
      <c r="E4842" s="535" t="n">
        <v>42132</v>
      </c>
      <c r="F4842" s="534" t="n">
        <v>1.696</v>
      </c>
    </row>
    <row r="4843">
      <c r="A4843" s="535" t="n">
        <v>38315</v>
      </c>
      <c r="B4843" s="534" t="n">
        <v>12.065</v>
      </c>
      <c r="C4843" s="534" t="n">
        <v>13997.02</v>
      </c>
      <c r="E4843" s="535" t="n">
        <v>42135</v>
      </c>
      <c r="F4843" s="534" t="n">
        <v>1.687</v>
      </c>
    </row>
    <row r="4844">
      <c r="A4844" s="535" t="n">
        <v>38316</v>
      </c>
      <c r="B4844" s="534" t="n">
        <v>12.021</v>
      </c>
      <c r="C4844" s="534" t="n">
        <v>13926.61</v>
      </c>
      <c r="E4844" s="535" t="n">
        <v>42136</v>
      </c>
      <c r="F4844" s="534" t="n">
        <v>1.835</v>
      </c>
    </row>
    <row r="4845">
      <c r="A4845" s="535" t="n">
        <v>38317</v>
      </c>
      <c r="B4845" s="534" t="n">
        <v>12.021</v>
      </c>
      <c r="C4845" s="534" t="n">
        <v>13895.03</v>
      </c>
      <c r="E4845" s="535" t="n">
        <v>42137</v>
      </c>
      <c r="F4845" s="534" t="n">
        <v>1.764</v>
      </c>
    </row>
    <row r="4846">
      <c r="A4846" s="535" t="n">
        <v>38320</v>
      </c>
      <c r="B4846" s="534" t="n">
        <v>12.108</v>
      </c>
      <c r="C4846" s="534" t="n">
        <v>14066.91</v>
      </c>
      <c r="E4846" s="535" t="n">
        <v>42138</v>
      </c>
      <c r="F4846" s="534" t="n">
        <v>1.783</v>
      </c>
    </row>
    <row r="4847">
      <c r="A4847" s="535" t="n">
        <v>38321</v>
      </c>
      <c r="B4847" s="534" t="n">
        <v>12.021</v>
      </c>
      <c r="C4847" s="534" t="n">
        <v>14060.05</v>
      </c>
      <c r="E4847" s="535" t="n">
        <v>42139</v>
      </c>
      <c r="F4847" s="534" t="n">
        <v>1.738</v>
      </c>
    </row>
    <row r="4848">
      <c r="A4848" s="535" t="n">
        <v>38322</v>
      </c>
      <c r="B4848" s="534" t="n">
        <v>11.978</v>
      </c>
      <c r="C4848" s="534" t="n">
        <v>14162.8</v>
      </c>
      <c r="E4848" s="535" t="n">
        <v>42142</v>
      </c>
      <c r="F4848" s="534" t="n">
        <v>1.707</v>
      </c>
    </row>
    <row r="4849">
      <c r="A4849" s="535" t="n">
        <v>38323</v>
      </c>
      <c r="B4849" s="534" t="n">
        <v>12.37</v>
      </c>
      <c r="C4849" s="534" t="n">
        <v>14261.79</v>
      </c>
      <c r="E4849" s="535" t="n">
        <v>42143</v>
      </c>
      <c r="F4849" s="534" t="n">
        <v>1.738</v>
      </c>
    </row>
    <row r="4850">
      <c r="A4850" s="535" t="n">
        <v>38324</v>
      </c>
      <c r="B4850" s="534" t="n">
        <v>12.631</v>
      </c>
      <c r="C4850" s="534" t="n">
        <v>14211.84</v>
      </c>
      <c r="E4850" s="535" t="n">
        <v>42144</v>
      </c>
      <c r="F4850" s="534" t="n">
        <v>1.766</v>
      </c>
    </row>
    <row r="4851">
      <c r="A4851" s="535" t="n">
        <v>38327</v>
      </c>
      <c r="B4851" s="534" t="n">
        <v>12.805</v>
      </c>
      <c r="C4851" s="534" t="n">
        <v>14256.86</v>
      </c>
      <c r="E4851" s="535" t="n">
        <v>42145</v>
      </c>
      <c r="F4851" s="534" t="n">
        <v>1.739</v>
      </c>
    </row>
    <row r="4852">
      <c r="A4852" s="535" t="n">
        <v>38328</v>
      </c>
      <c r="B4852" s="534" t="n">
        <v>12.675</v>
      </c>
      <c r="C4852" s="534" t="n">
        <v>14235.78</v>
      </c>
      <c r="E4852" s="535" t="n">
        <v>42146</v>
      </c>
      <c r="F4852" s="534" t="n">
        <v>1.689</v>
      </c>
    </row>
    <row r="4853">
      <c r="A4853" s="535" t="n">
        <v>38329</v>
      </c>
      <c r="B4853" s="534" t="n">
        <v>12.631</v>
      </c>
      <c r="C4853" s="534" t="n">
        <v>14022.32</v>
      </c>
      <c r="E4853" s="535" t="n">
        <v>42149</v>
      </c>
      <c r="F4853" s="534" t="n">
        <v>1.689</v>
      </c>
    </row>
    <row r="4854">
      <c r="A4854" s="535" t="n">
        <v>38330</v>
      </c>
      <c r="B4854" s="534" t="n">
        <v>12.5</v>
      </c>
      <c r="C4854" s="534" t="n">
        <v>14008.82</v>
      </c>
      <c r="E4854" s="535" t="n">
        <v>42150</v>
      </c>
      <c r="F4854" s="534" t="n">
        <v>1.707</v>
      </c>
    </row>
    <row r="4855">
      <c r="A4855" s="535" t="n">
        <v>38331</v>
      </c>
      <c r="B4855" s="534" t="n">
        <v>12.413</v>
      </c>
      <c r="C4855" s="534" t="n">
        <v>13901.81</v>
      </c>
      <c r="E4855" s="535" t="n">
        <v>42151</v>
      </c>
      <c r="F4855" s="534" t="n">
        <v>1.672</v>
      </c>
    </row>
    <row r="4856">
      <c r="A4856" s="535" t="n">
        <v>38334</v>
      </c>
      <c r="B4856" s="534" t="n">
        <v>12.5</v>
      </c>
      <c r="C4856" s="534" t="n">
        <v>13886.16</v>
      </c>
      <c r="E4856" s="535" t="n">
        <v>42152</v>
      </c>
      <c r="F4856" s="534" t="n">
        <v>1.632</v>
      </c>
    </row>
    <row r="4857">
      <c r="A4857" s="535" t="n">
        <v>38335</v>
      </c>
      <c r="B4857" s="534" t="n">
        <v>12.805</v>
      </c>
      <c r="C4857" s="534" t="n">
        <v>14043.52</v>
      </c>
      <c r="E4857" s="535" t="n">
        <v>42153</v>
      </c>
      <c r="F4857" s="534" t="n">
        <v>1.617</v>
      </c>
    </row>
    <row r="4858">
      <c r="A4858" s="535" t="n">
        <v>38336</v>
      </c>
      <c r="B4858" s="534" t="n">
        <v>12.849</v>
      </c>
      <c r="C4858" s="534" t="n">
        <v>14078.54</v>
      </c>
      <c r="E4858" s="535" t="n">
        <v>42156</v>
      </c>
      <c r="F4858" s="534" t="n">
        <v>1.66</v>
      </c>
    </row>
    <row r="4859">
      <c r="A4859" s="535" t="n">
        <v>38337</v>
      </c>
      <c r="B4859" s="534" t="n">
        <v>12.805</v>
      </c>
      <c r="C4859" s="534" t="n">
        <v>14024.63</v>
      </c>
      <c r="E4859" s="535" t="n">
        <v>42157</v>
      </c>
      <c r="F4859" s="534" t="n">
        <v>1.719</v>
      </c>
    </row>
    <row r="4860">
      <c r="A4860" s="535" t="n">
        <v>38338</v>
      </c>
      <c r="B4860" s="534" t="n">
        <v>12.805</v>
      </c>
      <c r="C4860" s="534" t="n">
        <v>13992.44</v>
      </c>
      <c r="E4860" s="535" t="n">
        <v>42158</v>
      </c>
      <c r="F4860" s="534" t="n">
        <v>1.784</v>
      </c>
    </row>
    <row r="4861">
      <c r="A4861" s="535" t="n">
        <v>38341</v>
      </c>
      <c r="B4861" s="534" t="n">
        <v>12.849</v>
      </c>
      <c r="C4861" s="534" t="n">
        <v>14214.04</v>
      </c>
      <c r="E4861" s="535" t="n">
        <v>42159</v>
      </c>
      <c r="F4861" s="534" t="n">
        <v>1.884</v>
      </c>
    </row>
    <row r="4862">
      <c r="A4862" s="535" t="n">
        <v>38342</v>
      </c>
      <c r="B4862" s="534" t="n">
        <v>12.805</v>
      </c>
      <c r="C4862" s="534" t="n">
        <v>14180.79</v>
      </c>
      <c r="E4862" s="535" t="n">
        <v>42160</v>
      </c>
      <c r="F4862" s="534" t="n">
        <v>1.834</v>
      </c>
    </row>
    <row r="4863">
      <c r="A4863" s="535" t="n">
        <v>38343</v>
      </c>
      <c r="B4863" s="534" t="n">
        <v>12.849</v>
      </c>
      <c r="C4863" s="534" t="n">
        <v>14151.08</v>
      </c>
      <c r="E4863" s="535" t="n">
        <v>42163</v>
      </c>
      <c r="F4863" s="534" t="n">
        <v>1.893</v>
      </c>
    </row>
    <row r="4864">
      <c r="A4864" s="535" t="n">
        <v>38344</v>
      </c>
      <c r="B4864" s="534" t="n">
        <v>12.892</v>
      </c>
      <c r="C4864" s="534" t="n">
        <v>14235.3</v>
      </c>
      <c r="E4864" s="535" t="n">
        <v>42164</v>
      </c>
      <c r="F4864" s="534" t="n">
        <v>1.875</v>
      </c>
    </row>
    <row r="4865">
      <c r="A4865" s="535" t="n">
        <v>38345</v>
      </c>
      <c r="B4865" s="534" t="n">
        <v>12.718</v>
      </c>
      <c r="C4865" s="534" t="n">
        <v>14194.9</v>
      </c>
      <c r="E4865" s="535" t="n">
        <v>42165</v>
      </c>
      <c r="F4865" s="534" t="n">
        <v>1.956</v>
      </c>
    </row>
    <row r="4866">
      <c r="A4866" s="535" t="n">
        <v>38348</v>
      </c>
      <c r="B4866" s="534" t="n">
        <v>12.718</v>
      </c>
      <c r="C4866" s="534" t="n">
        <v>14194.9</v>
      </c>
      <c r="E4866" s="535" t="n">
        <v>42166</v>
      </c>
      <c r="F4866" s="534" t="n">
        <v>1.972</v>
      </c>
    </row>
    <row r="4867">
      <c r="A4867" s="535" t="n">
        <v>38349</v>
      </c>
      <c r="B4867" s="534" t="n">
        <v>12.718</v>
      </c>
      <c r="C4867" s="534" t="n">
        <v>14196.95</v>
      </c>
      <c r="E4867" s="535" t="n">
        <v>42167</v>
      </c>
      <c r="F4867" s="534" t="n">
        <v>1.87</v>
      </c>
    </row>
    <row r="4868">
      <c r="A4868" s="535" t="n">
        <v>38350</v>
      </c>
      <c r="B4868" s="534" t="n">
        <v>12.718</v>
      </c>
      <c r="C4868" s="534" t="n">
        <v>14266.38</v>
      </c>
      <c r="E4868" s="535" t="n">
        <v>42170</v>
      </c>
      <c r="F4868" s="534" t="n">
        <v>1.847</v>
      </c>
    </row>
    <row r="4869">
      <c r="A4869" s="535" t="n">
        <v>38351</v>
      </c>
      <c r="B4869" s="534" t="n">
        <v>12.849</v>
      </c>
      <c r="C4869" s="534" t="n">
        <v>14163.55</v>
      </c>
      <c r="E4869" s="535" t="n">
        <v>42171</v>
      </c>
      <c r="F4869" s="534" t="n">
        <v>1.843</v>
      </c>
    </row>
    <row r="4870">
      <c r="A4870" s="535" t="n">
        <v>38352</v>
      </c>
      <c r="B4870" s="534" t="n">
        <v>12.805</v>
      </c>
      <c r="C4870" s="534" t="n">
        <v>14230.14</v>
      </c>
      <c r="E4870" s="535" t="n">
        <v>42172</v>
      </c>
      <c r="F4870" s="534" t="n">
        <v>1.822</v>
      </c>
    </row>
    <row r="4871">
      <c r="A4871" s="535" t="n">
        <v>38355</v>
      </c>
      <c r="B4871" s="534" t="n">
        <v>12.805</v>
      </c>
      <c r="C4871" s="534" t="n">
        <v>14237.42</v>
      </c>
      <c r="E4871" s="535" t="n">
        <v>42173</v>
      </c>
      <c r="F4871" s="534" t="n">
        <v>1.79</v>
      </c>
    </row>
    <row r="4872">
      <c r="A4872" s="535" t="n">
        <v>38356</v>
      </c>
      <c r="B4872" s="534" t="n">
        <v>12.718</v>
      </c>
      <c r="C4872" s="534" t="n">
        <v>14045.9</v>
      </c>
      <c r="E4872" s="535" t="n">
        <v>42174</v>
      </c>
      <c r="F4872" s="534" t="n">
        <v>1.805</v>
      </c>
    </row>
    <row r="4873">
      <c r="A4873" s="535" t="n">
        <v>38357</v>
      </c>
      <c r="B4873" s="534" t="n">
        <v>12.326</v>
      </c>
      <c r="C4873" s="534" t="n">
        <v>13764.36</v>
      </c>
      <c r="E4873" s="535" t="n">
        <v>42177</v>
      </c>
      <c r="F4873" s="534" t="n">
        <v>1.811</v>
      </c>
    </row>
    <row r="4874">
      <c r="A4874" s="535" t="n">
        <v>38358</v>
      </c>
      <c r="B4874" s="534" t="n">
        <v>12.283</v>
      </c>
      <c r="C4874" s="534" t="n">
        <v>13712.04</v>
      </c>
      <c r="E4874" s="535" t="n">
        <v>42178</v>
      </c>
      <c r="F4874" s="534" t="n">
        <v>1.874</v>
      </c>
    </row>
    <row r="4875">
      <c r="A4875" s="535" t="n">
        <v>38359</v>
      </c>
      <c r="B4875" s="534" t="n">
        <v>12.152</v>
      </c>
      <c r="C4875" s="534" t="n">
        <v>13574.86</v>
      </c>
      <c r="E4875" s="535" t="n">
        <v>42179</v>
      </c>
      <c r="F4875" s="534" t="n">
        <v>1.887</v>
      </c>
    </row>
    <row r="4876">
      <c r="A4876" s="535" t="n">
        <v>38362</v>
      </c>
      <c r="B4876" s="534" t="n">
        <v>12.196</v>
      </c>
      <c r="C4876" s="534" t="n">
        <v>13531.39</v>
      </c>
      <c r="E4876" s="535" t="n">
        <v>42180</v>
      </c>
      <c r="F4876" s="534" t="n">
        <v>1.887</v>
      </c>
    </row>
    <row r="4877">
      <c r="A4877" s="535" t="n">
        <v>38363</v>
      </c>
      <c r="B4877" s="534" t="n">
        <v>12.108</v>
      </c>
      <c r="C4877" s="534" t="n">
        <v>13509.25</v>
      </c>
      <c r="E4877" s="535" t="n">
        <v>42181</v>
      </c>
      <c r="F4877" s="534" t="n">
        <v>1.857</v>
      </c>
    </row>
    <row r="4878">
      <c r="A4878" s="535" t="n">
        <v>38364</v>
      </c>
      <c r="B4878" s="534" t="n">
        <v>12.152</v>
      </c>
      <c r="C4878" s="534" t="n">
        <v>13565.31</v>
      </c>
      <c r="E4878" s="535" t="n">
        <v>42184</v>
      </c>
      <c r="F4878" s="534" t="n">
        <v>1.809</v>
      </c>
    </row>
    <row r="4879">
      <c r="A4879" s="535" t="n">
        <v>38365</v>
      </c>
      <c r="B4879" s="534" t="n">
        <v>12.5</v>
      </c>
      <c r="C4879" s="534" t="n">
        <v>13573.28</v>
      </c>
      <c r="E4879" s="535" t="n">
        <v>42185</v>
      </c>
      <c r="F4879" s="534" t="n">
        <v>1.814</v>
      </c>
    </row>
    <row r="4880">
      <c r="A4880" s="535" t="n">
        <v>38366</v>
      </c>
      <c r="B4880" s="534" t="n">
        <v>12.413</v>
      </c>
      <c r="C4880" s="534" t="n">
        <v>13494.78</v>
      </c>
      <c r="E4880" s="535" t="n">
        <v>42186</v>
      </c>
      <c r="F4880" s="534" t="n">
        <v>1.814</v>
      </c>
    </row>
    <row r="4881">
      <c r="A4881" s="535" t="n">
        <v>38369</v>
      </c>
      <c r="B4881" s="534" t="n">
        <v>12.457</v>
      </c>
      <c r="C4881" s="534" t="n">
        <v>13621.65</v>
      </c>
      <c r="E4881" s="535" t="n">
        <v>42187</v>
      </c>
      <c r="F4881" s="534" t="n">
        <v>1.898</v>
      </c>
    </row>
    <row r="4882">
      <c r="A4882" s="535" t="n">
        <v>38370</v>
      </c>
      <c r="B4882" s="534" t="n">
        <v>12.457</v>
      </c>
      <c r="C4882" s="534" t="n">
        <v>13604.22</v>
      </c>
      <c r="E4882" s="535" t="n">
        <v>42188</v>
      </c>
      <c r="F4882" s="534" t="n">
        <v>1.867</v>
      </c>
    </row>
    <row r="4883">
      <c r="A4883" s="535" t="n">
        <v>38371</v>
      </c>
      <c r="B4883" s="534" t="n">
        <v>12.5</v>
      </c>
      <c r="C4883" s="534" t="n">
        <v>13678.63</v>
      </c>
      <c r="E4883" s="535" t="n">
        <v>42191</v>
      </c>
      <c r="F4883" s="534" t="n">
        <v>1.803</v>
      </c>
    </row>
    <row r="4884">
      <c r="A4884" s="535" t="n">
        <v>38372</v>
      </c>
      <c r="B4884" s="534" t="n">
        <v>12.326</v>
      </c>
      <c r="C4884" s="534" t="n">
        <v>13543.59</v>
      </c>
      <c r="E4884" s="535" t="n">
        <v>42192</v>
      </c>
      <c r="F4884" s="534" t="n">
        <v>1.84</v>
      </c>
    </row>
    <row r="4885">
      <c r="A4885" s="535" t="n">
        <v>38373</v>
      </c>
      <c r="B4885" s="534" t="n">
        <v>12.239</v>
      </c>
      <c r="C4885" s="534" t="n">
        <v>13481.02</v>
      </c>
      <c r="E4885" s="535" t="n">
        <v>42193</v>
      </c>
      <c r="F4885" s="534" t="n">
        <v>1.808</v>
      </c>
    </row>
    <row r="4886">
      <c r="A4886" s="535" t="n">
        <v>38376</v>
      </c>
      <c r="B4886" s="534" t="n">
        <v>12.152</v>
      </c>
      <c r="C4886" s="534" t="n">
        <v>13386.99</v>
      </c>
      <c r="E4886" s="535" t="n">
        <v>42194</v>
      </c>
      <c r="F4886" s="534" t="n">
        <v>1.755</v>
      </c>
    </row>
    <row r="4887">
      <c r="A4887" s="535" t="n">
        <v>38377</v>
      </c>
      <c r="B4887" s="534" t="n">
        <v>12.196</v>
      </c>
      <c r="C4887" s="534" t="n">
        <v>13584.06</v>
      </c>
      <c r="E4887" s="535" t="n">
        <v>42195</v>
      </c>
      <c r="F4887" s="534" t="n">
        <v>1.875</v>
      </c>
    </row>
    <row r="4888">
      <c r="A4888" s="535" t="n">
        <v>38378</v>
      </c>
      <c r="B4888" s="534" t="n">
        <v>12.065</v>
      </c>
      <c r="C4888" s="534" t="n">
        <v>13623.68</v>
      </c>
      <c r="E4888" s="535" t="n">
        <v>42198</v>
      </c>
      <c r="F4888" s="534" t="n">
        <v>1.942</v>
      </c>
    </row>
    <row r="4889">
      <c r="A4889" s="535" t="n">
        <v>38379</v>
      </c>
      <c r="B4889" s="534" t="n">
        <v>12.065</v>
      </c>
      <c r="C4889" s="534" t="n">
        <v>13628.91</v>
      </c>
      <c r="E4889" s="535" t="n">
        <v>42199</v>
      </c>
      <c r="F4889" s="534" t="n">
        <v>1.941</v>
      </c>
    </row>
    <row r="4890">
      <c r="A4890" s="535" t="n">
        <v>38380</v>
      </c>
      <c r="B4890" s="534" t="n">
        <v>12.108</v>
      </c>
      <c r="C4890" s="534" t="n">
        <v>13650.06</v>
      </c>
      <c r="E4890" s="535" t="n">
        <v>42200</v>
      </c>
      <c r="F4890" s="534" t="n">
        <v>1.888</v>
      </c>
    </row>
    <row r="4891">
      <c r="A4891" s="535" t="n">
        <v>38383</v>
      </c>
      <c r="B4891" s="534" t="n">
        <v>12.196</v>
      </c>
      <c r="C4891" s="534" t="n">
        <v>13721.69</v>
      </c>
      <c r="E4891" s="535" t="n">
        <v>42201</v>
      </c>
      <c r="F4891" s="534" t="n">
        <v>1.882</v>
      </c>
    </row>
    <row r="4892">
      <c r="A4892" s="535" t="n">
        <v>38384</v>
      </c>
      <c r="B4892" s="534" t="n">
        <v>12.065</v>
      </c>
      <c r="C4892" s="534" t="n">
        <v>13578.26</v>
      </c>
      <c r="E4892" s="535" t="n">
        <v>42202</v>
      </c>
      <c r="F4892" s="534" t="n">
        <v>1.887</v>
      </c>
    </row>
    <row r="4893">
      <c r="A4893" s="535" t="n">
        <v>38385</v>
      </c>
      <c r="B4893" s="534" t="n">
        <v>12.152</v>
      </c>
      <c r="C4893" s="534" t="n">
        <v>13555.8</v>
      </c>
      <c r="E4893" s="535" t="n">
        <v>42205</v>
      </c>
      <c r="F4893" s="534" t="n">
        <v>1.874</v>
      </c>
    </row>
    <row r="4894">
      <c r="A4894" s="535" t="n">
        <v>38386</v>
      </c>
      <c r="B4894" s="534" t="n">
        <v>12.065</v>
      </c>
      <c r="C4894" s="534" t="n">
        <v>13515.33</v>
      </c>
      <c r="E4894" s="535" t="n">
        <v>42206</v>
      </c>
      <c r="F4894" s="534" t="n">
        <v>1.919</v>
      </c>
    </row>
    <row r="4895">
      <c r="A4895" s="535" t="n">
        <v>38387</v>
      </c>
      <c r="B4895" s="534" t="n">
        <v>12.021</v>
      </c>
      <c r="C4895" s="534" t="n">
        <v>13585.17</v>
      </c>
      <c r="E4895" s="535" t="n">
        <v>42207</v>
      </c>
      <c r="F4895" s="534" t="n">
        <v>1.919</v>
      </c>
    </row>
    <row r="4896">
      <c r="A4896" s="535" t="n">
        <v>38390</v>
      </c>
      <c r="B4896" s="534" t="n">
        <v>12.152</v>
      </c>
      <c r="C4896" s="534" t="n">
        <v>13795</v>
      </c>
      <c r="E4896" s="535" t="n">
        <v>42208</v>
      </c>
      <c r="F4896" s="534" t="n">
        <v>1.919</v>
      </c>
    </row>
    <row r="4897">
      <c r="A4897" s="535" t="n">
        <v>38391</v>
      </c>
      <c r="B4897" s="534" t="n">
        <v>12.196</v>
      </c>
      <c r="C4897" s="534" t="n">
        <v>13845.63</v>
      </c>
      <c r="E4897" s="535" t="n">
        <v>42209</v>
      </c>
      <c r="F4897" s="534" t="n">
        <v>1.918</v>
      </c>
    </row>
    <row r="4898">
      <c r="A4898" s="535" t="n">
        <v>38392</v>
      </c>
      <c r="B4898" s="534" t="n">
        <v>12.196</v>
      </c>
      <c r="C4898" s="534" t="n">
        <v>13845.63</v>
      </c>
      <c r="E4898" s="535" t="n">
        <v>42212</v>
      </c>
      <c r="F4898" s="534" t="n">
        <v>1.774</v>
      </c>
    </row>
    <row r="4899">
      <c r="A4899" s="535" t="n">
        <v>38393</v>
      </c>
      <c r="B4899" s="534" t="n">
        <v>12.196</v>
      </c>
      <c r="C4899" s="534" t="n">
        <v>13845.63</v>
      </c>
      <c r="E4899" s="535" t="n">
        <v>42213</v>
      </c>
      <c r="F4899" s="534" t="n">
        <v>1.752</v>
      </c>
    </row>
    <row r="4900">
      <c r="A4900" s="535" t="n">
        <v>38394</v>
      </c>
      <c r="B4900" s="534" t="n">
        <v>12.196</v>
      </c>
      <c r="C4900" s="534" t="n">
        <v>13845.63</v>
      </c>
      <c r="E4900" s="535" t="n">
        <v>42214</v>
      </c>
      <c r="F4900" s="534" t="n">
        <v>1.769</v>
      </c>
    </row>
    <row r="4901">
      <c r="A4901" s="535" t="n">
        <v>38397</v>
      </c>
      <c r="B4901" s="534" t="n">
        <v>12.413</v>
      </c>
      <c r="C4901" s="534" t="n">
        <v>14017.23</v>
      </c>
      <c r="E4901" s="535" t="n">
        <v>42215</v>
      </c>
      <c r="F4901" s="534" t="n">
        <v>1.832</v>
      </c>
    </row>
    <row r="4902">
      <c r="A4902" s="535" t="n">
        <v>38398</v>
      </c>
      <c r="B4902" s="534" t="n">
        <v>12.5</v>
      </c>
      <c r="C4902" s="534" t="n">
        <v>13995.83</v>
      </c>
      <c r="E4902" s="535" t="n">
        <v>42216</v>
      </c>
      <c r="F4902" s="534" t="n">
        <v>1.799</v>
      </c>
    </row>
    <row r="4903">
      <c r="A4903" s="535" t="n">
        <v>38399</v>
      </c>
      <c r="B4903" s="534" t="n">
        <v>12.457</v>
      </c>
      <c r="C4903" s="534" t="n">
        <v>14015.49</v>
      </c>
      <c r="E4903" s="535" t="n">
        <v>42219</v>
      </c>
      <c r="F4903" s="534" t="n">
        <v>1.751</v>
      </c>
    </row>
    <row r="4904">
      <c r="A4904" s="535" t="n">
        <v>38400</v>
      </c>
      <c r="B4904" s="534" t="n">
        <v>12.5</v>
      </c>
      <c r="C4904" s="534" t="n">
        <v>13967.82</v>
      </c>
      <c r="E4904" s="535" t="n">
        <v>42220</v>
      </c>
      <c r="F4904" s="534" t="n">
        <v>1.698</v>
      </c>
    </row>
    <row r="4905">
      <c r="A4905" s="535" t="n">
        <v>38401</v>
      </c>
      <c r="B4905" s="534" t="n">
        <v>12.588</v>
      </c>
      <c r="C4905" s="534" t="n">
        <v>14087.87</v>
      </c>
      <c r="E4905" s="535" t="n">
        <v>42221</v>
      </c>
      <c r="F4905" s="534" t="n">
        <v>1.778</v>
      </c>
    </row>
    <row r="4906">
      <c r="A4906" s="535" t="n">
        <v>38404</v>
      </c>
      <c r="B4906" s="534" t="n">
        <v>12.631</v>
      </c>
      <c r="C4906" s="534" t="n">
        <v>14111.65</v>
      </c>
      <c r="E4906" s="535" t="n">
        <v>42222</v>
      </c>
      <c r="F4906" s="534" t="n">
        <v>1.809</v>
      </c>
    </row>
    <row r="4907">
      <c r="A4907" s="535" t="n">
        <v>38405</v>
      </c>
      <c r="B4907" s="534" t="n">
        <v>12.675</v>
      </c>
      <c r="C4907" s="534" t="n">
        <v>14090.52</v>
      </c>
      <c r="E4907" s="535" t="n">
        <v>42223</v>
      </c>
      <c r="F4907" s="534" t="n">
        <v>1.756</v>
      </c>
    </row>
    <row r="4908">
      <c r="A4908" s="535" t="n">
        <v>38406</v>
      </c>
      <c r="B4908" s="534" t="n">
        <v>12.413</v>
      </c>
      <c r="C4908" s="534" t="n">
        <v>13957.94</v>
      </c>
      <c r="E4908" s="535" t="n">
        <v>42226</v>
      </c>
      <c r="F4908" s="534" t="n">
        <v>1.734</v>
      </c>
    </row>
    <row r="4909">
      <c r="A4909" s="535" t="n">
        <v>38407</v>
      </c>
      <c r="B4909" s="534" t="n">
        <v>12.5</v>
      </c>
      <c r="C4909" s="534" t="n">
        <v>14060.91</v>
      </c>
      <c r="E4909" s="535" t="n">
        <v>42227</v>
      </c>
      <c r="F4909" s="534" t="n">
        <v>1.75</v>
      </c>
    </row>
    <row r="4910">
      <c r="A4910" s="535" t="n">
        <v>38408</v>
      </c>
      <c r="B4910" s="534" t="n">
        <v>12.588</v>
      </c>
      <c r="C4910" s="534" t="n">
        <v>14157.09</v>
      </c>
      <c r="E4910" s="535" t="n">
        <v>42228</v>
      </c>
      <c r="F4910" s="534" t="n">
        <v>1.686</v>
      </c>
    </row>
    <row r="4911">
      <c r="A4911" s="535" t="n">
        <v>38411</v>
      </c>
      <c r="B4911" s="534" t="n">
        <v>12.457</v>
      </c>
      <c r="C4911" s="534" t="n">
        <v>14195.35</v>
      </c>
      <c r="E4911" s="535" t="n">
        <v>42229</v>
      </c>
      <c r="F4911" s="534" t="n">
        <v>1.739</v>
      </c>
    </row>
    <row r="4912">
      <c r="A4912" s="535" t="n">
        <v>38412</v>
      </c>
      <c r="B4912" s="534" t="n">
        <v>12.5</v>
      </c>
      <c r="C4912" s="534" t="n">
        <v>14061.15</v>
      </c>
      <c r="E4912" s="535" t="n">
        <v>42230</v>
      </c>
      <c r="F4912" s="534" t="n">
        <v>1.787</v>
      </c>
    </row>
    <row r="4913">
      <c r="A4913" s="535" t="n">
        <v>38413</v>
      </c>
      <c r="B4913" s="534" t="n">
        <v>12.37</v>
      </c>
      <c r="C4913" s="534" t="n">
        <v>13850.78</v>
      </c>
      <c r="E4913" s="535" t="n">
        <v>42233</v>
      </c>
      <c r="F4913" s="534" t="n">
        <v>1.797</v>
      </c>
    </row>
    <row r="4914">
      <c r="A4914" s="535" t="n">
        <v>38414</v>
      </c>
      <c r="B4914" s="534" t="n">
        <v>12.239</v>
      </c>
      <c r="C4914" s="534" t="n">
        <v>13892.37</v>
      </c>
      <c r="E4914" s="535" t="n">
        <v>42234</v>
      </c>
      <c r="F4914" s="534" t="n">
        <v>1.762</v>
      </c>
    </row>
    <row r="4915">
      <c r="A4915" s="535" t="n">
        <v>38415</v>
      </c>
      <c r="B4915" s="534" t="n">
        <v>12.108</v>
      </c>
      <c r="C4915" s="534" t="n">
        <v>13730.78</v>
      </c>
      <c r="E4915" s="535" t="n">
        <v>42235</v>
      </c>
      <c r="F4915" s="534" t="n">
        <v>1.753</v>
      </c>
    </row>
    <row r="4916">
      <c r="A4916" s="535" t="n">
        <v>38418</v>
      </c>
      <c r="B4916" s="534" t="n">
        <v>12.152</v>
      </c>
      <c r="C4916" s="534" t="n">
        <v>13771.95</v>
      </c>
      <c r="E4916" s="535" t="n">
        <v>42236</v>
      </c>
      <c r="F4916" s="534" t="n">
        <v>1.711</v>
      </c>
    </row>
    <row r="4917">
      <c r="A4917" s="535" t="n">
        <v>38419</v>
      </c>
      <c r="B4917" s="534" t="n">
        <v>12.152</v>
      </c>
      <c r="C4917" s="534" t="n">
        <v>13881.71</v>
      </c>
      <c r="E4917" s="535" t="n">
        <v>42237</v>
      </c>
      <c r="F4917" s="534" t="n">
        <v>1.668</v>
      </c>
    </row>
    <row r="4918">
      <c r="A4918" s="535" t="n">
        <v>38420</v>
      </c>
      <c r="B4918" s="534" t="n">
        <v>12.37</v>
      </c>
      <c r="C4918" s="534" t="n">
        <v>13941.47</v>
      </c>
      <c r="E4918" s="535" t="n">
        <v>42240</v>
      </c>
      <c r="F4918" s="534" t="n">
        <v>1.726</v>
      </c>
    </row>
    <row r="4919">
      <c r="A4919" s="535" t="n">
        <v>38421</v>
      </c>
      <c r="B4919" s="534" t="n">
        <v>12.413</v>
      </c>
      <c r="C4919" s="534" t="n">
        <v>13856.02</v>
      </c>
      <c r="E4919" s="535" t="n">
        <v>42241</v>
      </c>
      <c r="F4919" s="534" t="n">
        <v>1.72</v>
      </c>
    </row>
    <row r="4920">
      <c r="A4920" s="535" t="n">
        <v>38422</v>
      </c>
      <c r="B4920" s="534" t="n">
        <v>12.588</v>
      </c>
      <c r="C4920" s="534" t="n">
        <v>13890.93</v>
      </c>
      <c r="E4920" s="535" t="n">
        <v>42242</v>
      </c>
      <c r="F4920" s="534" t="n">
        <v>1.715</v>
      </c>
    </row>
    <row r="4921">
      <c r="A4921" s="535" t="n">
        <v>38425</v>
      </c>
      <c r="B4921" s="534" t="n">
        <v>12.544</v>
      </c>
      <c r="C4921" s="534" t="n">
        <v>13906.85</v>
      </c>
      <c r="E4921" s="535" t="n">
        <v>42243</v>
      </c>
      <c r="F4921" s="534" t="n">
        <v>1.827</v>
      </c>
    </row>
    <row r="4922">
      <c r="A4922" s="535" t="n">
        <v>38426</v>
      </c>
      <c r="B4922" s="534" t="n">
        <v>12.457</v>
      </c>
      <c r="C4922" s="534" t="n">
        <v>13816.75</v>
      </c>
      <c r="E4922" s="535" t="n">
        <v>42244</v>
      </c>
      <c r="F4922" s="534" t="n">
        <v>1.843</v>
      </c>
    </row>
    <row r="4923">
      <c r="A4923" s="535" t="n">
        <v>38427</v>
      </c>
      <c r="B4923" s="534" t="n">
        <v>13.067</v>
      </c>
      <c r="C4923" s="534" t="n">
        <v>13832.52</v>
      </c>
      <c r="E4923" s="535" t="n">
        <v>42247</v>
      </c>
      <c r="F4923" s="534" t="n">
        <v>1.875</v>
      </c>
    </row>
    <row r="4924">
      <c r="A4924" s="535" t="n">
        <v>38428</v>
      </c>
      <c r="B4924" s="534" t="n">
        <v>12.98</v>
      </c>
      <c r="C4924" s="534" t="n">
        <v>13817.99</v>
      </c>
      <c r="E4924" s="535" t="n">
        <v>42248</v>
      </c>
      <c r="F4924" s="534" t="n">
        <v>1.875</v>
      </c>
    </row>
    <row r="4925">
      <c r="A4925" s="535" t="n">
        <v>38429</v>
      </c>
      <c r="B4925" s="534" t="n">
        <v>12.98</v>
      </c>
      <c r="C4925" s="534" t="n">
        <v>13828.37</v>
      </c>
      <c r="E4925" s="535" t="n">
        <v>42249</v>
      </c>
      <c r="F4925" s="534" t="n">
        <v>1.853</v>
      </c>
    </row>
    <row r="4926">
      <c r="A4926" s="535" t="n">
        <v>38432</v>
      </c>
      <c r="B4926" s="534" t="n">
        <v>12.849</v>
      </c>
      <c r="C4926" s="534" t="n">
        <v>13834.35</v>
      </c>
      <c r="E4926" s="535" t="n">
        <v>42250</v>
      </c>
      <c r="F4926" s="534" t="n">
        <v>1.853</v>
      </c>
    </row>
    <row r="4927">
      <c r="A4927" s="535" t="n">
        <v>38433</v>
      </c>
      <c r="B4927" s="534" t="n">
        <v>12.762</v>
      </c>
      <c r="C4927" s="534" t="n">
        <v>13776.47</v>
      </c>
      <c r="E4927" s="535" t="n">
        <v>42251</v>
      </c>
      <c r="F4927" s="534" t="n">
        <v>1.869</v>
      </c>
    </row>
    <row r="4928">
      <c r="A4928" s="535" t="n">
        <v>38434</v>
      </c>
      <c r="B4928" s="534" t="n">
        <v>12.718</v>
      </c>
      <c r="C4928" s="534" t="n">
        <v>13603.61</v>
      </c>
      <c r="E4928" s="535" t="n">
        <v>42254</v>
      </c>
      <c r="F4928" s="534" t="n">
        <v>1.869</v>
      </c>
    </row>
    <row r="4929">
      <c r="A4929" s="535" t="n">
        <v>38435</v>
      </c>
      <c r="B4929" s="534" t="n">
        <v>12.675</v>
      </c>
      <c r="C4929" s="534" t="n">
        <v>13597.1</v>
      </c>
      <c r="E4929" s="535" t="n">
        <v>42255</v>
      </c>
      <c r="F4929" s="534" t="n">
        <v>1.782</v>
      </c>
    </row>
    <row r="4930">
      <c r="A4930" s="535" t="n">
        <v>38436</v>
      </c>
      <c r="B4930" s="534" t="n">
        <v>12.675</v>
      </c>
      <c r="C4930" s="534" t="n">
        <v>13597.1</v>
      </c>
      <c r="E4930" s="535" t="n">
        <v>42256</v>
      </c>
      <c r="F4930" s="534" t="n">
        <v>1.793</v>
      </c>
    </row>
    <row r="4931">
      <c r="A4931" s="535" t="n">
        <v>38439</v>
      </c>
      <c r="B4931" s="534" t="n">
        <v>12.675</v>
      </c>
      <c r="C4931" s="534" t="n">
        <v>13597.1</v>
      </c>
      <c r="E4931" s="535" t="n">
        <v>42257</v>
      </c>
      <c r="F4931" s="534" t="n">
        <v>1.766</v>
      </c>
    </row>
    <row r="4932">
      <c r="A4932" s="535" t="n">
        <v>38440</v>
      </c>
      <c r="B4932" s="534" t="n">
        <v>12.675</v>
      </c>
      <c r="C4932" s="534" t="n">
        <v>13411.88</v>
      </c>
      <c r="E4932" s="535" t="n">
        <v>42258</v>
      </c>
      <c r="F4932" s="534" t="n">
        <v>1.776</v>
      </c>
    </row>
    <row r="4933">
      <c r="A4933" s="535" t="n">
        <v>38441</v>
      </c>
      <c r="B4933" s="534" t="n">
        <v>12.718</v>
      </c>
      <c r="C4933" s="534" t="n">
        <v>13425.75</v>
      </c>
      <c r="E4933" s="535" t="n">
        <v>42261</v>
      </c>
      <c r="F4933" s="534" t="n">
        <v>1.706</v>
      </c>
    </row>
    <row r="4934">
      <c r="A4934" s="535" t="n">
        <v>38442</v>
      </c>
      <c r="B4934" s="534" t="n">
        <v>12.805</v>
      </c>
      <c r="C4934" s="534" t="n">
        <v>13516.88</v>
      </c>
      <c r="E4934" s="535" t="n">
        <v>42262</v>
      </c>
      <c r="F4934" s="534" t="n">
        <v>1.693</v>
      </c>
    </row>
    <row r="4935">
      <c r="A4935" s="535" t="n">
        <v>38443</v>
      </c>
      <c r="B4935" s="534" t="n">
        <v>12.631</v>
      </c>
      <c r="C4935" s="534" t="n">
        <v>13491.35</v>
      </c>
      <c r="E4935" s="535" t="n">
        <v>42263</v>
      </c>
      <c r="F4935" s="534" t="n">
        <v>1.765</v>
      </c>
    </row>
    <row r="4936">
      <c r="A4936" s="535" t="n">
        <v>38446</v>
      </c>
      <c r="B4936" s="534" t="n">
        <v>12.588</v>
      </c>
      <c r="C4936" s="534" t="n">
        <v>13513.41</v>
      </c>
      <c r="E4936" s="535" t="n">
        <v>42264</v>
      </c>
      <c r="F4936" s="534" t="n">
        <v>1.765</v>
      </c>
    </row>
    <row r="4937">
      <c r="A4937" s="535" t="n">
        <v>38447</v>
      </c>
      <c r="B4937" s="534" t="n">
        <v>12.588</v>
      </c>
      <c r="C4937" s="534" t="n">
        <v>13513.41</v>
      </c>
      <c r="E4937" s="535" t="n">
        <v>42265</v>
      </c>
      <c r="F4937" s="534" t="n">
        <v>1.684</v>
      </c>
    </row>
    <row r="4938">
      <c r="A4938" s="535" t="n">
        <v>38448</v>
      </c>
      <c r="B4938" s="534" t="n">
        <v>12.631</v>
      </c>
      <c r="C4938" s="534" t="n">
        <v>13562.26</v>
      </c>
      <c r="E4938" s="535" t="n">
        <v>42268</v>
      </c>
      <c r="F4938" s="534" t="n">
        <v>1.645</v>
      </c>
    </row>
    <row r="4939">
      <c r="A4939" s="535" t="n">
        <v>38449</v>
      </c>
      <c r="B4939" s="534" t="n">
        <v>12.762</v>
      </c>
      <c r="C4939" s="534" t="n">
        <v>13602.35</v>
      </c>
      <c r="E4939" s="535" t="n">
        <v>42269</v>
      </c>
      <c r="F4939" s="534" t="n">
        <v>1.683</v>
      </c>
    </row>
    <row r="4940">
      <c r="A4940" s="535" t="n">
        <v>38450</v>
      </c>
      <c r="B4940" s="534" t="n">
        <v>12.849</v>
      </c>
      <c r="C4940" s="534" t="n">
        <v>13666.72</v>
      </c>
      <c r="E4940" s="535" t="n">
        <v>42270</v>
      </c>
      <c r="F4940" s="534" t="n">
        <v>1.63</v>
      </c>
    </row>
    <row r="4941">
      <c r="A4941" s="535" t="n">
        <v>38453</v>
      </c>
      <c r="B4941" s="534" t="n">
        <v>12.849</v>
      </c>
      <c r="C4941" s="534" t="n">
        <v>13659.93</v>
      </c>
      <c r="E4941" s="535" t="n">
        <v>42271</v>
      </c>
      <c r="F4941" s="534" t="n">
        <v>1.688</v>
      </c>
    </row>
    <row r="4942">
      <c r="A4942" s="535" t="n">
        <v>38454</v>
      </c>
      <c r="B4942" s="534" t="n">
        <v>12.849</v>
      </c>
      <c r="C4942" s="534" t="n">
        <v>13658.05</v>
      </c>
      <c r="E4942" s="535" t="n">
        <v>42272</v>
      </c>
      <c r="F4942" s="534" t="n">
        <v>1.709</v>
      </c>
    </row>
    <row r="4943">
      <c r="A4943" s="535" t="n">
        <v>38455</v>
      </c>
      <c r="B4943" s="534" t="n">
        <v>12.849</v>
      </c>
      <c r="C4943" s="534" t="n">
        <v>13799.62</v>
      </c>
      <c r="E4943" s="535" t="n">
        <v>42275</v>
      </c>
      <c r="F4943" s="534" t="n">
        <v>1.709</v>
      </c>
    </row>
    <row r="4944">
      <c r="A4944" s="535" t="n">
        <v>38456</v>
      </c>
      <c r="B4944" s="534" t="n">
        <v>12.805</v>
      </c>
      <c r="C4944" s="534" t="n">
        <v>13772.4</v>
      </c>
      <c r="E4944" s="535" t="n">
        <v>42276</v>
      </c>
      <c r="F4944" s="534" t="n">
        <v>1.597</v>
      </c>
    </row>
    <row r="4945">
      <c r="A4945" s="535" t="n">
        <v>38457</v>
      </c>
      <c r="B4945" s="534" t="n">
        <v>12.718</v>
      </c>
      <c r="C4945" s="534" t="n">
        <v>13638.75</v>
      </c>
      <c r="E4945" s="535" t="n">
        <v>42277</v>
      </c>
      <c r="F4945" s="534" t="n">
        <v>1.591</v>
      </c>
    </row>
    <row r="4946">
      <c r="A4946" s="535" t="n">
        <v>38460</v>
      </c>
      <c r="B4946" s="534" t="n">
        <v>12.544</v>
      </c>
      <c r="C4946" s="534" t="n">
        <v>13355.23</v>
      </c>
      <c r="E4946" s="535" t="n">
        <v>42278</v>
      </c>
      <c r="F4946" s="534" t="n">
        <v>1.591</v>
      </c>
    </row>
    <row r="4947">
      <c r="A4947" s="535" t="n">
        <v>38461</v>
      </c>
      <c r="B4947" s="534" t="n">
        <v>12.631</v>
      </c>
      <c r="C4947" s="534" t="n">
        <v>13444.09</v>
      </c>
      <c r="E4947" s="535" t="n">
        <v>42279</v>
      </c>
      <c r="F4947" s="534" t="n">
        <v>1.596</v>
      </c>
    </row>
    <row r="4948">
      <c r="A4948" s="535" t="n">
        <v>38462</v>
      </c>
      <c r="B4948" s="534" t="n">
        <v>12.762</v>
      </c>
      <c r="C4948" s="534" t="n">
        <v>13501.63</v>
      </c>
      <c r="E4948" s="535" t="n">
        <v>42282</v>
      </c>
      <c r="F4948" s="534" t="n">
        <v>1.558</v>
      </c>
    </row>
    <row r="4949">
      <c r="A4949" s="535" t="n">
        <v>38463</v>
      </c>
      <c r="B4949" s="534" t="n">
        <v>12.805</v>
      </c>
      <c r="C4949" s="534" t="n">
        <v>13597.31</v>
      </c>
      <c r="E4949" s="535" t="n">
        <v>42283</v>
      </c>
      <c r="F4949" s="534" t="n">
        <v>1.617</v>
      </c>
    </row>
    <row r="4950">
      <c r="A4950" s="535" t="n">
        <v>38464</v>
      </c>
      <c r="B4950" s="534" t="n">
        <v>12.805</v>
      </c>
      <c r="C4950" s="534" t="n">
        <v>13693.55</v>
      </c>
      <c r="E4950" s="535" t="n">
        <v>42284</v>
      </c>
      <c r="F4950" s="534" t="n">
        <v>1.645</v>
      </c>
    </row>
    <row r="4951">
      <c r="A4951" s="535" t="n">
        <v>38467</v>
      </c>
      <c r="B4951" s="534" t="n">
        <v>12.849</v>
      </c>
      <c r="C4951" s="534" t="n">
        <v>13750.23</v>
      </c>
      <c r="E4951" s="535" t="n">
        <v>42285</v>
      </c>
      <c r="F4951" s="534" t="n">
        <v>1.598</v>
      </c>
    </row>
    <row r="4952">
      <c r="A4952" s="535" t="n">
        <v>38468</v>
      </c>
      <c r="B4952" s="534" t="n">
        <v>12.849</v>
      </c>
      <c r="C4952" s="534" t="n">
        <v>13859.58</v>
      </c>
      <c r="E4952" s="535" t="n">
        <v>42286</v>
      </c>
      <c r="F4952" s="534" t="n">
        <v>1.616</v>
      </c>
    </row>
    <row r="4953">
      <c r="A4953" s="535" t="n">
        <v>38469</v>
      </c>
      <c r="B4953" s="534" t="n">
        <v>12.762</v>
      </c>
      <c r="C4953" s="534" t="n">
        <v>13839.64</v>
      </c>
      <c r="E4953" s="535" t="n">
        <v>42289</v>
      </c>
      <c r="F4953" s="534" t="n">
        <v>1.621</v>
      </c>
    </row>
    <row r="4954">
      <c r="A4954" s="535" t="n">
        <v>38470</v>
      </c>
      <c r="B4954" s="534" t="n">
        <v>12.892</v>
      </c>
      <c r="C4954" s="534" t="n">
        <v>13909.42</v>
      </c>
      <c r="E4954" s="535" t="n">
        <v>42290</v>
      </c>
      <c r="F4954" s="534" t="n">
        <v>1.583</v>
      </c>
    </row>
    <row r="4955">
      <c r="A4955" s="535" t="n">
        <v>38471</v>
      </c>
      <c r="B4955" s="534" t="n">
        <v>12.936</v>
      </c>
      <c r="C4955" s="534" t="n">
        <v>13908.97</v>
      </c>
      <c r="E4955" s="535" t="n">
        <v>42291</v>
      </c>
      <c r="F4955" s="534" t="n">
        <v>1.535</v>
      </c>
    </row>
    <row r="4956">
      <c r="A4956" s="535" t="n">
        <v>38474</v>
      </c>
      <c r="B4956" s="534" t="n">
        <v>12.936</v>
      </c>
      <c r="C4956" s="534" t="n">
        <v>13908.97</v>
      </c>
      <c r="E4956" s="535" t="n">
        <v>42292</v>
      </c>
      <c r="F4956" s="534" t="n">
        <v>1.461</v>
      </c>
    </row>
    <row r="4957">
      <c r="A4957" s="535" t="n">
        <v>38475</v>
      </c>
      <c r="B4957" s="534" t="n">
        <v>12.936</v>
      </c>
      <c r="C4957" s="534" t="n">
        <v>13893.98</v>
      </c>
      <c r="E4957" s="535" t="n">
        <v>42293</v>
      </c>
      <c r="F4957" s="534" t="n">
        <v>1.497</v>
      </c>
    </row>
    <row r="4958">
      <c r="A4958" s="535" t="n">
        <v>38476</v>
      </c>
      <c r="B4958" s="534" t="n">
        <v>12.631</v>
      </c>
      <c r="C4958" s="534" t="n">
        <v>13945.05</v>
      </c>
      <c r="E4958" s="535" t="n">
        <v>42296</v>
      </c>
      <c r="F4958" s="534" t="n">
        <v>1.542</v>
      </c>
    </row>
    <row r="4959">
      <c r="A4959" s="535" t="n">
        <v>38477</v>
      </c>
      <c r="B4959" s="534" t="n">
        <v>12.631</v>
      </c>
      <c r="C4959" s="534" t="n">
        <v>14061.7</v>
      </c>
      <c r="E4959" s="535" t="n">
        <v>42297</v>
      </c>
      <c r="F4959" s="534" t="n">
        <v>1.523</v>
      </c>
    </row>
    <row r="4960">
      <c r="A4960" s="535" t="n">
        <v>38478</v>
      </c>
      <c r="B4960" s="534" t="n">
        <v>12.544</v>
      </c>
      <c r="C4960" s="534" t="n">
        <v>14033.96</v>
      </c>
      <c r="E4960" s="535" t="n">
        <v>42298</v>
      </c>
      <c r="F4960" s="534" t="n">
        <v>1.523</v>
      </c>
    </row>
    <row r="4961">
      <c r="A4961" s="535" t="n">
        <v>38481</v>
      </c>
      <c r="B4961" s="534" t="n">
        <v>12.588</v>
      </c>
      <c r="C4961" s="534" t="n">
        <v>14085.09</v>
      </c>
      <c r="E4961" s="535" t="n">
        <v>42299</v>
      </c>
      <c r="F4961" s="534" t="n">
        <v>1.518</v>
      </c>
    </row>
    <row r="4962">
      <c r="A4962" s="535" t="n">
        <v>38482</v>
      </c>
      <c r="B4962" s="534" t="n">
        <v>12.544</v>
      </c>
      <c r="C4962" s="534" t="n">
        <v>14018.38</v>
      </c>
      <c r="E4962" s="535" t="n">
        <v>42300</v>
      </c>
      <c r="F4962" s="534" t="n">
        <v>1.517</v>
      </c>
    </row>
    <row r="4963">
      <c r="A4963" s="535" t="n">
        <v>38483</v>
      </c>
      <c r="B4963" s="534" t="n">
        <v>12.5</v>
      </c>
      <c r="C4963" s="534" t="n">
        <v>13939.8</v>
      </c>
      <c r="E4963" s="535" t="n">
        <v>42303</v>
      </c>
      <c r="F4963" s="534" t="n">
        <v>1.522</v>
      </c>
    </row>
    <row r="4964">
      <c r="A4964" s="535" t="n">
        <v>38484</v>
      </c>
      <c r="B4964" s="534" t="n">
        <v>12.544</v>
      </c>
      <c r="C4964" s="534" t="n">
        <v>13968.28</v>
      </c>
      <c r="E4964" s="535" t="n">
        <v>42304</v>
      </c>
      <c r="F4964" s="534" t="n">
        <v>1.484</v>
      </c>
    </row>
    <row r="4965">
      <c r="A4965" s="535" t="n">
        <v>38485</v>
      </c>
      <c r="B4965" s="534" t="n">
        <v>12.631</v>
      </c>
      <c r="C4965" s="534" t="n">
        <v>13866.81</v>
      </c>
      <c r="E4965" s="535" t="n">
        <v>42305</v>
      </c>
      <c r="F4965" s="534" t="n">
        <v>1.458</v>
      </c>
    </row>
    <row r="4966">
      <c r="A4966" s="535" t="n">
        <v>38488</v>
      </c>
      <c r="B4966" s="534" t="n">
        <v>12.631</v>
      </c>
      <c r="C4966" s="534" t="n">
        <v>13866.81</v>
      </c>
      <c r="E4966" s="535" t="n">
        <v>42306</v>
      </c>
      <c r="F4966" s="534" t="n">
        <v>1.495</v>
      </c>
    </row>
    <row r="4967">
      <c r="A4967" s="535" t="n">
        <v>38489</v>
      </c>
      <c r="B4967" s="534" t="n">
        <v>12.588</v>
      </c>
      <c r="C4967" s="534" t="n">
        <v>13667.03</v>
      </c>
      <c r="E4967" s="535" t="n">
        <v>42307</v>
      </c>
      <c r="F4967" s="534" t="n">
        <v>1.579</v>
      </c>
    </row>
    <row r="4968">
      <c r="A4968" s="535" t="n">
        <v>38490</v>
      </c>
      <c r="B4968" s="534" t="n">
        <v>12.544</v>
      </c>
      <c r="C4968" s="534" t="n">
        <v>13627.01</v>
      </c>
      <c r="E4968" s="535" t="n">
        <v>42310</v>
      </c>
      <c r="F4968" s="534" t="n">
        <v>1.558</v>
      </c>
    </row>
    <row r="4969">
      <c r="A4969" s="535" t="n">
        <v>38491</v>
      </c>
      <c r="B4969" s="534" t="n">
        <v>12.588</v>
      </c>
      <c r="C4969" s="534" t="n">
        <v>13698.93</v>
      </c>
      <c r="E4969" s="535" t="n">
        <v>42311</v>
      </c>
      <c r="F4969" s="534" t="n">
        <v>1.606</v>
      </c>
    </row>
    <row r="4970">
      <c r="A4970" s="535" t="n">
        <v>38492</v>
      </c>
      <c r="B4970" s="534" t="n">
        <v>12.588</v>
      </c>
      <c r="C4970" s="534" t="n">
        <v>13717.42</v>
      </c>
      <c r="E4970" s="535" t="n">
        <v>42312</v>
      </c>
      <c r="F4970" s="534" t="n">
        <v>1.638</v>
      </c>
    </row>
    <row r="4971">
      <c r="A4971" s="535" t="n">
        <v>38495</v>
      </c>
      <c r="B4971" s="534" t="n">
        <v>12.5</v>
      </c>
      <c r="C4971" s="534" t="n">
        <v>13699.13</v>
      </c>
      <c r="E4971" s="535" t="n">
        <v>42313</v>
      </c>
      <c r="F4971" s="534" t="n">
        <v>1.638</v>
      </c>
    </row>
    <row r="4972">
      <c r="A4972" s="535" t="n">
        <v>38496</v>
      </c>
      <c r="B4972" s="534" t="n">
        <v>12.413</v>
      </c>
      <c r="C4972" s="534" t="n">
        <v>13719.32</v>
      </c>
      <c r="E4972" s="535" t="n">
        <v>42314</v>
      </c>
      <c r="F4972" s="534" t="n">
        <v>1.637</v>
      </c>
    </row>
    <row r="4973">
      <c r="A4973" s="535" t="n">
        <v>38497</v>
      </c>
      <c r="B4973" s="534" t="n">
        <v>12.239</v>
      </c>
      <c r="C4973" s="534" t="n">
        <v>13562.06</v>
      </c>
      <c r="E4973" s="535" t="n">
        <v>42317</v>
      </c>
      <c r="F4973" s="534" t="n">
        <v>1.778</v>
      </c>
    </row>
    <row r="4974">
      <c r="A4974" s="535" t="n">
        <v>38498</v>
      </c>
      <c r="B4974" s="534" t="n">
        <v>12.283</v>
      </c>
      <c r="C4974" s="534" t="n">
        <v>13569.99</v>
      </c>
      <c r="E4974" s="535" t="n">
        <v>42318</v>
      </c>
      <c r="F4974" s="534" t="n">
        <v>1.773</v>
      </c>
    </row>
    <row r="4975">
      <c r="A4975" s="535" t="n">
        <v>38499</v>
      </c>
      <c r="B4975" s="534" t="n">
        <v>12.413</v>
      </c>
      <c r="C4975" s="534" t="n">
        <v>13714.78</v>
      </c>
      <c r="E4975" s="535" t="n">
        <v>42319</v>
      </c>
      <c r="F4975" s="534" t="n">
        <v>1.756</v>
      </c>
    </row>
    <row r="4976">
      <c r="A4976" s="535" t="n">
        <v>38502</v>
      </c>
      <c r="B4976" s="534" t="n">
        <v>12.457</v>
      </c>
      <c r="C4976" s="534" t="n">
        <v>13845.1</v>
      </c>
      <c r="E4976" s="535" t="n">
        <v>42320</v>
      </c>
      <c r="F4976" s="534" t="n">
        <v>1.761</v>
      </c>
    </row>
    <row r="4977">
      <c r="A4977" s="535" t="n">
        <v>38503</v>
      </c>
      <c r="B4977" s="534" t="n">
        <v>12.283</v>
      </c>
      <c r="C4977" s="534" t="n">
        <v>13867.07</v>
      </c>
      <c r="E4977" s="535" t="n">
        <v>42321</v>
      </c>
      <c r="F4977" s="534" t="n">
        <v>1.75</v>
      </c>
    </row>
    <row r="4978">
      <c r="A4978" s="535" t="n">
        <v>38504</v>
      </c>
      <c r="B4978" s="534" t="n">
        <v>12.283</v>
      </c>
      <c r="C4978" s="534" t="n">
        <v>13873.07</v>
      </c>
      <c r="E4978" s="535" t="n">
        <v>42324</v>
      </c>
      <c r="F4978" s="534" t="n">
        <v>1.679</v>
      </c>
    </row>
    <row r="4979">
      <c r="A4979" s="535" t="n">
        <v>38505</v>
      </c>
      <c r="B4979" s="534" t="n">
        <v>12.196</v>
      </c>
      <c r="C4979" s="534" t="n">
        <v>13814.58</v>
      </c>
      <c r="E4979" s="535" t="n">
        <v>42325</v>
      </c>
      <c r="F4979" s="534" t="n">
        <v>1.679</v>
      </c>
    </row>
    <row r="4980">
      <c r="A4980" s="535" t="n">
        <v>38506</v>
      </c>
      <c r="B4980" s="534" t="n">
        <v>12.196</v>
      </c>
      <c r="C4980" s="534" t="n">
        <v>13818.45</v>
      </c>
      <c r="E4980" s="535" t="n">
        <v>42326</v>
      </c>
      <c r="F4980" s="534" t="n">
        <v>1.685</v>
      </c>
    </row>
    <row r="4981">
      <c r="A4981" s="535" t="n">
        <v>38509</v>
      </c>
      <c r="B4981" s="534" t="n">
        <v>12.283</v>
      </c>
      <c r="C4981" s="534" t="n">
        <v>13860.55</v>
      </c>
      <c r="E4981" s="535" t="n">
        <v>42327</v>
      </c>
      <c r="F4981" s="534" t="n">
        <v>1.668</v>
      </c>
    </row>
    <row r="4982">
      <c r="A4982" s="535" t="n">
        <v>38510</v>
      </c>
      <c r="B4982" s="534" t="n">
        <v>12.239</v>
      </c>
      <c r="C4982" s="534" t="n">
        <v>13837.29</v>
      </c>
      <c r="E4982" s="535" t="n">
        <v>42328</v>
      </c>
      <c r="F4982" s="534" t="n">
        <v>1.64</v>
      </c>
    </row>
    <row r="4983">
      <c r="A4983" s="535" t="n">
        <v>38511</v>
      </c>
      <c r="B4983" s="534" t="n">
        <v>12.283</v>
      </c>
      <c r="C4983" s="534" t="n">
        <v>13898.55</v>
      </c>
      <c r="E4983" s="535" t="n">
        <v>42331</v>
      </c>
      <c r="F4983" s="534" t="n">
        <v>1.651</v>
      </c>
    </row>
    <row r="4984">
      <c r="A4984" s="535" t="n">
        <v>38512</v>
      </c>
      <c r="B4984" s="534" t="n">
        <v>12.239</v>
      </c>
      <c r="C4984" s="534" t="n">
        <v>13898.31</v>
      </c>
      <c r="E4984" s="535" t="n">
        <v>42332</v>
      </c>
      <c r="F4984" s="534" t="n">
        <v>1.638</v>
      </c>
    </row>
    <row r="4985">
      <c r="A4985" s="535" t="n">
        <v>38513</v>
      </c>
      <c r="B4985" s="534" t="n">
        <v>12.239</v>
      </c>
      <c r="C4985" s="534" t="n">
        <v>13934.76</v>
      </c>
      <c r="E4985" s="535" t="n">
        <v>42333</v>
      </c>
      <c r="F4985" s="534" t="n">
        <v>1.618</v>
      </c>
    </row>
    <row r="4986">
      <c r="A4986" s="535" t="n">
        <v>38516</v>
      </c>
      <c r="B4986" s="534" t="n">
        <v>12.239</v>
      </c>
      <c r="C4986" s="534" t="n">
        <v>13952.02</v>
      </c>
      <c r="E4986" s="535" t="n">
        <v>42334</v>
      </c>
      <c r="F4986" s="534" t="n">
        <v>1.617</v>
      </c>
    </row>
    <row r="4987">
      <c r="A4987" s="535" t="n">
        <v>38517</v>
      </c>
      <c r="B4987" s="534" t="n">
        <v>12.152</v>
      </c>
      <c r="C4987" s="534" t="n">
        <v>13904.81</v>
      </c>
      <c r="E4987" s="535" t="n">
        <v>42335</v>
      </c>
      <c r="F4987" s="534" t="n">
        <v>1.595</v>
      </c>
    </row>
    <row r="4988">
      <c r="A4988" s="535" t="n">
        <v>38518</v>
      </c>
      <c r="B4988" s="534" t="n">
        <v>12.326</v>
      </c>
      <c r="C4988" s="534" t="n">
        <v>13914.3</v>
      </c>
      <c r="E4988" s="535" t="n">
        <v>42338</v>
      </c>
      <c r="F4988" s="534" t="n">
        <v>1.609</v>
      </c>
    </row>
    <row r="4989">
      <c r="A4989" s="535" t="n">
        <v>38519</v>
      </c>
      <c r="B4989" s="534" t="n">
        <v>12.283</v>
      </c>
      <c r="C4989" s="534" t="n">
        <v>13833.53</v>
      </c>
      <c r="E4989" s="535" t="n">
        <v>42339</v>
      </c>
      <c r="F4989" s="534" t="n">
        <v>1.569</v>
      </c>
    </row>
    <row r="4990">
      <c r="A4990" s="535" t="n">
        <v>38520</v>
      </c>
      <c r="B4990" s="534" t="n">
        <v>12.326</v>
      </c>
      <c r="C4990" s="534" t="n">
        <v>13912.03</v>
      </c>
      <c r="E4990" s="535" t="n">
        <v>42340</v>
      </c>
      <c r="F4990" s="534" t="n">
        <v>1.513</v>
      </c>
    </row>
    <row r="4991">
      <c r="A4991" s="535" t="n">
        <v>38523</v>
      </c>
      <c r="B4991" s="534" t="n">
        <v>12.283</v>
      </c>
      <c r="C4991" s="534" t="n">
        <v>13945.77</v>
      </c>
      <c r="E4991" s="535" t="n">
        <v>42341</v>
      </c>
      <c r="F4991" s="534" t="n">
        <v>1.532</v>
      </c>
    </row>
    <row r="4992">
      <c r="A4992" s="535" t="n">
        <v>38524</v>
      </c>
      <c r="B4992" s="534" t="n">
        <v>12.283</v>
      </c>
      <c r="C4992" s="534" t="n">
        <v>13979.35</v>
      </c>
      <c r="E4992" s="535" t="n">
        <v>42342</v>
      </c>
      <c r="F4992" s="534" t="n">
        <v>1.614</v>
      </c>
    </row>
    <row r="4993">
      <c r="A4993" s="535" t="n">
        <v>38525</v>
      </c>
      <c r="B4993" s="534" t="n">
        <v>12.413</v>
      </c>
      <c r="C4993" s="534" t="n">
        <v>14161.02</v>
      </c>
      <c r="E4993" s="535" t="n">
        <v>42345</v>
      </c>
      <c r="F4993" s="534" t="n">
        <v>1.604</v>
      </c>
    </row>
    <row r="4994">
      <c r="A4994" s="535" t="n">
        <v>38526</v>
      </c>
      <c r="B4994" s="534" t="n">
        <v>12.457</v>
      </c>
      <c r="C4994" s="534" t="n">
        <v>14190.44</v>
      </c>
      <c r="E4994" s="535" t="n">
        <v>42346</v>
      </c>
      <c r="F4994" s="534" t="n">
        <v>1.623</v>
      </c>
    </row>
    <row r="4995">
      <c r="A4995" s="535" t="n">
        <v>38527</v>
      </c>
      <c r="B4995" s="534" t="n">
        <v>12.413</v>
      </c>
      <c r="C4995" s="534" t="n">
        <v>14230.29</v>
      </c>
      <c r="E4995" s="535" t="n">
        <v>42347</v>
      </c>
      <c r="F4995" s="534" t="n">
        <v>1.574</v>
      </c>
    </row>
    <row r="4996">
      <c r="A4996" s="535" t="n">
        <v>38530</v>
      </c>
      <c r="B4996" s="534" t="n">
        <v>12.37</v>
      </c>
      <c r="C4996" s="534" t="n">
        <v>14176.04</v>
      </c>
      <c r="E4996" s="535" t="n">
        <v>42348</v>
      </c>
      <c r="F4996" s="534" t="n">
        <v>1.573</v>
      </c>
    </row>
    <row r="4997">
      <c r="A4997" s="535" t="n">
        <v>38531</v>
      </c>
      <c r="B4997" s="534" t="n">
        <v>12.326</v>
      </c>
      <c r="C4997" s="534" t="n">
        <v>14287.44</v>
      </c>
      <c r="E4997" s="535" t="n">
        <v>42349</v>
      </c>
      <c r="F4997" s="534" t="n">
        <v>1.572</v>
      </c>
    </row>
    <row r="4998">
      <c r="A4998" s="535" t="n">
        <v>38532</v>
      </c>
      <c r="B4998" s="534" t="n">
        <v>12.37</v>
      </c>
      <c r="C4998" s="534" t="n">
        <v>14277.28</v>
      </c>
      <c r="E4998" s="535" t="n">
        <v>42352</v>
      </c>
      <c r="F4998" s="534" t="n">
        <v>1.574</v>
      </c>
    </row>
    <row r="4999">
      <c r="A4999" s="535" t="n">
        <v>38533</v>
      </c>
      <c r="B4999" s="534" t="n">
        <v>12.326</v>
      </c>
      <c r="C4999" s="534" t="n">
        <v>14201.06</v>
      </c>
      <c r="E4999" s="535" t="n">
        <v>42353</v>
      </c>
      <c r="F4999" s="534" t="n">
        <v>1.57</v>
      </c>
    </row>
    <row r="5000">
      <c r="A5000" s="535" t="n">
        <v>38534</v>
      </c>
      <c r="B5000" s="534" t="n">
        <v>12.326</v>
      </c>
      <c r="C5000" s="534" t="n">
        <v>14201.06</v>
      </c>
      <c r="E5000" s="535" t="n">
        <v>42354</v>
      </c>
      <c r="F5000" s="534" t="n">
        <v>1.604</v>
      </c>
    </row>
    <row r="5001">
      <c r="A5001" s="535" t="n">
        <v>38537</v>
      </c>
      <c r="B5001" s="534" t="n">
        <v>12.413</v>
      </c>
      <c r="C5001" s="534" t="n">
        <v>14177.87</v>
      </c>
      <c r="E5001" s="535" t="n">
        <v>42355</v>
      </c>
      <c r="F5001" s="534" t="n">
        <v>1.586</v>
      </c>
    </row>
    <row r="5002">
      <c r="A5002" s="535" t="n">
        <v>38538</v>
      </c>
      <c r="B5002" s="534" t="n">
        <v>12.37</v>
      </c>
      <c r="C5002" s="534" t="n">
        <v>14124.8</v>
      </c>
      <c r="E5002" s="535" t="n">
        <v>42356</v>
      </c>
      <c r="F5002" s="534" t="n">
        <v>1.545</v>
      </c>
    </row>
    <row r="5003">
      <c r="A5003" s="535" t="n">
        <v>38539</v>
      </c>
      <c r="B5003" s="534" t="n">
        <v>12.37</v>
      </c>
      <c r="C5003" s="534" t="n">
        <v>14149.93</v>
      </c>
      <c r="E5003" s="535" t="n">
        <v>42359</v>
      </c>
      <c r="F5003" s="534" t="n">
        <v>1.534</v>
      </c>
    </row>
    <row r="5004">
      <c r="A5004" s="535" t="n">
        <v>38540</v>
      </c>
      <c r="B5004" s="534" t="n">
        <v>12.239</v>
      </c>
      <c r="C5004" s="534" t="n">
        <v>14030.81</v>
      </c>
      <c r="E5004" s="535" t="n">
        <v>42360</v>
      </c>
      <c r="F5004" s="534" t="n">
        <v>1.514</v>
      </c>
    </row>
    <row r="5005">
      <c r="A5005" s="535" t="n">
        <v>38541</v>
      </c>
      <c r="B5005" s="534" t="n">
        <v>12.196</v>
      </c>
      <c r="C5005" s="534" t="n">
        <v>13964.47</v>
      </c>
      <c r="E5005" s="535" t="n">
        <v>42361</v>
      </c>
      <c r="F5005" s="534" t="n">
        <v>1.543</v>
      </c>
    </row>
    <row r="5006">
      <c r="A5006" s="535" t="n">
        <v>38544</v>
      </c>
      <c r="B5006" s="534" t="n">
        <v>12.37</v>
      </c>
      <c r="C5006" s="534" t="n">
        <v>14157.24</v>
      </c>
      <c r="E5006" s="535" t="n">
        <v>42362</v>
      </c>
      <c r="F5006" s="534" t="n">
        <v>1.556</v>
      </c>
    </row>
    <row r="5007">
      <c r="A5007" s="535" t="n">
        <v>38545</v>
      </c>
      <c r="B5007" s="534" t="n">
        <v>12.326</v>
      </c>
      <c r="C5007" s="534" t="n">
        <v>14146.95</v>
      </c>
      <c r="E5007" s="535" t="n">
        <v>42363</v>
      </c>
      <c r="F5007" s="534" t="n">
        <v>1.556</v>
      </c>
    </row>
    <row r="5008">
      <c r="A5008" s="535" t="n">
        <v>38546</v>
      </c>
      <c r="B5008" s="534" t="n">
        <v>12.37</v>
      </c>
      <c r="C5008" s="534" t="n">
        <v>14307.3</v>
      </c>
      <c r="E5008" s="535" t="n">
        <v>42366</v>
      </c>
      <c r="F5008" s="534" t="n">
        <v>1.566</v>
      </c>
    </row>
    <row r="5009">
      <c r="A5009" s="535" t="n">
        <v>38547</v>
      </c>
      <c r="B5009" s="534" t="n">
        <v>12.457</v>
      </c>
      <c r="C5009" s="534" t="n">
        <v>14491.54</v>
      </c>
      <c r="E5009" s="535" t="n">
        <v>42367</v>
      </c>
      <c r="F5009" s="534" t="n">
        <v>1.546</v>
      </c>
    </row>
    <row r="5010">
      <c r="A5010" s="535" t="n">
        <v>38548</v>
      </c>
      <c r="B5010" s="534" t="n">
        <v>12.588</v>
      </c>
      <c r="C5010" s="534" t="n">
        <v>14504.29</v>
      </c>
      <c r="E5010" s="535" t="n">
        <v>42368</v>
      </c>
      <c r="F5010" s="534" t="n">
        <v>1.595</v>
      </c>
    </row>
    <row r="5011">
      <c r="A5011" s="535" t="n">
        <v>38551</v>
      </c>
      <c r="B5011" s="534" t="n">
        <v>12.631</v>
      </c>
      <c r="C5011" s="534" t="n">
        <v>14567</v>
      </c>
      <c r="E5011" s="535" t="n">
        <v>42369</v>
      </c>
      <c r="F5011" s="534" t="n">
        <v>1.593</v>
      </c>
    </row>
    <row r="5012">
      <c r="A5012" s="535" t="n">
        <v>38552</v>
      </c>
      <c r="B5012" s="534" t="n">
        <v>12.718</v>
      </c>
      <c r="C5012" s="534" t="n">
        <v>14567.74</v>
      </c>
      <c r="E5012" s="535" t="n">
        <v>42370</v>
      </c>
      <c r="F5012" s="534" t="n">
        <v>1.593</v>
      </c>
    </row>
    <row r="5013">
      <c r="A5013" s="535" t="n">
        <v>38553</v>
      </c>
      <c r="B5013" s="534" t="n">
        <v>12.762</v>
      </c>
      <c r="C5013" s="534" t="n">
        <v>14602.7</v>
      </c>
      <c r="E5013" s="535" t="n">
        <v>42373</v>
      </c>
      <c r="F5013" s="534" t="n">
        <v>1.548</v>
      </c>
    </row>
    <row r="5014">
      <c r="A5014" s="535" t="n">
        <v>38554</v>
      </c>
      <c r="B5014" s="534" t="n">
        <v>12.675</v>
      </c>
      <c r="C5014" s="534" t="n">
        <v>14620.14</v>
      </c>
      <c r="E5014" s="535" t="n">
        <v>42374</v>
      </c>
      <c r="F5014" s="534" t="n">
        <v>1.568</v>
      </c>
    </row>
    <row r="5015">
      <c r="A5015" s="535" t="n">
        <v>38555</v>
      </c>
      <c r="B5015" s="534" t="n">
        <v>12.718</v>
      </c>
      <c r="C5015" s="534" t="n">
        <v>14786.46</v>
      </c>
      <c r="E5015" s="535" t="n">
        <v>42375</v>
      </c>
      <c r="F5015" s="534" t="n">
        <v>1.552</v>
      </c>
    </row>
    <row r="5016">
      <c r="A5016" s="535" t="n">
        <v>38558</v>
      </c>
      <c r="B5016" s="534" t="n">
        <v>12.675</v>
      </c>
      <c r="C5016" s="534" t="n">
        <v>14794.03</v>
      </c>
      <c r="E5016" s="535" t="n">
        <v>42376</v>
      </c>
      <c r="F5016" s="534" t="n">
        <v>1.513</v>
      </c>
    </row>
    <row r="5017">
      <c r="A5017" s="535" t="n">
        <v>38559</v>
      </c>
      <c r="B5017" s="534" t="n">
        <v>12.544</v>
      </c>
      <c r="C5017" s="534" t="n">
        <v>14769.93</v>
      </c>
      <c r="E5017" s="535" t="n">
        <v>42377</v>
      </c>
      <c r="F5017" s="534" t="n">
        <v>1.586</v>
      </c>
    </row>
    <row r="5018">
      <c r="A5018" s="535" t="n">
        <v>38560</v>
      </c>
      <c r="B5018" s="534" t="n">
        <v>12.544</v>
      </c>
      <c r="C5018" s="534" t="n">
        <v>14801.86</v>
      </c>
      <c r="E5018" s="535" t="n">
        <v>42380</v>
      </c>
      <c r="F5018" s="534" t="n">
        <v>1.506</v>
      </c>
    </row>
    <row r="5019">
      <c r="A5019" s="535" t="n">
        <v>38561</v>
      </c>
      <c r="B5019" s="534" t="n">
        <v>12.588</v>
      </c>
      <c r="C5019" s="534" t="n">
        <v>14813.32</v>
      </c>
      <c r="E5019" s="535" t="n">
        <v>42381</v>
      </c>
      <c r="F5019" s="534" t="n">
        <v>1.55</v>
      </c>
    </row>
    <row r="5020">
      <c r="A5020" s="535" t="n">
        <v>38562</v>
      </c>
      <c r="B5020" s="534" t="n">
        <v>12.588</v>
      </c>
      <c r="C5020" s="534" t="n">
        <v>14880.98</v>
      </c>
      <c r="E5020" s="535" t="n">
        <v>42382</v>
      </c>
      <c r="F5020" s="534" t="n">
        <v>1.495</v>
      </c>
    </row>
    <row r="5021">
      <c r="A5021" s="535" t="n">
        <v>38565</v>
      </c>
      <c r="B5021" s="534" t="n">
        <v>12.675</v>
      </c>
      <c r="C5021" s="534" t="n">
        <v>14978.88</v>
      </c>
      <c r="E5021" s="535" t="n">
        <v>42383</v>
      </c>
      <c r="F5021" s="534" t="n">
        <v>1.472</v>
      </c>
    </row>
    <row r="5022">
      <c r="A5022" s="535" t="n">
        <v>38566</v>
      </c>
      <c r="B5022" s="534" t="n">
        <v>12.675</v>
      </c>
      <c r="C5022" s="534" t="n">
        <v>15137.08</v>
      </c>
      <c r="E5022" s="535" t="n">
        <v>42384</v>
      </c>
      <c r="F5022" s="534" t="n">
        <v>1.503</v>
      </c>
    </row>
    <row r="5023">
      <c r="A5023" s="535" t="n">
        <v>38567</v>
      </c>
      <c r="B5023" s="534" t="n">
        <v>12.544</v>
      </c>
      <c r="C5023" s="534" t="n">
        <v>15118.5</v>
      </c>
      <c r="E5023" s="535" t="n">
        <v>42387</v>
      </c>
      <c r="F5023" s="534" t="n">
        <v>1.507</v>
      </c>
    </row>
    <row r="5024">
      <c r="A5024" s="535" t="n">
        <v>38568</v>
      </c>
      <c r="B5024" s="534" t="n">
        <v>12.544</v>
      </c>
      <c r="C5024" s="534" t="n">
        <v>15111.54</v>
      </c>
      <c r="E5024" s="535" t="n">
        <v>42388</v>
      </c>
      <c r="F5024" s="534" t="n">
        <v>1.507</v>
      </c>
    </row>
    <row r="5025">
      <c r="A5025" s="535" t="n">
        <v>38569</v>
      </c>
      <c r="B5025" s="534" t="n">
        <v>12.5</v>
      </c>
      <c r="C5025" s="534" t="n">
        <v>15051.32</v>
      </c>
      <c r="E5025" s="535" t="n">
        <v>42389</v>
      </c>
      <c r="F5025" s="534" t="n">
        <v>1.737</v>
      </c>
    </row>
    <row r="5026">
      <c r="A5026" s="535" t="n">
        <v>38572</v>
      </c>
      <c r="B5026" s="534" t="n">
        <v>12.631</v>
      </c>
      <c r="C5026" s="534" t="n">
        <v>15108.94</v>
      </c>
      <c r="E5026" s="535" t="n">
        <v>42390</v>
      </c>
      <c r="F5026" s="534" t="n">
        <v>1.833</v>
      </c>
    </row>
    <row r="5027">
      <c r="A5027" s="535" t="n">
        <v>38573</v>
      </c>
      <c r="B5027" s="534" t="n">
        <v>12.5</v>
      </c>
      <c r="C5027" s="534" t="n">
        <v>15047.84</v>
      </c>
      <c r="E5027" s="535" t="n">
        <v>42391</v>
      </c>
      <c r="F5027" s="534" t="n">
        <v>1.72</v>
      </c>
    </row>
    <row r="5028">
      <c r="A5028" s="535" t="n">
        <v>38574</v>
      </c>
      <c r="B5028" s="534" t="n">
        <v>12.631</v>
      </c>
      <c r="C5028" s="534" t="n">
        <v>15346.41</v>
      </c>
      <c r="E5028" s="535" t="n">
        <v>42394</v>
      </c>
      <c r="F5028" s="534" t="n">
        <v>1.619</v>
      </c>
    </row>
    <row r="5029">
      <c r="A5029" s="535" t="n">
        <v>38575</v>
      </c>
      <c r="B5029" s="534" t="n">
        <v>12.413</v>
      </c>
      <c r="C5029" s="534" t="n">
        <v>15445.2</v>
      </c>
      <c r="E5029" s="535" t="n">
        <v>42395</v>
      </c>
      <c r="F5029" s="534" t="n">
        <v>1.704</v>
      </c>
    </row>
    <row r="5030">
      <c r="A5030" s="535" t="n">
        <v>38576</v>
      </c>
      <c r="B5030" s="534" t="n">
        <v>12.457</v>
      </c>
      <c r="C5030" s="534" t="n">
        <v>15450.95</v>
      </c>
      <c r="E5030" s="535" t="n">
        <v>42396</v>
      </c>
      <c r="F5030" s="534" t="n">
        <v>1.654</v>
      </c>
    </row>
    <row r="5031">
      <c r="A5031" s="535" t="n">
        <v>38579</v>
      </c>
      <c r="B5031" s="534" t="n">
        <v>12.37</v>
      </c>
      <c r="C5031" s="534" t="n">
        <v>15466.06</v>
      </c>
      <c r="E5031" s="535" t="n">
        <v>42397</v>
      </c>
      <c r="F5031" s="534" t="n">
        <v>1.704</v>
      </c>
    </row>
    <row r="5032">
      <c r="A5032" s="535" t="n">
        <v>38580</v>
      </c>
      <c r="B5032" s="534" t="n">
        <v>12.37</v>
      </c>
      <c r="C5032" s="534" t="n">
        <v>15443.62</v>
      </c>
      <c r="E5032" s="535" t="n">
        <v>42398</v>
      </c>
      <c r="F5032" s="534" t="n">
        <v>1.662</v>
      </c>
    </row>
    <row r="5033">
      <c r="A5033" s="535" t="n">
        <v>38581</v>
      </c>
      <c r="B5033" s="534" t="n">
        <v>12.457</v>
      </c>
      <c r="C5033" s="534" t="n">
        <v>15449.58</v>
      </c>
      <c r="E5033" s="535" t="n">
        <v>42401</v>
      </c>
      <c r="F5033" s="534" t="n">
        <v>1.582</v>
      </c>
    </row>
    <row r="5034">
      <c r="A5034" s="535" t="n">
        <v>38582</v>
      </c>
      <c r="B5034" s="534" t="n">
        <v>12.326</v>
      </c>
      <c r="C5034" s="534" t="n">
        <v>15148.09</v>
      </c>
      <c r="E5034" s="535" t="n">
        <v>42402</v>
      </c>
      <c r="F5034" s="534" t="n">
        <v>1.621</v>
      </c>
    </row>
    <row r="5035">
      <c r="A5035" s="535" t="n">
        <v>38583</v>
      </c>
      <c r="B5035" s="534" t="n">
        <v>12.239</v>
      </c>
      <c r="C5035" s="534" t="n">
        <v>15038.61</v>
      </c>
      <c r="E5035" s="535" t="n">
        <v>42403</v>
      </c>
      <c r="F5035" s="534" t="n">
        <v>1.732</v>
      </c>
    </row>
    <row r="5036">
      <c r="A5036" s="535" t="n">
        <v>38586</v>
      </c>
      <c r="B5036" s="534" t="n">
        <v>12.37</v>
      </c>
      <c r="C5036" s="534" t="n">
        <v>15218.63</v>
      </c>
      <c r="E5036" s="535" t="n">
        <v>42404</v>
      </c>
      <c r="F5036" s="534" t="n">
        <v>1.664</v>
      </c>
    </row>
    <row r="5037">
      <c r="A5037" s="535" t="n">
        <v>38587</v>
      </c>
      <c r="B5037" s="534" t="n">
        <v>12.283</v>
      </c>
      <c r="C5037" s="534" t="n">
        <v>14973.89</v>
      </c>
      <c r="E5037" s="535" t="n">
        <v>42405</v>
      </c>
      <c r="F5037" s="534" t="n">
        <v>1.628</v>
      </c>
    </row>
    <row r="5038">
      <c r="A5038" s="535" t="n">
        <v>38588</v>
      </c>
      <c r="B5038" s="534" t="n">
        <v>12.239</v>
      </c>
      <c r="C5038" s="534" t="n">
        <v>14873.85</v>
      </c>
      <c r="E5038" s="535" t="n">
        <v>42408</v>
      </c>
      <c r="F5038" s="534" t="n">
        <v>1.628</v>
      </c>
    </row>
    <row r="5039">
      <c r="A5039" s="535" t="n">
        <v>38589</v>
      </c>
      <c r="B5039" s="534" t="n">
        <v>12.152</v>
      </c>
      <c r="C5039" s="534" t="n">
        <v>14889.1</v>
      </c>
      <c r="E5039" s="535" t="n">
        <v>42409</v>
      </c>
      <c r="F5039" s="534" t="n">
        <v>1.628</v>
      </c>
    </row>
    <row r="5040">
      <c r="A5040" s="535" t="n">
        <v>38590</v>
      </c>
      <c r="B5040" s="534" t="n">
        <v>12.152</v>
      </c>
      <c r="C5040" s="534" t="n">
        <v>14982.89</v>
      </c>
      <c r="E5040" s="535" t="n">
        <v>42410</v>
      </c>
      <c r="F5040" s="534" t="n">
        <v>1.628</v>
      </c>
    </row>
    <row r="5041">
      <c r="A5041" s="535" t="n">
        <v>38593</v>
      </c>
      <c r="B5041" s="534" t="n">
        <v>12.065</v>
      </c>
      <c r="C5041" s="534" t="n">
        <v>14836.97</v>
      </c>
      <c r="E5041" s="535" t="n">
        <v>42411</v>
      </c>
      <c r="F5041" s="534" t="n">
        <v>1.458</v>
      </c>
    </row>
    <row r="5042">
      <c r="A5042" s="535" t="n">
        <v>38594</v>
      </c>
      <c r="B5042" s="534" t="n">
        <v>12.152</v>
      </c>
      <c r="C5042" s="534" t="n">
        <v>14922.22</v>
      </c>
      <c r="E5042" s="535" t="n">
        <v>42412</v>
      </c>
      <c r="F5042" s="534" t="n">
        <v>1.472</v>
      </c>
    </row>
    <row r="5043">
      <c r="A5043" s="535" t="n">
        <v>38595</v>
      </c>
      <c r="B5043" s="534" t="n">
        <v>12.544</v>
      </c>
      <c r="C5043" s="534" t="n">
        <v>14903.55</v>
      </c>
      <c r="E5043" s="535" t="n">
        <v>42415</v>
      </c>
      <c r="F5043" s="534" t="n">
        <v>1.457</v>
      </c>
    </row>
    <row r="5044">
      <c r="A5044" s="535" t="n">
        <v>38596</v>
      </c>
      <c r="B5044" s="534" t="n">
        <v>12.196</v>
      </c>
      <c r="C5044" s="534" t="n">
        <v>15143.75</v>
      </c>
      <c r="E5044" s="535" t="n">
        <v>42416</v>
      </c>
      <c r="F5044" s="534" t="n">
        <v>1.481</v>
      </c>
    </row>
    <row r="5045">
      <c r="A5045" s="535" t="n">
        <v>38597</v>
      </c>
      <c r="B5045" s="534" t="n">
        <v>12.065</v>
      </c>
      <c r="C5045" s="534" t="n">
        <v>15221.89</v>
      </c>
      <c r="E5045" s="535" t="n">
        <v>42417</v>
      </c>
      <c r="F5045" s="534" t="n">
        <v>1.446</v>
      </c>
    </row>
    <row r="5046">
      <c r="A5046" s="535" t="n">
        <v>38600</v>
      </c>
      <c r="B5046" s="534" t="n">
        <v>12.065</v>
      </c>
      <c r="C5046" s="534" t="n">
        <v>15227.83</v>
      </c>
      <c r="E5046" s="535" t="n">
        <v>42418</v>
      </c>
      <c r="F5046" s="534" t="n">
        <v>1.485</v>
      </c>
    </row>
    <row r="5047">
      <c r="A5047" s="535" t="n">
        <v>38601</v>
      </c>
      <c r="B5047" s="534" t="n">
        <v>12.065</v>
      </c>
      <c r="C5047" s="534" t="n">
        <v>15160.78</v>
      </c>
      <c r="E5047" s="535" t="n">
        <v>42419</v>
      </c>
      <c r="F5047" s="534" t="n">
        <v>1.424</v>
      </c>
    </row>
    <row r="5048">
      <c r="A5048" s="535" t="n">
        <v>38602</v>
      </c>
      <c r="B5048" s="534" t="n">
        <v>12.065</v>
      </c>
      <c r="C5048" s="534" t="n">
        <v>15224.57</v>
      </c>
      <c r="E5048" s="535" t="n">
        <v>42422</v>
      </c>
      <c r="F5048" s="534" t="n">
        <v>1.429</v>
      </c>
    </row>
    <row r="5049">
      <c r="A5049" s="535" t="n">
        <v>38603</v>
      </c>
      <c r="B5049" s="534" t="n">
        <v>12.108</v>
      </c>
      <c r="C5049" s="534" t="n">
        <v>15166.17</v>
      </c>
      <c r="E5049" s="535" t="n">
        <v>42423</v>
      </c>
      <c r="F5049" s="534" t="n">
        <v>1.418</v>
      </c>
    </row>
    <row r="5050">
      <c r="A5050" s="535" t="n">
        <v>38604</v>
      </c>
      <c r="B5050" s="534" t="n">
        <v>12.108</v>
      </c>
      <c r="C5050" s="534" t="n">
        <v>15165.77</v>
      </c>
      <c r="E5050" s="535" t="n">
        <v>42424</v>
      </c>
      <c r="F5050" s="534" t="n">
        <v>1.379</v>
      </c>
    </row>
    <row r="5051">
      <c r="A5051" s="535" t="n">
        <v>38607</v>
      </c>
      <c r="B5051" s="534" t="n">
        <v>12.108</v>
      </c>
      <c r="C5051" s="534" t="n">
        <v>15199.79</v>
      </c>
      <c r="E5051" s="535" t="n">
        <v>42425</v>
      </c>
      <c r="F5051" s="534" t="n">
        <v>1.348</v>
      </c>
    </row>
    <row r="5052">
      <c r="A5052" s="535" t="n">
        <v>38608</v>
      </c>
      <c r="B5052" s="534" t="n">
        <v>12.021</v>
      </c>
      <c r="C5052" s="534" t="n">
        <v>15070.56</v>
      </c>
      <c r="E5052" s="535" t="n">
        <v>42426</v>
      </c>
      <c r="F5052" s="534" t="n">
        <v>1.333</v>
      </c>
    </row>
    <row r="5053">
      <c r="A5053" s="535" t="n">
        <v>38609</v>
      </c>
      <c r="B5053" s="534" t="n">
        <v>11.934</v>
      </c>
      <c r="C5053" s="534" t="n">
        <v>15086.62</v>
      </c>
      <c r="E5053" s="535" t="n">
        <v>42429</v>
      </c>
      <c r="F5053" s="534" t="n">
        <v>1.342</v>
      </c>
    </row>
    <row r="5054">
      <c r="A5054" s="535" t="n">
        <v>38610</v>
      </c>
      <c r="B5054" s="534" t="n">
        <v>11.847</v>
      </c>
      <c r="C5054" s="534" t="n">
        <v>15041.02</v>
      </c>
      <c r="E5054" s="535" t="n">
        <v>42430</v>
      </c>
      <c r="F5054" s="534" t="n">
        <v>1.303</v>
      </c>
    </row>
    <row r="5055">
      <c r="A5055" s="535" t="n">
        <v>38611</v>
      </c>
      <c r="B5055" s="534" t="n">
        <v>11.804</v>
      </c>
      <c r="C5055" s="534" t="n">
        <v>14983.2</v>
      </c>
      <c r="E5055" s="535" t="n">
        <v>42431</v>
      </c>
      <c r="F5055" s="534" t="n">
        <v>1.351</v>
      </c>
    </row>
    <row r="5056">
      <c r="A5056" s="535" t="n">
        <v>38614</v>
      </c>
      <c r="B5056" s="534" t="n">
        <v>11.804</v>
      </c>
      <c r="C5056" s="534" t="n">
        <v>14983.2</v>
      </c>
      <c r="E5056" s="535" t="n">
        <v>42432</v>
      </c>
      <c r="F5056" s="534" t="n">
        <v>1.42</v>
      </c>
    </row>
    <row r="5057">
      <c r="A5057" s="535" t="n">
        <v>38615</v>
      </c>
      <c r="B5057" s="534" t="n">
        <v>11.891</v>
      </c>
      <c r="C5057" s="534" t="n">
        <v>15241.86</v>
      </c>
      <c r="E5057" s="535" t="n">
        <v>42433</v>
      </c>
      <c r="F5057" s="534" t="n">
        <v>1.371</v>
      </c>
    </row>
    <row r="5058">
      <c r="A5058" s="535" t="n">
        <v>38616</v>
      </c>
      <c r="B5058" s="534" t="n">
        <v>11.804</v>
      </c>
      <c r="C5058" s="534" t="n">
        <v>15223.62</v>
      </c>
      <c r="E5058" s="535" t="n">
        <v>42436</v>
      </c>
      <c r="F5058" s="534" t="n">
        <v>1.423</v>
      </c>
    </row>
    <row r="5059">
      <c r="A5059" s="535" t="n">
        <v>38617</v>
      </c>
      <c r="B5059" s="534" t="n">
        <v>11.804</v>
      </c>
      <c r="C5059" s="534" t="n">
        <v>15179.95</v>
      </c>
      <c r="E5059" s="535" t="n">
        <v>42437</v>
      </c>
      <c r="F5059" s="534" t="n">
        <v>1.343</v>
      </c>
    </row>
    <row r="5060">
      <c r="A5060" s="535" t="n">
        <v>38618</v>
      </c>
      <c r="B5060" s="534" t="n">
        <v>11.804</v>
      </c>
      <c r="C5060" s="534" t="n">
        <v>15143.97</v>
      </c>
      <c r="E5060" s="535" t="n">
        <v>42438</v>
      </c>
      <c r="F5060" s="534" t="n">
        <v>1.294</v>
      </c>
    </row>
    <row r="5061">
      <c r="A5061" s="535" t="n">
        <v>38621</v>
      </c>
      <c r="B5061" s="534" t="n">
        <v>11.847</v>
      </c>
      <c r="C5061" s="534" t="n">
        <v>15274.31</v>
      </c>
      <c r="E5061" s="535" t="n">
        <v>42439</v>
      </c>
      <c r="F5061" s="534" t="n">
        <v>1.298</v>
      </c>
    </row>
    <row r="5062">
      <c r="A5062" s="535" t="n">
        <v>38622</v>
      </c>
      <c r="B5062" s="534" t="n">
        <v>11.891</v>
      </c>
      <c r="C5062" s="534" t="n">
        <v>15189.88</v>
      </c>
      <c r="E5062" s="535" t="n">
        <v>42440</v>
      </c>
      <c r="F5062" s="534" t="n">
        <v>1.366</v>
      </c>
    </row>
    <row r="5063">
      <c r="A5063" s="535" t="n">
        <v>38623</v>
      </c>
      <c r="B5063" s="534" t="n">
        <v>11.978</v>
      </c>
      <c r="C5063" s="534" t="n">
        <v>15221.46</v>
      </c>
      <c r="E5063" s="535" t="n">
        <v>42443</v>
      </c>
      <c r="F5063" s="534" t="n">
        <v>1.397</v>
      </c>
    </row>
    <row r="5064">
      <c r="A5064" s="535" t="n">
        <v>38624</v>
      </c>
      <c r="B5064" s="534" t="n">
        <v>12.065</v>
      </c>
      <c r="C5064" s="534" t="n">
        <v>15431.25</v>
      </c>
      <c r="E5064" s="535" t="n">
        <v>42444</v>
      </c>
      <c r="F5064" s="534" t="n">
        <v>1.38</v>
      </c>
    </row>
    <row r="5065">
      <c r="A5065" s="535" t="n">
        <v>38625</v>
      </c>
      <c r="B5065" s="534" t="n">
        <v>12.021</v>
      </c>
      <c r="C5065" s="534" t="n">
        <v>15428.52</v>
      </c>
      <c r="E5065" s="535" t="n">
        <v>42445</v>
      </c>
      <c r="F5065" s="534" t="n">
        <v>1.369</v>
      </c>
    </row>
    <row r="5066">
      <c r="A5066" s="535" t="n">
        <v>38628</v>
      </c>
      <c r="B5066" s="534" t="n">
        <v>11.934</v>
      </c>
      <c r="C5066" s="534" t="n">
        <v>15394.39</v>
      </c>
      <c r="E5066" s="535" t="n">
        <v>42446</v>
      </c>
      <c r="F5066" s="534" t="n">
        <v>1.369</v>
      </c>
    </row>
    <row r="5067">
      <c r="A5067" s="535" t="n">
        <v>38629</v>
      </c>
      <c r="B5067" s="534" t="n">
        <v>11.934</v>
      </c>
      <c r="C5067" s="534" t="n">
        <v>15382.21</v>
      </c>
      <c r="E5067" s="535" t="n">
        <v>42447</v>
      </c>
      <c r="F5067" s="534" t="n">
        <v>1.245</v>
      </c>
    </row>
    <row r="5068">
      <c r="A5068" s="535" t="n">
        <v>38630</v>
      </c>
      <c r="B5068" s="534" t="n">
        <v>11.891</v>
      </c>
      <c r="C5068" s="534" t="n">
        <v>15161.03</v>
      </c>
      <c r="E5068" s="535" t="n">
        <v>42450</v>
      </c>
      <c r="F5068" s="534" t="n">
        <v>1.237</v>
      </c>
    </row>
    <row r="5069">
      <c r="A5069" s="535" t="n">
        <v>38631</v>
      </c>
      <c r="B5069" s="534" t="n">
        <v>11.76</v>
      </c>
      <c r="C5069" s="534" t="n">
        <v>14839.3</v>
      </c>
      <c r="E5069" s="535" t="n">
        <v>42451</v>
      </c>
      <c r="F5069" s="534" t="n">
        <v>1.293</v>
      </c>
    </row>
    <row r="5070">
      <c r="A5070" s="535" t="n">
        <v>38632</v>
      </c>
      <c r="B5070" s="534" t="n">
        <v>11.629</v>
      </c>
      <c r="C5070" s="534" t="n">
        <v>14847.79</v>
      </c>
      <c r="E5070" s="535" t="n">
        <v>42452</v>
      </c>
      <c r="F5070" s="534" t="n">
        <v>1.365</v>
      </c>
    </row>
    <row r="5071">
      <c r="A5071" s="535" t="n">
        <v>38635</v>
      </c>
      <c r="B5071" s="534" t="n">
        <v>11.673</v>
      </c>
      <c r="C5071" s="534" t="n">
        <v>14898.77</v>
      </c>
      <c r="E5071" s="535" t="n">
        <v>42453</v>
      </c>
      <c r="F5071" s="534" t="n">
        <v>1.364</v>
      </c>
    </row>
    <row r="5072">
      <c r="A5072" s="535" t="n">
        <v>38636</v>
      </c>
      <c r="B5072" s="534" t="n">
        <v>11.673</v>
      </c>
      <c r="C5072" s="534" t="n">
        <v>14898.77</v>
      </c>
      <c r="E5072" s="535" t="n">
        <v>42454</v>
      </c>
      <c r="F5072" s="534" t="n">
        <v>1.364</v>
      </c>
    </row>
    <row r="5073">
      <c r="A5073" s="535" t="n">
        <v>38637</v>
      </c>
      <c r="B5073" s="534" t="n">
        <v>11.412</v>
      </c>
      <c r="C5073" s="534" t="n">
        <v>14575.02</v>
      </c>
      <c r="E5073" s="535" t="n">
        <v>42457</v>
      </c>
      <c r="F5073" s="534" t="n">
        <v>1.364</v>
      </c>
    </row>
    <row r="5074">
      <c r="A5074" s="535" t="n">
        <v>38638</v>
      </c>
      <c r="B5074" s="534" t="n">
        <v>11.324</v>
      </c>
      <c r="C5074" s="534" t="n">
        <v>14621.83</v>
      </c>
      <c r="E5074" s="535" t="n">
        <v>42458</v>
      </c>
      <c r="F5074" s="534" t="n">
        <v>1.408</v>
      </c>
    </row>
    <row r="5075">
      <c r="A5075" s="535" t="n">
        <v>38639</v>
      </c>
      <c r="B5075" s="534" t="n">
        <v>11.412</v>
      </c>
      <c r="C5075" s="534" t="n">
        <v>14485.88</v>
      </c>
      <c r="E5075" s="535" t="n">
        <v>42459</v>
      </c>
      <c r="F5075" s="534" t="n">
        <v>1.333</v>
      </c>
    </row>
    <row r="5076">
      <c r="A5076" s="535" t="n">
        <v>38642</v>
      </c>
      <c r="B5076" s="534" t="n">
        <v>11.455</v>
      </c>
      <c r="C5076" s="534" t="n">
        <v>14541.35</v>
      </c>
      <c r="E5076" s="535" t="n">
        <v>42460</v>
      </c>
      <c r="F5076" s="534" t="n">
        <v>1.278</v>
      </c>
    </row>
    <row r="5077">
      <c r="A5077" s="535" t="n">
        <v>38643</v>
      </c>
      <c r="B5077" s="534" t="n">
        <v>11.412</v>
      </c>
      <c r="C5077" s="534" t="n">
        <v>14597.4</v>
      </c>
      <c r="E5077" s="535" t="n">
        <v>42461</v>
      </c>
      <c r="F5077" s="534" t="n">
        <v>1.252</v>
      </c>
    </row>
    <row r="5078">
      <c r="A5078" s="535" t="n">
        <v>38644</v>
      </c>
      <c r="B5078" s="534" t="n">
        <v>11.15</v>
      </c>
      <c r="C5078" s="534" t="n">
        <v>14372.76</v>
      </c>
      <c r="E5078" s="535" t="n">
        <v>42464</v>
      </c>
      <c r="F5078" s="534" t="n">
        <v>1.252</v>
      </c>
    </row>
    <row r="5079">
      <c r="A5079" s="535" t="n">
        <v>38645</v>
      </c>
      <c r="B5079" s="534" t="n">
        <v>11.15</v>
      </c>
      <c r="C5079" s="534" t="n">
        <v>14408.94</v>
      </c>
      <c r="E5079" s="535" t="n">
        <v>42465</v>
      </c>
      <c r="F5079" s="534" t="n">
        <v>1.212</v>
      </c>
    </row>
    <row r="5080">
      <c r="A5080" s="535" t="n">
        <v>38646</v>
      </c>
      <c r="B5080" s="534" t="n">
        <v>11.237</v>
      </c>
      <c r="C5080" s="534" t="n">
        <v>14487.85</v>
      </c>
      <c r="E5080" s="535" t="n">
        <v>42466</v>
      </c>
      <c r="F5080" s="534" t="n">
        <v>1.265</v>
      </c>
    </row>
    <row r="5081">
      <c r="A5081" s="535" t="n">
        <v>38649</v>
      </c>
      <c r="B5081" s="534" t="n">
        <v>11.15</v>
      </c>
      <c r="C5081" s="534" t="n">
        <v>14402.35</v>
      </c>
      <c r="E5081" s="535" t="n">
        <v>42467</v>
      </c>
      <c r="F5081" s="534" t="n">
        <v>1.273</v>
      </c>
    </row>
    <row r="5082">
      <c r="A5082" s="535" t="n">
        <v>38650</v>
      </c>
      <c r="B5082" s="534" t="n">
        <v>11.15</v>
      </c>
      <c r="C5082" s="534" t="n">
        <v>14424.88</v>
      </c>
      <c r="E5082" s="535" t="n">
        <v>42468</v>
      </c>
      <c r="F5082" s="534" t="n">
        <v>1.273</v>
      </c>
    </row>
    <row r="5083">
      <c r="A5083" s="535" t="n">
        <v>38651</v>
      </c>
      <c r="B5083" s="534" t="n">
        <v>11.107</v>
      </c>
      <c r="C5083" s="534" t="n">
        <v>14458.14</v>
      </c>
      <c r="E5083" s="535" t="n">
        <v>42471</v>
      </c>
      <c r="F5083" s="534" t="n">
        <v>1.252</v>
      </c>
    </row>
    <row r="5084">
      <c r="A5084" s="535" t="n">
        <v>38652</v>
      </c>
      <c r="B5084" s="534" t="n">
        <v>10.715</v>
      </c>
      <c r="C5084" s="534" t="n">
        <v>14381.06</v>
      </c>
      <c r="E5084" s="535" t="n">
        <v>42472</v>
      </c>
      <c r="F5084" s="534" t="n">
        <v>1.302</v>
      </c>
    </row>
    <row r="5085">
      <c r="A5085" s="535" t="n">
        <v>38653</v>
      </c>
      <c r="B5085" s="534" t="n">
        <v>10.497</v>
      </c>
      <c r="C5085" s="534" t="n">
        <v>14215.83</v>
      </c>
      <c r="E5085" s="535" t="n">
        <v>42473</v>
      </c>
      <c r="F5085" s="534" t="n">
        <v>1.341</v>
      </c>
    </row>
    <row r="5086">
      <c r="A5086" s="535" t="n">
        <v>38656</v>
      </c>
      <c r="B5086" s="534" t="n">
        <v>10.584</v>
      </c>
      <c r="C5086" s="534" t="n">
        <v>14386.37</v>
      </c>
      <c r="E5086" s="535" t="n">
        <v>42474</v>
      </c>
      <c r="F5086" s="534" t="n">
        <v>1.331</v>
      </c>
    </row>
    <row r="5087">
      <c r="A5087" s="535" t="n">
        <v>38657</v>
      </c>
      <c r="B5087" s="534" t="n">
        <v>11.02</v>
      </c>
      <c r="C5087" s="534" t="n">
        <v>14572.26</v>
      </c>
      <c r="E5087" s="535" t="n">
        <v>42475</v>
      </c>
      <c r="F5087" s="534" t="n">
        <v>1.379</v>
      </c>
    </row>
    <row r="5088">
      <c r="A5088" s="535" t="n">
        <v>38658</v>
      </c>
      <c r="B5088" s="534" t="n">
        <v>11.281</v>
      </c>
      <c r="C5088" s="534" t="n">
        <v>14597.48</v>
      </c>
      <c r="E5088" s="535" t="n">
        <v>42478</v>
      </c>
      <c r="F5088" s="534" t="n">
        <v>1.327</v>
      </c>
    </row>
    <row r="5089">
      <c r="A5089" s="535" t="n">
        <v>38659</v>
      </c>
      <c r="B5089" s="534" t="n">
        <v>11.455</v>
      </c>
      <c r="C5089" s="534" t="n">
        <v>14601.59</v>
      </c>
      <c r="E5089" s="535" t="n">
        <v>42479</v>
      </c>
      <c r="F5089" s="534" t="n">
        <v>1.338</v>
      </c>
    </row>
    <row r="5090">
      <c r="A5090" s="535" t="n">
        <v>38660</v>
      </c>
      <c r="B5090" s="534" t="n">
        <v>11.194</v>
      </c>
      <c r="C5090" s="534" t="n">
        <v>14585.79</v>
      </c>
      <c r="E5090" s="535" t="n">
        <v>42480</v>
      </c>
      <c r="F5090" s="534" t="n">
        <v>1.307</v>
      </c>
    </row>
    <row r="5091">
      <c r="A5091" s="535" t="n">
        <v>38663</v>
      </c>
      <c r="B5091" s="534" t="n">
        <v>10.932</v>
      </c>
      <c r="C5091" s="534" t="n">
        <v>14365.79</v>
      </c>
      <c r="E5091" s="535" t="n">
        <v>42481</v>
      </c>
      <c r="F5091" s="534" t="n">
        <v>1.442</v>
      </c>
    </row>
    <row r="5092">
      <c r="A5092" s="535" t="n">
        <v>38664</v>
      </c>
      <c r="B5092" s="534" t="n">
        <v>11.02</v>
      </c>
      <c r="C5092" s="534" t="n">
        <v>14403.2</v>
      </c>
      <c r="E5092" s="535" t="n">
        <v>42482</v>
      </c>
      <c r="F5092" s="534" t="n">
        <v>1.376</v>
      </c>
    </row>
    <row r="5093">
      <c r="A5093" s="535" t="n">
        <v>38665</v>
      </c>
      <c r="B5093" s="534" t="n">
        <v>11.281</v>
      </c>
      <c r="C5093" s="534" t="n">
        <v>14597.55</v>
      </c>
      <c r="E5093" s="535" t="n">
        <v>42485</v>
      </c>
      <c r="F5093" s="534" t="n">
        <v>1.406</v>
      </c>
    </row>
    <row r="5094">
      <c r="A5094" s="535" t="n">
        <v>38666</v>
      </c>
      <c r="B5094" s="534" t="n">
        <v>11.237</v>
      </c>
      <c r="C5094" s="534" t="n">
        <v>14633.33</v>
      </c>
      <c r="E5094" s="535" t="n">
        <v>42486</v>
      </c>
      <c r="F5094" s="534" t="n">
        <v>1.469</v>
      </c>
    </row>
    <row r="5095">
      <c r="A5095" s="535" t="n">
        <v>38667</v>
      </c>
      <c r="B5095" s="534" t="n">
        <v>11.455</v>
      </c>
      <c r="C5095" s="534" t="n">
        <v>14740.6</v>
      </c>
      <c r="E5095" s="535" t="n">
        <v>42487</v>
      </c>
      <c r="F5095" s="534" t="n">
        <v>1.43</v>
      </c>
    </row>
    <row r="5096">
      <c r="A5096" s="535" t="n">
        <v>38670</v>
      </c>
      <c r="B5096" s="534" t="n">
        <v>11.368</v>
      </c>
      <c r="C5096" s="534" t="n">
        <v>14629.49</v>
      </c>
      <c r="E5096" s="535" t="n">
        <v>42488</v>
      </c>
      <c r="F5096" s="534" t="n">
        <v>1.344</v>
      </c>
    </row>
    <row r="5097">
      <c r="A5097" s="535" t="n">
        <v>38671</v>
      </c>
      <c r="B5097" s="534" t="n">
        <v>11.237</v>
      </c>
      <c r="C5097" s="534" t="n">
        <v>14627.41</v>
      </c>
      <c r="E5097" s="535" t="n">
        <v>42489</v>
      </c>
      <c r="F5097" s="534" t="n">
        <v>1.32</v>
      </c>
    </row>
    <row r="5098">
      <c r="A5098" s="535" t="n">
        <v>38672</v>
      </c>
      <c r="B5098" s="534" t="n">
        <v>11.237</v>
      </c>
      <c r="C5098" s="534" t="n">
        <v>14650.54</v>
      </c>
      <c r="E5098" s="535" t="n">
        <v>42492</v>
      </c>
      <c r="F5098" s="534" t="n">
        <v>1.32</v>
      </c>
    </row>
    <row r="5099">
      <c r="A5099" s="535" t="n">
        <v>38673</v>
      </c>
      <c r="B5099" s="534" t="n">
        <v>11.281</v>
      </c>
      <c r="C5099" s="534" t="n">
        <v>14787.98</v>
      </c>
      <c r="E5099" s="535" t="n">
        <v>42493</v>
      </c>
      <c r="F5099" s="534" t="n">
        <v>1.337</v>
      </c>
    </row>
    <row r="5100">
      <c r="A5100" s="535" t="n">
        <v>38674</v>
      </c>
      <c r="B5100" s="534" t="n">
        <v>11.499</v>
      </c>
      <c r="C5100" s="534" t="n">
        <v>14883.32</v>
      </c>
      <c r="E5100" s="535" t="n">
        <v>42494</v>
      </c>
      <c r="F5100" s="534" t="n">
        <v>1.342</v>
      </c>
    </row>
    <row r="5101">
      <c r="A5101" s="535" t="n">
        <v>38677</v>
      </c>
      <c r="B5101" s="534" t="n">
        <v>11.629</v>
      </c>
      <c r="C5101" s="534" t="n">
        <v>14885.57</v>
      </c>
      <c r="E5101" s="535" t="n">
        <v>42495</v>
      </c>
      <c r="F5101" s="534" t="n">
        <v>1.366</v>
      </c>
    </row>
    <row r="5102">
      <c r="A5102" s="535" t="n">
        <v>38678</v>
      </c>
      <c r="B5102" s="534" t="n">
        <v>11.586</v>
      </c>
      <c r="C5102" s="534" t="n">
        <v>14885.65</v>
      </c>
      <c r="E5102" s="535" t="n">
        <v>42496</v>
      </c>
      <c r="F5102" s="534" t="n">
        <v>1.349</v>
      </c>
    </row>
    <row r="5103">
      <c r="A5103" s="535" t="n">
        <v>38679</v>
      </c>
      <c r="B5103" s="534" t="n">
        <v>11.716</v>
      </c>
      <c r="C5103" s="534" t="n">
        <v>15062.35</v>
      </c>
      <c r="E5103" s="535" t="n">
        <v>42499</v>
      </c>
      <c r="F5103" s="534" t="n">
        <v>1.304</v>
      </c>
    </row>
    <row r="5104">
      <c r="A5104" s="535" t="n">
        <v>38680</v>
      </c>
      <c r="B5104" s="534" t="n">
        <v>11.673</v>
      </c>
      <c r="C5104" s="534" t="n">
        <v>15084.39</v>
      </c>
      <c r="E5104" s="535" t="n">
        <v>42500</v>
      </c>
      <c r="F5104" s="534" t="n">
        <v>1.293</v>
      </c>
    </row>
    <row r="5105">
      <c r="A5105" s="535" t="n">
        <v>38681</v>
      </c>
      <c r="B5105" s="534" t="n">
        <v>11.629</v>
      </c>
      <c r="C5105" s="534" t="n">
        <v>15081.47</v>
      </c>
      <c r="E5105" s="535" t="n">
        <v>42501</v>
      </c>
      <c r="F5105" s="534" t="n">
        <v>1.278</v>
      </c>
    </row>
    <row r="5106">
      <c r="A5106" s="535" t="n">
        <v>38684</v>
      </c>
      <c r="B5106" s="534" t="n">
        <v>11.804</v>
      </c>
      <c r="C5106" s="534" t="n">
        <v>15100</v>
      </c>
      <c r="E5106" s="535" t="n">
        <v>42502</v>
      </c>
      <c r="F5106" s="534" t="n">
        <v>1.263</v>
      </c>
    </row>
    <row r="5107">
      <c r="A5107" s="535" t="n">
        <v>38685</v>
      </c>
      <c r="B5107" s="534" t="n">
        <v>11.76</v>
      </c>
      <c r="C5107" s="534" t="n">
        <v>15028.76</v>
      </c>
      <c r="E5107" s="535" t="n">
        <v>42503</v>
      </c>
      <c r="F5107" s="534" t="n">
        <v>1.286</v>
      </c>
    </row>
    <row r="5108">
      <c r="A5108" s="535" t="n">
        <v>38686</v>
      </c>
      <c r="B5108" s="534" t="n">
        <v>11.716</v>
      </c>
      <c r="C5108" s="534" t="n">
        <v>14937.14</v>
      </c>
      <c r="E5108" s="535" t="n">
        <v>42506</v>
      </c>
      <c r="F5108" s="534" t="n">
        <v>1.275</v>
      </c>
    </row>
    <row r="5109">
      <c r="A5109" s="535" t="n">
        <v>38687</v>
      </c>
      <c r="B5109" s="534" t="n">
        <v>11.804</v>
      </c>
      <c r="C5109" s="534" t="n">
        <v>15068.03</v>
      </c>
      <c r="E5109" s="535" t="n">
        <v>42507</v>
      </c>
      <c r="F5109" s="534" t="n">
        <v>1.302</v>
      </c>
    </row>
    <row r="5110">
      <c r="A5110" s="535" t="n">
        <v>38688</v>
      </c>
      <c r="B5110" s="534" t="n">
        <v>11.891</v>
      </c>
      <c r="C5110" s="534" t="n">
        <v>15200.38</v>
      </c>
      <c r="E5110" s="535" t="n">
        <v>42508</v>
      </c>
      <c r="F5110" s="534" t="n">
        <v>1.304</v>
      </c>
    </row>
    <row r="5111">
      <c r="A5111" s="535" t="n">
        <v>38691</v>
      </c>
      <c r="B5111" s="534" t="n">
        <v>11.847</v>
      </c>
      <c r="C5111" s="534" t="n">
        <v>15158.82</v>
      </c>
      <c r="E5111" s="535" t="n">
        <v>42509</v>
      </c>
      <c r="F5111" s="534" t="n">
        <v>1.369</v>
      </c>
    </row>
    <row r="5112">
      <c r="A5112" s="535" t="n">
        <v>38692</v>
      </c>
      <c r="B5112" s="534" t="n">
        <v>11.586</v>
      </c>
      <c r="C5112" s="534" t="n">
        <v>14990.61</v>
      </c>
      <c r="E5112" s="535" t="n">
        <v>42510</v>
      </c>
      <c r="F5112" s="534" t="n">
        <v>1.318</v>
      </c>
    </row>
    <row r="5113">
      <c r="A5113" s="535" t="n">
        <v>38693</v>
      </c>
      <c r="B5113" s="534" t="n">
        <v>11.716</v>
      </c>
      <c r="C5113" s="534" t="n">
        <v>15134.95</v>
      </c>
      <c r="E5113" s="535" t="n">
        <v>42513</v>
      </c>
      <c r="F5113" s="534" t="n">
        <v>1.272</v>
      </c>
    </row>
    <row r="5114">
      <c r="A5114" s="535" t="n">
        <v>38694</v>
      </c>
      <c r="B5114" s="534" t="n">
        <v>11.542</v>
      </c>
      <c r="C5114" s="534" t="n">
        <v>14879.16</v>
      </c>
      <c r="E5114" s="535" t="n">
        <v>42514</v>
      </c>
      <c r="F5114" s="534" t="n">
        <v>1.277</v>
      </c>
    </row>
    <row r="5115">
      <c r="A5115" s="535" t="n">
        <v>38695</v>
      </c>
      <c r="B5115" s="534" t="n">
        <v>11.586</v>
      </c>
      <c r="C5115" s="534" t="n">
        <v>14910.51</v>
      </c>
      <c r="E5115" s="535" t="n">
        <v>42515</v>
      </c>
      <c r="F5115" s="534" t="n">
        <v>1.306</v>
      </c>
    </row>
    <row r="5116">
      <c r="A5116" s="535" t="n">
        <v>38698</v>
      </c>
      <c r="B5116" s="534" t="n">
        <v>11.629</v>
      </c>
      <c r="C5116" s="534" t="n">
        <v>14984.4</v>
      </c>
      <c r="E5116" s="535" t="n">
        <v>42516</v>
      </c>
      <c r="F5116" s="534" t="n">
        <v>1.321</v>
      </c>
    </row>
    <row r="5117">
      <c r="A5117" s="535" t="n">
        <v>38699</v>
      </c>
      <c r="B5117" s="534" t="n">
        <v>11.586</v>
      </c>
      <c r="C5117" s="534" t="n">
        <v>14942.62</v>
      </c>
      <c r="E5117" s="535" t="n">
        <v>42517</v>
      </c>
      <c r="F5117" s="534" t="n">
        <v>1.289</v>
      </c>
    </row>
    <row r="5118">
      <c r="A5118" s="535" t="n">
        <v>38700</v>
      </c>
      <c r="B5118" s="534" t="n">
        <v>11.542</v>
      </c>
      <c r="C5118" s="534" t="n">
        <v>14976.26</v>
      </c>
      <c r="E5118" s="535" t="n">
        <v>42520</v>
      </c>
      <c r="F5118" s="534" t="n">
        <v>1.329</v>
      </c>
    </row>
    <row r="5119">
      <c r="A5119" s="535" t="n">
        <v>38701</v>
      </c>
      <c r="B5119" s="534" t="n">
        <v>11.629</v>
      </c>
      <c r="C5119" s="534" t="n">
        <v>15059.02</v>
      </c>
      <c r="E5119" s="535" t="n">
        <v>42521</v>
      </c>
      <c r="F5119" s="534" t="n">
        <v>1.328</v>
      </c>
    </row>
    <row r="5120">
      <c r="A5120" s="535" t="n">
        <v>38702</v>
      </c>
      <c r="B5120" s="534" t="n">
        <v>11.629</v>
      </c>
      <c r="C5120" s="534" t="n">
        <v>15029.81</v>
      </c>
      <c r="E5120" s="535" t="n">
        <v>42522</v>
      </c>
      <c r="F5120" s="534" t="n">
        <v>1.321</v>
      </c>
    </row>
    <row r="5121">
      <c r="A5121" s="535" t="n">
        <v>38705</v>
      </c>
      <c r="B5121" s="534" t="n">
        <v>11.804</v>
      </c>
      <c r="C5121" s="534" t="n">
        <v>15182.89</v>
      </c>
      <c r="E5121" s="535" t="n">
        <v>42523</v>
      </c>
      <c r="F5121" s="534" t="n">
        <v>1.318</v>
      </c>
    </row>
    <row r="5122">
      <c r="A5122" s="535" t="n">
        <v>38706</v>
      </c>
      <c r="B5122" s="534" t="n">
        <v>11.847</v>
      </c>
      <c r="C5122" s="534" t="n">
        <v>15169.17</v>
      </c>
      <c r="E5122" s="535" t="n">
        <v>42524</v>
      </c>
      <c r="F5122" s="534" t="n">
        <v>1.285</v>
      </c>
    </row>
    <row r="5123">
      <c r="A5123" s="535" t="n">
        <v>38707</v>
      </c>
      <c r="B5123" s="534" t="n">
        <v>11.934</v>
      </c>
      <c r="C5123" s="534" t="n">
        <v>15221.42</v>
      </c>
      <c r="E5123" s="535" t="n">
        <v>42527</v>
      </c>
      <c r="F5123" s="534" t="n">
        <v>1.199</v>
      </c>
    </row>
    <row r="5124">
      <c r="A5124" s="535" t="n">
        <v>38708</v>
      </c>
      <c r="B5124" s="534" t="n">
        <v>11.847</v>
      </c>
      <c r="C5124" s="534" t="n">
        <v>15182.53</v>
      </c>
      <c r="E5124" s="535" t="n">
        <v>42528</v>
      </c>
      <c r="F5124" s="534" t="n">
        <v>1.249</v>
      </c>
    </row>
    <row r="5125">
      <c r="A5125" s="535" t="n">
        <v>38709</v>
      </c>
      <c r="B5125" s="534" t="n">
        <v>11.934</v>
      </c>
      <c r="C5125" s="534" t="n">
        <v>15183.58</v>
      </c>
      <c r="E5125" s="535" t="n">
        <v>42529</v>
      </c>
      <c r="F5125" s="534" t="n">
        <v>1.198</v>
      </c>
    </row>
    <row r="5126">
      <c r="A5126" s="535" t="n">
        <v>38712</v>
      </c>
      <c r="B5126" s="534" t="n">
        <v>11.934</v>
      </c>
      <c r="C5126" s="534" t="n">
        <v>15183.58</v>
      </c>
      <c r="E5126" s="535" t="n">
        <v>42530</v>
      </c>
      <c r="F5126" s="534" t="n">
        <v>1.198</v>
      </c>
    </row>
    <row r="5127">
      <c r="A5127" s="535" t="n">
        <v>38713</v>
      </c>
      <c r="B5127" s="534" t="n">
        <v>11.934</v>
      </c>
      <c r="C5127" s="534" t="n">
        <v>15183.58</v>
      </c>
      <c r="E5127" s="535" t="n">
        <v>42531</v>
      </c>
      <c r="F5127" s="534" t="n">
        <v>1.151</v>
      </c>
    </row>
    <row r="5128">
      <c r="A5128" s="535" t="n">
        <v>38714</v>
      </c>
      <c r="B5128" s="534" t="n">
        <v>11.847</v>
      </c>
      <c r="C5128" s="534" t="n">
        <v>15101.54</v>
      </c>
      <c r="E5128" s="535" t="n">
        <v>42534</v>
      </c>
      <c r="F5128" s="534" t="n">
        <v>1.112</v>
      </c>
    </row>
    <row r="5129">
      <c r="A5129" s="535" t="n">
        <v>38715</v>
      </c>
      <c r="B5129" s="534" t="n">
        <v>11.891</v>
      </c>
      <c r="C5129" s="534" t="n">
        <v>15045.59</v>
      </c>
      <c r="E5129" s="535" t="n">
        <v>42535</v>
      </c>
      <c r="F5129" s="534" t="n">
        <v>1.082</v>
      </c>
    </row>
    <row r="5130">
      <c r="A5130" s="535" t="n">
        <v>38716</v>
      </c>
      <c r="B5130" s="534" t="n">
        <v>11.804</v>
      </c>
      <c r="C5130" s="534" t="n">
        <v>14876.43</v>
      </c>
      <c r="E5130" s="535" t="n">
        <v>42536</v>
      </c>
      <c r="F5130" s="534" t="n">
        <v>1.147</v>
      </c>
    </row>
    <row r="5131">
      <c r="A5131" s="535" t="n">
        <v>38719</v>
      </c>
      <c r="B5131" s="534" t="n">
        <v>11.804</v>
      </c>
      <c r="C5131" s="534" t="n">
        <v>14876.43</v>
      </c>
      <c r="E5131" s="535" t="n">
        <v>42537</v>
      </c>
      <c r="F5131" s="534" t="n">
        <v>1.092</v>
      </c>
    </row>
    <row r="5132">
      <c r="A5132" s="535" t="n">
        <v>38720</v>
      </c>
      <c r="B5132" s="534" t="n">
        <v>11.934</v>
      </c>
      <c r="C5132" s="534" t="n">
        <v>14944.77</v>
      </c>
      <c r="E5132" s="535" t="n">
        <v>42538</v>
      </c>
      <c r="F5132" s="534" t="n">
        <v>1.141</v>
      </c>
    </row>
    <row r="5133">
      <c r="A5133" s="535" t="n">
        <v>38721</v>
      </c>
      <c r="B5133" s="534" t="n">
        <v>12.283</v>
      </c>
      <c r="C5133" s="534" t="n">
        <v>15200.06</v>
      </c>
      <c r="E5133" s="535" t="n">
        <v>42541</v>
      </c>
      <c r="F5133" s="534" t="n">
        <v>1.171</v>
      </c>
    </row>
    <row r="5134">
      <c r="A5134" s="535" t="n">
        <v>38722</v>
      </c>
      <c r="B5134" s="534" t="n">
        <v>12.326</v>
      </c>
      <c r="C5134" s="534" t="n">
        <v>15271.13</v>
      </c>
      <c r="E5134" s="535" t="n">
        <v>42542</v>
      </c>
      <c r="F5134" s="534" t="n">
        <v>1.171</v>
      </c>
    </row>
    <row r="5135">
      <c r="A5135" s="535" t="n">
        <v>38723</v>
      </c>
      <c r="B5135" s="534" t="n">
        <v>12.413</v>
      </c>
      <c r="C5135" s="534" t="n">
        <v>15344.44</v>
      </c>
      <c r="E5135" s="535" t="n">
        <v>42543</v>
      </c>
      <c r="F5135" s="534" t="n">
        <v>1.201</v>
      </c>
    </row>
    <row r="5136">
      <c r="A5136" s="535" t="n">
        <v>38726</v>
      </c>
      <c r="B5136" s="534" t="n">
        <v>12.5</v>
      </c>
      <c r="C5136" s="534" t="n">
        <v>15547.43</v>
      </c>
      <c r="E5136" s="535" t="n">
        <v>42544</v>
      </c>
      <c r="F5136" s="534" t="n">
        <v>1.215</v>
      </c>
    </row>
    <row r="5137">
      <c r="A5137" s="535" t="n">
        <v>38727</v>
      </c>
      <c r="B5137" s="534" t="n">
        <v>12.413</v>
      </c>
      <c r="C5137" s="534" t="n">
        <v>15569.91</v>
      </c>
      <c r="E5137" s="535" t="n">
        <v>42545</v>
      </c>
      <c r="F5137" s="534" t="n">
        <v>1.087</v>
      </c>
    </row>
    <row r="5138">
      <c r="A5138" s="535" t="n">
        <v>38728</v>
      </c>
      <c r="B5138" s="534" t="n">
        <v>12.283</v>
      </c>
      <c r="C5138" s="534" t="n">
        <v>15650.88</v>
      </c>
      <c r="E5138" s="535" t="n">
        <v>42548</v>
      </c>
      <c r="F5138" s="534" t="n">
        <v>1.059</v>
      </c>
    </row>
    <row r="5139">
      <c r="A5139" s="535" t="n">
        <v>38729</v>
      </c>
      <c r="B5139" s="534" t="n">
        <v>12.37</v>
      </c>
      <c r="C5139" s="534" t="n">
        <v>15719.37</v>
      </c>
      <c r="E5139" s="535" t="n">
        <v>42549</v>
      </c>
      <c r="F5139" s="534" t="n">
        <v>1.025</v>
      </c>
    </row>
    <row r="5140">
      <c r="A5140" s="535" t="n">
        <v>38730</v>
      </c>
      <c r="B5140" s="534" t="n">
        <v>12.457</v>
      </c>
      <c r="C5140" s="534" t="n">
        <v>15787.97</v>
      </c>
      <c r="E5140" s="535" t="n">
        <v>42550</v>
      </c>
      <c r="F5140" s="534" t="n">
        <v>1.004</v>
      </c>
    </row>
    <row r="5141">
      <c r="A5141" s="535" t="n">
        <v>38733</v>
      </c>
      <c r="B5141" s="534" t="n">
        <v>12.326</v>
      </c>
      <c r="C5141" s="534" t="n">
        <v>15777.72</v>
      </c>
      <c r="E5141" s="535" t="n">
        <v>42551</v>
      </c>
      <c r="F5141" s="534" t="n">
        <v>1.048</v>
      </c>
    </row>
    <row r="5142">
      <c r="A5142" s="535" t="n">
        <v>38734</v>
      </c>
      <c r="B5142" s="534" t="n">
        <v>12.283</v>
      </c>
      <c r="C5142" s="534" t="n">
        <v>15576.2</v>
      </c>
      <c r="E5142" s="535" t="n">
        <v>42552</v>
      </c>
      <c r="F5142" s="534" t="n">
        <v>1.048</v>
      </c>
    </row>
    <row r="5143">
      <c r="A5143" s="535" t="n">
        <v>38735</v>
      </c>
      <c r="B5143" s="534" t="n">
        <v>12.152</v>
      </c>
      <c r="C5143" s="534" t="n">
        <v>15481.21</v>
      </c>
      <c r="E5143" s="535" t="n">
        <v>42555</v>
      </c>
      <c r="F5143" s="534" t="n">
        <v>1.008</v>
      </c>
    </row>
    <row r="5144">
      <c r="A5144" s="535" t="n">
        <v>38736</v>
      </c>
      <c r="B5144" s="534" t="n">
        <v>12.326</v>
      </c>
      <c r="C5144" s="534" t="n">
        <v>15670.42</v>
      </c>
      <c r="E5144" s="535" t="n">
        <v>42556</v>
      </c>
      <c r="F5144" s="534" t="n">
        <v>0.983</v>
      </c>
    </row>
    <row r="5145">
      <c r="A5145" s="535" t="n">
        <v>38737</v>
      </c>
      <c r="B5145" s="534" t="n">
        <v>12.326</v>
      </c>
      <c r="C5145" s="534" t="n">
        <v>15662.08</v>
      </c>
      <c r="E5145" s="535" t="n">
        <v>42557</v>
      </c>
      <c r="F5145" s="534" t="n">
        <v>0.983</v>
      </c>
    </row>
    <row r="5146">
      <c r="A5146" s="535" t="n">
        <v>38740</v>
      </c>
      <c r="B5146" s="534" t="n">
        <v>12.065</v>
      </c>
      <c r="C5146" s="534" t="n">
        <v>15464.77</v>
      </c>
      <c r="E5146" s="535" t="n">
        <v>42558</v>
      </c>
      <c r="F5146" s="534" t="n">
        <v>0.9429999999999999</v>
      </c>
    </row>
    <row r="5147">
      <c r="A5147" s="535" t="n">
        <v>38741</v>
      </c>
      <c r="B5147" s="534" t="n">
        <v>12.065</v>
      </c>
      <c r="C5147" s="534" t="n">
        <v>15530.57</v>
      </c>
      <c r="E5147" s="535" t="n">
        <v>42559</v>
      </c>
      <c r="F5147" s="534" t="n">
        <v>0.913</v>
      </c>
    </row>
    <row r="5148">
      <c r="A5148" s="535" t="n">
        <v>38742</v>
      </c>
      <c r="B5148" s="534" t="n">
        <v>12.152</v>
      </c>
      <c r="C5148" s="534" t="n">
        <v>15520.39</v>
      </c>
      <c r="E5148" s="535" t="n">
        <v>42562</v>
      </c>
      <c r="F5148" s="534" t="n">
        <v>0.888</v>
      </c>
    </row>
    <row r="5149">
      <c r="A5149" s="535" t="n">
        <v>38743</v>
      </c>
      <c r="B5149" s="534" t="n">
        <v>12.326</v>
      </c>
      <c r="C5149" s="534" t="n">
        <v>15520.07</v>
      </c>
      <c r="E5149" s="535" t="n">
        <v>42563</v>
      </c>
      <c r="F5149" s="534" t="n">
        <v>0.976</v>
      </c>
    </row>
    <row r="5150">
      <c r="A5150" s="535" t="n">
        <v>38744</v>
      </c>
      <c r="B5150" s="534" t="n">
        <v>12.37</v>
      </c>
      <c r="C5150" s="534" t="n">
        <v>15753.14</v>
      </c>
      <c r="E5150" s="535" t="n">
        <v>42564</v>
      </c>
      <c r="F5150" s="534" t="n">
        <v>0.991</v>
      </c>
    </row>
    <row r="5151">
      <c r="A5151" s="535" t="n">
        <v>38747</v>
      </c>
      <c r="B5151" s="534" t="n">
        <v>12.37</v>
      </c>
      <c r="C5151" s="534" t="n">
        <v>15753.14</v>
      </c>
      <c r="E5151" s="535" t="n">
        <v>42565</v>
      </c>
      <c r="F5151" s="534" t="n">
        <v>0.981</v>
      </c>
    </row>
    <row r="5152">
      <c r="A5152" s="535" t="n">
        <v>38748</v>
      </c>
      <c r="B5152" s="534" t="n">
        <v>12.37</v>
      </c>
      <c r="C5152" s="534" t="n">
        <v>15753.14</v>
      </c>
      <c r="E5152" s="535" t="n">
        <v>42566</v>
      </c>
      <c r="F5152" s="534" t="n">
        <v>1</v>
      </c>
    </row>
    <row r="5153">
      <c r="A5153" s="535" t="n">
        <v>38749</v>
      </c>
      <c r="B5153" s="534" t="n">
        <v>12.326</v>
      </c>
      <c r="C5153" s="534" t="n">
        <v>15742.3</v>
      </c>
      <c r="E5153" s="535" t="n">
        <v>42569</v>
      </c>
      <c r="F5153" s="534" t="n">
        <v>1.029</v>
      </c>
    </row>
    <row r="5154">
      <c r="A5154" s="535" t="n">
        <v>38750</v>
      </c>
      <c r="B5154" s="534" t="n">
        <v>12.37</v>
      </c>
      <c r="C5154" s="534" t="n">
        <v>15691.69</v>
      </c>
      <c r="E5154" s="535" t="n">
        <v>42570</v>
      </c>
      <c r="F5154" s="534" t="n">
        <v>0.991</v>
      </c>
    </row>
    <row r="5155">
      <c r="A5155" s="535" t="n">
        <v>38751</v>
      </c>
      <c r="B5155" s="534" t="n">
        <v>12.152</v>
      </c>
      <c r="C5155" s="534" t="n">
        <v>15429.73</v>
      </c>
      <c r="E5155" s="535" t="n">
        <v>42571</v>
      </c>
      <c r="F5155" s="534" t="n">
        <v>1.019</v>
      </c>
    </row>
    <row r="5156">
      <c r="A5156" s="535" t="n">
        <v>38754</v>
      </c>
      <c r="B5156" s="534" t="n">
        <v>12.108</v>
      </c>
      <c r="C5156" s="534" t="n">
        <v>15548.06</v>
      </c>
      <c r="E5156" s="535" t="n">
        <v>42572</v>
      </c>
      <c r="F5156" s="534" t="n">
        <v>1.043</v>
      </c>
    </row>
    <row r="5157">
      <c r="A5157" s="535" t="n">
        <v>38755</v>
      </c>
      <c r="B5157" s="534" t="n">
        <v>12.283</v>
      </c>
      <c r="C5157" s="534" t="n">
        <v>15517.01</v>
      </c>
      <c r="E5157" s="535" t="n">
        <v>42573</v>
      </c>
      <c r="F5157" s="534" t="n">
        <v>1.043</v>
      </c>
    </row>
    <row r="5158">
      <c r="A5158" s="535" t="n">
        <v>38756</v>
      </c>
      <c r="B5158" s="534" t="n">
        <v>12.108</v>
      </c>
      <c r="C5158" s="534" t="n">
        <v>15373.44</v>
      </c>
      <c r="E5158" s="535" t="n">
        <v>42576</v>
      </c>
      <c r="F5158" s="534" t="n">
        <v>1.048</v>
      </c>
    </row>
    <row r="5159">
      <c r="A5159" s="535" t="n">
        <v>38757</v>
      </c>
      <c r="B5159" s="534" t="n">
        <v>12.108</v>
      </c>
      <c r="C5159" s="534" t="n">
        <v>15413.43</v>
      </c>
      <c r="E5159" s="535" t="n">
        <v>42577</v>
      </c>
      <c r="F5159" s="534" t="n">
        <v>1.002</v>
      </c>
    </row>
    <row r="5160">
      <c r="A5160" s="535" t="n">
        <v>38758</v>
      </c>
      <c r="B5160" s="534" t="n">
        <v>12.152</v>
      </c>
      <c r="C5160" s="534" t="n">
        <v>15425.95</v>
      </c>
      <c r="E5160" s="535" t="n">
        <v>42578</v>
      </c>
      <c r="F5160" s="534" t="n">
        <v>0.997</v>
      </c>
    </row>
    <row r="5161">
      <c r="A5161" s="535" t="n">
        <v>38761</v>
      </c>
      <c r="B5161" s="534" t="n">
        <v>12.152</v>
      </c>
      <c r="C5161" s="534" t="n">
        <v>15312.09</v>
      </c>
      <c r="E5161" s="535" t="n">
        <v>42579</v>
      </c>
      <c r="F5161" s="534" t="n">
        <v>0.947</v>
      </c>
    </row>
    <row r="5162">
      <c r="A5162" s="535" t="n">
        <v>38762</v>
      </c>
      <c r="B5162" s="534" t="n">
        <v>12.283</v>
      </c>
      <c r="C5162" s="534" t="n">
        <v>15420.32</v>
      </c>
      <c r="E5162" s="535" t="n">
        <v>42580</v>
      </c>
      <c r="F5162" s="534" t="n">
        <v>0.9370000000000001</v>
      </c>
    </row>
    <row r="5163">
      <c r="A5163" s="535" t="n">
        <v>38763</v>
      </c>
      <c r="B5163" s="534" t="n">
        <v>12.413</v>
      </c>
      <c r="C5163" s="534" t="n">
        <v>15423.26</v>
      </c>
      <c r="E5163" s="535" t="n">
        <v>42583</v>
      </c>
      <c r="F5163" s="534" t="n">
        <v>0.907</v>
      </c>
    </row>
    <row r="5164">
      <c r="A5164" s="535" t="n">
        <v>38764</v>
      </c>
      <c r="B5164" s="534" t="n">
        <v>12.37</v>
      </c>
      <c r="C5164" s="534" t="n">
        <v>15450.88</v>
      </c>
      <c r="E5164" s="535" t="n">
        <v>42584</v>
      </c>
      <c r="F5164" s="534" t="n">
        <v>0.907</v>
      </c>
    </row>
    <row r="5165">
      <c r="A5165" s="535" t="n">
        <v>38765</v>
      </c>
      <c r="B5165" s="534" t="n">
        <v>12.37</v>
      </c>
      <c r="C5165" s="534" t="n">
        <v>15475.69</v>
      </c>
      <c r="E5165" s="535" t="n">
        <v>42585</v>
      </c>
      <c r="F5165" s="534" t="n">
        <v>0.965</v>
      </c>
    </row>
    <row r="5166">
      <c r="A5166" s="535" t="n">
        <v>38768</v>
      </c>
      <c r="B5166" s="534" t="n">
        <v>12.37</v>
      </c>
      <c r="C5166" s="534" t="n">
        <v>15598.67</v>
      </c>
      <c r="E5166" s="535" t="n">
        <v>42586</v>
      </c>
      <c r="F5166" s="534" t="n">
        <v>0.965</v>
      </c>
    </row>
    <row r="5167">
      <c r="A5167" s="535" t="n">
        <v>38769</v>
      </c>
      <c r="B5167" s="534" t="n">
        <v>12.457</v>
      </c>
      <c r="C5167" s="534" t="n">
        <v>15627.24</v>
      </c>
      <c r="E5167" s="535" t="n">
        <v>42587</v>
      </c>
      <c r="F5167" s="534" t="n">
        <v>0.925</v>
      </c>
    </row>
    <row r="5168">
      <c r="A5168" s="535" t="n">
        <v>38770</v>
      </c>
      <c r="B5168" s="534" t="n">
        <v>12.544</v>
      </c>
      <c r="C5168" s="534" t="n">
        <v>15635.72</v>
      </c>
      <c r="E5168" s="535" t="n">
        <v>42590</v>
      </c>
      <c r="F5168" s="534" t="n">
        <v>0.974</v>
      </c>
    </row>
    <row r="5169">
      <c r="A5169" s="535" t="n">
        <v>38771</v>
      </c>
      <c r="B5169" s="534" t="n">
        <v>12.588</v>
      </c>
      <c r="C5169" s="534" t="n">
        <v>15812.53</v>
      </c>
      <c r="E5169" s="535" t="n">
        <v>42591</v>
      </c>
      <c r="F5169" s="534" t="n">
        <v>0.967</v>
      </c>
    </row>
    <row r="5170">
      <c r="A5170" s="535" t="n">
        <v>38772</v>
      </c>
      <c r="B5170" s="534" t="n">
        <v>12.457</v>
      </c>
      <c r="C5170" s="534" t="n">
        <v>15856.05</v>
      </c>
      <c r="E5170" s="535" t="n">
        <v>42592</v>
      </c>
      <c r="F5170" s="534" t="n">
        <v>0.966</v>
      </c>
    </row>
    <row r="5171">
      <c r="A5171" s="535" t="n">
        <v>38775</v>
      </c>
      <c r="B5171" s="534" t="n">
        <v>12.588</v>
      </c>
      <c r="C5171" s="534" t="n">
        <v>15949.89</v>
      </c>
      <c r="E5171" s="535" t="n">
        <v>42593</v>
      </c>
      <c r="F5171" s="534" t="n">
        <v>0.922</v>
      </c>
    </row>
    <row r="5172">
      <c r="A5172" s="535" t="n">
        <v>38776</v>
      </c>
      <c r="B5172" s="534" t="n">
        <v>12.588</v>
      </c>
      <c r="C5172" s="534" t="n">
        <v>15918.48</v>
      </c>
      <c r="E5172" s="535" t="n">
        <v>42594</v>
      </c>
      <c r="F5172" s="534" t="n">
        <v>0.9330000000000001</v>
      </c>
    </row>
    <row r="5173">
      <c r="A5173" s="535" t="n">
        <v>38777</v>
      </c>
      <c r="B5173" s="534" t="n">
        <v>12.544</v>
      </c>
      <c r="C5173" s="534" t="n">
        <v>15818.09</v>
      </c>
      <c r="E5173" s="535" t="n">
        <v>42597</v>
      </c>
      <c r="F5173" s="534" t="n">
        <v>0.925</v>
      </c>
    </row>
    <row r="5174">
      <c r="A5174" s="535" t="n">
        <v>38778</v>
      </c>
      <c r="B5174" s="534" t="n">
        <v>12.5</v>
      </c>
      <c r="C5174" s="534" t="n">
        <v>15882.45</v>
      </c>
      <c r="E5174" s="535" t="n">
        <v>42598</v>
      </c>
      <c r="F5174" s="534" t="n">
        <v>0.897</v>
      </c>
    </row>
    <row r="5175">
      <c r="A5175" s="535" t="n">
        <v>38779</v>
      </c>
      <c r="B5175" s="534" t="n">
        <v>12.37</v>
      </c>
      <c r="C5175" s="534" t="n">
        <v>15802</v>
      </c>
      <c r="E5175" s="535" t="n">
        <v>42599</v>
      </c>
      <c r="F5175" s="534" t="n">
        <v>0.922</v>
      </c>
    </row>
    <row r="5176">
      <c r="A5176" s="535" t="n">
        <v>38782</v>
      </c>
      <c r="B5176" s="534" t="n">
        <v>12.37</v>
      </c>
      <c r="C5176" s="534" t="n">
        <v>15811.83</v>
      </c>
      <c r="E5176" s="535" t="n">
        <v>42600</v>
      </c>
      <c r="F5176" s="534" t="n">
        <v>0.922</v>
      </c>
    </row>
    <row r="5177">
      <c r="A5177" s="535" t="n">
        <v>38783</v>
      </c>
      <c r="B5177" s="534" t="n">
        <v>12.283</v>
      </c>
      <c r="C5177" s="534" t="n">
        <v>15602.36</v>
      </c>
      <c r="E5177" s="535" t="n">
        <v>42601</v>
      </c>
      <c r="F5177" s="534" t="n">
        <v>0.946</v>
      </c>
    </row>
    <row r="5178">
      <c r="A5178" s="535" t="n">
        <v>38784</v>
      </c>
      <c r="B5178" s="534" t="n">
        <v>11.891</v>
      </c>
      <c r="C5178" s="534" t="n">
        <v>15493.09</v>
      </c>
      <c r="E5178" s="535" t="n">
        <v>42604</v>
      </c>
      <c r="F5178" s="534" t="n">
        <v>0.995</v>
      </c>
    </row>
    <row r="5179">
      <c r="A5179" s="535" t="n">
        <v>38785</v>
      </c>
      <c r="B5179" s="534" t="n">
        <v>12.021</v>
      </c>
      <c r="C5179" s="534" t="n">
        <v>15510.13</v>
      </c>
      <c r="E5179" s="535" t="n">
        <v>42605</v>
      </c>
      <c r="F5179" s="534" t="n">
        <v>0.945</v>
      </c>
    </row>
    <row r="5180">
      <c r="A5180" s="535" t="n">
        <v>38786</v>
      </c>
      <c r="B5180" s="534" t="n">
        <v>11.934</v>
      </c>
      <c r="C5180" s="534" t="n">
        <v>15445.05</v>
      </c>
      <c r="E5180" s="535" t="n">
        <v>42606</v>
      </c>
      <c r="F5180" s="534" t="n">
        <v>0.9350000000000001</v>
      </c>
    </row>
    <row r="5181">
      <c r="A5181" s="535" t="n">
        <v>38789</v>
      </c>
      <c r="B5181" s="534" t="n">
        <v>11.978</v>
      </c>
      <c r="C5181" s="534" t="n">
        <v>15542.07</v>
      </c>
      <c r="E5181" s="535" t="n">
        <v>42607</v>
      </c>
      <c r="F5181" s="534" t="n">
        <v>0.944</v>
      </c>
    </row>
    <row r="5182">
      <c r="A5182" s="535" t="n">
        <v>38790</v>
      </c>
      <c r="B5182" s="534" t="n">
        <v>11.847</v>
      </c>
      <c r="C5182" s="534" t="n">
        <v>15519.76</v>
      </c>
      <c r="E5182" s="535" t="n">
        <v>42608</v>
      </c>
      <c r="F5182" s="534" t="n">
        <v>0.958</v>
      </c>
    </row>
    <row r="5183">
      <c r="A5183" s="535" t="n">
        <v>38791</v>
      </c>
      <c r="B5183" s="534" t="n">
        <v>12.021</v>
      </c>
      <c r="C5183" s="534" t="n">
        <v>15720.36</v>
      </c>
      <c r="E5183" s="535" t="n">
        <v>42611</v>
      </c>
      <c r="F5183" s="534" t="n">
        <v>0.968</v>
      </c>
    </row>
    <row r="5184">
      <c r="A5184" s="535" t="n">
        <v>38792</v>
      </c>
      <c r="B5184" s="534" t="n">
        <v>11.978</v>
      </c>
      <c r="C5184" s="534" t="n">
        <v>15729.04</v>
      </c>
      <c r="E5184" s="535" t="n">
        <v>42612</v>
      </c>
      <c r="F5184" s="534" t="n">
        <v>0.953</v>
      </c>
    </row>
    <row r="5185">
      <c r="A5185" s="535" t="n">
        <v>38793</v>
      </c>
      <c r="B5185" s="534" t="n">
        <v>12.021</v>
      </c>
      <c r="C5185" s="534" t="n">
        <v>15801.66</v>
      </c>
      <c r="E5185" s="535" t="n">
        <v>42613</v>
      </c>
      <c r="F5185" s="534" t="n">
        <v>0.967</v>
      </c>
    </row>
    <row r="5186">
      <c r="A5186" s="535" t="n">
        <v>38796</v>
      </c>
      <c r="B5186" s="534" t="n">
        <v>12.108</v>
      </c>
      <c r="C5186" s="534" t="n">
        <v>15929.95</v>
      </c>
      <c r="E5186" s="535" t="n">
        <v>42614</v>
      </c>
      <c r="F5186" s="534" t="n">
        <v>0.987</v>
      </c>
    </row>
    <row r="5187">
      <c r="A5187" s="535" t="n">
        <v>38797</v>
      </c>
      <c r="B5187" s="534" t="n">
        <v>12.152</v>
      </c>
      <c r="C5187" s="534" t="n">
        <v>15922.75</v>
      </c>
      <c r="E5187" s="535" t="n">
        <v>42615</v>
      </c>
      <c r="F5187" s="534" t="n">
        <v>0.986</v>
      </c>
    </row>
    <row r="5188">
      <c r="A5188" s="535" t="n">
        <v>38798</v>
      </c>
      <c r="B5188" s="534" t="n">
        <v>11.978</v>
      </c>
      <c r="C5188" s="534" t="n">
        <v>15642.81</v>
      </c>
      <c r="E5188" s="535" t="n">
        <v>42618</v>
      </c>
      <c r="F5188" s="534" t="n">
        <v>0.971</v>
      </c>
    </row>
    <row r="5189">
      <c r="A5189" s="535" t="n">
        <v>38799</v>
      </c>
      <c r="B5189" s="534" t="n">
        <v>12.021</v>
      </c>
      <c r="C5189" s="534" t="n">
        <v>15771.17</v>
      </c>
      <c r="E5189" s="535" t="n">
        <v>42619</v>
      </c>
      <c r="F5189" s="534" t="n">
        <v>0.966</v>
      </c>
    </row>
    <row r="5190">
      <c r="A5190" s="535" t="n">
        <v>38800</v>
      </c>
      <c r="B5190" s="534" t="n">
        <v>12.065</v>
      </c>
      <c r="C5190" s="534" t="n">
        <v>15716.46</v>
      </c>
      <c r="E5190" s="535" t="n">
        <v>42620</v>
      </c>
      <c r="F5190" s="534" t="n">
        <v>0.895</v>
      </c>
    </row>
    <row r="5191">
      <c r="A5191" s="535" t="n">
        <v>38803</v>
      </c>
      <c r="B5191" s="534" t="n">
        <v>12.152</v>
      </c>
      <c r="C5191" s="534" t="n">
        <v>15815.87</v>
      </c>
      <c r="E5191" s="535" t="n">
        <v>42621</v>
      </c>
      <c r="F5191" s="534" t="n">
        <v>0.89</v>
      </c>
    </row>
    <row r="5192">
      <c r="A5192" s="535" t="n">
        <v>38804</v>
      </c>
      <c r="B5192" s="534" t="n">
        <v>12.152</v>
      </c>
      <c r="C5192" s="534" t="n">
        <v>15856.58</v>
      </c>
      <c r="E5192" s="535" t="n">
        <v>42622</v>
      </c>
      <c r="F5192" s="534" t="n">
        <v>0.944</v>
      </c>
    </row>
    <row r="5193">
      <c r="A5193" s="535" t="n">
        <v>38805</v>
      </c>
      <c r="B5193" s="534" t="n">
        <v>11.978</v>
      </c>
      <c r="C5193" s="534" t="n">
        <v>15745.11</v>
      </c>
      <c r="E5193" s="535" t="n">
        <v>42625</v>
      </c>
      <c r="F5193" s="534" t="n">
        <v>1.05</v>
      </c>
    </row>
    <row r="5194">
      <c r="A5194" s="535" t="n">
        <v>38806</v>
      </c>
      <c r="B5194" s="534" t="n">
        <v>11.978</v>
      </c>
      <c r="C5194" s="534" t="n">
        <v>15880.69</v>
      </c>
      <c r="E5194" s="535" t="n">
        <v>42626</v>
      </c>
      <c r="F5194" s="534" t="n">
        <v>1.024</v>
      </c>
    </row>
    <row r="5195">
      <c r="A5195" s="535" t="n">
        <v>38807</v>
      </c>
      <c r="B5195" s="534" t="n">
        <v>11.847</v>
      </c>
      <c r="C5195" s="534" t="n">
        <v>15805.04</v>
      </c>
      <c r="E5195" s="535" t="n">
        <v>42627</v>
      </c>
      <c r="F5195" s="534" t="n">
        <v>1.12</v>
      </c>
    </row>
    <row r="5196">
      <c r="A5196" s="535" t="n">
        <v>38810</v>
      </c>
      <c r="B5196" s="534" t="n">
        <v>11.934</v>
      </c>
      <c r="C5196" s="534" t="n">
        <v>16063.75</v>
      </c>
      <c r="E5196" s="535" t="n">
        <v>42628</v>
      </c>
      <c r="F5196" s="534" t="n">
        <v>1.074</v>
      </c>
    </row>
    <row r="5197">
      <c r="A5197" s="535" t="n">
        <v>38811</v>
      </c>
      <c r="B5197" s="534" t="n">
        <v>11.934</v>
      </c>
      <c r="C5197" s="534" t="n">
        <v>16100.09</v>
      </c>
      <c r="E5197" s="535" t="n">
        <v>42629</v>
      </c>
      <c r="F5197" s="534" t="n">
        <v>1.074</v>
      </c>
    </row>
    <row r="5198">
      <c r="A5198" s="535" t="n">
        <v>38812</v>
      </c>
      <c r="B5198" s="534" t="n">
        <v>11.934</v>
      </c>
      <c r="C5198" s="534" t="n">
        <v>16100.09</v>
      </c>
      <c r="E5198" s="535" t="n">
        <v>42632</v>
      </c>
      <c r="F5198" s="534" t="n">
        <v>1.089</v>
      </c>
    </row>
    <row r="5199">
      <c r="A5199" s="535" t="n">
        <v>38813</v>
      </c>
      <c r="B5199" s="534" t="n">
        <v>12.196</v>
      </c>
      <c r="C5199" s="534" t="n">
        <v>16411.13</v>
      </c>
      <c r="E5199" s="535" t="n">
        <v>42633</v>
      </c>
      <c r="F5199" s="534" t="n">
        <v>1.093</v>
      </c>
    </row>
    <row r="5200">
      <c r="A5200" s="535" t="n">
        <v>38814</v>
      </c>
      <c r="B5200" s="534" t="n">
        <v>12.152</v>
      </c>
      <c r="C5200" s="534" t="n">
        <v>16471.78</v>
      </c>
      <c r="E5200" s="535" t="n">
        <v>42634</v>
      </c>
      <c r="F5200" s="534" t="n">
        <v>1.088</v>
      </c>
    </row>
    <row r="5201">
      <c r="A5201" s="535" t="n">
        <v>38817</v>
      </c>
      <c r="B5201" s="534" t="n">
        <v>12.065</v>
      </c>
      <c r="C5201" s="534" t="n">
        <v>16521.59</v>
      </c>
      <c r="E5201" s="535" t="n">
        <v>42635</v>
      </c>
      <c r="F5201" s="534" t="n">
        <v>1.026</v>
      </c>
    </row>
    <row r="5202">
      <c r="A5202" s="535" t="n">
        <v>38818</v>
      </c>
      <c r="B5202" s="534" t="n">
        <v>12.021</v>
      </c>
      <c r="C5202" s="534" t="n">
        <v>16475.81</v>
      </c>
      <c r="E5202" s="535" t="n">
        <v>42636</v>
      </c>
      <c r="F5202" s="534" t="n">
        <v>0.996</v>
      </c>
    </row>
    <row r="5203">
      <c r="A5203" s="535" t="n">
        <v>38819</v>
      </c>
      <c r="B5203" s="534" t="n">
        <v>11.847</v>
      </c>
      <c r="C5203" s="534" t="n">
        <v>16310.76</v>
      </c>
      <c r="E5203" s="535" t="n">
        <v>42639</v>
      </c>
      <c r="F5203" s="534" t="n">
        <v>0.97</v>
      </c>
    </row>
    <row r="5204">
      <c r="A5204" s="535" t="n">
        <v>38820</v>
      </c>
      <c r="B5204" s="534" t="n">
        <v>11.978</v>
      </c>
      <c r="C5204" s="534" t="n">
        <v>16429.45</v>
      </c>
      <c r="E5204" s="535" t="n">
        <v>42640</v>
      </c>
      <c r="F5204" s="534" t="n">
        <v>1</v>
      </c>
    </row>
    <row r="5205">
      <c r="A5205" s="535" t="n">
        <v>38821</v>
      </c>
      <c r="B5205" s="534" t="n">
        <v>11.978</v>
      </c>
      <c r="C5205" s="534" t="n">
        <v>16429.45</v>
      </c>
      <c r="E5205" s="535" t="n">
        <v>42641</v>
      </c>
      <c r="F5205" s="534" t="n">
        <v>0.98</v>
      </c>
    </row>
    <row r="5206">
      <c r="A5206" s="535" t="n">
        <v>38824</v>
      </c>
      <c r="B5206" s="534" t="n">
        <v>11.978</v>
      </c>
      <c r="C5206" s="534" t="n">
        <v>16429.45</v>
      </c>
      <c r="E5206" s="535" t="n">
        <v>42642</v>
      </c>
      <c r="F5206" s="534" t="n">
        <v>0.989</v>
      </c>
    </row>
    <row r="5207">
      <c r="A5207" s="535" t="n">
        <v>38825</v>
      </c>
      <c r="B5207" s="534" t="n">
        <v>12.021</v>
      </c>
      <c r="C5207" s="534" t="n">
        <v>16637.53</v>
      </c>
      <c r="E5207" s="535" t="n">
        <v>42643</v>
      </c>
      <c r="F5207" s="534" t="n">
        <v>0.961</v>
      </c>
    </row>
    <row r="5208">
      <c r="A5208" s="535" t="n">
        <v>38826</v>
      </c>
      <c r="B5208" s="534" t="n">
        <v>12.108</v>
      </c>
      <c r="C5208" s="534" t="n">
        <v>16830.44</v>
      </c>
      <c r="E5208" s="535" t="n">
        <v>42646</v>
      </c>
      <c r="F5208" s="534" t="n">
        <v>1.009</v>
      </c>
    </row>
    <row r="5209">
      <c r="A5209" s="535" t="n">
        <v>38827</v>
      </c>
      <c r="B5209" s="534" t="n">
        <v>12.021</v>
      </c>
      <c r="C5209" s="534" t="n">
        <v>16944.34</v>
      </c>
      <c r="E5209" s="535" t="n">
        <v>42647</v>
      </c>
      <c r="F5209" s="534" t="n">
        <v>1.008</v>
      </c>
    </row>
    <row r="5210">
      <c r="A5210" s="535" t="n">
        <v>38828</v>
      </c>
      <c r="B5210" s="534" t="n">
        <v>12.021</v>
      </c>
      <c r="C5210" s="534" t="n">
        <v>16912.15</v>
      </c>
      <c r="E5210" s="535" t="n">
        <v>42648</v>
      </c>
      <c r="F5210" s="534" t="n">
        <v>1.049</v>
      </c>
    </row>
    <row r="5211">
      <c r="A5211" s="535" t="n">
        <v>38831</v>
      </c>
      <c r="B5211" s="534" t="n">
        <v>11.891</v>
      </c>
      <c r="C5211" s="534" t="n">
        <v>16705.67</v>
      </c>
      <c r="E5211" s="535" t="n">
        <v>42649</v>
      </c>
      <c r="F5211" s="534" t="n">
        <v>1.049</v>
      </c>
    </row>
    <row r="5212">
      <c r="A5212" s="535" t="n">
        <v>38832</v>
      </c>
      <c r="B5212" s="534" t="n">
        <v>11.891</v>
      </c>
      <c r="C5212" s="534" t="n">
        <v>16577.77</v>
      </c>
      <c r="E5212" s="535" t="n">
        <v>42650</v>
      </c>
      <c r="F5212" s="534" t="n">
        <v>1.043</v>
      </c>
    </row>
    <row r="5213">
      <c r="A5213" s="535" t="n">
        <v>38833</v>
      </c>
      <c r="B5213" s="534" t="n">
        <v>11.978</v>
      </c>
      <c r="C5213" s="534" t="n">
        <v>16672.66</v>
      </c>
      <c r="E5213" s="535" t="n">
        <v>42653</v>
      </c>
      <c r="F5213" s="534" t="n">
        <v>1.043</v>
      </c>
    </row>
    <row r="5214">
      <c r="A5214" s="535" t="n">
        <v>38834</v>
      </c>
      <c r="B5214" s="534" t="n">
        <v>12.065</v>
      </c>
      <c r="C5214" s="534" t="n">
        <v>16742.85</v>
      </c>
      <c r="E5214" s="535" t="n">
        <v>42654</v>
      </c>
      <c r="F5214" s="534" t="n">
        <v>1.093</v>
      </c>
    </row>
    <row r="5215">
      <c r="A5215" s="535" t="n">
        <v>38835</v>
      </c>
      <c r="B5215" s="534" t="n">
        <v>12.065</v>
      </c>
      <c r="C5215" s="534" t="n">
        <v>16661.3</v>
      </c>
      <c r="E5215" s="535" t="n">
        <v>42655</v>
      </c>
      <c r="F5215" s="534" t="n">
        <v>1.103</v>
      </c>
    </row>
    <row r="5216">
      <c r="A5216" s="535" t="n">
        <v>38838</v>
      </c>
      <c r="B5216" s="534" t="n">
        <v>12.065</v>
      </c>
      <c r="C5216" s="534" t="n">
        <v>16661.3</v>
      </c>
      <c r="E5216" s="535" t="n">
        <v>42656</v>
      </c>
      <c r="F5216" s="534" t="n">
        <v>1.042</v>
      </c>
    </row>
    <row r="5217">
      <c r="A5217" s="535" t="n">
        <v>38839</v>
      </c>
      <c r="B5217" s="534" t="n">
        <v>12.108</v>
      </c>
      <c r="C5217" s="534" t="n">
        <v>16868.04</v>
      </c>
      <c r="E5217" s="535" t="n">
        <v>42657</v>
      </c>
      <c r="F5217" s="534" t="n">
        <v>1.051</v>
      </c>
    </row>
    <row r="5218">
      <c r="A5218" s="535" t="n">
        <v>38840</v>
      </c>
      <c r="B5218" s="534" t="n">
        <v>11.891</v>
      </c>
      <c r="C5218" s="534" t="n">
        <v>17026.98</v>
      </c>
      <c r="E5218" s="535" t="n">
        <v>42660</v>
      </c>
      <c r="F5218" s="534" t="n">
        <v>1.082</v>
      </c>
    </row>
    <row r="5219">
      <c r="A5219" s="535" t="n">
        <v>38841</v>
      </c>
      <c r="B5219" s="534" t="n">
        <v>11.891</v>
      </c>
      <c r="C5219" s="534" t="n">
        <v>17013.93</v>
      </c>
      <c r="E5219" s="535" t="n">
        <v>42661</v>
      </c>
      <c r="F5219" s="534" t="n">
        <v>1.046</v>
      </c>
    </row>
    <row r="5220">
      <c r="A5220" s="535" t="n">
        <v>38842</v>
      </c>
      <c r="B5220" s="534" t="n">
        <v>11.891</v>
      </c>
      <c r="C5220" s="534" t="n">
        <v>17013.93</v>
      </c>
      <c r="E5220" s="535" t="n">
        <v>42662</v>
      </c>
      <c r="F5220" s="534" t="n">
        <v>1.045</v>
      </c>
    </row>
    <row r="5221">
      <c r="A5221" s="535" t="n">
        <v>38845</v>
      </c>
      <c r="B5221" s="534" t="n">
        <v>11.934</v>
      </c>
      <c r="C5221" s="534" t="n">
        <v>17301.79</v>
      </c>
      <c r="E5221" s="535" t="n">
        <v>42663</v>
      </c>
      <c r="F5221" s="534" t="n">
        <v>1.045</v>
      </c>
    </row>
    <row r="5222">
      <c r="A5222" s="535" t="n">
        <v>38846</v>
      </c>
      <c r="B5222" s="534" t="n">
        <v>11.847</v>
      </c>
      <c r="C5222" s="534" t="n">
        <v>17133.99</v>
      </c>
      <c r="E5222" s="535" t="n">
        <v>42664</v>
      </c>
      <c r="F5222" s="534" t="n">
        <v>1.045</v>
      </c>
    </row>
    <row r="5223">
      <c r="A5223" s="535" t="n">
        <v>38847</v>
      </c>
      <c r="B5223" s="534" t="n">
        <v>11.847</v>
      </c>
      <c r="C5223" s="534" t="n">
        <v>17080.59</v>
      </c>
      <c r="E5223" s="535" t="n">
        <v>42667</v>
      </c>
      <c r="F5223" s="534" t="n">
        <v>1.044</v>
      </c>
    </row>
    <row r="5224">
      <c r="A5224" s="535" t="n">
        <v>38848</v>
      </c>
      <c r="B5224" s="534" t="n">
        <v>11.891</v>
      </c>
      <c r="C5224" s="534" t="n">
        <v>17140.78</v>
      </c>
      <c r="E5224" s="535" t="n">
        <v>42668</v>
      </c>
      <c r="F5224" s="534" t="n">
        <v>1.044</v>
      </c>
    </row>
    <row r="5225">
      <c r="A5225" s="535" t="n">
        <v>38849</v>
      </c>
      <c r="B5225" s="534" t="n">
        <v>11.76</v>
      </c>
      <c r="C5225" s="534" t="n">
        <v>16901.85</v>
      </c>
      <c r="E5225" s="535" t="n">
        <v>42669</v>
      </c>
      <c r="F5225" s="534" t="n">
        <v>1.043</v>
      </c>
    </row>
    <row r="5226">
      <c r="A5226" s="535" t="n">
        <v>38852</v>
      </c>
      <c r="B5226" s="534" t="n">
        <v>11.673</v>
      </c>
      <c r="C5226" s="534" t="n">
        <v>16494.84</v>
      </c>
      <c r="E5226" s="535" t="n">
        <v>42670</v>
      </c>
      <c r="F5226" s="534" t="n">
        <v>1.043</v>
      </c>
    </row>
    <row r="5227">
      <c r="A5227" s="535" t="n">
        <v>38853</v>
      </c>
      <c r="B5227" s="534" t="n">
        <v>11.629</v>
      </c>
      <c r="C5227" s="534" t="n">
        <v>16393.11</v>
      </c>
      <c r="E5227" s="535" t="n">
        <v>42671</v>
      </c>
      <c r="F5227" s="534" t="n">
        <v>1.114</v>
      </c>
    </row>
    <row r="5228">
      <c r="A5228" s="535" t="n">
        <v>38854</v>
      </c>
      <c r="B5228" s="534" t="n">
        <v>11.542</v>
      </c>
      <c r="C5228" s="534" t="n">
        <v>16615.55</v>
      </c>
      <c r="E5228" s="535" t="n">
        <v>42674</v>
      </c>
      <c r="F5228" s="534" t="n">
        <v>1.088</v>
      </c>
    </row>
    <row r="5229">
      <c r="A5229" s="535" t="n">
        <v>38855</v>
      </c>
      <c r="B5229" s="534" t="n">
        <v>11.499</v>
      </c>
      <c r="C5229" s="534" t="n">
        <v>16266.52</v>
      </c>
      <c r="E5229" s="535" t="n">
        <v>42675</v>
      </c>
      <c r="F5229" s="534" t="n">
        <v>1.078</v>
      </c>
    </row>
    <row r="5230">
      <c r="A5230" s="535" t="n">
        <v>38856</v>
      </c>
      <c r="B5230" s="534" t="n">
        <v>11.455</v>
      </c>
      <c r="C5230" s="534" t="n">
        <v>16313.36</v>
      </c>
      <c r="E5230" s="535" t="n">
        <v>42676</v>
      </c>
      <c r="F5230" s="534" t="n">
        <v>1.042</v>
      </c>
    </row>
    <row r="5231">
      <c r="A5231" s="535" t="n">
        <v>38859</v>
      </c>
      <c r="B5231" s="534" t="n">
        <v>11.237</v>
      </c>
      <c r="C5231" s="534" t="n">
        <v>15805.52</v>
      </c>
      <c r="E5231" s="535" t="n">
        <v>42677</v>
      </c>
      <c r="F5231" s="534" t="n">
        <v>1.077</v>
      </c>
    </row>
    <row r="5232">
      <c r="A5232" s="535" t="n">
        <v>38860</v>
      </c>
      <c r="B5232" s="534" t="n">
        <v>11.324</v>
      </c>
      <c r="C5232" s="534" t="n">
        <v>15864.56</v>
      </c>
      <c r="E5232" s="535" t="n">
        <v>42678</v>
      </c>
      <c r="F5232" s="534" t="n">
        <v>1.077</v>
      </c>
    </row>
    <row r="5233">
      <c r="A5233" s="535" t="n">
        <v>38861</v>
      </c>
      <c r="B5233" s="534" t="n">
        <v>11.324</v>
      </c>
      <c r="C5233" s="534" t="n">
        <v>15822.64</v>
      </c>
      <c r="E5233" s="535" t="n">
        <v>42681</v>
      </c>
      <c r="F5233" s="534" t="n">
        <v>1.076</v>
      </c>
    </row>
    <row r="5234">
      <c r="A5234" s="535" t="n">
        <v>38862</v>
      </c>
      <c r="B5234" s="534" t="n">
        <v>11.194</v>
      </c>
      <c r="C5234" s="534" t="n">
        <v>15696.89</v>
      </c>
      <c r="E5234" s="535" t="n">
        <v>42682</v>
      </c>
      <c r="F5234" s="534" t="n">
        <v>1.092</v>
      </c>
    </row>
    <row r="5235">
      <c r="A5235" s="535" t="n">
        <v>38863</v>
      </c>
      <c r="B5235" s="534" t="n">
        <v>11.237</v>
      </c>
      <c r="C5235" s="534" t="n">
        <v>15895.1</v>
      </c>
      <c r="E5235" s="535" t="n">
        <v>42683</v>
      </c>
      <c r="F5235" s="534" t="n">
        <v>1.071</v>
      </c>
    </row>
    <row r="5236">
      <c r="A5236" s="535" t="n">
        <v>38866</v>
      </c>
      <c r="B5236" s="534" t="n">
        <v>11.281</v>
      </c>
      <c r="C5236" s="534" t="n">
        <v>15963.77</v>
      </c>
      <c r="E5236" s="535" t="n">
        <v>42684</v>
      </c>
      <c r="F5236" s="534" t="n">
        <v>1.226</v>
      </c>
    </row>
    <row r="5237">
      <c r="A5237" s="535" t="n">
        <v>38867</v>
      </c>
      <c r="B5237" s="534" t="n">
        <v>11.15</v>
      </c>
      <c r="C5237" s="534" t="n">
        <v>15857.89</v>
      </c>
      <c r="E5237" s="535" t="n">
        <v>42685</v>
      </c>
      <c r="F5237" s="534" t="n">
        <v>1.384</v>
      </c>
    </row>
    <row r="5238">
      <c r="A5238" s="535" t="n">
        <v>38868</v>
      </c>
      <c r="B5238" s="534" t="n">
        <v>11.15</v>
      </c>
      <c r="C5238" s="534" t="n">
        <v>15857.89</v>
      </c>
      <c r="E5238" s="535" t="n">
        <v>42688</v>
      </c>
      <c r="F5238" s="534" t="n">
        <v>1.502</v>
      </c>
    </row>
    <row r="5239">
      <c r="A5239" s="535" t="n">
        <v>38869</v>
      </c>
      <c r="B5239" s="534" t="n">
        <v>11.107</v>
      </c>
      <c r="C5239" s="534" t="n">
        <v>15645.27</v>
      </c>
      <c r="E5239" s="535" t="n">
        <v>42689</v>
      </c>
      <c r="F5239" s="534" t="n">
        <v>1.379</v>
      </c>
    </row>
    <row r="5240">
      <c r="A5240" s="535" t="n">
        <v>38870</v>
      </c>
      <c r="B5240" s="534" t="n">
        <v>11.281</v>
      </c>
      <c r="C5240" s="534" t="n">
        <v>15912.71</v>
      </c>
      <c r="E5240" s="535" t="n">
        <v>42690</v>
      </c>
      <c r="F5240" s="534" t="n">
        <v>1.393</v>
      </c>
    </row>
    <row r="5241">
      <c r="A5241" s="535" t="n">
        <v>38873</v>
      </c>
      <c r="B5241" s="534" t="n">
        <v>11.281</v>
      </c>
      <c r="C5241" s="534" t="n">
        <v>16016.23</v>
      </c>
      <c r="E5241" s="535" t="n">
        <v>42691</v>
      </c>
      <c r="F5241" s="534" t="n">
        <v>1.309</v>
      </c>
    </row>
    <row r="5242">
      <c r="A5242" s="535" t="n">
        <v>38874</v>
      </c>
      <c r="B5242" s="534" t="n">
        <v>11.281</v>
      </c>
      <c r="C5242" s="534" t="n">
        <v>15973.11</v>
      </c>
      <c r="E5242" s="535" t="n">
        <v>42692</v>
      </c>
      <c r="F5242" s="534" t="n">
        <v>1.378</v>
      </c>
    </row>
    <row r="5243">
      <c r="A5243" s="535" t="n">
        <v>38875</v>
      </c>
      <c r="B5243" s="534" t="n">
        <v>11.281</v>
      </c>
      <c r="C5243" s="534" t="n">
        <v>15816.55</v>
      </c>
      <c r="E5243" s="535" t="n">
        <v>42695</v>
      </c>
      <c r="F5243" s="534" t="n">
        <v>1.368</v>
      </c>
    </row>
    <row r="5244">
      <c r="A5244" s="535" t="n">
        <v>38876</v>
      </c>
      <c r="B5244" s="534" t="n">
        <v>11.281</v>
      </c>
      <c r="C5244" s="534" t="n">
        <v>15450.11</v>
      </c>
      <c r="E5244" s="535" t="n">
        <v>42696</v>
      </c>
      <c r="F5244" s="534" t="n">
        <v>1.378</v>
      </c>
    </row>
    <row r="5245">
      <c r="A5245" s="535" t="n">
        <v>38877</v>
      </c>
      <c r="B5245" s="534" t="n">
        <v>12.065</v>
      </c>
      <c r="C5245" s="534" t="n">
        <v>15628.69</v>
      </c>
      <c r="E5245" s="535" t="n">
        <v>42697</v>
      </c>
      <c r="F5245" s="534" t="n">
        <v>1.376</v>
      </c>
    </row>
    <row r="5246">
      <c r="A5246" s="535" t="n">
        <v>38880</v>
      </c>
      <c r="B5246" s="534" t="n">
        <v>12.152</v>
      </c>
      <c r="C5246" s="534" t="n">
        <v>15621.44</v>
      </c>
      <c r="E5246" s="535" t="n">
        <v>42698</v>
      </c>
      <c r="F5246" s="534" t="n">
        <v>1.431</v>
      </c>
    </row>
    <row r="5247">
      <c r="A5247" s="535" t="n">
        <v>38881</v>
      </c>
      <c r="B5247" s="534" t="n">
        <v>11.847</v>
      </c>
      <c r="C5247" s="534" t="n">
        <v>15234.42</v>
      </c>
      <c r="E5247" s="535" t="n">
        <v>42699</v>
      </c>
      <c r="F5247" s="534" t="n">
        <v>1.463</v>
      </c>
    </row>
    <row r="5248">
      <c r="A5248" s="535" t="n">
        <v>38882</v>
      </c>
      <c r="B5248" s="534" t="n">
        <v>11.934</v>
      </c>
      <c r="C5248" s="534" t="n">
        <v>15247.92</v>
      </c>
      <c r="E5248" s="535" t="n">
        <v>42702</v>
      </c>
      <c r="F5248" s="534" t="n">
        <v>1.376</v>
      </c>
    </row>
    <row r="5249">
      <c r="A5249" s="535" t="n">
        <v>38883</v>
      </c>
      <c r="B5249" s="534" t="n">
        <v>11.76</v>
      </c>
      <c r="C5249" s="534" t="n">
        <v>15435.08</v>
      </c>
      <c r="E5249" s="535" t="n">
        <v>42703</v>
      </c>
      <c r="F5249" s="534" t="n">
        <v>1.371</v>
      </c>
    </row>
    <row r="5250">
      <c r="A5250" s="535" t="n">
        <v>38884</v>
      </c>
      <c r="B5250" s="534" t="n">
        <v>11.804</v>
      </c>
      <c r="C5250" s="534" t="n">
        <v>15842.65</v>
      </c>
      <c r="E5250" s="535" t="n">
        <v>42704</v>
      </c>
      <c r="F5250" s="534" t="n">
        <v>1.398</v>
      </c>
    </row>
    <row r="5251">
      <c r="A5251" s="535" t="n">
        <v>38887</v>
      </c>
      <c r="B5251" s="534" t="n">
        <v>11.76</v>
      </c>
      <c r="C5251" s="534" t="n">
        <v>15768.86</v>
      </c>
      <c r="E5251" s="535" t="n">
        <v>42705</v>
      </c>
      <c r="F5251" s="534" t="n">
        <v>1.484</v>
      </c>
    </row>
    <row r="5252">
      <c r="A5252" s="535" t="n">
        <v>38888</v>
      </c>
      <c r="B5252" s="534" t="n">
        <v>11.76</v>
      </c>
      <c r="C5252" s="534" t="n">
        <v>15608.97</v>
      </c>
      <c r="E5252" s="535" t="n">
        <v>42706</v>
      </c>
      <c r="F5252" s="534" t="n">
        <v>1.516</v>
      </c>
    </row>
    <row r="5253">
      <c r="A5253" s="535" t="n">
        <v>38889</v>
      </c>
      <c r="B5253" s="534" t="n">
        <v>11.716</v>
      </c>
      <c r="C5253" s="534" t="n">
        <v>15659.36</v>
      </c>
      <c r="E5253" s="535" t="n">
        <v>42709</v>
      </c>
      <c r="F5253" s="534" t="n">
        <v>1.548</v>
      </c>
    </row>
    <row r="5254">
      <c r="A5254" s="535" t="n">
        <v>38890</v>
      </c>
      <c r="B5254" s="534" t="n">
        <v>11.586</v>
      </c>
      <c r="C5254" s="534" t="n">
        <v>15826.7</v>
      </c>
      <c r="E5254" s="535" t="n">
        <v>42710</v>
      </c>
      <c r="F5254" s="534" t="n">
        <v>1.428</v>
      </c>
    </row>
    <row r="5255">
      <c r="A5255" s="535" t="n">
        <v>38891</v>
      </c>
      <c r="B5255" s="534" t="n">
        <v>11.542</v>
      </c>
      <c r="C5255" s="534" t="n">
        <v>15808.81</v>
      </c>
      <c r="E5255" s="535" t="n">
        <v>42711</v>
      </c>
      <c r="F5255" s="534" t="n">
        <v>1.449</v>
      </c>
    </row>
    <row r="5256">
      <c r="A5256" s="535" t="n">
        <v>38894</v>
      </c>
      <c r="B5256" s="534" t="n">
        <v>11.629</v>
      </c>
      <c r="C5256" s="534" t="n">
        <v>15804.81</v>
      </c>
      <c r="E5256" s="535" t="n">
        <v>42712</v>
      </c>
      <c r="F5256" s="534" t="n">
        <v>1.447</v>
      </c>
    </row>
    <row r="5257">
      <c r="A5257" s="535" t="n">
        <v>38895</v>
      </c>
      <c r="B5257" s="534" t="n">
        <v>11.455</v>
      </c>
      <c r="C5257" s="534" t="n">
        <v>15774.7</v>
      </c>
      <c r="E5257" s="535" t="n">
        <v>42713</v>
      </c>
      <c r="F5257" s="534" t="n">
        <v>1.452</v>
      </c>
    </row>
    <row r="5258">
      <c r="A5258" s="535" t="n">
        <v>38896</v>
      </c>
      <c r="B5258" s="534" t="n">
        <v>11.542</v>
      </c>
      <c r="C5258" s="534" t="n">
        <v>15742.66</v>
      </c>
      <c r="E5258" s="535" t="n">
        <v>42716</v>
      </c>
      <c r="F5258" s="534" t="n">
        <v>1.559</v>
      </c>
    </row>
    <row r="5259">
      <c r="A5259" s="535" t="n">
        <v>38897</v>
      </c>
      <c r="B5259" s="534" t="n">
        <v>11.629</v>
      </c>
      <c r="C5259" s="534" t="n">
        <v>15865.22</v>
      </c>
      <c r="E5259" s="535" t="n">
        <v>42717</v>
      </c>
      <c r="F5259" s="534" t="n">
        <v>1.559</v>
      </c>
    </row>
    <row r="5260">
      <c r="A5260" s="535" t="n">
        <v>38898</v>
      </c>
      <c r="B5260" s="534" t="n">
        <v>11.847</v>
      </c>
      <c r="C5260" s="534" t="n">
        <v>16267.62</v>
      </c>
      <c r="E5260" s="535" t="n">
        <v>42718</v>
      </c>
      <c r="F5260" s="534" t="n">
        <v>1.723</v>
      </c>
    </row>
    <row r="5261">
      <c r="A5261" s="535" t="n">
        <v>38901</v>
      </c>
      <c r="B5261" s="534" t="n">
        <v>11.804</v>
      </c>
      <c r="C5261" s="534" t="n">
        <v>16326.66</v>
      </c>
      <c r="E5261" s="535" t="n">
        <v>42719</v>
      </c>
      <c r="F5261" s="534" t="n">
        <v>1.752</v>
      </c>
    </row>
    <row r="5262">
      <c r="A5262" s="535" t="n">
        <v>38902</v>
      </c>
      <c r="B5262" s="534" t="n">
        <v>11.934</v>
      </c>
      <c r="C5262" s="534" t="n">
        <v>16368.98</v>
      </c>
      <c r="E5262" s="535" t="n">
        <v>42720</v>
      </c>
      <c r="F5262" s="534" t="n">
        <v>1.868</v>
      </c>
    </row>
    <row r="5263">
      <c r="A5263" s="535" t="n">
        <v>38903</v>
      </c>
      <c r="B5263" s="534" t="n">
        <v>11.934</v>
      </c>
      <c r="C5263" s="534" t="n">
        <v>16267.18</v>
      </c>
      <c r="E5263" s="535" t="n">
        <v>42723</v>
      </c>
      <c r="F5263" s="534" t="n">
        <v>1.924</v>
      </c>
    </row>
    <row r="5264">
      <c r="A5264" s="535" t="n">
        <v>38904</v>
      </c>
      <c r="B5264" s="534" t="n">
        <v>11.934</v>
      </c>
      <c r="C5264" s="534" t="n">
        <v>16440.99</v>
      </c>
      <c r="E5264" s="535" t="n">
        <v>42724</v>
      </c>
      <c r="F5264" s="534" t="n">
        <v>2.106</v>
      </c>
    </row>
    <row r="5265">
      <c r="A5265" s="535" t="n">
        <v>38905</v>
      </c>
      <c r="B5265" s="534" t="n">
        <v>11.934</v>
      </c>
      <c r="C5265" s="534" t="n">
        <v>16459.78</v>
      </c>
      <c r="E5265" s="535" t="n">
        <v>42725</v>
      </c>
      <c r="F5265" s="534" t="n">
        <v>2.042</v>
      </c>
    </row>
    <row r="5266">
      <c r="A5266" s="535" t="n">
        <v>38908</v>
      </c>
      <c r="B5266" s="534" t="n">
        <v>11.978</v>
      </c>
      <c r="C5266" s="534" t="n">
        <v>16603.81</v>
      </c>
      <c r="E5266" s="535" t="n">
        <v>42726</v>
      </c>
      <c r="F5266" s="534" t="n">
        <v>2.069</v>
      </c>
    </row>
    <row r="5267">
      <c r="A5267" s="535" t="n">
        <v>38909</v>
      </c>
      <c r="B5267" s="534" t="n">
        <v>11.978</v>
      </c>
      <c r="C5267" s="534" t="n">
        <v>16490.13</v>
      </c>
      <c r="E5267" s="535" t="n">
        <v>42727</v>
      </c>
      <c r="F5267" s="534" t="n">
        <v>2.109</v>
      </c>
    </row>
    <row r="5268">
      <c r="A5268" s="535" t="n">
        <v>38910</v>
      </c>
      <c r="B5268" s="534" t="n">
        <v>12.021</v>
      </c>
      <c r="C5268" s="534" t="n">
        <v>16522.21</v>
      </c>
      <c r="E5268" s="535" t="n">
        <v>42730</v>
      </c>
      <c r="F5268" s="534" t="n">
        <v>2.109</v>
      </c>
    </row>
    <row r="5269">
      <c r="A5269" s="535" t="n">
        <v>38911</v>
      </c>
      <c r="B5269" s="534" t="n">
        <v>11.934</v>
      </c>
      <c r="C5269" s="534" t="n">
        <v>16305.48</v>
      </c>
      <c r="E5269" s="535" t="n">
        <v>42731</v>
      </c>
      <c r="F5269" s="534" t="n">
        <v>2.109</v>
      </c>
    </row>
    <row r="5270">
      <c r="A5270" s="535" t="n">
        <v>38912</v>
      </c>
      <c r="B5270" s="534" t="n">
        <v>11.847</v>
      </c>
      <c r="C5270" s="534" t="n">
        <v>16135.71</v>
      </c>
      <c r="E5270" s="535" t="n">
        <v>42732</v>
      </c>
      <c r="F5270" s="534" t="n">
        <v>2.092</v>
      </c>
    </row>
    <row r="5271">
      <c r="A5271" s="535" t="n">
        <v>38915</v>
      </c>
      <c r="B5271" s="534" t="n">
        <v>11.629</v>
      </c>
      <c r="C5271" s="534" t="n">
        <v>16064.82</v>
      </c>
      <c r="E5271" s="535" t="n">
        <v>42733</v>
      </c>
      <c r="F5271" s="534" t="n">
        <v>2.004</v>
      </c>
    </row>
    <row r="5272">
      <c r="A5272" s="535" t="n">
        <v>38916</v>
      </c>
      <c r="B5272" s="534" t="n">
        <v>11.76</v>
      </c>
      <c r="C5272" s="534" t="n">
        <v>16043.94</v>
      </c>
      <c r="E5272" s="535" t="n">
        <v>42734</v>
      </c>
      <c r="F5272" s="534" t="n">
        <v>1.901</v>
      </c>
    </row>
    <row r="5273">
      <c r="A5273" s="535" t="n">
        <v>38917</v>
      </c>
      <c r="B5273" s="534" t="n">
        <v>11.76</v>
      </c>
      <c r="C5273" s="534" t="n">
        <v>16097.54</v>
      </c>
      <c r="E5273" s="535" t="n">
        <v>42737</v>
      </c>
      <c r="F5273" s="534" t="n">
        <v>1.901</v>
      </c>
    </row>
    <row r="5274">
      <c r="A5274" s="535" t="n">
        <v>38918</v>
      </c>
      <c r="B5274" s="534" t="n">
        <v>11.804</v>
      </c>
      <c r="C5274" s="534" t="n">
        <v>16472.62</v>
      </c>
      <c r="E5274" s="535" t="n">
        <v>42738</v>
      </c>
      <c r="F5274" s="534" t="n">
        <v>1.917</v>
      </c>
    </row>
    <row r="5275">
      <c r="A5275" s="535" t="n">
        <v>38919</v>
      </c>
      <c r="B5275" s="534" t="n">
        <v>11.934</v>
      </c>
      <c r="C5275" s="534" t="n">
        <v>16464.18</v>
      </c>
      <c r="E5275" s="535" t="n">
        <v>42739</v>
      </c>
      <c r="F5275" s="534" t="n">
        <v>1.89</v>
      </c>
    </row>
    <row r="5276">
      <c r="A5276" s="535" t="n">
        <v>38922</v>
      </c>
      <c r="B5276" s="534" t="n">
        <v>11.917</v>
      </c>
      <c r="C5276" s="534" t="n">
        <v>16480.59</v>
      </c>
      <c r="E5276" s="535" t="n">
        <v>42740</v>
      </c>
      <c r="F5276" s="534" t="n">
        <v>1.723</v>
      </c>
    </row>
    <row r="5277">
      <c r="A5277" s="535" t="n">
        <v>38923</v>
      </c>
      <c r="B5277" s="534" t="n">
        <v>12.004</v>
      </c>
      <c r="C5277" s="534" t="n">
        <v>16583.86</v>
      </c>
      <c r="E5277" s="535" t="n">
        <v>42741</v>
      </c>
      <c r="F5277" s="534" t="n">
        <v>1.69</v>
      </c>
    </row>
    <row r="5278">
      <c r="A5278" s="535" t="n">
        <v>38924</v>
      </c>
      <c r="B5278" s="534" t="n">
        <v>12.021</v>
      </c>
      <c r="C5278" s="534" t="n">
        <v>16617.24</v>
      </c>
      <c r="E5278" s="535" t="n">
        <v>42744</v>
      </c>
      <c r="F5278" s="534" t="n">
        <v>1.734</v>
      </c>
    </row>
    <row r="5279">
      <c r="A5279" s="535" t="n">
        <v>38925</v>
      </c>
      <c r="B5279" s="534" t="n">
        <v>12.091</v>
      </c>
      <c r="C5279" s="534" t="n">
        <v>16916.77</v>
      </c>
      <c r="E5279" s="535" t="n">
        <v>42745</v>
      </c>
      <c r="F5279" s="534" t="n">
        <v>1.704</v>
      </c>
    </row>
    <row r="5280">
      <c r="A5280" s="535" t="n">
        <v>38926</v>
      </c>
      <c r="B5280" s="534" t="n">
        <v>12.126</v>
      </c>
      <c r="C5280" s="534" t="n">
        <v>16955.04</v>
      </c>
      <c r="E5280" s="535" t="n">
        <v>42746</v>
      </c>
      <c r="F5280" s="534" t="n">
        <v>1.729</v>
      </c>
    </row>
    <row r="5281">
      <c r="A5281" s="535" t="n">
        <v>38929</v>
      </c>
      <c r="B5281" s="534" t="n">
        <v>12.126</v>
      </c>
      <c r="C5281" s="534" t="n">
        <v>16971.34</v>
      </c>
      <c r="E5281" s="535" t="n">
        <v>42747</v>
      </c>
      <c r="F5281" s="534" t="n">
        <v>1.674</v>
      </c>
    </row>
    <row r="5282">
      <c r="A5282" s="535" t="n">
        <v>38930</v>
      </c>
      <c r="B5282" s="534" t="n">
        <v>12.126</v>
      </c>
      <c r="C5282" s="534" t="n">
        <v>16911.37</v>
      </c>
      <c r="E5282" s="535" t="n">
        <v>42748</v>
      </c>
      <c r="F5282" s="534" t="n">
        <v>1.74</v>
      </c>
    </row>
    <row r="5283">
      <c r="A5283" s="535" t="n">
        <v>38931</v>
      </c>
      <c r="B5283" s="534" t="n">
        <v>12.178</v>
      </c>
      <c r="C5283" s="534" t="n">
        <v>17032.75</v>
      </c>
      <c r="E5283" s="535" t="n">
        <v>42751</v>
      </c>
      <c r="F5283" s="534" t="n">
        <v>1.751</v>
      </c>
    </row>
    <row r="5284">
      <c r="A5284" s="535" t="n">
        <v>38932</v>
      </c>
      <c r="B5284" s="534" t="n">
        <v>12.196</v>
      </c>
      <c r="C5284" s="534" t="n">
        <v>17048.42</v>
      </c>
      <c r="E5284" s="535" t="n">
        <v>42752</v>
      </c>
      <c r="F5284" s="534" t="n">
        <v>1.746</v>
      </c>
    </row>
    <row r="5285">
      <c r="A5285" s="535" t="n">
        <v>38933</v>
      </c>
      <c r="B5285" s="534" t="n">
        <v>12.091</v>
      </c>
      <c r="C5285" s="534" t="n">
        <v>16887.8</v>
      </c>
      <c r="E5285" s="535" t="n">
        <v>42753</v>
      </c>
      <c r="F5285" s="534" t="n">
        <v>1.763</v>
      </c>
    </row>
    <row r="5286">
      <c r="A5286" s="535" t="n">
        <v>38936</v>
      </c>
      <c r="B5286" s="534" t="n">
        <v>12.126</v>
      </c>
      <c r="C5286" s="534" t="n">
        <v>16953.55</v>
      </c>
      <c r="E5286" s="535" t="n">
        <v>42754</v>
      </c>
      <c r="F5286" s="534" t="n">
        <v>1.818</v>
      </c>
    </row>
    <row r="5287">
      <c r="A5287" s="535" t="n">
        <v>38937</v>
      </c>
      <c r="B5287" s="534" t="n">
        <v>12.108</v>
      </c>
      <c r="C5287" s="534" t="n">
        <v>17048.2</v>
      </c>
      <c r="E5287" s="535" t="n">
        <v>42755</v>
      </c>
      <c r="F5287" s="534" t="n">
        <v>1.863</v>
      </c>
    </row>
    <row r="5288">
      <c r="A5288" s="535" t="n">
        <v>38938</v>
      </c>
      <c r="B5288" s="534" t="n">
        <v>12.213</v>
      </c>
      <c r="C5288" s="534" t="n">
        <v>17346.58</v>
      </c>
      <c r="E5288" s="535" t="n">
        <v>42758</v>
      </c>
      <c r="F5288" s="534" t="n">
        <v>1.824</v>
      </c>
    </row>
    <row r="5289">
      <c r="A5289" s="535" t="n">
        <v>38939</v>
      </c>
      <c r="B5289" s="534" t="n">
        <v>12.126</v>
      </c>
      <c r="C5289" s="534" t="n">
        <v>17222.14</v>
      </c>
      <c r="E5289" s="535" t="n">
        <v>42759</v>
      </c>
      <c r="F5289" s="534" t="n">
        <v>1.775</v>
      </c>
    </row>
    <row r="5290">
      <c r="A5290" s="535" t="n">
        <v>38940</v>
      </c>
      <c r="B5290" s="534" t="n">
        <v>12.352</v>
      </c>
      <c r="C5290" s="534" t="n">
        <v>17249.95</v>
      </c>
      <c r="E5290" s="535" t="n">
        <v>42760</v>
      </c>
      <c r="F5290" s="534" t="n">
        <v>1.835</v>
      </c>
    </row>
    <row r="5291">
      <c r="A5291" s="535" t="n">
        <v>38943</v>
      </c>
      <c r="B5291" s="534" t="n">
        <v>12.335</v>
      </c>
      <c r="C5291" s="534" t="n">
        <v>17290.01</v>
      </c>
      <c r="E5291" s="535" t="n">
        <v>42761</v>
      </c>
      <c r="F5291" s="534" t="n">
        <v>1.937</v>
      </c>
    </row>
    <row r="5292">
      <c r="A5292" s="535" t="n">
        <v>38944</v>
      </c>
      <c r="B5292" s="534" t="n">
        <v>12.352</v>
      </c>
      <c r="C5292" s="534" t="n">
        <v>17274.07</v>
      </c>
      <c r="E5292" s="535" t="n">
        <v>42762</v>
      </c>
      <c r="F5292" s="534" t="n">
        <v>1.932</v>
      </c>
    </row>
    <row r="5293">
      <c r="A5293" s="535" t="n">
        <v>38945</v>
      </c>
      <c r="B5293" s="534" t="n">
        <v>12.439</v>
      </c>
      <c r="C5293" s="534" t="n">
        <v>17451.03</v>
      </c>
      <c r="E5293" s="535" t="n">
        <v>42765</v>
      </c>
      <c r="F5293" s="534" t="n">
        <v>1.932</v>
      </c>
    </row>
    <row r="5294">
      <c r="A5294" s="535" t="n">
        <v>38946</v>
      </c>
      <c r="B5294" s="534" t="n">
        <v>12.439</v>
      </c>
      <c r="C5294" s="534" t="n">
        <v>17373.05</v>
      </c>
      <c r="E5294" s="535" t="n">
        <v>42766</v>
      </c>
      <c r="F5294" s="534" t="n">
        <v>1.932</v>
      </c>
    </row>
    <row r="5295">
      <c r="A5295" s="535" t="n">
        <v>38947</v>
      </c>
      <c r="B5295" s="534" t="n">
        <v>12.474</v>
      </c>
      <c r="C5295" s="534" t="n">
        <v>17330.7</v>
      </c>
      <c r="E5295" s="535" t="n">
        <v>42767</v>
      </c>
      <c r="F5295" s="534" t="n">
        <v>1.937</v>
      </c>
    </row>
    <row r="5296">
      <c r="A5296" s="535" t="n">
        <v>38950</v>
      </c>
      <c r="B5296" s="534" t="n">
        <v>12.457</v>
      </c>
      <c r="C5296" s="534" t="n">
        <v>17007.88</v>
      </c>
      <c r="E5296" s="535" t="n">
        <v>42768</v>
      </c>
      <c r="F5296" s="534" t="n">
        <v>1.915</v>
      </c>
    </row>
    <row r="5297">
      <c r="A5297" s="535" t="n">
        <v>38951</v>
      </c>
      <c r="B5297" s="534" t="n">
        <v>12.439</v>
      </c>
      <c r="C5297" s="534" t="n">
        <v>17149.75</v>
      </c>
      <c r="E5297" s="535" t="n">
        <v>42769</v>
      </c>
      <c r="F5297" s="534" t="n">
        <v>1.938</v>
      </c>
    </row>
    <row r="5298">
      <c r="A5298" s="535" t="n">
        <v>38952</v>
      </c>
      <c r="B5298" s="534" t="n">
        <v>12.439</v>
      </c>
      <c r="C5298" s="534" t="n">
        <v>17088.39</v>
      </c>
      <c r="E5298" s="535" t="n">
        <v>42772</v>
      </c>
      <c r="F5298" s="534" t="n">
        <v>1.904</v>
      </c>
    </row>
    <row r="5299">
      <c r="A5299" s="535" t="n">
        <v>38953</v>
      </c>
      <c r="B5299" s="534" t="n">
        <v>12.405</v>
      </c>
      <c r="C5299" s="534" t="n">
        <v>16883.04</v>
      </c>
      <c r="E5299" s="535" t="n">
        <v>42773</v>
      </c>
      <c r="F5299" s="534" t="n">
        <v>1.859</v>
      </c>
    </row>
    <row r="5300">
      <c r="A5300" s="535" t="n">
        <v>38954</v>
      </c>
      <c r="B5300" s="534" t="n">
        <v>12.457</v>
      </c>
      <c r="C5300" s="534" t="n">
        <v>16955.45</v>
      </c>
      <c r="E5300" s="535" t="n">
        <v>42774</v>
      </c>
      <c r="F5300" s="534" t="n">
        <v>1.842</v>
      </c>
    </row>
    <row r="5301">
      <c r="A5301" s="535" t="n">
        <v>38957</v>
      </c>
      <c r="B5301" s="534" t="n">
        <v>12.422</v>
      </c>
      <c r="C5301" s="534" t="n">
        <v>16922.29</v>
      </c>
      <c r="E5301" s="535" t="n">
        <v>42775</v>
      </c>
      <c r="F5301" s="534" t="n">
        <v>1.786</v>
      </c>
    </row>
    <row r="5302">
      <c r="A5302" s="535" t="n">
        <v>38958</v>
      </c>
      <c r="B5302" s="534" t="n">
        <v>12.527</v>
      </c>
      <c r="C5302" s="534" t="n">
        <v>17083.28</v>
      </c>
      <c r="E5302" s="535" t="n">
        <v>42776</v>
      </c>
      <c r="F5302" s="534" t="n">
        <v>1.775</v>
      </c>
    </row>
    <row r="5303">
      <c r="A5303" s="535" t="n">
        <v>38959</v>
      </c>
      <c r="B5303" s="534" t="n">
        <v>12.596</v>
      </c>
      <c r="C5303" s="534" t="n">
        <v>17284.71</v>
      </c>
      <c r="E5303" s="535" t="n">
        <v>42779</v>
      </c>
      <c r="F5303" s="534" t="n">
        <v>1.775</v>
      </c>
    </row>
    <row r="5304">
      <c r="A5304" s="535" t="n">
        <v>38960</v>
      </c>
      <c r="B5304" s="534" t="n">
        <v>12.649</v>
      </c>
      <c r="C5304" s="534" t="n">
        <v>17392.27</v>
      </c>
      <c r="E5304" s="535" t="n">
        <v>42780</v>
      </c>
      <c r="F5304" s="534" t="n">
        <v>1.803</v>
      </c>
    </row>
    <row r="5305">
      <c r="A5305" s="535" t="n">
        <v>38961</v>
      </c>
      <c r="B5305" s="534" t="n">
        <v>12.788</v>
      </c>
      <c r="C5305" s="534" t="n">
        <v>17423.72</v>
      </c>
      <c r="E5305" s="535" t="n">
        <v>42781</v>
      </c>
      <c r="F5305" s="534" t="n">
        <v>1.854</v>
      </c>
    </row>
    <row r="5306">
      <c r="A5306" s="535" t="n">
        <v>38964</v>
      </c>
      <c r="B5306" s="534" t="n">
        <v>12.945</v>
      </c>
      <c r="C5306" s="534" t="n">
        <v>17513.88</v>
      </c>
      <c r="E5306" s="535" t="n">
        <v>42782</v>
      </c>
      <c r="F5306" s="534" t="n">
        <v>1.893</v>
      </c>
    </row>
    <row r="5307">
      <c r="A5307" s="535" t="n">
        <v>38965</v>
      </c>
      <c r="B5307" s="534" t="n">
        <v>12.84</v>
      </c>
      <c r="C5307" s="534" t="n">
        <v>17438.8</v>
      </c>
      <c r="E5307" s="535" t="n">
        <v>42783</v>
      </c>
      <c r="F5307" s="534" t="n">
        <v>1.893</v>
      </c>
    </row>
    <row r="5308">
      <c r="A5308" s="535" t="n">
        <v>38966</v>
      </c>
      <c r="B5308" s="534" t="n">
        <v>12.805</v>
      </c>
      <c r="C5308" s="534" t="n">
        <v>17258.51</v>
      </c>
      <c r="E5308" s="535" t="n">
        <v>42786</v>
      </c>
      <c r="F5308" s="534" t="n">
        <v>1.86</v>
      </c>
    </row>
    <row r="5309">
      <c r="A5309" s="535" t="n">
        <v>38967</v>
      </c>
      <c r="B5309" s="534" t="n">
        <v>12.649</v>
      </c>
      <c r="C5309" s="534" t="n">
        <v>17096.44</v>
      </c>
      <c r="E5309" s="535" t="n">
        <v>42787</v>
      </c>
      <c r="F5309" s="534" t="n">
        <v>1.872</v>
      </c>
    </row>
    <row r="5310">
      <c r="A5310" s="535" t="n">
        <v>38968</v>
      </c>
      <c r="B5310" s="534" t="n">
        <v>12.788</v>
      </c>
      <c r="C5310" s="534" t="n">
        <v>17145.76</v>
      </c>
      <c r="E5310" s="535" t="n">
        <v>42788</v>
      </c>
      <c r="F5310" s="534" t="n">
        <v>1.901</v>
      </c>
    </row>
    <row r="5311">
      <c r="A5311" s="535" t="n">
        <v>38971</v>
      </c>
      <c r="B5311" s="534" t="n">
        <v>12.718</v>
      </c>
      <c r="C5311" s="534" t="n">
        <v>16948.59</v>
      </c>
      <c r="E5311" s="535" t="n">
        <v>42789</v>
      </c>
      <c r="F5311" s="534" t="n">
        <v>1.845</v>
      </c>
    </row>
    <row r="5312">
      <c r="A5312" s="535" t="n">
        <v>38972</v>
      </c>
      <c r="B5312" s="534" t="n">
        <v>12.91</v>
      </c>
      <c r="C5312" s="534" t="n">
        <v>17075.4</v>
      </c>
      <c r="E5312" s="535" t="n">
        <v>42790</v>
      </c>
      <c r="F5312" s="534" t="n">
        <v>1.794</v>
      </c>
    </row>
    <row r="5313">
      <c r="A5313" s="535" t="n">
        <v>38973</v>
      </c>
      <c r="B5313" s="534" t="n">
        <v>13.067</v>
      </c>
      <c r="C5313" s="534" t="n">
        <v>17210.04</v>
      </c>
      <c r="E5313" s="535" t="n">
        <v>42793</v>
      </c>
      <c r="F5313" s="534" t="n">
        <v>1.771</v>
      </c>
    </row>
    <row r="5314">
      <c r="A5314" s="535" t="n">
        <v>38974</v>
      </c>
      <c r="B5314" s="534" t="n">
        <v>13.067</v>
      </c>
      <c r="C5314" s="534" t="n">
        <v>17183.45</v>
      </c>
      <c r="E5314" s="535" t="n">
        <v>42794</v>
      </c>
      <c r="F5314" s="534" t="n">
        <v>1.794</v>
      </c>
    </row>
    <row r="5315">
      <c r="A5315" s="535" t="n">
        <v>38975</v>
      </c>
      <c r="B5315" s="534" t="n">
        <v>13.206</v>
      </c>
      <c r="C5315" s="534" t="n">
        <v>17237.65</v>
      </c>
      <c r="E5315" s="535" t="n">
        <v>42795</v>
      </c>
      <c r="F5315" s="534" t="n">
        <v>1.85</v>
      </c>
    </row>
    <row r="5316">
      <c r="A5316" s="535" t="n">
        <v>38978</v>
      </c>
      <c r="B5316" s="534" t="n">
        <v>13.589</v>
      </c>
      <c r="C5316" s="534" t="n">
        <v>17387.21</v>
      </c>
      <c r="E5316" s="535" t="n">
        <v>42796</v>
      </c>
      <c r="F5316" s="534" t="n">
        <v>1.9</v>
      </c>
    </row>
    <row r="5317">
      <c r="A5317" s="535" t="n">
        <v>38979</v>
      </c>
      <c r="B5317" s="534" t="n">
        <v>13.642</v>
      </c>
      <c r="C5317" s="534" t="n">
        <v>17346.7</v>
      </c>
      <c r="E5317" s="535" t="n">
        <v>42797</v>
      </c>
      <c r="F5317" s="534" t="n">
        <v>1.933</v>
      </c>
    </row>
    <row r="5318">
      <c r="A5318" s="535" t="n">
        <v>38980</v>
      </c>
      <c r="B5318" s="534" t="n">
        <v>13.92</v>
      </c>
      <c r="C5318" s="534" t="n">
        <v>17512.96</v>
      </c>
      <c r="E5318" s="535" t="n">
        <v>42800</v>
      </c>
      <c r="F5318" s="534" t="n">
        <v>1.879</v>
      </c>
    </row>
    <row r="5319">
      <c r="A5319" s="535" t="n">
        <v>38981</v>
      </c>
      <c r="B5319" s="534" t="n">
        <v>14.06</v>
      </c>
      <c r="C5319" s="534" t="n">
        <v>17619.97</v>
      </c>
      <c r="E5319" s="535" t="n">
        <v>42801</v>
      </c>
      <c r="F5319" s="534" t="n">
        <v>1.879</v>
      </c>
    </row>
    <row r="5320">
      <c r="A5320" s="535" t="n">
        <v>38982</v>
      </c>
      <c r="B5320" s="534" t="n">
        <v>13.729</v>
      </c>
      <c r="C5320" s="534" t="n">
        <v>17600.65</v>
      </c>
      <c r="E5320" s="535" t="n">
        <v>42802</v>
      </c>
      <c r="F5320" s="534" t="n">
        <v>1.868</v>
      </c>
    </row>
    <row r="5321">
      <c r="A5321" s="535" t="n">
        <v>38985</v>
      </c>
      <c r="B5321" s="534" t="n">
        <v>13.833</v>
      </c>
      <c r="C5321" s="534" t="n">
        <v>17546.04</v>
      </c>
      <c r="E5321" s="535" t="n">
        <v>42803</v>
      </c>
      <c r="F5321" s="534" t="n">
        <v>1.922</v>
      </c>
    </row>
    <row r="5322">
      <c r="A5322" s="535" t="n">
        <v>38986</v>
      </c>
      <c r="B5322" s="534" t="n">
        <v>14.007</v>
      </c>
      <c r="C5322" s="534" t="n">
        <v>17308.08</v>
      </c>
      <c r="E5322" s="535" t="n">
        <v>42804</v>
      </c>
      <c r="F5322" s="534" t="n">
        <v>1.954</v>
      </c>
    </row>
    <row r="5323">
      <c r="A5323" s="535" t="n">
        <v>38987</v>
      </c>
      <c r="B5323" s="534" t="n">
        <v>14.164</v>
      </c>
      <c r="C5323" s="534" t="n">
        <v>17521.51</v>
      </c>
      <c r="E5323" s="535" t="n">
        <v>42807</v>
      </c>
      <c r="F5323" s="534" t="n">
        <v>1.912</v>
      </c>
    </row>
    <row r="5324">
      <c r="A5324" s="535" t="n">
        <v>38988</v>
      </c>
      <c r="B5324" s="534" t="n">
        <v>13.938</v>
      </c>
      <c r="C5324" s="534" t="n">
        <v>17530.57</v>
      </c>
      <c r="E5324" s="535" t="n">
        <v>42808</v>
      </c>
      <c r="F5324" s="534" t="n">
        <v>1.948</v>
      </c>
    </row>
    <row r="5325">
      <c r="A5325" s="535" t="n">
        <v>38989</v>
      </c>
      <c r="B5325" s="534" t="n">
        <v>13.903</v>
      </c>
      <c r="C5325" s="534" t="n">
        <v>17543.05</v>
      </c>
      <c r="E5325" s="535" t="n">
        <v>42809</v>
      </c>
      <c r="F5325" s="534" t="n">
        <v>1.943</v>
      </c>
    </row>
    <row r="5326">
      <c r="A5326" s="535" t="n">
        <v>38992</v>
      </c>
      <c r="B5326" s="534" t="n">
        <v>13.903</v>
      </c>
      <c r="C5326" s="534" t="n">
        <v>17543.05</v>
      </c>
      <c r="E5326" s="535" t="n">
        <v>42810</v>
      </c>
      <c r="F5326" s="534" t="n">
        <v>1.84</v>
      </c>
    </row>
    <row r="5327">
      <c r="A5327" s="535" t="n">
        <v>38993</v>
      </c>
      <c r="B5327" s="534" t="n">
        <v>13.973</v>
      </c>
      <c r="C5327" s="534" t="n">
        <v>17606.53</v>
      </c>
      <c r="E5327" s="535" t="n">
        <v>42811</v>
      </c>
      <c r="F5327" s="534" t="n">
        <v>1.863</v>
      </c>
    </row>
    <row r="5328">
      <c r="A5328" s="535" t="n">
        <v>38994</v>
      </c>
      <c r="B5328" s="534" t="n">
        <v>14.147</v>
      </c>
      <c r="C5328" s="534" t="n">
        <v>17629.21</v>
      </c>
      <c r="E5328" s="535" t="n">
        <v>42814</v>
      </c>
      <c r="F5328" s="534" t="n">
        <v>1.811</v>
      </c>
    </row>
    <row r="5329">
      <c r="A5329" s="535" t="n">
        <v>38995</v>
      </c>
      <c r="B5329" s="534" t="n">
        <v>14.112</v>
      </c>
      <c r="C5329" s="534" t="n">
        <v>17907.67</v>
      </c>
      <c r="E5329" s="535" t="n">
        <v>42815</v>
      </c>
      <c r="F5329" s="534" t="n">
        <v>1.742</v>
      </c>
    </row>
    <row r="5330">
      <c r="A5330" s="535" t="n">
        <v>38996</v>
      </c>
      <c r="B5330" s="534" t="n">
        <v>14.582</v>
      </c>
      <c r="C5330" s="534" t="n">
        <v>17903.39</v>
      </c>
      <c r="E5330" s="535" t="n">
        <v>42816</v>
      </c>
      <c r="F5330" s="534" t="n">
        <v>1.666</v>
      </c>
    </row>
    <row r="5331">
      <c r="A5331" s="535" t="n">
        <v>38999</v>
      </c>
      <c r="B5331" s="534" t="n">
        <v>14.338</v>
      </c>
      <c r="C5331" s="534" t="n">
        <v>17675.24</v>
      </c>
      <c r="E5331" s="535" t="n">
        <v>42817</v>
      </c>
      <c r="F5331" s="534" t="n">
        <v>1.666</v>
      </c>
    </row>
    <row r="5332">
      <c r="A5332" s="535" t="n">
        <v>39000</v>
      </c>
      <c r="B5332" s="534" t="n">
        <v>14.53</v>
      </c>
      <c r="C5332" s="534" t="n">
        <v>17823.7</v>
      </c>
      <c r="E5332" s="535" t="n">
        <v>42818</v>
      </c>
      <c r="F5332" s="534" t="n">
        <v>1.7</v>
      </c>
    </row>
    <row r="5333">
      <c r="A5333" s="535" t="n">
        <v>39001</v>
      </c>
      <c r="B5333" s="534" t="n">
        <v>14.844</v>
      </c>
      <c r="C5333" s="534" t="n">
        <v>17862.79</v>
      </c>
      <c r="E5333" s="535" t="n">
        <v>42821</v>
      </c>
      <c r="F5333" s="534" t="n">
        <v>1.63</v>
      </c>
    </row>
    <row r="5334">
      <c r="A5334" s="535" t="n">
        <v>39002</v>
      </c>
      <c r="B5334" s="534" t="n">
        <v>14.879</v>
      </c>
      <c r="C5334" s="534" t="n">
        <v>17873.09</v>
      </c>
      <c r="E5334" s="535" t="n">
        <v>42822</v>
      </c>
      <c r="F5334" s="534" t="n">
        <v>1.662</v>
      </c>
    </row>
    <row r="5335">
      <c r="A5335" s="535" t="n">
        <v>39003</v>
      </c>
      <c r="B5335" s="534" t="n">
        <v>14.739</v>
      </c>
      <c r="C5335" s="534" t="n">
        <v>17988.86</v>
      </c>
      <c r="E5335" s="535" t="n">
        <v>42823</v>
      </c>
      <c r="F5335" s="534" t="n">
        <v>1.639</v>
      </c>
    </row>
    <row r="5336">
      <c r="A5336" s="535" t="n">
        <v>39006</v>
      </c>
      <c r="B5336" s="534" t="n">
        <v>14.652</v>
      </c>
      <c r="C5336" s="534" t="n">
        <v>18010.2</v>
      </c>
      <c r="E5336" s="535" t="n">
        <v>42824</v>
      </c>
      <c r="F5336" s="534" t="n">
        <v>1.617</v>
      </c>
    </row>
    <row r="5337">
      <c r="A5337" s="535" t="n">
        <v>39007</v>
      </c>
      <c r="B5337" s="534" t="n">
        <v>14.478</v>
      </c>
      <c r="C5337" s="534" t="n">
        <v>18014.84</v>
      </c>
      <c r="E5337" s="535" t="n">
        <v>42825</v>
      </c>
      <c r="F5337" s="534" t="n">
        <v>1.617</v>
      </c>
    </row>
    <row r="5338">
      <c r="A5338" s="535" t="n">
        <v>39008</v>
      </c>
      <c r="B5338" s="534" t="n">
        <v>14.46</v>
      </c>
      <c r="C5338" s="534" t="n">
        <v>18048.09</v>
      </c>
      <c r="E5338" s="535" t="n">
        <v>42828</v>
      </c>
      <c r="F5338" s="534" t="n">
        <v>1.673</v>
      </c>
    </row>
    <row r="5339">
      <c r="A5339" s="535" t="n">
        <v>39009</v>
      </c>
      <c r="B5339" s="534" t="n">
        <v>14.513</v>
      </c>
      <c r="C5339" s="534" t="n">
        <v>17986.97</v>
      </c>
      <c r="E5339" s="535" t="n">
        <v>42829</v>
      </c>
      <c r="F5339" s="534" t="n">
        <v>1.673</v>
      </c>
    </row>
    <row r="5340">
      <c r="A5340" s="535" t="n">
        <v>39010</v>
      </c>
      <c r="B5340" s="534" t="n">
        <v>14.53</v>
      </c>
      <c r="C5340" s="534" t="n">
        <v>18113.55</v>
      </c>
      <c r="E5340" s="535" t="n">
        <v>42830</v>
      </c>
      <c r="F5340" s="534" t="n">
        <v>1.609</v>
      </c>
    </row>
    <row r="5341">
      <c r="A5341" s="535" t="n">
        <v>39013</v>
      </c>
      <c r="B5341" s="534" t="n">
        <v>14.722</v>
      </c>
      <c r="C5341" s="534" t="n">
        <v>18089.85</v>
      </c>
      <c r="E5341" s="535" t="n">
        <v>42831</v>
      </c>
      <c r="F5341" s="534" t="n">
        <v>1.583</v>
      </c>
    </row>
    <row r="5342">
      <c r="A5342" s="535" t="n">
        <v>39014</v>
      </c>
      <c r="B5342" s="534" t="n">
        <v>14.913</v>
      </c>
      <c r="C5342" s="534" t="n">
        <v>18153.41</v>
      </c>
      <c r="E5342" s="535" t="n">
        <v>42832</v>
      </c>
      <c r="F5342" s="534" t="n">
        <v>1.545</v>
      </c>
    </row>
    <row r="5343">
      <c r="A5343" s="535" t="n">
        <v>39015</v>
      </c>
      <c r="B5343" s="534" t="n">
        <v>14.722</v>
      </c>
      <c r="C5343" s="534" t="n">
        <v>18157.94</v>
      </c>
      <c r="E5343" s="535" t="n">
        <v>42835</v>
      </c>
      <c r="F5343" s="534" t="n">
        <v>1.577</v>
      </c>
    </row>
    <row r="5344">
      <c r="A5344" s="535" t="n">
        <v>39016</v>
      </c>
      <c r="B5344" s="534" t="n">
        <v>14.53</v>
      </c>
      <c r="C5344" s="534" t="n">
        <v>18353.74</v>
      </c>
      <c r="E5344" s="535" t="n">
        <v>42836</v>
      </c>
      <c r="F5344" s="534" t="n">
        <v>1.54</v>
      </c>
    </row>
    <row r="5345">
      <c r="A5345" s="535" t="n">
        <v>39017</v>
      </c>
      <c r="B5345" s="534" t="n">
        <v>14.652</v>
      </c>
      <c r="C5345" s="534" t="n">
        <v>18297.55</v>
      </c>
      <c r="E5345" s="535" t="n">
        <v>42837</v>
      </c>
      <c r="F5345" s="534" t="n">
        <v>1.49</v>
      </c>
    </row>
    <row r="5346">
      <c r="A5346" s="535" t="n">
        <v>39020</v>
      </c>
      <c r="B5346" s="534" t="n">
        <v>14.652</v>
      </c>
      <c r="C5346" s="534" t="n">
        <v>18297.55</v>
      </c>
      <c r="E5346" s="535" t="n">
        <v>42838</v>
      </c>
      <c r="F5346" s="534" t="n">
        <v>1.427</v>
      </c>
    </row>
    <row r="5347">
      <c r="A5347" s="535" t="n">
        <v>39021</v>
      </c>
      <c r="B5347" s="534" t="n">
        <v>14.791</v>
      </c>
      <c r="C5347" s="534" t="n">
        <v>18324.35</v>
      </c>
      <c r="E5347" s="535" t="n">
        <v>42839</v>
      </c>
      <c r="F5347" s="534" t="n">
        <v>1.427</v>
      </c>
    </row>
    <row r="5348">
      <c r="A5348" s="535" t="n">
        <v>39022</v>
      </c>
      <c r="B5348" s="534" t="n">
        <v>14.896</v>
      </c>
      <c r="C5348" s="534" t="n">
        <v>18453.65</v>
      </c>
      <c r="E5348" s="535" t="n">
        <v>42842</v>
      </c>
      <c r="F5348" s="534" t="n">
        <v>1.427</v>
      </c>
    </row>
    <row r="5349">
      <c r="A5349" s="535" t="n">
        <v>39023</v>
      </c>
      <c r="B5349" s="534" t="n">
        <v>14.983</v>
      </c>
      <c r="C5349" s="534" t="n">
        <v>18714.78</v>
      </c>
      <c r="E5349" s="535" t="n">
        <v>42843</v>
      </c>
      <c r="F5349" s="534" t="n">
        <v>1.446</v>
      </c>
    </row>
    <row r="5350">
      <c r="A5350" s="535" t="n">
        <v>39024</v>
      </c>
      <c r="B5350" s="534" t="n">
        <v>14.791</v>
      </c>
      <c r="C5350" s="534" t="n">
        <v>18749.69</v>
      </c>
      <c r="E5350" s="535" t="n">
        <v>42844</v>
      </c>
      <c r="F5350" s="534" t="n">
        <v>1.407</v>
      </c>
    </row>
    <row r="5351">
      <c r="A5351" s="535" t="n">
        <v>39027</v>
      </c>
      <c r="B5351" s="534" t="n">
        <v>14.844</v>
      </c>
      <c r="C5351" s="534" t="n">
        <v>18936.55</v>
      </c>
      <c r="E5351" s="535" t="n">
        <v>42845</v>
      </c>
      <c r="F5351" s="534" t="n">
        <v>1.396</v>
      </c>
    </row>
    <row r="5352">
      <c r="A5352" s="535" t="n">
        <v>39028</v>
      </c>
      <c r="B5352" s="534" t="n">
        <v>14.652</v>
      </c>
      <c r="C5352" s="534" t="n">
        <v>18939.31</v>
      </c>
      <c r="E5352" s="535" t="n">
        <v>42846</v>
      </c>
      <c r="F5352" s="534" t="n">
        <v>1.396</v>
      </c>
    </row>
    <row r="5353">
      <c r="A5353" s="535" t="n">
        <v>39029</v>
      </c>
      <c r="B5353" s="534" t="n">
        <v>14.809</v>
      </c>
      <c r="C5353" s="534" t="n">
        <v>18811.24</v>
      </c>
      <c r="E5353" s="535" t="n">
        <v>42849</v>
      </c>
      <c r="F5353" s="534" t="n">
        <v>1.413</v>
      </c>
    </row>
    <row r="5354">
      <c r="A5354" s="535" t="n">
        <v>39030</v>
      </c>
      <c r="B5354" s="534" t="n">
        <v>14.931</v>
      </c>
      <c r="C5354" s="534" t="n">
        <v>18952.86</v>
      </c>
      <c r="E5354" s="535" t="n">
        <v>42850</v>
      </c>
      <c r="F5354" s="534" t="n">
        <v>1.451</v>
      </c>
    </row>
    <row r="5355">
      <c r="A5355" s="535" t="n">
        <v>39031</v>
      </c>
      <c r="B5355" s="534" t="n">
        <v>14.966</v>
      </c>
      <c r="C5355" s="534" t="n">
        <v>18891.14</v>
      </c>
      <c r="E5355" s="535" t="n">
        <v>42851</v>
      </c>
      <c r="F5355" s="534" t="n">
        <v>1.49</v>
      </c>
    </row>
    <row r="5356">
      <c r="A5356" s="535" t="n">
        <v>39034</v>
      </c>
      <c r="B5356" s="534" t="n">
        <v>15.035</v>
      </c>
      <c r="C5356" s="534" t="n">
        <v>18868.54</v>
      </c>
      <c r="E5356" s="535" t="n">
        <v>42852</v>
      </c>
      <c r="F5356" s="534" t="n">
        <v>1.476</v>
      </c>
    </row>
    <row r="5357">
      <c r="A5357" s="535" t="n">
        <v>39035</v>
      </c>
      <c r="B5357" s="534" t="n">
        <v>15.297</v>
      </c>
      <c r="C5357" s="534" t="n">
        <v>18878.42</v>
      </c>
      <c r="E5357" s="535" t="n">
        <v>42853</v>
      </c>
      <c r="F5357" s="534" t="n">
        <v>1.445</v>
      </c>
    </row>
    <row r="5358">
      <c r="A5358" s="535" t="n">
        <v>39036</v>
      </c>
      <c r="B5358" s="534" t="n">
        <v>15.889</v>
      </c>
      <c r="C5358" s="534" t="n">
        <v>19093</v>
      </c>
      <c r="E5358" s="535" t="n">
        <v>42856</v>
      </c>
      <c r="F5358" s="534" t="n">
        <v>1.445</v>
      </c>
    </row>
    <row r="5359">
      <c r="A5359" s="535" t="n">
        <v>39037</v>
      </c>
      <c r="B5359" s="534" t="n">
        <v>16.255</v>
      </c>
      <c r="C5359" s="534" t="n">
        <v>19154.07</v>
      </c>
      <c r="E5359" s="535" t="n">
        <v>42857</v>
      </c>
      <c r="F5359" s="534" t="n">
        <v>1.496</v>
      </c>
    </row>
    <row r="5360">
      <c r="A5360" s="535" t="n">
        <v>39038</v>
      </c>
      <c r="B5360" s="534" t="n">
        <v>16.534</v>
      </c>
      <c r="C5360" s="534" t="n">
        <v>19182.71</v>
      </c>
      <c r="E5360" s="535" t="n">
        <v>42858</v>
      </c>
      <c r="F5360" s="534" t="n">
        <v>1.496</v>
      </c>
    </row>
    <row r="5361">
      <c r="A5361" s="535" t="n">
        <v>39041</v>
      </c>
      <c r="B5361" s="534" t="n">
        <v>16.011</v>
      </c>
      <c r="C5361" s="534" t="n">
        <v>18954.63</v>
      </c>
      <c r="E5361" s="535" t="n">
        <v>42859</v>
      </c>
      <c r="F5361" s="534" t="n">
        <v>1.445</v>
      </c>
    </row>
    <row r="5362">
      <c r="A5362" s="535" t="n">
        <v>39042</v>
      </c>
      <c r="B5362" s="534" t="n">
        <v>16.028</v>
      </c>
      <c r="C5362" s="534" t="n">
        <v>19008.3</v>
      </c>
      <c r="E5362" s="535" t="n">
        <v>42860</v>
      </c>
      <c r="F5362" s="534" t="n">
        <v>1.456</v>
      </c>
    </row>
    <row r="5363">
      <c r="A5363" s="535" t="n">
        <v>39043</v>
      </c>
      <c r="B5363" s="534" t="n">
        <v>16.359</v>
      </c>
      <c r="C5363" s="534" t="n">
        <v>19250.79</v>
      </c>
      <c r="E5363" s="535" t="n">
        <v>42863</v>
      </c>
      <c r="F5363" s="534" t="n">
        <v>1.423</v>
      </c>
    </row>
    <row r="5364">
      <c r="A5364" s="535" t="n">
        <v>39044</v>
      </c>
      <c r="B5364" s="534" t="n">
        <v>16.359</v>
      </c>
      <c r="C5364" s="534" t="n">
        <v>19265.32</v>
      </c>
      <c r="E5364" s="535" t="n">
        <v>42864</v>
      </c>
      <c r="F5364" s="534" t="n">
        <v>1.456</v>
      </c>
    </row>
    <row r="5365">
      <c r="A5365" s="535" t="n">
        <v>39045</v>
      </c>
      <c r="B5365" s="534" t="n">
        <v>16.499</v>
      </c>
      <c r="C5365" s="534" t="n">
        <v>19260.3</v>
      </c>
      <c r="E5365" s="535" t="n">
        <v>42865</v>
      </c>
      <c r="F5365" s="534" t="n">
        <v>1.451</v>
      </c>
    </row>
    <row r="5366">
      <c r="A5366" s="535" t="n">
        <v>39048</v>
      </c>
      <c r="B5366" s="534" t="n">
        <v>16.255</v>
      </c>
      <c r="C5366" s="534" t="n">
        <v>19204.01</v>
      </c>
      <c r="E5366" s="535" t="n">
        <v>42866</v>
      </c>
      <c r="F5366" s="534" t="n">
        <v>1.449</v>
      </c>
    </row>
    <row r="5367">
      <c r="A5367" s="535" t="n">
        <v>39049</v>
      </c>
      <c r="B5367" s="534" t="n">
        <v>15.697</v>
      </c>
      <c r="C5367" s="534" t="n">
        <v>18639.53</v>
      </c>
      <c r="E5367" s="535" t="n">
        <v>42867</v>
      </c>
      <c r="F5367" s="534" t="n">
        <v>1.426</v>
      </c>
    </row>
    <row r="5368">
      <c r="A5368" s="535" t="n">
        <v>39050</v>
      </c>
      <c r="B5368" s="534" t="n">
        <v>15.854</v>
      </c>
      <c r="C5368" s="534" t="n">
        <v>18780.93</v>
      </c>
      <c r="E5368" s="535" t="n">
        <v>42870</v>
      </c>
      <c r="F5368" s="534" t="n">
        <v>1.418</v>
      </c>
    </row>
    <row r="5369">
      <c r="A5369" s="535" t="n">
        <v>39051</v>
      </c>
      <c r="B5369" s="534" t="n">
        <v>16.116</v>
      </c>
      <c r="C5369" s="534" t="n">
        <v>18960.48</v>
      </c>
      <c r="E5369" s="535" t="n">
        <v>42871</v>
      </c>
      <c r="F5369" s="534" t="n">
        <v>1.403</v>
      </c>
    </row>
    <row r="5370">
      <c r="A5370" s="535" t="n">
        <v>39052</v>
      </c>
      <c r="B5370" s="534" t="n">
        <v>15.384</v>
      </c>
      <c r="C5370" s="534" t="n">
        <v>18690.82</v>
      </c>
      <c r="E5370" s="535" t="n">
        <v>42872</v>
      </c>
      <c r="F5370" s="534" t="n">
        <v>1.373</v>
      </c>
    </row>
    <row r="5371">
      <c r="A5371" s="535" t="n">
        <v>39055</v>
      </c>
      <c r="B5371" s="534" t="n">
        <v>15.889</v>
      </c>
      <c r="C5371" s="534" t="n">
        <v>18702.73</v>
      </c>
      <c r="E5371" s="535" t="n">
        <v>42873</v>
      </c>
      <c r="F5371" s="534" t="n">
        <v>1.352</v>
      </c>
    </row>
    <row r="5372">
      <c r="A5372" s="535" t="n">
        <v>39056</v>
      </c>
      <c r="B5372" s="534" t="n">
        <v>16.412</v>
      </c>
      <c r="C5372" s="534" t="n">
        <v>18944.19</v>
      </c>
      <c r="E5372" s="535" t="n">
        <v>42874</v>
      </c>
      <c r="F5372" s="534" t="n">
        <v>1.373</v>
      </c>
    </row>
    <row r="5373">
      <c r="A5373" s="535" t="n">
        <v>39057</v>
      </c>
      <c r="B5373" s="534" t="n">
        <v>16.377</v>
      </c>
      <c r="C5373" s="534" t="n">
        <v>19026.36</v>
      </c>
      <c r="E5373" s="535" t="n">
        <v>42877</v>
      </c>
      <c r="F5373" s="534" t="n">
        <v>1.368</v>
      </c>
    </row>
    <row r="5374">
      <c r="A5374" s="535" t="n">
        <v>39058</v>
      </c>
      <c r="B5374" s="534" t="n">
        <v>16.29</v>
      </c>
      <c r="C5374" s="534" t="n">
        <v>18842.99</v>
      </c>
      <c r="E5374" s="535" t="n">
        <v>42878</v>
      </c>
      <c r="F5374" s="534" t="n">
        <v>1.351</v>
      </c>
    </row>
    <row r="5375">
      <c r="A5375" s="535" t="n">
        <v>39059</v>
      </c>
      <c r="B5375" s="534" t="n">
        <v>16.255</v>
      </c>
      <c r="C5375" s="534" t="n">
        <v>18739.99</v>
      </c>
      <c r="E5375" s="535" t="n">
        <v>42879</v>
      </c>
      <c r="F5375" s="534" t="n">
        <v>1.368</v>
      </c>
    </row>
    <row r="5376">
      <c r="A5376" s="535" t="n">
        <v>39062</v>
      </c>
      <c r="B5376" s="534" t="n">
        <v>16.708</v>
      </c>
      <c r="C5376" s="534" t="n">
        <v>18924.66</v>
      </c>
      <c r="E5376" s="535" t="n">
        <v>42880</v>
      </c>
      <c r="F5376" s="534" t="n">
        <v>1.327</v>
      </c>
    </row>
    <row r="5377">
      <c r="A5377" s="535" t="n">
        <v>39063</v>
      </c>
      <c r="B5377" s="534" t="n">
        <v>16.377</v>
      </c>
      <c r="C5377" s="534" t="n">
        <v>18907.17</v>
      </c>
      <c r="E5377" s="535" t="n">
        <v>42881</v>
      </c>
      <c r="F5377" s="534" t="n">
        <v>1.295</v>
      </c>
    </row>
    <row r="5378">
      <c r="A5378" s="535" t="n">
        <v>39064</v>
      </c>
      <c r="B5378" s="534" t="n">
        <v>16.272</v>
      </c>
      <c r="C5378" s="534" t="n">
        <v>18718.19</v>
      </c>
      <c r="E5378" s="535" t="n">
        <v>42884</v>
      </c>
      <c r="F5378" s="534" t="n">
        <v>1.305</v>
      </c>
    </row>
    <row r="5379">
      <c r="A5379" s="535" t="n">
        <v>39065</v>
      </c>
      <c r="B5379" s="534" t="n">
        <v>16.534</v>
      </c>
      <c r="C5379" s="534" t="n">
        <v>18919.4</v>
      </c>
      <c r="E5379" s="535" t="n">
        <v>42885</v>
      </c>
      <c r="F5379" s="534" t="n">
        <v>1.305</v>
      </c>
    </row>
    <row r="5380">
      <c r="A5380" s="535" t="n">
        <v>39066</v>
      </c>
      <c r="B5380" s="534" t="n">
        <v>16.743</v>
      </c>
      <c r="C5380" s="534" t="n">
        <v>19110.65</v>
      </c>
      <c r="E5380" s="535" t="n">
        <v>42886</v>
      </c>
      <c r="F5380" s="534" t="n">
        <v>1.299</v>
      </c>
    </row>
    <row r="5381">
      <c r="A5381" s="535" t="n">
        <v>39069</v>
      </c>
      <c r="B5381" s="534" t="n">
        <v>16.534</v>
      </c>
      <c r="C5381" s="534" t="n">
        <v>19192.91</v>
      </c>
      <c r="E5381" s="535" t="n">
        <v>42887</v>
      </c>
      <c r="F5381" s="534" t="n">
        <v>1.309</v>
      </c>
    </row>
    <row r="5382">
      <c r="A5382" s="535" t="n">
        <v>39070</v>
      </c>
      <c r="B5382" s="534" t="n">
        <v>16.168</v>
      </c>
      <c r="C5382" s="534" t="n">
        <v>18964.55</v>
      </c>
      <c r="E5382" s="535" t="n">
        <v>42888</v>
      </c>
      <c r="F5382" s="534" t="n">
        <v>1.31</v>
      </c>
    </row>
    <row r="5383">
      <c r="A5383" s="535" t="n">
        <v>39071</v>
      </c>
      <c r="B5383" s="534" t="n">
        <v>16.377</v>
      </c>
      <c r="C5383" s="534" t="n">
        <v>19240.12</v>
      </c>
      <c r="E5383" s="535" t="n">
        <v>42891</v>
      </c>
      <c r="F5383" s="534" t="n">
        <v>1.242</v>
      </c>
    </row>
    <row r="5384">
      <c r="A5384" s="535" t="n">
        <v>39072</v>
      </c>
      <c r="B5384" s="534" t="n">
        <v>16.29</v>
      </c>
      <c r="C5384" s="534" t="n">
        <v>19222.84</v>
      </c>
      <c r="E5384" s="535" t="n">
        <v>42892</v>
      </c>
      <c r="F5384" s="534" t="n">
        <v>1.195</v>
      </c>
    </row>
    <row r="5385">
      <c r="A5385" s="535" t="n">
        <v>39073</v>
      </c>
      <c r="B5385" s="534" t="n">
        <v>16.377</v>
      </c>
      <c r="C5385" s="534" t="n">
        <v>19320.52</v>
      </c>
      <c r="E5385" s="535" t="n">
        <v>42893</v>
      </c>
      <c r="F5385" s="534" t="n">
        <v>1.18</v>
      </c>
    </row>
    <row r="5386">
      <c r="A5386" s="535" t="n">
        <v>39076</v>
      </c>
      <c r="B5386" s="534" t="n">
        <v>16.377</v>
      </c>
      <c r="C5386" s="534" t="n">
        <v>19320.52</v>
      </c>
      <c r="E5386" s="535" t="n">
        <v>42894</v>
      </c>
      <c r="F5386" s="534" t="n">
        <v>1.239</v>
      </c>
    </row>
    <row r="5387">
      <c r="A5387" s="535" t="n">
        <v>39077</v>
      </c>
      <c r="B5387" s="534" t="n">
        <v>16.377</v>
      </c>
      <c r="C5387" s="534" t="n">
        <v>19320.52</v>
      </c>
      <c r="E5387" s="535" t="n">
        <v>42895</v>
      </c>
      <c r="F5387" s="534" t="n">
        <v>1.303</v>
      </c>
    </row>
    <row r="5388">
      <c r="A5388" s="535" t="n">
        <v>39078</v>
      </c>
      <c r="B5388" s="534" t="n">
        <v>16.307</v>
      </c>
      <c r="C5388" s="534" t="n">
        <v>19725.73</v>
      </c>
      <c r="E5388" s="535" t="n">
        <v>42898</v>
      </c>
      <c r="F5388" s="534" t="n">
        <v>1.347</v>
      </c>
    </row>
    <row r="5389">
      <c r="A5389" s="535" t="n">
        <v>39079</v>
      </c>
      <c r="B5389" s="534" t="n">
        <v>16.83</v>
      </c>
      <c r="C5389" s="534" t="n">
        <v>20001.91</v>
      </c>
      <c r="E5389" s="535" t="n">
        <v>42899</v>
      </c>
      <c r="F5389" s="534" t="n">
        <v>1.376</v>
      </c>
    </row>
    <row r="5390">
      <c r="A5390" s="535" t="n">
        <v>39080</v>
      </c>
      <c r="B5390" s="534" t="n">
        <v>16.708</v>
      </c>
      <c r="C5390" s="534" t="n">
        <v>19964.72</v>
      </c>
      <c r="E5390" s="535" t="n">
        <v>42900</v>
      </c>
      <c r="F5390" s="534" t="n">
        <v>1.374</v>
      </c>
    </row>
    <row r="5391">
      <c r="A5391" s="535" t="n">
        <v>39083</v>
      </c>
      <c r="B5391" s="534" t="n">
        <v>16.708</v>
      </c>
      <c r="C5391" s="534" t="n">
        <v>19964.72</v>
      </c>
      <c r="E5391" s="535" t="n">
        <v>42901</v>
      </c>
      <c r="F5391" s="534" t="n">
        <v>1.309</v>
      </c>
    </row>
    <row r="5392">
      <c r="A5392" s="535" t="n">
        <v>39084</v>
      </c>
      <c r="B5392" s="534" t="n">
        <v>16.917</v>
      </c>
      <c r="C5392" s="534" t="n">
        <v>20310.18</v>
      </c>
      <c r="E5392" s="535" t="n">
        <v>42902</v>
      </c>
      <c r="F5392" s="534" t="n">
        <v>1.364</v>
      </c>
    </row>
    <row r="5393">
      <c r="A5393" s="535" t="n">
        <v>39085</v>
      </c>
      <c r="B5393" s="534" t="n">
        <v>16.238</v>
      </c>
      <c r="C5393" s="534" t="n">
        <v>20413.39</v>
      </c>
      <c r="E5393" s="535" t="n">
        <v>42905</v>
      </c>
      <c r="F5393" s="534" t="n">
        <v>1.348</v>
      </c>
    </row>
    <row r="5394">
      <c r="A5394" s="535" t="n">
        <v>39086</v>
      </c>
      <c r="B5394" s="534" t="n">
        <v>16.394</v>
      </c>
      <c r="C5394" s="534" t="n">
        <v>20025.58</v>
      </c>
      <c r="E5394" s="535" t="n">
        <v>42906</v>
      </c>
      <c r="F5394" s="534" t="n">
        <v>1.348</v>
      </c>
    </row>
    <row r="5395">
      <c r="A5395" s="535" t="n">
        <v>39087</v>
      </c>
      <c r="B5395" s="534" t="n">
        <v>16.359</v>
      </c>
      <c r="C5395" s="534" t="n">
        <v>20211.28</v>
      </c>
      <c r="E5395" s="535" t="n">
        <v>42907</v>
      </c>
      <c r="F5395" s="534" t="n">
        <v>1.348</v>
      </c>
    </row>
    <row r="5396">
      <c r="A5396" s="535" t="n">
        <v>39090</v>
      </c>
      <c r="B5396" s="534" t="n">
        <v>15.924</v>
      </c>
      <c r="C5396" s="534" t="n">
        <v>20029.66</v>
      </c>
      <c r="E5396" s="535" t="n">
        <v>42908</v>
      </c>
      <c r="F5396" s="534" t="n">
        <v>1.348</v>
      </c>
    </row>
    <row r="5397">
      <c r="A5397" s="535" t="n">
        <v>39091</v>
      </c>
      <c r="B5397" s="534" t="n">
        <v>16.15</v>
      </c>
      <c r="C5397" s="534" t="n">
        <v>19898.08</v>
      </c>
      <c r="E5397" s="535" t="n">
        <v>42909</v>
      </c>
      <c r="F5397" s="534" t="n">
        <v>1.271</v>
      </c>
    </row>
    <row r="5398">
      <c r="A5398" s="535" t="n">
        <v>39092</v>
      </c>
      <c r="B5398" s="534" t="n">
        <v>16.481</v>
      </c>
      <c r="C5398" s="534" t="n">
        <v>19568.34</v>
      </c>
      <c r="E5398" s="535" t="n">
        <v>42912</v>
      </c>
      <c r="F5398" s="534" t="n">
        <v>1.319</v>
      </c>
    </row>
    <row r="5399">
      <c r="A5399" s="535" t="n">
        <v>39093</v>
      </c>
      <c r="B5399" s="534" t="n">
        <v>16.76</v>
      </c>
      <c r="C5399" s="534" t="n">
        <v>19385.37</v>
      </c>
      <c r="E5399" s="535" t="n">
        <v>42913</v>
      </c>
      <c r="F5399" s="534" t="n">
        <v>1.3</v>
      </c>
    </row>
    <row r="5400">
      <c r="A5400" s="535" t="n">
        <v>39094</v>
      </c>
      <c r="B5400" s="534" t="n">
        <v>17.684</v>
      </c>
      <c r="C5400" s="534" t="n">
        <v>19613.41</v>
      </c>
      <c r="E5400" s="535" t="n">
        <v>42914</v>
      </c>
      <c r="F5400" s="534" t="n">
        <v>1.404</v>
      </c>
    </row>
    <row r="5401">
      <c r="A5401" s="535" t="n">
        <v>39097</v>
      </c>
      <c r="B5401" s="534" t="n">
        <v>18.163</v>
      </c>
      <c r="C5401" s="534" t="n">
        <v>20068.56</v>
      </c>
      <c r="E5401" s="535" t="n">
        <v>42915</v>
      </c>
      <c r="F5401" s="534" t="n">
        <v>1.465</v>
      </c>
    </row>
    <row r="5402">
      <c r="A5402" s="535" t="n">
        <v>39098</v>
      </c>
      <c r="B5402" s="534" t="n">
        <v>17.727</v>
      </c>
      <c r="C5402" s="534" t="n">
        <v>20027.95</v>
      </c>
      <c r="E5402" s="535" t="n">
        <v>42916</v>
      </c>
      <c r="F5402" s="534" t="n">
        <v>1.51</v>
      </c>
    </row>
    <row r="5403">
      <c r="A5403" s="535" t="n">
        <v>39099</v>
      </c>
      <c r="B5403" s="534" t="n">
        <v>18.163</v>
      </c>
      <c r="C5403" s="534" t="n">
        <v>20064.57</v>
      </c>
      <c r="E5403" s="535" t="n">
        <v>42919</v>
      </c>
      <c r="F5403" s="534" t="n">
        <v>1.588</v>
      </c>
    </row>
    <row r="5404">
      <c r="A5404" s="535" t="n">
        <v>39100</v>
      </c>
      <c r="B5404" s="534" t="n">
        <v>18.076</v>
      </c>
      <c r="C5404" s="534" t="n">
        <v>20277.51</v>
      </c>
      <c r="E5404" s="535" t="n">
        <v>42920</v>
      </c>
      <c r="F5404" s="534" t="n">
        <v>1.588</v>
      </c>
    </row>
    <row r="5405">
      <c r="A5405" s="535" t="n">
        <v>39101</v>
      </c>
      <c r="B5405" s="534" t="n">
        <v>18.642</v>
      </c>
      <c r="C5405" s="534" t="n">
        <v>20327.72</v>
      </c>
      <c r="E5405" s="535" t="n">
        <v>42921</v>
      </c>
      <c r="F5405" s="534" t="n">
        <v>1.589</v>
      </c>
    </row>
    <row r="5406">
      <c r="A5406" s="535" t="n">
        <v>39104</v>
      </c>
      <c r="B5406" s="534" t="n">
        <v>18.816</v>
      </c>
      <c r="C5406" s="534" t="n">
        <v>20772.22</v>
      </c>
      <c r="E5406" s="535" t="n">
        <v>42922</v>
      </c>
      <c r="F5406" s="534" t="n">
        <v>1.566</v>
      </c>
    </row>
    <row r="5407">
      <c r="A5407" s="535" t="n">
        <v>39105</v>
      </c>
      <c r="B5407" s="534" t="n">
        <v>18.293</v>
      </c>
      <c r="C5407" s="534" t="n">
        <v>20769.7</v>
      </c>
      <c r="E5407" s="535" t="n">
        <v>42923</v>
      </c>
      <c r="F5407" s="534" t="n">
        <v>1.612</v>
      </c>
    </row>
    <row r="5408">
      <c r="A5408" s="535" t="n">
        <v>39106</v>
      </c>
      <c r="B5408" s="534" t="n">
        <v>17.727</v>
      </c>
      <c r="C5408" s="534" t="n">
        <v>20821.05</v>
      </c>
      <c r="E5408" s="535" t="n">
        <v>42926</v>
      </c>
      <c r="F5408" s="534" t="n">
        <v>1.623</v>
      </c>
    </row>
    <row r="5409">
      <c r="A5409" s="535" t="n">
        <v>39107</v>
      </c>
      <c r="B5409" s="534" t="n">
        <v>17.727</v>
      </c>
      <c r="C5409" s="534" t="n">
        <v>20669.83</v>
      </c>
      <c r="E5409" s="535" t="n">
        <v>42927</v>
      </c>
      <c r="F5409" s="534" t="n">
        <v>1.624</v>
      </c>
    </row>
    <row r="5410">
      <c r="A5410" s="535" t="n">
        <v>39108</v>
      </c>
      <c r="B5410" s="534" t="n">
        <v>17.901</v>
      </c>
      <c r="C5410" s="534" t="n">
        <v>20281.13</v>
      </c>
      <c r="E5410" s="535" t="n">
        <v>42928</v>
      </c>
      <c r="F5410" s="534" t="n">
        <v>1.624</v>
      </c>
    </row>
    <row r="5411">
      <c r="A5411" s="535" t="n">
        <v>39111</v>
      </c>
      <c r="B5411" s="534" t="n">
        <v>18.076</v>
      </c>
      <c r="C5411" s="534" t="n">
        <v>20236.68</v>
      </c>
      <c r="E5411" s="535" t="n">
        <v>42929</v>
      </c>
      <c r="F5411" s="534" t="n">
        <v>1.604</v>
      </c>
    </row>
    <row r="5412">
      <c r="A5412" s="535" t="n">
        <v>39112</v>
      </c>
      <c r="B5412" s="534" t="n">
        <v>18.119</v>
      </c>
      <c r="C5412" s="534" t="n">
        <v>20460.46</v>
      </c>
      <c r="E5412" s="535" t="n">
        <v>42930</v>
      </c>
      <c r="F5412" s="534" t="n">
        <v>1.453</v>
      </c>
    </row>
    <row r="5413">
      <c r="A5413" s="535" t="n">
        <v>39113</v>
      </c>
      <c r="B5413" s="534" t="n">
        <v>17.509</v>
      </c>
      <c r="C5413" s="534" t="n">
        <v>20106.42</v>
      </c>
      <c r="E5413" s="535" t="n">
        <v>42933</v>
      </c>
      <c r="F5413" s="534" t="n">
        <v>1.554</v>
      </c>
    </row>
    <row r="5414">
      <c r="A5414" s="535" t="n">
        <v>39114</v>
      </c>
      <c r="B5414" s="534" t="n">
        <v>18.206</v>
      </c>
      <c r="C5414" s="534" t="n">
        <v>20430.16</v>
      </c>
      <c r="E5414" s="535" t="n">
        <v>42934</v>
      </c>
      <c r="F5414" s="534" t="n">
        <v>1.554</v>
      </c>
    </row>
    <row r="5415">
      <c r="A5415" s="535" t="n">
        <v>39115</v>
      </c>
      <c r="B5415" s="534" t="n">
        <v>17.901</v>
      </c>
      <c r="C5415" s="534" t="n">
        <v>20563.68</v>
      </c>
      <c r="E5415" s="535" t="n">
        <v>42935</v>
      </c>
      <c r="F5415" s="534" t="n">
        <v>1.554</v>
      </c>
    </row>
    <row r="5416">
      <c r="A5416" s="535" t="n">
        <v>39118</v>
      </c>
      <c r="B5416" s="534" t="n">
        <v>17.814</v>
      </c>
      <c r="C5416" s="534" t="n">
        <v>20455.62</v>
      </c>
      <c r="E5416" s="535" t="n">
        <v>42936</v>
      </c>
      <c r="F5416" s="534" t="n">
        <v>1.541</v>
      </c>
    </row>
    <row r="5417">
      <c r="A5417" s="535" t="n">
        <v>39119</v>
      </c>
      <c r="B5417" s="534" t="n">
        <v>18.076</v>
      </c>
      <c r="C5417" s="534" t="n">
        <v>20655.2</v>
      </c>
      <c r="E5417" s="535" t="n">
        <v>42937</v>
      </c>
      <c r="F5417" s="534" t="n">
        <v>1.542</v>
      </c>
    </row>
    <row r="5418">
      <c r="A5418" s="535" t="n">
        <v>39120</v>
      </c>
      <c r="B5418" s="534" t="n">
        <v>18.86</v>
      </c>
      <c r="C5418" s="534" t="n">
        <v>20679.69</v>
      </c>
      <c r="E5418" s="535" t="n">
        <v>42940</v>
      </c>
      <c r="F5418" s="534" t="n">
        <v>1.52</v>
      </c>
    </row>
    <row r="5419">
      <c r="A5419" s="535" t="n">
        <v>39121</v>
      </c>
      <c r="B5419" s="534" t="n">
        <v>18.947</v>
      </c>
      <c r="C5419" s="534" t="n">
        <v>20735.05</v>
      </c>
      <c r="E5419" s="535" t="n">
        <v>42941</v>
      </c>
      <c r="F5419" s="534" t="n">
        <v>1.514</v>
      </c>
    </row>
    <row r="5420">
      <c r="A5420" s="535" t="n">
        <v>39122</v>
      </c>
      <c r="B5420" s="534" t="n">
        <v>18.816</v>
      </c>
      <c r="C5420" s="534" t="n">
        <v>20677.66</v>
      </c>
      <c r="E5420" s="535" t="n">
        <v>42942</v>
      </c>
      <c r="F5420" s="534" t="n">
        <v>1.547</v>
      </c>
    </row>
    <row r="5421">
      <c r="A5421" s="535" t="n">
        <v>39125</v>
      </c>
      <c r="B5421" s="534" t="n">
        <v>18.99</v>
      </c>
      <c r="C5421" s="534" t="n">
        <v>20593.41</v>
      </c>
      <c r="E5421" s="535" t="n">
        <v>42943</v>
      </c>
      <c r="F5421" s="534" t="n">
        <v>1.503</v>
      </c>
    </row>
    <row r="5422">
      <c r="A5422" s="535" t="n">
        <v>39126</v>
      </c>
      <c r="B5422" s="534" t="n">
        <v>18.598</v>
      </c>
      <c r="C5422" s="534" t="n">
        <v>20132.25</v>
      </c>
      <c r="E5422" s="535" t="n">
        <v>42944</v>
      </c>
      <c r="F5422" s="534" t="n">
        <v>1.52</v>
      </c>
    </row>
    <row r="5423">
      <c r="A5423" s="535" t="n">
        <v>39127</v>
      </c>
      <c r="B5423" s="534" t="n">
        <v>18.642</v>
      </c>
      <c r="C5423" s="534" t="n">
        <v>20209.91</v>
      </c>
      <c r="E5423" s="535" t="n">
        <v>42947</v>
      </c>
      <c r="F5423" s="534" t="n">
        <v>1.5</v>
      </c>
    </row>
    <row r="5424">
      <c r="A5424" s="535" t="n">
        <v>39128</v>
      </c>
      <c r="B5424" s="534" t="n">
        <v>18.772</v>
      </c>
      <c r="C5424" s="534" t="n">
        <v>20538.42</v>
      </c>
      <c r="E5424" s="535" t="n">
        <v>42948</v>
      </c>
      <c r="F5424" s="534" t="n">
        <v>1.532</v>
      </c>
    </row>
    <row r="5425">
      <c r="A5425" s="535" t="n">
        <v>39129</v>
      </c>
      <c r="B5425" s="534" t="n">
        <v>18.642</v>
      </c>
      <c r="C5425" s="534" t="n">
        <v>20567.91</v>
      </c>
      <c r="E5425" s="535" t="n">
        <v>42949</v>
      </c>
      <c r="F5425" s="534" t="n">
        <v>1.504</v>
      </c>
    </row>
    <row r="5426">
      <c r="A5426" s="535" t="n">
        <v>39132</v>
      </c>
      <c r="B5426" s="534" t="n">
        <v>18.642</v>
      </c>
      <c r="C5426" s="534" t="n">
        <v>20567.91</v>
      </c>
      <c r="E5426" s="535" t="n">
        <v>42950</v>
      </c>
      <c r="F5426" s="534" t="n">
        <v>1.532</v>
      </c>
    </row>
    <row r="5427">
      <c r="A5427" s="535" t="n">
        <v>39133</v>
      </c>
      <c r="B5427" s="534" t="n">
        <v>18.642</v>
      </c>
      <c r="C5427" s="534" t="n">
        <v>20567.91</v>
      </c>
      <c r="E5427" s="535" t="n">
        <v>42951</v>
      </c>
      <c r="F5427" s="534" t="n">
        <v>1.482</v>
      </c>
    </row>
    <row r="5428">
      <c r="A5428" s="535" t="n">
        <v>39134</v>
      </c>
      <c r="B5428" s="534" t="n">
        <v>18.598</v>
      </c>
      <c r="C5428" s="534" t="n">
        <v>20651.42</v>
      </c>
      <c r="E5428" s="535" t="n">
        <v>42954</v>
      </c>
      <c r="F5428" s="534" t="n">
        <v>1.522</v>
      </c>
    </row>
    <row r="5429">
      <c r="A5429" s="535" t="n">
        <v>39135</v>
      </c>
      <c r="B5429" s="534" t="n">
        <v>18.903</v>
      </c>
      <c r="C5429" s="534" t="n">
        <v>20809.23</v>
      </c>
      <c r="E5429" s="535" t="n">
        <v>42955</v>
      </c>
      <c r="F5429" s="534" t="n">
        <v>1.528</v>
      </c>
    </row>
    <row r="5430">
      <c r="A5430" s="535" t="n">
        <v>39136</v>
      </c>
      <c r="B5430" s="534" t="n">
        <v>18.468</v>
      </c>
      <c r="C5430" s="534" t="n">
        <v>20711.65</v>
      </c>
      <c r="E5430" s="535" t="n">
        <v>42956</v>
      </c>
      <c r="F5430" s="534" t="n">
        <v>1.551</v>
      </c>
    </row>
    <row r="5431">
      <c r="A5431" s="535" t="n">
        <v>39139</v>
      </c>
      <c r="B5431" s="534" t="n">
        <v>17.988</v>
      </c>
      <c r="C5431" s="534" t="n">
        <v>20507.95</v>
      </c>
      <c r="E5431" s="535" t="n">
        <v>42957</v>
      </c>
      <c r="F5431" s="534" t="n">
        <v>1.568</v>
      </c>
    </row>
    <row r="5432">
      <c r="A5432" s="535" t="n">
        <v>39140</v>
      </c>
      <c r="B5432" s="534" t="n">
        <v>17.422</v>
      </c>
      <c r="C5432" s="534" t="n">
        <v>20147.87</v>
      </c>
      <c r="E5432" s="535" t="n">
        <v>42958</v>
      </c>
      <c r="F5432" s="534" t="n">
        <v>1.517</v>
      </c>
    </row>
    <row r="5433">
      <c r="A5433" s="535" t="n">
        <v>39141</v>
      </c>
      <c r="B5433" s="534" t="n">
        <v>16.969</v>
      </c>
      <c r="C5433" s="534" t="n">
        <v>19651.51</v>
      </c>
      <c r="E5433" s="535" t="n">
        <v>42961</v>
      </c>
      <c r="F5433" s="534" t="n">
        <v>1.529</v>
      </c>
    </row>
    <row r="5434">
      <c r="A5434" s="535" t="n">
        <v>39142</v>
      </c>
      <c r="B5434" s="534" t="n">
        <v>16.882</v>
      </c>
      <c r="C5434" s="534" t="n">
        <v>19346.6</v>
      </c>
      <c r="E5434" s="535" t="n">
        <v>42962</v>
      </c>
      <c r="F5434" s="534" t="n">
        <v>1.54</v>
      </c>
    </row>
    <row r="5435">
      <c r="A5435" s="535" t="n">
        <v>39143</v>
      </c>
      <c r="B5435" s="534" t="n">
        <v>16.812</v>
      </c>
      <c r="C5435" s="534" t="n">
        <v>19442</v>
      </c>
      <c r="E5435" s="535" t="n">
        <v>42963</v>
      </c>
      <c r="F5435" s="534" t="n">
        <v>1.597</v>
      </c>
    </row>
    <row r="5436">
      <c r="A5436" s="535" t="n">
        <v>39146</v>
      </c>
      <c r="B5436" s="534" t="n">
        <v>16.081</v>
      </c>
      <c r="C5436" s="534" t="n">
        <v>18664.88</v>
      </c>
      <c r="E5436" s="535" t="n">
        <v>42964</v>
      </c>
      <c r="F5436" s="534" t="n">
        <v>1.559</v>
      </c>
    </row>
    <row r="5437">
      <c r="A5437" s="535" t="n">
        <v>39147</v>
      </c>
      <c r="B5437" s="534" t="n">
        <v>16.429</v>
      </c>
      <c r="C5437" s="534" t="n">
        <v>19058.56</v>
      </c>
      <c r="E5437" s="535" t="n">
        <v>42965</v>
      </c>
      <c r="F5437" s="534" t="n">
        <v>1.553</v>
      </c>
    </row>
    <row r="5438">
      <c r="A5438" s="535" t="n">
        <v>39148</v>
      </c>
      <c r="B5438" s="534" t="n">
        <v>16.725</v>
      </c>
      <c r="C5438" s="534" t="n">
        <v>18918.64</v>
      </c>
      <c r="E5438" s="535" t="n">
        <v>42968</v>
      </c>
      <c r="F5438" s="534" t="n">
        <v>1.564</v>
      </c>
    </row>
    <row r="5439">
      <c r="A5439" s="535" t="n">
        <v>39149</v>
      </c>
      <c r="B5439" s="534" t="n">
        <v>16.987</v>
      </c>
      <c r="C5439" s="534" t="n">
        <v>19175.17</v>
      </c>
      <c r="E5439" s="535" t="n">
        <v>42969</v>
      </c>
      <c r="F5439" s="534" t="n">
        <v>1.593</v>
      </c>
    </row>
    <row r="5440">
      <c r="A5440" s="535" t="n">
        <v>39150</v>
      </c>
      <c r="B5440" s="534" t="n">
        <v>16.934</v>
      </c>
      <c r="C5440" s="534" t="n">
        <v>19134.88</v>
      </c>
      <c r="E5440" s="535" t="n">
        <v>42970</v>
      </c>
      <c r="F5440" s="534" t="n">
        <v>1.593</v>
      </c>
    </row>
    <row r="5441">
      <c r="A5441" s="535" t="n">
        <v>39153</v>
      </c>
      <c r="B5441" s="534" t="n">
        <v>17.004</v>
      </c>
      <c r="C5441" s="534" t="n">
        <v>19442.42</v>
      </c>
      <c r="E5441" s="535" t="n">
        <v>42971</v>
      </c>
      <c r="F5441" s="534" t="n">
        <v>1.593</v>
      </c>
    </row>
    <row r="5442">
      <c r="A5442" s="535" t="n">
        <v>39154</v>
      </c>
      <c r="B5442" s="534" t="n">
        <v>17.126</v>
      </c>
      <c r="C5442" s="534" t="n">
        <v>19333.14</v>
      </c>
      <c r="E5442" s="535" t="n">
        <v>42972</v>
      </c>
      <c r="F5442" s="534" t="n">
        <v>1.593</v>
      </c>
    </row>
    <row r="5443">
      <c r="A5443" s="535" t="n">
        <v>39155</v>
      </c>
      <c r="B5443" s="534" t="n">
        <v>16.743</v>
      </c>
      <c r="C5443" s="534" t="n">
        <v>18836.93</v>
      </c>
      <c r="E5443" s="535" t="n">
        <v>42975</v>
      </c>
      <c r="F5443" s="534" t="n">
        <v>1.576</v>
      </c>
    </row>
    <row r="5444">
      <c r="A5444" s="535" t="n">
        <v>39156</v>
      </c>
      <c r="B5444" s="534" t="n">
        <v>16.778</v>
      </c>
      <c r="C5444" s="534" t="n">
        <v>18969.44</v>
      </c>
      <c r="E5444" s="535" t="n">
        <v>42976</v>
      </c>
      <c r="F5444" s="534" t="n">
        <v>1.497</v>
      </c>
    </row>
    <row r="5445">
      <c r="A5445" s="535" t="n">
        <v>39157</v>
      </c>
      <c r="B5445" s="534" t="n">
        <v>16.481</v>
      </c>
      <c r="C5445" s="534" t="n">
        <v>18953.5</v>
      </c>
      <c r="E5445" s="535" t="n">
        <v>42977</v>
      </c>
      <c r="F5445" s="534" t="n">
        <v>1.464</v>
      </c>
    </row>
    <row r="5446">
      <c r="A5446" s="535" t="n">
        <v>39160</v>
      </c>
      <c r="B5446" s="534" t="n">
        <v>16.673</v>
      </c>
      <c r="C5446" s="534" t="n">
        <v>19266.74</v>
      </c>
      <c r="E5446" s="535" t="n">
        <v>42978</v>
      </c>
      <c r="F5446" s="534" t="n">
        <v>1.475</v>
      </c>
    </row>
    <row r="5447">
      <c r="A5447" s="535" t="n">
        <v>39161</v>
      </c>
      <c r="B5447" s="534" t="n">
        <v>16.917</v>
      </c>
      <c r="C5447" s="534" t="n">
        <v>19356.9</v>
      </c>
      <c r="E5447" s="535" t="n">
        <v>42979</v>
      </c>
      <c r="F5447" s="534" t="n">
        <v>1.453</v>
      </c>
    </row>
    <row r="5448">
      <c r="A5448" s="535" t="n">
        <v>39162</v>
      </c>
      <c r="B5448" s="534" t="n">
        <v>17.004</v>
      </c>
      <c r="C5448" s="534" t="n">
        <v>19516.41</v>
      </c>
      <c r="E5448" s="535" t="n">
        <v>42982</v>
      </c>
      <c r="F5448" s="534" t="n">
        <v>1.453</v>
      </c>
    </row>
    <row r="5449">
      <c r="A5449" s="535" t="n">
        <v>39163</v>
      </c>
      <c r="B5449" s="534" t="n">
        <v>17.509</v>
      </c>
      <c r="C5449" s="534" t="n">
        <v>19690.25</v>
      </c>
      <c r="E5449" s="535" t="n">
        <v>42983</v>
      </c>
      <c r="F5449" s="534" t="n">
        <v>1.465</v>
      </c>
    </row>
    <row r="5450">
      <c r="A5450" s="535" t="n">
        <v>39164</v>
      </c>
      <c r="B5450" s="534" t="n">
        <v>17.814</v>
      </c>
      <c r="C5450" s="534" t="n">
        <v>19692.64</v>
      </c>
      <c r="E5450" s="535" t="n">
        <v>42984</v>
      </c>
      <c r="F5450" s="534" t="n">
        <v>1.42</v>
      </c>
    </row>
    <row r="5451">
      <c r="A5451" s="535" t="n">
        <v>39167</v>
      </c>
      <c r="B5451" s="534" t="n">
        <v>17.771</v>
      </c>
      <c r="C5451" s="534" t="n">
        <v>19765.85</v>
      </c>
      <c r="E5451" s="535" t="n">
        <v>42985</v>
      </c>
      <c r="F5451" s="534" t="n">
        <v>1.42</v>
      </c>
    </row>
    <row r="5452">
      <c r="A5452" s="535" t="n">
        <v>39168</v>
      </c>
      <c r="B5452" s="534" t="n">
        <v>17.596</v>
      </c>
      <c r="C5452" s="534" t="n">
        <v>19706.79</v>
      </c>
      <c r="E5452" s="535" t="n">
        <v>42986</v>
      </c>
      <c r="F5452" s="534" t="n">
        <v>1.391</v>
      </c>
    </row>
    <row r="5453">
      <c r="A5453" s="535" t="n">
        <v>39169</v>
      </c>
      <c r="B5453" s="534" t="n">
        <v>17.231</v>
      </c>
      <c r="C5453" s="534" t="n">
        <v>19553.87</v>
      </c>
      <c r="E5453" s="535" t="n">
        <v>42989</v>
      </c>
      <c r="F5453" s="534" t="n">
        <v>1.454</v>
      </c>
    </row>
    <row r="5454">
      <c r="A5454" s="535" t="n">
        <v>39170</v>
      </c>
      <c r="B5454" s="534" t="n">
        <v>17.335</v>
      </c>
      <c r="C5454" s="534" t="n">
        <v>19821.78</v>
      </c>
      <c r="E5454" s="535" t="n">
        <v>42990</v>
      </c>
      <c r="F5454" s="534" t="n">
        <v>1.488</v>
      </c>
    </row>
    <row r="5455">
      <c r="A5455" s="535" t="n">
        <v>39171</v>
      </c>
      <c r="B5455" s="534" t="n">
        <v>17.318</v>
      </c>
      <c r="C5455" s="534" t="n">
        <v>19800.93</v>
      </c>
      <c r="E5455" s="535" t="n">
        <v>42991</v>
      </c>
      <c r="F5455" s="534" t="n">
        <v>1.489</v>
      </c>
    </row>
    <row r="5456">
      <c r="A5456" s="535" t="n">
        <v>39174</v>
      </c>
      <c r="B5456" s="534" t="n">
        <v>17.074</v>
      </c>
      <c r="C5456" s="534" t="n">
        <v>19809.7</v>
      </c>
      <c r="E5456" s="535" t="n">
        <v>42992</v>
      </c>
      <c r="F5456" s="534" t="n">
        <v>1.51</v>
      </c>
    </row>
    <row r="5457">
      <c r="A5457" s="535" t="n">
        <v>39175</v>
      </c>
      <c r="B5457" s="534" t="n">
        <v>17.422</v>
      </c>
      <c r="C5457" s="534" t="n">
        <v>20002.7</v>
      </c>
      <c r="E5457" s="535" t="n">
        <v>42993</v>
      </c>
      <c r="F5457" s="534" t="n">
        <v>1.511</v>
      </c>
    </row>
    <row r="5458">
      <c r="A5458" s="535" t="n">
        <v>39176</v>
      </c>
      <c r="B5458" s="534" t="n">
        <v>17.814</v>
      </c>
      <c r="C5458" s="534" t="n">
        <v>20209.71</v>
      </c>
      <c r="E5458" s="535" t="n">
        <v>42996</v>
      </c>
      <c r="F5458" s="534" t="n">
        <v>1.569</v>
      </c>
    </row>
    <row r="5459">
      <c r="A5459" s="535" t="n">
        <v>39177</v>
      </c>
      <c r="B5459" s="534" t="n">
        <v>17.814</v>
      </c>
      <c r="C5459" s="534" t="n">
        <v>20209.71</v>
      </c>
      <c r="E5459" s="535" t="n">
        <v>42997</v>
      </c>
      <c r="F5459" s="534" t="n">
        <v>1.592</v>
      </c>
    </row>
    <row r="5460">
      <c r="A5460" s="535" t="n">
        <v>39178</v>
      </c>
      <c r="B5460" s="534" t="n">
        <v>17.814</v>
      </c>
      <c r="C5460" s="534" t="n">
        <v>20209.71</v>
      </c>
      <c r="E5460" s="535" t="n">
        <v>42998</v>
      </c>
      <c r="F5460" s="534" t="n">
        <v>1.615</v>
      </c>
    </row>
    <row r="5461">
      <c r="A5461" s="535" t="n">
        <v>39181</v>
      </c>
      <c r="B5461" s="534" t="n">
        <v>17.814</v>
      </c>
      <c r="C5461" s="534" t="n">
        <v>20209.71</v>
      </c>
      <c r="E5461" s="535" t="n">
        <v>42999</v>
      </c>
      <c r="F5461" s="534" t="n">
        <v>1.65</v>
      </c>
    </row>
    <row r="5462">
      <c r="A5462" s="535" t="n">
        <v>39182</v>
      </c>
      <c r="B5462" s="534" t="n">
        <v>18.25</v>
      </c>
      <c r="C5462" s="534" t="n">
        <v>20347.87</v>
      </c>
      <c r="E5462" s="535" t="n">
        <v>43000</v>
      </c>
      <c r="F5462" s="534" t="n">
        <v>1.634</v>
      </c>
    </row>
    <row r="5463">
      <c r="A5463" s="535" t="n">
        <v>39183</v>
      </c>
      <c r="B5463" s="534" t="n">
        <v>18.032</v>
      </c>
      <c r="C5463" s="534" t="n">
        <v>20449.43</v>
      </c>
      <c r="E5463" s="535" t="n">
        <v>43003</v>
      </c>
      <c r="F5463" s="534" t="n">
        <v>1.634</v>
      </c>
    </row>
    <row r="5464">
      <c r="A5464" s="535" t="n">
        <v>39184</v>
      </c>
      <c r="B5464" s="534" t="n">
        <v>18.076</v>
      </c>
      <c r="C5464" s="534" t="n">
        <v>20380.21</v>
      </c>
      <c r="E5464" s="535" t="n">
        <v>43004</v>
      </c>
      <c r="F5464" s="534" t="n">
        <v>1.605</v>
      </c>
    </row>
    <row r="5465">
      <c r="A5465" s="535" t="n">
        <v>39185</v>
      </c>
      <c r="B5465" s="534" t="n">
        <v>17.901</v>
      </c>
      <c r="C5465" s="534" t="n">
        <v>20340.97</v>
      </c>
      <c r="E5465" s="535" t="n">
        <v>43005</v>
      </c>
      <c r="F5465" s="534" t="n">
        <v>1.648</v>
      </c>
    </row>
    <row r="5466">
      <c r="A5466" s="535" t="n">
        <v>39188</v>
      </c>
      <c r="B5466" s="534" t="n">
        <v>17.988</v>
      </c>
      <c r="C5466" s="534" t="n">
        <v>20757.53</v>
      </c>
      <c r="E5466" s="535" t="n">
        <v>43006</v>
      </c>
      <c r="F5466" s="534" t="n">
        <v>1.717</v>
      </c>
    </row>
    <row r="5467">
      <c r="A5467" s="535" t="n">
        <v>39189</v>
      </c>
      <c r="B5467" s="534" t="n">
        <v>17.858</v>
      </c>
      <c r="C5467" s="534" t="n">
        <v>20788.61</v>
      </c>
      <c r="E5467" s="535" t="n">
        <v>43007</v>
      </c>
      <c r="F5467" s="534" t="n">
        <v>1.713</v>
      </c>
    </row>
    <row r="5468">
      <c r="A5468" s="535" t="n">
        <v>39190</v>
      </c>
      <c r="B5468" s="534" t="n">
        <v>18.076</v>
      </c>
      <c r="C5468" s="534" t="n">
        <v>20777.09</v>
      </c>
      <c r="E5468" s="535" t="n">
        <v>43010</v>
      </c>
      <c r="F5468" s="534" t="n">
        <v>1.713</v>
      </c>
    </row>
    <row r="5469">
      <c r="A5469" s="535" t="n">
        <v>39191</v>
      </c>
      <c r="B5469" s="534" t="n">
        <v>17.596</v>
      </c>
      <c r="C5469" s="534" t="n">
        <v>20299.71</v>
      </c>
      <c r="E5469" s="535" t="n">
        <v>43011</v>
      </c>
      <c r="F5469" s="534" t="n">
        <v>1.723</v>
      </c>
    </row>
    <row r="5470">
      <c r="A5470" s="535" t="n">
        <v>39192</v>
      </c>
      <c r="B5470" s="534" t="n">
        <v>17.901</v>
      </c>
      <c r="C5470" s="534" t="n">
        <v>20566.59</v>
      </c>
      <c r="E5470" s="535" t="n">
        <v>43012</v>
      </c>
      <c r="F5470" s="534" t="n">
        <v>1.723</v>
      </c>
    </row>
    <row r="5471">
      <c r="A5471" s="535" t="n">
        <v>39195</v>
      </c>
      <c r="B5471" s="534" t="n">
        <v>17.814</v>
      </c>
      <c r="C5471" s="534" t="n">
        <v>20556.57</v>
      </c>
      <c r="E5471" s="535" t="n">
        <v>43013</v>
      </c>
      <c r="F5471" s="534" t="n">
        <v>1.723</v>
      </c>
    </row>
    <row r="5472">
      <c r="A5472" s="535" t="n">
        <v>39196</v>
      </c>
      <c r="B5472" s="534" t="n">
        <v>17.814</v>
      </c>
      <c r="C5472" s="534" t="n">
        <v>20572.8</v>
      </c>
      <c r="E5472" s="535" t="n">
        <v>43014</v>
      </c>
      <c r="F5472" s="534" t="n">
        <v>1.724</v>
      </c>
    </row>
    <row r="5473">
      <c r="A5473" s="535" t="n">
        <v>39197</v>
      </c>
      <c r="B5473" s="534" t="n">
        <v>17.901</v>
      </c>
      <c r="C5473" s="534" t="n">
        <v>20536.78</v>
      </c>
      <c r="E5473" s="535" t="n">
        <v>43017</v>
      </c>
      <c r="F5473" s="534" t="n">
        <v>1.778</v>
      </c>
    </row>
    <row r="5474">
      <c r="A5474" s="535" t="n">
        <v>39198</v>
      </c>
      <c r="B5474" s="534" t="n">
        <v>18.119</v>
      </c>
      <c r="C5474" s="534" t="n">
        <v>20667.29</v>
      </c>
      <c r="E5474" s="535" t="n">
        <v>43018</v>
      </c>
      <c r="F5474" s="534" t="n">
        <v>1.759</v>
      </c>
    </row>
    <row r="5475">
      <c r="A5475" s="535" t="n">
        <v>39199</v>
      </c>
      <c r="B5475" s="534" t="n">
        <v>17.858</v>
      </c>
      <c r="C5475" s="534" t="n">
        <v>20526.5</v>
      </c>
      <c r="E5475" s="535" t="n">
        <v>43019</v>
      </c>
      <c r="F5475" s="534" t="n">
        <v>1.771</v>
      </c>
    </row>
    <row r="5476">
      <c r="A5476" s="535" t="n">
        <v>39202</v>
      </c>
      <c r="B5476" s="534" t="n">
        <v>17.727</v>
      </c>
      <c r="C5476" s="534" t="n">
        <v>20318.98</v>
      </c>
      <c r="E5476" s="535" t="n">
        <v>43020</v>
      </c>
      <c r="F5476" s="534" t="n">
        <v>1.737</v>
      </c>
    </row>
    <row r="5477">
      <c r="A5477" s="535" t="n">
        <v>39203</v>
      </c>
      <c r="B5477" s="534" t="n">
        <v>17.727</v>
      </c>
      <c r="C5477" s="534" t="n">
        <v>20318.98</v>
      </c>
      <c r="E5477" s="535" t="n">
        <v>43021</v>
      </c>
      <c r="F5477" s="534" t="n">
        <v>1.737</v>
      </c>
    </row>
    <row r="5478">
      <c r="A5478" s="535" t="n">
        <v>39204</v>
      </c>
      <c r="B5478" s="534" t="n">
        <v>17.64</v>
      </c>
      <c r="C5478" s="534" t="n">
        <v>20388.49</v>
      </c>
      <c r="E5478" s="535" t="n">
        <v>43024</v>
      </c>
      <c r="F5478" s="534" t="n">
        <v>1.702</v>
      </c>
    </row>
    <row r="5479">
      <c r="A5479" s="535" t="n">
        <v>39205</v>
      </c>
      <c r="B5479" s="534" t="n">
        <v>17.64</v>
      </c>
      <c r="C5479" s="534" t="n">
        <v>20681.58</v>
      </c>
      <c r="E5479" s="535" t="n">
        <v>43025</v>
      </c>
      <c r="F5479" s="534" t="n">
        <v>1.703</v>
      </c>
    </row>
    <row r="5480">
      <c r="A5480" s="535" t="n">
        <v>39206</v>
      </c>
      <c r="B5480" s="534" t="n">
        <v>17.553</v>
      </c>
      <c r="C5480" s="534" t="n">
        <v>20841.08</v>
      </c>
      <c r="E5480" s="535" t="n">
        <v>43026</v>
      </c>
      <c r="F5480" s="534" t="n">
        <v>1.744</v>
      </c>
    </row>
    <row r="5481">
      <c r="A5481" s="535" t="n">
        <v>39209</v>
      </c>
      <c r="B5481" s="534" t="n">
        <v>17.553</v>
      </c>
      <c r="C5481" s="534" t="n">
        <v>20896.64</v>
      </c>
      <c r="E5481" s="535" t="n">
        <v>43027</v>
      </c>
      <c r="F5481" s="534" t="n">
        <v>1.803</v>
      </c>
    </row>
    <row r="5482">
      <c r="A5482" s="535" t="n">
        <v>39210</v>
      </c>
      <c r="B5482" s="534" t="n">
        <v>17.318</v>
      </c>
      <c r="C5482" s="534" t="n">
        <v>20706.35</v>
      </c>
      <c r="E5482" s="535" t="n">
        <v>43028</v>
      </c>
      <c r="F5482" s="534" t="n">
        <v>1.845</v>
      </c>
    </row>
    <row r="5483">
      <c r="A5483" s="535" t="n">
        <v>39211</v>
      </c>
      <c r="B5483" s="534" t="n">
        <v>17.387</v>
      </c>
      <c r="C5483" s="534" t="n">
        <v>20844.78</v>
      </c>
      <c r="E5483" s="535" t="n">
        <v>43031</v>
      </c>
      <c r="F5483" s="534" t="n">
        <v>1.881</v>
      </c>
    </row>
    <row r="5484">
      <c r="A5484" s="535" t="n">
        <v>39212</v>
      </c>
      <c r="B5484" s="534" t="n">
        <v>17.335</v>
      </c>
      <c r="C5484" s="534" t="n">
        <v>20746.27</v>
      </c>
      <c r="E5484" s="535" t="n">
        <v>43032</v>
      </c>
      <c r="F5484" s="534" t="n">
        <v>1.822</v>
      </c>
    </row>
    <row r="5485">
      <c r="A5485" s="535" t="n">
        <v>39213</v>
      </c>
      <c r="B5485" s="534" t="n">
        <v>17.039</v>
      </c>
      <c r="C5485" s="534" t="n">
        <v>20468.21</v>
      </c>
      <c r="E5485" s="535" t="n">
        <v>43033</v>
      </c>
      <c r="F5485" s="534" t="n">
        <v>1.876</v>
      </c>
    </row>
    <row r="5486">
      <c r="A5486" s="535" t="n">
        <v>39216</v>
      </c>
      <c r="B5486" s="534" t="n">
        <v>17.091</v>
      </c>
      <c r="C5486" s="534" t="n">
        <v>20979.24</v>
      </c>
      <c r="E5486" s="535" t="n">
        <v>43034</v>
      </c>
      <c r="F5486" s="534" t="n">
        <v>1.876</v>
      </c>
    </row>
    <row r="5487">
      <c r="A5487" s="535" t="n">
        <v>39217</v>
      </c>
      <c r="B5487" s="534" t="n">
        <v>17.466</v>
      </c>
      <c r="C5487" s="534" t="n">
        <v>20868.15</v>
      </c>
      <c r="E5487" s="535" t="n">
        <v>43035</v>
      </c>
      <c r="F5487" s="534" t="n">
        <v>1.901</v>
      </c>
    </row>
    <row r="5488">
      <c r="A5488" s="535" t="n">
        <v>39218</v>
      </c>
      <c r="B5488" s="534" t="n">
        <v>17.509</v>
      </c>
      <c r="C5488" s="534" t="n">
        <v>20937.26</v>
      </c>
      <c r="E5488" s="535" t="n">
        <v>43038</v>
      </c>
      <c r="F5488" s="534" t="n">
        <v>1.824</v>
      </c>
    </row>
    <row r="5489">
      <c r="A5489" s="535" t="n">
        <v>39219</v>
      </c>
      <c r="B5489" s="534" t="n">
        <v>17.466</v>
      </c>
      <c r="C5489" s="534" t="n">
        <v>20994.61</v>
      </c>
      <c r="E5489" s="535" t="n">
        <v>43039</v>
      </c>
      <c r="F5489" s="534" t="n">
        <v>1.824</v>
      </c>
    </row>
    <row r="5490">
      <c r="A5490" s="535" t="n">
        <v>39220</v>
      </c>
      <c r="B5490" s="534" t="n">
        <v>17.422</v>
      </c>
      <c r="C5490" s="534" t="n">
        <v>20904.84</v>
      </c>
      <c r="E5490" s="535" t="n">
        <v>43040</v>
      </c>
      <c r="F5490" s="534" t="n">
        <v>1.824</v>
      </c>
    </row>
    <row r="5491">
      <c r="A5491" s="535" t="n">
        <v>39223</v>
      </c>
      <c r="B5491" s="534" t="n">
        <v>17.422</v>
      </c>
      <c r="C5491" s="534" t="n">
        <v>20927.75</v>
      </c>
      <c r="E5491" s="535" t="n">
        <v>43041</v>
      </c>
      <c r="F5491" s="534" t="n">
        <v>1.824</v>
      </c>
    </row>
    <row r="5492">
      <c r="A5492" s="535" t="n">
        <v>39224</v>
      </c>
      <c r="B5492" s="534" t="n">
        <v>17.37</v>
      </c>
      <c r="C5492" s="534" t="n">
        <v>20843.92</v>
      </c>
      <c r="E5492" s="535" t="n">
        <v>43042</v>
      </c>
      <c r="F5492" s="534" t="n">
        <v>1.825</v>
      </c>
    </row>
    <row r="5493">
      <c r="A5493" s="535" t="n">
        <v>39225</v>
      </c>
      <c r="B5493" s="534" t="n">
        <v>17.283</v>
      </c>
      <c r="C5493" s="534" t="n">
        <v>20798.97</v>
      </c>
      <c r="E5493" s="535" t="n">
        <v>43045</v>
      </c>
      <c r="F5493" s="534" t="n">
        <v>1.826</v>
      </c>
    </row>
    <row r="5494">
      <c r="A5494" s="535" t="n">
        <v>39226</v>
      </c>
      <c r="B5494" s="534" t="n">
        <v>17.283</v>
      </c>
      <c r="C5494" s="534" t="n">
        <v>20798.97</v>
      </c>
      <c r="E5494" s="535" t="n">
        <v>43046</v>
      </c>
      <c r="F5494" s="534" t="n">
        <v>1.826</v>
      </c>
    </row>
    <row r="5495">
      <c r="A5495" s="535" t="n">
        <v>39227</v>
      </c>
      <c r="B5495" s="534" t="n">
        <v>17.422</v>
      </c>
      <c r="C5495" s="534" t="n">
        <v>20520.66</v>
      </c>
      <c r="E5495" s="535" t="n">
        <v>43047</v>
      </c>
      <c r="F5495" s="534" t="n">
        <v>1.796</v>
      </c>
    </row>
    <row r="5496">
      <c r="A5496" s="535" t="n">
        <v>39230</v>
      </c>
      <c r="B5496" s="534" t="n">
        <v>17.422</v>
      </c>
      <c r="C5496" s="534" t="n">
        <v>20529.76</v>
      </c>
      <c r="E5496" s="535" t="n">
        <v>43048</v>
      </c>
      <c r="F5496" s="534" t="n">
        <v>1.797</v>
      </c>
    </row>
    <row r="5497">
      <c r="A5497" s="535" t="n">
        <v>39231</v>
      </c>
      <c r="B5497" s="534" t="n">
        <v>17.553</v>
      </c>
      <c r="C5497" s="534" t="n">
        <v>20469.59</v>
      </c>
      <c r="E5497" s="535" t="n">
        <v>43049</v>
      </c>
      <c r="F5497" s="534" t="n">
        <v>1.738</v>
      </c>
    </row>
    <row r="5498">
      <c r="A5498" s="535" t="n">
        <v>39232</v>
      </c>
      <c r="B5498" s="534" t="n">
        <v>17.727</v>
      </c>
      <c r="C5498" s="534" t="n">
        <v>20293.76</v>
      </c>
      <c r="E5498" s="535" t="n">
        <v>43052</v>
      </c>
      <c r="F5498" s="534" t="n">
        <v>1.75</v>
      </c>
    </row>
    <row r="5499">
      <c r="A5499" s="535" t="n">
        <v>39233</v>
      </c>
      <c r="B5499" s="534" t="n">
        <v>18.119</v>
      </c>
      <c r="C5499" s="534" t="n">
        <v>20634.47</v>
      </c>
      <c r="E5499" s="535" t="n">
        <v>43053</v>
      </c>
      <c r="F5499" s="534" t="n">
        <v>1.763</v>
      </c>
    </row>
    <row r="5500">
      <c r="A5500" s="535" t="n">
        <v>39234</v>
      </c>
      <c r="B5500" s="534" t="n">
        <v>17.509</v>
      </c>
      <c r="C5500" s="534" t="n">
        <v>20602.87</v>
      </c>
      <c r="E5500" s="535" t="n">
        <v>43054</v>
      </c>
      <c r="F5500" s="534" t="n">
        <v>1.727</v>
      </c>
    </row>
    <row r="5501">
      <c r="A5501" s="535" t="n">
        <v>39237</v>
      </c>
      <c r="B5501" s="534" t="n">
        <v>17.727</v>
      </c>
      <c r="C5501" s="534" t="n">
        <v>20729.59</v>
      </c>
      <c r="E5501" s="535" t="n">
        <v>43055</v>
      </c>
      <c r="F5501" s="534" t="n">
        <v>1.734</v>
      </c>
    </row>
    <row r="5502">
      <c r="A5502" s="535" t="n">
        <v>39238</v>
      </c>
      <c r="B5502" s="534" t="n">
        <v>17.814</v>
      </c>
      <c r="C5502" s="534" t="n">
        <v>20842.15</v>
      </c>
      <c r="E5502" s="535" t="n">
        <v>43056</v>
      </c>
      <c r="F5502" s="534" t="n">
        <v>1.728</v>
      </c>
    </row>
    <row r="5503">
      <c r="A5503" s="535" t="n">
        <v>39239</v>
      </c>
      <c r="B5503" s="534" t="n">
        <v>17.727</v>
      </c>
      <c r="C5503" s="534" t="n">
        <v>20818.61</v>
      </c>
      <c r="E5503" s="535" t="n">
        <v>43059</v>
      </c>
      <c r="F5503" s="534" t="n">
        <v>1.699</v>
      </c>
    </row>
    <row r="5504">
      <c r="A5504" s="535" t="n">
        <v>39240</v>
      </c>
      <c r="B5504" s="534" t="n">
        <v>17.596</v>
      </c>
      <c r="C5504" s="534" t="n">
        <v>20800.16</v>
      </c>
      <c r="E5504" s="535" t="n">
        <v>43060</v>
      </c>
      <c r="F5504" s="534" t="n">
        <v>1.729</v>
      </c>
    </row>
    <row r="5505">
      <c r="A5505" s="535" t="n">
        <v>39241</v>
      </c>
      <c r="B5505" s="534" t="n">
        <v>17.353</v>
      </c>
      <c r="C5505" s="534" t="n">
        <v>20509.15</v>
      </c>
      <c r="E5505" s="535" t="n">
        <v>43061</v>
      </c>
      <c r="F5505" s="534" t="n">
        <v>1.747</v>
      </c>
    </row>
    <row r="5506">
      <c r="A5506" s="535" t="n">
        <v>39244</v>
      </c>
      <c r="B5506" s="534" t="n">
        <v>17.387</v>
      </c>
      <c r="C5506" s="534" t="n">
        <v>20615.49</v>
      </c>
      <c r="E5506" s="535" t="n">
        <v>43062</v>
      </c>
      <c r="F5506" s="534" t="n">
        <v>1.729</v>
      </c>
    </row>
    <row r="5507">
      <c r="A5507" s="535" t="n">
        <v>39245</v>
      </c>
      <c r="B5507" s="534" t="n">
        <v>17.405</v>
      </c>
      <c r="C5507" s="534" t="n">
        <v>20636.39</v>
      </c>
      <c r="E5507" s="535" t="n">
        <v>43063</v>
      </c>
      <c r="F5507" s="534" t="n">
        <v>1.783</v>
      </c>
    </row>
    <row r="5508">
      <c r="A5508" s="535" t="n">
        <v>39246</v>
      </c>
      <c r="B5508" s="534" t="n">
        <v>17.335</v>
      </c>
      <c r="C5508" s="534" t="n">
        <v>20578.75</v>
      </c>
      <c r="E5508" s="535" t="n">
        <v>43066</v>
      </c>
      <c r="F5508" s="534" t="n">
        <v>1.837</v>
      </c>
    </row>
    <row r="5509">
      <c r="A5509" s="535" t="n">
        <v>39247</v>
      </c>
      <c r="B5509" s="534" t="n">
        <v>17.553</v>
      </c>
      <c r="C5509" s="534" t="n">
        <v>20867.26</v>
      </c>
      <c r="E5509" s="535" t="n">
        <v>43067</v>
      </c>
      <c r="F5509" s="534" t="n">
        <v>1.844</v>
      </c>
    </row>
    <row r="5510">
      <c r="A5510" s="535" t="n">
        <v>39248</v>
      </c>
      <c r="B5510" s="534" t="n">
        <v>17.422</v>
      </c>
      <c r="C5510" s="534" t="n">
        <v>21017.05</v>
      </c>
      <c r="E5510" s="535" t="n">
        <v>43068</v>
      </c>
      <c r="F5510" s="534" t="n">
        <v>1.832</v>
      </c>
    </row>
    <row r="5511">
      <c r="A5511" s="535" t="n">
        <v>39251</v>
      </c>
      <c r="B5511" s="534" t="n">
        <v>17.466</v>
      </c>
      <c r="C5511" s="534" t="n">
        <v>21582.89</v>
      </c>
      <c r="E5511" s="535" t="n">
        <v>43069</v>
      </c>
      <c r="F5511" s="534" t="n">
        <v>1.872</v>
      </c>
    </row>
    <row r="5512">
      <c r="A5512" s="535" t="n">
        <v>39252</v>
      </c>
      <c r="B5512" s="534" t="n">
        <v>17.466</v>
      </c>
      <c r="C5512" s="534" t="n">
        <v>21582.89</v>
      </c>
      <c r="E5512" s="535" t="n">
        <v>43070</v>
      </c>
      <c r="F5512" s="534" t="n">
        <v>1.866</v>
      </c>
    </row>
    <row r="5513">
      <c r="A5513" s="535" t="n">
        <v>39253</v>
      </c>
      <c r="B5513" s="534" t="n">
        <v>17.213</v>
      </c>
      <c r="C5513" s="534" t="n">
        <v>21684.67</v>
      </c>
      <c r="E5513" s="535" t="n">
        <v>43073</v>
      </c>
      <c r="F5513" s="534" t="n">
        <v>1.9</v>
      </c>
    </row>
    <row r="5514">
      <c r="A5514" s="535" t="n">
        <v>39254</v>
      </c>
      <c r="B5514" s="534" t="n">
        <v>17.248</v>
      </c>
      <c r="C5514" s="534" t="n">
        <v>21954.67</v>
      </c>
      <c r="E5514" s="535" t="n">
        <v>43074</v>
      </c>
      <c r="F5514" s="534" t="n">
        <v>1.922</v>
      </c>
    </row>
    <row r="5515">
      <c r="A5515" s="535" t="n">
        <v>39255</v>
      </c>
      <c r="B5515" s="534" t="n">
        <v>17.056</v>
      </c>
      <c r="C5515" s="534" t="n">
        <v>21999.91</v>
      </c>
      <c r="E5515" s="535" t="n">
        <v>43075</v>
      </c>
      <c r="F5515" s="534" t="n">
        <v>1.894</v>
      </c>
    </row>
    <row r="5516">
      <c r="A5516" s="535" t="n">
        <v>39258</v>
      </c>
      <c r="B5516" s="534" t="n">
        <v>17.126</v>
      </c>
      <c r="C5516" s="534" t="n">
        <v>21822.35</v>
      </c>
      <c r="E5516" s="535" t="n">
        <v>43076</v>
      </c>
      <c r="F5516" s="534" t="n">
        <v>1.844</v>
      </c>
    </row>
    <row r="5517">
      <c r="A5517" s="535" t="n">
        <v>39259</v>
      </c>
      <c r="B5517" s="534" t="n">
        <v>17.004</v>
      </c>
      <c r="C5517" s="534" t="n">
        <v>21803.57</v>
      </c>
      <c r="E5517" s="535" t="n">
        <v>43077</v>
      </c>
      <c r="F5517" s="534" t="n">
        <v>1.891</v>
      </c>
    </row>
    <row r="5518">
      <c r="A5518" s="535" t="n">
        <v>39260</v>
      </c>
      <c r="B5518" s="534" t="n">
        <v>16.987</v>
      </c>
      <c r="C5518" s="534" t="n">
        <v>21705.56</v>
      </c>
      <c r="E5518" s="535" t="n">
        <v>43080</v>
      </c>
      <c r="F5518" s="534" t="n">
        <v>1.822</v>
      </c>
    </row>
    <row r="5519">
      <c r="A5519" s="535" t="n">
        <v>39261</v>
      </c>
      <c r="B5519" s="534" t="n">
        <v>16.952</v>
      </c>
      <c r="C5519" s="534" t="n">
        <v>21938.22</v>
      </c>
      <c r="E5519" s="535" t="n">
        <v>43081</v>
      </c>
      <c r="F5519" s="534" t="n">
        <v>1.846</v>
      </c>
    </row>
    <row r="5520">
      <c r="A5520" s="535" t="n">
        <v>39262</v>
      </c>
      <c r="B5520" s="534" t="n">
        <v>16.952</v>
      </c>
      <c r="C5520" s="534" t="n">
        <v>21772.73</v>
      </c>
      <c r="E5520" s="535" t="n">
        <v>43082</v>
      </c>
      <c r="F5520" s="534" t="n">
        <v>1.867</v>
      </c>
    </row>
    <row r="5521">
      <c r="A5521" s="535" t="n">
        <v>39265</v>
      </c>
      <c r="B5521" s="534" t="n">
        <v>16.952</v>
      </c>
      <c r="C5521" s="534" t="n">
        <v>21772.73</v>
      </c>
      <c r="E5521" s="535" t="n">
        <v>43083</v>
      </c>
      <c r="F5521" s="534" t="n">
        <v>1.85</v>
      </c>
    </row>
    <row r="5522">
      <c r="A5522" s="535" t="n">
        <v>39266</v>
      </c>
      <c r="B5522" s="534" t="n">
        <v>16.725</v>
      </c>
      <c r="C5522" s="534" t="n">
        <v>22151.14</v>
      </c>
      <c r="E5522" s="535" t="n">
        <v>43084</v>
      </c>
      <c r="F5522" s="534" t="n">
        <v>1.834</v>
      </c>
    </row>
    <row r="5523">
      <c r="A5523" s="535" t="n">
        <v>39267</v>
      </c>
      <c r="B5523" s="534" t="n">
        <v>16.812</v>
      </c>
      <c r="C5523" s="534" t="n">
        <v>22218.55</v>
      </c>
      <c r="E5523" s="535" t="n">
        <v>43087</v>
      </c>
      <c r="F5523" s="534" t="n">
        <v>1.801</v>
      </c>
    </row>
    <row r="5524">
      <c r="A5524" s="535" t="n">
        <v>39268</v>
      </c>
      <c r="B5524" s="534" t="n">
        <v>16.969</v>
      </c>
      <c r="C5524" s="534" t="n">
        <v>22252.99</v>
      </c>
      <c r="E5524" s="535" t="n">
        <v>43088</v>
      </c>
      <c r="F5524" s="534" t="n">
        <v>1.821</v>
      </c>
    </row>
    <row r="5525">
      <c r="A5525" s="535" t="n">
        <v>39269</v>
      </c>
      <c r="B5525" s="534" t="n">
        <v>17.161</v>
      </c>
      <c r="C5525" s="534" t="n">
        <v>22531.74</v>
      </c>
      <c r="E5525" s="535" t="n">
        <v>43089</v>
      </c>
      <c r="F5525" s="534" t="n">
        <v>1.845</v>
      </c>
    </row>
    <row r="5526">
      <c r="A5526" s="535" t="n">
        <v>39272</v>
      </c>
      <c r="B5526" s="534" t="n">
        <v>16.9</v>
      </c>
      <c r="C5526" s="534" t="n">
        <v>22817.43</v>
      </c>
      <c r="E5526" s="535" t="n">
        <v>43090</v>
      </c>
      <c r="F5526" s="534" t="n">
        <v>1.901</v>
      </c>
    </row>
    <row r="5527">
      <c r="A5527" s="535" t="n">
        <v>39273</v>
      </c>
      <c r="B5527" s="534" t="n">
        <v>16.917</v>
      </c>
      <c r="C5527" s="534" t="n">
        <v>22885.84</v>
      </c>
      <c r="E5527" s="535" t="n">
        <v>43091</v>
      </c>
      <c r="F5527" s="534" t="n">
        <v>1.891</v>
      </c>
    </row>
    <row r="5528">
      <c r="A5528" s="535" t="n">
        <v>39274</v>
      </c>
      <c r="B5528" s="534" t="n">
        <v>16.725</v>
      </c>
      <c r="C5528" s="534" t="n">
        <v>22607.02</v>
      </c>
      <c r="E5528" s="535" t="n">
        <v>43094</v>
      </c>
      <c r="F5528" s="534" t="n">
        <v>1.891</v>
      </c>
    </row>
    <row r="5529">
      <c r="A5529" s="535" t="n">
        <v>39275</v>
      </c>
      <c r="B5529" s="534" t="n">
        <v>16.638</v>
      </c>
      <c r="C5529" s="534" t="n">
        <v>22809.02</v>
      </c>
      <c r="E5529" s="535" t="n">
        <v>43095</v>
      </c>
      <c r="F5529" s="534" t="n">
        <v>1.891</v>
      </c>
    </row>
    <row r="5530">
      <c r="A5530" s="535" t="n">
        <v>39276</v>
      </c>
      <c r="B5530" s="534" t="n">
        <v>16.621</v>
      </c>
      <c r="C5530" s="534" t="n">
        <v>23099.29</v>
      </c>
      <c r="E5530" s="535" t="n">
        <v>43096</v>
      </c>
      <c r="F5530" s="534" t="n">
        <v>1.891</v>
      </c>
    </row>
    <row r="5531">
      <c r="A5531" s="535" t="n">
        <v>39279</v>
      </c>
      <c r="B5531" s="534" t="n">
        <v>16.743</v>
      </c>
      <c r="C5531" s="534" t="n">
        <v>22953.94</v>
      </c>
      <c r="E5531" s="535" t="n">
        <v>43097</v>
      </c>
      <c r="F5531" s="534" t="n">
        <v>1.818</v>
      </c>
    </row>
    <row r="5532">
      <c r="A5532" s="535" t="n">
        <v>39280</v>
      </c>
      <c r="B5532" s="534" t="n">
        <v>16.638</v>
      </c>
      <c r="C5532" s="534" t="n">
        <v>23057.3</v>
      </c>
      <c r="E5532" s="535" t="n">
        <v>43098</v>
      </c>
      <c r="F5532" s="534" t="n">
        <v>1.81</v>
      </c>
    </row>
    <row r="5533">
      <c r="A5533" s="535" t="n">
        <v>39281</v>
      </c>
      <c r="B5533" s="534" t="n">
        <v>16.656</v>
      </c>
      <c r="C5533" s="534" t="n">
        <v>22841.92</v>
      </c>
      <c r="E5533" s="535" t="n">
        <v>43101</v>
      </c>
      <c r="F5533" s="534" t="n">
        <v>1.81</v>
      </c>
    </row>
    <row r="5534">
      <c r="A5534" s="535" t="n">
        <v>39282</v>
      </c>
      <c r="B5534" s="534" t="n">
        <v>16.795</v>
      </c>
      <c r="C5534" s="534" t="n">
        <v>23016.2</v>
      </c>
      <c r="E5534" s="535" t="n">
        <v>43102</v>
      </c>
      <c r="F5534" s="534" t="n">
        <v>1.819</v>
      </c>
    </row>
    <row r="5535">
      <c r="A5535" s="535" t="n">
        <v>39283</v>
      </c>
      <c r="B5535" s="534" t="n">
        <v>16.743</v>
      </c>
      <c r="C5535" s="534" t="n">
        <v>23291.9</v>
      </c>
      <c r="E5535" s="535" t="n">
        <v>43103</v>
      </c>
      <c r="F5535" s="534" t="n">
        <v>1.869</v>
      </c>
    </row>
    <row r="5536">
      <c r="A5536" s="535" t="n">
        <v>39286</v>
      </c>
      <c r="B5536" s="534" t="n">
        <v>16.795</v>
      </c>
      <c r="C5536" s="534" t="n">
        <v>23365.56</v>
      </c>
      <c r="E5536" s="535" t="n">
        <v>43104</v>
      </c>
      <c r="F5536" s="534" t="n">
        <v>1.88</v>
      </c>
    </row>
    <row r="5537">
      <c r="A5537" s="535" t="n">
        <v>39287</v>
      </c>
      <c r="B5537" s="534" t="n">
        <v>17.178</v>
      </c>
      <c r="C5537" s="534" t="n">
        <v>23472.88</v>
      </c>
      <c r="E5537" s="535" t="n">
        <v>43105</v>
      </c>
      <c r="F5537" s="534" t="n">
        <v>1.892</v>
      </c>
    </row>
    <row r="5538">
      <c r="A5538" s="535" t="n">
        <v>39288</v>
      </c>
      <c r="B5538" s="534" t="n">
        <v>17.509</v>
      </c>
      <c r="C5538" s="534" t="n">
        <v>23362.18</v>
      </c>
      <c r="E5538" s="535" t="n">
        <v>43108</v>
      </c>
      <c r="F5538" s="534" t="n">
        <v>1.92</v>
      </c>
    </row>
    <row r="5539">
      <c r="A5539" s="535" t="n">
        <v>39289</v>
      </c>
      <c r="B5539" s="534" t="n">
        <v>18.206</v>
      </c>
      <c r="C5539" s="534" t="n">
        <v>23211.69</v>
      </c>
      <c r="E5539" s="535" t="n">
        <v>43109</v>
      </c>
      <c r="F5539" s="534" t="n">
        <v>1.965</v>
      </c>
    </row>
    <row r="5540">
      <c r="A5540" s="535" t="n">
        <v>39290</v>
      </c>
      <c r="B5540" s="534" t="n">
        <v>18.076</v>
      </c>
      <c r="C5540" s="534" t="n">
        <v>22570.41</v>
      </c>
      <c r="E5540" s="535" t="n">
        <v>43110</v>
      </c>
      <c r="F5540" s="534" t="n">
        <v>2.011</v>
      </c>
    </row>
    <row r="5541">
      <c r="A5541" s="535" t="n">
        <v>39293</v>
      </c>
      <c r="B5541" s="534" t="n">
        <v>18.076</v>
      </c>
      <c r="C5541" s="534" t="n">
        <v>22739.9</v>
      </c>
      <c r="E5541" s="535" t="n">
        <v>43111</v>
      </c>
      <c r="F5541" s="534" t="n">
        <v>1.977</v>
      </c>
    </row>
    <row r="5542">
      <c r="A5542" s="535" t="n">
        <v>39294</v>
      </c>
      <c r="B5542" s="534" t="n">
        <v>17.945</v>
      </c>
      <c r="C5542" s="534" t="n">
        <v>23184.94</v>
      </c>
      <c r="E5542" s="535" t="n">
        <v>43112</v>
      </c>
      <c r="F5542" s="534" t="n">
        <v>1.943</v>
      </c>
    </row>
    <row r="5543">
      <c r="A5543" s="535" t="n">
        <v>39295</v>
      </c>
      <c r="B5543" s="534" t="n">
        <v>17.596</v>
      </c>
      <c r="C5543" s="534" t="n">
        <v>22455.36</v>
      </c>
      <c r="E5543" s="535" t="n">
        <v>43115</v>
      </c>
      <c r="F5543" s="534" t="n">
        <v>1.925</v>
      </c>
    </row>
    <row r="5544">
      <c r="A5544" s="535" t="n">
        <v>39296</v>
      </c>
      <c r="B5544" s="534" t="n">
        <v>17.901</v>
      </c>
      <c r="C5544" s="534" t="n">
        <v>22443.25</v>
      </c>
      <c r="E5544" s="535" t="n">
        <v>43116</v>
      </c>
      <c r="F5544" s="534" t="n">
        <v>1.949</v>
      </c>
    </row>
    <row r="5545">
      <c r="A5545" s="535" t="n">
        <v>39297</v>
      </c>
      <c r="B5545" s="534" t="n">
        <v>17.771</v>
      </c>
      <c r="C5545" s="534" t="n">
        <v>22538.44</v>
      </c>
      <c r="E5545" s="535" t="n">
        <v>43117</v>
      </c>
      <c r="F5545" s="534" t="n">
        <v>2</v>
      </c>
    </row>
    <row r="5546">
      <c r="A5546" s="535" t="n">
        <v>39300</v>
      </c>
      <c r="B5546" s="534" t="n">
        <v>17.901</v>
      </c>
      <c r="C5546" s="534" t="n">
        <v>21936.73</v>
      </c>
      <c r="E5546" s="535" t="n">
        <v>43118</v>
      </c>
      <c r="F5546" s="534" t="n">
        <v>2.02</v>
      </c>
    </row>
    <row r="5547">
      <c r="A5547" s="535" t="n">
        <v>39301</v>
      </c>
      <c r="B5547" s="534" t="n">
        <v>18.511</v>
      </c>
      <c r="C5547" s="534" t="n">
        <v>21907.99</v>
      </c>
      <c r="E5547" s="535" t="n">
        <v>43119</v>
      </c>
      <c r="F5547" s="534" t="n">
        <v>2.064</v>
      </c>
    </row>
    <row r="5548">
      <c r="A5548" s="535" t="n">
        <v>39302</v>
      </c>
      <c r="B5548" s="534" t="n">
        <v>19.077</v>
      </c>
      <c r="C5548" s="534" t="n">
        <v>22536.67</v>
      </c>
      <c r="E5548" s="535" t="n">
        <v>43122</v>
      </c>
      <c r="F5548" s="534" t="n">
        <v>2.075</v>
      </c>
    </row>
    <row r="5549">
      <c r="A5549" s="535" t="n">
        <v>39303</v>
      </c>
      <c r="B5549" s="534" t="n">
        <v>18.772</v>
      </c>
      <c r="C5549" s="534" t="n">
        <v>22439.36</v>
      </c>
      <c r="E5549" s="535" t="n">
        <v>43123</v>
      </c>
      <c r="F5549" s="534" t="n">
        <v>2.03</v>
      </c>
    </row>
    <row r="5550">
      <c r="A5550" s="535" t="n">
        <v>39304</v>
      </c>
      <c r="B5550" s="534" t="n">
        <v>17.945</v>
      </c>
      <c r="C5550" s="534" t="n">
        <v>21792.71</v>
      </c>
      <c r="E5550" s="535" t="n">
        <v>43124</v>
      </c>
      <c r="F5550" s="534" t="n">
        <v>1.984</v>
      </c>
    </row>
    <row r="5551">
      <c r="A5551" s="535" t="n">
        <v>39307</v>
      </c>
      <c r="B5551" s="534" t="n">
        <v>18.076</v>
      </c>
      <c r="C5551" s="534" t="n">
        <v>21891.1</v>
      </c>
      <c r="E5551" s="535" t="n">
        <v>43125</v>
      </c>
      <c r="F5551" s="534" t="n">
        <v>2.019</v>
      </c>
    </row>
    <row r="5552">
      <c r="A5552" s="535" t="n">
        <v>39308</v>
      </c>
      <c r="B5552" s="534" t="n">
        <v>18.119</v>
      </c>
      <c r="C5552" s="534" t="n">
        <v>22007.32</v>
      </c>
      <c r="E5552" s="535" t="n">
        <v>43126</v>
      </c>
      <c r="F5552" s="534" t="n">
        <v>1.979</v>
      </c>
    </row>
    <row r="5553">
      <c r="A5553" s="535" t="n">
        <v>39309</v>
      </c>
      <c r="B5553" s="534" t="n">
        <v>17.771</v>
      </c>
      <c r="C5553" s="534" t="n">
        <v>21375.72</v>
      </c>
      <c r="E5553" s="535" t="n">
        <v>43129</v>
      </c>
      <c r="F5553" s="534" t="n">
        <v>2.025</v>
      </c>
    </row>
    <row r="5554">
      <c r="A5554" s="535" t="n">
        <v>39310</v>
      </c>
      <c r="B5554" s="534" t="n">
        <v>17.178</v>
      </c>
      <c r="C5554" s="534" t="n">
        <v>20672.39</v>
      </c>
      <c r="E5554" s="535" t="n">
        <v>43130</v>
      </c>
      <c r="F5554" s="534" t="n">
        <v>2.053</v>
      </c>
    </row>
    <row r="5555">
      <c r="A5555" s="535" t="n">
        <v>39311</v>
      </c>
      <c r="B5555" s="534" t="n">
        <v>17.109</v>
      </c>
      <c r="C5555" s="534" t="n">
        <v>20387.13</v>
      </c>
      <c r="E5555" s="535" t="n">
        <v>43131</v>
      </c>
      <c r="F5555" s="534" t="n">
        <v>2.031</v>
      </c>
    </row>
    <row r="5556">
      <c r="A5556" s="535" t="n">
        <v>39314</v>
      </c>
      <c r="B5556" s="534" t="n">
        <v>17.466</v>
      </c>
      <c r="C5556" s="534" t="n">
        <v>21595.63</v>
      </c>
      <c r="E5556" s="535" t="n">
        <v>43132</v>
      </c>
      <c r="F5556" s="534" t="n">
        <v>2.077</v>
      </c>
    </row>
    <row r="5557">
      <c r="A5557" s="535" t="n">
        <v>39315</v>
      </c>
      <c r="B5557" s="534" t="n">
        <v>17.387</v>
      </c>
      <c r="C5557" s="534" t="n">
        <v>21729.35</v>
      </c>
      <c r="E5557" s="535" t="n">
        <v>43133</v>
      </c>
      <c r="F5557" s="534" t="n">
        <v>2.1</v>
      </c>
    </row>
    <row r="5558">
      <c r="A5558" s="535" t="n">
        <v>39316</v>
      </c>
      <c r="B5558" s="534" t="n">
        <v>17.901</v>
      </c>
      <c r="C5558" s="534" t="n">
        <v>22346.88</v>
      </c>
      <c r="E5558" s="535" t="n">
        <v>43136</v>
      </c>
      <c r="F5558" s="534" t="n">
        <v>2.147</v>
      </c>
    </row>
    <row r="5559">
      <c r="A5559" s="535" t="n">
        <v>39317</v>
      </c>
      <c r="B5559" s="534" t="n">
        <v>18.076</v>
      </c>
      <c r="C5559" s="534" t="n">
        <v>22966.97</v>
      </c>
      <c r="E5559" s="535" t="n">
        <v>43137</v>
      </c>
      <c r="F5559" s="534" t="n">
        <v>2.02</v>
      </c>
    </row>
    <row r="5560">
      <c r="A5560" s="535" t="n">
        <v>39318</v>
      </c>
      <c r="B5560" s="534" t="n">
        <v>18.163</v>
      </c>
      <c r="C5560" s="534" t="n">
        <v>22921.89</v>
      </c>
      <c r="E5560" s="535" t="n">
        <v>43138</v>
      </c>
      <c r="F5560" s="534" t="n">
        <v>2.02</v>
      </c>
    </row>
    <row r="5561">
      <c r="A5561" s="535" t="n">
        <v>39321</v>
      </c>
      <c r="B5561" s="534" t="n">
        <v>18.729</v>
      </c>
      <c r="C5561" s="534" t="n">
        <v>23577.73</v>
      </c>
      <c r="E5561" s="535" t="n">
        <v>43139</v>
      </c>
      <c r="F5561" s="534" t="n">
        <v>2.055</v>
      </c>
    </row>
    <row r="5562">
      <c r="A5562" s="535" t="n">
        <v>39322</v>
      </c>
      <c r="B5562" s="534" t="n">
        <v>18.642</v>
      </c>
      <c r="C5562" s="534" t="n">
        <v>23363.76</v>
      </c>
      <c r="E5562" s="535" t="n">
        <v>43140</v>
      </c>
      <c r="F5562" s="534" t="n">
        <v>2.061</v>
      </c>
    </row>
    <row r="5563">
      <c r="A5563" s="535" t="n">
        <v>39323</v>
      </c>
      <c r="B5563" s="534" t="n">
        <v>17.64</v>
      </c>
      <c r="C5563" s="534" t="n">
        <v>23020.6</v>
      </c>
      <c r="E5563" s="535" t="n">
        <v>43143</v>
      </c>
      <c r="F5563" s="534" t="n">
        <v>2.055</v>
      </c>
    </row>
    <row r="5564">
      <c r="A5564" s="535" t="n">
        <v>39324</v>
      </c>
      <c r="B5564" s="534" t="n">
        <v>17.422</v>
      </c>
      <c r="C5564" s="534" t="n">
        <v>23484.54</v>
      </c>
      <c r="E5564" s="535" t="n">
        <v>43144</v>
      </c>
      <c r="F5564" s="534" t="n">
        <v>2.033</v>
      </c>
    </row>
    <row r="5565">
      <c r="A5565" s="535" t="n">
        <v>39325</v>
      </c>
      <c r="B5565" s="534" t="n">
        <v>17.814</v>
      </c>
      <c r="C5565" s="534" t="n">
        <v>23984.14</v>
      </c>
      <c r="E5565" s="535" t="n">
        <v>43145</v>
      </c>
      <c r="F5565" s="534" t="n">
        <v>1.987</v>
      </c>
    </row>
    <row r="5566">
      <c r="A5566" s="535" t="n">
        <v>39328</v>
      </c>
      <c r="B5566" s="534" t="n">
        <v>17.945</v>
      </c>
      <c r="C5566" s="534" t="n">
        <v>23904.09</v>
      </c>
      <c r="E5566" s="535" t="n">
        <v>43146</v>
      </c>
      <c r="F5566" s="534" t="n">
        <v>2.039</v>
      </c>
    </row>
    <row r="5567">
      <c r="A5567" s="535" t="n">
        <v>39329</v>
      </c>
      <c r="B5567" s="534" t="n">
        <v>17.727</v>
      </c>
      <c r="C5567" s="534" t="n">
        <v>23886.07</v>
      </c>
      <c r="E5567" s="535" t="n">
        <v>43147</v>
      </c>
      <c r="F5567" s="534" t="n">
        <v>2.039</v>
      </c>
    </row>
    <row r="5568">
      <c r="A5568" s="535" t="n">
        <v>39330</v>
      </c>
      <c r="B5568" s="534" t="n">
        <v>17.553</v>
      </c>
      <c r="C5568" s="534" t="n">
        <v>24069.17</v>
      </c>
      <c r="E5568" s="535" t="n">
        <v>43150</v>
      </c>
      <c r="F5568" s="534" t="n">
        <v>2.039</v>
      </c>
    </row>
    <row r="5569">
      <c r="A5569" s="535" t="n">
        <v>39331</v>
      </c>
      <c r="B5569" s="534" t="n">
        <v>17.553</v>
      </c>
      <c r="C5569" s="534" t="n">
        <v>24050.4</v>
      </c>
      <c r="E5569" s="535" t="n">
        <v>43151</v>
      </c>
      <c r="F5569" s="534" t="n">
        <v>2.042</v>
      </c>
    </row>
    <row r="5570">
      <c r="A5570" s="535" t="n">
        <v>39332</v>
      </c>
      <c r="B5570" s="534" t="n">
        <v>17.283</v>
      </c>
      <c r="C5570" s="534" t="n">
        <v>23982.61</v>
      </c>
      <c r="E5570" s="535" t="n">
        <v>43152</v>
      </c>
      <c r="F5570" s="534" t="n">
        <v>2.022</v>
      </c>
    </row>
    <row r="5571">
      <c r="A5571" s="535" t="n">
        <v>39335</v>
      </c>
      <c r="B5571" s="534" t="n">
        <v>17.091</v>
      </c>
      <c r="C5571" s="534" t="n">
        <v>23999.7</v>
      </c>
      <c r="E5571" s="535" t="n">
        <v>43153</v>
      </c>
      <c r="F5571" s="534" t="n">
        <v>2.075</v>
      </c>
    </row>
    <row r="5572">
      <c r="A5572" s="535" t="n">
        <v>39336</v>
      </c>
      <c r="B5572" s="534" t="n">
        <v>16.934</v>
      </c>
      <c r="C5572" s="534" t="n">
        <v>23952.24</v>
      </c>
      <c r="E5572" s="535" t="n">
        <v>43154</v>
      </c>
      <c r="F5572" s="534" t="n">
        <v>2.049</v>
      </c>
    </row>
    <row r="5573">
      <c r="A5573" s="535" t="n">
        <v>39337</v>
      </c>
      <c r="B5573" s="534" t="n">
        <v>17.196</v>
      </c>
      <c r="C5573" s="534" t="n">
        <v>24310.14</v>
      </c>
      <c r="E5573" s="535" t="n">
        <v>43157</v>
      </c>
      <c r="F5573" s="534" t="n">
        <v>1.995</v>
      </c>
    </row>
    <row r="5574">
      <c r="A5574" s="535" t="n">
        <v>39338</v>
      </c>
      <c r="B5574" s="534" t="n">
        <v>17.213</v>
      </c>
      <c r="C5574" s="534" t="n">
        <v>24537.02</v>
      </c>
      <c r="E5574" s="535" t="n">
        <v>43158</v>
      </c>
      <c r="F5574" s="534" t="n">
        <v>1.966</v>
      </c>
    </row>
    <row r="5575">
      <c r="A5575" s="535" t="n">
        <v>39339</v>
      </c>
      <c r="B5575" s="534" t="n">
        <v>17.596</v>
      </c>
      <c r="C5575" s="534" t="n">
        <v>24898.11</v>
      </c>
      <c r="E5575" s="535" t="n">
        <v>43159</v>
      </c>
      <c r="F5575" s="534" t="n">
        <v>2.018</v>
      </c>
    </row>
    <row r="5576">
      <c r="A5576" s="535" t="n">
        <v>39342</v>
      </c>
      <c r="B5576" s="534" t="n">
        <v>17.353</v>
      </c>
      <c r="C5576" s="534" t="n">
        <v>24599.34</v>
      </c>
      <c r="E5576" s="535" t="n">
        <v>43160</v>
      </c>
      <c r="F5576" s="534" t="n">
        <v>1.978</v>
      </c>
    </row>
    <row r="5577">
      <c r="A5577" s="535" t="n">
        <v>39343</v>
      </c>
      <c r="B5577" s="534" t="n">
        <v>17.196</v>
      </c>
      <c r="C5577" s="534" t="n">
        <v>24576.85</v>
      </c>
      <c r="E5577" s="535" t="n">
        <v>43161</v>
      </c>
      <c r="F5577" s="534" t="n">
        <v>1.944</v>
      </c>
    </row>
    <row r="5578">
      <c r="A5578" s="535" t="n">
        <v>39344</v>
      </c>
      <c r="B5578" s="534" t="n">
        <v>17.422</v>
      </c>
      <c r="C5578" s="534" t="n">
        <v>25554.64</v>
      </c>
      <c r="E5578" s="535" t="n">
        <v>43164</v>
      </c>
      <c r="F5578" s="534" t="n">
        <v>1.981</v>
      </c>
    </row>
    <row r="5579">
      <c r="A5579" s="535" t="n">
        <v>39345</v>
      </c>
      <c r="B5579" s="534" t="n">
        <v>17.858</v>
      </c>
      <c r="C5579" s="534" t="n">
        <v>25701.13</v>
      </c>
      <c r="E5579" s="535" t="n">
        <v>43165</v>
      </c>
      <c r="F5579" s="534" t="n">
        <v>2.013</v>
      </c>
    </row>
    <row r="5580">
      <c r="A5580" s="535" t="n">
        <v>39346</v>
      </c>
      <c r="B5580" s="534" t="n">
        <v>19.774</v>
      </c>
      <c r="C5580" s="534" t="n">
        <v>25843.78</v>
      </c>
      <c r="E5580" s="535" t="n">
        <v>43166</v>
      </c>
      <c r="F5580" s="534" t="n">
        <v>2.077</v>
      </c>
    </row>
    <row r="5581">
      <c r="A5581" s="535" t="n">
        <v>39349</v>
      </c>
      <c r="B5581" s="534" t="n">
        <v>19.774</v>
      </c>
      <c r="C5581" s="534" t="n">
        <v>26551.94</v>
      </c>
      <c r="E5581" s="535" t="n">
        <v>43167</v>
      </c>
      <c r="F5581" s="534" t="n">
        <v>2.048</v>
      </c>
    </row>
    <row r="5582">
      <c r="A5582" s="535" t="n">
        <v>39350</v>
      </c>
      <c r="B5582" s="534" t="n">
        <v>18.86</v>
      </c>
      <c r="C5582" s="534" t="n">
        <v>26430.29</v>
      </c>
      <c r="E5582" s="535" t="n">
        <v>43168</v>
      </c>
      <c r="F5582" s="534" t="n">
        <v>2.095</v>
      </c>
    </row>
    <row r="5583">
      <c r="A5583" s="535" t="n">
        <v>39351</v>
      </c>
      <c r="B5583" s="534" t="n">
        <v>18.86</v>
      </c>
      <c r="C5583" s="534" t="n">
        <v>26430.29</v>
      </c>
      <c r="E5583" s="535" t="n">
        <v>43171</v>
      </c>
      <c r="F5583" s="534" t="n">
        <v>2.066</v>
      </c>
    </row>
    <row r="5584">
      <c r="A5584" s="535" t="n">
        <v>39352</v>
      </c>
      <c r="B5584" s="534" t="n">
        <v>18.424</v>
      </c>
      <c r="C5584" s="534" t="n">
        <v>27065.15</v>
      </c>
      <c r="E5584" s="535" t="n">
        <v>43172</v>
      </c>
      <c r="F5584" s="534" t="n">
        <v>2.035</v>
      </c>
    </row>
    <row r="5585">
      <c r="A5585" s="535" t="n">
        <v>39353</v>
      </c>
      <c r="B5585" s="534" t="n">
        <v>18.511</v>
      </c>
      <c r="C5585" s="534" t="n">
        <v>27142.47</v>
      </c>
      <c r="E5585" s="535" t="n">
        <v>43173</v>
      </c>
      <c r="F5585" s="534" t="n">
        <v>1.98</v>
      </c>
    </row>
    <row r="5586">
      <c r="A5586" s="535" t="n">
        <v>39356</v>
      </c>
      <c r="B5586" s="534" t="n">
        <v>18.511</v>
      </c>
      <c r="C5586" s="534" t="n">
        <v>27142.47</v>
      </c>
      <c r="E5586" s="535" t="n">
        <v>43174</v>
      </c>
      <c r="F5586" s="534" t="n">
        <v>1.945</v>
      </c>
    </row>
    <row r="5587">
      <c r="A5587" s="535" t="n">
        <v>39357</v>
      </c>
      <c r="B5587" s="534" t="n">
        <v>18.729</v>
      </c>
      <c r="C5587" s="534" t="n">
        <v>28199.75</v>
      </c>
      <c r="E5587" s="535" t="n">
        <v>43175</v>
      </c>
      <c r="F5587" s="534" t="n">
        <v>1.923</v>
      </c>
    </row>
    <row r="5588">
      <c r="A5588" s="535" t="n">
        <v>39358</v>
      </c>
      <c r="B5588" s="534" t="n">
        <v>18.076</v>
      </c>
      <c r="C5588" s="534" t="n">
        <v>27479.94</v>
      </c>
      <c r="E5588" s="535" t="n">
        <v>43178</v>
      </c>
      <c r="F5588" s="534" t="n">
        <v>1.98</v>
      </c>
    </row>
    <row r="5589">
      <c r="A5589" s="535" t="n">
        <v>39359</v>
      </c>
      <c r="B5589" s="534" t="n">
        <v>17.771</v>
      </c>
      <c r="C5589" s="534" t="n">
        <v>26973.98</v>
      </c>
      <c r="E5589" s="535" t="n">
        <v>43179</v>
      </c>
      <c r="F5589" s="534" t="n">
        <v>1.969</v>
      </c>
    </row>
    <row r="5590">
      <c r="A5590" s="535" t="n">
        <v>39360</v>
      </c>
      <c r="B5590" s="534" t="n">
        <v>18.076</v>
      </c>
      <c r="C5590" s="534" t="n">
        <v>27831.52</v>
      </c>
      <c r="E5590" s="535" t="n">
        <v>43180</v>
      </c>
      <c r="F5590" s="534" t="n">
        <v>2.015</v>
      </c>
    </row>
    <row r="5591">
      <c r="A5591" s="535" t="n">
        <v>39363</v>
      </c>
      <c r="B5591" s="534" t="n">
        <v>17.945</v>
      </c>
      <c r="C5591" s="534" t="n">
        <v>27770.29</v>
      </c>
      <c r="E5591" s="535" t="n">
        <v>43181</v>
      </c>
      <c r="F5591" s="534" t="n">
        <v>2.021</v>
      </c>
    </row>
    <row r="5592">
      <c r="A5592" s="535" t="n">
        <v>39364</v>
      </c>
      <c r="B5592" s="534" t="n">
        <v>19.034</v>
      </c>
      <c r="C5592" s="534" t="n">
        <v>28228.04</v>
      </c>
      <c r="E5592" s="535" t="n">
        <v>43182</v>
      </c>
      <c r="F5592" s="534" t="n">
        <v>2.016</v>
      </c>
    </row>
    <row r="5593">
      <c r="A5593" s="535" t="n">
        <v>39365</v>
      </c>
      <c r="B5593" s="534" t="n">
        <v>18.685</v>
      </c>
      <c r="C5593" s="534" t="n">
        <v>28569.33</v>
      </c>
      <c r="E5593" s="535" t="n">
        <v>43185</v>
      </c>
      <c r="F5593" s="534" t="n">
        <v>2.039</v>
      </c>
    </row>
    <row r="5594">
      <c r="A5594" s="535" t="n">
        <v>39366</v>
      </c>
      <c r="B5594" s="534" t="n">
        <v>18.86</v>
      </c>
      <c r="C5594" s="534" t="n">
        <v>29133.02</v>
      </c>
      <c r="E5594" s="535" t="n">
        <v>43186</v>
      </c>
      <c r="F5594" s="534" t="n">
        <v>2.028</v>
      </c>
    </row>
    <row r="5595">
      <c r="A5595" s="535" t="n">
        <v>39367</v>
      </c>
      <c r="B5595" s="534" t="n">
        <v>19.077</v>
      </c>
      <c r="C5595" s="534" t="n">
        <v>28838.37</v>
      </c>
      <c r="E5595" s="535" t="n">
        <v>43187</v>
      </c>
      <c r="F5595" s="534" t="n">
        <v>1.955</v>
      </c>
    </row>
    <row r="5596">
      <c r="A5596" s="535" t="n">
        <v>39370</v>
      </c>
      <c r="B5596" s="534" t="n">
        <v>18.947</v>
      </c>
      <c r="C5596" s="534" t="n">
        <v>29540.78</v>
      </c>
      <c r="E5596" s="535" t="n">
        <v>43188</v>
      </c>
      <c r="F5596" s="534" t="n">
        <v>1.967</v>
      </c>
    </row>
    <row r="5597">
      <c r="A5597" s="535" t="n">
        <v>39371</v>
      </c>
      <c r="B5597" s="534" t="n">
        <v>19.339</v>
      </c>
      <c r="C5597" s="534" t="n">
        <v>28954.55</v>
      </c>
      <c r="E5597" s="535" t="n">
        <v>43189</v>
      </c>
      <c r="F5597" s="534" t="n">
        <v>1.967</v>
      </c>
    </row>
    <row r="5598">
      <c r="A5598" s="535" t="n">
        <v>39372</v>
      </c>
      <c r="B5598" s="534" t="n">
        <v>19.774</v>
      </c>
      <c r="C5598" s="534" t="n">
        <v>29298.71</v>
      </c>
      <c r="E5598" s="535" t="n">
        <v>43192</v>
      </c>
      <c r="F5598" s="534" t="n">
        <v>1.967</v>
      </c>
    </row>
    <row r="5599">
      <c r="A5599" s="535" t="n">
        <v>39373</v>
      </c>
      <c r="B5599" s="534" t="n">
        <v>19.948</v>
      </c>
      <c r="C5599" s="534" t="n">
        <v>29465.05</v>
      </c>
      <c r="E5599" s="535" t="n">
        <v>43193</v>
      </c>
      <c r="F5599" s="534" t="n">
        <v>1.959</v>
      </c>
    </row>
    <row r="5600">
      <c r="A5600" s="535" t="n">
        <v>39374</v>
      </c>
      <c r="B5600" s="534" t="n">
        <v>19.948</v>
      </c>
      <c r="C5600" s="534" t="n">
        <v>29465.05</v>
      </c>
      <c r="E5600" s="535" t="n">
        <v>43194</v>
      </c>
      <c r="F5600" s="534" t="n">
        <v>1.948</v>
      </c>
    </row>
    <row r="5601">
      <c r="A5601" s="535" t="n">
        <v>39377</v>
      </c>
      <c r="B5601" s="534" t="n">
        <v>18.99</v>
      </c>
      <c r="C5601" s="534" t="n">
        <v>28373.63</v>
      </c>
      <c r="E5601" s="535" t="n">
        <v>43195</v>
      </c>
      <c r="F5601" s="534" t="n">
        <v>1.948</v>
      </c>
    </row>
    <row r="5602">
      <c r="A5602" s="535" t="n">
        <v>39378</v>
      </c>
      <c r="B5602" s="534" t="n">
        <v>19.556</v>
      </c>
      <c r="C5602" s="534" t="n">
        <v>29376.86</v>
      </c>
      <c r="E5602" s="535" t="n">
        <v>43196</v>
      </c>
      <c r="F5602" s="534" t="n">
        <v>1.96</v>
      </c>
    </row>
    <row r="5603">
      <c r="A5603" s="535" t="n">
        <v>39379</v>
      </c>
      <c r="B5603" s="534" t="n">
        <v>19.731</v>
      </c>
      <c r="C5603" s="534" t="n">
        <v>29333.53</v>
      </c>
      <c r="E5603" s="535" t="n">
        <v>43199</v>
      </c>
      <c r="F5603" s="534" t="n">
        <v>1.942</v>
      </c>
    </row>
    <row r="5604">
      <c r="A5604" s="535" t="n">
        <v>39380</v>
      </c>
      <c r="B5604" s="534" t="n">
        <v>19.905</v>
      </c>
      <c r="C5604" s="534" t="n">
        <v>29854.49</v>
      </c>
      <c r="E5604" s="535" t="n">
        <v>43200</v>
      </c>
      <c r="F5604" s="534" t="n">
        <v>1.937</v>
      </c>
    </row>
    <row r="5605">
      <c r="A5605" s="535" t="n">
        <v>39381</v>
      </c>
      <c r="B5605" s="534" t="n">
        <v>20.036</v>
      </c>
      <c r="C5605" s="534" t="n">
        <v>30405.22</v>
      </c>
      <c r="E5605" s="535" t="n">
        <v>43201</v>
      </c>
      <c r="F5605" s="534" t="n">
        <v>1.937</v>
      </c>
    </row>
    <row r="5606">
      <c r="A5606" s="535" t="n">
        <v>39384</v>
      </c>
      <c r="B5606" s="534" t="n">
        <v>19.774</v>
      </c>
      <c r="C5606" s="534" t="n">
        <v>31586.9</v>
      </c>
      <c r="E5606" s="535" t="n">
        <v>43202</v>
      </c>
      <c r="F5606" s="534" t="n">
        <v>1.937</v>
      </c>
    </row>
    <row r="5607">
      <c r="A5607" s="535" t="n">
        <v>39385</v>
      </c>
      <c r="B5607" s="534" t="n">
        <v>20.036</v>
      </c>
      <c r="C5607" s="534" t="n">
        <v>31638.22</v>
      </c>
      <c r="E5607" s="535" t="n">
        <v>43203</v>
      </c>
      <c r="F5607" s="534" t="n">
        <v>1.978</v>
      </c>
    </row>
    <row r="5608">
      <c r="A5608" s="535" t="n">
        <v>39386</v>
      </c>
      <c r="B5608" s="534" t="n">
        <v>19.992</v>
      </c>
      <c r="C5608" s="534" t="n">
        <v>31352.58</v>
      </c>
      <c r="E5608" s="535" t="n">
        <v>43206</v>
      </c>
      <c r="F5608" s="534" t="n">
        <v>2.036</v>
      </c>
    </row>
    <row r="5609">
      <c r="A5609" s="535" t="n">
        <v>39387</v>
      </c>
      <c r="B5609" s="534" t="n">
        <v>20.036</v>
      </c>
      <c r="C5609" s="534" t="n">
        <v>31492.88</v>
      </c>
      <c r="E5609" s="535" t="n">
        <v>43207</v>
      </c>
      <c r="F5609" s="534" t="n">
        <v>2.048</v>
      </c>
    </row>
    <row r="5610">
      <c r="A5610" s="535" t="n">
        <v>39388</v>
      </c>
      <c r="B5610" s="534" t="n">
        <v>19.426</v>
      </c>
      <c r="C5610" s="534" t="n">
        <v>30468.34</v>
      </c>
      <c r="E5610" s="535" t="n">
        <v>43208</v>
      </c>
      <c r="F5610" s="534" t="n">
        <v>2.101</v>
      </c>
    </row>
    <row r="5611">
      <c r="A5611" s="535" t="n">
        <v>39391</v>
      </c>
      <c r="B5611" s="534" t="n">
        <v>18.685</v>
      </c>
      <c r="C5611" s="534" t="n">
        <v>28942.32</v>
      </c>
      <c r="E5611" s="535" t="n">
        <v>43209</v>
      </c>
      <c r="F5611" s="534" t="n">
        <v>2.142</v>
      </c>
    </row>
    <row r="5612">
      <c r="A5612" s="535" t="n">
        <v>39392</v>
      </c>
      <c r="B5612" s="534" t="n">
        <v>18.424</v>
      </c>
      <c r="C5612" s="534" t="n">
        <v>29438.13</v>
      </c>
      <c r="E5612" s="535" t="n">
        <v>43210</v>
      </c>
      <c r="F5612" s="534" t="n">
        <v>2.156</v>
      </c>
    </row>
    <row r="5613">
      <c r="A5613" s="535" t="n">
        <v>39393</v>
      </c>
      <c r="B5613" s="534" t="n">
        <v>18.293</v>
      </c>
      <c r="C5613" s="534" t="n">
        <v>29708.93</v>
      </c>
      <c r="E5613" s="535" t="n">
        <v>43213</v>
      </c>
      <c r="F5613" s="534" t="n">
        <v>2.214</v>
      </c>
    </row>
    <row r="5614">
      <c r="A5614" s="535" t="n">
        <v>39394</v>
      </c>
      <c r="B5614" s="534" t="n">
        <v>17.771</v>
      </c>
      <c r="C5614" s="534" t="n">
        <v>28760.22</v>
      </c>
      <c r="E5614" s="535" t="n">
        <v>43214</v>
      </c>
      <c r="F5614" s="534" t="n">
        <v>2.2</v>
      </c>
    </row>
    <row r="5615">
      <c r="A5615" s="535" t="n">
        <v>39395</v>
      </c>
      <c r="B5615" s="534" t="n">
        <v>17.727</v>
      </c>
      <c r="C5615" s="534" t="n">
        <v>28783.41</v>
      </c>
      <c r="E5615" s="535" t="n">
        <v>43215</v>
      </c>
      <c r="F5615" s="534" t="n">
        <v>2.25</v>
      </c>
    </row>
    <row r="5616">
      <c r="A5616" s="535" t="n">
        <v>39398</v>
      </c>
      <c r="B5616" s="534" t="n">
        <v>17.178</v>
      </c>
      <c r="C5616" s="534" t="n">
        <v>27665.73</v>
      </c>
      <c r="E5616" s="535" t="n">
        <v>43216</v>
      </c>
      <c r="F5616" s="534" t="n">
        <v>2.223</v>
      </c>
    </row>
    <row r="5617">
      <c r="A5617" s="535" t="n">
        <v>39399</v>
      </c>
      <c r="B5617" s="534" t="n">
        <v>16.9</v>
      </c>
      <c r="C5617" s="534" t="n">
        <v>27803.35</v>
      </c>
      <c r="E5617" s="535" t="n">
        <v>43217</v>
      </c>
      <c r="F5617" s="534" t="n">
        <v>2.201</v>
      </c>
    </row>
    <row r="5618">
      <c r="A5618" s="535" t="n">
        <v>39400</v>
      </c>
      <c r="B5618" s="534" t="n">
        <v>17.248</v>
      </c>
      <c r="C5618" s="534" t="n">
        <v>29166.01</v>
      </c>
      <c r="E5618" s="535" t="n">
        <v>43220</v>
      </c>
      <c r="F5618" s="534" t="n">
        <v>2.186</v>
      </c>
    </row>
    <row r="5619">
      <c r="A5619" s="535" t="n">
        <v>39401</v>
      </c>
      <c r="B5619" s="534" t="n">
        <v>16.952</v>
      </c>
      <c r="C5619" s="534" t="n">
        <v>28751.21</v>
      </c>
      <c r="E5619" s="535" t="n">
        <v>43221</v>
      </c>
      <c r="F5619" s="534" t="n">
        <v>2.186</v>
      </c>
    </row>
    <row r="5620">
      <c r="A5620" s="535" t="n">
        <v>39402</v>
      </c>
      <c r="B5620" s="534" t="n">
        <v>16.412</v>
      </c>
      <c r="C5620" s="534" t="n">
        <v>27614.43</v>
      </c>
      <c r="E5620" s="535" t="n">
        <v>43222</v>
      </c>
      <c r="F5620" s="534" t="n">
        <v>2.204</v>
      </c>
    </row>
    <row r="5621">
      <c r="A5621" s="535" t="n">
        <v>39405</v>
      </c>
      <c r="B5621" s="534" t="n">
        <v>16.359</v>
      </c>
      <c r="C5621" s="534" t="n">
        <v>27460.17</v>
      </c>
      <c r="E5621" s="535" t="n">
        <v>43223</v>
      </c>
      <c r="F5621" s="534" t="n">
        <v>2.204</v>
      </c>
    </row>
    <row r="5622">
      <c r="A5622" s="535" t="n">
        <v>39406</v>
      </c>
      <c r="B5622" s="534" t="n">
        <v>16.028</v>
      </c>
      <c r="C5622" s="534" t="n">
        <v>27771.21</v>
      </c>
      <c r="E5622" s="535" t="n">
        <v>43224</v>
      </c>
      <c r="F5622" s="534" t="n">
        <v>2.217</v>
      </c>
    </row>
    <row r="5623">
      <c r="A5623" s="535" t="n">
        <v>39407</v>
      </c>
      <c r="B5623" s="534" t="n">
        <v>15.906</v>
      </c>
      <c r="C5623" s="534" t="n">
        <v>26618.19</v>
      </c>
      <c r="E5623" s="535" t="n">
        <v>43227</v>
      </c>
      <c r="F5623" s="534" t="n">
        <v>2.211</v>
      </c>
    </row>
    <row r="5624">
      <c r="A5624" s="535" t="n">
        <v>39408</v>
      </c>
      <c r="B5624" s="534" t="n">
        <v>16.011</v>
      </c>
      <c r="C5624" s="534" t="n">
        <v>26004.92</v>
      </c>
      <c r="E5624" s="535" t="n">
        <v>43228</v>
      </c>
      <c r="F5624" s="534" t="n">
        <v>2.199</v>
      </c>
    </row>
    <row r="5625">
      <c r="A5625" s="535" t="n">
        <v>39409</v>
      </c>
      <c r="B5625" s="534" t="n">
        <v>16.272</v>
      </c>
      <c r="C5625" s="534" t="n">
        <v>26541.09</v>
      </c>
      <c r="E5625" s="535" t="n">
        <v>43229</v>
      </c>
      <c r="F5625" s="534" t="n">
        <v>2.241</v>
      </c>
    </row>
    <row r="5626">
      <c r="A5626" s="535" t="n">
        <v>39412</v>
      </c>
      <c r="B5626" s="534" t="n">
        <v>16.551</v>
      </c>
      <c r="C5626" s="534" t="n">
        <v>27626.62</v>
      </c>
      <c r="E5626" s="535" t="n">
        <v>43230</v>
      </c>
      <c r="F5626" s="534" t="n">
        <v>2.203</v>
      </c>
    </row>
    <row r="5627">
      <c r="A5627" s="535" t="n">
        <v>39413</v>
      </c>
      <c r="B5627" s="534" t="n">
        <v>16.569</v>
      </c>
      <c r="C5627" s="534" t="n">
        <v>27210.21</v>
      </c>
      <c r="E5627" s="535" t="n">
        <v>43231</v>
      </c>
      <c r="F5627" s="534" t="n">
        <v>2.164</v>
      </c>
    </row>
    <row r="5628">
      <c r="A5628" s="535" t="n">
        <v>39414</v>
      </c>
      <c r="B5628" s="534" t="n">
        <v>17.074</v>
      </c>
      <c r="C5628" s="534" t="n">
        <v>27371.24</v>
      </c>
      <c r="E5628" s="535" t="n">
        <v>43234</v>
      </c>
      <c r="F5628" s="534" t="n">
        <v>2.174</v>
      </c>
    </row>
    <row r="5629">
      <c r="A5629" s="535" t="n">
        <v>39415</v>
      </c>
      <c r="B5629" s="534" t="n">
        <v>17.422</v>
      </c>
      <c r="C5629" s="534" t="n">
        <v>28482.54</v>
      </c>
      <c r="E5629" s="535" t="n">
        <v>43235</v>
      </c>
      <c r="F5629" s="534" t="n">
        <v>2.222</v>
      </c>
    </row>
    <row r="5630">
      <c r="A5630" s="535" t="n">
        <v>39416</v>
      </c>
      <c r="B5630" s="534" t="n">
        <v>17.814</v>
      </c>
      <c r="C5630" s="534" t="n">
        <v>28643.61</v>
      </c>
      <c r="E5630" s="535" t="n">
        <v>43236</v>
      </c>
      <c r="F5630" s="534" t="n">
        <v>2.281</v>
      </c>
    </row>
    <row r="5631">
      <c r="A5631" s="535" t="n">
        <v>39419</v>
      </c>
      <c r="B5631" s="534" t="n">
        <v>17.771</v>
      </c>
      <c r="C5631" s="534" t="n">
        <v>28658.42</v>
      </c>
      <c r="E5631" s="535" t="n">
        <v>43237</v>
      </c>
      <c r="F5631" s="534" t="n">
        <v>2.382</v>
      </c>
    </row>
    <row r="5632">
      <c r="A5632" s="535" t="n">
        <v>39420</v>
      </c>
      <c r="B5632" s="534" t="n">
        <v>17.64</v>
      </c>
      <c r="C5632" s="534" t="n">
        <v>28879.59</v>
      </c>
      <c r="E5632" s="535" t="n">
        <v>43238</v>
      </c>
      <c r="F5632" s="534" t="n">
        <v>2.382</v>
      </c>
    </row>
    <row r="5633">
      <c r="A5633" s="535" t="n">
        <v>39421</v>
      </c>
      <c r="B5633" s="534" t="n">
        <v>17.945</v>
      </c>
      <c r="C5633" s="534" t="n">
        <v>29345.45</v>
      </c>
      <c r="E5633" s="535" t="n">
        <v>43241</v>
      </c>
      <c r="F5633" s="534" t="n">
        <v>2.365</v>
      </c>
    </row>
    <row r="5634">
      <c r="A5634" s="535" t="n">
        <v>39422</v>
      </c>
      <c r="B5634" s="534" t="n">
        <v>17.814</v>
      </c>
      <c r="C5634" s="534" t="n">
        <v>29558.92</v>
      </c>
      <c r="E5634" s="535" t="n">
        <v>43242</v>
      </c>
      <c r="F5634" s="534" t="n">
        <v>2.365</v>
      </c>
    </row>
    <row r="5635">
      <c r="A5635" s="535" t="n">
        <v>39423</v>
      </c>
      <c r="B5635" s="534" t="n">
        <v>17.553</v>
      </c>
      <c r="C5635" s="534" t="n">
        <v>28842.47</v>
      </c>
      <c r="E5635" s="535" t="n">
        <v>43243</v>
      </c>
      <c r="F5635" s="534" t="n">
        <v>2.304</v>
      </c>
    </row>
    <row r="5636">
      <c r="A5636" s="535" t="n">
        <v>39426</v>
      </c>
      <c r="B5636" s="534" t="n">
        <v>17.553</v>
      </c>
      <c r="C5636" s="534" t="n">
        <v>28501.1</v>
      </c>
      <c r="E5636" s="535" t="n">
        <v>43244</v>
      </c>
      <c r="F5636" s="534" t="n">
        <v>2.268</v>
      </c>
    </row>
    <row r="5637">
      <c r="A5637" s="535" t="n">
        <v>39427</v>
      </c>
      <c r="B5637" s="534" t="n">
        <v>17.727</v>
      </c>
      <c r="C5637" s="534" t="n">
        <v>29226.84</v>
      </c>
      <c r="E5637" s="535" t="n">
        <v>43245</v>
      </c>
      <c r="F5637" s="534" t="n">
        <v>2.251</v>
      </c>
    </row>
    <row r="5638">
      <c r="A5638" s="535" t="n">
        <v>39428</v>
      </c>
      <c r="B5638" s="534" t="n">
        <v>17.727</v>
      </c>
      <c r="C5638" s="534" t="n">
        <v>28521.06</v>
      </c>
      <c r="E5638" s="535" t="n">
        <v>43248</v>
      </c>
      <c r="F5638" s="534" t="n">
        <v>2.245</v>
      </c>
    </row>
    <row r="5639">
      <c r="A5639" s="535" t="n">
        <v>39429</v>
      </c>
      <c r="B5639" s="534" t="n">
        <v>17.553</v>
      </c>
      <c r="C5639" s="534" t="n">
        <v>27744.45</v>
      </c>
      <c r="E5639" s="535" t="n">
        <v>43249</v>
      </c>
      <c r="F5639" s="534" t="n">
        <v>2.167</v>
      </c>
    </row>
    <row r="5640">
      <c r="A5640" s="535" t="n">
        <v>39430</v>
      </c>
      <c r="B5640" s="534" t="n">
        <v>17.64</v>
      </c>
      <c r="C5640" s="534" t="n">
        <v>27563.64</v>
      </c>
      <c r="E5640" s="535" t="n">
        <v>43250</v>
      </c>
      <c r="F5640" s="534" t="n">
        <v>2.155</v>
      </c>
    </row>
    <row r="5641">
      <c r="A5641" s="535" t="n">
        <v>39433</v>
      </c>
      <c r="B5641" s="534" t="n">
        <v>17.178</v>
      </c>
      <c r="C5641" s="534" t="n">
        <v>26596.58</v>
      </c>
      <c r="E5641" s="535" t="n">
        <v>43251</v>
      </c>
      <c r="F5641" s="534" t="n">
        <v>2.179</v>
      </c>
    </row>
    <row r="5642">
      <c r="A5642" s="535" t="n">
        <v>39434</v>
      </c>
      <c r="B5642" s="534" t="n">
        <v>17.353</v>
      </c>
      <c r="C5642" s="534" t="n">
        <v>26732.87</v>
      </c>
      <c r="E5642" s="535" t="n">
        <v>43252</v>
      </c>
      <c r="F5642" s="534" t="n">
        <v>2.207</v>
      </c>
    </row>
    <row r="5643">
      <c r="A5643" s="535" t="n">
        <v>39435</v>
      </c>
      <c r="B5643" s="534" t="n">
        <v>17.143</v>
      </c>
      <c r="C5643" s="534" t="n">
        <v>27029.26</v>
      </c>
      <c r="E5643" s="535" t="n">
        <v>43255</v>
      </c>
      <c r="F5643" s="534" t="n">
        <v>2.262</v>
      </c>
    </row>
    <row r="5644">
      <c r="A5644" s="535" t="n">
        <v>39436</v>
      </c>
      <c r="B5644" s="534" t="n">
        <v>17.248</v>
      </c>
      <c r="C5644" s="534" t="n">
        <v>27017.09</v>
      </c>
      <c r="E5644" s="535" t="n">
        <v>43256</v>
      </c>
      <c r="F5644" s="534" t="n">
        <v>2.281</v>
      </c>
    </row>
    <row r="5645">
      <c r="A5645" s="535" t="n">
        <v>39437</v>
      </c>
      <c r="B5645" s="534" t="n">
        <v>17.553</v>
      </c>
      <c r="C5645" s="534" t="n">
        <v>27626.92</v>
      </c>
      <c r="E5645" s="535" t="n">
        <v>43257</v>
      </c>
      <c r="F5645" s="534" t="n">
        <v>2.297</v>
      </c>
    </row>
    <row r="5646">
      <c r="A5646" s="535" t="n">
        <v>39440</v>
      </c>
      <c r="B5646" s="534" t="n">
        <v>17.596</v>
      </c>
      <c r="C5646" s="534" t="n">
        <v>28128.8</v>
      </c>
      <c r="E5646" s="535" t="n">
        <v>43258</v>
      </c>
      <c r="F5646" s="534" t="n">
        <v>2.351</v>
      </c>
    </row>
    <row r="5647">
      <c r="A5647" s="535" t="n">
        <v>39441</v>
      </c>
      <c r="B5647" s="534" t="n">
        <v>17.596</v>
      </c>
      <c r="C5647" s="534" t="n">
        <v>28128.8</v>
      </c>
      <c r="E5647" s="535" t="n">
        <v>43259</v>
      </c>
      <c r="F5647" s="534" t="n">
        <v>2.312</v>
      </c>
    </row>
    <row r="5648">
      <c r="A5648" s="535" t="n">
        <v>39442</v>
      </c>
      <c r="B5648" s="534" t="n">
        <v>17.596</v>
      </c>
      <c r="C5648" s="534" t="n">
        <v>28128.8</v>
      </c>
      <c r="E5648" s="535" t="n">
        <v>43262</v>
      </c>
      <c r="F5648" s="534" t="n">
        <v>2.328</v>
      </c>
    </row>
    <row r="5649">
      <c r="A5649" s="535" t="n">
        <v>39443</v>
      </c>
      <c r="B5649" s="534" t="n">
        <v>17.596</v>
      </c>
      <c r="C5649" s="534" t="n">
        <v>27842.93</v>
      </c>
      <c r="E5649" s="535" t="n">
        <v>43263</v>
      </c>
      <c r="F5649" s="534" t="n">
        <v>2.339</v>
      </c>
    </row>
    <row r="5650">
      <c r="A5650" s="535" t="n">
        <v>39444</v>
      </c>
      <c r="B5650" s="534" t="n">
        <v>17.422</v>
      </c>
      <c r="C5650" s="534" t="n">
        <v>27370.6</v>
      </c>
      <c r="E5650" s="535" t="n">
        <v>43264</v>
      </c>
      <c r="F5650" s="534" t="n">
        <v>2.35</v>
      </c>
    </row>
    <row r="5651">
      <c r="A5651" s="535" t="n">
        <v>39447</v>
      </c>
      <c r="B5651" s="534" t="n">
        <v>17.771</v>
      </c>
      <c r="C5651" s="534" t="n">
        <v>27812.65</v>
      </c>
      <c r="E5651" s="535" t="n">
        <v>43265</v>
      </c>
      <c r="F5651" s="534" t="n">
        <v>2.339</v>
      </c>
    </row>
    <row r="5652">
      <c r="A5652" s="535" t="n">
        <v>39448</v>
      </c>
      <c r="B5652" s="534" t="n">
        <v>17.771</v>
      </c>
      <c r="C5652" s="534" t="n">
        <v>27812.65</v>
      </c>
      <c r="E5652" s="535" t="n">
        <v>43266</v>
      </c>
      <c r="F5652" s="534" t="n">
        <v>2.317</v>
      </c>
    </row>
    <row r="5653">
      <c r="A5653" s="535" t="n">
        <v>39449</v>
      </c>
      <c r="B5653" s="534" t="n">
        <v>17.684</v>
      </c>
      <c r="C5653" s="534" t="n">
        <v>27560.52</v>
      </c>
      <c r="E5653" s="535" t="n">
        <v>43269</v>
      </c>
      <c r="F5653" s="534" t="n">
        <v>2.317</v>
      </c>
    </row>
    <row r="5654">
      <c r="A5654" s="535" t="n">
        <v>39450</v>
      </c>
      <c r="B5654" s="534" t="n">
        <v>17.143</v>
      </c>
      <c r="C5654" s="534" t="n">
        <v>26887.28</v>
      </c>
      <c r="E5654" s="535" t="n">
        <v>43270</v>
      </c>
      <c r="F5654" s="534" t="n">
        <v>2.265</v>
      </c>
    </row>
    <row r="5655">
      <c r="A5655" s="535" t="n">
        <v>39451</v>
      </c>
      <c r="B5655" s="534" t="n">
        <v>17.405</v>
      </c>
      <c r="C5655" s="534" t="n">
        <v>27519.69</v>
      </c>
      <c r="E5655" s="535" t="n">
        <v>43271</v>
      </c>
      <c r="F5655" s="534" t="n">
        <v>2.3</v>
      </c>
    </row>
    <row r="5656">
      <c r="A5656" s="535" t="n">
        <v>39454</v>
      </c>
      <c r="B5656" s="534" t="n">
        <v>17.422</v>
      </c>
      <c r="C5656" s="534" t="n">
        <v>27179.49</v>
      </c>
      <c r="E5656" s="535" t="n">
        <v>43272</v>
      </c>
      <c r="F5656" s="534" t="n">
        <v>2.317</v>
      </c>
    </row>
    <row r="5657">
      <c r="A5657" s="535" t="n">
        <v>39455</v>
      </c>
      <c r="B5657" s="534" t="n">
        <v>17.64</v>
      </c>
      <c r="C5657" s="534" t="n">
        <v>27112.9</v>
      </c>
      <c r="E5657" s="535" t="n">
        <v>43273</v>
      </c>
      <c r="F5657" s="534" t="n">
        <v>2.311</v>
      </c>
    </row>
    <row r="5658">
      <c r="A5658" s="535" t="n">
        <v>39456</v>
      </c>
      <c r="B5658" s="534" t="n">
        <v>17.509</v>
      </c>
      <c r="C5658" s="534" t="n">
        <v>27615.85</v>
      </c>
      <c r="E5658" s="535" t="n">
        <v>43276</v>
      </c>
      <c r="F5658" s="534" t="n">
        <v>2.261</v>
      </c>
    </row>
    <row r="5659">
      <c r="A5659" s="535" t="n">
        <v>39457</v>
      </c>
      <c r="B5659" s="534" t="n">
        <v>17.213</v>
      </c>
      <c r="C5659" s="534" t="n">
        <v>27230.86</v>
      </c>
      <c r="E5659" s="535" t="n">
        <v>43277</v>
      </c>
      <c r="F5659" s="534" t="n">
        <v>2.239</v>
      </c>
    </row>
    <row r="5660">
      <c r="A5660" s="535" t="n">
        <v>39458</v>
      </c>
      <c r="B5660" s="534" t="n">
        <v>17.387</v>
      </c>
      <c r="C5660" s="534" t="n">
        <v>26867.01</v>
      </c>
      <c r="E5660" s="535" t="n">
        <v>43278</v>
      </c>
      <c r="F5660" s="534" t="n">
        <v>2.228</v>
      </c>
    </row>
    <row r="5661">
      <c r="A5661" s="535" t="n">
        <v>39461</v>
      </c>
      <c r="B5661" s="534" t="n">
        <v>17.509</v>
      </c>
      <c r="C5661" s="534" t="n">
        <v>26468.13</v>
      </c>
      <c r="E5661" s="535" t="n">
        <v>43279</v>
      </c>
      <c r="F5661" s="534" t="n">
        <v>2.222</v>
      </c>
    </row>
    <row r="5662">
      <c r="A5662" s="535" t="n">
        <v>39462</v>
      </c>
      <c r="B5662" s="534" t="n">
        <v>17.109</v>
      </c>
      <c r="C5662" s="534" t="n">
        <v>25837.78</v>
      </c>
      <c r="E5662" s="535" t="n">
        <v>43280</v>
      </c>
      <c r="F5662" s="534" t="n">
        <v>2.222</v>
      </c>
    </row>
    <row r="5663">
      <c r="A5663" s="535" t="n">
        <v>39463</v>
      </c>
      <c r="B5663" s="534" t="n">
        <v>16.203</v>
      </c>
      <c r="C5663" s="534" t="n">
        <v>24450.85</v>
      </c>
      <c r="E5663" s="535" t="n">
        <v>43283</v>
      </c>
      <c r="F5663" s="534" t="n">
        <v>2.222</v>
      </c>
    </row>
    <row r="5664">
      <c r="A5664" s="535" t="n">
        <v>39464</v>
      </c>
      <c r="B5664" s="534" t="n">
        <v>16.238</v>
      </c>
      <c r="C5664" s="534" t="n">
        <v>25114.98</v>
      </c>
      <c r="E5664" s="535" t="n">
        <v>43284</v>
      </c>
      <c r="F5664" s="534" t="n">
        <v>2.254</v>
      </c>
    </row>
    <row r="5665">
      <c r="A5665" s="535" t="n">
        <v>39465</v>
      </c>
      <c r="B5665" s="534" t="n">
        <v>16.342</v>
      </c>
      <c r="C5665" s="534" t="n">
        <v>25201.87</v>
      </c>
      <c r="E5665" s="535" t="n">
        <v>43285</v>
      </c>
      <c r="F5665" s="534" t="n">
        <v>2.227</v>
      </c>
    </row>
    <row r="5666">
      <c r="A5666" s="535" t="n">
        <v>39468</v>
      </c>
      <c r="B5666" s="534" t="n">
        <v>15.785</v>
      </c>
      <c r="C5666" s="534" t="n">
        <v>23818.86</v>
      </c>
      <c r="E5666" s="535" t="n">
        <v>43286</v>
      </c>
      <c r="F5666" s="534" t="n">
        <v>2.216</v>
      </c>
    </row>
    <row r="5667">
      <c r="A5667" s="535" t="n">
        <v>39469</v>
      </c>
      <c r="B5667" s="534" t="n">
        <v>14.809</v>
      </c>
      <c r="C5667" s="534" t="n">
        <v>21757.63</v>
      </c>
      <c r="E5667" s="535" t="n">
        <v>43287</v>
      </c>
      <c r="F5667" s="534" t="n">
        <v>2.183</v>
      </c>
    </row>
    <row r="5668">
      <c r="A5668" s="535" t="n">
        <v>39470</v>
      </c>
      <c r="B5668" s="534" t="n">
        <v>15.628</v>
      </c>
      <c r="C5668" s="534" t="n">
        <v>24090.17</v>
      </c>
      <c r="E5668" s="535" t="n">
        <v>43290</v>
      </c>
      <c r="F5668" s="534" t="n">
        <v>2.177</v>
      </c>
    </row>
    <row r="5669">
      <c r="A5669" s="535" t="n">
        <v>39471</v>
      </c>
      <c r="B5669" s="534" t="n">
        <v>15.192</v>
      </c>
      <c r="C5669" s="534" t="n">
        <v>23539.27</v>
      </c>
      <c r="E5669" s="535" t="n">
        <v>43291</v>
      </c>
      <c r="F5669" s="534" t="n">
        <v>2.194</v>
      </c>
    </row>
    <row r="5670">
      <c r="A5670" s="535" t="n">
        <v>39472</v>
      </c>
      <c r="B5670" s="534" t="n">
        <v>15.75</v>
      </c>
      <c r="C5670" s="534" t="n">
        <v>25122.37</v>
      </c>
      <c r="E5670" s="535" t="n">
        <v>43292</v>
      </c>
      <c r="F5670" s="534" t="n">
        <v>2.196</v>
      </c>
    </row>
    <row r="5671">
      <c r="A5671" s="535" t="n">
        <v>39475</v>
      </c>
      <c r="B5671" s="534" t="n">
        <v>15.244</v>
      </c>
      <c r="C5671" s="534" t="n">
        <v>24053.61</v>
      </c>
      <c r="E5671" s="535" t="n">
        <v>43293</v>
      </c>
      <c r="F5671" s="534" t="n">
        <v>2.196</v>
      </c>
    </row>
    <row r="5672">
      <c r="A5672" s="535" t="n">
        <v>39476</v>
      </c>
      <c r="B5672" s="534" t="n">
        <v>15.297</v>
      </c>
      <c r="C5672" s="534" t="n">
        <v>24291.8</v>
      </c>
      <c r="E5672" s="535" t="n">
        <v>43294</v>
      </c>
      <c r="F5672" s="534" t="n">
        <v>2.196</v>
      </c>
    </row>
    <row r="5673">
      <c r="A5673" s="535" t="n">
        <v>39477</v>
      </c>
      <c r="B5673" s="534" t="n">
        <v>15.262</v>
      </c>
      <c r="C5673" s="534" t="n">
        <v>23653.69</v>
      </c>
      <c r="E5673" s="535" t="n">
        <v>43297</v>
      </c>
      <c r="F5673" s="534" t="n">
        <v>2.188</v>
      </c>
    </row>
    <row r="5674">
      <c r="A5674" s="535" t="n">
        <v>39478</v>
      </c>
      <c r="B5674" s="534" t="n">
        <v>15.07</v>
      </c>
      <c r="C5674" s="534" t="n">
        <v>23455.74</v>
      </c>
      <c r="E5674" s="535" t="n">
        <v>43298</v>
      </c>
      <c r="F5674" s="534" t="n">
        <v>2.188</v>
      </c>
    </row>
    <row r="5675">
      <c r="A5675" s="535" t="n">
        <v>39479</v>
      </c>
      <c r="B5675" s="534" t="n">
        <v>15.21</v>
      </c>
      <c r="C5675" s="534" t="n">
        <v>24123.58</v>
      </c>
      <c r="E5675" s="535" t="n">
        <v>43299</v>
      </c>
      <c r="F5675" s="534" t="n">
        <v>2.171</v>
      </c>
    </row>
    <row r="5676">
      <c r="A5676" s="535" t="n">
        <v>39482</v>
      </c>
      <c r="B5676" s="534" t="n">
        <v>15.523</v>
      </c>
      <c r="C5676" s="534" t="n">
        <v>25032.08</v>
      </c>
      <c r="E5676" s="535" t="n">
        <v>43300</v>
      </c>
      <c r="F5676" s="534" t="n">
        <v>2.182</v>
      </c>
    </row>
    <row r="5677">
      <c r="A5677" s="535" t="n">
        <v>39483</v>
      </c>
      <c r="B5677" s="534" t="n">
        <v>15.471</v>
      </c>
      <c r="C5677" s="534" t="n">
        <v>24808.7</v>
      </c>
      <c r="E5677" s="535" t="n">
        <v>43301</v>
      </c>
      <c r="F5677" s="534" t="n">
        <v>2.16</v>
      </c>
    </row>
    <row r="5678">
      <c r="A5678" s="535" t="n">
        <v>39484</v>
      </c>
      <c r="B5678" s="534" t="n">
        <v>15.001</v>
      </c>
      <c r="C5678" s="534" t="n">
        <v>23469.46</v>
      </c>
      <c r="E5678" s="535" t="n">
        <v>43304</v>
      </c>
      <c r="F5678" s="534" t="n">
        <v>2.176</v>
      </c>
    </row>
    <row r="5679">
      <c r="A5679" s="535" t="n">
        <v>39485</v>
      </c>
      <c r="B5679" s="534" t="n">
        <v>15.001</v>
      </c>
      <c r="C5679" s="534" t="n">
        <v>23469.46</v>
      </c>
      <c r="E5679" s="535" t="n">
        <v>43305</v>
      </c>
      <c r="F5679" s="534" t="n">
        <v>2.223</v>
      </c>
    </row>
    <row r="5680">
      <c r="A5680" s="535" t="n">
        <v>39486</v>
      </c>
      <c r="B5680" s="534" t="n">
        <v>15.001</v>
      </c>
      <c r="C5680" s="534" t="n">
        <v>23469.46</v>
      </c>
      <c r="E5680" s="535" t="n">
        <v>43306</v>
      </c>
      <c r="F5680" s="534" t="n">
        <v>2.218</v>
      </c>
    </row>
    <row r="5681">
      <c r="A5681" s="535" t="n">
        <v>39489</v>
      </c>
      <c r="B5681" s="534" t="n">
        <v>14.826</v>
      </c>
      <c r="C5681" s="534" t="n">
        <v>22616.11</v>
      </c>
      <c r="E5681" s="535" t="n">
        <v>43307</v>
      </c>
      <c r="F5681" s="534" t="n">
        <v>2.215</v>
      </c>
    </row>
    <row r="5682">
      <c r="A5682" s="535" t="n">
        <v>39490</v>
      </c>
      <c r="B5682" s="534" t="n">
        <v>14.983</v>
      </c>
      <c r="C5682" s="534" t="n">
        <v>22921.67</v>
      </c>
      <c r="E5682" s="535" t="n">
        <v>43308</v>
      </c>
      <c r="F5682" s="534" t="n">
        <v>2.226</v>
      </c>
    </row>
    <row r="5683">
      <c r="A5683" s="535" t="n">
        <v>39491</v>
      </c>
      <c r="B5683" s="534" t="n">
        <v>14.53</v>
      </c>
      <c r="C5683" s="534" t="n">
        <v>23169.55</v>
      </c>
      <c r="E5683" s="535" t="n">
        <v>43311</v>
      </c>
      <c r="F5683" s="534" t="n">
        <v>2.215</v>
      </c>
    </row>
    <row r="5684">
      <c r="A5684" s="535" t="n">
        <v>39492</v>
      </c>
      <c r="B5684" s="534" t="n">
        <v>14.6</v>
      </c>
      <c r="C5684" s="534" t="n">
        <v>24021.68</v>
      </c>
      <c r="E5684" s="535" t="n">
        <v>43312</v>
      </c>
      <c r="F5684" s="534" t="n">
        <v>2.198</v>
      </c>
    </row>
    <row r="5685">
      <c r="A5685" s="535" t="n">
        <v>39493</v>
      </c>
      <c r="B5685" s="534" t="n">
        <v>14.722</v>
      </c>
      <c r="C5685" s="534" t="n">
        <v>24148.43</v>
      </c>
      <c r="E5685" s="535" t="n">
        <v>43313</v>
      </c>
      <c r="F5685" s="534" t="n">
        <v>2.242</v>
      </c>
    </row>
    <row r="5686">
      <c r="A5686" s="535" t="n">
        <v>39496</v>
      </c>
      <c r="B5686" s="534" t="n">
        <v>14.635</v>
      </c>
      <c r="C5686" s="534" t="n">
        <v>23759.25</v>
      </c>
      <c r="E5686" s="535" t="n">
        <v>43314</v>
      </c>
      <c r="F5686" s="534" t="n">
        <v>2.259</v>
      </c>
    </row>
    <row r="5687">
      <c r="A5687" s="535" t="n">
        <v>39497</v>
      </c>
      <c r="B5687" s="534" t="n">
        <v>14.809</v>
      </c>
      <c r="C5687" s="534" t="n">
        <v>24123.17</v>
      </c>
      <c r="E5687" s="535" t="n">
        <v>43315</v>
      </c>
      <c r="F5687" s="534" t="n">
        <v>2.248</v>
      </c>
    </row>
    <row r="5688">
      <c r="A5688" s="535" t="n">
        <v>39498</v>
      </c>
      <c r="B5688" s="534" t="n">
        <v>14.408</v>
      </c>
      <c r="C5688" s="534" t="n">
        <v>23590.58</v>
      </c>
      <c r="E5688" s="535" t="n">
        <v>43318</v>
      </c>
      <c r="F5688" s="534" t="n">
        <v>2.222</v>
      </c>
    </row>
    <row r="5689">
      <c r="A5689" s="535" t="n">
        <v>39499</v>
      </c>
      <c r="B5689" s="534" t="n">
        <v>14.095</v>
      </c>
      <c r="C5689" s="534" t="n">
        <v>23623</v>
      </c>
      <c r="E5689" s="535" t="n">
        <v>43319</v>
      </c>
      <c r="F5689" s="534" t="n">
        <v>2.203</v>
      </c>
    </row>
    <row r="5690">
      <c r="A5690" s="535" t="n">
        <v>39500</v>
      </c>
      <c r="B5690" s="534" t="n">
        <v>13.764</v>
      </c>
      <c r="C5690" s="534" t="n">
        <v>23305.04</v>
      </c>
      <c r="E5690" s="535" t="n">
        <v>43320</v>
      </c>
      <c r="F5690" s="534" t="n">
        <v>2.231</v>
      </c>
    </row>
    <row r="5691">
      <c r="A5691" s="535" t="n">
        <v>39503</v>
      </c>
      <c r="B5691" s="534" t="n">
        <v>13.851</v>
      </c>
      <c r="C5691" s="534" t="n">
        <v>23269.14</v>
      </c>
      <c r="E5691" s="535" t="n">
        <v>43321</v>
      </c>
      <c r="F5691" s="534" t="n">
        <v>2.22</v>
      </c>
    </row>
    <row r="5692">
      <c r="A5692" s="535" t="n">
        <v>39504</v>
      </c>
      <c r="B5692" s="534" t="n">
        <v>13.868</v>
      </c>
      <c r="C5692" s="534" t="n">
        <v>23714.75</v>
      </c>
      <c r="E5692" s="535" t="n">
        <v>43322</v>
      </c>
      <c r="F5692" s="534" t="n">
        <v>2.186</v>
      </c>
    </row>
    <row r="5693">
      <c r="A5693" s="535" t="n">
        <v>39505</v>
      </c>
      <c r="B5693" s="534" t="n">
        <v>14.513</v>
      </c>
      <c r="C5693" s="534" t="n">
        <v>24483.84</v>
      </c>
      <c r="E5693" s="535" t="n">
        <v>43325</v>
      </c>
      <c r="F5693" s="534" t="n">
        <v>2.134</v>
      </c>
    </row>
    <row r="5694">
      <c r="A5694" s="535" t="n">
        <v>39506</v>
      </c>
      <c r="B5694" s="534" t="n">
        <v>14.391</v>
      </c>
      <c r="C5694" s="534" t="n">
        <v>24591.69</v>
      </c>
      <c r="E5694" s="535" t="n">
        <v>43326</v>
      </c>
      <c r="F5694" s="534" t="n">
        <v>2.166</v>
      </c>
    </row>
    <row r="5695">
      <c r="A5695" s="535" t="n">
        <v>39507</v>
      </c>
      <c r="B5695" s="534" t="n">
        <v>14.147</v>
      </c>
      <c r="C5695" s="534" t="n">
        <v>24331.67</v>
      </c>
      <c r="E5695" s="535" t="n">
        <v>43327</v>
      </c>
      <c r="F5695" s="534" t="n">
        <v>2.194</v>
      </c>
    </row>
    <row r="5696">
      <c r="A5696" s="535" t="n">
        <v>39510</v>
      </c>
      <c r="B5696" s="534" t="n">
        <v>13.851</v>
      </c>
      <c r="C5696" s="534" t="n">
        <v>23584.97</v>
      </c>
      <c r="E5696" s="535" t="n">
        <v>43328</v>
      </c>
      <c r="F5696" s="534" t="n">
        <v>2.197</v>
      </c>
    </row>
    <row r="5697">
      <c r="A5697" s="535" t="n">
        <v>39511</v>
      </c>
      <c r="B5697" s="534" t="n">
        <v>14.112</v>
      </c>
      <c r="C5697" s="534" t="n">
        <v>23119.87</v>
      </c>
      <c r="E5697" s="535" t="n">
        <v>43329</v>
      </c>
      <c r="F5697" s="534" t="n">
        <v>2.197</v>
      </c>
    </row>
    <row r="5698">
      <c r="A5698" s="535" t="n">
        <v>39512</v>
      </c>
      <c r="B5698" s="534" t="n">
        <v>14.217</v>
      </c>
      <c r="C5698" s="534" t="n">
        <v>23114.34</v>
      </c>
      <c r="E5698" s="535" t="n">
        <v>43332</v>
      </c>
      <c r="F5698" s="534" t="n">
        <v>2.202</v>
      </c>
    </row>
    <row r="5699">
      <c r="A5699" s="535" t="n">
        <v>39513</v>
      </c>
      <c r="B5699" s="534" t="n">
        <v>13.851</v>
      </c>
      <c r="C5699" s="534" t="n">
        <v>23342.73</v>
      </c>
      <c r="E5699" s="535" t="n">
        <v>43333</v>
      </c>
      <c r="F5699" s="534" t="n">
        <v>2.174</v>
      </c>
    </row>
    <row r="5700">
      <c r="A5700" s="535" t="n">
        <v>39514</v>
      </c>
      <c r="B5700" s="534" t="n">
        <v>13.502</v>
      </c>
      <c r="C5700" s="534" t="n">
        <v>22501.33</v>
      </c>
      <c r="E5700" s="535" t="n">
        <v>43334</v>
      </c>
      <c r="F5700" s="534" t="n">
        <v>2.184</v>
      </c>
    </row>
    <row r="5701">
      <c r="A5701" s="535" t="n">
        <v>39517</v>
      </c>
      <c r="B5701" s="534" t="n">
        <v>13.467</v>
      </c>
      <c r="C5701" s="534" t="n">
        <v>22705.05</v>
      </c>
      <c r="E5701" s="535" t="n">
        <v>43335</v>
      </c>
      <c r="F5701" s="534" t="n">
        <v>2.168</v>
      </c>
    </row>
    <row r="5702">
      <c r="A5702" s="535" t="n">
        <v>39518</v>
      </c>
      <c r="B5702" s="534" t="n">
        <v>13.537</v>
      </c>
      <c r="C5702" s="534" t="n">
        <v>22995.35</v>
      </c>
      <c r="E5702" s="535" t="n">
        <v>43336</v>
      </c>
      <c r="F5702" s="534" t="n">
        <v>2.167</v>
      </c>
    </row>
    <row r="5703">
      <c r="A5703" s="535" t="n">
        <v>39519</v>
      </c>
      <c r="B5703" s="534" t="n">
        <v>13.676</v>
      </c>
      <c r="C5703" s="534" t="n">
        <v>23422.76</v>
      </c>
      <c r="E5703" s="535" t="n">
        <v>43339</v>
      </c>
      <c r="F5703" s="534" t="n">
        <v>2.162</v>
      </c>
    </row>
    <row r="5704">
      <c r="A5704" s="535" t="n">
        <v>39520</v>
      </c>
      <c r="B5704" s="534" t="n">
        <v>13.067</v>
      </c>
      <c r="C5704" s="534" t="n">
        <v>22301.64</v>
      </c>
      <c r="E5704" s="535" t="n">
        <v>43340</v>
      </c>
      <c r="F5704" s="534" t="n">
        <v>2.195</v>
      </c>
    </row>
    <row r="5705">
      <c r="A5705" s="535" t="n">
        <v>39521</v>
      </c>
      <c r="B5705" s="534" t="n">
        <v>12.927</v>
      </c>
      <c r="C5705" s="534" t="n">
        <v>22237.11</v>
      </c>
      <c r="E5705" s="535" t="n">
        <v>43341</v>
      </c>
      <c r="F5705" s="534" t="n">
        <v>2.206</v>
      </c>
    </row>
    <row r="5706">
      <c r="A5706" s="535" t="n">
        <v>39524</v>
      </c>
      <c r="B5706" s="534" t="n">
        <v>12.352</v>
      </c>
      <c r="C5706" s="534" t="n">
        <v>21084.61</v>
      </c>
      <c r="E5706" s="535" t="n">
        <v>43342</v>
      </c>
      <c r="F5706" s="534" t="n">
        <v>2.228</v>
      </c>
    </row>
    <row r="5707">
      <c r="A5707" s="535" t="n">
        <v>39525</v>
      </c>
      <c r="B5707" s="534" t="n">
        <v>12.352</v>
      </c>
      <c r="C5707" s="534" t="n">
        <v>21384.61</v>
      </c>
      <c r="E5707" s="535" t="n">
        <v>43343</v>
      </c>
      <c r="F5707" s="534" t="n">
        <v>2.2</v>
      </c>
    </row>
    <row r="5708">
      <c r="A5708" s="535" t="n">
        <v>39526</v>
      </c>
      <c r="B5708" s="534" t="n">
        <v>12.805</v>
      </c>
      <c r="C5708" s="534" t="n">
        <v>21866.94</v>
      </c>
      <c r="E5708" s="535" t="n">
        <v>43346</v>
      </c>
      <c r="F5708" s="534" t="n">
        <v>2.222</v>
      </c>
    </row>
    <row r="5709">
      <c r="A5709" s="535" t="n">
        <v>39527</v>
      </c>
      <c r="B5709" s="534" t="n">
        <v>13.049</v>
      </c>
      <c r="C5709" s="534" t="n">
        <v>21108.22</v>
      </c>
      <c r="E5709" s="535" t="n">
        <v>43347</v>
      </c>
      <c r="F5709" s="534" t="n">
        <v>2.234</v>
      </c>
    </row>
    <row r="5710">
      <c r="A5710" s="535" t="n">
        <v>39528</v>
      </c>
      <c r="B5710" s="534" t="n">
        <v>13.049</v>
      </c>
      <c r="C5710" s="534" t="n">
        <v>21108.22</v>
      </c>
      <c r="E5710" s="535" t="n">
        <v>43348</v>
      </c>
      <c r="F5710" s="534" t="n">
        <v>2.245</v>
      </c>
    </row>
    <row r="5711">
      <c r="A5711" s="535" t="n">
        <v>39531</v>
      </c>
      <c r="B5711" s="534" t="n">
        <v>13.049</v>
      </c>
      <c r="C5711" s="534" t="n">
        <v>21108.22</v>
      </c>
      <c r="E5711" s="535" t="n">
        <v>43349</v>
      </c>
      <c r="F5711" s="534" t="n">
        <v>2.267</v>
      </c>
    </row>
    <row r="5712">
      <c r="A5712" s="535" t="n">
        <v>39532</v>
      </c>
      <c r="B5712" s="534" t="n">
        <v>13.45</v>
      </c>
      <c r="C5712" s="534" t="n">
        <v>22464.52</v>
      </c>
      <c r="E5712" s="535" t="n">
        <v>43350</v>
      </c>
      <c r="F5712" s="534" t="n">
        <v>2.289</v>
      </c>
    </row>
    <row r="5713">
      <c r="A5713" s="535" t="n">
        <v>39533</v>
      </c>
      <c r="B5713" s="534" t="n">
        <v>13.485</v>
      </c>
      <c r="C5713" s="534" t="n">
        <v>22617.01</v>
      </c>
      <c r="E5713" s="535" t="n">
        <v>43353</v>
      </c>
      <c r="F5713" s="534" t="n">
        <v>2.34</v>
      </c>
    </row>
    <row r="5714">
      <c r="A5714" s="535" t="n">
        <v>39534</v>
      </c>
      <c r="B5714" s="534" t="n">
        <v>12.997</v>
      </c>
      <c r="C5714" s="534" t="n">
        <v>22664.22</v>
      </c>
      <c r="E5714" s="535" t="n">
        <v>43354</v>
      </c>
      <c r="F5714" s="534" t="n">
        <v>2.369</v>
      </c>
    </row>
    <row r="5715">
      <c r="A5715" s="535" t="n">
        <v>39535</v>
      </c>
      <c r="B5715" s="534" t="n">
        <v>13.102</v>
      </c>
      <c r="C5715" s="534" t="n">
        <v>23285.95</v>
      </c>
      <c r="E5715" s="535" t="n">
        <v>43355</v>
      </c>
      <c r="F5715" s="534" t="n">
        <v>2.386</v>
      </c>
    </row>
    <row r="5716">
      <c r="A5716" s="535" t="n">
        <v>39538</v>
      </c>
      <c r="B5716" s="534" t="n">
        <v>13.328</v>
      </c>
      <c r="C5716" s="534" t="n">
        <v>22849.2</v>
      </c>
      <c r="E5716" s="535" t="n">
        <v>43356</v>
      </c>
      <c r="F5716" s="534" t="n">
        <v>2.38</v>
      </c>
    </row>
    <row r="5717">
      <c r="A5717" s="535" t="n">
        <v>39539</v>
      </c>
      <c r="B5717" s="534" t="n">
        <v>13.589</v>
      </c>
      <c r="C5717" s="534" t="n">
        <v>23137.46</v>
      </c>
      <c r="E5717" s="535" t="n">
        <v>43357</v>
      </c>
      <c r="F5717" s="534" t="n">
        <v>2.386</v>
      </c>
    </row>
    <row r="5718">
      <c r="A5718" s="535" t="n">
        <v>39540</v>
      </c>
      <c r="B5718" s="534" t="n">
        <v>14.217</v>
      </c>
      <c r="C5718" s="534" t="n">
        <v>23872.43</v>
      </c>
      <c r="E5718" s="535" t="n">
        <v>43360</v>
      </c>
      <c r="F5718" s="534" t="n">
        <v>2.403</v>
      </c>
    </row>
    <row r="5719">
      <c r="A5719" s="535" t="n">
        <v>39541</v>
      </c>
      <c r="B5719" s="534" t="n">
        <v>14.095</v>
      </c>
      <c r="C5719" s="534" t="n">
        <v>24264.63</v>
      </c>
      <c r="E5719" s="535" t="n">
        <v>43361</v>
      </c>
      <c r="F5719" s="534" t="n">
        <v>2.391</v>
      </c>
    </row>
    <row r="5720">
      <c r="A5720" s="535" t="n">
        <v>39542</v>
      </c>
      <c r="B5720" s="534" t="n">
        <v>14.095</v>
      </c>
      <c r="C5720" s="534" t="n">
        <v>24264.63</v>
      </c>
      <c r="E5720" s="535" t="n">
        <v>43362</v>
      </c>
      <c r="F5720" s="534" t="n">
        <v>2.426</v>
      </c>
    </row>
    <row r="5721">
      <c r="A5721" s="535" t="n">
        <v>39545</v>
      </c>
      <c r="B5721" s="534" t="n">
        <v>14.234</v>
      </c>
      <c r="C5721" s="534" t="n">
        <v>24578.76</v>
      </c>
      <c r="E5721" s="535" t="n">
        <v>43363</v>
      </c>
      <c r="F5721" s="534" t="n">
        <v>2.437</v>
      </c>
    </row>
    <row r="5722">
      <c r="A5722" s="535" t="n">
        <v>39546</v>
      </c>
      <c r="B5722" s="534" t="n">
        <v>13.938</v>
      </c>
      <c r="C5722" s="534" t="n">
        <v>24311.69</v>
      </c>
      <c r="E5722" s="535" t="n">
        <v>43364</v>
      </c>
      <c r="F5722" s="534" t="n">
        <v>2.458</v>
      </c>
    </row>
    <row r="5723">
      <c r="A5723" s="535" t="n">
        <v>39547</v>
      </c>
      <c r="B5723" s="534" t="n">
        <v>13.694</v>
      </c>
      <c r="C5723" s="534" t="n">
        <v>23984.57</v>
      </c>
      <c r="E5723" s="535" t="n">
        <v>43367</v>
      </c>
      <c r="F5723" s="534" t="n">
        <v>2.477</v>
      </c>
    </row>
    <row r="5724">
      <c r="A5724" s="535" t="n">
        <v>39548</v>
      </c>
      <c r="B5724" s="534" t="n">
        <v>13.38</v>
      </c>
      <c r="C5724" s="534" t="n">
        <v>24187.1</v>
      </c>
      <c r="E5724" s="535" t="n">
        <v>43368</v>
      </c>
      <c r="F5724" s="534" t="n">
        <v>2.477</v>
      </c>
    </row>
    <row r="5725">
      <c r="A5725" s="535" t="n">
        <v>39549</v>
      </c>
      <c r="B5725" s="534" t="n">
        <v>13.92</v>
      </c>
      <c r="C5725" s="534" t="n">
        <v>24667.79</v>
      </c>
      <c r="E5725" s="535" t="n">
        <v>43369</v>
      </c>
      <c r="F5725" s="534" t="n">
        <v>2.438</v>
      </c>
    </row>
    <row r="5726">
      <c r="A5726" s="535" t="n">
        <v>39552</v>
      </c>
      <c r="B5726" s="534" t="n">
        <v>13.502</v>
      </c>
      <c r="C5726" s="534" t="n">
        <v>23811.2</v>
      </c>
      <c r="E5726" s="535" t="n">
        <v>43370</v>
      </c>
      <c r="F5726" s="534" t="n">
        <v>2.41</v>
      </c>
    </row>
    <row r="5727">
      <c r="A5727" s="535" t="n">
        <v>39553</v>
      </c>
      <c r="B5727" s="534" t="n">
        <v>13.676</v>
      </c>
      <c r="C5727" s="534" t="n">
        <v>23901.33</v>
      </c>
      <c r="E5727" s="535" t="n">
        <v>43371</v>
      </c>
      <c r="F5727" s="534" t="n">
        <v>2.4</v>
      </c>
    </row>
    <row r="5728">
      <c r="A5728" s="535" t="n">
        <v>39554</v>
      </c>
      <c r="B5728" s="534" t="n">
        <v>13.45</v>
      </c>
      <c r="C5728" s="534" t="n">
        <v>23878.35</v>
      </c>
      <c r="E5728" s="535" t="n">
        <v>43374</v>
      </c>
      <c r="F5728" s="534" t="n">
        <v>2.4</v>
      </c>
    </row>
    <row r="5729">
      <c r="A5729" s="535" t="n">
        <v>39555</v>
      </c>
      <c r="B5729" s="534" t="n">
        <v>13.345</v>
      </c>
      <c r="C5729" s="534" t="n">
        <v>24258.96</v>
      </c>
      <c r="E5729" s="535" t="n">
        <v>43375</v>
      </c>
      <c r="F5729" s="534" t="n">
        <v>2.405</v>
      </c>
    </row>
    <row r="5730">
      <c r="A5730" s="535" t="n">
        <v>39556</v>
      </c>
      <c r="B5730" s="534" t="n">
        <v>13.433</v>
      </c>
      <c r="C5730" s="534" t="n">
        <v>24197.78</v>
      </c>
      <c r="E5730" s="535" t="n">
        <v>43376</v>
      </c>
      <c r="F5730" s="534" t="n">
        <v>2.395</v>
      </c>
    </row>
    <row r="5731">
      <c r="A5731" s="535" t="n">
        <v>39559</v>
      </c>
      <c r="B5731" s="534" t="n">
        <v>13.676</v>
      </c>
      <c r="C5731" s="534" t="n">
        <v>24721.67</v>
      </c>
      <c r="E5731" s="535" t="n">
        <v>43377</v>
      </c>
      <c r="F5731" s="534" t="n">
        <v>2.489</v>
      </c>
    </row>
    <row r="5732">
      <c r="A5732" s="535" t="n">
        <v>39560</v>
      </c>
      <c r="B5732" s="534" t="n">
        <v>13.798</v>
      </c>
      <c r="C5732" s="534" t="n">
        <v>24939.15</v>
      </c>
      <c r="E5732" s="535" t="n">
        <v>43378</v>
      </c>
      <c r="F5732" s="534" t="n">
        <v>2.49</v>
      </c>
    </row>
    <row r="5733">
      <c r="A5733" s="535" t="n">
        <v>39561</v>
      </c>
      <c r="B5733" s="534" t="n">
        <v>13.781</v>
      </c>
      <c r="C5733" s="534" t="n">
        <v>25289.24</v>
      </c>
      <c r="E5733" s="535" t="n">
        <v>43381</v>
      </c>
      <c r="F5733" s="534" t="n">
        <v>2.531</v>
      </c>
    </row>
    <row r="5734">
      <c r="A5734" s="535" t="n">
        <v>39562</v>
      </c>
      <c r="B5734" s="534" t="n">
        <v>13.764</v>
      </c>
      <c r="C5734" s="534" t="n">
        <v>25680.78</v>
      </c>
      <c r="E5734" s="535" t="n">
        <v>43382</v>
      </c>
      <c r="F5734" s="534" t="n">
        <v>2.548</v>
      </c>
    </row>
    <row r="5735">
      <c r="A5735" s="535" t="n">
        <v>39563</v>
      </c>
      <c r="B5735" s="534" t="n">
        <v>14.426</v>
      </c>
      <c r="C5735" s="534" t="n">
        <v>25516.78</v>
      </c>
      <c r="E5735" s="535" t="n">
        <v>43383</v>
      </c>
      <c r="F5735" s="534" t="n">
        <v>2.525</v>
      </c>
    </row>
    <row r="5736">
      <c r="A5736" s="535" t="n">
        <v>39566</v>
      </c>
      <c r="B5736" s="534" t="n">
        <v>14.617</v>
      </c>
      <c r="C5736" s="534" t="n">
        <v>25666.29</v>
      </c>
      <c r="E5736" s="535" t="n">
        <v>43384</v>
      </c>
      <c r="F5736" s="534" t="n">
        <v>2.473</v>
      </c>
    </row>
    <row r="5737">
      <c r="A5737" s="535" t="n">
        <v>39567</v>
      </c>
      <c r="B5737" s="534" t="n">
        <v>14.199</v>
      </c>
      <c r="C5737" s="534" t="n">
        <v>25914.15</v>
      </c>
      <c r="E5737" s="535" t="n">
        <v>43385</v>
      </c>
      <c r="F5737" s="534" t="n">
        <v>2.464</v>
      </c>
    </row>
    <row r="5738">
      <c r="A5738" s="535" t="n">
        <v>39568</v>
      </c>
      <c r="B5738" s="534" t="n">
        <v>14.164</v>
      </c>
      <c r="C5738" s="534" t="n">
        <v>25755.35</v>
      </c>
      <c r="E5738" s="535" t="n">
        <v>43388</v>
      </c>
      <c r="F5738" s="534" t="n">
        <v>2.422</v>
      </c>
    </row>
    <row r="5739">
      <c r="A5739" s="535" t="n">
        <v>39569</v>
      </c>
      <c r="B5739" s="534" t="n">
        <v>14.164</v>
      </c>
      <c r="C5739" s="534" t="n">
        <v>25755.35</v>
      </c>
      <c r="E5739" s="535" t="n">
        <v>43389</v>
      </c>
      <c r="F5739" s="534" t="n">
        <v>2.45</v>
      </c>
    </row>
    <row r="5740">
      <c r="A5740" s="535" t="n">
        <v>39570</v>
      </c>
      <c r="B5740" s="534" t="n">
        <v>14.791</v>
      </c>
      <c r="C5740" s="534" t="n">
        <v>26241.02</v>
      </c>
      <c r="E5740" s="535" t="n">
        <v>43390</v>
      </c>
      <c r="F5740" s="534" t="n">
        <v>2.45</v>
      </c>
    </row>
    <row r="5741">
      <c r="A5741" s="535" t="n">
        <v>39573</v>
      </c>
      <c r="B5741" s="534" t="n">
        <v>14.861</v>
      </c>
      <c r="C5741" s="534" t="n">
        <v>26183.95</v>
      </c>
      <c r="E5741" s="535" t="n">
        <v>43391</v>
      </c>
      <c r="F5741" s="534" t="n">
        <v>2.484</v>
      </c>
    </row>
    <row r="5742">
      <c r="A5742" s="535" t="n">
        <v>39574</v>
      </c>
      <c r="B5742" s="534" t="n">
        <v>14.67</v>
      </c>
      <c r="C5742" s="534" t="n">
        <v>26262.13</v>
      </c>
      <c r="E5742" s="535" t="n">
        <v>43392</v>
      </c>
      <c r="F5742" s="534" t="n">
        <v>2.467</v>
      </c>
    </row>
    <row r="5743">
      <c r="A5743" s="535" t="n">
        <v>39575</v>
      </c>
      <c r="B5743" s="534" t="n">
        <v>14.129</v>
      </c>
      <c r="C5743" s="534" t="n">
        <v>25610.21</v>
      </c>
      <c r="E5743" s="535" t="n">
        <v>43395</v>
      </c>
      <c r="F5743" s="534" t="n">
        <v>2.484</v>
      </c>
    </row>
    <row r="5744">
      <c r="A5744" s="535" t="n">
        <v>39576</v>
      </c>
      <c r="B5744" s="534" t="n">
        <v>14.147</v>
      </c>
      <c r="C5744" s="534" t="n">
        <v>25449.79</v>
      </c>
      <c r="E5744" s="535" t="n">
        <v>43396</v>
      </c>
      <c r="F5744" s="534" t="n">
        <v>2.449</v>
      </c>
    </row>
    <row r="5745">
      <c r="A5745" s="535" t="n">
        <v>39577</v>
      </c>
      <c r="B5745" s="534" t="n">
        <v>13.555</v>
      </c>
      <c r="C5745" s="534" t="n">
        <v>25063.17</v>
      </c>
      <c r="E5745" s="535" t="n">
        <v>43397</v>
      </c>
      <c r="F5745" s="534" t="n">
        <v>2.443</v>
      </c>
    </row>
    <row r="5746">
      <c r="A5746" s="535" t="n">
        <v>39580</v>
      </c>
      <c r="B5746" s="534" t="n">
        <v>13.555</v>
      </c>
      <c r="C5746" s="534" t="n">
        <v>25063.17</v>
      </c>
      <c r="E5746" s="535" t="n">
        <v>43398</v>
      </c>
      <c r="F5746" s="534" t="n">
        <v>2.414</v>
      </c>
    </row>
    <row r="5747">
      <c r="A5747" s="535" t="n">
        <v>39581</v>
      </c>
      <c r="B5747" s="534" t="n">
        <v>13.729</v>
      </c>
      <c r="C5747" s="534" t="n">
        <v>25552.77</v>
      </c>
      <c r="E5747" s="535" t="n">
        <v>43399</v>
      </c>
      <c r="F5747" s="534" t="n">
        <v>2.397</v>
      </c>
    </row>
    <row r="5748">
      <c r="A5748" s="535" t="n">
        <v>39582</v>
      </c>
      <c r="B5748" s="534" t="n">
        <v>13.938</v>
      </c>
      <c r="C5748" s="534" t="n">
        <v>25533.48</v>
      </c>
      <c r="E5748" s="535" t="n">
        <v>43402</v>
      </c>
      <c r="F5748" s="534" t="n">
        <v>2.364</v>
      </c>
    </row>
    <row r="5749">
      <c r="A5749" s="535" t="n">
        <v>39583</v>
      </c>
      <c r="B5749" s="534" t="n">
        <v>14.53</v>
      </c>
      <c r="C5749" s="534" t="n">
        <v>25513.71</v>
      </c>
      <c r="E5749" s="535" t="n">
        <v>43403</v>
      </c>
      <c r="F5749" s="534" t="n">
        <v>2.397</v>
      </c>
    </row>
    <row r="5750">
      <c r="A5750" s="535" t="n">
        <v>39584</v>
      </c>
      <c r="B5750" s="534" t="n">
        <v>14.408</v>
      </c>
      <c r="C5750" s="534" t="n">
        <v>25618.86</v>
      </c>
      <c r="E5750" s="535" t="n">
        <v>43404</v>
      </c>
      <c r="F5750" s="534" t="n">
        <v>2.426</v>
      </c>
    </row>
    <row r="5751">
      <c r="A5751" s="535" t="n">
        <v>39587</v>
      </c>
      <c r="B5751" s="534" t="n">
        <v>14.095</v>
      </c>
      <c r="C5751" s="534" t="n">
        <v>25742.23</v>
      </c>
      <c r="E5751" s="535" t="n">
        <v>43405</v>
      </c>
      <c r="F5751" s="534" t="n">
        <v>2.432</v>
      </c>
    </row>
    <row r="5752">
      <c r="A5752" s="535" t="n">
        <v>39588</v>
      </c>
      <c r="B5752" s="534" t="n">
        <v>13.729</v>
      </c>
      <c r="C5752" s="534" t="n">
        <v>25169.46</v>
      </c>
      <c r="E5752" s="535" t="n">
        <v>43406</v>
      </c>
      <c r="F5752" s="534" t="n">
        <v>2.437</v>
      </c>
    </row>
    <row r="5753">
      <c r="A5753" s="535" t="n">
        <v>39589</v>
      </c>
      <c r="B5753" s="534" t="n">
        <v>13.502</v>
      </c>
      <c r="C5753" s="534" t="n">
        <v>25460.29</v>
      </c>
      <c r="E5753" s="535" t="n">
        <v>43409</v>
      </c>
      <c r="F5753" s="534" t="n">
        <v>2.441</v>
      </c>
    </row>
    <row r="5754">
      <c r="A5754" s="535" t="n">
        <v>39590</v>
      </c>
      <c r="B5754" s="534" t="n">
        <v>13.206</v>
      </c>
      <c r="C5754" s="534" t="n">
        <v>25043.12</v>
      </c>
      <c r="E5754" s="535" t="n">
        <v>43410</v>
      </c>
      <c r="F5754" s="534" t="n">
        <v>2.426</v>
      </c>
    </row>
    <row r="5755">
      <c r="A5755" s="535" t="n">
        <v>39591</v>
      </c>
      <c r="B5755" s="534" t="n">
        <v>13.241</v>
      </c>
      <c r="C5755" s="534" t="n">
        <v>24714.07</v>
      </c>
      <c r="E5755" s="535" t="n">
        <v>43411</v>
      </c>
      <c r="F5755" s="534" t="n">
        <v>2.437</v>
      </c>
    </row>
    <row r="5756">
      <c r="A5756" s="535" t="n">
        <v>39594</v>
      </c>
      <c r="B5756" s="534" t="n">
        <v>12.997</v>
      </c>
      <c r="C5756" s="534" t="n">
        <v>24127.31</v>
      </c>
      <c r="E5756" s="535" t="n">
        <v>43412</v>
      </c>
      <c r="F5756" s="534" t="n">
        <v>2.455</v>
      </c>
    </row>
    <row r="5757">
      <c r="A5757" s="535" t="n">
        <v>39595</v>
      </c>
      <c r="B5757" s="534" t="n">
        <v>13.102</v>
      </c>
      <c r="C5757" s="534" t="n">
        <v>24282.04</v>
      </c>
      <c r="E5757" s="535" t="n">
        <v>43413</v>
      </c>
      <c r="F5757" s="534" t="n">
        <v>2.462</v>
      </c>
    </row>
    <row r="5758">
      <c r="A5758" s="535" t="n">
        <v>39596</v>
      </c>
      <c r="B5758" s="534" t="n">
        <v>13.502</v>
      </c>
      <c r="C5758" s="534" t="n">
        <v>24249.51</v>
      </c>
      <c r="E5758" s="535" t="n">
        <v>43416</v>
      </c>
      <c r="F5758" s="534" t="n">
        <v>2.46</v>
      </c>
    </row>
    <row r="5759">
      <c r="A5759" s="535" t="n">
        <v>39597</v>
      </c>
      <c r="B5759" s="534" t="n">
        <v>13.868</v>
      </c>
      <c r="C5759" s="534" t="n">
        <v>24383.99</v>
      </c>
      <c r="E5759" s="535" t="n">
        <v>43417</v>
      </c>
      <c r="F5759" s="534" t="n">
        <v>2.413</v>
      </c>
    </row>
    <row r="5760">
      <c r="A5760" s="535" t="n">
        <v>39598</v>
      </c>
      <c r="B5760" s="534" t="n">
        <v>14.286</v>
      </c>
      <c r="C5760" s="534" t="n">
        <v>24533.12</v>
      </c>
      <c r="E5760" s="535" t="n">
        <v>43418</v>
      </c>
      <c r="F5760" s="534" t="n">
        <v>2.373</v>
      </c>
    </row>
    <row r="5761">
      <c r="A5761" s="535" t="n">
        <v>39601</v>
      </c>
      <c r="B5761" s="534" t="n">
        <v>14.652</v>
      </c>
      <c r="C5761" s="534" t="n">
        <v>24831.36</v>
      </c>
      <c r="E5761" s="535" t="n">
        <v>43419</v>
      </c>
      <c r="F5761" s="534" t="n">
        <v>2.347</v>
      </c>
    </row>
    <row r="5762">
      <c r="A5762" s="535" t="n">
        <v>39602</v>
      </c>
      <c r="B5762" s="534" t="n">
        <v>14.304</v>
      </c>
      <c r="C5762" s="534" t="n">
        <v>24375.76</v>
      </c>
      <c r="E5762" s="535" t="n">
        <v>43420</v>
      </c>
      <c r="F5762" s="534" t="n">
        <v>2.331</v>
      </c>
    </row>
    <row r="5763">
      <c r="A5763" s="535" t="n">
        <v>39603</v>
      </c>
      <c r="B5763" s="534" t="n">
        <v>14.652</v>
      </c>
      <c r="C5763" s="534" t="n">
        <v>24123.25</v>
      </c>
      <c r="E5763" s="535" t="n">
        <v>43423</v>
      </c>
      <c r="F5763" s="534" t="n">
        <v>2.299</v>
      </c>
    </row>
    <row r="5764">
      <c r="A5764" s="535" t="n">
        <v>39604</v>
      </c>
      <c r="B5764" s="534" t="n">
        <v>14.635</v>
      </c>
      <c r="C5764" s="534" t="n">
        <v>24255.29</v>
      </c>
      <c r="E5764" s="535" t="n">
        <v>43424</v>
      </c>
      <c r="F5764" s="534" t="n">
        <v>2.28</v>
      </c>
    </row>
    <row r="5765">
      <c r="A5765" s="535" t="n">
        <v>39605</v>
      </c>
      <c r="B5765" s="534" t="n">
        <v>14.164</v>
      </c>
      <c r="C5765" s="534" t="n">
        <v>24402.18</v>
      </c>
      <c r="E5765" s="535" t="n">
        <v>43425</v>
      </c>
      <c r="F5765" s="534" t="n">
        <v>2.298</v>
      </c>
    </row>
    <row r="5766">
      <c r="A5766" s="535" t="n">
        <v>39608</v>
      </c>
      <c r="B5766" s="534" t="n">
        <v>14.164</v>
      </c>
      <c r="C5766" s="534" t="n">
        <v>24402.18</v>
      </c>
      <c r="E5766" s="535" t="n">
        <v>43426</v>
      </c>
      <c r="F5766" s="534" t="n">
        <v>2.298</v>
      </c>
    </row>
    <row r="5767">
      <c r="A5767" s="535" t="n">
        <v>39609</v>
      </c>
      <c r="B5767" s="534" t="n">
        <v>13.45</v>
      </c>
      <c r="C5767" s="534" t="n">
        <v>23375.52</v>
      </c>
      <c r="E5767" s="535" t="n">
        <v>43427</v>
      </c>
      <c r="F5767" s="534" t="n">
        <v>2.304</v>
      </c>
    </row>
    <row r="5768">
      <c r="A5768" s="535" t="n">
        <v>39610</v>
      </c>
      <c r="B5768" s="534" t="n">
        <v>13.642</v>
      </c>
      <c r="C5768" s="534" t="n">
        <v>23327.6</v>
      </c>
      <c r="E5768" s="535" t="n">
        <v>43430</v>
      </c>
      <c r="F5768" s="534" t="n">
        <v>2.296</v>
      </c>
    </row>
    <row r="5769">
      <c r="A5769" s="535" t="n">
        <v>39611</v>
      </c>
      <c r="B5769" s="534" t="n">
        <v>13.555</v>
      </c>
      <c r="C5769" s="534" t="n">
        <v>23023.86</v>
      </c>
      <c r="E5769" s="535" t="n">
        <v>43431</v>
      </c>
      <c r="F5769" s="534" t="n">
        <v>2.309</v>
      </c>
    </row>
    <row r="5770">
      <c r="A5770" s="535" t="n">
        <v>39612</v>
      </c>
      <c r="B5770" s="534" t="n">
        <v>13.311</v>
      </c>
      <c r="C5770" s="534" t="n">
        <v>22592.3</v>
      </c>
      <c r="E5770" s="535" t="n">
        <v>43432</v>
      </c>
      <c r="F5770" s="534" t="n">
        <v>2.309</v>
      </c>
    </row>
    <row r="5771">
      <c r="A5771" s="535" t="n">
        <v>39615</v>
      </c>
      <c r="B5771" s="534" t="n">
        <v>13.589</v>
      </c>
      <c r="C5771" s="534" t="n">
        <v>23029.69</v>
      </c>
      <c r="E5771" s="535" t="n">
        <v>43433</v>
      </c>
      <c r="F5771" s="534" t="n">
        <v>2.309</v>
      </c>
    </row>
    <row r="5772">
      <c r="A5772" s="535" t="n">
        <v>39616</v>
      </c>
      <c r="B5772" s="534" t="n">
        <v>13.398</v>
      </c>
      <c r="C5772" s="534" t="n">
        <v>23057.99</v>
      </c>
      <c r="E5772" s="535" t="n">
        <v>43434</v>
      </c>
      <c r="F5772" s="534" t="n">
        <v>2.286</v>
      </c>
    </row>
    <row r="5773">
      <c r="A5773" s="535" t="n">
        <v>39617</v>
      </c>
      <c r="B5773" s="534" t="n">
        <v>13.38</v>
      </c>
      <c r="C5773" s="534" t="n">
        <v>23325.8</v>
      </c>
      <c r="E5773" s="535" t="n">
        <v>43437</v>
      </c>
      <c r="F5773" s="534" t="n">
        <v>2.305</v>
      </c>
    </row>
    <row r="5774">
      <c r="A5774" s="535" t="n">
        <v>39618</v>
      </c>
      <c r="B5774" s="534" t="n">
        <v>13.154</v>
      </c>
      <c r="C5774" s="534" t="n">
        <v>22797.61</v>
      </c>
      <c r="E5774" s="535" t="n">
        <v>43438</v>
      </c>
      <c r="F5774" s="534" t="n">
        <v>2.228</v>
      </c>
    </row>
    <row r="5775">
      <c r="A5775" s="535" t="n">
        <v>39619</v>
      </c>
      <c r="B5775" s="534" t="n">
        <v>13.398</v>
      </c>
      <c r="C5775" s="534" t="n">
        <v>22745.6</v>
      </c>
      <c r="E5775" s="535" t="n">
        <v>43439</v>
      </c>
      <c r="F5775" s="534" t="n">
        <v>2.206</v>
      </c>
    </row>
    <row r="5776">
      <c r="A5776" s="535" t="n">
        <v>39622</v>
      </c>
      <c r="B5776" s="534" t="n">
        <v>13.572</v>
      </c>
      <c r="C5776" s="534" t="n">
        <v>22714.96</v>
      </c>
      <c r="E5776" s="535" t="n">
        <v>43440</v>
      </c>
      <c r="F5776" s="534" t="n">
        <v>2.141</v>
      </c>
    </row>
    <row r="5777">
      <c r="A5777" s="535" t="n">
        <v>39623</v>
      </c>
      <c r="B5777" s="534" t="n">
        <v>13.38</v>
      </c>
      <c r="C5777" s="534" t="n">
        <v>22456.02</v>
      </c>
      <c r="E5777" s="535" t="n">
        <v>43441</v>
      </c>
      <c r="F5777" s="534" t="n">
        <v>2.094</v>
      </c>
    </row>
    <row r="5778">
      <c r="A5778" s="535" t="n">
        <v>39624</v>
      </c>
      <c r="B5778" s="534" t="n">
        <v>13.328</v>
      </c>
      <c r="C5778" s="534" t="n">
        <v>22635.16</v>
      </c>
      <c r="E5778" s="535" t="n">
        <v>43444</v>
      </c>
      <c r="F5778" s="534" t="n">
        <v>2.053</v>
      </c>
    </row>
    <row r="5779">
      <c r="A5779" s="535" t="n">
        <v>39625</v>
      </c>
      <c r="B5779" s="534" t="n">
        <v>13.102</v>
      </c>
      <c r="C5779" s="534" t="n">
        <v>22455.67</v>
      </c>
      <c r="E5779" s="535" t="n">
        <v>43445</v>
      </c>
      <c r="F5779" s="534" t="n">
        <v>2.113</v>
      </c>
    </row>
    <row r="5780">
      <c r="A5780" s="535" t="n">
        <v>39626</v>
      </c>
      <c r="B5780" s="534" t="n">
        <v>12.875</v>
      </c>
      <c r="C5780" s="534" t="n">
        <v>22042.35</v>
      </c>
      <c r="E5780" s="535" t="n">
        <v>43446</v>
      </c>
      <c r="F5780" s="534" t="n">
        <v>2.151</v>
      </c>
    </row>
    <row r="5781">
      <c r="A5781" s="535" t="n">
        <v>39629</v>
      </c>
      <c r="B5781" s="534" t="n">
        <v>12.945</v>
      </c>
      <c r="C5781" s="534" t="n">
        <v>22102.01</v>
      </c>
      <c r="E5781" s="535" t="n">
        <v>43447</v>
      </c>
      <c r="F5781" s="534" t="n">
        <v>2.151</v>
      </c>
    </row>
    <row r="5782">
      <c r="A5782" s="535" t="n">
        <v>39630</v>
      </c>
      <c r="B5782" s="534" t="n">
        <v>12.945</v>
      </c>
      <c r="C5782" s="534" t="n">
        <v>22102.01</v>
      </c>
      <c r="E5782" s="535" t="n">
        <v>43448</v>
      </c>
      <c r="F5782" s="534" t="n">
        <v>2.179</v>
      </c>
    </row>
    <row r="5783">
      <c r="A5783" s="535" t="n">
        <v>39631</v>
      </c>
      <c r="B5783" s="534" t="n">
        <v>12.178</v>
      </c>
      <c r="C5783" s="534" t="n">
        <v>21704.45</v>
      </c>
      <c r="E5783" s="535" t="n">
        <v>43451</v>
      </c>
      <c r="F5783" s="534" t="n">
        <v>2.146</v>
      </c>
    </row>
    <row r="5784">
      <c r="A5784" s="535" t="n">
        <v>39632</v>
      </c>
      <c r="B5784" s="534" t="n">
        <v>12.056</v>
      </c>
      <c r="C5784" s="534" t="n">
        <v>21242.78</v>
      </c>
      <c r="E5784" s="535" t="n">
        <v>43452</v>
      </c>
      <c r="F5784" s="534" t="n">
        <v>2.109</v>
      </c>
    </row>
    <row r="5785">
      <c r="A5785" s="535" t="n">
        <v>39633</v>
      </c>
      <c r="B5785" s="534" t="n">
        <v>12.178</v>
      </c>
      <c r="C5785" s="534" t="n">
        <v>21423.82</v>
      </c>
      <c r="E5785" s="535" t="n">
        <v>43453</v>
      </c>
      <c r="F5785" s="534" t="n">
        <v>2.107</v>
      </c>
    </row>
    <row r="5786">
      <c r="A5786" s="535" t="n">
        <v>39636</v>
      </c>
      <c r="B5786" s="534" t="n">
        <v>12.37</v>
      </c>
      <c r="C5786" s="534" t="n">
        <v>21913.06</v>
      </c>
      <c r="E5786" s="535" t="n">
        <v>43454</v>
      </c>
      <c r="F5786" s="534" t="n">
        <v>2.032</v>
      </c>
    </row>
    <row r="5787">
      <c r="A5787" s="535" t="n">
        <v>39637</v>
      </c>
      <c r="B5787" s="534" t="n">
        <v>12.056</v>
      </c>
      <c r="C5787" s="534" t="n">
        <v>21220.81</v>
      </c>
      <c r="E5787" s="535" t="n">
        <v>43455</v>
      </c>
      <c r="F5787" s="534" t="n">
        <v>2.085</v>
      </c>
    </row>
    <row r="5788">
      <c r="A5788" s="535" t="n">
        <v>39638</v>
      </c>
      <c r="B5788" s="534" t="n">
        <v>12.649</v>
      </c>
      <c r="C5788" s="534" t="n">
        <v>21805.81</v>
      </c>
      <c r="E5788" s="535" t="n">
        <v>43458</v>
      </c>
      <c r="F5788" s="534" t="n">
        <v>2.08</v>
      </c>
    </row>
    <row r="5789">
      <c r="A5789" s="535" t="n">
        <v>39639</v>
      </c>
      <c r="B5789" s="534" t="n">
        <v>12.596</v>
      </c>
      <c r="C5789" s="534" t="n">
        <v>21821.78</v>
      </c>
      <c r="E5789" s="535" t="n">
        <v>43459</v>
      </c>
      <c r="F5789" s="534" t="n">
        <v>2.08</v>
      </c>
    </row>
    <row r="5790">
      <c r="A5790" s="535" t="n">
        <v>39640</v>
      </c>
      <c r="B5790" s="534" t="n">
        <v>12.631</v>
      </c>
      <c r="C5790" s="534" t="n">
        <v>22184.55</v>
      </c>
      <c r="E5790" s="535" t="n">
        <v>43460</v>
      </c>
      <c r="F5790" s="534" t="n">
        <v>2.08</v>
      </c>
    </row>
    <row r="5791">
      <c r="A5791" s="535" t="n">
        <v>39643</v>
      </c>
      <c r="B5791" s="534" t="n">
        <v>12.387</v>
      </c>
      <c r="C5791" s="534" t="n">
        <v>22014.46</v>
      </c>
      <c r="E5791" s="535" t="n">
        <v>43461</v>
      </c>
      <c r="F5791" s="534" t="n">
        <v>2.064</v>
      </c>
    </row>
    <row r="5792">
      <c r="A5792" s="535" t="n">
        <v>39644</v>
      </c>
      <c r="B5792" s="534" t="n">
        <v>12.021</v>
      </c>
      <c r="C5792" s="534" t="n">
        <v>21174.77</v>
      </c>
      <c r="E5792" s="535" t="n">
        <v>43462</v>
      </c>
      <c r="F5792" s="534" t="n">
        <v>2.052</v>
      </c>
    </row>
    <row r="5793">
      <c r="A5793" s="535" t="n">
        <v>39645</v>
      </c>
      <c r="B5793" s="534" t="n">
        <v>12.23</v>
      </c>
      <c r="C5793" s="534" t="n">
        <v>21223.5</v>
      </c>
      <c r="E5793" s="535" t="n">
        <v>43465</v>
      </c>
      <c r="F5793" s="534" t="n">
        <v>1.984</v>
      </c>
    </row>
    <row r="5794">
      <c r="A5794" s="535" t="n">
        <v>39646</v>
      </c>
      <c r="B5794" s="534" t="n">
        <v>12.788</v>
      </c>
      <c r="C5794" s="534" t="n">
        <v>21734.72</v>
      </c>
      <c r="E5794" s="535" t="n">
        <v>43466</v>
      </c>
      <c r="F5794" s="534" t="n">
        <v>1.984</v>
      </c>
    </row>
    <row r="5795">
      <c r="A5795" s="535" t="n">
        <v>39647</v>
      </c>
      <c r="B5795" s="534" t="n">
        <v>13.189</v>
      </c>
      <c r="C5795" s="534" t="n">
        <v>21874.19</v>
      </c>
      <c r="E5795" s="535" t="n">
        <v>43467</v>
      </c>
      <c r="F5795" s="534" t="n">
        <v>1.95</v>
      </c>
    </row>
    <row r="5796">
      <c r="A5796" s="535" t="n">
        <v>39650</v>
      </c>
      <c r="B5796" s="534" t="n">
        <v>13.241</v>
      </c>
      <c r="C5796" s="534" t="n">
        <v>22532.9</v>
      </c>
      <c r="E5796" s="535" t="n">
        <v>43468</v>
      </c>
      <c r="F5796" s="534" t="n">
        <v>1.923</v>
      </c>
    </row>
    <row r="5797">
      <c r="A5797" s="535" t="n">
        <v>39651</v>
      </c>
      <c r="B5797" s="534" t="n">
        <v>12.823</v>
      </c>
      <c r="C5797" s="534" t="n">
        <v>22527.48</v>
      </c>
      <c r="E5797" s="535" t="n">
        <v>43469</v>
      </c>
      <c r="F5797" s="534" t="n">
        <v>1.869</v>
      </c>
    </row>
    <row r="5798">
      <c r="A5798" s="535" t="n">
        <v>39652</v>
      </c>
      <c r="B5798" s="534" t="n">
        <v>13.624</v>
      </c>
      <c r="C5798" s="534" t="n">
        <v>23134.55</v>
      </c>
      <c r="E5798" s="535" t="n">
        <v>43472</v>
      </c>
      <c r="F5798" s="534" t="n">
        <v>1.944</v>
      </c>
    </row>
    <row r="5799">
      <c r="A5799" s="535" t="n">
        <v>39653</v>
      </c>
      <c r="B5799" s="534" t="n">
        <v>13.798</v>
      </c>
      <c r="C5799" s="534" t="n">
        <v>23087.72</v>
      </c>
      <c r="E5799" s="535" t="n">
        <v>43473</v>
      </c>
      <c r="F5799" s="534" t="n">
        <v>1.992</v>
      </c>
    </row>
    <row r="5800">
      <c r="A5800" s="535" t="n">
        <v>39654</v>
      </c>
      <c r="B5800" s="534" t="n">
        <v>13.502</v>
      </c>
      <c r="C5800" s="534" t="n">
        <v>22740.71</v>
      </c>
      <c r="E5800" s="535" t="n">
        <v>43474</v>
      </c>
      <c r="F5800" s="534" t="n">
        <v>2.015</v>
      </c>
    </row>
    <row r="5801">
      <c r="A5801" s="535" t="n">
        <v>39657</v>
      </c>
      <c r="B5801" s="534" t="n">
        <v>13.311</v>
      </c>
      <c r="C5801" s="534" t="n">
        <v>22687.21</v>
      </c>
      <c r="E5801" s="535" t="n">
        <v>43475</v>
      </c>
      <c r="F5801" s="534" t="n">
        <v>1.975</v>
      </c>
    </row>
    <row r="5802">
      <c r="A5802" s="535" t="n">
        <v>39658</v>
      </c>
      <c r="B5802" s="534" t="n">
        <v>13.049</v>
      </c>
      <c r="C5802" s="534" t="n">
        <v>22258</v>
      </c>
      <c r="E5802" s="535" t="n">
        <v>43476</v>
      </c>
      <c r="F5802" s="534" t="n">
        <v>1.986</v>
      </c>
    </row>
    <row r="5803">
      <c r="A5803" s="535" t="n">
        <v>39659</v>
      </c>
      <c r="B5803" s="534" t="n">
        <v>13.206</v>
      </c>
      <c r="C5803" s="534" t="n">
        <v>22690.6</v>
      </c>
      <c r="E5803" s="535" t="n">
        <v>43479</v>
      </c>
      <c r="F5803" s="534" t="n">
        <v>1.963</v>
      </c>
    </row>
    <row r="5804">
      <c r="A5804" s="535" t="n">
        <v>39660</v>
      </c>
      <c r="B5804" s="534" t="n">
        <v>13.119</v>
      </c>
      <c r="C5804" s="534" t="n">
        <v>22731.1</v>
      </c>
      <c r="E5804" s="535" t="n">
        <v>43480</v>
      </c>
      <c r="F5804" s="534" t="n">
        <v>2.007</v>
      </c>
    </row>
    <row r="5805">
      <c r="A5805" s="535" t="n">
        <v>39661</v>
      </c>
      <c r="B5805" s="534" t="n">
        <v>13.032</v>
      </c>
      <c r="C5805" s="534" t="n">
        <v>22862.6</v>
      </c>
      <c r="E5805" s="535" t="n">
        <v>43481</v>
      </c>
      <c r="F5805" s="534" t="n">
        <v>2.022</v>
      </c>
    </row>
    <row r="5806">
      <c r="A5806" s="535" t="n">
        <v>39664</v>
      </c>
      <c r="B5806" s="534" t="n">
        <v>12.788</v>
      </c>
      <c r="C5806" s="534" t="n">
        <v>22514.92</v>
      </c>
      <c r="E5806" s="535" t="n">
        <v>43482</v>
      </c>
      <c r="F5806" s="534" t="n">
        <v>1.982</v>
      </c>
    </row>
    <row r="5807">
      <c r="A5807" s="535" t="n">
        <v>39665</v>
      </c>
      <c r="B5807" s="534" t="n">
        <v>12.84</v>
      </c>
      <c r="C5807" s="534" t="n">
        <v>21949.75</v>
      </c>
      <c r="E5807" s="535" t="n">
        <v>43483</v>
      </c>
      <c r="F5807" s="534" t="n">
        <v>1.982</v>
      </c>
    </row>
    <row r="5808">
      <c r="A5808" s="535" t="n">
        <v>39666</v>
      </c>
      <c r="B5808" s="534" t="n">
        <v>12.84</v>
      </c>
      <c r="C5808" s="534" t="n">
        <v>21949.75</v>
      </c>
      <c r="E5808" s="535" t="n">
        <v>43486</v>
      </c>
      <c r="F5808" s="534" t="n">
        <v>2.056</v>
      </c>
    </row>
    <row r="5809">
      <c r="A5809" s="535" t="n">
        <v>39667</v>
      </c>
      <c r="B5809" s="534" t="n">
        <v>12.335</v>
      </c>
      <c r="C5809" s="534" t="n">
        <v>22104.2</v>
      </c>
      <c r="E5809" s="535" t="n">
        <v>43487</v>
      </c>
      <c r="F5809" s="534" t="n">
        <v>2.017</v>
      </c>
    </row>
    <row r="5810">
      <c r="A5810" s="535" t="n">
        <v>39668</v>
      </c>
      <c r="B5810" s="534" t="n">
        <v>12.213</v>
      </c>
      <c r="C5810" s="534" t="n">
        <v>21885.21</v>
      </c>
      <c r="E5810" s="535" t="n">
        <v>43488</v>
      </c>
      <c r="F5810" s="534" t="n">
        <v>1.99</v>
      </c>
    </row>
    <row r="5811">
      <c r="A5811" s="535" t="n">
        <v>39671</v>
      </c>
      <c r="B5811" s="534" t="n">
        <v>12.196</v>
      </c>
      <c r="C5811" s="534" t="n">
        <v>21859.34</v>
      </c>
      <c r="E5811" s="535" t="n">
        <v>43489</v>
      </c>
      <c r="F5811" s="534" t="n">
        <v>1.965</v>
      </c>
    </row>
    <row r="5812">
      <c r="A5812" s="535" t="n">
        <v>39672</v>
      </c>
      <c r="B5812" s="534" t="n">
        <v>13.102</v>
      </c>
      <c r="C5812" s="534" t="n">
        <v>21640.89</v>
      </c>
      <c r="E5812" s="535" t="n">
        <v>43490</v>
      </c>
      <c r="F5812" s="534" t="n">
        <v>1.973</v>
      </c>
    </row>
    <row r="5813">
      <c r="A5813" s="535" t="n">
        <v>39673</v>
      </c>
      <c r="B5813" s="534" t="n">
        <v>12.823</v>
      </c>
      <c r="C5813" s="534" t="n">
        <v>21293.32</v>
      </c>
      <c r="E5813" s="535" t="n">
        <v>43493</v>
      </c>
      <c r="F5813" s="534" t="n">
        <v>1.957</v>
      </c>
    </row>
    <row r="5814">
      <c r="A5814" s="535" t="n">
        <v>39674</v>
      </c>
      <c r="B5814" s="534" t="n">
        <v>12.631</v>
      </c>
      <c r="C5814" s="534" t="n">
        <v>21392.71</v>
      </c>
      <c r="E5814" s="535" t="n">
        <v>43494</v>
      </c>
      <c r="F5814" s="534" t="n">
        <v>1.924</v>
      </c>
    </row>
    <row r="5815">
      <c r="A5815" s="535" t="n">
        <v>39675</v>
      </c>
      <c r="B5815" s="534" t="n">
        <v>12.683</v>
      </c>
      <c r="C5815" s="534" t="n">
        <v>21160.58</v>
      </c>
      <c r="E5815" s="535" t="n">
        <v>43495</v>
      </c>
      <c r="F5815" s="534" t="n">
        <v>1.91</v>
      </c>
    </row>
    <row r="5816">
      <c r="A5816" s="535" t="n">
        <v>39678</v>
      </c>
      <c r="B5816" s="534" t="n">
        <v>12.457</v>
      </c>
      <c r="C5816" s="534" t="n">
        <v>20930.67</v>
      </c>
      <c r="E5816" s="535" t="n">
        <v>43496</v>
      </c>
      <c r="F5816" s="534" t="n">
        <v>1.823</v>
      </c>
    </row>
    <row r="5817">
      <c r="A5817" s="535" t="n">
        <v>39679</v>
      </c>
      <c r="B5817" s="534" t="n">
        <v>12.248</v>
      </c>
      <c r="C5817" s="534" t="n">
        <v>20484.37</v>
      </c>
      <c r="E5817" s="535" t="n">
        <v>43497</v>
      </c>
      <c r="F5817" s="534" t="n">
        <v>1.791</v>
      </c>
    </row>
    <row r="5818">
      <c r="A5818" s="535" t="n">
        <v>39680</v>
      </c>
      <c r="B5818" s="534" t="n">
        <v>12.544</v>
      </c>
      <c r="C5818" s="534" t="n">
        <v>20931.26</v>
      </c>
      <c r="E5818" s="535" t="n">
        <v>43500</v>
      </c>
      <c r="F5818" s="534" t="n">
        <v>1.832</v>
      </c>
    </row>
    <row r="5819">
      <c r="A5819" s="535" t="n">
        <v>39681</v>
      </c>
      <c r="B5819" s="534" t="n">
        <v>12.318</v>
      </c>
      <c r="C5819" s="534" t="n">
        <v>20392.06</v>
      </c>
      <c r="E5819" s="535" t="n">
        <v>43501</v>
      </c>
      <c r="F5819" s="534" t="n">
        <v>1.832</v>
      </c>
    </row>
    <row r="5820">
      <c r="A5820" s="535" t="n">
        <v>39682</v>
      </c>
      <c r="B5820" s="534" t="n">
        <v>12.318</v>
      </c>
      <c r="C5820" s="534" t="n">
        <v>20392.06</v>
      </c>
      <c r="E5820" s="535" t="n">
        <v>43502</v>
      </c>
      <c r="F5820" s="534" t="n">
        <v>1.832</v>
      </c>
    </row>
    <row r="5821">
      <c r="A5821" s="535" t="n">
        <v>39685</v>
      </c>
      <c r="B5821" s="534" t="n">
        <v>12.962</v>
      </c>
      <c r="C5821" s="534" t="n">
        <v>21104.79</v>
      </c>
      <c r="E5821" s="535" t="n">
        <v>43503</v>
      </c>
      <c r="F5821" s="534" t="n">
        <v>1.832</v>
      </c>
    </row>
    <row r="5822">
      <c r="A5822" s="535" t="n">
        <v>39686</v>
      </c>
      <c r="B5822" s="534" t="n">
        <v>12.788</v>
      </c>
      <c r="C5822" s="534" t="n">
        <v>21056.66</v>
      </c>
      <c r="E5822" s="535" t="n">
        <v>43504</v>
      </c>
      <c r="F5822" s="534" t="n">
        <v>1.726</v>
      </c>
    </row>
    <row r="5823">
      <c r="A5823" s="535" t="n">
        <v>39687</v>
      </c>
      <c r="B5823" s="534" t="n">
        <v>12.771</v>
      </c>
      <c r="C5823" s="534" t="n">
        <v>21464.72</v>
      </c>
      <c r="E5823" s="535" t="n">
        <v>43507</v>
      </c>
      <c r="F5823" s="534" t="n">
        <v>1.751</v>
      </c>
    </row>
    <row r="5824">
      <c r="A5824" s="535" t="n">
        <v>39688</v>
      </c>
      <c r="B5824" s="534" t="n">
        <v>12.649</v>
      </c>
      <c r="C5824" s="534" t="n">
        <v>20972.29</v>
      </c>
      <c r="E5824" s="535" t="n">
        <v>43508</v>
      </c>
      <c r="F5824" s="534" t="n">
        <v>1.816</v>
      </c>
    </row>
    <row r="5825">
      <c r="A5825" s="535" t="n">
        <v>39689</v>
      </c>
      <c r="B5825" s="534" t="n">
        <v>12.683</v>
      </c>
      <c r="C5825" s="534" t="n">
        <v>21261.89</v>
      </c>
      <c r="E5825" s="535" t="n">
        <v>43509</v>
      </c>
      <c r="F5825" s="534" t="n">
        <v>1.844</v>
      </c>
    </row>
    <row r="5826">
      <c r="A5826" s="535" t="n">
        <v>39692</v>
      </c>
      <c r="B5826" s="534" t="n">
        <v>12.335</v>
      </c>
      <c r="C5826" s="534" t="n">
        <v>20906.31</v>
      </c>
      <c r="E5826" s="535" t="n">
        <v>43510</v>
      </c>
      <c r="F5826" s="534" t="n">
        <v>1.822</v>
      </c>
    </row>
    <row r="5827">
      <c r="A5827" s="535" t="n">
        <v>39693</v>
      </c>
      <c r="B5827" s="534" t="n">
        <v>12.771</v>
      </c>
      <c r="C5827" s="534" t="n">
        <v>21042.46</v>
      </c>
      <c r="E5827" s="535" t="n">
        <v>43511</v>
      </c>
      <c r="F5827" s="534" t="n">
        <v>1.79</v>
      </c>
    </row>
    <row r="5828">
      <c r="A5828" s="535" t="n">
        <v>39694</v>
      </c>
      <c r="B5828" s="534" t="n">
        <v>12.84</v>
      </c>
      <c r="C5828" s="534" t="n">
        <v>20585.06</v>
      </c>
      <c r="E5828" s="535" t="n">
        <v>43514</v>
      </c>
      <c r="F5828" s="534" t="n">
        <v>1.794</v>
      </c>
    </row>
    <row r="5829">
      <c r="A5829" s="535" t="n">
        <v>39695</v>
      </c>
      <c r="B5829" s="534" t="n">
        <v>12.387</v>
      </c>
      <c r="C5829" s="534" t="n">
        <v>20389.48</v>
      </c>
      <c r="E5829" s="535" t="n">
        <v>43515</v>
      </c>
      <c r="F5829" s="534" t="n">
        <v>1.772</v>
      </c>
    </row>
    <row r="5830">
      <c r="A5830" s="535" t="n">
        <v>39696</v>
      </c>
      <c r="B5830" s="534" t="n">
        <v>12.318</v>
      </c>
      <c r="C5830" s="534" t="n">
        <v>19933.28</v>
      </c>
      <c r="E5830" s="535" t="n">
        <v>43516</v>
      </c>
      <c r="F5830" s="534" t="n">
        <v>1.745</v>
      </c>
    </row>
    <row r="5831">
      <c r="A5831" s="535" t="n">
        <v>39699</v>
      </c>
      <c r="B5831" s="534" t="n">
        <v>12.683</v>
      </c>
      <c r="C5831" s="534" t="n">
        <v>20794.27</v>
      </c>
      <c r="E5831" s="535" t="n">
        <v>43517</v>
      </c>
      <c r="F5831" s="534" t="n">
        <v>1.766</v>
      </c>
    </row>
    <row r="5832">
      <c r="A5832" s="535" t="n">
        <v>39700</v>
      </c>
      <c r="B5832" s="534" t="n">
        <v>12.805</v>
      </c>
      <c r="C5832" s="534" t="n">
        <v>20491.11</v>
      </c>
      <c r="E5832" s="535" t="n">
        <v>43518</v>
      </c>
      <c r="F5832" s="534" t="n">
        <v>1.768</v>
      </c>
    </row>
    <row r="5833">
      <c r="A5833" s="535" t="n">
        <v>39701</v>
      </c>
      <c r="B5833" s="534" t="n">
        <v>12.892</v>
      </c>
      <c r="C5833" s="534" t="n">
        <v>19999.78</v>
      </c>
      <c r="E5833" s="535" t="n">
        <v>43521</v>
      </c>
      <c r="F5833" s="534" t="n">
        <v>1.755</v>
      </c>
    </row>
    <row r="5834">
      <c r="A5834" s="535" t="n">
        <v>39702</v>
      </c>
      <c r="B5834" s="534" t="n">
        <v>12.892</v>
      </c>
      <c r="C5834" s="534" t="n">
        <v>19388.72</v>
      </c>
      <c r="E5834" s="535" t="n">
        <v>43522</v>
      </c>
      <c r="F5834" s="534" t="n">
        <v>1.755</v>
      </c>
    </row>
    <row r="5835">
      <c r="A5835" s="535" t="n">
        <v>39703</v>
      </c>
      <c r="B5835" s="534" t="n">
        <v>12.858</v>
      </c>
      <c r="C5835" s="534" t="n">
        <v>19352.9</v>
      </c>
      <c r="E5835" s="535" t="n">
        <v>43523</v>
      </c>
      <c r="F5835" s="534" t="n">
        <v>1.75</v>
      </c>
    </row>
    <row r="5836">
      <c r="A5836" s="535" t="n">
        <v>39706</v>
      </c>
      <c r="B5836" s="534" t="n">
        <v>12.858</v>
      </c>
      <c r="C5836" s="534" t="n">
        <v>19352.9</v>
      </c>
      <c r="E5836" s="535" t="n">
        <v>43524</v>
      </c>
      <c r="F5836" s="534" t="n">
        <v>1.792</v>
      </c>
    </row>
    <row r="5837">
      <c r="A5837" s="535" t="n">
        <v>39707</v>
      </c>
      <c r="B5837" s="534" t="n">
        <v>12.422</v>
      </c>
      <c r="C5837" s="534" t="n">
        <v>18300.61</v>
      </c>
      <c r="E5837" s="535" t="n">
        <v>43525</v>
      </c>
      <c r="F5837" s="534" t="n">
        <v>1.829</v>
      </c>
    </row>
    <row r="5838">
      <c r="A5838" s="535" t="n">
        <v>39708</v>
      </c>
      <c r="B5838" s="534" t="n">
        <v>11.882</v>
      </c>
      <c r="C5838" s="534" t="n">
        <v>17637.19</v>
      </c>
      <c r="E5838" s="535" t="n">
        <v>43528</v>
      </c>
      <c r="F5838" s="534" t="n">
        <v>1.831</v>
      </c>
    </row>
    <row r="5839">
      <c r="A5839" s="535" t="n">
        <v>39709</v>
      </c>
      <c r="B5839" s="534" t="n">
        <v>11.481</v>
      </c>
      <c r="C5839" s="534" t="n">
        <v>17632.46</v>
      </c>
      <c r="E5839" s="535" t="n">
        <v>43529</v>
      </c>
      <c r="F5839" s="534" t="n">
        <v>1.818</v>
      </c>
    </row>
    <row r="5840">
      <c r="A5840" s="535" t="n">
        <v>39710</v>
      </c>
      <c r="B5840" s="534" t="n">
        <v>11.812</v>
      </c>
      <c r="C5840" s="534" t="n">
        <v>19327.73</v>
      </c>
      <c r="E5840" s="535" t="n">
        <v>43530</v>
      </c>
      <c r="F5840" s="534" t="n">
        <v>1.802</v>
      </c>
    </row>
    <row r="5841">
      <c r="A5841" s="535" t="n">
        <v>39713</v>
      </c>
      <c r="B5841" s="534" t="n">
        <v>11.499</v>
      </c>
      <c r="C5841" s="534" t="n">
        <v>19632.2</v>
      </c>
      <c r="E5841" s="535" t="n">
        <v>43531</v>
      </c>
      <c r="F5841" s="534" t="n">
        <v>1.769</v>
      </c>
    </row>
    <row r="5842">
      <c r="A5842" s="535" t="n">
        <v>39714</v>
      </c>
      <c r="B5842" s="534" t="n">
        <v>11.185</v>
      </c>
      <c r="C5842" s="534" t="n">
        <v>18872.85</v>
      </c>
      <c r="E5842" s="535" t="n">
        <v>43532</v>
      </c>
      <c r="F5842" s="534" t="n">
        <v>1.746</v>
      </c>
    </row>
    <row r="5843">
      <c r="A5843" s="535" t="n">
        <v>39715</v>
      </c>
      <c r="B5843" s="534" t="n">
        <v>11.412</v>
      </c>
      <c r="C5843" s="534" t="n">
        <v>18961.99</v>
      </c>
      <c r="E5843" s="535" t="n">
        <v>43535</v>
      </c>
      <c r="F5843" s="534" t="n">
        <v>1.774</v>
      </c>
    </row>
    <row r="5844">
      <c r="A5844" s="535" t="n">
        <v>39716</v>
      </c>
      <c r="B5844" s="534" t="n">
        <v>11.603</v>
      </c>
      <c r="C5844" s="534" t="n">
        <v>18934.43</v>
      </c>
      <c r="E5844" s="535" t="n">
        <v>43536</v>
      </c>
      <c r="F5844" s="534" t="n">
        <v>1.774</v>
      </c>
    </row>
    <row r="5845">
      <c r="A5845" s="535" t="n">
        <v>39717</v>
      </c>
      <c r="B5845" s="534" t="n">
        <v>11.377</v>
      </c>
      <c r="C5845" s="534" t="n">
        <v>18682.09</v>
      </c>
      <c r="E5845" s="535" t="n">
        <v>43537</v>
      </c>
      <c r="F5845" s="534" t="n">
        <v>1.758</v>
      </c>
    </row>
    <row r="5846">
      <c r="A5846" s="535" t="n">
        <v>39720</v>
      </c>
      <c r="B5846" s="534" t="n">
        <v>11.307</v>
      </c>
      <c r="C5846" s="534" t="n">
        <v>17880.68</v>
      </c>
      <c r="E5846" s="535" t="n">
        <v>43538</v>
      </c>
      <c r="F5846" s="534" t="n">
        <v>1.765</v>
      </c>
    </row>
    <row r="5847">
      <c r="A5847" s="535" t="n">
        <v>39721</v>
      </c>
      <c r="B5847" s="534" t="n">
        <v>11.412</v>
      </c>
      <c r="C5847" s="534" t="n">
        <v>18016.21</v>
      </c>
      <c r="E5847" s="535" t="n">
        <v>43539</v>
      </c>
      <c r="F5847" s="534" t="n">
        <v>1.752</v>
      </c>
    </row>
    <row r="5848">
      <c r="A5848" s="535" t="n">
        <v>39722</v>
      </c>
      <c r="B5848" s="534" t="n">
        <v>11.412</v>
      </c>
      <c r="C5848" s="534" t="n">
        <v>18016.21</v>
      </c>
      <c r="E5848" s="535" t="n">
        <v>43542</v>
      </c>
      <c r="F5848" s="534" t="n">
        <v>1.695</v>
      </c>
    </row>
    <row r="5849">
      <c r="A5849" s="535" t="n">
        <v>39723</v>
      </c>
      <c r="B5849" s="534" t="n">
        <v>11.307</v>
      </c>
      <c r="C5849" s="534" t="n">
        <v>18211.11</v>
      </c>
      <c r="E5849" s="535" t="n">
        <v>43543</v>
      </c>
      <c r="F5849" s="534" t="n">
        <v>1.716</v>
      </c>
    </row>
    <row r="5850">
      <c r="A5850" s="535" t="n">
        <v>39724</v>
      </c>
      <c r="B5850" s="534" t="n">
        <v>10.61</v>
      </c>
      <c r="C5850" s="534" t="n">
        <v>17682.4</v>
      </c>
      <c r="E5850" s="535" t="n">
        <v>43544</v>
      </c>
      <c r="F5850" s="534" t="n">
        <v>1.72</v>
      </c>
    </row>
    <row r="5851">
      <c r="A5851" s="535" t="n">
        <v>39727</v>
      </c>
      <c r="B5851" s="534" t="n">
        <v>9.843999999999999</v>
      </c>
      <c r="C5851" s="534" t="n">
        <v>16803.76</v>
      </c>
      <c r="E5851" s="535" t="n">
        <v>43545</v>
      </c>
      <c r="F5851" s="534" t="n">
        <v>1.656</v>
      </c>
    </row>
    <row r="5852">
      <c r="A5852" s="535" t="n">
        <v>39728</v>
      </c>
      <c r="B5852" s="534" t="n">
        <v>9.843999999999999</v>
      </c>
      <c r="C5852" s="534" t="n">
        <v>16803.76</v>
      </c>
      <c r="E5852" s="535" t="n">
        <v>43546</v>
      </c>
      <c r="F5852" s="534" t="n">
        <v>1.655</v>
      </c>
    </row>
    <row r="5853">
      <c r="A5853" s="535" t="n">
        <v>39729</v>
      </c>
      <c r="B5853" s="534" t="n">
        <v>9.494999999999999</v>
      </c>
      <c r="C5853" s="534" t="n">
        <v>15431.73</v>
      </c>
      <c r="E5853" s="535" t="n">
        <v>43549</v>
      </c>
      <c r="F5853" s="534" t="n">
        <v>1.55</v>
      </c>
    </row>
    <row r="5854">
      <c r="A5854" s="535" t="n">
        <v>39730</v>
      </c>
      <c r="B5854" s="534" t="n">
        <v>9.337999999999999</v>
      </c>
      <c r="C5854" s="534" t="n">
        <v>15943.24</v>
      </c>
      <c r="E5854" s="535" t="n">
        <v>43550</v>
      </c>
      <c r="F5854" s="534" t="n">
        <v>1.497</v>
      </c>
    </row>
    <row r="5855">
      <c r="A5855" s="535" t="n">
        <v>39731</v>
      </c>
      <c r="B5855" s="534" t="n">
        <v>8.624000000000001</v>
      </c>
      <c r="C5855" s="534" t="n">
        <v>14796.87</v>
      </c>
      <c r="E5855" s="535" t="n">
        <v>43551</v>
      </c>
      <c r="F5855" s="534" t="n">
        <v>1.466</v>
      </c>
    </row>
    <row r="5856">
      <c r="A5856" s="535" t="n">
        <v>39734</v>
      </c>
      <c r="B5856" s="534" t="n">
        <v>9.234</v>
      </c>
      <c r="C5856" s="534" t="n">
        <v>16312.16</v>
      </c>
      <c r="E5856" s="535" t="n">
        <v>43552</v>
      </c>
      <c r="F5856" s="534" t="n">
        <v>1.44</v>
      </c>
    </row>
    <row r="5857">
      <c r="A5857" s="535" t="n">
        <v>39735</v>
      </c>
      <c r="B5857" s="534" t="n">
        <v>9.6</v>
      </c>
      <c r="C5857" s="534" t="n">
        <v>16832.88</v>
      </c>
      <c r="E5857" s="535" t="n">
        <v>43553</v>
      </c>
      <c r="F5857" s="534" t="n">
        <v>1.471</v>
      </c>
    </row>
    <row r="5858">
      <c r="A5858" s="535" t="n">
        <v>39736</v>
      </c>
      <c r="B5858" s="534" t="n">
        <v>9.529999999999999</v>
      </c>
      <c r="C5858" s="534" t="n">
        <v>15998.3</v>
      </c>
      <c r="E5858" s="535" t="n">
        <v>43556</v>
      </c>
      <c r="F5858" s="534" t="n">
        <v>1.553</v>
      </c>
    </row>
    <row r="5859">
      <c r="A5859" s="535" t="n">
        <v>39737</v>
      </c>
      <c r="B5859" s="534" t="n">
        <v>8.868</v>
      </c>
      <c r="C5859" s="534" t="n">
        <v>15230.52</v>
      </c>
      <c r="E5859" s="535" t="n">
        <v>43557</v>
      </c>
      <c r="F5859" s="534" t="n">
        <v>1.575</v>
      </c>
    </row>
    <row r="5860">
      <c r="A5860" s="535" t="n">
        <v>39738</v>
      </c>
      <c r="B5860" s="534" t="n">
        <v>8.624000000000001</v>
      </c>
      <c r="C5860" s="534" t="n">
        <v>14554.21</v>
      </c>
      <c r="E5860" s="535" t="n">
        <v>43558</v>
      </c>
      <c r="F5860" s="534" t="n">
        <v>1.604</v>
      </c>
    </row>
    <row r="5861">
      <c r="A5861" s="535" t="n">
        <v>39741</v>
      </c>
      <c r="B5861" s="534" t="n">
        <v>8.885</v>
      </c>
      <c r="C5861" s="534" t="n">
        <v>15323.01</v>
      </c>
      <c r="E5861" s="535" t="n">
        <v>43559</v>
      </c>
      <c r="F5861" s="534" t="n">
        <v>1.568</v>
      </c>
    </row>
    <row r="5862">
      <c r="A5862" s="535" t="n">
        <v>39742</v>
      </c>
      <c r="B5862" s="534" t="n">
        <v>8.702</v>
      </c>
      <c r="C5862" s="534" t="n">
        <v>15041.17</v>
      </c>
      <c r="E5862" s="535" t="n">
        <v>43560</v>
      </c>
      <c r="F5862" s="534" t="n">
        <v>1.568</v>
      </c>
    </row>
    <row r="5863">
      <c r="A5863" s="535" t="n">
        <v>39743</v>
      </c>
      <c r="B5863" s="534" t="n">
        <v>8.398</v>
      </c>
      <c r="C5863" s="534" t="n">
        <v>14266.6</v>
      </c>
      <c r="E5863" s="535" t="n">
        <v>43563</v>
      </c>
      <c r="F5863" s="534" t="n">
        <v>1.567</v>
      </c>
    </row>
    <row r="5864">
      <c r="A5864" s="535" t="n">
        <v>39744</v>
      </c>
      <c r="B5864" s="534" t="n">
        <v>8.493</v>
      </c>
      <c r="C5864" s="534" t="n">
        <v>13760.49</v>
      </c>
      <c r="E5864" s="535" t="n">
        <v>43564</v>
      </c>
      <c r="F5864" s="534" t="n">
        <v>1.609</v>
      </c>
    </row>
    <row r="5865">
      <c r="A5865" s="535" t="n">
        <v>39745</v>
      </c>
      <c r="B5865" s="534" t="n">
        <v>7.648</v>
      </c>
      <c r="C5865" s="534" t="n">
        <v>12618.38</v>
      </c>
      <c r="E5865" s="535" t="n">
        <v>43565</v>
      </c>
      <c r="F5865" s="534" t="n">
        <v>1.651</v>
      </c>
    </row>
    <row r="5866">
      <c r="A5866" s="535" t="n">
        <v>39748</v>
      </c>
      <c r="B5866" s="534" t="n">
        <v>6.159</v>
      </c>
      <c r="C5866" s="534" t="n">
        <v>11015.84</v>
      </c>
      <c r="E5866" s="535" t="n">
        <v>43566</v>
      </c>
      <c r="F5866" s="534" t="n">
        <v>1.619</v>
      </c>
    </row>
    <row r="5867">
      <c r="A5867" s="535" t="n">
        <v>39749</v>
      </c>
      <c r="B5867" s="534" t="n">
        <v>8.013999999999999</v>
      </c>
      <c r="C5867" s="534" t="n">
        <v>12596.29</v>
      </c>
      <c r="E5867" s="535" t="n">
        <v>43567</v>
      </c>
      <c r="F5867" s="534" t="n">
        <v>1.629</v>
      </c>
    </row>
    <row r="5868">
      <c r="A5868" s="535" t="n">
        <v>39750</v>
      </c>
      <c r="B5868" s="534" t="n">
        <v>7.666</v>
      </c>
      <c r="C5868" s="534" t="n">
        <v>12702.07</v>
      </c>
      <c r="E5868" s="535" t="n">
        <v>43570</v>
      </c>
      <c r="F5868" s="534" t="n">
        <v>1.677</v>
      </c>
    </row>
    <row r="5869">
      <c r="A5869" s="535" t="n">
        <v>39751</v>
      </c>
      <c r="B5869" s="534" t="n">
        <v>8.598000000000001</v>
      </c>
      <c r="C5869" s="534" t="n">
        <v>14329.85</v>
      </c>
      <c r="E5869" s="535" t="n">
        <v>43571</v>
      </c>
      <c r="F5869" s="534" t="n">
        <v>1.677</v>
      </c>
    </row>
    <row r="5870">
      <c r="A5870" s="535" t="n">
        <v>39752</v>
      </c>
      <c r="B5870" s="534" t="n">
        <v>8.127000000000001</v>
      </c>
      <c r="C5870" s="534" t="n">
        <v>13968.67</v>
      </c>
      <c r="E5870" s="535" t="n">
        <v>43572</v>
      </c>
      <c r="F5870" s="534" t="n">
        <v>1.692</v>
      </c>
    </row>
    <row r="5871">
      <c r="A5871" s="535" t="n">
        <v>39755</v>
      </c>
      <c r="B5871" s="534" t="n">
        <v>8.449999999999999</v>
      </c>
      <c r="C5871" s="534" t="n">
        <v>14344.37</v>
      </c>
      <c r="E5871" s="535" t="n">
        <v>43573</v>
      </c>
      <c r="F5871" s="534" t="n">
        <v>1.675</v>
      </c>
    </row>
    <row r="5872">
      <c r="A5872" s="535" t="n">
        <v>39756</v>
      </c>
      <c r="B5872" s="534" t="n">
        <v>8.319000000000001</v>
      </c>
      <c r="C5872" s="534" t="n">
        <v>14384.34</v>
      </c>
      <c r="E5872" s="535" t="n">
        <v>43574</v>
      </c>
      <c r="F5872" s="534" t="n">
        <v>1.675</v>
      </c>
    </row>
    <row r="5873">
      <c r="A5873" s="535" t="n">
        <v>39757</v>
      </c>
      <c r="B5873" s="534" t="n">
        <v>8.215</v>
      </c>
      <c r="C5873" s="534" t="n">
        <v>14840.16</v>
      </c>
      <c r="E5873" s="535" t="n">
        <v>43577</v>
      </c>
      <c r="F5873" s="534" t="n">
        <v>1.675</v>
      </c>
    </row>
    <row r="5874">
      <c r="A5874" s="535" t="n">
        <v>39758</v>
      </c>
      <c r="B5874" s="534" t="n">
        <v>7.039</v>
      </c>
      <c r="C5874" s="534" t="n">
        <v>13790.04</v>
      </c>
      <c r="E5874" s="535" t="n">
        <v>43578</v>
      </c>
      <c r="F5874" s="534" t="n">
        <v>1.729</v>
      </c>
    </row>
    <row r="5875">
      <c r="A5875" s="535" t="n">
        <v>39759</v>
      </c>
      <c r="B5875" s="534" t="n">
        <v>7.161</v>
      </c>
      <c r="C5875" s="534" t="n">
        <v>14243.43</v>
      </c>
      <c r="E5875" s="535" t="n">
        <v>43579</v>
      </c>
      <c r="F5875" s="534" t="n">
        <v>1.709</v>
      </c>
    </row>
    <row r="5876">
      <c r="A5876" s="535" t="n">
        <v>39762</v>
      </c>
      <c r="B5876" s="534" t="n">
        <v>7.056</v>
      </c>
      <c r="C5876" s="534" t="n">
        <v>14744.63</v>
      </c>
      <c r="E5876" s="535" t="n">
        <v>43580</v>
      </c>
      <c r="F5876" s="534" t="n">
        <v>1.691</v>
      </c>
    </row>
    <row r="5877">
      <c r="A5877" s="535" t="n">
        <v>39763</v>
      </c>
      <c r="B5877" s="534" t="n">
        <v>6.969</v>
      </c>
      <c r="C5877" s="534" t="n">
        <v>14040.9</v>
      </c>
      <c r="E5877" s="535" t="n">
        <v>43581</v>
      </c>
      <c r="F5877" s="534" t="n">
        <v>1.69</v>
      </c>
    </row>
    <row r="5878">
      <c r="A5878" s="535" t="n">
        <v>39764</v>
      </c>
      <c r="B5878" s="534" t="n">
        <v>6.995</v>
      </c>
      <c r="C5878" s="534" t="n">
        <v>13939.09</v>
      </c>
      <c r="E5878" s="535" t="n">
        <v>43584</v>
      </c>
      <c r="F5878" s="534" t="n">
        <v>1.674</v>
      </c>
    </row>
    <row r="5879">
      <c r="A5879" s="535" t="n">
        <v>39765</v>
      </c>
      <c r="B5879" s="534" t="n">
        <v>6.734</v>
      </c>
      <c r="C5879" s="534" t="n">
        <v>13221.35</v>
      </c>
      <c r="E5879" s="535" t="n">
        <v>43585</v>
      </c>
      <c r="F5879" s="534" t="n">
        <v>1.666</v>
      </c>
    </row>
    <row r="5880">
      <c r="A5880" s="535" t="n">
        <v>39766</v>
      </c>
      <c r="B5880" s="534" t="n">
        <v>6.978</v>
      </c>
      <c r="C5880" s="534" t="n">
        <v>13542.66</v>
      </c>
      <c r="E5880" s="535" t="n">
        <v>43586</v>
      </c>
      <c r="F5880" s="534" t="n">
        <v>1.666</v>
      </c>
    </row>
    <row r="5881">
      <c r="A5881" s="535" t="n">
        <v>39769</v>
      </c>
      <c r="B5881" s="534" t="n">
        <v>7.039</v>
      </c>
      <c r="C5881" s="534" t="n">
        <v>13529.53</v>
      </c>
      <c r="E5881" s="535" t="n">
        <v>43587</v>
      </c>
      <c r="F5881" s="534" t="n">
        <v>1.716</v>
      </c>
    </row>
    <row r="5882">
      <c r="A5882" s="535" t="n">
        <v>39770</v>
      </c>
      <c r="B5882" s="534" t="n">
        <v>6.725</v>
      </c>
      <c r="C5882" s="534" t="n">
        <v>12915.89</v>
      </c>
      <c r="E5882" s="535" t="n">
        <v>43588</v>
      </c>
      <c r="F5882" s="534" t="n">
        <v>1.699</v>
      </c>
    </row>
    <row r="5883">
      <c r="A5883" s="535" t="n">
        <v>39771</v>
      </c>
      <c r="B5883" s="534" t="n">
        <v>6.838</v>
      </c>
      <c r="C5883" s="534" t="n">
        <v>12815.8</v>
      </c>
      <c r="E5883" s="535" t="n">
        <v>43591</v>
      </c>
      <c r="F5883" s="534" t="n">
        <v>1.624</v>
      </c>
    </row>
    <row r="5884">
      <c r="A5884" s="535" t="n">
        <v>39772</v>
      </c>
      <c r="B5884" s="534" t="n">
        <v>6.368</v>
      </c>
      <c r="C5884" s="534" t="n">
        <v>12298.56</v>
      </c>
      <c r="E5884" s="535" t="n">
        <v>43592</v>
      </c>
      <c r="F5884" s="534" t="n">
        <v>1.608</v>
      </c>
    </row>
    <row r="5885">
      <c r="A5885" s="535" t="n">
        <v>39773</v>
      </c>
      <c r="B5885" s="534" t="n">
        <v>6.49</v>
      </c>
      <c r="C5885" s="534" t="n">
        <v>12659.2</v>
      </c>
      <c r="E5885" s="535" t="n">
        <v>43593</v>
      </c>
      <c r="F5885" s="534" t="n">
        <v>1.608</v>
      </c>
    </row>
    <row r="5886">
      <c r="A5886" s="535" t="n">
        <v>39776</v>
      </c>
      <c r="B5886" s="534" t="n">
        <v>6.446</v>
      </c>
      <c r="C5886" s="534" t="n">
        <v>12457.94</v>
      </c>
      <c r="E5886" s="535" t="n">
        <v>43594</v>
      </c>
      <c r="F5886" s="534" t="n">
        <v>1.603</v>
      </c>
    </row>
    <row r="5887">
      <c r="A5887" s="535" t="n">
        <v>39777</v>
      </c>
      <c r="B5887" s="534" t="n">
        <v>6.577</v>
      </c>
      <c r="C5887" s="534" t="n">
        <v>12878.6</v>
      </c>
      <c r="E5887" s="535" t="n">
        <v>43595</v>
      </c>
      <c r="F5887" s="534" t="n">
        <v>1.629</v>
      </c>
    </row>
    <row r="5888">
      <c r="A5888" s="535" t="n">
        <v>39778</v>
      </c>
      <c r="B5888" s="534" t="n">
        <v>6.681</v>
      </c>
      <c r="C5888" s="534" t="n">
        <v>13369.45</v>
      </c>
      <c r="E5888" s="535" t="n">
        <v>43598</v>
      </c>
      <c r="F5888" s="534" t="n">
        <v>1.629</v>
      </c>
    </row>
    <row r="5889">
      <c r="A5889" s="535" t="n">
        <v>39779</v>
      </c>
      <c r="B5889" s="534" t="n">
        <v>6.638</v>
      </c>
      <c r="C5889" s="534" t="n">
        <v>13552.06</v>
      </c>
      <c r="E5889" s="535" t="n">
        <v>43599</v>
      </c>
      <c r="F5889" s="534" t="n">
        <v>1.589</v>
      </c>
    </row>
    <row r="5890">
      <c r="A5890" s="535" t="n">
        <v>39780</v>
      </c>
      <c r="B5890" s="534" t="n">
        <v>6.551</v>
      </c>
      <c r="C5890" s="534" t="n">
        <v>13888.24</v>
      </c>
      <c r="E5890" s="535" t="n">
        <v>43600</v>
      </c>
      <c r="F5890" s="534" t="n">
        <v>1.598</v>
      </c>
    </row>
    <row r="5891">
      <c r="A5891" s="535" t="n">
        <v>39783</v>
      </c>
      <c r="B5891" s="534" t="n">
        <v>6.882</v>
      </c>
      <c r="C5891" s="534" t="n">
        <v>14108.84</v>
      </c>
      <c r="E5891" s="535" t="n">
        <v>43601</v>
      </c>
      <c r="F5891" s="534" t="n">
        <v>1.531</v>
      </c>
    </row>
    <row r="5892">
      <c r="A5892" s="535" t="n">
        <v>39784</v>
      </c>
      <c r="B5892" s="534" t="n">
        <v>6.638</v>
      </c>
      <c r="C5892" s="534" t="n">
        <v>13405.85</v>
      </c>
      <c r="E5892" s="535" t="n">
        <v>43602</v>
      </c>
      <c r="F5892" s="534" t="n">
        <v>1.531</v>
      </c>
    </row>
    <row r="5893">
      <c r="A5893" s="535" t="n">
        <v>39785</v>
      </c>
      <c r="B5893" s="534" t="n">
        <v>6.647</v>
      </c>
      <c r="C5893" s="534" t="n">
        <v>13588.66</v>
      </c>
      <c r="E5893" s="535" t="n">
        <v>43605</v>
      </c>
      <c r="F5893" s="534" t="n">
        <v>1.551</v>
      </c>
    </row>
    <row r="5894">
      <c r="A5894" s="535" t="n">
        <v>39786</v>
      </c>
      <c r="B5894" s="534" t="n">
        <v>6.586</v>
      </c>
      <c r="C5894" s="534" t="n">
        <v>13509.78</v>
      </c>
      <c r="E5894" s="535" t="n">
        <v>43606</v>
      </c>
      <c r="F5894" s="534" t="n">
        <v>1.573</v>
      </c>
    </row>
    <row r="5895">
      <c r="A5895" s="535" t="n">
        <v>39787</v>
      </c>
      <c r="B5895" s="534" t="n">
        <v>6.742</v>
      </c>
      <c r="C5895" s="534" t="n">
        <v>13846.09</v>
      </c>
      <c r="E5895" s="535" t="n">
        <v>43607</v>
      </c>
      <c r="F5895" s="534" t="n">
        <v>1.59</v>
      </c>
    </row>
    <row r="5896">
      <c r="A5896" s="535" t="n">
        <v>39790</v>
      </c>
      <c r="B5896" s="534" t="n">
        <v>7.178</v>
      </c>
      <c r="C5896" s="534" t="n">
        <v>15044.87</v>
      </c>
      <c r="E5896" s="535" t="n">
        <v>43608</v>
      </c>
      <c r="F5896" s="534" t="n">
        <v>1.578</v>
      </c>
    </row>
    <row r="5897">
      <c r="A5897" s="535" t="n">
        <v>39791</v>
      </c>
      <c r="B5897" s="534" t="n">
        <v>7.047</v>
      </c>
      <c r="C5897" s="534" t="n">
        <v>14753.22</v>
      </c>
      <c r="E5897" s="535" t="n">
        <v>43609</v>
      </c>
      <c r="F5897" s="534" t="n">
        <v>1.556</v>
      </c>
    </row>
    <row r="5898">
      <c r="A5898" s="535" t="n">
        <v>39792</v>
      </c>
      <c r="B5898" s="534" t="n">
        <v>7.361</v>
      </c>
      <c r="C5898" s="534" t="n">
        <v>15577.74</v>
      </c>
      <c r="E5898" s="535" t="n">
        <v>43612</v>
      </c>
      <c r="F5898" s="534" t="n">
        <v>1.577</v>
      </c>
    </row>
    <row r="5899">
      <c r="A5899" s="535" t="n">
        <v>39793</v>
      </c>
      <c r="B5899" s="534" t="n">
        <v>7.352</v>
      </c>
      <c r="C5899" s="534" t="n">
        <v>15613.9</v>
      </c>
      <c r="E5899" s="535" t="n">
        <v>43613</v>
      </c>
      <c r="F5899" s="534" t="n">
        <v>1.523</v>
      </c>
    </row>
    <row r="5900">
      <c r="A5900" s="535" t="n">
        <v>39794</v>
      </c>
      <c r="B5900" s="534" t="n">
        <v>7.143</v>
      </c>
      <c r="C5900" s="534" t="n">
        <v>14758.39</v>
      </c>
      <c r="E5900" s="535" t="n">
        <v>43614</v>
      </c>
      <c r="F5900" s="534" t="n">
        <v>1.58</v>
      </c>
    </row>
    <row r="5901">
      <c r="A5901" s="535" t="n">
        <v>39797</v>
      </c>
      <c r="B5901" s="534" t="n">
        <v>7.396</v>
      </c>
      <c r="C5901" s="534" t="n">
        <v>15046.95</v>
      </c>
      <c r="E5901" s="535" t="n">
        <v>43615</v>
      </c>
      <c r="F5901" s="534" t="n">
        <v>1.658</v>
      </c>
    </row>
    <row r="5902">
      <c r="A5902" s="535" t="n">
        <v>39798</v>
      </c>
      <c r="B5902" s="534" t="n">
        <v>7.291</v>
      </c>
      <c r="C5902" s="534" t="n">
        <v>15130.21</v>
      </c>
      <c r="E5902" s="535" t="n">
        <v>43616</v>
      </c>
      <c r="F5902" s="534" t="n">
        <v>1.59</v>
      </c>
    </row>
    <row r="5903">
      <c r="A5903" s="535" t="n">
        <v>39799</v>
      </c>
      <c r="B5903" s="534" t="n">
        <v>7.248</v>
      </c>
      <c r="C5903" s="534" t="n">
        <v>15460.52</v>
      </c>
      <c r="E5903" s="535" t="n">
        <v>43619</v>
      </c>
      <c r="F5903" s="534" t="n">
        <v>1.509</v>
      </c>
    </row>
    <row r="5904">
      <c r="A5904" s="535" t="n">
        <v>39800</v>
      </c>
      <c r="B5904" s="534" t="n">
        <v>7.3</v>
      </c>
      <c r="C5904" s="534" t="n">
        <v>15497.81</v>
      </c>
      <c r="E5904" s="535" t="n">
        <v>43620</v>
      </c>
      <c r="F5904" s="534" t="n">
        <v>1.536</v>
      </c>
    </row>
    <row r="5905">
      <c r="A5905" s="535" t="n">
        <v>39801</v>
      </c>
      <c r="B5905" s="534" t="n">
        <v>7.692</v>
      </c>
      <c r="C5905" s="534" t="n">
        <v>15127.51</v>
      </c>
      <c r="E5905" s="535" t="n">
        <v>43621</v>
      </c>
      <c r="F5905" s="534" t="n">
        <v>1.643</v>
      </c>
    </row>
    <row r="5906">
      <c r="A5906" s="535" t="n">
        <v>39804</v>
      </c>
      <c r="B5906" s="534" t="n">
        <v>7.396</v>
      </c>
      <c r="C5906" s="534" t="n">
        <v>14622.39</v>
      </c>
      <c r="E5906" s="535" t="n">
        <v>43622</v>
      </c>
      <c r="F5906" s="534" t="n">
        <v>1.67</v>
      </c>
    </row>
    <row r="5907">
      <c r="A5907" s="535" t="n">
        <v>39805</v>
      </c>
      <c r="B5907" s="534" t="n">
        <v>7.256</v>
      </c>
      <c r="C5907" s="534" t="n">
        <v>14220.79</v>
      </c>
      <c r="E5907" s="535" t="n">
        <v>43623</v>
      </c>
      <c r="F5907" s="534" t="n">
        <v>1.67</v>
      </c>
    </row>
    <row r="5908">
      <c r="A5908" s="535" t="n">
        <v>39806</v>
      </c>
      <c r="B5908" s="534" t="n">
        <v>7.544</v>
      </c>
      <c r="C5908" s="534" t="n">
        <v>14184.14</v>
      </c>
      <c r="E5908" s="535" t="n">
        <v>43626</v>
      </c>
      <c r="F5908" s="534" t="n">
        <v>1.721</v>
      </c>
    </row>
    <row r="5909">
      <c r="A5909" s="535" t="n">
        <v>39807</v>
      </c>
      <c r="B5909" s="534" t="n">
        <v>7.544</v>
      </c>
      <c r="C5909" s="534" t="n">
        <v>14184.14</v>
      </c>
      <c r="E5909" s="535" t="n">
        <v>43627</v>
      </c>
      <c r="F5909" s="534" t="n">
        <v>1.764</v>
      </c>
    </row>
    <row r="5910">
      <c r="A5910" s="535" t="n">
        <v>39808</v>
      </c>
      <c r="B5910" s="534" t="n">
        <v>7.544</v>
      </c>
      <c r="C5910" s="534" t="n">
        <v>14184.14</v>
      </c>
      <c r="E5910" s="535" t="n">
        <v>43628</v>
      </c>
      <c r="F5910" s="534" t="n">
        <v>1.732</v>
      </c>
    </row>
    <row r="5911">
      <c r="A5911" s="535" t="n">
        <v>39811</v>
      </c>
      <c r="B5911" s="534" t="n">
        <v>7.492</v>
      </c>
      <c r="C5911" s="534" t="n">
        <v>14328.48</v>
      </c>
      <c r="E5911" s="535" t="n">
        <v>43629</v>
      </c>
      <c r="F5911" s="534" t="n">
        <v>1.674</v>
      </c>
    </row>
    <row r="5912">
      <c r="A5912" s="535" t="n">
        <v>39812</v>
      </c>
      <c r="B5912" s="534" t="n">
        <v>7.431</v>
      </c>
      <c r="C5912" s="534" t="n">
        <v>14235.5</v>
      </c>
      <c r="E5912" s="535" t="n">
        <v>43630</v>
      </c>
      <c r="F5912" s="534" t="n">
        <v>1.619</v>
      </c>
    </row>
    <row r="5913">
      <c r="A5913" s="535" t="n">
        <v>39813</v>
      </c>
      <c r="B5913" s="534" t="n">
        <v>7.596</v>
      </c>
      <c r="C5913" s="534" t="n">
        <v>14387.48</v>
      </c>
      <c r="E5913" s="535" t="n">
        <v>43633</v>
      </c>
      <c r="F5913" s="534" t="n">
        <v>1.642</v>
      </c>
    </row>
    <row r="5914">
      <c r="A5914" s="535" t="n">
        <v>39814</v>
      </c>
      <c r="B5914" s="534" t="n">
        <v>7.596</v>
      </c>
      <c r="C5914" s="534" t="n">
        <v>14387.48</v>
      </c>
      <c r="E5914" s="535" t="n">
        <v>43634</v>
      </c>
      <c r="F5914" s="534" t="n">
        <v>1.599</v>
      </c>
    </row>
    <row r="5915">
      <c r="A5915" s="535" t="n">
        <v>39815</v>
      </c>
      <c r="B5915" s="534" t="n">
        <v>7.762</v>
      </c>
      <c r="C5915" s="534" t="n">
        <v>15042.81</v>
      </c>
      <c r="E5915" s="535" t="n">
        <v>43635</v>
      </c>
      <c r="F5915" s="534" t="n">
        <v>1.6</v>
      </c>
    </row>
    <row r="5916">
      <c r="A5916" s="535" t="n">
        <v>39818</v>
      </c>
      <c r="B5916" s="534" t="n">
        <v>8.048999999999999</v>
      </c>
      <c r="C5916" s="534" t="n">
        <v>15563.31</v>
      </c>
      <c r="E5916" s="535" t="n">
        <v>43636</v>
      </c>
      <c r="F5916" s="534" t="n">
        <v>1.558</v>
      </c>
    </row>
    <row r="5917">
      <c r="A5917" s="535" t="n">
        <v>39819</v>
      </c>
      <c r="B5917" s="534" t="n">
        <v>8.441000000000001</v>
      </c>
      <c r="C5917" s="534" t="n">
        <v>15509.51</v>
      </c>
      <c r="E5917" s="535" t="n">
        <v>43637</v>
      </c>
      <c r="F5917" s="534" t="n">
        <v>1.585</v>
      </c>
    </row>
    <row r="5918">
      <c r="A5918" s="535" t="n">
        <v>39820</v>
      </c>
      <c r="B5918" s="534" t="n">
        <v>8.458</v>
      </c>
      <c r="C5918" s="534" t="n">
        <v>14987.46</v>
      </c>
      <c r="E5918" s="535" t="n">
        <v>43640</v>
      </c>
      <c r="F5918" s="534" t="n">
        <v>1.635</v>
      </c>
    </row>
    <row r="5919">
      <c r="A5919" s="535" t="n">
        <v>39821</v>
      </c>
      <c r="B5919" s="534" t="n">
        <v>7.814</v>
      </c>
      <c r="C5919" s="534" t="n">
        <v>14415.91</v>
      </c>
      <c r="E5919" s="535" t="n">
        <v>43641</v>
      </c>
      <c r="F5919" s="534" t="n">
        <v>1.635</v>
      </c>
    </row>
    <row r="5920">
      <c r="A5920" s="535" t="n">
        <v>39822</v>
      </c>
      <c r="B5920" s="534" t="n">
        <v>7.753</v>
      </c>
      <c r="C5920" s="534" t="n">
        <v>14377.44</v>
      </c>
      <c r="E5920" s="535" t="n">
        <v>43642</v>
      </c>
      <c r="F5920" s="534" t="n">
        <v>1.655</v>
      </c>
    </row>
    <row r="5921">
      <c r="A5921" s="535" t="n">
        <v>39825</v>
      </c>
      <c r="B5921" s="534" t="n">
        <v>7.648</v>
      </c>
      <c r="C5921" s="534" t="n">
        <v>13971</v>
      </c>
      <c r="E5921" s="535" t="n">
        <v>43643</v>
      </c>
      <c r="F5921" s="534" t="n">
        <v>1.692</v>
      </c>
    </row>
    <row r="5922">
      <c r="A5922" s="535" t="n">
        <v>39826</v>
      </c>
      <c r="B5922" s="534" t="n">
        <v>7.448</v>
      </c>
      <c r="C5922" s="534" t="n">
        <v>13668.05</v>
      </c>
      <c r="E5922" s="535" t="n">
        <v>43644</v>
      </c>
      <c r="F5922" s="534" t="n">
        <v>1.684</v>
      </c>
    </row>
    <row r="5923">
      <c r="A5923" s="535" t="n">
        <v>39827</v>
      </c>
      <c r="B5923" s="534" t="n">
        <v>7.483</v>
      </c>
      <c r="C5923" s="534" t="n">
        <v>13704.61</v>
      </c>
      <c r="E5923" s="535" t="n">
        <v>43647</v>
      </c>
      <c r="F5923" s="534" t="n">
        <v>1.684</v>
      </c>
    </row>
    <row r="5924">
      <c r="A5924" s="535" t="n">
        <v>39828</v>
      </c>
      <c r="B5924" s="534" t="n">
        <v>7.3</v>
      </c>
      <c r="C5924" s="534" t="n">
        <v>13242.96</v>
      </c>
      <c r="E5924" s="535" t="n">
        <v>43648</v>
      </c>
      <c r="F5924" s="534" t="n">
        <v>1.708</v>
      </c>
    </row>
    <row r="5925">
      <c r="A5925" s="535" t="n">
        <v>39829</v>
      </c>
      <c r="B5925" s="534" t="n">
        <v>7.204</v>
      </c>
      <c r="C5925" s="534" t="n">
        <v>13255.51</v>
      </c>
      <c r="E5925" s="535" t="n">
        <v>43649</v>
      </c>
      <c r="F5925" s="534" t="n">
        <v>1.64</v>
      </c>
    </row>
    <row r="5926">
      <c r="A5926" s="535" t="n">
        <v>39832</v>
      </c>
      <c r="B5926" s="534" t="n">
        <v>7.178</v>
      </c>
      <c r="C5926" s="534" t="n">
        <v>13339.99</v>
      </c>
      <c r="E5926" s="535" t="n">
        <v>43650</v>
      </c>
      <c r="F5926" s="534" t="n">
        <v>1.64</v>
      </c>
    </row>
    <row r="5927">
      <c r="A5927" s="535" t="n">
        <v>39833</v>
      </c>
      <c r="B5927" s="534" t="n">
        <v>7.265</v>
      </c>
      <c r="C5927" s="534" t="n">
        <v>12959.77</v>
      </c>
      <c r="E5927" s="535" t="n">
        <v>43651</v>
      </c>
      <c r="F5927" s="534" t="n">
        <v>1.626</v>
      </c>
    </row>
    <row r="5928">
      <c r="A5928" s="535" t="n">
        <v>39834</v>
      </c>
      <c r="B5928" s="534" t="n">
        <v>7.396</v>
      </c>
      <c r="C5928" s="534" t="n">
        <v>12583.63</v>
      </c>
      <c r="E5928" s="535" t="n">
        <v>43654</v>
      </c>
      <c r="F5928" s="534" t="n">
        <v>1.655</v>
      </c>
    </row>
    <row r="5929">
      <c r="A5929" s="535" t="n">
        <v>39835</v>
      </c>
      <c r="B5929" s="534" t="n">
        <v>7.553</v>
      </c>
      <c r="C5929" s="534" t="n">
        <v>12657.99</v>
      </c>
      <c r="E5929" s="535" t="n">
        <v>43655</v>
      </c>
      <c r="F5929" s="534" t="n">
        <v>1.668</v>
      </c>
    </row>
    <row r="5930">
      <c r="A5930" s="535" t="n">
        <v>39836</v>
      </c>
      <c r="B5930" s="534" t="n">
        <v>7.404</v>
      </c>
      <c r="C5930" s="534" t="n">
        <v>12578.6</v>
      </c>
      <c r="E5930" s="535" t="n">
        <v>43656</v>
      </c>
      <c r="F5930" s="534" t="n">
        <v>1.673</v>
      </c>
    </row>
    <row r="5931">
      <c r="A5931" s="535" t="n">
        <v>39839</v>
      </c>
      <c r="B5931" s="534" t="n">
        <v>7.404</v>
      </c>
      <c r="C5931" s="534" t="n">
        <v>12578.6</v>
      </c>
      <c r="E5931" s="535" t="n">
        <v>43657</v>
      </c>
      <c r="F5931" s="534" t="n">
        <v>1.627</v>
      </c>
    </row>
    <row r="5932">
      <c r="A5932" s="535" t="n">
        <v>39840</v>
      </c>
      <c r="B5932" s="534" t="n">
        <v>7.404</v>
      </c>
      <c r="C5932" s="534" t="n">
        <v>12578.6</v>
      </c>
      <c r="E5932" s="535" t="n">
        <v>43658</v>
      </c>
      <c r="F5932" s="534" t="n">
        <v>1.651</v>
      </c>
    </row>
    <row r="5933">
      <c r="A5933" s="535" t="n">
        <v>39841</v>
      </c>
      <c r="B5933" s="534" t="n">
        <v>7.404</v>
      </c>
      <c r="C5933" s="534" t="n">
        <v>12578.6</v>
      </c>
      <c r="E5933" s="535" t="n">
        <v>43661</v>
      </c>
      <c r="F5933" s="534" t="n">
        <v>1.633</v>
      </c>
    </row>
    <row r="5934">
      <c r="A5934" s="535" t="n">
        <v>39842</v>
      </c>
      <c r="B5934" s="534" t="n">
        <v>7.709</v>
      </c>
      <c r="C5934" s="534" t="n">
        <v>13154.43</v>
      </c>
      <c r="E5934" s="535" t="n">
        <v>43662</v>
      </c>
      <c r="F5934" s="534" t="n">
        <v>1.616</v>
      </c>
    </row>
    <row r="5935">
      <c r="A5935" s="535" t="n">
        <v>39843</v>
      </c>
      <c r="B5935" s="534" t="n">
        <v>7.962</v>
      </c>
      <c r="C5935" s="534" t="n">
        <v>13278.21</v>
      </c>
      <c r="E5935" s="535" t="n">
        <v>43663</v>
      </c>
      <c r="F5935" s="534" t="n">
        <v>1.623</v>
      </c>
    </row>
    <row r="5936">
      <c r="A5936" s="535" t="n">
        <v>39846</v>
      </c>
      <c r="B5936" s="534" t="n">
        <v>7.526</v>
      </c>
      <c r="C5936" s="534" t="n">
        <v>12861.49</v>
      </c>
      <c r="E5936" s="535" t="n">
        <v>43664</v>
      </c>
      <c r="F5936" s="534" t="n">
        <v>1.575</v>
      </c>
    </row>
    <row r="5937">
      <c r="A5937" s="535" t="n">
        <v>39847</v>
      </c>
      <c r="B5937" s="534" t="n">
        <v>7.474</v>
      </c>
      <c r="C5937" s="534" t="n">
        <v>12776.89</v>
      </c>
      <c r="E5937" s="535" t="n">
        <v>43665</v>
      </c>
      <c r="F5937" s="534" t="n">
        <v>1.559</v>
      </c>
    </row>
    <row r="5938">
      <c r="A5938" s="535" t="n">
        <v>39848</v>
      </c>
      <c r="B5938" s="534" t="n">
        <v>7.352</v>
      </c>
      <c r="C5938" s="534" t="n">
        <v>13063.89</v>
      </c>
      <c r="E5938" s="535" t="n">
        <v>43668</v>
      </c>
      <c r="F5938" s="534" t="n">
        <v>1.579</v>
      </c>
    </row>
    <row r="5939">
      <c r="A5939" s="535" t="n">
        <v>39849</v>
      </c>
      <c r="B5939" s="534" t="n">
        <v>7.239</v>
      </c>
      <c r="C5939" s="534" t="n">
        <v>13178.9</v>
      </c>
      <c r="E5939" s="535" t="n">
        <v>43669</v>
      </c>
      <c r="F5939" s="534" t="n">
        <v>1.587</v>
      </c>
    </row>
    <row r="5940">
      <c r="A5940" s="535" t="n">
        <v>39850</v>
      </c>
      <c r="B5940" s="534" t="n">
        <v>7.404</v>
      </c>
      <c r="C5940" s="534" t="n">
        <v>13655.04</v>
      </c>
      <c r="E5940" s="535" t="n">
        <v>43670</v>
      </c>
      <c r="F5940" s="534" t="n">
        <v>1.605</v>
      </c>
    </row>
    <row r="5941">
      <c r="A5941" s="535" t="n">
        <v>39853</v>
      </c>
      <c r="B5941" s="534" t="n">
        <v>7.378</v>
      </c>
      <c r="C5941" s="534" t="n">
        <v>13769.06</v>
      </c>
      <c r="E5941" s="535" t="n">
        <v>43671</v>
      </c>
      <c r="F5941" s="534" t="n">
        <v>1.592</v>
      </c>
    </row>
    <row r="5942">
      <c r="A5942" s="535" t="n">
        <v>39854</v>
      </c>
      <c r="B5942" s="534" t="n">
        <v>7.448</v>
      </c>
      <c r="C5942" s="534" t="n">
        <v>13880.64</v>
      </c>
      <c r="E5942" s="535" t="n">
        <v>43672</v>
      </c>
      <c r="F5942" s="534" t="n">
        <v>1.635</v>
      </c>
    </row>
    <row r="5943">
      <c r="A5943" s="535" t="n">
        <v>39855</v>
      </c>
      <c r="B5943" s="534" t="n">
        <v>7.448</v>
      </c>
      <c r="C5943" s="534" t="n">
        <v>13539.21</v>
      </c>
      <c r="E5943" s="535" t="n">
        <v>43675</v>
      </c>
      <c r="F5943" s="534" t="n">
        <v>1.658</v>
      </c>
    </row>
    <row r="5944">
      <c r="A5944" s="535" t="n">
        <v>39856</v>
      </c>
      <c r="B5944" s="534" t="n">
        <v>7.361</v>
      </c>
      <c r="C5944" s="534" t="n">
        <v>13228.3</v>
      </c>
      <c r="E5944" s="535" t="n">
        <v>43676</v>
      </c>
      <c r="F5944" s="534" t="n">
        <v>1.638</v>
      </c>
    </row>
    <row r="5945">
      <c r="A5945" s="535" t="n">
        <v>39857</v>
      </c>
      <c r="B5945" s="534" t="n">
        <v>7.5</v>
      </c>
      <c r="C5945" s="534" t="n">
        <v>13554.67</v>
      </c>
      <c r="E5945" s="535" t="n">
        <v>43677</v>
      </c>
      <c r="F5945" s="534" t="n">
        <v>1.637</v>
      </c>
    </row>
    <row r="5946">
      <c r="A5946" s="535" t="n">
        <v>39860</v>
      </c>
      <c r="B5946" s="534" t="n">
        <v>7.387</v>
      </c>
      <c r="C5946" s="534" t="n">
        <v>13455.88</v>
      </c>
      <c r="E5946" s="535" t="n">
        <v>43678</v>
      </c>
      <c r="F5946" s="534" t="n">
        <v>1.648</v>
      </c>
    </row>
    <row r="5947">
      <c r="A5947" s="535" t="n">
        <v>39861</v>
      </c>
      <c r="B5947" s="534" t="n">
        <v>7.108</v>
      </c>
      <c r="C5947" s="534" t="n">
        <v>12945.4</v>
      </c>
      <c r="E5947" s="535" t="n">
        <v>43679</v>
      </c>
      <c r="F5947" s="534" t="n">
        <v>1.528</v>
      </c>
    </row>
    <row r="5948">
      <c r="A5948" s="535" t="n">
        <v>39862</v>
      </c>
      <c r="B5948" s="534" t="n">
        <v>7.1</v>
      </c>
      <c r="C5948" s="534" t="n">
        <v>13016</v>
      </c>
      <c r="E5948" s="535" t="n">
        <v>43682</v>
      </c>
      <c r="F5948" s="534" t="n">
        <v>1.467</v>
      </c>
    </row>
    <row r="5949">
      <c r="A5949" s="535" t="n">
        <v>39863</v>
      </c>
      <c r="B5949" s="534" t="n">
        <v>7.152</v>
      </c>
      <c r="C5949" s="534" t="n">
        <v>13023.36</v>
      </c>
      <c r="E5949" s="535" t="n">
        <v>43683</v>
      </c>
      <c r="F5949" s="534" t="n">
        <v>1.422</v>
      </c>
    </row>
    <row r="5950">
      <c r="A5950" s="535" t="n">
        <v>39864</v>
      </c>
      <c r="B5950" s="534" t="n">
        <v>7.056</v>
      </c>
      <c r="C5950" s="534" t="n">
        <v>12699.17</v>
      </c>
      <c r="E5950" s="535" t="n">
        <v>43684</v>
      </c>
      <c r="F5950" s="534" t="n">
        <v>1.335</v>
      </c>
    </row>
    <row r="5951">
      <c r="A5951" s="535" t="n">
        <v>39867</v>
      </c>
      <c r="B5951" s="534" t="n">
        <v>7.544</v>
      </c>
      <c r="C5951" s="534" t="n">
        <v>13175.1</v>
      </c>
      <c r="E5951" s="535" t="n">
        <v>43685</v>
      </c>
      <c r="F5951" s="534" t="n">
        <v>1.273</v>
      </c>
    </row>
    <row r="5952">
      <c r="A5952" s="535" t="n">
        <v>39868</v>
      </c>
      <c r="B5952" s="534" t="n">
        <v>7.073</v>
      </c>
      <c r="C5952" s="534" t="n">
        <v>12798.52</v>
      </c>
      <c r="E5952" s="535" t="n">
        <v>43686</v>
      </c>
      <c r="F5952" s="534" t="n">
        <v>1.221</v>
      </c>
    </row>
    <row r="5953">
      <c r="A5953" s="535" t="n">
        <v>39869</v>
      </c>
      <c r="B5953" s="534" t="n">
        <v>7.361</v>
      </c>
      <c r="C5953" s="534" t="n">
        <v>13005.08</v>
      </c>
      <c r="E5953" s="535" t="n">
        <v>43689</v>
      </c>
      <c r="F5953" s="534" t="n">
        <v>1.223</v>
      </c>
    </row>
    <row r="5954">
      <c r="A5954" s="535" t="n">
        <v>39870</v>
      </c>
      <c r="B5954" s="534" t="n">
        <v>7.326</v>
      </c>
      <c r="C5954" s="534" t="n">
        <v>12894.94</v>
      </c>
      <c r="E5954" s="535" t="n">
        <v>43690</v>
      </c>
      <c r="F5954" s="534" t="n">
        <v>1.2</v>
      </c>
    </row>
    <row r="5955">
      <c r="A5955" s="535" t="n">
        <v>39871</v>
      </c>
      <c r="B5955" s="534" t="n">
        <v>7.073</v>
      </c>
      <c r="C5955" s="534" t="n">
        <v>12811.57</v>
      </c>
      <c r="E5955" s="535" t="n">
        <v>43691</v>
      </c>
      <c r="F5955" s="534" t="n">
        <v>1.198</v>
      </c>
    </row>
    <row r="5956">
      <c r="A5956" s="535" t="n">
        <v>39874</v>
      </c>
      <c r="B5956" s="534" t="n">
        <v>6.969</v>
      </c>
      <c r="C5956" s="534" t="n">
        <v>12317.46</v>
      </c>
      <c r="E5956" s="535" t="n">
        <v>43692</v>
      </c>
      <c r="F5956" s="534" t="n">
        <v>1.104</v>
      </c>
    </row>
    <row r="5957">
      <c r="A5957" s="535" t="n">
        <v>39875</v>
      </c>
      <c r="B5957" s="534" t="n">
        <v>6.908</v>
      </c>
      <c r="C5957" s="534" t="n">
        <v>12033.88</v>
      </c>
      <c r="E5957" s="535" t="n">
        <v>43693</v>
      </c>
      <c r="F5957" s="534" t="n">
        <v>1.067</v>
      </c>
    </row>
    <row r="5958">
      <c r="A5958" s="535" t="n">
        <v>39876</v>
      </c>
      <c r="B5958" s="534" t="n">
        <v>6.864</v>
      </c>
      <c r="C5958" s="534" t="n">
        <v>12331.15</v>
      </c>
      <c r="E5958" s="535" t="n">
        <v>43696</v>
      </c>
      <c r="F5958" s="534" t="n">
        <v>1.065</v>
      </c>
    </row>
    <row r="5959">
      <c r="A5959" s="535" t="n">
        <v>39877</v>
      </c>
      <c r="B5959" s="534" t="n">
        <v>6.647</v>
      </c>
      <c r="C5959" s="534" t="n">
        <v>12211.24</v>
      </c>
      <c r="E5959" s="535" t="n">
        <v>43697</v>
      </c>
      <c r="F5959" s="534" t="n">
        <v>1.065</v>
      </c>
    </row>
    <row r="5960">
      <c r="A5960" s="535" t="n">
        <v>39878</v>
      </c>
      <c r="B5960" s="534" t="n">
        <v>6.194</v>
      </c>
      <c r="C5960" s="534" t="n">
        <v>11921.52</v>
      </c>
      <c r="E5960" s="535" t="n">
        <v>43698</v>
      </c>
      <c r="F5960" s="534" t="n">
        <v>1.103</v>
      </c>
    </row>
    <row r="5961">
      <c r="A5961" s="535" t="n">
        <v>39881</v>
      </c>
      <c r="B5961" s="534" t="n">
        <v>6.08</v>
      </c>
      <c r="C5961" s="534" t="n">
        <v>11344.58</v>
      </c>
      <c r="E5961" s="535" t="n">
        <v>43699</v>
      </c>
      <c r="F5961" s="534" t="n">
        <v>1.102</v>
      </c>
    </row>
    <row r="5962">
      <c r="A5962" s="535" t="n">
        <v>39882</v>
      </c>
      <c r="B5962" s="534" t="n">
        <v>6.098</v>
      </c>
      <c r="C5962" s="534" t="n">
        <v>11694.05</v>
      </c>
      <c r="E5962" s="535" t="n">
        <v>43700</v>
      </c>
      <c r="F5962" s="534" t="n">
        <v>1.172</v>
      </c>
    </row>
    <row r="5963">
      <c r="A5963" s="535" t="n">
        <v>39883</v>
      </c>
      <c r="B5963" s="534" t="n">
        <v>6.455</v>
      </c>
      <c r="C5963" s="534" t="n">
        <v>11930.66</v>
      </c>
      <c r="E5963" s="535" t="n">
        <v>43703</v>
      </c>
      <c r="F5963" s="534" t="n">
        <v>1.075</v>
      </c>
    </row>
    <row r="5964">
      <c r="A5964" s="535" t="n">
        <v>39884</v>
      </c>
      <c r="B5964" s="534" t="n">
        <v>6.481</v>
      </c>
      <c r="C5964" s="534" t="n">
        <v>12001.53</v>
      </c>
      <c r="E5964" s="535" t="n">
        <v>43704</v>
      </c>
      <c r="F5964" s="534" t="n">
        <v>1.058</v>
      </c>
    </row>
    <row r="5965">
      <c r="A5965" s="535" t="n">
        <v>39885</v>
      </c>
      <c r="B5965" s="534" t="n">
        <v>6.411</v>
      </c>
      <c r="C5965" s="534" t="n">
        <v>12525.8</v>
      </c>
      <c r="E5965" s="535" t="n">
        <v>43705</v>
      </c>
      <c r="F5965" s="534" t="n">
        <v>1.046</v>
      </c>
    </row>
    <row r="5966">
      <c r="A5966" s="535" t="n">
        <v>39888</v>
      </c>
      <c r="B5966" s="534" t="n">
        <v>6.455</v>
      </c>
      <c r="C5966" s="534" t="n">
        <v>12976.71</v>
      </c>
      <c r="E5966" s="535" t="n">
        <v>43706</v>
      </c>
      <c r="F5966" s="534" t="n">
        <v>1.08</v>
      </c>
    </row>
    <row r="5967">
      <c r="A5967" s="535" t="n">
        <v>39889</v>
      </c>
      <c r="B5967" s="534" t="n">
        <v>6.612</v>
      </c>
      <c r="C5967" s="534" t="n">
        <v>12878.09</v>
      </c>
      <c r="E5967" s="535" t="n">
        <v>43707</v>
      </c>
      <c r="F5967" s="534" t="n">
        <v>1.13</v>
      </c>
    </row>
    <row r="5968">
      <c r="A5968" s="535" t="n">
        <v>39890</v>
      </c>
      <c r="B5968" s="534" t="n">
        <v>6.62</v>
      </c>
      <c r="C5968" s="534" t="n">
        <v>13117.17</v>
      </c>
      <c r="E5968" s="535" t="n">
        <v>43710</v>
      </c>
      <c r="F5968" s="534" t="n">
        <v>1.121</v>
      </c>
    </row>
    <row r="5969">
      <c r="A5969" s="535" t="n">
        <v>39891</v>
      </c>
      <c r="B5969" s="534" t="n">
        <v>6.708</v>
      </c>
      <c r="C5969" s="534" t="n">
        <v>13130.92</v>
      </c>
      <c r="E5969" s="535" t="n">
        <v>43711</v>
      </c>
      <c r="F5969" s="534" t="n">
        <v>1.092</v>
      </c>
    </row>
    <row r="5970">
      <c r="A5970" s="535" t="n">
        <v>39892</v>
      </c>
      <c r="B5970" s="534" t="n">
        <v>6.725</v>
      </c>
      <c r="C5970" s="534" t="n">
        <v>12833.51</v>
      </c>
      <c r="E5970" s="535" t="n">
        <v>43712</v>
      </c>
      <c r="F5970" s="534" t="n">
        <v>1.043</v>
      </c>
    </row>
    <row r="5971">
      <c r="A5971" s="535" t="n">
        <v>39895</v>
      </c>
      <c r="B5971" s="534" t="n">
        <v>7.152</v>
      </c>
      <c r="C5971" s="534" t="n">
        <v>13447.42</v>
      </c>
      <c r="E5971" s="535" t="n">
        <v>43713</v>
      </c>
      <c r="F5971" s="534" t="n">
        <v>1.061</v>
      </c>
    </row>
    <row r="5972">
      <c r="A5972" s="535" t="n">
        <v>39896</v>
      </c>
      <c r="B5972" s="534" t="n">
        <v>7.352</v>
      </c>
      <c r="C5972" s="534" t="n">
        <v>13910.34</v>
      </c>
      <c r="E5972" s="535" t="n">
        <v>43714</v>
      </c>
      <c r="F5972" s="534" t="n">
        <v>1.114</v>
      </c>
    </row>
    <row r="5973">
      <c r="A5973" s="535" t="n">
        <v>39897</v>
      </c>
      <c r="B5973" s="534" t="n">
        <v>7.248</v>
      </c>
      <c r="C5973" s="534" t="n">
        <v>13622.11</v>
      </c>
      <c r="E5973" s="535" t="n">
        <v>43717</v>
      </c>
      <c r="F5973" s="534" t="n">
        <v>1.136</v>
      </c>
    </row>
    <row r="5974">
      <c r="A5974" s="535" t="n">
        <v>39898</v>
      </c>
      <c r="B5974" s="534" t="n">
        <v>7.291</v>
      </c>
      <c r="C5974" s="534" t="n">
        <v>14108.98</v>
      </c>
      <c r="E5974" s="535" t="n">
        <v>43718</v>
      </c>
      <c r="F5974" s="534" t="n">
        <v>1.179</v>
      </c>
    </row>
    <row r="5975">
      <c r="A5975" s="535" t="n">
        <v>39899</v>
      </c>
      <c r="B5975" s="534" t="n">
        <v>7.387</v>
      </c>
      <c r="C5975" s="534" t="n">
        <v>14119.5</v>
      </c>
      <c r="E5975" s="535" t="n">
        <v>43719</v>
      </c>
      <c r="F5975" s="534" t="n">
        <v>1.256</v>
      </c>
    </row>
    <row r="5976">
      <c r="A5976" s="535" t="n">
        <v>39902</v>
      </c>
      <c r="B5976" s="534" t="n">
        <v>7.161</v>
      </c>
      <c r="C5976" s="534" t="n">
        <v>13456.33</v>
      </c>
      <c r="E5976" s="535" t="n">
        <v>43720</v>
      </c>
      <c r="F5976" s="534" t="n">
        <v>1.251</v>
      </c>
    </row>
    <row r="5977">
      <c r="A5977" s="535" t="n">
        <v>39903</v>
      </c>
      <c r="B5977" s="534" t="n">
        <v>6.708</v>
      </c>
      <c r="C5977" s="534" t="n">
        <v>13576.02</v>
      </c>
      <c r="E5977" s="535" t="n">
        <v>43721</v>
      </c>
      <c r="F5977" s="534" t="n">
        <v>1.288</v>
      </c>
    </row>
    <row r="5978">
      <c r="A5978" s="535" t="n">
        <v>39904</v>
      </c>
      <c r="B5978" s="534" t="n">
        <v>6.681</v>
      </c>
      <c r="C5978" s="534" t="n">
        <v>13519.54</v>
      </c>
      <c r="E5978" s="535" t="n">
        <v>43724</v>
      </c>
      <c r="F5978" s="534" t="n">
        <v>1.344</v>
      </c>
    </row>
    <row r="5979">
      <c r="A5979" s="535" t="n">
        <v>39905</v>
      </c>
      <c r="B5979" s="534" t="n">
        <v>7.1</v>
      </c>
      <c r="C5979" s="534" t="n">
        <v>14521.97</v>
      </c>
      <c r="E5979" s="535" t="n">
        <v>43725</v>
      </c>
      <c r="F5979" s="534" t="n">
        <v>1.348</v>
      </c>
    </row>
    <row r="5980">
      <c r="A5980" s="535" t="n">
        <v>39906</v>
      </c>
      <c r="B5980" s="534" t="n">
        <v>7.587</v>
      </c>
      <c r="C5980" s="534" t="n">
        <v>14545.69</v>
      </c>
      <c r="E5980" s="535" t="n">
        <v>43726</v>
      </c>
      <c r="F5980" s="534" t="n">
        <v>1.312</v>
      </c>
    </row>
    <row r="5981">
      <c r="A5981" s="535" t="n">
        <v>39909</v>
      </c>
      <c r="B5981" s="534" t="n">
        <v>8.013999999999999</v>
      </c>
      <c r="C5981" s="534" t="n">
        <v>14998.04</v>
      </c>
      <c r="E5981" s="535" t="n">
        <v>43727</v>
      </c>
      <c r="F5981" s="534" t="n">
        <v>1.304</v>
      </c>
    </row>
    <row r="5982">
      <c r="A5982" s="535" t="n">
        <v>39910</v>
      </c>
      <c r="B5982" s="534" t="n">
        <v>8.093</v>
      </c>
      <c r="C5982" s="534" t="n">
        <v>14928.97</v>
      </c>
      <c r="E5982" s="535" t="n">
        <v>43728</v>
      </c>
      <c r="F5982" s="534" t="n">
        <v>1.288</v>
      </c>
    </row>
    <row r="5983">
      <c r="A5983" s="535" t="n">
        <v>39911</v>
      </c>
      <c r="B5983" s="534" t="n">
        <v>7.918</v>
      </c>
      <c r="C5983" s="534" t="n">
        <v>14474.86</v>
      </c>
      <c r="E5983" s="535" t="n">
        <v>43731</v>
      </c>
      <c r="F5983" s="534" t="n">
        <v>1.244</v>
      </c>
    </row>
    <row r="5984">
      <c r="A5984" s="535" t="n">
        <v>39912</v>
      </c>
      <c r="B5984" s="534" t="n">
        <v>8.066000000000001</v>
      </c>
      <c r="C5984" s="534" t="n">
        <v>14901.41</v>
      </c>
      <c r="E5984" s="535" t="n">
        <v>43732</v>
      </c>
      <c r="F5984" s="534" t="n">
        <v>1.242</v>
      </c>
    </row>
    <row r="5985">
      <c r="A5985" s="535" t="n">
        <v>39913</v>
      </c>
      <c r="B5985" s="534" t="n">
        <v>8.066000000000001</v>
      </c>
      <c r="C5985" s="534" t="n">
        <v>14901.41</v>
      </c>
      <c r="E5985" s="535" t="n">
        <v>43733</v>
      </c>
      <c r="F5985" s="534" t="n">
        <v>1.19</v>
      </c>
    </row>
    <row r="5986">
      <c r="A5986" s="535" t="n">
        <v>39916</v>
      </c>
      <c r="B5986" s="534" t="n">
        <v>8.066000000000001</v>
      </c>
      <c r="C5986" s="534" t="n">
        <v>14901.41</v>
      </c>
      <c r="E5986" s="535" t="n">
        <v>43734</v>
      </c>
      <c r="F5986" s="534" t="n">
        <v>1.242</v>
      </c>
    </row>
    <row r="5987">
      <c r="A5987" s="535" t="n">
        <v>39917</v>
      </c>
      <c r="B5987" s="534" t="n">
        <v>8.241</v>
      </c>
      <c r="C5987" s="534" t="n">
        <v>15580.16</v>
      </c>
      <c r="E5987" s="535" t="n">
        <v>43735</v>
      </c>
      <c r="F5987" s="534" t="n">
        <v>1.252</v>
      </c>
    </row>
    <row r="5988">
      <c r="A5988" s="535" t="n">
        <v>39918</v>
      </c>
      <c r="B5988" s="534" t="n">
        <v>8.398</v>
      </c>
      <c r="C5988" s="534" t="n">
        <v>15669.62</v>
      </c>
      <c r="E5988" s="535" t="n">
        <v>43738</v>
      </c>
      <c r="F5988" s="534" t="n">
        <v>1.241</v>
      </c>
    </row>
    <row r="5989">
      <c r="A5989" s="535" t="n">
        <v>39919</v>
      </c>
      <c r="B5989" s="534" t="n">
        <v>8.345000000000001</v>
      </c>
      <c r="C5989" s="534" t="n">
        <v>15582.99</v>
      </c>
      <c r="E5989" s="535" t="n">
        <v>43739</v>
      </c>
      <c r="F5989" s="534" t="n">
        <v>1.241</v>
      </c>
    </row>
    <row r="5990">
      <c r="A5990" s="535" t="n">
        <v>39920</v>
      </c>
      <c r="B5990" s="534" t="n">
        <v>8.058</v>
      </c>
      <c r="C5990" s="534" t="n">
        <v>15601.27</v>
      </c>
      <c r="E5990" s="535" t="n">
        <v>43740</v>
      </c>
      <c r="F5990" s="534" t="n">
        <v>1.246</v>
      </c>
    </row>
    <row r="5991">
      <c r="A5991" s="535" t="n">
        <v>39923</v>
      </c>
      <c r="B5991" s="534" t="n">
        <v>7.91</v>
      </c>
      <c r="C5991" s="534" t="n">
        <v>15750.91</v>
      </c>
      <c r="E5991" s="535" t="n">
        <v>43741</v>
      </c>
      <c r="F5991" s="534" t="n">
        <v>1.206</v>
      </c>
    </row>
    <row r="5992">
      <c r="A5992" s="535" t="n">
        <v>39924</v>
      </c>
      <c r="B5992" s="534" t="n">
        <v>7.718</v>
      </c>
      <c r="C5992" s="534" t="n">
        <v>15285.89</v>
      </c>
      <c r="E5992" s="535" t="n">
        <v>43742</v>
      </c>
      <c r="F5992" s="534" t="n">
        <v>1.168</v>
      </c>
    </row>
    <row r="5993">
      <c r="A5993" s="535" t="n">
        <v>39925</v>
      </c>
      <c r="B5993" s="534" t="n">
        <v>7.683</v>
      </c>
      <c r="C5993" s="534" t="n">
        <v>14878.45</v>
      </c>
      <c r="E5993" s="535" t="n">
        <v>43745</v>
      </c>
      <c r="F5993" s="534" t="n">
        <v>1.168</v>
      </c>
    </row>
    <row r="5994">
      <c r="A5994" s="535" t="n">
        <v>39926</v>
      </c>
      <c r="B5994" s="534" t="n">
        <v>8.127000000000001</v>
      </c>
      <c r="C5994" s="534" t="n">
        <v>15214.46</v>
      </c>
      <c r="E5994" s="535" t="n">
        <v>43746</v>
      </c>
      <c r="F5994" s="534" t="n">
        <v>1.301</v>
      </c>
    </row>
    <row r="5995">
      <c r="A5995" s="535" t="n">
        <v>39927</v>
      </c>
      <c r="B5995" s="534" t="n">
        <v>7.971</v>
      </c>
      <c r="C5995" s="534" t="n">
        <v>15258.85</v>
      </c>
      <c r="E5995" s="535" t="n">
        <v>43747</v>
      </c>
      <c r="F5995" s="534" t="n">
        <v>1.296</v>
      </c>
    </row>
    <row r="5996">
      <c r="A5996" s="535" t="n">
        <v>39930</v>
      </c>
      <c r="B5996" s="534" t="n">
        <v>7.335</v>
      </c>
      <c r="C5996" s="534" t="n">
        <v>14840.42</v>
      </c>
      <c r="E5996" s="535" t="n">
        <v>43748</v>
      </c>
      <c r="F5996" s="534" t="n">
        <v>1.336</v>
      </c>
    </row>
    <row r="5997">
      <c r="A5997" s="535" t="n">
        <v>39931</v>
      </c>
      <c r="B5997" s="534" t="n">
        <v>7.265</v>
      </c>
      <c r="C5997" s="534" t="n">
        <v>14555.11</v>
      </c>
      <c r="E5997" s="535" t="n">
        <v>43749</v>
      </c>
      <c r="F5997" s="534" t="n">
        <v>1.395</v>
      </c>
    </row>
    <row r="5998">
      <c r="A5998" s="535" t="n">
        <v>39932</v>
      </c>
      <c r="B5998" s="534" t="n">
        <v>7.674</v>
      </c>
      <c r="C5998" s="534" t="n">
        <v>14956.95</v>
      </c>
      <c r="E5998" s="535" t="n">
        <v>43752</v>
      </c>
      <c r="F5998" s="534" t="n">
        <v>1.429</v>
      </c>
    </row>
    <row r="5999">
      <c r="A5999" s="535" t="n">
        <v>39933</v>
      </c>
      <c r="B5999" s="534" t="n">
        <v>7.84</v>
      </c>
      <c r="C5999" s="534" t="n">
        <v>15520.99</v>
      </c>
      <c r="E5999" s="535" t="n">
        <v>43753</v>
      </c>
      <c r="F5999" s="534" t="n">
        <v>1.415</v>
      </c>
    </row>
    <row r="6000">
      <c r="A6000" s="535" t="n">
        <v>39934</v>
      </c>
      <c r="B6000" s="534" t="n">
        <v>7.84</v>
      </c>
      <c r="C6000" s="534" t="n">
        <v>15520.99</v>
      </c>
      <c r="E6000" s="535" t="n">
        <v>43754</v>
      </c>
      <c r="F6000" s="534" t="n">
        <v>1.457</v>
      </c>
    </row>
    <row r="6001">
      <c r="A6001" s="535" t="n">
        <v>39937</v>
      </c>
      <c r="B6001" s="534" t="n">
        <v>8.694000000000001</v>
      </c>
      <c r="C6001" s="534" t="n">
        <v>16381.05</v>
      </c>
      <c r="E6001" s="535" t="n">
        <v>43755</v>
      </c>
      <c r="F6001" s="534" t="n">
        <v>1.445</v>
      </c>
    </row>
    <row r="6002">
      <c r="A6002" s="535" t="n">
        <v>39938</v>
      </c>
      <c r="B6002" s="534" t="n">
        <v>8.711</v>
      </c>
      <c r="C6002" s="534" t="n">
        <v>16430.08</v>
      </c>
      <c r="E6002" s="535" t="n">
        <v>43756</v>
      </c>
      <c r="F6002" s="534" t="n">
        <v>1.445</v>
      </c>
    </row>
    <row r="6003">
      <c r="A6003" s="535" t="n">
        <v>39939</v>
      </c>
      <c r="B6003" s="534" t="n">
        <v>8.624000000000001</v>
      </c>
      <c r="C6003" s="534" t="n">
        <v>16834.57</v>
      </c>
      <c r="E6003" s="535" t="n">
        <v>43759</v>
      </c>
      <c r="F6003" s="534" t="n">
        <v>1.485</v>
      </c>
    </row>
    <row r="6004">
      <c r="A6004" s="535" t="n">
        <v>39940</v>
      </c>
      <c r="B6004" s="534" t="n">
        <v>8.615</v>
      </c>
      <c r="C6004" s="534" t="n">
        <v>17217.89</v>
      </c>
      <c r="E6004" s="535" t="n">
        <v>43760</v>
      </c>
      <c r="F6004" s="534" t="n">
        <v>1.547</v>
      </c>
    </row>
    <row r="6005">
      <c r="A6005" s="535" t="n">
        <v>39941</v>
      </c>
      <c r="B6005" s="534" t="n">
        <v>8.728999999999999</v>
      </c>
      <c r="C6005" s="534" t="n">
        <v>17389.87</v>
      </c>
      <c r="E6005" s="535" t="n">
        <v>43761</v>
      </c>
      <c r="F6005" s="534" t="n">
        <v>1.519</v>
      </c>
    </row>
    <row r="6006">
      <c r="A6006" s="535" t="n">
        <v>39944</v>
      </c>
      <c r="B6006" s="534" t="n">
        <v>9.407999999999999</v>
      </c>
      <c r="C6006" s="534" t="n">
        <v>17087.95</v>
      </c>
      <c r="E6006" s="535" t="n">
        <v>43762</v>
      </c>
      <c r="F6006" s="534" t="n">
        <v>1.547</v>
      </c>
    </row>
    <row r="6007">
      <c r="A6007" s="535" t="n">
        <v>39945</v>
      </c>
      <c r="B6007" s="534" t="n">
        <v>9.513</v>
      </c>
      <c r="C6007" s="534" t="n">
        <v>17153.64</v>
      </c>
      <c r="E6007" s="535" t="n">
        <v>43763</v>
      </c>
      <c r="F6007" s="534" t="n">
        <v>1.532</v>
      </c>
    </row>
    <row r="6008">
      <c r="A6008" s="535" t="n">
        <v>39946</v>
      </c>
      <c r="B6008" s="534" t="n">
        <v>9.407999999999999</v>
      </c>
      <c r="C6008" s="534" t="n">
        <v>17059.62</v>
      </c>
      <c r="E6008" s="535" t="n">
        <v>43766</v>
      </c>
      <c r="F6008" s="534" t="n">
        <v>1.552</v>
      </c>
    </row>
    <row r="6009">
      <c r="A6009" s="535" t="n">
        <v>39947</v>
      </c>
      <c r="B6009" s="534" t="n">
        <v>8.85</v>
      </c>
      <c r="C6009" s="534" t="n">
        <v>16541.69</v>
      </c>
      <c r="E6009" s="535" t="n">
        <v>43767</v>
      </c>
      <c r="F6009" s="534" t="n">
        <v>1.547</v>
      </c>
    </row>
    <row r="6010">
      <c r="A6010" s="535" t="n">
        <v>39948</v>
      </c>
      <c r="B6010" s="534" t="n">
        <v>8.92</v>
      </c>
      <c r="C6010" s="534" t="n">
        <v>16790.7</v>
      </c>
      <c r="E6010" s="535" t="n">
        <v>43768</v>
      </c>
      <c r="F6010" s="534" t="n">
        <v>1.541</v>
      </c>
    </row>
    <row r="6011">
      <c r="A6011" s="535" t="n">
        <v>39951</v>
      </c>
      <c r="B6011" s="534" t="n">
        <v>8.816000000000001</v>
      </c>
      <c r="C6011" s="534" t="n">
        <v>17022.91</v>
      </c>
      <c r="E6011" s="535" t="n">
        <v>43769</v>
      </c>
      <c r="F6011" s="534" t="n">
        <v>1.541</v>
      </c>
    </row>
    <row r="6012">
      <c r="A6012" s="535" t="n">
        <v>39952</v>
      </c>
      <c r="B6012" s="534" t="n">
        <v>9.129</v>
      </c>
      <c r="C6012" s="534" t="n">
        <v>17544.03</v>
      </c>
      <c r="E6012" s="535" t="n">
        <v>43770</v>
      </c>
      <c r="F6012" s="534" t="n">
        <v>1.5</v>
      </c>
    </row>
    <row r="6013">
      <c r="A6013" s="535" t="n">
        <v>39953</v>
      </c>
      <c r="B6013" s="534" t="n">
        <v>9.843999999999999</v>
      </c>
      <c r="C6013" s="534" t="n">
        <v>17475.84</v>
      </c>
      <c r="E6013" s="535" t="n">
        <v>43773</v>
      </c>
      <c r="F6013" s="534" t="n">
        <v>1.517</v>
      </c>
    </row>
    <row r="6014">
      <c r="A6014" s="535" t="n">
        <v>39954</v>
      </c>
      <c r="B6014" s="534" t="n">
        <v>9.513</v>
      </c>
      <c r="C6014" s="534" t="n">
        <v>17199.49</v>
      </c>
      <c r="E6014" s="535" t="n">
        <v>43774</v>
      </c>
      <c r="F6014" s="534" t="n">
        <v>1.575</v>
      </c>
    </row>
    <row r="6015">
      <c r="A6015" s="535" t="n">
        <v>39955</v>
      </c>
      <c r="B6015" s="534" t="n">
        <v>9.234</v>
      </c>
      <c r="C6015" s="534" t="n">
        <v>17062.52</v>
      </c>
      <c r="E6015" s="535" t="n">
        <v>43775</v>
      </c>
      <c r="F6015" s="534" t="n">
        <v>1.592</v>
      </c>
    </row>
    <row r="6016">
      <c r="A6016" s="535" t="n">
        <v>39958</v>
      </c>
      <c r="B6016" s="534" t="n">
        <v>9.250999999999999</v>
      </c>
      <c r="C6016" s="534" t="n">
        <v>17121.82</v>
      </c>
      <c r="E6016" s="535" t="n">
        <v>43776</v>
      </c>
      <c r="F6016" s="534" t="n">
        <v>1.602</v>
      </c>
    </row>
    <row r="6017">
      <c r="A6017" s="535" t="n">
        <v>39959</v>
      </c>
      <c r="B6017" s="534" t="n">
        <v>9.215999999999999</v>
      </c>
      <c r="C6017" s="534" t="n">
        <v>16991.56</v>
      </c>
      <c r="E6017" s="535" t="n">
        <v>43777</v>
      </c>
      <c r="F6017" s="534" t="n">
        <v>1.69</v>
      </c>
    </row>
    <row r="6018">
      <c r="A6018" s="535" t="n">
        <v>39960</v>
      </c>
      <c r="B6018" s="534" t="n">
        <v>9.407999999999999</v>
      </c>
      <c r="C6018" s="534" t="n">
        <v>17885.27</v>
      </c>
      <c r="E6018" s="535" t="n">
        <v>43780</v>
      </c>
      <c r="F6018" s="534" t="n">
        <v>1.708</v>
      </c>
    </row>
    <row r="6019">
      <c r="A6019" s="535" t="n">
        <v>39961</v>
      </c>
      <c r="B6019" s="534" t="n">
        <v>9.407999999999999</v>
      </c>
      <c r="C6019" s="534" t="n">
        <v>17885.27</v>
      </c>
      <c r="E6019" s="535" t="n">
        <v>43781</v>
      </c>
      <c r="F6019" s="534" t="n">
        <v>1.697</v>
      </c>
    </row>
    <row r="6020">
      <c r="A6020" s="535" t="n">
        <v>39962</v>
      </c>
      <c r="B6020" s="534" t="n">
        <v>9.460000000000001</v>
      </c>
      <c r="C6020" s="534" t="n">
        <v>18171</v>
      </c>
      <c r="E6020" s="535" t="n">
        <v>43782</v>
      </c>
      <c r="F6020" s="534" t="n">
        <v>1.725</v>
      </c>
    </row>
    <row r="6021">
      <c r="A6021" s="535" t="n">
        <v>39965</v>
      </c>
      <c r="B6021" s="534" t="n">
        <v>9.651999999999999</v>
      </c>
      <c r="C6021" s="534" t="n">
        <v>18888.59</v>
      </c>
      <c r="E6021" s="535" t="n">
        <v>43783</v>
      </c>
      <c r="F6021" s="534" t="n">
        <v>1.708</v>
      </c>
    </row>
    <row r="6022">
      <c r="A6022" s="535" t="n">
        <v>39966</v>
      </c>
      <c r="B6022" s="534" t="n">
        <v>9.269</v>
      </c>
      <c r="C6022" s="534" t="n">
        <v>18389.08</v>
      </c>
      <c r="E6022" s="535" t="n">
        <v>43784</v>
      </c>
      <c r="F6022" s="534" t="n">
        <v>1.679</v>
      </c>
    </row>
    <row r="6023">
      <c r="A6023" s="535" t="n">
        <v>39967</v>
      </c>
      <c r="B6023" s="534" t="n">
        <v>9.6</v>
      </c>
      <c r="C6023" s="534" t="n">
        <v>18576.47</v>
      </c>
      <c r="E6023" s="535" t="n">
        <v>43787</v>
      </c>
      <c r="F6023" s="534" t="n">
        <v>1.665</v>
      </c>
    </row>
    <row r="6024">
      <c r="A6024" s="535" t="n">
        <v>39968</v>
      </c>
      <c r="B6024" s="534" t="n">
        <v>9.215999999999999</v>
      </c>
      <c r="C6024" s="534" t="n">
        <v>18502.77</v>
      </c>
      <c r="E6024" s="535" t="n">
        <v>43788</v>
      </c>
      <c r="F6024" s="534" t="n">
        <v>1.622</v>
      </c>
    </row>
    <row r="6025">
      <c r="A6025" s="535" t="n">
        <v>39969</v>
      </c>
      <c r="B6025" s="534" t="n">
        <v>9.182</v>
      </c>
      <c r="C6025" s="534" t="n">
        <v>18679.53</v>
      </c>
      <c r="E6025" s="535" t="n">
        <v>43789</v>
      </c>
      <c r="F6025" s="534" t="n">
        <v>1.572</v>
      </c>
    </row>
    <row r="6026">
      <c r="A6026" s="535" t="n">
        <v>39972</v>
      </c>
      <c r="B6026" s="534" t="n">
        <v>8.885</v>
      </c>
      <c r="C6026" s="534" t="n">
        <v>18253.39</v>
      </c>
      <c r="E6026" s="535" t="n">
        <v>43790</v>
      </c>
      <c r="F6026" s="534" t="n">
        <v>1.537</v>
      </c>
    </row>
    <row r="6027">
      <c r="A6027" s="535" t="n">
        <v>39973</v>
      </c>
      <c r="B6027" s="534" t="n">
        <v>8.816000000000001</v>
      </c>
      <c r="C6027" s="534" t="n">
        <v>18058.49</v>
      </c>
      <c r="E6027" s="535" t="n">
        <v>43791</v>
      </c>
      <c r="F6027" s="534" t="n">
        <v>1.555</v>
      </c>
    </row>
    <row r="6028">
      <c r="A6028" s="535" t="n">
        <v>39974</v>
      </c>
      <c r="B6028" s="534" t="n">
        <v>9.199</v>
      </c>
      <c r="C6028" s="534" t="n">
        <v>18785.66</v>
      </c>
      <c r="E6028" s="535" t="n">
        <v>43794</v>
      </c>
      <c r="F6028" s="534" t="n">
        <v>1.55</v>
      </c>
    </row>
    <row r="6029">
      <c r="A6029" s="535" t="n">
        <v>39975</v>
      </c>
      <c r="B6029" s="534" t="n">
        <v>9.06</v>
      </c>
      <c r="C6029" s="534" t="n">
        <v>18791.03</v>
      </c>
      <c r="E6029" s="535" t="n">
        <v>43795</v>
      </c>
      <c r="F6029" s="534" t="n">
        <v>1.53</v>
      </c>
    </row>
    <row r="6030">
      <c r="A6030" s="535" t="n">
        <v>39976</v>
      </c>
      <c r="B6030" s="534" t="n">
        <v>9.112</v>
      </c>
      <c r="C6030" s="534" t="n">
        <v>18889.68</v>
      </c>
      <c r="E6030" s="535" t="n">
        <v>43796</v>
      </c>
      <c r="F6030" s="534" t="n">
        <v>1.52</v>
      </c>
    </row>
    <row r="6031">
      <c r="A6031" s="535" t="n">
        <v>39979</v>
      </c>
      <c r="B6031" s="534" t="n">
        <v>8.763</v>
      </c>
      <c r="C6031" s="534" t="n">
        <v>18498.96</v>
      </c>
      <c r="E6031" s="535" t="n">
        <v>43797</v>
      </c>
      <c r="F6031" s="534" t="n">
        <v>1.537</v>
      </c>
    </row>
    <row r="6032">
      <c r="A6032" s="535" t="n">
        <v>39980</v>
      </c>
      <c r="B6032" s="534" t="n">
        <v>8.85</v>
      </c>
      <c r="C6032" s="534" t="n">
        <v>18165.5</v>
      </c>
      <c r="E6032" s="535" t="n">
        <v>43798</v>
      </c>
      <c r="F6032" s="534" t="n">
        <v>1.527</v>
      </c>
    </row>
    <row r="6033">
      <c r="A6033" s="535" t="n">
        <v>39981</v>
      </c>
      <c r="B6033" s="534" t="n">
        <v>8.659000000000001</v>
      </c>
      <c r="C6033" s="534" t="n">
        <v>18084.6</v>
      </c>
      <c r="E6033" s="535" t="n">
        <v>43801</v>
      </c>
      <c r="F6033" s="534" t="n">
        <v>1.574</v>
      </c>
    </row>
    <row r="6034">
      <c r="A6034" s="535" t="n">
        <v>39982</v>
      </c>
      <c r="B6034" s="534" t="n">
        <v>8.510999999999999</v>
      </c>
      <c r="C6034" s="534" t="n">
        <v>17776.66</v>
      </c>
      <c r="E6034" s="535" t="n">
        <v>43802</v>
      </c>
      <c r="F6034" s="534" t="n">
        <v>1.644</v>
      </c>
    </row>
    <row r="6035">
      <c r="A6035" s="535" t="n">
        <v>39983</v>
      </c>
      <c r="B6035" s="534" t="n">
        <v>8.641</v>
      </c>
      <c r="C6035" s="534" t="n">
        <v>17920.93</v>
      </c>
      <c r="E6035" s="535" t="n">
        <v>43803</v>
      </c>
      <c r="F6035" s="534" t="n">
        <v>1.589</v>
      </c>
    </row>
    <row r="6036">
      <c r="A6036" s="535" t="n">
        <v>39986</v>
      </c>
      <c r="B6036" s="534" t="n">
        <v>8.702</v>
      </c>
      <c r="C6036" s="534" t="n">
        <v>18059.55</v>
      </c>
      <c r="E6036" s="535" t="n">
        <v>43804</v>
      </c>
      <c r="F6036" s="534" t="n">
        <v>1.6</v>
      </c>
    </row>
    <row r="6037">
      <c r="A6037" s="535" t="n">
        <v>39987</v>
      </c>
      <c r="B6037" s="534" t="n">
        <v>8.571999999999999</v>
      </c>
      <c r="C6037" s="534" t="n">
        <v>17538.37</v>
      </c>
      <c r="E6037" s="535" t="n">
        <v>43805</v>
      </c>
      <c r="F6037" s="534" t="n">
        <v>1.6</v>
      </c>
    </row>
    <row r="6038">
      <c r="A6038" s="535" t="n">
        <v>39988</v>
      </c>
      <c r="B6038" s="534" t="n">
        <v>8.667999999999999</v>
      </c>
      <c r="C6038" s="534" t="n">
        <v>17892.15</v>
      </c>
      <c r="E6038" s="535" t="n">
        <v>43808</v>
      </c>
      <c r="F6038" s="534" t="n">
        <v>1.649</v>
      </c>
    </row>
    <row r="6039">
      <c r="A6039" s="535" t="n">
        <v>39989</v>
      </c>
      <c r="B6039" s="534" t="n">
        <v>8.676</v>
      </c>
      <c r="C6039" s="534" t="n">
        <v>18275.03</v>
      </c>
      <c r="E6039" s="535" t="n">
        <v>43809</v>
      </c>
      <c r="F6039" s="534" t="n">
        <v>1.648</v>
      </c>
    </row>
    <row r="6040">
      <c r="A6040" s="535" t="n">
        <v>39990</v>
      </c>
      <c r="B6040" s="534" t="n">
        <v>8.85</v>
      </c>
      <c r="C6040" s="534" t="n">
        <v>18600.26</v>
      </c>
      <c r="E6040" s="535" t="n">
        <v>43810</v>
      </c>
      <c r="F6040" s="534" t="n">
        <v>1.657</v>
      </c>
    </row>
    <row r="6041">
      <c r="A6041" s="535" t="n">
        <v>39993</v>
      </c>
      <c r="B6041" s="534" t="n">
        <v>8.955</v>
      </c>
      <c r="C6041" s="534" t="n">
        <v>18528.51</v>
      </c>
      <c r="E6041" s="535" t="n">
        <v>43811</v>
      </c>
      <c r="F6041" s="534" t="n">
        <v>1.632</v>
      </c>
    </row>
    <row r="6042">
      <c r="A6042" s="535" t="n">
        <v>39994</v>
      </c>
      <c r="B6042" s="534" t="n">
        <v>9.303000000000001</v>
      </c>
      <c r="C6042" s="534" t="n">
        <v>18378.73</v>
      </c>
      <c r="E6042" s="535" t="n">
        <v>43812</v>
      </c>
      <c r="F6042" s="534" t="n">
        <v>1.712</v>
      </c>
    </row>
    <row r="6043">
      <c r="A6043" s="535" t="n">
        <v>39995</v>
      </c>
      <c r="B6043" s="534" t="n">
        <v>9.303000000000001</v>
      </c>
      <c r="C6043" s="534" t="n">
        <v>18378.73</v>
      </c>
      <c r="E6043" s="535" t="n">
        <v>43815</v>
      </c>
      <c r="F6043" s="534" t="n">
        <v>1.684</v>
      </c>
    </row>
    <row r="6044">
      <c r="A6044" s="535" t="n">
        <v>39996</v>
      </c>
      <c r="B6044" s="534" t="n">
        <v>9.199</v>
      </c>
      <c r="C6044" s="534" t="n">
        <v>18178.05</v>
      </c>
      <c r="E6044" s="535" t="n">
        <v>43816</v>
      </c>
      <c r="F6044" s="534" t="n">
        <v>1.725</v>
      </c>
    </row>
    <row r="6045">
      <c r="A6045" s="535" t="n">
        <v>39997</v>
      </c>
      <c r="B6045" s="534" t="n">
        <v>8.99</v>
      </c>
      <c r="C6045" s="534" t="n">
        <v>18203.4</v>
      </c>
      <c r="E6045" s="535" t="n">
        <v>43817</v>
      </c>
      <c r="F6045" s="534" t="n">
        <v>1.724</v>
      </c>
    </row>
    <row r="6046">
      <c r="A6046" s="535" t="n">
        <v>40000</v>
      </c>
      <c r="B6046" s="534" t="n">
        <v>8.938000000000001</v>
      </c>
      <c r="C6046" s="534" t="n">
        <v>17979.41</v>
      </c>
      <c r="E6046" s="535" t="n">
        <v>43818</v>
      </c>
      <c r="F6046" s="534" t="n">
        <v>1.73</v>
      </c>
    </row>
    <row r="6047">
      <c r="A6047" s="535" t="n">
        <v>40001</v>
      </c>
      <c r="B6047" s="534" t="n">
        <v>9.494999999999999</v>
      </c>
      <c r="C6047" s="534" t="n">
        <v>17862.27</v>
      </c>
      <c r="E6047" s="535" t="n">
        <v>43819</v>
      </c>
      <c r="F6047" s="534" t="n">
        <v>1.731</v>
      </c>
    </row>
    <row r="6048">
      <c r="A6048" s="535" t="n">
        <v>40002</v>
      </c>
      <c r="B6048" s="534" t="n">
        <v>9.460000000000001</v>
      </c>
      <c r="C6048" s="534" t="n">
        <v>17721.07</v>
      </c>
      <c r="E6048" s="535" t="n">
        <v>43822</v>
      </c>
      <c r="F6048" s="534" t="n">
        <v>1.722</v>
      </c>
    </row>
    <row r="6049">
      <c r="A6049" s="535" t="n">
        <v>40003</v>
      </c>
      <c r="B6049" s="534" t="n">
        <v>9.756</v>
      </c>
      <c r="C6049" s="534" t="n">
        <v>17790.59</v>
      </c>
      <c r="E6049" s="535" t="n">
        <v>43823</v>
      </c>
      <c r="F6049" s="534" t="n">
        <v>1.734</v>
      </c>
    </row>
    <row r="6050">
      <c r="A6050" s="535" t="n">
        <v>40004</v>
      </c>
      <c r="B6050" s="534" t="n">
        <v>9.634</v>
      </c>
      <c r="C6050" s="534" t="n">
        <v>17708.42</v>
      </c>
      <c r="E6050" s="535" t="n">
        <v>43824</v>
      </c>
      <c r="F6050" s="534" t="n">
        <v>1.734</v>
      </c>
    </row>
    <row r="6051">
      <c r="A6051" s="535" t="n">
        <v>40007</v>
      </c>
      <c r="B6051" s="534" t="n">
        <v>9.147</v>
      </c>
      <c r="C6051" s="534" t="n">
        <v>17254.63</v>
      </c>
      <c r="E6051" s="535" t="n">
        <v>43825</v>
      </c>
      <c r="F6051" s="534" t="n">
        <v>1.734</v>
      </c>
    </row>
    <row r="6052">
      <c r="A6052" s="535" t="n">
        <v>40008</v>
      </c>
      <c r="B6052" s="534" t="n">
        <v>9.547000000000001</v>
      </c>
      <c r="C6052" s="534" t="n">
        <v>17885.73</v>
      </c>
      <c r="E6052" s="535" t="n">
        <v>43826</v>
      </c>
      <c r="F6052" s="534" t="n">
        <v>1.734</v>
      </c>
    </row>
    <row r="6053">
      <c r="A6053" s="535" t="n">
        <v>40009</v>
      </c>
      <c r="B6053" s="534" t="n">
        <v>9.669</v>
      </c>
      <c r="C6053" s="534" t="n">
        <v>18258.66</v>
      </c>
      <c r="E6053" s="535" t="n">
        <v>43829</v>
      </c>
      <c r="F6053" s="534" t="n">
        <v>1.789</v>
      </c>
    </row>
    <row r="6054">
      <c r="A6054" s="535" t="n">
        <v>40010</v>
      </c>
      <c r="B6054" s="534" t="n">
        <v>9.843999999999999</v>
      </c>
      <c r="C6054" s="534" t="n">
        <v>18361.87</v>
      </c>
      <c r="E6054" s="535" t="n">
        <v>43830</v>
      </c>
      <c r="F6054" s="534" t="n">
        <v>1.822</v>
      </c>
    </row>
    <row r="6055">
      <c r="A6055" s="535" t="n">
        <v>40011</v>
      </c>
      <c r="B6055" s="534" t="n">
        <v>9.808999999999999</v>
      </c>
      <c r="C6055" s="534" t="n">
        <v>18805.66</v>
      </c>
      <c r="E6055" s="535" t="n">
        <v>43831</v>
      </c>
      <c r="F6055" s="534" t="n">
        <v>1.822</v>
      </c>
    </row>
    <row r="6056">
      <c r="A6056" s="535" t="n">
        <v>40014</v>
      </c>
      <c r="B6056" s="534" t="n">
        <v>10.035</v>
      </c>
      <c r="C6056" s="534" t="n">
        <v>19502.37</v>
      </c>
      <c r="E6056" s="535" t="n">
        <v>43832</v>
      </c>
      <c r="F6056" s="534" t="n">
        <v>1.805</v>
      </c>
    </row>
    <row r="6057">
      <c r="A6057" s="535" t="n">
        <v>40015</v>
      </c>
      <c r="B6057" s="534" t="n">
        <v>10.035</v>
      </c>
      <c r="C6057" s="534" t="n">
        <v>19501.73</v>
      </c>
      <c r="E6057" s="535" t="n">
        <v>43833</v>
      </c>
      <c r="F6057" s="534" t="n">
        <v>1.737</v>
      </c>
    </row>
    <row r="6058">
      <c r="A6058" s="535" t="n">
        <v>40016</v>
      </c>
      <c r="B6058" s="534" t="n">
        <v>10.366</v>
      </c>
      <c r="C6058" s="534" t="n">
        <v>19248.17</v>
      </c>
      <c r="E6058" s="535" t="n">
        <v>43836</v>
      </c>
      <c r="F6058" s="534" t="n">
        <v>1.691</v>
      </c>
    </row>
    <row r="6059">
      <c r="A6059" s="535" t="n">
        <v>40017</v>
      </c>
      <c r="B6059" s="534" t="n">
        <v>10.471</v>
      </c>
      <c r="C6059" s="534" t="n">
        <v>19817.7</v>
      </c>
      <c r="E6059" s="535" t="n">
        <v>43837</v>
      </c>
      <c r="F6059" s="534" t="n">
        <v>1.659</v>
      </c>
    </row>
    <row r="6060">
      <c r="A6060" s="535" t="n">
        <v>40018</v>
      </c>
      <c r="B6060" s="534" t="n">
        <v>10.384</v>
      </c>
      <c r="C6060" s="534" t="n">
        <v>19982.79</v>
      </c>
      <c r="E6060" s="535" t="n">
        <v>43838</v>
      </c>
      <c r="F6060" s="534" t="n">
        <v>1.595</v>
      </c>
    </row>
    <row r="6061">
      <c r="A6061" s="535" t="n">
        <v>40021</v>
      </c>
      <c r="B6061" s="534" t="n">
        <v>10.54</v>
      </c>
      <c r="C6061" s="534" t="n">
        <v>20251.62</v>
      </c>
      <c r="E6061" s="535" t="n">
        <v>43839</v>
      </c>
      <c r="F6061" s="534" t="n">
        <v>1.655</v>
      </c>
    </row>
    <row r="6062">
      <c r="A6062" s="535" t="n">
        <v>40022</v>
      </c>
      <c r="B6062" s="534" t="n">
        <v>10.854</v>
      </c>
      <c r="C6062" s="534" t="n">
        <v>20624.54</v>
      </c>
      <c r="E6062" s="535" t="n">
        <v>43840</v>
      </c>
      <c r="F6062" s="534" t="n">
        <v>1.639</v>
      </c>
    </row>
    <row r="6063">
      <c r="A6063" s="535" t="n">
        <v>40023</v>
      </c>
      <c r="B6063" s="534" t="n">
        <v>10.384</v>
      </c>
      <c r="C6063" s="534" t="n">
        <v>20135.5</v>
      </c>
      <c r="E6063" s="535" t="n">
        <v>43843</v>
      </c>
      <c r="F6063" s="534" t="n">
        <v>1.608</v>
      </c>
    </row>
    <row r="6064">
      <c r="A6064" s="535" t="n">
        <v>40024</v>
      </c>
      <c r="B6064" s="534" t="n">
        <v>10.54</v>
      </c>
      <c r="C6064" s="534" t="n">
        <v>20234.08</v>
      </c>
      <c r="E6064" s="535" t="n">
        <v>43844</v>
      </c>
      <c r="F6064" s="534" t="n">
        <v>1.621</v>
      </c>
    </row>
    <row r="6065">
      <c r="A6065" s="535" t="n">
        <v>40025</v>
      </c>
      <c r="B6065" s="534" t="n">
        <v>10.506</v>
      </c>
      <c r="C6065" s="534" t="n">
        <v>20573.33</v>
      </c>
      <c r="E6065" s="535" t="n">
        <v>43845</v>
      </c>
      <c r="F6065" s="534" t="n">
        <v>1.598</v>
      </c>
    </row>
    <row r="6066">
      <c r="A6066" s="535" t="n">
        <v>40028</v>
      </c>
      <c r="B6066" s="534" t="n">
        <v>10.697</v>
      </c>
      <c r="C6066" s="534" t="n">
        <v>20807.26</v>
      </c>
      <c r="E6066" s="535" t="n">
        <v>43846</v>
      </c>
      <c r="F6066" s="534" t="n">
        <v>1.601</v>
      </c>
    </row>
    <row r="6067">
      <c r="A6067" s="535" t="n">
        <v>40029</v>
      </c>
      <c r="B6067" s="534" t="n">
        <v>11.011</v>
      </c>
      <c r="C6067" s="534" t="n">
        <v>20796.43</v>
      </c>
      <c r="E6067" s="535" t="n">
        <v>43847</v>
      </c>
      <c r="F6067" s="534" t="n">
        <v>1.619</v>
      </c>
    </row>
    <row r="6068">
      <c r="A6068" s="535" t="n">
        <v>40030</v>
      </c>
      <c r="B6068" s="534" t="n">
        <v>10.61</v>
      </c>
      <c r="C6068" s="534" t="n">
        <v>20494.77</v>
      </c>
      <c r="E6068" s="535" t="n">
        <v>43850</v>
      </c>
      <c r="F6068" s="534" t="n">
        <v>1.628</v>
      </c>
    </row>
    <row r="6069">
      <c r="A6069" s="535" t="n">
        <v>40031</v>
      </c>
      <c r="B6069" s="534" t="n">
        <v>10.227</v>
      </c>
      <c r="C6069" s="534" t="n">
        <v>20899.24</v>
      </c>
      <c r="E6069" s="535" t="n">
        <v>43851</v>
      </c>
      <c r="F6069" s="534" t="n">
        <v>1.613</v>
      </c>
    </row>
    <row r="6070">
      <c r="A6070" s="535" t="n">
        <v>40032</v>
      </c>
      <c r="B6070" s="534" t="n">
        <v>9.686999999999999</v>
      </c>
      <c r="C6070" s="534" t="n">
        <v>20375.37</v>
      </c>
      <c r="E6070" s="535" t="n">
        <v>43852</v>
      </c>
      <c r="F6070" s="534" t="n">
        <v>1.613</v>
      </c>
    </row>
    <row r="6071">
      <c r="A6071" s="535" t="n">
        <v>40035</v>
      </c>
      <c r="B6071" s="534" t="n">
        <v>9.930999999999999</v>
      </c>
      <c r="C6071" s="534" t="n">
        <v>20929.52</v>
      </c>
      <c r="E6071" s="535" t="n">
        <v>43853</v>
      </c>
      <c r="F6071" s="534" t="n">
        <v>1.584</v>
      </c>
    </row>
    <row r="6072">
      <c r="A6072" s="535" t="n">
        <v>40036</v>
      </c>
      <c r="B6072" s="534" t="n">
        <v>9.843999999999999</v>
      </c>
      <c r="C6072" s="534" t="n">
        <v>21074.21</v>
      </c>
      <c r="E6072" s="535" t="n">
        <v>43854</v>
      </c>
      <c r="F6072" s="534" t="n">
        <v>1.566</v>
      </c>
    </row>
    <row r="6073">
      <c r="A6073" s="535" t="n">
        <v>40037</v>
      </c>
      <c r="B6073" s="534" t="n">
        <v>9.965999999999999</v>
      </c>
      <c r="C6073" s="534" t="n">
        <v>20435.24</v>
      </c>
      <c r="E6073" s="535" t="n">
        <v>43857</v>
      </c>
      <c r="F6073" s="534" t="n">
        <v>1.566</v>
      </c>
    </row>
    <row r="6074">
      <c r="A6074" s="535" t="n">
        <v>40038</v>
      </c>
      <c r="B6074" s="534" t="n">
        <v>10.314</v>
      </c>
      <c r="C6074" s="534" t="n">
        <v>20861.3</v>
      </c>
      <c r="E6074" s="535" t="n">
        <v>43858</v>
      </c>
      <c r="F6074" s="534" t="n">
        <v>1.566</v>
      </c>
    </row>
    <row r="6075">
      <c r="A6075" s="535" t="n">
        <v>40039</v>
      </c>
      <c r="B6075" s="534" t="n">
        <v>10.122</v>
      </c>
      <c r="C6075" s="534" t="n">
        <v>20893.33</v>
      </c>
      <c r="E6075" s="535" t="n">
        <v>43859</v>
      </c>
      <c r="F6075" s="534" t="n">
        <v>1.49</v>
      </c>
    </row>
    <row r="6076">
      <c r="A6076" s="535" t="n">
        <v>40042</v>
      </c>
      <c r="B6076" s="534" t="n">
        <v>10.122</v>
      </c>
      <c r="C6076" s="534" t="n">
        <v>20137.65</v>
      </c>
      <c r="E6076" s="535" t="n">
        <v>43860</v>
      </c>
      <c r="F6076" s="534" t="n">
        <v>1.418</v>
      </c>
    </row>
    <row r="6077">
      <c r="A6077" s="535" t="n">
        <v>40043</v>
      </c>
      <c r="B6077" s="534" t="n">
        <v>10.262</v>
      </c>
      <c r="C6077" s="534" t="n">
        <v>20306.27</v>
      </c>
      <c r="E6077" s="535" t="n">
        <v>43861</v>
      </c>
      <c r="F6077" s="534" t="n">
        <v>1.4</v>
      </c>
    </row>
    <row r="6078">
      <c r="A6078" s="535" t="n">
        <v>40044</v>
      </c>
      <c r="B6078" s="534" t="n">
        <v>9.896000000000001</v>
      </c>
      <c r="C6078" s="534" t="n">
        <v>19954.23</v>
      </c>
      <c r="E6078" s="535" t="n">
        <v>43864</v>
      </c>
      <c r="F6078" s="534" t="n">
        <v>1.352</v>
      </c>
    </row>
    <row r="6079">
      <c r="A6079" s="535" t="n">
        <v>40045</v>
      </c>
      <c r="B6079" s="534" t="n">
        <v>9.930999999999999</v>
      </c>
      <c r="C6079" s="534" t="n">
        <v>20328.86</v>
      </c>
      <c r="E6079" s="535" t="n">
        <v>43865</v>
      </c>
      <c r="F6079" s="534" t="n">
        <v>1.393</v>
      </c>
    </row>
    <row r="6080">
      <c r="A6080" s="535" t="n">
        <v>40046</v>
      </c>
      <c r="B6080" s="534" t="n">
        <v>9.965999999999999</v>
      </c>
      <c r="C6080" s="534" t="n">
        <v>20199.02</v>
      </c>
      <c r="E6080" s="535" t="n">
        <v>43866</v>
      </c>
      <c r="F6080" s="534" t="n">
        <v>1.432</v>
      </c>
    </row>
    <row r="6081">
      <c r="A6081" s="535" t="n">
        <v>40049</v>
      </c>
      <c r="B6081" s="534" t="n">
        <v>10.018</v>
      </c>
      <c r="C6081" s="534" t="n">
        <v>20535.94</v>
      </c>
      <c r="E6081" s="535" t="n">
        <v>43867</v>
      </c>
      <c r="F6081" s="534" t="n">
        <v>1.483</v>
      </c>
    </row>
    <row r="6082">
      <c r="A6082" s="535" t="n">
        <v>40050</v>
      </c>
      <c r="B6082" s="534" t="n">
        <v>9.756</v>
      </c>
      <c r="C6082" s="534" t="n">
        <v>20435.24</v>
      </c>
      <c r="E6082" s="535" t="n">
        <v>43868</v>
      </c>
      <c r="F6082" s="534" t="n">
        <v>1.471</v>
      </c>
    </row>
    <row r="6083">
      <c r="A6083" s="535" t="n">
        <v>40051</v>
      </c>
      <c r="B6083" s="534" t="n">
        <v>9.948</v>
      </c>
      <c r="C6083" s="534" t="n">
        <v>20456.32</v>
      </c>
      <c r="E6083" s="535" t="n">
        <v>43871</v>
      </c>
      <c r="F6083" s="534" t="n">
        <v>1.451</v>
      </c>
    </row>
    <row r="6084">
      <c r="A6084" s="535" t="n">
        <v>40052</v>
      </c>
      <c r="B6084" s="534" t="n">
        <v>9.773999999999999</v>
      </c>
      <c r="C6084" s="534" t="n">
        <v>20242.75</v>
      </c>
      <c r="E6084" s="535" t="n">
        <v>43872</v>
      </c>
      <c r="F6084" s="534" t="n">
        <v>1.451</v>
      </c>
    </row>
    <row r="6085">
      <c r="A6085" s="535" t="n">
        <v>40053</v>
      </c>
      <c r="B6085" s="534" t="n">
        <v>9.861000000000001</v>
      </c>
      <c r="C6085" s="534" t="n">
        <v>20098.62</v>
      </c>
      <c r="E6085" s="535" t="n">
        <v>43873</v>
      </c>
      <c r="F6085" s="534" t="n">
        <v>1.474</v>
      </c>
    </row>
    <row r="6086">
      <c r="A6086" s="535" t="n">
        <v>40056</v>
      </c>
      <c r="B6086" s="534" t="n">
        <v>9.791</v>
      </c>
      <c r="C6086" s="534" t="n">
        <v>19724.19</v>
      </c>
      <c r="E6086" s="535" t="n">
        <v>43874</v>
      </c>
      <c r="F6086" s="534" t="n">
        <v>1.452</v>
      </c>
    </row>
    <row r="6087">
      <c r="A6087" s="535" t="n">
        <v>40057</v>
      </c>
      <c r="B6087" s="534" t="n">
        <v>9.756</v>
      </c>
      <c r="C6087" s="534" t="n">
        <v>19872.3</v>
      </c>
      <c r="E6087" s="535" t="n">
        <v>43875</v>
      </c>
      <c r="F6087" s="534" t="n">
        <v>1.478</v>
      </c>
    </row>
    <row r="6088">
      <c r="A6088" s="535" t="n">
        <v>40058</v>
      </c>
      <c r="B6088" s="534" t="n">
        <v>9.634</v>
      </c>
      <c r="C6088" s="534" t="n">
        <v>19522</v>
      </c>
      <c r="E6088" s="535" t="n">
        <v>43878</v>
      </c>
      <c r="F6088" s="534" t="n">
        <v>1.479</v>
      </c>
    </row>
    <row r="6089">
      <c r="A6089" s="535" t="n">
        <v>40059</v>
      </c>
      <c r="B6089" s="534" t="n">
        <v>9.704000000000001</v>
      </c>
      <c r="C6089" s="534" t="n">
        <v>19761.68</v>
      </c>
      <c r="E6089" s="535" t="n">
        <v>43879</v>
      </c>
      <c r="F6089" s="534" t="n">
        <v>1.423</v>
      </c>
    </row>
    <row r="6090">
      <c r="A6090" s="535" t="n">
        <v>40060</v>
      </c>
      <c r="B6090" s="534" t="n">
        <v>9.861000000000001</v>
      </c>
      <c r="C6090" s="534" t="n">
        <v>20318.62</v>
      </c>
      <c r="E6090" s="535" t="n">
        <v>43880</v>
      </c>
      <c r="F6090" s="534" t="n">
        <v>1.394</v>
      </c>
    </row>
    <row r="6091">
      <c r="A6091" s="535" t="n">
        <v>40063</v>
      </c>
      <c r="B6091" s="534" t="n">
        <v>10.279</v>
      </c>
      <c r="C6091" s="534" t="n">
        <v>20629.31</v>
      </c>
      <c r="E6091" s="535" t="n">
        <v>43881</v>
      </c>
      <c r="F6091" s="534" t="n">
        <v>1.374</v>
      </c>
    </row>
    <row r="6092">
      <c r="A6092" s="535" t="n">
        <v>40064</v>
      </c>
      <c r="B6092" s="534" t="n">
        <v>10.175</v>
      </c>
      <c r="C6092" s="534" t="n">
        <v>21069.81</v>
      </c>
      <c r="E6092" s="535" t="n">
        <v>43882</v>
      </c>
      <c r="F6092" s="534" t="n">
        <v>1.319</v>
      </c>
    </row>
    <row r="6093">
      <c r="A6093" s="535" t="n">
        <v>40065</v>
      </c>
      <c r="B6093" s="534" t="n">
        <v>10.122</v>
      </c>
      <c r="C6093" s="534" t="n">
        <v>20851.04</v>
      </c>
      <c r="E6093" s="535" t="n">
        <v>43885</v>
      </c>
      <c r="F6093" s="534" t="n">
        <v>1.274</v>
      </c>
    </row>
    <row r="6094">
      <c r="A6094" s="535" t="n">
        <v>40066</v>
      </c>
      <c r="B6094" s="534" t="n">
        <v>10.227</v>
      </c>
      <c r="C6094" s="534" t="n">
        <v>21069.56</v>
      </c>
      <c r="E6094" s="535" t="n">
        <v>43886</v>
      </c>
      <c r="F6094" s="534" t="n">
        <v>1.261</v>
      </c>
    </row>
    <row r="6095">
      <c r="A6095" s="535" t="n">
        <v>40067</v>
      </c>
      <c r="B6095" s="534" t="n">
        <v>10.523</v>
      </c>
      <c r="C6095" s="534" t="n">
        <v>21161.42</v>
      </c>
      <c r="E6095" s="535" t="n">
        <v>43887</v>
      </c>
      <c r="F6095" s="534" t="n">
        <v>1.208</v>
      </c>
    </row>
    <row r="6096">
      <c r="A6096" s="535" t="n">
        <v>40070</v>
      </c>
      <c r="B6096" s="534" t="n">
        <v>10.401</v>
      </c>
      <c r="C6096" s="534" t="n">
        <v>20932.2</v>
      </c>
      <c r="E6096" s="535" t="n">
        <v>43888</v>
      </c>
      <c r="F6096" s="534" t="n">
        <v>1.147</v>
      </c>
    </row>
    <row r="6097">
      <c r="A6097" s="535" t="n">
        <v>40071</v>
      </c>
      <c r="B6097" s="534" t="n">
        <v>10.349</v>
      </c>
      <c r="C6097" s="534" t="n">
        <v>20866.37</v>
      </c>
      <c r="E6097" s="535" t="n">
        <v>43889</v>
      </c>
      <c r="F6097" s="534" t="n">
        <v>1.054</v>
      </c>
    </row>
    <row r="6098">
      <c r="A6098" s="535" t="n">
        <v>40072</v>
      </c>
      <c r="B6098" s="534" t="n">
        <v>10.767</v>
      </c>
      <c r="C6098" s="534" t="n">
        <v>21402.92</v>
      </c>
      <c r="E6098" s="535" t="n">
        <v>43892</v>
      </c>
      <c r="F6098" s="534" t="n">
        <v>0.98</v>
      </c>
    </row>
    <row r="6099">
      <c r="A6099" s="535" t="n">
        <v>40073</v>
      </c>
      <c r="B6099" s="534" t="n">
        <v>11.359</v>
      </c>
      <c r="C6099" s="534" t="n">
        <v>21768.51</v>
      </c>
      <c r="E6099" s="535" t="n">
        <v>43893</v>
      </c>
      <c r="F6099" s="534" t="n">
        <v>1.009</v>
      </c>
    </row>
    <row r="6100">
      <c r="A6100" s="535" t="n">
        <v>40074</v>
      </c>
      <c r="B6100" s="534" t="n">
        <v>11.237</v>
      </c>
      <c r="C6100" s="534" t="n">
        <v>21623.45</v>
      </c>
      <c r="E6100" s="535" t="n">
        <v>43894</v>
      </c>
      <c r="F6100" s="534" t="n">
        <v>0.899</v>
      </c>
    </row>
    <row r="6101">
      <c r="A6101" s="535" t="n">
        <v>40077</v>
      </c>
      <c r="B6101" s="534" t="n">
        <v>10.924</v>
      </c>
      <c r="C6101" s="534" t="n">
        <v>21472.85</v>
      </c>
      <c r="E6101" s="535" t="n">
        <v>43895</v>
      </c>
      <c r="F6101" s="534" t="n">
        <v>0.944</v>
      </c>
    </row>
    <row r="6102">
      <c r="A6102" s="535" t="n">
        <v>40078</v>
      </c>
      <c r="B6102" s="534" t="n">
        <v>11.307</v>
      </c>
      <c r="C6102" s="534" t="n">
        <v>21701.14</v>
      </c>
      <c r="E6102" s="535" t="n">
        <v>43896</v>
      </c>
      <c r="F6102" s="534" t="n">
        <v>0.859</v>
      </c>
    </row>
    <row r="6103">
      <c r="A6103" s="535" t="n">
        <v>40079</v>
      </c>
      <c r="B6103" s="534" t="n">
        <v>11.412</v>
      </c>
      <c r="C6103" s="534" t="n">
        <v>21595.52</v>
      </c>
      <c r="E6103" s="535" t="n">
        <v>43899</v>
      </c>
      <c r="F6103" s="534" t="n">
        <v>0.724</v>
      </c>
    </row>
    <row r="6104">
      <c r="A6104" s="535" t="n">
        <v>40080</v>
      </c>
      <c r="B6104" s="534" t="n">
        <v>11.081</v>
      </c>
      <c r="C6104" s="534" t="n">
        <v>21050.73</v>
      </c>
      <c r="E6104" s="535" t="n">
        <v>43900</v>
      </c>
      <c r="F6104" s="534" t="n">
        <v>0.8129999999999999</v>
      </c>
    </row>
    <row r="6105">
      <c r="A6105" s="535" t="n">
        <v>40081</v>
      </c>
      <c r="B6105" s="534" t="n">
        <v>11.202</v>
      </c>
      <c r="C6105" s="534" t="n">
        <v>21024.4</v>
      </c>
      <c r="E6105" s="535" t="n">
        <v>43901</v>
      </c>
      <c r="F6105" s="534" t="n">
        <v>0.778</v>
      </c>
    </row>
    <row r="6106">
      <c r="A6106" s="535" t="n">
        <v>40084</v>
      </c>
      <c r="B6106" s="534" t="n">
        <v>10.924</v>
      </c>
      <c r="C6106" s="534" t="n">
        <v>20588.41</v>
      </c>
      <c r="E6106" s="535" t="n">
        <v>43902</v>
      </c>
      <c r="F6106" s="534" t="n">
        <v>0.803</v>
      </c>
    </row>
    <row r="6107">
      <c r="A6107" s="535" t="n">
        <v>40085</v>
      </c>
      <c r="B6107" s="534" t="n">
        <v>10.645</v>
      </c>
      <c r="C6107" s="534" t="n">
        <v>21013.17</v>
      </c>
      <c r="E6107" s="535" t="n">
        <v>43903</v>
      </c>
      <c r="F6107" s="534" t="n">
        <v>0.984</v>
      </c>
    </row>
    <row r="6108">
      <c r="A6108" s="535" t="n">
        <v>40086</v>
      </c>
      <c r="B6108" s="534" t="n">
        <v>10.662</v>
      </c>
      <c r="C6108" s="534" t="n">
        <v>20955.25</v>
      </c>
      <c r="E6108" s="535" t="n">
        <v>43906</v>
      </c>
      <c r="F6108" s="534" t="n">
        <v>1.013</v>
      </c>
    </row>
    <row r="6109">
      <c r="A6109" s="535" t="n">
        <v>40087</v>
      </c>
      <c r="B6109" s="534" t="n">
        <v>10.662</v>
      </c>
      <c r="C6109" s="534" t="n">
        <v>20955.25</v>
      </c>
      <c r="E6109" s="535" t="n">
        <v>43907</v>
      </c>
      <c r="F6109" s="534" t="n">
        <v>1.071</v>
      </c>
    </row>
    <row r="6110">
      <c r="A6110" s="535" t="n">
        <v>40088</v>
      </c>
      <c r="B6110" s="534" t="n">
        <v>10.279</v>
      </c>
      <c r="C6110" s="534" t="n">
        <v>20375.49</v>
      </c>
      <c r="E6110" s="535" t="n">
        <v>43908</v>
      </c>
      <c r="F6110" s="534" t="n">
        <v>1.261</v>
      </c>
    </row>
    <row r="6111">
      <c r="A6111" s="535" t="n">
        <v>40091</v>
      </c>
      <c r="B6111" s="534" t="n">
        <v>10.07</v>
      </c>
      <c r="C6111" s="534" t="n">
        <v>20429.07</v>
      </c>
      <c r="E6111" s="535" t="n">
        <v>43909</v>
      </c>
      <c r="F6111" s="534" t="n">
        <v>1.26</v>
      </c>
    </row>
    <row r="6112">
      <c r="A6112" s="535" t="n">
        <v>40092</v>
      </c>
      <c r="B6112" s="534" t="n">
        <v>10.68</v>
      </c>
      <c r="C6112" s="534" t="n">
        <v>20811.53</v>
      </c>
      <c r="E6112" s="535" t="n">
        <v>43910</v>
      </c>
      <c r="F6112" s="534" t="n">
        <v>1.026</v>
      </c>
    </row>
    <row r="6113">
      <c r="A6113" s="535" t="n">
        <v>40093</v>
      </c>
      <c r="B6113" s="534" t="n">
        <v>10.959</v>
      </c>
      <c r="C6113" s="534" t="n">
        <v>21241.59</v>
      </c>
      <c r="E6113" s="535" t="n">
        <v>43913</v>
      </c>
      <c r="F6113" s="534" t="n">
        <v>0.945</v>
      </c>
    </row>
    <row r="6114">
      <c r="A6114" s="535" t="n">
        <v>40094</v>
      </c>
      <c r="B6114" s="534" t="n">
        <v>11.028</v>
      </c>
      <c r="C6114" s="534" t="n">
        <v>21492.9</v>
      </c>
      <c r="E6114" s="535" t="n">
        <v>43914</v>
      </c>
      <c r="F6114" s="534" t="n">
        <v>0.95</v>
      </c>
    </row>
    <row r="6115">
      <c r="A6115" s="535" t="n">
        <v>40095</v>
      </c>
      <c r="B6115" s="534" t="n">
        <v>11.412</v>
      </c>
      <c r="C6115" s="534" t="n">
        <v>21499.44</v>
      </c>
      <c r="E6115" s="535" t="n">
        <v>43915</v>
      </c>
      <c r="F6115" s="534" t="n">
        <v>0.882</v>
      </c>
    </row>
    <row r="6116">
      <c r="A6116" s="535" t="n">
        <v>40098</v>
      </c>
      <c r="B6116" s="534" t="n">
        <v>11.359</v>
      </c>
      <c r="C6116" s="534" t="n">
        <v>21299.35</v>
      </c>
      <c r="E6116" s="535" t="n">
        <v>43916</v>
      </c>
      <c r="F6116" s="534" t="n">
        <v>0.828</v>
      </c>
    </row>
    <row r="6117">
      <c r="A6117" s="535" t="n">
        <v>40099</v>
      </c>
      <c r="B6117" s="534" t="n">
        <v>11.481</v>
      </c>
      <c r="C6117" s="534" t="n">
        <v>21467.36</v>
      </c>
      <c r="E6117" s="535" t="n">
        <v>43917</v>
      </c>
      <c r="F6117" s="534" t="n">
        <v>0.786</v>
      </c>
    </row>
    <row r="6118">
      <c r="A6118" s="535" t="n">
        <v>40100</v>
      </c>
      <c r="B6118" s="534" t="n">
        <v>11.655</v>
      </c>
      <c r="C6118" s="534" t="n">
        <v>21886.48</v>
      </c>
      <c r="E6118" s="535" t="n">
        <v>43920</v>
      </c>
      <c r="F6118" s="534" t="n">
        <v>0.736</v>
      </c>
    </row>
    <row r="6119">
      <c r="A6119" s="535" t="n">
        <v>40101</v>
      </c>
      <c r="B6119" s="534" t="n">
        <v>11.69</v>
      </c>
      <c r="C6119" s="534" t="n">
        <v>21999.08</v>
      </c>
      <c r="E6119" s="535" t="n">
        <v>43921</v>
      </c>
      <c r="F6119" s="534" t="n">
        <v>0.75</v>
      </c>
    </row>
    <row r="6120">
      <c r="A6120" s="535" t="n">
        <v>40102</v>
      </c>
      <c r="B6120" s="534" t="n">
        <v>11.621</v>
      </c>
      <c r="C6120" s="534" t="n">
        <v>21929.9</v>
      </c>
      <c r="E6120" s="535" t="n">
        <v>43922</v>
      </c>
      <c r="F6120" s="534" t="n">
        <v>0.734</v>
      </c>
    </row>
    <row r="6121">
      <c r="A6121" s="535" t="n">
        <v>40105</v>
      </c>
      <c r="B6121" s="534" t="n">
        <v>11.446</v>
      </c>
      <c r="C6121" s="534" t="n">
        <v>22200.46</v>
      </c>
      <c r="E6121" s="535" t="n">
        <v>43923</v>
      </c>
      <c r="F6121" s="534" t="n">
        <v>0.8070000000000001</v>
      </c>
    </row>
    <row r="6122">
      <c r="A6122" s="535" t="n">
        <v>40106</v>
      </c>
      <c r="B6122" s="534" t="n">
        <v>11.412</v>
      </c>
      <c r="C6122" s="534" t="n">
        <v>22384.96</v>
      </c>
      <c r="E6122" s="535" t="n">
        <v>43924</v>
      </c>
      <c r="F6122" s="534" t="n">
        <v>0.777</v>
      </c>
    </row>
    <row r="6123">
      <c r="A6123" s="535" t="n">
        <v>40107</v>
      </c>
      <c r="B6123" s="534" t="n">
        <v>11.272</v>
      </c>
      <c r="C6123" s="534" t="n">
        <v>22318.11</v>
      </c>
      <c r="E6123" s="535" t="n">
        <v>43927</v>
      </c>
      <c r="F6123" s="534" t="n">
        <v>0.789</v>
      </c>
    </row>
    <row r="6124">
      <c r="A6124" s="535" t="n">
        <v>40108</v>
      </c>
      <c r="B6124" s="534" t="n">
        <v>10.959</v>
      </c>
      <c r="C6124" s="534" t="n">
        <v>22210.52</v>
      </c>
      <c r="E6124" s="535" t="n">
        <v>43928</v>
      </c>
      <c r="F6124" s="534" t="n">
        <v>0.886</v>
      </c>
    </row>
    <row r="6125">
      <c r="A6125" s="535" t="n">
        <v>40109</v>
      </c>
      <c r="B6125" s="534" t="n">
        <v>11.098</v>
      </c>
      <c r="C6125" s="534" t="n">
        <v>22589.73</v>
      </c>
      <c r="E6125" s="535" t="n">
        <v>43929</v>
      </c>
      <c r="F6125" s="534" t="n">
        <v>0.869</v>
      </c>
    </row>
    <row r="6126">
      <c r="A6126" s="535" t="n">
        <v>40112</v>
      </c>
      <c r="B6126" s="534" t="n">
        <v>11.098</v>
      </c>
      <c r="C6126" s="534" t="n">
        <v>22589.73</v>
      </c>
      <c r="E6126" s="535" t="n">
        <v>43930</v>
      </c>
      <c r="F6126" s="534" t="n">
        <v>0.829</v>
      </c>
    </row>
    <row r="6127">
      <c r="A6127" s="535" t="n">
        <v>40113</v>
      </c>
      <c r="B6127" s="534" t="n">
        <v>10.784</v>
      </c>
      <c r="C6127" s="534" t="n">
        <v>22169.59</v>
      </c>
      <c r="E6127" s="535" t="n">
        <v>43931</v>
      </c>
      <c r="F6127" s="534" t="n">
        <v>0.829</v>
      </c>
    </row>
    <row r="6128">
      <c r="A6128" s="535" t="n">
        <v>40114</v>
      </c>
      <c r="B6128" s="534" t="n">
        <v>10.802</v>
      </c>
      <c r="C6128" s="534" t="n">
        <v>21761.58</v>
      </c>
      <c r="E6128" s="535" t="n">
        <v>43934</v>
      </c>
      <c r="F6128" s="534" t="n">
        <v>0.829</v>
      </c>
    </row>
    <row r="6129">
      <c r="A6129" s="535" t="n">
        <v>40115</v>
      </c>
      <c r="B6129" s="534" t="n">
        <v>10.628</v>
      </c>
      <c r="C6129" s="534" t="n">
        <v>21264.99</v>
      </c>
      <c r="E6129" s="535" t="n">
        <v>43935</v>
      </c>
      <c r="F6129" s="534" t="n">
        <v>0.804</v>
      </c>
    </row>
    <row r="6130">
      <c r="A6130" s="535" t="n">
        <v>40116</v>
      </c>
      <c r="B6130" s="534" t="n">
        <v>11.098</v>
      </c>
      <c r="C6130" s="534" t="n">
        <v>21752.87</v>
      </c>
      <c r="E6130" s="535" t="n">
        <v>43936</v>
      </c>
      <c r="F6130" s="534" t="n">
        <v>0.747</v>
      </c>
    </row>
    <row r="6131">
      <c r="A6131" s="535" t="n">
        <v>40119</v>
      </c>
      <c r="B6131" s="534" t="n">
        <v>10.959</v>
      </c>
      <c r="C6131" s="534" t="n">
        <v>21620.19</v>
      </c>
      <c r="E6131" s="535" t="n">
        <v>43937</v>
      </c>
      <c r="F6131" s="534" t="n">
        <v>0.729</v>
      </c>
    </row>
    <row r="6132">
      <c r="A6132" s="535" t="n">
        <v>40120</v>
      </c>
      <c r="B6132" s="534" t="n">
        <v>10.732</v>
      </c>
      <c r="C6132" s="534" t="n">
        <v>21240.06</v>
      </c>
      <c r="E6132" s="535" t="n">
        <v>43938</v>
      </c>
      <c r="F6132" s="534" t="n">
        <v>0.748</v>
      </c>
    </row>
    <row r="6133">
      <c r="A6133" s="535" t="n">
        <v>40121</v>
      </c>
      <c r="B6133" s="534" t="n">
        <v>10.854</v>
      </c>
      <c r="C6133" s="534" t="n">
        <v>21614.77</v>
      </c>
      <c r="E6133" s="535" t="n">
        <v>43941</v>
      </c>
      <c r="F6133" s="534" t="n">
        <v>0.75</v>
      </c>
    </row>
    <row r="6134">
      <c r="A6134" s="535" t="n">
        <v>40122</v>
      </c>
      <c r="B6134" s="534" t="n">
        <v>10.732</v>
      </c>
      <c r="C6134" s="534" t="n">
        <v>21479.08</v>
      </c>
      <c r="E6134" s="535" t="n">
        <v>43942</v>
      </c>
      <c r="F6134" s="534" t="n">
        <v>0.706</v>
      </c>
    </row>
    <row r="6135">
      <c r="A6135" s="535" t="n">
        <v>40123</v>
      </c>
      <c r="B6135" s="534" t="n">
        <v>11.046</v>
      </c>
      <c r="C6135" s="534" t="n">
        <v>21829.72</v>
      </c>
      <c r="E6135" s="535" t="n">
        <v>43943</v>
      </c>
      <c r="F6135" s="534" t="n">
        <v>0.623</v>
      </c>
    </row>
    <row r="6136">
      <c r="A6136" s="535" t="n">
        <v>40126</v>
      </c>
      <c r="B6136" s="534" t="n">
        <v>11.185</v>
      </c>
      <c r="C6136" s="534" t="n">
        <v>22207.55</v>
      </c>
      <c r="E6136" s="535" t="n">
        <v>43944</v>
      </c>
      <c r="F6136" s="534" t="n">
        <v>0.655</v>
      </c>
    </row>
    <row r="6137">
      <c r="A6137" s="535" t="n">
        <v>40127</v>
      </c>
      <c r="B6137" s="534" t="n">
        <v>11.237</v>
      </c>
      <c r="C6137" s="534" t="n">
        <v>22268.16</v>
      </c>
      <c r="E6137" s="535" t="n">
        <v>43945</v>
      </c>
      <c r="F6137" s="534" t="n">
        <v>0.619</v>
      </c>
    </row>
    <row r="6138">
      <c r="A6138" s="535" t="n">
        <v>40128</v>
      </c>
      <c r="B6138" s="534" t="n">
        <v>11.429</v>
      </c>
      <c r="C6138" s="534" t="n">
        <v>22627.21</v>
      </c>
      <c r="E6138" s="535" t="n">
        <v>43948</v>
      </c>
      <c r="F6138" s="534" t="n">
        <v>0.646</v>
      </c>
    </row>
    <row r="6139">
      <c r="A6139" s="535" t="n">
        <v>40129</v>
      </c>
      <c r="B6139" s="534" t="n">
        <v>11.586</v>
      </c>
      <c r="C6139" s="534" t="n">
        <v>22397.57</v>
      </c>
      <c r="E6139" s="535" t="n">
        <v>43949</v>
      </c>
      <c r="F6139" s="534" t="n">
        <v>0.633</v>
      </c>
    </row>
    <row r="6140">
      <c r="A6140" s="535" t="n">
        <v>40130</v>
      </c>
      <c r="B6140" s="534" t="n">
        <v>11.743</v>
      </c>
      <c r="C6140" s="534" t="n">
        <v>22553.63</v>
      </c>
      <c r="E6140" s="535" t="n">
        <v>43950</v>
      </c>
      <c r="F6140" s="534" t="n">
        <v>0.604</v>
      </c>
    </row>
    <row r="6141">
      <c r="A6141" s="535" t="n">
        <v>40133</v>
      </c>
      <c r="B6141" s="534" t="n">
        <v>11.934</v>
      </c>
      <c r="C6141" s="534" t="n">
        <v>22943.98</v>
      </c>
      <c r="E6141" s="535" t="n">
        <v>43951</v>
      </c>
      <c r="F6141" s="534" t="n">
        <v>0.604</v>
      </c>
    </row>
    <row r="6142">
      <c r="A6142" s="535" t="n">
        <v>40134</v>
      </c>
      <c r="B6142" s="534" t="n">
        <v>12.196</v>
      </c>
      <c r="C6142" s="534" t="n">
        <v>22914.15</v>
      </c>
      <c r="E6142" s="535" t="n">
        <v>43952</v>
      </c>
      <c r="F6142" s="534" t="n">
        <v>0.604</v>
      </c>
    </row>
    <row r="6143">
      <c r="A6143" s="535" t="n">
        <v>40135</v>
      </c>
      <c r="B6143" s="534" t="n">
        <v>11.812</v>
      </c>
      <c r="C6143" s="534" t="n">
        <v>22840.33</v>
      </c>
      <c r="E6143" s="535" t="n">
        <v>43955</v>
      </c>
      <c r="F6143" s="534" t="n">
        <v>0.627</v>
      </c>
    </row>
    <row r="6144">
      <c r="A6144" s="535" t="n">
        <v>40136</v>
      </c>
      <c r="B6144" s="534" t="n">
        <v>11.986</v>
      </c>
      <c r="C6144" s="534" t="n">
        <v>22643.16</v>
      </c>
      <c r="E6144" s="535" t="n">
        <v>43956</v>
      </c>
      <c r="F6144" s="534" t="n">
        <v>0.625</v>
      </c>
    </row>
    <row r="6145">
      <c r="A6145" s="535" t="n">
        <v>40137</v>
      </c>
      <c r="B6145" s="534" t="n">
        <v>11.76</v>
      </c>
      <c r="C6145" s="534" t="n">
        <v>22455.84</v>
      </c>
      <c r="E6145" s="535" t="n">
        <v>43957</v>
      </c>
      <c r="F6145" s="534" t="n">
        <v>0.661</v>
      </c>
    </row>
    <row r="6146">
      <c r="A6146" s="535" t="n">
        <v>40140</v>
      </c>
      <c r="B6146" s="534" t="n">
        <v>11.952</v>
      </c>
      <c r="C6146" s="534" t="n">
        <v>22771.39</v>
      </c>
      <c r="E6146" s="535" t="n">
        <v>43958</v>
      </c>
      <c r="F6146" s="534" t="n">
        <v>0.698</v>
      </c>
    </row>
    <row r="6147">
      <c r="A6147" s="535" t="n">
        <v>40141</v>
      </c>
      <c r="B6147" s="534" t="n">
        <v>11.743</v>
      </c>
      <c r="C6147" s="534" t="n">
        <v>22423.14</v>
      </c>
      <c r="E6147" s="535" t="n">
        <v>43959</v>
      </c>
      <c r="F6147" s="534" t="n">
        <v>0.61</v>
      </c>
    </row>
    <row r="6148">
      <c r="A6148" s="535" t="n">
        <v>40142</v>
      </c>
      <c r="B6148" s="534" t="n">
        <v>11.865</v>
      </c>
      <c r="C6148" s="534" t="n">
        <v>22611.8</v>
      </c>
      <c r="E6148" s="535" t="n">
        <v>43962</v>
      </c>
      <c r="F6148" s="534" t="n">
        <v>0.66</v>
      </c>
    </row>
    <row r="6149">
      <c r="A6149" s="535" t="n">
        <v>40143</v>
      </c>
      <c r="B6149" s="534" t="n">
        <v>11.603</v>
      </c>
      <c r="C6149" s="534" t="n">
        <v>22210.41</v>
      </c>
      <c r="E6149" s="535" t="n">
        <v>43963</v>
      </c>
      <c r="F6149" s="534" t="n">
        <v>0.607</v>
      </c>
    </row>
    <row r="6150">
      <c r="A6150" s="535" t="n">
        <v>40144</v>
      </c>
      <c r="B6150" s="534" t="n">
        <v>11.237</v>
      </c>
      <c r="C6150" s="534" t="n">
        <v>21134.5</v>
      </c>
      <c r="E6150" s="535" t="n">
        <v>43964</v>
      </c>
      <c r="F6150" s="534" t="n">
        <v>0.5679999999999999</v>
      </c>
    </row>
    <row r="6151">
      <c r="A6151" s="535" t="n">
        <v>40147</v>
      </c>
      <c r="B6151" s="534" t="n">
        <v>11.534</v>
      </c>
      <c r="C6151" s="534" t="n">
        <v>21821.5</v>
      </c>
      <c r="E6151" s="535" t="n">
        <v>43965</v>
      </c>
      <c r="F6151" s="534" t="n">
        <v>0.552</v>
      </c>
    </row>
    <row r="6152">
      <c r="A6152" s="535" t="n">
        <v>40148</v>
      </c>
      <c r="B6152" s="534" t="n">
        <v>11.899</v>
      </c>
      <c r="C6152" s="534" t="n">
        <v>22113.15</v>
      </c>
      <c r="E6152" s="535" t="n">
        <v>43966</v>
      </c>
      <c r="F6152" s="534" t="n">
        <v>0.547</v>
      </c>
    </row>
    <row r="6153">
      <c r="A6153" s="535" t="n">
        <v>40149</v>
      </c>
      <c r="B6153" s="534" t="n">
        <v>11.882</v>
      </c>
      <c r="C6153" s="534" t="n">
        <v>22289.57</v>
      </c>
      <c r="E6153" s="535" t="n">
        <v>43969</v>
      </c>
      <c r="F6153" s="534" t="n">
        <v>0.575</v>
      </c>
    </row>
    <row r="6154">
      <c r="A6154" s="535" t="n">
        <v>40150</v>
      </c>
      <c r="B6154" s="534" t="n">
        <v>12.126</v>
      </c>
      <c r="C6154" s="534" t="n">
        <v>22553.87</v>
      </c>
      <c r="E6154" s="535" t="n">
        <v>43970</v>
      </c>
      <c r="F6154" s="534" t="n">
        <v>0.622</v>
      </c>
    </row>
    <row r="6155">
      <c r="A6155" s="535" t="n">
        <v>40151</v>
      </c>
      <c r="B6155" s="534" t="n">
        <v>12.283</v>
      </c>
      <c r="C6155" s="534" t="n">
        <v>22498.15</v>
      </c>
      <c r="E6155" s="535" t="n">
        <v>43971</v>
      </c>
      <c r="F6155" s="534" t="n">
        <v>0.627</v>
      </c>
    </row>
    <row r="6156">
      <c r="A6156" s="535" t="n">
        <v>40154</v>
      </c>
      <c r="B6156" s="534" t="n">
        <v>12.561</v>
      </c>
      <c r="C6156" s="534" t="n">
        <v>22324.96</v>
      </c>
      <c r="E6156" s="535" t="n">
        <v>43972</v>
      </c>
      <c r="F6156" s="534" t="n">
        <v>0.61</v>
      </c>
    </row>
    <row r="6157">
      <c r="A6157" s="535" t="n">
        <v>40155</v>
      </c>
      <c r="B6157" s="534" t="n">
        <v>12.596</v>
      </c>
      <c r="C6157" s="534" t="n">
        <v>22060.52</v>
      </c>
      <c r="E6157" s="535" t="n">
        <v>43973</v>
      </c>
      <c r="F6157" s="534" t="n">
        <v>0.738</v>
      </c>
    </row>
    <row r="6158">
      <c r="A6158" s="535" t="n">
        <v>40156</v>
      </c>
      <c r="B6158" s="534" t="n">
        <v>12.405</v>
      </c>
      <c r="C6158" s="534" t="n">
        <v>21741.76</v>
      </c>
      <c r="E6158" s="535" t="n">
        <v>43976</v>
      </c>
      <c r="F6158" s="534" t="n">
        <v>0.745</v>
      </c>
    </row>
    <row r="6159">
      <c r="A6159" s="535" t="n">
        <v>40157</v>
      </c>
      <c r="B6159" s="534" t="n">
        <v>11.882</v>
      </c>
      <c r="C6159" s="534" t="n">
        <v>21700.04</v>
      </c>
      <c r="E6159" s="535" t="n">
        <v>43977</v>
      </c>
      <c r="F6159" s="534" t="n">
        <v>0.654</v>
      </c>
    </row>
    <row r="6160">
      <c r="A6160" s="535" t="n">
        <v>40158</v>
      </c>
      <c r="B6160" s="534" t="n">
        <v>12.492</v>
      </c>
      <c r="C6160" s="534" t="n">
        <v>21902.11</v>
      </c>
      <c r="E6160" s="535" t="n">
        <v>43978</v>
      </c>
      <c r="F6160" s="534" t="n">
        <v>0.694</v>
      </c>
    </row>
    <row r="6161">
      <c r="A6161" s="535" t="n">
        <v>40161</v>
      </c>
      <c r="B6161" s="534" t="n">
        <v>12.788</v>
      </c>
      <c r="C6161" s="534" t="n">
        <v>22085.75</v>
      </c>
      <c r="E6161" s="535" t="n">
        <v>43979</v>
      </c>
      <c r="F6161" s="534" t="n">
        <v>0.717</v>
      </c>
    </row>
    <row r="6162">
      <c r="A6162" s="535" t="n">
        <v>40162</v>
      </c>
      <c r="B6162" s="534" t="n">
        <v>12.683</v>
      </c>
      <c r="C6162" s="534" t="n">
        <v>21813.92</v>
      </c>
      <c r="E6162" s="535" t="n">
        <v>43980</v>
      </c>
      <c r="F6162" s="534" t="n">
        <v>0.678</v>
      </c>
    </row>
    <row r="6163">
      <c r="A6163" s="535" t="n">
        <v>40163</v>
      </c>
      <c r="B6163" s="534" t="n">
        <v>12.683</v>
      </c>
      <c r="C6163" s="534" t="n">
        <v>21611.74</v>
      </c>
      <c r="E6163" s="535" t="n">
        <v>43983</v>
      </c>
      <c r="F6163" s="534" t="n">
        <v>0.629</v>
      </c>
    </row>
    <row r="6164">
      <c r="A6164" s="535" t="n">
        <v>40164</v>
      </c>
      <c r="B6164" s="534" t="n">
        <v>12.37</v>
      </c>
      <c r="C6164" s="534" t="n">
        <v>21347.63</v>
      </c>
      <c r="E6164" s="535" t="n">
        <v>43984</v>
      </c>
      <c r="F6164" s="534" t="n">
        <v>0.604</v>
      </c>
    </row>
    <row r="6165">
      <c r="A6165" s="535" t="n">
        <v>40165</v>
      </c>
      <c r="B6165" s="534" t="n">
        <v>12.283</v>
      </c>
      <c r="C6165" s="534" t="n">
        <v>21175.88</v>
      </c>
      <c r="E6165" s="535" t="n">
        <v>43985</v>
      </c>
      <c r="F6165" s="534" t="n">
        <v>0.643</v>
      </c>
    </row>
    <row r="6166">
      <c r="A6166" s="535" t="n">
        <v>40168</v>
      </c>
      <c r="B6166" s="534" t="n">
        <v>12.37</v>
      </c>
      <c r="C6166" s="534" t="n">
        <v>20948.1</v>
      </c>
      <c r="E6166" s="535" t="n">
        <v>43986</v>
      </c>
      <c r="F6166" s="534" t="n">
        <v>0.66</v>
      </c>
    </row>
    <row r="6167">
      <c r="A6167" s="535" t="n">
        <v>40169</v>
      </c>
      <c r="B6167" s="534" t="n">
        <v>12.492</v>
      </c>
      <c r="C6167" s="534" t="n">
        <v>21092.04</v>
      </c>
      <c r="E6167" s="535" t="n">
        <v>43987</v>
      </c>
      <c r="F6167" s="534" t="n">
        <v>0.701</v>
      </c>
    </row>
    <row r="6168">
      <c r="A6168" s="535" t="n">
        <v>40170</v>
      </c>
      <c r="B6168" s="534" t="n">
        <v>12.509</v>
      </c>
      <c r="C6168" s="534" t="n">
        <v>21328.74</v>
      </c>
      <c r="E6168" s="535" t="n">
        <v>43990</v>
      </c>
      <c r="F6168" s="534" t="n">
        <v>0.698</v>
      </c>
    </row>
    <row r="6169">
      <c r="A6169" s="535" t="n">
        <v>40171</v>
      </c>
      <c r="B6169" s="534" t="n">
        <v>12.596</v>
      </c>
      <c r="C6169" s="534" t="n">
        <v>21517</v>
      </c>
      <c r="E6169" s="535" t="n">
        <v>43991</v>
      </c>
      <c r="F6169" s="534" t="n">
        <v>0.634</v>
      </c>
    </row>
    <row r="6170">
      <c r="A6170" s="535" t="n">
        <v>40172</v>
      </c>
      <c r="B6170" s="534" t="n">
        <v>12.596</v>
      </c>
      <c r="C6170" s="534" t="n">
        <v>21517</v>
      </c>
      <c r="E6170" s="535" t="n">
        <v>43992</v>
      </c>
      <c r="F6170" s="534" t="n">
        <v>0.613</v>
      </c>
    </row>
    <row r="6171">
      <c r="A6171" s="535" t="n">
        <v>40175</v>
      </c>
      <c r="B6171" s="534" t="n">
        <v>12.771</v>
      </c>
      <c r="C6171" s="534" t="n">
        <v>21480.22</v>
      </c>
      <c r="E6171" s="535" t="n">
        <v>43993</v>
      </c>
      <c r="F6171" s="534" t="n">
        <v>0.539</v>
      </c>
    </row>
    <row r="6172">
      <c r="A6172" s="535" t="n">
        <v>40176</v>
      </c>
      <c r="B6172" s="534" t="n">
        <v>12.771</v>
      </c>
      <c r="C6172" s="534" t="n">
        <v>21499.44</v>
      </c>
      <c r="E6172" s="535" t="n">
        <v>43994</v>
      </c>
      <c r="F6172" s="534" t="n">
        <v>0.5649999999999999</v>
      </c>
    </row>
    <row r="6173">
      <c r="A6173" s="535" t="n">
        <v>40177</v>
      </c>
      <c r="B6173" s="534" t="n">
        <v>12.718</v>
      </c>
      <c r="C6173" s="534" t="n">
        <v>21496.62</v>
      </c>
      <c r="E6173" s="535" t="n">
        <v>43997</v>
      </c>
      <c r="F6173" s="534" t="n">
        <v>0.5590000000000001</v>
      </c>
    </row>
    <row r="6174">
      <c r="A6174" s="535" t="n">
        <v>40178</v>
      </c>
      <c r="B6174" s="534" t="n">
        <v>12.614</v>
      </c>
      <c r="C6174" s="534" t="n">
        <v>21872.5</v>
      </c>
      <c r="E6174" s="535" t="n">
        <v>43998</v>
      </c>
      <c r="F6174" s="534" t="n">
        <v>0.593</v>
      </c>
    </row>
    <row r="6175">
      <c r="A6175" s="535" t="n">
        <v>40179</v>
      </c>
      <c r="B6175" s="534" t="n">
        <v>12.614</v>
      </c>
      <c r="C6175" s="534" t="n">
        <v>21872.5</v>
      </c>
      <c r="E6175" s="535" t="n">
        <v>43999</v>
      </c>
      <c r="F6175" s="534" t="n">
        <v>0.741</v>
      </c>
    </row>
    <row r="6176">
      <c r="A6176" s="535" t="n">
        <v>40182</v>
      </c>
      <c r="B6176" s="534" t="n">
        <v>12.457</v>
      </c>
      <c r="C6176" s="534" t="n">
        <v>21823.28</v>
      </c>
      <c r="E6176" s="535" t="n">
        <v>44000</v>
      </c>
      <c r="F6176" s="534" t="n">
        <v>0.6879999999999999</v>
      </c>
    </row>
    <row r="6177">
      <c r="A6177" s="535" t="n">
        <v>40183</v>
      </c>
      <c r="B6177" s="534" t="n">
        <v>12.387</v>
      </c>
      <c r="C6177" s="534" t="n">
        <v>22279.58</v>
      </c>
      <c r="E6177" s="535" t="n">
        <v>44001</v>
      </c>
      <c r="F6177" s="534" t="n">
        <v>0.695</v>
      </c>
    </row>
    <row r="6178">
      <c r="A6178" s="535" t="n">
        <v>40184</v>
      </c>
      <c r="B6178" s="534" t="n">
        <v>12.283</v>
      </c>
      <c r="C6178" s="534" t="n">
        <v>22416.67</v>
      </c>
      <c r="E6178" s="535" t="n">
        <v>44004</v>
      </c>
      <c r="F6178" s="534" t="n">
        <v>0.708</v>
      </c>
    </row>
    <row r="6179">
      <c r="A6179" s="535" t="n">
        <v>40185</v>
      </c>
      <c r="B6179" s="534" t="n">
        <v>12.039</v>
      </c>
      <c r="C6179" s="534" t="n">
        <v>22269.45</v>
      </c>
      <c r="E6179" s="535" t="n">
        <v>44005</v>
      </c>
      <c r="F6179" s="534" t="n">
        <v>0.708</v>
      </c>
    </row>
    <row r="6180">
      <c r="A6180" s="535" t="n">
        <v>40186</v>
      </c>
      <c r="B6180" s="534" t="n">
        <v>12.074</v>
      </c>
      <c r="C6180" s="534" t="n">
        <v>22296.75</v>
      </c>
      <c r="E6180" s="535" t="n">
        <v>44006</v>
      </c>
      <c r="F6180" s="534" t="n">
        <v>0.6850000000000001</v>
      </c>
    </row>
    <row r="6181">
      <c r="A6181" s="535" t="n">
        <v>40189</v>
      </c>
      <c r="B6181" s="534" t="n">
        <v>12.004</v>
      </c>
      <c r="C6181" s="534" t="n">
        <v>22411.52</v>
      </c>
      <c r="E6181" s="535" t="n">
        <v>44007</v>
      </c>
      <c r="F6181" s="534" t="n">
        <v>0.6850000000000001</v>
      </c>
    </row>
    <row r="6182">
      <c r="A6182" s="535" t="n">
        <v>40190</v>
      </c>
      <c r="B6182" s="534" t="n">
        <v>12.074</v>
      </c>
      <c r="C6182" s="534" t="n">
        <v>22326.64</v>
      </c>
      <c r="E6182" s="535" t="n">
        <v>44008</v>
      </c>
      <c r="F6182" s="534" t="n">
        <v>0.646</v>
      </c>
    </row>
    <row r="6183">
      <c r="A6183" s="535" t="n">
        <v>40191</v>
      </c>
      <c r="B6183" s="534" t="n">
        <v>12.143</v>
      </c>
      <c r="C6183" s="534" t="n">
        <v>21748.6</v>
      </c>
      <c r="E6183" s="535" t="n">
        <v>44011</v>
      </c>
      <c r="F6183" s="534" t="n">
        <v>0.653</v>
      </c>
    </row>
    <row r="6184">
      <c r="A6184" s="535" t="n">
        <v>40192</v>
      </c>
      <c r="B6184" s="534" t="n">
        <v>12.527</v>
      </c>
      <c r="C6184" s="534" t="n">
        <v>21716.95</v>
      </c>
      <c r="E6184" s="535" t="n">
        <v>44012</v>
      </c>
      <c r="F6184" s="534" t="n">
        <v>0.651</v>
      </c>
    </row>
    <row r="6185">
      <c r="A6185" s="535" t="n">
        <v>40193</v>
      </c>
      <c r="B6185" s="534" t="n">
        <v>12.579</v>
      </c>
      <c r="C6185" s="534" t="n">
        <v>21654.16</v>
      </c>
      <c r="E6185" s="535" t="n">
        <v>44013</v>
      </c>
      <c r="F6185" s="534" t="n">
        <v>0.651</v>
      </c>
    </row>
    <row r="6186">
      <c r="A6186" s="535" t="n">
        <v>40196</v>
      </c>
      <c r="B6186" s="534" t="n">
        <v>12.318</v>
      </c>
      <c r="C6186" s="534" t="n">
        <v>21460.01</v>
      </c>
      <c r="E6186" s="535" t="n">
        <v>44014</v>
      </c>
      <c r="F6186" s="534" t="n">
        <v>0.673</v>
      </c>
    </row>
    <row r="6187">
      <c r="A6187" s="535" t="n">
        <v>40197</v>
      </c>
      <c r="B6187" s="534" t="n">
        <v>12.492</v>
      </c>
      <c r="C6187" s="534" t="n">
        <v>21677.98</v>
      </c>
      <c r="E6187" s="535" t="n">
        <v>44015</v>
      </c>
      <c r="F6187" s="534" t="n">
        <v>0.672</v>
      </c>
    </row>
    <row r="6188">
      <c r="A6188" s="535" t="n">
        <v>40198</v>
      </c>
      <c r="B6188" s="534" t="n">
        <v>12.196</v>
      </c>
      <c r="C6188" s="534" t="n">
        <v>21286.17</v>
      </c>
      <c r="E6188" s="535" t="n">
        <v>44018</v>
      </c>
      <c r="F6188" s="534" t="n">
        <v>0.699</v>
      </c>
    </row>
    <row r="6189">
      <c r="A6189" s="535" t="n">
        <v>40199</v>
      </c>
      <c r="B6189" s="534" t="n">
        <v>12.248</v>
      </c>
      <c r="C6189" s="534" t="n">
        <v>20862.67</v>
      </c>
      <c r="E6189" s="535" t="n">
        <v>44019</v>
      </c>
      <c r="F6189" s="534" t="n">
        <v>0.643</v>
      </c>
    </row>
    <row r="6190">
      <c r="A6190" s="535" t="n">
        <v>40200</v>
      </c>
      <c r="B6190" s="534" t="n">
        <v>11.725</v>
      </c>
      <c r="C6190" s="534" t="n">
        <v>20726.18</v>
      </c>
      <c r="E6190" s="535" t="n">
        <v>44020</v>
      </c>
      <c r="F6190" s="534" t="n">
        <v>0.646</v>
      </c>
    </row>
    <row r="6191">
      <c r="A6191" s="535" t="n">
        <v>40203</v>
      </c>
      <c r="B6191" s="534" t="n">
        <v>11.568</v>
      </c>
      <c r="C6191" s="534" t="n">
        <v>20598.55</v>
      </c>
      <c r="E6191" s="535" t="n">
        <v>44021</v>
      </c>
      <c r="F6191" s="534" t="n">
        <v>0.647</v>
      </c>
    </row>
    <row r="6192">
      <c r="A6192" s="535" t="n">
        <v>40204</v>
      </c>
      <c r="B6192" s="534" t="n">
        <v>11.359</v>
      </c>
      <c r="C6192" s="534" t="n">
        <v>20109.33</v>
      </c>
      <c r="E6192" s="535" t="n">
        <v>44022</v>
      </c>
      <c r="F6192" s="534" t="n">
        <v>0.571</v>
      </c>
    </row>
    <row r="6193">
      <c r="A6193" s="535" t="n">
        <v>40205</v>
      </c>
      <c r="B6193" s="534" t="n">
        <v>11.237</v>
      </c>
      <c r="C6193" s="534" t="n">
        <v>20033.07</v>
      </c>
      <c r="E6193" s="535" t="n">
        <v>44025</v>
      </c>
      <c r="F6193" s="534" t="n">
        <v>0.576</v>
      </c>
    </row>
    <row r="6194">
      <c r="A6194" s="535" t="n">
        <v>40206</v>
      </c>
      <c r="B6194" s="534" t="n">
        <v>11.29</v>
      </c>
      <c r="C6194" s="534" t="n">
        <v>20356.37</v>
      </c>
      <c r="E6194" s="535" t="n">
        <v>44026</v>
      </c>
      <c r="F6194" s="534" t="n">
        <v>0.492</v>
      </c>
    </row>
    <row r="6195">
      <c r="A6195" s="535" t="n">
        <v>40207</v>
      </c>
      <c r="B6195" s="534" t="n">
        <v>11.15</v>
      </c>
      <c r="C6195" s="534" t="n">
        <v>20121.99</v>
      </c>
      <c r="E6195" s="535" t="n">
        <v>44027</v>
      </c>
      <c r="F6195" s="534" t="n">
        <v>0.488</v>
      </c>
    </row>
    <row r="6196">
      <c r="A6196" s="535" t="n">
        <v>40210</v>
      </c>
      <c r="B6196" s="534" t="n">
        <v>11.568</v>
      </c>
      <c r="C6196" s="534" t="n">
        <v>20243.75</v>
      </c>
      <c r="E6196" s="535" t="n">
        <v>44028</v>
      </c>
      <c r="F6196" s="534" t="n">
        <v>0.48</v>
      </c>
    </row>
    <row r="6197">
      <c r="A6197" s="535" t="n">
        <v>40211</v>
      </c>
      <c r="B6197" s="534" t="n">
        <v>11.412</v>
      </c>
      <c r="C6197" s="534" t="n">
        <v>20272.18</v>
      </c>
      <c r="E6197" s="535" t="n">
        <v>44029</v>
      </c>
      <c r="F6197" s="534" t="n">
        <v>0.443</v>
      </c>
    </row>
    <row r="6198">
      <c r="A6198" s="535" t="n">
        <v>40212</v>
      </c>
      <c r="B6198" s="534" t="n">
        <v>11.725</v>
      </c>
      <c r="C6198" s="534" t="n">
        <v>20722.08</v>
      </c>
      <c r="E6198" s="535" t="n">
        <v>44032</v>
      </c>
      <c r="F6198" s="534" t="n">
        <v>0.456</v>
      </c>
    </row>
    <row r="6199">
      <c r="A6199" s="535" t="n">
        <v>40213</v>
      </c>
      <c r="B6199" s="534" t="n">
        <v>11.673</v>
      </c>
      <c r="C6199" s="534" t="n">
        <v>20341.64</v>
      </c>
      <c r="E6199" s="535" t="n">
        <v>44033</v>
      </c>
      <c r="F6199" s="534" t="n">
        <v>0.509</v>
      </c>
    </row>
    <row r="6200">
      <c r="A6200" s="535" t="n">
        <v>40214</v>
      </c>
      <c r="B6200" s="534" t="n">
        <v>11.429</v>
      </c>
      <c r="C6200" s="534" t="n">
        <v>19665.08</v>
      </c>
      <c r="E6200" s="535" t="n">
        <v>44034</v>
      </c>
      <c r="F6200" s="534" t="n">
        <v>0.512</v>
      </c>
    </row>
    <row r="6201">
      <c r="A6201" s="535" t="n">
        <v>40217</v>
      </c>
      <c r="B6201" s="534" t="n">
        <v>11.586</v>
      </c>
      <c r="C6201" s="534" t="n">
        <v>19550.89</v>
      </c>
      <c r="E6201" s="535" t="n">
        <v>44035</v>
      </c>
      <c r="F6201" s="534" t="n">
        <v>0.519</v>
      </c>
    </row>
    <row r="6202">
      <c r="A6202" s="535" t="n">
        <v>40218</v>
      </c>
      <c r="B6202" s="534" t="n">
        <v>11.725</v>
      </c>
      <c r="C6202" s="534" t="n">
        <v>19790.28</v>
      </c>
      <c r="E6202" s="535" t="n">
        <v>44036</v>
      </c>
      <c r="F6202" s="534" t="n">
        <v>0.518</v>
      </c>
    </row>
    <row r="6203">
      <c r="A6203" s="535" t="n">
        <v>40219</v>
      </c>
      <c r="B6203" s="534" t="n">
        <v>11.568</v>
      </c>
      <c r="C6203" s="534" t="n">
        <v>19922.22</v>
      </c>
      <c r="E6203" s="535" t="n">
        <v>44039</v>
      </c>
      <c r="F6203" s="534" t="n">
        <v>0.498</v>
      </c>
    </row>
    <row r="6204">
      <c r="A6204" s="535" t="n">
        <v>40220</v>
      </c>
      <c r="B6204" s="534" t="n">
        <v>12.004</v>
      </c>
      <c r="C6204" s="534" t="n">
        <v>20290.69</v>
      </c>
      <c r="E6204" s="535" t="n">
        <v>44040</v>
      </c>
      <c r="F6204" s="534" t="n">
        <v>0.484</v>
      </c>
    </row>
    <row r="6205">
      <c r="A6205" s="535" t="n">
        <v>40221</v>
      </c>
      <c r="B6205" s="534" t="n">
        <v>12.3</v>
      </c>
      <c r="C6205" s="534" t="n">
        <v>20268.69</v>
      </c>
      <c r="E6205" s="535" t="n">
        <v>44041</v>
      </c>
      <c r="F6205" s="534" t="n">
        <v>0.434</v>
      </c>
    </row>
    <row r="6206">
      <c r="A6206" s="535" t="n">
        <v>40224</v>
      </c>
      <c r="B6206" s="534" t="n">
        <v>12.3</v>
      </c>
      <c r="C6206" s="534" t="n">
        <v>20268.69</v>
      </c>
      <c r="E6206" s="535" t="n">
        <v>44042</v>
      </c>
      <c r="F6206" s="534" t="n">
        <v>0.434</v>
      </c>
    </row>
    <row r="6207">
      <c r="A6207" s="535" t="n">
        <v>40225</v>
      </c>
      <c r="B6207" s="534" t="n">
        <v>12.3</v>
      </c>
      <c r="C6207" s="534" t="n">
        <v>20268.69</v>
      </c>
      <c r="E6207" s="535" t="n">
        <v>44043</v>
      </c>
      <c r="F6207" s="534" t="n">
        <v>0.416</v>
      </c>
    </row>
    <row r="6208">
      <c r="A6208" s="535" t="n">
        <v>40226</v>
      </c>
      <c r="B6208" s="534" t="n">
        <v>12.335</v>
      </c>
      <c r="C6208" s="534" t="n">
        <v>20534.01</v>
      </c>
      <c r="E6208" s="535" t="n">
        <v>44046</v>
      </c>
      <c r="F6208" s="534" t="n">
        <v>0.424</v>
      </c>
    </row>
    <row r="6209">
      <c r="A6209" s="535" t="n">
        <v>40227</v>
      </c>
      <c r="B6209" s="534" t="n">
        <v>12.457</v>
      </c>
      <c r="C6209" s="534" t="n">
        <v>20422.15</v>
      </c>
      <c r="E6209" s="535" t="n">
        <v>44047</v>
      </c>
      <c r="F6209" s="534" t="n">
        <v>0.443</v>
      </c>
    </row>
    <row r="6210">
      <c r="A6210" s="535" t="n">
        <v>40228</v>
      </c>
      <c r="B6210" s="534" t="n">
        <v>12.161</v>
      </c>
      <c r="C6210" s="534" t="n">
        <v>19894.02</v>
      </c>
      <c r="E6210" s="535" t="n">
        <v>44048</v>
      </c>
      <c r="F6210" s="534" t="n">
        <v>0.437</v>
      </c>
    </row>
    <row r="6211">
      <c r="A6211" s="535" t="n">
        <v>40231</v>
      </c>
      <c r="B6211" s="534" t="n">
        <v>12.213</v>
      </c>
      <c r="C6211" s="534" t="n">
        <v>20377.27</v>
      </c>
      <c r="E6211" s="535" t="n">
        <v>44049</v>
      </c>
      <c r="F6211" s="534" t="n">
        <v>0.462</v>
      </c>
    </row>
    <row r="6212">
      <c r="A6212" s="535" t="n">
        <v>40232</v>
      </c>
      <c r="B6212" s="534" t="n">
        <v>12.265</v>
      </c>
      <c r="C6212" s="534" t="n">
        <v>20623</v>
      </c>
      <c r="E6212" s="535" t="n">
        <v>44050</v>
      </c>
      <c r="F6212" s="534" t="n">
        <v>0.42</v>
      </c>
    </row>
    <row r="6213">
      <c r="A6213" s="535" t="n">
        <v>40233</v>
      </c>
      <c r="B6213" s="534" t="n">
        <v>12.265</v>
      </c>
      <c r="C6213" s="534" t="n">
        <v>20467.74</v>
      </c>
      <c r="E6213" s="535" t="n">
        <v>44053</v>
      </c>
      <c r="F6213" s="534" t="n">
        <v>0.443</v>
      </c>
    </row>
    <row r="6214">
      <c r="A6214" s="535" t="n">
        <v>40234</v>
      </c>
      <c r="B6214" s="534" t="n">
        <v>12.3</v>
      </c>
      <c r="C6214" s="534" t="n">
        <v>20399.57</v>
      </c>
      <c r="E6214" s="535" t="n">
        <v>44054</v>
      </c>
      <c r="F6214" s="534" t="n">
        <v>0.452</v>
      </c>
    </row>
    <row r="6215">
      <c r="A6215" s="535" t="n">
        <v>40235</v>
      </c>
      <c r="B6215" s="534" t="n">
        <v>12.561</v>
      </c>
      <c r="C6215" s="534" t="n">
        <v>20608.7</v>
      </c>
      <c r="E6215" s="535" t="n">
        <v>44055</v>
      </c>
      <c r="F6215" s="534" t="n">
        <v>0.522</v>
      </c>
    </row>
    <row r="6216">
      <c r="A6216" s="535" t="n">
        <v>40238</v>
      </c>
      <c r="B6216" s="534" t="n">
        <v>12.631</v>
      </c>
      <c r="C6216" s="534" t="n">
        <v>21056.93</v>
      </c>
      <c r="E6216" s="535" t="n">
        <v>44056</v>
      </c>
      <c r="F6216" s="534" t="n">
        <v>0.5</v>
      </c>
    </row>
    <row r="6217">
      <c r="A6217" s="535" t="n">
        <v>40239</v>
      </c>
      <c r="B6217" s="534" t="n">
        <v>12.509</v>
      </c>
      <c r="C6217" s="534" t="n">
        <v>20906.11</v>
      </c>
      <c r="E6217" s="535" t="n">
        <v>44057</v>
      </c>
      <c r="F6217" s="534" t="n">
        <v>0.522</v>
      </c>
    </row>
    <row r="6218">
      <c r="A6218" s="535" t="n">
        <v>40240</v>
      </c>
      <c r="B6218" s="534" t="n">
        <v>12.457</v>
      </c>
      <c r="C6218" s="534" t="n">
        <v>20876.79</v>
      </c>
      <c r="E6218" s="535" t="n">
        <v>44060</v>
      </c>
      <c r="F6218" s="534" t="n">
        <v>0.516</v>
      </c>
    </row>
    <row r="6219">
      <c r="A6219" s="535" t="n">
        <v>40241</v>
      </c>
      <c r="B6219" s="534" t="n">
        <v>12.544</v>
      </c>
      <c r="C6219" s="534" t="n">
        <v>20575.78</v>
      </c>
      <c r="E6219" s="535" t="n">
        <v>44061</v>
      </c>
      <c r="F6219" s="534" t="n">
        <v>0.509</v>
      </c>
    </row>
    <row r="6220">
      <c r="A6220" s="535" t="n">
        <v>40242</v>
      </c>
      <c r="B6220" s="534" t="n">
        <v>12.875</v>
      </c>
      <c r="C6220" s="534" t="n">
        <v>20787.97</v>
      </c>
      <c r="E6220" s="535" t="n">
        <v>44062</v>
      </c>
      <c r="F6220" s="534" t="n">
        <v>0.464</v>
      </c>
    </row>
    <row r="6221">
      <c r="A6221" s="535" t="n">
        <v>40245</v>
      </c>
      <c r="B6221" s="534" t="n">
        <v>12.666</v>
      </c>
      <c r="C6221" s="534" t="n">
        <v>21196.87</v>
      </c>
      <c r="E6221" s="535" t="n">
        <v>44063</v>
      </c>
      <c r="F6221" s="534" t="n">
        <v>0.464</v>
      </c>
    </row>
    <row r="6222">
      <c r="A6222" s="535" t="n">
        <v>40246</v>
      </c>
      <c r="B6222" s="534" t="n">
        <v>12.649</v>
      </c>
      <c r="C6222" s="534" t="n">
        <v>21207.55</v>
      </c>
      <c r="E6222" s="535" t="n">
        <v>44064</v>
      </c>
      <c r="F6222" s="534" t="n">
        <v>0.497</v>
      </c>
    </row>
    <row r="6223">
      <c r="A6223" s="535" t="n">
        <v>40247</v>
      </c>
      <c r="B6223" s="534" t="n">
        <v>13.241</v>
      </c>
      <c r="C6223" s="534" t="n">
        <v>21208.29</v>
      </c>
      <c r="E6223" s="535" t="n">
        <v>44067</v>
      </c>
      <c r="F6223" s="534" t="n">
        <v>0.504</v>
      </c>
    </row>
    <row r="6224">
      <c r="A6224" s="535" t="n">
        <v>40248</v>
      </c>
      <c r="B6224" s="534" t="n">
        <v>13.485</v>
      </c>
      <c r="C6224" s="534" t="n">
        <v>21228.2</v>
      </c>
      <c r="E6224" s="535" t="n">
        <v>44068</v>
      </c>
      <c r="F6224" s="534" t="n">
        <v>0.52</v>
      </c>
    </row>
    <row r="6225">
      <c r="A6225" s="535" t="n">
        <v>40249</v>
      </c>
      <c r="B6225" s="534" t="n">
        <v>13.345</v>
      </c>
      <c r="C6225" s="534" t="n">
        <v>21209.74</v>
      </c>
      <c r="E6225" s="535" t="n">
        <v>44069</v>
      </c>
      <c r="F6225" s="534" t="n">
        <v>0.5580000000000001</v>
      </c>
    </row>
    <row r="6226">
      <c r="A6226" s="535" t="n">
        <v>40252</v>
      </c>
      <c r="B6226" s="534" t="n">
        <v>13.014</v>
      </c>
      <c r="C6226" s="534" t="n">
        <v>21079.1</v>
      </c>
      <c r="E6226" s="535" t="n">
        <v>44070</v>
      </c>
      <c r="F6226" s="534" t="n">
        <v>0.535</v>
      </c>
    </row>
    <row r="6227">
      <c r="A6227" s="535" t="n">
        <v>40253</v>
      </c>
      <c r="B6227" s="534" t="n">
        <v>13.049</v>
      </c>
      <c r="C6227" s="534" t="n">
        <v>21022.93</v>
      </c>
      <c r="E6227" s="535" t="n">
        <v>44071</v>
      </c>
      <c r="F6227" s="534" t="n">
        <v>0.598</v>
      </c>
    </row>
    <row r="6228">
      <c r="A6228" s="535" t="n">
        <v>40254</v>
      </c>
      <c r="B6228" s="534" t="n">
        <v>13.398</v>
      </c>
      <c r="C6228" s="534" t="n">
        <v>21384.49</v>
      </c>
      <c r="E6228" s="535" t="n">
        <v>44074</v>
      </c>
      <c r="F6228" s="534" t="n">
        <v>0.578</v>
      </c>
    </row>
    <row r="6229">
      <c r="A6229" s="535" t="n">
        <v>40255</v>
      </c>
      <c r="B6229" s="534" t="n">
        <v>13.433</v>
      </c>
      <c r="C6229" s="534" t="n">
        <v>21330.67</v>
      </c>
      <c r="E6229" s="535" t="n">
        <v>44075</v>
      </c>
      <c r="F6229" s="534" t="n">
        <v>0.588</v>
      </c>
    </row>
    <row r="6230">
      <c r="A6230" s="535" t="n">
        <v>40256</v>
      </c>
      <c r="B6230" s="534" t="n">
        <v>13.624</v>
      </c>
      <c r="C6230" s="534" t="n">
        <v>21370.82</v>
      </c>
      <c r="E6230" s="535" t="n">
        <v>44076</v>
      </c>
      <c r="F6230" s="534" t="n">
        <v>0.5570000000000001</v>
      </c>
    </row>
    <row r="6231">
      <c r="A6231" s="535" t="n">
        <v>40259</v>
      </c>
      <c r="B6231" s="534" t="n">
        <v>13.607</v>
      </c>
      <c r="C6231" s="534" t="n">
        <v>20933.25</v>
      </c>
      <c r="E6231" s="535" t="n">
        <v>44077</v>
      </c>
      <c r="F6231" s="534" t="n">
        <v>0.546</v>
      </c>
    </row>
    <row r="6232">
      <c r="A6232" s="535" t="n">
        <v>40260</v>
      </c>
      <c r="B6232" s="534" t="n">
        <v>13.729</v>
      </c>
      <c r="C6232" s="534" t="n">
        <v>20987.78</v>
      </c>
      <c r="E6232" s="535" t="n">
        <v>44078</v>
      </c>
      <c r="F6232" s="534" t="n">
        <v>0.527</v>
      </c>
    </row>
    <row r="6233">
      <c r="A6233" s="535" t="n">
        <v>40261</v>
      </c>
      <c r="B6233" s="534" t="n">
        <v>13.973</v>
      </c>
      <c r="C6233" s="534" t="n">
        <v>21008.62</v>
      </c>
      <c r="E6233" s="535" t="n">
        <v>44081</v>
      </c>
      <c r="F6233" s="534" t="n">
        <v>0.556</v>
      </c>
    </row>
    <row r="6234">
      <c r="A6234" s="535" t="n">
        <v>40262</v>
      </c>
      <c r="B6234" s="534" t="n">
        <v>13.833</v>
      </c>
      <c r="C6234" s="534" t="n">
        <v>20778.55</v>
      </c>
      <c r="E6234" s="535" t="n">
        <v>44082</v>
      </c>
      <c r="F6234" s="534" t="n">
        <v>0.538</v>
      </c>
    </row>
    <row r="6235">
      <c r="A6235" s="535" t="n">
        <v>40263</v>
      </c>
      <c r="B6235" s="534" t="n">
        <v>14.112</v>
      </c>
      <c r="C6235" s="534" t="n">
        <v>21053.11</v>
      </c>
      <c r="E6235" s="535" t="n">
        <v>44083</v>
      </c>
      <c r="F6235" s="534" t="n">
        <v>0.507</v>
      </c>
    </row>
    <row r="6236">
      <c r="A6236" s="535" t="n">
        <v>40266</v>
      </c>
      <c r="B6236" s="534" t="n">
        <v>14.338</v>
      </c>
      <c r="C6236" s="534" t="n">
        <v>21237.43</v>
      </c>
      <c r="E6236" s="535" t="n">
        <v>44084</v>
      </c>
      <c r="F6236" s="534" t="n">
        <v>0.52</v>
      </c>
    </row>
    <row r="6237">
      <c r="A6237" s="535" t="n">
        <v>40267</v>
      </c>
      <c r="B6237" s="534" t="n">
        <v>14.304</v>
      </c>
      <c r="C6237" s="534" t="n">
        <v>21374.79</v>
      </c>
      <c r="E6237" s="535" t="n">
        <v>44085</v>
      </c>
      <c r="F6237" s="534" t="n">
        <v>0.524</v>
      </c>
    </row>
    <row r="6238">
      <c r="A6238" s="535" t="n">
        <v>40268</v>
      </c>
      <c r="B6238" s="534" t="n">
        <v>14.251</v>
      </c>
      <c r="C6238" s="534" t="n">
        <v>21239.35</v>
      </c>
      <c r="E6238" s="535" t="n">
        <v>44088</v>
      </c>
      <c r="F6238" s="534" t="n">
        <v>0.524</v>
      </c>
    </row>
    <row r="6239">
      <c r="A6239" s="535" t="n">
        <v>40269</v>
      </c>
      <c r="B6239" s="534" t="n">
        <v>14.338</v>
      </c>
      <c r="C6239" s="534" t="n">
        <v>21537</v>
      </c>
      <c r="E6239" s="535" t="n">
        <v>44089</v>
      </c>
      <c r="F6239" s="534" t="n">
        <v>0.534</v>
      </c>
    </row>
    <row r="6240">
      <c r="A6240" s="535" t="n">
        <v>40270</v>
      </c>
      <c r="B6240" s="534" t="n">
        <v>14.338</v>
      </c>
      <c r="C6240" s="534" t="n">
        <v>21537</v>
      </c>
      <c r="E6240" s="535" t="n">
        <v>44090</v>
      </c>
      <c r="F6240" s="534" t="n">
        <v>0.549</v>
      </c>
    </row>
    <row r="6241">
      <c r="A6241" s="535" t="n">
        <v>40273</v>
      </c>
      <c r="B6241" s="534" t="n">
        <v>14.338</v>
      </c>
      <c r="C6241" s="534" t="n">
        <v>21537</v>
      </c>
      <c r="E6241" s="535" t="n">
        <v>44091</v>
      </c>
      <c r="F6241" s="534" t="n">
        <v>0.576</v>
      </c>
    </row>
    <row r="6242">
      <c r="A6242" s="535" t="n">
        <v>40274</v>
      </c>
      <c r="B6242" s="534" t="n">
        <v>14.338</v>
      </c>
      <c r="C6242" s="534" t="n">
        <v>21537</v>
      </c>
      <c r="E6242" s="535" t="n">
        <v>44092</v>
      </c>
      <c r="F6242" s="534" t="n">
        <v>0.5669999999999999</v>
      </c>
    </row>
    <row r="6243">
      <c r="A6243" s="535" t="n">
        <v>40275</v>
      </c>
      <c r="B6243" s="534" t="n">
        <v>14.652</v>
      </c>
      <c r="C6243" s="534" t="n">
        <v>21928.77</v>
      </c>
      <c r="E6243" s="535" t="n">
        <v>44095</v>
      </c>
      <c r="F6243" s="534" t="n">
        <v>0.5649999999999999</v>
      </c>
    </row>
    <row r="6244">
      <c r="A6244" s="535" t="n">
        <v>40276</v>
      </c>
      <c r="B6244" s="534" t="n">
        <v>14.373</v>
      </c>
      <c r="C6244" s="534" t="n">
        <v>21867.04</v>
      </c>
      <c r="E6244" s="535" t="n">
        <v>44096</v>
      </c>
      <c r="F6244" s="534" t="n">
        <v>0.528</v>
      </c>
    </row>
    <row r="6245">
      <c r="A6245" s="535" t="n">
        <v>40277</v>
      </c>
      <c r="B6245" s="534" t="n">
        <v>14.443</v>
      </c>
      <c r="C6245" s="534" t="n">
        <v>22208.5</v>
      </c>
      <c r="E6245" s="535" t="n">
        <v>44097</v>
      </c>
      <c r="F6245" s="534" t="n">
        <v>0.491</v>
      </c>
    </row>
    <row r="6246">
      <c r="A6246" s="535" t="n">
        <v>40280</v>
      </c>
      <c r="B6246" s="534" t="n">
        <v>14.513</v>
      </c>
      <c r="C6246" s="534" t="n">
        <v>22138.17</v>
      </c>
      <c r="E6246" s="535" t="n">
        <v>44098</v>
      </c>
      <c r="F6246" s="534" t="n">
        <v>0.462</v>
      </c>
    </row>
    <row r="6247">
      <c r="A6247" s="535" t="n">
        <v>40281</v>
      </c>
      <c r="B6247" s="534" t="n">
        <v>14.286</v>
      </c>
      <c r="C6247" s="534" t="n">
        <v>22103.53</v>
      </c>
      <c r="E6247" s="535" t="n">
        <v>44099</v>
      </c>
      <c r="F6247" s="534" t="n">
        <v>0.482</v>
      </c>
    </row>
    <row r="6248">
      <c r="A6248" s="535" t="n">
        <v>40282</v>
      </c>
      <c r="B6248" s="534" t="n">
        <v>14.164</v>
      </c>
      <c r="C6248" s="534" t="n">
        <v>22121.43</v>
      </c>
      <c r="E6248" s="535" t="n">
        <v>44102</v>
      </c>
      <c r="F6248" s="534" t="n">
        <v>0.481</v>
      </c>
    </row>
    <row r="6249">
      <c r="A6249" s="535" t="n">
        <v>40283</v>
      </c>
      <c r="B6249" s="534" t="n">
        <v>14.06</v>
      </c>
      <c r="C6249" s="534" t="n">
        <v>22157.82</v>
      </c>
      <c r="E6249" s="535" t="n">
        <v>44103</v>
      </c>
      <c r="F6249" s="534" t="n">
        <v>0.472</v>
      </c>
    </row>
    <row r="6250">
      <c r="A6250" s="535" t="n">
        <v>40284</v>
      </c>
      <c r="B6250" s="534" t="n">
        <v>13.816</v>
      </c>
      <c r="C6250" s="534" t="n">
        <v>21865.26</v>
      </c>
      <c r="E6250" s="535" t="n">
        <v>44104</v>
      </c>
      <c r="F6250" s="534" t="n">
        <v>0.472</v>
      </c>
    </row>
    <row r="6251">
      <c r="A6251" s="535" t="n">
        <v>40287</v>
      </c>
      <c r="B6251" s="534" t="n">
        <v>13.694</v>
      </c>
      <c r="C6251" s="534" t="n">
        <v>21405.17</v>
      </c>
      <c r="E6251" s="535" t="n">
        <v>44105</v>
      </c>
      <c r="F6251" s="534" t="n">
        <v>0.472</v>
      </c>
    </row>
    <row r="6252">
      <c r="A6252" s="535" t="n">
        <v>40288</v>
      </c>
      <c r="B6252" s="534" t="n">
        <v>13.833</v>
      </c>
      <c r="C6252" s="534" t="n">
        <v>21623.38</v>
      </c>
      <c r="E6252" s="535" t="n">
        <v>44106</v>
      </c>
      <c r="F6252" s="534" t="n">
        <v>0.472</v>
      </c>
    </row>
    <row r="6253">
      <c r="A6253" s="535" t="n">
        <v>40289</v>
      </c>
      <c r="B6253" s="534" t="n">
        <v>14.426</v>
      </c>
      <c r="C6253" s="534" t="n">
        <v>21510.93</v>
      </c>
      <c r="E6253" s="535" t="n">
        <v>44109</v>
      </c>
      <c r="F6253" s="534" t="n">
        <v>0.493</v>
      </c>
    </row>
    <row r="6254">
      <c r="A6254" s="535" t="n">
        <v>40290</v>
      </c>
      <c r="B6254" s="534" t="n">
        <v>14.53</v>
      </c>
      <c r="C6254" s="534" t="n">
        <v>21454.94</v>
      </c>
      <c r="E6254" s="535" t="n">
        <v>44110</v>
      </c>
      <c r="F6254" s="534" t="n">
        <v>0.528</v>
      </c>
    </row>
    <row r="6255">
      <c r="A6255" s="535" t="n">
        <v>40291</v>
      </c>
      <c r="B6255" s="534" t="n">
        <v>14.548</v>
      </c>
      <c r="C6255" s="534" t="n">
        <v>21244.49</v>
      </c>
      <c r="E6255" s="535" t="n">
        <v>44111</v>
      </c>
      <c r="F6255" s="534" t="n">
        <v>0.544</v>
      </c>
    </row>
    <row r="6256">
      <c r="A6256" s="535" t="n">
        <v>40294</v>
      </c>
      <c r="B6256" s="534" t="n">
        <v>14.617</v>
      </c>
      <c r="C6256" s="534" t="n">
        <v>21587.06</v>
      </c>
      <c r="E6256" s="535" t="n">
        <v>44112</v>
      </c>
      <c r="F6256" s="534" t="n">
        <v>0.5639999999999999</v>
      </c>
    </row>
    <row r="6257">
      <c r="A6257" s="535" t="n">
        <v>40295</v>
      </c>
      <c r="B6257" s="534" t="n">
        <v>14.251</v>
      </c>
      <c r="C6257" s="534" t="n">
        <v>21261.79</v>
      </c>
      <c r="E6257" s="535" t="n">
        <v>44113</v>
      </c>
      <c r="F6257" s="534" t="n">
        <v>0.57</v>
      </c>
    </row>
    <row r="6258">
      <c r="A6258" s="535" t="n">
        <v>40296</v>
      </c>
      <c r="B6258" s="534" t="n">
        <v>14.164</v>
      </c>
      <c r="C6258" s="534" t="n">
        <v>20949.4</v>
      </c>
      <c r="E6258" s="535" t="n">
        <v>44116</v>
      </c>
      <c r="F6258" s="534" t="n">
        <v>0.576</v>
      </c>
    </row>
    <row r="6259">
      <c r="A6259" s="535" t="n">
        <v>40297</v>
      </c>
      <c r="B6259" s="534" t="n">
        <v>14.269</v>
      </c>
      <c r="C6259" s="534" t="n">
        <v>20778.92</v>
      </c>
      <c r="E6259" s="535" t="n">
        <v>44117</v>
      </c>
      <c r="F6259" s="534" t="n">
        <v>0.576</v>
      </c>
    </row>
    <row r="6260">
      <c r="A6260" s="535" t="n">
        <v>40298</v>
      </c>
      <c r="B6260" s="534" t="n">
        <v>14.321</v>
      </c>
      <c r="C6260" s="534" t="n">
        <v>21108.59</v>
      </c>
      <c r="E6260" s="535" t="n">
        <v>44118</v>
      </c>
      <c r="F6260" s="534" t="n">
        <v>0.536</v>
      </c>
    </row>
    <row r="6261">
      <c r="A6261" s="535" t="n">
        <v>40301</v>
      </c>
      <c r="B6261" s="534" t="n">
        <v>14.077</v>
      </c>
      <c r="C6261" s="534" t="n">
        <v>20811.36</v>
      </c>
      <c r="E6261" s="535" t="n">
        <v>44119</v>
      </c>
      <c r="F6261" s="534" t="n">
        <v>0.512</v>
      </c>
    </row>
    <row r="6262">
      <c r="A6262" s="535" t="n">
        <v>40302</v>
      </c>
      <c r="B6262" s="534" t="n">
        <v>14.304</v>
      </c>
      <c r="C6262" s="534" t="n">
        <v>20763.05</v>
      </c>
      <c r="E6262" s="535" t="n">
        <v>44120</v>
      </c>
      <c r="F6262" s="534" t="n">
        <v>0.513</v>
      </c>
    </row>
    <row r="6263">
      <c r="A6263" s="535" t="n">
        <v>40303</v>
      </c>
      <c r="B6263" s="534" t="n">
        <v>13.955</v>
      </c>
      <c r="C6263" s="534" t="n">
        <v>20327.54</v>
      </c>
      <c r="E6263" s="535" t="n">
        <v>44123</v>
      </c>
      <c r="F6263" s="534" t="n">
        <v>0.522</v>
      </c>
    </row>
    <row r="6264">
      <c r="A6264" s="535" t="n">
        <v>40304</v>
      </c>
      <c r="B6264" s="534" t="n">
        <v>13.659</v>
      </c>
      <c r="C6264" s="534" t="n">
        <v>20133.41</v>
      </c>
      <c r="E6264" s="535" t="n">
        <v>44124</v>
      </c>
      <c r="F6264" s="534" t="n">
        <v>0.538</v>
      </c>
    </row>
    <row r="6265">
      <c r="A6265" s="535" t="n">
        <v>40305</v>
      </c>
      <c r="B6265" s="534" t="n">
        <v>13.206</v>
      </c>
      <c r="C6265" s="534" t="n">
        <v>19920.29</v>
      </c>
      <c r="E6265" s="535" t="n">
        <v>44125</v>
      </c>
      <c r="F6265" s="534" t="n">
        <v>0.587</v>
      </c>
    </row>
    <row r="6266">
      <c r="A6266" s="535" t="n">
        <v>40308</v>
      </c>
      <c r="B6266" s="534" t="n">
        <v>13.241</v>
      </c>
      <c r="C6266" s="534" t="n">
        <v>20426.64</v>
      </c>
      <c r="E6266" s="535" t="n">
        <v>44126</v>
      </c>
      <c r="F6266" s="534" t="n">
        <v>0.5669999999999999</v>
      </c>
    </row>
    <row r="6267">
      <c r="A6267" s="535" t="n">
        <v>40309</v>
      </c>
      <c r="B6267" s="534" t="n">
        <v>13.589</v>
      </c>
      <c r="C6267" s="534" t="n">
        <v>20146.51</v>
      </c>
      <c r="E6267" s="535" t="n">
        <v>44127</v>
      </c>
      <c r="F6267" s="534" t="n">
        <v>0.582</v>
      </c>
    </row>
    <row r="6268">
      <c r="A6268" s="535" t="n">
        <v>40310</v>
      </c>
      <c r="B6268" s="534" t="n">
        <v>13.589</v>
      </c>
      <c r="C6268" s="534" t="n">
        <v>20212.49</v>
      </c>
      <c r="E6268" s="535" t="n">
        <v>44130</v>
      </c>
      <c r="F6268" s="534" t="n">
        <v>0.582</v>
      </c>
    </row>
    <row r="6269">
      <c r="A6269" s="535" t="n">
        <v>40311</v>
      </c>
      <c r="B6269" s="534" t="n">
        <v>13.903</v>
      </c>
      <c r="C6269" s="534" t="n">
        <v>20422.46</v>
      </c>
      <c r="E6269" s="535" t="n">
        <v>44131</v>
      </c>
      <c r="F6269" s="534" t="n">
        <v>0.55</v>
      </c>
    </row>
    <row r="6270">
      <c r="A6270" s="535" t="n">
        <v>40312</v>
      </c>
      <c r="B6270" s="534" t="n">
        <v>13.746</v>
      </c>
      <c r="C6270" s="534" t="n">
        <v>20145.43</v>
      </c>
      <c r="E6270" s="535" t="n">
        <v>44132</v>
      </c>
      <c r="F6270" s="534" t="n">
        <v>0.55</v>
      </c>
    </row>
    <row r="6271">
      <c r="A6271" s="535" t="n">
        <v>40315</v>
      </c>
      <c r="B6271" s="534" t="n">
        <v>13.311</v>
      </c>
      <c r="C6271" s="534" t="n">
        <v>19715.2</v>
      </c>
      <c r="E6271" s="535" t="n">
        <v>44133</v>
      </c>
      <c r="F6271" s="534" t="n">
        <v>0.572</v>
      </c>
    </row>
    <row r="6272">
      <c r="A6272" s="535" t="n">
        <v>40316</v>
      </c>
      <c r="B6272" s="534" t="n">
        <v>13.276</v>
      </c>
      <c r="C6272" s="534" t="n">
        <v>19944.94</v>
      </c>
      <c r="E6272" s="535" t="n">
        <v>44134</v>
      </c>
      <c r="F6272" s="534" t="n">
        <v>0.583</v>
      </c>
    </row>
    <row r="6273">
      <c r="A6273" s="535" t="n">
        <v>40317</v>
      </c>
      <c r="B6273" s="534" t="n">
        <v>13.171</v>
      </c>
      <c r="C6273" s="534" t="n">
        <v>19578.98</v>
      </c>
      <c r="E6273" s="535" t="n">
        <v>44137</v>
      </c>
      <c r="F6273" s="534" t="n">
        <v>0.495</v>
      </c>
    </row>
    <row r="6274">
      <c r="A6274" s="535" t="n">
        <v>40318</v>
      </c>
      <c r="B6274" s="534" t="n">
        <v>13.084</v>
      </c>
      <c r="C6274" s="534" t="n">
        <v>19545.83</v>
      </c>
      <c r="E6274" s="535" t="n">
        <v>44138</v>
      </c>
      <c r="F6274" s="534" t="n">
        <v>0.581</v>
      </c>
    </row>
    <row r="6275">
      <c r="A6275" s="535" t="n">
        <v>40319</v>
      </c>
      <c r="B6275" s="534" t="n">
        <v>13.084</v>
      </c>
      <c r="C6275" s="534" t="n">
        <v>19545.83</v>
      </c>
      <c r="E6275" s="535" t="n">
        <v>44139</v>
      </c>
      <c r="F6275" s="534" t="n">
        <v>0.553</v>
      </c>
    </row>
    <row r="6276">
      <c r="A6276" s="535" t="n">
        <v>40322</v>
      </c>
      <c r="B6276" s="534" t="n">
        <v>13.084</v>
      </c>
      <c r="C6276" s="534" t="n">
        <v>19667.76</v>
      </c>
      <c r="E6276" s="535" t="n">
        <v>44140</v>
      </c>
      <c r="F6276" s="534" t="n">
        <v>0.553</v>
      </c>
    </row>
    <row r="6277">
      <c r="A6277" s="535" t="n">
        <v>40323</v>
      </c>
      <c r="B6277" s="534" t="n">
        <v>12.631</v>
      </c>
      <c r="C6277" s="534" t="n">
        <v>18985.5</v>
      </c>
      <c r="E6277" s="535" t="n">
        <v>44141</v>
      </c>
      <c r="F6277" s="534" t="n">
        <v>0.536</v>
      </c>
    </row>
    <row r="6278">
      <c r="A6278" s="535" t="n">
        <v>40324</v>
      </c>
      <c r="B6278" s="534" t="n">
        <v>12.561</v>
      </c>
      <c r="C6278" s="534" t="n">
        <v>19196.45</v>
      </c>
      <c r="E6278" s="535" t="n">
        <v>44144</v>
      </c>
      <c r="F6278" s="534" t="n">
        <v>0.533</v>
      </c>
    </row>
    <row r="6279">
      <c r="A6279" s="535" t="n">
        <v>40325</v>
      </c>
      <c r="B6279" s="534" t="n">
        <v>12.858</v>
      </c>
      <c r="C6279" s="534" t="n">
        <v>19431.37</v>
      </c>
      <c r="E6279" s="535" t="n">
        <v>44145</v>
      </c>
      <c r="F6279" s="534" t="n">
        <v>0.572</v>
      </c>
    </row>
    <row r="6280">
      <c r="A6280" s="535" t="n">
        <v>40326</v>
      </c>
      <c r="B6280" s="534" t="n">
        <v>13.084</v>
      </c>
      <c r="C6280" s="534" t="n">
        <v>19766.71</v>
      </c>
      <c r="E6280" s="535" t="n">
        <v>44146</v>
      </c>
      <c r="F6280" s="534" t="n">
        <v>0.648</v>
      </c>
    </row>
    <row r="6281">
      <c r="A6281" s="535" t="n">
        <v>40329</v>
      </c>
      <c r="B6281" s="534" t="n">
        <v>13.433</v>
      </c>
      <c r="C6281" s="534" t="n">
        <v>19765.19</v>
      </c>
      <c r="E6281" s="535" t="n">
        <v>44147</v>
      </c>
      <c r="F6281" s="534" t="n">
        <v>0.643</v>
      </c>
    </row>
    <row r="6282">
      <c r="A6282" s="535" t="n">
        <v>40330</v>
      </c>
      <c r="B6282" s="534" t="n">
        <v>13.433</v>
      </c>
      <c r="C6282" s="534" t="n">
        <v>19496.95</v>
      </c>
      <c r="E6282" s="535" t="n">
        <v>44148</v>
      </c>
      <c r="F6282" s="534" t="n">
        <v>0.6860000000000001</v>
      </c>
    </row>
    <row r="6283">
      <c r="A6283" s="535" t="n">
        <v>40331</v>
      </c>
      <c r="B6283" s="534" t="n">
        <v>13.311</v>
      </c>
      <c r="C6283" s="534" t="n">
        <v>19471.8</v>
      </c>
      <c r="E6283" s="535" t="n">
        <v>44151</v>
      </c>
      <c r="F6283" s="534" t="n">
        <v>0.713</v>
      </c>
    </row>
    <row r="6284">
      <c r="A6284" s="535" t="n">
        <v>40332</v>
      </c>
      <c r="B6284" s="534" t="n">
        <v>13.52</v>
      </c>
      <c r="C6284" s="534" t="n">
        <v>19786.71</v>
      </c>
      <c r="E6284" s="535" t="n">
        <v>44152</v>
      </c>
      <c r="F6284" s="534" t="n">
        <v>0.715</v>
      </c>
    </row>
    <row r="6285">
      <c r="A6285" s="535" t="n">
        <v>40333</v>
      </c>
      <c r="B6285" s="534" t="n">
        <v>13.659</v>
      </c>
      <c r="C6285" s="534" t="n">
        <v>19780.07</v>
      </c>
      <c r="E6285" s="535" t="n">
        <v>44153</v>
      </c>
      <c r="F6285" s="534" t="n">
        <v>0.6870000000000001</v>
      </c>
    </row>
    <row r="6286">
      <c r="A6286" s="535" t="n">
        <v>40336</v>
      </c>
      <c r="B6286" s="534" t="n">
        <v>13.659</v>
      </c>
      <c r="C6286" s="534" t="n">
        <v>19378.15</v>
      </c>
      <c r="E6286" s="535" t="n">
        <v>44154</v>
      </c>
      <c r="F6286" s="534" t="n">
        <v>0.681</v>
      </c>
    </row>
    <row r="6287">
      <c r="A6287" s="535" t="n">
        <v>40337</v>
      </c>
      <c r="B6287" s="534" t="n">
        <v>13.798</v>
      </c>
      <c r="C6287" s="534" t="n">
        <v>19487.48</v>
      </c>
      <c r="E6287" s="535" t="n">
        <v>44155</v>
      </c>
      <c r="F6287" s="534" t="n">
        <v>0.655</v>
      </c>
    </row>
    <row r="6288">
      <c r="A6288" s="535" t="n">
        <v>40338</v>
      </c>
      <c r="B6288" s="534" t="n">
        <v>13.415</v>
      </c>
      <c r="C6288" s="534" t="n">
        <v>19621.24</v>
      </c>
      <c r="E6288" s="535" t="n">
        <v>44158</v>
      </c>
      <c r="F6288" s="534" t="n">
        <v>0.668</v>
      </c>
    </row>
    <row r="6289">
      <c r="A6289" s="535" t="n">
        <v>40339</v>
      </c>
      <c r="B6289" s="534" t="n">
        <v>13.433</v>
      </c>
      <c r="C6289" s="534" t="n">
        <v>19632.7</v>
      </c>
      <c r="E6289" s="535" t="n">
        <v>44159</v>
      </c>
      <c r="F6289" s="534" t="n">
        <v>0.698</v>
      </c>
    </row>
    <row r="6290">
      <c r="A6290" s="535" t="n">
        <v>40340</v>
      </c>
      <c r="B6290" s="534" t="n">
        <v>13.589</v>
      </c>
      <c r="C6290" s="534" t="n">
        <v>19872.38</v>
      </c>
      <c r="E6290" s="535" t="n">
        <v>44160</v>
      </c>
      <c r="F6290" s="534" t="n">
        <v>0.709</v>
      </c>
    </row>
    <row r="6291">
      <c r="A6291" s="535" t="n">
        <v>40343</v>
      </c>
      <c r="B6291" s="534" t="n">
        <v>13.607</v>
      </c>
      <c r="C6291" s="534" t="n">
        <v>20051.91</v>
      </c>
      <c r="E6291" s="535" t="n">
        <v>44161</v>
      </c>
      <c r="F6291" s="534" t="n">
        <v>0.709</v>
      </c>
    </row>
    <row r="6292">
      <c r="A6292" s="535" t="n">
        <v>40344</v>
      </c>
      <c r="B6292" s="534" t="n">
        <v>13.676</v>
      </c>
      <c r="C6292" s="534" t="n">
        <v>20062.15</v>
      </c>
      <c r="E6292" s="535" t="n">
        <v>44162</v>
      </c>
      <c r="F6292" s="534" t="n">
        <v>0.6870000000000001</v>
      </c>
    </row>
    <row r="6293">
      <c r="A6293" s="535" t="n">
        <v>40345</v>
      </c>
      <c r="B6293" s="534" t="n">
        <v>13.676</v>
      </c>
      <c r="C6293" s="534" t="n">
        <v>20062.15</v>
      </c>
      <c r="E6293" s="535" t="n">
        <v>44165</v>
      </c>
      <c r="F6293" s="534" t="n">
        <v>0.673</v>
      </c>
    </row>
    <row r="6294">
      <c r="A6294" s="535" t="n">
        <v>40346</v>
      </c>
      <c r="B6294" s="534" t="n">
        <v>13.833</v>
      </c>
      <c r="C6294" s="534" t="n">
        <v>20138.4</v>
      </c>
      <c r="E6294" s="535" t="n">
        <v>44166</v>
      </c>
      <c r="F6294" s="534" t="n">
        <v>0.658</v>
      </c>
    </row>
    <row r="6295">
      <c r="A6295" s="535" t="n">
        <v>40347</v>
      </c>
      <c r="B6295" s="534" t="n">
        <v>13.816</v>
      </c>
      <c r="C6295" s="534" t="n">
        <v>20286.71</v>
      </c>
      <c r="E6295" s="535" t="n">
        <v>44167</v>
      </c>
      <c r="F6295" s="534" t="n">
        <v>0.7</v>
      </c>
    </row>
    <row r="6296">
      <c r="A6296" s="535" t="n">
        <v>40350</v>
      </c>
      <c r="B6296" s="534" t="n">
        <v>14.077</v>
      </c>
      <c r="C6296" s="534" t="n">
        <v>20912.18</v>
      </c>
      <c r="E6296" s="535" t="n">
        <v>44168</v>
      </c>
      <c r="F6296" s="534" t="n">
        <v>0.71</v>
      </c>
    </row>
    <row r="6297">
      <c r="A6297" s="535" t="n">
        <v>40351</v>
      </c>
      <c r="B6297" s="534" t="n">
        <v>13.99</v>
      </c>
      <c r="C6297" s="534" t="n">
        <v>20819.08</v>
      </c>
      <c r="E6297" s="535" t="n">
        <v>44169</v>
      </c>
      <c r="F6297" s="534" t="n">
        <v>0.6870000000000001</v>
      </c>
    </row>
    <row r="6298">
      <c r="A6298" s="535" t="n">
        <v>40352</v>
      </c>
      <c r="B6298" s="534" t="n">
        <v>13.781</v>
      </c>
      <c r="C6298" s="534" t="n">
        <v>20856.61</v>
      </c>
      <c r="E6298" s="535" t="n">
        <v>44172</v>
      </c>
      <c r="F6298" s="534" t="n">
        <v>0.725</v>
      </c>
    </row>
    <row r="6299">
      <c r="A6299" s="535" t="n">
        <v>40353</v>
      </c>
      <c r="B6299" s="534" t="n">
        <v>13.764</v>
      </c>
      <c r="C6299" s="534" t="n">
        <v>20733.49</v>
      </c>
      <c r="E6299" s="535" t="n">
        <v>44173</v>
      </c>
      <c r="F6299" s="534" t="n">
        <v>0.712</v>
      </c>
    </row>
    <row r="6300">
      <c r="A6300" s="535" t="n">
        <v>40354</v>
      </c>
      <c r="B6300" s="534" t="n">
        <v>13.833</v>
      </c>
      <c r="C6300" s="534" t="n">
        <v>20690.79</v>
      </c>
      <c r="E6300" s="535" t="n">
        <v>44174</v>
      </c>
      <c r="F6300" s="534" t="n">
        <v>0.771</v>
      </c>
    </row>
    <row r="6301">
      <c r="A6301" s="535" t="n">
        <v>40357</v>
      </c>
      <c r="B6301" s="534" t="n">
        <v>13.903</v>
      </c>
      <c r="C6301" s="534" t="n">
        <v>20726.68</v>
      </c>
      <c r="E6301" s="535" t="n">
        <v>44175</v>
      </c>
      <c r="F6301" s="534" t="n">
        <v>0.762</v>
      </c>
    </row>
    <row r="6302">
      <c r="A6302" s="535" t="n">
        <v>40358</v>
      </c>
      <c r="B6302" s="534" t="n">
        <v>13.433</v>
      </c>
      <c r="C6302" s="534" t="n">
        <v>20248.9</v>
      </c>
      <c r="E6302" s="535" t="n">
        <v>44176</v>
      </c>
      <c r="F6302" s="534" t="n">
        <v>0.752</v>
      </c>
    </row>
    <row r="6303">
      <c r="A6303" s="535" t="n">
        <v>40359</v>
      </c>
      <c r="B6303" s="534" t="n">
        <v>13.502</v>
      </c>
      <c r="C6303" s="534" t="n">
        <v>20128.99</v>
      </c>
      <c r="E6303" s="535" t="n">
        <v>44179</v>
      </c>
      <c r="F6303" s="534" t="n">
        <v>0.754</v>
      </c>
    </row>
    <row r="6304">
      <c r="A6304" s="535" t="n">
        <v>40360</v>
      </c>
      <c r="B6304" s="534" t="n">
        <v>13.502</v>
      </c>
      <c r="C6304" s="534" t="n">
        <v>20128.99</v>
      </c>
      <c r="E6304" s="535" t="n">
        <v>44180</v>
      </c>
      <c r="F6304" s="534" t="n">
        <v>0.741</v>
      </c>
    </row>
    <row r="6305">
      <c r="A6305" s="535" t="n">
        <v>40361</v>
      </c>
      <c r="B6305" s="534" t="n">
        <v>13.363</v>
      </c>
      <c r="C6305" s="534" t="n">
        <v>19905.32</v>
      </c>
      <c r="E6305" s="535" t="n">
        <v>44181</v>
      </c>
      <c r="F6305" s="534" t="n">
        <v>0.741</v>
      </c>
    </row>
    <row r="6306">
      <c r="A6306" s="535" t="n">
        <v>40364</v>
      </c>
      <c r="B6306" s="534" t="n">
        <v>13.485</v>
      </c>
      <c r="C6306" s="534" t="n">
        <v>19842.2</v>
      </c>
      <c r="E6306" s="535" t="n">
        <v>44182</v>
      </c>
      <c r="F6306" s="534" t="n">
        <v>0.758</v>
      </c>
    </row>
    <row r="6307">
      <c r="A6307" s="535" t="n">
        <v>40365</v>
      </c>
      <c r="B6307" s="534" t="n">
        <v>13.694</v>
      </c>
      <c r="C6307" s="534" t="n">
        <v>20084.12</v>
      </c>
      <c r="E6307" s="535" t="n">
        <v>44183</v>
      </c>
      <c r="F6307" s="534" t="n">
        <v>0.728</v>
      </c>
    </row>
    <row r="6308">
      <c r="A6308" s="535" t="n">
        <v>40366</v>
      </c>
      <c r="B6308" s="534" t="n">
        <v>13.676</v>
      </c>
      <c r="C6308" s="534" t="n">
        <v>19857.07</v>
      </c>
      <c r="E6308" s="535" t="n">
        <v>44186</v>
      </c>
      <c r="F6308" s="534" t="n">
        <v>0.6929999999999999</v>
      </c>
    </row>
    <row r="6309">
      <c r="A6309" s="535" t="n">
        <v>40367</v>
      </c>
      <c r="B6309" s="534" t="n">
        <v>13.676</v>
      </c>
      <c r="C6309" s="534" t="n">
        <v>20050.56</v>
      </c>
      <c r="E6309" s="535" t="n">
        <v>44187</v>
      </c>
      <c r="F6309" s="534" t="n">
        <v>0.7</v>
      </c>
    </row>
    <row r="6310">
      <c r="A6310" s="535" t="n">
        <v>40368</v>
      </c>
      <c r="B6310" s="534" t="n">
        <v>13.642</v>
      </c>
      <c r="C6310" s="534" t="n">
        <v>20378.66</v>
      </c>
      <c r="E6310" s="535" t="n">
        <v>44188</v>
      </c>
      <c r="F6310" s="534" t="n">
        <v>0.699</v>
      </c>
    </row>
    <row r="6311">
      <c r="A6311" s="535" t="n">
        <v>40371</v>
      </c>
      <c r="B6311" s="534" t="n">
        <v>13.502</v>
      </c>
      <c r="C6311" s="534" t="n">
        <v>20467.43</v>
      </c>
      <c r="E6311" s="535" t="n">
        <v>44189</v>
      </c>
      <c r="F6311" s="534" t="n">
        <v>0.706</v>
      </c>
    </row>
    <row r="6312">
      <c r="A6312" s="535" t="n">
        <v>40372</v>
      </c>
      <c r="B6312" s="534" t="n">
        <v>13.589</v>
      </c>
      <c r="C6312" s="534" t="n">
        <v>20431.06</v>
      </c>
      <c r="E6312" s="535" t="n">
        <v>44190</v>
      </c>
      <c r="F6312" s="534" t="n">
        <v>0.706</v>
      </c>
    </row>
    <row r="6313">
      <c r="A6313" s="535" t="n">
        <v>40373</v>
      </c>
      <c r="B6313" s="534" t="n">
        <v>13.868</v>
      </c>
      <c r="C6313" s="534" t="n">
        <v>20560.81</v>
      </c>
      <c r="E6313" s="535" t="n">
        <v>44193</v>
      </c>
      <c r="F6313" s="534" t="n">
        <v>0.741</v>
      </c>
    </row>
    <row r="6314">
      <c r="A6314" s="535" t="n">
        <v>40374</v>
      </c>
      <c r="B6314" s="534" t="n">
        <v>13.624</v>
      </c>
      <c r="C6314" s="534" t="n">
        <v>20255.62</v>
      </c>
      <c r="E6314" s="535" t="n">
        <v>44194</v>
      </c>
      <c r="F6314" s="534" t="n">
        <v>0.755</v>
      </c>
    </row>
    <row r="6315">
      <c r="A6315" s="535" t="n">
        <v>40375</v>
      </c>
      <c r="B6315" s="534" t="n">
        <v>13.642</v>
      </c>
      <c r="C6315" s="534" t="n">
        <v>20250.16</v>
      </c>
      <c r="E6315" s="535" t="n">
        <v>44195</v>
      </c>
      <c r="F6315" s="534" t="n">
        <v>0.782</v>
      </c>
    </row>
    <row r="6316">
      <c r="A6316" s="535" t="n">
        <v>40378</v>
      </c>
      <c r="B6316" s="534" t="n">
        <v>13.502</v>
      </c>
      <c r="C6316" s="534" t="n">
        <v>20090.95</v>
      </c>
      <c r="E6316" s="535" t="n">
        <v>44196</v>
      </c>
      <c r="F6316" s="534" t="n">
        <v>0.779</v>
      </c>
    </row>
    <row r="6317">
      <c r="A6317" s="535" t="n">
        <v>40379</v>
      </c>
      <c r="B6317" s="534" t="n">
        <v>13.659</v>
      </c>
      <c r="C6317" s="534" t="n">
        <v>20264.59</v>
      </c>
      <c r="E6317" s="535" t="n">
        <v>44197</v>
      </c>
      <c r="F6317" s="534" t="n">
        <v>0.779</v>
      </c>
    </row>
    <row r="6318">
      <c r="A6318" s="535" t="n">
        <v>40380</v>
      </c>
      <c r="B6318" s="534" t="n">
        <v>13.903</v>
      </c>
      <c r="C6318" s="534" t="n">
        <v>20487.23</v>
      </c>
      <c r="E6318" s="535" t="n">
        <v>44200</v>
      </c>
      <c r="F6318" s="534" t="n">
        <v>0.748</v>
      </c>
    </row>
    <row r="6319">
      <c r="A6319" s="535" t="n">
        <v>40381</v>
      </c>
      <c r="B6319" s="534" t="n">
        <v>14.129</v>
      </c>
      <c r="C6319" s="534" t="n">
        <v>20589.7</v>
      </c>
      <c r="E6319" s="535" t="n">
        <v>44201</v>
      </c>
      <c r="F6319" s="534" t="n">
        <v>0.73</v>
      </c>
    </row>
    <row r="6320">
      <c r="A6320" s="535" t="n">
        <v>40382</v>
      </c>
      <c r="B6320" s="534" t="n">
        <v>14.251</v>
      </c>
      <c r="C6320" s="534" t="n">
        <v>20815.33</v>
      </c>
      <c r="E6320" s="535" t="n">
        <v>44202</v>
      </c>
      <c r="F6320" s="534" t="n">
        <v>0.783</v>
      </c>
    </row>
    <row r="6321">
      <c r="A6321" s="535" t="n">
        <v>40385</v>
      </c>
      <c r="B6321" s="534" t="n">
        <v>14.199</v>
      </c>
      <c r="C6321" s="534" t="n">
        <v>20839.91</v>
      </c>
      <c r="E6321" s="535" t="n">
        <v>44203</v>
      </c>
      <c r="F6321" s="534" t="n">
        <v>0.8080000000000001</v>
      </c>
    </row>
    <row r="6322">
      <c r="A6322" s="535" t="n">
        <v>40386</v>
      </c>
      <c r="B6322" s="534" t="n">
        <v>14.164</v>
      </c>
      <c r="C6322" s="534" t="n">
        <v>20973.39</v>
      </c>
      <c r="E6322" s="535" t="n">
        <v>44204</v>
      </c>
      <c r="F6322" s="534" t="n">
        <v>0.824</v>
      </c>
    </row>
    <row r="6323">
      <c r="A6323" s="535" t="n">
        <v>40387</v>
      </c>
      <c r="B6323" s="534" t="n">
        <v>14.565</v>
      </c>
      <c r="C6323" s="534" t="n">
        <v>21091.18</v>
      </c>
      <c r="E6323" s="535" t="n">
        <v>44207</v>
      </c>
      <c r="F6323" s="534" t="n">
        <v>0.838</v>
      </c>
    </row>
    <row r="6324">
      <c r="A6324" s="535" t="n">
        <v>40388</v>
      </c>
      <c r="B6324" s="534" t="n">
        <v>14.931</v>
      </c>
      <c r="C6324" s="534" t="n">
        <v>21093.82</v>
      </c>
      <c r="E6324" s="535" t="n">
        <v>44208</v>
      </c>
      <c r="F6324" s="534" t="n">
        <v>0.862</v>
      </c>
    </row>
    <row r="6325">
      <c r="A6325" s="535" t="n">
        <v>40389</v>
      </c>
      <c r="B6325" s="534" t="n">
        <v>15.07</v>
      </c>
      <c r="C6325" s="534" t="n">
        <v>21029.81</v>
      </c>
      <c r="E6325" s="535" t="n">
        <v>44209</v>
      </c>
      <c r="F6325" s="534" t="n">
        <v>0.837</v>
      </c>
    </row>
    <row r="6326">
      <c r="A6326" s="535" t="n">
        <v>40392</v>
      </c>
      <c r="B6326" s="534" t="n">
        <v>15.349</v>
      </c>
      <c r="C6326" s="534" t="n">
        <v>21412.79</v>
      </c>
      <c r="E6326" s="535" t="n">
        <v>44210</v>
      </c>
      <c r="F6326" s="534" t="n">
        <v>0.826</v>
      </c>
    </row>
    <row r="6327">
      <c r="A6327" s="535" t="n">
        <v>40393</v>
      </c>
      <c r="B6327" s="534" t="n">
        <v>15.157</v>
      </c>
      <c r="C6327" s="534" t="n">
        <v>21457.66</v>
      </c>
      <c r="E6327" s="535" t="n">
        <v>44211</v>
      </c>
      <c r="F6327" s="534" t="n">
        <v>0.8129999999999999</v>
      </c>
    </row>
    <row r="6328">
      <c r="A6328" s="535" t="n">
        <v>40394</v>
      </c>
      <c r="B6328" s="534" t="n">
        <v>15.75</v>
      </c>
      <c r="C6328" s="534" t="n">
        <v>21549.88</v>
      </c>
      <c r="E6328" s="535" t="n">
        <v>44214</v>
      </c>
      <c r="F6328" s="534" t="n">
        <v>0.794</v>
      </c>
    </row>
    <row r="6329">
      <c r="A6329" s="535" t="n">
        <v>40395</v>
      </c>
      <c r="B6329" s="534" t="n">
        <v>16.499</v>
      </c>
      <c r="C6329" s="534" t="n">
        <v>21551.72</v>
      </c>
      <c r="E6329" s="535" t="n">
        <v>44215</v>
      </c>
      <c r="F6329" s="534" t="n">
        <v>0.8120000000000001</v>
      </c>
    </row>
    <row r="6330">
      <c r="A6330" s="535" t="n">
        <v>40396</v>
      </c>
      <c r="B6330" s="534" t="n">
        <v>16.133</v>
      </c>
      <c r="C6330" s="534" t="n">
        <v>21678.8</v>
      </c>
      <c r="E6330" s="535" t="n">
        <v>44216</v>
      </c>
      <c r="F6330" s="534" t="n">
        <v>0.803</v>
      </c>
    </row>
    <row r="6331">
      <c r="A6331" s="535" t="n">
        <v>40399</v>
      </c>
      <c r="B6331" s="534" t="n">
        <v>16.673</v>
      </c>
      <c r="C6331" s="534" t="n">
        <v>21801.59</v>
      </c>
      <c r="E6331" s="535" t="n">
        <v>44217</v>
      </c>
      <c r="F6331" s="534" t="n">
        <v>0.8</v>
      </c>
    </row>
    <row r="6332">
      <c r="A6332" s="535" t="n">
        <v>40400</v>
      </c>
      <c r="B6332" s="534" t="n">
        <v>16.586</v>
      </c>
      <c r="C6332" s="534" t="n">
        <v>21473.6</v>
      </c>
      <c r="E6332" s="535" t="n">
        <v>44218</v>
      </c>
      <c r="F6332" s="534" t="n">
        <v>0.8179999999999999</v>
      </c>
    </row>
    <row r="6333">
      <c r="A6333" s="535" t="n">
        <v>40401</v>
      </c>
      <c r="B6333" s="534" t="n">
        <v>16.429</v>
      </c>
      <c r="C6333" s="534" t="n">
        <v>21294.54</v>
      </c>
      <c r="E6333" s="535" t="n">
        <v>44221</v>
      </c>
      <c r="F6333" s="534" t="n">
        <v>0.82</v>
      </c>
    </row>
    <row r="6334">
      <c r="A6334" s="535" t="n">
        <v>40402</v>
      </c>
      <c r="B6334" s="534" t="n">
        <v>15.819</v>
      </c>
      <c r="C6334" s="534" t="n">
        <v>21105.71</v>
      </c>
      <c r="E6334" s="535" t="n">
        <v>44222</v>
      </c>
      <c r="F6334" s="534" t="n">
        <v>0.782</v>
      </c>
    </row>
    <row r="6335">
      <c r="A6335" s="535" t="n">
        <v>40403</v>
      </c>
      <c r="B6335" s="534" t="n">
        <v>16.394</v>
      </c>
      <c r="C6335" s="534" t="n">
        <v>21071.57</v>
      </c>
      <c r="E6335" s="535" t="n">
        <v>44223</v>
      </c>
      <c r="F6335" s="534" t="n">
        <v>0.802</v>
      </c>
    </row>
    <row r="6336">
      <c r="A6336" s="535" t="n">
        <v>40406</v>
      </c>
      <c r="B6336" s="534" t="n">
        <v>16.76</v>
      </c>
      <c r="C6336" s="534" t="n">
        <v>21112.12</v>
      </c>
      <c r="E6336" s="535" t="n">
        <v>44224</v>
      </c>
      <c r="F6336" s="534" t="n">
        <v>0.791</v>
      </c>
    </row>
    <row r="6337">
      <c r="A6337" s="535" t="n">
        <v>40407</v>
      </c>
      <c r="B6337" s="534" t="n">
        <v>16.638</v>
      </c>
      <c r="C6337" s="534" t="n">
        <v>21137.43</v>
      </c>
      <c r="E6337" s="535" t="n">
        <v>44225</v>
      </c>
      <c r="F6337" s="534" t="n">
        <v>0.821</v>
      </c>
    </row>
    <row r="6338">
      <c r="A6338" s="535" t="n">
        <v>40408</v>
      </c>
      <c r="B6338" s="534" t="n">
        <v>16.708</v>
      </c>
      <c r="C6338" s="534" t="n">
        <v>21022.73</v>
      </c>
      <c r="E6338" s="535" t="n">
        <v>44228</v>
      </c>
      <c r="F6338" s="534" t="n">
        <v>0.857</v>
      </c>
    </row>
    <row r="6339">
      <c r="A6339" s="535" t="n">
        <v>40409</v>
      </c>
      <c r="B6339" s="534" t="n">
        <v>16.83</v>
      </c>
      <c r="C6339" s="534" t="n">
        <v>21072.46</v>
      </c>
      <c r="E6339" s="535" t="n">
        <v>44229</v>
      </c>
      <c r="F6339" s="534" t="n">
        <v>0.926</v>
      </c>
    </row>
    <row r="6340">
      <c r="A6340" s="535" t="n">
        <v>40410</v>
      </c>
      <c r="B6340" s="534" t="n">
        <v>16.934</v>
      </c>
      <c r="C6340" s="534" t="n">
        <v>20981.82</v>
      </c>
      <c r="E6340" s="535" t="n">
        <v>44230</v>
      </c>
      <c r="F6340" s="534" t="n">
        <v>1.01</v>
      </c>
    </row>
    <row r="6341">
      <c r="A6341" s="535" t="n">
        <v>40413</v>
      </c>
      <c r="B6341" s="534" t="n">
        <v>17.196</v>
      </c>
      <c r="C6341" s="534" t="n">
        <v>20889.01</v>
      </c>
      <c r="E6341" s="535" t="n">
        <v>44231</v>
      </c>
      <c r="F6341" s="534" t="n">
        <v>1.044</v>
      </c>
    </row>
    <row r="6342">
      <c r="A6342" s="535" t="n">
        <v>40414</v>
      </c>
      <c r="B6342" s="534" t="n">
        <v>16.952</v>
      </c>
      <c r="C6342" s="534" t="n">
        <v>20658.71</v>
      </c>
      <c r="E6342" s="535" t="n">
        <v>44232</v>
      </c>
      <c r="F6342" s="534" t="n">
        <v>1.023</v>
      </c>
    </row>
    <row r="6343">
      <c r="A6343" s="535" t="n">
        <v>40415</v>
      </c>
      <c r="B6343" s="534" t="n">
        <v>16.551</v>
      </c>
      <c r="C6343" s="534" t="n">
        <v>20634.98</v>
      </c>
      <c r="E6343" s="535" t="n">
        <v>44235</v>
      </c>
      <c r="F6343" s="534" t="n">
        <v>1.054</v>
      </c>
    </row>
    <row r="6344">
      <c r="A6344" s="535" t="n">
        <v>40416</v>
      </c>
      <c r="B6344" s="534" t="n">
        <v>16.795</v>
      </c>
      <c r="C6344" s="534" t="n">
        <v>20612.06</v>
      </c>
      <c r="E6344" s="535" t="n">
        <v>44236</v>
      </c>
      <c r="F6344" s="534" t="n">
        <v>1.038</v>
      </c>
    </row>
    <row r="6345">
      <c r="A6345" s="535" t="n">
        <v>40417</v>
      </c>
      <c r="B6345" s="534" t="n">
        <v>16.673</v>
      </c>
      <c r="C6345" s="534" t="n">
        <v>20597.35</v>
      </c>
      <c r="E6345" s="535" t="n">
        <v>44237</v>
      </c>
      <c r="F6345" s="534" t="n">
        <v>1.048</v>
      </c>
    </row>
    <row r="6346">
      <c r="A6346" s="535" t="n">
        <v>40420</v>
      </c>
      <c r="B6346" s="534" t="n">
        <v>16.621</v>
      </c>
      <c r="C6346" s="534" t="n">
        <v>20737.22</v>
      </c>
      <c r="E6346" s="535" t="n">
        <v>44238</v>
      </c>
      <c r="F6346" s="534" t="n">
        <v>1.028</v>
      </c>
    </row>
    <row r="6347">
      <c r="A6347" s="535" t="n">
        <v>40421</v>
      </c>
      <c r="B6347" s="534" t="n">
        <v>16.708</v>
      </c>
      <c r="C6347" s="534" t="n">
        <v>20536.49</v>
      </c>
      <c r="E6347" s="535" t="n">
        <v>44239</v>
      </c>
      <c r="F6347" s="534" t="n">
        <v>1.028</v>
      </c>
    </row>
    <row r="6348">
      <c r="A6348" s="535" t="n">
        <v>40422</v>
      </c>
      <c r="B6348" s="534" t="n">
        <v>16.673</v>
      </c>
      <c r="C6348" s="534" t="n">
        <v>20623.83</v>
      </c>
      <c r="E6348" s="535" t="n">
        <v>44242</v>
      </c>
      <c r="F6348" s="534" t="n">
        <v>1.028</v>
      </c>
    </row>
    <row r="6349">
      <c r="A6349" s="535" t="n">
        <v>40423</v>
      </c>
      <c r="B6349" s="534" t="n">
        <v>16.865</v>
      </c>
      <c r="C6349" s="534" t="n">
        <v>20868.92</v>
      </c>
      <c r="E6349" s="535" t="n">
        <v>44243</v>
      </c>
      <c r="F6349" s="534" t="n">
        <v>1.115</v>
      </c>
    </row>
    <row r="6350">
      <c r="A6350" s="535" t="n">
        <v>40424</v>
      </c>
      <c r="B6350" s="534" t="n">
        <v>17.265</v>
      </c>
      <c r="C6350" s="534" t="n">
        <v>20971.5</v>
      </c>
      <c r="E6350" s="535" t="n">
        <v>44244</v>
      </c>
      <c r="F6350" s="534" t="n">
        <v>1.18</v>
      </c>
    </row>
    <row r="6351">
      <c r="A6351" s="535" t="n">
        <v>40427</v>
      </c>
      <c r="B6351" s="534" t="n">
        <v>17.405</v>
      </c>
      <c r="C6351" s="534" t="n">
        <v>21355.77</v>
      </c>
      <c r="E6351" s="535" t="n">
        <v>44245</v>
      </c>
      <c r="F6351" s="534" t="n">
        <v>1.155</v>
      </c>
    </row>
    <row r="6352">
      <c r="A6352" s="535" t="n">
        <v>40428</v>
      </c>
      <c r="B6352" s="534" t="n">
        <v>17.466</v>
      </c>
      <c r="C6352" s="534" t="n">
        <v>21401.79</v>
      </c>
      <c r="E6352" s="535" t="n">
        <v>44246</v>
      </c>
      <c r="F6352" s="534" t="n">
        <v>1.169</v>
      </c>
    </row>
    <row r="6353">
      <c r="A6353" s="535" t="n">
        <v>40429</v>
      </c>
      <c r="B6353" s="534" t="n">
        <v>17.727</v>
      </c>
      <c r="C6353" s="534" t="n">
        <v>21088.86</v>
      </c>
      <c r="E6353" s="535" t="n">
        <v>44249</v>
      </c>
      <c r="F6353" s="534" t="n">
        <v>1.304</v>
      </c>
    </row>
    <row r="6354">
      <c r="A6354" s="535" t="n">
        <v>40430</v>
      </c>
      <c r="B6354" s="534" t="n">
        <v>18.38</v>
      </c>
      <c r="C6354" s="534" t="n">
        <v>21167.27</v>
      </c>
      <c r="E6354" s="535" t="n">
        <v>44250</v>
      </c>
      <c r="F6354" s="534" t="n">
        <v>1.28</v>
      </c>
    </row>
    <row r="6355">
      <c r="A6355" s="535" t="n">
        <v>40431</v>
      </c>
      <c r="B6355" s="534" t="n">
        <v>18.685</v>
      </c>
      <c r="C6355" s="534" t="n">
        <v>21257.39</v>
      </c>
      <c r="E6355" s="535" t="n">
        <v>44251</v>
      </c>
      <c r="F6355" s="534" t="n">
        <v>1.255</v>
      </c>
    </row>
    <row r="6356">
      <c r="A6356" s="535" t="n">
        <v>40434</v>
      </c>
      <c r="B6356" s="534" t="n">
        <v>18.293</v>
      </c>
      <c r="C6356" s="534" t="n">
        <v>21658.35</v>
      </c>
      <c r="E6356" s="535" t="n">
        <v>44252</v>
      </c>
      <c r="F6356" s="534" t="n">
        <v>1.298</v>
      </c>
    </row>
    <row r="6357">
      <c r="A6357" s="535" t="n">
        <v>40435</v>
      </c>
      <c r="B6357" s="534" t="n">
        <v>17.727</v>
      </c>
      <c r="C6357" s="534" t="n">
        <v>21696.04</v>
      </c>
      <c r="E6357" s="535" t="n">
        <v>44253</v>
      </c>
      <c r="F6357" s="534" t="n">
        <v>1.336</v>
      </c>
    </row>
    <row r="6358">
      <c r="A6358" s="535" t="n">
        <v>40436</v>
      </c>
      <c r="B6358" s="534" t="n">
        <v>17.727</v>
      </c>
      <c r="C6358" s="534" t="n">
        <v>21725.64</v>
      </c>
      <c r="E6358" s="535" t="n">
        <v>44256</v>
      </c>
      <c r="F6358" s="534" t="n">
        <v>1.309</v>
      </c>
    </row>
    <row r="6359">
      <c r="A6359" s="535" t="n">
        <v>40437</v>
      </c>
      <c r="B6359" s="534" t="n">
        <v>18.032</v>
      </c>
      <c r="C6359" s="534" t="n">
        <v>21691.45</v>
      </c>
      <c r="E6359" s="535" t="n">
        <v>44257</v>
      </c>
      <c r="F6359" s="534" t="n">
        <v>1.333</v>
      </c>
    </row>
    <row r="6360">
      <c r="A6360" s="535" t="n">
        <v>40438</v>
      </c>
      <c r="B6360" s="534" t="n">
        <v>18.642</v>
      </c>
      <c r="C6360" s="534" t="n">
        <v>21970.86</v>
      </c>
      <c r="E6360" s="535" t="n">
        <v>44258</v>
      </c>
      <c r="F6360" s="534" t="n">
        <v>1.335</v>
      </c>
    </row>
    <row r="6361">
      <c r="A6361" s="535" t="n">
        <v>40441</v>
      </c>
      <c r="B6361" s="534" t="n">
        <v>18.468</v>
      </c>
      <c r="C6361" s="534" t="n">
        <v>21977.34</v>
      </c>
      <c r="E6361" s="535" t="n">
        <v>44259</v>
      </c>
      <c r="F6361" s="534" t="n">
        <v>1.382</v>
      </c>
    </row>
    <row r="6362">
      <c r="A6362" s="535" t="n">
        <v>40442</v>
      </c>
      <c r="B6362" s="534" t="n">
        <v>18.25</v>
      </c>
      <c r="C6362" s="534" t="n">
        <v>22002.59</v>
      </c>
      <c r="E6362" s="535" t="n">
        <v>44260</v>
      </c>
      <c r="F6362" s="534" t="n">
        <v>1.443</v>
      </c>
    </row>
    <row r="6363">
      <c r="A6363" s="535" t="n">
        <v>40443</v>
      </c>
      <c r="B6363" s="534" t="n">
        <v>18.424</v>
      </c>
      <c r="C6363" s="534" t="n">
        <v>22047.71</v>
      </c>
      <c r="E6363" s="535" t="n">
        <v>44263</v>
      </c>
      <c r="F6363" s="534" t="n">
        <v>1.466</v>
      </c>
    </row>
    <row r="6364">
      <c r="A6364" s="535" t="n">
        <v>40444</v>
      </c>
      <c r="B6364" s="534" t="n">
        <v>18.424</v>
      </c>
      <c r="C6364" s="534" t="n">
        <v>22047.71</v>
      </c>
      <c r="E6364" s="535" t="n">
        <v>44264</v>
      </c>
      <c r="F6364" s="534" t="n">
        <v>1.416</v>
      </c>
    </row>
    <row r="6365">
      <c r="A6365" s="535" t="n">
        <v>40445</v>
      </c>
      <c r="B6365" s="534" t="n">
        <v>18.293</v>
      </c>
      <c r="C6365" s="534" t="n">
        <v>22119.43</v>
      </c>
      <c r="E6365" s="535" t="n">
        <v>44265</v>
      </c>
      <c r="F6365" s="534" t="n">
        <v>1.372</v>
      </c>
    </row>
    <row r="6366">
      <c r="A6366" s="535" t="n">
        <v>40448</v>
      </c>
      <c r="B6366" s="534" t="n">
        <v>18.38</v>
      </c>
      <c r="C6366" s="534" t="n">
        <v>22340.84</v>
      </c>
      <c r="E6366" s="535" t="n">
        <v>44266</v>
      </c>
      <c r="F6366" s="534" t="n">
        <v>1.352</v>
      </c>
    </row>
    <row r="6367">
      <c r="A6367" s="535" t="n">
        <v>40449</v>
      </c>
      <c r="B6367" s="534" t="n">
        <v>18.424</v>
      </c>
      <c r="C6367" s="534" t="n">
        <v>22109.95</v>
      </c>
      <c r="E6367" s="535" t="n">
        <v>44267</v>
      </c>
      <c r="F6367" s="534" t="n">
        <v>1.414</v>
      </c>
    </row>
    <row r="6368">
      <c r="A6368" s="535" t="n">
        <v>40450</v>
      </c>
      <c r="B6368" s="534" t="n">
        <v>18.642</v>
      </c>
      <c r="C6368" s="534" t="n">
        <v>22378.67</v>
      </c>
      <c r="E6368" s="535" t="n">
        <v>44270</v>
      </c>
      <c r="F6368" s="534" t="n">
        <v>1.425</v>
      </c>
    </row>
    <row r="6369">
      <c r="A6369" s="535" t="n">
        <v>40451</v>
      </c>
      <c r="B6369" s="534" t="n">
        <v>18.337</v>
      </c>
      <c r="C6369" s="534" t="n">
        <v>22358.17</v>
      </c>
      <c r="E6369" s="535" t="n">
        <v>44271</v>
      </c>
      <c r="F6369" s="534" t="n">
        <v>1.388</v>
      </c>
    </row>
    <row r="6370">
      <c r="A6370" s="535" t="n">
        <v>40452</v>
      </c>
      <c r="B6370" s="534" t="n">
        <v>18.337</v>
      </c>
      <c r="C6370" s="534" t="n">
        <v>22358.17</v>
      </c>
      <c r="E6370" s="535" t="n">
        <v>44272</v>
      </c>
      <c r="F6370" s="534" t="n">
        <v>1.406</v>
      </c>
    </row>
    <row r="6371">
      <c r="A6371" s="535" t="n">
        <v>40455</v>
      </c>
      <c r="B6371" s="534" t="n">
        <v>19.034</v>
      </c>
      <c r="C6371" s="534" t="n">
        <v>22618.66</v>
      </c>
      <c r="E6371" s="535" t="n">
        <v>44273</v>
      </c>
      <c r="F6371" s="534" t="n">
        <v>1.425</v>
      </c>
    </row>
    <row r="6372">
      <c r="A6372" s="535" t="n">
        <v>40456</v>
      </c>
      <c r="B6372" s="534" t="n">
        <v>18.772</v>
      </c>
      <c r="C6372" s="534" t="n">
        <v>22639.14</v>
      </c>
      <c r="E6372" s="535" t="n">
        <v>44274</v>
      </c>
      <c r="F6372" s="534" t="n">
        <v>1.4</v>
      </c>
    </row>
    <row r="6373">
      <c r="A6373" s="535" t="n">
        <v>40457</v>
      </c>
      <c r="B6373" s="534" t="n">
        <v>18.947</v>
      </c>
      <c r="C6373" s="534" t="n">
        <v>22880.41</v>
      </c>
      <c r="E6373" s="535" t="n">
        <v>44277</v>
      </c>
      <c r="F6373" s="534" t="n">
        <v>1.392</v>
      </c>
    </row>
    <row r="6374">
      <c r="A6374" s="535" t="n">
        <v>40458</v>
      </c>
      <c r="B6374" s="534" t="n">
        <v>19.121</v>
      </c>
      <c r="C6374" s="534" t="n">
        <v>22884.32</v>
      </c>
      <c r="E6374" s="535" t="n">
        <v>44278</v>
      </c>
      <c r="F6374" s="534" t="n">
        <v>1.38</v>
      </c>
    </row>
    <row r="6375">
      <c r="A6375" s="535" t="n">
        <v>40459</v>
      </c>
      <c r="B6375" s="534" t="n">
        <v>19.208</v>
      </c>
      <c r="C6375" s="534" t="n">
        <v>22944.18</v>
      </c>
      <c r="E6375" s="535" t="n">
        <v>44279</v>
      </c>
      <c r="F6375" s="534" t="n">
        <v>1.347</v>
      </c>
    </row>
    <row r="6376">
      <c r="A6376" s="535" t="n">
        <v>40462</v>
      </c>
      <c r="B6376" s="534" t="n">
        <v>19.077</v>
      </c>
      <c r="C6376" s="534" t="n">
        <v>23207.31</v>
      </c>
      <c r="E6376" s="535" t="n">
        <v>44280</v>
      </c>
      <c r="F6376" s="534" t="n">
        <v>1.367</v>
      </c>
    </row>
    <row r="6377">
      <c r="A6377" s="535" t="n">
        <v>40463</v>
      </c>
      <c r="B6377" s="534" t="n">
        <v>18.642</v>
      </c>
      <c r="C6377" s="534" t="n">
        <v>23121.7</v>
      </c>
      <c r="E6377" s="535" t="n">
        <v>44281</v>
      </c>
      <c r="F6377" s="534" t="n">
        <v>1.381</v>
      </c>
    </row>
    <row r="6378">
      <c r="A6378" s="535" t="n">
        <v>40464</v>
      </c>
      <c r="B6378" s="534" t="n">
        <v>19.861</v>
      </c>
      <c r="C6378" s="534" t="n">
        <v>23457.69</v>
      </c>
      <c r="E6378" s="535" t="n">
        <v>44284</v>
      </c>
      <c r="F6378" s="534" t="n">
        <v>1.375</v>
      </c>
    </row>
    <row r="6379">
      <c r="A6379" s="535" t="n">
        <v>40465</v>
      </c>
      <c r="B6379" s="534" t="n">
        <v>19.6</v>
      </c>
      <c r="C6379" s="534" t="n">
        <v>23852.17</v>
      </c>
      <c r="E6379" s="535" t="n">
        <v>44285</v>
      </c>
      <c r="F6379" s="534" t="n">
        <v>1.446</v>
      </c>
    </row>
    <row r="6380">
      <c r="A6380" s="535" t="n">
        <v>40466</v>
      </c>
      <c r="B6380" s="534" t="n">
        <v>19.077</v>
      </c>
      <c r="C6380" s="534" t="n">
        <v>23757.63</v>
      </c>
      <c r="E6380" s="535" t="n">
        <v>44286</v>
      </c>
      <c r="F6380" s="534" t="n">
        <v>1.435</v>
      </c>
    </row>
    <row r="6381">
      <c r="A6381" s="535" t="n">
        <v>40469</v>
      </c>
      <c r="B6381" s="534" t="n">
        <v>18.685</v>
      </c>
      <c r="C6381" s="534" t="n">
        <v>23469.38</v>
      </c>
      <c r="E6381" s="535" t="n">
        <v>44287</v>
      </c>
      <c r="F6381" s="534" t="n">
        <v>1.454</v>
      </c>
    </row>
    <row r="6382">
      <c r="A6382" s="535" t="n">
        <v>40470</v>
      </c>
      <c r="B6382" s="534" t="n">
        <v>18.729</v>
      </c>
      <c r="C6382" s="534" t="n">
        <v>23763.73</v>
      </c>
      <c r="E6382" s="535" t="n">
        <v>44288</v>
      </c>
      <c r="F6382" s="534" t="n">
        <v>1.454</v>
      </c>
    </row>
    <row r="6383">
      <c r="A6383" s="535" t="n">
        <v>40471</v>
      </c>
      <c r="B6383" s="534" t="n">
        <v>18.598</v>
      </c>
      <c r="C6383" s="534" t="n">
        <v>23556.5</v>
      </c>
      <c r="E6383" s="535" t="n">
        <v>44291</v>
      </c>
      <c r="F6383" s="534" t="n">
        <v>1.454</v>
      </c>
    </row>
    <row r="6384">
      <c r="A6384" s="535" t="n">
        <v>40472</v>
      </c>
      <c r="B6384" s="534" t="n">
        <v>18.468</v>
      </c>
      <c r="C6384" s="534" t="n">
        <v>23649.48</v>
      </c>
      <c r="E6384" s="535" t="n">
        <v>44292</v>
      </c>
      <c r="F6384" s="534" t="n">
        <v>1.454</v>
      </c>
    </row>
    <row r="6385">
      <c r="A6385" s="535" t="n">
        <v>40473</v>
      </c>
      <c r="B6385" s="534" t="n">
        <v>18.206</v>
      </c>
      <c r="C6385" s="534" t="n">
        <v>23517.54</v>
      </c>
      <c r="E6385" s="535" t="n">
        <v>44293</v>
      </c>
      <c r="F6385" s="534" t="n">
        <v>1.372</v>
      </c>
    </row>
    <row r="6386">
      <c r="A6386" s="535" t="n">
        <v>40476</v>
      </c>
      <c r="B6386" s="534" t="n">
        <v>18.337</v>
      </c>
      <c r="C6386" s="534" t="n">
        <v>23627.91</v>
      </c>
      <c r="E6386" s="535" t="n">
        <v>44294</v>
      </c>
      <c r="F6386" s="534" t="n">
        <v>1.39</v>
      </c>
    </row>
    <row r="6387">
      <c r="A6387" s="535" t="n">
        <v>40477</v>
      </c>
      <c r="B6387" s="534" t="n">
        <v>18.511</v>
      </c>
      <c r="C6387" s="534" t="n">
        <v>23601.24</v>
      </c>
      <c r="E6387" s="535" t="n">
        <v>44295</v>
      </c>
      <c r="F6387" s="534" t="n">
        <v>1.368</v>
      </c>
    </row>
    <row r="6388">
      <c r="A6388" s="535" t="n">
        <v>40478</v>
      </c>
      <c r="B6388" s="534" t="n">
        <v>18.293</v>
      </c>
      <c r="C6388" s="534" t="n">
        <v>23164.58</v>
      </c>
      <c r="E6388" s="535" t="n">
        <v>44298</v>
      </c>
      <c r="F6388" s="534" t="n">
        <v>1.344</v>
      </c>
    </row>
    <row r="6389">
      <c r="A6389" s="535" t="n">
        <v>40479</v>
      </c>
      <c r="B6389" s="534" t="n">
        <v>18.163</v>
      </c>
      <c r="C6389" s="534" t="n">
        <v>23210.86</v>
      </c>
      <c r="E6389" s="535" t="n">
        <v>44299</v>
      </c>
      <c r="F6389" s="534" t="n">
        <v>1.376</v>
      </c>
    </row>
    <row r="6390">
      <c r="A6390" s="535" t="n">
        <v>40480</v>
      </c>
      <c r="B6390" s="534" t="n">
        <v>18.163</v>
      </c>
      <c r="C6390" s="534" t="n">
        <v>23096.32</v>
      </c>
      <c r="E6390" s="535" t="n">
        <v>44300</v>
      </c>
      <c r="F6390" s="534" t="n">
        <v>1.292</v>
      </c>
    </row>
    <row r="6391">
      <c r="A6391" s="535" t="n">
        <v>40483</v>
      </c>
      <c r="B6391" s="534" t="n">
        <v>18.25</v>
      </c>
      <c r="C6391" s="534" t="n">
        <v>23652.94</v>
      </c>
      <c r="E6391" s="535" t="n">
        <v>44301</v>
      </c>
      <c r="F6391" s="534" t="n">
        <v>1.266</v>
      </c>
    </row>
    <row r="6392">
      <c r="A6392" s="535" t="n">
        <v>40484</v>
      </c>
      <c r="B6392" s="534" t="n">
        <v>18.38</v>
      </c>
      <c r="C6392" s="534" t="n">
        <v>23671.42</v>
      </c>
      <c r="E6392" s="535" t="n">
        <v>44302</v>
      </c>
      <c r="F6392" s="534" t="n">
        <v>1.203</v>
      </c>
    </row>
    <row r="6393">
      <c r="A6393" s="535" t="n">
        <v>40485</v>
      </c>
      <c r="B6393" s="534" t="n">
        <v>18.772</v>
      </c>
      <c r="C6393" s="534" t="n">
        <v>24144.67</v>
      </c>
      <c r="E6393" s="535" t="n">
        <v>44305</v>
      </c>
      <c r="F6393" s="534" t="n">
        <v>1.173</v>
      </c>
    </row>
    <row r="6394">
      <c r="A6394" s="535" t="n">
        <v>40486</v>
      </c>
      <c r="B6394" s="534" t="n">
        <v>18.772</v>
      </c>
      <c r="C6394" s="534" t="n">
        <v>24535.63</v>
      </c>
      <c r="E6394" s="535" t="n">
        <v>44306</v>
      </c>
      <c r="F6394" s="534" t="n">
        <v>1.242</v>
      </c>
    </row>
    <row r="6395">
      <c r="A6395" s="535" t="n">
        <v>40487</v>
      </c>
      <c r="B6395" s="534" t="n">
        <v>18.903</v>
      </c>
      <c r="C6395" s="534" t="n">
        <v>24876.82</v>
      </c>
      <c r="E6395" s="535" t="n">
        <v>44307</v>
      </c>
      <c r="F6395" s="534" t="n">
        <v>1.212</v>
      </c>
    </row>
    <row r="6396">
      <c r="A6396" s="535" t="n">
        <v>40490</v>
      </c>
      <c r="B6396" s="534" t="n">
        <v>19.382</v>
      </c>
      <c r="C6396" s="534" t="n">
        <v>24964.37</v>
      </c>
      <c r="E6396" s="535" t="n">
        <v>44308</v>
      </c>
      <c r="F6396" s="534" t="n">
        <v>1.231</v>
      </c>
    </row>
    <row r="6397">
      <c r="A6397" s="535" t="n">
        <v>40491</v>
      </c>
      <c r="B6397" s="534" t="n">
        <v>19.252</v>
      </c>
      <c r="C6397" s="534" t="n">
        <v>24710.6</v>
      </c>
      <c r="E6397" s="535" t="n">
        <v>44309</v>
      </c>
      <c r="F6397" s="534" t="n">
        <v>1.234</v>
      </c>
    </row>
    <row r="6398">
      <c r="A6398" s="535" t="n">
        <v>40492</v>
      </c>
      <c r="B6398" s="534" t="n">
        <v>19.164</v>
      </c>
      <c r="C6398" s="534" t="n">
        <v>24500.61</v>
      </c>
      <c r="E6398" s="535" t="n">
        <v>44312</v>
      </c>
      <c r="F6398" s="534" t="n">
        <v>1.245</v>
      </c>
    </row>
    <row r="6399">
      <c r="A6399" s="535" t="n">
        <v>40493</v>
      </c>
      <c r="B6399" s="534" t="n">
        <v>19.295</v>
      </c>
      <c r="C6399" s="534" t="n">
        <v>24700.3</v>
      </c>
      <c r="E6399" s="535" t="n">
        <v>44313</v>
      </c>
      <c r="F6399" s="534" t="n">
        <v>1.237</v>
      </c>
    </row>
    <row r="6400">
      <c r="A6400" s="535" t="n">
        <v>40494</v>
      </c>
      <c r="B6400" s="534" t="n">
        <v>19.252</v>
      </c>
      <c r="C6400" s="534" t="n">
        <v>24222.58</v>
      </c>
      <c r="E6400" s="535" t="n">
        <v>44314</v>
      </c>
      <c r="F6400" s="534" t="n">
        <v>1.267</v>
      </c>
    </row>
    <row r="6401">
      <c r="A6401" s="535" t="n">
        <v>40497</v>
      </c>
      <c r="B6401" s="534" t="n">
        <v>19.208</v>
      </c>
      <c r="C6401" s="534" t="n">
        <v>24027.18</v>
      </c>
      <c r="E6401" s="535" t="n">
        <v>44315</v>
      </c>
      <c r="F6401" s="534" t="n">
        <v>1.26</v>
      </c>
    </row>
    <row r="6402">
      <c r="A6402" s="535" t="n">
        <v>40498</v>
      </c>
      <c r="B6402" s="534" t="n">
        <v>19.861</v>
      </c>
      <c r="C6402" s="534" t="n">
        <v>23693.02</v>
      </c>
      <c r="E6402" s="535" t="n">
        <v>44316</v>
      </c>
      <c r="F6402" s="534" t="n">
        <v>1.26</v>
      </c>
    </row>
    <row r="6403">
      <c r="A6403" s="535" t="n">
        <v>40499</v>
      </c>
      <c r="B6403" s="534" t="n">
        <v>19.774</v>
      </c>
      <c r="C6403" s="534" t="n">
        <v>23214.46</v>
      </c>
      <c r="E6403" s="535" t="n">
        <v>44319</v>
      </c>
      <c r="F6403" s="534" t="n">
        <v>1.235</v>
      </c>
    </row>
    <row r="6404">
      <c r="A6404" s="535" t="n">
        <v>40500</v>
      </c>
      <c r="B6404" s="534" t="n">
        <v>20.166</v>
      </c>
      <c r="C6404" s="534" t="n">
        <v>23637.39</v>
      </c>
      <c r="E6404" s="535" t="n">
        <v>44320</v>
      </c>
      <c r="F6404" s="534" t="n">
        <v>1.222</v>
      </c>
    </row>
    <row r="6405">
      <c r="A6405" s="535" t="n">
        <v>40501</v>
      </c>
      <c r="B6405" s="534" t="n">
        <v>20.123</v>
      </c>
      <c r="C6405" s="534" t="n">
        <v>23605.71</v>
      </c>
      <c r="E6405" s="535" t="n">
        <v>44321</v>
      </c>
      <c r="F6405" s="534" t="n">
        <v>1.204</v>
      </c>
    </row>
    <row r="6406">
      <c r="A6406" s="535" t="n">
        <v>40504</v>
      </c>
      <c r="B6406" s="534" t="n">
        <v>19.992</v>
      </c>
      <c r="C6406" s="534" t="n">
        <v>23524.02</v>
      </c>
      <c r="E6406" s="535" t="n">
        <v>44322</v>
      </c>
      <c r="F6406" s="534" t="n">
        <v>1.192</v>
      </c>
    </row>
    <row r="6407">
      <c r="A6407" s="535" t="n">
        <v>40505</v>
      </c>
      <c r="B6407" s="534" t="n">
        <v>19.687</v>
      </c>
      <c r="C6407" s="534" t="n">
        <v>22896.14</v>
      </c>
      <c r="E6407" s="535" t="n">
        <v>44323</v>
      </c>
      <c r="F6407" s="534" t="n">
        <v>1.173</v>
      </c>
    </row>
    <row r="6408">
      <c r="A6408" s="535" t="n">
        <v>40506</v>
      </c>
      <c r="B6408" s="534" t="n">
        <v>19.687</v>
      </c>
      <c r="C6408" s="534" t="n">
        <v>23023.86</v>
      </c>
      <c r="E6408" s="535" t="n">
        <v>44326</v>
      </c>
      <c r="F6408" s="534" t="n">
        <v>1.164</v>
      </c>
    </row>
    <row r="6409">
      <c r="A6409" s="535" t="n">
        <v>40507</v>
      </c>
      <c r="B6409" s="534" t="n">
        <v>19.861</v>
      </c>
      <c r="C6409" s="534" t="n">
        <v>23054.68</v>
      </c>
      <c r="E6409" s="535" t="n">
        <v>44327</v>
      </c>
      <c r="F6409" s="534" t="n">
        <v>1.164</v>
      </c>
    </row>
    <row r="6410">
      <c r="A6410" s="535" t="n">
        <v>40508</v>
      </c>
      <c r="B6410" s="534" t="n">
        <v>19.731</v>
      </c>
      <c r="C6410" s="534" t="n">
        <v>22877.25</v>
      </c>
      <c r="E6410" s="535" t="n">
        <v>44328</v>
      </c>
      <c r="F6410" s="534" t="n">
        <v>1.175</v>
      </c>
    </row>
    <row r="6411">
      <c r="A6411" s="535" t="n">
        <v>40511</v>
      </c>
      <c r="B6411" s="534" t="n">
        <v>19.905</v>
      </c>
      <c r="C6411" s="534" t="n">
        <v>23166.22</v>
      </c>
      <c r="E6411" s="535" t="n">
        <v>44329</v>
      </c>
      <c r="F6411" s="534" t="n">
        <v>1.238</v>
      </c>
    </row>
    <row r="6412">
      <c r="A6412" s="535" t="n">
        <v>40512</v>
      </c>
      <c r="B6412" s="534" t="n">
        <v>19.731</v>
      </c>
      <c r="C6412" s="534" t="n">
        <v>23007.99</v>
      </c>
      <c r="E6412" s="535" t="n">
        <v>44330</v>
      </c>
      <c r="F6412" s="534" t="n">
        <v>1.22</v>
      </c>
    </row>
    <row r="6413">
      <c r="A6413" s="535" t="n">
        <v>40513</v>
      </c>
      <c r="B6413" s="534" t="n">
        <v>20.34</v>
      </c>
      <c r="C6413" s="534" t="n">
        <v>23249.8</v>
      </c>
      <c r="E6413" s="535" t="n">
        <v>44333</v>
      </c>
      <c r="F6413" s="534" t="n">
        <v>1.222</v>
      </c>
    </row>
    <row r="6414">
      <c r="A6414" s="535" t="n">
        <v>40514</v>
      </c>
      <c r="B6414" s="534" t="n">
        <v>20.645</v>
      </c>
      <c r="C6414" s="534" t="n">
        <v>23448.78</v>
      </c>
      <c r="E6414" s="535" t="n">
        <v>44334</v>
      </c>
      <c r="F6414" s="534" t="n">
        <v>1.249</v>
      </c>
    </row>
    <row r="6415">
      <c r="A6415" s="535" t="n">
        <v>40515</v>
      </c>
      <c r="B6415" s="534" t="n">
        <v>20.558</v>
      </c>
      <c r="C6415" s="534" t="n">
        <v>23320.52</v>
      </c>
      <c r="E6415" s="535" t="n">
        <v>44335</v>
      </c>
      <c r="F6415" s="534" t="n">
        <v>1.249</v>
      </c>
    </row>
    <row r="6416">
      <c r="A6416" s="535" t="n">
        <v>40518</v>
      </c>
      <c r="B6416" s="534" t="n">
        <v>20.34</v>
      </c>
      <c r="C6416" s="534" t="n">
        <v>23237.69</v>
      </c>
      <c r="E6416" s="535" t="n">
        <v>44336</v>
      </c>
      <c r="F6416" s="534" t="n">
        <v>1.251</v>
      </c>
    </row>
    <row r="6417">
      <c r="A6417" s="535" t="n">
        <v>40519</v>
      </c>
      <c r="B6417" s="534" t="n">
        <v>20.994</v>
      </c>
      <c r="C6417" s="534" t="n">
        <v>23428.15</v>
      </c>
      <c r="E6417" s="535" t="n">
        <v>44337</v>
      </c>
      <c r="F6417" s="534" t="n">
        <v>1.216</v>
      </c>
    </row>
    <row r="6418">
      <c r="A6418" s="535" t="n">
        <v>40520</v>
      </c>
      <c r="B6418" s="534" t="n">
        <v>20.515</v>
      </c>
      <c r="C6418" s="534" t="n">
        <v>23092.52</v>
      </c>
      <c r="E6418" s="535" t="n">
        <v>44340</v>
      </c>
      <c r="F6418" s="534" t="n">
        <v>1.221</v>
      </c>
    </row>
    <row r="6419">
      <c r="A6419" s="535" t="n">
        <v>40521</v>
      </c>
      <c r="B6419" s="534" t="n">
        <v>20.645</v>
      </c>
      <c r="C6419" s="534" t="n">
        <v>23171.8</v>
      </c>
      <c r="E6419" s="535" t="n">
        <v>44341</v>
      </c>
      <c r="F6419" s="534" t="n">
        <v>1.187</v>
      </c>
    </row>
    <row r="6420">
      <c r="A6420" s="535" t="n">
        <v>40522</v>
      </c>
      <c r="B6420" s="534" t="n">
        <v>20.297</v>
      </c>
      <c r="C6420" s="534" t="n">
        <v>23162.91</v>
      </c>
      <c r="E6420" s="535" t="n">
        <v>44342</v>
      </c>
      <c r="F6420" s="534" t="n">
        <v>1.162</v>
      </c>
    </row>
    <row r="6421">
      <c r="A6421" s="535" t="n">
        <v>40525</v>
      </c>
      <c r="B6421" s="534" t="n">
        <v>20.776</v>
      </c>
      <c r="C6421" s="534" t="n">
        <v>23317.61</v>
      </c>
      <c r="E6421" s="535" t="n">
        <v>44343</v>
      </c>
      <c r="F6421" s="534" t="n">
        <v>1.171</v>
      </c>
    </row>
    <row r="6422">
      <c r="A6422" s="535" t="n">
        <v>40526</v>
      </c>
      <c r="B6422" s="534" t="n">
        <v>20.645</v>
      </c>
      <c r="C6422" s="534" t="n">
        <v>23431.19</v>
      </c>
      <c r="E6422" s="535" t="n">
        <v>44344</v>
      </c>
      <c r="F6422" s="534" t="n">
        <v>1.191</v>
      </c>
    </row>
    <row r="6423">
      <c r="A6423" s="535" t="n">
        <v>40527</v>
      </c>
      <c r="B6423" s="534" t="n">
        <v>19.164</v>
      </c>
      <c r="C6423" s="534" t="n">
        <v>22975.35</v>
      </c>
      <c r="E6423" s="535" t="n">
        <v>44347</v>
      </c>
      <c r="F6423" s="534" t="n">
        <v>1.184</v>
      </c>
    </row>
    <row r="6424">
      <c r="A6424" s="535" t="n">
        <v>40528</v>
      </c>
      <c r="B6424" s="534" t="n">
        <v>18.903</v>
      </c>
      <c r="C6424" s="534" t="n">
        <v>22668.78</v>
      </c>
      <c r="E6424" s="535" t="n">
        <v>44348</v>
      </c>
      <c r="F6424" s="534" t="n">
        <v>1.213</v>
      </c>
    </row>
    <row r="6425">
      <c r="A6425" s="535" t="n">
        <v>40529</v>
      </c>
      <c r="B6425" s="534" t="n">
        <v>19.339</v>
      </c>
      <c r="C6425" s="534" t="n">
        <v>22714.85</v>
      </c>
      <c r="E6425" s="535" t="n">
        <v>44349</v>
      </c>
      <c r="F6425" s="534" t="n">
        <v>1.299</v>
      </c>
    </row>
    <row r="6426">
      <c r="A6426" s="535" t="n">
        <v>40532</v>
      </c>
      <c r="B6426" s="534" t="n">
        <v>18.99</v>
      </c>
      <c r="C6426" s="534" t="n">
        <v>22639.08</v>
      </c>
      <c r="E6426" s="535" t="n">
        <v>44350</v>
      </c>
      <c r="F6426" s="534" t="n">
        <v>1.275</v>
      </c>
    </row>
    <row r="6427">
      <c r="A6427" s="535" t="n">
        <v>40533</v>
      </c>
      <c r="B6427" s="534" t="n">
        <v>19.121</v>
      </c>
      <c r="C6427" s="534" t="n">
        <v>22993.86</v>
      </c>
      <c r="E6427" s="535" t="n">
        <v>44351</v>
      </c>
      <c r="F6427" s="534" t="n">
        <v>1.275</v>
      </c>
    </row>
    <row r="6428">
      <c r="A6428" s="535" t="n">
        <v>40534</v>
      </c>
      <c r="B6428" s="534" t="n">
        <v>19.121</v>
      </c>
      <c r="C6428" s="534" t="n">
        <v>23045.19</v>
      </c>
      <c r="E6428" s="535" t="n">
        <v>44354</v>
      </c>
      <c r="F6428" s="534" t="n">
        <v>1.219</v>
      </c>
    </row>
    <row r="6429">
      <c r="A6429" s="535" t="n">
        <v>40535</v>
      </c>
      <c r="B6429" s="534" t="n">
        <v>18.99</v>
      </c>
      <c r="C6429" s="534" t="n">
        <v>22902.97</v>
      </c>
      <c r="E6429" s="535" t="n">
        <v>44355</v>
      </c>
      <c r="F6429" s="534" t="n">
        <v>1.206</v>
      </c>
    </row>
    <row r="6430">
      <c r="A6430" s="535" t="n">
        <v>40536</v>
      </c>
      <c r="B6430" s="534" t="n">
        <v>18.772</v>
      </c>
      <c r="C6430" s="534" t="n">
        <v>22833.8</v>
      </c>
      <c r="E6430" s="535" t="n">
        <v>44356</v>
      </c>
      <c r="F6430" s="534" t="n">
        <v>1.234</v>
      </c>
    </row>
    <row r="6431">
      <c r="A6431" s="535" t="n">
        <v>40539</v>
      </c>
      <c r="B6431" s="534" t="n">
        <v>18.772</v>
      </c>
      <c r="C6431" s="534" t="n">
        <v>22833.8</v>
      </c>
      <c r="E6431" s="535" t="n">
        <v>44357</v>
      </c>
      <c r="F6431" s="534" t="n">
        <v>1.199</v>
      </c>
    </row>
    <row r="6432">
      <c r="A6432" s="535" t="n">
        <v>40540</v>
      </c>
      <c r="B6432" s="534" t="n">
        <v>18.424</v>
      </c>
      <c r="C6432" s="534" t="n">
        <v>22621.73</v>
      </c>
      <c r="E6432" s="535" t="n">
        <v>44358</v>
      </c>
      <c r="F6432" s="534" t="n">
        <v>1.146</v>
      </c>
    </row>
    <row r="6433">
      <c r="A6433" s="535" t="n">
        <v>40541</v>
      </c>
      <c r="B6433" s="534" t="n">
        <v>18.816</v>
      </c>
      <c r="C6433" s="534" t="n">
        <v>22969.3</v>
      </c>
      <c r="E6433" s="535" t="n">
        <v>44361</v>
      </c>
      <c r="F6433" s="534" t="n">
        <v>1.146</v>
      </c>
    </row>
    <row r="6434">
      <c r="A6434" s="535" t="n">
        <v>40542</v>
      </c>
      <c r="B6434" s="534" t="n">
        <v>18.86</v>
      </c>
      <c r="C6434" s="534" t="n">
        <v>22999.34</v>
      </c>
      <c r="E6434" s="535" t="n">
        <v>44362</v>
      </c>
      <c r="F6434" s="534" t="n">
        <v>1.183</v>
      </c>
    </row>
    <row r="6435">
      <c r="A6435" s="535" t="n">
        <v>40543</v>
      </c>
      <c r="B6435" s="534" t="n">
        <v>18.685</v>
      </c>
      <c r="C6435" s="534" t="n">
        <v>23035.45</v>
      </c>
      <c r="E6435" s="535" t="n">
        <v>44363</v>
      </c>
      <c r="F6435" s="534" t="n">
        <v>1.204</v>
      </c>
    </row>
    <row r="6436">
      <c r="A6436" s="535" t="n">
        <v>40546</v>
      </c>
      <c r="B6436" s="534" t="n">
        <v>18.947</v>
      </c>
      <c r="C6436" s="534" t="n">
        <v>23436.05</v>
      </c>
      <c r="E6436" s="535" t="n">
        <v>44364</v>
      </c>
      <c r="F6436" s="534" t="n">
        <v>1.286</v>
      </c>
    </row>
    <row r="6437">
      <c r="A6437" s="535" t="n">
        <v>40547</v>
      </c>
      <c r="B6437" s="534" t="n">
        <v>19.513</v>
      </c>
      <c r="C6437" s="534" t="n">
        <v>23668.48</v>
      </c>
      <c r="E6437" s="535" t="n">
        <v>44365</v>
      </c>
      <c r="F6437" s="534" t="n">
        <v>1.24</v>
      </c>
    </row>
    <row r="6438">
      <c r="A6438" s="535" t="n">
        <v>40548</v>
      </c>
      <c r="B6438" s="534" t="n">
        <v>19.6</v>
      </c>
      <c r="C6438" s="534" t="n">
        <v>23757.82</v>
      </c>
      <c r="E6438" s="535" t="n">
        <v>44368</v>
      </c>
      <c r="F6438" s="534" t="n">
        <v>1.174</v>
      </c>
    </row>
    <row r="6439">
      <c r="A6439" s="535" t="n">
        <v>40549</v>
      </c>
      <c r="B6439" s="534" t="n">
        <v>19.469</v>
      </c>
      <c r="C6439" s="534" t="n">
        <v>23786.3</v>
      </c>
      <c r="E6439" s="535" t="n">
        <v>44369</v>
      </c>
      <c r="F6439" s="534" t="n">
        <v>1.242</v>
      </c>
    </row>
    <row r="6440">
      <c r="A6440" s="535" t="n">
        <v>40550</v>
      </c>
      <c r="B6440" s="534" t="n">
        <v>19.556</v>
      </c>
      <c r="C6440" s="534" t="n">
        <v>23686.63</v>
      </c>
      <c r="E6440" s="535" t="n">
        <v>44370</v>
      </c>
      <c r="F6440" s="534" t="n">
        <v>1.209</v>
      </c>
    </row>
    <row r="6441">
      <c r="A6441" s="535" t="n">
        <v>40553</v>
      </c>
      <c r="B6441" s="534" t="n">
        <v>19.208</v>
      </c>
      <c r="C6441" s="534" t="n">
        <v>23527.26</v>
      </c>
      <c r="E6441" s="535" t="n">
        <v>44371</v>
      </c>
      <c r="F6441" s="534" t="n">
        <v>1.236</v>
      </c>
    </row>
    <row r="6442">
      <c r="A6442" s="535" t="n">
        <v>40554</v>
      </c>
      <c r="B6442" s="534" t="n">
        <v>19.513</v>
      </c>
      <c r="C6442" s="534" t="n">
        <v>23760.34</v>
      </c>
      <c r="E6442" s="535" t="n">
        <v>44372</v>
      </c>
      <c r="F6442" s="534" t="n">
        <v>1.213</v>
      </c>
    </row>
    <row r="6443">
      <c r="A6443" s="535" t="n">
        <v>40555</v>
      </c>
      <c r="B6443" s="534" t="n">
        <v>19.687</v>
      </c>
      <c r="C6443" s="534" t="n">
        <v>24125.61</v>
      </c>
      <c r="E6443" s="535" t="n">
        <v>44375</v>
      </c>
      <c r="F6443" s="534" t="n">
        <v>1.238</v>
      </c>
    </row>
    <row r="6444">
      <c r="A6444" s="535" t="n">
        <v>40556</v>
      </c>
      <c r="B6444" s="534" t="n">
        <v>20.123</v>
      </c>
      <c r="C6444" s="534" t="n">
        <v>24238.98</v>
      </c>
      <c r="E6444" s="535" t="n">
        <v>44376</v>
      </c>
      <c r="F6444" s="534" t="n">
        <v>1.214</v>
      </c>
    </row>
    <row r="6445">
      <c r="A6445" s="535" t="n">
        <v>40557</v>
      </c>
      <c r="B6445" s="534" t="n">
        <v>20.079</v>
      </c>
      <c r="C6445" s="534" t="n">
        <v>24283.23</v>
      </c>
      <c r="E6445" s="535" t="n">
        <v>44377</v>
      </c>
      <c r="F6445" s="534" t="n">
        <v>1.207</v>
      </c>
    </row>
    <row r="6446">
      <c r="A6446" s="535" t="n">
        <v>40560</v>
      </c>
      <c r="B6446" s="534" t="n">
        <v>20.036</v>
      </c>
      <c r="C6446" s="534" t="n">
        <v>24156.97</v>
      </c>
      <c r="E6446" s="535" t="n">
        <v>44378</v>
      </c>
      <c r="F6446" s="534" t="n">
        <v>1.207</v>
      </c>
    </row>
    <row r="6447">
      <c r="A6447" s="535" t="n">
        <v>40561</v>
      </c>
      <c r="B6447" s="534" t="n">
        <v>20.123</v>
      </c>
      <c r="C6447" s="534" t="n">
        <v>24153.98</v>
      </c>
      <c r="E6447" s="535" t="n">
        <v>44379</v>
      </c>
      <c r="F6447" s="534" t="n">
        <v>1.203</v>
      </c>
    </row>
    <row r="6448">
      <c r="A6448" s="535" t="n">
        <v>40562</v>
      </c>
      <c r="B6448" s="534" t="n">
        <v>20.123</v>
      </c>
      <c r="C6448" s="534" t="n">
        <v>24419.62</v>
      </c>
      <c r="E6448" s="535" t="n">
        <v>44382</v>
      </c>
      <c r="F6448" s="534" t="n">
        <v>1.181</v>
      </c>
    </row>
    <row r="6449">
      <c r="A6449" s="535" t="n">
        <v>40563</v>
      </c>
      <c r="B6449" s="534" t="n">
        <v>19.382</v>
      </c>
      <c r="C6449" s="534" t="n">
        <v>24003.7</v>
      </c>
      <c r="E6449" s="535" t="n">
        <v>44383</v>
      </c>
      <c r="F6449" s="534" t="n">
        <v>1.193</v>
      </c>
    </row>
    <row r="6450">
      <c r="A6450" s="535" t="n">
        <v>40564</v>
      </c>
      <c r="B6450" s="534" t="n">
        <v>18.25</v>
      </c>
      <c r="C6450" s="534" t="n">
        <v>23876.86</v>
      </c>
      <c r="E6450" s="535" t="n">
        <v>44384</v>
      </c>
      <c r="F6450" s="534" t="n">
        <v>1.122</v>
      </c>
    </row>
    <row r="6451">
      <c r="A6451" s="535" t="n">
        <v>40567</v>
      </c>
      <c r="B6451" s="534" t="n">
        <v>18.032</v>
      </c>
      <c r="C6451" s="534" t="n">
        <v>23801.78</v>
      </c>
      <c r="E6451" s="535" t="n">
        <v>44385</v>
      </c>
      <c r="F6451" s="534" t="n">
        <v>1.075</v>
      </c>
    </row>
    <row r="6452">
      <c r="A6452" s="535" t="n">
        <v>40568</v>
      </c>
      <c r="B6452" s="534" t="n">
        <v>18.468</v>
      </c>
      <c r="C6452" s="534" t="n">
        <v>23788.83</v>
      </c>
      <c r="E6452" s="535" t="n">
        <v>44386</v>
      </c>
      <c r="F6452" s="534" t="n">
        <v>1.085</v>
      </c>
    </row>
    <row r="6453">
      <c r="A6453" s="535" t="n">
        <v>40569</v>
      </c>
      <c r="B6453" s="534" t="n">
        <v>18.032</v>
      </c>
      <c r="C6453" s="534" t="n">
        <v>23843.24</v>
      </c>
      <c r="E6453" s="535" t="n">
        <v>44389</v>
      </c>
      <c r="F6453" s="534" t="n">
        <v>1.096</v>
      </c>
    </row>
    <row r="6454">
      <c r="A6454" s="535" t="n">
        <v>40570</v>
      </c>
      <c r="B6454" s="534" t="n">
        <v>17.727</v>
      </c>
      <c r="C6454" s="534" t="n">
        <v>23779.62</v>
      </c>
      <c r="E6454" s="535" t="n">
        <v>44390</v>
      </c>
      <c r="F6454" s="534" t="n">
        <v>1.103</v>
      </c>
    </row>
    <row r="6455">
      <c r="A6455" s="535" t="n">
        <v>40571</v>
      </c>
      <c r="B6455" s="534" t="n">
        <v>17.509</v>
      </c>
      <c r="C6455" s="534" t="n">
        <v>23617.02</v>
      </c>
      <c r="E6455" s="535" t="n">
        <v>44391</v>
      </c>
      <c r="F6455" s="534" t="n">
        <v>1.118</v>
      </c>
    </row>
    <row r="6456">
      <c r="A6456" s="535" t="n">
        <v>40574</v>
      </c>
      <c r="B6456" s="534" t="n">
        <v>17.109</v>
      </c>
      <c r="C6456" s="534" t="n">
        <v>23447.34</v>
      </c>
      <c r="E6456" s="535" t="n">
        <v>44392</v>
      </c>
      <c r="F6456" s="534" t="n">
        <v>1.036</v>
      </c>
    </row>
    <row r="6457">
      <c r="A6457" s="535" t="n">
        <v>40575</v>
      </c>
      <c r="B6457" s="534" t="n">
        <v>17.335</v>
      </c>
      <c r="C6457" s="534" t="n">
        <v>23482.95</v>
      </c>
      <c r="E6457" s="535" t="n">
        <v>44393</v>
      </c>
      <c r="F6457" s="534" t="n">
        <v>1.027</v>
      </c>
    </row>
    <row r="6458">
      <c r="A6458" s="535" t="n">
        <v>40576</v>
      </c>
      <c r="B6458" s="534" t="n">
        <v>17.727</v>
      </c>
      <c r="C6458" s="534" t="n">
        <v>23908.96</v>
      </c>
      <c r="E6458" s="535" t="n">
        <v>44396</v>
      </c>
      <c r="F6458" s="534" t="n">
        <v>0.975</v>
      </c>
    </row>
    <row r="6459">
      <c r="A6459" s="535" t="n">
        <v>40577</v>
      </c>
      <c r="B6459" s="534" t="n">
        <v>17.727</v>
      </c>
      <c r="C6459" s="534" t="n">
        <v>23908.96</v>
      </c>
      <c r="E6459" s="535" t="n">
        <v>44397</v>
      </c>
      <c r="F6459" s="534" t="n">
        <v>0.921</v>
      </c>
    </row>
    <row r="6460">
      <c r="A6460" s="535" t="n">
        <v>40578</v>
      </c>
      <c r="B6460" s="534" t="n">
        <v>17.727</v>
      </c>
      <c r="C6460" s="534" t="n">
        <v>23908.96</v>
      </c>
      <c r="E6460" s="535" t="n">
        <v>44398</v>
      </c>
      <c r="F6460" s="534" t="n">
        <v>0.91</v>
      </c>
    </row>
    <row r="6461">
      <c r="A6461" s="535" t="n">
        <v>40581</v>
      </c>
      <c r="B6461" s="534" t="n">
        <v>18.076</v>
      </c>
      <c r="C6461" s="534" t="n">
        <v>23553.59</v>
      </c>
      <c r="E6461" s="535" t="n">
        <v>44399</v>
      </c>
      <c r="F6461" s="534" t="n">
        <v>0.9350000000000001</v>
      </c>
    </row>
    <row r="6462">
      <c r="A6462" s="535" t="n">
        <v>40582</v>
      </c>
      <c r="B6462" s="534" t="n">
        <v>17.596</v>
      </c>
      <c r="C6462" s="534" t="n">
        <v>23484.3</v>
      </c>
      <c r="E6462" s="535" t="n">
        <v>44400</v>
      </c>
      <c r="F6462" s="534" t="n">
        <v>0.9320000000000001</v>
      </c>
    </row>
    <row r="6463">
      <c r="A6463" s="535" t="n">
        <v>40583</v>
      </c>
      <c r="B6463" s="534" t="n">
        <v>17.196</v>
      </c>
      <c r="C6463" s="534" t="n">
        <v>23164.03</v>
      </c>
      <c r="E6463" s="535" t="n">
        <v>44403</v>
      </c>
      <c r="F6463" s="534" t="n">
        <v>0.895</v>
      </c>
    </row>
    <row r="6464">
      <c r="A6464" s="535" t="n">
        <v>40584</v>
      </c>
      <c r="B6464" s="534" t="n">
        <v>17.021</v>
      </c>
      <c r="C6464" s="534" t="n">
        <v>22708.62</v>
      </c>
      <c r="E6464" s="535" t="n">
        <v>44404</v>
      </c>
      <c r="F6464" s="534" t="n">
        <v>0.9330000000000001</v>
      </c>
    </row>
    <row r="6465">
      <c r="A6465" s="535" t="n">
        <v>40585</v>
      </c>
      <c r="B6465" s="534" t="n">
        <v>17.37</v>
      </c>
      <c r="C6465" s="534" t="n">
        <v>22828.92</v>
      </c>
      <c r="E6465" s="535" t="n">
        <v>44405</v>
      </c>
      <c r="F6465" s="534" t="n">
        <v>0.93</v>
      </c>
    </row>
    <row r="6466">
      <c r="A6466" s="535" t="n">
        <v>40588</v>
      </c>
      <c r="B6466" s="534" t="n">
        <v>17.387</v>
      </c>
      <c r="C6466" s="534" t="n">
        <v>23121.06</v>
      </c>
      <c r="E6466" s="535" t="n">
        <v>44406</v>
      </c>
      <c r="F6466" s="534" t="n">
        <v>0.9399999999999999</v>
      </c>
    </row>
    <row r="6467">
      <c r="A6467" s="535" t="n">
        <v>40589</v>
      </c>
      <c r="B6467" s="534" t="n">
        <v>16.795</v>
      </c>
      <c r="C6467" s="534" t="n">
        <v>22899.78</v>
      </c>
      <c r="E6467" s="535" t="n">
        <v>44407</v>
      </c>
      <c r="F6467" s="534" t="n">
        <v>0.9389999999999999</v>
      </c>
    </row>
    <row r="6468">
      <c r="A6468" s="535" t="n">
        <v>40590</v>
      </c>
      <c r="B6468" s="534" t="n">
        <v>16.499</v>
      </c>
      <c r="C6468" s="534" t="n">
        <v>23156.97</v>
      </c>
      <c r="E6468" s="535" t="n">
        <v>44410</v>
      </c>
      <c r="F6468" s="534" t="n">
        <v>0.929</v>
      </c>
    </row>
    <row r="6469">
      <c r="A6469" s="535" t="n">
        <v>40591</v>
      </c>
      <c r="B6469" s="534" t="n">
        <v>16.952</v>
      </c>
      <c r="C6469" s="534" t="n">
        <v>23301.84</v>
      </c>
      <c r="E6469" s="535" t="n">
        <v>44411</v>
      </c>
      <c r="F6469" s="534" t="n">
        <v>0.894</v>
      </c>
    </row>
    <row r="6470">
      <c r="A6470" s="535" t="n">
        <v>40592</v>
      </c>
      <c r="B6470" s="534" t="n">
        <v>17.056</v>
      </c>
      <c r="C6470" s="534" t="n">
        <v>23595.24</v>
      </c>
      <c r="E6470" s="535" t="n">
        <v>44412</v>
      </c>
      <c r="F6470" s="534" t="n">
        <v>0.899</v>
      </c>
    </row>
    <row r="6471">
      <c r="A6471" s="535" t="n">
        <v>40595</v>
      </c>
      <c r="B6471" s="534" t="n">
        <v>16.603</v>
      </c>
      <c r="C6471" s="534" t="n">
        <v>23485.42</v>
      </c>
      <c r="E6471" s="535" t="n">
        <v>44413</v>
      </c>
      <c r="F6471" s="534" t="n">
        <v>0.905</v>
      </c>
    </row>
    <row r="6472">
      <c r="A6472" s="535" t="n">
        <v>40596</v>
      </c>
      <c r="B6472" s="534" t="n">
        <v>15.75</v>
      </c>
      <c r="C6472" s="534" t="n">
        <v>22990.81</v>
      </c>
      <c r="E6472" s="535" t="n">
        <v>44414</v>
      </c>
      <c r="F6472" s="534" t="n">
        <v>0.95</v>
      </c>
    </row>
    <row r="6473">
      <c r="A6473" s="535" t="n">
        <v>40597</v>
      </c>
      <c r="B6473" s="534" t="n">
        <v>15.088</v>
      </c>
      <c r="C6473" s="534" t="n">
        <v>22906.9</v>
      </c>
      <c r="E6473" s="535" t="n">
        <v>44417</v>
      </c>
      <c r="F6473" s="534" t="n">
        <v>1.036</v>
      </c>
    </row>
    <row r="6474">
      <c r="A6474" s="535" t="n">
        <v>40598</v>
      </c>
      <c r="B6474" s="534" t="n">
        <v>14.879</v>
      </c>
      <c r="C6474" s="534" t="n">
        <v>22601.04</v>
      </c>
      <c r="E6474" s="535" t="n">
        <v>44418</v>
      </c>
      <c r="F6474" s="534" t="n">
        <v>1.072</v>
      </c>
    </row>
    <row r="6475">
      <c r="A6475" s="535" t="n">
        <v>40599</v>
      </c>
      <c r="B6475" s="534" t="n">
        <v>15.419</v>
      </c>
      <c r="C6475" s="534" t="n">
        <v>23012.37</v>
      </c>
      <c r="E6475" s="535" t="n">
        <v>44419</v>
      </c>
      <c r="F6475" s="534" t="n">
        <v>1.132</v>
      </c>
    </row>
    <row r="6476">
      <c r="A6476" s="535" t="n">
        <v>40602</v>
      </c>
      <c r="B6476" s="534" t="n">
        <v>15.767</v>
      </c>
      <c r="C6476" s="534" t="n">
        <v>23338.02</v>
      </c>
      <c r="E6476" s="535" t="n">
        <v>44420</v>
      </c>
      <c r="F6476" s="534" t="n">
        <v>1.092</v>
      </c>
    </row>
    <row r="6477">
      <c r="A6477" s="535" t="n">
        <v>40603</v>
      </c>
      <c r="B6477" s="534" t="n">
        <v>15.959</v>
      </c>
      <c r="C6477" s="534" t="n">
        <v>23396.42</v>
      </c>
      <c r="E6477" s="535" t="n">
        <v>44421</v>
      </c>
      <c r="F6477" s="534" t="n">
        <v>1.108</v>
      </c>
    </row>
    <row r="6478">
      <c r="A6478" s="535" t="n">
        <v>40604</v>
      </c>
      <c r="B6478" s="534" t="n">
        <v>15.558</v>
      </c>
      <c r="C6478" s="534" t="n">
        <v>23048.66</v>
      </c>
      <c r="E6478" s="535" t="n">
        <v>44424</v>
      </c>
      <c r="F6478" s="534" t="n">
        <v>1.029</v>
      </c>
    </row>
    <row r="6479">
      <c r="A6479" s="535" t="n">
        <v>40605</v>
      </c>
      <c r="B6479" s="534" t="n">
        <v>15.906</v>
      </c>
      <c r="C6479" s="534" t="n">
        <v>23122.42</v>
      </c>
      <c r="E6479" s="535" t="n">
        <v>44425</v>
      </c>
      <c r="F6479" s="534" t="n">
        <v>1.026</v>
      </c>
    </row>
    <row r="6480">
      <c r="A6480" s="535" t="n">
        <v>40606</v>
      </c>
      <c r="B6480" s="534" t="n">
        <v>15.941</v>
      </c>
      <c r="C6480" s="534" t="n">
        <v>23408.86</v>
      </c>
      <c r="E6480" s="535" t="n">
        <v>44426</v>
      </c>
      <c r="F6480" s="534" t="n">
        <v>1.045</v>
      </c>
    </row>
    <row r="6481">
      <c r="A6481" s="535" t="n">
        <v>40609</v>
      </c>
      <c r="B6481" s="534" t="n">
        <v>15.384</v>
      </c>
      <c r="C6481" s="534" t="n">
        <v>23313.19</v>
      </c>
      <c r="E6481" s="535" t="n">
        <v>44427</v>
      </c>
      <c r="F6481" s="534" t="n">
        <v>1.025</v>
      </c>
    </row>
    <row r="6482">
      <c r="A6482" s="535" t="n">
        <v>40610</v>
      </c>
      <c r="B6482" s="534" t="n">
        <v>15.785</v>
      </c>
      <c r="C6482" s="534" t="n">
        <v>23711.7</v>
      </c>
      <c r="E6482" s="535" t="n">
        <v>44428</v>
      </c>
      <c r="F6482" s="534" t="n">
        <v>1.015</v>
      </c>
    </row>
    <row r="6483">
      <c r="A6483" s="535" t="n">
        <v>40611</v>
      </c>
      <c r="B6483" s="534" t="n">
        <v>16.499</v>
      </c>
      <c r="C6483" s="534" t="n">
        <v>23810.11</v>
      </c>
      <c r="E6483" s="535" t="n">
        <v>44431</v>
      </c>
      <c r="F6483" s="534" t="n">
        <v>1.037</v>
      </c>
    </row>
    <row r="6484">
      <c r="A6484" s="535" t="n">
        <v>40612</v>
      </c>
      <c r="B6484" s="534" t="n">
        <v>16.081</v>
      </c>
      <c r="C6484" s="534" t="n">
        <v>23614.89</v>
      </c>
      <c r="E6484" s="535" t="n">
        <v>44432</v>
      </c>
      <c r="F6484" s="534" t="n">
        <v>1.033</v>
      </c>
    </row>
    <row r="6485">
      <c r="A6485" s="535" t="n">
        <v>40613</v>
      </c>
      <c r="B6485" s="534" t="n">
        <v>16.325</v>
      </c>
      <c r="C6485" s="534" t="n">
        <v>23249.78</v>
      </c>
      <c r="E6485" s="535" t="n">
        <v>44433</v>
      </c>
      <c r="F6485" s="534" t="n">
        <v>1.055</v>
      </c>
    </row>
    <row r="6486">
      <c r="A6486" s="535" t="n">
        <v>40616</v>
      </c>
      <c r="B6486" s="534" t="n">
        <v>16.359</v>
      </c>
      <c r="C6486" s="534" t="n">
        <v>23345.88</v>
      </c>
      <c r="E6486" s="535" t="n">
        <v>44434</v>
      </c>
      <c r="F6486" s="534" t="n">
        <v>1.09</v>
      </c>
    </row>
    <row r="6487">
      <c r="A6487" s="535" t="n">
        <v>40617</v>
      </c>
      <c r="B6487" s="534" t="n">
        <v>15.906</v>
      </c>
      <c r="C6487" s="534" t="n">
        <v>22678.25</v>
      </c>
      <c r="E6487" s="535" t="n">
        <v>44435</v>
      </c>
      <c r="F6487" s="534" t="n">
        <v>1.088</v>
      </c>
    </row>
    <row r="6488">
      <c r="A6488" s="535" t="n">
        <v>40618</v>
      </c>
      <c r="B6488" s="534" t="n">
        <v>15.837</v>
      </c>
      <c r="C6488" s="534" t="n">
        <v>22700.88</v>
      </c>
      <c r="E6488" s="535" t="n">
        <v>44438</v>
      </c>
      <c r="F6488" s="534" t="n">
        <v>1.07</v>
      </c>
    </row>
    <row r="6489">
      <c r="A6489" s="535" t="n">
        <v>40619</v>
      </c>
      <c r="B6489" s="534" t="n">
        <v>15.384</v>
      </c>
      <c r="C6489" s="534" t="n">
        <v>22284.43</v>
      </c>
      <c r="E6489" s="535" t="n">
        <v>44439</v>
      </c>
      <c r="F6489" s="534" t="n">
        <v>1.013</v>
      </c>
    </row>
    <row r="6490">
      <c r="A6490" s="535" t="n">
        <v>40620</v>
      </c>
      <c r="B6490" s="534" t="n">
        <v>15.314</v>
      </c>
      <c r="C6490" s="534" t="n">
        <v>22300.23</v>
      </c>
      <c r="E6490" s="535" t="n">
        <v>44440</v>
      </c>
      <c r="F6490" s="534" t="n">
        <v>1.08</v>
      </c>
    </row>
    <row r="6491">
      <c r="A6491" s="535" t="n">
        <v>40623</v>
      </c>
      <c r="B6491" s="534" t="n">
        <v>15.419</v>
      </c>
      <c r="C6491" s="534" t="n">
        <v>22685.22</v>
      </c>
      <c r="E6491" s="535" t="n">
        <v>44441</v>
      </c>
      <c r="F6491" s="534" t="n">
        <v>1.082</v>
      </c>
    </row>
    <row r="6492">
      <c r="A6492" s="535" t="n">
        <v>40624</v>
      </c>
      <c r="B6492" s="534" t="n">
        <v>15.889</v>
      </c>
      <c r="C6492" s="534" t="n">
        <v>22857.9</v>
      </c>
      <c r="E6492" s="535" t="n">
        <v>44442</v>
      </c>
      <c r="F6492" s="534" t="n">
        <v>1.056</v>
      </c>
    </row>
    <row r="6493">
      <c r="A6493" s="535" t="n">
        <v>40625</v>
      </c>
      <c r="B6493" s="534" t="n">
        <v>15.854</v>
      </c>
      <c r="C6493" s="534" t="n">
        <v>22825.4</v>
      </c>
      <c r="E6493" s="535" t="n">
        <v>44445</v>
      </c>
      <c r="F6493" s="534" t="n">
        <v>1.085</v>
      </c>
    </row>
    <row r="6494">
      <c r="A6494" s="535" t="n">
        <v>40626</v>
      </c>
      <c r="B6494" s="534" t="n">
        <v>15.889</v>
      </c>
      <c r="C6494" s="534" t="n">
        <v>22915.28</v>
      </c>
      <c r="E6494" s="535" t="n">
        <v>44446</v>
      </c>
      <c r="F6494" s="534" t="n">
        <v>1.124</v>
      </c>
    </row>
    <row r="6495">
      <c r="A6495" s="535" t="n">
        <v>40627</v>
      </c>
      <c r="B6495" s="534" t="n">
        <v>16.028</v>
      </c>
      <c r="C6495" s="534" t="n">
        <v>23158.67</v>
      </c>
      <c r="E6495" s="535" t="n">
        <v>44447</v>
      </c>
      <c r="F6495" s="534" t="n">
        <v>1.147</v>
      </c>
    </row>
    <row r="6496">
      <c r="A6496" s="535" t="n">
        <v>40630</v>
      </c>
      <c r="B6496" s="534" t="n">
        <v>15.994</v>
      </c>
      <c r="C6496" s="534" t="n">
        <v>23068.19</v>
      </c>
      <c r="E6496" s="535" t="n">
        <v>44448</v>
      </c>
      <c r="F6496" s="534" t="n">
        <v>1.123</v>
      </c>
    </row>
    <row r="6497">
      <c r="A6497" s="535" t="n">
        <v>40631</v>
      </c>
      <c r="B6497" s="534" t="n">
        <v>15.976</v>
      </c>
      <c r="C6497" s="534" t="n">
        <v>23060.36</v>
      </c>
      <c r="E6497" s="535" t="n">
        <v>44449</v>
      </c>
      <c r="F6497" s="534" t="n">
        <v>1.097</v>
      </c>
    </row>
    <row r="6498">
      <c r="A6498" s="535" t="n">
        <v>40632</v>
      </c>
      <c r="B6498" s="534" t="n">
        <v>16.238</v>
      </c>
      <c r="C6498" s="534" t="n">
        <v>23451.43</v>
      </c>
      <c r="E6498" s="535" t="n">
        <v>44452</v>
      </c>
      <c r="F6498" s="534" t="n">
        <v>1.106</v>
      </c>
    </row>
    <row r="6499">
      <c r="A6499" s="535" t="n">
        <v>40633</v>
      </c>
      <c r="B6499" s="534" t="n">
        <v>16.238</v>
      </c>
      <c r="C6499" s="534" t="n">
        <v>23527.52</v>
      </c>
      <c r="E6499" s="535" t="n">
        <v>44453</v>
      </c>
      <c r="F6499" s="534" t="n">
        <v>1.088</v>
      </c>
    </row>
    <row r="6500">
      <c r="A6500" s="535" t="n">
        <v>40634</v>
      </c>
      <c r="B6500" s="534" t="n">
        <v>16.272</v>
      </c>
      <c r="C6500" s="534" t="n">
        <v>23801.9</v>
      </c>
      <c r="E6500" s="535" t="n">
        <v>44454</v>
      </c>
      <c r="F6500" s="534" t="n">
        <v>1.053</v>
      </c>
    </row>
    <row r="6501">
      <c r="A6501" s="535" t="n">
        <v>40637</v>
      </c>
      <c r="B6501" s="534" t="n">
        <v>16.429</v>
      </c>
      <c r="C6501" s="534" t="n">
        <v>24150.58</v>
      </c>
      <c r="E6501" s="535" t="n">
        <v>44455</v>
      </c>
      <c r="F6501" s="534" t="n">
        <v>1.07</v>
      </c>
    </row>
    <row r="6502">
      <c r="A6502" s="535" t="n">
        <v>40638</v>
      </c>
      <c r="B6502" s="534" t="n">
        <v>16.429</v>
      </c>
      <c r="C6502" s="534" t="n">
        <v>24150.58</v>
      </c>
      <c r="E6502" s="535" t="n">
        <v>44456</v>
      </c>
      <c r="F6502" s="534" t="n">
        <v>1.092</v>
      </c>
    </row>
    <row r="6503">
      <c r="A6503" s="535" t="n">
        <v>40639</v>
      </c>
      <c r="B6503" s="534" t="n">
        <v>16.847</v>
      </c>
      <c r="C6503" s="534" t="n">
        <v>24285.05</v>
      </c>
      <c r="E6503" s="535" t="n">
        <v>44459</v>
      </c>
      <c r="F6503" s="534" t="n">
        <v>1.124</v>
      </c>
    </row>
    <row r="6504">
      <c r="A6504" s="535" t="n">
        <v>40640</v>
      </c>
      <c r="B6504" s="534" t="n">
        <v>16.83</v>
      </c>
      <c r="C6504" s="534" t="n">
        <v>24281.8</v>
      </c>
      <c r="E6504" s="535" t="n">
        <v>44460</v>
      </c>
      <c r="F6504" s="534" t="n">
        <v>1.129</v>
      </c>
    </row>
    <row r="6505">
      <c r="A6505" s="535" t="n">
        <v>40641</v>
      </c>
      <c r="B6505" s="534" t="n">
        <v>16.969</v>
      </c>
      <c r="C6505" s="534" t="n">
        <v>24396.07</v>
      </c>
      <c r="E6505" s="535" t="n">
        <v>44461</v>
      </c>
      <c r="F6505" s="534" t="n">
        <v>1.129</v>
      </c>
    </row>
    <row r="6506">
      <c r="A6506" s="535" t="n">
        <v>40644</v>
      </c>
      <c r="B6506" s="534" t="n">
        <v>16.882</v>
      </c>
      <c r="C6506" s="534" t="n">
        <v>24303.07</v>
      </c>
      <c r="E6506" s="535" t="n">
        <v>44462</v>
      </c>
      <c r="F6506" s="534" t="n">
        <v>1.146</v>
      </c>
    </row>
    <row r="6507">
      <c r="A6507" s="535" t="n">
        <v>40645</v>
      </c>
      <c r="B6507" s="534" t="n">
        <v>16.865</v>
      </c>
      <c r="C6507" s="534" t="n">
        <v>23976.37</v>
      </c>
      <c r="E6507" s="535" t="n">
        <v>44463</v>
      </c>
      <c r="F6507" s="534" t="n">
        <v>1.213</v>
      </c>
    </row>
    <row r="6508">
      <c r="A6508" s="535" t="n">
        <v>40646</v>
      </c>
      <c r="B6508" s="534" t="n">
        <v>17.196</v>
      </c>
      <c r="C6508" s="534" t="n">
        <v>24135.03</v>
      </c>
      <c r="E6508" s="535" t="n">
        <v>44466</v>
      </c>
      <c r="F6508" s="534" t="n">
        <v>1.228</v>
      </c>
    </row>
    <row r="6509">
      <c r="A6509" s="535" t="n">
        <v>40647</v>
      </c>
      <c r="B6509" s="534" t="n">
        <v>17.143</v>
      </c>
      <c r="C6509" s="534" t="n">
        <v>24014</v>
      </c>
      <c r="E6509" s="535" t="n">
        <v>44467</v>
      </c>
      <c r="F6509" s="534" t="n">
        <v>1.291</v>
      </c>
    </row>
    <row r="6510">
      <c r="A6510" s="535" t="n">
        <v>40648</v>
      </c>
      <c r="B6510" s="534" t="n">
        <v>17.074</v>
      </c>
      <c r="C6510" s="534" t="n">
        <v>24008.07</v>
      </c>
      <c r="E6510" s="535" t="n">
        <v>44468</v>
      </c>
      <c r="F6510" s="534" t="n">
        <v>1.289</v>
      </c>
    </row>
    <row r="6511">
      <c r="A6511" s="535" t="n">
        <v>40651</v>
      </c>
      <c r="B6511" s="534" t="n">
        <v>16.812</v>
      </c>
      <c r="C6511" s="534" t="n">
        <v>23830.31</v>
      </c>
      <c r="E6511" s="535" t="n">
        <v>44469</v>
      </c>
      <c r="F6511" s="534" t="n">
        <v>1.29</v>
      </c>
    </row>
    <row r="6512">
      <c r="A6512" s="535" t="n">
        <v>40652</v>
      </c>
      <c r="B6512" s="534" t="n">
        <v>16.69</v>
      </c>
      <c r="C6512" s="534" t="n">
        <v>23520.62</v>
      </c>
      <c r="E6512" s="535" t="n">
        <v>44470</v>
      </c>
      <c r="F6512" s="534" t="n">
        <v>1.29</v>
      </c>
    </row>
    <row r="6513">
      <c r="A6513" s="535" t="n">
        <v>40653</v>
      </c>
      <c r="B6513" s="534" t="n">
        <v>16.656</v>
      </c>
      <c r="C6513" s="534" t="n">
        <v>23896.1</v>
      </c>
      <c r="E6513" s="535" t="n">
        <v>44473</v>
      </c>
      <c r="F6513" s="534" t="n">
        <v>1.235</v>
      </c>
    </row>
    <row r="6514">
      <c r="A6514" s="535" t="n">
        <v>40654</v>
      </c>
      <c r="B6514" s="534" t="n">
        <v>16.934</v>
      </c>
      <c r="C6514" s="534" t="n">
        <v>24138.31</v>
      </c>
      <c r="E6514" s="535" t="n">
        <v>44474</v>
      </c>
      <c r="F6514" s="534" t="n">
        <v>1.257</v>
      </c>
    </row>
    <row r="6515">
      <c r="A6515" s="535" t="n">
        <v>40655</v>
      </c>
      <c r="B6515" s="534" t="n">
        <v>16.934</v>
      </c>
      <c r="C6515" s="534" t="n">
        <v>24138.31</v>
      </c>
      <c r="E6515" s="535" t="n">
        <v>44475</v>
      </c>
      <c r="F6515" s="534" t="n">
        <v>1.312</v>
      </c>
    </row>
    <row r="6516">
      <c r="A6516" s="535" t="n">
        <v>40658</v>
      </c>
      <c r="B6516" s="534" t="n">
        <v>16.934</v>
      </c>
      <c r="C6516" s="534" t="n">
        <v>24138.31</v>
      </c>
      <c r="E6516" s="535" t="n">
        <v>44476</v>
      </c>
      <c r="F6516" s="534" t="n">
        <v>1.301</v>
      </c>
    </row>
    <row r="6517">
      <c r="A6517" s="535" t="n">
        <v>40659</v>
      </c>
      <c r="B6517" s="534" t="n">
        <v>16.847</v>
      </c>
      <c r="C6517" s="534" t="n">
        <v>24007.38</v>
      </c>
      <c r="E6517" s="535" t="n">
        <v>44477</v>
      </c>
      <c r="F6517" s="534" t="n">
        <v>1.37</v>
      </c>
    </row>
    <row r="6518">
      <c r="A6518" s="535" t="n">
        <v>40660</v>
      </c>
      <c r="B6518" s="534" t="n">
        <v>17.126</v>
      </c>
      <c r="C6518" s="534" t="n">
        <v>23892.84</v>
      </c>
      <c r="E6518" s="535" t="n">
        <v>44480</v>
      </c>
      <c r="F6518" s="534" t="n">
        <v>1.404</v>
      </c>
    </row>
    <row r="6519">
      <c r="A6519" s="535" t="n">
        <v>40661</v>
      </c>
      <c r="B6519" s="534" t="n">
        <v>17.074</v>
      </c>
      <c r="C6519" s="534" t="n">
        <v>23805.63</v>
      </c>
      <c r="E6519" s="535" t="n">
        <v>44481</v>
      </c>
      <c r="F6519" s="534" t="n">
        <v>1.381</v>
      </c>
    </row>
    <row r="6520">
      <c r="A6520" s="535" t="n">
        <v>40662</v>
      </c>
      <c r="B6520" s="534" t="n">
        <v>16.882</v>
      </c>
      <c r="C6520" s="534" t="n">
        <v>23720.81</v>
      </c>
      <c r="E6520" s="535" t="n">
        <v>44482</v>
      </c>
      <c r="F6520" s="534" t="n">
        <v>1.381</v>
      </c>
    </row>
    <row r="6521">
      <c r="A6521" s="535" t="n">
        <v>40665</v>
      </c>
      <c r="B6521" s="534" t="n">
        <v>16.882</v>
      </c>
      <c r="C6521" s="534" t="n">
        <v>23720.81</v>
      </c>
      <c r="E6521" s="535" t="n">
        <v>44483</v>
      </c>
      <c r="F6521" s="534" t="n">
        <v>1.381</v>
      </c>
    </row>
    <row r="6522">
      <c r="A6522" s="535" t="n">
        <v>40666</v>
      </c>
      <c r="B6522" s="534" t="n">
        <v>16.882</v>
      </c>
      <c r="C6522" s="534" t="n">
        <v>23633.25</v>
      </c>
      <c r="E6522" s="535" t="n">
        <v>44484</v>
      </c>
      <c r="F6522" s="534" t="n">
        <v>1.351</v>
      </c>
    </row>
    <row r="6523">
      <c r="A6523" s="535" t="n">
        <v>40667</v>
      </c>
      <c r="B6523" s="534" t="n">
        <v>16.795</v>
      </c>
      <c r="C6523" s="534" t="n">
        <v>23315.24</v>
      </c>
      <c r="E6523" s="535" t="n">
        <v>44487</v>
      </c>
      <c r="F6523" s="534" t="n">
        <v>1.444</v>
      </c>
    </row>
    <row r="6524">
      <c r="A6524" s="535" t="n">
        <v>40668</v>
      </c>
      <c r="B6524" s="534" t="n">
        <v>16.795</v>
      </c>
      <c r="C6524" s="534" t="n">
        <v>23261.61</v>
      </c>
      <c r="E6524" s="535" t="n">
        <v>44488</v>
      </c>
      <c r="F6524" s="534" t="n">
        <v>1.401</v>
      </c>
    </row>
    <row r="6525">
      <c r="A6525" s="535" t="n">
        <v>40669</v>
      </c>
      <c r="B6525" s="534" t="n">
        <v>17.335</v>
      </c>
      <c r="C6525" s="534" t="n">
        <v>23159.14</v>
      </c>
      <c r="E6525" s="535" t="n">
        <v>44489</v>
      </c>
      <c r="F6525" s="534" t="n">
        <v>1.493</v>
      </c>
    </row>
    <row r="6526">
      <c r="A6526" s="535" t="n">
        <v>40672</v>
      </c>
      <c r="B6526" s="534" t="n">
        <v>17.265</v>
      </c>
      <c r="C6526" s="534" t="n">
        <v>23336</v>
      </c>
      <c r="E6526" s="535" t="n">
        <v>44490</v>
      </c>
      <c r="F6526" s="534" t="n">
        <v>1.483</v>
      </c>
    </row>
    <row r="6527">
      <c r="A6527" s="535" t="n">
        <v>40673</v>
      </c>
      <c r="B6527" s="534" t="n">
        <v>17.265</v>
      </c>
      <c r="C6527" s="534" t="n">
        <v>23336</v>
      </c>
      <c r="E6527" s="535" t="n">
        <v>44491</v>
      </c>
      <c r="F6527" s="534" t="n">
        <v>1.536</v>
      </c>
    </row>
    <row r="6528">
      <c r="A6528" s="535" t="n">
        <v>40674</v>
      </c>
      <c r="B6528" s="534" t="n">
        <v>16.69</v>
      </c>
      <c r="C6528" s="534" t="n">
        <v>23291.8</v>
      </c>
      <c r="E6528" s="535" t="n">
        <v>44494</v>
      </c>
      <c r="F6528" s="534" t="n">
        <v>1.5</v>
      </c>
    </row>
    <row r="6529">
      <c r="A6529" s="535" t="n">
        <v>40675</v>
      </c>
      <c r="B6529" s="534" t="n">
        <v>16.656</v>
      </c>
      <c r="C6529" s="534" t="n">
        <v>23073.76</v>
      </c>
      <c r="E6529" s="535" t="n">
        <v>44495</v>
      </c>
      <c r="F6529" s="534" t="n">
        <v>1.476</v>
      </c>
    </row>
    <row r="6530">
      <c r="A6530" s="535" t="n">
        <v>40676</v>
      </c>
      <c r="B6530" s="534" t="n">
        <v>16.795</v>
      </c>
      <c r="C6530" s="534" t="n">
        <v>23276.27</v>
      </c>
      <c r="E6530" s="535" t="n">
        <v>44496</v>
      </c>
      <c r="F6530" s="534" t="n">
        <v>1.49</v>
      </c>
    </row>
    <row r="6531">
      <c r="A6531" s="535" t="n">
        <v>40679</v>
      </c>
      <c r="B6531" s="534" t="n">
        <v>16.534</v>
      </c>
      <c r="C6531" s="534" t="n">
        <v>22960.63</v>
      </c>
      <c r="E6531" s="535" t="n">
        <v>44497</v>
      </c>
      <c r="F6531" s="534" t="n">
        <v>1.432</v>
      </c>
    </row>
    <row r="6532">
      <c r="A6532" s="535" t="n">
        <v>40680</v>
      </c>
      <c r="B6532" s="534" t="n">
        <v>16.481</v>
      </c>
      <c r="C6532" s="534" t="n">
        <v>22901.08</v>
      </c>
      <c r="E6532" s="535" t="n">
        <v>44498</v>
      </c>
      <c r="F6532" s="534" t="n">
        <v>1.479</v>
      </c>
    </row>
    <row r="6533">
      <c r="A6533" s="535" t="n">
        <v>40681</v>
      </c>
      <c r="B6533" s="534" t="n">
        <v>16.394</v>
      </c>
      <c r="C6533" s="534" t="n">
        <v>23011.14</v>
      </c>
      <c r="E6533" s="535" t="n">
        <v>44501</v>
      </c>
      <c r="F6533" s="534" t="n">
        <v>1.491</v>
      </c>
    </row>
    <row r="6534">
      <c r="A6534" s="535" t="n">
        <v>40682</v>
      </c>
      <c r="B6534" s="534" t="n">
        <v>16.377</v>
      </c>
      <c r="C6534" s="534" t="n">
        <v>23163.38</v>
      </c>
      <c r="E6534" s="535" t="n">
        <v>44502</v>
      </c>
      <c r="F6534" s="534" t="n">
        <v>1.502</v>
      </c>
    </row>
    <row r="6535">
      <c r="A6535" s="535" t="n">
        <v>40683</v>
      </c>
      <c r="B6535" s="534" t="n">
        <v>16.168</v>
      </c>
      <c r="C6535" s="534" t="n">
        <v>23199.39</v>
      </c>
      <c r="E6535" s="535" t="n">
        <v>44503</v>
      </c>
      <c r="F6535" s="534" t="n">
        <v>1.488</v>
      </c>
    </row>
    <row r="6536">
      <c r="A6536" s="535" t="n">
        <v>40686</v>
      </c>
      <c r="B6536" s="534" t="n">
        <v>15.715</v>
      </c>
      <c r="C6536" s="534" t="n">
        <v>22711.02</v>
      </c>
      <c r="E6536" s="535" t="n">
        <v>44504</v>
      </c>
      <c r="F6536" s="534" t="n">
        <v>1.531</v>
      </c>
    </row>
    <row r="6537">
      <c r="A6537" s="535" t="n">
        <v>40687</v>
      </c>
      <c r="B6537" s="534" t="n">
        <v>15.854</v>
      </c>
      <c r="C6537" s="534" t="n">
        <v>22730.78</v>
      </c>
      <c r="E6537" s="535" t="n">
        <v>44505</v>
      </c>
      <c r="F6537" s="534" t="n">
        <v>1.471</v>
      </c>
    </row>
    <row r="6538">
      <c r="A6538" s="535" t="n">
        <v>40688</v>
      </c>
      <c r="B6538" s="534" t="n">
        <v>15.732</v>
      </c>
      <c r="C6538" s="534" t="n">
        <v>22747.28</v>
      </c>
      <c r="E6538" s="535" t="n">
        <v>44508</v>
      </c>
      <c r="F6538" s="534" t="n">
        <v>1.39</v>
      </c>
    </row>
    <row r="6539">
      <c r="A6539" s="535" t="n">
        <v>40689</v>
      </c>
      <c r="B6539" s="534" t="n">
        <v>15.837</v>
      </c>
      <c r="C6539" s="534" t="n">
        <v>22900.79</v>
      </c>
      <c r="E6539" s="535" t="n">
        <v>44509</v>
      </c>
      <c r="F6539" s="534" t="n">
        <v>1.408</v>
      </c>
    </row>
    <row r="6540">
      <c r="A6540" s="535" t="n">
        <v>40690</v>
      </c>
      <c r="B6540" s="534" t="n">
        <v>16.063</v>
      </c>
      <c r="C6540" s="534" t="n">
        <v>23118.07</v>
      </c>
      <c r="E6540" s="535" t="n">
        <v>44510</v>
      </c>
      <c r="F6540" s="534" t="n">
        <v>1.4</v>
      </c>
    </row>
    <row r="6541">
      <c r="A6541" s="535" t="n">
        <v>40693</v>
      </c>
      <c r="B6541" s="534" t="n">
        <v>16.028</v>
      </c>
      <c r="C6541" s="534" t="n">
        <v>23184.32</v>
      </c>
      <c r="E6541" s="535" t="n">
        <v>44511</v>
      </c>
      <c r="F6541" s="534" t="n">
        <v>1.467</v>
      </c>
    </row>
    <row r="6542">
      <c r="A6542" s="535" t="n">
        <v>40694</v>
      </c>
      <c r="B6542" s="534" t="n">
        <v>16.238</v>
      </c>
      <c r="C6542" s="534" t="n">
        <v>23684.13</v>
      </c>
      <c r="E6542" s="535" t="n">
        <v>44512</v>
      </c>
      <c r="F6542" s="534" t="n">
        <v>1.444</v>
      </c>
    </row>
    <row r="6543">
      <c r="A6543" s="535" t="n">
        <v>40695</v>
      </c>
      <c r="B6543" s="534" t="n">
        <v>16.22</v>
      </c>
      <c r="C6543" s="534" t="n">
        <v>23626.43</v>
      </c>
      <c r="E6543" s="535" t="n">
        <v>44515</v>
      </c>
      <c r="F6543" s="534" t="n">
        <v>1.446</v>
      </c>
    </row>
    <row r="6544">
      <c r="A6544" s="535" t="n">
        <v>40696</v>
      </c>
      <c r="B6544" s="534" t="n">
        <v>16.15</v>
      </c>
      <c r="C6544" s="534" t="n">
        <v>23253.84</v>
      </c>
      <c r="E6544" s="535" t="n">
        <v>44516</v>
      </c>
      <c r="F6544" s="534" t="n">
        <v>1.495</v>
      </c>
    </row>
    <row r="6545">
      <c r="A6545" s="535" t="n">
        <v>40697</v>
      </c>
      <c r="B6545" s="534" t="n">
        <v>15.994</v>
      </c>
      <c r="C6545" s="534" t="n">
        <v>22949.56</v>
      </c>
      <c r="E6545" s="535" t="n">
        <v>44517</v>
      </c>
      <c r="F6545" s="534" t="n">
        <v>1.518</v>
      </c>
    </row>
    <row r="6546">
      <c r="A6546" s="535" t="n">
        <v>40700</v>
      </c>
      <c r="B6546" s="534" t="n">
        <v>15.994</v>
      </c>
      <c r="C6546" s="534" t="n">
        <v>22949.56</v>
      </c>
      <c r="E6546" s="535" t="n">
        <v>44518</v>
      </c>
      <c r="F6546" s="534" t="n">
        <v>1.484</v>
      </c>
    </row>
    <row r="6547">
      <c r="A6547" s="535" t="n">
        <v>40701</v>
      </c>
      <c r="B6547" s="534" t="n">
        <v>16.272</v>
      </c>
      <c r="C6547" s="534" t="n">
        <v>22868.67</v>
      </c>
      <c r="E6547" s="535" t="n">
        <v>44519</v>
      </c>
      <c r="F6547" s="534" t="n">
        <v>1.498</v>
      </c>
    </row>
    <row r="6548">
      <c r="A6548" s="535" t="n">
        <v>40702</v>
      </c>
      <c r="B6548" s="534" t="n">
        <v>16.063</v>
      </c>
      <c r="C6548" s="534" t="n">
        <v>22661.63</v>
      </c>
      <c r="E6548" s="535" t="n">
        <v>44522</v>
      </c>
      <c r="F6548" s="534" t="n">
        <v>1.474</v>
      </c>
    </row>
    <row r="6549">
      <c r="A6549" s="535" t="n">
        <v>40703</v>
      </c>
      <c r="B6549" s="534" t="n">
        <v>15.854</v>
      </c>
      <c r="C6549" s="534" t="n">
        <v>22609.83</v>
      </c>
      <c r="E6549" s="535" t="n">
        <v>44523</v>
      </c>
      <c r="F6549" s="534" t="n">
        <v>1.577</v>
      </c>
    </row>
    <row r="6550">
      <c r="A6550" s="535" t="n">
        <v>40704</v>
      </c>
      <c r="B6550" s="534" t="n">
        <v>15.732</v>
      </c>
      <c r="C6550" s="534" t="n">
        <v>22420.37</v>
      </c>
      <c r="E6550" s="535" t="n">
        <v>44524</v>
      </c>
      <c r="F6550" s="534" t="n">
        <v>1.577</v>
      </c>
    </row>
    <row r="6551">
      <c r="A6551" s="535" t="n">
        <v>40707</v>
      </c>
      <c r="B6551" s="534" t="n">
        <v>15.802</v>
      </c>
      <c r="C6551" s="534" t="n">
        <v>22508.08</v>
      </c>
      <c r="E6551" s="535" t="n">
        <v>44525</v>
      </c>
      <c r="F6551" s="534" t="n">
        <v>1.591</v>
      </c>
    </row>
    <row r="6552">
      <c r="A6552" s="535" t="n">
        <v>40708</v>
      </c>
      <c r="B6552" s="534" t="n">
        <v>15.715</v>
      </c>
      <c r="C6552" s="534" t="n">
        <v>22496</v>
      </c>
      <c r="E6552" s="535" t="n">
        <v>44526</v>
      </c>
      <c r="F6552" s="534" t="n">
        <v>1.479</v>
      </c>
    </row>
    <row r="6553">
      <c r="A6553" s="535" t="n">
        <v>40709</v>
      </c>
      <c r="B6553" s="534" t="n">
        <v>15.75</v>
      </c>
      <c r="C6553" s="534" t="n">
        <v>22343.77</v>
      </c>
      <c r="E6553" s="535" t="n">
        <v>44529</v>
      </c>
      <c r="F6553" s="534" t="n">
        <v>1.484</v>
      </c>
    </row>
    <row r="6554">
      <c r="A6554" s="535" t="n">
        <v>40710</v>
      </c>
      <c r="B6554" s="534" t="n">
        <v>15.454</v>
      </c>
      <c r="C6554" s="534" t="n">
        <v>21953.11</v>
      </c>
      <c r="E6554" s="535" t="n">
        <v>44530</v>
      </c>
      <c r="F6554" s="534" t="n">
        <v>1.481</v>
      </c>
    </row>
    <row r="6555">
      <c r="A6555" s="535" t="n">
        <v>40711</v>
      </c>
      <c r="B6555" s="534" t="n">
        <v>15.61</v>
      </c>
      <c r="C6555" s="534" t="n">
        <v>21695.26</v>
      </c>
      <c r="E6555" s="535" t="n">
        <v>44531</v>
      </c>
      <c r="F6555" s="534" t="n">
        <v>1.52</v>
      </c>
    </row>
    <row r="6556">
      <c r="A6556" s="535" t="n">
        <v>40714</v>
      </c>
      <c r="B6556" s="534" t="n">
        <v>15.297</v>
      </c>
      <c r="C6556" s="534" t="n">
        <v>21599.51</v>
      </c>
      <c r="E6556" s="535" t="n">
        <v>44532</v>
      </c>
      <c r="F6556" s="534" t="n">
        <v>1.453</v>
      </c>
    </row>
    <row r="6557">
      <c r="A6557" s="535" t="n">
        <v>40715</v>
      </c>
      <c r="B6557" s="534" t="n">
        <v>15.227</v>
      </c>
      <c r="C6557" s="534" t="n">
        <v>21850.59</v>
      </c>
      <c r="E6557" s="535" t="n">
        <v>44533</v>
      </c>
      <c r="F6557" s="534" t="n">
        <v>1.445</v>
      </c>
    </row>
    <row r="6558">
      <c r="A6558" s="535" t="n">
        <v>40716</v>
      </c>
      <c r="B6558" s="534" t="n">
        <v>15.297</v>
      </c>
      <c r="C6558" s="534" t="n">
        <v>21859.97</v>
      </c>
      <c r="E6558" s="535" t="n">
        <v>44536</v>
      </c>
      <c r="F6558" s="534" t="n">
        <v>1.434</v>
      </c>
    </row>
    <row r="6559">
      <c r="A6559" s="535" t="n">
        <v>40717</v>
      </c>
      <c r="B6559" s="534" t="n">
        <v>14.722</v>
      </c>
      <c r="C6559" s="534" t="n">
        <v>21759.14</v>
      </c>
      <c r="E6559" s="535" t="n">
        <v>44537</v>
      </c>
      <c r="F6559" s="534" t="n">
        <v>1.503</v>
      </c>
    </row>
    <row r="6560">
      <c r="A6560" s="535" t="n">
        <v>40718</v>
      </c>
      <c r="B6560" s="534" t="n">
        <v>15.506</v>
      </c>
      <c r="C6560" s="534" t="n">
        <v>22171.95</v>
      </c>
      <c r="E6560" s="535" t="n">
        <v>44538</v>
      </c>
      <c r="F6560" s="534" t="n">
        <v>1.5</v>
      </c>
    </row>
    <row r="6561">
      <c r="A6561" s="535" t="n">
        <v>40721</v>
      </c>
      <c r="B6561" s="534" t="n">
        <v>15.262</v>
      </c>
      <c r="C6561" s="534" t="n">
        <v>22041.77</v>
      </c>
      <c r="E6561" s="535" t="n">
        <v>44539</v>
      </c>
      <c r="F6561" s="534" t="n">
        <v>1.5</v>
      </c>
    </row>
    <row r="6562">
      <c r="A6562" s="535" t="n">
        <v>40722</v>
      </c>
      <c r="B6562" s="534" t="n">
        <v>15.488</v>
      </c>
      <c r="C6562" s="534" t="n">
        <v>22061.78</v>
      </c>
      <c r="E6562" s="535" t="n">
        <v>44540</v>
      </c>
      <c r="F6562" s="534" t="n">
        <v>1.492</v>
      </c>
    </row>
    <row r="6563">
      <c r="A6563" s="535" t="n">
        <v>40723</v>
      </c>
      <c r="B6563" s="534" t="n">
        <v>15.68</v>
      </c>
      <c r="C6563" s="534" t="n">
        <v>22061.18</v>
      </c>
      <c r="E6563" s="535" t="n">
        <v>44543</v>
      </c>
      <c r="F6563" s="534" t="n">
        <v>1.465</v>
      </c>
    </row>
    <row r="6564">
      <c r="A6564" s="535" t="n">
        <v>40724</v>
      </c>
      <c r="B6564" s="534" t="n">
        <v>15.697</v>
      </c>
      <c r="C6564" s="534" t="n">
        <v>22398.1</v>
      </c>
      <c r="E6564" s="535" t="n">
        <v>44544</v>
      </c>
      <c r="F6564" s="534" t="n">
        <v>1.419</v>
      </c>
    </row>
    <row r="6565">
      <c r="A6565" s="535" t="n">
        <v>40725</v>
      </c>
      <c r="B6565" s="534" t="n">
        <v>15.697</v>
      </c>
      <c r="C6565" s="534" t="n">
        <v>22398.1</v>
      </c>
      <c r="E6565" s="535" t="n">
        <v>44545</v>
      </c>
      <c r="F6565" s="534" t="n">
        <v>1.407</v>
      </c>
    </row>
    <row r="6566">
      <c r="A6566" s="535" t="n">
        <v>40728</v>
      </c>
      <c r="B6566" s="534" t="n">
        <v>16.028</v>
      </c>
      <c r="C6566" s="534" t="n">
        <v>22770.47</v>
      </c>
      <c r="E6566" s="535" t="n">
        <v>44546</v>
      </c>
      <c r="F6566" s="534" t="n">
        <v>1.405</v>
      </c>
    </row>
    <row r="6567">
      <c r="A6567" s="535" t="n">
        <v>40729</v>
      </c>
      <c r="B6567" s="534" t="n">
        <v>15.959</v>
      </c>
      <c r="C6567" s="534" t="n">
        <v>22747.95</v>
      </c>
      <c r="E6567" s="535" t="n">
        <v>44547</v>
      </c>
      <c r="F6567" s="534" t="n">
        <v>1.311</v>
      </c>
    </row>
    <row r="6568">
      <c r="A6568" s="535" t="n">
        <v>40730</v>
      </c>
      <c r="B6568" s="534" t="n">
        <v>15.872</v>
      </c>
      <c r="C6568" s="534" t="n">
        <v>22517.55</v>
      </c>
      <c r="E6568" s="535" t="n">
        <v>44550</v>
      </c>
      <c r="F6568" s="534" t="n">
        <v>1.269</v>
      </c>
    </row>
    <row r="6569">
      <c r="A6569" s="535" t="n">
        <v>40731</v>
      </c>
      <c r="B6569" s="534" t="n">
        <v>15.924</v>
      </c>
      <c r="C6569" s="534" t="n">
        <v>22530.18</v>
      </c>
      <c r="E6569" s="535" t="n">
        <v>44551</v>
      </c>
      <c r="F6569" s="534" t="n">
        <v>1.301</v>
      </c>
    </row>
    <row r="6570">
      <c r="A6570" s="535" t="n">
        <v>40732</v>
      </c>
      <c r="B6570" s="534" t="n">
        <v>15.872</v>
      </c>
      <c r="C6570" s="534" t="n">
        <v>22726.43</v>
      </c>
      <c r="E6570" s="535" t="n">
        <v>44552</v>
      </c>
      <c r="F6570" s="534" t="n">
        <v>1.333</v>
      </c>
    </row>
    <row r="6571">
      <c r="A6571" s="535" t="n">
        <v>40735</v>
      </c>
      <c r="B6571" s="534" t="n">
        <v>15.593</v>
      </c>
      <c r="C6571" s="534" t="n">
        <v>22347.23</v>
      </c>
      <c r="E6571" s="535" t="n">
        <v>44553</v>
      </c>
      <c r="F6571" s="534" t="n">
        <v>1.364</v>
      </c>
    </row>
    <row r="6572">
      <c r="A6572" s="535" t="n">
        <v>40736</v>
      </c>
      <c r="B6572" s="534" t="n">
        <v>15.471</v>
      </c>
      <c r="C6572" s="534" t="n">
        <v>21663.16</v>
      </c>
      <c r="E6572" s="535" t="n">
        <v>44554</v>
      </c>
      <c r="F6572" s="534" t="n">
        <v>1.374</v>
      </c>
    </row>
    <row r="6573">
      <c r="A6573" s="535" t="n">
        <v>40737</v>
      </c>
      <c r="B6573" s="534" t="n">
        <v>15.366</v>
      </c>
      <c r="C6573" s="534" t="n">
        <v>21926.88</v>
      </c>
      <c r="E6573" s="535" t="n">
        <v>44557</v>
      </c>
      <c r="F6573" s="534" t="n">
        <v>1.374</v>
      </c>
    </row>
    <row r="6574">
      <c r="A6574" s="535" t="n">
        <v>40738</v>
      </c>
      <c r="B6574" s="534" t="n">
        <v>15.61</v>
      </c>
      <c r="C6574" s="534" t="n">
        <v>21940.2</v>
      </c>
      <c r="E6574" s="535" t="n">
        <v>44558</v>
      </c>
      <c r="F6574" s="534" t="n">
        <v>1.385</v>
      </c>
    </row>
    <row r="6575">
      <c r="A6575" s="535" t="n">
        <v>40739</v>
      </c>
      <c r="B6575" s="534" t="n">
        <v>15.906</v>
      </c>
      <c r="C6575" s="534" t="n">
        <v>21875.38</v>
      </c>
      <c r="E6575" s="535" t="n">
        <v>44559</v>
      </c>
      <c r="F6575" s="534" t="n">
        <v>1.396</v>
      </c>
    </row>
    <row r="6576">
      <c r="A6576" s="535" t="n">
        <v>40742</v>
      </c>
      <c r="B6576" s="534" t="n">
        <v>15.663</v>
      </c>
      <c r="C6576" s="534" t="n">
        <v>21804.75</v>
      </c>
      <c r="E6576" s="535" t="n">
        <v>44560</v>
      </c>
      <c r="F6576" s="534" t="n">
        <v>1.445</v>
      </c>
    </row>
    <row r="6577">
      <c r="A6577" s="535" t="n">
        <v>40743</v>
      </c>
      <c r="B6577" s="534" t="n">
        <v>15.872</v>
      </c>
      <c r="C6577" s="534" t="n">
        <v>21902.4</v>
      </c>
      <c r="E6577" s="535" t="n">
        <v>44561</v>
      </c>
      <c r="F6577" s="534" t="n">
        <v>1.445</v>
      </c>
    </row>
    <row r="6578">
      <c r="A6578" s="535" t="n">
        <v>40744</v>
      </c>
      <c r="B6578" s="534" t="n">
        <v>15.767</v>
      </c>
      <c r="C6578" s="534" t="n">
        <v>22003.69</v>
      </c>
      <c r="E6578" s="535" t="n">
        <v>44564</v>
      </c>
      <c r="F6578" s="534" t="n">
        <v>1.466</v>
      </c>
    </row>
    <row r="6579">
      <c r="A6579" s="535" t="n">
        <v>40745</v>
      </c>
      <c r="B6579" s="534" t="n">
        <v>15.732</v>
      </c>
      <c r="C6579" s="534" t="n">
        <v>21987.29</v>
      </c>
      <c r="E6579" s="535" t="n">
        <v>44565</v>
      </c>
      <c r="F6579" s="534" t="n">
        <v>1.553</v>
      </c>
    </row>
    <row r="6580">
      <c r="A6580" s="535" t="n">
        <v>40746</v>
      </c>
      <c r="B6580" s="534" t="n">
        <v>16.116</v>
      </c>
      <c r="C6580" s="534" t="n">
        <v>22444.8</v>
      </c>
      <c r="E6580" s="535" t="n">
        <v>44566</v>
      </c>
      <c r="F6580" s="534" t="n">
        <v>1.554</v>
      </c>
    </row>
    <row r="6581">
      <c r="A6581" s="535" t="n">
        <v>40749</v>
      </c>
      <c r="B6581" s="534" t="n">
        <v>16.133</v>
      </c>
      <c r="C6581" s="534" t="n">
        <v>22293.29</v>
      </c>
      <c r="E6581" s="535" t="n">
        <v>44567</v>
      </c>
      <c r="F6581" s="534" t="n">
        <v>1.627</v>
      </c>
    </row>
    <row r="6582">
      <c r="A6582" s="535" t="n">
        <v>40750</v>
      </c>
      <c r="B6582" s="534" t="n">
        <v>16.29</v>
      </c>
      <c r="C6582" s="534" t="n">
        <v>22572.08</v>
      </c>
      <c r="E6582" s="535" t="n">
        <v>44568</v>
      </c>
      <c r="F6582" s="534" t="n">
        <v>1.645</v>
      </c>
    </row>
    <row r="6583">
      <c r="A6583" s="535" t="n">
        <v>40751</v>
      </c>
      <c r="B6583" s="534" t="n">
        <v>16.238</v>
      </c>
      <c r="C6583" s="534" t="n">
        <v>22541.69</v>
      </c>
      <c r="E6583" s="535" t="n">
        <v>44571</v>
      </c>
      <c r="F6583" s="534" t="n">
        <v>1.776</v>
      </c>
    </row>
    <row r="6584">
      <c r="A6584" s="535" t="n">
        <v>40752</v>
      </c>
      <c r="B6584" s="534" t="n">
        <v>16.011</v>
      </c>
      <c r="C6584" s="534" t="n">
        <v>22570.74</v>
      </c>
      <c r="E6584" s="535" t="n">
        <v>44572</v>
      </c>
      <c r="F6584" s="534" t="n">
        <v>1.698</v>
      </c>
    </row>
    <row r="6585">
      <c r="A6585" s="535" t="n">
        <v>40753</v>
      </c>
      <c r="B6585" s="534" t="n">
        <v>15.732</v>
      </c>
      <c r="C6585" s="534" t="n">
        <v>22440.25</v>
      </c>
      <c r="E6585" s="535" t="n">
        <v>44573</v>
      </c>
      <c r="F6585" s="534" t="n">
        <v>1.672</v>
      </c>
    </row>
    <row r="6586">
      <c r="A6586" s="535" t="n">
        <v>40756</v>
      </c>
      <c r="B6586" s="534" t="n">
        <v>15.68</v>
      </c>
      <c r="C6586" s="534" t="n">
        <v>22663.37</v>
      </c>
      <c r="E6586" s="535" t="n">
        <v>44574</v>
      </c>
      <c r="F6586" s="534" t="n">
        <v>1.643</v>
      </c>
    </row>
    <row r="6587">
      <c r="A6587" s="535" t="n">
        <v>40757</v>
      </c>
      <c r="B6587" s="534" t="n">
        <v>15.732</v>
      </c>
      <c r="C6587" s="534" t="n">
        <v>22421.46</v>
      </c>
      <c r="E6587" s="535" t="n">
        <v>44575</v>
      </c>
      <c r="F6587" s="534" t="n">
        <v>1.602</v>
      </c>
    </row>
    <row r="6588">
      <c r="A6588" s="535" t="n">
        <v>40758</v>
      </c>
      <c r="B6588" s="534" t="n">
        <v>15.523</v>
      </c>
      <c r="C6588" s="534" t="n">
        <v>21992.72</v>
      </c>
      <c r="E6588" s="535" t="n">
        <v>44578</v>
      </c>
      <c r="F6588" s="534" t="n">
        <v>1.674</v>
      </c>
    </row>
    <row r="6589">
      <c r="A6589" s="535" t="n">
        <v>40759</v>
      </c>
      <c r="B6589" s="534" t="n">
        <v>15.332</v>
      </c>
      <c r="C6589" s="534" t="n">
        <v>21884.74</v>
      </c>
      <c r="E6589" s="535" t="n">
        <v>44579</v>
      </c>
      <c r="F6589" s="534" t="n">
        <v>1.685</v>
      </c>
    </row>
    <row r="6590">
      <c r="A6590" s="535" t="n">
        <v>40760</v>
      </c>
      <c r="B6590" s="534" t="n">
        <v>14.704</v>
      </c>
      <c r="C6590" s="534" t="n">
        <v>20946.14</v>
      </c>
      <c r="E6590" s="535" t="n">
        <v>44580</v>
      </c>
      <c r="F6590" s="534" t="n">
        <v>1.742</v>
      </c>
    </row>
    <row r="6591">
      <c r="A6591" s="535" t="n">
        <v>40763</v>
      </c>
      <c r="B6591" s="534" t="n">
        <v>14.338</v>
      </c>
      <c r="C6591" s="534" t="n">
        <v>20490.57</v>
      </c>
      <c r="E6591" s="535" t="n">
        <v>44581</v>
      </c>
      <c r="F6591" s="534" t="n">
        <v>1.742</v>
      </c>
    </row>
    <row r="6592">
      <c r="A6592" s="535" t="n">
        <v>40764</v>
      </c>
      <c r="B6592" s="534" t="n">
        <v>14.182</v>
      </c>
      <c r="C6592" s="534" t="n">
        <v>19330.7</v>
      </c>
      <c r="E6592" s="535" t="n">
        <v>44582</v>
      </c>
      <c r="F6592" s="534" t="n">
        <v>1.593</v>
      </c>
    </row>
    <row r="6593">
      <c r="A6593" s="535" t="n">
        <v>40765</v>
      </c>
      <c r="B6593" s="534" t="n">
        <v>14.234</v>
      </c>
      <c r="C6593" s="534" t="n">
        <v>19783.67</v>
      </c>
      <c r="E6593" s="535" t="n">
        <v>44585</v>
      </c>
      <c r="F6593" s="534" t="n">
        <v>1.623</v>
      </c>
    </row>
    <row r="6594">
      <c r="A6594" s="535" t="n">
        <v>40766</v>
      </c>
      <c r="B6594" s="534" t="n">
        <v>13.955</v>
      </c>
      <c r="C6594" s="534" t="n">
        <v>19595.14</v>
      </c>
      <c r="E6594" s="535" t="n">
        <v>44586</v>
      </c>
      <c r="F6594" s="534" t="n">
        <v>1.611</v>
      </c>
    </row>
    <row r="6595">
      <c r="A6595" s="535" t="n">
        <v>40767</v>
      </c>
      <c r="B6595" s="534" t="n">
        <v>13.607</v>
      </c>
      <c r="C6595" s="534" t="n">
        <v>19620.01</v>
      </c>
      <c r="E6595" s="535" t="n">
        <v>44587</v>
      </c>
      <c r="F6595" s="534" t="n">
        <v>1.619</v>
      </c>
    </row>
    <row r="6596">
      <c r="A6596" s="535" t="n">
        <v>40770</v>
      </c>
      <c r="B6596" s="534" t="n">
        <v>13.868</v>
      </c>
      <c r="C6596" s="534" t="n">
        <v>20260.1</v>
      </c>
      <c r="E6596" s="535" t="n">
        <v>44588</v>
      </c>
      <c r="F6596" s="534" t="n">
        <v>1.664</v>
      </c>
    </row>
    <row r="6597">
      <c r="A6597" s="535" t="n">
        <v>40771</v>
      </c>
      <c r="B6597" s="534" t="n">
        <v>13.938</v>
      </c>
      <c r="C6597" s="534" t="n">
        <v>20212.08</v>
      </c>
      <c r="E6597" s="535" t="n">
        <v>44589</v>
      </c>
      <c r="F6597" s="534" t="n">
        <v>1.675</v>
      </c>
    </row>
    <row r="6598">
      <c r="A6598" s="535" t="n">
        <v>40772</v>
      </c>
      <c r="B6598" s="534" t="n">
        <v>14.007</v>
      </c>
      <c r="C6598" s="534" t="n">
        <v>20289.03</v>
      </c>
      <c r="E6598" s="535" t="n">
        <v>44592</v>
      </c>
      <c r="F6598" s="534" t="n">
        <v>1.649</v>
      </c>
    </row>
    <row r="6599">
      <c r="A6599" s="535" t="n">
        <v>40773</v>
      </c>
      <c r="B6599" s="534" t="n">
        <v>13.973</v>
      </c>
      <c r="C6599" s="534" t="n">
        <v>20016.27</v>
      </c>
      <c r="E6599" s="535" t="n">
        <v>44593</v>
      </c>
      <c r="F6599" s="534" t="n">
        <v>1.649</v>
      </c>
    </row>
    <row r="6600">
      <c r="A6600" s="535" t="n">
        <v>40774</v>
      </c>
      <c r="B6600" s="534" t="n">
        <v>13.206</v>
      </c>
      <c r="C6600" s="534" t="n">
        <v>19399.92</v>
      </c>
      <c r="E6600" s="535" t="n">
        <v>44594</v>
      </c>
      <c r="F6600" s="534" t="n">
        <v>1.649</v>
      </c>
    </row>
    <row r="6601">
      <c r="A6601" s="535" t="n">
        <v>40777</v>
      </c>
      <c r="B6601" s="534" t="n">
        <v>13.258</v>
      </c>
      <c r="C6601" s="534" t="n">
        <v>19486.87</v>
      </c>
      <c r="E6601" s="535" t="n">
        <v>44595</v>
      </c>
      <c r="F6601" s="534" t="n">
        <v>1.649</v>
      </c>
    </row>
    <row r="6602">
      <c r="A6602" s="535" t="n">
        <v>40778</v>
      </c>
      <c r="B6602" s="534" t="n">
        <v>13.258</v>
      </c>
      <c r="C6602" s="534" t="n">
        <v>19875.53</v>
      </c>
      <c r="E6602" s="535" t="n">
        <v>44596</v>
      </c>
      <c r="F6602" s="534" t="n">
        <v>1.703</v>
      </c>
    </row>
    <row r="6603">
      <c r="A6603" s="535" t="n">
        <v>40779</v>
      </c>
      <c r="B6603" s="534" t="n">
        <v>13.136</v>
      </c>
      <c r="C6603" s="534" t="n">
        <v>19466.79</v>
      </c>
      <c r="E6603" s="535" t="n">
        <v>44599</v>
      </c>
      <c r="F6603" s="534" t="n">
        <v>1.758</v>
      </c>
    </row>
    <row r="6604">
      <c r="A6604" s="535" t="n">
        <v>40780</v>
      </c>
      <c r="B6604" s="534" t="n">
        <v>13.293</v>
      </c>
      <c r="C6604" s="534" t="n">
        <v>19752.48</v>
      </c>
      <c r="E6604" s="535" t="n">
        <v>44600</v>
      </c>
      <c r="F6604" s="534" t="n">
        <v>1.796</v>
      </c>
    </row>
    <row r="6605">
      <c r="A6605" s="535" t="n">
        <v>40781</v>
      </c>
      <c r="B6605" s="534" t="n">
        <v>13.223</v>
      </c>
      <c r="C6605" s="534" t="n">
        <v>19582.88</v>
      </c>
      <c r="E6605" s="535" t="n">
        <v>44601</v>
      </c>
      <c r="F6605" s="534" t="n">
        <v>1.791</v>
      </c>
    </row>
    <row r="6606">
      <c r="A6606" s="535" t="n">
        <v>40784</v>
      </c>
      <c r="B6606" s="534" t="n">
        <v>13.345</v>
      </c>
      <c r="C6606" s="534" t="n">
        <v>19865.11</v>
      </c>
      <c r="E6606" s="535" t="n">
        <v>44602</v>
      </c>
      <c r="F6606" s="534" t="n">
        <v>1.773</v>
      </c>
    </row>
    <row r="6607">
      <c r="A6607" s="535" t="n">
        <v>40785</v>
      </c>
      <c r="B6607" s="534" t="n">
        <v>13.433</v>
      </c>
      <c r="C6607" s="534" t="n">
        <v>20204.17</v>
      </c>
      <c r="E6607" s="535" t="n">
        <v>44603</v>
      </c>
      <c r="F6607" s="534" t="n">
        <v>1.783</v>
      </c>
    </row>
    <row r="6608">
      <c r="A6608" s="535" t="n">
        <v>40786</v>
      </c>
      <c r="B6608" s="534" t="n">
        <v>13.659</v>
      </c>
      <c r="C6608" s="534" t="n">
        <v>20534.85</v>
      </c>
      <c r="E6608" s="535" t="n">
        <v>44606</v>
      </c>
      <c r="F6608" s="534" t="n">
        <v>1.765</v>
      </c>
    </row>
    <row r="6609">
      <c r="A6609" s="535" t="n">
        <v>40787</v>
      </c>
      <c r="B6609" s="534" t="n">
        <v>13.955</v>
      </c>
      <c r="C6609" s="534" t="n">
        <v>20585.33</v>
      </c>
      <c r="E6609" s="535" t="n">
        <v>44607</v>
      </c>
      <c r="F6609" s="534" t="n">
        <v>1.774</v>
      </c>
    </row>
    <row r="6610">
      <c r="A6610" s="535" t="n">
        <v>40788</v>
      </c>
      <c r="B6610" s="534" t="n">
        <v>13.711</v>
      </c>
      <c r="C6610" s="534" t="n">
        <v>20212.91</v>
      </c>
      <c r="E6610" s="535" t="n">
        <v>44608</v>
      </c>
      <c r="F6610" s="534" t="n">
        <v>1.812</v>
      </c>
    </row>
    <row r="6611">
      <c r="A6611" s="535" t="n">
        <v>40791</v>
      </c>
      <c r="B6611" s="534" t="n">
        <v>13.363</v>
      </c>
      <c r="C6611" s="534" t="n">
        <v>19616.4</v>
      </c>
      <c r="E6611" s="535" t="n">
        <v>44609</v>
      </c>
      <c r="F6611" s="534" t="n">
        <v>1.798</v>
      </c>
    </row>
    <row r="6612">
      <c r="A6612" s="535" t="n">
        <v>40792</v>
      </c>
      <c r="B6612" s="534" t="n">
        <v>13.293</v>
      </c>
      <c r="C6612" s="534" t="n">
        <v>19710.5</v>
      </c>
      <c r="E6612" s="535" t="n">
        <v>44610</v>
      </c>
      <c r="F6612" s="534" t="n">
        <v>1.783</v>
      </c>
    </row>
    <row r="6613">
      <c r="A6613" s="535" t="n">
        <v>40793</v>
      </c>
      <c r="B6613" s="534" t="n">
        <v>13.276</v>
      </c>
      <c r="C6613" s="534" t="n">
        <v>20048</v>
      </c>
      <c r="E6613" s="535" t="n">
        <v>44613</v>
      </c>
      <c r="F6613" s="534" t="n">
        <v>1.788</v>
      </c>
    </row>
    <row r="6614">
      <c r="A6614" s="535" t="n">
        <v>40794</v>
      </c>
      <c r="B6614" s="534" t="n">
        <v>13.223</v>
      </c>
      <c r="C6614" s="534" t="n">
        <v>19912.82</v>
      </c>
      <c r="E6614" s="535" t="n">
        <v>44614</v>
      </c>
      <c r="F6614" s="534" t="n">
        <v>1.741</v>
      </c>
    </row>
    <row r="6615">
      <c r="A6615" s="535" t="n">
        <v>40795</v>
      </c>
      <c r="B6615" s="534" t="n">
        <v>13.293</v>
      </c>
      <c r="C6615" s="534" t="n">
        <v>19866.63</v>
      </c>
      <c r="E6615" s="535" t="n">
        <v>44615</v>
      </c>
      <c r="F6615" s="534" t="n">
        <v>1.806</v>
      </c>
    </row>
    <row r="6616">
      <c r="A6616" s="535" t="n">
        <v>40798</v>
      </c>
      <c r="B6616" s="534" t="n">
        <v>12.596</v>
      </c>
      <c r="C6616" s="534" t="n">
        <v>19030.54</v>
      </c>
      <c r="E6616" s="535" t="n">
        <v>44616</v>
      </c>
      <c r="F6616" s="534" t="n">
        <v>1.764</v>
      </c>
    </row>
    <row r="6617">
      <c r="A6617" s="535" t="n">
        <v>40799</v>
      </c>
      <c r="B6617" s="534" t="n">
        <v>12.596</v>
      </c>
      <c r="C6617" s="534" t="n">
        <v>19030.54</v>
      </c>
      <c r="E6617" s="535" t="n">
        <v>44617</v>
      </c>
      <c r="F6617" s="534" t="n">
        <v>1.842</v>
      </c>
    </row>
    <row r="6618">
      <c r="A6618" s="535" t="n">
        <v>40800</v>
      </c>
      <c r="B6618" s="534" t="n">
        <v>11.847</v>
      </c>
      <c r="C6618" s="534" t="n">
        <v>19045.44</v>
      </c>
      <c r="E6618" s="535" t="n">
        <v>44620</v>
      </c>
      <c r="F6618" s="534" t="n">
        <v>1.825</v>
      </c>
    </row>
    <row r="6619">
      <c r="A6619" s="535" t="n">
        <v>40801</v>
      </c>
      <c r="B6619" s="534" t="n">
        <v>11.638</v>
      </c>
      <c r="C6619" s="534" t="n">
        <v>19181.5</v>
      </c>
      <c r="E6619" s="535" t="n">
        <v>44621</v>
      </c>
      <c r="F6619" s="534" t="n">
        <v>1.817</v>
      </c>
    </row>
    <row r="6620">
      <c r="A6620" s="535" t="n">
        <v>40802</v>
      </c>
      <c r="B6620" s="534" t="n">
        <v>11.934</v>
      </c>
      <c r="C6620" s="534" t="n">
        <v>19455.31</v>
      </c>
      <c r="E6620" s="535" t="n">
        <v>44622</v>
      </c>
      <c r="F6620" s="534" t="n">
        <v>1.715</v>
      </c>
    </row>
    <row r="6621">
      <c r="A6621" s="535" t="n">
        <v>40805</v>
      </c>
      <c r="B6621" s="534" t="n">
        <v>11.655</v>
      </c>
      <c r="C6621" s="534" t="n">
        <v>18917.95</v>
      </c>
      <c r="E6621" s="535" t="n">
        <v>44623</v>
      </c>
      <c r="F6621" s="534" t="n">
        <v>1.775</v>
      </c>
    </row>
    <row r="6622">
      <c r="A6622" s="535" t="n">
        <v>40806</v>
      </c>
      <c r="B6622" s="534" t="n">
        <v>11.429</v>
      </c>
      <c r="C6622" s="534" t="n">
        <v>19014.8</v>
      </c>
      <c r="E6622" s="535" t="n">
        <v>44624</v>
      </c>
      <c r="F6622" s="534" t="n">
        <v>1.713</v>
      </c>
    </row>
    <row r="6623">
      <c r="A6623" s="535" t="n">
        <v>40807</v>
      </c>
      <c r="B6623" s="534" t="n">
        <v>11.412</v>
      </c>
      <c r="C6623" s="534" t="n">
        <v>18824.17</v>
      </c>
      <c r="E6623" s="535" t="n">
        <v>44627</v>
      </c>
      <c r="F6623" s="534" t="n">
        <v>1.651</v>
      </c>
    </row>
    <row r="6624">
      <c r="A6624" s="535" t="n">
        <v>40808</v>
      </c>
      <c r="B6624" s="534" t="n">
        <v>10.959</v>
      </c>
      <c r="C6624" s="534" t="n">
        <v>17911.95</v>
      </c>
      <c r="E6624" s="535" t="n">
        <v>44628</v>
      </c>
      <c r="F6624" s="534" t="n">
        <v>1.701</v>
      </c>
    </row>
    <row r="6625">
      <c r="A6625" s="535" t="n">
        <v>40809</v>
      </c>
      <c r="B6625" s="534" t="n">
        <v>11.185</v>
      </c>
      <c r="C6625" s="534" t="n">
        <v>17668.83</v>
      </c>
      <c r="E6625" s="535" t="n">
        <v>44629</v>
      </c>
      <c r="F6625" s="534" t="n">
        <v>1.75</v>
      </c>
    </row>
    <row r="6626">
      <c r="A6626" s="535" t="n">
        <v>40812</v>
      </c>
      <c r="B6626" s="534" t="n">
        <v>10.61</v>
      </c>
      <c r="C6626" s="534" t="n">
        <v>17407.8</v>
      </c>
      <c r="E6626" s="535" t="n">
        <v>44630</v>
      </c>
      <c r="F6626" s="534" t="n">
        <v>1.843</v>
      </c>
    </row>
    <row r="6627">
      <c r="A6627" s="535" t="n">
        <v>40813</v>
      </c>
      <c r="B6627" s="534" t="n">
        <v>11.081</v>
      </c>
      <c r="C6627" s="534" t="n">
        <v>18130.55</v>
      </c>
      <c r="E6627" s="535" t="n">
        <v>44631</v>
      </c>
      <c r="F6627" s="534" t="n">
        <v>1.89</v>
      </c>
    </row>
    <row r="6628">
      <c r="A6628" s="535" t="n">
        <v>40814</v>
      </c>
      <c r="B6628" s="534" t="n">
        <v>11.115</v>
      </c>
      <c r="C6628" s="534" t="n">
        <v>18011.06</v>
      </c>
      <c r="E6628" s="535" t="n">
        <v>44634</v>
      </c>
      <c r="F6628" s="534" t="n">
        <v>1.97</v>
      </c>
    </row>
    <row r="6629">
      <c r="A6629" s="535" t="n">
        <v>40815</v>
      </c>
      <c r="B6629" s="534" t="n">
        <v>11.115</v>
      </c>
      <c r="C6629" s="534" t="n">
        <v>18011.06</v>
      </c>
      <c r="E6629" s="535" t="n">
        <v>44635</v>
      </c>
      <c r="F6629" s="534" t="n">
        <v>2.02</v>
      </c>
    </row>
    <row r="6630">
      <c r="A6630" s="535" t="n">
        <v>40816</v>
      </c>
      <c r="B6630" s="534" t="n">
        <v>11.15</v>
      </c>
      <c r="C6630" s="534" t="n">
        <v>17592.41</v>
      </c>
      <c r="E6630" s="535" t="n">
        <v>44636</v>
      </c>
      <c r="F6630" s="534" t="n">
        <v>2.014</v>
      </c>
    </row>
    <row r="6631">
      <c r="A6631" s="535" t="n">
        <v>40819</v>
      </c>
      <c r="B6631" s="534" t="n">
        <v>10.715</v>
      </c>
      <c r="C6631" s="534" t="n">
        <v>16822.15</v>
      </c>
      <c r="E6631" s="535" t="n">
        <v>44637</v>
      </c>
      <c r="F6631" s="534" t="n">
        <v>2.013</v>
      </c>
    </row>
    <row r="6632">
      <c r="A6632" s="535" t="n">
        <v>40820</v>
      </c>
      <c r="B6632" s="534" t="n">
        <v>10.349</v>
      </c>
      <c r="C6632" s="534" t="n">
        <v>16250.27</v>
      </c>
      <c r="E6632" s="535" t="n">
        <v>44638</v>
      </c>
      <c r="F6632" s="534" t="n">
        <v>1.986</v>
      </c>
    </row>
    <row r="6633">
      <c r="A6633" s="535" t="n">
        <v>40821</v>
      </c>
      <c r="B6633" s="534" t="n">
        <v>10.349</v>
      </c>
      <c r="C6633" s="534" t="n">
        <v>16250.27</v>
      </c>
      <c r="E6633" s="535" t="n">
        <v>44641</v>
      </c>
      <c r="F6633" s="534" t="n">
        <v>1.97</v>
      </c>
    </row>
    <row r="6634">
      <c r="A6634" s="535" t="n">
        <v>40822</v>
      </c>
      <c r="B6634" s="534" t="n">
        <v>11.063</v>
      </c>
      <c r="C6634" s="534" t="n">
        <v>17172.28</v>
      </c>
      <c r="E6634" s="535" t="n">
        <v>44642</v>
      </c>
      <c r="F6634" s="534" t="n">
        <v>2.143</v>
      </c>
    </row>
    <row r="6635">
      <c r="A6635" s="535" t="n">
        <v>40823</v>
      </c>
      <c r="B6635" s="534" t="n">
        <v>11.499</v>
      </c>
      <c r="C6635" s="534" t="n">
        <v>17707.01</v>
      </c>
      <c r="E6635" s="535" t="n">
        <v>44643</v>
      </c>
      <c r="F6635" s="534" t="n">
        <v>2.201</v>
      </c>
    </row>
    <row r="6636">
      <c r="A6636" s="535" t="n">
        <v>40826</v>
      </c>
      <c r="B6636" s="534" t="n">
        <v>11.429</v>
      </c>
      <c r="C6636" s="534" t="n">
        <v>17711.06</v>
      </c>
      <c r="E6636" s="535" t="n">
        <v>44644</v>
      </c>
      <c r="F6636" s="534" t="n">
        <v>2.153</v>
      </c>
    </row>
    <row r="6637">
      <c r="A6637" s="535" t="n">
        <v>40827</v>
      </c>
      <c r="B6637" s="534" t="n">
        <v>11.621</v>
      </c>
      <c r="C6637" s="534" t="n">
        <v>18141.59</v>
      </c>
      <c r="E6637" s="535" t="n">
        <v>44645</v>
      </c>
      <c r="F6637" s="534" t="n">
        <v>2.165</v>
      </c>
    </row>
    <row r="6638">
      <c r="A6638" s="535" t="n">
        <v>40828</v>
      </c>
      <c r="B6638" s="534" t="n">
        <v>11.638</v>
      </c>
      <c r="C6638" s="534" t="n">
        <v>18329.46</v>
      </c>
      <c r="E6638" s="535" t="n">
        <v>44648</v>
      </c>
      <c r="F6638" s="534" t="n">
        <v>2.336</v>
      </c>
    </row>
    <row r="6639">
      <c r="A6639" s="535" t="n">
        <v>40829</v>
      </c>
      <c r="B6639" s="534" t="n">
        <v>12.004</v>
      </c>
      <c r="C6639" s="534" t="n">
        <v>18757.81</v>
      </c>
      <c r="E6639" s="535" t="n">
        <v>44649</v>
      </c>
      <c r="F6639" s="534" t="n">
        <v>2.293</v>
      </c>
    </row>
    <row r="6640">
      <c r="A6640" s="535" t="n">
        <v>40830</v>
      </c>
      <c r="B6640" s="534" t="n">
        <v>11.603</v>
      </c>
      <c r="C6640" s="534" t="n">
        <v>18501.79</v>
      </c>
      <c r="E6640" s="535" t="n">
        <v>44650</v>
      </c>
      <c r="F6640" s="534" t="n">
        <v>2.156</v>
      </c>
    </row>
    <row r="6641">
      <c r="A6641" s="535" t="n">
        <v>40833</v>
      </c>
      <c r="B6641" s="534" t="n">
        <v>11.934</v>
      </c>
      <c r="C6641" s="534" t="n">
        <v>18873.99</v>
      </c>
      <c r="E6641" s="535" t="n">
        <v>44651</v>
      </c>
      <c r="F6641" s="534" t="n">
        <v>2.09</v>
      </c>
    </row>
    <row r="6642">
      <c r="A6642" s="535" t="n">
        <v>40834</v>
      </c>
      <c r="B6642" s="534" t="n">
        <v>11.359</v>
      </c>
      <c r="C6642" s="534" t="n">
        <v>18076.46</v>
      </c>
      <c r="E6642" s="535" t="n">
        <v>44652</v>
      </c>
      <c r="F6642" s="534" t="n">
        <v>2.26</v>
      </c>
    </row>
    <row r="6643">
      <c r="A6643" s="535" t="n">
        <v>40835</v>
      </c>
      <c r="B6643" s="534" t="n">
        <v>11.464</v>
      </c>
      <c r="C6643" s="534" t="n">
        <v>18309.22</v>
      </c>
      <c r="E6643" s="535" t="n">
        <v>44655</v>
      </c>
      <c r="F6643" s="534" t="n">
        <v>2.304</v>
      </c>
    </row>
    <row r="6644">
      <c r="A6644" s="535" t="n">
        <v>40836</v>
      </c>
      <c r="B6644" s="534" t="n">
        <v>11.342</v>
      </c>
      <c r="C6644" s="534" t="n">
        <v>17983.1</v>
      </c>
      <c r="E6644" s="535" t="n">
        <v>44656</v>
      </c>
      <c r="F6644" s="534" t="n">
        <v>2.304</v>
      </c>
    </row>
    <row r="6645">
      <c r="A6645" s="535" t="n">
        <v>40837</v>
      </c>
      <c r="B6645" s="534" t="n">
        <v>11.603</v>
      </c>
      <c r="C6645" s="534" t="n">
        <v>18025.72</v>
      </c>
      <c r="E6645" s="535" t="n">
        <v>44657</v>
      </c>
      <c r="F6645" s="534" t="n">
        <v>2.528</v>
      </c>
    </row>
    <row r="6646">
      <c r="A6646" s="535" t="n">
        <v>40840</v>
      </c>
      <c r="B6646" s="534" t="n">
        <v>11.952</v>
      </c>
      <c r="C6646" s="534" t="n">
        <v>18771.82</v>
      </c>
      <c r="E6646" s="535" t="n">
        <v>44658</v>
      </c>
      <c r="F6646" s="534" t="n">
        <v>2.508</v>
      </c>
    </row>
    <row r="6647">
      <c r="A6647" s="535" t="n">
        <v>40841</v>
      </c>
      <c r="B6647" s="534" t="n">
        <v>12.3</v>
      </c>
      <c r="C6647" s="534" t="n">
        <v>18968.2</v>
      </c>
      <c r="E6647" s="535" t="n">
        <v>44659</v>
      </c>
      <c r="F6647" s="534" t="n">
        <v>2.589</v>
      </c>
    </row>
    <row r="6648">
      <c r="A6648" s="535" t="n">
        <v>40842</v>
      </c>
      <c r="B6648" s="534" t="n">
        <v>12.213</v>
      </c>
      <c r="C6648" s="534" t="n">
        <v>19066.54</v>
      </c>
      <c r="E6648" s="535" t="n">
        <v>44662</v>
      </c>
      <c r="F6648" s="534" t="n">
        <v>2.793</v>
      </c>
    </row>
    <row r="6649">
      <c r="A6649" s="535" t="n">
        <v>40843</v>
      </c>
      <c r="B6649" s="534" t="n">
        <v>12.788</v>
      </c>
      <c r="C6649" s="534" t="n">
        <v>19688.7</v>
      </c>
      <c r="E6649" s="535" t="n">
        <v>44663</v>
      </c>
      <c r="F6649" s="534" t="n">
        <v>2.84</v>
      </c>
    </row>
    <row r="6650">
      <c r="A6650" s="535" t="n">
        <v>40844</v>
      </c>
      <c r="B6650" s="534" t="n">
        <v>12.701</v>
      </c>
      <c r="C6650" s="534" t="n">
        <v>20019.24</v>
      </c>
      <c r="E6650" s="535" t="n">
        <v>44664</v>
      </c>
      <c r="F6650" s="534" t="n">
        <v>2.753</v>
      </c>
    </row>
    <row r="6651">
      <c r="A6651" s="535" t="n">
        <v>40847</v>
      </c>
      <c r="B6651" s="534" t="n">
        <v>12.457</v>
      </c>
      <c r="C6651" s="534" t="n">
        <v>19864.87</v>
      </c>
      <c r="E6651" s="535" t="n">
        <v>44665</v>
      </c>
      <c r="F6651" s="534" t="n">
        <v>2.621</v>
      </c>
    </row>
    <row r="6652">
      <c r="A6652" s="535" t="n">
        <v>40848</v>
      </c>
      <c r="B6652" s="534" t="n">
        <v>12.039</v>
      </c>
      <c r="C6652" s="534" t="n">
        <v>19369.96</v>
      </c>
      <c r="E6652" s="535" t="n">
        <v>44666</v>
      </c>
      <c r="F6652" s="534" t="n">
        <v>2.621</v>
      </c>
    </row>
    <row r="6653">
      <c r="A6653" s="535" t="n">
        <v>40849</v>
      </c>
      <c r="B6653" s="534" t="n">
        <v>12.387</v>
      </c>
      <c r="C6653" s="534" t="n">
        <v>19733.71</v>
      </c>
      <c r="E6653" s="535" t="n">
        <v>44669</v>
      </c>
      <c r="F6653" s="534" t="n">
        <v>2.621</v>
      </c>
    </row>
    <row r="6654">
      <c r="A6654" s="535" t="n">
        <v>40850</v>
      </c>
      <c r="B6654" s="534" t="n">
        <v>11.917</v>
      </c>
      <c r="C6654" s="534" t="n">
        <v>19242.5</v>
      </c>
      <c r="E6654" s="535" t="n">
        <v>44670</v>
      </c>
      <c r="F6654" s="534" t="n">
        <v>2.77</v>
      </c>
    </row>
    <row r="6655">
      <c r="A6655" s="535" t="n">
        <v>40851</v>
      </c>
      <c r="B6655" s="534" t="n">
        <v>12.108</v>
      </c>
      <c r="C6655" s="534" t="n">
        <v>19842.79</v>
      </c>
      <c r="E6655" s="535" t="n">
        <v>44671</v>
      </c>
      <c r="F6655" s="534" t="n">
        <v>2.857</v>
      </c>
    </row>
    <row r="6656">
      <c r="A6656" s="535" t="n">
        <v>40854</v>
      </c>
      <c r="B6656" s="534" t="n">
        <v>12.196</v>
      </c>
      <c r="C6656" s="534" t="n">
        <v>19677.89</v>
      </c>
      <c r="E6656" s="535" t="n">
        <v>44672</v>
      </c>
      <c r="F6656" s="534" t="n">
        <v>2.847</v>
      </c>
    </row>
    <row r="6657">
      <c r="A6657" s="535" t="n">
        <v>40855</v>
      </c>
      <c r="B6657" s="534" t="n">
        <v>12.004</v>
      </c>
      <c r="C6657" s="534" t="n">
        <v>19678.47</v>
      </c>
      <c r="E6657" s="535" t="n">
        <v>44673</v>
      </c>
      <c r="F6657" s="534" t="n">
        <v>2.872</v>
      </c>
    </row>
    <row r="6658">
      <c r="A6658" s="535" t="n">
        <v>40856</v>
      </c>
      <c r="B6658" s="534" t="n">
        <v>12.074</v>
      </c>
      <c r="C6658" s="534" t="n">
        <v>20014.43</v>
      </c>
      <c r="E6658" s="535" t="n">
        <v>44676</v>
      </c>
      <c r="F6658" s="534" t="n">
        <v>2.776</v>
      </c>
    </row>
    <row r="6659">
      <c r="A6659" s="535" t="n">
        <v>40857</v>
      </c>
      <c r="B6659" s="534" t="n">
        <v>12.074</v>
      </c>
      <c r="C6659" s="534" t="n">
        <v>18963.89</v>
      </c>
      <c r="E6659" s="535" t="n">
        <v>44677</v>
      </c>
      <c r="F6659" s="534" t="n">
        <v>2.748</v>
      </c>
    </row>
    <row r="6660">
      <c r="A6660" s="535" t="n">
        <v>40858</v>
      </c>
      <c r="B6660" s="534" t="n">
        <v>11.708</v>
      </c>
      <c r="C6660" s="534" t="n">
        <v>19137.17</v>
      </c>
      <c r="E6660" s="535" t="n">
        <v>44678</v>
      </c>
      <c r="F6660" s="534" t="n">
        <v>2.695</v>
      </c>
    </row>
    <row r="6661">
      <c r="A6661" s="535" t="n">
        <v>40861</v>
      </c>
      <c r="B6661" s="534" t="n">
        <v>11.83</v>
      </c>
      <c r="C6661" s="534" t="n">
        <v>19508.18</v>
      </c>
      <c r="E6661" s="535" t="n">
        <v>44679</v>
      </c>
      <c r="F6661" s="534" t="n">
        <v>2.74</v>
      </c>
    </row>
    <row r="6662">
      <c r="A6662" s="535" t="n">
        <v>40862</v>
      </c>
      <c r="B6662" s="534" t="n">
        <v>11.83</v>
      </c>
      <c r="C6662" s="534" t="n">
        <v>19348.44</v>
      </c>
      <c r="E6662" s="535" t="n">
        <v>44680</v>
      </c>
      <c r="F6662" s="534" t="n">
        <v>2.764</v>
      </c>
    </row>
    <row r="6663">
      <c r="A6663" s="535" t="n">
        <v>40863</v>
      </c>
      <c r="B6663" s="534" t="n">
        <v>11.603</v>
      </c>
      <c r="C6663" s="534" t="n">
        <v>18960.9</v>
      </c>
      <c r="E6663" s="535" t="n">
        <v>44683</v>
      </c>
      <c r="F6663" s="534" t="n">
        <v>2.764</v>
      </c>
    </row>
    <row r="6664">
      <c r="A6664" s="535" t="n">
        <v>40864</v>
      </c>
      <c r="B6664" s="534" t="n">
        <v>11.516</v>
      </c>
      <c r="C6664" s="534" t="n">
        <v>18817.47</v>
      </c>
      <c r="E6664" s="535" t="n">
        <v>44684</v>
      </c>
      <c r="F6664" s="534" t="n">
        <v>2.871</v>
      </c>
    </row>
    <row r="6665">
      <c r="A6665" s="535" t="n">
        <v>40865</v>
      </c>
      <c r="B6665" s="534" t="n">
        <v>11.621</v>
      </c>
      <c r="C6665" s="534" t="n">
        <v>18491.23</v>
      </c>
      <c r="E6665" s="535" t="n">
        <v>44685</v>
      </c>
      <c r="F6665" s="534" t="n">
        <v>2.916</v>
      </c>
    </row>
    <row r="6666">
      <c r="A6666" s="535" t="n">
        <v>40868</v>
      </c>
      <c r="B6666" s="534" t="n">
        <v>11.394</v>
      </c>
      <c r="C6666" s="534" t="n">
        <v>18225.85</v>
      </c>
      <c r="E6666" s="535" t="n">
        <v>44686</v>
      </c>
      <c r="F6666" s="534" t="n">
        <v>2.916</v>
      </c>
    </row>
    <row r="6667">
      <c r="A6667" s="535" t="n">
        <v>40869</v>
      </c>
      <c r="B6667" s="534" t="n">
        <v>11.15</v>
      </c>
      <c r="C6667" s="534" t="n">
        <v>18251.59</v>
      </c>
      <c r="E6667" s="535" t="n">
        <v>44687</v>
      </c>
      <c r="F6667" s="534" t="n">
        <v>3.05</v>
      </c>
    </row>
    <row r="6668">
      <c r="A6668" s="535" t="n">
        <v>40870</v>
      </c>
      <c r="B6668" s="534" t="n">
        <v>11.394</v>
      </c>
      <c r="C6668" s="534" t="n">
        <v>17864.43</v>
      </c>
      <c r="E6668" s="535" t="n">
        <v>44690</v>
      </c>
      <c r="F6668" s="534" t="n">
        <v>3.05</v>
      </c>
    </row>
    <row r="6669">
      <c r="A6669" s="535" t="n">
        <v>40871</v>
      </c>
      <c r="B6669" s="534" t="n">
        <v>11.237</v>
      </c>
      <c r="C6669" s="534" t="n">
        <v>17935.1</v>
      </c>
      <c r="E6669" s="535" t="n">
        <v>44691</v>
      </c>
      <c r="F6669" s="534" t="n">
        <v>3.006</v>
      </c>
    </row>
    <row r="6670">
      <c r="A6670" s="535" t="n">
        <v>40872</v>
      </c>
      <c r="B6670" s="534" t="n">
        <v>11.011</v>
      </c>
      <c r="C6670" s="534" t="n">
        <v>17689.48</v>
      </c>
      <c r="E6670" s="535" t="n">
        <v>44692</v>
      </c>
      <c r="F6670" s="534" t="n">
        <v>2.944</v>
      </c>
    </row>
    <row r="6671">
      <c r="A6671" s="535" t="n">
        <v>40875</v>
      </c>
      <c r="B6671" s="534" t="n">
        <v>11.237</v>
      </c>
      <c r="C6671" s="534" t="n">
        <v>18037.81</v>
      </c>
      <c r="E6671" s="535" t="n">
        <v>44693</v>
      </c>
      <c r="F6671" s="534" t="n">
        <v>2.859</v>
      </c>
    </row>
    <row r="6672">
      <c r="A6672" s="535" t="n">
        <v>40876</v>
      </c>
      <c r="B6672" s="534" t="n">
        <v>11.464</v>
      </c>
      <c r="C6672" s="534" t="n">
        <v>18256.2</v>
      </c>
      <c r="E6672" s="535" t="n">
        <v>44694</v>
      </c>
      <c r="F6672" s="534" t="n">
        <v>2.911</v>
      </c>
    </row>
    <row r="6673">
      <c r="A6673" s="535" t="n">
        <v>40877</v>
      </c>
      <c r="B6673" s="534" t="n">
        <v>11.812</v>
      </c>
      <c r="C6673" s="534" t="n">
        <v>17989.35</v>
      </c>
      <c r="E6673" s="535" t="n">
        <v>44697</v>
      </c>
      <c r="F6673" s="534" t="n">
        <v>2.913</v>
      </c>
    </row>
    <row r="6674">
      <c r="A6674" s="535" t="n">
        <v>40878</v>
      </c>
      <c r="B6674" s="534" t="n">
        <v>12.004</v>
      </c>
      <c r="C6674" s="534" t="n">
        <v>19002.26</v>
      </c>
      <c r="E6674" s="535" t="n">
        <v>44698</v>
      </c>
      <c r="F6674" s="534" t="n">
        <v>2.928</v>
      </c>
    </row>
    <row r="6675">
      <c r="A6675" s="535" t="n">
        <v>40879</v>
      </c>
      <c r="B6675" s="534" t="n">
        <v>11.812</v>
      </c>
      <c r="C6675" s="534" t="n">
        <v>19040.39</v>
      </c>
      <c r="E6675" s="535" t="n">
        <v>44699</v>
      </c>
      <c r="F6675" s="534" t="n">
        <v>3.014</v>
      </c>
    </row>
    <row r="6676">
      <c r="A6676" s="535" t="n">
        <v>40882</v>
      </c>
      <c r="B6676" s="534" t="n">
        <v>11.882</v>
      </c>
      <c r="C6676" s="534" t="n">
        <v>19179.69</v>
      </c>
      <c r="E6676" s="535" t="n">
        <v>44700</v>
      </c>
      <c r="F6676" s="534" t="n">
        <v>2.911</v>
      </c>
    </row>
    <row r="6677">
      <c r="A6677" s="535" t="n">
        <v>40883</v>
      </c>
      <c r="B6677" s="534" t="n">
        <v>11.603</v>
      </c>
      <c r="C6677" s="534" t="n">
        <v>18942.23</v>
      </c>
      <c r="E6677" s="535" t="n">
        <v>44701</v>
      </c>
      <c r="F6677" s="534" t="n">
        <v>2.873</v>
      </c>
    </row>
    <row r="6678">
      <c r="A6678" s="535" t="n">
        <v>40884</v>
      </c>
      <c r="B6678" s="534" t="n">
        <v>11.673</v>
      </c>
      <c r="C6678" s="534" t="n">
        <v>19240.58</v>
      </c>
      <c r="E6678" s="535" t="n">
        <v>44704</v>
      </c>
      <c r="F6678" s="534" t="n">
        <v>2.807</v>
      </c>
    </row>
    <row r="6679">
      <c r="A6679" s="535" t="n">
        <v>40885</v>
      </c>
      <c r="B6679" s="534" t="n">
        <v>11.655</v>
      </c>
      <c r="C6679" s="534" t="n">
        <v>19107.81</v>
      </c>
      <c r="E6679" s="535" t="n">
        <v>44705</v>
      </c>
      <c r="F6679" s="534" t="n">
        <v>2.829</v>
      </c>
    </row>
    <row r="6680">
      <c r="A6680" s="535" t="n">
        <v>40886</v>
      </c>
      <c r="B6680" s="534" t="n">
        <v>11.412</v>
      </c>
      <c r="C6680" s="534" t="n">
        <v>18586.23</v>
      </c>
      <c r="E6680" s="535" t="n">
        <v>44706</v>
      </c>
      <c r="F6680" s="534" t="n">
        <v>2.721</v>
      </c>
    </row>
    <row r="6681">
      <c r="A6681" s="535" t="n">
        <v>40889</v>
      </c>
      <c r="B6681" s="534" t="n">
        <v>11.673</v>
      </c>
      <c r="C6681" s="534" t="n">
        <v>18575.66</v>
      </c>
      <c r="E6681" s="535" t="n">
        <v>44707</v>
      </c>
      <c r="F6681" s="534" t="n">
        <v>2.676</v>
      </c>
    </row>
    <row r="6682">
      <c r="A6682" s="535" t="n">
        <v>40890</v>
      </c>
      <c r="B6682" s="534" t="n">
        <v>11.377</v>
      </c>
      <c r="C6682" s="534" t="n">
        <v>18447.17</v>
      </c>
      <c r="E6682" s="535" t="n">
        <v>44708</v>
      </c>
      <c r="F6682" s="534" t="n">
        <v>2.687</v>
      </c>
    </row>
    <row r="6683">
      <c r="A6683" s="535" t="n">
        <v>40891</v>
      </c>
      <c r="B6683" s="534" t="n">
        <v>11.464</v>
      </c>
      <c r="C6683" s="534" t="n">
        <v>18354.43</v>
      </c>
      <c r="E6683" s="535" t="n">
        <v>44711</v>
      </c>
      <c r="F6683" s="534" t="n">
        <v>2.671</v>
      </c>
    </row>
    <row r="6684">
      <c r="A6684" s="535" t="n">
        <v>40892</v>
      </c>
      <c r="B6684" s="534" t="n">
        <v>11.394</v>
      </c>
      <c r="C6684" s="534" t="n">
        <v>18026.84</v>
      </c>
      <c r="E6684" s="535" t="n">
        <v>44712</v>
      </c>
      <c r="F6684" s="534" t="n">
        <v>2.748</v>
      </c>
    </row>
    <row r="6685">
      <c r="A6685" s="535" t="n">
        <v>40893</v>
      </c>
      <c r="B6685" s="534" t="n">
        <v>11.568</v>
      </c>
      <c r="C6685" s="534" t="n">
        <v>18285.39</v>
      </c>
      <c r="E6685" s="535" t="n">
        <v>44713</v>
      </c>
      <c r="F6685" s="534" t="n">
        <v>2.791</v>
      </c>
    </row>
    <row r="6686">
      <c r="A6686" s="535" t="n">
        <v>40896</v>
      </c>
      <c r="B6686" s="534" t="n">
        <v>11.446</v>
      </c>
      <c r="C6686" s="534" t="n">
        <v>18070.21</v>
      </c>
      <c r="E6686" s="535" t="n">
        <v>44714</v>
      </c>
      <c r="F6686" s="534" t="n">
        <v>2.836</v>
      </c>
    </row>
    <row r="6687">
      <c r="A6687" s="535" t="n">
        <v>40897</v>
      </c>
      <c r="B6687" s="534" t="n">
        <v>11.377</v>
      </c>
      <c r="C6687" s="534" t="n">
        <v>18080.2</v>
      </c>
      <c r="E6687" s="535" t="n">
        <v>44715</v>
      </c>
      <c r="F6687" s="534" t="n">
        <v>2.836</v>
      </c>
    </row>
    <row r="6688">
      <c r="A6688" s="535" t="n">
        <v>40898</v>
      </c>
      <c r="B6688" s="534" t="n">
        <v>11.394</v>
      </c>
      <c r="C6688" s="534" t="n">
        <v>18416.45</v>
      </c>
      <c r="E6688" s="535" t="n">
        <v>44718</v>
      </c>
      <c r="F6688" s="534" t="n">
        <v>2.838</v>
      </c>
    </row>
    <row r="6689">
      <c r="A6689" s="535" t="n">
        <v>40899</v>
      </c>
      <c r="B6689" s="534" t="n">
        <v>11.446</v>
      </c>
      <c r="C6689" s="534" t="n">
        <v>18378.23</v>
      </c>
      <c r="E6689" s="535" t="n">
        <v>44719</v>
      </c>
      <c r="F6689" s="534" t="n">
        <v>2.958</v>
      </c>
    </row>
    <row r="6690">
      <c r="A6690" s="535" t="n">
        <v>40900</v>
      </c>
      <c r="B6690" s="534" t="n">
        <v>11.534</v>
      </c>
      <c r="C6690" s="534" t="n">
        <v>18629.17</v>
      </c>
      <c r="E6690" s="535" t="n">
        <v>44720</v>
      </c>
      <c r="F6690" s="534" t="n">
        <v>2.933</v>
      </c>
    </row>
    <row r="6691">
      <c r="A6691" s="535" t="n">
        <v>40903</v>
      </c>
      <c r="B6691" s="534" t="n">
        <v>11.534</v>
      </c>
      <c r="C6691" s="534" t="n">
        <v>18629.17</v>
      </c>
      <c r="E6691" s="535" t="n">
        <v>44721</v>
      </c>
      <c r="F6691" s="534" t="n">
        <v>2.989</v>
      </c>
    </row>
    <row r="6692">
      <c r="A6692" s="535" t="n">
        <v>40904</v>
      </c>
      <c r="B6692" s="534" t="n">
        <v>11.534</v>
      </c>
      <c r="C6692" s="534" t="n">
        <v>18629.17</v>
      </c>
      <c r="E6692" s="535" t="n">
        <v>44722</v>
      </c>
      <c r="F6692" s="534" t="n">
        <v>3.039</v>
      </c>
    </row>
    <row r="6693">
      <c r="A6693" s="535" t="n">
        <v>40905</v>
      </c>
      <c r="B6693" s="534" t="n">
        <v>11.499</v>
      </c>
      <c r="C6693" s="534" t="n">
        <v>18518.67</v>
      </c>
      <c r="E6693" s="535" t="n">
        <v>44725</v>
      </c>
      <c r="F6693" s="534" t="n">
        <v>3.217</v>
      </c>
    </row>
    <row r="6694">
      <c r="A6694" s="535" t="n">
        <v>40906</v>
      </c>
      <c r="B6694" s="534" t="n">
        <v>11.499</v>
      </c>
      <c r="C6694" s="534" t="n">
        <v>18397.92</v>
      </c>
      <c r="E6694" s="535" t="n">
        <v>44726</v>
      </c>
      <c r="F6694" s="534" t="n">
        <v>3.278</v>
      </c>
    </row>
    <row r="6695">
      <c r="A6695" s="535" t="n">
        <v>40907</v>
      </c>
      <c r="B6695" s="534" t="n">
        <v>11.603</v>
      </c>
      <c r="C6695" s="534" t="n">
        <v>18434.39</v>
      </c>
      <c r="E6695" s="535" t="n">
        <v>44727</v>
      </c>
      <c r="F6695" s="534" t="n">
        <v>3.398</v>
      </c>
    </row>
    <row r="6696">
      <c r="A6696" s="535" t="n">
        <v>40910</v>
      </c>
      <c r="B6696" s="534" t="n">
        <v>11.603</v>
      </c>
      <c r="C6696" s="534" t="n">
        <v>18434.39</v>
      </c>
      <c r="E6696" s="535" t="n">
        <v>44728</v>
      </c>
      <c r="F6696" s="534" t="n">
        <v>3.342</v>
      </c>
    </row>
    <row r="6697">
      <c r="A6697" s="535" t="n">
        <v>40911</v>
      </c>
      <c r="B6697" s="534" t="n">
        <v>11.777</v>
      </c>
      <c r="C6697" s="534" t="n">
        <v>18877.41</v>
      </c>
      <c r="E6697" s="535" t="n">
        <v>44729</v>
      </c>
      <c r="F6697" s="534" t="n">
        <v>3.241</v>
      </c>
    </row>
    <row r="6698">
      <c r="A6698" s="535" t="n">
        <v>40912</v>
      </c>
      <c r="B6698" s="534" t="n">
        <v>11.499</v>
      </c>
      <c r="C6698" s="534" t="n">
        <v>18727.31</v>
      </c>
      <c r="E6698" s="535" t="n">
        <v>44732</v>
      </c>
      <c r="F6698" s="534" t="n">
        <v>3.195</v>
      </c>
    </row>
    <row r="6699">
      <c r="A6699" s="535" t="n">
        <v>40913</v>
      </c>
      <c r="B6699" s="534" t="n">
        <v>11.568</v>
      </c>
      <c r="C6699" s="534" t="n">
        <v>18813.41</v>
      </c>
      <c r="E6699" s="535" t="n">
        <v>44733</v>
      </c>
      <c r="F6699" s="534" t="n">
        <v>3.245</v>
      </c>
    </row>
    <row r="6700">
      <c r="A6700" s="535" t="n">
        <v>40914</v>
      </c>
      <c r="B6700" s="534" t="n">
        <v>11.481</v>
      </c>
      <c r="C6700" s="534" t="n">
        <v>18593.06</v>
      </c>
      <c r="E6700" s="535" t="n">
        <v>44734</v>
      </c>
      <c r="F6700" s="534" t="n">
        <v>3.244</v>
      </c>
    </row>
    <row r="6701">
      <c r="A6701" s="535" t="n">
        <v>40917</v>
      </c>
      <c r="B6701" s="534" t="n">
        <v>11.76</v>
      </c>
      <c r="C6701" s="534" t="n">
        <v>18865.72</v>
      </c>
      <c r="E6701" s="535" t="n">
        <v>44735</v>
      </c>
      <c r="F6701" s="534" t="n">
        <v>3.166</v>
      </c>
    </row>
    <row r="6702">
      <c r="A6702" s="535" t="n">
        <v>40918</v>
      </c>
      <c r="B6702" s="534" t="n">
        <v>12.021</v>
      </c>
      <c r="C6702" s="534" t="n">
        <v>19004.28</v>
      </c>
      <c r="E6702" s="535" t="n">
        <v>44736</v>
      </c>
      <c r="F6702" s="534" t="n">
        <v>3.166</v>
      </c>
    </row>
    <row r="6703">
      <c r="A6703" s="535" t="n">
        <v>40919</v>
      </c>
      <c r="B6703" s="534" t="n">
        <v>12.039</v>
      </c>
      <c r="C6703" s="534" t="n">
        <v>19151.94</v>
      </c>
      <c r="E6703" s="535" t="n">
        <v>44739</v>
      </c>
      <c r="F6703" s="534" t="n">
        <v>3.117</v>
      </c>
    </row>
    <row r="6704">
      <c r="A6704" s="535" t="n">
        <v>40920</v>
      </c>
      <c r="B6704" s="534" t="n">
        <v>12.178</v>
      </c>
      <c r="C6704" s="534" t="n">
        <v>19095.38</v>
      </c>
      <c r="E6704" s="535" t="n">
        <v>44740</v>
      </c>
      <c r="F6704" s="534" t="n">
        <v>3.141</v>
      </c>
    </row>
    <row r="6705">
      <c r="A6705" s="535" t="n">
        <v>40921</v>
      </c>
      <c r="B6705" s="534" t="n">
        <v>12.178</v>
      </c>
      <c r="C6705" s="534" t="n">
        <v>19204.42</v>
      </c>
      <c r="E6705" s="535" t="n">
        <v>44741</v>
      </c>
      <c r="F6705" s="534" t="n">
        <v>3.094</v>
      </c>
    </row>
    <row r="6706">
      <c r="A6706" s="535" t="n">
        <v>40924</v>
      </c>
      <c r="B6706" s="534" t="n">
        <v>11.986</v>
      </c>
      <c r="C6706" s="534" t="n">
        <v>19012.2</v>
      </c>
      <c r="E6706" s="535" t="n">
        <v>44742</v>
      </c>
      <c r="F6706" s="534" t="n">
        <v>3.028</v>
      </c>
    </row>
    <row r="6707">
      <c r="A6707" s="535" t="n">
        <v>40925</v>
      </c>
      <c r="B6707" s="534" t="n">
        <v>12.161</v>
      </c>
      <c r="C6707" s="534" t="n">
        <v>19627.75</v>
      </c>
      <c r="E6707" s="535" t="n">
        <v>44743</v>
      </c>
      <c r="F6707" s="534" t="n">
        <v>3.028</v>
      </c>
    </row>
    <row r="6708">
      <c r="A6708" s="535" t="n">
        <v>40926</v>
      </c>
      <c r="B6708" s="534" t="n">
        <v>12.126</v>
      </c>
      <c r="C6708" s="534" t="n">
        <v>19686.92</v>
      </c>
      <c r="E6708" s="535" t="n">
        <v>44746</v>
      </c>
      <c r="F6708" s="534" t="n">
        <v>2.833</v>
      </c>
    </row>
    <row r="6709">
      <c r="A6709" s="535" t="n">
        <v>40927</v>
      </c>
      <c r="B6709" s="534" t="n">
        <v>12.544</v>
      </c>
      <c r="C6709" s="534" t="n">
        <v>19942.95</v>
      </c>
      <c r="E6709" s="535" t="n">
        <v>44747</v>
      </c>
      <c r="F6709" s="534" t="n">
        <v>2.915</v>
      </c>
    </row>
    <row r="6710">
      <c r="A6710" s="535" t="n">
        <v>40928</v>
      </c>
      <c r="B6710" s="534" t="n">
        <v>12.788</v>
      </c>
      <c r="C6710" s="534" t="n">
        <v>20110.37</v>
      </c>
      <c r="E6710" s="535" t="n">
        <v>44748</v>
      </c>
      <c r="F6710" s="534" t="n">
        <v>2.842</v>
      </c>
    </row>
    <row r="6711">
      <c r="A6711" s="535" t="n">
        <v>40931</v>
      </c>
      <c r="B6711" s="534" t="n">
        <v>12.788</v>
      </c>
      <c r="C6711" s="534" t="n">
        <v>20110.37</v>
      </c>
      <c r="E6711" s="535" t="n">
        <v>44749</v>
      </c>
      <c r="F6711" s="534" t="n">
        <v>2.987</v>
      </c>
    </row>
    <row r="6712">
      <c r="A6712" s="535" t="n">
        <v>40932</v>
      </c>
      <c r="B6712" s="534" t="n">
        <v>12.788</v>
      </c>
      <c r="C6712" s="534" t="n">
        <v>20110.37</v>
      </c>
      <c r="E6712" s="535" t="n">
        <v>44750</v>
      </c>
      <c r="F6712" s="534" t="n">
        <v>3.059</v>
      </c>
    </row>
    <row r="6713">
      <c r="A6713" s="535" t="n">
        <v>40933</v>
      </c>
      <c r="B6713" s="534" t="n">
        <v>12.788</v>
      </c>
      <c r="C6713" s="534" t="n">
        <v>20110.37</v>
      </c>
      <c r="E6713" s="535" t="n">
        <v>44753</v>
      </c>
      <c r="F6713" s="534" t="n">
        <v>3.183</v>
      </c>
    </row>
    <row r="6714">
      <c r="A6714" s="535" t="n">
        <v>40934</v>
      </c>
      <c r="B6714" s="534" t="n">
        <v>12.805</v>
      </c>
      <c r="C6714" s="534" t="n">
        <v>20439.14</v>
      </c>
      <c r="E6714" s="535" t="n">
        <v>44754</v>
      </c>
      <c r="F6714" s="534" t="n">
        <v>3.094</v>
      </c>
    </row>
    <row r="6715">
      <c r="A6715" s="535" t="n">
        <v>40935</v>
      </c>
      <c r="B6715" s="534" t="n">
        <v>12.927</v>
      </c>
      <c r="C6715" s="534" t="n">
        <v>20501.67</v>
      </c>
      <c r="E6715" s="535" t="n">
        <v>44755</v>
      </c>
      <c r="F6715" s="534" t="n">
        <v>3.078</v>
      </c>
    </row>
    <row r="6716">
      <c r="A6716" s="535" t="n">
        <v>40938</v>
      </c>
      <c r="B6716" s="534" t="n">
        <v>13.38</v>
      </c>
      <c r="C6716" s="534" t="n">
        <v>20160.41</v>
      </c>
      <c r="E6716" s="535" t="n">
        <v>44756</v>
      </c>
      <c r="F6716" s="534" t="n">
        <v>3.023</v>
      </c>
    </row>
    <row r="6717">
      <c r="A6717" s="535" t="n">
        <v>40939</v>
      </c>
      <c r="B6717" s="534" t="n">
        <v>13.38</v>
      </c>
      <c r="C6717" s="534" t="n">
        <v>20390.49</v>
      </c>
      <c r="E6717" s="535" t="n">
        <v>44757</v>
      </c>
      <c r="F6717" s="534" t="n">
        <v>3.014</v>
      </c>
    </row>
    <row r="6718">
      <c r="A6718" s="535" t="n">
        <v>40940</v>
      </c>
      <c r="B6718" s="534" t="n">
        <v>13.311</v>
      </c>
      <c r="C6718" s="534" t="n">
        <v>20333.37</v>
      </c>
      <c r="E6718" s="535" t="n">
        <v>44760</v>
      </c>
      <c r="F6718" s="534" t="n">
        <v>2.967</v>
      </c>
    </row>
    <row r="6719">
      <c r="A6719" s="535" t="n">
        <v>40941</v>
      </c>
      <c r="B6719" s="534" t="n">
        <v>13.485</v>
      </c>
      <c r="C6719" s="534" t="n">
        <v>20739.45</v>
      </c>
      <c r="E6719" s="535" t="n">
        <v>44761</v>
      </c>
      <c r="F6719" s="534" t="n">
        <v>2.993</v>
      </c>
    </row>
    <row r="6720">
      <c r="A6720" s="535" t="n">
        <v>40942</v>
      </c>
      <c r="B6720" s="534" t="n">
        <v>13.345</v>
      </c>
      <c r="C6720" s="534" t="n">
        <v>20756.98</v>
      </c>
      <c r="E6720" s="535" t="n">
        <v>44762</v>
      </c>
      <c r="F6720" s="534" t="n">
        <v>2.996</v>
      </c>
    </row>
    <row r="6721">
      <c r="A6721" s="535" t="n">
        <v>40945</v>
      </c>
      <c r="B6721" s="534" t="n">
        <v>13.659</v>
      </c>
      <c r="C6721" s="534" t="n">
        <v>20709.94</v>
      </c>
      <c r="E6721" s="535" t="n">
        <v>44763</v>
      </c>
      <c r="F6721" s="534" t="n">
        <v>2.969</v>
      </c>
    </row>
    <row r="6722">
      <c r="A6722" s="535" t="n">
        <v>40946</v>
      </c>
      <c r="B6722" s="534" t="n">
        <v>13.729</v>
      </c>
      <c r="C6722" s="534" t="n">
        <v>20699.19</v>
      </c>
      <c r="E6722" s="535" t="n">
        <v>44764</v>
      </c>
      <c r="F6722" s="534" t="n">
        <v>2.805</v>
      </c>
    </row>
    <row r="6723">
      <c r="A6723" s="535" t="n">
        <v>40947</v>
      </c>
      <c r="B6723" s="534" t="n">
        <v>13.798</v>
      </c>
      <c r="C6723" s="534" t="n">
        <v>21018.46</v>
      </c>
      <c r="E6723" s="535" t="n">
        <v>44767</v>
      </c>
      <c r="F6723" s="534" t="n">
        <v>2.71</v>
      </c>
    </row>
    <row r="6724">
      <c r="A6724" s="535" t="n">
        <v>40948</v>
      </c>
      <c r="B6724" s="534" t="n">
        <v>13.833</v>
      </c>
      <c r="C6724" s="534" t="n">
        <v>21010.01</v>
      </c>
      <c r="E6724" s="535" t="n">
        <v>44768</v>
      </c>
      <c r="F6724" s="534" t="n">
        <v>2.733</v>
      </c>
    </row>
    <row r="6725">
      <c r="A6725" s="535" t="n">
        <v>40949</v>
      </c>
      <c r="B6725" s="534" t="n">
        <v>13.694</v>
      </c>
      <c r="C6725" s="534" t="n">
        <v>20783.86</v>
      </c>
      <c r="E6725" s="535" t="n">
        <v>44769</v>
      </c>
      <c r="F6725" s="534" t="n">
        <v>2.779</v>
      </c>
    </row>
    <row r="6726">
      <c r="A6726" s="535" t="n">
        <v>40952</v>
      </c>
      <c r="B6726" s="534" t="n">
        <v>13.52</v>
      </c>
      <c r="C6726" s="534" t="n">
        <v>20887.4</v>
      </c>
      <c r="E6726" s="535" t="n">
        <v>44770</v>
      </c>
      <c r="F6726" s="534" t="n">
        <v>2.758</v>
      </c>
    </row>
    <row r="6727">
      <c r="A6727" s="535" t="n">
        <v>40953</v>
      </c>
      <c r="B6727" s="534" t="n">
        <v>13.694</v>
      </c>
      <c r="C6727" s="534" t="n">
        <v>20917.83</v>
      </c>
      <c r="E6727" s="535" t="n">
        <v>44771</v>
      </c>
      <c r="F6727" s="534" t="n">
        <v>2.631</v>
      </c>
    </row>
    <row r="6728">
      <c r="A6728" s="535" t="n">
        <v>40954</v>
      </c>
      <c r="B6728" s="534" t="n">
        <v>13.694</v>
      </c>
      <c r="C6728" s="534" t="n">
        <v>21365.23</v>
      </c>
      <c r="E6728" s="535" t="n">
        <v>44774</v>
      </c>
      <c r="F6728" s="534" t="n">
        <v>2.543</v>
      </c>
    </row>
    <row r="6729">
      <c r="A6729" s="535" t="n">
        <v>40955</v>
      </c>
      <c r="B6729" s="534" t="n">
        <v>13.642</v>
      </c>
      <c r="C6729" s="534" t="n">
        <v>21277.28</v>
      </c>
      <c r="E6729" s="535" t="n">
        <v>44775</v>
      </c>
      <c r="F6729" s="534" t="n">
        <v>2.438</v>
      </c>
    </row>
    <row r="6730">
      <c r="A6730" s="535" t="n">
        <v>40956</v>
      </c>
      <c r="B6730" s="534" t="n">
        <v>13.886</v>
      </c>
      <c r="C6730" s="534" t="n">
        <v>21491.62</v>
      </c>
      <c r="E6730" s="535" t="n">
        <v>44776</v>
      </c>
      <c r="F6730" s="534" t="n">
        <v>2.631</v>
      </c>
    </row>
    <row r="6731">
      <c r="A6731" s="535" t="n">
        <v>40959</v>
      </c>
      <c r="B6731" s="534" t="n">
        <v>13.555</v>
      </c>
      <c r="C6731" s="534" t="n">
        <v>21424.79</v>
      </c>
      <c r="E6731" s="535" t="n">
        <v>44777</v>
      </c>
      <c r="F6731" s="534" t="n">
        <v>2.601</v>
      </c>
    </row>
    <row r="6732">
      <c r="A6732" s="535" t="n">
        <v>40960</v>
      </c>
      <c r="B6732" s="534" t="n">
        <v>13.293</v>
      </c>
      <c r="C6732" s="534" t="n">
        <v>21478.72</v>
      </c>
      <c r="E6732" s="535" t="n">
        <v>44778</v>
      </c>
      <c r="F6732" s="534" t="n">
        <v>2.559</v>
      </c>
    </row>
    <row r="6733">
      <c r="A6733" s="535" t="n">
        <v>40961</v>
      </c>
      <c r="B6733" s="534" t="n">
        <v>13.311</v>
      </c>
      <c r="C6733" s="534" t="n">
        <v>21549.28</v>
      </c>
      <c r="E6733" s="535" t="n">
        <v>44781</v>
      </c>
      <c r="F6733" s="534" t="n">
        <v>2.661</v>
      </c>
    </row>
    <row r="6734">
      <c r="A6734" s="535" t="n">
        <v>40962</v>
      </c>
      <c r="B6734" s="534" t="n">
        <v>12.945</v>
      </c>
      <c r="C6734" s="534" t="n">
        <v>21380.99</v>
      </c>
      <c r="E6734" s="535" t="n">
        <v>44782</v>
      </c>
      <c r="F6734" s="534" t="n">
        <v>2.622</v>
      </c>
    </row>
    <row r="6735">
      <c r="A6735" s="535" t="n">
        <v>40963</v>
      </c>
      <c r="B6735" s="534" t="n">
        <v>12.823</v>
      </c>
      <c r="C6735" s="534" t="n">
        <v>21406.86</v>
      </c>
      <c r="E6735" s="535" t="n">
        <v>44783</v>
      </c>
      <c r="F6735" s="534" t="n">
        <v>2.65</v>
      </c>
    </row>
    <row r="6736">
      <c r="A6736" s="535" t="n">
        <v>40966</v>
      </c>
      <c r="B6736" s="534" t="n">
        <v>12.265</v>
      </c>
      <c r="C6736" s="534" t="n">
        <v>21217.86</v>
      </c>
      <c r="E6736" s="535" t="n">
        <v>44784</v>
      </c>
      <c r="F6736" s="534" t="n">
        <v>2.621</v>
      </c>
    </row>
    <row r="6737">
      <c r="A6737" s="535" t="n">
        <v>40967</v>
      </c>
      <c r="B6737" s="534" t="n">
        <v>12.962</v>
      </c>
      <c r="C6737" s="534" t="n">
        <v>21568.73</v>
      </c>
      <c r="E6737" s="535" t="n">
        <v>44785</v>
      </c>
      <c r="F6737" s="534" t="n">
        <v>2.694</v>
      </c>
    </row>
    <row r="6738">
      <c r="A6738" s="535" t="n">
        <v>40968</v>
      </c>
      <c r="B6738" s="534" t="n">
        <v>13.415</v>
      </c>
      <c r="C6738" s="534" t="n">
        <v>21680.08</v>
      </c>
      <c r="E6738" s="535" t="n">
        <v>44788</v>
      </c>
      <c r="F6738" s="534" t="n">
        <v>2.694</v>
      </c>
    </row>
    <row r="6739">
      <c r="A6739" s="535" t="n">
        <v>40969</v>
      </c>
      <c r="B6739" s="534" t="n">
        <v>13.189</v>
      </c>
      <c r="C6739" s="534" t="n">
        <v>21387.96</v>
      </c>
      <c r="E6739" s="535" t="n">
        <v>44789</v>
      </c>
      <c r="F6739" s="534" t="n">
        <v>2.668</v>
      </c>
    </row>
    <row r="6740">
      <c r="A6740" s="535" t="n">
        <v>40970</v>
      </c>
      <c r="B6740" s="534" t="n">
        <v>13.485</v>
      </c>
      <c r="C6740" s="534" t="n">
        <v>21562.26</v>
      </c>
      <c r="E6740" s="535" t="n">
        <v>44790</v>
      </c>
      <c r="F6740" s="534" t="n">
        <v>2.717</v>
      </c>
    </row>
    <row r="6741">
      <c r="A6741" s="535" t="n">
        <v>40973</v>
      </c>
      <c r="B6741" s="534" t="n">
        <v>13.171</v>
      </c>
      <c r="C6741" s="534" t="n">
        <v>21265.31</v>
      </c>
      <c r="E6741" s="535" t="n">
        <v>44791</v>
      </c>
      <c r="F6741" s="534" t="n">
        <v>2.771</v>
      </c>
    </row>
    <row r="6742">
      <c r="A6742" s="535" t="n">
        <v>40974</v>
      </c>
      <c r="B6742" s="534" t="n">
        <v>13.154</v>
      </c>
      <c r="C6742" s="534" t="n">
        <v>20806.25</v>
      </c>
      <c r="E6742" s="535" t="n">
        <v>44792</v>
      </c>
      <c r="F6742" s="534" t="n">
        <v>2.843</v>
      </c>
    </row>
    <row r="6743">
      <c r="A6743" s="535" t="n">
        <v>40975</v>
      </c>
      <c r="B6743" s="534" t="n">
        <v>13.119</v>
      </c>
      <c r="C6743" s="534" t="n">
        <v>20627.78</v>
      </c>
      <c r="E6743" s="535" t="n">
        <v>44795</v>
      </c>
      <c r="F6743" s="534" t="n">
        <v>2.867</v>
      </c>
    </row>
    <row r="6744">
      <c r="A6744" s="535" t="n">
        <v>40976</v>
      </c>
      <c r="B6744" s="534" t="n">
        <v>13.119</v>
      </c>
      <c r="C6744" s="534" t="n">
        <v>20900.73</v>
      </c>
      <c r="E6744" s="535" t="n">
        <v>44796</v>
      </c>
      <c r="F6744" s="534" t="n">
        <v>2.93</v>
      </c>
    </row>
    <row r="6745">
      <c r="A6745" s="535" t="n">
        <v>40977</v>
      </c>
      <c r="B6745" s="534" t="n">
        <v>13.206</v>
      </c>
      <c r="C6745" s="534" t="n">
        <v>21086</v>
      </c>
      <c r="E6745" s="535" t="n">
        <v>44797</v>
      </c>
      <c r="F6745" s="534" t="n">
        <v>2.97</v>
      </c>
    </row>
    <row r="6746">
      <c r="A6746" s="535" t="n">
        <v>40980</v>
      </c>
      <c r="B6746" s="534" t="n">
        <v>13.398</v>
      </c>
      <c r="C6746" s="534" t="n">
        <v>21134.18</v>
      </c>
      <c r="E6746" s="535" t="n">
        <v>44798</v>
      </c>
      <c r="F6746" s="534" t="n">
        <v>3.037</v>
      </c>
    </row>
    <row r="6747">
      <c r="A6747" s="535" t="n">
        <v>40981</v>
      </c>
      <c r="B6747" s="534" t="n">
        <v>13.572</v>
      </c>
      <c r="C6747" s="534" t="n">
        <v>21339.7</v>
      </c>
      <c r="E6747" s="535" t="n">
        <v>44799</v>
      </c>
      <c r="F6747" s="534" t="n">
        <v>3.008</v>
      </c>
    </row>
    <row r="6748">
      <c r="A6748" s="535" t="n">
        <v>40982</v>
      </c>
      <c r="B6748" s="534" t="n">
        <v>13.189</v>
      </c>
      <c r="C6748" s="534" t="n">
        <v>21307.89</v>
      </c>
      <c r="E6748" s="535" t="n">
        <v>44802</v>
      </c>
      <c r="F6748" s="534" t="n">
        <v>3.093</v>
      </c>
    </row>
    <row r="6749">
      <c r="A6749" s="535" t="n">
        <v>40983</v>
      </c>
      <c r="B6749" s="534" t="n">
        <v>13.293</v>
      </c>
      <c r="C6749" s="534" t="n">
        <v>21353.53</v>
      </c>
      <c r="E6749" s="535" t="n">
        <v>44803</v>
      </c>
      <c r="F6749" s="534" t="n">
        <v>3.086</v>
      </c>
    </row>
    <row r="6750">
      <c r="A6750" s="535" t="n">
        <v>40984</v>
      </c>
      <c r="B6750" s="534" t="n">
        <v>13.52</v>
      </c>
      <c r="C6750" s="534" t="n">
        <v>21317.85</v>
      </c>
      <c r="E6750" s="535" t="n">
        <v>44804</v>
      </c>
      <c r="F6750" s="534" t="n">
        <v>3.09</v>
      </c>
    </row>
    <row r="6751">
      <c r="A6751" s="535" t="n">
        <v>40987</v>
      </c>
      <c r="B6751" s="534" t="n">
        <v>13.328</v>
      </c>
      <c r="C6751" s="534" t="n">
        <v>21115.29</v>
      </c>
      <c r="E6751" s="535" t="n">
        <v>44805</v>
      </c>
      <c r="F6751" s="534" t="n">
        <v>3.16</v>
      </c>
    </row>
    <row r="6752">
      <c r="A6752" s="535" t="n">
        <v>40988</v>
      </c>
      <c r="B6752" s="534" t="n">
        <v>13.258</v>
      </c>
      <c r="C6752" s="534" t="n">
        <v>20888.24</v>
      </c>
      <c r="E6752" s="535" t="n">
        <v>44806</v>
      </c>
      <c r="F6752" s="534" t="n">
        <v>3.21</v>
      </c>
    </row>
    <row r="6753">
      <c r="A6753" s="535" t="n">
        <v>40989</v>
      </c>
      <c r="B6753" s="534" t="n">
        <v>13.119</v>
      </c>
      <c r="C6753" s="534" t="n">
        <v>20856.63</v>
      </c>
      <c r="E6753" s="535" t="n">
        <v>44809</v>
      </c>
      <c r="F6753" s="534" t="n">
        <v>3.184</v>
      </c>
    </row>
    <row r="6754">
      <c r="A6754" s="535" t="n">
        <v>40990</v>
      </c>
      <c r="B6754" s="534" t="n">
        <v>13.189</v>
      </c>
      <c r="C6754" s="534" t="n">
        <v>20901.56</v>
      </c>
      <c r="E6754" s="535" t="n">
        <v>44810</v>
      </c>
      <c r="F6754" s="534" t="n">
        <v>3.183</v>
      </c>
    </row>
    <row r="6755">
      <c r="A6755" s="535" t="n">
        <v>40991</v>
      </c>
      <c r="B6755" s="534" t="n">
        <v>13.067</v>
      </c>
      <c r="C6755" s="534" t="n">
        <v>20668.8</v>
      </c>
      <c r="E6755" s="535" t="n">
        <v>44811</v>
      </c>
      <c r="F6755" s="534" t="n">
        <v>3.245</v>
      </c>
    </row>
    <row r="6756">
      <c r="A6756" s="535" t="n">
        <v>40994</v>
      </c>
      <c r="B6756" s="534" t="n">
        <v>12.927</v>
      </c>
      <c r="C6756" s="534" t="n">
        <v>20668.86</v>
      </c>
      <c r="E6756" s="535" t="n">
        <v>44812</v>
      </c>
      <c r="F6756" s="534" t="n">
        <v>3.167</v>
      </c>
    </row>
    <row r="6757">
      <c r="A6757" s="535" t="n">
        <v>40995</v>
      </c>
      <c r="B6757" s="534" t="n">
        <v>13.014</v>
      </c>
      <c r="C6757" s="534" t="n">
        <v>21046.91</v>
      </c>
      <c r="E6757" s="535" t="n">
        <v>44813</v>
      </c>
      <c r="F6757" s="534" t="n">
        <v>3.194</v>
      </c>
    </row>
    <row r="6758">
      <c r="A6758" s="535" t="n">
        <v>40996</v>
      </c>
      <c r="B6758" s="534" t="n">
        <v>12.945</v>
      </c>
      <c r="C6758" s="534" t="n">
        <v>20885.42</v>
      </c>
      <c r="E6758" s="535" t="n">
        <v>44816</v>
      </c>
      <c r="F6758" s="534" t="n">
        <v>3.194</v>
      </c>
    </row>
    <row r="6759">
      <c r="A6759" s="535" t="n">
        <v>40997</v>
      </c>
      <c r="B6759" s="534" t="n">
        <v>12.858</v>
      </c>
      <c r="C6759" s="534" t="n">
        <v>20609.39</v>
      </c>
      <c r="E6759" s="535" t="n">
        <v>44817</v>
      </c>
      <c r="F6759" s="534" t="n">
        <v>3.218</v>
      </c>
    </row>
    <row r="6760">
      <c r="A6760" s="535" t="n">
        <v>40998</v>
      </c>
      <c r="B6760" s="534" t="n">
        <v>12.527</v>
      </c>
      <c r="C6760" s="534" t="n">
        <v>20555.58</v>
      </c>
      <c r="E6760" s="535" t="n">
        <v>44818</v>
      </c>
      <c r="F6760" s="534" t="n">
        <v>3.316</v>
      </c>
    </row>
    <row r="6761">
      <c r="A6761" s="535" t="n">
        <v>41001</v>
      </c>
      <c r="B6761" s="534" t="n">
        <v>12.178</v>
      </c>
      <c r="C6761" s="534" t="n">
        <v>20522.26</v>
      </c>
      <c r="E6761" s="535" t="n">
        <v>44819</v>
      </c>
      <c r="F6761" s="534" t="n">
        <v>3.299</v>
      </c>
    </row>
    <row r="6762">
      <c r="A6762" s="535" t="n">
        <v>41002</v>
      </c>
      <c r="B6762" s="534" t="n">
        <v>12.039</v>
      </c>
      <c r="C6762" s="534" t="n">
        <v>20790.98</v>
      </c>
      <c r="E6762" s="535" t="n">
        <v>44820</v>
      </c>
      <c r="F6762" s="534" t="n">
        <v>3.335</v>
      </c>
    </row>
    <row r="6763">
      <c r="A6763" s="535" t="n">
        <v>41003</v>
      </c>
      <c r="B6763" s="534" t="n">
        <v>12.039</v>
      </c>
      <c r="C6763" s="534" t="n">
        <v>20790.98</v>
      </c>
      <c r="E6763" s="535" t="n">
        <v>44823</v>
      </c>
      <c r="F6763" s="534" t="n">
        <v>3.339</v>
      </c>
    </row>
    <row r="6764">
      <c r="A6764" s="535" t="n">
        <v>41004</v>
      </c>
      <c r="B6764" s="534" t="n">
        <v>11.934</v>
      </c>
      <c r="C6764" s="534" t="n">
        <v>20593</v>
      </c>
      <c r="E6764" s="535" t="n">
        <v>44824</v>
      </c>
      <c r="F6764" s="534" t="n">
        <v>3.351</v>
      </c>
    </row>
    <row r="6765">
      <c r="A6765" s="535" t="n">
        <v>41005</v>
      </c>
      <c r="B6765" s="534" t="n">
        <v>11.934</v>
      </c>
      <c r="C6765" s="534" t="n">
        <v>20593</v>
      </c>
      <c r="E6765" s="535" t="n">
        <v>44825</v>
      </c>
      <c r="F6765" s="534" t="n">
        <v>3.389</v>
      </c>
    </row>
    <row r="6766">
      <c r="A6766" s="535" t="n">
        <v>41008</v>
      </c>
      <c r="B6766" s="534" t="n">
        <v>11.934</v>
      </c>
      <c r="C6766" s="534" t="n">
        <v>20593</v>
      </c>
      <c r="E6766" s="535" t="n">
        <v>44826</v>
      </c>
      <c r="F6766" s="534" t="n">
        <v>3.442</v>
      </c>
    </row>
    <row r="6767">
      <c r="A6767" s="535" t="n">
        <v>41009</v>
      </c>
      <c r="B6767" s="534" t="n">
        <v>12.021</v>
      </c>
      <c r="C6767" s="534" t="n">
        <v>20356.24</v>
      </c>
      <c r="E6767" s="535" t="n">
        <v>44827</v>
      </c>
      <c r="F6767" s="534" t="n">
        <v>3.568</v>
      </c>
    </row>
    <row r="6768">
      <c r="A6768" s="535" t="n">
        <v>41010</v>
      </c>
      <c r="B6768" s="534" t="n">
        <v>11.708</v>
      </c>
      <c r="C6768" s="534" t="n">
        <v>20140.67</v>
      </c>
      <c r="E6768" s="535" t="n">
        <v>44830</v>
      </c>
      <c r="F6768" s="534" t="n">
        <v>3.658</v>
      </c>
    </row>
    <row r="6769">
      <c r="A6769" s="535" t="n">
        <v>41011</v>
      </c>
      <c r="B6769" s="534" t="n">
        <v>11.516</v>
      </c>
      <c r="C6769" s="534" t="n">
        <v>20327.32</v>
      </c>
      <c r="E6769" s="535" t="n">
        <v>44831</v>
      </c>
      <c r="F6769" s="534" t="n">
        <v>3.708</v>
      </c>
    </row>
    <row r="6770">
      <c r="A6770" s="535" t="n">
        <v>41012</v>
      </c>
      <c r="B6770" s="534" t="n">
        <v>11.865</v>
      </c>
      <c r="C6770" s="534" t="n">
        <v>20701.04</v>
      </c>
      <c r="E6770" s="535" t="n">
        <v>44832</v>
      </c>
      <c r="F6770" s="534" t="n">
        <v>3.814</v>
      </c>
    </row>
    <row r="6771">
      <c r="A6771" s="535" t="n">
        <v>41015</v>
      </c>
      <c r="B6771" s="534" t="n">
        <v>11.655</v>
      </c>
      <c r="C6771" s="534" t="n">
        <v>20610.64</v>
      </c>
      <c r="E6771" s="535" t="n">
        <v>44833</v>
      </c>
      <c r="F6771" s="534" t="n">
        <v>3.717</v>
      </c>
    </row>
    <row r="6772">
      <c r="A6772" s="535" t="n">
        <v>41016</v>
      </c>
      <c r="B6772" s="534" t="n">
        <v>11.708</v>
      </c>
      <c r="C6772" s="534" t="n">
        <v>20562.31</v>
      </c>
      <c r="E6772" s="535" t="n">
        <v>44834</v>
      </c>
      <c r="F6772" s="534" t="n">
        <v>3.618</v>
      </c>
    </row>
    <row r="6773">
      <c r="A6773" s="535" t="n">
        <v>41017</v>
      </c>
      <c r="B6773" s="534" t="n">
        <v>11.603</v>
      </c>
      <c r="C6773" s="534" t="n">
        <v>20780.73</v>
      </c>
      <c r="E6773" s="535" t="n">
        <v>44837</v>
      </c>
      <c r="F6773" s="534" t="n">
        <v>3.69</v>
      </c>
    </row>
    <row r="6774">
      <c r="A6774" s="535" t="n">
        <v>41018</v>
      </c>
      <c r="B6774" s="534" t="n">
        <v>11.708</v>
      </c>
      <c r="C6774" s="534" t="n">
        <v>20995.01</v>
      </c>
      <c r="E6774" s="535" t="n">
        <v>44838</v>
      </c>
      <c r="F6774" s="534" t="n">
        <v>3.69</v>
      </c>
    </row>
    <row r="6775">
      <c r="A6775" s="535" t="n">
        <v>41019</v>
      </c>
      <c r="B6775" s="534" t="n">
        <v>11.516</v>
      </c>
      <c r="C6775" s="534" t="n">
        <v>21010.64</v>
      </c>
      <c r="E6775" s="535" t="n">
        <v>44839</v>
      </c>
      <c r="F6775" s="534" t="n">
        <v>3.547</v>
      </c>
    </row>
    <row r="6776">
      <c r="A6776" s="535" t="n">
        <v>41022</v>
      </c>
      <c r="B6776" s="534" t="n">
        <v>11.359</v>
      </c>
      <c r="C6776" s="534" t="n">
        <v>20624.39</v>
      </c>
      <c r="E6776" s="535" t="n">
        <v>44840</v>
      </c>
      <c r="F6776" s="534" t="n">
        <v>3.646</v>
      </c>
    </row>
    <row r="6777">
      <c r="A6777" s="535" t="n">
        <v>41023</v>
      </c>
      <c r="B6777" s="534" t="n">
        <v>11.359</v>
      </c>
      <c r="C6777" s="534" t="n">
        <v>20677.16</v>
      </c>
      <c r="E6777" s="535" t="n">
        <v>44841</v>
      </c>
      <c r="F6777" s="534" t="n">
        <v>3.709</v>
      </c>
    </row>
    <row r="6778">
      <c r="A6778" s="535" t="n">
        <v>41024</v>
      </c>
      <c r="B6778" s="534" t="n">
        <v>11.255</v>
      </c>
      <c r="C6778" s="534" t="n">
        <v>20646.29</v>
      </c>
      <c r="E6778" s="535" t="n">
        <v>44844</v>
      </c>
      <c r="F6778" s="534" t="n">
        <v>3.756</v>
      </c>
    </row>
    <row r="6779">
      <c r="A6779" s="535" t="n">
        <v>41025</v>
      </c>
      <c r="B6779" s="534" t="n">
        <v>11.464</v>
      </c>
      <c r="C6779" s="534" t="n">
        <v>20809.71</v>
      </c>
      <c r="E6779" s="535" t="n">
        <v>44845</v>
      </c>
      <c r="F6779" s="534" t="n">
        <v>3.832</v>
      </c>
    </row>
    <row r="6780">
      <c r="A6780" s="535" t="n">
        <v>41026</v>
      </c>
      <c r="B6780" s="534" t="n">
        <v>11.446</v>
      </c>
      <c r="C6780" s="534" t="n">
        <v>20741.45</v>
      </c>
      <c r="E6780" s="535" t="n">
        <v>44846</v>
      </c>
      <c r="F6780" s="534" t="n">
        <v>3.785</v>
      </c>
    </row>
    <row r="6781">
      <c r="A6781" s="535" t="n">
        <v>41029</v>
      </c>
      <c r="B6781" s="534" t="n">
        <v>11.464</v>
      </c>
      <c r="C6781" s="534" t="n">
        <v>21094.21</v>
      </c>
      <c r="E6781" s="535" t="n">
        <v>44847</v>
      </c>
      <c r="F6781" s="534" t="n">
        <v>3.856</v>
      </c>
    </row>
    <row r="6782">
      <c r="A6782" s="535" t="n">
        <v>41030</v>
      </c>
      <c r="B6782" s="534" t="n">
        <v>11.464</v>
      </c>
      <c r="C6782" s="534" t="n">
        <v>21094.21</v>
      </c>
      <c r="E6782" s="535" t="n">
        <v>44848</v>
      </c>
      <c r="F6782" s="534" t="n">
        <v>3.843</v>
      </c>
    </row>
    <row r="6783">
      <c r="A6783" s="535" t="n">
        <v>41031</v>
      </c>
      <c r="B6783" s="534" t="n">
        <v>11.655</v>
      </c>
      <c r="C6783" s="534" t="n">
        <v>21309.08</v>
      </c>
      <c r="E6783" s="535" t="n">
        <v>44851</v>
      </c>
      <c r="F6783" s="534" t="n">
        <v>3.867</v>
      </c>
    </row>
    <row r="6784">
      <c r="A6784" s="535" t="n">
        <v>41032</v>
      </c>
      <c r="B6784" s="534" t="n">
        <v>11.429</v>
      </c>
      <c r="C6784" s="534" t="n">
        <v>21249.53</v>
      </c>
      <c r="E6784" s="535" t="n">
        <v>44852</v>
      </c>
      <c r="F6784" s="534" t="n">
        <v>3.89</v>
      </c>
    </row>
    <row r="6785">
      <c r="A6785" s="535" t="n">
        <v>41033</v>
      </c>
      <c r="B6785" s="534" t="n">
        <v>11.673</v>
      </c>
      <c r="C6785" s="534" t="n">
        <v>21086</v>
      </c>
      <c r="E6785" s="535" t="n">
        <v>44853</v>
      </c>
      <c r="F6785" s="534" t="n">
        <v>3.925</v>
      </c>
    </row>
    <row r="6786">
      <c r="A6786" s="535" t="n">
        <v>41036</v>
      </c>
      <c r="B6786" s="534" t="n">
        <v>11.481</v>
      </c>
      <c r="C6786" s="534" t="n">
        <v>20536.65</v>
      </c>
      <c r="E6786" s="535" t="n">
        <v>44854</v>
      </c>
      <c r="F6786" s="534" t="n">
        <v>4.076</v>
      </c>
    </row>
    <row r="6787">
      <c r="A6787" s="535" t="n">
        <v>41037</v>
      </c>
      <c r="B6787" s="534" t="n">
        <v>11.586</v>
      </c>
      <c r="C6787" s="534" t="n">
        <v>20484.75</v>
      </c>
      <c r="E6787" s="535" t="n">
        <v>44855</v>
      </c>
      <c r="F6787" s="534" t="n">
        <v>4.181</v>
      </c>
    </row>
    <row r="6788">
      <c r="A6788" s="535" t="n">
        <v>41038</v>
      </c>
      <c r="B6788" s="534" t="n">
        <v>11.638</v>
      </c>
      <c r="C6788" s="534" t="n">
        <v>20330.64</v>
      </c>
      <c r="E6788" s="535" t="n">
        <v>44858</v>
      </c>
      <c r="F6788" s="534" t="n">
        <v>4.161</v>
      </c>
    </row>
    <row r="6789">
      <c r="A6789" s="535" t="n">
        <v>41039</v>
      </c>
      <c r="B6789" s="534" t="n">
        <v>10.906</v>
      </c>
      <c r="C6789" s="534" t="n">
        <v>20227.28</v>
      </c>
      <c r="E6789" s="535" t="n">
        <v>44859</v>
      </c>
      <c r="F6789" s="534" t="n">
        <v>4.247</v>
      </c>
    </row>
    <row r="6790">
      <c r="A6790" s="535" t="n">
        <v>41040</v>
      </c>
      <c r="B6790" s="534" t="n">
        <v>11.028</v>
      </c>
      <c r="C6790" s="534" t="n">
        <v>19964.63</v>
      </c>
      <c r="E6790" s="535" t="n">
        <v>44860</v>
      </c>
      <c r="F6790" s="534" t="n">
        <v>4.115</v>
      </c>
    </row>
    <row r="6791">
      <c r="A6791" s="535" t="n">
        <v>41043</v>
      </c>
      <c r="B6791" s="534" t="n">
        <v>10.802</v>
      </c>
      <c r="C6791" s="534" t="n">
        <v>19735.04</v>
      </c>
      <c r="E6791" s="535" t="n">
        <v>44861</v>
      </c>
      <c r="F6791" s="534" t="n">
        <v>4.06</v>
      </c>
    </row>
    <row r="6792">
      <c r="A6792" s="535" t="n">
        <v>41044</v>
      </c>
      <c r="B6792" s="534" t="n">
        <v>10.767</v>
      </c>
      <c r="C6792" s="534" t="n">
        <v>19894.31</v>
      </c>
      <c r="E6792" s="535" t="n">
        <v>44862</v>
      </c>
      <c r="F6792" s="534" t="n">
        <v>3.932</v>
      </c>
    </row>
    <row r="6793">
      <c r="A6793" s="535" t="n">
        <v>41045</v>
      </c>
      <c r="B6793" s="534" t="n">
        <v>10.506</v>
      </c>
      <c r="C6793" s="534" t="n">
        <v>19259.83</v>
      </c>
      <c r="E6793" s="535" t="n">
        <v>44865</v>
      </c>
      <c r="F6793" s="534" t="n">
        <v>3.994</v>
      </c>
    </row>
    <row r="6794">
      <c r="A6794" s="535" t="n">
        <v>41046</v>
      </c>
      <c r="B6794" s="534" t="n">
        <v>10.784</v>
      </c>
      <c r="C6794" s="534" t="n">
        <v>19200.93</v>
      </c>
      <c r="E6794" s="535" t="n">
        <v>44866</v>
      </c>
      <c r="F6794" s="534" t="n">
        <v>3.974</v>
      </c>
    </row>
    <row r="6795">
      <c r="A6795" s="535" t="n">
        <v>41047</v>
      </c>
      <c r="B6795" s="534" t="n">
        <v>10.802</v>
      </c>
      <c r="C6795" s="534" t="n">
        <v>18951.85</v>
      </c>
      <c r="E6795" s="535" t="n">
        <v>44867</v>
      </c>
      <c r="F6795" s="534" t="n">
        <v>4.005</v>
      </c>
    </row>
    <row r="6796">
      <c r="A6796" s="535" t="n">
        <v>41050</v>
      </c>
      <c r="B6796" s="534" t="n">
        <v>10.75</v>
      </c>
      <c r="C6796" s="534" t="n">
        <v>18922.32</v>
      </c>
      <c r="E6796" s="535" t="n">
        <v>44868</v>
      </c>
      <c r="F6796" s="534" t="n">
        <v>4.111</v>
      </c>
    </row>
    <row r="6797">
      <c r="A6797" s="535" t="n">
        <v>41051</v>
      </c>
      <c r="B6797" s="534" t="n">
        <v>10.715</v>
      </c>
      <c r="C6797" s="534" t="n">
        <v>19039.15</v>
      </c>
      <c r="E6797" s="535" t="n">
        <v>44869</v>
      </c>
      <c r="F6797" s="534" t="n">
        <v>4.096</v>
      </c>
    </row>
    <row r="6798">
      <c r="A6798" s="535" t="n">
        <v>41052</v>
      </c>
      <c r="B6798" s="534" t="n">
        <v>10.506</v>
      </c>
      <c r="C6798" s="534" t="n">
        <v>18786.19</v>
      </c>
      <c r="E6798" s="535" t="n">
        <v>44872</v>
      </c>
      <c r="F6798" s="534" t="n">
        <v>4.04</v>
      </c>
    </row>
    <row r="6799">
      <c r="A6799" s="535" t="n">
        <v>41053</v>
      </c>
      <c r="B6799" s="534" t="n">
        <v>10.436</v>
      </c>
      <c r="C6799" s="534" t="n">
        <v>18666.4</v>
      </c>
      <c r="E6799" s="535" t="n">
        <v>44873</v>
      </c>
      <c r="F6799" s="534" t="n">
        <v>4.111</v>
      </c>
    </row>
    <row r="6800">
      <c r="A6800" s="535" t="n">
        <v>41054</v>
      </c>
      <c r="B6800" s="534" t="n">
        <v>10.523</v>
      </c>
      <c r="C6800" s="534" t="n">
        <v>18713.41</v>
      </c>
      <c r="E6800" s="535" t="n">
        <v>44874</v>
      </c>
      <c r="F6800" s="534" t="n">
        <v>4.073</v>
      </c>
    </row>
    <row r="6801">
      <c r="A6801" s="535" t="n">
        <v>41057</v>
      </c>
      <c r="B6801" s="534" t="n">
        <v>10.471</v>
      </c>
      <c r="C6801" s="534" t="n">
        <v>18800.99</v>
      </c>
      <c r="E6801" s="535" t="n">
        <v>44875</v>
      </c>
      <c r="F6801" s="534" t="n">
        <v>4.05</v>
      </c>
    </row>
    <row r="6802">
      <c r="A6802" s="535" t="n">
        <v>41058</v>
      </c>
      <c r="B6802" s="534" t="n">
        <v>10.68</v>
      </c>
      <c r="C6802" s="534" t="n">
        <v>19055.46</v>
      </c>
      <c r="E6802" s="535" t="n">
        <v>44876</v>
      </c>
      <c r="F6802" s="534" t="n">
        <v>3.768</v>
      </c>
    </row>
    <row r="6803">
      <c r="A6803" s="535" t="n">
        <v>41059</v>
      </c>
      <c r="B6803" s="534" t="n">
        <v>10.436</v>
      </c>
      <c r="C6803" s="534" t="n">
        <v>18690.22</v>
      </c>
      <c r="E6803" s="535" t="n">
        <v>44879</v>
      </c>
      <c r="F6803" s="534" t="n">
        <v>3.81</v>
      </c>
    </row>
    <row r="6804">
      <c r="A6804" s="535" t="n">
        <v>41060</v>
      </c>
      <c r="B6804" s="534" t="n">
        <v>10.436</v>
      </c>
      <c r="C6804" s="534" t="n">
        <v>18629.52</v>
      </c>
      <c r="E6804" s="535" t="n">
        <v>44880</v>
      </c>
      <c r="F6804" s="534" t="n">
        <v>3.772</v>
      </c>
    </row>
    <row r="6805">
      <c r="A6805" s="535" t="n">
        <v>41061</v>
      </c>
      <c r="B6805" s="534" t="n">
        <v>10.871</v>
      </c>
      <c r="C6805" s="534" t="n">
        <v>18558.34</v>
      </c>
      <c r="E6805" s="535" t="n">
        <v>44881</v>
      </c>
      <c r="F6805" s="534" t="n">
        <v>3.696</v>
      </c>
    </row>
    <row r="6806">
      <c r="A6806" s="535" t="n">
        <v>41064</v>
      </c>
      <c r="B6806" s="534" t="n">
        <v>10.732</v>
      </c>
      <c r="C6806" s="534" t="n">
        <v>18185.59</v>
      </c>
      <c r="E6806" s="535" t="n">
        <v>44882</v>
      </c>
      <c r="F6806" s="534" t="n">
        <v>3.547</v>
      </c>
    </row>
    <row r="6807">
      <c r="A6807" s="535" t="n">
        <v>41065</v>
      </c>
      <c r="B6807" s="534" t="n">
        <v>10.628</v>
      </c>
      <c r="C6807" s="534" t="n">
        <v>18259.03</v>
      </c>
      <c r="E6807" s="535" t="n">
        <v>44883</v>
      </c>
      <c r="F6807" s="534" t="n">
        <v>3.579</v>
      </c>
    </row>
    <row r="6808">
      <c r="A6808" s="535" t="n">
        <v>41066</v>
      </c>
      <c r="B6808" s="534" t="n">
        <v>10.593</v>
      </c>
      <c r="C6808" s="534" t="n">
        <v>18520.53</v>
      </c>
      <c r="E6808" s="535" t="n">
        <v>44886</v>
      </c>
      <c r="F6808" s="534" t="n">
        <v>3.711</v>
      </c>
    </row>
    <row r="6809">
      <c r="A6809" s="535" t="n">
        <v>41067</v>
      </c>
      <c r="B6809" s="534" t="n">
        <v>10.593</v>
      </c>
      <c r="C6809" s="534" t="n">
        <v>18678.29</v>
      </c>
      <c r="E6809" s="535" t="n">
        <v>44887</v>
      </c>
      <c r="F6809" s="534" t="n">
        <v>3.686</v>
      </c>
    </row>
    <row r="6810">
      <c r="A6810" s="535" t="n">
        <v>41068</v>
      </c>
      <c r="B6810" s="534" t="n">
        <v>10.593</v>
      </c>
      <c r="C6810" s="534" t="n">
        <v>18502.34</v>
      </c>
      <c r="E6810" s="535" t="n">
        <v>44888</v>
      </c>
      <c r="F6810" s="534" t="n">
        <v>3.655</v>
      </c>
    </row>
    <row r="6811">
      <c r="A6811" s="535" t="n">
        <v>41071</v>
      </c>
      <c r="B6811" s="534" t="n">
        <v>10.715</v>
      </c>
      <c r="C6811" s="534" t="n">
        <v>18953.63</v>
      </c>
      <c r="E6811" s="535" t="n">
        <v>44889</v>
      </c>
      <c r="F6811" s="534" t="n">
        <v>3.62</v>
      </c>
    </row>
    <row r="6812">
      <c r="A6812" s="535" t="n">
        <v>41072</v>
      </c>
      <c r="B6812" s="534" t="n">
        <v>10.697</v>
      </c>
      <c r="C6812" s="534" t="n">
        <v>18872.56</v>
      </c>
      <c r="E6812" s="535" t="n">
        <v>44890</v>
      </c>
      <c r="F6812" s="534" t="n">
        <v>3.61</v>
      </c>
    </row>
    <row r="6813">
      <c r="A6813" s="535" t="n">
        <v>41073</v>
      </c>
      <c r="B6813" s="534" t="n">
        <v>10.645</v>
      </c>
      <c r="C6813" s="534" t="n">
        <v>19026.52</v>
      </c>
      <c r="E6813" s="535" t="n">
        <v>44893</v>
      </c>
      <c r="F6813" s="534" t="n">
        <v>3.618</v>
      </c>
    </row>
    <row r="6814">
      <c r="A6814" s="535" t="n">
        <v>41074</v>
      </c>
      <c r="B6814" s="534" t="n">
        <v>10.366</v>
      </c>
      <c r="C6814" s="534" t="n">
        <v>18808.4</v>
      </c>
      <c r="E6814" s="535" t="n">
        <v>44894</v>
      </c>
      <c r="F6814" s="534" t="n">
        <v>3.615</v>
      </c>
    </row>
    <row r="6815">
      <c r="A6815" s="535" t="n">
        <v>41075</v>
      </c>
      <c r="B6815" s="534" t="n">
        <v>10.54</v>
      </c>
      <c r="C6815" s="534" t="n">
        <v>19233.94</v>
      </c>
      <c r="E6815" s="535" t="n">
        <v>44895</v>
      </c>
      <c r="F6815" s="534" t="n">
        <v>3.618</v>
      </c>
    </row>
    <row r="6816">
      <c r="A6816" s="535" t="n">
        <v>41078</v>
      </c>
      <c r="B6816" s="534" t="n">
        <v>10.802</v>
      </c>
      <c r="C6816" s="534" t="n">
        <v>19427.81</v>
      </c>
      <c r="E6816" s="535" t="n">
        <v>44896</v>
      </c>
      <c r="F6816" s="534" t="n">
        <v>3.501</v>
      </c>
    </row>
    <row r="6817">
      <c r="A6817" s="535" t="n">
        <v>41079</v>
      </c>
      <c r="B6817" s="534" t="n">
        <v>10.837</v>
      </c>
      <c r="C6817" s="534" t="n">
        <v>19416.67</v>
      </c>
      <c r="E6817" s="535" t="n">
        <v>44897</v>
      </c>
      <c r="F6817" s="534" t="n">
        <v>3.451</v>
      </c>
    </row>
    <row r="6818">
      <c r="A6818" s="535" t="n">
        <v>41080</v>
      </c>
      <c r="B6818" s="534" t="n">
        <v>10.941</v>
      </c>
      <c r="C6818" s="534" t="n">
        <v>19518.85</v>
      </c>
      <c r="E6818" s="535" t="n">
        <v>44900</v>
      </c>
      <c r="F6818" s="534" t="n">
        <v>3.45</v>
      </c>
    </row>
    <row r="6819">
      <c r="A6819" s="535" t="n">
        <v>41081</v>
      </c>
      <c r="B6819" s="534" t="n">
        <v>10.871</v>
      </c>
      <c r="C6819" s="534" t="n">
        <v>19265.07</v>
      </c>
      <c r="E6819" s="535" t="n">
        <v>44901</v>
      </c>
      <c r="F6819" s="534" t="n">
        <v>3.467</v>
      </c>
    </row>
    <row r="6820">
      <c r="A6820" s="535" t="n">
        <v>41082</v>
      </c>
      <c r="B6820" s="534" t="n">
        <v>10.854</v>
      </c>
      <c r="C6820" s="534" t="n">
        <v>18995.13</v>
      </c>
      <c r="E6820" s="535" t="n">
        <v>44902</v>
      </c>
      <c r="F6820" s="534" t="n">
        <v>3.393</v>
      </c>
    </row>
    <row r="6821">
      <c r="A6821" s="535" t="n">
        <v>41085</v>
      </c>
      <c r="B6821" s="534" t="n">
        <v>10.697</v>
      </c>
      <c r="C6821" s="534" t="n">
        <v>18897.45</v>
      </c>
      <c r="E6821" s="535" t="n">
        <v>44903</v>
      </c>
      <c r="F6821" s="534" t="n">
        <v>3.312</v>
      </c>
    </row>
    <row r="6822">
      <c r="A6822" s="535" t="n">
        <v>41086</v>
      </c>
      <c r="B6822" s="534" t="n">
        <v>10.68</v>
      </c>
      <c r="C6822" s="534" t="n">
        <v>18981.84</v>
      </c>
      <c r="E6822" s="535" t="n">
        <v>44904</v>
      </c>
      <c r="F6822" s="534" t="n">
        <v>3.326</v>
      </c>
    </row>
    <row r="6823">
      <c r="A6823" s="535" t="n">
        <v>41087</v>
      </c>
      <c r="B6823" s="534" t="n">
        <v>10.732</v>
      </c>
      <c r="C6823" s="534" t="n">
        <v>19176.95</v>
      </c>
      <c r="E6823" s="535" t="n">
        <v>44907</v>
      </c>
      <c r="F6823" s="534" t="n">
        <v>3.423</v>
      </c>
    </row>
    <row r="6824">
      <c r="A6824" s="535" t="n">
        <v>41088</v>
      </c>
      <c r="B6824" s="534" t="n">
        <v>10.575</v>
      </c>
      <c r="C6824" s="534" t="n">
        <v>19025.27</v>
      </c>
      <c r="E6824" s="535" t="n">
        <v>44908</v>
      </c>
      <c r="F6824" s="534" t="n">
        <v>3.425</v>
      </c>
    </row>
    <row r="6825">
      <c r="A6825" s="535" t="n">
        <v>41089</v>
      </c>
      <c r="B6825" s="534" t="n">
        <v>10.854</v>
      </c>
      <c r="C6825" s="534" t="n">
        <v>19441.46</v>
      </c>
      <c r="E6825" s="535" t="n">
        <v>44909</v>
      </c>
      <c r="F6825" s="534" t="n">
        <v>3.303</v>
      </c>
    </row>
    <row r="6826">
      <c r="A6826" s="535" t="n">
        <v>41092</v>
      </c>
      <c r="B6826" s="534" t="n">
        <v>10.854</v>
      </c>
      <c r="C6826" s="534" t="n">
        <v>19441.46</v>
      </c>
      <c r="E6826" s="535" t="n">
        <v>44910</v>
      </c>
      <c r="F6826" s="534" t="n">
        <v>3.374</v>
      </c>
    </row>
    <row r="6827">
      <c r="A6827" s="535" t="n">
        <v>41093</v>
      </c>
      <c r="B6827" s="534" t="n">
        <v>10.924</v>
      </c>
      <c r="C6827" s="534" t="n">
        <v>19735.53</v>
      </c>
      <c r="E6827" s="535" t="n">
        <v>44911</v>
      </c>
      <c r="F6827" s="534" t="n">
        <v>3.342</v>
      </c>
    </row>
    <row r="6828">
      <c r="A6828" s="535" t="n">
        <v>41094</v>
      </c>
      <c r="B6828" s="534" t="n">
        <v>10.976</v>
      </c>
      <c r="C6828" s="534" t="n">
        <v>19709.75</v>
      </c>
      <c r="E6828" s="535" t="n">
        <v>44914</v>
      </c>
      <c r="F6828" s="534" t="n">
        <v>3.296</v>
      </c>
    </row>
    <row r="6829">
      <c r="A6829" s="535" t="n">
        <v>41095</v>
      </c>
      <c r="B6829" s="534" t="n">
        <v>11.255</v>
      </c>
      <c r="C6829" s="534" t="n">
        <v>19809.13</v>
      </c>
      <c r="E6829" s="535" t="n">
        <v>44915</v>
      </c>
      <c r="F6829" s="534" t="n">
        <v>3.398</v>
      </c>
    </row>
    <row r="6830">
      <c r="A6830" s="535" t="n">
        <v>41096</v>
      </c>
      <c r="B6830" s="534" t="n">
        <v>11.551</v>
      </c>
      <c r="C6830" s="534" t="n">
        <v>19800.64</v>
      </c>
      <c r="E6830" s="535" t="n">
        <v>44916</v>
      </c>
      <c r="F6830" s="534" t="n">
        <v>3.41</v>
      </c>
    </row>
    <row r="6831">
      <c r="A6831" s="535" t="n">
        <v>41099</v>
      </c>
      <c r="B6831" s="534" t="n">
        <v>11.307</v>
      </c>
      <c r="C6831" s="534" t="n">
        <v>19428.09</v>
      </c>
      <c r="E6831" s="535" t="n">
        <v>44917</v>
      </c>
      <c r="F6831" s="534" t="n">
        <v>3.423</v>
      </c>
    </row>
    <row r="6832">
      <c r="A6832" s="535" t="n">
        <v>41100</v>
      </c>
      <c r="B6832" s="534" t="n">
        <v>11.081</v>
      </c>
      <c r="C6832" s="534" t="n">
        <v>19396.36</v>
      </c>
      <c r="E6832" s="535" t="n">
        <v>44918</v>
      </c>
      <c r="F6832" s="534" t="n">
        <v>3.478</v>
      </c>
    </row>
    <row r="6833">
      <c r="A6833" s="535" t="n">
        <v>41101</v>
      </c>
      <c r="B6833" s="534" t="n">
        <v>11.185</v>
      </c>
      <c r="C6833" s="534" t="n">
        <v>19419.87</v>
      </c>
      <c r="E6833" s="535" t="n">
        <v>44921</v>
      </c>
      <c r="F6833" s="534" t="n">
        <v>3.478</v>
      </c>
    </row>
    <row r="6834">
      <c r="A6834" s="535" t="n">
        <v>41102</v>
      </c>
      <c r="B6834" s="534" t="n">
        <v>11.028</v>
      </c>
      <c r="C6834" s="534" t="n">
        <v>19025.11</v>
      </c>
      <c r="E6834" s="535" t="n">
        <v>44922</v>
      </c>
      <c r="F6834" s="534" t="n">
        <v>3.478</v>
      </c>
    </row>
    <row r="6835">
      <c r="A6835" s="535" t="n">
        <v>41103</v>
      </c>
      <c r="B6835" s="534" t="n">
        <v>11.29</v>
      </c>
      <c r="C6835" s="534" t="n">
        <v>19092.63</v>
      </c>
      <c r="E6835" s="535" t="n">
        <v>44923</v>
      </c>
      <c r="F6835" s="534" t="n">
        <v>3.599</v>
      </c>
    </row>
    <row r="6836">
      <c r="A6836" s="535" t="n">
        <v>41106</v>
      </c>
      <c r="B6836" s="534" t="n">
        <v>11.15</v>
      </c>
      <c r="C6836" s="534" t="n">
        <v>19121.34</v>
      </c>
      <c r="E6836" s="535" t="n">
        <v>44924</v>
      </c>
      <c r="F6836" s="534" t="n">
        <v>3.633</v>
      </c>
    </row>
    <row r="6837">
      <c r="A6837" s="535" t="n">
        <v>41107</v>
      </c>
      <c r="B6837" s="534" t="n">
        <v>11.464</v>
      </c>
      <c r="C6837" s="534" t="n">
        <v>19455.33</v>
      </c>
      <c r="E6837" s="535" t="n">
        <v>44925</v>
      </c>
      <c r="F6837" s="534" t="n">
        <v>3.708</v>
      </c>
    </row>
    <row r="6838">
      <c r="A6838" s="535" t="n">
        <v>41108</v>
      </c>
      <c r="B6838" s="534" t="n">
        <v>11.464</v>
      </c>
      <c r="C6838" s="534" t="n">
        <v>19239.88</v>
      </c>
      <c r="E6838" s="535" t="n">
        <v>44928</v>
      </c>
      <c r="F6838" s="534" t="n">
        <v>3.708</v>
      </c>
    </row>
    <row r="6839">
      <c r="A6839" s="535" t="n">
        <v>41109</v>
      </c>
      <c r="B6839" s="534" t="n">
        <v>11.551</v>
      </c>
      <c r="C6839" s="534" t="n">
        <v>19559.05</v>
      </c>
      <c r="E6839" s="535" t="n">
        <v>44929</v>
      </c>
      <c r="F6839" s="534" t="n">
        <v>3.707</v>
      </c>
    </row>
    <row r="6840">
      <c r="A6840" s="535" t="n">
        <v>41110</v>
      </c>
      <c r="B6840" s="534" t="n">
        <v>11.359</v>
      </c>
      <c r="C6840" s="534" t="n">
        <v>19640.8</v>
      </c>
      <c r="E6840" s="535" t="n">
        <v>44930</v>
      </c>
      <c r="F6840" s="534" t="n">
        <v>3.63</v>
      </c>
    </row>
    <row r="6841">
      <c r="A6841" s="535" t="n">
        <v>41113</v>
      </c>
      <c r="B6841" s="534" t="n">
        <v>11.185</v>
      </c>
      <c r="C6841" s="534" t="n">
        <v>19053.47</v>
      </c>
      <c r="E6841" s="535" t="n">
        <v>44931</v>
      </c>
      <c r="F6841" s="534" t="n">
        <v>3.605</v>
      </c>
    </row>
    <row r="6842">
      <c r="A6842" s="535" t="n">
        <v>41114</v>
      </c>
      <c r="B6842" s="534" t="n">
        <v>11.063</v>
      </c>
      <c r="C6842" s="534" t="n">
        <v>18903.2</v>
      </c>
      <c r="E6842" s="535" t="n">
        <v>44932</v>
      </c>
      <c r="F6842" s="534" t="n">
        <v>3.588</v>
      </c>
    </row>
    <row r="6843">
      <c r="A6843" s="535" t="n">
        <v>41115</v>
      </c>
      <c r="B6843" s="534" t="n">
        <v>10.959</v>
      </c>
      <c r="C6843" s="534" t="n">
        <v>18877.33</v>
      </c>
      <c r="E6843" s="535" t="n">
        <v>44935</v>
      </c>
      <c r="F6843" s="534" t="n">
        <v>3.378</v>
      </c>
    </row>
    <row r="6844">
      <c r="A6844" s="535" t="n">
        <v>41116</v>
      </c>
      <c r="B6844" s="534" t="n">
        <v>11.046</v>
      </c>
      <c r="C6844" s="534" t="n">
        <v>18892.79</v>
      </c>
      <c r="E6844" s="535" t="n">
        <v>44936</v>
      </c>
      <c r="F6844" s="534" t="n">
        <v>3.362</v>
      </c>
    </row>
    <row r="6845">
      <c r="A6845" s="535" t="n">
        <v>41117</v>
      </c>
      <c r="B6845" s="534" t="n">
        <v>11.22</v>
      </c>
      <c r="C6845" s="534" t="n">
        <v>19274.96</v>
      </c>
      <c r="E6845" s="535" t="n">
        <v>44937</v>
      </c>
      <c r="F6845" s="534" t="n">
        <v>3.352</v>
      </c>
    </row>
    <row r="6846">
      <c r="A6846" s="535" t="n">
        <v>41120</v>
      </c>
      <c r="B6846" s="534" t="n">
        <v>11.307</v>
      </c>
      <c r="C6846" s="534" t="n">
        <v>19585.4</v>
      </c>
      <c r="E6846" s="535" t="n">
        <v>44938</v>
      </c>
      <c r="F6846" s="534" t="n">
        <v>3.303</v>
      </c>
    </row>
    <row r="6847">
      <c r="A6847" s="535" t="n">
        <v>41121</v>
      </c>
      <c r="B6847" s="534" t="n">
        <v>11.185</v>
      </c>
      <c r="C6847" s="534" t="n">
        <v>19796.81</v>
      </c>
      <c r="E6847" s="535" t="n">
        <v>44939</v>
      </c>
      <c r="F6847" s="534" t="n">
        <v>3.23</v>
      </c>
    </row>
    <row r="6848">
      <c r="A6848" s="535" t="n">
        <v>41122</v>
      </c>
      <c r="B6848" s="534" t="n">
        <v>11.185</v>
      </c>
      <c r="C6848" s="534" t="n">
        <v>19820.38</v>
      </c>
      <c r="E6848" s="535" t="n">
        <v>44942</v>
      </c>
      <c r="F6848" s="534" t="n">
        <v>3.198</v>
      </c>
    </row>
    <row r="6849">
      <c r="A6849" s="535" t="n">
        <v>41123</v>
      </c>
      <c r="B6849" s="534" t="n">
        <v>11.202</v>
      </c>
      <c r="C6849" s="534" t="n">
        <v>19690.2</v>
      </c>
      <c r="E6849" s="535" t="n">
        <v>44943</v>
      </c>
      <c r="F6849" s="534" t="n">
        <v>3.211</v>
      </c>
    </row>
    <row r="6850">
      <c r="A6850" s="535" t="n">
        <v>41124</v>
      </c>
      <c r="B6850" s="534" t="n">
        <v>11.028</v>
      </c>
      <c r="C6850" s="534" t="n">
        <v>19666.18</v>
      </c>
      <c r="E6850" s="535" t="n">
        <v>44944</v>
      </c>
      <c r="F6850" s="534" t="n">
        <v>3.142</v>
      </c>
    </row>
    <row r="6851">
      <c r="A6851" s="535" t="n">
        <v>41127</v>
      </c>
      <c r="B6851" s="534" t="n">
        <v>11.255</v>
      </c>
      <c r="C6851" s="534" t="n">
        <v>19998.72</v>
      </c>
      <c r="E6851" s="535" t="n">
        <v>44945</v>
      </c>
      <c r="F6851" s="534" t="n">
        <v>2.97</v>
      </c>
    </row>
    <row r="6852">
      <c r="A6852" s="535" t="n">
        <v>41128</v>
      </c>
      <c r="B6852" s="534" t="n">
        <v>11.255</v>
      </c>
      <c r="C6852" s="534" t="n">
        <v>20072.55</v>
      </c>
      <c r="E6852" s="535" t="n">
        <v>44946</v>
      </c>
      <c r="F6852" s="534" t="n">
        <v>3.048</v>
      </c>
    </row>
    <row r="6853">
      <c r="A6853" s="535" t="n">
        <v>41129</v>
      </c>
      <c r="B6853" s="534" t="n">
        <v>10.767</v>
      </c>
      <c r="C6853" s="534" t="n">
        <v>20065.52</v>
      </c>
      <c r="E6853" s="535" t="n">
        <v>44949</v>
      </c>
      <c r="F6853" s="534" t="n">
        <v>3.048</v>
      </c>
    </row>
    <row r="6854">
      <c r="A6854" s="535" t="n">
        <v>41130</v>
      </c>
      <c r="B6854" s="534" t="n">
        <v>11.185</v>
      </c>
      <c r="C6854" s="534" t="n">
        <v>20269.47</v>
      </c>
      <c r="E6854" s="535" t="n">
        <v>44950</v>
      </c>
      <c r="F6854" s="534" t="n">
        <v>3.048</v>
      </c>
    </row>
    <row r="6855">
      <c r="A6855" s="535" t="n">
        <v>41131</v>
      </c>
      <c r="B6855" s="534" t="n">
        <v>11.081</v>
      </c>
      <c r="C6855" s="534" t="n">
        <v>20136.12</v>
      </c>
      <c r="E6855" s="535" t="n">
        <v>44951</v>
      </c>
      <c r="F6855" s="534" t="n">
        <v>3.048</v>
      </c>
    </row>
    <row r="6856">
      <c r="A6856" s="535" t="n">
        <v>41134</v>
      </c>
      <c r="B6856" s="534" t="n">
        <v>11.168</v>
      </c>
      <c r="C6856" s="534" t="n">
        <v>20081.36</v>
      </c>
      <c r="E6856" s="535" t="n">
        <v>44952</v>
      </c>
      <c r="F6856" s="534" t="n">
        <v>3.05</v>
      </c>
    </row>
    <row r="6857">
      <c r="A6857" s="535" t="n">
        <v>41135</v>
      </c>
      <c r="B6857" s="534" t="n">
        <v>11.307</v>
      </c>
      <c r="C6857" s="534" t="n">
        <v>20291.68</v>
      </c>
      <c r="E6857" s="535" t="n">
        <v>44953</v>
      </c>
      <c r="F6857" s="534" t="n">
        <v>3.105</v>
      </c>
    </row>
    <row r="6858">
      <c r="A6858" s="535" t="n">
        <v>41136</v>
      </c>
      <c r="B6858" s="534" t="n">
        <v>11.15</v>
      </c>
      <c r="C6858" s="534" t="n">
        <v>20052.29</v>
      </c>
      <c r="E6858" s="535" t="n">
        <v>44956</v>
      </c>
      <c r="F6858" s="534" t="n">
        <v>3.123</v>
      </c>
    </row>
    <row r="6859">
      <c r="A6859" s="535" t="n">
        <v>41137</v>
      </c>
      <c r="B6859" s="534" t="n">
        <v>11.377</v>
      </c>
      <c r="C6859" s="534" t="n">
        <v>19962.95</v>
      </c>
      <c r="E6859" s="535" t="n">
        <v>44957</v>
      </c>
      <c r="F6859" s="534" t="n">
        <v>3.184</v>
      </c>
    </row>
    <row r="6860">
      <c r="A6860" s="535" t="n">
        <v>41138</v>
      </c>
      <c r="B6860" s="534" t="n">
        <v>11.342</v>
      </c>
      <c r="C6860" s="534" t="n">
        <v>20116.07</v>
      </c>
      <c r="E6860" s="535" t="n">
        <v>44958</v>
      </c>
      <c r="F6860" s="534" t="n">
        <v>3.161</v>
      </c>
    </row>
    <row r="6861">
      <c r="A6861" s="535" t="n">
        <v>41141</v>
      </c>
      <c r="B6861" s="534" t="n">
        <v>11.412</v>
      </c>
      <c r="C6861" s="534" t="n">
        <v>20104.27</v>
      </c>
      <c r="E6861" s="535" t="n">
        <v>44959</v>
      </c>
      <c r="F6861" s="534" t="n">
        <v>3.082</v>
      </c>
    </row>
    <row r="6862">
      <c r="A6862" s="535" t="n">
        <v>41142</v>
      </c>
      <c r="B6862" s="534" t="n">
        <v>11.324</v>
      </c>
      <c r="C6862" s="534" t="n">
        <v>20100.09</v>
      </c>
      <c r="E6862" s="535" t="n">
        <v>44960</v>
      </c>
      <c r="F6862" s="534" t="n">
        <v>3.175</v>
      </c>
    </row>
    <row r="6863">
      <c r="A6863" s="535" t="n">
        <v>41143</v>
      </c>
      <c r="B6863" s="534" t="n">
        <v>11.359</v>
      </c>
      <c r="C6863" s="534" t="n">
        <v>19887.78</v>
      </c>
      <c r="E6863" s="535" t="n">
        <v>44963</v>
      </c>
      <c r="F6863" s="534" t="n">
        <v>3.358</v>
      </c>
    </row>
    <row r="6864">
      <c r="A6864" s="535" t="n">
        <v>41144</v>
      </c>
      <c r="B6864" s="534" t="n">
        <v>11.342</v>
      </c>
      <c r="C6864" s="534" t="n">
        <v>20132.24</v>
      </c>
      <c r="E6864" s="535" t="n">
        <v>44964</v>
      </c>
      <c r="F6864" s="534" t="n">
        <v>3.369</v>
      </c>
    </row>
    <row r="6865">
      <c r="A6865" s="535" t="n">
        <v>41145</v>
      </c>
      <c r="B6865" s="534" t="n">
        <v>11.29</v>
      </c>
      <c r="C6865" s="534" t="n">
        <v>19880.03</v>
      </c>
      <c r="E6865" s="535" t="n">
        <v>44965</v>
      </c>
      <c r="F6865" s="534" t="n">
        <v>3.381</v>
      </c>
    </row>
    <row r="6866">
      <c r="A6866" s="535" t="n">
        <v>41148</v>
      </c>
      <c r="B6866" s="534" t="n">
        <v>11.272</v>
      </c>
      <c r="C6866" s="534" t="n">
        <v>19798.67</v>
      </c>
      <c r="E6866" s="535" t="n">
        <v>44966</v>
      </c>
      <c r="F6866" s="534" t="n">
        <v>3.428</v>
      </c>
    </row>
    <row r="6867">
      <c r="A6867" s="535" t="n">
        <v>41149</v>
      </c>
      <c r="B6867" s="534" t="n">
        <v>11.15</v>
      </c>
      <c r="C6867" s="534" t="n">
        <v>19811.8</v>
      </c>
      <c r="E6867" s="535" t="n">
        <v>44967</v>
      </c>
      <c r="F6867" s="534" t="n">
        <v>3.475</v>
      </c>
    </row>
    <row r="6868">
      <c r="A6868" s="535" t="n">
        <v>41150</v>
      </c>
      <c r="B6868" s="534" t="n">
        <v>10.993</v>
      </c>
      <c r="C6868" s="534" t="n">
        <v>19788.51</v>
      </c>
      <c r="E6868" s="535" t="n">
        <v>44970</v>
      </c>
      <c r="F6868" s="534" t="n">
        <v>3.56</v>
      </c>
    </row>
    <row r="6869">
      <c r="A6869" s="535" t="n">
        <v>41151</v>
      </c>
      <c r="B6869" s="534" t="n">
        <v>10.993</v>
      </c>
      <c r="C6869" s="534" t="n">
        <v>19552.91</v>
      </c>
      <c r="E6869" s="535" t="n">
        <v>44971</v>
      </c>
      <c r="F6869" s="534" t="n">
        <v>3.583</v>
      </c>
    </row>
    <row r="6870">
      <c r="A6870" s="535" t="n">
        <v>41152</v>
      </c>
      <c r="B6870" s="534" t="n">
        <v>11.011</v>
      </c>
      <c r="C6870" s="534" t="n">
        <v>19482.57</v>
      </c>
      <c r="E6870" s="535" t="n">
        <v>44972</v>
      </c>
      <c r="F6870" s="534" t="n">
        <v>3.67</v>
      </c>
    </row>
    <row r="6871">
      <c r="A6871" s="535" t="n">
        <v>41155</v>
      </c>
      <c r="B6871" s="534" t="n">
        <v>10.871</v>
      </c>
      <c r="C6871" s="534" t="n">
        <v>19559.21</v>
      </c>
      <c r="E6871" s="535" t="n">
        <v>44973</v>
      </c>
      <c r="F6871" s="534" t="n">
        <v>3.697</v>
      </c>
    </row>
    <row r="6872">
      <c r="A6872" s="535" t="n">
        <v>41156</v>
      </c>
      <c r="B6872" s="534" t="n">
        <v>10.802</v>
      </c>
      <c r="C6872" s="534" t="n">
        <v>19429.91</v>
      </c>
      <c r="E6872" s="535" t="n">
        <v>44974</v>
      </c>
      <c r="F6872" s="534" t="n">
        <v>3.84</v>
      </c>
    </row>
    <row r="6873">
      <c r="A6873" s="535" t="n">
        <v>41157</v>
      </c>
      <c r="B6873" s="534" t="n">
        <v>10.54</v>
      </c>
      <c r="C6873" s="534" t="n">
        <v>19145.07</v>
      </c>
      <c r="E6873" s="535" t="n">
        <v>44977</v>
      </c>
      <c r="F6873" s="534" t="n">
        <v>3.789</v>
      </c>
    </row>
    <row r="6874">
      <c r="A6874" s="535" t="n">
        <v>41158</v>
      </c>
      <c r="B6874" s="534" t="n">
        <v>10.593</v>
      </c>
      <c r="C6874" s="534" t="n">
        <v>19209.3</v>
      </c>
      <c r="E6874" s="535" t="n">
        <v>44978</v>
      </c>
      <c r="F6874" s="534" t="n">
        <v>3.785</v>
      </c>
    </row>
    <row r="6875">
      <c r="A6875" s="535" t="n">
        <v>41159</v>
      </c>
      <c r="B6875" s="534" t="n">
        <v>10.889</v>
      </c>
      <c r="C6875" s="534" t="n">
        <v>19802.16</v>
      </c>
      <c r="E6875" s="535" t="n">
        <v>44979</v>
      </c>
      <c r="F6875" s="534" t="n">
        <v>3.836</v>
      </c>
    </row>
    <row r="6876">
      <c r="A6876" s="535" t="n">
        <v>41162</v>
      </c>
      <c r="B6876" s="534" t="n">
        <v>10.906</v>
      </c>
      <c r="C6876" s="534" t="n">
        <v>19827.17</v>
      </c>
      <c r="E6876" s="535" t="n">
        <v>44980</v>
      </c>
      <c r="F6876" s="534" t="n">
        <v>3.867</v>
      </c>
    </row>
    <row r="6877">
      <c r="A6877" s="535" t="n">
        <v>41163</v>
      </c>
      <c r="B6877" s="534" t="n">
        <v>10.959</v>
      </c>
      <c r="C6877" s="534" t="n">
        <v>19857.88</v>
      </c>
      <c r="E6877" s="535" t="n">
        <v>44981</v>
      </c>
      <c r="F6877" s="534" t="n">
        <v>3.816</v>
      </c>
    </row>
    <row r="6878">
      <c r="A6878" s="535" t="n">
        <v>41164</v>
      </c>
      <c r="B6878" s="534" t="n">
        <v>11.011</v>
      </c>
      <c r="C6878" s="534" t="n">
        <v>20075.39</v>
      </c>
      <c r="E6878" s="535" t="n">
        <v>44984</v>
      </c>
      <c r="F6878" s="534" t="n">
        <v>3.921</v>
      </c>
    </row>
    <row r="6879">
      <c r="A6879" s="535" t="n">
        <v>41165</v>
      </c>
      <c r="B6879" s="534" t="n">
        <v>11.011</v>
      </c>
      <c r="C6879" s="534" t="n">
        <v>20047.63</v>
      </c>
      <c r="E6879" s="535" t="n">
        <v>44985</v>
      </c>
      <c r="F6879" s="534" t="n">
        <v>3.903</v>
      </c>
    </row>
    <row r="6880">
      <c r="A6880" s="535" t="n">
        <v>41166</v>
      </c>
      <c r="B6880" s="534" t="n">
        <v>11.098</v>
      </c>
      <c r="C6880" s="534" t="n">
        <v>20629.78</v>
      </c>
      <c r="E6880" s="535" t="n">
        <v>44986</v>
      </c>
      <c r="F6880" s="534" t="n">
        <v>3.919</v>
      </c>
    </row>
    <row r="6881">
      <c r="A6881" s="535" t="n">
        <v>41169</v>
      </c>
      <c r="B6881" s="534" t="n">
        <v>11.22</v>
      </c>
      <c r="C6881" s="534" t="n">
        <v>20658.11</v>
      </c>
      <c r="E6881" s="535" t="n">
        <v>44987</v>
      </c>
      <c r="F6881" s="534" t="n">
        <v>3.969</v>
      </c>
    </row>
    <row r="6882">
      <c r="A6882" s="535" t="n">
        <v>41170</v>
      </c>
      <c r="B6882" s="534" t="n">
        <v>11.429</v>
      </c>
      <c r="C6882" s="534" t="n">
        <v>20601.93</v>
      </c>
      <c r="E6882" s="535" t="n">
        <v>44988</v>
      </c>
      <c r="F6882" s="534" t="n">
        <v>3.944</v>
      </c>
    </row>
    <row r="6883">
      <c r="A6883" s="535" t="n">
        <v>41171</v>
      </c>
      <c r="B6883" s="534" t="n">
        <v>11.29</v>
      </c>
      <c r="C6883" s="534" t="n">
        <v>20841.91</v>
      </c>
      <c r="E6883" s="535" t="n">
        <v>44991</v>
      </c>
      <c r="F6883" s="534" t="n">
        <v>3.864</v>
      </c>
    </row>
    <row r="6884">
      <c r="A6884" s="535" t="n">
        <v>41172</v>
      </c>
      <c r="B6884" s="534" t="n">
        <v>11.377</v>
      </c>
      <c r="C6884" s="534" t="n">
        <v>20590.92</v>
      </c>
      <c r="E6884" s="535" t="n">
        <v>44992</v>
      </c>
      <c r="F6884" s="534" t="n">
        <v>3.876</v>
      </c>
    </row>
    <row r="6885">
      <c r="A6885" s="535" t="n">
        <v>41173</v>
      </c>
      <c r="B6885" s="534" t="n">
        <v>11.324</v>
      </c>
      <c r="C6885" s="534" t="n">
        <v>20734.94</v>
      </c>
      <c r="E6885" s="535" t="n">
        <v>44993</v>
      </c>
      <c r="F6885" s="534" t="n">
        <v>3.924</v>
      </c>
    </row>
    <row r="6886">
      <c r="A6886" s="535" t="n">
        <v>41176</v>
      </c>
      <c r="B6886" s="534" t="n">
        <v>11.255</v>
      </c>
      <c r="C6886" s="534" t="n">
        <v>20694.7</v>
      </c>
      <c r="E6886" s="535" t="n">
        <v>44994</v>
      </c>
      <c r="F6886" s="534" t="n">
        <v>3.875</v>
      </c>
    </row>
    <row r="6887">
      <c r="A6887" s="535" t="n">
        <v>41177</v>
      </c>
      <c r="B6887" s="534" t="n">
        <v>11.272</v>
      </c>
      <c r="C6887" s="534" t="n">
        <v>20698.68</v>
      </c>
      <c r="E6887" s="535" t="n">
        <v>44995</v>
      </c>
      <c r="F6887" s="534" t="n">
        <v>3.708</v>
      </c>
    </row>
    <row r="6888">
      <c r="A6888" s="535" t="n">
        <v>41178</v>
      </c>
      <c r="B6888" s="534" t="n">
        <v>11.133</v>
      </c>
      <c r="C6888" s="534" t="n">
        <v>20527.73</v>
      </c>
      <c r="E6888" s="535" t="n">
        <v>44998</v>
      </c>
      <c r="F6888" s="534" t="n">
        <v>3.538</v>
      </c>
    </row>
    <row r="6889">
      <c r="A6889" s="535" t="n">
        <v>41179</v>
      </c>
      <c r="B6889" s="534" t="n">
        <v>11.168</v>
      </c>
      <c r="C6889" s="534" t="n">
        <v>20762.29</v>
      </c>
      <c r="E6889" s="535" t="n">
        <v>44999</v>
      </c>
      <c r="F6889" s="534" t="n">
        <v>3.338</v>
      </c>
    </row>
    <row r="6890">
      <c r="A6890" s="535" t="n">
        <v>41180</v>
      </c>
      <c r="B6890" s="534" t="n">
        <v>10.993</v>
      </c>
      <c r="C6890" s="534" t="n">
        <v>20840.38</v>
      </c>
      <c r="E6890" s="535" t="n">
        <v>45000</v>
      </c>
      <c r="F6890" s="534" t="n">
        <v>3.481</v>
      </c>
    </row>
    <row r="6891">
      <c r="A6891" s="535" t="n">
        <v>41183</v>
      </c>
      <c r="B6891" s="534" t="n">
        <v>10.993</v>
      </c>
      <c r="C6891" s="534" t="n">
        <v>20840.38</v>
      </c>
      <c r="E6891" s="535" t="n">
        <v>45001</v>
      </c>
      <c r="F6891" s="534" t="n">
        <v>3.269</v>
      </c>
    </row>
    <row r="6892">
      <c r="A6892" s="535" t="n">
        <v>41184</v>
      </c>
      <c r="B6892" s="534" t="n">
        <v>10.993</v>
      </c>
      <c r="C6892" s="534" t="n">
        <v>20840.38</v>
      </c>
      <c r="E6892" s="535" t="n">
        <v>45002</v>
      </c>
      <c r="F6892" s="534" t="n">
        <v>3.259</v>
      </c>
    </row>
    <row r="6893">
      <c r="A6893" s="535" t="n">
        <v>41185</v>
      </c>
      <c r="B6893" s="534" t="n">
        <v>11.324</v>
      </c>
      <c r="C6893" s="534" t="n">
        <v>20888.28</v>
      </c>
      <c r="E6893" s="535" t="n">
        <v>45005</v>
      </c>
      <c r="F6893" s="534" t="n">
        <v>3</v>
      </c>
    </row>
    <row r="6894">
      <c r="A6894" s="535" t="n">
        <v>41186</v>
      </c>
      <c r="B6894" s="534" t="n">
        <v>11.307</v>
      </c>
      <c r="C6894" s="534" t="n">
        <v>20907.95</v>
      </c>
      <c r="E6894" s="535" t="n">
        <v>45006</v>
      </c>
      <c r="F6894" s="534" t="n">
        <v>3.067</v>
      </c>
    </row>
    <row r="6895">
      <c r="A6895" s="535" t="n">
        <v>41187</v>
      </c>
      <c r="B6895" s="534" t="n">
        <v>11.429</v>
      </c>
      <c r="C6895" s="534" t="n">
        <v>21012.38</v>
      </c>
      <c r="E6895" s="535" t="n">
        <v>45007</v>
      </c>
      <c r="F6895" s="534" t="n">
        <v>3.129</v>
      </c>
    </row>
    <row r="6896">
      <c r="A6896" s="535" t="n">
        <v>41190</v>
      </c>
      <c r="B6896" s="534" t="n">
        <v>11.516</v>
      </c>
      <c r="C6896" s="534" t="n">
        <v>20824.56</v>
      </c>
      <c r="E6896" s="535" t="n">
        <v>45008</v>
      </c>
      <c r="F6896" s="534" t="n">
        <v>3.007</v>
      </c>
    </row>
    <row r="6897">
      <c r="A6897" s="535" t="n">
        <v>41191</v>
      </c>
      <c r="B6897" s="534" t="n">
        <v>11.516</v>
      </c>
      <c r="C6897" s="534" t="n">
        <v>20937.28</v>
      </c>
      <c r="E6897" s="535" t="n">
        <v>45009</v>
      </c>
      <c r="F6897" s="534" t="n">
        <v>3.012</v>
      </c>
    </row>
    <row r="6898">
      <c r="A6898" s="535" t="n">
        <v>41192</v>
      </c>
      <c r="B6898" s="534" t="n">
        <v>11.481</v>
      </c>
      <c r="C6898" s="534" t="n">
        <v>20919.6</v>
      </c>
      <c r="E6898" s="535" t="n">
        <v>45012</v>
      </c>
      <c r="F6898" s="534" t="n">
        <v>2.944</v>
      </c>
    </row>
    <row r="6899">
      <c r="A6899" s="535" t="n">
        <v>41193</v>
      </c>
      <c r="B6899" s="534" t="n">
        <v>11.377</v>
      </c>
      <c r="C6899" s="534" t="n">
        <v>20999.05</v>
      </c>
      <c r="E6899" s="535" t="n">
        <v>45013</v>
      </c>
      <c r="F6899" s="534" t="n">
        <v>3.01</v>
      </c>
    </row>
    <row r="6900">
      <c r="A6900" s="535" t="n">
        <v>41194</v>
      </c>
      <c r="B6900" s="534" t="n">
        <v>11.638</v>
      </c>
      <c r="C6900" s="534" t="n">
        <v>21136.43</v>
      </c>
      <c r="E6900" s="535" t="n">
        <v>45014</v>
      </c>
      <c r="F6900" s="534" t="n">
        <v>3.048</v>
      </c>
    </row>
    <row r="6901">
      <c r="A6901" s="535" t="n">
        <v>41197</v>
      </c>
      <c r="B6901" s="534" t="n">
        <v>11.69</v>
      </c>
      <c r="C6901" s="534" t="n">
        <v>21148.25</v>
      </c>
      <c r="E6901" s="535" t="n">
        <v>45015</v>
      </c>
      <c r="F6901" s="534" t="n">
        <v>3.029</v>
      </c>
    </row>
    <row r="6902">
      <c r="A6902" s="535" t="n">
        <v>41198</v>
      </c>
      <c r="B6902" s="534" t="n">
        <v>11.725</v>
      </c>
      <c r="C6902" s="534" t="n">
        <v>21207.07</v>
      </c>
      <c r="E6902" s="535" t="n">
        <v>45016</v>
      </c>
      <c r="F6902" s="534" t="n">
        <v>3.193</v>
      </c>
    </row>
    <row r="6903">
      <c r="A6903" s="535" t="n">
        <v>41199</v>
      </c>
      <c r="B6903" s="534" t="n">
        <v>11.917</v>
      </c>
      <c r="C6903" s="534" t="n">
        <v>21416.64</v>
      </c>
      <c r="E6903" s="535" t="n">
        <v>45019</v>
      </c>
      <c r="F6903" s="534" t="n">
        <v>3.184</v>
      </c>
    </row>
    <row r="6904">
      <c r="A6904" s="535" t="n">
        <v>41200</v>
      </c>
      <c r="B6904" s="534" t="n">
        <v>11.777</v>
      </c>
      <c r="C6904" s="534" t="n">
        <v>21518.71</v>
      </c>
      <c r="E6904" s="535" t="n">
        <v>45020</v>
      </c>
      <c r="F6904" s="534" t="n">
        <v>3.068</v>
      </c>
    </row>
    <row r="6905">
      <c r="A6905" s="535" t="n">
        <v>41201</v>
      </c>
      <c r="B6905" s="534" t="n">
        <v>11.969</v>
      </c>
      <c r="C6905" s="534" t="n">
        <v>21551.76</v>
      </c>
      <c r="E6905" s="535" t="n">
        <v>45021</v>
      </c>
      <c r="F6905" s="534" t="n">
        <v>3.068</v>
      </c>
    </row>
    <row r="6906">
      <c r="A6906" s="535" t="n">
        <v>41204</v>
      </c>
      <c r="B6906" s="534" t="n">
        <v>12.004</v>
      </c>
      <c r="C6906" s="534" t="n">
        <v>21697.55</v>
      </c>
      <c r="E6906" s="535" t="n">
        <v>45022</v>
      </c>
      <c r="F6906" s="534" t="n">
        <v>2.86</v>
      </c>
    </row>
    <row r="6907">
      <c r="A6907" s="535" t="n">
        <v>41205</v>
      </c>
      <c r="B6907" s="534" t="n">
        <v>12.004</v>
      </c>
      <c r="C6907" s="534" t="n">
        <v>21697.55</v>
      </c>
      <c r="E6907" s="535" t="n">
        <v>45023</v>
      </c>
      <c r="F6907" s="534" t="n">
        <v>2.86</v>
      </c>
    </row>
    <row r="6908">
      <c r="A6908" s="535" t="n">
        <v>41206</v>
      </c>
      <c r="B6908" s="534" t="n">
        <v>11.969</v>
      </c>
      <c r="C6908" s="534" t="n">
        <v>21763.78</v>
      </c>
      <c r="E6908" s="535" t="n">
        <v>45026</v>
      </c>
      <c r="F6908" s="534" t="n">
        <v>2.86</v>
      </c>
    </row>
    <row r="6909">
      <c r="A6909" s="535" t="n">
        <v>41207</v>
      </c>
      <c r="B6909" s="534" t="n">
        <v>12.126</v>
      </c>
      <c r="C6909" s="534" t="n">
        <v>21810.23</v>
      </c>
      <c r="E6909" s="535" t="n">
        <v>45027</v>
      </c>
      <c r="F6909" s="534" t="n">
        <v>2.86</v>
      </c>
    </row>
    <row r="6910">
      <c r="A6910" s="535" t="n">
        <v>41208</v>
      </c>
      <c r="B6910" s="534" t="n">
        <v>12.004</v>
      </c>
      <c r="C6910" s="534" t="n">
        <v>21545.57</v>
      </c>
      <c r="E6910" s="535" t="n">
        <v>45028</v>
      </c>
      <c r="F6910" s="534" t="n">
        <v>3.001</v>
      </c>
    </row>
    <row r="6911">
      <c r="A6911" s="535" t="n">
        <v>41211</v>
      </c>
      <c r="B6911" s="534" t="n">
        <v>12.056</v>
      </c>
      <c r="C6911" s="534" t="n">
        <v>21511.05</v>
      </c>
      <c r="E6911" s="535" t="n">
        <v>45029</v>
      </c>
      <c r="F6911" s="534" t="n">
        <v>2.974</v>
      </c>
    </row>
    <row r="6912">
      <c r="A6912" s="535" t="n">
        <v>41212</v>
      </c>
      <c r="B6912" s="534" t="n">
        <v>12.021</v>
      </c>
      <c r="C6912" s="534" t="n">
        <v>21428.58</v>
      </c>
      <c r="E6912" s="535" t="n">
        <v>45030</v>
      </c>
      <c r="F6912" s="534" t="n">
        <v>2.989</v>
      </c>
    </row>
    <row r="6913">
      <c r="A6913" s="535" t="n">
        <v>41213</v>
      </c>
      <c r="B6913" s="534" t="n">
        <v>12.23</v>
      </c>
      <c r="C6913" s="534" t="n">
        <v>21641.82</v>
      </c>
      <c r="E6913" s="535" t="n">
        <v>45033</v>
      </c>
      <c r="F6913" s="534" t="n">
        <v>3.085</v>
      </c>
    </row>
    <row r="6914">
      <c r="A6914" s="535" t="n">
        <v>41214</v>
      </c>
      <c r="B6914" s="534" t="n">
        <v>12.561</v>
      </c>
      <c r="C6914" s="534" t="n">
        <v>21821.87</v>
      </c>
      <c r="E6914" s="535" t="n">
        <v>45034</v>
      </c>
      <c r="F6914" s="534" t="n">
        <v>3.155</v>
      </c>
    </row>
    <row r="6915">
      <c r="A6915" s="535" t="n">
        <v>41215</v>
      </c>
      <c r="B6915" s="534" t="n">
        <v>12.666</v>
      </c>
      <c r="C6915" s="534" t="n">
        <v>22111.33</v>
      </c>
      <c r="E6915" s="535" t="n">
        <v>45035</v>
      </c>
      <c r="F6915" s="534" t="n">
        <v>3.144</v>
      </c>
    </row>
    <row r="6916">
      <c r="A6916" s="535" t="n">
        <v>41218</v>
      </c>
      <c r="B6916" s="534" t="n">
        <v>12.422</v>
      </c>
      <c r="C6916" s="534" t="n">
        <v>22006.4</v>
      </c>
      <c r="E6916" s="535" t="n">
        <v>45036</v>
      </c>
      <c r="F6916" s="534" t="n">
        <v>3.122</v>
      </c>
    </row>
    <row r="6917">
      <c r="A6917" s="535" t="n">
        <v>41219</v>
      </c>
      <c r="B6917" s="534" t="n">
        <v>12.318</v>
      </c>
      <c r="C6917" s="534" t="n">
        <v>21944.43</v>
      </c>
      <c r="E6917" s="535" t="n">
        <v>45037</v>
      </c>
      <c r="F6917" s="534" t="n">
        <v>3.126</v>
      </c>
    </row>
    <row r="6918">
      <c r="A6918" s="535" t="n">
        <v>41220</v>
      </c>
      <c r="B6918" s="534" t="n">
        <v>12.474</v>
      </c>
      <c r="C6918" s="534" t="n">
        <v>22099.85</v>
      </c>
      <c r="E6918" s="535" t="n">
        <v>45040</v>
      </c>
      <c r="F6918" s="534" t="n">
        <v>3.112</v>
      </c>
    </row>
    <row r="6919">
      <c r="A6919" s="535" t="n">
        <v>41221</v>
      </c>
      <c r="B6919" s="534" t="n">
        <v>12.143</v>
      </c>
      <c r="C6919" s="534" t="n">
        <v>21566.91</v>
      </c>
      <c r="E6919" s="535" t="n">
        <v>45041</v>
      </c>
      <c r="F6919" s="534" t="n">
        <v>3.057</v>
      </c>
    </row>
    <row r="6920">
      <c r="A6920" s="535" t="n">
        <v>41222</v>
      </c>
      <c r="B6920" s="534" t="n">
        <v>11.899</v>
      </c>
      <c r="C6920" s="534" t="n">
        <v>21384.38</v>
      </c>
      <c r="E6920" s="535" t="n">
        <v>45042</v>
      </c>
      <c r="F6920" s="534" t="n">
        <v>3.047</v>
      </c>
    </row>
    <row r="6921">
      <c r="A6921" s="535" t="n">
        <v>41225</v>
      </c>
      <c r="B6921" s="534" t="n">
        <v>12.074</v>
      </c>
      <c r="C6921" s="534" t="n">
        <v>21430.3</v>
      </c>
      <c r="E6921" s="535" t="n">
        <v>45043</v>
      </c>
      <c r="F6921" s="534" t="n">
        <v>3.087</v>
      </c>
    </row>
    <row r="6922">
      <c r="A6922" s="535" t="n">
        <v>41226</v>
      </c>
      <c r="B6922" s="534" t="n">
        <v>11.865</v>
      </c>
      <c r="C6922" s="534" t="n">
        <v>21188.65</v>
      </c>
      <c r="E6922" s="535" t="n">
        <v>45044</v>
      </c>
      <c r="F6922" s="534" t="n">
        <v>3.146</v>
      </c>
    </row>
    <row r="6923">
      <c r="A6923" s="535" t="n">
        <v>41227</v>
      </c>
      <c r="B6923" s="534" t="n">
        <v>11.83</v>
      </c>
      <c r="C6923" s="534" t="n">
        <v>21441.99</v>
      </c>
      <c r="E6923" s="535" t="n">
        <v>45047</v>
      </c>
      <c r="F6923" s="534" t="n">
        <v>3.146</v>
      </c>
    </row>
    <row r="6924">
      <c r="A6924" s="535" t="n">
        <v>41228</v>
      </c>
      <c r="B6924" s="534" t="n">
        <v>11.777</v>
      </c>
      <c r="C6924" s="534" t="n">
        <v>21108.93</v>
      </c>
      <c r="E6924" s="535" t="n">
        <v>45048</v>
      </c>
      <c r="F6924" s="534" t="n">
        <v>3.28</v>
      </c>
    </row>
    <row r="6925">
      <c r="A6925" s="535" t="n">
        <v>41229</v>
      </c>
      <c r="B6925" s="534" t="n">
        <v>11.812</v>
      </c>
      <c r="C6925" s="534" t="n">
        <v>21159.01</v>
      </c>
      <c r="E6925" s="535" t="n">
        <v>45049</v>
      </c>
      <c r="F6925" s="534" t="n">
        <v>3.145</v>
      </c>
    </row>
    <row r="6926">
      <c r="A6926" s="535" t="n">
        <v>41232</v>
      </c>
      <c r="B6926" s="534" t="n">
        <v>11.865</v>
      </c>
      <c r="C6926" s="534" t="n">
        <v>21262.06</v>
      </c>
      <c r="E6926" s="535" t="n">
        <v>45050</v>
      </c>
      <c r="F6926" s="534" t="n">
        <v>3.09</v>
      </c>
    </row>
    <row r="6927">
      <c r="A6927" s="535" t="n">
        <v>41233</v>
      </c>
      <c r="B6927" s="534" t="n">
        <v>11.917</v>
      </c>
      <c r="C6927" s="534" t="n">
        <v>21228.28</v>
      </c>
      <c r="E6927" s="535" t="n">
        <v>45051</v>
      </c>
      <c r="F6927" s="534" t="n">
        <v>3.108</v>
      </c>
    </row>
    <row r="6928">
      <c r="A6928" s="535" t="n">
        <v>41234</v>
      </c>
      <c r="B6928" s="534" t="n">
        <v>12.074</v>
      </c>
      <c r="C6928" s="534" t="n">
        <v>21524.36</v>
      </c>
      <c r="E6928" s="535" t="n">
        <v>45054</v>
      </c>
      <c r="F6928" s="534" t="n">
        <v>3.181</v>
      </c>
    </row>
    <row r="6929">
      <c r="A6929" s="535" t="n">
        <v>41235</v>
      </c>
      <c r="B6929" s="534" t="n">
        <v>12.161</v>
      </c>
      <c r="C6929" s="534" t="n">
        <v>21743.2</v>
      </c>
      <c r="E6929" s="535" t="n">
        <v>45055</v>
      </c>
      <c r="F6929" s="534" t="n">
        <v>3.227</v>
      </c>
    </row>
    <row r="6930">
      <c r="A6930" s="535" t="n">
        <v>41236</v>
      </c>
      <c r="B6930" s="534" t="n">
        <v>12.091</v>
      </c>
      <c r="C6930" s="534" t="n">
        <v>21913.98</v>
      </c>
      <c r="E6930" s="535" t="n">
        <v>45056</v>
      </c>
      <c r="F6930" s="534" t="n">
        <v>3.264</v>
      </c>
    </row>
    <row r="6931">
      <c r="A6931" s="535" t="n">
        <v>41239</v>
      </c>
      <c r="B6931" s="534" t="n">
        <v>11.986</v>
      </c>
      <c r="C6931" s="534" t="n">
        <v>21861.81</v>
      </c>
      <c r="E6931" s="535" t="n">
        <v>45057</v>
      </c>
      <c r="F6931" s="534" t="n">
        <v>3.169</v>
      </c>
    </row>
    <row r="6932">
      <c r="A6932" s="535" t="n">
        <v>41240</v>
      </c>
      <c r="B6932" s="534" t="n">
        <v>12.074</v>
      </c>
      <c r="C6932" s="534" t="n">
        <v>21844.03</v>
      </c>
      <c r="E6932" s="535" t="n">
        <v>45058</v>
      </c>
      <c r="F6932" s="534" t="n">
        <v>3.105</v>
      </c>
    </row>
    <row r="6933">
      <c r="A6933" s="535" t="n">
        <v>41241</v>
      </c>
      <c r="B6933" s="534" t="n">
        <v>12.126</v>
      </c>
      <c r="C6933" s="534" t="n">
        <v>21708.98</v>
      </c>
      <c r="E6933" s="535" t="n">
        <v>45061</v>
      </c>
      <c r="F6933" s="534" t="n">
        <v>3.143</v>
      </c>
    </row>
    <row r="6934">
      <c r="A6934" s="535" t="n">
        <v>41242</v>
      </c>
      <c r="B6934" s="534" t="n">
        <v>12.004</v>
      </c>
      <c r="C6934" s="534" t="n">
        <v>21922.89</v>
      </c>
      <c r="E6934" s="535" t="n">
        <v>45062</v>
      </c>
      <c r="F6934" s="534" t="n">
        <v>3.15</v>
      </c>
    </row>
    <row r="6935">
      <c r="A6935" s="535" t="n">
        <v>41243</v>
      </c>
      <c r="B6935" s="534" t="n">
        <v>11.865</v>
      </c>
      <c r="C6935" s="534" t="n">
        <v>22030.39</v>
      </c>
      <c r="E6935" s="535" t="n">
        <v>45063</v>
      </c>
      <c r="F6935" s="534" t="n">
        <v>3.275</v>
      </c>
    </row>
    <row r="6936">
      <c r="A6936" s="535" t="n">
        <v>41246</v>
      </c>
      <c r="B6936" s="534" t="n">
        <v>11.673</v>
      </c>
      <c r="C6936" s="534" t="n">
        <v>21767.85</v>
      </c>
      <c r="E6936" s="535" t="n">
        <v>45064</v>
      </c>
      <c r="F6936" s="534" t="n">
        <v>3.332</v>
      </c>
    </row>
    <row r="6937">
      <c r="A6937" s="535" t="n">
        <v>41247</v>
      </c>
      <c r="B6937" s="534" t="n">
        <v>11.551</v>
      </c>
      <c r="C6937" s="534" t="n">
        <v>21799.97</v>
      </c>
      <c r="E6937" s="535" t="n">
        <v>45065</v>
      </c>
      <c r="F6937" s="534" t="n">
        <v>3.427</v>
      </c>
    </row>
    <row r="6938">
      <c r="A6938" s="535" t="n">
        <v>41248</v>
      </c>
      <c r="B6938" s="534" t="n">
        <v>11.76</v>
      </c>
      <c r="C6938" s="534" t="n">
        <v>22270.91</v>
      </c>
      <c r="E6938" s="535" t="n">
        <v>45068</v>
      </c>
      <c r="F6938" s="534" t="n">
        <v>3.461</v>
      </c>
    </row>
    <row r="6939">
      <c r="A6939" s="535" t="n">
        <v>41249</v>
      </c>
      <c r="B6939" s="534" t="n">
        <v>11.934</v>
      </c>
      <c r="C6939" s="534" t="n">
        <v>22249.81</v>
      </c>
      <c r="E6939" s="535" t="n">
        <v>45069</v>
      </c>
      <c r="F6939" s="534" t="n">
        <v>3.533</v>
      </c>
    </row>
    <row r="6940">
      <c r="A6940" s="535" t="n">
        <v>41250</v>
      </c>
      <c r="B6940" s="534" t="n">
        <v>11.882</v>
      </c>
      <c r="C6940" s="534" t="n">
        <v>22191.17</v>
      </c>
      <c r="E6940" s="535" t="n">
        <v>45070</v>
      </c>
      <c r="F6940" s="534" t="n">
        <v>3.534</v>
      </c>
    </row>
    <row r="6941">
      <c r="A6941" s="535" t="n">
        <v>41253</v>
      </c>
      <c r="B6941" s="534" t="n">
        <v>11.83</v>
      </c>
      <c r="C6941" s="534" t="n">
        <v>22276.72</v>
      </c>
      <c r="E6941" s="535" t="n">
        <v>45071</v>
      </c>
      <c r="F6941" s="534" t="n">
        <v>3.565</v>
      </c>
    </row>
    <row r="6942">
      <c r="A6942" s="535" t="n">
        <v>41254</v>
      </c>
      <c r="B6942" s="534" t="n">
        <v>11.603</v>
      </c>
      <c r="C6942" s="534" t="n">
        <v>22323.94</v>
      </c>
      <c r="E6942" s="535" t="n">
        <v>45072</v>
      </c>
      <c r="F6942" s="534" t="n">
        <v>3.565</v>
      </c>
    </row>
    <row r="6943">
      <c r="A6943" s="535" t="n">
        <v>41255</v>
      </c>
      <c r="B6943" s="534" t="n">
        <v>11.795</v>
      </c>
      <c r="C6943" s="534" t="n">
        <v>22503.35</v>
      </c>
      <c r="E6943" s="535" t="n">
        <v>45075</v>
      </c>
      <c r="F6943" s="534" t="n">
        <v>3.643</v>
      </c>
    </row>
    <row r="6944">
      <c r="A6944" s="535" t="n">
        <v>41256</v>
      </c>
      <c r="B6944" s="534" t="n">
        <v>11.952</v>
      </c>
      <c r="C6944" s="534" t="n">
        <v>22445.58</v>
      </c>
      <c r="E6944" s="535" t="n">
        <v>45076</v>
      </c>
      <c r="F6944" s="534" t="n">
        <v>3.577</v>
      </c>
    </row>
    <row r="6945">
      <c r="A6945" s="535" t="n">
        <v>41257</v>
      </c>
      <c r="B6945" s="534" t="n">
        <v>12.074</v>
      </c>
      <c r="C6945" s="534" t="n">
        <v>22605.98</v>
      </c>
      <c r="E6945" s="535" t="n">
        <v>45077</v>
      </c>
      <c r="F6945" s="534" t="n">
        <v>3.522</v>
      </c>
    </row>
    <row r="6946">
      <c r="A6946" s="535" t="n">
        <v>41260</v>
      </c>
      <c r="B6946" s="534" t="n">
        <v>12.178</v>
      </c>
      <c r="C6946" s="534" t="n">
        <v>22513.61</v>
      </c>
      <c r="E6946" s="535" t="n">
        <v>45078</v>
      </c>
      <c r="F6946" s="534" t="n">
        <v>3.563</v>
      </c>
    </row>
    <row r="6947">
      <c r="A6947" s="535" t="n">
        <v>41261</v>
      </c>
      <c r="B6947" s="534" t="n">
        <v>12.091</v>
      </c>
      <c r="C6947" s="534" t="n">
        <v>22494.73</v>
      </c>
      <c r="E6947" s="535" t="n">
        <v>45079</v>
      </c>
      <c r="F6947" s="534" t="n">
        <v>3.477</v>
      </c>
    </row>
    <row r="6948">
      <c r="A6948" s="535" t="n">
        <v>41262</v>
      </c>
      <c r="B6948" s="534" t="n">
        <v>12.3</v>
      </c>
      <c r="C6948" s="534" t="n">
        <v>22623.37</v>
      </c>
      <c r="E6948" s="535" t="n">
        <v>45082</v>
      </c>
      <c r="F6948" s="534" t="n">
        <v>3.586</v>
      </c>
    </row>
    <row r="6949">
      <c r="A6949" s="535" t="n">
        <v>41263</v>
      </c>
      <c r="B6949" s="534" t="n">
        <v>12.265</v>
      </c>
      <c r="C6949" s="534" t="n">
        <v>22659.78</v>
      </c>
      <c r="E6949" s="535" t="n">
        <v>45083</v>
      </c>
      <c r="F6949" s="534" t="n">
        <v>3.521</v>
      </c>
    </row>
    <row r="6950">
      <c r="A6950" s="535" t="n">
        <v>41264</v>
      </c>
      <c r="B6950" s="534" t="n">
        <v>12.213</v>
      </c>
      <c r="C6950" s="534" t="n">
        <v>22506.29</v>
      </c>
      <c r="E6950" s="535" t="n">
        <v>45084</v>
      </c>
      <c r="F6950" s="534" t="n">
        <v>3.507</v>
      </c>
    </row>
    <row r="6951">
      <c r="A6951" s="535" t="n">
        <v>41267</v>
      </c>
      <c r="B6951" s="534" t="n">
        <v>12.387</v>
      </c>
      <c r="C6951" s="534" t="n">
        <v>22541.18</v>
      </c>
      <c r="E6951" s="535" t="n">
        <v>45085</v>
      </c>
      <c r="F6951" s="534" t="n">
        <v>3.635</v>
      </c>
    </row>
    <row r="6952">
      <c r="A6952" s="535" t="n">
        <v>41268</v>
      </c>
      <c r="B6952" s="534" t="n">
        <v>12.387</v>
      </c>
      <c r="C6952" s="534" t="n">
        <v>22541.18</v>
      </c>
      <c r="E6952" s="535" t="n">
        <v>45086</v>
      </c>
      <c r="F6952" s="534" t="n">
        <v>3.555</v>
      </c>
    </row>
    <row r="6953">
      <c r="A6953" s="535" t="n">
        <v>41269</v>
      </c>
      <c r="B6953" s="534" t="n">
        <v>12.387</v>
      </c>
      <c r="C6953" s="534" t="n">
        <v>22541.18</v>
      </c>
      <c r="E6953" s="535" t="n">
        <v>45089</v>
      </c>
      <c r="F6953" s="534" t="n">
        <v>3.573</v>
      </c>
    </row>
    <row r="6954">
      <c r="A6954" s="535" t="n">
        <v>41270</v>
      </c>
      <c r="B6954" s="534" t="n">
        <v>12.439</v>
      </c>
      <c r="C6954" s="534" t="n">
        <v>22619.78</v>
      </c>
      <c r="E6954" s="535" t="n">
        <v>45090</v>
      </c>
      <c r="F6954" s="534" t="n">
        <v>3.552</v>
      </c>
    </row>
    <row r="6955">
      <c r="A6955" s="535" t="n">
        <v>41271</v>
      </c>
      <c r="B6955" s="534" t="n">
        <v>12.335</v>
      </c>
      <c r="C6955" s="534" t="n">
        <v>22666.59</v>
      </c>
      <c r="E6955" s="535" t="n">
        <v>45091</v>
      </c>
      <c r="F6955" s="534" t="n">
        <v>3.619</v>
      </c>
    </row>
    <row r="6956">
      <c r="A6956" s="535" t="n">
        <v>41274</v>
      </c>
      <c r="B6956" s="534" t="n">
        <v>12.387</v>
      </c>
      <c r="C6956" s="534" t="n">
        <v>22656.92</v>
      </c>
      <c r="E6956" s="535" t="n">
        <v>45092</v>
      </c>
      <c r="F6956" s="534" t="n">
        <v>3.622</v>
      </c>
    </row>
    <row r="6957">
      <c r="A6957" s="535" t="n">
        <v>41275</v>
      </c>
      <c r="B6957" s="534" t="n">
        <v>12.387</v>
      </c>
      <c r="C6957" s="534" t="n">
        <v>22656.92</v>
      </c>
      <c r="E6957" s="535" t="n">
        <v>45093</v>
      </c>
      <c r="F6957" s="534" t="n">
        <v>3.582</v>
      </c>
    </row>
    <row r="6958">
      <c r="A6958" s="535" t="n">
        <v>41276</v>
      </c>
      <c r="B6958" s="534" t="n">
        <v>12.666</v>
      </c>
      <c r="C6958" s="534" t="n">
        <v>23311.98</v>
      </c>
      <c r="E6958" s="535" t="n">
        <v>45096</v>
      </c>
      <c r="F6958" s="534" t="n">
        <v>3.587</v>
      </c>
    </row>
    <row r="6959">
      <c r="A6959" s="535" t="n">
        <v>41277</v>
      </c>
      <c r="B6959" s="534" t="n">
        <v>12.527</v>
      </c>
      <c r="C6959" s="534" t="n">
        <v>23398.6</v>
      </c>
      <c r="E6959" s="535" t="n">
        <v>45097</v>
      </c>
      <c r="F6959" s="534" t="n">
        <v>3.596</v>
      </c>
    </row>
    <row r="6960">
      <c r="A6960" s="535" t="n">
        <v>41278</v>
      </c>
      <c r="B6960" s="534" t="n">
        <v>12.631</v>
      </c>
      <c r="C6960" s="534" t="n">
        <v>23331.09</v>
      </c>
      <c r="E6960" s="535" t="n">
        <v>45098</v>
      </c>
      <c r="F6960" s="534" t="n">
        <v>3.556</v>
      </c>
    </row>
    <row r="6961">
      <c r="A6961" s="535" t="n">
        <v>41281</v>
      </c>
      <c r="B6961" s="534" t="n">
        <v>12.771</v>
      </c>
      <c r="C6961" s="534" t="n">
        <v>23329.75</v>
      </c>
      <c r="E6961" s="535" t="n">
        <v>45099</v>
      </c>
      <c r="F6961" s="534" t="n">
        <v>3.556</v>
      </c>
    </row>
    <row r="6962">
      <c r="A6962" s="535" t="n">
        <v>41282</v>
      </c>
      <c r="B6962" s="534" t="n">
        <v>12.84</v>
      </c>
      <c r="C6962" s="534" t="n">
        <v>23111.19</v>
      </c>
      <c r="E6962" s="535" t="n">
        <v>45100</v>
      </c>
      <c r="F6962" s="534" t="n">
        <v>3.634</v>
      </c>
    </row>
    <row r="6963">
      <c r="A6963" s="535" t="n">
        <v>41283</v>
      </c>
      <c r="B6963" s="534" t="n">
        <v>12.753</v>
      </c>
      <c r="C6963" s="534" t="n">
        <v>23218.47</v>
      </c>
      <c r="E6963" s="535" t="n">
        <v>45103</v>
      </c>
      <c r="F6963" s="534" t="n">
        <v>3.596</v>
      </c>
    </row>
    <row r="6964">
      <c r="A6964" s="535" t="n">
        <v>41284</v>
      </c>
      <c r="B6964" s="534" t="n">
        <v>12.84</v>
      </c>
      <c r="C6964" s="534" t="n">
        <v>23354.31</v>
      </c>
      <c r="E6964" s="535" t="n">
        <v>45104</v>
      </c>
      <c r="F6964" s="534" t="n">
        <v>3.62</v>
      </c>
    </row>
    <row r="6965">
      <c r="A6965" s="535" t="n">
        <v>41285</v>
      </c>
      <c r="B6965" s="534" t="n">
        <v>12.91</v>
      </c>
      <c r="C6965" s="534" t="n">
        <v>23264.07</v>
      </c>
      <c r="E6965" s="535" t="n">
        <v>45105</v>
      </c>
      <c r="F6965" s="534" t="n">
        <v>3.658</v>
      </c>
    </row>
    <row r="6966">
      <c r="A6966" s="535" t="n">
        <v>41288</v>
      </c>
      <c r="B6966" s="534" t="n">
        <v>12.892</v>
      </c>
      <c r="C6966" s="534" t="n">
        <v>23413.26</v>
      </c>
      <c r="E6966" s="535" t="n">
        <v>45106</v>
      </c>
      <c r="F6966" s="534" t="n">
        <v>3.653</v>
      </c>
    </row>
    <row r="6967">
      <c r="A6967" s="535" t="n">
        <v>41289</v>
      </c>
      <c r="B6967" s="534" t="n">
        <v>12.997</v>
      </c>
      <c r="C6967" s="534" t="n">
        <v>23381.51</v>
      </c>
      <c r="E6967" s="535" t="n">
        <v>45107</v>
      </c>
      <c r="F6967" s="534" t="n">
        <v>3.739</v>
      </c>
    </row>
    <row r="6968">
      <c r="A6968" s="535" t="n">
        <v>41290</v>
      </c>
      <c r="B6968" s="534" t="n">
        <v>13.084</v>
      </c>
      <c r="C6968" s="534" t="n">
        <v>23356.99</v>
      </c>
      <c r="E6968" s="535" t="n">
        <v>45110</v>
      </c>
      <c r="F6968" s="534" t="n">
        <v>3.743</v>
      </c>
    </row>
    <row r="6969">
      <c r="A6969" s="535" t="n">
        <v>41291</v>
      </c>
      <c r="B6969" s="534" t="n">
        <v>12.997</v>
      </c>
      <c r="C6969" s="534" t="n">
        <v>23339.76</v>
      </c>
      <c r="E6969" s="535" t="n">
        <v>45111</v>
      </c>
      <c r="F6969" s="534" t="n">
        <v>3.745</v>
      </c>
    </row>
    <row r="6970">
      <c r="A6970" s="535" t="n">
        <v>41292</v>
      </c>
      <c r="B6970" s="534" t="n">
        <v>13.433</v>
      </c>
      <c r="C6970" s="534" t="n">
        <v>23601.78</v>
      </c>
      <c r="E6970" s="535" t="n">
        <v>45112</v>
      </c>
      <c r="F6970" s="534" t="n">
        <v>3.745</v>
      </c>
    </row>
    <row r="6971">
      <c r="A6971" s="535" t="n">
        <v>41295</v>
      </c>
      <c r="B6971" s="534" t="n">
        <v>13.485</v>
      </c>
      <c r="C6971" s="534" t="n">
        <v>23590.91</v>
      </c>
      <c r="E6971" s="535" t="n">
        <v>45113</v>
      </c>
      <c r="F6971" s="534" t="n">
        <v>3.832</v>
      </c>
    </row>
    <row r="6972">
      <c r="A6972" s="535" t="n">
        <v>41296</v>
      </c>
      <c r="B6972" s="534" t="n">
        <v>13.502</v>
      </c>
      <c r="C6972" s="534" t="n">
        <v>23658.99</v>
      </c>
      <c r="E6972" s="535" t="n">
        <v>45114</v>
      </c>
      <c r="F6972" s="534" t="n">
        <v>3.912</v>
      </c>
    </row>
    <row r="6973">
      <c r="A6973" s="535" t="n">
        <v>41297</v>
      </c>
      <c r="B6973" s="534" t="n">
        <v>13.537</v>
      </c>
      <c r="C6973" s="534" t="n">
        <v>23635.1</v>
      </c>
      <c r="E6973" s="535" t="n">
        <v>45117</v>
      </c>
      <c r="F6973" s="534" t="n">
        <v>3.937</v>
      </c>
    </row>
    <row r="6974">
      <c r="A6974" s="535" t="n">
        <v>41298</v>
      </c>
      <c r="B6974" s="534" t="n">
        <v>13.52</v>
      </c>
      <c r="C6974" s="534" t="n">
        <v>23598.9</v>
      </c>
      <c r="E6974" s="535" t="n">
        <v>45118</v>
      </c>
      <c r="F6974" s="534" t="n">
        <v>3.849</v>
      </c>
    </row>
    <row r="6975">
      <c r="A6975" s="535" t="n">
        <v>41299</v>
      </c>
      <c r="B6975" s="534" t="n">
        <v>13.502</v>
      </c>
      <c r="C6975" s="534" t="n">
        <v>23580.43</v>
      </c>
      <c r="E6975" s="535" t="n">
        <v>45119</v>
      </c>
      <c r="F6975" s="534" t="n">
        <v>3.825</v>
      </c>
    </row>
    <row r="6976">
      <c r="A6976" s="535" t="n">
        <v>41302</v>
      </c>
      <c r="B6976" s="534" t="n">
        <v>13.555</v>
      </c>
      <c r="C6976" s="534" t="n">
        <v>23671.88</v>
      </c>
      <c r="E6976" s="535" t="n">
        <v>45120</v>
      </c>
      <c r="F6976" s="534" t="n">
        <v>3.724</v>
      </c>
    </row>
    <row r="6977">
      <c r="A6977" s="535" t="n">
        <v>41303</v>
      </c>
      <c r="B6977" s="534" t="n">
        <v>13.676</v>
      </c>
      <c r="C6977" s="534" t="n">
        <v>23655.17</v>
      </c>
      <c r="E6977" s="535" t="n">
        <v>45121</v>
      </c>
      <c r="F6977" s="534" t="n">
        <v>3.71</v>
      </c>
    </row>
    <row r="6978">
      <c r="A6978" s="535" t="n">
        <v>41304</v>
      </c>
      <c r="B6978" s="534" t="n">
        <v>13.171</v>
      </c>
      <c r="C6978" s="534" t="n">
        <v>23822.06</v>
      </c>
      <c r="E6978" s="535" t="n">
        <v>45124</v>
      </c>
      <c r="F6978" s="534" t="n">
        <v>3.71</v>
      </c>
    </row>
    <row r="6979">
      <c r="A6979" s="535" t="n">
        <v>41305</v>
      </c>
      <c r="B6979" s="534" t="n">
        <v>13.119</v>
      </c>
      <c r="C6979" s="534" t="n">
        <v>23729.53</v>
      </c>
      <c r="E6979" s="535" t="n">
        <v>45125</v>
      </c>
      <c r="F6979" s="534" t="n">
        <v>3.721</v>
      </c>
    </row>
    <row r="6980">
      <c r="A6980" s="535" t="n">
        <v>41306</v>
      </c>
      <c r="B6980" s="534" t="n">
        <v>13.049</v>
      </c>
      <c r="C6980" s="534" t="n">
        <v>23721.84</v>
      </c>
      <c r="E6980" s="535" t="n">
        <v>45126</v>
      </c>
      <c r="F6980" s="534" t="n">
        <v>3.692</v>
      </c>
    </row>
    <row r="6981">
      <c r="A6981" s="535" t="n">
        <v>41309</v>
      </c>
      <c r="B6981" s="534" t="n">
        <v>13.154</v>
      </c>
      <c r="C6981" s="534" t="n">
        <v>23685.01</v>
      </c>
      <c r="E6981" s="535" t="n">
        <v>45127</v>
      </c>
      <c r="F6981" s="534" t="n">
        <v>3.71</v>
      </c>
    </row>
    <row r="6982">
      <c r="A6982" s="535" t="n">
        <v>41310</v>
      </c>
      <c r="B6982" s="534" t="n">
        <v>12.927</v>
      </c>
      <c r="C6982" s="534" t="n">
        <v>23148.53</v>
      </c>
      <c r="E6982" s="535" t="n">
        <v>45128</v>
      </c>
      <c r="F6982" s="534" t="n">
        <v>3.757</v>
      </c>
    </row>
    <row r="6983">
      <c r="A6983" s="535" t="n">
        <v>41311</v>
      </c>
      <c r="B6983" s="534" t="n">
        <v>13.032</v>
      </c>
      <c r="C6983" s="534" t="n">
        <v>23256.93</v>
      </c>
      <c r="E6983" s="535" t="n">
        <v>45131</v>
      </c>
      <c r="F6983" s="534" t="n">
        <v>3.745</v>
      </c>
    </row>
    <row r="6984">
      <c r="A6984" s="535" t="n">
        <v>41312</v>
      </c>
      <c r="B6984" s="534" t="n">
        <v>13.171</v>
      </c>
      <c r="C6984" s="534" t="n">
        <v>23177</v>
      </c>
      <c r="E6984" s="535" t="n">
        <v>45132</v>
      </c>
      <c r="F6984" s="534" t="n">
        <v>3.786</v>
      </c>
    </row>
    <row r="6985">
      <c r="A6985" s="535" t="n">
        <v>41313</v>
      </c>
      <c r="B6985" s="534" t="n">
        <v>13.084</v>
      </c>
      <c r="C6985" s="534" t="n">
        <v>23215.16</v>
      </c>
      <c r="E6985" s="535" t="n">
        <v>45133</v>
      </c>
      <c r="F6985" s="534" t="n">
        <v>3.799</v>
      </c>
    </row>
    <row r="6986">
      <c r="A6986" s="535" t="n">
        <v>41316</v>
      </c>
      <c r="B6986" s="534" t="n">
        <v>13.084</v>
      </c>
      <c r="C6986" s="534" t="n">
        <v>23215.16</v>
      </c>
      <c r="E6986" s="535" t="n">
        <v>45134</v>
      </c>
      <c r="F6986" s="534" t="n">
        <v>3.78</v>
      </c>
    </row>
    <row r="6987">
      <c r="A6987" s="535" t="n">
        <v>41317</v>
      </c>
      <c r="B6987" s="534" t="n">
        <v>13.084</v>
      </c>
      <c r="C6987" s="534" t="n">
        <v>23215.16</v>
      </c>
      <c r="E6987" s="535" t="n">
        <v>45135</v>
      </c>
      <c r="F6987" s="534" t="n">
        <v>3.897</v>
      </c>
    </row>
    <row r="6988">
      <c r="A6988" s="535" t="n">
        <v>41318</v>
      </c>
      <c r="B6988" s="534" t="n">
        <v>13.084</v>
      </c>
      <c r="C6988" s="534" t="n">
        <v>23215.16</v>
      </c>
      <c r="E6988" s="535" t="n">
        <v>45138</v>
      </c>
      <c r="F6988" s="534" t="n">
        <v>3.914</v>
      </c>
    </row>
    <row r="6989">
      <c r="A6989" s="535" t="n">
        <v>41319</v>
      </c>
      <c r="B6989" s="534" t="n">
        <v>13.276</v>
      </c>
      <c r="C6989" s="534" t="n">
        <v>23413.25</v>
      </c>
      <c r="E6989" s="535" t="n">
        <v>45139</v>
      </c>
      <c r="F6989" s="534" t="n">
        <v>3.908</v>
      </c>
    </row>
    <row r="6990">
      <c r="A6990" s="535" t="n">
        <v>41320</v>
      </c>
      <c r="B6990" s="534" t="n">
        <v>13.241</v>
      </c>
      <c r="C6990" s="534" t="n">
        <v>23444.56</v>
      </c>
      <c r="E6990" s="535" t="n">
        <v>45140</v>
      </c>
      <c r="F6990" s="534" t="n">
        <v>3.976</v>
      </c>
    </row>
    <row r="6991">
      <c r="A6991" s="535" t="n">
        <v>41323</v>
      </c>
      <c r="B6991" s="534" t="n">
        <v>13.084</v>
      </c>
      <c r="C6991" s="534" t="n">
        <v>23381.94</v>
      </c>
      <c r="E6991" s="535" t="n">
        <v>45141</v>
      </c>
      <c r="F6991" s="534" t="n">
        <v>4.083</v>
      </c>
    </row>
    <row r="6992">
      <c r="A6992" s="535" t="n">
        <v>41324</v>
      </c>
      <c r="B6992" s="534" t="n">
        <v>12.718</v>
      </c>
      <c r="C6992" s="534" t="n">
        <v>23143.91</v>
      </c>
      <c r="E6992" s="535" t="n">
        <v>45142</v>
      </c>
      <c r="F6992" s="534" t="n">
        <v>4.07</v>
      </c>
    </row>
    <row r="6993">
      <c r="A6993" s="535" t="n">
        <v>41325</v>
      </c>
      <c r="B6993" s="534" t="n">
        <v>12.736</v>
      </c>
      <c r="C6993" s="534" t="n">
        <v>23307.41</v>
      </c>
      <c r="E6993" s="535" t="n">
        <v>45145</v>
      </c>
      <c r="F6993" s="534" t="n">
        <v>4.011</v>
      </c>
    </row>
    <row r="6994">
      <c r="A6994" s="535" t="n">
        <v>41326</v>
      </c>
      <c r="B6994" s="534" t="n">
        <v>12.666</v>
      </c>
      <c r="C6994" s="534" t="n">
        <v>22906.67</v>
      </c>
      <c r="E6994" s="535" t="n">
        <v>45146</v>
      </c>
      <c r="F6994" s="534" t="n">
        <v>4.011</v>
      </c>
    </row>
    <row r="6995">
      <c r="A6995" s="535" t="n">
        <v>41327</v>
      </c>
      <c r="B6995" s="534" t="n">
        <v>12.544</v>
      </c>
      <c r="C6995" s="534" t="n">
        <v>22782.44</v>
      </c>
      <c r="E6995" s="535" t="n">
        <v>45147</v>
      </c>
      <c r="F6995" s="534" t="n">
        <v>3.884</v>
      </c>
    </row>
    <row r="6996">
      <c r="A6996" s="535" t="n">
        <v>41330</v>
      </c>
      <c r="B6996" s="534" t="n">
        <v>12.805</v>
      </c>
      <c r="C6996" s="534" t="n">
        <v>22820.08</v>
      </c>
      <c r="E6996" s="535" t="n">
        <v>45148</v>
      </c>
      <c r="F6996" s="534" t="n">
        <v>3.905</v>
      </c>
    </row>
    <row r="6997">
      <c r="A6997" s="535" t="n">
        <v>41331</v>
      </c>
      <c r="B6997" s="534" t="n">
        <v>12.474</v>
      </c>
      <c r="C6997" s="534" t="n">
        <v>22519.69</v>
      </c>
      <c r="E6997" s="535" t="n">
        <v>45149</v>
      </c>
      <c r="F6997" s="534" t="n">
        <v>3.994</v>
      </c>
    </row>
    <row r="6998">
      <c r="A6998" s="535" t="n">
        <v>41332</v>
      </c>
      <c r="B6998" s="534" t="n">
        <v>12.666</v>
      </c>
      <c r="C6998" s="534" t="n">
        <v>22577.01</v>
      </c>
      <c r="E6998" s="535" t="n">
        <v>45152</v>
      </c>
      <c r="F6998" s="534" t="n">
        <v>4.043</v>
      </c>
    </row>
    <row r="6999">
      <c r="A6999" s="535" t="n">
        <v>41333</v>
      </c>
      <c r="B6999" s="534" t="n">
        <v>12.614</v>
      </c>
      <c r="C6999" s="534" t="n">
        <v>23020.27</v>
      </c>
      <c r="E6999" s="535" t="n">
        <v>45153</v>
      </c>
      <c r="F6999" s="534" t="n">
        <v>4.102</v>
      </c>
    </row>
    <row r="7000">
      <c r="A7000" s="535" t="n">
        <v>41334</v>
      </c>
      <c r="B7000" s="534" t="n">
        <v>12.683</v>
      </c>
      <c r="C7000" s="534" t="n">
        <v>22880.22</v>
      </c>
      <c r="E7000" s="535" t="n">
        <v>45154</v>
      </c>
      <c r="F7000" s="534" t="n">
        <v>4.046</v>
      </c>
    </row>
    <row r="7001">
      <c r="A7001" s="535" t="n">
        <v>41337</v>
      </c>
      <c r="B7001" s="534" t="n">
        <v>12.457</v>
      </c>
      <c r="C7001" s="534" t="n">
        <v>22537.81</v>
      </c>
      <c r="E7001" s="535" t="n">
        <v>45155</v>
      </c>
      <c r="F7001" s="534" t="n">
        <v>4.118</v>
      </c>
    </row>
    <row r="7002">
      <c r="A7002" s="535" t="n">
        <v>41338</v>
      </c>
      <c r="B7002" s="534" t="n">
        <v>12.3</v>
      </c>
      <c r="C7002" s="534" t="n">
        <v>22560.5</v>
      </c>
      <c r="E7002" s="535" t="n">
        <v>45156</v>
      </c>
      <c r="F7002" s="534" t="n">
        <v>4.076</v>
      </c>
    </row>
    <row r="7003">
      <c r="A7003" s="535" t="n">
        <v>41339</v>
      </c>
      <c r="B7003" s="534" t="n">
        <v>12.474</v>
      </c>
      <c r="C7003" s="534" t="n">
        <v>22777.84</v>
      </c>
      <c r="E7003" s="535" t="n">
        <v>45159</v>
      </c>
      <c r="F7003" s="534" t="n">
        <v>4.1</v>
      </c>
    </row>
    <row r="7004">
      <c r="A7004" s="535" t="n">
        <v>41340</v>
      </c>
      <c r="B7004" s="534" t="n">
        <v>12.596</v>
      </c>
      <c r="C7004" s="534" t="n">
        <v>22771.44</v>
      </c>
      <c r="E7004" s="535" t="n">
        <v>45160</v>
      </c>
      <c r="F7004" s="534" t="n">
        <v>4.121</v>
      </c>
    </row>
    <row r="7005">
      <c r="A7005" s="535" t="n">
        <v>41341</v>
      </c>
      <c r="B7005" s="534" t="n">
        <v>12.736</v>
      </c>
      <c r="C7005" s="534" t="n">
        <v>23091.95</v>
      </c>
      <c r="E7005" s="535" t="n">
        <v>45161</v>
      </c>
      <c r="F7005" s="534" t="n">
        <v>4.052</v>
      </c>
    </row>
    <row r="7006">
      <c r="A7006" s="535" t="n">
        <v>41344</v>
      </c>
      <c r="B7006" s="534" t="n">
        <v>12.527</v>
      </c>
      <c r="C7006" s="534" t="n">
        <v>23090.82</v>
      </c>
      <c r="E7006" s="535" t="n">
        <v>45162</v>
      </c>
      <c r="F7006" s="534" t="n">
        <v>3.933</v>
      </c>
    </row>
    <row r="7007">
      <c r="A7007" s="535" t="n">
        <v>41345</v>
      </c>
      <c r="B7007" s="534" t="n">
        <v>12.422</v>
      </c>
      <c r="C7007" s="534" t="n">
        <v>22890.6</v>
      </c>
      <c r="E7007" s="535" t="n">
        <v>45163</v>
      </c>
      <c r="F7007" s="534" t="n">
        <v>3.963</v>
      </c>
    </row>
    <row r="7008">
      <c r="A7008" s="535" t="n">
        <v>41346</v>
      </c>
      <c r="B7008" s="534" t="n">
        <v>12.37</v>
      </c>
      <c r="C7008" s="534" t="n">
        <v>22556.65</v>
      </c>
      <c r="E7008" s="535" t="n">
        <v>45166</v>
      </c>
      <c r="F7008" s="534" t="n">
        <v>3.97</v>
      </c>
    </row>
    <row r="7009">
      <c r="A7009" s="535" t="n">
        <v>41347</v>
      </c>
      <c r="B7009" s="534" t="n">
        <v>12.213</v>
      </c>
      <c r="C7009" s="534" t="n">
        <v>22619.18</v>
      </c>
      <c r="E7009" s="535" t="n">
        <v>45167</v>
      </c>
      <c r="F7009" s="534" t="n">
        <v>3.933</v>
      </c>
    </row>
    <row r="7010">
      <c r="A7010" s="535" t="n">
        <v>41348</v>
      </c>
      <c r="B7010" s="534" t="n">
        <v>12.23</v>
      </c>
      <c r="C7010" s="534" t="n">
        <v>22533.11</v>
      </c>
      <c r="E7010" s="535" t="n">
        <v>45168</v>
      </c>
      <c r="F7010" s="534" t="n">
        <v>3.911</v>
      </c>
    </row>
    <row r="7011">
      <c r="A7011" s="535" t="n">
        <v>41351</v>
      </c>
      <c r="B7011" s="534" t="n">
        <v>11.952</v>
      </c>
      <c r="C7011" s="534" t="n">
        <v>22083.36</v>
      </c>
      <c r="E7011" s="535" t="n">
        <v>45169</v>
      </c>
      <c r="F7011" s="534" t="n">
        <v>3.853</v>
      </c>
    </row>
    <row r="7012">
      <c r="A7012" s="535" t="n">
        <v>41352</v>
      </c>
      <c r="B7012" s="534" t="n">
        <v>11.934</v>
      </c>
      <c r="C7012" s="534" t="n">
        <v>22041.86</v>
      </c>
      <c r="E7012" s="535" t="n">
        <v>45170</v>
      </c>
      <c r="F7012" s="534" t="n">
        <v>3.853</v>
      </c>
    </row>
    <row r="7013">
      <c r="A7013" s="535" t="n">
        <v>41353</v>
      </c>
      <c r="B7013" s="534" t="n">
        <v>11.882</v>
      </c>
      <c r="C7013" s="534" t="n">
        <v>22256.44</v>
      </c>
      <c r="E7013" s="535" t="n">
        <v>45173</v>
      </c>
      <c r="F7013" s="534" t="n">
        <v>3.947</v>
      </c>
    </row>
    <row r="7014">
      <c r="A7014" s="535" t="n">
        <v>41354</v>
      </c>
      <c r="B7014" s="534" t="n">
        <v>11.812</v>
      </c>
      <c r="C7014" s="534" t="n">
        <v>22225.88</v>
      </c>
      <c r="E7014" s="535" t="n">
        <v>45174</v>
      </c>
      <c r="F7014" s="534" t="n">
        <v>3.966</v>
      </c>
    </row>
    <row r="7015">
      <c r="A7015" s="535" t="n">
        <v>41355</v>
      </c>
      <c r="B7015" s="534" t="n">
        <v>11.76</v>
      </c>
      <c r="C7015" s="534" t="n">
        <v>22115.3</v>
      </c>
      <c r="E7015" s="535" t="n">
        <v>45175</v>
      </c>
      <c r="F7015" s="534" t="n">
        <v>3.995</v>
      </c>
    </row>
    <row r="7016">
      <c r="A7016" s="535" t="n">
        <v>41358</v>
      </c>
      <c r="B7016" s="534" t="n">
        <v>11.725</v>
      </c>
      <c r="C7016" s="534" t="n">
        <v>22251.15</v>
      </c>
      <c r="E7016" s="535" t="n">
        <v>45176</v>
      </c>
      <c r="F7016" s="534" t="n">
        <v>4.044</v>
      </c>
    </row>
    <row r="7017">
      <c r="A7017" s="535" t="n">
        <v>41359</v>
      </c>
      <c r="B7017" s="534" t="n">
        <v>11.673</v>
      </c>
      <c r="C7017" s="534" t="n">
        <v>22311.08</v>
      </c>
      <c r="E7017" s="535" t="n">
        <v>45177</v>
      </c>
      <c r="F7017" s="534" t="n">
        <v>4.044</v>
      </c>
    </row>
    <row r="7018">
      <c r="A7018" s="535" t="n">
        <v>41360</v>
      </c>
      <c r="B7018" s="534" t="n">
        <v>11.481</v>
      </c>
      <c r="C7018" s="534" t="n">
        <v>22464.82</v>
      </c>
      <c r="E7018" s="535" t="n">
        <v>45180</v>
      </c>
      <c r="F7018" s="534" t="n">
        <v>4.047</v>
      </c>
    </row>
    <row r="7019">
      <c r="A7019" s="535" t="n">
        <v>41361</v>
      </c>
      <c r="B7019" s="534" t="n">
        <v>11.568</v>
      </c>
      <c r="C7019" s="534" t="n">
        <v>22299.63</v>
      </c>
      <c r="E7019" s="535" t="n">
        <v>45181</v>
      </c>
      <c r="F7019" s="534" t="n">
        <v>4.069</v>
      </c>
    </row>
    <row r="7020">
      <c r="A7020" s="535" t="n">
        <v>41362</v>
      </c>
      <c r="B7020" s="534" t="n">
        <v>11.568</v>
      </c>
      <c r="C7020" s="534" t="n">
        <v>22299.63</v>
      </c>
      <c r="E7020" s="535" t="n">
        <v>45182</v>
      </c>
      <c r="F7020" s="534" t="n">
        <v>4.09</v>
      </c>
    </row>
    <row r="7021">
      <c r="A7021" s="535" t="n">
        <v>41365</v>
      </c>
      <c r="B7021" s="534" t="n">
        <v>11.568</v>
      </c>
      <c r="C7021" s="534" t="n">
        <v>22299.63</v>
      </c>
      <c r="E7021" s="535" t="n">
        <v>45183</v>
      </c>
      <c r="F7021" s="534" t="n">
        <v>4.042</v>
      </c>
    </row>
    <row r="7022">
      <c r="A7022" s="535" t="n">
        <v>41366</v>
      </c>
      <c r="B7022" s="534" t="n">
        <v>11.377</v>
      </c>
      <c r="C7022" s="534" t="n">
        <v>22367.82</v>
      </c>
      <c r="E7022" s="535" t="n">
        <v>45184</v>
      </c>
      <c r="F7022" s="534" t="n">
        <v>4.058</v>
      </c>
    </row>
    <row r="7023">
      <c r="A7023" s="535" t="n">
        <v>41367</v>
      </c>
      <c r="B7023" s="534" t="n">
        <v>11.15</v>
      </c>
      <c r="C7023" s="534" t="n">
        <v>22337.49</v>
      </c>
      <c r="E7023" s="535" t="n">
        <v>45187</v>
      </c>
      <c r="F7023" s="534" t="n">
        <v>4.101</v>
      </c>
    </row>
    <row r="7024">
      <c r="A7024" s="535" t="n">
        <v>41368</v>
      </c>
      <c r="B7024" s="534" t="n">
        <v>11.15</v>
      </c>
      <c r="C7024" s="534" t="n">
        <v>22337.49</v>
      </c>
      <c r="E7024" s="535" t="n">
        <v>45188</v>
      </c>
      <c r="F7024" s="534" t="n">
        <v>4.07</v>
      </c>
    </row>
    <row r="7025">
      <c r="A7025" s="535" t="n">
        <v>41369</v>
      </c>
      <c r="B7025" s="534" t="n">
        <v>10.697</v>
      </c>
      <c r="C7025" s="534" t="n">
        <v>21726.9</v>
      </c>
      <c r="E7025" s="535" t="n">
        <v>45189</v>
      </c>
      <c r="F7025" s="534" t="n">
        <v>4.088</v>
      </c>
    </row>
    <row r="7026">
      <c r="A7026" s="535" t="n">
        <v>41372</v>
      </c>
      <c r="B7026" s="534" t="n">
        <v>11.133</v>
      </c>
      <c r="C7026" s="534" t="n">
        <v>21718.05</v>
      </c>
      <c r="E7026" s="535" t="n">
        <v>45190</v>
      </c>
      <c r="F7026" s="534" t="n">
        <v>4.188</v>
      </c>
    </row>
    <row r="7027">
      <c r="A7027" s="535" t="n">
        <v>41373</v>
      </c>
      <c r="B7027" s="534" t="n">
        <v>11.324</v>
      </c>
      <c r="C7027" s="534" t="n">
        <v>21870.34</v>
      </c>
      <c r="E7027" s="535" t="n">
        <v>45191</v>
      </c>
      <c r="F7027" s="534" t="n">
        <v>4.215</v>
      </c>
    </row>
    <row r="7028">
      <c r="A7028" s="535" t="n">
        <v>41374</v>
      </c>
      <c r="B7028" s="534" t="n">
        <v>11.081</v>
      </c>
      <c r="C7028" s="534" t="n">
        <v>22034.56</v>
      </c>
      <c r="E7028" s="535" t="n">
        <v>45194</v>
      </c>
      <c r="F7028" s="534" t="n">
        <v>4.253</v>
      </c>
    </row>
    <row r="7029">
      <c r="A7029" s="535" t="n">
        <v>41375</v>
      </c>
      <c r="B7029" s="534" t="n">
        <v>11.15</v>
      </c>
      <c r="C7029" s="534" t="n">
        <v>22101.27</v>
      </c>
      <c r="E7029" s="535" t="n">
        <v>45195</v>
      </c>
      <c r="F7029" s="534" t="n">
        <v>4.304</v>
      </c>
    </row>
    <row r="7030">
      <c r="A7030" s="535" t="n">
        <v>41376</v>
      </c>
      <c r="B7030" s="534" t="n">
        <v>11.046</v>
      </c>
      <c r="C7030" s="534" t="n">
        <v>22089.05</v>
      </c>
      <c r="E7030" s="535" t="n">
        <v>45196</v>
      </c>
      <c r="F7030" s="534" t="n">
        <v>4.208</v>
      </c>
    </row>
    <row r="7031">
      <c r="A7031" s="535" t="n">
        <v>41379</v>
      </c>
      <c r="B7031" s="534" t="n">
        <v>10.993</v>
      </c>
      <c r="C7031" s="534" t="n">
        <v>21772.67</v>
      </c>
      <c r="E7031" s="535" t="n">
        <v>45197</v>
      </c>
      <c r="F7031" s="534" t="n">
        <v>4.29</v>
      </c>
    </row>
    <row r="7032">
      <c r="A7032" s="535" t="n">
        <v>41380</v>
      </c>
      <c r="B7032" s="534" t="n">
        <v>10.993</v>
      </c>
      <c r="C7032" s="534" t="n">
        <v>21672.03</v>
      </c>
      <c r="E7032" s="535" t="n">
        <v>45198</v>
      </c>
      <c r="F7032" s="534" t="n">
        <v>4.217</v>
      </c>
    </row>
    <row r="7033">
      <c r="A7033" s="535" t="n">
        <v>41381</v>
      </c>
      <c r="B7033" s="534" t="n">
        <v>11.307</v>
      </c>
      <c r="C7033" s="534" t="n">
        <v>21569.67</v>
      </c>
      <c r="E7033" s="535" t="n">
        <v>45201</v>
      </c>
      <c r="F7033" s="534" t="n">
        <v>4.217</v>
      </c>
    </row>
    <row r="7034">
      <c r="A7034" s="535" t="n">
        <v>41382</v>
      </c>
      <c r="B7034" s="534" t="n">
        <v>11.307</v>
      </c>
      <c r="C7034" s="534" t="n">
        <v>21512.52</v>
      </c>
      <c r="E7034" s="535" t="n">
        <v>45202</v>
      </c>
      <c r="F7034" s="534" t="n">
        <v>4.335</v>
      </c>
    </row>
    <row r="7035">
      <c r="A7035" s="535" t="n">
        <v>41383</v>
      </c>
      <c r="B7035" s="534" t="n">
        <v>11.394</v>
      </c>
      <c r="C7035" s="534" t="n">
        <v>22013.57</v>
      </c>
      <c r="E7035" s="535" t="n">
        <v>45203</v>
      </c>
      <c r="F7035" s="534" t="n">
        <v>4.485</v>
      </c>
    </row>
    <row r="7036">
      <c r="A7036" s="535" t="n">
        <v>41386</v>
      </c>
      <c r="B7036" s="534" t="n">
        <v>11.621</v>
      </c>
      <c r="C7036" s="534" t="n">
        <v>22044.37</v>
      </c>
      <c r="E7036" s="535" t="n">
        <v>45204</v>
      </c>
      <c r="F7036" s="534" t="n">
        <v>4.387</v>
      </c>
    </row>
    <row r="7037">
      <c r="A7037" s="535" t="n">
        <v>41387</v>
      </c>
      <c r="B7037" s="534" t="n">
        <v>11.464</v>
      </c>
      <c r="C7037" s="534" t="n">
        <v>21806.61</v>
      </c>
      <c r="E7037" s="535" t="n">
        <v>45205</v>
      </c>
      <c r="F7037" s="534" t="n">
        <v>4.355</v>
      </c>
    </row>
    <row r="7038">
      <c r="A7038" s="535" t="n">
        <v>41388</v>
      </c>
      <c r="B7038" s="534" t="n">
        <v>11.568</v>
      </c>
      <c r="C7038" s="534" t="n">
        <v>22183.05</v>
      </c>
      <c r="E7038" s="535" t="n">
        <v>45208</v>
      </c>
      <c r="F7038" s="534" t="n">
        <v>4.315</v>
      </c>
    </row>
    <row r="7039">
      <c r="A7039" s="535" t="n">
        <v>41389</v>
      </c>
      <c r="B7039" s="534" t="n">
        <v>11.516</v>
      </c>
      <c r="C7039" s="534" t="n">
        <v>22401.24</v>
      </c>
      <c r="E7039" s="535" t="n">
        <v>45209</v>
      </c>
      <c r="F7039" s="534" t="n">
        <v>4.243</v>
      </c>
    </row>
    <row r="7040">
      <c r="A7040" s="535" t="n">
        <v>41390</v>
      </c>
      <c r="B7040" s="534" t="n">
        <v>11.586</v>
      </c>
      <c r="C7040" s="534" t="n">
        <v>22547.71</v>
      </c>
      <c r="E7040" s="535" t="n">
        <v>45210</v>
      </c>
      <c r="F7040" s="534" t="n">
        <v>4.222</v>
      </c>
    </row>
    <row r="7041">
      <c r="A7041" s="535" t="n">
        <v>41393</v>
      </c>
      <c r="B7041" s="534" t="n">
        <v>11.621</v>
      </c>
      <c r="C7041" s="534" t="n">
        <v>22580.77</v>
      </c>
      <c r="E7041" s="535" t="n">
        <v>45211</v>
      </c>
      <c r="F7041" s="534" t="n">
        <v>4.152</v>
      </c>
    </row>
    <row r="7042">
      <c r="A7042" s="535" t="n">
        <v>41394</v>
      </c>
      <c r="B7042" s="534" t="n">
        <v>11.882</v>
      </c>
      <c r="C7042" s="534" t="n">
        <v>22737.01</v>
      </c>
      <c r="E7042" s="535" t="n">
        <v>45212</v>
      </c>
      <c r="F7042" s="534" t="n">
        <v>4.263</v>
      </c>
    </row>
    <row r="7043">
      <c r="A7043" s="535" t="n">
        <v>41395</v>
      </c>
      <c r="B7043" s="534" t="n">
        <v>11.882</v>
      </c>
      <c r="C7043" s="534" t="n">
        <v>22737.01</v>
      </c>
      <c r="E7043" s="535" t="n">
        <v>45215</v>
      </c>
      <c r="F7043" s="534" t="n">
        <v>4.283</v>
      </c>
    </row>
    <row r="7044">
      <c r="A7044" s="535" t="n">
        <v>41396</v>
      </c>
      <c r="B7044" s="534" t="n">
        <v>11.76</v>
      </c>
      <c r="C7044" s="534" t="n">
        <v>22668.3</v>
      </c>
      <c r="E7044" s="535" t="n">
        <v>45216</v>
      </c>
      <c r="F7044" s="534" t="n">
        <v>4.355</v>
      </c>
    </row>
    <row r="7045">
      <c r="A7045" s="535" t="n">
        <v>41397</v>
      </c>
      <c r="B7045" s="534" t="n">
        <v>11.777</v>
      </c>
      <c r="C7045" s="534" t="n">
        <v>22689.96</v>
      </c>
      <c r="E7045" s="535" t="n">
        <v>45217</v>
      </c>
      <c r="F7045" s="534" t="n">
        <v>4.413</v>
      </c>
    </row>
    <row r="7046">
      <c r="A7046" s="535" t="n">
        <v>41400</v>
      </c>
      <c r="B7046" s="534" t="n">
        <v>11.952</v>
      </c>
      <c r="C7046" s="534" t="n">
        <v>22915.09</v>
      </c>
      <c r="E7046" s="535" t="n">
        <v>45218</v>
      </c>
      <c r="F7046" s="534" t="n">
        <v>4.511</v>
      </c>
    </row>
    <row r="7047">
      <c r="A7047" s="535" t="n">
        <v>41401</v>
      </c>
      <c r="B7047" s="534" t="n">
        <v>12.161</v>
      </c>
      <c r="C7047" s="534" t="n">
        <v>23047.09</v>
      </c>
      <c r="E7047" s="535" t="n">
        <v>45219</v>
      </c>
      <c r="F7047" s="534" t="n">
        <v>4.463</v>
      </c>
    </row>
    <row r="7048">
      <c r="A7048" s="535" t="n">
        <v>41402</v>
      </c>
      <c r="B7048" s="534" t="n">
        <v>12.509</v>
      </c>
      <c r="C7048" s="534" t="n">
        <v>23244.35</v>
      </c>
      <c r="E7048" s="535" t="n">
        <v>45222</v>
      </c>
      <c r="F7048" s="534" t="n">
        <v>4.463</v>
      </c>
    </row>
    <row r="7049">
      <c r="A7049" s="535" t="n">
        <v>41403</v>
      </c>
      <c r="B7049" s="534" t="n">
        <v>12.405</v>
      </c>
      <c r="C7049" s="534" t="n">
        <v>23211.48</v>
      </c>
      <c r="E7049" s="535" t="n">
        <v>45223</v>
      </c>
      <c r="F7049" s="534" t="n">
        <v>4.324</v>
      </c>
    </row>
    <row r="7050">
      <c r="A7050" s="535" t="n">
        <v>41404</v>
      </c>
      <c r="B7050" s="534" t="n">
        <v>12.544</v>
      </c>
      <c r="C7050" s="534" t="n">
        <v>23321.22</v>
      </c>
      <c r="E7050" s="535" t="n">
        <v>45224</v>
      </c>
      <c r="F7050" s="534" t="n">
        <v>4.331</v>
      </c>
    </row>
    <row r="7051">
      <c r="A7051" s="535" t="n">
        <v>41407</v>
      </c>
      <c r="B7051" s="534" t="n">
        <v>12.457</v>
      </c>
      <c r="C7051" s="534" t="n">
        <v>22989.81</v>
      </c>
      <c r="E7051" s="535" t="n">
        <v>45225</v>
      </c>
      <c r="F7051" s="534" t="n">
        <v>4.429</v>
      </c>
    </row>
    <row r="7052">
      <c r="A7052" s="535" t="n">
        <v>41408</v>
      </c>
      <c r="B7052" s="534" t="n">
        <v>12.405</v>
      </c>
      <c r="C7052" s="534" t="n">
        <v>22930.28</v>
      </c>
      <c r="E7052" s="535" t="n">
        <v>45226</v>
      </c>
      <c r="F7052" s="534" t="n">
        <v>4.371</v>
      </c>
    </row>
    <row r="7053">
      <c r="A7053" s="535" t="n">
        <v>41409</v>
      </c>
      <c r="B7053" s="534" t="n">
        <v>12.283</v>
      </c>
      <c r="C7053" s="534" t="n">
        <v>23044.24</v>
      </c>
      <c r="E7053" s="535" t="n">
        <v>45229</v>
      </c>
      <c r="F7053" s="534" t="n">
        <v>4.353</v>
      </c>
    </row>
    <row r="7054">
      <c r="A7054" s="535" t="n">
        <v>41410</v>
      </c>
      <c r="B7054" s="534" t="n">
        <v>12.596</v>
      </c>
      <c r="C7054" s="534" t="n">
        <v>23082.68</v>
      </c>
      <c r="E7054" s="535" t="n">
        <v>45230</v>
      </c>
      <c r="F7054" s="534" t="n">
        <v>4.38</v>
      </c>
    </row>
    <row r="7055">
      <c r="A7055" s="535" t="n">
        <v>41411</v>
      </c>
      <c r="B7055" s="534" t="n">
        <v>12.596</v>
      </c>
      <c r="C7055" s="534" t="n">
        <v>23082.68</v>
      </c>
      <c r="E7055" s="535" t="n">
        <v>45231</v>
      </c>
      <c r="F7055" s="534" t="n">
        <v>4.415</v>
      </c>
    </row>
    <row r="7056">
      <c r="A7056" s="535" t="n">
        <v>41414</v>
      </c>
      <c r="B7056" s="534" t="n">
        <v>12.718</v>
      </c>
      <c r="C7056" s="534" t="n">
        <v>23493.03</v>
      </c>
      <c r="E7056" s="535" t="n">
        <v>45232</v>
      </c>
      <c r="F7056" s="534" t="n">
        <v>4.252</v>
      </c>
    </row>
    <row r="7057">
      <c r="A7057" s="535" t="n">
        <v>41415</v>
      </c>
      <c r="B7057" s="534" t="n">
        <v>12.701</v>
      </c>
      <c r="C7057" s="534" t="n">
        <v>23366.37</v>
      </c>
      <c r="E7057" s="535" t="n">
        <v>45233</v>
      </c>
      <c r="F7057" s="534" t="n">
        <v>4.169</v>
      </c>
    </row>
    <row r="7058">
      <c r="A7058" s="535" t="n">
        <v>41416</v>
      </c>
      <c r="B7058" s="534" t="n">
        <v>12.771</v>
      </c>
      <c r="C7058" s="534" t="n">
        <v>23261.08</v>
      </c>
      <c r="E7058" s="535" t="n">
        <v>45236</v>
      </c>
      <c r="F7058" s="534" t="n">
        <v>4.094</v>
      </c>
    </row>
    <row r="7059">
      <c r="A7059" s="535" t="n">
        <v>41417</v>
      </c>
      <c r="B7059" s="534" t="n">
        <v>12.23</v>
      </c>
      <c r="C7059" s="534" t="n">
        <v>22669.68</v>
      </c>
      <c r="E7059" s="535" t="n">
        <v>45237</v>
      </c>
      <c r="F7059" s="534" t="n">
        <v>4.146</v>
      </c>
    </row>
    <row r="7060">
      <c r="A7060" s="535" t="n">
        <v>41418</v>
      </c>
      <c r="B7060" s="534" t="n">
        <v>12.23</v>
      </c>
      <c r="C7060" s="534" t="n">
        <v>22618.67</v>
      </c>
      <c r="E7060" s="535" t="n">
        <v>45238</v>
      </c>
      <c r="F7060" s="534" t="n">
        <v>4.095</v>
      </c>
    </row>
    <row r="7061">
      <c r="A7061" s="535" t="n">
        <v>41421</v>
      </c>
      <c r="B7061" s="534" t="n">
        <v>12.457</v>
      </c>
      <c r="C7061" s="534" t="n">
        <v>22686.05</v>
      </c>
      <c r="E7061" s="535" t="n">
        <v>45239</v>
      </c>
      <c r="F7061" s="534" t="n">
        <v>4.017</v>
      </c>
    </row>
    <row r="7062">
      <c r="A7062" s="535" t="n">
        <v>41422</v>
      </c>
      <c r="B7062" s="534" t="n">
        <v>12.858</v>
      </c>
      <c r="C7062" s="534" t="n">
        <v>22924.25</v>
      </c>
      <c r="E7062" s="535" t="n">
        <v>45240</v>
      </c>
      <c r="F7062" s="534" t="n">
        <v>4.101</v>
      </c>
    </row>
    <row r="7063">
      <c r="A7063" s="535" t="n">
        <v>41423</v>
      </c>
      <c r="B7063" s="534" t="n">
        <v>12.892</v>
      </c>
      <c r="C7063" s="534" t="n">
        <v>22554.93</v>
      </c>
      <c r="E7063" s="535" t="n">
        <v>45243</v>
      </c>
      <c r="F7063" s="534" t="n">
        <v>4.102</v>
      </c>
    </row>
    <row r="7064">
      <c r="A7064" s="535" t="n">
        <v>41424</v>
      </c>
      <c r="B7064" s="534" t="n">
        <v>12.596</v>
      </c>
      <c r="C7064" s="534" t="n">
        <v>22484.31</v>
      </c>
      <c r="E7064" s="535" t="n">
        <v>45244</v>
      </c>
      <c r="F7064" s="534" t="n">
        <v>4.102</v>
      </c>
    </row>
    <row r="7065">
      <c r="A7065" s="535" t="n">
        <v>41425</v>
      </c>
      <c r="B7065" s="534" t="n">
        <v>12.614</v>
      </c>
      <c r="C7065" s="534" t="n">
        <v>22392.16</v>
      </c>
      <c r="E7065" s="535" t="n">
        <v>45245</v>
      </c>
      <c r="F7065" s="534" t="n">
        <v>3.925</v>
      </c>
    </row>
    <row r="7066">
      <c r="A7066" s="535" t="n">
        <v>41428</v>
      </c>
      <c r="B7066" s="534" t="n">
        <v>12.701</v>
      </c>
      <c r="C7066" s="534" t="n">
        <v>22282.19</v>
      </c>
      <c r="E7066" s="535" t="n">
        <v>45246</v>
      </c>
      <c r="F7066" s="534" t="n">
        <v>3.946</v>
      </c>
    </row>
    <row r="7067">
      <c r="A7067" s="535" t="n">
        <v>41429</v>
      </c>
      <c r="B7067" s="534" t="n">
        <v>13.032</v>
      </c>
      <c r="C7067" s="534" t="n">
        <v>22285.52</v>
      </c>
      <c r="E7067" s="535" t="n">
        <v>45247</v>
      </c>
      <c r="F7067" s="534" t="n">
        <v>3.899</v>
      </c>
    </row>
    <row r="7068">
      <c r="A7068" s="535" t="n">
        <v>41430</v>
      </c>
      <c r="B7068" s="534" t="n">
        <v>12.823</v>
      </c>
      <c r="C7068" s="534" t="n">
        <v>22069.24</v>
      </c>
      <c r="E7068" s="535" t="n">
        <v>45250</v>
      </c>
      <c r="F7068" s="534" t="n">
        <v>3.877</v>
      </c>
    </row>
    <row r="7069">
      <c r="A7069" s="535" t="n">
        <v>41431</v>
      </c>
      <c r="B7069" s="534" t="n">
        <v>12.335</v>
      </c>
      <c r="C7069" s="534" t="n">
        <v>21838.43</v>
      </c>
      <c r="E7069" s="535" t="n">
        <v>45251</v>
      </c>
      <c r="F7069" s="534" t="n">
        <v>3.908</v>
      </c>
    </row>
    <row r="7070">
      <c r="A7070" s="535" t="n">
        <v>41432</v>
      </c>
      <c r="B7070" s="534" t="n">
        <v>11.899</v>
      </c>
      <c r="C7070" s="534" t="n">
        <v>21575.26</v>
      </c>
      <c r="E7070" s="535" t="n">
        <v>45252</v>
      </c>
      <c r="F7070" s="534" t="n">
        <v>3.925</v>
      </c>
    </row>
    <row r="7071">
      <c r="A7071" s="535" t="n">
        <v>41435</v>
      </c>
      <c r="B7071" s="534" t="n">
        <v>12.23</v>
      </c>
      <c r="C7071" s="534" t="n">
        <v>21615.09</v>
      </c>
      <c r="E7071" s="535" t="n">
        <v>45253</v>
      </c>
      <c r="F7071" s="534" t="n">
        <v>3.956</v>
      </c>
    </row>
    <row r="7072">
      <c r="A7072" s="535" t="n">
        <v>41436</v>
      </c>
      <c r="B7072" s="534" t="n">
        <v>12.039</v>
      </c>
      <c r="C7072" s="534" t="n">
        <v>21354.66</v>
      </c>
      <c r="E7072" s="535" t="n">
        <v>45254</v>
      </c>
      <c r="F7072" s="534" t="n">
        <v>4.03</v>
      </c>
    </row>
    <row r="7073">
      <c r="A7073" s="535" t="n">
        <v>41437</v>
      </c>
      <c r="B7073" s="534" t="n">
        <v>12.039</v>
      </c>
      <c r="C7073" s="534" t="n">
        <v>21354.66</v>
      </c>
      <c r="E7073" s="535" t="n">
        <v>45257</v>
      </c>
      <c r="F7073" s="534" t="n">
        <v>4.069</v>
      </c>
    </row>
    <row r="7074">
      <c r="A7074" s="535" t="n">
        <v>41438</v>
      </c>
      <c r="B7074" s="534" t="n">
        <v>11.777</v>
      </c>
      <c r="C7074" s="534" t="n">
        <v>20887.04</v>
      </c>
      <c r="E7074" s="535" t="n">
        <v>45258</v>
      </c>
      <c r="F7074" s="534" t="n">
        <v>3.933</v>
      </c>
    </row>
    <row r="7075">
      <c r="A7075" s="535" t="n">
        <v>41439</v>
      </c>
      <c r="B7075" s="534" t="n">
        <v>11.708</v>
      </c>
      <c r="C7075" s="534" t="n">
        <v>20969.14</v>
      </c>
      <c r="E7075" s="535" t="n">
        <v>45259</v>
      </c>
      <c r="F7075" s="534" t="n">
        <v>3.773</v>
      </c>
    </row>
    <row r="7076">
      <c r="A7076" s="535" t="n">
        <v>41442</v>
      </c>
      <c r="B7076" s="534" t="n">
        <v>11.708</v>
      </c>
      <c r="C7076" s="534" t="n">
        <v>21225.9</v>
      </c>
      <c r="E7076" s="535" t="n">
        <v>45260</v>
      </c>
      <c r="F7076" s="534" t="n">
        <v>3.773</v>
      </c>
    </row>
    <row r="7077">
      <c r="A7077" s="535" t="n">
        <v>41443</v>
      </c>
      <c r="B7077" s="534" t="n">
        <v>11.847</v>
      </c>
      <c r="C7077" s="534" t="n">
        <v>21225.88</v>
      </c>
      <c r="E7077" s="535" t="n">
        <v>45261</v>
      </c>
      <c r="F7077" s="534" t="n">
        <v>3.825</v>
      </c>
    </row>
    <row r="7078">
      <c r="A7078" s="535" t="n">
        <v>41444</v>
      </c>
      <c r="B7078" s="534" t="n">
        <v>11.934</v>
      </c>
      <c r="C7078" s="534" t="n">
        <v>20986.89</v>
      </c>
      <c r="E7078" s="535" t="n">
        <v>45264</v>
      </c>
      <c r="F7078" s="534" t="n">
        <v>3.706</v>
      </c>
    </row>
    <row r="7079">
      <c r="A7079" s="535" t="n">
        <v>41445</v>
      </c>
      <c r="B7079" s="534" t="n">
        <v>11.725</v>
      </c>
      <c r="C7079" s="534" t="n">
        <v>20382.87</v>
      </c>
      <c r="E7079" s="535" t="n">
        <v>45265</v>
      </c>
      <c r="F7079" s="534" t="n">
        <v>3.712</v>
      </c>
    </row>
    <row r="7080">
      <c r="A7080" s="535" t="n">
        <v>41446</v>
      </c>
      <c r="B7080" s="534" t="n">
        <v>11.586</v>
      </c>
      <c r="C7080" s="534" t="n">
        <v>20263.31</v>
      </c>
      <c r="E7080" s="535" t="n">
        <v>45266</v>
      </c>
      <c r="F7080" s="534" t="n">
        <v>3.694</v>
      </c>
    </row>
    <row r="7081">
      <c r="A7081" s="535" t="n">
        <v>41449</v>
      </c>
      <c r="B7081" s="534" t="n">
        <v>11.324</v>
      </c>
      <c r="C7081" s="534" t="n">
        <v>19813.98</v>
      </c>
      <c r="E7081" s="535" t="n">
        <v>45267</v>
      </c>
      <c r="F7081" s="534" t="n">
        <v>3.637</v>
      </c>
    </row>
    <row r="7082">
      <c r="A7082" s="535" t="n">
        <v>41450</v>
      </c>
      <c r="B7082" s="534" t="n">
        <v>11.429</v>
      </c>
      <c r="C7082" s="534" t="n">
        <v>19855.72</v>
      </c>
      <c r="E7082" s="535" t="n">
        <v>45268</v>
      </c>
      <c r="F7082" s="534" t="n">
        <v>3.619</v>
      </c>
    </row>
    <row r="7083">
      <c r="A7083" s="535" t="n">
        <v>41451</v>
      </c>
      <c r="B7083" s="534" t="n">
        <v>11.377</v>
      </c>
      <c r="C7083" s="534" t="n">
        <v>20338.55</v>
      </c>
      <c r="E7083" s="535" t="n">
        <v>45271</v>
      </c>
      <c r="F7083" s="534" t="n">
        <v>3.711</v>
      </c>
    </row>
    <row r="7084">
      <c r="A7084" s="535" t="n">
        <v>41452</v>
      </c>
      <c r="B7084" s="534" t="n">
        <v>11.516</v>
      </c>
      <c r="C7084" s="534" t="n">
        <v>20440.08</v>
      </c>
      <c r="E7084" s="535" t="n">
        <v>45272</v>
      </c>
      <c r="F7084" s="534" t="n">
        <v>3.668</v>
      </c>
    </row>
    <row r="7085">
      <c r="A7085" s="535" t="n">
        <v>41453</v>
      </c>
      <c r="B7085" s="534" t="n">
        <v>11.812</v>
      </c>
      <c r="C7085" s="534" t="n">
        <v>20803.29</v>
      </c>
      <c r="E7085" s="535" t="n">
        <v>45273</v>
      </c>
      <c r="F7085" s="534" t="n">
        <v>3.669</v>
      </c>
    </row>
    <row r="7086">
      <c r="A7086" s="535" t="n">
        <v>41456</v>
      </c>
      <c r="B7086" s="534" t="n">
        <v>11.812</v>
      </c>
      <c r="C7086" s="534" t="n">
        <v>20803.29</v>
      </c>
      <c r="E7086" s="535" t="n">
        <v>45274</v>
      </c>
      <c r="F7086" s="534" t="n">
        <v>3.438</v>
      </c>
    </row>
    <row r="7087">
      <c r="A7087" s="535" t="n">
        <v>41457</v>
      </c>
      <c r="B7087" s="534" t="n">
        <v>11.568</v>
      </c>
      <c r="C7087" s="534" t="n">
        <v>20658.65</v>
      </c>
      <c r="E7087" s="535" t="n">
        <v>45275</v>
      </c>
      <c r="F7087" s="534" t="n">
        <v>3.452</v>
      </c>
    </row>
    <row r="7088">
      <c r="A7088" s="535" t="n">
        <v>41458</v>
      </c>
      <c r="B7088" s="534" t="n">
        <v>11.551</v>
      </c>
      <c r="C7088" s="534" t="n">
        <v>20147.31</v>
      </c>
      <c r="E7088" s="535" t="n">
        <v>45278</v>
      </c>
      <c r="F7088" s="534" t="n">
        <v>3.447</v>
      </c>
    </row>
    <row r="7089">
      <c r="A7089" s="535" t="n">
        <v>41459</v>
      </c>
      <c r="B7089" s="534" t="n">
        <v>11.621</v>
      </c>
      <c r="C7089" s="534" t="n">
        <v>20468.67</v>
      </c>
      <c r="E7089" s="535" t="n">
        <v>45279</v>
      </c>
      <c r="F7089" s="534" t="n">
        <v>3.451</v>
      </c>
    </row>
    <row r="7090">
      <c r="A7090" s="535" t="n">
        <v>41460</v>
      </c>
      <c r="B7090" s="534" t="n">
        <v>11.76</v>
      </c>
      <c r="C7090" s="534" t="n">
        <v>20854.67</v>
      </c>
      <c r="E7090" s="535" t="n">
        <v>45280</v>
      </c>
      <c r="F7090" s="534" t="n">
        <v>3.375</v>
      </c>
    </row>
    <row r="7091">
      <c r="A7091" s="535" t="n">
        <v>41463</v>
      </c>
      <c r="B7091" s="534" t="n">
        <v>11.464</v>
      </c>
      <c r="C7091" s="534" t="n">
        <v>20582.19</v>
      </c>
      <c r="E7091" s="535" t="n">
        <v>45281</v>
      </c>
      <c r="F7091" s="534" t="n">
        <v>3.343</v>
      </c>
    </row>
    <row r="7092">
      <c r="A7092" s="535" t="n">
        <v>41464</v>
      </c>
      <c r="B7092" s="534" t="n">
        <v>11.638</v>
      </c>
      <c r="C7092" s="534" t="n">
        <v>20683.01</v>
      </c>
      <c r="E7092" s="535" t="n">
        <v>45282</v>
      </c>
      <c r="F7092" s="534" t="n">
        <v>3.329</v>
      </c>
    </row>
    <row r="7093">
      <c r="A7093" s="535" t="n">
        <v>41465</v>
      </c>
      <c r="B7093" s="534" t="n">
        <v>11.551</v>
      </c>
      <c r="C7093" s="534" t="n">
        <v>20904.56</v>
      </c>
      <c r="E7093" s="535" t="n">
        <v>45285</v>
      </c>
      <c r="F7093" s="534" t="n">
        <v>3.329</v>
      </c>
    </row>
    <row r="7094">
      <c r="A7094" s="535" t="n">
        <v>41466</v>
      </c>
      <c r="B7094" s="534" t="n">
        <v>11.882</v>
      </c>
      <c r="C7094" s="534" t="n">
        <v>21437.49</v>
      </c>
      <c r="E7094" s="535" t="n">
        <v>45286</v>
      </c>
      <c r="F7094" s="534" t="n">
        <v>3.329</v>
      </c>
    </row>
    <row r="7095">
      <c r="A7095" s="535" t="n">
        <v>41467</v>
      </c>
      <c r="B7095" s="534" t="n">
        <v>11.708</v>
      </c>
      <c r="C7095" s="534" t="n">
        <v>21277.28</v>
      </c>
      <c r="E7095" s="535" t="n">
        <v>45287</v>
      </c>
      <c r="F7095" s="534" t="n">
        <v>3.321</v>
      </c>
    </row>
    <row r="7096">
      <c r="A7096" s="535" t="n">
        <v>41470</v>
      </c>
      <c r="B7096" s="534" t="n">
        <v>11.603</v>
      </c>
      <c r="C7096" s="534" t="n">
        <v>21303.31</v>
      </c>
      <c r="E7096" s="535" t="n">
        <v>45288</v>
      </c>
      <c r="F7096" s="534" t="n">
        <v>3.276</v>
      </c>
    </row>
    <row r="7097">
      <c r="A7097" s="535" t="n">
        <v>41471</v>
      </c>
      <c r="B7097" s="534" t="n">
        <v>11.586</v>
      </c>
      <c r="C7097" s="534" t="n">
        <v>21312.38</v>
      </c>
      <c r="E7097" s="535" t="n">
        <v>45289</v>
      </c>
      <c r="F7097" s="534" t="n">
        <v>3.272</v>
      </c>
    </row>
    <row r="7098">
      <c r="A7098" s="535" t="n">
        <v>41472</v>
      </c>
      <c r="B7098" s="534" t="n">
        <v>11.673</v>
      </c>
      <c r="C7098" s="534" t="n">
        <v>21371.87</v>
      </c>
      <c r="E7098" s="535" t="n">
        <v>45292</v>
      </c>
      <c r="F7098" s="534" t="n">
        <v>3.272</v>
      </c>
    </row>
    <row r="7099">
      <c r="A7099" s="535" t="n">
        <v>41473</v>
      </c>
      <c r="B7099" s="534" t="n">
        <v>11.568</v>
      </c>
      <c r="C7099" s="534" t="n">
        <v>21345.22</v>
      </c>
      <c r="E7099" s="535" t="n">
        <v>45293</v>
      </c>
      <c r="F7099" s="534" t="n">
        <v>3.375</v>
      </c>
    </row>
    <row r="7100">
      <c r="A7100" s="535" t="n">
        <v>41474</v>
      </c>
      <c r="B7100" s="534" t="n">
        <v>11.534</v>
      </c>
      <c r="C7100" s="534" t="n">
        <v>21362.42</v>
      </c>
      <c r="E7100" s="535" t="n">
        <v>45294</v>
      </c>
      <c r="F7100" s="534" t="n">
        <v>3.42</v>
      </c>
    </row>
    <row r="7101">
      <c r="A7101" s="535" t="n">
        <v>41477</v>
      </c>
      <c r="B7101" s="534" t="n">
        <v>11.621</v>
      </c>
      <c r="C7101" s="534" t="n">
        <v>21416.5</v>
      </c>
      <c r="E7101" s="535" t="n">
        <v>45295</v>
      </c>
      <c r="F7101" s="534" t="n">
        <v>3.398</v>
      </c>
    </row>
    <row r="7102">
      <c r="A7102" s="535" t="n">
        <v>41478</v>
      </c>
      <c r="B7102" s="534" t="n">
        <v>11.952</v>
      </c>
      <c r="C7102" s="534" t="n">
        <v>21915.42</v>
      </c>
      <c r="E7102" s="535" t="n">
        <v>45296</v>
      </c>
      <c r="F7102" s="534" t="n">
        <v>3.528</v>
      </c>
    </row>
    <row r="7103">
      <c r="A7103" s="535" t="n">
        <v>41479</v>
      </c>
      <c r="B7103" s="534" t="n">
        <v>12.126</v>
      </c>
      <c r="C7103" s="534" t="n">
        <v>21968.93</v>
      </c>
      <c r="E7103" s="535" t="n">
        <v>45299</v>
      </c>
      <c r="F7103" s="534" t="n">
        <v>3.537</v>
      </c>
    </row>
    <row r="7104">
      <c r="A7104" s="535" t="n">
        <v>41480</v>
      </c>
      <c r="B7104" s="534" t="n">
        <v>12.3</v>
      </c>
      <c r="C7104" s="534" t="n">
        <v>21900.96</v>
      </c>
      <c r="E7104" s="535" t="n">
        <v>45300</v>
      </c>
      <c r="F7104" s="534" t="n">
        <v>3.531</v>
      </c>
    </row>
    <row r="7105">
      <c r="A7105" s="535" t="n">
        <v>41481</v>
      </c>
      <c r="B7105" s="534" t="n">
        <v>12.283</v>
      </c>
      <c r="C7105" s="534" t="n">
        <v>21968.95</v>
      </c>
      <c r="E7105" s="535" t="n">
        <v>45301</v>
      </c>
      <c r="F7105" s="534" t="n">
        <v>3.512</v>
      </c>
    </row>
    <row r="7106">
      <c r="A7106" s="535" t="n">
        <v>41484</v>
      </c>
      <c r="B7106" s="534" t="n">
        <v>12.23</v>
      </c>
      <c r="C7106" s="534" t="n">
        <v>21850.15</v>
      </c>
      <c r="E7106" s="535" t="n">
        <v>45302</v>
      </c>
      <c r="F7106" s="534" t="n">
        <v>3.507</v>
      </c>
    </row>
    <row r="7107">
      <c r="A7107" s="535" t="n">
        <v>41485</v>
      </c>
      <c r="B7107" s="534" t="n">
        <v>12.37</v>
      </c>
      <c r="C7107" s="534" t="n">
        <v>21953.96</v>
      </c>
      <c r="E7107" s="535" t="n">
        <v>45303</v>
      </c>
      <c r="F7107" s="534" t="n">
        <v>3.501</v>
      </c>
    </row>
    <row r="7108">
      <c r="A7108" s="535" t="n">
        <v>41486</v>
      </c>
      <c r="B7108" s="534" t="n">
        <v>12.509</v>
      </c>
      <c r="C7108" s="534" t="n">
        <v>21883.66</v>
      </c>
      <c r="E7108" s="535" t="n">
        <v>45306</v>
      </c>
      <c r="F7108" s="534" t="n">
        <v>3.477</v>
      </c>
    </row>
    <row r="7109">
      <c r="A7109" s="535" t="n">
        <v>41487</v>
      </c>
      <c r="B7109" s="534" t="n">
        <v>12.579</v>
      </c>
      <c r="C7109" s="534" t="n">
        <v>22088.79</v>
      </c>
      <c r="E7109" s="535" t="n">
        <v>45307</v>
      </c>
      <c r="F7109" s="534" t="n">
        <v>3.508</v>
      </c>
    </row>
    <row r="7110">
      <c r="A7110" s="535" t="n">
        <v>41488</v>
      </c>
      <c r="B7110" s="534" t="n">
        <v>12.387</v>
      </c>
      <c r="C7110" s="534" t="n">
        <v>22190.97</v>
      </c>
      <c r="E7110" s="535" t="n">
        <v>45308</v>
      </c>
      <c r="F7110" s="534" t="n">
        <v>3.542</v>
      </c>
    </row>
    <row r="7111">
      <c r="A7111" s="535" t="n">
        <v>41491</v>
      </c>
      <c r="B7111" s="534" t="n">
        <v>12.527</v>
      </c>
      <c r="C7111" s="534" t="n">
        <v>22222.01</v>
      </c>
      <c r="E7111" s="535" t="n">
        <v>45309</v>
      </c>
      <c r="F7111" s="534" t="n">
        <v>3.565</v>
      </c>
    </row>
    <row r="7112">
      <c r="A7112" s="535" t="n">
        <v>41492</v>
      </c>
      <c r="B7112" s="534" t="n">
        <v>12.3</v>
      </c>
      <c r="C7112" s="534" t="n">
        <v>21923.7</v>
      </c>
      <c r="E7112" s="535" t="n">
        <v>45310</v>
      </c>
      <c r="F7112" s="534" t="n">
        <v>3.638</v>
      </c>
    </row>
    <row r="7113">
      <c r="A7113" s="535" t="n">
        <v>41493</v>
      </c>
      <c r="B7113" s="534" t="n">
        <v>12.248</v>
      </c>
      <c r="C7113" s="534" t="n">
        <v>21588.84</v>
      </c>
      <c r="E7113" s="535" t="n">
        <v>45313</v>
      </c>
      <c r="F7113" s="534" t="n">
        <v>3.601</v>
      </c>
    </row>
    <row r="7114">
      <c r="A7114" s="535" t="n">
        <v>41494</v>
      </c>
      <c r="B7114" s="534" t="n">
        <v>12.143</v>
      </c>
      <c r="C7114" s="534" t="n">
        <v>21655.88</v>
      </c>
      <c r="E7114" s="535" t="n">
        <v>45314</v>
      </c>
      <c r="F7114" s="534" t="n">
        <v>3.59</v>
      </c>
    </row>
    <row r="7115">
      <c r="A7115" s="535" t="n">
        <v>41495</v>
      </c>
      <c r="B7115" s="534" t="n">
        <v>12.352</v>
      </c>
      <c r="C7115" s="534" t="n">
        <v>21807.56</v>
      </c>
      <c r="E7115" s="535" t="n">
        <v>45315</v>
      </c>
      <c r="F7115" s="534" t="n">
        <v>3.573</v>
      </c>
    </row>
    <row r="7116">
      <c r="A7116" s="535" t="n">
        <v>41498</v>
      </c>
      <c r="B7116" s="534" t="n">
        <v>12.318</v>
      </c>
      <c r="C7116" s="534" t="n">
        <v>22271.28</v>
      </c>
      <c r="E7116" s="535" t="n">
        <v>45316</v>
      </c>
      <c r="F7116" s="534" t="n">
        <v>3.628</v>
      </c>
    </row>
    <row r="7117">
      <c r="A7117" s="535" t="n">
        <v>41499</v>
      </c>
      <c r="B7117" s="534" t="n">
        <v>12.422</v>
      </c>
      <c r="C7117" s="534" t="n">
        <v>22541.13</v>
      </c>
      <c r="E7117" s="535" t="n">
        <v>45317</v>
      </c>
      <c r="F7117" s="534" t="n">
        <v>3.597</v>
      </c>
    </row>
    <row r="7118">
      <c r="A7118" s="535" t="n">
        <v>41500</v>
      </c>
      <c r="B7118" s="534" t="n">
        <v>12.422</v>
      </c>
      <c r="C7118" s="534" t="n">
        <v>22541.13</v>
      </c>
      <c r="E7118" s="535" t="n">
        <v>45320</v>
      </c>
      <c r="F7118" s="534" t="n">
        <v>3.619</v>
      </c>
    </row>
    <row r="7119">
      <c r="A7119" s="535" t="n">
        <v>41501</v>
      </c>
      <c r="B7119" s="534" t="n">
        <v>12.492</v>
      </c>
      <c r="C7119" s="534" t="n">
        <v>22539.25</v>
      </c>
      <c r="E7119" s="535" t="n">
        <v>45321</v>
      </c>
      <c r="F7119" s="534" t="n">
        <v>3.574</v>
      </c>
    </row>
    <row r="7120">
      <c r="A7120" s="535" t="n">
        <v>41502</v>
      </c>
      <c r="B7120" s="534" t="n">
        <v>12.405</v>
      </c>
      <c r="C7120" s="534" t="n">
        <v>22517.81</v>
      </c>
      <c r="E7120" s="535" t="n">
        <v>45322</v>
      </c>
      <c r="F7120" s="534" t="n">
        <v>3.579</v>
      </c>
    </row>
    <row r="7121">
      <c r="A7121" s="535" t="n">
        <v>41505</v>
      </c>
      <c r="B7121" s="534" t="n">
        <v>12.439</v>
      </c>
      <c r="C7121" s="534" t="n">
        <v>22463.7</v>
      </c>
      <c r="E7121" s="535" t="n">
        <v>45323</v>
      </c>
      <c r="F7121" s="534" t="n">
        <v>3.508</v>
      </c>
    </row>
    <row r="7122">
      <c r="A7122" s="535" t="n">
        <v>41506</v>
      </c>
      <c r="B7122" s="534" t="n">
        <v>12.405</v>
      </c>
      <c r="C7122" s="534" t="n">
        <v>21970.29</v>
      </c>
      <c r="E7122" s="535" t="n">
        <v>45324</v>
      </c>
      <c r="F7122" s="534" t="n">
        <v>3.461</v>
      </c>
    </row>
    <row r="7123">
      <c r="A7123" s="535" t="n">
        <v>41507</v>
      </c>
      <c r="B7123" s="534" t="n">
        <v>12.283</v>
      </c>
      <c r="C7123" s="534" t="n">
        <v>21817.73</v>
      </c>
      <c r="E7123" s="535" t="n">
        <v>45327</v>
      </c>
      <c r="F7123" s="534" t="n">
        <v>3.626</v>
      </c>
    </row>
    <row r="7124">
      <c r="A7124" s="535" t="n">
        <v>41508</v>
      </c>
      <c r="B7124" s="534" t="n">
        <v>12.039</v>
      </c>
      <c r="C7124" s="534" t="n">
        <v>21895.4</v>
      </c>
      <c r="E7124" s="535" t="n">
        <v>45328</v>
      </c>
      <c r="F7124" s="534" t="n">
        <v>3.663</v>
      </c>
    </row>
    <row r="7125">
      <c r="A7125" s="535" t="n">
        <v>41509</v>
      </c>
      <c r="B7125" s="534" t="n">
        <v>12.213</v>
      </c>
      <c r="C7125" s="534" t="n">
        <v>21863.51</v>
      </c>
      <c r="E7125" s="535" t="n">
        <v>45329</v>
      </c>
      <c r="F7125" s="534" t="n">
        <v>3.646</v>
      </c>
    </row>
    <row r="7126">
      <c r="A7126" s="535" t="n">
        <v>41512</v>
      </c>
      <c r="B7126" s="534" t="n">
        <v>12.178</v>
      </c>
      <c r="C7126" s="534" t="n">
        <v>22005.32</v>
      </c>
      <c r="E7126" s="535" t="n">
        <v>45330</v>
      </c>
      <c r="F7126" s="534" t="n">
        <v>3.661</v>
      </c>
    </row>
    <row r="7127">
      <c r="A7127" s="535" t="n">
        <v>41513</v>
      </c>
      <c r="B7127" s="534" t="n">
        <v>11.986</v>
      </c>
      <c r="C7127" s="534" t="n">
        <v>21874.77</v>
      </c>
      <c r="E7127" s="535" t="n">
        <v>45331</v>
      </c>
      <c r="F7127" s="534" t="n">
        <v>3.695</v>
      </c>
    </row>
    <row r="7128">
      <c r="A7128" s="535" t="n">
        <v>41514</v>
      </c>
      <c r="B7128" s="534" t="n">
        <v>11.516</v>
      </c>
      <c r="C7128" s="534" t="n">
        <v>21524.65</v>
      </c>
      <c r="E7128" s="535" t="n">
        <v>45334</v>
      </c>
      <c r="F7128" s="534" t="n">
        <v>3.695</v>
      </c>
    </row>
    <row r="7129">
      <c r="A7129" s="535" t="n">
        <v>41515</v>
      </c>
      <c r="B7129" s="534" t="n">
        <v>11.394</v>
      </c>
      <c r="C7129" s="534" t="n">
        <v>21704.78</v>
      </c>
      <c r="E7129" s="535" t="n">
        <v>45335</v>
      </c>
      <c r="F7129" s="534" t="n">
        <v>3.695</v>
      </c>
    </row>
    <row r="7130">
      <c r="A7130" s="535" t="n">
        <v>41516</v>
      </c>
      <c r="B7130" s="534" t="n">
        <v>11.586</v>
      </c>
      <c r="C7130" s="534" t="n">
        <v>21731.37</v>
      </c>
      <c r="E7130" s="535" t="n">
        <v>45336</v>
      </c>
      <c r="F7130" s="534" t="n">
        <v>3.84</v>
      </c>
    </row>
    <row r="7131">
      <c r="A7131" s="535" t="n">
        <v>41519</v>
      </c>
      <c r="B7131" s="534" t="n">
        <v>11.795</v>
      </c>
      <c r="C7131" s="534" t="n">
        <v>22175.34</v>
      </c>
      <c r="E7131" s="535" t="n">
        <v>45337</v>
      </c>
      <c r="F7131" s="534" t="n">
        <v>3.785</v>
      </c>
    </row>
    <row r="7132">
      <c r="A7132" s="535" t="n">
        <v>41520</v>
      </c>
      <c r="B7132" s="534" t="n">
        <v>11.847</v>
      </c>
      <c r="C7132" s="534" t="n">
        <v>22394.58</v>
      </c>
      <c r="E7132" s="535" t="n">
        <v>45338</v>
      </c>
      <c r="F7132" s="534" t="n">
        <v>3.826</v>
      </c>
    </row>
    <row r="7133">
      <c r="A7133" s="535" t="n">
        <v>41521</v>
      </c>
      <c r="B7133" s="534" t="n">
        <v>11.655</v>
      </c>
      <c r="C7133" s="534" t="n">
        <v>22326.22</v>
      </c>
      <c r="E7133" s="535" t="n">
        <v>45341</v>
      </c>
      <c r="F7133" s="534" t="n">
        <v>3.857</v>
      </c>
    </row>
    <row r="7134">
      <c r="A7134" s="535" t="n">
        <v>41522</v>
      </c>
      <c r="B7134" s="534" t="n">
        <v>12.039</v>
      </c>
      <c r="C7134" s="534" t="n">
        <v>22597.97</v>
      </c>
      <c r="E7134" s="535" t="n">
        <v>45342</v>
      </c>
      <c r="F7134" s="534" t="n">
        <v>3.848</v>
      </c>
    </row>
    <row r="7135">
      <c r="A7135" s="535" t="n">
        <v>41523</v>
      </c>
      <c r="B7135" s="534" t="n">
        <v>12.23</v>
      </c>
      <c r="C7135" s="534" t="n">
        <v>22621.22</v>
      </c>
      <c r="E7135" s="535" t="n">
        <v>45343</v>
      </c>
      <c r="F7135" s="534" t="n">
        <v>3.817</v>
      </c>
    </row>
    <row r="7136">
      <c r="A7136" s="535" t="n">
        <v>41526</v>
      </c>
      <c r="B7136" s="534" t="n">
        <v>12.3</v>
      </c>
      <c r="C7136" s="534" t="n">
        <v>22750.65</v>
      </c>
      <c r="E7136" s="535" t="n">
        <v>45344</v>
      </c>
      <c r="F7136" s="534" t="n">
        <v>3.848</v>
      </c>
    </row>
    <row r="7137">
      <c r="A7137" s="535" t="n">
        <v>41527</v>
      </c>
      <c r="B7137" s="534" t="n">
        <v>12.474</v>
      </c>
      <c r="C7137" s="534" t="n">
        <v>22976.65</v>
      </c>
      <c r="E7137" s="535" t="n">
        <v>45345</v>
      </c>
      <c r="F7137" s="534" t="n">
        <v>3.872</v>
      </c>
    </row>
    <row r="7138">
      <c r="A7138" s="535" t="n">
        <v>41528</v>
      </c>
      <c r="B7138" s="534" t="n">
        <v>12.561</v>
      </c>
      <c r="C7138" s="534" t="n">
        <v>22937.14</v>
      </c>
      <c r="E7138" s="535" t="n">
        <v>45348</v>
      </c>
      <c r="F7138" s="534" t="n">
        <v>3.79</v>
      </c>
    </row>
    <row r="7139">
      <c r="A7139" s="535" t="n">
        <v>41529</v>
      </c>
      <c r="B7139" s="534" t="n">
        <v>12.422</v>
      </c>
      <c r="C7139" s="534" t="n">
        <v>22953.72</v>
      </c>
      <c r="E7139" s="535" t="n">
        <v>45349</v>
      </c>
      <c r="F7139" s="534" t="n">
        <v>3.842</v>
      </c>
    </row>
    <row r="7140">
      <c r="A7140" s="535" t="n">
        <v>41530</v>
      </c>
      <c r="B7140" s="534" t="n">
        <v>12.509</v>
      </c>
      <c r="C7140" s="534" t="n">
        <v>22915.28</v>
      </c>
      <c r="E7140" s="535" t="n">
        <v>45350</v>
      </c>
      <c r="F7140" s="534" t="n">
        <v>3.851</v>
      </c>
    </row>
    <row r="7141">
      <c r="A7141" s="535" t="n">
        <v>41533</v>
      </c>
      <c r="B7141" s="534" t="n">
        <v>12.788</v>
      </c>
      <c r="C7141" s="534" t="n">
        <v>23252.41</v>
      </c>
      <c r="E7141" s="535" t="n">
        <v>45351</v>
      </c>
      <c r="F7141" s="534" t="n">
        <v>3.855</v>
      </c>
    </row>
    <row r="7142">
      <c r="A7142" s="535" t="n">
        <v>41534</v>
      </c>
      <c r="B7142" s="534" t="n">
        <v>12.875</v>
      </c>
      <c r="C7142" s="534" t="n">
        <v>23180.52</v>
      </c>
      <c r="E7142" s="535" t="n">
        <v>45352</v>
      </c>
      <c r="F7142" s="534" t="n">
        <v>3.863</v>
      </c>
    </row>
    <row r="7143">
      <c r="A7143" s="535" t="n">
        <v>41535</v>
      </c>
      <c r="B7143" s="534" t="n">
        <v>12.98</v>
      </c>
      <c r="C7143" s="534" t="n">
        <v>23117.45</v>
      </c>
      <c r="E7143" s="535" t="n">
        <v>45355</v>
      </c>
      <c r="F7143" s="534" t="n">
        <v>3.822</v>
      </c>
    </row>
    <row r="7144">
      <c r="A7144" s="535" t="n">
        <v>41536</v>
      </c>
      <c r="B7144" s="534" t="n">
        <v>12.962</v>
      </c>
      <c r="C7144" s="534" t="n">
        <v>23502.51</v>
      </c>
      <c r="E7144" s="535" t="n">
        <v>45356</v>
      </c>
      <c r="F7144" s="534" t="n">
        <v>3.813</v>
      </c>
    </row>
    <row r="7145">
      <c r="A7145" s="535" t="n">
        <v>41537</v>
      </c>
      <c r="B7145" s="534" t="n">
        <v>12.962</v>
      </c>
      <c r="C7145" s="534" t="n">
        <v>23502.51</v>
      </c>
      <c r="E7145" s="535" t="n">
        <v>45357</v>
      </c>
      <c r="F7145" s="534" t="n">
        <v>3.749</v>
      </c>
    </row>
    <row r="7146">
      <c r="A7146" s="535" t="n">
        <v>41540</v>
      </c>
      <c r="B7146" s="534" t="n">
        <v>13.014</v>
      </c>
      <c r="C7146" s="534" t="n">
        <v>23371.54</v>
      </c>
      <c r="E7146" s="535" t="n">
        <v>45358</v>
      </c>
      <c r="F7146" s="534" t="n">
        <v>3.738</v>
      </c>
    </row>
    <row r="7147">
      <c r="A7147" s="535" t="n">
        <v>41541</v>
      </c>
      <c r="B7147" s="534" t="n">
        <v>13.467</v>
      </c>
      <c r="C7147" s="534" t="n">
        <v>23179.04</v>
      </c>
      <c r="E7147" s="535" t="n">
        <v>45359</v>
      </c>
      <c r="F7147" s="534" t="n">
        <v>3.691</v>
      </c>
    </row>
    <row r="7148">
      <c r="A7148" s="535" t="n">
        <v>41542</v>
      </c>
      <c r="B7148" s="534" t="n">
        <v>13.38</v>
      </c>
      <c r="C7148" s="534" t="n">
        <v>23209.63</v>
      </c>
      <c r="E7148" s="535" t="n">
        <v>45362</v>
      </c>
      <c r="F7148" s="534" t="n">
        <v>3.673</v>
      </c>
    </row>
    <row r="7149">
      <c r="A7149" s="535" t="n">
        <v>41543</v>
      </c>
      <c r="B7149" s="534" t="n">
        <v>13.084</v>
      </c>
      <c r="C7149" s="534" t="n">
        <v>23125.03</v>
      </c>
      <c r="E7149" s="535" t="n">
        <v>45363</v>
      </c>
      <c r="F7149" s="534" t="n">
        <v>3.678</v>
      </c>
    </row>
    <row r="7150">
      <c r="A7150" s="535" t="n">
        <v>41544</v>
      </c>
      <c r="B7150" s="534" t="n">
        <v>13.293</v>
      </c>
      <c r="C7150" s="534" t="n">
        <v>23207.04</v>
      </c>
      <c r="E7150" s="535" t="n">
        <v>45364</v>
      </c>
      <c r="F7150" s="534" t="n">
        <v>3.703</v>
      </c>
    </row>
    <row r="7151">
      <c r="A7151" s="535" t="n">
        <v>41547</v>
      </c>
      <c r="B7151" s="534" t="n">
        <v>13.241</v>
      </c>
      <c r="C7151" s="534" t="n">
        <v>22859.86</v>
      </c>
      <c r="E7151" s="535" t="n">
        <v>45365</v>
      </c>
      <c r="F7151" s="534" t="n">
        <v>3.772</v>
      </c>
    </row>
    <row r="7152">
      <c r="A7152" s="535" t="n">
        <v>41548</v>
      </c>
      <c r="B7152" s="534" t="n">
        <v>13.241</v>
      </c>
      <c r="C7152" s="534" t="n">
        <v>22859.86</v>
      </c>
      <c r="E7152" s="535" t="n">
        <v>45366</v>
      </c>
      <c r="F7152" s="534" t="n">
        <v>3.85</v>
      </c>
    </row>
    <row r="7153">
      <c r="A7153" s="535" t="n">
        <v>41549</v>
      </c>
      <c r="B7153" s="534" t="n">
        <v>13.415</v>
      </c>
      <c r="C7153" s="534" t="n">
        <v>22984.48</v>
      </c>
      <c r="E7153" s="535" t="n">
        <v>45369</v>
      </c>
      <c r="F7153" s="534" t="n">
        <v>3.881</v>
      </c>
    </row>
    <row r="7154">
      <c r="A7154" s="535" t="n">
        <v>41550</v>
      </c>
      <c r="B7154" s="534" t="n">
        <v>13.398</v>
      </c>
      <c r="C7154" s="534" t="n">
        <v>23214.4</v>
      </c>
      <c r="E7154" s="535" t="n">
        <v>45370</v>
      </c>
      <c r="F7154" s="534" t="n">
        <v>3.888</v>
      </c>
    </row>
    <row r="7155">
      <c r="A7155" s="535" t="n">
        <v>41551</v>
      </c>
      <c r="B7155" s="534" t="n">
        <v>13.206</v>
      </c>
      <c r="C7155" s="534" t="n">
        <v>23138.54</v>
      </c>
      <c r="E7155" s="535" t="n">
        <v>45371</v>
      </c>
      <c r="F7155" s="534" t="n">
        <v>3.858</v>
      </c>
    </row>
    <row r="7156">
      <c r="A7156" s="535" t="n">
        <v>41554</v>
      </c>
      <c r="B7156" s="534" t="n">
        <v>13.084</v>
      </c>
      <c r="C7156" s="534" t="n">
        <v>22973.95</v>
      </c>
      <c r="E7156" s="535" t="n">
        <v>45372</v>
      </c>
      <c r="F7156" s="534" t="n">
        <v>3.842</v>
      </c>
    </row>
    <row r="7157">
      <c r="A7157" s="535" t="n">
        <v>41555</v>
      </c>
      <c r="B7157" s="534" t="n">
        <v>13.433</v>
      </c>
      <c r="C7157" s="534" t="n">
        <v>23178.85</v>
      </c>
      <c r="E7157" s="535" t="n">
        <v>45373</v>
      </c>
      <c r="F7157" s="534" t="n">
        <v>3.827</v>
      </c>
    </row>
    <row r="7158">
      <c r="A7158" s="535" t="n">
        <v>41556</v>
      </c>
      <c r="B7158" s="534" t="n">
        <v>13.276</v>
      </c>
      <c r="C7158" s="534" t="n">
        <v>23033.97</v>
      </c>
      <c r="E7158" s="535" t="n">
        <v>45376</v>
      </c>
      <c r="F7158" s="534" t="n">
        <v>3.778</v>
      </c>
    </row>
    <row r="7159">
      <c r="A7159" s="535" t="n">
        <v>41557</v>
      </c>
      <c r="B7159" s="534" t="n">
        <v>13.311</v>
      </c>
      <c r="C7159" s="534" t="n">
        <v>22951.3</v>
      </c>
      <c r="E7159" s="535" t="n">
        <v>45377</v>
      </c>
      <c r="F7159" s="534" t="n">
        <v>3.799</v>
      </c>
    </row>
    <row r="7160">
      <c r="A7160" s="535" t="n">
        <v>41558</v>
      </c>
      <c r="B7160" s="534" t="n">
        <v>13.467</v>
      </c>
      <c r="C7160" s="534" t="n">
        <v>23218.32</v>
      </c>
      <c r="E7160" s="535" t="n">
        <v>45378</v>
      </c>
      <c r="F7160" s="534" t="n">
        <v>3.778</v>
      </c>
    </row>
    <row r="7161">
      <c r="A7161" s="535" t="n">
        <v>41561</v>
      </c>
      <c r="B7161" s="534" t="n">
        <v>13.467</v>
      </c>
      <c r="C7161" s="534" t="n">
        <v>23218.32</v>
      </c>
      <c r="E7161" s="535" t="n">
        <v>45379</v>
      </c>
      <c r="F7161" s="534" t="n">
        <v>3.756</v>
      </c>
    </row>
    <row r="7162">
      <c r="A7162" s="535" t="n">
        <v>41562</v>
      </c>
      <c r="B7162" s="534" t="n">
        <v>13.084</v>
      </c>
      <c r="C7162" s="534" t="n">
        <v>23336.52</v>
      </c>
      <c r="E7162" s="535" t="n">
        <v>45380</v>
      </c>
      <c r="F7162" s="534" t="n">
        <v>3.756</v>
      </c>
    </row>
    <row r="7163">
      <c r="A7163" s="535" t="n">
        <v>41563</v>
      </c>
      <c r="B7163" s="534" t="n">
        <v>13.067</v>
      </c>
      <c r="C7163" s="534" t="n">
        <v>23228.33</v>
      </c>
      <c r="E7163" s="535" t="n">
        <v>45383</v>
      </c>
      <c r="F7163" s="534" t="n">
        <v>3.756</v>
      </c>
    </row>
    <row r="7164">
      <c r="A7164" s="535" t="n">
        <v>41564</v>
      </c>
      <c r="B7164" s="534" t="n">
        <v>13.067</v>
      </c>
      <c r="C7164" s="534" t="n">
        <v>23094.88</v>
      </c>
      <c r="E7164" s="535" t="n">
        <v>45384</v>
      </c>
      <c r="F7164" s="534" t="n">
        <v>3.857</v>
      </c>
    </row>
    <row r="7165">
      <c r="A7165" s="535" t="n">
        <v>41565</v>
      </c>
      <c r="B7165" s="534" t="n">
        <v>13.102</v>
      </c>
      <c r="C7165" s="534" t="n">
        <v>23340.1</v>
      </c>
      <c r="E7165" s="535" t="n">
        <v>45385</v>
      </c>
      <c r="F7165" s="534" t="n">
        <v>3.884</v>
      </c>
    </row>
    <row r="7166">
      <c r="A7166" s="535" t="n">
        <v>41568</v>
      </c>
      <c r="B7166" s="534" t="n">
        <v>13.049</v>
      </c>
      <c r="C7166" s="534" t="n">
        <v>23438.15</v>
      </c>
      <c r="E7166" s="535" t="n">
        <v>45386</v>
      </c>
      <c r="F7166" s="534" t="n">
        <v>3.884</v>
      </c>
    </row>
    <row r="7167">
      <c r="A7167" s="535" t="n">
        <v>41569</v>
      </c>
      <c r="B7167" s="534" t="n">
        <v>13.311</v>
      </c>
      <c r="C7167" s="534" t="n">
        <v>23315.99</v>
      </c>
      <c r="E7167" s="535" t="n">
        <v>45387</v>
      </c>
      <c r="F7167" s="534" t="n">
        <v>3.884</v>
      </c>
    </row>
    <row r="7168">
      <c r="A7168" s="535" t="n">
        <v>41570</v>
      </c>
      <c r="B7168" s="534" t="n">
        <v>13.485</v>
      </c>
      <c r="C7168" s="534" t="n">
        <v>22999.95</v>
      </c>
      <c r="E7168" s="535" t="n">
        <v>45390</v>
      </c>
      <c r="F7168" s="534" t="n">
        <v>3.912</v>
      </c>
    </row>
    <row r="7169">
      <c r="A7169" s="535" t="n">
        <v>41571</v>
      </c>
      <c r="B7169" s="534" t="n">
        <v>13.311</v>
      </c>
      <c r="C7169" s="534" t="n">
        <v>22835.82</v>
      </c>
      <c r="E7169" s="535" t="n">
        <v>45391</v>
      </c>
      <c r="F7169" s="534" t="n">
        <v>3.88</v>
      </c>
    </row>
    <row r="7170">
      <c r="A7170" s="535" t="n">
        <v>41572</v>
      </c>
      <c r="B7170" s="534" t="n">
        <v>13.171</v>
      </c>
      <c r="C7170" s="534" t="n">
        <v>22698.34</v>
      </c>
      <c r="E7170" s="535" t="n">
        <v>45392</v>
      </c>
      <c r="F7170" s="534" t="n">
        <v>3.83</v>
      </c>
    </row>
    <row r="7171">
      <c r="A7171" s="535" t="n">
        <v>41575</v>
      </c>
      <c r="B7171" s="534" t="n">
        <v>13.415</v>
      </c>
      <c r="C7171" s="534" t="n">
        <v>22806.58</v>
      </c>
      <c r="E7171" s="535" t="n">
        <v>45393</v>
      </c>
      <c r="F7171" s="534" t="n">
        <v>3.962</v>
      </c>
    </row>
    <row r="7172">
      <c r="A7172" s="535" t="n">
        <v>41576</v>
      </c>
      <c r="B7172" s="534" t="n">
        <v>13.258</v>
      </c>
      <c r="C7172" s="534" t="n">
        <v>22846.54</v>
      </c>
      <c r="E7172" s="535" t="n">
        <v>45394</v>
      </c>
      <c r="F7172" s="534" t="n">
        <v>3.942</v>
      </c>
    </row>
    <row r="7173">
      <c r="A7173" s="535" t="n">
        <v>41577</v>
      </c>
      <c r="B7173" s="534" t="n">
        <v>13.398</v>
      </c>
      <c r="C7173" s="534" t="n">
        <v>23304.02</v>
      </c>
      <c r="E7173" s="535" t="n">
        <v>45397</v>
      </c>
      <c r="F7173" s="534" t="n">
        <v>3.943</v>
      </c>
    </row>
    <row r="7174">
      <c r="A7174" s="535" t="n">
        <v>41578</v>
      </c>
      <c r="B7174" s="534" t="n">
        <v>13.398</v>
      </c>
      <c r="C7174" s="534" t="n">
        <v>23206.37</v>
      </c>
      <c r="E7174" s="535" t="n">
        <v>45398</v>
      </c>
      <c r="F7174" s="534" t="n">
        <v>4.014</v>
      </c>
    </row>
    <row r="7175">
      <c r="A7175" s="535" t="n">
        <v>41579</v>
      </c>
      <c r="B7175" s="534" t="n">
        <v>13.502</v>
      </c>
      <c r="C7175" s="534" t="n">
        <v>23249.79</v>
      </c>
      <c r="E7175" s="535" t="n">
        <v>45399</v>
      </c>
      <c r="F7175" s="534" t="n">
        <v>4.027</v>
      </c>
    </row>
    <row r="7176">
      <c r="A7176" s="535" t="n">
        <v>41582</v>
      </c>
      <c r="B7176" s="534" t="n">
        <v>13.589</v>
      </c>
      <c r="C7176" s="534" t="n">
        <v>23189.62</v>
      </c>
      <c r="E7176" s="535" t="n">
        <v>45400</v>
      </c>
      <c r="F7176" s="534" t="n">
        <v>3.955</v>
      </c>
    </row>
    <row r="7177">
      <c r="A7177" s="535" t="n">
        <v>41583</v>
      </c>
      <c r="B7177" s="534" t="n">
        <v>13.189</v>
      </c>
      <c r="C7177" s="534" t="n">
        <v>23038.95</v>
      </c>
      <c r="E7177" s="535" t="n">
        <v>45401</v>
      </c>
      <c r="F7177" s="534" t="n">
        <v>3.954</v>
      </c>
    </row>
    <row r="7178">
      <c r="A7178" s="535" t="n">
        <v>41584</v>
      </c>
      <c r="B7178" s="534" t="n">
        <v>13.189</v>
      </c>
      <c r="C7178" s="534" t="n">
        <v>23036.94</v>
      </c>
      <c r="E7178" s="535" t="n">
        <v>45404</v>
      </c>
      <c r="F7178" s="534" t="n">
        <v>3.954</v>
      </c>
    </row>
    <row r="7179">
      <c r="A7179" s="535" t="n">
        <v>41585</v>
      </c>
      <c r="B7179" s="534" t="n">
        <v>13.102</v>
      </c>
      <c r="C7179" s="534" t="n">
        <v>22881.03</v>
      </c>
      <c r="E7179" s="535" t="n">
        <v>45405</v>
      </c>
      <c r="F7179" s="534" t="n">
        <v>3.922</v>
      </c>
    </row>
    <row r="7180">
      <c r="A7180" s="535" t="n">
        <v>41586</v>
      </c>
      <c r="B7180" s="534" t="n">
        <v>12.997</v>
      </c>
      <c r="C7180" s="534" t="n">
        <v>22744.39</v>
      </c>
      <c r="E7180" s="535" t="n">
        <v>45406</v>
      </c>
      <c r="F7180" s="534" t="n">
        <v>3.933</v>
      </c>
    </row>
    <row r="7181">
      <c r="A7181" s="535" t="n">
        <v>41589</v>
      </c>
      <c r="B7181" s="534" t="n">
        <v>13.293</v>
      </c>
      <c r="C7181" s="534" t="n">
        <v>23069.85</v>
      </c>
      <c r="E7181" s="535" t="n">
        <v>45407</v>
      </c>
      <c r="F7181" s="534" t="n">
        <v>3.985</v>
      </c>
    </row>
    <row r="7182">
      <c r="A7182" s="535" t="n">
        <v>41590</v>
      </c>
      <c r="B7182" s="534" t="n">
        <v>13.084</v>
      </c>
      <c r="C7182" s="534" t="n">
        <v>22901.41</v>
      </c>
      <c r="E7182" s="535" t="n">
        <v>45408</v>
      </c>
      <c r="F7182" s="534" t="n">
        <v>4.017</v>
      </c>
    </row>
    <row r="7183">
      <c r="A7183" s="535" t="n">
        <v>41591</v>
      </c>
      <c r="B7183" s="534" t="n">
        <v>12.91</v>
      </c>
      <c r="C7183" s="534" t="n">
        <v>22463.83</v>
      </c>
      <c r="E7183" s="535" t="n">
        <v>45411</v>
      </c>
      <c r="F7183" s="534" t="n">
        <v>4.008</v>
      </c>
    </row>
    <row r="7184">
      <c r="A7184" s="535" t="n">
        <v>41592</v>
      </c>
      <c r="B7184" s="534" t="n">
        <v>12.997</v>
      </c>
      <c r="C7184" s="534" t="n">
        <v>22649.15</v>
      </c>
      <c r="E7184" s="535" t="n">
        <v>45412</v>
      </c>
      <c r="F7184" s="534" t="n">
        <v>4.035</v>
      </c>
    </row>
    <row r="7185">
      <c r="A7185" s="535" t="n">
        <v>41593</v>
      </c>
      <c r="B7185" s="534" t="n">
        <v>13.067</v>
      </c>
      <c r="C7185" s="534" t="n">
        <v>23032.15</v>
      </c>
      <c r="E7185" s="535" t="n">
        <v>45413</v>
      </c>
      <c r="F7185" s="534" t="n">
        <v>4.035</v>
      </c>
    </row>
    <row r="7186">
      <c r="A7186" s="535" t="n">
        <v>41596</v>
      </c>
      <c r="B7186" s="534" t="n">
        <v>13.328</v>
      </c>
      <c r="C7186" s="534" t="n">
        <v>23660.06</v>
      </c>
      <c r="E7186" s="535" t="n">
        <v>45414</v>
      </c>
      <c r="F7186" s="534" t="n">
        <v>4.025</v>
      </c>
    </row>
    <row r="7187">
      <c r="A7187" s="535" t="n">
        <v>41597</v>
      </c>
      <c r="B7187" s="534" t="n">
        <v>13.398</v>
      </c>
      <c r="C7187" s="534" t="n">
        <v>23657.81</v>
      </c>
      <c r="E7187" s="535" t="n">
        <v>45415</v>
      </c>
      <c r="F7187" s="534" t="n">
        <v>3.974</v>
      </c>
    </row>
    <row r="7188">
      <c r="A7188" s="535" t="n">
        <v>41598</v>
      </c>
      <c r="B7188" s="534" t="n">
        <v>13.572</v>
      </c>
      <c r="C7188" s="534" t="n">
        <v>23700.86</v>
      </c>
      <c r="E7188" s="535" t="n">
        <v>45418</v>
      </c>
      <c r="F7188" s="534" t="n">
        <v>3.869</v>
      </c>
    </row>
    <row r="7189">
      <c r="A7189" s="535" t="n">
        <v>41599</v>
      </c>
      <c r="B7189" s="534" t="n">
        <v>14.007</v>
      </c>
      <c r="C7189" s="534" t="n">
        <v>23580.29</v>
      </c>
      <c r="E7189" s="535" t="n">
        <v>45419</v>
      </c>
      <c r="F7189" s="534" t="n">
        <v>3.835</v>
      </c>
    </row>
    <row r="7190">
      <c r="A7190" s="535" t="n">
        <v>41600</v>
      </c>
      <c r="B7190" s="534" t="n">
        <v>14.321</v>
      </c>
      <c r="C7190" s="534" t="n">
        <v>23696.28</v>
      </c>
      <c r="E7190" s="535" t="n">
        <v>45420</v>
      </c>
      <c r="F7190" s="534" t="n">
        <v>3.837</v>
      </c>
    </row>
    <row r="7191">
      <c r="A7191" s="535" t="n">
        <v>41603</v>
      </c>
      <c r="B7191" s="534" t="n">
        <v>14.391</v>
      </c>
      <c r="C7191" s="534" t="n">
        <v>23684.45</v>
      </c>
      <c r="E7191" s="535" t="n">
        <v>45421</v>
      </c>
      <c r="F7191" s="534" t="n">
        <v>3.884</v>
      </c>
    </row>
    <row r="7192">
      <c r="A7192" s="535" t="n">
        <v>41604</v>
      </c>
      <c r="B7192" s="534" t="n">
        <v>14.356</v>
      </c>
      <c r="C7192" s="534" t="n">
        <v>23681.28</v>
      </c>
      <c r="E7192" s="535" t="n">
        <v>45422</v>
      </c>
      <c r="F7192" s="534" t="n">
        <v>3.835</v>
      </c>
    </row>
    <row r="7193">
      <c r="A7193" s="535" t="n">
        <v>41605</v>
      </c>
      <c r="B7193" s="534" t="n">
        <v>14.391</v>
      </c>
      <c r="C7193" s="534" t="n">
        <v>23806.35</v>
      </c>
      <c r="E7193" s="535" t="n">
        <v>45425</v>
      </c>
      <c r="F7193" s="534" t="n">
        <v>3.875</v>
      </c>
    </row>
    <row r="7194">
      <c r="A7194" s="535" t="n">
        <v>41606</v>
      </c>
      <c r="B7194" s="534" t="n">
        <v>14.635</v>
      </c>
      <c r="C7194" s="534" t="n">
        <v>23789.09</v>
      </c>
      <c r="E7194" s="535" t="n">
        <v>45426</v>
      </c>
      <c r="F7194" s="534" t="n">
        <v>3.875</v>
      </c>
    </row>
    <row r="7195">
      <c r="A7195" s="535" t="n">
        <v>41607</v>
      </c>
      <c r="B7195" s="534" t="n">
        <v>14.304</v>
      </c>
      <c r="C7195" s="534" t="n">
        <v>23881.29</v>
      </c>
      <c r="E7195" s="535" t="n">
        <v>45427</v>
      </c>
      <c r="F7195" s="534" t="n">
        <v>3.875</v>
      </c>
    </row>
    <row r="7196">
      <c r="A7196" s="535" t="n">
        <v>41610</v>
      </c>
      <c r="B7196" s="534" t="n">
        <v>14.426</v>
      </c>
      <c r="C7196" s="534" t="n">
        <v>24038.55</v>
      </c>
      <c r="E7196" s="535" t="n">
        <v>45428</v>
      </c>
      <c r="F7196" s="534" t="n">
        <v>3.74</v>
      </c>
    </row>
    <row r="7197">
      <c r="A7197" s="535" t="n">
        <v>41611</v>
      </c>
      <c r="B7197" s="534" t="n">
        <v>14.6</v>
      </c>
      <c r="C7197" s="534" t="n">
        <v>23910.47</v>
      </c>
      <c r="E7197" s="535" t="n">
        <v>45429</v>
      </c>
      <c r="F7197" s="534" t="n">
        <v>3.762</v>
      </c>
    </row>
    <row r="7198">
      <c r="A7198" s="535" t="n">
        <v>41612</v>
      </c>
      <c r="B7198" s="534" t="n">
        <v>14.513</v>
      </c>
      <c r="C7198" s="534" t="n">
        <v>23728.7</v>
      </c>
      <c r="E7198" s="535" t="n">
        <v>45432</v>
      </c>
      <c r="F7198" s="534" t="n">
        <v>3.825</v>
      </c>
    </row>
    <row r="7199">
      <c r="A7199" s="535" t="n">
        <v>41613</v>
      </c>
      <c r="B7199" s="534" t="n">
        <v>14.286</v>
      </c>
      <c r="C7199" s="534" t="n">
        <v>23712.57</v>
      </c>
      <c r="E7199" s="535" t="n">
        <v>45433</v>
      </c>
      <c r="F7199" s="534" t="n">
        <v>3.817</v>
      </c>
    </row>
    <row r="7200">
      <c r="A7200" s="535" t="n">
        <v>41614</v>
      </c>
      <c r="B7200" s="534" t="n">
        <v>14.147</v>
      </c>
      <c r="C7200" s="534" t="n">
        <v>23743.1</v>
      </c>
      <c r="E7200" s="535" t="n">
        <v>45434</v>
      </c>
      <c r="F7200" s="534" t="n">
        <v>3.82</v>
      </c>
    </row>
    <row r="7201">
      <c r="A7201" s="535" t="n">
        <v>41617</v>
      </c>
      <c r="B7201" s="534" t="n">
        <v>14.164</v>
      </c>
      <c r="C7201" s="534" t="n">
        <v>23811.17</v>
      </c>
      <c r="E7201" s="535" t="n">
        <v>45435</v>
      </c>
      <c r="F7201" s="534" t="n">
        <v>3.814</v>
      </c>
    </row>
    <row r="7202">
      <c r="A7202" s="535" t="n">
        <v>41618</v>
      </c>
      <c r="B7202" s="534" t="n">
        <v>14.251</v>
      </c>
      <c r="C7202" s="534" t="n">
        <v>23744.19</v>
      </c>
      <c r="E7202" s="535" t="n">
        <v>45436</v>
      </c>
      <c r="F7202" s="534" t="n">
        <v>3.838</v>
      </c>
    </row>
    <row r="7203">
      <c r="A7203" s="535" t="n">
        <v>41619</v>
      </c>
      <c r="B7203" s="534" t="n">
        <v>13.99</v>
      </c>
      <c r="C7203" s="534" t="n">
        <v>23338.24</v>
      </c>
      <c r="E7203" s="535" t="n">
        <v>45439</v>
      </c>
      <c r="F7203" s="534" t="n">
        <v>3.844</v>
      </c>
    </row>
    <row r="7204">
      <c r="A7204" s="535" t="n">
        <v>41620</v>
      </c>
      <c r="B7204" s="534" t="n">
        <v>14.025</v>
      </c>
      <c r="C7204" s="534" t="n">
        <v>23218.12</v>
      </c>
      <c r="E7204" s="535" t="n">
        <v>45440</v>
      </c>
      <c r="F7204" s="534" t="n">
        <v>3.816</v>
      </c>
    </row>
    <row r="7205">
      <c r="A7205" s="535" t="n">
        <v>41621</v>
      </c>
      <c r="B7205" s="534" t="n">
        <v>13.938</v>
      </c>
      <c r="C7205" s="534" t="n">
        <v>23245.96</v>
      </c>
      <c r="E7205" s="535" t="n">
        <v>45441</v>
      </c>
      <c r="F7205" s="534" t="n">
        <v>3.91</v>
      </c>
    </row>
    <row r="7206">
      <c r="A7206" s="535" t="n">
        <v>41624</v>
      </c>
      <c r="B7206" s="534" t="n">
        <v>14.007</v>
      </c>
      <c r="C7206" s="534" t="n">
        <v>23114.66</v>
      </c>
      <c r="E7206" s="535" t="n">
        <v>45442</v>
      </c>
      <c r="F7206" s="534" t="n">
        <v>3.93</v>
      </c>
    </row>
    <row r="7207">
      <c r="A7207" s="535" t="n">
        <v>41625</v>
      </c>
      <c r="B7207" s="534" t="n">
        <v>14.112</v>
      </c>
      <c r="C7207" s="534" t="n">
        <v>23069.23</v>
      </c>
      <c r="E7207" s="535" t="n">
        <v>45443</v>
      </c>
      <c r="F7207" s="534" t="n">
        <v>3.896</v>
      </c>
    </row>
    <row r="7208">
      <c r="A7208" s="535" t="n">
        <v>41626</v>
      </c>
      <c r="B7208" s="534" t="n">
        <v>14.112</v>
      </c>
      <c r="C7208" s="534" t="n">
        <v>23143.82</v>
      </c>
      <c r="E7208" s="535" t="n">
        <v>45446</v>
      </c>
      <c r="F7208" s="534" t="n">
        <v>3.828</v>
      </c>
    </row>
    <row r="7209">
      <c r="A7209" s="535" t="n">
        <v>41627</v>
      </c>
      <c r="B7209" s="534" t="n">
        <v>13.711</v>
      </c>
      <c r="C7209" s="534" t="n">
        <v>22888.75</v>
      </c>
      <c r="E7209" s="535" t="n">
        <v>45447</v>
      </c>
      <c r="F7209" s="534" t="n">
        <v>3.736</v>
      </c>
    </row>
    <row r="7210">
      <c r="A7210" s="535" t="n">
        <v>41628</v>
      </c>
      <c r="B7210" s="534" t="n">
        <v>13.92</v>
      </c>
      <c r="C7210" s="534" t="n">
        <v>22812.18</v>
      </c>
      <c r="E7210" s="535" t="n">
        <v>45448</v>
      </c>
      <c r="F7210" s="534" t="n">
        <v>3.718</v>
      </c>
    </row>
    <row r="7211">
      <c r="A7211" s="535" t="n">
        <v>41631</v>
      </c>
      <c r="B7211" s="534" t="n">
        <v>14.042</v>
      </c>
      <c r="C7211" s="534" t="n">
        <v>22921.56</v>
      </c>
      <c r="E7211" s="535" t="n">
        <v>45449</v>
      </c>
      <c r="F7211" s="534" t="n">
        <v>3.647</v>
      </c>
    </row>
    <row r="7212">
      <c r="A7212" s="535" t="n">
        <v>41632</v>
      </c>
      <c r="B7212" s="534" t="n">
        <v>14.112</v>
      </c>
      <c r="C7212" s="534" t="n">
        <v>23179.55</v>
      </c>
      <c r="E7212" s="535" t="n">
        <v>45450</v>
      </c>
      <c r="F7212" s="534" t="n">
        <v>3.658</v>
      </c>
    </row>
    <row r="7213">
      <c r="A7213" s="535" t="n">
        <v>41633</v>
      </c>
      <c r="B7213" s="534" t="n">
        <v>14.112</v>
      </c>
      <c r="C7213" s="534" t="n">
        <v>23179.55</v>
      </c>
      <c r="E7213" s="535" t="n">
        <v>45453</v>
      </c>
      <c r="F7213" s="534" t="n">
        <v>3.658</v>
      </c>
    </row>
    <row r="7214">
      <c r="A7214" s="535" t="n">
        <v>41634</v>
      </c>
      <c r="B7214" s="534" t="n">
        <v>14.112</v>
      </c>
      <c r="C7214" s="534" t="n">
        <v>23179.55</v>
      </c>
      <c r="E7214" s="535" t="n">
        <v>45454</v>
      </c>
      <c r="F7214" s="534" t="n">
        <v>3.763</v>
      </c>
    </row>
    <row r="7215">
      <c r="A7215" s="535" t="n">
        <v>41635</v>
      </c>
      <c r="B7215" s="534" t="n">
        <v>14.182</v>
      </c>
      <c r="C7215" s="534" t="n">
        <v>23243.24</v>
      </c>
      <c r="E7215" s="535" t="n">
        <v>45455</v>
      </c>
      <c r="F7215" s="534" t="n">
        <v>3.744</v>
      </c>
    </row>
    <row r="7216">
      <c r="A7216" s="535" t="n">
        <v>41638</v>
      </c>
      <c r="B7216" s="534" t="n">
        <v>14.338</v>
      </c>
      <c r="C7216" s="534" t="n">
        <v>23244.87</v>
      </c>
      <c r="E7216" s="535" t="n">
        <v>45456</v>
      </c>
      <c r="F7216" s="534" t="n">
        <v>3.651</v>
      </c>
    </row>
    <row r="7217">
      <c r="A7217" s="535" t="n">
        <v>41639</v>
      </c>
      <c r="B7217" s="534" t="n">
        <v>14.286</v>
      </c>
      <c r="C7217" s="534" t="n">
        <v>23306.39</v>
      </c>
      <c r="E7217" s="535" t="n">
        <v>45457</v>
      </c>
      <c r="F7217" s="534" t="n">
        <v>3.569</v>
      </c>
    </row>
    <row r="7218">
      <c r="A7218" s="535" t="n">
        <v>41640</v>
      </c>
      <c r="B7218" s="534" t="n">
        <v>14.286</v>
      </c>
      <c r="C7218" s="534" t="n">
        <v>23306.39</v>
      </c>
      <c r="E7218" s="535" t="n">
        <v>45460</v>
      </c>
      <c r="F7218" s="534" t="n">
        <v>3.556</v>
      </c>
    </row>
    <row r="7219">
      <c r="A7219" s="535" t="n">
        <v>41641</v>
      </c>
      <c r="B7219" s="534" t="n">
        <v>14.286</v>
      </c>
      <c r="C7219" s="534" t="n">
        <v>23340.05</v>
      </c>
      <c r="E7219" s="535" t="n">
        <v>45461</v>
      </c>
      <c r="F7219" s="534" t="n">
        <v>3.615</v>
      </c>
    </row>
    <row r="7220">
      <c r="A7220" s="535" t="n">
        <v>41642</v>
      </c>
      <c r="B7220" s="534" t="n">
        <v>14.007</v>
      </c>
      <c r="C7220" s="534" t="n">
        <v>22817.28</v>
      </c>
      <c r="E7220" s="535" t="n">
        <v>45462</v>
      </c>
      <c r="F7220" s="534" t="n">
        <v>3.544</v>
      </c>
    </row>
    <row r="7221">
      <c r="A7221" s="535" t="n">
        <v>41645</v>
      </c>
      <c r="B7221" s="534" t="n">
        <v>13.868</v>
      </c>
      <c r="C7221" s="534" t="n">
        <v>22684.15</v>
      </c>
      <c r="E7221" s="535" t="n">
        <v>45463</v>
      </c>
      <c r="F7221" s="534" t="n">
        <v>3.567</v>
      </c>
    </row>
    <row r="7222">
      <c r="A7222" s="535" t="n">
        <v>41646</v>
      </c>
      <c r="B7222" s="534" t="n">
        <v>14.025</v>
      </c>
      <c r="C7222" s="534" t="n">
        <v>22712.78</v>
      </c>
      <c r="E7222" s="535" t="n">
        <v>45464</v>
      </c>
      <c r="F7222" s="534" t="n">
        <v>3.568</v>
      </c>
    </row>
    <row r="7223">
      <c r="A7223" s="535" t="n">
        <v>41647</v>
      </c>
      <c r="B7223" s="534" t="n">
        <v>14.391</v>
      </c>
      <c r="C7223" s="534" t="n">
        <v>22996.59</v>
      </c>
      <c r="E7223" s="535" t="n">
        <v>45467</v>
      </c>
      <c r="F7223" s="534" t="n">
        <v>3.552</v>
      </c>
    </row>
    <row r="7224">
      <c r="A7224" s="535" t="n">
        <v>41648</v>
      </c>
      <c r="B7224" s="534" t="n">
        <v>14.356</v>
      </c>
      <c r="C7224" s="534" t="n">
        <v>22787.33</v>
      </c>
      <c r="E7224" s="535" t="n">
        <v>45468</v>
      </c>
      <c r="F7224" s="534" t="n">
        <v>3.513</v>
      </c>
    </row>
    <row r="7225">
      <c r="A7225" s="535" t="n">
        <v>41649</v>
      </c>
      <c r="B7225" s="534" t="n">
        <v>14.826</v>
      </c>
      <c r="C7225" s="534" t="n">
        <v>22846.25</v>
      </c>
      <c r="E7225" s="535" t="n">
        <v>45469</v>
      </c>
      <c r="F7225" s="534" t="n">
        <v>3.561</v>
      </c>
    </row>
    <row r="7226">
      <c r="A7226" s="535" t="n">
        <v>41652</v>
      </c>
      <c r="B7226" s="534" t="n">
        <v>14.879</v>
      </c>
      <c r="C7226" s="534" t="n">
        <v>22888.76</v>
      </c>
      <c r="E7226" s="535" t="n">
        <v>45470</v>
      </c>
      <c r="F7226" s="534" t="n">
        <v>3.631</v>
      </c>
    </row>
    <row r="7227">
      <c r="A7227" s="535" t="n">
        <v>41653</v>
      </c>
      <c r="B7227" s="534" t="n">
        <v>14.844</v>
      </c>
      <c r="C7227" s="534" t="n">
        <v>22791.28</v>
      </c>
      <c r="E7227" s="535" t="n">
        <v>45471</v>
      </c>
      <c r="F7227" s="534" t="n">
        <v>3.582</v>
      </c>
    </row>
    <row r="7228">
      <c r="A7228" s="535" t="n">
        <v>41654</v>
      </c>
      <c r="B7228" s="534" t="n">
        <v>14.809</v>
      </c>
      <c r="C7228" s="534" t="n">
        <v>22902</v>
      </c>
      <c r="E7228" s="535" t="n">
        <v>45474</v>
      </c>
      <c r="F7228" s="534" t="n">
        <v>3.582</v>
      </c>
    </row>
    <row r="7229">
      <c r="A7229" s="535" t="n">
        <v>41655</v>
      </c>
      <c r="B7229" s="534" t="n">
        <v>14.757</v>
      </c>
      <c r="C7229" s="534" t="n">
        <v>22986.41</v>
      </c>
      <c r="E7229" s="535" t="n">
        <v>45475</v>
      </c>
      <c r="F7229" s="534" t="n">
        <v>3.665</v>
      </c>
    </row>
    <row r="7230">
      <c r="A7230" s="535" t="n">
        <v>41656</v>
      </c>
      <c r="B7230" s="534" t="n">
        <v>14.791</v>
      </c>
      <c r="C7230" s="534" t="n">
        <v>23133.35</v>
      </c>
      <c r="E7230" s="535" t="n">
        <v>45476</v>
      </c>
      <c r="F7230" s="534" t="n">
        <v>3.634</v>
      </c>
    </row>
    <row r="7231">
      <c r="A7231" s="535" t="n">
        <v>41659</v>
      </c>
      <c r="B7231" s="534" t="n">
        <v>14.722</v>
      </c>
      <c r="C7231" s="534" t="n">
        <v>22928.95</v>
      </c>
      <c r="E7231" s="535" t="n">
        <v>45477</v>
      </c>
      <c r="F7231" s="534" t="n">
        <v>3.591</v>
      </c>
    </row>
    <row r="7232">
      <c r="A7232" s="535" t="n">
        <v>41660</v>
      </c>
      <c r="B7232" s="534" t="n">
        <v>14.913</v>
      </c>
      <c r="C7232" s="534" t="n">
        <v>23033.12</v>
      </c>
      <c r="E7232" s="535" t="n">
        <v>45478</v>
      </c>
      <c r="F7232" s="534" t="n">
        <v>3.569</v>
      </c>
    </row>
    <row r="7233">
      <c r="A7233" s="535" t="n">
        <v>41661</v>
      </c>
      <c r="B7233" s="534" t="n">
        <v>14.722</v>
      </c>
      <c r="C7233" s="534" t="n">
        <v>23082.25</v>
      </c>
      <c r="E7233" s="535" t="n">
        <v>45481</v>
      </c>
      <c r="F7233" s="534" t="n">
        <v>3.513</v>
      </c>
    </row>
    <row r="7234">
      <c r="A7234" s="535" t="n">
        <v>41662</v>
      </c>
      <c r="B7234" s="534" t="n">
        <v>14.53</v>
      </c>
      <c r="C7234" s="534" t="n">
        <v>22733.9</v>
      </c>
      <c r="E7234" s="535" t="n">
        <v>45482</v>
      </c>
      <c r="F7234" s="534" t="n">
        <v>3.502</v>
      </c>
    </row>
    <row r="7235">
      <c r="A7235" s="535" t="n">
        <v>41663</v>
      </c>
      <c r="B7235" s="534" t="n">
        <v>14.408</v>
      </c>
      <c r="C7235" s="534" t="n">
        <v>22450.06</v>
      </c>
      <c r="E7235" s="535" t="n">
        <v>45483</v>
      </c>
      <c r="F7235" s="534" t="n">
        <v>3.487</v>
      </c>
    </row>
    <row r="7236">
      <c r="A7236" s="535" t="n">
        <v>41666</v>
      </c>
      <c r="B7236" s="534" t="n">
        <v>13.955</v>
      </c>
      <c r="C7236" s="534" t="n">
        <v>21976.1</v>
      </c>
      <c r="E7236" s="535" t="n">
        <v>45484</v>
      </c>
      <c r="F7236" s="534" t="n">
        <v>3.468</v>
      </c>
    </row>
    <row r="7237">
      <c r="A7237" s="535" t="n">
        <v>41667</v>
      </c>
      <c r="B7237" s="534" t="n">
        <v>13.694</v>
      </c>
      <c r="C7237" s="534" t="n">
        <v>21960.64</v>
      </c>
      <c r="E7237" s="535" t="n">
        <v>45485</v>
      </c>
      <c r="F7237" s="534" t="n">
        <v>3.394</v>
      </c>
    </row>
    <row r="7238">
      <c r="A7238" s="535" t="n">
        <v>41668</v>
      </c>
      <c r="B7238" s="534" t="n">
        <v>14.06</v>
      </c>
      <c r="C7238" s="534" t="n">
        <v>22141.61</v>
      </c>
      <c r="E7238" s="535" t="n">
        <v>45488</v>
      </c>
      <c r="F7238" s="534" t="n">
        <v>3.391</v>
      </c>
    </row>
    <row r="7239">
      <c r="A7239" s="535" t="n">
        <v>41669</v>
      </c>
      <c r="B7239" s="534" t="n">
        <v>14.025</v>
      </c>
      <c r="C7239" s="534" t="n">
        <v>22035.42</v>
      </c>
      <c r="E7239" s="535" t="n">
        <v>45489</v>
      </c>
      <c r="F7239" s="534" t="n">
        <v>3.361</v>
      </c>
    </row>
    <row r="7240">
      <c r="A7240" s="535" t="n">
        <v>41670</v>
      </c>
      <c r="B7240" s="534" t="n">
        <v>14.025</v>
      </c>
      <c r="C7240" s="534" t="n">
        <v>22035.42</v>
      </c>
      <c r="E7240" s="535" t="n">
        <v>45490</v>
      </c>
      <c r="F7240" s="534" t="n">
        <v>3.343</v>
      </c>
    </row>
    <row r="7241">
      <c r="A7241" s="535" t="n">
        <v>41673</v>
      </c>
      <c r="B7241" s="534" t="n">
        <v>14.025</v>
      </c>
      <c r="C7241" s="534" t="n">
        <v>22035.42</v>
      </c>
      <c r="E7241" s="535" t="n">
        <v>45491</v>
      </c>
      <c r="F7241" s="534" t="n">
        <v>3.324</v>
      </c>
    </row>
    <row r="7242">
      <c r="A7242" s="535" t="n">
        <v>41674</v>
      </c>
      <c r="B7242" s="534" t="n">
        <v>13.467</v>
      </c>
      <c r="C7242" s="534" t="n">
        <v>21397.77</v>
      </c>
      <c r="E7242" s="535" t="n">
        <v>45492</v>
      </c>
      <c r="F7242" s="534" t="n">
        <v>3.337</v>
      </c>
    </row>
    <row r="7243">
      <c r="A7243" s="535" t="n">
        <v>41675</v>
      </c>
      <c r="B7243" s="534" t="n">
        <v>13.328</v>
      </c>
      <c r="C7243" s="534" t="n">
        <v>21269.38</v>
      </c>
      <c r="E7243" s="535" t="n">
        <v>45495</v>
      </c>
      <c r="F7243" s="534" t="n">
        <v>3.336</v>
      </c>
    </row>
    <row r="7244">
      <c r="A7244" s="535" t="n">
        <v>41676</v>
      </c>
      <c r="B7244" s="534" t="n">
        <v>13.328</v>
      </c>
      <c r="C7244" s="534" t="n">
        <v>21423.13</v>
      </c>
      <c r="E7244" s="535" t="n">
        <v>45496</v>
      </c>
      <c r="F7244" s="534" t="n">
        <v>3.367</v>
      </c>
    </row>
    <row r="7245">
      <c r="A7245" s="535" t="n">
        <v>41677</v>
      </c>
      <c r="B7245" s="534" t="n">
        <v>13.467</v>
      </c>
      <c r="C7245" s="534" t="n">
        <v>21636.85</v>
      </c>
      <c r="E7245" s="535" t="n">
        <v>45497</v>
      </c>
      <c r="F7245" s="534" t="n">
        <v>3.314</v>
      </c>
    </row>
    <row r="7246">
      <c r="A7246" s="535" t="n">
        <v>41680</v>
      </c>
      <c r="B7246" s="534" t="n">
        <v>13.415</v>
      </c>
      <c r="C7246" s="534" t="n">
        <v>21579.26</v>
      </c>
      <c r="E7246" s="535" t="n">
        <v>45498</v>
      </c>
      <c r="F7246" s="534" t="n">
        <v>3.283</v>
      </c>
    </row>
    <row r="7247">
      <c r="A7247" s="535" t="n">
        <v>41681</v>
      </c>
      <c r="B7247" s="534" t="n">
        <v>13.711</v>
      </c>
      <c r="C7247" s="534" t="n">
        <v>21962.98</v>
      </c>
      <c r="E7247" s="535" t="n">
        <v>45499</v>
      </c>
      <c r="F7247" s="534" t="n">
        <v>3.26</v>
      </c>
    </row>
    <row r="7248">
      <c r="A7248" s="535" t="n">
        <v>41682</v>
      </c>
      <c r="B7248" s="534" t="n">
        <v>13.833</v>
      </c>
      <c r="C7248" s="534" t="n">
        <v>22285.79</v>
      </c>
      <c r="E7248" s="535" t="n">
        <v>45502</v>
      </c>
      <c r="F7248" s="534" t="n">
        <v>3.178</v>
      </c>
    </row>
    <row r="7249">
      <c r="A7249" s="535" t="n">
        <v>41683</v>
      </c>
      <c r="B7249" s="534" t="n">
        <v>13.433</v>
      </c>
      <c r="C7249" s="534" t="n">
        <v>22165.53</v>
      </c>
      <c r="E7249" s="535" t="n">
        <v>45503</v>
      </c>
      <c r="F7249" s="534" t="n">
        <v>3.198</v>
      </c>
    </row>
    <row r="7250">
      <c r="A7250" s="535" t="n">
        <v>41684</v>
      </c>
      <c r="B7250" s="534" t="n">
        <v>13.52</v>
      </c>
      <c r="C7250" s="534" t="n">
        <v>22298.41</v>
      </c>
      <c r="E7250" s="535" t="n">
        <v>45504</v>
      </c>
      <c r="F7250" s="534" t="n">
        <v>3.173</v>
      </c>
    </row>
    <row r="7251">
      <c r="A7251" s="535" t="n">
        <v>41687</v>
      </c>
      <c r="B7251" s="534" t="n">
        <v>13.589</v>
      </c>
      <c r="C7251" s="534" t="n">
        <v>22535.94</v>
      </c>
      <c r="E7251" s="535" t="n">
        <v>45505</v>
      </c>
      <c r="F7251" s="534" t="n">
        <v>3.099</v>
      </c>
    </row>
    <row r="7252">
      <c r="A7252" s="535" t="n">
        <v>41688</v>
      </c>
      <c r="B7252" s="534" t="n">
        <v>13.415</v>
      </c>
      <c r="C7252" s="534" t="n">
        <v>22587.72</v>
      </c>
      <c r="E7252" s="535" t="n">
        <v>45506</v>
      </c>
      <c r="F7252" s="534" t="n">
        <v>3.025</v>
      </c>
    </row>
    <row r="7253">
      <c r="A7253" s="535" t="n">
        <v>41689</v>
      </c>
      <c r="B7253" s="534" t="n">
        <v>13.171</v>
      </c>
      <c r="C7253" s="534" t="n">
        <v>22664.52</v>
      </c>
      <c r="E7253" s="535" t="n">
        <v>45509</v>
      </c>
      <c r="F7253" s="534" t="n">
        <v>2.842</v>
      </c>
    </row>
    <row r="7254">
      <c r="A7254" s="535" t="n">
        <v>41690</v>
      </c>
      <c r="B7254" s="534" t="n">
        <v>13.119</v>
      </c>
      <c r="C7254" s="534" t="n">
        <v>22394.08</v>
      </c>
      <c r="E7254" s="535" t="n">
        <v>45510</v>
      </c>
      <c r="F7254" s="534" t="n">
        <v>2.959</v>
      </c>
    </row>
    <row r="7255">
      <c r="A7255" s="535" t="n">
        <v>41691</v>
      </c>
      <c r="B7255" s="534" t="n">
        <v>13.642</v>
      </c>
      <c r="C7255" s="534" t="n">
        <v>22568.24</v>
      </c>
      <c r="E7255" s="535" t="n">
        <v>45511</v>
      </c>
      <c r="F7255" s="534" t="n">
        <v>2.975</v>
      </c>
    </row>
    <row r="7256">
      <c r="A7256" s="535" t="n">
        <v>41694</v>
      </c>
      <c r="B7256" s="534" t="n">
        <v>13.293</v>
      </c>
      <c r="C7256" s="534" t="n">
        <v>22388.56</v>
      </c>
      <c r="E7256" s="535" t="n">
        <v>45512</v>
      </c>
      <c r="F7256" s="534" t="n">
        <v>3.007</v>
      </c>
    </row>
    <row r="7257">
      <c r="A7257" s="535" t="n">
        <v>41695</v>
      </c>
      <c r="B7257" s="534" t="n">
        <v>13.241</v>
      </c>
      <c r="C7257" s="534" t="n">
        <v>22317.2</v>
      </c>
      <c r="E7257" s="535" t="n">
        <v>45513</v>
      </c>
      <c r="F7257" s="534" t="n">
        <v>3.039</v>
      </c>
    </row>
    <row r="7258">
      <c r="A7258" s="535" t="n">
        <v>41696</v>
      </c>
      <c r="B7258" s="534" t="n">
        <v>13.189</v>
      </c>
      <c r="C7258" s="534" t="n">
        <v>22437.44</v>
      </c>
      <c r="E7258" s="535" t="n">
        <v>45516</v>
      </c>
      <c r="F7258" s="534" t="n">
        <v>3.029</v>
      </c>
    </row>
    <row r="7259">
      <c r="A7259" s="535" t="n">
        <v>41697</v>
      </c>
      <c r="B7259" s="534" t="n">
        <v>13.572</v>
      </c>
      <c r="C7259" s="534" t="n">
        <v>22828.18</v>
      </c>
      <c r="E7259" s="535" t="n">
        <v>45517</v>
      </c>
      <c r="F7259" s="534" t="n">
        <v>2.962</v>
      </c>
    </row>
    <row r="7260">
      <c r="A7260" s="535" t="n">
        <v>41698</v>
      </c>
      <c r="B7260" s="534" t="n">
        <v>13.764</v>
      </c>
      <c r="C7260" s="534" t="n">
        <v>22836.96</v>
      </c>
      <c r="E7260" s="535" t="n">
        <v>45518</v>
      </c>
      <c r="F7260" s="534" t="n">
        <v>2.908</v>
      </c>
    </row>
    <row r="7261">
      <c r="A7261" s="535" t="n">
        <v>41701</v>
      </c>
      <c r="B7261" s="534" t="n">
        <v>13.694</v>
      </c>
      <c r="C7261" s="534" t="n">
        <v>22500.67</v>
      </c>
      <c r="E7261" s="535" t="n">
        <v>45519</v>
      </c>
      <c r="F7261" s="534" t="n">
        <v>2.893</v>
      </c>
    </row>
    <row r="7262">
      <c r="A7262" s="535" t="n">
        <v>41702</v>
      </c>
      <c r="B7262" s="534" t="n">
        <v>13.415</v>
      </c>
      <c r="C7262" s="534" t="n">
        <v>22657.63</v>
      </c>
      <c r="E7262" s="535" t="n">
        <v>45520</v>
      </c>
      <c r="F7262" s="534" t="n">
        <v>2.948</v>
      </c>
    </row>
    <row r="7263">
      <c r="A7263" s="535" t="n">
        <v>41703</v>
      </c>
      <c r="B7263" s="534" t="n">
        <v>13.659</v>
      </c>
      <c r="C7263" s="534" t="n">
        <v>22579.78</v>
      </c>
      <c r="E7263" s="535" t="n">
        <v>45523</v>
      </c>
      <c r="F7263" s="534" t="n">
        <v>2.924</v>
      </c>
    </row>
    <row r="7264">
      <c r="A7264" s="535" t="n">
        <v>41704</v>
      </c>
      <c r="B7264" s="534" t="n">
        <v>13.781</v>
      </c>
      <c r="C7264" s="534" t="n">
        <v>22702.97</v>
      </c>
      <c r="E7264" s="535" t="n">
        <v>45524</v>
      </c>
      <c r="F7264" s="534" t="n">
        <v>2.908</v>
      </c>
    </row>
    <row r="7265">
      <c r="A7265" s="535" t="n">
        <v>41705</v>
      </c>
      <c r="B7265" s="534" t="n">
        <v>13.833</v>
      </c>
      <c r="C7265" s="534" t="n">
        <v>22660.49</v>
      </c>
      <c r="E7265" s="535" t="n">
        <v>45525</v>
      </c>
      <c r="F7265" s="534" t="n">
        <v>2.874</v>
      </c>
    </row>
    <row r="7266">
      <c r="A7266" s="535" t="n">
        <v>41708</v>
      </c>
      <c r="B7266" s="534" t="n">
        <v>13.781</v>
      </c>
      <c r="C7266" s="534" t="n">
        <v>22264.93</v>
      </c>
      <c r="E7266" s="535" t="n">
        <v>45526</v>
      </c>
      <c r="F7266" s="534" t="n">
        <v>2.911</v>
      </c>
    </row>
    <row r="7267">
      <c r="A7267" s="535" t="n">
        <v>41709</v>
      </c>
      <c r="B7267" s="534" t="n">
        <v>13.746</v>
      </c>
      <c r="C7267" s="534" t="n">
        <v>22269.61</v>
      </c>
      <c r="E7267" s="535" t="n">
        <v>45527</v>
      </c>
      <c r="F7267" s="534" t="n">
        <v>2.95</v>
      </c>
    </row>
    <row r="7268">
      <c r="A7268" s="535" t="n">
        <v>41710</v>
      </c>
      <c r="B7268" s="534" t="n">
        <v>13.415</v>
      </c>
      <c r="C7268" s="534" t="n">
        <v>21901.95</v>
      </c>
      <c r="E7268" s="535" t="n">
        <v>45530</v>
      </c>
      <c r="F7268" s="534" t="n">
        <v>2.887</v>
      </c>
    </row>
    <row r="7269">
      <c r="A7269" s="535" t="n">
        <v>41711</v>
      </c>
      <c r="B7269" s="534" t="n">
        <v>13.502</v>
      </c>
      <c r="C7269" s="534" t="n">
        <v>21756.08</v>
      </c>
      <c r="E7269" s="535" t="n">
        <v>45531</v>
      </c>
      <c r="F7269" s="534" t="n">
        <v>2.911</v>
      </c>
    </row>
    <row r="7270">
      <c r="A7270" s="535" t="n">
        <v>41712</v>
      </c>
      <c r="B7270" s="534" t="n">
        <v>13.223</v>
      </c>
      <c r="C7270" s="534" t="n">
        <v>21539.49</v>
      </c>
      <c r="E7270" s="535" t="n">
        <v>45532</v>
      </c>
      <c r="F7270" s="534" t="n">
        <v>2.924</v>
      </c>
    </row>
    <row r="7271">
      <c r="A7271" s="535" t="n">
        <v>41715</v>
      </c>
      <c r="B7271" s="534" t="n">
        <v>12.997</v>
      </c>
      <c r="C7271" s="534" t="n">
        <v>21473.95</v>
      </c>
      <c r="E7271" s="535" t="n">
        <v>45533</v>
      </c>
      <c r="F7271" s="534" t="n">
        <v>2.923</v>
      </c>
    </row>
    <row r="7272">
      <c r="A7272" s="535" t="n">
        <v>41716</v>
      </c>
      <c r="B7272" s="534" t="n">
        <v>13.014</v>
      </c>
      <c r="C7272" s="534" t="n">
        <v>21583.5</v>
      </c>
      <c r="E7272" s="535" t="n">
        <v>45534</v>
      </c>
      <c r="F7272" s="534" t="n">
        <v>2.953</v>
      </c>
    </row>
    <row r="7273">
      <c r="A7273" s="535" t="n">
        <v>41717</v>
      </c>
      <c r="B7273" s="534" t="n">
        <v>13.328</v>
      </c>
      <c r="C7273" s="534" t="n">
        <v>21568.69</v>
      </c>
      <c r="E7273" s="535" t="n">
        <v>45537</v>
      </c>
      <c r="F7273" s="534" t="n">
        <v>2.989</v>
      </c>
    </row>
    <row r="7274">
      <c r="A7274" s="535" t="n">
        <v>41718</v>
      </c>
      <c r="B7274" s="534" t="n">
        <v>13.119</v>
      </c>
      <c r="C7274" s="534" t="n">
        <v>21182.16</v>
      </c>
      <c r="E7274" s="535" t="n">
        <v>45538</v>
      </c>
      <c r="F7274" s="534" t="n">
        <v>2.969</v>
      </c>
    </row>
    <row r="7275">
      <c r="A7275" s="535" t="n">
        <v>41719</v>
      </c>
      <c r="B7275" s="534" t="n">
        <v>13.154</v>
      </c>
      <c r="C7275" s="534" t="n">
        <v>21436.7</v>
      </c>
      <c r="E7275" s="535" t="n">
        <v>45539</v>
      </c>
      <c r="F7275" s="534" t="n">
        <v>2.901</v>
      </c>
    </row>
    <row r="7276">
      <c r="A7276" s="535" t="n">
        <v>41722</v>
      </c>
      <c r="B7276" s="534" t="n">
        <v>13.38</v>
      </c>
      <c r="C7276" s="534" t="n">
        <v>21846.45</v>
      </c>
      <c r="E7276" s="535" t="n">
        <v>45540</v>
      </c>
      <c r="F7276" s="534" t="n">
        <v>2.83</v>
      </c>
    </row>
    <row r="7277">
      <c r="A7277" s="535" t="n">
        <v>41723</v>
      </c>
      <c r="B7277" s="534" t="n">
        <v>13.293</v>
      </c>
      <c r="C7277" s="534" t="n">
        <v>21732.32</v>
      </c>
      <c r="E7277" s="535" t="n">
        <v>45541</v>
      </c>
      <c r="F7277" s="534" t="n">
        <v>2.83</v>
      </c>
    </row>
    <row r="7278">
      <c r="A7278" s="535" t="n">
        <v>41724</v>
      </c>
      <c r="B7278" s="534" t="n">
        <v>13.136</v>
      </c>
      <c r="C7278" s="534" t="n">
        <v>21887.75</v>
      </c>
      <c r="E7278" s="535" t="n">
        <v>45544</v>
      </c>
      <c r="F7278" s="534" t="n">
        <v>2.817</v>
      </c>
    </row>
    <row r="7279">
      <c r="A7279" s="535" t="n">
        <v>41725</v>
      </c>
      <c r="B7279" s="534" t="n">
        <v>12.84</v>
      </c>
      <c r="C7279" s="534" t="n">
        <v>21834.45</v>
      </c>
      <c r="E7279" s="535" t="n">
        <v>45545</v>
      </c>
      <c r="F7279" s="534" t="n">
        <v>2.771</v>
      </c>
    </row>
    <row r="7280">
      <c r="A7280" s="535" t="n">
        <v>41726</v>
      </c>
      <c r="B7280" s="534" t="n">
        <v>12.649</v>
      </c>
      <c r="C7280" s="534" t="n">
        <v>22065.53</v>
      </c>
      <c r="E7280" s="535" t="n">
        <v>45546</v>
      </c>
      <c r="F7280" s="534" t="n">
        <v>2.712</v>
      </c>
    </row>
    <row r="7281">
      <c r="A7281" s="535" t="n">
        <v>41729</v>
      </c>
      <c r="B7281" s="534" t="n">
        <v>12.596</v>
      </c>
      <c r="C7281" s="534" t="n">
        <v>22151.06</v>
      </c>
      <c r="E7281" s="535" t="n">
        <v>45547</v>
      </c>
      <c r="F7281" s="534" t="n">
        <v>2.739</v>
      </c>
    </row>
    <row r="7282">
      <c r="A7282" s="535" t="n">
        <v>41730</v>
      </c>
      <c r="B7282" s="534" t="n">
        <v>12.788</v>
      </c>
      <c r="C7282" s="534" t="n">
        <v>22448.54</v>
      </c>
      <c r="E7282" s="535" t="n">
        <v>45548</v>
      </c>
      <c r="F7282" s="534" t="n">
        <v>2.689</v>
      </c>
    </row>
    <row r="7283">
      <c r="A7283" s="535" t="n">
        <v>41731</v>
      </c>
      <c r="B7283" s="534" t="n">
        <v>12.614</v>
      </c>
      <c r="C7283" s="534" t="n">
        <v>22523.94</v>
      </c>
      <c r="E7283" s="535" t="n">
        <v>45551</v>
      </c>
      <c r="F7283" s="534" t="n">
        <v>2.654</v>
      </c>
    </row>
    <row r="7284">
      <c r="A7284" s="535" t="n">
        <v>41732</v>
      </c>
      <c r="B7284" s="534" t="n">
        <v>12.178</v>
      </c>
      <c r="C7284" s="534" t="n">
        <v>22565.08</v>
      </c>
      <c r="E7284" s="535" t="n">
        <v>45552</v>
      </c>
      <c r="F7284" s="534" t="n">
        <v>2.661</v>
      </c>
    </row>
    <row r="7285">
      <c r="A7285" s="535" t="n">
        <v>41733</v>
      </c>
      <c r="B7285" s="534" t="n">
        <v>12.3</v>
      </c>
      <c r="C7285" s="534" t="n">
        <v>22510.08</v>
      </c>
      <c r="E7285" s="535" t="n">
        <v>45553</v>
      </c>
      <c r="F7285" s="534" t="n">
        <v>2.661</v>
      </c>
    </row>
    <row r="7286">
      <c r="A7286" s="535" t="n">
        <v>41736</v>
      </c>
      <c r="B7286" s="534" t="n">
        <v>12.283</v>
      </c>
      <c r="C7286" s="534" t="n">
        <v>22377.15</v>
      </c>
      <c r="E7286" s="535" t="n">
        <v>45554</v>
      </c>
      <c r="F7286" s="534" t="n">
        <v>2.724</v>
      </c>
    </row>
    <row r="7287">
      <c r="A7287" s="535" t="n">
        <v>41737</v>
      </c>
      <c r="B7287" s="534" t="n">
        <v>12.823</v>
      </c>
      <c r="C7287" s="534" t="n">
        <v>22596.97</v>
      </c>
      <c r="E7287" s="535" t="n">
        <v>45555</v>
      </c>
      <c r="F7287" s="534" t="n">
        <v>2.743</v>
      </c>
    </row>
    <row r="7288">
      <c r="A7288" s="535" t="n">
        <v>41738</v>
      </c>
      <c r="B7288" s="534" t="n">
        <v>13.014</v>
      </c>
      <c r="C7288" s="534" t="n">
        <v>22843.17</v>
      </c>
      <c r="E7288" s="535" t="n">
        <v>45558</v>
      </c>
      <c r="F7288" s="534" t="n">
        <v>2.776</v>
      </c>
    </row>
    <row r="7289">
      <c r="A7289" s="535" t="n">
        <v>41739</v>
      </c>
      <c r="B7289" s="534" t="n">
        <v>13.502</v>
      </c>
      <c r="C7289" s="534" t="n">
        <v>23186.96</v>
      </c>
      <c r="E7289" s="535" t="n">
        <v>45559</v>
      </c>
      <c r="F7289" s="534" t="n">
        <v>2.797</v>
      </c>
    </row>
    <row r="7290">
      <c r="A7290" s="535" t="n">
        <v>41740</v>
      </c>
      <c r="B7290" s="534" t="n">
        <v>13.293</v>
      </c>
      <c r="C7290" s="534" t="n">
        <v>23003.64</v>
      </c>
      <c r="E7290" s="535" t="n">
        <v>45560</v>
      </c>
      <c r="F7290" s="534" t="n">
        <v>2.758</v>
      </c>
    </row>
    <row r="7291">
      <c r="A7291" s="535" t="n">
        <v>41743</v>
      </c>
      <c r="B7291" s="534" t="n">
        <v>13.415</v>
      </c>
      <c r="C7291" s="534" t="n">
        <v>23038.8</v>
      </c>
      <c r="E7291" s="535" t="n">
        <v>45561</v>
      </c>
      <c r="F7291" s="534" t="n">
        <v>2.788</v>
      </c>
    </row>
    <row r="7292">
      <c r="A7292" s="535" t="n">
        <v>41744</v>
      </c>
      <c r="B7292" s="534" t="n">
        <v>13.241</v>
      </c>
      <c r="C7292" s="534" t="n">
        <v>22671.26</v>
      </c>
      <c r="E7292" s="535" t="n">
        <v>45562</v>
      </c>
      <c r="F7292" s="534" t="n">
        <v>2.812</v>
      </c>
    </row>
    <row r="7293">
      <c r="A7293" s="535" t="n">
        <v>41745</v>
      </c>
      <c r="B7293" s="534" t="n">
        <v>13.206</v>
      </c>
      <c r="C7293" s="534" t="n">
        <v>22696.01</v>
      </c>
      <c r="E7293" s="535" t="n">
        <v>45565</v>
      </c>
      <c r="F7293" s="534" t="n">
        <v>2.82</v>
      </c>
    </row>
    <row r="7294">
      <c r="A7294" s="535" t="n">
        <v>41746</v>
      </c>
      <c r="B7294" s="534" t="n">
        <v>13.102</v>
      </c>
      <c r="C7294" s="534" t="n">
        <v>22760.24</v>
      </c>
      <c r="E7294" s="535" t="n">
        <v>45566</v>
      </c>
      <c r="F7294" s="534" t="n">
        <v>2.82</v>
      </c>
    </row>
    <row r="7295">
      <c r="A7295" s="535" t="n">
        <v>41747</v>
      </c>
      <c r="B7295" s="534" t="n">
        <v>13.102</v>
      </c>
      <c r="C7295" s="534" t="n">
        <v>22760.24</v>
      </c>
      <c r="E7295" s="535" t="n">
        <v>45567</v>
      </c>
      <c r="F7295" s="534" t="n">
        <v>2.819</v>
      </c>
    </row>
    <row r="7296">
      <c r="A7296" s="535" t="n">
        <v>41750</v>
      </c>
      <c r="B7296" s="534" t="n">
        <v>13.102</v>
      </c>
      <c r="C7296" s="534" t="n">
        <v>22760.24</v>
      </c>
      <c r="E7296" s="535" t="n">
        <v>45568</v>
      </c>
      <c r="F7296" s="534" t="n">
        <v>2.861</v>
      </c>
    </row>
    <row r="7297">
      <c r="A7297" s="535" t="n">
        <v>41751</v>
      </c>
      <c r="B7297" s="534" t="n">
        <v>12.98</v>
      </c>
      <c r="C7297" s="534" t="n">
        <v>22730.68</v>
      </c>
      <c r="E7297" s="535" t="n">
        <v>45569</v>
      </c>
      <c r="F7297" s="534" t="n">
        <v>2.911</v>
      </c>
    </row>
    <row r="7298">
      <c r="A7298" s="535" t="n">
        <v>41752</v>
      </c>
      <c r="B7298" s="534" t="n">
        <v>12.945</v>
      </c>
      <c r="C7298" s="534" t="n">
        <v>22509.64</v>
      </c>
      <c r="E7298" s="535" t="n">
        <v>45572</v>
      </c>
      <c r="F7298" s="534" t="n">
        <v>3.101</v>
      </c>
    </row>
    <row r="7299">
      <c r="A7299" s="535" t="n">
        <v>41753</v>
      </c>
      <c r="B7299" s="534" t="n">
        <v>13.189</v>
      </c>
      <c r="C7299" s="534" t="n">
        <v>22562.8</v>
      </c>
      <c r="E7299" s="535" t="n">
        <v>45573</v>
      </c>
      <c r="F7299" s="534" t="n">
        <v>3.06</v>
      </c>
    </row>
    <row r="7300">
      <c r="A7300" s="535" t="n">
        <v>41754</v>
      </c>
      <c r="B7300" s="534" t="n">
        <v>12.927</v>
      </c>
      <c r="C7300" s="534" t="n">
        <v>22223.53</v>
      </c>
      <c r="E7300" s="535" t="n">
        <v>45574</v>
      </c>
      <c r="F7300" s="534" t="n">
        <v>3.039</v>
      </c>
    </row>
    <row r="7301">
      <c r="A7301" s="535" t="n">
        <v>41757</v>
      </c>
      <c r="B7301" s="534" t="n">
        <v>12.858</v>
      </c>
      <c r="C7301" s="534" t="n">
        <v>22132.53</v>
      </c>
      <c r="E7301" s="535" t="n">
        <v>45575</v>
      </c>
      <c r="F7301" s="534" t="n">
        <v>3.094</v>
      </c>
    </row>
    <row r="7302">
      <c r="A7302" s="535" t="n">
        <v>41758</v>
      </c>
      <c r="B7302" s="534" t="n">
        <v>12.91</v>
      </c>
      <c r="C7302" s="534" t="n">
        <v>22453.89</v>
      </c>
      <c r="E7302" s="535" t="n">
        <v>45576</v>
      </c>
      <c r="F7302" s="534" t="n">
        <v>3.094</v>
      </c>
    </row>
    <row r="7303">
      <c r="A7303" s="535" t="n">
        <v>41759</v>
      </c>
      <c r="B7303" s="534" t="n">
        <v>12.753</v>
      </c>
      <c r="C7303" s="534" t="n">
        <v>22133.97</v>
      </c>
      <c r="E7303" s="535" t="n">
        <v>45579</v>
      </c>
      <c r="F7303" s="534" t="n">
        <v>3.116</v>
      </c>
    </row>
    <row r="7304">
      <c r="A7304" s="535" t="n">
        <v>41760</v>
      </c>
      <c r="B7304" s="534" t="n">
        <v>12.753</v>
      </c>
      <c r="C7304" s="534" t="n">
        <v>22133.97</v>
      </c>
      <c r="E7304" s="535" t="n">
        <v>45580</v>
      </c>
      <c r="F7304" s="534" t="n">
        <v>3.129</v>
      </c>
    </row>
    <row r="7305">
      <c r="A7305" s="535" t="n">
        <v>41761</v>
      </c>
      <c r="B7305" s="534" t="n">
        <v>13.014</v>
      </c>
      <c r="C7305" s="534" t="n">
        <v>22260.67</v>
      </c>
      <c r="E7305" s="535" t="n">
        <v>45581</v>
      </c>
      <c r="F7305" s="534" t="n">
        <v>3.03</v>
      </c>
    </row>
    <row r="7306">
      <c r="A7306" s="535" t="n">
        <v>41764</v>
      </c>
      <c r="B7306" s="534" t="n">
        <v>12.683</v>
      </c>
      <c r="C7306" s="534" t="n">
        <v>21976.33</v>
      </c>
      <c r="E7306" s="535" t="n">
        <v>45582</v>
      </c>
      <c r="F7306" s="534" t="n">
        <v>3.037</v>
      </c>
    </row>
    <row r="7307">
      <c r="A7307" s="535" t="n">
        <v>41765</v>
      </c>
      <c r="B7307" s="534" t="n">
        <v>12.683</v>
      </c>
      <c r="C7307" s="534" t="n">
        <v>21976.33</v>
      </c>
      <c r="E7307" s="535" t="n">
        <v>45583</v>
      </c>
      <c r="F7307" s="534" t="n">
        <v>3.109</v>
      </c>
    </row>
    <row r="7308">
      <c r="A7308" s="535" t="n">
        <v>41766</v>
      </c>
      <c r="B7308" s="534" t="n">
        <v>12.596</v>
      </c>
      <c r="C7308" s="534" t="n">
        <v>21746.26</v>
      </c>
      <c r="E7308" s="535" t="n">
        <v>45586</v>
      </c>
      <c r="F7308" s="534" t="n">
        <v>3.091</v>
      </c>
    </row>
    <row r="7309">
      <c r="A7309" s="535" t="n">
        <v>41767</v>
      </c>
      <c r="B7309" s="534" t="n">
        <v>12.718</v>
      </c>
      <c r="C7309" s="534" t="n">
        <v>21837.12</v>
      </c>
      <c r="E7309" s="535" t="n">
        <v>45587</v>
      </c>
      <c r="F7309" s="534" t="n">
        <v>3.182</v>
      </c>
    </row>
    <row r="7310">
      <c r="A7310" s="535" t="n">
        <v>41768</v>
      </c>
      <c r="B7310" s="534" t="n">
        <v>12.492</v>
      </c>
      <c r="C7310" s="534" t="n">
        <v>21862.99</v>
      </c>
      <c r="E7310" s="535" t="n">
        <v>45588</v>
      </c>
      <c r="F7310" s="534" t="n">
        <v>3.203</v>
      </c>
    </row>
    <row r="7311">
      <c r="A7311" s="535" t="n">
        <v>41771</v>
      </c>
      <c r="B7311" s="534" t="n">
        <v>12.771</v>
      </c>
      <c r="C7311" s="534" t="n">
        <v>22261.61</v>
      </c>
      <c r="E7311" s="535" t="n">
        <v>45589</v>
      </c>
      <c r="F7311" s="534" t="n">
        <v>3.223</v>
      </c>
    </row>
    <row r="7312">
      <c r="A7312" s="535" t="n">
        <v>41772</v>
      </c>
      <c r="B7312" s="534" t="n">
        <v>13.049</v>
      </c>
      <c r="C7312" s="534" t="n">
        <v>22352.38</v>
      </c>
      <c r="E7312" s="535" t="n">
        <v>45590</v>
      </c>
      <c r="F7312" s="534" t="n">
        <v>3.156</v>
      </c>
    </row>
    <row r="7313">
      <c r="A7313" s="535" t="n">
        <v>41773</v>
      </c>
      <c r="B7313" s="534" t="n">
        <v>13.223</v>
      </c>
      <c r="C7313" s="534" t="n">
        <v>22582.77</v>
      </c>
      <c r="E7313" s="535" t="n">
        <v>45593</v>
      </c>
      <c r="F7313" s="534" t="n">
        <v>3.227</v>
      </c>
    </row>
    <row r="7314">
      <c r="A7314" s="535" t="n">
        <v>41774</v>
      </c>
      <c r="B7314" s="534" t="n">
        <v>13.293</v>
      </c>
      <c r="C7314" s="534" t="n">
        <v>22730.86</v>
      </c>
      <c r="E7314" s="535" t="n">
        <v>45594</v>
      </c>
      <c r="F7314" s="534" t="n">
        <v>3.206</v>
      </c>
    </row>
    <row r="7315">
      <c r="A7315" s="535" t="n">
        <v>41775</v>
      </c>
      <c r="B7315" s="534" t="n">
        <v>13.014</v>
      </c>
      <c r="C7315" s="534" t="n">
        <v>22712.91</v>
      </c>
      <c r="E7315" s="535" t="n">
        <v>45595</v>
      </c>
      <c r="F7315" s="534" t="n">
        <v>3.169</v>
      </c>
    </row>
    <row r="7316">
      <c r="A7316" s="535" t="n">
        <v>41778</v>
      </c>
      <c r="B7316" s="534" t="n">
        <v>12.892</v>
      </c>
      <c r="C7316" s="534" t="n">
        <v>22704.5</v>
      </c>
      <c r="E7316" s="535" t="n">
        <v>45596</v>
      </c>
      <c r="F7316" s="534" t="n">
        <v>3.193</v>
      </c>
    </row>
    <row r="7317">
      <c r="A7317" s="535" t="n">
        <v>41779</v>
      </c>
      <c r="B7317" s="534" t="n">
        <v>12.649</v>
      </c>
      <c r="C7317" s="534" t="n">
        <v>22834.68</v>
      </c>
      <c r="E7317" s="535" t="n">
        <v>45597</v>
      </c>
      <c r="F7317" s="534" t="n">
        <v>3.19</v>
      </c>
    </row>
    <row r="7318">
      <c r="A7318" s="535" t="n">
        <v>41780</v>
      </c>
      <c r="B7318" s="534" t="n">
        <v>12.718</v>
      </c>
      <c r="C7318" s="534" t="n">
        <v>22836.52</v>
      </c>
      <c r="E7318" s="535" t="n">
        <v>45600</v>
      </c>
      <c r="F7318" s="534" t="n">
        <v>3.202</v>
      </c>
    </row>
    <row r="7319">
      <c r="A7319" s="535" t="n">
        <v>41781</v>
      </c>
      <c r="B7319" s="534" t="n">
        <v>12.788</v>
      </c>
      <c r="C7319" s="534" t="n">
        <v>22953.76</v>
      </c>
      <c r="E7319" s="535" t="n">
        <v>45601</v>
      </c>
      <c r="F7319" s="534" t="n">
        <v>3.202</v>
      </c>
    </row>
    <row r="7320">
      <c r="A7320" s="535" t="n">
        <v>41782</v>
      </c>
      <c r="B7320" s="534" t="n">
        <v>12.84</v>
      </c>
      <c r="C7320" s="534" t="n">
        <v>22965.86</v>
      </c>
      <c r="E7320" s="535" t="n">
        <v>45602</v>
      </c>
      <c r="F7320" s="534" t="n">
        <v>3.301</v>
      </c>
    </row>
    <row r="7321">
      <c r="A7321" s="535" t="n">
        <v>41785</v>
      </c>
      <c r="B7321" s="534" t="n">
        <v>12.788</v>
      </c>
      <c r="C7321" s="534" t="n">
        <v>22963.18</v>
      </c>
      <c r="E7321" s="535" t="n">
        <v>45603</v>
      </c>
      <c r="F7321" s="534" t="n">
        <v>3.397</v>
      </c>
    </row>
    <row r="7322">
      <c r="A7322" s="535" t="n">
        <v>41786</v>
      </c>
      <c r="B7322" s="534" t="n">
        <v>12.858</v>
      </c>
      <c r="C7322" s="534" t="n">
        <v>22944.3</v>
      </c>
      <c r="E7322" s="535" t="n">
        <v>45604</v>
      </c>
      <c r="F7322" s="534" t="n">
        <v>3.397</v>
      </c>
    </row>
    <row r="7323">
      <c r="A7323" s="535" t="n">
        <v>41787</v>
      </c>
      <c r="B7323" s="534" t="n">
        <v>12.823</v>
      </c>
      <c r="C7323" s="534" t="n">
        <v>23080.03</v>
      </c>
      <c r="E7323" s="535" t="n">
        <v>45607</v>
      </c>
      <c r="F7323" s="534" t="n">
        <v>3.418</v>
      </c>
    </row>
    <row r="7324">
      <c r="A7324" s="535" t="n">
        <v>41788</v>
      </c>
      <c r="B7324" s="534" t="n">
        <v>12.509</v>
      </c>
      <c r="C7324" s="534" t="n">
        <v>23010.14</v>
      </c>
      <c r="E7324" s="535" t="n">
        <v>45608</v>
      </c>
      <c r="F7324" s="534" t="n">
        <v>3.428</v>
      </c>
    </row>
    <row r="7325">
      <c r="A7325" s="535" t="n">
        <v>41789</v>
      </c>
      <c r="B7325" s="534" t="n">
        <v>12.3</v>
      </c>
      <c r="C7325" s="534" t="n">
        <v>23081.65</v>
      </c>
      <c r="E7325" s="535" t="n">
        <v>45609</v>
      </c>
      <c r="F7325" s="534" t="n">
        <v>3.449</v>
      </c>
    </row>
    <row r="7326">
      <c r="A7326" s="535" t="n">
        <v>41792</v>
      </c>
      <c r="B7326" s="534" t="n">
        <v>12.3</v>
      </c>
      <c r="C7326" s="534" t="n">
        <v>23081.65</v>
      </c>
      <c r="E7326" s="535" t="n">
        <v>45610</v>
      </c>
      <c r="F7326" s="534" t="n">
        <v>3.424</v>
      </c>
    </row>
    <row r="7327">
      <c r="A7327" s="535" t="n">
        <v>41793</v>
      </c>
      <c r="B7327" s="534" t="n">
        <v>12.405</v>
      </c>
      <c r="C7327" s="534" t="n">
        <v>23291.04</v>
      </c>
      <c r="E7327" s="535" t="n">
        <v>45611</v>
      </c>
      <c r="F7327" s="534" t="n">
        <v>3.401</v>
      </c>
    </row>
    <row r="7328">
      <c r="A7328" s="535" t="n">
        <v>41794</v>
      </c>
      <c r="B7328" s="534" t="n">
        <v>12.561</v>
      </c>
      <c r="C7328" s="534" t="n">
        <v>23151.71</v>
      </c>
      <c r="E7328" s="535" t="n">
        <v>45614</v>
      </c>
      <c r="F7328" s="534" t="n">
        <v>3.385</v>
      </c>
    </row>
    <row r="7329">
      <c r="A7329" s="535" t="n">
        <v>41795</v>
      </c>
      <c r="B7329" s="534" t="n">
        <v>12.527</v>
      </c>
      <c r="C7329" s="534" t="n">
        <v>23109.66</v>
      </c>
      <c r="E7329" s="535" t="n">
        <v>45615</v>
      </c>
      <c r="F7329" s="534" t="n">
        <v>3.421</v>
      </c>
    </row>
    <row r="7330">
      <c r="A7330" s="535" t="n">
        <v>41796</v>
      </c>
      <c r="B7330" s="534" t="n">
        <v>12.492</v>
      </c>
      <c r="C7330" s="534" t="n">
        <v>22951</v>
      </c>
      <c r="E7330" s="535" t="n">
        <v>45616</v>
      </c>
      <c r="F7330" s="534" t="n">
        <v>3.413</v>
      </c>
    </row>
    <row r="7331">
      <c r="A7331" s="535" t="n">
        <v>41799</v>
      </c>
      <c r="B7331" s="534" t="n">
        <v>12.631</v>
      </c>
      <c r="C7331" s="534" t="n">
        <v>23117.47</v>
      </c>
      <c r="E7331" s="535" t="n">
        <v>45617</v>
      </c>
      <c r="F7331" s="534" t="n">
        <v>3.414</v>
      </c>
    </row>
    <row r="7332">
      <c r="A7332" s="535" t="n">
        <v>41800</v>
      </c>
      <c r="B7332" s="534" t="n">
        <v>12.666</v>
      </c>
      <c r="C7332" s="534" t="n">
        <v>23315.74</v>
      </c>
      <c r="E7332" s="535" t="n">
        <v>45618</v>
      </c>
      <c r="F7332" s="534" t="n">
        <v>3.444</v>
      </c>
    </row>
    <row r="7333">
      <c r="A7333" s="535" t="n">
        <v>41801</v>
      </c>
      <c r="B7333" s="534" t="n">
        <v>12.649</v>
      </c>
      <c r="C7333" s="534" t="n">
        <v>23257.29</v>
      </c>
      <c r="E7333" s="535" t="n">
        <v>45621</v>
      </c>
      <c r="F7333" s="534" t="n">
        <v>3.473</v>
      </c>
    </row>
    <row r="7334">
      <c r="A7334" s="535" t="n">
        <v>41802</v>
      </c>
      <c r="B7334" s="534" t="n">
        <v>12.579</v>
      </c>
      <c r="C7334" s="534" t="n">
        <v>23175.02</v>
      </c>
      <c r="E7334" s="535" t="n">
        <v>45622</v>
      </c>
      <c r="F7334" s="534" t="n">
        <v>3.417</v>
      </c>
    </row>
    <row r="7335">
      <c r="A7335" s="535" t="n">
        <v>41803</v>
      </c>
      <c r="B7335" s="534" t="n">
        <v>12.649</v>
      </c>
      <c r="C7335" s="534" t="n">
        <v>23319.17</v>
      </c>
      <c r="E7335" s="535" t="n">
        <v>45623</v>
      </c>
      <c r="F7335" s="534" t="n">
        <v>3.424</v>
      </c>
    </row>
    <row r="7336">
      <c r="A7336" s="535" t="n">
        <v>41806</v>
      </c>
      <c r="B7336" s="534" t="n">
        <v>12.614</v>
      </c>
      <c r="C7336" s="534" t="n">
        <v>23300.67</v>
      </c>
      <c r="E7336" s="535" t="n">
        <v>45624</v>
      </c>
      <c r="F7336" s="534" t="n">
        <v>3.374</v>
      </c>
    </row>
    <row r="7337">
      <c r="A7337" s="535" t="n">
        <v>41807</v>
      </c>
      <c r="B7337" s="534" t="n">
        <v>12.614</v>
      </c>
      <c r="C7337" s="534" t="n">
        <v>23203.59</v>
      </c>
      <c r="E7337" s="535" t="n">
        <v>45625</v>
      </c>
      <c r="F7337" s="534" t="n">
        <v>3.328</v>
      </c>
    </row>
    <row r="7338">
      <c r="A7338" s="535" t="n">
        <v>41808</v>
      </c>
      <c r="B7338" s="534" t="n">
        <v>12.683</v>
      </c>
      <c r="C7338" s="534" t="n">
        <v>23181.72</v>
      </c>
      <c r="E7338" s="535" t="n">
        <v>45628</v>
      </c>
      <c r="F7338" s="534" t="n">
        <v>3.326</v>
      </c>
    </row>
    <row r="7339">
      <c r="A7339" s="535" t="n">
        <v>41809</v>
      </c>
      <c r="B7339" s="534" t="n">
        <v>12.596</v>
      </c>
      <c r="C7339" s="534" t="n">
        <v>23167.73</v>
      </c>
      <c r="E7339" s="535" t="n">
        <v>45629</v>
      </c>
      <c r="F7339" s="534" t="n">
        <v>3.286</v>
      </c>
    </row>
    <row r="7340">
      <c r="A7340" s="535" t="n">
        <v>41810</v>
      </c>
      <c r="B7340" s="534" t="n">
        <v>12.579</v>
      </c>
      <c r="C7340" s="534" t="n">
        <v>23194.06</v>
      </c>
      <c r="E7340" s="535" t="n">
        <v>45630</v>
      </c>
      <c r="F7340" s="534" t="n">
        <v>3.307</v>
      </c>
    </row>
    <row r="7341">
      <c r="A7341" s="535" t="n">
        <v>41813</v>
      </c>
      <c r="B7341" s="534" t="n">
        <v>12.422</v>
      </c>
      <c r="C7341" s="534" t="n">
        <v>22804.81</v>
      </c>
      <c r="E7341" s="535" t="n">
        <v>45631</v>
      </c>
      <c r="F7341" s="534" t="n">
        <v>3.296</v>
      </c>
    </row>
    <row r="7342">
      <c r="A7342" s="535" t="n">
        <v>41814</v>
      </c>
      <c r="B7342" s="534" t="n">
        <v>12.457</v>
      </c>
      <c r="C7342" s="534" t="n">
        <v>22880.64</v>
      </c>
      <c r="E7342" s="535" t="n">
        <v>45632</v>
      </c>
      <c r="F7342" s="534" t="n">
        <v>3.301</v>
      </c>
    </row>
    <row r="7343">
      <c r="A7343" s="535" t="n">
        <v>41815</v>
      </c>
      <c r="B7343" s="534" t="n">
        <v>12.422</v>
      </c>
      <c r="C7343" s="534" t="n">
        <v>22866.7</v>
      </c>
      <c r="E7343" s="535" t="n">
        <v>45635</v>
      </c>
      <c r="F7343" s="534" t="n">
        <v>3.286</v>
      </c>
    </row>
    <row r="7344">
      <c r="A7344" s="535" t="n">
        <v>41816</v>
      </c>
      <c r="B7344" s="534" t="n">
        <v>12.544</v>
      </c>
      <c r="C7344" s="534" t="n">
        <v>23197.83</v>
      </c>
      <c r="E7344" s="535" t="n">
        <v>45636</v>
      </c>
      <c r="F7344" s="534" t="n">
        <v>3.374</v>
      </c>
    </row>
    <row r="7345">
      <c r="A7345" s="535" t="n">
        <v>41817</v>
      </c>
      <c r="B7345" s="534" t="n">
        <v>12.596</v>
      </c>
      <c r="C7345" s="534" t="n">
        <v>23221.52</v>
      </c>
      <c r="E7345" s="535" t="n">
        <v>45637</v>
      </c>
      <c r="F7345" s="534" t="n">
        <v>3.408</v>
      </c>
    </row>
    <row r="7346">
      <c r="A7346" s="535" t="n">
        <v>41820</v>
      </c>
      <c r="B7346" s="534" t="n">
        <v>12.614</v>
      </c>
      <c r="C7346" s="534" t="n">
        <v>23190.72</v>
      </c>
      <c r="E7346" s="535" t="n">
        <v>45638</v>
      </c>
      <c r="F7346" s="534" t="n">
        <v>3.428</v>
      </c>
    </row>
    <row r="7347">
      <c r="A7347" s="535" t="n">
        <v>41821</v>
      </c>
      <c r="B7347" s="534" t="n">
        <v>12.614</v>
      </c>
      <c r="C7347" s="534" t="n">
        <v>23190.72</v>
      </c>
      <c r="E7347" s="535" t="n">
        <v>45639</v>
      </c>
      <c r="F7347" s="534" t="n">
        <v>3.468</v>
      </c>
    </row>
    <row r="7348">
      <c r="A7348" s="535" t="n">
        <v>41822</v>
      </c>
      <c r="B7348" s="534" t="n">
        <v>12.753</v>
      </c>
      <c r="C7348" s="534" t="n">
        <v>23549.62</v>
      </c>
      <c r="E7348" s="535" t="n">
        <v>45642</v>
      </c>
      <c r="F7348" s="534" t="n">
        <v>3.502</v>
      </c>
    </row>
    <row r="7349">
      <c r="A7349" s="535" t="n">
        <v>41823</v>
      </c>
      <c r="B7349" s="534" t="n">
        <v>12.788</v>
      </c>
      <c r="C7349" s="534" t="n">
        <v>23531.44</v>
      </c>
      <c r="E7349" s="535" t="n">
        <v>45643</v>
      </c>
      <c r="F7349" s="534" t="n">
        <v>3.533</v>
      </c>
    </row>
    <row r="7350">
      <c r="A7350" s="535" t="n">
        <v>41824</v>
      </c>
      <c r="B7350" s="534" t="n">
        <v>12.701</v>
      </c>
      <c r="C7350" s="534" t="n">
        <v>23546.36</v>
      </c>
      <c r="E7350" s="535" t="n">
        <v>45644</v>
      </c>
      <c r="F7350" s="534" t="n">
        <v>3.546</v>
      </c>
    </row>
    <row r="7351">
      <c r="A7351" s="535" t="n">
        <v>41827</v>
      </c>
      <c r="B7351" s="534" t="n">
        <v>12.631</v>
      </c>
      <c r="C7351" s="534" t="n">
        <v>23540.92</v>
      </c>
      <c r="E7351" s="535" t="n">
        <v>45645</v>
      </c>
      <c r="F7351" s="534" t="n">
        <v>3.681</v>
      </c>
    </row>
    <row r="7352">
      <c r="A7352" s="535" t="n">
        <v>41828</v>
      </c>
      <c r="B7352" s="534" t="n">
        <v>12.631</v>
      </c>
      <c r="C7352" s="534" t="n">
        <v>23541.38</v>
      </c>
      <c r="E7352" s="535" t="n">
        <v>45646</v>
      </c>
      <c r="F7352" s="534" t="n">
        <v>3.718</v>
      </c>
    </row>
    <row r="7353">
      <c r="A7353" s="535" t="n">
        <v>41829</v>
      </c>
      <c r="B7353" s="534" t="n">
        <v>12.405</v>
      </c>
      <c r="C7353" s="534" t="n">
        <v>23176.07</v>
      </c>
      <c r="E7353" s="535" t="n">
        <v>45649</v>
      </c>
      <c r="F7353" s="534" t="n">
        <v>3.704</v>
      </c>
    </row>
    <row r="7354">
      <c r="A7354" s="535" t="n">
        <v>41830</v>
      </c>
      <c r="B7354" s="534" t="n">
        <v>12.387</v>
      </c>
      <c r="C7354" s="534" t="n">
        <v>23238.99</v>
      </c>
      <c r="E7354" s="535" t="n">
        <v>45650</v>
      </c>
      <c r="F7354" s="534" t="n">
        <v>3.741</v>
      </c>
    </row>
    <row r="7355">
      <c r="A7355" s="535" t="n">
        <v>41831</v>
      </c>
      <c r="B7355" s="534" t="n">
        <v>12.387</v>
      </c>
      <c r="C7355" s="534" t="n">
        <v>23233.45</v>
      </c>
      <c r="E7355" s="535" t="n">
        <v>45651</v>
      </c>
      <c r="F7355" s="534" t="n">
        <v>3.741</v>
      </c>
    </row>
    <row r="7356">
      <c r="A7356" s="535" t="n">
        <v>41834</v>
      </c>
      <c r="B7356" s="534" t="n">
        <v>12.422</v>
      </c>
      <c r="C7356" s="534" t="n">
        <v>23346.67</v>
      </c>
      <c r="E7356" s="535" t="n">
        <v>45652</v>
      </c>
      <c r="F7356" s="534" t="n">
        <v>3.741</v>
      </c>
    </row>
    <row r="7357">
      <c r="A7357" s="535" t="n">
        <v>41835</v>
      </c>
      <c r="B7357" s="534" t="n">
        <v>12.527</v>
      </c>
      <c r="C7357" s="534" t="n">
        <v>23459.96</v>
      </c>
      <c r="E7357" s="535" t="n">
        <v>45653</v>
      </c>
      <c r="F7357" s="534" t="n">
        <v>3.749</v>
      </c>
    </row>
    <row r="7358">
      <c r="A7358" s="535" t="n">
        <v>41836</v>
      </c>
      <c r="B7358" s="534" t="n">
        <v>12.561</v>
      </c>
      <c r="C7358" s="534" t="n">
        <v>23523.28</v>
      </c>
      <c r="E7358" s="535" t="n">
        <v>45656</v>
      </c>
      <c r="F7358" s="534" t="n">
        <v>3.836</v>
      </c>
    </row>
    <row r="7359">
      <c r="A7359" s="535" t="n">
        <v>41837</v>
      </c>
      <c r="B7359" s="534" t="n">
        <v>12.614</v>
      </c>
      <c r="C7359" s="534" t="n">
        <v>23520.87</v>
      </c>
      <c r="E7359" s="535" t="n">
        <v>45657</v>
      </c>
      <c r="F7359" s="534" t="n">
        <v>3.806</v>
      </c>
    </row>
    <row r="7360">
      <c r="A7360" s="535" t="n">
        <v>41838</v>
      </c>
      <c r="B7360" s="534" t="n">
        <v>12.544</v>
      </c>
      <c r="C7360" s="534" t="n">
        <v>23454.79</v>
      </c>
      <c r="E7360" s="535" t="n">
        <v>45658</v>
      </c>
      <c r="F7360" s="534" t="n">
        <v>3.806</v>
      </c>
    </row>
    <row r="7361">
      <c r="A7361" s="535" t="n">
        <v>41841</v>
      </c>
      <c r="B7361" s="534" t="n">
        <v>12.527</v>
      </c>
      <c r="C7361" s="534" t="n">
        <v>23387.14</v>
      </c>
      <c r="E7361" s="535" t="n">
        <v>45659</v>
      </c>
      <c r="F7361" s="534" t="n">
        <v>3.782</v>
      </c>
    </row>
    <row r="7362">
      <c r="A7362" s="535" t="n">
        <v>41842</v>
      </c>
      <c r="B7362" s="534" t="n">
        <v>12.527</v>
      </c>
      <c r="C7362" s="534" t="n">
        <v>23782.11</v>
      </c>
      <c r="E7362" s="535" t="n">
        <v>45660</v>
      </c>
      <c r="F7362" s="534" t="n">
        <v>3.779</v>
      </c>
    </row>
    <row r="7363">
      <c r="A7363" s="535" t="n">
        <v>41843</v>
      </c>
      <c r="B7363" s="534" t="n">
        <v>12.718</v>
      </c>
      <c r="C7363" s="534" t="n">
        <v>23971.87</v>
      </c>
      <c r="E7363" s="535" t="n">
        <v>45663</v>
      </c>
      <c r="F7363" s="534" t="n">
        <v>3.869</v>
      </c>
    </row>
    <row r="7364">
      <c r="A7364" s="535" t="n">
        <v>41844</v>
      </c>
      <c r="B7364" s="534" t="n">
        <v>12.788</v>
      </c>
      <c r="C7364" s="534" t="n">
        <v>24141.5</v>
      </c>
      <c r="E7364" s="535" t="n">
        <v>45664</v>
      </c>
      <c r="F7364" s="534" t="n">
        <v>3.913</v>
      </c>
    </row>
    <row r="7365">
      <c r="A7365" s="535" t="n">
        <v>41845</v>
      </c>
      <c r="B7365" s="534" t="n">
        <v>12.736</v>
      </c>
      <c r="C7365" s="534" t="n">
        <v>24216.01</v>
      </c>
      <c r="E7365" s="535" t="n">
        <v>45665</v>
      </c>
      <c r="F7365" s="534" t="n">
        <v>3.949</v>
      </c>
    </row>
    <row r="7366">
      <c r="A7366" s="535" t="n">
        <v>41848</v>
      </c>
      <c r="B7366" s="534" t="n">
        <v>12.649</v>
      </c>
      <c r="C7366" s="534" t="n">
        <v>24428.63</v>
      </c>
      <c r="E7366" s="535" t="n">
        <v>45666</v>
      </c>
      <c r="F7366" s="534" t="n">
        <v>3.921</v>
      </c>
    </row>
    <row r="7367">
      <c r="A7367" s="535" t="n">
        <v>41849</v>
      </c>
      <c r="B7367" s="534" t="n">
        <v>12.596</v>
      </c>
      <c r="C7367" s="534" t="n">
        <v>24640.53</v>
      </c>
      <c r="E7367" s="535" t="n">
        <v>45667</v>
      </c>
      <c r="F7367" s="534" t="n">
        <v>3.908</v>
      </c>
    </row>
    <row r="7368">
      <c r="A7368" s="535" t="n">
        <v>41850</v>
      </c>
      <c r="B7368" s="534" t="n">
        <v>12.666</v>
      </c>
      <c r="C7368" s="534" t="n">
        <v>24732.21</v>
      </c>
      <c r="E7368" s="535" t="n">
        <v>45670</v>
      </c>
      <c r="F7368" s="534" t="n">
        <v>3.996</v>
      </c>
    </row>
    <row r="7369">
      <c r="A7369" s="535" t="n">
        <v>41851</v>
      </c>
      <c r="B7369" s="534" t="n">
        <v>12.823</v>
      </c>
      <c r="C7369" s="534" t="n">
        <v>24756.85</v>
      </c>
      <c r="E7369" s="535" t="n">
        <v>45671</v>
      </c>
      <c r="F7369" s="534" t="n">
        <v>3.988</v>
      </c>
    </row>
    <row r="7370">
      <c r="A7370" s="535" t="n">
        <v>41852</v>
      </c>
      <c r="B7370" s="534" t="n">
        <v>12.788</v>
      </c>
      <c r="C7370" s="534" t="n">
        <v>24532.43</v>
      </c>
      <c r="E7370" s="535" t="n">
        <v>45672</v>
      </c>
      <c r="F7370" s="534" t="n">
        <v>3.973</v>
      </c>
    </row>
    <row r="7371">
      <c r="A7371" s="535" t="n">
        <v>41855</v>
      </c>
      <c r="B7371" s="534" t="n">
        <v>13.032</v>
      </c>
      <c r="C7371" s="534" t="n">
        <v>24600.08</v>
      </c>
      <c r="E7371" s="535" t="n">
        <v>45673</v>
      </c>
      <c r="F7371" s="534" t="n">
        <v>3.889</v>
      </c>
    </row>
    <row r="7372">
      <c r="A7372" s="535" t="n">
        <v>41856</v>
      </c>
      <c r="B7372" s="534" t="n">
        <v>12.84</v>
      </c>
      <c r="C7372" s="534" t="n">
        <v>24648.26</v>
      </c>
      <c r="E7372" s="535" t="n">
        <v>45674</v>
      </c>
      <c r="F7372" s="534" t="n">
        <v>3.87</v>
      </c>
    </row>
    <row r="7373">
      <c r="A7373" s="535" t="n">
        <v>41857</v>
      </c>
      <c r="B7373" s="534" t="n">
        <v>12.736</v>
      </c>
      <c r="C7373" s="534" t="n">
        <v>24584.13</v>
      </c>
      <c r="E7373" s="535" t="n">
        <v>45677</v>
      </c>
      <c r="F7373" s="534" t="n">
        <v>3.918</v>
      </c>
    </row>
    <row r="7374">
      <c r="A7374" s="535" t="n">
        <v>41858</v>
      </c>
      <c r="B7374" s="534" t="n">
        <v>12.736</v>
      </c>
      <c r="C7374" s="534" t="n">
        <v>24387.56</v>
      </c>
      <c r="E7374" s="535" t="n">
        <v>45678</v>
      </c>
      <c r="F7374" s="534" t="n">
        <v>3.836</v>
      </c>
    </row>
    <row r="7375">
      <c r="A7375" s="535" t="n">
        <v>41859</v>
      </c>
      <c r="B7375" s="534" t="n">
        <v>12.858</v>
      </c>
      <c r="C7375" s="534" t="n">
        <v>24331.41</v>
      </c>
      <c r="E7375" s="535" t="n">
        <v>45679</v>
      </c>
      <c r="F7375" s="534" t="n">
        <v>3.848</v>
      </c>
    </row>
    <row r="7376">
      <c r="A7376" s="535" t="n">
        <v>41862</v>
      </c>
      <c r="B7376" s="534" t="n">
        <v>12.892</v>
      </c>
      <c r="C7376" s="534" t="n">
        <v>24646.02</v>
      </c>
      <c r="E7376" s="535" t="n">
        <v>45680</v>
      </c>
      <c r="F7376" s="534" t="n">
        <v>3.837</v>
      </c>
    </row>
    <row r="7377">
      <c r="A7377" s="535" t="n">
        <v>41863</v>
      </c>
      <c r="B7377" s="534" t="n">
        <v>13.014</v>
      </c>
      <c r="C7377" s="534" t="n">
        <v>24689.41</v>
      </c>
      <c r="E7377" s="535" t="n">
        <v>45681</v>
      </c>
      <c r="F7377" s="534" t="n">
        <v>3.835</v>
      </c>
    </row>
    <row r="7378">
      <c r="A7378" s="535" t="n">
        <v>41864</v>
      </c>
      <c r="B7378" s="534" t="n">
        <v>12.788</v>
      </c>
      <c r="C7378" s="534" t="n">
        <v>24890.34</v>
      </c>
      <c r="E7378" s="535" t="n">
        <v>45684</v>
      </c>
      <c r="F7378" s="534" t="n">
        <v>3.771</v>
      </c>
    </row>
    <row r="7379">
      <c r="A7379" s="535" t="n">
        <v>41865</v>
      </c>
      <c r="B7379" s="534" t="n">
        <v>12.771</v>
      </c>
      <c r="C7379" s="534" t="n">
        <v>24801.36</v>
      </c>
      <c r="E7379" s="535" t="n">
        <v>45685</v>
      </c>
      <c r="F7379" s="534" t="n">
        <v>3.745</v>
      </c>
    </row>
    <row r="7380">
      <c r="A7380" s="535" t="n">
        <v>41866</v>
      </c>
      <c r="B7380" s="534" t="n">
        <v>12.84</v>
      </c>
      <c r="C7380" s="534" t="n">
        <v>24954.94</v>
      </c>
      <c r="E7380" s="535" t="n">
        <v>45686</v>
      </c>
      <c r="F7380" s="534" t="n">
        <v>3.745</v>
      </c>
    </row>
    <row r="7381">
      <c r="A7381" s="535" t="n">
        <v>41869</v>
      </c>
      <c r="B7381" s="534" t="n">
        <v>12.945</v>
      </c>
      <c r="C7381" s="534" t="n">
        <v>24955.46</v>
      </c>
      <c r="E7381" s="535" t="n">
        <v>45687</v>
      </c>
      <c r="F7381" s="534" t="n">
        <v>3.745</v>
      </c>
    </row>
    <row r="7382">
      <c r="A7382" s="535" t="n">
        <v>41870</v>
      </c>
      <c r="B7382" s="534" t="n">
        <v>12.927</v>
      </c>
      <c r="C7382" s="534" t="n">
        <v>25122.95</v>
      </c>
      <c r="E7382" s="535" t="n">
        <v>45688</v>
      </c>
      <c r="F7382" s="534" t="n">
        <v>3.745</v>
      </c>
    </row>
    <row r="7383">
      <c r="A7383" s="535" t="n">
        <v>41871</v>
      </c>
      <c r="B7383" s="534" t="n">
        <v>13.014</v>
      </c>
      <c r="C7383" s="534" t="n">
        <v>25159.76</v>
      </c>
      <c r="E7383" s="535" t="n">
        <v>45691</v>
      </c>
      <c r="F7383" s="534" t="n">
        <v>3.729</v>
      </c>
    </row>
    <row r="7384">
      <c r="A7384" s="535" t="n">
        <v>41872</v>
      </c>
      <c r="B7384" s="534" t="n">
        <v>12.98</v>
      </c>
      <c r="C7384" s="534" t="n">
        <v>24994.1</v>
      </c>
      <c r="E7384" s="535" t="n">
        <v>45692</v>
      </c>
      <c r="F7384" s="534" t="n">
        <v>3.772</v>
      </c>
    </row>
    <row r="7385">
      <c r="A7385" s="535" t="n">
        <v>41873</v>
      </c>
      <c r="B7385" s="534" t="n">
        <v>12.875</v>
      </c>
      <c r="C7385" s="534" t="n">
        <v>25112.23</v>
      </c>
      <c r="E7385" s="535" t="n">
        <v>45693</v>
      </c>
      <c r="F7385" s="534" t="n">
        <v>3.713</v>
      </c>
    </row>
    <row r="7386">
      <c r="A7386" s="535" t="n">
        <v>41876</v>
      </c>
      <c r="B7386" s="534" t="n">
        <v>12.875</v>
      </c>
      <c r="C7386" s="534" t="n">
        <v>25166.91</v>
      </c>
      <c r="E7386" s="535" t="n">
        <v>45694</v>
      </c>
      <c r="F7386" s="534" t="n">
        <v>3.654</v>
      </c>
    </row>
    <row r="7387">
      <c r="A7387" s="535" t="n">
        <v>41877</v>
      </c>
      <c r="B7387" s="534" t="n">
        <v>12.823</v>
      </c>
      <c r="C7387" s="534" t="n">
        <v>25074.5</v>
      </c>
      <c r="E7387" s="535" t="n">
        <v>45695</v>
      </c>
      <c r="F7387" s="534" t="n">
        <v>3.67</v>
      </c>
    </row>
    <row r="7388">
      <c r="A7388" s="535" t="n">
        <v>41878</v>
      </c>
      <c r="B7388" s="534" t="n">
        <v>12.788</v>
      </c>
      <c r="C7388" s="534" t="n">
        <v>24918.75</v>
      </c>
      <c r="E7388" s="535" t="n">
        <v>45698</v>
      </c>
      <c r="F7388" s="534" t="n">
        <v>3.71</v>
      </c>
    </row>
    <row r="7389">
      <c r="A7389" s="535" t="n">
        <v>41879</v>
      </c>
      <c r="B7389" s="534" t="n">
        <v>12.649</v>
      </c>
      <c r="C7389" s="534" t="n">
        <v>24741</v>
      </c>
      <c r="E7389" s="535" t="n">
        <v>45699</v>
      </c>
      <c r="F7389" s="534" t="n">
        <v>3.71</v>
      </c>
    </row>
    <row r="7390">
      <c r="A7390" s="535" t="n">
        <v>41880</v>
      </c>
      <c r="B7390" s="534" t="n">
        <v>12.544</v>
      </c>
      <c r="C7390" s="534" t="n">
        <v>24742.06</v>
      </c>
      <c r="E7390" s="535" t="n">
        <v>45700</v>
      </c>
      <c r="F7390" s="534" t="n">
        <v>3.756</v>
      </c>
    </row>
    <row r="7391">
      <c r="A7391" s="535" t="n">
        <v>41883</v>
      </c>
      <c r="B7391" s="534" t="n">
        <v>12.422</v>
      </c>
      <c r="C7391" s="534" t="n">
        <v>24752.09</v>
      </c>
      <c r="E7391" s="535" t="n">
        <v>45701</v>
      </c>
      <c r="F7391" s="534" t="n">
        <v>3.861</v>
      </c>
    </row>
    <row r="7392">
      <c r="A7392" s="535" t="n">
        <v>41884</v>
      </c>
      <c r="B7392" s="534" t="n">
        <v>12.474</v>
      </c>
      <c r="C7392" s="534" t="n">
        <v>24749.02</v>
      </c>
      <c r="E7392" s="535" t="n">
        <v>45702</v>
      </c>
      <c r="F7392" s="534" t="n">
        <v>3.815</v>
      </c>
    </row>
    <row r="7393">
      <c r="A7393" s="535" t="n">
        <v>41885</v>
      </c>
      <c r="B7393" s="534" t="n">
        <v>12.457</v>
      </c>
      <c r="C7393" s="534" t="n">
        <v>25317.95</v>
      </c>
      <c r="E7393" s="535" t="n">
        <v>45705</v>
      </c>
      <c r="F7393" s="534" t="n">
        <v>3.791</v>
      </c>
    </row>
    <row r="7394">
      <c r="A7394" s="535" t="n">
        <v>41886</v>
      </c>
      <c r="B7394" s="534" t="n">
        <v>12.492</v>
      </c>
      <c r="C7394" s="534" t="n">
        <v>25297.92</v>
      </c>
      <c r="E7394" s="535" t="n">
        <v>45706</v>
      </c>
      <c r="F7394" s="534" t="n">
        <v>3.805</v>
      </c>
    </row>
    <row r="7395">
      <c r="A7395" s="535" t="n">
        <v>41887</v>
      </c>
      <c r="B7395" s="534" t="n">
        <v>12.509</v>
      </c>
      <c r="C7395" s="534" t="n">
        <v>25240.15</v>
      </c>
      <c r="E7395" s="535" t="n">
        <v>45707</v>
      </c>
      <c r="F7395" s="534" t="n">
        <v>3.837</v>
      </c>
    </row>
    <row r="7396">
      <c r="A7396" s="535" t="n">
        <v>41890</v>
      </c>
      <c r="B7396" s="534" t="n">
        <v>12.509</v>
      </c>
      <c r="C7396" s="534" t="n">
        <v>25190.45</v>
      </c>
      <c r="E7396" s="535" t="n">
        <v>45708</v>
      </c>
      <c r="F7396" s="534" t="n">
        <v>3.805</v>
      </c>
    </row>
    <row r="7397">
      <c r="A7397" s="535" t="n">
        <v>41891</v>
      </c>
      <c r="B7397" s="534" t="n">
        <v>12.509</v>
      </c>
      <c r="C7397" s="534" t="n">
        <v>25190.45</v>
      </c>
      <c r="E7397" s="535" t="n">
        <v>45709</v>
      </c>
      <c r="F7397" s="534" t="n">
        <v>3.795</v>
      </c>
    </row>
    <row r="7398">
      <c r="A7398" s="535" t="n">
        <v>41892</v>
      </c>
      <c r="B7398" s="534" t="n">
        <v>12.509</v>
      </c>
      <c r="C7398" s="534" t="n">
        <v>24705.36</v>
      </c>
      <c r="E7398" s="535" t="n">
        <v>45712</v>
      </c>
      <c r="F7398" s="534" t="n">
        <v>3.768</v>
      </c>
    </row>
    <row r="7399">
      <c r="A7399" s="535" t="n">
        <v>41893</v>
      </c>
      <c r="B7399" s="534" t="n">
        <v>12.527</v>
      </c>
      <c r="C7399" s="534" t="n">
        <v>24662.64</v>
      </c>
      <c r="E7399" s="535" t="n">
        <v>45713</v>
      </c>
      <c r="F7399" s="534" t="n">
        <v>3.675</v>
      </c>
    </row>
    <row r="7400">
      <c r="A7400" s="535" t="n">
        <v>41894</v>
      </c>
      <c r="B7400" s="534" t="n">
        <v>12.527</v>
      </c>
      <c r="C7400" s="534" t="n">
        <v>24595.32</v>
      </c>
      <c r="E7400" s="535" t="n">
        <v>45714</v>
      </c>
      <c r="F7400" s="534" t="n">
        <v>3.671</v>
      </c>
    </row>
    <row r="7401">
      <c r="A7401" s="535" t="n">
        <v>41897</v>
      </c>
      <c r="B7401" s="534" t="n">
        <v>12.631</v>
      </c>
      <c r="C7401" s="534" t="n">
        <v>24356.99</v>
      </c>
      <c r="E7401" s="535" t="n">
        <v>45715</v>
      </c>
      <c r="F7401" s="534" t="n">
        <v>3.612</v>
      </c>
    </row>
    <row r="7402">
      <c r="A7402" s="535" t="n">
        <v>41898</v>
      </c>
      <c r="B7402" s="534" t="n">
        <v>12.823</v>
      </c>
      <c r="C7402" s="534" t="n">
        <v>24136.01</v>
      </c>
      <c r="E7402" s="535" t="n">
        <v>45716</v>
      </c>
      <c r="F7402" s="534" t="n">
        <v>3.544</v>
      </c>
    </row>
    <row r="7403">
      <c r="A7403" s="535" t="n">
        <v>41899</v>
      </c>
      <c r="B7403" s="534" t="n">
        <v>12.91</v>
      </c>
      <c r="C7403" s="534" t="n">
        <v>24376.41</v>
      </c>
      <c r="E7403" s="535" t="n">
        <v>45719</v>
      </c>
      <c r="F7403" s="534" t="n">
        <v>3.567</v>
      </c>
    </row>
    <row r="7404">
      <c r="A7404" s="535" t="n">
        <v>41900</v>
      </c>
      <c r="B7404" s="534" t="n">
        <v>12.91</v>
      </c>
      <c r="C7404" s="534" t="n">
        <v>24168.72</v>
      </c>
      <c r="E7404" s="535" t="n">
        <v>45720</v>
      </c>
      <c r="F7404" s="534" t="n">
        <v>3.471</v>
      </c>
    </row>
    <row r="7405">
      <c r="A7405" s="535" t="n">
        <v>41901</v>
      </c>
      <c r="B7405" s="534" t="n">
        <v>12.858</v>
      </c>
      <c r="C7405" s="534" t="n">
        <v>24306.16</v>
      </c>
      <c r="E7405" s="535" t="n">
        <v>45721</v>
      </c>
      <c r="F7405" s="534" t="n">
        <v>3.559</v>
      </c>
    </row>
    <row r="7406">
      <c r="A7406" s="535" t="n">
        <v>41904</v>
      </c>
      <c r="B7406" s="534" t="n">
        <v>12.753</v>
      </c>
      <c r="C7406" s="534" t="n">
        <v>23955.49</v>
      </c>
      <c r="E7406" s="535" t="n">
        <v>45722</v>
      </c>
      <c r="F7406" s="534" t="n">
        <v>3.611</v>
      </c>
    </row>
    <row r="7407">
      <c r="A7407" s="535" t="n">
        <v>41905</v>
      </c>
      <c r="B7407" s="534" t="n">
        <v>12.631</v>
      </c>
      <c r="C7407" s="534" t="n">
        <v>23837.07</v>
      </c>
      <c r="E7407" s="535" t="n">
        <v>45723</v>
      </c>
      <c r="F7407" s="534" t="n">
        <v>3.523</v>
      </c>
    </row>
    <row r="7408">
      <c r="A7408" s="535" t="n">
        <v>41906</v>
      </c>
      <c r="B7408" s="534" t="n">
        <v>12.631</v>
      </c>
      <c r="C7408" s="534" t="n">
        <v>23921.61</v>
      </c>
      <c r="E7408" s="535" t="n">
        <v>45726</v>
      </c>
      <c r="F7408" s="534" t="n">
        <v>3.596</v>
      </c>
    </row>
    <row r="7409">
      <c r="A7409" s="535" t="n">
        <v>41907</v>
      </c>
      <c r="B7409" s="534" t="n">
        <v>12.649</v>
      </c>
      <c r="C7409" s="534" t="n">
        <v>23768.13</v>
      </c>
      <c r="E7409" s="535" t="n">
        <v>45727</v>
      </c>
      <c r="F7409" s="534" t="n">
        <v>3.481</v>
      </c>
    </row>
    <row r="7410">
      <c r="A7410" s="535" t="n">
        <v>41908</v>
      </c>
      <c r="B7410" s="534" t="n">
        <v>12.631</v>
      </c>
      <c r="C7410" s="534" t="n">
        <v>23678.41</v>
      </c>
      <c r="E7410" s="535" t="n">
        <v>45728</v>
      </c>
      <c r="F7410" s="534" t="n">
        <v>3.528</v>
      </c>
    </row>
    <row r="7411">
      <c r="A7411" s="535" t="n">
        <v>41911</v>
      </c>
      <c r="B7411" s="534" t="n">
        <v>12.527</v>
      </c>
      <c r="C7411" s="534" t="n">
        <v>23229.21</v>
      </c>
      <c r="E7411" s="535" t="n">
        <v>45729</v>
      </c>
      <c r="F7411" s="534" t="n">
        <v>3.573</v>
      </c>
    </row>
    <row r="7412">
      <c r="A7412" s="535" t="n">
        <v>41912</v>
      </c>
      <c r="B7412" s="534" t="n">
        <v>12.457</v>
      </c>
      <c r="C7412" s="534" t="n">
        <v>22932.98</v>
      </c>
      <c r="E7412" s="535" t="n">
        <v>45730</v>
      </c>
      <c r="F7412" s="534" t="n">
        <v>3.573</v>
      </c>
    </row>
    <row r="7413">
      <c r="A7413" s="535" t="n">
        <v>41913</v>
      </c>
      <c r="B7413" s="534" t="n">
        <v>12.457</v>
      </c>
      <c r="C7413" s="534" t="n">
        <v>22932.98</v>
      </c>
      <c r="E7413" s="535" t="n">
        <v>45733</v>
      </c>
      <c r="F7413" s="534" t="n">
        <v>3.589</v>
      </c>
    </row>
    <row r="7414">
      <c r="A7414" s="535" t="n">
        <v>41914</v>
      </c>
      <c r="B7414" s="534" t="n">
        <v>12.457</v>
      </c>
      <c r="C7414" s="534" t="n">
        <v>22932.98</v>
      </c>
      <c r="E7414" s="535" t="n">
        <v>45734</v>
      </c>
      <c r="F7414" s="534" t="n">
        <v>3.592</v>
      </c>
    </row>
    <row r="7415">
      <c r="A7415" s="535" t="n">
        <v>41915</v>
      </c>
      <c r="B7415" s="534" t="n">
        <v>12.527</v>
      </c>
      <c r="C7415" s="534" t="n">
        <v>23064.56</v>
      </c>
      <c r="E7415" s="535" t="n">
        <v>45735</v>
      </c>
      <c r="F7415" s="534" t="n">
        <v>3.565</v>
      </c>
    </row>
    <row r="7416">
      <c r="A7416" s="535" t="n">
        <v>41918</v>
      </c>
      <c r="B7416" s="534" t="n">
        <v>12.596</v>
      </c>
      <c r="C7416" s="534" t="n">
        <v>23315.04</v>
      </c>
      <c r="E7416" s="535" t="n">
        <v>45736</v>
      </c>
      <c r="F7416" s="534" t="n">
        <v>3.531</v>
      </c>
    </row>
    <row r="7417">
      <c r="A7417" s="535" t="n">
        <v>41919</v>
      </c>
      <c r="B7417" s="534" t="n">
        <v>12.753</v>
      </c>
      <c r="C7417" s="534" t="n">
        <v>23422.52</v>
      </c>
      <c r="E7417" s="535" t="n">
        <v>45737</v>
      </c>
      <c r="F7417" s="534" t="n">
        <v>3.515</v>
      </c>
    </row>
    <row r="7418">
      <c r="A7418" s="535" t="n">
        <v>41920</v>
      </c>
      <c r="B7418" s="534" t="n">
        <v>12.666</v>
      </c>
      <c r="C7418" s="534" t="n">
        <v>23263.33</v>
      </c>
      <c r="E7418" s="535" t="n">
        <v>45740</v>
      </c>
      <c r="F7418" s="534" t="n">
        <v>3.549</v>
      </c>
    </row>
    <row r="7419">
      <c r="A7419" s="535" t="n">
        <v>41921</v>
      </c>
      <c r="B7419" s="534" t="n">
        <v>12.718</v>
      </c>
      <c r="C7419" s="534" t="n">
        <v>23534.53</v>
      </c>
      <c r="E7419" s="535" t="n">
        <v>45741</v>
      </c>
      <c r="F7419" s="534" t="n">
        <v>3.601</v>
      </c>
    </row>
    <row r="7420">
      <c r="A7420" s="535" t="n">
        <v>41922</v>
      </c>
      <c r="B7420" s="534" t="n">
        <v>12.527</v>
      </c>
      <c r="C7420" s="534" t="n">
        <v>23088.54</v>
      </c>
      <c r="E7420" s="535" t="n">
        <v>45742</v>
      </c>
      <c r="F7420" s="534" t="n">
        <v>3.597</v>
      </c>
    </row>
    <row r="7421">
      <c r="A7421" s="535" t="n">
        <v>41925</v>
      </c>
      <c r="B7421" s="534" t="n">
        <v>12.352</v>
      </c>
      <c r="C7421" s="534" t="n">
        <v>23143.38</v>
      </c>
      <c r="E7421" s="535" t="n">
        <v>45743</v>
      </c>
      <c r="F7421" s="534" t="n">
        <v>3.597</v>
      </c>
    </row>
    <row r="7422">
      <c r="A7422" s="535" t="n">
        <v>41926</v>
      </c>
      <c r="B7422" s="534" t="n">
        <v>12.108</v>
      </c>
      <c r="C7422" s="534" t="n">
        <v>23047.97</v>
      </c>
      <c r="E7422" s="535" t="n">
        <v>45744</v>
      </c>
      <c r="F7422" s="534" t="n">
        <v>3.556</v>
      </c>
    </row>
    <row r="7423">
      <c r="A7423" s="535" t="n">
        <v>41927</v>
      </c>
      <c r="B7423" s="534" t="n">
        <v>12.178</v>
      </c>
      <c r="C7423" s="534" t="n">
        <v>23140.05</v>
      </c>
      <c r="E7423" s="535" t="n">
        <v>45747</v>
      </c>
      <c r="F7423" s="534" t="n">
        <v>3.45</v>
      </c>
    </row>
    <row r="7424">
      <c r="A7424" s="535" t="n">
        <v>41928</v>
      </c>
      <c r="B7424" s="534" t="n">
        <v>12.091</v>
      </c>
      <c r="C7424" s="534" t="n">
        <v>22900.94</v>
      </c>
      <c r="E7424" s="535" t="n">
        <v>45748</v>
      </c>
      <c r="F7424" s="534" t="n">
        <v>3.419</v>
      </c>
    </row>
    <row r="7425">
      <c r="A7425" s="535" t="n">
        <v>41929</v>
      </c>
      <c r="B7425" s="534" t="n">
        <v>11.934</v>
      </c>
      <c r="C7425" s="534" t="n">
        <v>23023.21</v>
      </c>
      <c r="E7425" s="535" t="n">
        <v>45749</v>
      </c>
      <c r="F7425" s="534" t="n">
        <v>3.406</v>
      </c>
    </row>
    <row r="7426">
      <c r="A7426" s="535" t="n">
        <v>41932</v>
      </c>
      <c r="B7426" s="534" t="n">
        <v>12.021</v>
      </c>
      <c r="C7426" s="534" t="n">
        <v>23070.26</v>
      </c>
      <c r="E7426" s="535" t="n">
        <v>45750</v>
      </c>
      <c r="F7426" s="534" t="n">
        <v>3.287</v>
      </c>
    </row>
    <row r="7427">
      <c r="A7427" s="535" t="n">
        <v>41933</v>
      </c>
      <c r="B7427" s="534" t="n">
        <v>12.004</v>
      </c>
      <c r="C7427" s="534" t="n">
        <v>23088.58</v>
      </c>
      <c r="E7427" s="535" t="n">
        <v>45751</v>
      </c>
      <c r="F7427" s="534" t="n">
        <v>3.287</v>
      </c>
    </row>
    <row r="7428">
      <c r="A7428" s="535" t="n">
        <v>41934</v>
      </c>
      <c r="B7428" s="534" t="n">
        <v>12.37</v>
      </c>
      <c r="C7428" s="534" t="n">
        <v>23403.97</v>
      </c>
      <c r="E7428" s="535" t="n">
        <v>45754</v>
      </c>
      <c r="F7428" s="534" t="n">
        <v>3.089</v>
      </c>
    </row>
    <row r="7429">
      <c r="A7429" s="535" t="n">
        <v>41935</v>
      </c>
      <c r="B7429" s="534" t="n">
        <v>12.335</v>
      </c>
      <c r="C7429" s="534" t="n">
        <v>23333.18</v>
      </c>
      <c r="E7429" s="535" t="n">
        <v>45755</v>
      </c>
      <c r="F7429" s="534" t="n">
        <v>3.247</v>
      </c>
    </row>
    <row r="7430">
      <c r="A7430" s="535" t="n">
        <v>41936</v>
      </c>
      <c r="B7430" s="534" t="n">
        <v>12.23</v>
      </c>
      <c r="C7430" s="534" t="n">
        <v>23302.2</v>
      </c>
      <c r="E7430" s="535" t="n">
        <v>45756</v>
      </c>
      <c r="F7430" s="534" t="n">
        <v>3.339</v>
      </c>
    </row>
    <row r="7431">
      <c r="A7431" s="535" t="n">
        <v>41939</v>
      </c>
      <c r="B7431" s="534" t="n">
        <v>12.3</v>
      </c>
      <c r="C7431" s="534" t="n">
        <v>23143.23</v>
      </c>
      <c r="E7431" s="535" t="n">
        <v>45757</v>
      </c>
      <c r="F7431" s="534" t="n">
        <v>3.362</v>
      </c>
    </row>
    <row r="7432">
      <c r="A7432" s="535" t="n">
        <v>41940</v>
      </c>
      <c r="B7432" s="534" t="n">
        <v>12.492</v>
      </c>
      <c r="C7432" s="534" t="n">
        <v>23520.36</v>
      </c>
      <c r="E7432" s="535" t="n">
        <v>45758</v>
      </c>
      <c r="F7432" s="534" t="n">
        <v>3.395</v>
      </c>
    </row>
    <row r="7433">
      <c r="A7433" s="535" t="n">
        <v>41941</v>
      </c>
      <c r="B7433" s="534" t="n">
        <v>12.561</v>
      </c>
      <c r="C7433" s="534" t="n">
        <v>23819.87</v>
      </c>
      <c r="E7433" s="535" t="n">
        <v>45761</v>
      </c>
      <c r="F7433" s="534" t="n">
        <v>3.458</v>
      </c>
    </row>
    <row r="7434">
      <c r="A7434" s="535" t="n">
        <v>41942</v>
      </c>
      <c r="B7434" s="534" t="n">
        <v>12.527</v>
      </c>
      <c r="C7434" s="534" t="n">
        <v>23702.04</v>
      </c>
      <c r="E7434" s="535" t="n">
        <v>45762</v>
      </c>
      <c r="F7434" s="534" t="n">
        <v>3.392</v>
      </c>
    </row>
    <row r="7435">
      <c r="A7435" s="535" t="n">
        <v>41943</v>
      </c>
      <c r="B7435" s="534" t="n">
        <v>12.666</v>
      </c>
      <c r="C7435" s="534" t="n">
        <v>23998.06</v>
      </c>
      <c r="E7435" s="535" t="n">
        <v>45763</v>
      </c>
      <c r="F7435" s="534" t="n">
        <v>3.279</v>
      </c>
    </row>
    <row r="7436">
      <c r="A7436" s="535" t="n">
        <v>41946</v>
      </c>
      <c r="B7436" s="534" t="n">
        <v>12.718</v>
      </c>
      <c r="C7436" s="534" t="n">
        <v>23915.97</v>
      </c>
      <c r="E7436" s="535" t="n">
        <v>45764</v>
      </c>
      <c r="F7436" s="534" t="n">
        <v>3.317</v>
      </c>
    </row>
    <row r="7437">
      <c r="A7437" s="535" t="n">
        <v>41947</v>
      </c>
      <c r="B7437" s="534" t="n">
        <v>12.788</v>
      </c>
      <c r="C7437" s="534" t="n">
        <v>23845.66</v>
      </c>
      <c r="E7437" s="535" t="n">
        <v>45765</v>
      </c>
      <c r="F7437" s="534" t="n">
        <v>3.317</v>
      </c>
    </row>
    <row r="7438">
      <c r="A7438" s="535" t="n">
        <v>41948</v>
      </c>
      <c r="B7438" s="534" t="n">
        <v>12.805</v>
      </c>
      <c r="C7438" s="534" t="n">
        <v>23695.62</v>
      </c>
      <c r="E7438" s="535" t="n">
        <v>45768</v>
      </c>
      <c r="F7438" s="534" t="n">
        <v>3.317</v>
      </c>
    </row>
    <row r="7439">
      <c r="A7439" s="535" t="n">
        <v>41949</v>
      </c>
      <c r="B7439" s="534" t="n">
        <v>12.858</v>
      </c>
      <c r="C7439" s="534" t="n">
        <v>23649.31</v>
      </c>
      <c r="E7439" s="535" t="n">
        <v>45769</v>
      </c>
      <c r="F7439" s="534" t="n">
        <v>3.366</v>
      </c>
    </row>
    <row r="7440">
      <c r="A7440" s="535" t="n">
        <v>41950</v>
      </c>
      <c r="B7440" s="534" t="n">
        <v>12.858</v>
      </c>
      <c r="C7440" s="534" t="n">
        <v>23550.24</v>
      </c>
      <c r="E7440" s="535" t="n">
        <v>45770</v>
      </c>
      <c r="F7440" s="534" t="n">
        <v>3.315</v>
      </c>
    </row>
    <row r="7441">
      <c r="A7441" s="535" t="n">
        <v>41953</v>
      </c>
      <c r="B7441" s="534" t="n">
        <v>12.875</v>
      </c>
      <c r="C7441" s="534" t="n">
        <v>23744.7</v>
      </c>
      <c r="E7441" s="535" t="n">
        <v>45771</v>
      </c>
      <c r="F7441" s="534" t="n">
        <v>3.325</v>
      </c>
    </row>
    <row r="7442">
      <c r="A7442" s="535" t="n">
        <v>41954</v>
      </c>
      <c r="B7442" s="534" t="n">
        <v>13.206</v>
      </c>
      <c r="C7442" s="534" t="n">
        <v>23808.28</v>
      </c>
      <c r="E7442" s="535" t="n">
        <v>45772</v>
      </c>
      <c r="F7442" s="534" t="n">
        <v>3.317</v>
      </c>
    </row>
    <row r="7443">
      <c r="A7443" s="535" t="n">
        <v>41955</v>
      </c>
      <c r="B7443" s="534" t="n">
        <v>13.311</v>
      </c>
      <c r="C7443" s="534" t="n">
        <v>23938.18</v>
      </c>
      <c r="E7443" s="535" t="n">
        <v>45775</v>
      </c>
      <c r="F7443" s="534" t="n">
        <v>3.278</v>
      </c>
    </row>
    <row r="7444">
      <c r="A7444" s="535" t="n">
        <v>41956</v>
      </c>
      <c r="B7444" s="534" t="n">
        <v>13.694</v>
      </c>
      <c r="C7444" s="534" t="n">
        <v>24019.94</v>
      </c>
      <c r="E7444" s="535" t="n">
        <v>45776</v>
      </c>
      <c r="F7444" s="534" t="n">
        <v>3.235</v>
      </c>
    </row>
    <row r="7445">
      <c r="A7445" s="535" t="n">
        <v>41957</v>
      </c>
      <c r="B7445" s="534" t="n">
        <v>13.659</v>
      </c>
      <c r="C7445" s="534" t="n">
        <v>24087.38</v>
      </c>
      <c r="E7445" s="535" t="n">
        <v>45777</v>
      </c>
      <c r="F7445" s="534" t="n">
        <v>3.157</v>
      </c>
    </row>
    <row r="7446">
      <c r="A7446" s="535" t="n">
        <v>41960</v>
      </c>
      <c r="B7446" s="534" t="n">
        <v>13.572</v>
      </c>
      <c r="C7446" s="534" t="n">
        <v>23797.08</v>
      </c>
      <c r="E7446" s="535" t="n">
        <v>45778</v>
      </c>
      <c r="F7446" s="534" t="n">
        <v>3.157</v>
      </c>
    </row>
    <row r="7447">
      <c r="A7447" s="535" t="n">
        <v>41961</v>
      </c>
      <c r="B7447" s="534" t="n">
        <v>13.363</v>
      </c>
      <c r="C7447" s="534" t="n">
        <v>23529.17</v>
      </c>
      <c r="E7447" s="535" t="n">
        <v>45779</v>
      </c>
      <c r="F7447" s="534" t="n">
        <v>3.225</v>
      </c>
    </row>
    <row r="7448">
      <c r="A7448" s="535" t="n">
        <v>41962</v>
      </c>
      <c r="B7448" s="534" t="n">
        <v>13.328</v>
      </c>
      <c r="C7448" s="534" t="n">
        <v>23373.31</v>
      </c>
      <c r="E7448" s="535" t="n">
        <v>45782</v>
      </c>
      <c r="F7448" s="534" t="n">
        <v>3.225</v>
      </c>
    </row>
    <row r="7449">
      <c r="A7449" s="535" t="n">
        <v>41963</v>
      </c>
      <c r="B7449" s="534" t="n">
        <v>13.223</v>
      </c>
      <c r="C7449" s="534" t="n">
        <v>23349.64</v>
      </c>
      <c r="E7449" s="535" t="n">
        <v>45783</v>
      </c>
      <c r="F7449" s="534" t="n">
        <v>3.171</v>
      </c>
    </row>
    <row r="7450">
      <c r="A7450" s="535" t="n">
        <v>41964</v>
      </c>
      <c r="B7450" s="534" t="n">
        <v>13.398</v>
      </c>
      <c r="C7450" s="534" t="n">
        <v>23437.12</v>
      </c>
      <c r="E7450" s="535" t="n">
        <v>45784</v>
      </c>
      <c r="F7450" s="534" t="n">
        <v>3.08</v>
      </c>
    </row>
    <row r="7451">
      <c r="A7451" s="535" t="n">
        <v>41967</v>
      </c>
      <c r="B7451" s="534" t="n">
        <v>13.764</v>
      </c>
      <c r="C7451" s="534" t="n">
        <v>23893.14</v>
      </c>
      <c r="E7451" s="535" t="n">
        <v>45785</v>
      </c>
      <c r="F7451" s="534" t="n">
        <v>3.016</v>
      </c>
    </row>
    <row r="7452">
      <c r="A7452" s="535" t="n">
        <v>41968</v>
      </c>
      <c r="B7452" s="534" t="n">
        <v>13.833</v>
      </c>
      <c r="C7452" s="534" t="n">
        <v>23843.91</v>
      </c>
      <c r="E7452" s="535" t="n">
        <v>45786</v>
      </c>
      <c r="F7452" s="534" t="n">
        <v>3.073</v>
      </c>
    </row>
    <row r="7453">
      <c r="A7453" s="535" t="n">
        <v>41969</v>
      </c>
      <c r="B7453" s="534" t="n">
        <v>13.99</v>
      </c>
      <c r="C7453" s="534" t="n">
        <v>24111.98</v>
      </c>
      <c r="E7453" s="535" t="n">
        <v>45789</v>
      </c>
      <c r="F7453" s="534" t="n">
        <v>3.066</v>
      </c>
    </row>
    <row r="7454">
      <c r="A7454" s="535" t="n">
        <v>41970</v>
      </c>
      <c r="B7454" s="534" t="n">
        <v>14.164</v>
      </c>
      <c r="C7454" s="534" t="n">
        <v>24004.28</v>
      </c>
      <c r="E7454" s="535" t="n">
        <v>45790</v>
      </c>
      <c r="F7454" s="534" t="n">
        <v>3.065</v>
      </c>
    </row>
    <row r="7455">
      <c r="A7455" s="535" t="n">
        <v>41971</v>
      </c>
      <c r="B7455" s="534" t="n">
        <v>14.879</v>
      </c>
      <c r="C7455" s="534" t="n">
        <v>23987.45</v>
      </c>
      <c r="E7455" s="535" t="n">
        <v>45791</v>
      </c>
      <c r="F7455" s="534" t="n">
        <v>3.092</v>
      </c>
    </row>
    <row r="7456">
      <c r="A7456" s="535" t="n">
        <v>41974</v>
      </c>
      <c r="B7456" s="534" t="n">
        <v>15.384</v>
      </c>
      <c r="C7456" s="534" t="n">
        <v>23367.45</v>
      </c>
      <c r="E7456" s="535" t="n">
        <v>45792</v>
      </c>
      <c r="F7456" s="534" t="n">
        <v>3.148</v>
      </c>
    </row>
    <row r="7457">
      <c r="A7457" s="535" t="n">
        <v>41975</v>
      </c>
      <c r="B7457" s="534" t="n">
        <v>15.157</v>
      </c>
      <c r="C7457" s="534" t="n">
        <v>23654.3</v>
      </c>
      <c r="E7457" s="535" t="n">
        <v>45793</v>
      </c>
      <c r="F7457" s="534" t="n">
        <v>3.069</v>
      </c>
    </row>
    <row r="7458">
      <c r="A7458" s="535" t="n">
        <v>41976</v>
      </c>
      <c r="B7458" s="534" t="n">
        <v>15.157</v>
      </c>
      <c r="C7458" s="534" t="n">
        <v>23428.62</v>
      </c>
      <c r="E7458" s="535" t="n">
        <v>45796</v>
      </c>
      <c r="F7458" s="534" t="n">
        <v>3.16</v>
      </c>
    </row>
    <row r="7459">
      <c r="A7459" s="535" t="n">
        <v>41977</v>
      </c>
      <c r="B7459" s="534" t="n">
        <v>15.401</v>
      </c>
      <c r="C7459" s="534" t="n">
        <v>23832.56</v>
      </c>
      <c r="E7459" s="535" t="n">
        <v>45797</v>
      </c>
      <c r="F7459" s="534" t="n">
        <v>3.088</v>
      </c>
    </row>
    <row r="7460">
      <c r="A7460" s="535" t="n">
        <v>41978</v>
      </c>
      <c r="B7460" s="534" t="n">
        <v>14.896</v>
      </c>
      <c r="C7460" s="534" t="n">
        <v>24002.64</v>
      </c>
      <c r="E7460" s="535" t="n">
        <v>45798</v>
      </c>
      <c r="F7460" s="534" t="n">
        <v>3.205</v>
      </c>
    </row>
    <row r="7461">
      <c r="A7461" s="535" t="n">
        <v>41981</v>
      </c>
      <c r="B7461" s="534" t="n">
        <v>15.018</v>
      </c>
      <c r="C7461" s="534" t="n">
        <v>24047.67</v>
      </c>
      <c r="E7461" s="535" t="n">
        <v>45799</v>
      </c>
      <c r="F7461" s="534" t="n">
        <v>3.209</v>
      </c>
    </row>
    <row r="7462">
      <c r="A7462" s="535" t="n">
        <v>41982</v>
      </c>
      <c r="B7462" s="534" t="n">
        <v>15.279</v>
      </c>
      <c r="C7462" s="534" t="n">
        <v>23485.83</v>
      </c>
      <c r="E7462" s="535" t="n">
        <v>45800</v>
      </c>
      <c r="F7462" s="534" t="n">
        <v>3.145</v>
      </c>
    </row>
    <row r="7463">
      <c r="A7463" s="535" t="n">
        <v>41983</v>
      </c>
      <c r="B7463" s="534" t="n">
        <v>15.018</v>
      </c>
      <c r="C7463" s="534" t="n">
        <v>23524.52</v>
      </c>
      <c r="E7463" s="535" t="n">
        <v>45803</v>
      </c>
      <c r="F7463" s="534" t="n">
        <v>3.147</v>
      </c>
    </row>
    <row r="7464">
      <c r="A7464" s="535" t="n">
        <v>41984</v>
      </c>
      <c r="B7464" s="534" t="n">
        <v>15.314</v>
      </c>
      <c r="C7464" s="534" t="n">
        <v>23312.54</v>
      </c>
      <c r="E7464" s="535" t="n">
        <v>45804</v>
      </c>
      <c r="F7464" s="534" t="n">
        <v>3.116</v>
      </c>
    </row>
    <row r="7465">
      <c r="A7465" s="535" t="n">
        <v>41985</v>
      </c>
      <c r="B7465" s="534" t="n">
        <v>15.123</v>
      </c>
      <c r="C7465" s="534" t="n">
        <v>23249.2</v>
      </c>
      <c r="E7465" s="535" t="n">
        <v>45805</v>
      </c>
      <c r="F7465" s="534" t="n">
        <v>3.057</v>
      </c>
    </row>
    <row r="7466">
      <c r="A7466" s="535" t="n">
        <v>41988</v>
      </c>
      <c r="B7466" s="534" t="n">
        <v>15.035</v>
      </c>
      <c r="C7466" s="534" t="n">
        <v>23027.85</v>
      </c>
      <c r="E7466" s="535" t="n">
        <v>45806</v>
      </c>
      <c r="F7466" s="534" t="n">
        <v>3.08</v>
      </c>
    </row>
    <row r="7467">
      <c r="A7467" s="535" t="n">
        <v>41989</v>
      </c>
      <c r="B7467" s="534" t="n">
        <v>14.966</v>
      </c>
      <c r="C7467" s="534" t="n">
        <v>22670.5</v>
      </c>
      <c r="E7467" s="535" t="n">
        <v>45807</v>
      </c>
      <c r="F7467" s="534" t="n">
        <v>3.008</v>
      </c>
    </row>
    <row r="7468">
      <c r="A7468" s="535" t="n">
        <v>41990</v>
      </c>
      <c r="B7468" s="534" t="n">
        <v>14.67</v>
      </c>
      <c r="C7468" s="534" t="n">
        <v>22585.84</v>
      </c>
      <c r="E7468" s="535" t="n">
        <v>45810</v>
      </c>
      <c r="F7468" s="534" t="n">
        <v>3.054</v>
      </c>
    </row>
    <row r="7469">
      <c r="A7469" s="535" t="n">
        <v>41991</v>
      </c>
      <c r="B7469" s="534" t="n">
        <v>14.635</v>
      </c>
      <c r="C7469" s="534" t="n">
        <v>22832.21</v>
      </c>
      <c r="E7469" s="535" t="n">
        <v>45811</v>
      </c>
      <c r="F7469" s="534" t="n">
        <v>3.087</v>
      </c>
    </row>
    <row r="7470">
      <c r="A7470" s="535" t="n">
        <v>41992</v>
      </c>
      <c r="B7470" s="534" t="n">
        <v>14.478</v>
      </c>
      <c r="C7470" s="534" t="n">
        <v>23116.63</v>
      </c>
      <c r="E7470" s="535" t="n">
        <v>45812</v>
      </c>
      <c r="F7470" s="534" t="n">
        <v>3.122</v>
      </c>
    </row>
    <row r="7471">
      <c r="A7471" s="535" t="n">
        <v>41995</v>
      </c>
      <c r="B7471" s="534" t="n">
        <v>14.67</v>
      </c>
      <c r="C7471" s="534" t="n">
        <v>23408.57</v>
      </c>
      <c r="E7471" s="535" t="n">
        <v>45813</v>
      </c>
      <c r="F7471" s="534" t="n">
        <v>3.061</v>
      </c>
    </row>
    <row r="7472">
      <c r="A7472" s="535" t="n">
        <v>41996</v>
      </c>
      <c r="B7472" s="534" t="n">
        <v>14.513</v>
      </c>
      <c r="C7472" s="534" t="n">
        <v>23333.69</v>
      </c>
      <c r="E7472" s="535" t="n">
        <v>45814</v>
      </c>
      <c r="F7472" s="534" t="n">
        <v>3.056</v>
      </c>
    </row>
    <row r="7473">
      <c r="A7473" s="535" t="n">
        <v>41997</v>
      </c>
      <c r="B7473" s="534" t="n">
        <v>14.53</v>
      </c>
      <c r="C7473" s="534" t="n">
        <v>23349.34</v>
      </c>
      <c r="E7473" s="535" t="n">
        <v>45817</v>
      </c>
      <c r="F7473" s="534" t="n">
        <v>3.122</v>
      </c>
    </row>
    <row r="7474">
      <c r="A7474" s="535" t="n">
        <v>41998</v>
      </c>
      <c r="B7474" s="534" t="n">
        <v>14.53</v>
      </c>
      <c r="C7474" s="534" t="n">
        <v>23349.34</v>
      </c>
      <c r="E7474" s="535" t="n">
        <v>45818</v>
      </c>
      <c r="F7474" s="534" t="n">
        <v>3.094</v>
      </c>
    </row>
    <row r="7475">
      <c r="A7475" s="535" t="n">
        <v>41999</v>
      </c>
      <c r="B7475" s="534" t="n">
        <v>14.53</v>
      </c>
      <c r="C7475" s="534" t="n">
        <v>23349.34</v>
      </c>
      <c r="E7475" s="535" t="n">
        <v>45819</v>
      </c>
      <c r="F7475" s="534" t="n">
        <v>3.154</v>
      </c>
    </row>
    <row r="7476">
      <c r="A7476" s="535" t="n">
        <v>42002</v>
      </c>
      <c r="B7476" s="534" t="n">
        <v>14.548</v>
      </c>
      <c r="C7476" s="534" t="n">
        <v>23773.18</v>
      </c>
      <c r="E7476" s="535" t="n">
        <v>45820</v>
      </c>
      <c r="F7476" s="534" t="n">
        <v>3.125</v>
      </c>
    </row>
    <row r="7477">
      <c r="A7477" s="535" t="n">
        <v>42003</v>
      </c>
      <c r="B7477" s="534" t="n">
        <v>14.635</v>
      </c>
      <c r="C7477" s="534" t="n">
        <v>23501.1</v>
      </c>
      <c r="E7477" s="535" t="n">
        <v>45821</v>
      </c>
      <c r="F7477" s="534" t="n">
        <v>3.062</v>
      </c>
    </row>
    <row r="7478">
      <c r="A7478" s="535" t="n">
        <v>42004</v>
      </c>
      <c r="B7478" s="534" t="n">
        <v>14.722</v>
      </c>
      <c r="C7478" s="534" t="n">
        <v>23605.04</v>
      </c>
      <c r="E7478" s="535" t="n">
        <v>45824</v>
      </c>
      <c r="F7478" s="534" t="n">
        <v>3.147</v>
      </c>
    </row>
    <row r="7479">
      <c r="A7479" s="535" t="n">
        <v>42005</v>
      </c>
      <c r="B7479" s="534" t="n">
        <v>14.722</v>
      </c>
      <c r="C7479" s="534" t="n">
        <v>23605.04</v>
      </c>
      <c r="E7479" s="535" t="n">
        <v>45825</v>
      </c>
      <c r="F7479" s="534" t="n">
        <v>3.12</v>
      </c>
    </row>
    <row r="7480">
      <c r="A7480" s="535" t="n">
        <v>42006</v>
      </c>
      <c r="B7480" s="534" t="n">
        <v>14.704</v>
      </c>
      <c r="C7480" s="534" t="n">
        <v>23857.82</v>
      </c>
      <c r="E7480" s="535" t="n">
        <v>45826</v>
      </c>
      <c r="F7480" s="534" t="n">
        <v>3.106</v>
      </c>
    </row>
    <row r="7481">
      <c r="A7481" s="535" t="n">
        <v>42009</v>
      </c>
      <c r="B7481" s="534" t="n">
        <v>14.217</v>
      </c>
      <c r="C7481" s="534" t="n">
        <v>23721.32</v>
      </c>
      <c r="E7481" s="535" t="n">
        <v>45827</v>
      </c>
      <c r="F7481" s="534" t="n">
        <v>3.117</v>
      </c>
    </row>
    <row r="7482">
      <c r="A7482" s="535" t="n">
        <v>42010</v>
      </c>
      <c r="B7482" s="534" t="n">
        <v>14.234</v>
      </c>
      <c r="C7482" s="534" t="n">
        <v>23485.41</v>
      </c>
      <c r="E7482" s="535" t="n">
        <v>45828</v>
      </c>
      <c r="F7482" s="534" t="n">
        <v>3.118</v>
      </c>
    </row>
    <row r="7483">
      <c r="A7483" s="535" t="n">
        <v>42011</v>
      </c>
      <c r="B7483" s="534" t="n">
        <v>14.774</v>
      </c>
      <c r="C7483" s="534" t="n">
        <v>23681.26</v>
      </c>
      <c r="E7483" s="535" t="n">
        <v>45831</v>
      </c>
      <c r="F7483" s="534" t="n">
        <v>3.118</v>
      </c>
    </row>
    <row r="7484">
      <c r="A7484" s="535" t="n">
        <v>42012</v>
      </c>
      <c r="B7484" s="534" t="n">
        <v>14.966</v>
      </c>
      <c r="C7484" s="534" t="n">
        <v>23835.53</v>
      </c>
      <c r="E7484" s="535" t="n">
        <v>45832</v>
      </c>
      <c r="F7484" s="534" t="n">
        <v>3.066</v>
      </c>
    </row>
    <row r="7485">
      <c r="A7485" s="535" t="n">
        <v>42013</v>
      </c>
      <c r="B7485" s="534" t="n">
        <v>15.401</v>
      </c>
      <c r="C7485" s="534" t="n">
        <v>23919.95</v>
      </c>
      <c r="E7485" s="535" t="n">
        <v>45833</v>
      </c>
      <c r="F7485" s="534" t="n">
        <v>3.052</v>
      </c>
    </row>
    <row r="7486">
      <c r="A7486" s="535" t="n">
        <v>42016</v>
      </c>
      <c r="B7486" s="534" t="n">
        <v>15.227</v>
      </c>
      <c r="C7486" s="534" t="n">
        <v>24026.46</v>
      </c>
      <c r="E7486" s="535" t="n">
        <v>45834</v>
      </c>
      <c r="F7486" s="534" t="n">
        <v>3.024</v>
      </c>
    </row>
    <row r="7487">
      <c r="A7487" s="535" t="n">
        <v>42017</v>
      </c>
      <c r="B7487" s="534" t="n">
        <v>15.279</v>
      </c>
      <c r="C7487" s="534" t="n">
        <v>24215.97</v>
      </c>
      <c r="E7487" s="535" t="n">
        <v>45835</v>
      </c>
      <c r="F7487" s="534" t="n">
        <v>2.973</v>
      </c>
    </row>
    <row r="7488">
      <c r="A7488" s="535" t="n">
        <v>42018</v>
      </c>
      <c r="B7488" s="534" t="n">
        <v>15.454</v>
      </c>
      <c r="C7488" s="534" t="n">
        <v>24112.6</v>
      </c>
      <c r="E7488" s="535" t="n">
        <v>45838</v>
      </c>
      <c r="F7488" s="534" t="n">
        <v>2.973</v>
      </c>
    </row>
    <row r="7489">
      <c r="A7489" s="535" t="n">
        <v>42019</v>
      </c>
      <c r="B7489" s="534" t="n">
        <v>15.384</v>
      </c>
      <c r="C7489" s="534" t="n">
        <v>24350.91</v>
      </c>
      <c r="E7489" s="535" t="n">
        <v>45839</v>
      </c>
      <c r="F7489" s="534" t="n">
        <v>2.973</v>
      </c>
    </row>
    <row r="7490">
      <c r="A7490" s="535" t="n">
        <v>42020</v>
      </c>
      <c r="B7490" s="534" t="n">
        <v>15.157</v>
      </c>
      <c r="C7490" s="534" t="n">
        <v>24103.52</v>
      </c>
      <c r="E7490" s="535" t="n">
        <v>45840</v>
      </c>
      <c r="F7490" s="534" t="n">
        <v>2.984</v>
      </c>
    </row>
    <row r="7491">
      <c r="A7491" s="535" t="n">
        <v>42023</v>
      </c>
      <c r="B7491" s="534" t="n">
        <v>14.739</v>
      </c>
      <c r="C7491" s="534" t="n">
        <v>23738.49</v>
      </c>
      <c r="E7491" s="535" t="n">
        <v>45841</v>
      </c>
      <c r="F7491" s="534" t="n">
        <v>2.915</v>
      </c>
    </row>
    <row r="7492">
      <c r="A7492" s="535" t="n">
        <v>42024</v>
      </c>
      <c r="B7492" s="534" t="n">
        <v>14.774</v>
      </c>
      <c r="C7492" s="534" t="n">
        <v>23951.16</v>
      </c>
      <c r="E7492" s="535" t="n">
        <v>45842</v>
      </c>
      <c r="F7492" s="534" t="n">
        <v>3</v>
      </c>
    </row>
    <row r="7493">
      <c r="A7493" s="535" t="n">
        <v>42025</v>
      </c>
      <c r="B7493" s="534" t="n">
        <v>14.983</v>
      </c>
      <c r="C7493" s="534" t="n">
        <v>24352.58</v>
      </c>
      <c r="E7493" s="535" t="n">
        <v>45845</v>
      </c>
      <c r="F7493" s="534" t="n">
        <v>3.006</v>
      </c>
    </row>
    <row r="7494">
      <c r="A7494" s="535" t="n">
        <v>42026</v>
      </c>
      <c r="B7494" s="534" t="n">
        <v>15.035</v>
      </c>
      <c r="C7494" s="534" t="n">
        <v>24522.63</v>
      </c>
      <c r="E7494" s="535" t="n">
        <v>45846</v>
      </c>
      <c r="F7494" s="534" t="n">
        <v>3.035</v>
      </c>
    </row>
    <row r="7495">
      <c r="A7495" s="535" t="n">
        <v>42027</v>
      </c>
      <c r="B7495" s="534" t="n">
        <v>15.924</v>
      </c>
      <c r="C7495" s="534" t="n">
        <v>24850.45</v>
      </c>
      <c r="E7495" s="535" t="n">
        <v>45847</v>
      </c>
      <c r="F7495" s="534" t="n">
        <v>3.041</v>
      </c>
    </row>
    <row r="7496">
      <c r="A7496" s="535" t="n">
        <v>42030</v>
      </c>
      <c r="B7496" s="534" t="n">
        <v>15.785</v>
      </c>
      <c r="C7496" s="534" t="n">
        <v>24909.9</v>
      </c>
      <c r="E7496" s="535" t="n">
        <v>45848</v>
      </c>
      <c r="F7496" s="534" t="n">
        <v>2.984</v>
      </c>
    </row>
    <row r="7497">
      <c r="A7497" s="535" t="n">
        <v>42031</v>
      </c>
      <c r="B7497" s="534" t="n">
        <v>15.61</v>
      </c>
      <c r="C7497" s="534" t="n">
        <v>24807.28</v>
      </c>
      <c r="E7497" s="535" t="n">
        <v>45849</v>
      </c>
      <c r="F7497" s="534" t="n">
        <v>3.036</v>
      </c>
    </row>
    <row r="7498">
      <c r="A7498" s="535" t="n">
        <v>42032</v>
      </c>
      <c r="B7498" s="534" t="n">
        <v>15.645</v>
      </c>
      <c r="C7498" s="534" t="n">
        <v>24861.81</v>
      </c>
      <c r="E7498" s="535" t="n">
        <v>45852</v>
      </c>
      <c r="F7498" s="534" t="n">
        <v>3.127</v>
      </c>
    </row>
    <row r="7499">
      <c r="A7499" s="535" t="n">
        <v>42033</v>
      </c>
      <c r="B7499" s="534" t="n">
        <v>15.68</v>
      </c>
      <c r="C7499" s="534" t="n">
        <v>24595.85</v>
      </c>
      <c r="E7499" s="535" t="n">
        <v>45853</v>
      </c>
      <c r="F7499" s="534" t="n">
        <v>3.137</v>
      </c>
    </row>
    <row r="7500">
      <c r="A7500" s="535" t="n">
        <v>42034</v>
      </c>
      <c r="B7500" s="534" t="n">
        <v>15.767</v>
      </c>
      <c r="C7500" s="534" t="n">
        <v>24507.05</v>
      </c>
      <c r="E7500" s="535" t="n">
        <v>45854</v>
      </c>
      <c r="F7500" s="534" t="n">
        <v>3.201</v>
      </c>
    </row>
    <row r="7501">
      <c r="A7501" s="535" t="n">
        <v>42037</v>
      </c>
      <c r="B7501" s="534" t="n">
        <v>15.663</v>
      </c>
      <c r="C7501" s="534" t="n">
        <v>24484.74</v>
      </c>
      <c r="E7501" s="535" t="n">
        <v>45855</v>
      </c>
      <c r="F7501" s="534" t="n">
        <v>3.191</v>
      </c>
    </row>
    <row r="7502">
      <c r="A7502" s="535" t="n">
        <v>42038</v>
      </c>
      <c r="B7502" s="534" t="n">
        <v>15.088</v>
      </c>
      <c r="C7502" s="534" t="n">
        <v>24554.78</v>
      </c>
      <c r="E7502" s="535" t="n">
        <v>45856</v>
      </c>
      <c r="F7502" s="534" t="n">
        <v>3.131</v>
      </c>
    </row>
    <row r="7503">
      <c r="A7503" s="535" t="n">
        <v>42039</v>
      </c>
      <c r="B7503" s="534" t="n">
        <v>15.14</v>
      </c>
      <c r="C7503" s="534" t="n">
        <v>24679.76</v>
      </c>
      <c r="E7503" s="535" t="n">
        <v>45859</v>
      </c>
      <c r="F7503" s="534" t="n">
        <v>3.101</v>
      </c>
    </row>
    <row r="7504">
      <c r="A7504" s="535" t="n">
        <v>42040</v>
      </c>
      <c r="B7504" s="534" t="n">
        <v>15.192</v>
      </c>
      <c r="C7504" s="534" t="n">
        <v>24765.49</v>
      </c>
      <c r="E7504" s="535" t="n">
        <v>45860</v>
      </c>
      <c r="F7504" s="534" t="n">
        <v>3.145</v>
      </c>
    </row>
    <row r="7505">
      <c r="A7505" s="535" t="n">
        <v>42041</v>
      </c>
      <c r="B7505" s="534" t="n">
        <v>15.123</v>
      </c>
      <c r="C7505" s="534" t="n">
        <v>24679.39</v>
      </c>
      <c r="E7505" s="535" t="n">
        <v>45861</v>
      </c>
      <c r="F7505" s="534" t="n">
        <v>3.096</v>
      </c>
    </row>
    <row r="7506">
      <c r="A7506" s="535" t="n">
        <v>42044</v>
      </c>
      <c r="B7506" s="534" t="n">
        <v>14.896</v>
      </c>
      <c r="C7506" s="534" t="n">
        <v>24521</v>
      </c>
      <c r="E7506" s="535" t="n">
        <v>45862</v>
      </c>
      <c r="F7506" s="534" t="n">
        <v>3.133</v>
      </c>
    </row>
    <row r="7507">
      <c r="A7507" s="535" t="n">
        <v>42045</v>
      </c>
      <c r="B7507" s="534" t="n">
        <v>14.913</v>
      </c>
      <c r="C7507" s="534" t="n">
        <v>24528.1</v>
      </c>
      <c r="E7507" s="535" t="n">
        <v>45863</v>
      </c>
      <c r="F7507" s="534" t="n">
        <v>3.153</v>
      </c>
    </row>
    <row r="7508">
      <c r="A7508" s="535" t="n">
        <v>42046</v>
      </c>
      <c r="B7508" s="534" t="n">
        <v>15.192</v>
      </c>
      <c r="C7508" s="534" t="n">
        <v>24315.02</v>
      </c>
      <c r="E7508" s="535" t="n">
        <v>45866</v>
      </c>
      <c r="F7508" s="534" t="n">
        <v>3.088</v>
      </c>
    </row>
    <row r="7509">
      <c r="A7509" s="535" t="n">
        <v>42047</v>
      </c>
      <c r="B7509" s="534" t="n">
        <v>14.896</v>
      </c>
      <c r="C7509" s="534" t="n">
        <v>24422.15</v>
      </c>
      <c r="E7509" s="535" t="n">
        <v>45867</v>
      </c>
      <c r="F7509" s="534" t="n">
        <v>3.098</v>
      </c>
    </row>
    <row r="7510">
      <c r="A7510" s="535" t="n">
        <v>42048</v>
      </c>
      <c r="B7510" s="534" t="n">
        <v>14.983</v>
      </c>
      <c r="C7510" s="534" t="n">
        <v>24682.54</v>
      </c>
      <c r="E7510" s="535" t="n">
        <v>45868</v>
      </c>
      <c r="F7510" s="534" t="n">
        <v>3.05</v>
      </c>
    </row>
    <row r="7511">
      <c r="A7511" s="535" t="n">
        <v>42051</v>
      </c>
      <c r="B7511" s="534" t="n">
        <v>14.879</v>
      </c>
      <c r="C7511" s="534" t="n">
        <v>24726.53</v>
      </c>
      <c r="E7511" s="535" t="n">
        <v>45869</v>
      </c>
      <c r="F7511" s="534" t="n">
        <v>3.051</v>
      </c>
    </row>
    <row r="7512">
      <c r="A7512" s="535" t="n">
        <v>42052</v>
      </c>
      <c r="B7512" s="534" t="n">
        <v>14.913</v>
      </c>
      <c r="C7512" s="534" t="n">
        <v>24784.88</v>
      </c>
      <c r="E7512" s="535" t="n">
        <v>45870</v>
      </c>
      <c r="F7512" s="534" t="n">
        <v>3.074</v>
      </c>
    </row>
    <row r="7513">
      <c r="A7513" s="535" t="n">
        <v>42053</v>
      </c>
      <c r="B7513" s="534" t="n">
        <v>14.966</v>
      </c>
      <c r="C7513" s="534" t="n">
        <v>24832.08</v>
      </c>
      <c r="E7513" s="535" t="n">
        <v>45873</v>
      </c>
      <c r="F7513" s="534" t="n">
        <v>3</v>
      </c>
    </row>
    <row r="7514">
      <c r="A7514" s="535" t="n">
        <v>42054</v>
      </c>
      <c r="B7514" s="534" t="n">
        <v>14.966</v>
      </c>
      <c r="C7514" s="534" t="n">
        <v>24832.08</v>
      </c>
      <c r="E7514" s="535" t="n">
        <v>45874</v>
      </c>
      <c r="F7514" s="534" t="n">
        <v>3</v>
      </c>
    </row>
    <row r="7515">
      <c r="A7515" s="535" t="n">
        <v>42055</v>
      </c>
      <c r="B7515" s="534" t="n">
        <v>14.966</v>
      </c>
      <c r="C7515" s="534" t="n">
        <v>24832.08</v>
      </c>
      <c r="E7515" s="535" t="n">
        <v>45875</v>
      </c>
      <c r="F7515" s="534" t="n">
        <v>2.995</v>
      </c>
    </row>
    <row r="7516">
      <c r="A7516" s="535" t="n">
        <v>42058</v>
      </c>
      <c r="B7516" s="534" t="n">
        <v>14.844</v>
      </c>
      <c r="C7516" s="534" t="n">
        <v>24836.76</v>
      </c>
      <c r="E7516" s="535" t="n">
        <v>45876</v>
      </c>
      <c r="F7516" s="534" t="n">
        <v>2.999</v>
      </c>
    </row>
    <row r="7517">
      <c r="A7517" s="535" t="n">
        <v>42059</v>
      </c>
      <c r="B7517" s="534" t="n">
        <v>14.879</v>
      </c>
      <c r="C7517" s="534" t="n">
        <v>24750.07</v>
      </c>
      <c r="E7517" s="535" t="n">
        <v>45877</v>
      </c>
      <c r="F7517" s="534" t="n">
        <v>2.987</v>
      </c>
    </row>
    <row r="7518">
      <c r="A7518" s="535" t="n">
        <v>42060</v>
      </c>
      <c r="B7518" s="534" t="n">
        <v>14.948</v>
      </c>
      <c r="C7518" s="534" t="n">
        <v>24778.28</v>
      </c>
      <c r="E7518" s="535" t="n">
        <v>45880</v>
      </c>
      <c r="F7518" s="534" t="n">
        <v>3.006</v>
      </c>
    </row>
    <row r="7519">
      <c r="A7519" s="535" t="n">
        <v>42061</v>
      </c>
      <c r="B7519" s="534" t="n">
        <v>15.088</v>
      </c>
      <c r="C7519" s="534" t="n">
        <v>24902.06</v>
      </c>
      <c r="E7519" s="535" t="n">
        <v>45881</v>
      </c>
      <c r="F7519" s="534" t="n">
        <v>3.001</v>
      </c>
    </row>
    <row r="7520">
      <c r="A7520" s="535" t="n">
        <v>42062</v>
      </c>
      <c r="B7520" s="534" t="n">
        <v>15.157</v>
      </c>
      <c r="C7520" s="534" t="n">
        <v>24823.29</v>
      </c>
      <c r="E7520" s="535" t="n">
        <v>45882</v>
      </c>
      <c r="F7520" s="534" t="n">
        <v>3.013</v>
      </c>
    </row>
    <row r="7521">
      <c r="A7521" s="535" t="n">
        <v>42065</v>
      </c>
      <c r="B7521" s="534" t="n">
        <v>15.105</v>
      </c>
      <c r="C7521" s="534" t="n">
        <v>24887.44</v>
      </c>
      <c r="E7521" s="535" t="n">
        <v>45883</v>
      </c>
      <c r="F7521" s="534" t="n">
        <v>2.982</v>
      </c>
    </row>
    <row r="7522">
      <c r="A7522" s="535" t="n">
        <v>42066</v>
      </c>
      <c r="B7522" s="534" t="n">
        <v>15.001</v>
      </c>
      <c r="C7522" s="534" t="n">
        <v>24702.78</v>
      </c>
      <c r="E7522" s="535" t="n">
        <v>45884</v>
      </c>
      <c r="F7522" s="534" t="n">
        <v>3.04</v>
      </c>
    </row>
    <row r="7523">
      <c r="A7523" s="535" t="n">
        <v>42067</v>
      </c>
      <c r="B7523" s="534" t="n">
        <v>14.861</v>
      </c>
      <c r="C7523" s="534" t="n">
        <v>24465.38</v>
      </c>
      <c r="E7523" s="535" t="n">
        <v>45887</v>
      </c>
      <c r="F7523" s="534" t="n">
        <v>3.046</v>
      </c>
    </row>
    <row r="7524">
      <c r="A7524" s="535" t="n">
        <v>42068</v>
      </c>
      <c r="B7524" s="534" t="n">
        <v>14.582</v>
      </c>
      <c r="C7524" s="534" t="n">
        <v>24193.04</v>
      </c>
      <c r="E7524" s="535" t="n">
        <v>45888</v>
      </c>
      <c r="F7524" s="534" t="n">
        <v>3.115</v>
      </c>
    </row>
    <row r="7525">
      <c r="A7525" s="535" t="n">
        <v>42069</v>
      </c>
      <c r="B7525" s="534" t="n">
        <v>14.513</v>
      </c>
      <c r="C7525" s="534" t="n">
        <v>24164</v>
      </c>
      <c r="E7525" s="535" t="n">
        <v>45889</v>
      </c>
      <c r="F7525" s="534" t="n">
        <v>3.087</v>
      </c>
    </row>
    <row r="7526">
      <c r="A7526" s="535" t="n">
        <v>42072</v>
      </c>
      <c r="B7526" s="534" t="n">
        <v>14.269</v>
      </c>
      <c r="C7526" s="534" t="n">
        <v>24123.05</v>
      </c>
      <c r="E7526" s="535" t="n">
        <v>45890</v>
      </c>
      <c r="F7526" s="534" t="n">
        <v>3.078</v>
      </c>
    </row>
    <row r="7527">
      <c r="A7527" s="535" t="n">
        <v>42073</v>
      </c>
      <c r="B7527" s="534" t="n">
        <v>14.234</v>
      </c>
      <c r="C7527" s="534" t="n">
        <v>23896.98</v>
      </c>
      <c r="E7527" s="535" t="n">
        <v>45891</v>
      </c>
      <c r="F7527" s="534" t="n">
        <v>3.09</v>
      </c>
    </row>
    <row r="7528">
      <c r="A7528" s="535" t="n">
        <v>42074</v>
      </c>
      <c r="B7528" s="534" t="n">
        <v>14.269</v>
      </c>
      <c r="C7528" s="534" t="n">
        <v>23717.97</v>
      </c>
      <c r="E7528" s="535" t="n">
        <v>45894</v>
      </c>
      <c r="F7528" s="534" t="n">
        <v>3.073</v>
      </c>
    </row>
    <row r="7529">
      <c r="A7529" s="535" t="n">
        <v>42075</v>
      </c>
      <c r="B7529" s="534" t="n">
        <v>14.356</v>
      </c>
      <c r="C7529" s="534" t="n">
        <v>23797.96</v>
      </c>
      <c r="E7529" s="535" t="n">
        <v>45895</v>
      </c>
      <c r="F7529" s="534" t="n">
        <v>3.095</v>
      </c>
    </row>
    <row r="7530">
      <c r="A7530" s="535" t="n">
        <v>42076</v>
      </c>
      <c r="B7530" s="534" t="n">
        <v>14.46</v>
      </c>
      <c r="C7530" s="534" t="n">
        <v>23823.21</v>
      </c>
      <c r="E7530" s="535" t="n">
        <v>45896</v>
      </c>
      <c r="F7530" s="534" t="n">
        <v>3.133</v>
      </c>
    </row>
    <row r="7531">
      <c r="A7531" s="535" t="n">
        <v>42079</v>
      </c>
      <c r="B7531" s="534" t="n">
        <v>14.53</v>
      </c>
      <c r="C7531" s="534" t="n">
        <v>23949.55</v>
      </c>
      <c r="E7531" s="535" t="n">
        <v>45897</v>
      </c>
      <c r="F7531" s="534" t="n">
        <v>3.058</v>
      </c>
    </row>
    <row r="7532">
      <c r="A7532" s="535" t="n">
        <v>42080</v>
      </c>
      <c r="B7532" s="534" t="n">
        <v>14.844</v>
      </c>
      <c r="C7532" s="534" t="n">
        <v>23901.49</v>
      </c>
      <c r="E7532" s="535" t="n">
        <v>45898</v>
      </c>
      <c r="F7532" s="534" t="n">
        <v>3.071</v>
      </c>
    </row>
    <row r="7533">
      <c r="A7533" s="535" t="n">
        <v>42081</v>
      </c>
      <c r="B7533" s="534" t="n">
        <v>14.757</v>
      </c>
      <c r="C7533" s="534" t="n">
        <v>24120.08</v>
      </c>
      <c r="E7533" s="535" t="n">
        <v>45901</v>
      </c>
      <c r="F7533" s="534" t="n">
        <v>3.084</v>
      </c>
    </row>
    <row r="7534">
      <c r="A7534" s="535" t="n">
        <v>42082</v>
      </c>
      <c r="B7534" s="534" t="n">
        <v>14.879</v>
      </c>
      <c r="C7534" s="534" t="n">
        <v>24468.89</v>
      </c>
      <c r="E7534" s="535" t="n">
        <v>45902</v>
      </c>
      <c r="F7534" s="534" t="n">
        <v>3.08</v>
      </c>
    </row>
    <row r="7535">
      <c r="A7535" s="535" t="n">
        <v>42083</v>
      </c>
      <c r="B7535" s="534" t="n">
        <v>15.332</v>
      </c>
      <c r="C7535" s="534" t="n">
        <v>24375.24</v>
      </c>
      <c r="E7535" s="535" t="n">
        <v>45903</v>
      </c>
      <c r="F7535" s="534" t="n">
        <v>3.088</v>
      </c>
    </row>
    <row r="7536">
      <c r="A7536" s="535" t="n">
        <v>42086</v>
      </c>
      <c r="B7536" s="534" t="n">
        <v>15.314</v>
      </c>
      <c r="C7536" s="534" t="n">
        <v>24494.51</v>
      </c>
      <c r="E7536" s="535" t="n">
        <v>45904</v>
      </c>
      <c r="F7536" s="534" t="n">
        <v>3.065</v>
      </c>
    </row>
    <row r="7537">
      <c r="A7537" s="535" t="n">
        <v>42087</v>
      </c>
      <c r="B7537" s="534" t="n">
        <v>15.471</v>
      </c>
      <c r="C7537" s="534" t="n">
        <v>24399.6</v>
      </c>
      <c r="E7537" s="535" t="n">
        <v>45905</v>
      </c>
      <c r="F7537" s="534" t="n">
        <v>3.053</v>
      </c>
    </row>
    <row r="7538">
      <c r="A7538" s="535" t="n">
        <v>42088</v>
      </c>
      <c r="B7538" s="534" t="n">
        <v>15.401</v>
      </c>
      <c r="C7538" s="534" t="n">
        <v>24528.23</v>
      </c>
      <c r="E7538" s="535" t="n">
        <v>45908</v>
      </c>
      <c r="F7538" s="534" t="n">
        <v>3.053</v>
      </c>
    </row>
    <row r="7539">
      <c r="A7539" s="535" t="n">
        <v>42089</v>
      </c>
      <c r="B7539" s="534" t="n">
        <v>15.332</v>
      </c>
      <c r="C7539" s="534" t="n">
        <v>24497.08</v>
      </c>
      <c r="E7539" s="535" t="n">
        <v>45909</v>
      </c>
      <c r="F7539" s="534" t="n">
        <v>3.007</v>
      </c>
    </row>
    <row r="7540">
      <c r="A7540" s="535" t="n">
        <v>42090</v>
      </c>
      <c r="B7540" s="534" t="n">
        <v>15.454</v>
      </c>
      <c r="C7540" s="534" t="n">
        <v>24486.2</v>
      </c>
      <c r="E7540" s="535" t="n">
        <v>45910</v>
      </c>
      <c r="F7540" s="534" t="n">
        <v>3.05</v>
      </c>
    </row>
    <row r="7541">
      <c r="A7541" s="535" t="n">
        <v>42093</v>
      </c>
      <c r="B7541" s="534" t="n">
        <v>15.488</v>
      </c>
      <c r="C7541" s="534" t="n">
        <v>24855.12</v>
      </c>
      <c r="E7541" s="535" t="n">
        <v>45911</v>
      </c>
      <c r="F7541" s="534" t="n">
        <v>3.015</v>
      </c>
    </row>
    <row r="7542">
      <c r="A7542" s="535" t="n">
        <v>42094</v>
      </c>
      <c r="B7542" s="534" t="n">
        <v>15.628</v>
      </c>
      <c r="C7542" s="534" t="n">
        <v>24900.89</v>
      </c>
      <c r="E7542" s="535" t="n">
        <v>45912</v>
      </c>
      <c r="F7542" s="534" t="n">
        <v>3.032</v>
      </c>
    </row>
    <row r="7543">
      <c r="A7543" s="535" t="n">
        <v>42095</v>
      </c>
      <c r="B7543" s="534" t="n">
        <v>16.15</v>
      </c>
      <c r="C7543" s="534" t="n">
        <v>25082.75</v>
      </c>
      <c r="E7543" s="535" t="n">
        <v>45915</v>
      </c>
      <c r="F7543" s="534" t="n">
        <v>3.096</v>
      </c>
    </row>
    <row r="7544">
      <c r="A7544" s="535" t="n">
        <v>42096</v>
      </c>
      <c r="B7544" s="534" t="n">
        <v>16.168</v>
      </c>
      <c r="C7544" s="534" t="n">
        <v>25275.64</v>
      </c>
      <c r="E7544" s="535" t="n">
        <v>45916</v>
      </c>
      <c r="F7544" s="534" t="n">
        <v>3.04</v>
      </c>
    </row>
    <row r="7545">
      <c r="A7545" s="535" t="n">
        <v>42097</v>
      </c>
      <c r="B7545" s="534" t="n">
        <v>16.168</v>
      </c>
      <c r="C7545" s="534" t="n">
        <v>25275.64</v>
      </c>
      <c r="E7545" s="535" t="n">
        <v>45917</v>
      </c>
      <c r="F7545" s="534" t="n">
        <v>3.004</v>
      </c>
    </row>
    <row r="7546">
      <c r="A7546" s="535" t="n">
        <v>42100</v>
      </c>
      <c r="B7546" s="534" t="n">
        <v>16.168</v>
      </c>
      <c r="C7546" s="534" t="n">
        <v>25275.64</v>
      </c>
      <c r="E7546" s="535" t="n">
        <v>45918</v>
      </c>
      <c r="F7546" s="534" t="n">
        <v>3.028</v>
      </c>
    </row>
    <row r="7547">
      <c r="A7547" s="535" t="n">
        <v>42101</v>
      </c>
      <c r="B7547" s="534" t="n">
        <v>16.168</v>
      </c>
      <c r="C7547" s="534" t="n">
        <v>25275.64</v>
      </c>
      <c r="E7547" s="535" t="n">
        <v>45919</v>
      </c>
      <c r="F7547" s="534" t="n">
        <v>3.089</v>
      </c>
    </row>
    <row r="7548">
      <c r="A7548" s="535" t="n">
        <v>42102</v>
      </c>
      <c r="B7548" s="534" t="n">
        <v>16.412</v>
      </c>
      <c r="C7548" s="534" t="n">
        <v>26236.86</v>
      </c>
      <c r="E7548" s="535" t="n">
        <v>45922</v>
      </c>
      <c r="F7548" s="534" t="n">
        <v>3.128</v>
      </c>
    </row>
    <row r="7549">
      <c r="A7549" s="535" t="n">
        <v>42103</v>
      </c>
      <c r="B7549" s="534" t="n">
        <v>16.743</v>
      </c>
      <c r="C7549" s="534" t="n">
        <v>26944.39</v>
      </c>
      <c r="E7549" s="535" t="n">
        <v>45923</v>
      </c>
      <c r="F7549" s="534" t="n">
        <v>3.129</v>
      </c>
    </row>
    <row r="7550">
      <c r="A7550" s="535" t="n">
        <v>42104</v>
      </c>
      <c r="B7550" s="534" t="n">
        <v>16.847</v>
      </c>
      <c r="C7550" s="534" t="n">
        <v>27272.39</v>
      </c>
      <c r="E7550" s="535" t="n">
        <v>45924</v>
      </c>
      <c r="F7550" s="534" t="n">
        <v>3.128</v>
      </c>
    </row>
    <row r="7551">
      <c r="A7551" s="535" t="n">
        <v>42107</v>
      </c>
      <c r="B7551" s="534" t="n">
        <v>16.987</v>
      </c>
      <c r="C7551" s="534" t="n">
        <v>28016.34</v>
      </c>
      <c r="E7551" s="535" t="n">
        <v>45925</v>
      </c>
      <c r="F7551" s="534" t="n">
        <v>3.076</v>
      </c>
    </row>
    <row r="7552">
      <c r="A7552" s="535" t="n">
        <v>42108</v>
      </c>
      <c r="B7552" s="534" t="n">
        <v>16.9</v>
      </c>
      <c r="C7552" s="534" t="n">
        <v>27561.49</v>
      </c>
      <c r="E7552" s="535" t="n">
        <v>45926</v>
      </c>
      <c r="F7552" s="534" t="n">
        <v>3.103</v>
      </c>
    </row>
    <row r="7553">
      <c r="A7553" s="535" t="n">
        <v>42109</v>
      </c>
      <c r="B7553" s="534" t="n">
        <v>17.074</v>
      </c>
      <c r="C7553" s="534" t="n">
        <v>27618.82</v>
      </c>
      <c r="E7553" s="535" t="n">
        <v>45929</v>
      </c>
      <c r="F7553" s="534" t="n">
        <v>3.086</v>
      </c>
    </row>
    <row r="7554">
      <c r="A7554" s="535" t="n">
        <v>42110</v>
      </c>
      <c r="B7554" s="534" t="n">
        <v>16.83</v>
      </c>
      <c r="C7554" s="534" t="n">
        <v>27739.71</v>
      </c>
      <c r="E7554" s="535" t="n">
        <v>45930</v>
      </c>
      <c r="F7554" s="534" t="n">
        <v>3.053</v>
      </c>
    </row>
    <row r="7555">
      <c r="A7555" s="535" t="n">
        <v>42111</v>
      </c>
      <c r="B7555" s="534" t="n">
        <v>17.056</v>
      </c>
      <c r="C7555" s="534" t="n">
        <v>27653.12</v>
      </c>
      <c r="E7555" s="535" t="n">
        <v>45931</v>
      </c>
      <c r="F7555" s="534" t="n">
        <v>3.053</v>
      </c>
    </row>
    <row r="7556">
      <c r="A7556" s="535" t="n">
        <v>42114</v>
      </c>
      <c r="B7556" s="534" t="n">
        <v>16.865</v>
      </c>
      <c r="C7556" s="534" t="n">
        <v>27094.93</v>
      </c>
      <c r="E7556" s="535" t="n">
        <v>45932</v>
      </c>
      <c r="F7556" s="534" t="n">
        <v>3.043</v>
      </c>
    </row>
    <row r="7557">
      <c r="A7557" s="535" t="n">
        <v>42115</v>
      </c>
      <c r="B7557" s="534" t="n">
        <v>17.004</v>
      </c>
      <c r="C7557" s="534" t="n">
        <v>27850.49</v>
      </c>
      <c r="E7557" s="535" t="n">
        <v>45933</v>
      </c>
      <c r="F7557" s="534" t="n">
        <v>3.055</v>
      </c>
    </row>
    <row r="7558">
      <c r="A7558" s="535" t="n">
        <v>42116</v>
      </c>
      <c r="B7558" s="534" t="n">
        <v>17.405</v>
      </c>
      <c r="C7558" s="534" t="n">
        <v>27933.85</v>
      </c>
      <c r="E7558" s="535" t="n">
        <v>45936</v>
      </c>
      <c r="F7558" s="534" t="n">
        <v>3.102</v>
      </c>
    </row>
    <row r="7559">
      <c r="A7559" s="535" t="n">
        <v>42117</v>
      </c>
      <c r="B7559" s="534" t="n">
        <v>17.422</v>
      </c>
      <c r="C7559" s="534" t="n">
        <v>27827.7</v>
      </c>
      <c r="E7559" s="535" t="n">
        <v>45937</v>
      </c>
      <c r="F7559" s="534" t="n">
        <v>3.102</v>
      </c>
    </row>
    <row r="7560">
      <c r="A7560" s="535" t="n">
        <v>42118</v>
      </c>
      <c r="B7560" s="534" t="n">
        <v>17.596</v>
      </c>
      <c r="C7560" s="534" t="n">
        <v>28060.98</v>
      </c>
      <c r="E7560" s="535" t="n">
        <v>45938</v>
      </c>
      <c r="F7560" s="534" t="n">
        <v>3.064</v>
      </c>
    </row>
    <row r="7561">
      <c r="A7561" s="535" t="n">
        <v>42121</v>
      </c>
      <c r="B7561" s="534" t="n">
        <v>17.814</v>
      </c>
      <c r="C7561" s="534" t="n">
        <v>28433.59</v>
      </c>
      <c r="E7561" s="535" t="n">
        <v>45939</v>
      </c>
      <c r="F7561" s="534" t="n">
        <v>3.05</v>
      </c>
    </row>
    <row r="7562">
      <c r="A7562" s="535" t="n">
        <v>42122</v>
      </c>
      <c r="B7562" s="534" t="n">
        <v>17.422</v>
      </c>
      <c r="C7562" s="534" t="n">
        <v>28442.75</v>
      </c>
      <c r="E7562" s="535" t="n">
        <v>45940</v>
      </c>
      <c r="F7562" s="534" t="n">
        <v>3.024</v>
      </c>
    </row>
    <row r="7563">
      <c r="A7563" s="535" t="n">
        <v>42123</v>
      </c>
      <c r="B7563" s="534" t="n">
        <v>17.37</v>
      </c>
      <c r="C7563" s="534" t="n">
        <v>28400.34</v>
      </c>
      <c r="E7563" s="535" t="n">
        <v>45943</v>
      </c>
      <c r="F7563" s="534" t="n">
        <v>2.989</v>
      </c>
    </row>
    <row r="7564">
      <c r="A7564" s="535" t="n">
        <v>42124</v>
      </c>
      <c r="B7564" s="534" t="n">
        <v>17.405</v>
      </c>
      <c r="C7564" s="534" t="n">
        <v>28133</v>
      </c>
      <c r="E7564" s="535" t="n">
        <v>45944</v>
      </c>
      <c r="F7564" s="534" t="n">
        <v>2.923</v>
      </c>
    </row>
    <row r="7565">
      <c r="A7565" s="535" t="n">
        <v>42125</v>
      </c>
      <c r="B7565" s="534" t="n">
        <v>17.405</v>
      </c>
      <c r="C7565" s="534" t="n">
        <v>28133</v>
      </c>
      <c r="E7565" s="535" t="n">
        <v>45945</v>
      </c>
      <c r="F7565" s="534" t="n">
        <v>2.92</v>
      </c>
    </row>
    <row r="7566">
      <c r="A7566" s="535" t="n">
        <v>42128</v>
      </c>
      <c r="B7566" s="534" t="n">
        <v>17.056</v>
      </c>
      <c r="C7566" s="534" t="n">
        <v>28123.82</v>
      </c>
      <c r="E7566" s="535" t="n">
        <v>45946</v>
      </c>
      <c r="F7566" s="534" t="n">
        <v>2.928</v>
      </c>
    </row>
    <row r="7567">
      <c r="A7567" s="535" t="n">
        <v>42129</v>
      </c>
      <c r="B7567" s="534" t="n">
        <v>16.795</v>
      </c>
      <c r="C7567" s="534" t="n">
        <v>27755.54</v>
      </c>
      <c r="E7567" s="535" t="n">
        <v>45947</v>
      </c>
      <c r="F7567" s="534" t="n">
        <v>2.844</v>
      </c>
    </row>
    <row r="7568">
      <c r="A7568" s="535" t="n">
        <v>42130</v>
      </c>
      <c r="B7568" s="534" t="n">
        <v>16.569</v>
      </c>
      <c r="C7568" s="534" t="n">
        <v>27640.91</v>
      </c>
      <c r="E7568" s="535" t="n">
        <v>45950</v>
      </c>
      <c r="F7568" s="534" t="n">
        <v>2.894</v>
      </c>
    </row>
    <row r="7569">
      <c r="A7569" s="535" t="n">
        <v>42131</v>
      </c>
      <c r="B7569" s="534" t="n">
        <v>16.464</v>
      </c>
      <c r="C7569" s="534" t="n">
        <v>27289.97</v>
      </c>
      <c r="E7569" s="535" t="n">
        <v>45951</v>
      </c>
      <c r="F7569" s="534" t="n">
        <v>2.843</v>
      </c>
    </row>
    <row r="7570">
      <c r="A7570" s="535" t="n">
        <v>42132</v>
      </c>
      <c r="B7570" s="534" t="n">
        <v>17.039</v>
      </c>
      <c r="C7570" s="534" t="n">
        <v>27577.34</v>
      </c>
      <c r="E7570" s="535" t="n">
        <v>45952</v>
      </c>
      <c r="F7570" s="534" t="n">
        <v>2.816</v>
      </c>
    </row>
    <row r="7571">
      <c r="A7571" s="535" t="n">
        <v>42135</v>
      </c>
      <c r="B7571" s="534" t="n">
        <v>16.778</v>
      </c>
      <c r="C7571" s="534" t="n">
        <v>27718.2</v>
      </c>
      <c r="E7571" s="535" t="n">
        <v>45953</v>
      </c>
      <c r="F7571" s="534" t="n">
        <v>2.847</v>
      </c>
    </row>
    <row r="7572">
      <c r="A7572" s="535" t="n">
        <v>42136</v>
      </c>
      <c r="B7572" s="534" t="n">
        <v>16.917</v>
      </c>
      <c r="C7572" s="534" t="n">
        <v>27407.18</v>
      </c>
      <c r="E7572" s="535" t="n">
        <v>45954</v>
      </c>
      <c r="F7572" s="534" t="n">
        <v>2.887</v>
      </c>
    </row>
    <row r="7573">
      <c r="A7573" s="535" t="n">
        <v>42137</v>
      </c>
      <c r="B7573" s="534" t="n">
        <v>16.9</v>
      </c>
      <c r="C7573" s="534" t="n">
        <v>27249.28</v>
      </c>
      <c r="E7573" s="535" t="n">
        <v>45957</v>
      </c>
      <c r="F7573" s="534" t="n">
        <v>2.924</v>
      </c>
    </row>
    <row r="7574">
      <c r="A7574" s="535" t="n">
        <v>42138</v>
      </c>
      <c r="B7574" s="534" t="n">
        <v>17.265</v>
      </c>
      <c r="C7574" s="534" t="n">
        <v>27286.55</v>
      </c>
      <c r="E7574" s="535" t="n">
        <v>45958</v>
      </c>
      <c r="F7574" s="534" t="n">
        <v>2.883</v>
      </c>
    </row>
    <row r="7575">
      <c r="A7575" s="535" t="n">
        <v>42139</v>
      </c>
      <c r="B7575" s="534" t="n">
        <v>17.387</v>
      </c>
      <c r="C7575" s="534" t="n">
        <v>27822.28</v>
      </c>
      <c r="E7575" s="535" t="n">
        <v>45959</v>
      </c>
      <c r="F7575" s="534" t="n">
        <v>2.883</v>
      </c>
    </row>
    <row r="7576">
      <c r="A7576" s="535" t="n">
        <v>42142</v>
      </c>
      <c r="B7576" s="534" t="n">
        <v>17.265</v>
      </c>
      <c r="C7576" s="534" t="n">
        <v>27591.25</v>
      </c>
      <c r="E7576" s="535" t="n">
        <v>45960</v>
      </c>
      <c r="F7576" s="534" t="n">
        <v>2.946</v>
      </c>
    </row>
    <row r="7577">
      <c r="A7577" s="535" t="n">
        <v>42143</v>
      </c>
      <c r="B7577" s="534" t="n">
        <v>17.248</v>
      </c>
      <c r="C7577" s="534" t="n">
        <v>27693.54</v>
      </c>
      <c r="E7577" s="535" t="n">
        <v>45961</v>
      </c>
      <c r="F7577" s="534" t="n">
        <v>2.98</v>
      </c>
    </row>
    <row r="7578">
      <c r="A7578" s="535" t="n">
        <v>42144</v>
      </c>
      <c r="B7578" s="534" t="n">
        <v>17.283</v>
      </c>
      <c r="C7578" s="534" t="n">
        <v>27585.05</v>
      </c>
      <c r="E7578" s="535" t="n">
        <v>45964</v>
      </c>
      <c r="F7578" s="534" t="n">
        <v>2.955</v>
      </c>
    </row>
    <row r="7579">
      <c r="A7579" s="535" t="n">
        <v>42145</v>
      </c>
      <c r="B7579" s="534" t="n">
        <v>17.37</v>
      </c>
      <c r="C7579" s="534" t="n">
        <v>27523.72</v>
      </c>
      <c r="E7579" s="535" t="n">
        <v>45965</v>
      </c>
      <c r="F7579" s="534" t="n">
        <v>2.943</v>
      </c>
    </row>
    <row r="7580">
      <c r="A7580" s="535" t="n">
        <v>42146</v>
      </c>
      <c r="B7580" s="534" t="n">
        <v>17.684</v>
      </c>
      <c r="C7580" s="534" t="n">
        <v>27992.83</v>
      </c>
      <c r="E7580" s="535" t="n">
        <v>45966</v>
      </c>
      <c r="F7580" s="534" t="n">
        <v>2.919</v>
      </c>
    </row>
    <row r="7581">
      <c r="A7581" s="535" t="n">
        <v>42149</v>
      </c>
      <c r="B7581" s="534" t="n">
        <v>17.684</v>
      </c>
      <c r="C7581" s="534" t="n">
        <v>27992.83</v>
      </c>
      <c r="E7581" s="535" t="n">
        <v>45967</v>
      </c>
      <c r="F7581" s="534" t="n">
        <v>2.973</v>
      </c>
    </row>
    <row r="7582">
      <c r="A7582" s="535" t="n">
        <v>42150</v>
      </c>
      <c r="B7582" s="534" t="n">
        <v>17.901</v>
      </c>
      <c r="C7582" s="534" t="n">
        <v>28249.86</v>
      </c>
      <c r="E7582" s="535" t="n">
        <v>45968</v>
      </c>
      <c r="F7582" s="534" t="n">
        <v>2.947</v>
      </c>
    </row>
    <row r="7583">
      <c r="A7583" s="535" t="n">
        <v>42151</v>
      </c>
      <c r="B7583" s="534" t="n">
        <v>17.945</v>
      </c>
      <c r="C7583" s="534" t="n">
        <v>28081.21</v>
      </c>
      <c r="E7583" s="535" t="n">
        <v>45971</v>
      </c>
      <c r="F7583" s="534" t="n">
        <v>2.969</v>
      </c>
    </row>
    <row r="7584">
      <c r="A7584" s="535" t="n">
        <v>42152</v>
      </c>
      <c r="B7584" s="534" t="n">
        <v>17.684</v>
      </c>
      <c r="C7584" s="534" t="n">
        <v>27454.31</v>
      </c>
      <c r="E7584" s="535" t="n">
        <v>45972</v>
      </c>
      <c r="F7584" s="534" t="n">
        <v>2.971</v>
      </c>
    </row>
    <row r="7585">
      <c r="A7585" s="535" t="n">
        <v>42153</v>
      </c>
      <c r="B7585" s="534" t="n">
        <v>17.3</v>
      </c>
      <c r="C7585" s="534" t="n">
        <v>27424.19</v>
      </c>
      <c r="E7585" s="535" t="n">
        <v>45973</v>
      </c>
      <c r="F7585" s="534" t="n">
        <v>2.96</v>
      </c>
    </row>
    <row r="7586">
      <c r="A7586" s="535" t="n">
        <v>42156</v>
      </c>
      <c r="B7586" s="534" t="n">
        <v>17.056</v>
      </c>
      <c r="C7586" s="534" t="n">
        <v>27597.16</v>
      </c>
      <c r="E7586" s="535" t="n">
        <v>45974</v>
      </c>
      <c r="F7586" s="534" t="n">
        <v>2.953</v>
      </c>
    </row>
    <row r="7587">
      <c r="A7587" s="535" t="n">
        <v>42157</v>
      </c>
      <c r="B7587" s="534" t="n">
        <v>17.004</v>
      </c>
      <c r="C7587" s="534" t="n">
        <v>27466.72</v>
      </c>
      <c r="E7587" s="535" t="n">
        <v>45975</v>
      </c>
      <c r="F7587" s="534" t="n">
        <v>2.97</v>
      </c>
    </row>
    <row r="7588">
      <c r="A7588" s="535" t="n">
        <v>42158</v>
      </c>
      <c r="B7588" s="534" t="n">
        <v>17.074</v>
      </c>
      <c r="C7588" s="534" t="n">
        <v>27657.47</v>
      </c>
      <c r="E7588" s="535" t="n">
        <v>45978</v>
      </c>
      <c r="F7588" s="534" t="n">
        <v>2.987</v>
      </c>
    </row>
    <row r="7589">
      <c r="A7589" s="535" t="n">
        <v>42159</v>
      </c>
      <c r="B7589" s="534" t="n">
        <v>16.795</v>
      </c>
      <c r="C7589" s="534" t="n">
        <v>27551.89</v>
      </c>
      <c r="E7589" s="535" t="n">
        <v>45979</v>
      </c>
      <c r="F7589" s="534" t="n">
        <v>2.94</v>
      </c>
    </row>
    <row r="7590">
      <c r="A7590" s="535" t="n">
        <v>42160</v>
      </c>
      <c r="B7590" s="534" t="n">
        <v>17.039</v>
      </c>
      <c r="C7590" s="534" t="n">
        <v>27260.16</v>
      </c>
      <c r="E7590" s="535" t="n">
        <v>45980</v>
      </c>
      <c r="F7590" s="534" t="n">
        <v>2.946</v>
      </c>
    </row>
    <row r="7591">
      <c r="A7591" s="535" t="n">
        <v>42163</v>
      </c>
      <c r="B7591" s="534" t="n">
        <v>16.603</v>
      </c>
      <c r="C7591" s="534" t="n">
        <v>27316.28</v>
      </c>
      <c r="E7591" s="535" t="n">
        <v>45981</v>
      </c>
      <c r="F7591" s="534" t="n">
        <v>3.006</v>
      </c>
    </row>
    <row r="7592">
      <c r="A7592" s="535" t="n">
        <v>42164</v>
      </c>
      <c r="B7592" s="534" t="n">
        <v>16.481</v>
      </c>
      <c r="C7592" s="534" t="n">
        <v>26989.52</v>
      </c>
      <c r="E7592" s="535" t="n">
        <v>45982</v>
      </c>
      <c r="F7592" s="534" t="n">
        <v>2.986</v>
      </c>
    </row>
    <row r="7593">
      <c r="A7593" s="535" t="n">
        <v>42165</v>
      </c>
      <c r="B7593" s="534" t="n">
        <v>16.22</v>
      </c>
      <c r="C7593" s="534" t="n">
        <v>26687.64</v>
      </c>
      <c r="E7593" s="535" t="n">
        <v>45985</v>
      </c>
      <c r="F7593" s="534" t="n">
        <v>2.971</v>
      </c>
    </row>
    <row r="7594">
      <c r="A7594" s="535" t="n">
        <v>42166</v>
      </c>
      <c r="B7594" s="534" t="n">
        <v>16.168</v>
      </c>
      <c r="C7594" s="534" t="n">
        <v>26907.85</v>
      </c>
      <c r="E7594" s="535" t="n">
        <v>45986</v>
      </c>
      <c r="F7594" s="534" t="n">
        <v>2.971</v>
      </c>
    </row>
    <row r="7595">
      <c r="A7595" s="535" t="n">
        <v>42167</v>
      </c>
      <c r="B7595" s="534" t="n">
        <v>16.098</v>
      </c>
      <c r="C7595" s="534" t="n">
        <v>27280.54</v>
      </c>
      <c r="E7595" s="535" t="n">
        <v>45987</v>
      </c>
      <c r="F7595" s="534" t="n">
        <v>2.929</v>
      </c>
    </row>
    <row r="7596">
      <c r="A7596" s="535" t="n">
        <v>42170</v>
      </c>
      <c r="B7596" s="534" t="n">
        <v>16.394</v>
      </c>
      <c r="C7596" s="534" t="n">
        <v>26861.81</v>
      </c>
      <c r="E7596" s="535" t="n">
        <v>45988</v>
      </c>
      <c r="F7596" s="534" t="n">
        <v>2.932</v>
      </c>
    </row>
    <row r="7597">
      <c r="A7597" s="535" t="n">
        <v>42171</v>
      </c>
      <c r="B7597" s="534" t="n">
        <v>16.168</v>
      </c>
      <c r="C7597" s="534" t="n">
        <v>26566.7</v>
      </c>
      <c r="E7597" s="535" t="n">
        <v>45989</v>
      </c>
      <c r="F7597" s="534" t="n">
        <v>2.935</v>
      </c>
    </row>
    <row r="7598">
      <c r="A7598" s="535" t="n">
        <v>42172</v>
      </c>
      <c r="B7598" s="534" t="n">
        <v>16.534</v>
      </c>
      <c r="C7598" s="534" t="n">
        <v>26753.79</v>
      </c>
      <c r="E7598" s="535" t="n">
        <v>45992</v>
      </c>
      <c r="F7598" s="534" t="n">
        <v>2.933</v>
      </c>
    </row>
    <row r="7599">
      <c r="A7599" s="535" t="n">
        <v>42173</v>
      </c>
      <c r="B7599" s="534" t="n">
        <v>16.673</v>
      </c>
      <c r="C7599" s="534" t="n">
        <v>26694.66</v>
      </c>
      <c r="E7599" s="535" t="n">
        <v>45993</v>
      </c>
      <c r="F7599" s="534" t="n">
        <v>2.96</v>
      </c>
    </row>
    <row r="7600">
      <c r="A7600" s="535" t="n">
        <v>42174</v>
      </c>
      <c r="B7600" s="534" t="n">
        <v>16.795</v>
      </c>
      <c r="C7600" s="534" t="n">
        <v>26760.53</v>
      </c>
      <c r="E7600" s="535" t="n">
        <v>45994</v>
      </c>
      <c r="F7600" s="534" t="n">
        <v>2.98</v>
      </c>
    </row>
    <row r="7601">
      <c r="A7601" s="535" t="n">
        <v>42177</v>
      </c>
      <c r="B7601" s="534" t="n">
        <v>17.126</v>
      </c>
      <c r="C7601" s="534" t="n">
        <v>27080.85</v>
      </c>
      <c r="E7601" s="535" t="n">
        <v>45995</v>
      </c>
      <c r="F7601" s="534" t="n">
        <v>2.959</v>
      </c>
    </row>
    <row r="7602">
      <c r="A7602" s="535" t="n">
        <v>42178</v>
      </c>
      <c r="B7602" s="534" t="n">
        <v>17.405</v>
      </c>
      <c r="C7602" s="534" t="n">
        <v>27333.46</v>
      </c>
      <c r="E7602" s="535" t="n">
        <v>45996</v>
      </c>
      <c r="F7602" s="534" t="n">
        <v>2.987</v>
      </c>
    </row>
    <row r="7603">
      <c r="A7603" s="535" t="n">
        <v>42179</v>
      </c>
      <c r="B7603" s="534" t="n">
        <v>17.422</v>
      </c>
      <c r="C7603" s="534" t="n">
        <v>27404.97</v>
      </c>
      <c r="E7603" s="535" t="n">
        <v>45999</v>
      </c>
      <c r="F7603" s="534" t="n">
        <v>3.003</v>
      </c>
    </row>
    <row r="7604">
      <c r="A7604" s="535" t="n">
        <v>42180</v>
      </c>
      <c r="B7604" s="534" t="n">
        <v>17.353</v>
      </c>
      <c r="C7604" s="534" t="n">
        <v>27145.75</v>
      </c>
      <c r="E7604" s="535" t="n">
        <v>46000</v>
      </c>
      <c r="F7604" s="534" t="n">
        <v>3.034</v>
      </c>
    </row>
    <row r="7605">
      <c r="A7605" s="535" t="n">
        <v>42181</v>
      </c>
      <c r="B7605" s="534" t="n">
        <v>16.969</v>
      </c>
      <c r="C7605" s="534" t="n">
        <v>26663.87</v>
      </c>
      <c r="E7605" s="535" t="n">
        <v>46001</v>
      </c>
      <c r="F7605" s="534" t="n">
        <v>3.018</v>
      </c>
    </row>
    <row r="7606">
      <c r="A7606" s="535" t="n">
        <v>42184</v>
      </c>
      <c r="B7606" s="534" t="n">
        <v>16.778</v>
      </c>
      <c r="C7606" s="534" t="n">
        <v>25966.98</v>
      </c>
      <c r="E7606" s="535" t="n">
        <v>46002</v>
      </c>
      <c r="F7606" s="534" t="n">
        <v>2.982</v>
      </c>
    </row>
    <row r="7607">
      <c r="A7607" s="535" t="n">
        <v>42185</v>
      </c>
      <c r="B7607" s="534" t="n">
        <v>16.603</v>
      </c>
      <c r="C7607" s="534" t="n">
        <v>26250.03</v>
      </c>
      <c r="E7607" s="535" t="n">
        <v>46003</v>
      </c>
      <c r="F7607" s="534" t="n">
        <v>2.987</v>
      </c>
    </row>
    <row r="7608">
      <c r="A7608" s="535" t="n">
        <v>42186</v>
      </c>
      <c r="B7608" s="534" t="n">
        <v>16.603</v>
      </c>
      <c r="C7608" s="534" t="n">
        <v>26250.03</v>
      </c>
      <c r="E7608" s="535" t="n">
        <v>46006</v>
      </c>
      <c r="F7608" s="534" t="n">
        <v>3.022</v>
      </c>
    </row>
    <row r="7609">
      <c r="A7609" s="535" t="n">
        <v>42187</v>
      </c>
      <c r="B7609" s="534" t="n">
        <v>17.056</v>
      </c>
      <c r="C7609" s="534" t="n">
        <v>26282.32</v>
      </c>
      <c r="E7609" s="535" t="n">
        <v>46007</v>
      </c>
      <c r="F7609" s="534" t="n">
        <v>3.037</v>
      </c>
    </row>
    <row r="7610">
      <c r="A7610" s="535" t="n">
        <v>42188</v>
      </c>
      <c r="B7610" s="534" t="n">
        <v>16.969</v>
      </c>
      <c r="C7610" s="534" t="n">
        <v>26064.11</v>
      </c>
      <c r="E7610" s="535" t="n">
        <v>46008</v>
      </c>
      <c r="F7610" s="534" t="n">
        <v>3.055</v>
      </c>
    </row>
    <row r="7611">
      <c r="A7611" s="535" t="n">
        <v>42191</v>
      </c>
      <c r="B7611" s="534" t="n">
        <v>16.812</v>
      </c>
      <c r="C7611" s="534" t="n">
        <v>25236.28</v>
      </c>
      <c r="E7611" s="535" t="n">
        <v>46009</v>
      </c>
      <c r="F7611" s="534" t="n">
        <v>3.024</v>
      </c>
    </row>
    <row r="7612">
      <c r="A7612" s="535" t="n">
        <v>42192</v>
      </c>
      <c r="B7612" s="534" t="n">
        <v>17.039</v>
      </c>
      <c r="C7612" s="534" t="n">
        <v>24975.31</v>
      </c>
      <c r="E7612" s="535" t="n">
        <v>46010</v>
      </c>
      <c r="F7612" s="534" t="n">
        <v>3.055</v>
      </c>
    </row>
    <row r="7613">
      <c r="A7613" s="535" t="n">
        <v>42193</v>
      </c>
      <c r="B7613" s="534" t="n">
        <v>15.906</v>
      </c>
      <c r="C7613" s="534" t="n">
        <v>23516.56</v>
      </c>
      <c r="E7613" s="535" t="n">
        <v>46013</v>
      </c>
      <c r="F7613" s="534" t="n">
        <v>3.092</v>
      </c>
    </row>
    <row r="7614">
      <c r="A7614" s="535" t="n">
        <v>42194</v>
      </c>
      <c r="B7614" s="534" t="n">
        <v>16.394</v>
      </c>
      <c r="C7614" s="534" t="n">
        <v>24392.79</v>
      </c>
      <c r="E7614" s="535" t="n">
        <v>46014</v>
      </c>
      <c r="F7614" s="534" t="n">
        <v>3.113</v>
      </c>
    </row>
    <row r="7615">
      <c r="A7615" s="535" t="n">
        <v>42195</v>
      </c>
      <c r="B7615" s="534" t="n">
        <v>16.325</v>
      </c>
      <c r="C7615" s="534" t="n">
        <v>24901.28</v>
      </c>
      <c r="E7615" s="535" t="n">
        <v>46015</v>
      </c>
      <c r="F7615" s="534" t="n">
        <v>3.113</v>
      </c>
    </row>
    <row r="7616">
      <c r="A7616" s="535" t="n">
        <v>42198</v>
      </c>
      <c r="B7616" s="534" t="n">
        <v>16.534</v>
      </c>
      <c r="C7616" s="534" t="n">
        <v>25224.01</v>
      </c>
      <c r="E7616" s="535" t="n">
        <v>46016</v>
      </c>
      <c r="F7616" s="534" t="n">
        <v>3.113</v>
      </c>
    </row>
    <row r="7617">
      <c r="A7617" s="535" t="n">
        <v>42199</v>
      </c>
      <c r="B7617" s="534" t="n">
        <v>16.656</v>
      </c>
      <c r="C7617" s="534" t="n">
        <v>25120.91</v>
      </c>
      <c r="E7617" s="535" t="n">
        <v>46017</v>
      </c>
      <c r="F7617" s="534" t="n">
        <v>3.113</v>
      </c>
    </row>
    <row r="7618">
      <c r="A7618" s="535" t="n">
        <v>42200</v>
      </c>
      <c r="B7618" s="534" t="n">
        <v>16.464</v>
      </c>
      <c r="C7618" s="534" t="n">
        <v>25055.76</v>
      </c>
      <c r="E7618" s="535" t="n">
        <v>46020</v>
      </c>
      <c r="F7618" s="534" t="n">
        <v>3.022</v>
      </c>
    </row>
    <row r="7619">
      <c r="A7619" s="535" t="n">
        <v>42201</v>
      </c>
      <c r="B7619" s="534" t="n">
        <v>16.708</v>
      </c>
      <c r="C7619" s="534" t="n">
        <v>25162.78</v>
      </c>
      <c r="E7619" s="535" t="n">
        <v>46021</v>
      </c>
      <c r="F7619" s="534" t="n">
        <v>3.061</v>
      </c>
    </row>
    <row r="7620">
      <c r="A7620" s="535" t="n">
        <v>42202</v>
      </c>
      <c r="B7620" s="534" t="n">
        <v>16.952</v>
      </c>
      <c r="C7620" s="534" t="n">
        <v>25415.27</v>
      </c>
      <c r="E7620" s="535" t="n">
        <v>46022</v>
      </c>
      <c r="F7620" s="534" t="n">
        <v>3.099</v>
      </c>
    </row>
    <row r="7621">
      <c r="A7621" s="535" t="n">
        <v>42205</v>
      </c>
      <c r="B7621" s="534" t="n">
        <v>17.039</v>
      </c>
      <c r="C7621" s="534" t="n">
        <v>25404.81</v>
      </c>
      <c r="E7621" s="535" t="n">
        <v>46023</v>
      </c>
      <c r="F7621" s="534" t="n">
        <v>3.099</v>
      </c>
    </row>
    <row r="7622">
      <c r="A7622" s="535" t="n">
        <v>42206</v>
      </c>
      <c r="B7622" s="534" t="n">
        <v>17.143</v>
      </c>
      <c r="C7622" s="534" t="n">
        <v>25536.43</v>
      </c>
      <c r="E7622" s="535" t="n">
        <v>46024</v>
      </c>
      <c r="F7622" s="534" t="n">
        <v>3.099</v>
      </c>
    </row>
    <row r="7623">
      <c r="A7623" s="535" t="n">
        <v>42207</v>
      </c>
      <c r="B7623" s="534" t="n">
        <v>16.656</v>
      </c>
      <c r="C7623" s="534" t="n">
        <v>25282.62</v>
      </c>
      <c r="E7623" s="535" t="n">
        <v>46027</v>
      </c>
      <c r="F7623" s="534" t="n">
        <v>3.182</v>
      </c>
    </row>
    <row r="7624">
      <c r="A7624" s="535" t="n">
        <v>42208</v>
      </c>
      <c r="B7624" s="534" t="n">
        <v>16.917</v>
      </c>
      <c r="C7624" s="534" t="n">
        <v>25398.85</v>
      </c>
      <c r="E7624" s="535" t="n">
        <v>46028</v>
      </c>
      <c r="F7624" s="534" t="n">
        <v>3.192</v>
      </c>
    </row>
    <row r="7625">
      <c r="A7625" s="535" t="n">
        <v>42209</v>
      </c>
      <c r="B7625" s="534" t="n">
        <v>16.9</v>
      </c>
      <c r="C7625" s="534" t="n">
        <v>25128.51</v>
      </c>
      <c r="E7625" s="535" t="n">
        <v>46029</v>
      </c>
      <c r="F7625" s="534" t="n">
        <v>3.18</v>
      </c>
    </row>
    <row r="7626">
      <c r="A7626" s="535" t="n">
        <v>42212</v>
      </c>
      <c r="B7626" s="534" t="n">
        <v>16.551</v>
      </c>
      <c r="C7626" s="534" t="n">
        <v>24351.96</v>
      </c>
      <c r="E7626" s="535" t="n">
        <v>46030</v>
      </c>
      <c r="F7626" s="534" t="n">
        <v>3.166</v>
      </c>
    </row>
    <row r="7627">
      <c r="A7627" s="535" t="n">
        <v>42213</v>
      </c>
      <c r="B7627" s="534" t="n">
        <v>16.481</v>
      </c>
      <c r="C7627" s="534" t="n">
        <v>24503.94</v>
      </c>
      <c r="E7627" s="535" t="n">
        <v>46031</v>
      </c>
      <c r="F7627" s="534" t="n">
        <v>3.212</v>
      </c>
    </row>
    <row r="7628">
      <c r="A7628" s="535" t="n">
        <v>42214</v>
      </c>
      <c r="B7628" s="534" t="n">
        <v>16.377</v>
      </c>
      <c r="C7628" s="534" t="n">
        <v>24619.45</v>
      </c>
      <c r="E7628" s="535" t="n">
        <v>46034</v>
      </c>
      <c r="F7628" s="534" t="n">
        <v>3.234</v>
      </c>
    </row>
    <row r="7629">
      <c r="A7629" s="535" t="n">
        <v>42215</v>
      </c>
      <c r="B7629" s="534" t="n">
        <v>16.29</v>
      </c>
      <c r="C7629" s="534" t="n">
        <v>24497.98</v>
      </c>
      <c r="E7629" s="535" t="n">
        <v>46035</v>
      </c>
      <c r="F7629" s="534" t="n">
        <v>3.25</v>
      </c>
    </row>
    <row r="7630">
      <c r="A7630" s="535" t="n">
        <v>42216</v>
      </c>
      <c r="B7630" s="534" t="n">
        <v>15.976</v>
      </c>
      <c r="C7630" s="534" t="n">
        <v>24636.28</v>
      </c>
      <c r="E7630" s="535" t="n">
        <v>46036</v>
      </c>
      <c r="F7630" s="534" t="n">
        <v>3.232</v>
      </c>
    </row>
    <row r="7631">
      <c r="A7631" s="535" t="n">
        <v>42219</v>
      </c>
      <c r="B7631" s="534" t="n">
        <v>15.906</v>
      </c>
      <c r="C7631" s="534" t="n">
        <v>24411.42</v>
      </c>
      <c r="E7631" s="535" t="n">
        <v>46037</v>
      </c>
      <c r="F7631" s="534" t="n">
        <v>3.238</v>
      </c>
    </row>
    <row r="7632">
      <c r="A7632" s="535" t="n">
        <v>42220</v>
      </c>
      <c r="B7632" s="534" t="n">
        <v>16.081</v>
      </c>
      <c r="C7632" s="534" t="n">
        <v>24406.12</v>
      </c>
      <c r="E7632" s="535" t="n">
        <v>46038</v>
      </c>
      <c r="F7632" s="534" t="n">
        <v>3.255</v>
      </c>
    </row>
    <row r="7633">
      <c r="A7633" s="535" t="n">
        <v>42221</v>
      </c>
      <c r="B7633" s="534" t="n">
        <v>15.941</v>
      </c>
      <c r="C7633" s="534" t="n">
        <v>24514.16</v>
      </c>
      <c r="E7633" s="535" t="n">
        <v>46041</v>
      </c>
      <c r="F7633" s="534" t="n">
        <v>3.282</v>
      </c>
    </row>
    <row r="7634">
      <c r="A7634" s="535" t="n">
        <v>42222</v>
      </c>
      <c r="B7634" s="534" t="n">
        <v>16.028</v>
      </c>
      <c r="C7634" s="534" t="n">
        <v>24375.28</v>
      </c>
      <c r="E7634" s="535" t="n">
        <v>46042</v>
      </c>
      <c r="F7634" s="534" t="n">
        <v>3.291</v>
      </c>
    </row>
    <row r="7635">
      <c r="A7635" s="535" t="n">
        <v>42223</v>
      </c>
      <c r="B7635" s="534" t="n">
        <v>16.342</v>
      </c>
      <c r="C7635" s="534" t="n">
        <v>24552.47</v>
      </c>
      <c r="E7635" s="535" t="n">
        <v>46043</v>
      </c>
      <c r="F7635" s="534" t="n">
        <v>3.292</v>
      </c>
    </row>
    <row r="7636">
      <c r="A7636" s="535" t="n">
        <v>42226</v>
      </c>
      <c r="B7636" s="534" t="n">
        <v>16.272</v>
      </c>
      <c r="C7636" s="534" t="n">
        <v>24521.12</v>
      </c>
      <c r="E7636" s="535" t="n">
        <v>46044</v>
      </c>
      <c r="F7636" s="534" t="n">
        <v>3.256</v>
      </c>
    </row>
    <row r="7637">
      <c r="A7637" s="535" t="n">
        <v>42227</v>
      </c>
      <c r="B7637" s="534" t="n">
        <v>15.941</v>
      </c>
      <c r="C7637" s="534" t="n">
        <v>24498.21</v>
      </c>
      <c r="E7637" s="535" t="n">
        <v>46045</v>
      </c>
      <c r="F7637" s="534" t="n">
        <v>3.237</v>
      </c>
    </row>
    <row r="7638">
      <c r="A7638" s="535" t="n">
        <v>42228</v>
      </c>
      <c r="B7638" s="534" t="n">
        <v>15.732</v>
      </c>
      <c r="C7638" s="534" t="n">
        <v>23916.02</v>
      </c>
      <c r="E7638" s="535" t="n">
        <v>46048</v>
      </c>
      <c r="F7638" s="534" t="n">
        <v>3.21</v>
      </c>
    </row>
    <row r="7639">
      <c r="A7639" s="535" t="n">
        <v>42229</v>
      </c>
      <c r="B7639" s="534" t="n">
        <v>15.07</v>
      </c>
      <c r="C7639" s="534" t="n">
        <v>24018.8</v>
      </c>
      <c r="E7639" s="535" t="n">
        <v>46049</v>
      </c>
      <c r="F7639" s="534" t="n">
        <v>3.225</v>
      </c>
    </row>
    <row r="7640">
      <c r="A7640" s="535" t="n">
        <v>42230</v>
      </c>
      <c r="B7640" s="534" t="n">
        <v>14.791</v>
      </c>
      <c r="C7640" s="534" t="n">
        <v>23991.03</v>
      </c>
      <c r="E7640" s="535" t="n">
        <v>46050</v>
      </c>
      <c r="F7640" s="534" t="n">
        <v>3.201</v>
      </c>
    </row>
    <row r="7641">
      <c r="A7641" s="535" t="n">
        <v>42233</v>
      </c>
      <c r="B7641" s="534" t="n">
        <v>14.774</v>
      </c>
      <c r="C7641" s="534" t="n">
        <v>23814.65</v>
      </c>
      <c r="E7641" s="535" t="n">
        <v>46051</v>
      </c>
      <c r="F7641" s="534" t="n">
        <v>3.209</v>
      </c>
    </row>
    <row r="7642">
      <c r="A7642" s="535" t="n">
        <v>42234</v>
      </c>
      <c r="B7642" s="534" t="n">
        <v>14.513</v>
      </c>
      <c r="C7642" s="534" t="n">
        <v>23474.97</v>
      </c>
      <c r="E7642" s="535" t="n">
        <v>46052</v>
      </c>
      <c r="F7642" s="534" t="n">
        <v>3.192</v>
      </c>
    </row>
    <row r="7643">
      <c r="A7643" s="535" t="n">
        <v>42235</v>
      </c>
      <c r="B7643" s="534" t="n">
        <v>13.398</v>
      </c>
      <c r="C7643" s="534" t="n">
        <v>23167.85</v>
      </c>
      <c r="E7643" s="535" t="n">
        <v>46055</v>
      </c>
      <c r="F7643" s="534" t="n">
        <v>3.155</v>
      </c>
    </row>
    <row r="7644">
      <c r="A7644" s="535" t="n">
        <v>42236</v>
      </c>
      <c r="B7644" s="534" t="n">
        <v>12.962</v>
      </c>
      <c r="C7644" s="534" t="n">
        <v>22757.47</v>
      </c>
      <c r="E7644" s="535" t="n">
        <v>46056</v>
      </c>
      <c r="F7644" s="534" t="n">
        <v>3.191</v>
      </c>
    </row>
    <row r="7645">
      <c r="A7645" s="535" t="n">
        <v>42237</v>
      </c>
      <c r="B7645" s="534" t="n">
        <v>12.875</v>
      </c>
      <c r="C7645" s="534" t="n">
        <v>22409.62</v>
      </c>
      <c r="E7645" s="535" t="n">
        <v>46057</v>
      </c>
      <c r="F7645" s="534" t="n">
        <v>3.181</v>
      </c>
    </row>
    <row r="7646">
      <c r="A7646" s="535" t="n">
        <v>42240</v>
      </c>
      <c r="B7646" s="534" t="n">
        <v>12.474</v>
      </c>
      <c r="C7646" s="534" t="n">
        <v>21251.57</v>
      </c>
      <c r="E7646" s="535" t="n">
        <v>46058</v>
      </c>
      <c r="F7646" s="534" t="n">
        <v>3.175</v>
      </c>
    </row>
    <row r="7647">
      <c r="A7647" s="535" t="n">
        <v>42241</v>
      </c>
      <c r="B7647" s="534" t="n">
        <v>12.021</v>
      </c>
      <c r="C7647" s="534" t="n">
        <v>21404.96</v>
      </c>
      <c r="E7647" s="535" t="n">
        <v>46059</v>
      </c>
      <c r="F7647" s="534" t="n">
        <v>3.096</v>
      </c>
    </row>
    <row r="7648">
      <c r="A7648" s="535" t="n">
        <v>42242</v>
      </c>
      <c r="B7648" s="534" t="n">
        <v>12.213</v>
      </c>
      <c r="C7648" s="534" t="n">
        <v>21080.39</v>
      </c>
      <c r="E7648" s="535" t="n">
        <v>46062</v>
      </c>
      <c r="F7648" s="534" t="n">
        <v>3.1</v>
      </c>
    </row>
    <row r="7649">
      <c r="A7649" s="535" t="n">
        <v>42243</v>
      </c>
      <c r="B7649" s="534" t="n">
        <v>12.631</v>
      </c>
      <c r="C7649" s="534" t="n">
        <v>21838.54</v>
      </c>
      <c r="E7649" s="535" t="n">
        <v>46063</v>
      </c>
      <c r="F7649" s="534" t="n">
        <v>3.041</v>
      </c>
    </row>
    <row r="7650">
      <c r="A7650" s="535" t="n">
        <v>42244</v>
      </c>
      <c r="B7650" s="534" t="n">
        <v>12.474</v>
      </c>
      <c r="C7650" s="534" t="n">
        <v>21612.39</v>
      </c>
      <c r="E7650" s="535" t="n">
        <v>46064</v>
      </c>
      <c r="F7650" s="534" t="n">
        <v>3.003</v>
      </c>
    </row>
    <row r="7651">
      <c r="A7651" s="535" t="n">
        <v>42247</v>
      </c>
      <c r="B7651" s="534" t="n">
        <v>12.196</v>
      </c>
      <c r="C7651" s="534" t="n">
        <v>21670.58</v>
      </c>
      <c r="E7651" s="535" t="n">
        <v>46065</v>
      </c>
      <c r="F7651" s="534" t="n">
        <v>2.998</v>
      </c>
    </row>
    <row r="7652">
      <c r="A7652" s="535" t="n">
        <v>42248</v>
      </c>
      <c r="B7652" s="534" t="n">
        <v>12.021</v>
      </c>
      <c r="C7652" s="534" t="n">
        <v>21185.43</v>
      </c>
      <c r="E7652" s="535" t="n">
        <v>46066</v>
      </c>
      <c r="F7652" s="534" t="n">
        <v>2.965</v>
      </c>
    </row>
    <row r="7653">
      <c r="A7653" s="535" t="n">
        <v>42249</v>
      </c>
      <c r="B7653" s="534" t="n">
        <v>11.969</v>
      </c>
      <c r="C7653" s="534" t="n">
        <v>20934.94</v>
      </c>
      <c r="E7653" s="535" t="n">
        <v>46069</v>
      </c>
      <c r="F7653" s="534" t="n">
        <v>2.965</v>
      </c>
    </row>
    <row r="7654">
      <c r="A7654" s="535" t="n">
        <v>42250</v>
      </c>
      <c r="B7654" s="534" t="n">
        <v>11.969</v>
      </c>
      <c r="C7654" s="534" t="n">
        <v>20934.94</v>
      </c>
      <c r="E7654" s="535" t="n">
        <v>46070</v>
      </c>
      <c r="F7654" s="534" t="n">
        <v>2.965</v>
      </c>
    </row>
    <row r="7655">
      <c r="A7655" s="535" t="n">
        <v>42251</v>
      </c>
      <c r="B7655" s="534" t="n">
        <v>11.934</v>
      </c>
      <c r="C7655" s="534" t="n">
        <v>20840.61</v>
      </c>
      <c r="E7655" s="535" t="n">
        <v>46071</v>
      </c>
      <c r="F7655" s="534" t="n">
        <v>2.965</v>
      </c>
    </row>
    <row r="7656">
      <c r="A7656" s="535" t="n">
        <v>42254</v>
      </c>
      <c r="B7656" s="534" t="n">
        <v>11.83</v>
      </c>
      <c r="C7656" s="534" t="n">
        <v>20583.52</v>
      </c>
      <c r="E7656" s="535" t="n">
        <v>46072</v>
      </c>
      <c r="F7656" s="534" t="n">
        <v>2.965</v>
      </c>
    </row>
    <row r="7657">
      <c r="A7657" s="535" t="n">
        <v>42255</v>
      </c>
      <c r="B7657" s="534" t="n">
        <v>12.283</v>
      </c>
      <c r="C7657" s="534" t="n">
        <v>21259.04</v>
      </c>
      <c r="E7657" s="535" t="n">
        <v>46073</v>
      </c>
      <c r="F7657" s="534" t="n">
        <v>2.965</v>
      </c>
    </row>
    <row r="7658">
      <c r="A7658" s="535" t="n">
        <v>42256</v>
      </c>
      <c r="B7658" s="534" t="n">
        <v>12.283</v>
      </c>
      <c r="C7658" s="534" t="n">
        <v>22131.31</v>
      </c>
      <c r="E7658" s="535" t="n">
        <v>46076</v>
      </c>
      <c r="F7658" s="534" t="n">
        <v>2.965</v>
      </c>
    </row>
    <row r="7659">
      <c r="A7659" s="535" t="n">
        <v>42257</v>
      </c>
      <c r="B7659" s="534" t="n">
        <v>12.213</v>
      </c>
      <c r="C7659" s="534" t="n">
        <v>21562.5</v>
      </c>
      <c r="E7659" s="535" t="n">
        <v>46077</v>
      </c>
      <c r="F7659" s="534" t="n">
        <v>2.849</v>
      </c>
    </row>
    <row r="7660">
      <c r="A7660" s="535" t="n">
        <v>42258</v>
      </c>
      <c r="B7660" s="534" t="n">
        <v>12.318</v>
      </c>
      <c r="C7660" s="534" t="n">
        <v>21504.37</v>
      </c>
      <c r="E7660" s="535" t="n">
        <v>46078</v>
      </c>
      <c r="F7660" s="534" t="n">
        <v>2.863</v>
      </c>
    </row>
    <row r="7661">
      <c r="A7661" s="535" t="n">
        <v>42261</v>
      </c>
      <c r="B7661" s="534" t="n">
        <v>12.283</v>
      </c>
      <c r="C7661" s="534" t="n">
        <v>21561.9</v>
      </c>
      <c r="E7661" s="535" t="n">
        <v>46079</v>
      </c>
      <c r="F7661" s="534" t="n">
        <v>2.872</v>
      </c>
    </row>
    <row r="7662">
      <c r="A7662" s="535" t="n">
        <v>42262</v>
      </c>
      <c r="B7662" s="534" t="n">
        <v>12.3</v>
      </c>
      <c r="C7662" s="534" t="n">
        <v>21455.23</v>
      </c>
      <c r="E7662" s="535" t="n">
        <v>46080</v>
      </c>
      <c r="F7662" s="534" t="n">
        <v>2.818</v>
      </c>
    </row>
    <row r="7663">
      <c r="A7663" s="535" t="n">
        <v>42263</v>
      </c>
      <c r="B7663" s="534" t="n">
        <v>12.579</v>
      </c>
      <c r="C7663" s="534" t="n">
        <v>21966.66</v>
      </c>
      <c r="E7663" s="535" t="n">
        <v>46083</v>
      </c>
      <c r="F7663" s="534" t="n">
        <v>2.761</v>
      </c>
    </row>
    <row r="7664">
      <c r="A7664" s="535" t="n">
        <v>42264</v>
      </c>
      <c r="B7664" s="534" t="n">
        <v>12.788</v>
      </c>
      <c r="C7664" s="534" t="n">
        <v>21854.63</v>
      </c>
      <c r="E7664" s="535" t="n">
        <v>46084</v>
      </c>
      <c r="F7664" s="534" t="n">
        <v>2.841</v>
      </c>
    </row>
    <row r="7665">
      <c r="A7665" s="535" t="n">
        <v>42265</v>
      </c>
      <c r="B7665" s="534" t="n">
        <v>12.788</v>
      </c>
      <c r="C7665" s="534" t="n">
        <v>21920.83</v>
      </c>
      <c r="E7665" s="535" t="n">
        <v>46085</v>
      </c>
      <c r="F7665" s="534" t="n">
        <v>2.828</v>
      </c>
    </row>
    <row r="7666">
      <c r="A7666" s="535" t="n">
        <v>42268</v>
      </c>
      <c r="B7666" s="534" t="n">
        <v>12.666</v>
      </c>
      <c r="C7666" s="534" t="n">
        <v>21756.93</v>
      </c>
      <c r="E7666" s="535" t="n">
        <v>46086</v>
      </c>
      <c r="F7666" s="534" t="n">
        <v>2.822</v>
      </c>
    </row>
    <row r="7667">
      <c r="A7667" s="535" t="n">
        <v>42269</v>
      </c>
      <c r="B7667" s="534" t="n">
        <v>12.91</v>
      </c>
      <c r="C7667" s="534" t="n">
        <v>21796.58</v>
      </c>
      <c r="E7667" s="535" t="n">
        <v>46087</v>
      </c>
      <c r="F7667" s="534" t="n">
        <v>2.826</v>
      </c>
    </row>
    <row r="7668">
      <c r="A7668" s="535" t="n">
        <v>42270</v>
      </c>
      <c r="B7668" s="534" t="n">
        <v>12.788</v>
      </c>
      <c r="C7668" s="534" t="n">
        <v>21302.91</v>
      </c>
      <c r="E7668" s="535" t="n">
        <v>46090</v>
      </c>
      <c r="F7668" s="534" t="n">
        <v>2.856</v>
      </c>
    </row>
    <row r="7669">
      <c r="A7669" s="535" t="n">
        <v>42271</v>
      </c>
      <c r="B7669" s="534" t="n">
        <v>12.666</v>
      </c>
      <c r="C7669" s="534" t="n">
        <v>21095.98</v>
      </c>
      <c r="E7669" s="535" t="n">
        <v>46091</v>
      </c>
      <c r="F7669" s="534" t="n">
        <v>2.813</v>
      </c>
    </row>
    <row r="7670">
      <c r="A7670" s="535" t="n">
        <v>42272</v>
      </c>
      <c r="B7670" s="534" t="n">
        <v>12.718</v>
      </c>
      <c r="C7670" s="534" t="n">
        <v>21186.32</v>
      </c>
      <c r="E7670" s="535" t="n">
        <v>46092</v>
      </c>
      <c r="F7670" s="534" t="n">
        <v>2.821</v>
      </c>
    </row>
    <row r="7671">
      <c r="A7671" s="535" t="n">
        <v>42275</v>
      </c>
      <c r="B7671" s="534" t="n">
        <v>12.718</v>
      </c>
      <c r="C7671" s="534" t="n">
        <v>21186.32</v>
      </c>
      <c r="E7671" s="535" t="n">
        <v>46093</v>
      </c>
      <c r="F7671" s="534" t="n">
        <v>2.845</v>
      </c>
    </row>
    <row r="7672">
      <c r="A7672" s="535" t="n">
        <v>42276</v>
      </c>
      <c r="B7672" s="534" t="n">
        <v>12.527</v>
      </c>
      <c r="C7672" s="534" t="n">
        <v>20556.6</v>
      </c>
      <c r="E7672" s="535" t="n">
        <v>46094</v>
      </c>
      <c r="F7672" s="534" t="n">
        <v>2.855</v>
      </c>
    </row>
    <row r="7673">
      <c r="A7673" s="535" t="n">
        <v>42277</v>
      </c>
      <c r="B7673" s="534" t="n">
        <v>12.649</v>
      </c>
      <c r="C7673" s="534" t="n">
        <v>20846.3</v>
      </c>
      <c r="E7673" s="535" t="n">
        <v>46097</v>
      </c>
      <c r="F7673" s="534" t="n">
        <v>2.813</v>
      </c>
    </row>
    <row r="7674">
      <c r="A7674" s="535" t="n">
        <v>42278</v>
      </c>
      <c r="B7674" s="534" t="n">
        <v>12.649</v>
      </c>
      <c r="C7674" s="534" t="n">
        <v>20846.3</v>
      </c>
      <c r="E7674" s="535" t="n">
        <v>46098</v>
      </c>
      <c r="F7674" s="534" t="n">
        <v>2.807</v>
      </c>
    </row>
    <row r="7675">
      <c r="A7675" s="535" t="n">
        <v>42279</v>
      </c>
      <c r="B7675" s="534" t="n">
        <v>12.91</v>
      </c>
      <c r="C7675" s="534" t="n">
        <v>21506.09</v>
      </c>
      <c r="E7675" s="535" t="n">
        <v>46099</v>
      </c>
      <c r="F7675" s="534" t="n">
        <v>2.802</v>
      </c>
    </row>
    <row r="7676">
      <c r="A7676" s="535" t="n">
        <v>42282</v>
      </c>
      <c r="B7676" s="534" t="n">
        <v>13.136</v>
      </c>
      <c r="C7676" s="534" t="n">
        <v>21854.5</v>
      </c>
      <c r="E7676" s="535" t="n">
        <v>46100</v>
      </c>
      <c r="F7676" s="534" t="n">
        <v>2.85</v>
      </c>
    </row>
    <row r="7677">
      <c r="A7677" s="535" t="n">
        <v>42283</v>
      </c>
      <c r="B7677" s="534" t="n">
        <v>13.084</v>
      </c>
      <c r="C7677" s="534" t="n">
        <v>21831.62</v>
      </c>
      <c r="E7677" s="535" t="n">
        <v>46101</v>
      </c>
      <c r="F7677" s="534" t="n">
        <v>2.866</v>
      </c>
    </row>
    <row r="7678">
      <c r="A7678" s="535" t="n">
        <v>42284</v>
      </c>
      <c r="B7678" s="534" t="n">
        <v>13.067</v>
      </c>
      <c r="C7678" s="534" t="n">
        <v>22515.76</v>
      </c>
      <c r="E7678" s="535" t="n">
        <v>46104</v>
      </c>
      <c r="F7678" s="534" t="n">
        <v>2.949</v>
      </c>
    </row>
    <row r="7679">
      <c r="A7679" s="535" t="n">
        <v>42285</v>
      </c>
      <c r="B7679" s="534" t="n">
        <v>12.962</v>
      </c>
      <c r="C7679" s="534" t="n">
        <v>22354.91</v>
      </c>
      <c r="E7679" s="535" t="n">
        <v>46105</v>
      </c>
      <c r="F7679" s="534" t="n">
        <v>2.928</v>
      </c>
    </row>
    <row r="7680">
      <c r="A7680" s="535" t="n">
        <v>42286</v>
      </c>
      <c r="B7680" s="534" t="n">
        <v>12.805</v>
      </c>
      <c r="C7680" s="534" t="n">
        <v>22458.8</v>
      </c>
      <c r="E7680" s="535" t="n">
        <v>46106</v>
      </c>
      <c r="F7680" s="534" t="n">
        <v>2.927</v>
      </c>
    </row>
    <row r="7681">
      <c r="A7681" s="535" t="n">
        <v>42289</v>
      </c>
      <c r="B7681" s="534" t="n">
        <v>12.98</v>
      </c>
      <c r="C7681" s="534" t="n">
        <v>22730.93</v>
      </c>
      <c r="E7681" s="535" t="n">
        <v>46107</v>
      </c>
      <c r="F7681" s="534" t="n">
        <v>2.939</v>
      </c>
    </row>
    <row r="7682">
      <c r="A7682" s="535" t="n">
        <v>42290</v>
      </c>
      <c r="B7682" s="534" t="n">
        <v>13.049</v>
      </c>
      <c r="C7682" s="534" t="n">
        <v>22600.46</v>
      </c>
      <c r="E7682" s="535" t="n">
        <v>46108</v>
      </c>
      <c r="F7682" s="534" t="n">
        <v>2.939</v>
      </c>
    </row>
    <row r="7683">
      <c r="A7683" s="535" t="n">
        <v>42291</v>
      </c>
      <c r="B7683" s="534" t="n">
        <v>12.858</v>
      </c>
      <c r="C7683" s="534" t="n">
        <v>22439.91</v>
      </c>
      <c r="E7683" s="535" t="n">
        <v>46111</v>
      </c>
      <c r="F7683" s="534" t="n">
        <v>2.928</v>
      </c>
    </row>
    <row r="7684">
      <c r="A7684" s="535" t="n">
        <v>42292</v>
      </c>
      <c r="B7684" s="534" t="n">
        <v>13.345</v>
      </c>
      <c r="C7684" s="534" t="n">
        <v>22888.17</v>
      </c>
      <c r="E7684" s="535" t="n">
        <v>46112</v>
      </c>
      <c r="F7684" s="534" t="n">
        <v>2.897</v>
      </c>
    </row>
    <row r="7685">
      <c r="A7685" s="535" t="n">
        <v>42293</v>
      </c>
      <c r="B7685" s="534" t="n">
        <v>13.363</v>
      </c>
      <c r="C7685" s="534" t="n">
        <v>23067.37</v>
      </c>
      <c r="E7685" s="535" t="n">
        <v>46113</v>
      </c>
      <c r="F7685" s="534" t="n">
        <v>2.879</v>
      </c>
    </row>
    <row r="7686">
      <c r="A7686" s="535" t="n">
        <v>42296</v>
      </c>
      <c r="B7686" s="534" t="n">
        <v>13.363</v>
      </c>
      <c r="C7686" s="534" t="n">
        <v>23075.61</v>
      </c>
      <c r="E7686" s="535" t="n">
        <v>46114</v>
      </c>
      <c r="F7686" s="534" t="n">
        <v>2.942</v>
      </c>
    </row>
    <row r="7687">
      <c r="A7687" s="535" t="n">
        <v>42297</v>
      </c>
      <c r="B7687" s="534" t="n">
        <v>13.119</v>
      </c>
      <c r="C7687" s="534" t="n">
        <v>22989.22</v>
      </c>
      <c r="E7687" s="535" t="n">
        <v>46115</v>
      </c>
      <c r="F7687" s="534" t="n">
        <v>2.942</v>
      </c>
    </row>
    <row r="7688">
      <c r="A7688" s="535" t="n">
        <v>42298</v>
      </c>
      <c r="B7688" s="534" t="n">
        <v>13.119</v>
      </c>
      <c r="C7688" s="534" t="n">
        <v>22989.22</v>
      </c>
      <c r="E7688" s="535" t="n">
        <v>46118</v>
      </c>
      <c r="F7688" s="534" t="n">
        <v>2.942</v>
      </c>
    </row>
    <row r="7689">
      <c r="A7689" s="535" t="n">
        <v>42299</v>
      </c>
      <c r="B7689" s="534" t="n">
        <v>13.241</v>
      </c>
      <c r="C7689" s="534" t="n">
        <v>22845.37</v>
      </c>
      <c r="E7689" s="535" t="n">
        <v>46119</v>
      </c>
      <c r="F7689" s="534" t="n">
        <v>2.942</v>
      </c>
    </row>
    <row r="7690">
      <c r="A7690" s="535" t="n">
        <v>42300</v>
      </c>
      <c r="B7690" s="534" t="n">
        <v>13.52</v>
      </c>
      <c r="C7690" s="534" t="n">
        <v>23151.94</v>
      </c>
      <c r="E7690" s="535" t="n">
        <v>46120</v>
      </c>
      <c r="F7690" s="534" t="n">
        <v>2.897</v>
      </c>
    </row>
    <row r="7691">
      <c r="A7691" s="535" t="n">
        <v>42303</v>
      </c>
      <c r="B7691" s="534" t="n">
        <v>13.328</v>
      </c>
      <c r="C7691" s="534" t="n">
        <v>23116.25</v>
      </c>
      <c r="E7691" s="535" t="n">
        <v>46121</v>
      </c>
      <c r="F7691" s="534" t="n">
        <v>2.922</v>
      </c>
    </row>
    <row r="7692">
      <c r="A7692" s="535" t="n">
        <v>42304</v>
      </c>
      <c r="B7692" s="534" t="n">
        <v>13.398</v>
      </c>
      <c r="C7692" s="534" t="n">
        <v>23142.73</v>
      </c>
      <c r="E7692" s="535" t="n">
        <v>46122</v>
      </c>
      <c r="F7692" s="534" t="n">
        <v>2.931</v>
      </c>
    </row>
    <row r="7693">
      <c r="A7693" s="535" t="n">
        <v>42305</v>
      </c>
      <c r="B7693" s="534" t="n">
        <v>13.502</v>
      </c>
      <c r="C7693" s="534" t="n">
        <v>22956.57</v>
      </c>
      <c r="E7693" s="535" t="n">
        <v>46125</v>
      </c>
      <c r="F7693" s="534" t="n">
        <v>2.962</v>
      </c>
    </row>
    <row r="7694">
      <c r="A7694" s="535" t="n">
        <v>42306</v>
      </c>
      <c r="B7694" s="534" t="n">
        <v>13.345</v>
      </c>
      <c r="C7694" s="534" t="n">
        <v>22819.94</v>
      </c>
      <c r="E7694" s="535" t="n">
        <v>46126</v>
      </c>
      <c r="F7694" s="534" t="n">
        <v>2.902</v>
      </c>
    </row>
    <row r="7695">
      <c r="A7695" s="535" t="n">
        <v>42307</v>
      </c>
      <c r="B7695" s="534" t="n">
        <v>13.45</v>
      </c>
      <c r="C7695" s="534" t="n">
        <v>22640.04</v>
      </c>
      <c r="E7695" s="535" t="n">
        <v>46127</v>
      </c>
      <c r="F7695" s="534" t="n">
        <v>2.892</v>
      </c>
    </row>
    <row r="7696">
      <c r="A7696" s="535" t="n">
        <v>42310</v>
      </c>
      <c r="B7696" s="534" t="n">
        <v>13.171</v>
      </c>
      <c r="C7696" s="534" t="n">
        <v>22370.04</v>
      </c>
      <c r="E7696" s="535" t="n">
        <v>46128</v>
      </c>
      <c r="F7696" s="534" t="n">
        <v>2.928</v>
      </c>
    </row>
    <row r="7697">
      <c r="A7697" s="535" t="n">
        <v>42311</v>
      </c>
      <c r="B7697" s="534" t="n">
        <v>13.537</v>
      </c>
      <c r="C7697" s="534" t="n">
        <v>22568.43</v>
      </c>
      <c r="E7697" s="535" t="n">
        <v>46129</v>
      </c>
      <c r="F7697" s="534" t="n">
        <v>2.932</v>
      </c>
    </row>
    <row r="7698">
      <c r="A7698" s="535" t="n">
        <v>42312</v>
      </c>
      <c r="B7698" s="534" t="n">
        <v>13.363</v>
      </c>
      <c r="C7698" s="534" t="n">
        <v>23053.57</v>
      </c>
      <c r="E7698" s="535" t="n">
        <v>46132</v>
      </c>
      <c r="F7698" s="534" t="n">
        <v>2.902</v>
      </c>
    </row>
    <row r="7699">
      <c r="A7699" s="535" t="n">
        <v>42313</v>
      </c>
      <c r="B7699" s="534" t="n">
        <v>13.433</v>
      </c>
      <c r="C7699" s="534" t="n">
        <v>23051.04</v>
      </c>
      <c r="E7699" s="535" t="n">
        <v>46133</v>
      </c>
      <c r="F7699" s="534" t="n">
        <v>2.893</v>
      </c>
    </row>
    <row r="7700">
      <c r="A7700" s="535" t="n">
        <v>42314</v>
      </c>
      <c r="B7700" s="534" t="n">
        <v>13.345</v>
      </c>
      <c r="C7700" s="534" t="n">
        <v>22867.33</v>
      </c>
      <c r="E7700" s="535" t="n">
        <v>46134</v>
      </c>
      <c r="F7700" s="534" t="n">
        <v>2.93</v>
      </c>
    </row>
    <row r="7701">
      <c r="A7701" s="535" t="n">
        <v>42317</v>
      </c>
      <c r="B7701" s="534" t="n">
        <v>13.258</v>
      </c>
      <c r="C7701" s="534" t="n">
        <v>22726.77</v>
      </c>
      <c r="E7701" s="535" t="n">
        <v>46135</v>
      </c>
      <c r="F7701" s="534" t="n">
        <v>2.944</v>
      </c>
    </row>
    <row r="7702">
      <c r="A7702" s="535" t="n">
        <v>42318</v>
      </c>
      <c r="B7702" s="534" t="n">
        <v>12.875</v>
      </c>
      <c r="C7702" s="534" t="n">
        <v>22401.7</v>
      </c>
      <c r="E7702" s="535" t="n">
        <v>46136</v>
      </c>
      <c r="F7702" s="534" t="n">
        <v>2.957</v>
      </c>
    </row>
    <row r="7703">
      <c r="A7703" s="535" t="n">
        <v>42319</v>
      </c>
      <c r="B7703" s="534" t="n">
        <v>12.84</v>
      </c>
      <c r="C7703" s="534" t="n">
        <v>22352.17</v>
      </c>
      <c r="E7703" s="535" t="n">
        <v>46139</v>
      </c>
      <c r="F7703" s="534" t="n">
        <v>2.945</v>
      </c>
    </row>
    <row r="7704">
      <c r="A7704" s="535" t="n">
        <v>42320</v>
      </c>
      <c r="B7704" s="534" t="n">
        <v>13.119</v>
      </c>
      <c r="C7704" s="534" t="n">
        <v>22888.92</v>
      </c>
      <c r="E7704" s="535" t="n">
        <v>46140</v>
      </c>
      <c r="F7704" s="534" t="n">
        <v>2.978</v>
      </c>
    </row>
    <row r="7705">
      <c r="A7705" s="535" t="n">
        <v>42321</v>
      </c>
      <c r="B7705" s="534" t="n">
        <v>13.049</v>
      </c>
      <c r="C7705" s="534" t="n">
        <v>22396.14</v>
      </c>
      <c r="E7705" s="535" t="n">
        <v>46141</v>
      </c>
      <c r="F7705" s="534" t="n">
        <v>2.963</v>
      </c>
    </row>
    <row r="7706">
      <c r="A7706" s="535" t="n">
        <v>42324</v>
      </c>
      <c r="B7706" s="534" t="n">
        <v>12.701</v>
      </c>
      <c r="C7706" s="534" t="n">
        <v>22010.82</v>
      </c>
      <c r="E7706" s="535" t="n">
        <v>46142</v>
      </c>
      <c r="F7706" s="534" t="n">
        <v>3.003</v>
      </c>
    </row>
    <row r="7707">
      <c r="A7707" s="535" t="n">
        <v>42325</v>
      </c>
      <c r="B7707" s="534" t="n">
        <v>12.788</v>
      </c>
      <c r="C7707" s="534" t="n">
        <v>22264.25</v>
      </c>
      <c r="E7707" s="535" t="n">
        <v>46143</v>
      </c>
      <c r="F7707" s="534" t="n">
        <v>3.003</v>
      </c>
    </row>
    <row r="7708">
      <c r="A7708" s="535" t="n">
        <v>42326</v>
      </c>
      <c r="B7708" s="534" t="n">
        <v>12.736</v>
      </c>
      <c r="C7708" s="534" t="n">
        <v>22188.26</v>
      </c>
      <c r="E7708" s="535" t="n">
        <v>46146</v>
      </c>
      <c r="F7708" s="534" t="n">
        <v>3.003</v>
      </c>
    </row>
    <row r="7709">
      <c r="A7709" s="535" t="n">
        <v>42327</v>
      </c>
      <c r="B7709" s="534" t="n">
        <v>12.962</v>
      </c>
      <c r="C7709" s="534" t="n">
        <v>22500.22</v>
      </c>
      <c r="E7709" s="535" t="n">
        <v>46147</v>
      </c>
      <c r="F7709" s="534" t="n">
        <v>3.003</v>
      </c>
    </row>
    <row r="7710">
      <c r="A7710" s="535" t="n">
        <v>42328</v>
      </c>
      <c r="B7710" s="534" t="n">
        <v>13.258</v>
      </c>
      <c r="C7710" s="534" t="n">
        <v>22754.72</v>
      </c>
      <c r="E7710" s="535" t="n">
        <v>46148</v>
      </c>
      <c r="F7710" s="534" t="n">
        <v>2.994</v>
      </c>
    </row>
    <row r="7711">
      <c r="A7711" s="535" t="n">
        <v>42331</v>
      </c>
      <c r="B7711" s="534" t="n">
        <v>13.102</v>
      </c>
      <c r="C7711" s="534" t="n">
        <v>22665.9</v>
      </c>
      <c r="E7711" s="535" t="n">
        <v>46149</v>
      </c>
      <c r="F7711" s="534" t="n">
        <v>2.971</v>
      </c>
    </row>
    <row r="7712">
      <c r="A7712" s="535" t="n">
        <v>42332</v>
      </c>
      <c r="B7712" s="534" t="n">
        <v>12.945</v>
      </c>
      <c r="C7712" s="534" t="n">
        <v>22587.63</v>
      </c>
      <c r="E7712" s="535" t="n">
        <v>46150</v>
      </c>
      <c r="F7712" s="534" t="n">
        <v>3.031</v>
      </c>
    </row>
    <row r="7713">
      <c r="A7713" s="535" t="n">
        <v>42333</v>
      </c>
      <c r="B7713" s="534" t="n">
        <v>12.701</v>
      </c>
      <c r="C7713" s="534" t="n">
        <v>22498</v>
      </c>
      <c r="E7713" s="535" t="n">
        <v>46153</v>
      </c>
      <c r="F7713" s="534" t="n">
        <v>3.048</v>
      </c>
    </row>
    <row r="7714">
      <c r="A7714" s="535" t="n">
        <v>42334</v>
      </c>
      <c r="B7714" s="534" t="n">
        <v>12.387</v>
      </c>
      <c r="C7714" s="534" t="n">
        <v>22488.94</v>
      </c>
      <c r="E7714" s="535" t="n">
        <v>46154</v>
      </c>
      <c r="F7714" s="534" t="n">
        <v>3.091</v>
      </c>
    </row>
    <row r="7715">
      <c r="A7715" s="535" t="n">
        <v>42335</v>
      </c>
      <c r="B7715" s="534" t="n">
        <v>11.882</v>
      </c>
      <c r="C7715" s="534" t="n">
        <v>22068.32</v>
      </c>
      <c r="E7715" s="535" t="n">
        <v>46155</v>
      </c>
      <c r="F7715" s="534" t="n">
        <v>3.11</v>
      </c>
    </row>
    <row r="7716">
      <c r="A7716" s="535" t="n">
        <v>42338</v>
      </c>
      <c r="B7716" s="534" t="n">
        <v>11.917</v>
      </c>
      <c r="C7716" s="534" t="n">
        <v>21996.42</v>
      </c>
      <c r="E7716" s="535" t="n">
        <v>46156</v>
      </c>
      <c r="F7716" s="534" t="n">
        <v>3.096</v>
      </c>
    </row>
    <row r="7717">
      <c r="A7717" s="535" t="n">
        <v>42339</v>
      </c>
      <c r="B7717" s="534" t="n">
        <v>11.655</v>
      </c>
      <c r="C7717" s="534" t="n">
        <v>22381.35</v>
      </c>
      <c r="E7717" s="535" t="n">
        <v>46157</v>
      </c>
      <c r="F7717" s="534" t="n">
        <v>3.154</v>
      </c>
    </row>
    <row r="7718">
      <c r="A7718" s="535" t="n">
        <v>42340</v>
      </c>
      <c r="B7718" s="534" t="n">
        <v>11.69</v>
      </c>
      <c r="C7718" s="534" t="n">
        <v>22479.69</v>
      </c>
      <c r="E7718" s="535" t="n">
        <v>46160</v>
      </c>
      <c r="F7718" s="534" t="n">
        <v>3.245</v>
      </c>
    </row>
    <row r="7719">
      <c r="A7719" s="535" t="n">
        <v>42341</v>
      </c>
      <c r="B7719" s="534" t="n">
        <v>11.621</v>
      </c>
      <c r="C7719" s="534" t="n">
        <v>22417.01</v>
      </c>
      <c r="E7719" s="535" t="n">
        <v>46161</v>
      </c>
      <c r="F7719" s="534" t="n">
        <v>3.243</v>
      </c>
    </row>
    <row r="7720">
      <c r="A7720" s="535" t="n">
        <v>42342</v>
      </c>
      <c r="B7720" s="534" t="n">
        <v>11.429</v>
      </c>
      <c r="C7720" s="534" t="n">
        <v>22235.89</v>
      </c>
      <c r="E7720" s="535" t="n">
        <v>46162</v>
      </c>
      <c r="F7720" s="534" t="n">
        <v>3.32</v>
      </c>
    </row>
    <row r="7721">
      <c r="A7721" s="535" t="n">
        <v>42345</v>
      </c>
      <c r="B7721" s="534" t="n">
        <v>11.621</v>
      </c>
      <c r="C7721" s="534" t="n">
        <v>22203.22</v>
      </c>
      <c r="E7721" s="535" t="n">
        <v>46163</v>
      </c>
      <c r="F7721" s="534" t="n">
        <v>3.28</v>
      </c>
    </row>
    <row r="7722">
      <c r="A7722" s="535" t="n">
        <v>42346</v>
      </c>
      <c r="B7722" s="534" t="n">
        <v>11.359</v>
      </c>
      <c r="C7722" s="534" t="n">
        <v>21905.13</v>
      </c>
      <c r="E7722" s="535" t="n">
        <v>46164</v>
      </c>
      <c r="F7722" s="534" t="n">
        <v>3.261</v>
      </c>
    </row>
    <row r="7723">
      <c r="A7723" s="535" t="n">
        <v>42347</v>
      </c>
      <c r="B7723" s="534" t="n">
        <v>11.568</v>
      </c>
      <c r="C7723" s="534" t="n">
        <v>21803.76</v>
      </c>
      <c r="E7723" s="535" t="n">
        <v>46167</v>
      </c>
      <c r="F7723" s="534" t="n">
        <v>3.261</v>
      </c>
    </row>
    <row r="7724">
      <c r="A7724" s="535" t="n">
        <v>42348</v>
      </c>
      <c r="B7724" s="534" t="n">
        <v>11.429</v>
      </c>
      <c r="C7724" s="534" t="n">
        <v>21704.61</v>
      </c>
      <c r="E7724" s="535" t="n">
        <v>46168</v>
      </c>
      <c r="F7724" s="534" t="n">
        <v>3.252</v>
      </c>
    </row>
    <row r="7725">
      <c r="A7725" s="535" t="n">
        <v>42349</v>
      </c>
      <c r="B7725" s="534" t="n">
        <v>11.429</v>
      </c>
      <c r="C7725" s="534" t="n">
        <v>21464.05</v>
      </c>
      <c r="E7725" s="535" t="n">
        <v>46169</v>
      </c>
      <c r="F7725" s="534" t="n">
        <v>3.229</v>
      </c>
    </row>
    <row r="7726">
      <c r="A7726" s="535" t="n">
        <v>42352</v>
      </c>
      <c r="B7726" s="534" t="n">
        <v>11.307</v>
      </c>
      <c r="C7726" s="534" t="n">
        <v>21309.85</v>
      </c>
      <c r="E7726" s="535" t="n">
        <v>46170</v>
      </c>
      <c r="F7726" s="534" t="n">
        <v>3.279</v>
      </c>
    </row>
    <row r="7727">
      <c r="A7727" s="535" t="n">
        <v>42353</v>
      </c>
      <c r="B7727" s="534" t="n">
        <v>11.098</v>
      </c>
      <c r="C7727" s="534" t="n">
        <v>21274.37</v>
      </c>
      <c r="E7727" s="535" t="n">
        <v>46171</v>
      </c>
      <c r="F7727" s="534" t="n">
        <v>3.275</v>
      </c>
    </row>
    <row r="7728">
      <c r="A7728" s="535" t="n">
        <v>42354</v>
      </c>
      <c r="B7728" s="534" t="n">
        <v>11.255</v>
      </c>
      <c r="C7728" s="534" t="n">
        <v>21701.21</v>
      </c>
      <c r="E7728" s="535" t="n">
        <v>46174</v>
      </c>
      <c r="F7728" s="534" t="n">
        <v>3.279</v>
      </c>
    </row>
    <row r="7729">
      <c r="A7729" s="535" t="n">
        <v>42355</v>
      </c>
      <c r="B7729" s="534" t="n">
        <v>11.377</v>
      </c>
      <c r="C7729" s="534" t="n">
        <v>21872.06</v>
      </c>
      <c r="E7729" s="535" t="n">
        <v>46175</v>
      </c>
      <c r="F7729" s="534" t="n">
        <v>3.274</v>
      </c>
    </row>
    <row r="7730">
      <c r="A7730" s="535" t="n">
        <v>42356</v>
      </c>
      <c r="B7730" s="534" t="n">
        <v>11.359</v>
      </c>
      <c r="C7730" s="534" t="n">
        <v>21755.56</v>
      </c>
      <c r="E7730" s="535" t="n">
        <v>46176</v>
      </c>
      <c r="F7730" s="534" t="n">
        <v>3.305</v>
      </c>
    </row>
    <row r="7731">
      <c r="A7731" s="535" t="n">
        <v>42359</v>
      </c>
      <c r="B7731" s="534" t="n">
        <v>11.499</v>
      </c>
      <c r="C7731" s="534" t="n">
        <v>21791.68</v>
      </c>
      <c r="E7731" s="535" t="n">
        <v>46177</v>
      </c>
      <c r="F7731" s="534" t="n">
        <v>3.315</v>
      </c>
    </row>
    <row r="7732">
      <c r="A7732" s="535" t="n">
        <v>42360</v>
      </c>
      <c r="B7732" s="534" t="n">
        <v>11.621</v>
      </c>
      <c r="C7732" s="534" t="n">
        <v>21830.02</v>
      </c>
      <c r="E7732" s="535" t="n">
        <v>46178</v>
      </c>
      <c r="F7732" s="534" t="n">
        <v>3.31</v>
      </c>
    </row>
    <row r="7733">
      <c r="A7733" s="535" t="n">
        <v>42361</v>
      </c>
      <c r="B7733" s="534" t="n">
        <v>11.76</v>
      </c>
      <c r="C7733" s="534" t="n">
        <v>22040.59</v>
      </c>
      <c r="E7733" s="535" t="n">
        <v>46181</v>
      </c>
      <c r="F7733" s="534" t="n">
        <v>3.39</v>
      </c>
    </row>
    <row r="7734">
      <c r="A7734" s="535" t="n">
        <v>42362</v>
      </c>
      <c r="B7734" s="534" t="n">
        <v>11.708</v>
      </c>
      <c r="C7734" s="534" t="n">
        <v>22138.13</v>
      </c>
      <c r="E7734" s="535" t="n">
        <v>46182</v>
      </c>
      <c r="F7734" s="534" t="n">
        <v>3.357</v>
      </c>
    </row>
    <row r="7735">
      <c r="A7735" s="535" t="n">
        <v>42363</v>
      </c>
      <c r="B7735" s="534" t="n">
        <v>11.708</v>
      </c>
      <c r="C7735" s="534" t="n">
        <v>22138.13</v>
      </c>
      <c r="E7735" s="535" t="n">
        <v>46183</v>
      </c>
      <c r="F7735" s="534" t="n">
        <v>3.34</v>
      </c>
    </row>
    <row r="7736">
      <c r="A7736" s="535" t="n">
        <v>42366</v>
      </c>
      <c r="B7736" s="534" t="n">
        <v>11.568</v>
      </c>
      <c r="C7736" s="534" t="n">
        <v>21919.62</v>
      </c>
      <c r="E7736" s="535" t="n">
        <v>46184</v>
      </c>
      <c r="F7736" s="534" t="n">
        <v>3.356</v>
      </c>
    </row>
    <row r="7737">
      <c r="A7737" s="535" t="n">
        <v>42367</v>
      </c>
      <c r="B7737" s="534" t="n">
        <v>11.638</v>
      </c>
      <c r="C7737" s="534" t="n">
        <v>21999.62</v>
      </c>
      <c r="E7737" s="535" t="n">
        <v>46185</v>
      </c>
      <c r="F7737" s="534" t="n">
        <v>3.324</v>
      </c>
    </row>
    <row r="7738">
      <c r="A7738" s="535" t="n">
        <v>42368</v>
      </c>
      <c r="B7738" s="534" t="n">
        <v>11.69</v>
      </c>
      <c r="C7738" s="534" t="n">
        <v>21882.15</v>
      </c>
      <c r="E7738" s="535" t="n">
        <v>46188</v>
      </c>
      <c r="F7738" s="534" t="n">
        <v>3.321</v>
      </c>
    </row>
    <row r="7739">
      <c r="A7739" s="535" t="n">
        <v>42369</v>
      </c>
      <c r="B7739" s="534" t="n">
        <v>11.69</v>
      </c>
      <c r="C7739" s="534" t="n">
        <v>21914.4</v>
      </c>
      <c r="E7739" s="535" t="n">
        <v>46189</v>
      </c>
      <c r="F7739" s="534" t="n">
        <v>3.348</v>
      </c>
    </row>
    <row r="7740">
      <c r="A7740" s="535" t="n">
        <v>42370</v>
      </c>
      <c r="B7740" s="534" t="n">
        <v>11.69</v>
      </c>
      <c r="C7740" s="534" t="n">
        <v>21914.4</v>
      </c>
      <c r="E7740" s="535" t="n">
        <v>46190</v>
      </c>
      <c r="F7740" s="534" t="n">
        <v>3.333</v>
      </c>
    </row>
    <row r="7741">
      <c r="A7741" s="535" t="n">
        <v>42373</v>
      </c>
      <c r="B7741" s="534" t="n">
        <v>11.446</v>
      </c>
      <c r="C7741" s="534" t="n">
        <v>21327.12</v>
      </c>
      <c r="E7741" s="535" t="n">
        <v>46191</v>
      </c>
      <c r="F7741" s="534" t="n">
        <v>3.347</v>
      </c>
    </row>
    <row r="7742">
      <c r="A7742" s="535" t="n">
        <v>42374</v>
      </c>
      <c r="B7742" s="534" t="n">
        <v>11.534</v>
      </c>
      <c r="C7742" s="534" t="n">
        <v>21188.72</v>
      </c>
      <c r="E7742" s="535" t="n">
        <v>46192</v>
      </c>
      <c r="F7742" s="534" t="n">
        <v>3.347</v>
      </c>
    </row>
    <row r="7743">
      <c r="A7743" s="535" t="n">
        <v>42375</v>
      </c>
      <c r="B7743" s="534" t="n">
        <v>11.464</v>
      </c>
      <c r="C7743" s="534" t="n">
        <v>20980.81</v>
      </c>
      <c r="E7743" s="535" t="n">
        <v>46195</v>
      </c>
      <c r="F7743" s="534" t="n">
        <v>3.379</v>
      </c>
    </row>
    <row r="7744">
      <c r="A7744" s="535" t="n">
        <v>42376</v>
      </c>
      <c r="B7744" s="534" t="n">
        <v>11.307</v>
      </c>
      <c r="C7744" s="534" t="n">
        <v>20333.34</v>
      </c>
      <c r="E7744" s="535" t="n">
        <v>46196</v>
      </c>
      <c r="F7744" s="534" t="n">
        <v>3.414</v>
      </c>
    </row>
    <row r="7745">
      <c r="A7745" s="535" t="n">
        <v>42377</v>
      </c>
      <c r="B7745" s="534" t="n">
        <v>11.359</v>
      </c>
      <c r="C7745" s="534" t="n">
        <v>20453.71</v>
      </c>
      <c r="E7745" s="535" t="n">
        <v>46197</v>
      </c>
      <c r="F7745" s="534" t="n">
        <v>3.389</v>
      </c>
    </row>
    <row r="7746">
      <c r="A7746" s="535" t="n">
        <v>42380</v>
      </c>
      <c r="B7746" s="534" t="n">
        <v>11.255</v>
      </c>
      <c r="C7746" s="534" t="n">
        <v>19888.5</v>
      </c>
      <c r="E7746" s="535" t="n">
        <v>46198</v>
      </c>
      <c r="F7746" s="534" t="n">
        <v>3.333</v>
      </c>
    </row>
    <row r="7747">
      <c r="A7747" s="535" t="n">
        <v>42381</v>
      </c>
      <c r="B7747" s="534" t="n">
        <v>11.115</v>
      </c>
      <c r="C7747" s="534" t="n">
        <v>19711.76</v>
      </c>
      <c r="E7747" s="535" t="n">
        <v>46199</v>
      </c>
      <c r="F7747" s="534" t="n">
        <v>3.317</v>
      </c>
    </row>
    <row r="7748">
      <c r="A7748" s="535" t="n">
        <v>42382</v>
      </c>
      <c r="B7748" s="534" t="n">
        <v>11.115</v>
      </c>
      <c r="C7748" s="534" t="n">
        <v>19934.88</v>
      </c>
      <c r="E7748" s="535" t="n">
        <v>46202</v>
      </c>
      <c r="F7748" s="534" t="n">
        <v>3.321</v>
      </c>
    </row>
    <row r="7749">
      <c r="A7749" s="535" t="n">
        <v>42383</v>
      </c>
      <c r="B7749" s="534" t="n">
        <v>11.307</v>
      </c>
      <c r="C7749" s="534" t="n">
        <v>19817.41</v>
      </c>
      <c r="E7749" s="535" t="n">
        <v>46203</v>
      </c>
      <c r="F7749" s="534" t="n">
        <v>3.293</v>
      </c>
    </row>
    <row r="7750">
      <c r="A7750" s="535" t="n">
        <v>42384</v>
      </c>
      <c r="B7750" s="534" t="n">
        <v>11.115</v>
      </c>
      <c r="C7750" s="534" t="n">
        <v>19520.77</v>
      </c>
      <c r="E7750" s="535" t="n">
        <v>46204</v>
      </c>
      <c r="F7750" s="534" t="n">
        <v>3.293</v>
      </c>
    </row>
    <row r="7751">
      <c r="A7751" s="535" t="n">
        <v>42387</v>
      </c>
      <c r="B7751" s="534" t="n">
        <v>10.784</v>
      </c>
      <c r="C7751" s="534" t="n">
        <v>19237.45</v>
      </c>
      <c r="E7751" s="535" t="n">
        <v>46205</v>
      </c>
      <c r="F7751" s="534" t="n">
        <v>3.362</v>
      </c>
    </row>
    <row r="7752">
      <c r="A7752" s="535" t="n">
        <v>42388</v>
      </c>
      <c r="B7752" s="534" t="n">
        <v>10.924</v>
      </c>
      <c r="C7752" s="534" t="n">
        <v>19635.81</v>
      </c>
      <c r="E7752" s="535" t="n">
        <v>46206</v>
      </c>
      <c r="F7752" s="534" t="n">
        <v>3.363</v>
      </c>
    </row>
    <row r="7753">
      <c r="A7753" s="535" t="n">
        <v>42389</v>
      </c>
      <c r="B7753" s="534" t="n">
        <v>10.506</v>
      </c>
      <c r="C7753" s="534" t="n">
        <v>18886.3</v>
      </c>
      <c r="E7753" s="535" t="n">
        <v>46209</v>
      </c>
      <c r="F7753" s="534" t="n">
        <v>3.347</v>
      </c>
    </row>
    <row r="7754">
      <c r="A7754" s="535" t="n">
        <v>42390</v>
      </c>
      <c r="B7754" s="534" t="n">
        <v>10.889</v>
      </c>
      <c r="C7754" s="534" t="n">
        <v>18542.15</v>
      </c>
      <c r="E7754" s="535" t="n">
        <v>46210</v>
      </c>
      <c r="F7754" s="534" t="n">
        <v>3.347</v>
      </c>
    </row>
    <row r="7755">
      <c r="A7755" s="535" t="n">
        <v>42391</v>
      </c>
      <c r="B7755" s="534" t="n">
        <v>10.784</v>
      </c>
      <c r="C7755" s="534" t="n">
        <v>19080.51</v>
      </c>
      <c r="E7755" s="535" t="n">
        <v>46211</v>
      </c>
      <c r="F7755" s="534" t="n">
        <v>3.394</v>
      </c>
    </row>
    <row r="7756">
      <c r="A7756" s="535" t="n">
        <v>42394</v>
      </c>
      <c r="B7756" s="534" t="n">
        <v>10.802</v>
      </c>
      <c r="C7756" s="534" t="n">
        <v>19340.14</v>
      </c>
      <c r="E7756" s="535" t="n">
        <v>46212</v>
      </c>
      <c r="F7756" s="534" t="n">
        <v>3.413</v>
      </c>
    </row>
    <row r="7757">
      <c r="A7757" s="535" t="n">
        <v>42395</v>
      </c>
      <c r="B7757" s="534" t="n">
        <v>10.784</v>
      </c>
      <c r="C7757" s="534" t="n">
        <v>18860.8</v>
      </c>
      <c r="E7757" s="535" t="n">
        <v>46213</v>
      </c>
      <c r="F7757" s="534" t="n">
        <v>3.376</v>
      </c>
    </row>
    <row r="7758">
      <c r="A7758" s="535" t="n">
        <v>42396</v>
      </c>
      <c r="B7758" s="534" t="n">
        <v>10.61</v>
      </c>
      <c r="C7758" s="534" t="n">
        <v>19052.45</v>
      </c>
      <c r="E7758" s="535" t="n">
        <v>46216</v>
      </c>
      <c r="F7758" s="534" t="n">
        <v>3.432</v>
      </c>
    </row>
    <row r="7759">
      <c r="A7759" s="535" t="n">
        <v>42397</v>
      </c>
      <c r="B7759" s="534" t="n">
        <v>10.488</v>
      </c>
      <c r="C7759" s="534" t="n">
        <v>19195.83</v>
      </c>
      <c r="E7759" s="535" t="n">
        <v>46217</v>
      </c>
      <c r="F7759" s="534" t="n">
        <v>3.488</v>
      </c>
    </row>
    <row r="7760">
      <c r="A7760" s="535" t="n">
        <v>42398</v>
      </c>
      <c r="B7760" s="534" t="n">
        <v>10.61</v>
      </c>
      <c r="C7760" s="534" t="n">
        <v>19683.11</v>
      </c>
      <c r="E7760" s="535" t="n">
        <v>46218</v>
      </c>
      <c r="F7760" s="534" t="n">
        <v>3.49</v>
      </c>
    </row>
    <row r="7761">
      <c r="A7761" s="535" t="n">
        <v>42401</v>
      </c>
      <c r="B7761" s="534" t="n">
        <v>10.506</v>
      </c>
      <c r="C7761" s="534" t="n">
        <v>19595.5</v>
      </c>
      <c r="E7761" s="535" t="n">
        <v>46219</v>
      </c>
      <c r="F7761" s="534" t="n">
        <v>3.454</v>
      </c>
    </row>
    <row r="7762">
      <c r="A7762" s="535" t="n">
        <v>42402</v>
      </c>
      <c r="B7762" s="534" t="n">
        <v>10.384</v>
      </c>
      <c r="C7762" s="534" t="n">
        <v>19446.84</v>
      </c>
      <c r="E7762" s="535" t="n">
        <v>46220</v>
      </c>
      <c r="F7762" s="534" t="n">
        <v>3.469</v>
      </c>
    </row>
    <row r="7763">
      <c r="A7763" s="535" t="n">
        <v>42403</v>
      </c>
      <c r="B7763" s="534" t="n">
        <v>10.279</v>
      </c>
      <c r="C7763" s="534" t="n">
        <v>18991.59</v>
      </c>
      <c r="E7763" s="535" t="n">
        <v>46223</v>
      </c>
      <c r="F7763" s="534" t="n">
        <v>3.488</v>
      </c>
    </row>
    <row r="7764">
      <c r="A7764" s="535" t="n">
        <v>42404</v>
      </c>
      <c r="B7764" s="534" t="n">
        <v>10.192</v>
      </c>
      <c r="C7764" s="534" t="n">
        <v>19183.09</v>
      </c>
      <c r="E7764" s="535" t="n">
        <v>46224</v>
      </c>
      <c r="F7764" s="534" t="n">
        <v>3.503</v>
      </c>
    </row>
    <row r="7765">
      <c r="A7765" s="535" t="n">
        <v>42405</v>
      </c>
      <c r="B7765" s="534" t="n">
        <v>9.965999999999999</v>
      </c>
      <c r="C7765" s="534" t="n">
        <v>19288.17</v>
      </c>
      <c r="E7765" s="535" t="n">
        <v>46225</v>
      </c>
      <c r="F7765" s="534" t="n">
        <v>3.532</v>
      </c>
    </row>
    <row r="7766">
      <c r="A7766" s="535" t="n">
        <v>42408</v>
      </c>
      <c r="B7766" s="534" t="n">
        <v>9.965999999999999</v>
      </c>
      <c r="C7766" s="534" t="n">
        <v>19288.17</v>
      </c>
      <c r="E7766" s="535" t="n">
        <v>46226</v>
      </c>
      <c r="F7766" s="534" t="n">
        <v>3.547</v>
      </c>
    </row>
    <row r="7767">
      <c r="A7767" s="535" t="n">
        <v>42409</v>
      </c>
      <c r="B7767" s="534" t="n">
        <v>9.965999999999999</v>
      </c>
      <c r="C7767" s="534" t="n">
        <v>19288.17</v>
      </c>
      <c r="E7767" s="535" t="n">
        <v>46227</v>
      </c>
      <c r="F7767" s="534" t="n">
        <v>3.557</v>
      </c>
    </row>
    <row r="7768">
      <c r="A7768" s="535" t="n">
        <v>42410</v>
      </c>
      <c r="B7768" s="534" t="n">
        <v>9.965999999999999</v>
      </c>
      <c r="C7768" s="534" t="n">
        <v>19288.17</v>
      </c>
      <c r="E7768" s="535" t="n">
        <v>46230</v>
      </c>
      <c r="F7768" s="534" t="n">
        <v>3.505</v>
      </c>
    </row>
    <row r="7769">
      <c r="A7769" s="535" t="n">
        <v>42411</v>
      </c>
      <c r="B7769" s="534" t="n">
        <v>9.704000000000001</v>
      </c>
      <c r="C7769" s="534" t="n">
        <v>18545.8</v>
      </c>
      <c r="E7769" s="535" t="n">
        <v>46231</v>
      </c>
      <c r="F7769" s="534" t="n">
        <v>3.499</v>
      </c>
    </row>
    <row r="7770">
      <c r="A7770" s="535" t="n">
        <v>42412</v>
      </c>
      <c r="B7770" s="534" t="n">
        <v>9.896000000000001</v>
      </c>
      <c r="C7770" s="534" t="n">
        <v>18319.58</v>
      </c>
      <c r="E7770" s="535" t="n">
        <v>46232</v>
      </c>
      <c r="F7770" s="534" t="n">
        <v>3.487</v>
      </c>
    </row>
    <row r="7771">
      <c r="A7771" s="535" t="n">
        <v>42415</v>
      </c>
      <c r="B7771" s="534" t="n">
        <v>10.105</v>
      </c>
      <c r="C7771" s="534" t="n">
        <v>18918.14</v>
      </c>
      <c r="E7771" s="535" t="n">
        <v>46233</v>
      </c>
      <c r="F7771" s="534" t="n">
        <v>3.533</v>
      </c>
    </row>
    <row r="7772">
      <c r="A7772" s="535" t="n">
        <v>42416</v>
      </c>
      <c r="B7772" s="534" t="n">
        <v>10.366</v>
      </c>
      <c r="C7772" s="534" t="n">
        <v>19122.08</v>
      </c>
      <c r="E7772" s="535" t="n">
        <v>46234</v>
      </c>
      <c r="F7772" s="534" t="n">
        <v>3.508</v>
      </c>
    </row>
    <row r="7773">
      <c r="A7773" s="535" t="n">
        <v>42417</v>
      </c>
      <c r="B7773" s="534" t="n">
        <v>10.105</v>
      </c>
      <c r="C7773" s="534" t="n">
        <v>18924.57</v>
      </c>
      <c r="E7773" s="535" t="n">
        <v>46237</v>
      </c>
      <c r="F7773" s="534" t="n">
        <v>3.546</v>
      </c>
    </row>
    <row r="7774">
      <c r="A7774" s="535" t="n">
        <v>42418</v>
      </c>
      <c r="B7774" s="534" t="n">
        <v>10.54</v>
      </c>
      <c r="C7774" s="534" t="n">
        <v>19363.08</v>
      </c>
      <c r="E7774" s="535" t="n">
        <v>46238</v>
      </c>
      <c r="F7774" s="534" t="n">
        <v>3.528</v>
      </c>
    </row>
    <row r="7775">
      <c r="A7775" s="535" t="n">
        <v>42419</v>
      </c>
      <c r="B7775" s="534" t="n">
        <v>10.523</v>
      </c>
      <c r="C7775" s="534" t="n">
        <v>19285.5</v>
      </c>
    </row>
    <row r="7776">
      <c r="A7776" s="535" t="n">
        <v>42422</v>
      </c>
      <c r="B7776" s="534" t="n">
        <v>10.75</v>
      </c>
      <c r="C7776" s="534" t="n">
        <v>19464.09</v>
      </c>
    </row>
    <row r="7777">
      <c r="A7777" s="535" t="n">
        <v>42423</v>
      </c>
      <c r="B7777" s="534" t="n">
        <v>10.837</v>
      </c>
      <c r="C7777" s="534" t="n">
        <v>19414.78</v>
      </c>
    </row>
    <row r="7778">
      <c r="A7778" s="535" t="n">
        <v>42424</v>
      </c>
      <c r="B7778" s="534" t="n">
        <v>10.802</v>
      </c>
      <c r="C7778" s="534" t="n">
        <v>19192.45</v>
      </c>
    </row>
    <row r="7779">
      <c r="A7779" s="535" t="n">
        <v>42425</v>
      </c>
      <c r="B7779" s="534" t="n">
        <v>10.628</v>
      </c>
      <c r="C7779" s="534" t="n">
        <v>18888.75</v>
      </c>
    </row>
    <row r="7780">
      <c r="A7780" s="535" t="n">
        <v>42426</v>
      </c>
      <c r="B7780" s="534" t="n">
        <v>11.168</v>
      </c>
      <c r="C7780" s="534" t="n">
        <v>19364.15</v>
      </c>
    </row>
    <row r="7781">
      <c r="A7781" s="535" t="n">
        <v>42429</v>
      </c>
      <c r="B7781" s="534" t="n">
        <v>10.802</v>
      </c>
      <c r="C7781" s="534" t="n">
        <v>19111.93</v>
      </c>
    </row>
    <row r="7782">
      <c r="A7782" s="535" t="n">
        <v>42430</v>
      </c>
      <c r="B7782" s="534" t="n">
        <v>11.15</v>
      </c>
      <c r="C7782" s="534" t="n">
        <v>19407.46</v>
      </c>
    </row>
    <row r="7783">
      <c r="A7783" s="535" t="n">
        <v>42431</v>
      </c>
      <c r="B7783" s="534" t="n">
        <v>11.603</v>
      </c>
      <c r="C7783" s="534" t="n">
        <v>20003.49</v>
      </c>
    </row>
    <row r="7784">
      <c r="A7784" s="535" t="n">
        <v>42432</v>
      </c>
      <c r="B7784" s="534" t="n">
        <v>11.743</v>
      </c>
      <c r="C7784" s="534" t="n">
        <v>19941.76</v>
      </c>
    </row>
    <row r="7785">
      <c r="A7785" s="535" t="n">
        <v>42433</v>
      </c>
      <c r="B7785" s="534" t="n">
        <v>11.899</v>
      </c>
      <c r="C7785" s="534" t="n">
        <v>20176.7</v>
      </c>
    </row>
    <row r="7786">
      <c r="A7786" s="535" t="n">
        <v>42436</v>
      </c>
      <c r="B7786" s="534" t="n">
        <v>11.777</v>
      </c>
      <c r="C7786" s="534" t="n">
        <v>20159.72</v>
      </c>
    </row>
    <row r="7787">
      <c r="A7787" s="535" t="n">
        <v>42437</v>
      </c>
      <c r="B7787" s="534" t="n">
        <v>11.655</v>
      </c>
      <c r="C7787" s="534" t="n">
        <v>20011.58</v>
      </c>
    </row>
    <row r="7788">
      <c r="A7788" s="535" t="n">
        <v>42438</v>
      </c>
      <c r="B7788" s="534" t="n">
        <v>12.23</v>
      </c>
      <c r="C7788" s="534" t="n">
        <v>19996.26</v>
      </c>
    </row>
    <row r="7789">
      <c r="A7789" s="535" t="n">
        <v>42439</v>
      </c>
      <c r="B7789" s="534" t="n">
        <v>11.743</v>
      </c>
      <c r="C7789" s="534" t="n">
        <v>19984.42</v>
      </c>
    </row>
    <row r="7790">
      <c r="A7790" s="535" t="n">
        <v>42440</v>
      </c>
      <c r="B7790" s="534" t="n">
        <v>12.039</v>
      </c>
      <c r="C7790" s="534" t="n">
        <v>20199.6</v>
      </c>
    </row>
    <row r="7791">
      <c r="A7791" s="535" t="n">
        <v>42443</v>
      </c>
      <c r="B7791" s="534" t="n">
        <v>12.056</v>
      </c>
      <c r="C7791" s="534" t="n">
        <v>20435.34</v>
      </c>
    </row>
    <row r="7792">
      <c r="A7792" s="535" t="n">
        <v>42444</v>
      </c>
      <c r="B7792" s="534" t="n">
        <v>11.934</v>
      </c>
      <c r="C7792" s="534" t="n">
        <v>20288.77</v>
      </c>
    </row>
    <row r="7793">
      <c r="A7793" s="535" t="n">
        <v>42445</v>
      </c>
      <c r="B7793" s="534" t="n">
        <v>11.917</v>
      </c>
      <c r="C7793" s="534" t="n">
        <v>20257.7</v>
      </c>
    </row>
    <row r="7794">
      <c r="A7794" s="535" t="n">
        <v>42446</v>
      </c>
      <c r="B7794" s="534" t="n">
        <v>12.021</v>
      </c>
      <c r="C7794" s="534" t="n">
        <v>20503.81</v>
      </c>
    </row>
    <row r="7795">
      <c r="A7795" s="535" t="n">
        <v>42447</v>
      </c>
      <c r="B7795" s="534" t="n">
        <v>12.091</v>
      </c>
      <c r="C7795" s="534" t="n">
        <v>20671.63</v>
      </c>
    </row>
    <row r="7796">
      <c r="A7796" s="535" t="n">
        <v>42450</v>
      </c>
      <c r="B7796" s="534" t="n">
        <v>11.847</v>
      </c>
      <c r="C7796" s="534" t="n">
        <v>20684.15</v>
      </c>
    </row>
    <row r="7797">
      <c r="A7797" s="535" t="n">
        <v>42451</v>
      </c>
      <c r="B7797" s="534" t="n">
        <v>11.499</v>
      </c>
      <c r="C7797" s="534" t="n">
        <v>20666.75</v>
      </c>
    </row>
    <row r="7798">
      <c r="A7798" s="535" t="n">
        <v>42452</v>
      </c>
      <c r="B7798" s="534" t="n">
        <v>11.412</v>
      </c>
      <c r="C7798" s="534" t="n">
        <v>20615.23</v>
      </c>
    </row>
    <row r="7799">
      <c r="A7799" s="535" t="n">
        <v>42453</v>
      </c>
      <c r="B7799" s="534" t="n">
        <v>11.307</v>
      </c>
      <c r="C7799" s="534" t="n">
        <v>20345.61</v>
      </c>
    </row>
    <row r="7800">
      <c r="A7800" s="535" t="n">
        <v>42454</v>
      </c>
      <c r="B7800" s="534" t="n">
        <v>11.307</v>
      </c>
      <c r="C7800" s="534" t="n">
        <v>20345.61</v>
      </c>
    </row>
    <row r="7801">
      <c r="A7801" s="535" t="n">
        <v>42457</v>
      </c>
      <c r="B7801" s="534" t="n">
        <v>11.307</v>
      </c>
      <c r="C7801" s="534" t="n">
        <v>20345.61</v>
      </c>
    </row>
    <row r="7802">
      <c r="A7802" s="535" t="n">
        <v>42458</v>
      </c>
      <c r="B7802" s="534" t="n">
        <v>11.29</v>
      </c>
      <c r="C7802" s="534" t="n">
        <v>20366.3</v>
      </c>
    </row>
    <row r="7803">
      <c r="A7803" s="535" t="n">
        <v>42459</v>
      </c>
      <c r="B7803" s="534" t="n">
        <v>11.621</v>
      </c>
      <c r="C7803" s="534" t="n">
        <v>20803.39</v>
      </c>
    </row>
    <row r="7804">
      <c r="A7804" s="535" t="n">
        <v>42460</v>
      </c>
      <c r="B7804" s="534" t="n">
        <v>11.69</v>
      </c>
      <c r="C7804" s="534" t="n">
        <v>20776.7</v>
      </c>
    </row>
    <row r="7805">
      <c r="A7805" s="535" t="n">
        <v>42461</v>
      </c>
      <c r="B7805" s="534" t="n">
        <v>11.499</v>
      </c>
      <c r="C7805" s="534" t="n">
        <v>20498.92</v>
      </c>
    </row>
    <row r="7806">
      <c r="A7806" s="535" t="n">
        <v>42464</v>
      </c>
      <c r="B7806" s="534" t="n">
        <v>11.499</v>
      </c>
      <c r="C7806" s="534" t="n">
        <v>20498.92</v>
      </c>
    </row>
    <row r="7807">
      <c r="A7807" s="535" t="n">
        <v>42465</v>
      </c>
      <c r="B7807" s="534" t="n">
        <v>11.446</v>
      </c>
      <c r="C7807" s="534" t="n">
        <v>20177</v>
      </c>
    </row>
    <row r="7808">
      <c r="A7808" s="535" t="n">
        <v>42466</v>
      </c>
      <c r="B7808" s="534" t="n">
        <v>11.255</v>
      </c>
      <c r="C7808" s="534" t="n">
        <v>20206.67</v>
      </c>
    </row>
    <row r="7809">
      <c r="A7809" s="535" t="n">
        <v>42467</v>
      </c>
      <c r="B7809" s="534" t="n">
        <v>11.081</v>
      </c>
      <c r="C7809" s="534" t="n">
        <v>20266.05</v>
      </c>
    </row>
    <row r="7810">
      <c r="A7810" s="535" t="n">
        <v>42468</v>
      </c>
      <c r="B7810" s="534" t="n">
        <v>11.133</v>
      </c>
      <c r="C7810" s="534" t="n">
        <v>20370.4</v>
      </c>
    </row>
    <row r="7811">
      <c r="A7811" s="535" t="n">
        <v>42471</v>
      </c>
      <c r="B7811" s="534" t="n">
        <v>11.168</v>
      </c>
      <c r="C7811" s="534" t="n">
        <v>20440.81</v>
      </c>
    </row>
    <row r="7812">
      <c r="A7812" s="535" t="n">
        <v>42472</v>
      </c>
      <c r="B7812" s="534" t="n">
        <v>11.133</v>
      </c>
      <c r="C7812" s="534" t="n">
        <v>20504.44</v>
      </c>
    </row>
    <row r="7813">
      <c r="A7813" s="535" t="n">
        <v>42473</v>
      </c>
      <c r="B7813" s="534" t="n">
        <v>11.481</v>
      </c>
      <c r="C7813" s="534" t="n">
        <v>21158.71</v>
      </c>
    </row>
    <row r="7814">
      <c r="A7814" s="535" t="n">
        <v>42474</v>
      </c>
      <c r="B7814" s="534" t="n">
        <v>11.568</v>
      </c>
      <c r="C7814" s="534" t="n">
        <v>21337.81</v>
      </c>
    </row>
    <row r="7815">
      <c r="A7815" s="535" t="n">
        <v>42475</v>
      </c>
      <c r="B7815" s="534" t="n">
        <v>11.534</v>
      </c>
      <c r="C7815" s="534" t="n">
        <v>21316.47</v>
      </c>
    </row>
    <row r="7816">
      <c r="A7816" s="535" t="n">
        <v>42478</v>
      </c>
      <c r="B7816" s="534" t="n">
        <v>11.499</v>
      </c>
      <c r="C7816" s="534" t="n">
        <v>21161.5</v>
      </c>
    </row>
    <row r="7817">
      <c r="A7817" s="535" t="n">
        <v>42479</v>
      </c>
      <c r="B7817" s="534" t="n">
        <v>11.621</v>
      </c>
      <c r="C7817" s="534" t="n">
        <v>21436.21</v>
      </c>
    </row>
    <row r="7818">
      <c r="A7818" s="535" t="n">
        <v>42480</v>
      </c>
      <c r="B7818" s="534" t="n">
        <v>11.551</v>
      </c>
      <c r="C7818" s="534" t="n">
        <v>21236.31</v>
      </c>
    </row>
    <row r="7819">
      <c r="A7819" s="535" t="n">
        <v>42481</v>
      </c>
      <c r="B7819" s="534" t="n">
        <v>11.673</v>
      </c>
      <c r="C7819" s="534" t="n">
        <v>21622.25</v>
      </c>
    </row>
    <row r="7820">
      <c r="A7820" s="535" t="n">
        <v>42482</v>
      </c>
      <c r="B7820" s="534" t="n">
        <v>11.586</v>
      </c>
      <c r="C7820" s="534" t="n">
        <v>21467.04</v>
      </c>
    </row>
    <row r="7821">
      <c r="A7821" s="535" t="n">
        <v>42485</v>
      </c>
      <c r="B7821" s="534" t="n">
        <v>11.481</v>
      </c>
      <c r="C7821" s="534" t="n">
        <v>21304.44</v>
      </c>
    </row>
    <row r="7822">
      <c r="A7822" s="535" t="n">
        <v>42486</v>
      </c>
      <c r="B7822" s="534" t="n">
        <v>11.29</v>
      </c>
      <c r="C7822" s="534" t="n">
        <v>21407.27</v>
      </c>
    </row>
    <row r="7823">
      <c r="A7823" s="535" t="n">
        <v>42487</v>
      </c>
      <c r="B7823" s="534" t="n">
        <v>11.168</v>
      </c>
      <c r="C7823" s="534" t="n">
        <v>21361.6</v>
      </c>
    </row>
    <row r="7824">
      <c r="A7824" s="535" t="n">
        <v>42488</v>
      </c>
      <c r="B7824" s="534" t="n">
        <v>10.628</v>
      </c>
      <c r="C7824" s="534" t="n">
        <v>21388.03</v>
      </c>
    </row>
    <row r="7825">
      <c r="A7825" s="535" t="n">
        <v>42489</v>
      </c>
      <c r="B7825" s="534" t="n">
        <v>10.802</v>
      </c>
      <c r="C7825" s="534" t="n">
        <v>21067.05</v>
      </c>
    </row>
    <row r="7826">
      <c r="A7826" s="535" t="n">
        <v>42492</v>
      </c>
      <c r="B7826" s="534" t="n">
        <v>10.802</v>
      </c>
      <c r="C7826" s="534" t="n">
        <v>21067.05</v>
      </c>
    </row>
    <row r="7827">
      <c r="A7827" s="535" t="n">
        <v>42493</v>
      </c>
      <c r="B7827" s="534" t="n">
        <v>10.645</v>
      </c>
      <c r="C7827" s="534" t="n">
        <v>20676.94</v>
      </c>
    </row>
    <row r="7828">
      <c r="A7828" s="535" t="n">
        <v>42494</v>
      </c>
      <c r="B7828" s="534" t="n">
        <v>10.697</v>
      </c>
      <c r="C7828" s="534" t="n">
        <v>20525.83</v>
      </c>
    </row>
    <row r="7829">
      <c r="A7829" s="535" t="n">
        <v>42495</v>
      </c>
      <c r="B7829" s="534" t="n">
        <v>10.697</v>
      </c>
      <c r="C7829" s="534" t="n">
        <v>20449.82</v>
      </c>
    </row>
    <row r="7830">
      <c r="A7830" s="535" t="n">
        <v>42496</v>
      </c>
      <c r="B7830" s="534" t="n">
        <v>10.645</v>
      </c>
      <c r="C7830" s="534" t="n">
        <v>20109.87</v>
      </c>
    </row>
    <row r="7831">
      <c r="A7831" s="535" t="n">
        <v>42499</v>
      </c>
      <c r="B7831" s="534" t="n">
        <v>10.54</v>
      </c>
      <c r="C7831" s="534" t="n">
        <v>20156.81</v>
      </c>
    </row>
    <row r="7832">
      <c r="A7832" s="535" t="n">
        <v>42500</v>
      </c>
      <c r="B7832" s="534" t="n">
        <v>10.697</v>
      </c>
      <c r="C7832" s="534" t="n">
        <v>20242.68</v>
      </c>
    </row>
    <row r="7833">
      <c r="A7833" s="535" t="n">
        <v>42501</v>
      </c>
      <c r="B7833" s="534" t="n">
        <v>10.593</v>
      </c>
      <c r="C7833" s="534" t="n">
        <v>20055.29</v>
      </c>
    </row>
    <row r="7834">
      <c r="A7834" s="535" t="n">
        <v>42502</v>
      </c>
      <c r="B7834" s="534" t="n">
        <v>10.645</v>
      </c>
      <c r="C7834" s="534" t="n">
        <v>19915.46</v>
      </c>
    </row>
    <row r="7835">
      <c r="A7835" s="535" t="n">
        <v>42503</v>
      </c>
      <c r="B7835" s="534" t="n">
        <v>10.558</v>
      </c>
      <c r="C7835" s="534" t="n">
        <v>19719.29</v>
      </c>
    </row>
    <row r="7836">
      <c r="A7836" s="535" t="n">
        <v>42506</v>
      </c>
      <c r="B7836" s="534" t="n">
        <v>10.662</v>
      </c>
      <c r="C7836" s="534" t="n">
        <v>19883.95</v>
      </c>
    </row>
    <row r="7837">
      <c r="A7837" s="535" t="n">
        <v>42507</v>
      </c>
      <c r="B7837" s="534" t="n">
        <v>10.645</v>
      </c>
      <c r="C7837" s="534" t="n">
        <v>20118.8</v>
      </c>
    </row>
    <row r="7838">
      <c r="A7838" s="535" t="n">
        <v>42508</v>
      </c>
      <c r="B7838" s="534" t="n">
        <v>10.453</v>
      </c>
      <c r="C7838" s="534" t="n">
        <v>19826.41</v>
      </c>
    </row>
    <row r="7839">
      <c r="A7839" s="535" t="n">
        <v>42509</v>
      </c>
      <c r="B7839" s="534" t="n">
        <v>10.331</v>
      </c>
      <c r="C7839" s="534" t="n">
        <v>19694.33</v>
      </c>
    </row>
    <row r="7840">
      <c r="A7840" s="535" t="n">
        <v>42510</v>
      </c>
      <c r="B7840" s="534" t="n">
        <v>10.558</v>
      </c>
      <c r="C7840" s="534" t="n">
        <v>19852.2</v>
      </c>
    </row>
    <row r="7841">
      <c r="A7841" s="535" t="n">
        <v>42513</v>
      </c>
      <c r="B7841" s="534" t="n">
        <v>10.506</v>
      </c>
      <c r="C7841" s="534" t="n">
        <v>19809.03</v>
      </c>
    </row>
    <row r="7842">
      <c r="A7842" s="535" t="n">
        <v>42514</v>
      </c>
      <c r="B7842" s="534" t="n">
        <v>10.662</v>
      </c>
      <c r="C7842" s="534" t="n">
        <v>19830.43</v>
      </c>
    </row>
    <row r="7843">
      <c r="A7843" s="535" t="n">
        <v>42515</v>
      </c>
      <c r="B7843" s="534" t="n">
        <v>10.697</v>
      </c>
      <c r="C7843" s="534" t="n">
        <v>20368.05</v>
      </c>
    </row>
    <row r="7844">
      <c r="A7844" s="535" t="n">
        <v>42516</v>
      </c>
      <c r="B7844" s="534" t="n">
        <v>10.784</v>
      </c>
      <c r="C7844" s="534" t="n">
        <v>20397.11</v>
      </c>
    </row>
    <row r="7845">
      <c r="A7845" s="535" t="n">
        <v>42517</v>
      </c>
      <c r="B7845" s="534" t="n">
        <v>10.715</v>
      </c>
      <c r="C7845" s="534" t="n">
        <v>20576.77</v>
      </c>
    </row>
    <row r="7846">
      <c r="A7846" s="535" t="n">
        <v>42520</v>
      </c>
      <c r="B7846" s="534" t="n">
        <v>10.558</v>
      </c>
      <c r="C7846" s="534" t="n">
        <v>20629.39</v>
      </c>
    </row>
    <row r="7847">
      <c r="A7847" s="535" t="n">
        <v>42521</v>
      </c>
      <c r="B7847" s="534" t="n">
        <v>10.593</v>
      </c>
      <c r="C7847" s="534" t="n">
        <v>20815.09</v>
      </c>
    </row>
    <row r="7848">
      <c r="A7848" s="535" t="n">
        <v>42522</v>
      </c>
      <c r="B7848" s="534" t="n">
        <v>10.662</v>
      </c>
      <c r="C7848" s="534" t="n">
        <v>20760.98</v>
      </c>
    </row>
    <row r="7849">
      <c r="A7849" s="535" t="n">
        <v>42523</v>
      </c>
      <c r="B7849" s="534" t="n">
        <v>10.68</v>
      </c>
      <c r="C7849" s="534" t="n">
        <v>20859.22</v>
      </c>
    </row>
    <row r="7850">
      <c r="A7850" s="535" t="n">
        <v>42524</v>
      </c>
      <c r="B7850" s="534" t="n">
        <v>10.697</v>
      </c>
      <c r="C7850" s="534" t="n">
        <v>20947.24</v>
      </c>
    </row>
    <row r="7851">
      <c r="A7851" s="535" t="n">
        <v>42527</v>
      </c>
      <c r="B7851" s="534" t="n">
        <v>10.593</v>
      </c>
      <c r="C7851" s="534" t="n">
        <v>21030.22</v>
      </c>
    </row>
    <row r="7852">
      <c r="A7852" s="535" t="n">
        <v>42528</v>
      </c>
      <c r="B7852" s="534" t="n">
        <v>10.732</v>
      </c>
      <c r="C7852" s="534" t="n">
        <v>21328.24</v>
      </c>
    </row>
    <row r="7853">
      <c r="A7853" s="535" t="n">
        <v>42529</v>
      </c>
      <c r="B7853" s="534" t="n">
        <v>10.697</v>
      </c>
      <c r="C7853" s="534" t="n">
        <v>21297.88</v>
      </c>
    </row>
    <row r="7854">
      <c r="A7854" s="535" t="n">
        <v>42530</v>
      </c>
      <c r="B7854" s="534" t="n">
        <v>10.697</v>
      </c>
      <c r="C7854" s="534" t="n">
        <v>21297.88</v>
      </c>
    </row>
    <row r="7855">
      <c r="A7855" s="535" t="n">
        <v>42531</v>
      </c>
      <c r="B7855" s="534" t="n">
        <v>10.523</v>
      </c>
      <c r="C7855" s="534" t="n">
        <v>21042.64</v>
      </c>
    </row>
    <row r="7856">
      <c r="A7856" s="535" t="n">
        <v>42534</v>
      </c>
      <c r="B7856" s="534" t="n">
        <v>10.366</v>
      </c>
      <c r="C7856" s="534" t="n">
        <v>20512.99</v>
      </c>
    </row>
    <row r="7857">
      <c r="A7857" s="535" t="n">
        <v>42535</v>
      </c>
      <c r="B7857" s="534" t="n">
        <v>10.436</v>
      </c>
      <c r="C7857" s="534" t="n">
        <v>20387.53</v>
      </c>
    </row>
    <row r="7858">
      <c r="A7858" s="535" t="n">
        <v>42536</v>
      </c>
      <c r="B7858" s="534" t="n">
        <v>10.349</v>
      </c>
      <c r="C7858" s="534" t="n">
        <v>20467.52</v>
      </c>
    </row>
    <row r="7859">
      <c r="A7859" s="535" t="n">
        <v>42537</v>
      </c>
      <c r="B7859" s="534" t="n">
        <v>10.018</v>
      </c>
      <c r="C7859" s="534" t="n">
        <v>20038.42</v>
      </c>
    </row>
    <row r="7860">
      <c r="A7860" s="535" t="n">
        <v>42538</v>
      </c>
      <c r="B7860" s="534" t="n">
        <v>10.192</v>
      </c>
      <c r="C7860" s="534" t="n">
        <v>20169.98</v>
      </c>
    </row>
    <row r="7861">
      <c r="A7861" s="535" t="n">
        <v>42541</v>
      </c>
      <c r="B7861" s="534" t="n">
        <v>10.262</v>
      </c>
      <c r="C7861" s="534" t="n">
        <v>20510.2</v>
      </c>
    </row>
    <row r="7862">
      <c r="A7862" s="535" t="n">
        <v>42542</v>
      </c>
      <c r="B7862" s="534" t="n">
        <v>10.366</v>
      </c>
      <c r="C7862" s="534" t="n">
        <v>20668.44</v>
      </c>
    </row>
    <row r="7863">
      <c r="A7863" s="535" t="n">
        <v>42543</v>
      </c>
      <c r="B7863" s="534" t="n">
        <v>10.401</v>
      </c>
      <c r="C7863" s="534" t="n">
        <v>20795.12</v>
      </c>
    </row>
    <row r="7864">
      <c r="A7864" s="535" t="n">
        <v>42544</v>
      </c>
      <c r="B7864" s="534" t="n">
        <v>10.471</v>
      </c>
      <c r="C7864" s="534" t="n">
        <v>20868.34</v>
      </c>
    </row>
    <row r="7865">
      <c r="A7865" s="535" t="n">
        <v>42545</v>
      </c>
      <c r="B7865" s="534" t="n">
        <v>10.087</v>
      </c>
      <c r="C7865" s="534" t="n">
        <v>20259.13</v>
      </c>
    </row>
    <row r="7866">
      <c r="A7866" s="535" t="n">
        <v>42548</v>
      </c>
      <c r="B7866" s="534" t="n">
        <v>9.669</v>
      </c>
      <c r="C7866" s="534" t="n">
        <v>20227.3</v>
      </c>
    </row>
    <row r="7867">
      <c r="A7867" s="535" t="n">
        <v>42549</v>
      </c>
      <c r="B7867" s="534" t="n">
        <v>9.425000000000001</v>
      </c>
      <c r="C7867" s="534" t="n">
        <v>20172.46</v>
      </c>
    </row>
    <row r="7868">
      <c r="A7868" s="535" t="n">
        <v>42550</v>
      </c>
      <c r="B7868" s="534" t="n">
        <v>9.669</v>
      </c>
      <c r="C7868" s="534" t="n">
        <v>20436.12</v>
      </c>
    </row>
    <row r="7869">
      <c r="A7869" s="535" t="n">
        <v>42551</v>
      </c>
      <c r="B7869" s="534" t="n">
        <v>9.861000000000001</v>
      </c>
      <c r="C7869" s="534" t="n">
        <v>20794.37</v>
      </c>
    </row>
    <row r="7870">
      <c r="A7870" s="535" t="n">
        <v>42552</v>
      </c>
      <c r="B7870" s="534" t="n">
        <v>9.861000000000001</v>
      </c>
      <c r="C7870" s="534" t="n">
        <v>20794.37</v>
      </c>
    </row>
    <row r="7871">
      <c r="A7871" s="535" t="n">
        <v>42555</v>
      </c>
      <c r="B7871" s="534" t="n">
        <v>9.983000000000001</v>
      </c>
      <c r="C7871" s="534" t="n">
        <v>21059.2</v>
      </c>
    </row>
    <row r="7872">
      <c r="A7872" s="535" t="n">
        <v>42556</v>
      </c>
      <c r="B7872" s="534" t="n">
        <v>9.878</v>
      </c>
      <c r="C7872" s="534" t="n">
        <v>20750.72</v>
      </c>
    </row>
    <row r="7873">
      <c r="A7873" s="535" t="n">
        <v>42557</v>
      </c>
      <c r="B7873" s="534" t="n">
        <v>9.913</v>
      </c>
      <c r="C7873" s="534" t="n">
        <v>20495.29</v>
      </c>
    </row>
    <row r="7874">
      <c r="A7874" s="535" t="n">
        <v>42558</v>
      </c>
      <c r="B7874" s="534" t="n">
        <v>9.826000000000001</v>
      </c>
      <c r="C7874" s="534" t="n">
        <v>20706.92</v>
      </c>
    </row>
    <row r="7875">
      <c r="A7875" s="535" t="n">
        <v>42559</v>
      </c>
      <c r="B7875" s="534" t="n">
        <v>9.808999999999999</v>
      </c>
      <c r="C7875" s="534" t="n">
        <v>20564.17</v>
      </c>
    </row>
    <row r="7876">
      <c r="A7876" s="535" t="n">
        <v>42562</v>
      </c>
      <c r="B7876" s="534" t="n">
        <v>10.018</v>
      </c>
      <c r="C7876" s="534" t="n">
        <v>20880.5</v>
      </c>
    </row>
    <row r="7877">
      <c r="A7877" s="535" t="n">
        <v>42563</v>
      </c>
      <c r="B7877" s="534" t="n">
        <v>10.244</v>
      </c>
      <c r="C7877" s="534" t="n">
        <v>21224.74</v>
      </c>
    </row>
    <row r="7878">
      <c r="A7878" s="535" t="n">
        <v>42564</v>
      </c>
      <c r="B7878" s="534" t="n">
        <v>10.453</v>
      </c>
      <c r="C7878" s="534" t="n">
        <v>21322.37</v>
      </c>
    </row>
    <row r="7879">
      <c r="A7879" s="535" t="n">
        <v>42565</v>
      </c>
      <c r="B7879" s="534" t="n">
        <v>10.628</v>
      </c>
      <c r="C7879" s="534" t="n">
        <v>21561.06</v>
      </c>
    </row>
    <row r="7880">
      <c r="A7880" s="535" t="n">
        <v>42566</v>
      </c>
      <c r="B7880" s="534" t="n">
        <v>10.732</v>
      </c>
      <c r="C7880" s="534" t="n">
        <v>21659.25</v>
      </c>
    </row>
    <row r="7881">
      <c r="A7881" s="535" t="n">
        <v>42569</v>
      </c>
      <c r="B7881" s="534" t="n">
        <v>10.941</v>
      </c>
      <c r="C7881" s="534" t="n">
        <v>21803.18</v>
      </c>
    </row>
    <row r="7882">
      <c r="A7882" s="535" t="n">
        <v>42570</v>
      </c>
      <c r="B7882" s="534" t="n">
        <v>10.628</v>
      </c>
      <c r="C7882" s="534" t="n">
        <v>21673.2</v>
      </c>
    </row>
    <row r="7883">
      <c r="A7883" s="535" t="n">
        <v>42571</v>
      </c>
      <c r="B7883" s="534" t="n">
        <v>10.715</v>
      </c>
      <c r="C7883" s="534" t="n">
        <v>21882.48</v>
      </c>
    </row>
    <row r="7884">
      <c r="A7884" s="535" t="n">
        <v>42572</v>
      </c>
      <c r="B7884" s="534" t="n">
        <v>10.767</v>
      </c>
      <c r="C7884" s="534" t="n">
        <v>22000.49</v>
      </c>
    </row>
    <row r="7885">
      <c r="A7885" s="535" t="n">
        <v>42573</v>
      </c>
      <c r="B7885" s="534" t="n">
        <v>10.645</v>
      </c>
      <c r="C7885" s="534" t="n">
        <v>21964.27</v>
      </c>
    </row>
    <row r="7886">
      <c r="A7886" s="535" t="n">
        <v>42576</v>
      </c>
      <c r="B7886" s="534" t="n">
        <v>10.697</v>
      </c>
      <c r="C7886" s="534" t="n">
        <v>21993.44</v>
      </c>
    </row>
    <row r="7887">
      <c r="A7887" s="535" t="n">
        <v>42577</v>
      </c>
      <c r="B7887" s="534" t="n">
        <v>10.819</v>
      </c>
      <c r="C7887" s="534" t="n">
        <v>22129.73</v>
      </c>
    </row>
    <row r="7888">
      <c r="A7888" s="535" t="n">
        <v>42578</v>
      </c>
      <c r="B7888" s="534" t="n">
        <v>10.819</v>
      </c>
      <c r="C7888" s="534" t="n">
        <v>22218.99</v>
      </c>
    </row>
    <row r="7889">
      <c r="A7889" s="535" t="n">
        <v>42579</v>
      </c>
      <c r="B7889" s="534" t="n">
        <v>10.854</v>
      </c>
      <c r="C7889" s="534" t="n">
        <v>22174.34</v>
      </c>
    </row>
    <row r="7890">
      <c r="A7890" s="535" t="n">
        <v>42580</v>
      </c>
      <c r="B7890" s="534" t="n">
        <v>10.976</v>
      </c>
      <c r="C7890" s="534" t="n">
        <v>21891.37</v>
      </c>
    </row>
    <row r="7891">
      <c r="A7891" s="535" t="n">
        <v>42583</v>
      </c>
      <c r="B7891" s="534" t="n">
        <v>11.063</v>
      </c>
      <c r="C7891" s="534" t="n">
        <v>22129.14</v>
      </c>
    </row>
    <row r="7892">
      <c r="A7892" s="535" t="n">
        <v>42584</v>
      </c>
      <c r="B7892" s="534" t="n">
        <v>11.063</v>
      </c>
      <c r="C7892" s="534" t="n">
        <v>22129.14</v>
      </c>
    </row>
    <row r="7893">
      <c r="A7893" s="535" t="n">
        <v>42585</v>
      </c>
      <c r="B7893" s="534" t="n">
        <v>10.68</v>
      </c>
      <c r="C7893" s="534" t="n">
        <v>21739.12</v>
      </c>
    </row>
    <row r="7894">
      <c r="A7894" s="535" t="n">
        <v>42586</v>
      </c>
      <c r="B7894" s="534" t="n">
        <v>10.767</v>
      </c>
      <c r="C7894" s="534" t="n">
        <v>21832.23</v>
      </c>
    </row>
    <row r="7895">
      <c r="A7895" s="535" t="n">
        <v>42587</v>
      </c>
      <c r="B7895" s="534" t="n">
        <v>10.959</v>
      </c>
      <c r="C7895" s="534" t="n">
        <v>22146.09</v>
      </c>
    </row>
    <row r="7896">
      <c r="A7896" s="535" t="n">
        <v>42590</v>
      </c>
      <c r="B7896" s="534" t="n">
        <v>11.272</v>
      </c>
      <c r="C7896" s="534" t="n">
        <v>22494.76</v>
      </c>
    </row>
    <row r="7897">
      <c r="A7897" s="535" t="n">
        <v>42591</v>
      </c>
      <c r="B7897" s="534" t="n">
        <v>11.15</v>
      </c>
      <c r="C7897" s="534" t="n">
        <v>22465.61</v>
      </c>
    </row>
    <row r="7898">
      <c r="A7898" s="535" t="n">
        <v>42592</v>
      </c>
      <c r="B7898" s="534" t="n">
        <v>11.011</v>
      </c>
      <c r="C7898" s="534" t="n">
        <v>22492.43</v>
      </c>
    </row>
    <row r="7899">
      <c r="A7899" s="535" t="n">
        <v>42593</v>
      </c>
      <c r="B7899" s="534" t="n">
        <v>10.924</v>
      </c>
      <c r="C7899" s="534" t="n">
        <v>22580.55</v>
      </c>
    </row>
    <row r="7900">
      <c r="A7900" s="535" t="n">
        <v>42594</v>
      </c>
      <c r="B7900" s="534" t="n">
        <v>11.063</v>
      </c>
      <c r="C7900" s="534" t="n">
        <v>22766.91</v>
      </c>
    </row>
    <row r="7901">
      <c r="A7901" s="535" t="n">
        <v>42597</v>
      </c>
      <c r="B7901" s="534" t="n">
        <v>11.15</v>
      </c>
      <c r="C7901" s="534" t="n">
        <v>22932.51</v>
      </c>
    </row>
    <row r="7902">
      <c r="A7902" s="535" t="n">
        <v>42598</v>
      </c>
      <c r="B7902" s="534" t="n">
        <v>11.202</v>
      </c>
      <c r="C7902" s="534" t="n">
        <v>22910.84</v>
      </c>
    </row>
    <row r="7903">
      <c r="A7903" s="535" t="n">
        <v>42599</v>
      </c>
      <c r="B7903" s="534" t="n">
        <v>10.384</v>
      </c>
      <c r="C7903" s="534" t="n">
        <v>22799.78</v>
      </c>
    </row>
    <row r="7904">
      <c r="A7904" s="535" t="n">
        <v>42600</v>
      </c>
      <c r="B7904" s="534" t="n">
        <v>9.878</v>
      </c>
      <c r="C7904" s="534" t="n">
        <v>23023.16</v>
      </c>
    </row>
    <row r="7905">
      <c r="A7905" s="535" t="n">
        <v>42601</v>
      </c>
      <c r="B7905" s="534" t="n">
        <v>9.686999999999999</v>
      </c>
      <c r="C7905" s="534" t="n">
        <v>22937.22</v>
      </c>
    </row>
    <row r="7906">
      <c r="A7906" s="535" t="n">
        <v>42604</v>
      </c>
      <c r="B7906" s="534" t="n">
        <v>9.686999999999999</v>
      </c>
      <c r="C7906" s="534" t="n">
        <v>22997.91</v>
      </c>
    </row>
    <row r="7907">
      <c r="A7907" s="535" t="n">
        <v>42605</v>
      </c>
      <c r="B7907" s="534" t="n">
        <v>9.808999999999999</v>
      </c>
      <c r="C7907" s="534" t="n">
        <v>22998.93</v>
      </c>
    </row>
    <row r="7908">
      <c r="A7908" s="535" t="n">
        <v>42606</v>
      </c>
      <c r="B7908" s="534" t="n">
        <v>9.704000000000001</v>
      </c>
      <c r="C7908" s="534" t="n">
        <v>22820.78</v>
      </c>
    </row>
    <row r="7909">
      <c r="A7909" s="535" t="n">
        <v>42607</v>
      </c>
      <c r="B7909" s="534" t="n">
        <v>9.861000000000001</v>
      </c>
      <c r="C7909" s="534" t="n">
        <v>22814.95</v>
      </c>
    </row>
    <row r="7910">
      <c r="A7910" s="535" t="n">
        <v>42608</v>
      </c>
      <c r="B7910" s="534" t="n">
        <v>9.773999999999999</v>
      </c>
      <c r="C7910" s="534" t="n">
        <v>22909.54</v>
      </c>
    </row>
    <row r="7911">
      <c r="A7911" s="535" t="n">
        <v>42611</v>
      </c>
      <c r="B7911" s="534" t="n">
        <v>9.722</v>
      </c>
      <c r="C7911" s="534" t="n">
        <v>22821.34</v>
      </c>
    </row>
    <row r="7912">
      <c r="A7912" s="535" t="n">
        <v>42612</v>
      </c>
      <c r="B7912" s="534" t="n">
        <v>9.686999999999999</v>
      </c>
      <c r="C7912" s="534" t="n">
        <v>23016.11</v>
      </c>
    </row>
    <row r="7913">
      <c r="A7913" s="535" t="n">
        <v>42613</v>
      </c>
      <c r="B7913" s="534" t="n">
        <v>9.722</v>
      </c>
      <c r="C7913" s="534" t="n">
        <v>22976.88</v>
      </c>
    </row>
    <row r="7914">
      <c r="A7914" s="535" t="n">
        <v>42614</v>
      </c>
      <c r="B7914" s="534" t="n">
        <v>9.773999999999999</v>
      </c>
      <c r="C7914" s="534" t="n">
        <v>23162.34</v>
      </c>
    </row>
    <row r="7915">
      <c r="A7915" s="535" t="n">
        <v>42615</v>
      </c>
      <c r="B7915" s="534" t="n">
        <v>9.826000000000001</v>
      </c>
      <c r="C7915" s="534" t="n">
        <v>23266.7</v>
      </c>
    </row>
    <row r="7916">
      <c r="A7916" s="535" t="n">
        <v>42618</v>
      </c>
      <c r="B7916" s="534" t="n">
        <v>9.965999999999999</v>
      </c>
      <c r="C7916" s="534" t="n">
        <v>23649.55</v>
      </c>
    </row>
    <row r="7917">
      <c r="A7917" s="535" t="n">
        <v>42619</v>
      </c>
      <c r="B7917" s="534" t="n">
        <v>9.965999999999999</v>
      </c>
      <c r="C7917" s="534" t="n">
        <v>23787.68</v>
      </c>
    </row>
    <row r="7918">
      <c r="A7918" s="535" t="n">
        <v>42620</v>
      </c>
      <c r="B7918" s="534" t="n">
        <v>9.878</v>
      </c>
      <c r="C7918" s="534" t="n">
        <v>23741.81</v>
      </c>
    </row>
    <row r="7919">
      <c r="A7919" s="535" t="n">
        <v>42621</v>
      </c>
      <c r="B7919" s="534" t="n">
        <v>9.965999999999999</v>
      </c>
      <c r="C7919" s="534" t="n">
        <v>23919.34</v>
      </c>
    </row>
    <row r="7920">
      <c r="A7920" s="535" t="n">
        <v>42622</v>
      </c>
      <c r="B7920" s="534" t="n">
        <v>9.930999999999999</v>
      </c>
      <c r="C7920" s="534" t="n">
        <v>24099.7</v>
      </c>
    </row>
    <row r="7921">
      <c r="A7921" s="535" t="n">
        <v>42625</v>
      </c>
      <c r="B7921" s="534" t="n">
        <v>9.861000000000001</v>
      </c>
      <c r="C7921" s="534" t="n">
        <v>23290.6</v>
      </c>
    </row>
    <row r="7922">
      <c r="A7922" s="535" t="n">
        <v>42626</v>
      </c>
      <c r="B7922" s="534" t="n">
        <v>9.669</v>
      </c>
      <c r="C7922" s="534" t="n">
        <v>23215.76</v>
      </c>
    </row>
    <row r="7923">
      <c r="A7923" s="535" t="n">
        <v>42627</v>
      </c>
      <c r="B7923" s="534" t="n">
        <v>9.722</v>
      </c>
      <c r="C7923" s="534" t="n">
        <v>23190.64</v>
      </c>
    </row>
    <row r="7924">
      <c r="A7924" s="535" t="n">
        <v>42628</v>
      </c>
      <c r="B7924" s="534" t="n">
        <v>9.722</v>
      </c>
      <c r="C7924" s="534" t="n">
        <v>23335.59</v>
      </c>
    </row>
    <row r="7925">
      <c r="A7925" s="535" t="n">
        <v>42629</v>
      </c>
      <c r="B7925" s="534" t="n">
        <v>9.722</v>
      </c>
      <c r="C7925" s="534" t="n">
        <v>23335.59</v>
      </c>
    </row>
    <row r="7926">
      <c r="A7926" s="535" t="n">
        <v>42632</v>
      </c>
      <c r="B7926" s="534" t="n">
        <v>9.791</v>
      </c>
      <c r="C7926" s="534" t="n">
        <v>23550.45</v>
      </c>
    </row>
    <row r="7927">
      <c r="A7927" s="535" t="n">
        <v>42633</v>
      </c>
      <c r="B7927" s="534" t="n">
        <v>9.739000000000001</v>
      </c>
      <c r="C7927" s="534" t="n">
        <v>23530.86</v>
      </c>
    </row>
    <row r="7928">
      <c r="A7928" s="535" t="n">
        <v>42634</v>
      </c>
      <c r="B7928" s="534" t="n">
        <v>9.704000000000001</v>
      </c>
      <c r="C7928" s="534" t="n">
        <v>23669.9</v>
      </c>
    </row>
    <row r="7929">
      <c r="A7929" s="535" t="n">
        <v>42635</v>
      </c>
      <c r="B7929" s="534" t="n">
        <v>9.669</v>
      </c>
      <c r="C7929" s="534" t="n">
        <v>23759.8</v>
      </c>
    </row>
    <row r="7930">
      <c r="A7930" s="535" t="n">
        <v>42636</v>
      </c>
      <c r="B7930" s="534" t="n">
        <v>9.634</v>
      </c>
      <c r="C7930" s="534" t="n">
        <v>23686.48</v>
      </c>
    </row>
    <row r="7931">
      <c r="A7931" s="535" t="n">
        <v>42639</v>
      </c>
      <c r="B7931" s="534" t="n">
        <v>9.529999999999999</v>
      </c>
      <c r="C7931" s="534" t="n">
        <v>23317.92</v>
      </c>
    </row>
    <row r="7932">
      <c r="A7932" s="535" t="n">
        <v>42640</v>
      </c>
      <c r="B7932" s="534" t="n">
        <v>9.565</v>
      </c>
      <c r="C7932" s="534" t="n">
        <v>23571.9</v>
      </c>
    </row>
    <row r="7933">
      <c r="A7933" s="535" t="n">
        <v>42641</v>
      </c>
      <c r="B7933" s="534" t="n">
        <v>9.513</v>
      </c>
      <c r="C7933" s="534" t="n">
        <v>23619.65</v>
      </c>
    </row>
    <row r="7934">
      <c r="A7934" s="535" t="n">
        <v>42642</v>
      </c>
      <c r="B7934" s="534" t="n">
        <v>9.513</v>
      </c>
      <c r="C7934" s="534" t="n">
        <v>23739.47</v>
      </c>
    </row>
    <row r="7935">
      <c r="A7935" s="535" t="n">
        <v>42643</v>
      </c>
      <c r="B7935" s="534" t="n">
        <v>9.407999999999999</v>
      </c>
      <c r="C7935" s="534" t="n">
        <v>23297.15</v>
      </c>
    </row>
    <row r="7936">
      <c r="A7936" s="535" t="n">
        <v>42646</v>
      </c>
      <c r="B7936" s="534" t="n">
        <v>9.460000000000001</v>
      </c>
      <c r="C7936" s="534" t="n">
        <v>23584.43</v>
      </c>
    </row>
    <row r="7937">
      <c r="A7937" s="535" t="n">
        <v>42647</v>
      </c>
      <c r="B7937" s="534" t="n">
        <v>9.478</v>
      </c>
      <c r="C7937" s="534" t="n">
        <v>23689.44</v>
      </c>
    </row>
    <row r="7938">
      <c r="A7938" s="535" t="n">
        <v>42648</v>
      </c>
      <c r="B7938" s="534" t="n">
        <v>9.425000000000001</v>
      </c>
      <c r="C7938" s="534" t="n">
        <v>23788.31</v>
      </c>
    </row>
    <row r="7939">
      <c r="A7939" s="535" t="n">
        <v>42649</v>
      </c>
      <c r="B7939" s="534" t="n">
        <v>9.478</v>
      </c>
      <c r="C7939" s="534" t="n">
        <v>23952.5</v>
      </c>
    </row>
    <row r="7940">
      <c r="A7940" s="535" t="n">
        <v>42650</v>
      </c>
      <c r="B7940" s="534" t="n">
        <v>9.478</v>
      </c>
      <c r="C7940" s="534" t="n">
        <v>23851.82</v>
      </c>
    </row>
    <row r="7941">
      <c r="A7941" s="535" t="n">
        <v>42653</v>
      </c>
      <c r="B7941" s="534" t="n">
        <v>9.478</v>
      </c>
      <c r="C7941" s="534" t="n">
        <v>23851.82</v>
      </c>
    </row>
    <row r="7942">
      <c r="A7942" s="535" t="n">
        <v>42654</v>
      </c>
      <c r="B7942" s="534" t="n">
        <v>9.356</v>
      </c>
      <c r="C7942" s="534" t="n">
        <v>23549.52</v>
      </c>
    </row>
    <row r="7943">
      <c r="A7943" s="535" t="n">
        <v>42655</v>
      </c>
      <c r="B7943" s="534" t="n">
        <v>9.372999999999999</v>
      </c>
      <c r="C7943" s="534" t="n">
        <v>23407.05</v>
      </c>
    </row>
    <row r="7944">
      <c r="A7944" s="535" t="n">
        <v>42656</v>
      </c>
      <c r="B7944" s="534" t="n">
        <v>8.938000000000001</v>
      </c>
      <c r="C7944" s="534" t="n">
        <v>23031.3</v>
      </c>
    </row>
    <row r="7945">
      <c r="A7945" s="535" t="n">
        <v>42657</v>
      </c>
      <c r="B7945" s="534" t="n">
        <v>8.955</v>
      </c>
      <c r="C7945" s="534" t="n">
        <v>23233.31</v>
      </c>
    </row>
    <row r="7946">
      <c r="A7946" s="535" t="n">
        <v>42660</v>
      </c>
      <c r="B7946" s="534" t="n">
        <v>9.007</v>
      </c>
      <c r="C7946" s="534" t="n">
        <v>23037.54</v>
      </c>
    </row>
    <row r="7947">
      <c r="A7947" s="535" t="n">
        <v>42661</v>
      </c>
      <c r="B7947" s="534" t="n">
        <v>9.093999999999999</v>
      </c>
      <c r="C7947" s="534" t="n">
        <v>23394.39</v>
      </c>
    </row>
    <row r="7948">
      <c r="A7948" s="535" t="n">
        <v>42662</v>
      </c>
      <c r="B7948" s="534" t="n">
        <v>9.147</v>
      </c>
      <c r="C7948" s="534" t="n">
        <v>23304.97</v>
      </c>
    </row>
    <row r="7949">
      <c r="A7949" s="535" t="n">
        <v>42663</v>
      </c>
      <c r="B7949" s="534" t="n">
        <v>9.129</v>
      </c>
      <c r="C7949" s="534" t="n">
        <v>23374.4</v>
      </c>
    </row>
    <row r="7950">
      <c r="A7950" s="535" t="n">
        <v>42664</v>
      </c>
      <c r="B7950" s="534" t="n">
        <v>9.129</v>
      </c>
      <c r="C7950" s="534" t="n">
        <v>23374.4</v>
      </c>
    </row>
    <row r="7951">
      <c r="A7951" s="535" t="n">
        <v>42667</v>
      </c>
      <c r="B7951" s="534" t="n">
        <v>9.182</v>
      </c>
      <c r="C7951" s="534" t="n">
        <v>23604.08</v>
      </c>
    </row>
    <row r="7952">
      <c r="A7952" s="535" t="n">
        <v>42668</v>
      </c>
      <c r="B7952" s="534" t="n">
        <v>9.147</v>
      </c>
      <c r="C7952" s="534" t="n">
        <v>23565.11</v>
      </c>
    </row>
    <row r="7953">
      <c r="A7953" s="535" t="n">
        <v>42669</v>
      </c>
      <c r="B7953" s="534" t="n">
        <v>9.06</v>
      </c>
      <c r="C7953" s="534" t="n">
        <v>23325.43</v>
      </c>
    </row>
    <row r="7954">
      <c r="A7954" s="535" t="n">
        <v>42670</v>
      </c>
      <c r="B7954" s="534" t="n">
        <v>8.885</v>
      </c>
      <c r="C7954" s="534" t="n">
        <v>23132.35</v>
      </c>
    </row>
    <row r="7955">
      <c r="A7955" s="535" t="n">
        <v>42671</v>
      </c>
      <c r="B7955" s="534" t="n">
        <v>8.763</v>
      </c>
      <c r="C7955" s="534" t="n">
        <v>22954.81</v>
      </c>
    </row>
    <row r="7956">
      <c r="A7956" s="535" t="n">
        <v>42674</v>
      </c>
      <c r="B7956" s="534" t="n">
        <v>8.903</v>
      </c>
      <c r="C7956" s="534" t="n">
        <v>22934.54</v>
      </c>
    </row>
    <row r="7957">
      <c r="A7957" s="535" t="n">
        <v>42675</v>
      </c>
      <c r="B7957" s="534" t="n">
        <v>9.025</v>
      </c>
      <c r="C7957" s="534" t="n">
        <v>23147.07</v>
      </c>
    </row>
    <row r="7958">
      <c r="A7958" s="535" t="n">
        <v>42676</v>
      </c>
      <c r="B7958" s="534" t="n">
        <v>8.903</v>
      </c>
      <c r="C7958" s="534" t="n">
        <v>22810.5</v>
      </c>
    </row>
    <row r="7959">
      <c r="A7959" s="535" t="n">
        <v>42677</v>
      </c>
      <c r="B7959" s="534" t="n">
        <v>8.903</v>
      </c>
      <c r="C7959" s="534" t="n">
        <v>22683.51</v>
      </c>
    </row>
    <row r="7960">
      <c r="A7960" s="535" t="n">
        <v>42678</v>
      </c>
      <c r="B7960" s="534" t="n">
        <v>8.972</v>
      </c>
      <c r="C7960" s="534" t="n">
        <v>22642.62</v>
      </c>
    </row>
    <row r="7961">
      <c r="A7961" s="535" t="n">
        <v>42681</v>
      </c>
      <c r="B7961" s="534" t="n">
        <v>9.164</v>
      </c>
      <c r="C7961" s="534" t="n">
        <v>22801.4</v>
      </c>
    </row>
    <row r="7962">
      <c r="A7962" s="535" t="n">
        <v>42682</v>
      </c>
      <c r="B7962" s="534" t="n">
        <v>9.129</v>
      </c>
      <c r="C7962" s="534" t="n">
        <v>22909.47</v>
      </c>
    </row>
    <row r="7963">
      <c r="A7963" s="535" t="n">
        <v>42683</v>
      </c>
      <c r="B7963" s="534" t="n">
        <v>9.06</v>
      </c>
      <c r="C7963" s="534" t="n">
        <v>22415.19</v>
      </c>
    </row>
    <row r="7964">
      <c r="A7964" s="535" t="n">
        <v>42684</v>
      </c>
      <c r="B7964" s="534" t="n">
        <v>9.164</v>
      </c>
      <c r="C7964" s="534" t="n">
        <v>22839.11</v>
      </c>
    </row>
    <row r="7965">
      <c r="A7965" s="535" t="n">
        <v>42685</v>
      </c>
      <c r="B7965" s="534" t="n">
        <v>9.112</v>
      </c>
      <c r="C7965" s="534" t="n">
        <v>22531.09</v>
      </c>
    </row>
    <row r="7966">
      <c r="A7966" s="535" t="n">
        <v>42688</v>
      </c>
      <c r="B7966" s="534" t="n">
        <v>9.077</v>
      </c>
      <c r="C7966" s="534" t="n">
        <v>22222.22</v>
      </c>
    </row>
    <row r="7967">
      <c r="A7967" s="535" t="n">
        <v>42689</v>
      </c>
      <c r="B7967" s="534" t="n">
        <v>9.147</v>
      </c>
      <c r="C7967" s="534" t="n">
        <v>22323.91</v>
      </c>
    </row>
    <row r="7968">
      <c r="A7968" s="535" t="n">
        <v>42690</v>
      </c>
      <c r="B7968" s="534" t="n">
        <v>9.164</v>
      </c>
      <c r="C7968" s="534" t="n">
        <v>22280.53</v>
      </c>
    </row>
    <row r="7969">
      <c r="A7969" s="535" t="n">
        <v>42691</v>
      </c>
      <c r="B7969" s="534" t="n">
        <v>9.164</v>
      </c>
      <c r="C7969" s="534" t="n">
        <v>22262.88</v>
      </c>
    </row>
    <row r="7970">
      <c r="A7970" s="535" t="n">
        <v>42692</v>
      </c>
      <c r="B7970" s="534" t="n">
        <v>9.164</v>
      </c>
      <c r="C7970" s="534" t="n">
        <v>22344.21</v>
      </c>
    </row>
    <row r="7971">
      <c r="A7971" s="535" t="n">
        <v>42695</v>
      </c>
      <c r="B7971" s="534" t="n">
        <v>9.164</v>
      </c>
      <c r="C7971" s="534" t="n">
        <v>22357.78</v>
      </c>
    </row>
    <row r="7972">
      <c r="A7972" s="535" t="n">
        <v>42696</v>
      </c>
      <c r="B7972" s="534" t="n">
        <v>9.215999999999999</v>
      </c>
      <c r="C7972" s="534" t="n">
        <v>22678.07</v>
      </c>
    </row>
    <row r="7973">
      <c r="A7973" s="535" t="n">
        <v>42697</v>
      </c>
      <c r="B7973" s="534" t="n">
        <v>9.182</v>
      </c>
      <c r="C7973" s="534" t="n">
        <v>22676.69</v>
      </c>
    </row>
    <row r="7974">
      <c r="A7974" s="535" t="n">
        <v>42698</v>
      </c>
      <c r="B7974" s="534" t="n">
        <v>9.147</v>
      </c>
      <c r="C7974" s="534" t="n">
        <v>22608.49</v>
      </c>
    </row>
    <row r="7975">
      <c r="A7975" s="535" t="n">
        <v>42699</v>
      </c>
      <c r="B7975" s="534" t="n">
        <v>9.147</v>
      </c>
      <c r="C7975" s="534" t="n">
        <v>22723.45</v>
      </c>
    </row>
    <row r="7976">
      <c r="A7976" s="535" t="n">
        <v>42702</v>
      </c>
      <c r="B7976" s="534" t="n">
        <v>9.129</v>
      </c>
      <c r="C7976" s="534" t="n">
        <v>22830.57</v>
      </c>
    </row>
    <row r="7977">
      <c r="A7977" s="535" t="n">
        <v>42703</v>
      </c>
      <c r="B7977" s="534" t="n">
        <v>9.077</v>
      </c>
      <c r="C7977" s="534" t="n">
        <v>22737.07</v>
      </c>
    </row>
    <row r="7978">
      <c r="A7978" s="535" t="n">
        <v>42704</v>
      </c>
      <c r="B7978" s="534" t="n">
        <v>9.147</v>
      </c>
      <c r="C7978" s="534" t="n">
        <v>22789.77</v>
      </c>
    </row>
    <row r="7979">
      <c r="A7979" s="535" t="n">
        <v>42705</v>
      </c>
      <c r="B7979" s="534" t="n">
        <v>9.129</v>
      </c>
      <c r="C7979" s="534" t="n">
        <v>22878.23</v>
      </c>
    </row>
    <row r="7980">
      <c r="A7980" s="535" t="n">
        <v>42706</v>
      </c>
      <c r="B7980" s="534" t="n">
        <v>9.042</v>
      </c>
      <c r="C7980" s="534" t="n">
        <v>22564.82</v>
      </c>
    </row>
    <row r="7981">
      <c r="A7981" s="535" t="n">
        <v>42709</v>
      </c>
      <c r="B7981" s="534" t="n">
        <v>9.093999999999999</v>
      </c>
      <c r="C7981" s="534" t="n">
        <v>22505.55</v>
      </c>
    </row>
    <row r="7982">
      <c r="A7982" s="535" t="n">
        <v>42710</v>
      </c>
      <c r="B7982" s="534" t="n">
        <v>9.025</v>
      </c>
      <c r="C7982" s="534" t="n">
        <v>22675.15</v>
      </c>
    </row>
    <row r="7983">
      <c r="A7983" s="535" t="n">
        <v>42711</v>
      </c>
      <c r="B7983" s="534" t="n">
        <v>9.042</v>
      </c>
      <c r="C7983" s="534" t="n">
        <v>22800.92</v>
      </c>
    </row>
    <row r="7984">
      <c r="A7984" s="535" t="n">
        <v>42712</v>
      </c>
      <c r="B7984" s="534" t="n">
        <v>9.06</v>
      </c>
      <c r="C7984" s="534" t="n">
        <v>22861.84</v>
      </c>
    </row>
    <row r="7985">
      <c r="A7985" s="535" t="n">
        <v>42713</v>
      </c>
      <c r="B7985" s="534" t="n">
        <v>9.077</v>
      </c>
      <c r="C7985" s="534" t="n">
        <v>22760.98</v>
      </c>
    </row>
    <row r="7986">
      <c r="A7986" s="535" t="n">
        <v>42716</v>
      </c>
      <c r="B7986" s="534" t="n">
        <v>8.92</v>
      </c>
      <c r="C7986" s="534" t="n">
        <v>22433.02</v>
      </c>
    </row>
    <row r="7987">
      <c r="A7987" s="535" t="n">
        <v>42717</v>
      </c>
      <c r="B7987" s="534" t="n">
        <v>8.92</v>
      </c>
      <c r="C7987" s="534" t="n">
        <v>22446.7</v>
      </c>
    </row>
    <row r="7988">
      <c r="A7988" s="535" t="n">
        <v>42718</v>
      </c>
      <c r="B7988" s="534" t="n">
        <v>8.85</v>
      </c>
      <c r="C7988" s="534" t="n">
        <v>22456.62</v>
      </c>
    </row>
    <row r="7989">
      <c r="A7989" s="535" t="n">
        <v>42719</v>
      </c>
      <c r="B7989" s="534" t="n">
        <v>8.816000000000001</v>
      </c>
      <c r="C7989" s="534" t="n">
        <v>22059.4</v>
      </c>
    </row>
    <row r="7990">
      <c r="A7990" s="535" t="n">
        <v>42720</v>
      </c>
      <c r="B7990" s="534" t="n">
        <v>8.868</v>
      </c>
      <c r="C7990" s="534" t="n">
        <v>22020.75</v>
      </c>
    </row>
    <row r="7991">
      <c r="A7991" s="535" t="n">
        <v>42723</v>
      </c>
      <c r="B7991" s="534" t="n">
        <v>8.85</v>
      </c>
      <c r="C7991" s="534" t="n">
        <v>21832.68</v>
      </c>
    </row>
    <row r="7992">
      <c r="A7992" s="535" t="n">
        <v>42724</v>
      </c>
      <c r="B7992" s="534" t="n">
        <v>8.816000000000001</v>
      </c>
      <c r="C7992" s="534" t="n">
        <v>21729.06</v>
      </c>
    </row>
    <row r="7993">
      <c r="A7993" s="535" t="n">
        <v>42725</v>
      </c>
      <c r="B7993" s="534" t="n">
        <v>8.938000000000001</v>
      </c>
      <c r="C7993" s="534" t="n">
        <v>21809.8</v>
      </c>
    </row>
    <row r="7994">
      <c r="A7994" s="535" t="n">
        <v>42726</v>
      </c>
      <c r="B7994" s="534" t="n">
        <v>8.92</v>
      </c>
      <c r="C7994" s="534" t="n">
        <v>21636.2</v>
      </c>
    </row>
    <row r="7995">
      <c r="A7995" s="535" t="n">
        <v>42727</v>
      </c>
      <c r="B7995" s="534" t="n">
        <v>8.903</v>
      </c>
      <c r="C7995" s="534" t="n">
        <v>21574.76</v>
      </c>
    </row>
    <row r="7996">
      <c r="A7996" s="535" t="n">
        <v>42730</v>
      </c>
      <c r="B7996" s="534" t="n">
        <v>8.903</v>
      </c>
      <c r="C7996" s="534" t="n">
        <v>21574.76</v>
      </c>
    </row>
    <row r="7997">
      <c r="A7997" s="535" t="n">
        <v>42731</v>
      </c>
      <c r="B7997" s="534" t="n">
        <v>8.903</v>
      </c>
      <c r="C7997" s="534" t="n">
        <v>21574.76</v>
      </c>
    </row>
    <row r="7998">
      <c r="A7998" s="535" t="n">
        <v>42732</v>
      </c>
      <c r="B7998" s="534" t="n">
        <v>8.885</v>
      </c>
      <c r="C7998" s="534" t="n">
        <v>21754.74</v>
      </c>
    </row>
    <row r="7999">
      <c r="A7999" s="535" t="n">
        <v>42733</v>
      </c>
      <c r="B7999" s="534" t="n">
        <v>8.85</v>
      </c>
      <c r="C7999" s="534" t="n">
        <v>21790.91</v>
      </c>
    </row>
    <row r="8000">
      <c r="A8000" s="535" t="n">
        <v>42734</v>
      </c>
      <c r="B8000" s="534" t="n">
        <v>8.885</v>
      </c>
      <c r="C8000" s="534" t="n">
        <v>22000.56</v>
      </c>
    </row>
    <row r="8001">
      <c r="A8001" s="535" t="n">
        <v>42737</v>
      </c>
      <c r="B8001" s="534" t="n">
        <v>8.885</v>
      </c>
      <c r="C8001" s="534" t="n">
        <v>22000.56</v>
      </c>
    </row>
    <row r="8002">
      <c r="A8002" s="535" t="n">
        <v>42738</v>
      </c>
      <c r="B8002" s="534" t="n">
        <v>9.06</v>
      </c>
      <c r="C8002" s="534" t="n">
        <v>22150.4</v>
      </c>
    </row>
    <row r="8003">
      <c r="A8003" s="535" t="n">
        <v>42739</v>
      </c>
      <c r="B8003" s="534" t="n">
        <v>9.164</v>
      </c>
      <c r="C8003" s="534" t="n">
        <v>22134.47</v>
      </c>
    </row>
    <row r="8004">
      <c r="A8004" s="535" t="n">
        <v>42740</v>
      </c>
      <c r="B8004" s="534" t="n">
        <v>9.182</v>
      </c>
      <c r="C8004" s="534" t="n">
        <v>22456.69</v>
      </c>
    </row>
    <row r="8005">
      <c r="A8005" s="535" t="n">
        <v>42741</v>
      </c>
      <c r="B8005" s="534" t="n">
        <v>9.112</v>
      </c>
      <c r="C8005" s="534" t="n">
        <v>22503.01</v>
      </c>
    </row>
    <row r="8006">
      <c r="A8006" s="535" t="n">
        <v>42744</v>
      </c>
      <c r="B8006" s="534" t="n">
        <v>9.182</v>
      </c>
      <c r="C8006" s="534" t="n">
        <v>22558.69</v>
      </c>
    </row>
    <row r="8007">
      <c r="A8007" s="535" t="n">
        <v>42745</v>
      </c>
      <c r="B8007" s="534" t="n">
        <v>9.199</v>
      </c>
      <c r="C8007" s="534" t="n">
        <v>22744.85</v>
      </c>
    </row>
    <row r="8008">
      <c r="A8008" s="535" t="n">
        <v>42746</v>
      </c>
      <c r="B8008" s="534" t="n">
        <v>9.182</v>
      </c>
      <c r="C8008" s="534" t="n">
        <v>22935.35</v>
      </c>
    </row>
    <row r="8009">
      <c r="A8009" s="535" t="n">
        <v>42747</v>
      </c>
      <c r="B8009" s="534" t="n">
        <v>9.182</v>
      </c>
      <c r="C8009" s="534" t="n">
        <v>22829.02</v>
      </c>
    </row>
    <row r="8010">
      <c r="A8010" s="535" t="n">
        <v>42748</v>
      </c>
      <c r="B8010" s="534" t="n">
        <v>9.182</v>
      </c>
      <c r="C8010" s="534" t="n">
        <v>22937.38</v>
      </c>
    </row>
    <row r="8011">
      <c r="A8011" s="535" t="n">
        <v>42751</v>
      </c>
      <c r="B8011" s="534" t="n">
        <v>9.460000000000001</v>
      </c>
      <c r="C8011" s="534" t="n">
        <v>22718.15</v>
      </c>
    </row>
    <row r="8012">
      <c r="A8012" s="535" t="n">
        <v>42752</v>
      </c>
      <c r="B8012" s="534" t="n">
        <v>9.617000000000001</v>
      </c>
      <c r="C8012" s="534" t="n">
        <v>22840.97</v>
      </c>
    </row>
    <row r="8013">
      <c r="A8013" s="535" t="n">
        <v>42753</v>
      </c>
      <c r="B8013" s="534" t="n">
        <v>9.425000000000001</v>
      </c>
      <c r="C8013" s="534" t="n">
        <v>23098.26</v>
      </c>
    </row>
    <row r="8014">
      <c r="A8014" s="535" t="n">
        <v>42754</v>
      </c>
      <c r="B8014" s="534" t="n">
        <v>9.06</v>
      </c>
      <c r="C8014" s="534" t="n">
        <v>23049.96</v>
      </c>
    </row>
    <row r="8015">
      <c r="A8015" s="535" t="n">
        <v>42755</v>
      </c>
      <c r="B8015" s="534" t="n">
        <v>9.129</v>
      </c>
      <c r="C8015" s="534" t="n">
        <v>22885.91</v>
      </c>
    </row>
    <row r="8016">
      <c r="A8016" s="535" t="n">
        <v>42758</v>
      </c>
      <c r="B8016" s="534" t="n">
        <v>9.06</v>
      </c>
      <c r="C8016" s="534" t="n">
        <v>22898.52</v>
      </c>
    </row>
    <row r="8017">
      <c r="A8017" s="535" t="n">
        <v>42759</v>
      </c>
      <c r="B8017" s="534" t="n">
        <v>9.112</v>
      </c>
      <c r="C8017" s="534" t="n">
        <v>22949.86</v>
      </c>
    </row>
    <row r="8018">
      <c r="A8018" s="535" t="n">
        <v>42760</v>
      </c>
      <c r="B8018" s="534" t="n">
        <v>9.129</v>
      </c>
      <c r="C8018" s="534" t="n">
        <v>23049.12</v>
      </c>
    </row>
    <row r="8019">
      <c r="A8019" s="535" t="n">
        <v>42761</v>
      </c>
      <c r="B8019" s="534" t="n">
        <v>9.077</v>
      </c>
      <c r="C8019" s="534" t="n">
        <v>23374.17</v>
      </c>
    </row>
    <row r="8020">
      <c r="A8020" s="535" t="n">
        <v>42762</v>
      </c>
      <c r="B8020" s="534" t="n">
        <v>9.182</v>
      </c>
      <c r="C8020" s="534" t="n">
        <v>23360.78</v>
      </c>
    </row>
    <row r="8021">
      <c r="A8021" s="535" t="n">
        <v>42765</v>
      </c>
      <c r="B8021" s="534" t="n">
        <v>9.182</v>
      </c>
      <c r="C8021" s="534" t="n">
        <v>23360.78</v>
      </c>
    </row>
    <row r="8022">
      <c r="A8022" s="535" t="n">
        <v>42766</v>
      </c>
      <c r="B8022" s="534" t="n">
        <v>9.182</v>
      </c>
      <c r="C8022" s="534" t="n">
        <v>23360.78</v>
      </c>
    </row>
    <row r="8023">
      <c r="A8023" s="535" t="n">
        <v>42767</v>
      </c>
      <c r="B8023" s="534" t="n">
        <v>9.147</v>
      </c>
      <c r="C8023" s="534" t="n">
        <v>23318.39</v>
      </c>
    </row>
    <row r="8024">
      <c r="A8024" s="535" t="n">
        <v>42768</v>
      </c>
      <c r="B8024" s="534" t="n">
        <v>9.093999999999999</v>
      </c>
      <c r="C8024" s="534" t="n">
        <v>23184.52</v>
      </c>
    </row>
    <row r="8025">
      <c r="A8025" s="535" t="n">
        <v>42769</v>
      </c>
      <c r="B8025" s="534" t="n">
        <v>9.129</v>
      </c>
      <c r="C8025" s="534" t="n">
        <v>23129.21</v>
      </c>
    </row>
    <row r="8026">
      <c r="A8026" s="535" t="n">
        <v>42772</v>
      </c>
      <c r="B8026" s="534" t="n">
        <v>9.112</v>
      </c>
      <c r="C8026" s="534" t="n">
        <v>23348.24</v>
      </c>
    </row>
    <row r="8027">
      <c r="A8027" s="535" t="n">
        <v>42773</v>
      </c>
      <c r="B8027" s="534" t="n">
        <v>9.372999999999999</v>
      </c>
      <c r="C8027" s="534" t="n">
        <v>23331.57</v>
      </c>
    </row>
    <row r="8028">
      <c r="A8028" s="535" t="n">
        <v>42774</v>
      </c>
      <c r="B8028" s="534" t="n">
        <v>9.669</v>
      </c>
      <c r="C8028" s="534" t="n">
        <v>23485.13</v>
      </c>
    </row>
    <row r="8029">
      <c r="A8029" s="535" t="n">
        <v>42775</v>
      </c>
      <c r="B8029" s="534" t="n">
        <v>9.6</v>
      </c>
      <c r="C8029" s="534" t="n">
        <v>23525.14</v>
      </c>
    </row>
    <row r="8030">
      <c r="A8030" s="535" t="n">
        <v>42776</v>
      </c>
      <c r="B8030" s="534" t="n">
        <v>9.756</v>
      </c>
      <c r="C8030" s="534" t="n">
        <v>23574.98</v>
      </c>
    </row>
    <row r="8031">
      <c r="A8031" s="535" t="n">
        <v>42779</v>
      </c>
      <c r="B8031" s="534" t="n">
        <v>9.722</v>
      </c>
      <c r="C8031" s="534" t="n">
        <v>23710.98</v>
      </c>
    </row>
    <row r="8032">
      <c r="A8032" s="535" t="n">
        <v>42780</v>
      </c>
      <c r="B8032" s="534" t="n">
        <v>9.722</v>
      </c>
      <c r="C8032" s="534" t="n">
        <v>23703.01</v>
      </c>
    </row>
    <row r="8033">
      <c r="A8033" s="535" t="n">
        <v>42781</v>
      </c>
      <c r="B8033" s="534" t="n">
        <v>9.617000000000001</v>
      </c>
      <c r="C8033" s="534" t="n">
        <v>23994.87</v>
      </c>
    </row>
    <row r="8034">
      <c r="A8034" s="535" t="n">
        <v>42782</v>
      </c>
      <c r="B8034" s="534" t="n">
        <v>9.634</v>
      </c>
      <c r="C8034" s="534" t="n">
        <v>24107.7</v>
      </c>
    </row>
    <row r="8035">
      <c r="A8035" s="535" t="n">
        <v>42783</v>
      </c>
      <c r="B8035" s="534" t="n">
        <v>9.704000000000001</v>
      </c>
      <c r="C8035" s="534" t="n">
        <v>24033.74</v>
      </c>
    </row>
    <row r="8036">
      <c r="A8036" s="535" t="n">
        <v>42786</v>
      </c>
      <c r="B8036" s="534" t="n">
        <v>9.739000000000001</v>
      </c>
      <c r="C8036" s="534" t="n">
        <v>24146.08</v>
      </c>
    </row>
    <row r="8037">
      <c r="A8037" s="535" t="n">
        <v>42787</v>
      </c>
      <c r="B8037" s="534" t="n">
        <v>9.861000000000001</v>
      </c>
      <c r="C8037" s="534" t="n">
        <v>23963.63</v>
      </c>
    </row>
    <row r="8038">
      <c r="A8038" s="535" t="n">
        <v>42788</v>
      </c>
      <c r="B8038" s="534" t="n">
        <v>9.843999999999999</v>
      </c>
      <c r="C8038" s="534" t="n">
        <v>24201.96</v>
      </c>
    </row>
    <row r="8039">
      <c r="A8039" s="535" t="n">
        <v>42789</v>
      </c>
      <c r="B8039" s="534" t="n">
        <v>9.930999999999999</v>
      </c>
      <c r="C8039" s="534" t="n">
        <v>24114.86</v>
      </c>
    </row>
    <row r="8040">
      <c r="A8040" s="535" t="n">
        <v>42790</v>
      </c>
      <c r="B8040" s="534" t="n">
        <v>9.948</v>
      </c>
      <c r="C8040" s="534" t="n">
        <v>23965.7</v>
      </c>
    </row>
    <row r="8041">
      <c r="A8041" s="535" t="n">
        <v>42793</v>
      </c>
      <c r="B8041" s="534" t="n">
        <v>9.878</v>
      </c>
      <c r="C8041" s="534" t="n">
        <v>23925.05</v>
      </c>
    </row>
    <row r="8042">
      <c r="A8042" s="535" t="n">
        <v>42794</v>
      </c>
      <c r="B8042" s="534" t="n">
        <v>9.930999999999999</v>
      </c>
      <c r="C8042" s="534" t="n">
        <v>23740.73</v>
      </c>
    </row>
    <row r="8043">
      <c r="A8043" s="535" t="n">
        <v>42795</v>
      </c>
      <c r="B8043" s="534" t="n">
        <v>9.878</v>
      </c>
      <c r="C8043" s="534" t="n">
        <v>23776.49</v>
      </c>
    </row>
    <row r="8044">
      <c r="A8044" s="535" t="n">
        <v>42796</v>
      </c>
      <c r="B8044" s="534" t="n">
        <v>9.948</v>
      </c>
      <c r="C8044" s="534" t="n">
        <v>23728.07</v>
      </c>
    </row>
    <row r="8045">
      <c r="A8045" s="535" t="n">
        <v>42797</v>
      </c>
      <c r="B8045" s="534" t="n">
        <v>9.878</v>
      </c>
      <c r="C8045" s="534" t="n">
        <v>23552.72</v>
      </c>
    </row>
    <row r="8046">
      <c r="A8046" s="535" t="n">
        <v>42800</v>
      </c>
      <c r="B8046" s="534" t="n">
        <v>10.279</v>
      </c>
      <c r="C8046" s="534" t="n">
        <v>23596.28</v>
      </c>
    </row>
    <row r="8047">
      <c r="A8047" s="535" t="n">
        <v>42801</v>
      </c>
      <c r="B8047" s="534" t="n">
        <v>10.418</v>
      </c>
      <c r="C8047" s="534" t="n">
        <v>23681.07</v>
      </c>
    </row>
    <row r="8048">
      <c r="A8048" s="535" t="n">
        <v>42802</v>
      </c>
      <c r="B8048" s="534" t="n">
        <v>10.262</v>
      </c>
      <c r="C8048" s="534" t="n">
        <v>23782.27</v>
      </c>
    </row>
    <row r="8049">
      <c r="A8049" s="535" t="n">
        <v>42803</v>
      </c>
      <c r="B8049" s="534" t="n">
        <v>10.087</v>
      </c>
      <c r="C8049" s="534" t="n">
        <v>23501.56</v>
      </c>
    </row>
    <row r="8050">
      <c r="A8050" s="535" t="n">
        <v>42804</v>
      </c>
      <c r="B8050" s="534" t="n">
        <v>10.018</v>
      </c>
      <c r="C8050" s="534" t="n">
        <v>23568.67</v>
      </c>
    </row>
    <row r="8051">
      <c r="A8051" s="535" t="n">
        <v>42807</v>
      </c>
      <c r="B8051" s="534" t="n">
        <v>10.018</v>
      </c>
      <c r="C8051" s="534" t="n">
        <v>23829.67</v>
      </c>
    </row>
    <row r="8052">
      <c r="A8052" s="535" t="n">
        <v>42808</v>
      </c>
      <c r="B8052" s="534" t="n">
        <v>10.105</v>
      </c>
      <c r="C8052" s="534" t="n">
        <v>23827.95</v>
      </c>
    </row>
    <row r="8053">
      <c r="A8053" s="535" t="n">
        <v>42809</v>
      </c>
      <c r="B8053" s="534" t="n">
        <v>9.965999999999999</v>
      </c>
      <c r="C8053" s="534" t="n">
        <v>23792.85</v>
      </c>
    </row>
    <row r="8054">
      <c r="A8054" s="535" t="n">
        <v>42810</v>
      </c>
      <c r="B8054" s="534" t="n">
        <v>9.686999999999999</v>
      </c>
      <c r="C8054" s="534" t="n">
        <v>24288.28</v>
      </c>
    </row>
    <row r="8055">
      <c r="A8055" s="535" t="n">
        <v>42811</v>
      </c>
      <c r="B8055" s="534" t="n">
        <v>9.826000000000001</v>
      </c>
      <c r="C8055" s="534" t="n">
        <v>24309.93</v>
      </c>
    </row>
    <row r="8056">
      <c r="A8056" s="535" t="n">
        <v>42814</v>
      </c>
      <c r="B8056" s="534" t="n">
        <v>9.756</v>
      </c>
      <c r="C8056" s="534" t="n">
        <v>24501.99</v>
      </c>
    </row>
    <row r="8057">
      <c r="A8057" s="535" t="n">
        <v>42815</v>
      </c>
      <c r="B8057" s="534" t="n">
        <v>9.896000000000001</v>
      </c>
      <c r="C8057" s="534" t="n">
        <v>24593.12</v>
      </c>
    </row>
    <row r="8058">
      <c r="A8058" s="535" t="n">
        <v>42816</v>
      </c>
      <c r="B8058" s="534" t="n">
        <v>9.6</v>
      </c>
      <c r="C8058" s="534" t="n">
        <v>24320.41</v>
      </c>
    </row>
    <row r="8059">
      <c r="A8059" s="535" t="n">
        <v>42817</v>
      </c>
      <c r="B8059" s="534" t="n">
        <v>9.582000000000001</v>
      </c>
      <c r="C8059" s="534" t="n">
        <v>24327.7</v>
      </c>
    </row>
    <row r="8060">
      <c r="A8060" s="535" t="n">
        <v>42818</v>
      </c>
      <c r="B8060" s="534" t="n">
        <v>9.826000000000001</v>
      </c>
      <c r="C8060" s="534" t="n">
        <v>24358.27</v>
      </c>
    </row>
    <row r="8061">
      <c r="A8061" s="535" t="n">
        <v>42821</v>
      </c>
      <c r="B8061" s="534" t="n">
        <v>9.739000000000001</v>
      </c>
      <c r="C8061" s="534" t="n">
        <v>24193.7</v>
      </c>
    </row>
    <row r="8062">
      <c r="A8062" s="535" t="n">
        <v>42822</v>
      </c>
      <c r="B8062" s="534" t="n">
        <v>9.756</v>
      </c>
      <c r="C8062" s="534" t="n">
        <v>24345.87</v>
      </c>
    </row>
    <row r="8063">
      <c r="A8063" s="535" t="n">
        <v>42823</v>
      </c>
      <c r="B8063" s="534" t="n">
        <v>9.843999999999999</v>
      </c>
      <c r="C8063" s="534" t="n">
        <v>24392.05</v>
      </c>
    </row>
    <row r="8064">
      <c r="A8064" s="535" t="n">
        <v>42824</v>
      </c>
      <c r="B8064" s="534" t="n">
        <v>9.791</v>
      </c>
      <c r="C8064" s="534" t="n">
        <v>24301.09</v>
      </c>
    </row>
    <row r="8065">
      <c r="A8065" s="535" t="n">
        <v>42825</v>
      </c>
      <c r="B8065" s="534" t="n">
        <v>9.826000000000001</v>
      </c>
      <c r="C8065" s="534" t="n">
        <v>24111.59</v>
      </c>
    </row>
    <row r="8066">
      <c r="A8066" s="535" t="n">
        <v>42828</v>
      </c>
      <c r="B8066" s="534" t="n">
        <v>9.896000000000001</v>
      </c>
      <c r="C8066" s="534" t="n">
        <v>24261.48</v>
      </c>
    </row>
    <row r="8067">
      <c r="A8067" s="535" t="n">
        <v>42829</v>
      </c>
      <c r="B8067" s="534" t="n">
        <v>9.896000000000001</v>
      </c>
      <c r="C8067" s="534" t="n">
        <v>24261.48</v>
      </c>
    </row>
    <row r="8068">
      <c r="A8068" s="535" t="n">
        <v>42830</v>
      </c>
      <c r="B8068" s="534" t="n">
        <v>9.861000000000001</v>
      </c>
      <c r="C8068" s="534" t="n">
        <v>24400.8</v>
      </c>
    </row>
    <row r="8069">
      <c r="A8069" s="535" t="n">
        <v>42831</v>
      </c>
      <c r="B8069" s="534" t="n">
        <v>9.808999999999999</v>
      </c>
      <c r="C8069" s="534" t="n">
        <v>24273.72</v>
      </c>
    </row>
    <row r="8070">
      <c r="A8070" s="535" t="n">
        <v>42832</v>
      </c>
      <c r="B8070" s="534" t="n">
        <v>9.791</v>
      </c>
      <c r="C8070" s="534" t="n">
        <v>24267.3</v>
      </c>
    </row>
    <row r="8071">
      <c r="A8071" s="535" t="n">
        <v>42835</v>
      </c>
      <c r="B8071" s="534" t="n">
        <v>9.722</v>
      </c>
      <c r="C8071" s="534" t="n">
        <v>24262.18</v>
      </c>
    </row>
    <row r="8072">
      <c r="A8072" s="535" t="n">
        <v>42836</v>
      </c>
      <c r="B8072" s="534" t="n">
        <v>9.565</v>
      </c>
      <c r="C8072" s="534" t="n">
        <v>24088.46</v>
      </c>
    </row>
    <row r="8073">
      <c r="A8073" s="535" t="n">
        <v>42837</v>
      </c>
      <c r="B8073" s="534" t="n">
        <v>9.513</v>
      </c>
      <c r="C8073" s="534" t="n">
        <v>24313.5</v>
      </c>
    </row>
    <row r="8074">
      <c r="A8074" s="535" t="n">
        <v>42838</v>
      </c>
      <c r="B8074" s="534" t="n">
        <v>9.529999999999999</v>
      </c>
      <c r="C8074" s="534" t="n">
        <v>24261.66</v>
      </c>
    </row>
    <row r="8075">
      <c r="A8075" s="535" t="n">
        <v>42839</v>
      </c>
      <c r="B8075" s="534" t="n">
        <v>9.529999999999999</v>
      </c>
      <c r="C8075" s="534" t="n">
        <v>24261.66</v>
      </c>
    </row>
    <row r="8076">
      <c r="A8076" s="535" t="n">
        <v>42842</v>
      </c>
      <c r="B8076" s="534" t="n">
        <v>9.529999999999999</v>
      </c>
      <c r="C8076" s="534" t="n">
        <v>24261.66</v>
      </c>
    </row>
    <row r="8077">
      <c r="A8077" s="535" t="n">
        <v>42843</v>
      </c>
      <c r="B8077" s="534" t="n">
        <v>9.494999999999999</v>
      </c>
      <c r="C8077" s="534" t="n">
        <v>23924.54</v>
      </c>
    </row>
    <row r="8078">
      <c r="A8078" s="535" t="n">
        <v>42844</v>
      </c>
      <c r="B8078" s="534" t="n">
        <v>9.460000000000001</v>
      </c>
      <c r="C8078" s="534" t="n">
        <v>23825.88</v>
      </c>
    </row>
    <row r="8079">
      <c r="A8079" s="535" t="n">
        <v>42845</v>
      </c>
      <c r="B8079" s="534" t="n">
        <v>9.407999999999999</v>
      </c>
      <c r="C8079" s="534" t="n">
        <v>24056.98</v>
      </c>
    </row>
    <row r="8080">
      <c r="A8080" s="535" t="n">
        <v>42846</v>
      </c>
      <c r="B8080" s="534" t="n">
        <v>9.617000000000001</v>
      </c>
      <c r="C8080" s="534" t="n">
        <v>24042.02</v>
      </c>
    </row>
    <row r="8081">
      <c r="A8081" s="535" t="n">
        <v>42849</v>
      </c>
      <c r="B8081" s="534" t="n">
        <v>9.773999999999999</v>
      </c>
      <c r="C8081" s="534" t="n">
        <v>24139.48</v>
      </c>
    </row>
    <row r="8082">
      <c r="A8082" s="535" t="n">
        <v>42850</v>
      </c>
      <c r="B8082" s="534" t="n">
        <v>9.791</v>
      </c>
      <c r="C8082" s="534" t="n">
        <v>24455.94</v>
      </c>
    </row>
    <row r="8083">
      <c r="A8083" s="535" t="n">
        <v>42851</v>
      </c>
      <c r="B8083" s="534" t="n">
        <v>9.791</v>
      </c>
      <c r="C8083" s="534" t="n">
        <v>24578.43</v>
      </c>
    </row>
    <row r="8084">
      <c r="A8084" s="535" t="n">
        <v>42852</v>
      </c>
      <c r="B8084" s="534" t="n">
        <v>9.913</v>
      </c>
      <c r="C8084" s="534" t="n">
        <v>24698.48</v>
      </c>
    </row>
    <row r="8085">
      <c r="A8085" s="535" t="n">
        <v>42853</v>
      </c>
      <c r="B8085" s="534" t="n">
        <v>9.756</v>
      </c>
      <c r="C8085" s="534" t="n">
        <v>24615.13</v>
      </c>
    </row>
    <row r="8086">
      <c r="A8086" s="535" t="n">
        <v>42856</v>
      </c>
      <c r="B8086" s="534" t="n">
        <v>9.756</v>
      </c>
      <c r="C8086" s="534" t="n">
        <v>24615.13</v>
      </c>
    </row>
    <row r="8087">
      <c r="A8087" s="535" t="n">
        <v>42857</v>
      </c>
      <c r="B8087" s="534" t="n">
        <v>9.722</v>
      </c>
      <c r="C8087" s="534" t="n">
        <v>24696.13</v>
      </c>
    </row>
    <row r="8088">
      <c r="A8088" s="535" t="n">
        <v>42858</v>
      </c>
      <c r="B8088" s="534" t="n">
        <v>9.722</v>
      </c>
      <c r="C8088" s="534" t="n">
        <v>24696.13</v>
      </c>
    </row>
    <row r="8089">
      <c r="A8089" s="535" t="n">
        <v>42859</v>
      </c>
      <c r="B8089" s="534" t="n">
        <v>9.722</v>
      </c>
      <c r="C8089" s="534" t="n">
        <v>24683.88</v>
      </c>
    </row>
    <row r="8090">
      <c r="A8090" s="535" t="n">
        <v>42860</v>
      </c>
      <c r="B8090" s="534" t="n">
        <v>9.704000000000001</v>
      </c>
      <c r="C8090" s="534" t="n">
        <v>24476.35</v>
      </c>
    </row>
    <row r="8091">
      <c r="A8091" s="535" t="n">
        <v>42863</v>
      </c>
      <c r="B8091" s="534" t="n">
        <v>9.669</v>
      </c>
      <c r="C8091" s="534" t="n">
        <v>24577.91</v>
      </c>
    </row>
    <row r="8092">
      <c r="A8092" s="535" t="n">
        <v>42864</v>
      </c>
      <c r="B8092" s="534" t="n">
        <v>9.704000000000001</v>
      </c>
      <c r="C8092" s="534" t="n">
        <v>24889.03</v>
      </c>
    </row>
    <row r="8093">
      <c r="A8093" s="535" t="n">
        <v>42865</v>
      </c>
      <c r="B8093" s="534" t="n">
        <v>9.478</v>
      </c>
      <c r="C8093" s="534" t="n">
        <v>25015.42</v>
      </c>
    </row>
    <row r="8094">
      <c r="A8094" s="535" t="n">
        <v>42866</v>
      </c>
      <c r="B8094" s="534" t="n">
        <v>9.547000000000001</v>
      </c>
      <c r="C8094" s="534" t="n">
        <v>25125.55</v>
      </c>
    </row>
    <row r="8095">
      <c r="A8095" s="535" t="n">
        <v>42867</v>
      </c>
      <c r="B8095" s="534" t="n">
        <v>9.494999999999999</v>
      </c>
      <c r="C8095" s="534" t="n">
        <v>25156.34</v>
      </c>
    </row>
    <row r="8096">
      <c r="A8096" s="535" t="n">
        <v>42870</v>
      </c>
      <c r="B8096" s="534" t="n">
        <v>9.391</v>
      </c>
      <c r="C8096" s="534" t="n">
        <v>25371.59</v>
      </c>
    </row>
    <row r="8097">
      <c r="A8097" s="535" t="n">
        <v>42871</v>
      </c>
      <c r="B8097" s="534" t="n">
        <v>9.215999999999999</v>
      </c>
      <c r="C8097" s="534" t="n">
        <v>25335.94</v>
      </c>
    </row>
    <row r="8098">
      <c r="A8098" s="535" t="n">
        <v>42872</v>
      </c>
      <c r="B8098" s="534" t="n">
        <v>9.669</v>
      </c>
      <c r="C8098" s="534" t="n">
        <v>25293.63</v>
      </c>
    </row>
    <row r="8099">
      <c r="A8099" s="535" t="n">
        <v>42873</v>
      </c>
      <c r="B8099" s="534" t="n">
        <v>9.861000000000001</v>
      </c>
      <c r="C8099" s="534" t="n">
        <v>25136.52</v>
      </c>
    </row>
    <row r="8100">
      <c r="A8100" s="535" t="n">
        <v>42874</v>
      </c>
      <c r="B8100" s="534" t="n">
        <v>9.861000000000001</v>
      </c>
      <c r="C8100" s="534" t="n">
        <v>25174.87</v>
      </c>
    </row>
    <row r="8101">
      <c r="A8101" s="535" t="n">
        <v>42877</v>
      </c>
      <c r="B8101" s="534" t="n">
        <v>10.087</v>
      </c>
      <c r="C8101" s="534" t="n">
        <v>25391.34</v>
      </c>
    </row>
    <row r="8102">
      <c r="A8102" s="535" t="n">
        <v>42878</v>
      </c>
      <c r="B8102" s="534" t="n">
        <v>10</v>
      </c>
      <c r="C8102" s="534" t="n">
        <v>25403.15</v>
      </c>
    </row>
    <row r="8103">
      <c r="A8103" s="535" t="n">
        <v>42879</v>
      </c>
      <c r="B8103" s="534" t="n">
        <v>10.61</v>
      </c>
      <c r="C8103" s="534" t="n">
        <v>25428.5</v>
      </c>
    </row>
    <row r="8104">
      <c r="A8104" s="535" t="n">
        <v>42880</v>
      </c>
      <c r="B8104" s="534" t="n">
        <v>10.401</v>
      </c>
      <c r="C8104" s="534" t="n">
        <v>25630.78</v>
      </c>
    </row>
    <row r="8105">
      <c r="A8105" s="535" t="n">
        <v>42881</v>
      </c>
      <c r="B8105" s="534" t="n">
        <v>10.209</v>
      </c>
      <c r="C8105" s="534" t="n">
        <v>25639.27</v>
      </c>
    </row>
    <row r="8106">
      <c r="A8106" s="535" t="n">
        <v>42884</v>
      </c>
      <c r="B8106" s="534" t="n">
        <v>10.192</v>
      </c>
      <c r="C8106" s="534" t="n">
        <v>25701.63</v>
      </c>
    </row>
    <row r="8107">
      <c r="A8107" s="535" t="n">
        <v>42885</v>
      </c>
      <c r="B8107" s="534" t="n">
        <v>10.192</v>
      </c>
      <c r="C8107" s="534" t="n">
        <v>25701.63</v>
      </c>
    </row>
    <row r="8108">
      <c r="A8108" s="535" t="n">
        <v>42886</v>
      </c>
      <c r="B8108" s="534" t="n">
        <v>9.930999999999999</v>
      </c>
      <c r="C8108" s="534" t="n">
        <v>25660.65</v>
      </c>
    </row>
    <row r="8109">
      <c r="A8109" s="535" t="n">
        <v>42887</v>
      </c>
      <c r="B8109" s="534" t="n">
        <v>10.105</v>
      </c>
      <c r="C8109" s="534" t="n">
        <v>25809.22</v>
      </c>
    </row>
    <row r="8110">
      <c r="A8110" s="535" t="n">
        <v>42888</v>
      </c>
      <c r="B8110" s="534" t="n">
        <v>10.122</v>
      </c>
      <c r="C8110" s="534" t="n">
        <v>25924.05</v>
      </c>
    </row>
    <row r="8111">
      <c r="A8111" s="535" t="n">
        <v>42891</v>
      </c>
      <c r="B8111" s="534" t="n">
        <v>10.105</v>
      </c>
      <c r="C8111" s="534" t="n">
        <v>25862.99</v>
      </c>
    </row>
    <row r="8112">
      <c r="A8112" s="535" t="n">
        <v>42892</v>
      </c>
      <c r="B8112" s="534" t="n">
        <v>10.331</v>
      </c>
      <c r="C8112" s="534" t="n">
        <v>25997.14</v>
      </c>
    </row>
    <row r="8113">
      <c r="A8113" s="535" t="n">
        <v>42893</v>
      </c>
      <c r="B8113" s="534" t="n">
        <v>10.279</v>
      </c>
      <c r="C8113" s="534" t="n">
        <v>25974.16</v>
      </c>
    </row>
    <row r="8114">
      <c r="A8114" s="535" t="n">
        <v>42894</v>
      </c>
      <c r="B8114" s="534" t="n">
        <v>10.924</v>
      </c>
      <c r="C8114" s="534" t="n">
        <v>26063.06</v>
      </c>
    </row>
    <row r="8115">
      <c r="A8115" s="535" t="n">
        <v>42895</v>
      </c>
      <c r="B8115" s="534" t="n">
        <v>10.993</v>
      </c>
      <c r="C8115" s="534" t="n">
        <v>26030.29</v>
      </c>
    </row>
    <row r="8116">
      <c r="A8116" s="535" t="n">
        <v>42898</v>
      </c>
      <c r="B8116" s="534" t="n">
        <v>10.802</v>
      </c>
      <c r="C8116" s="534" t="n">
        <v>25708.04</v>
      </c>
    </row>
    <row r="8117">
      <c r="A8117" s="535" t="n">
        <v>42899</v>
      </c>
      <c r="B8117" s="534" t="n">
        <v>10.732</v>
      </c>
      <c r="C8117" s="534" t="n">
        <v>25852.1</v>
      </c>
    </row>
    <row r="8118">
      <c r="A8118" s="535" t="n">
        <v>42900</v>
      </c>
      <c r="B8118" s="534" t="n">
        <v>10.802</v>
      </c>
      <c r="C8118" s="534" t="n">
        <v>25875.9</v>
      </c>
    </row>
    <row r="8119">
      <c r="A8119" s="535" t="n">
        <v>42901</v>
      </c>
      <c r="B8119" s="534" t="n">
        <v>10.784</v>
      </c>
      <c r="C8119" s="534" t="n">
        <v>25565.34</v>
      </c>
    </row>
    <row r="8120">
      <c r="A8120" s="535" t="n">
        <v>42902</v>
      </c>
      <c r="B8120" s="534" t="n">
        <v>10.784</v>
      </c>
      <c r="C8120" s="534" t="n">
        <v>25626.49</v>
      </c>
    </row>
    <row r="8121">
      <c r="A8121" s="535" t="n">
        <v>42905</v>
      </c>
      <c r="B8121" s="534" t="n">
        <v>10.802</v>
      </c>
      <c r="C8121" s="534" t="n">
        <v>25924.55</v>
      </c>
    </row>
    <row r="8122">
      <c r="A8122" s="535" t="n">
        <v>42906</v>
      </c>
      <c r="B8122" s="534" t="n">
        <v>10.645</v>
      </c>
      <c r="C8122" s="534" t="n">
        <v>25843.04</v>
      </c>
    </row>
    <row r="8123">
      <c r="A8123" s="535" t="n">
        <v>42907</v>
      </c>
      <c r="B8123" s="534" t="n">
        <v>10.488</v>
      </c>
      <c r="C8123" s="534" t="n">
        <v>25694.58</v>
      </c>
    </row>
    <row r="8124">
      <c r="A8124" s="535" t="n">
        <v>42908</v>
      </c>
      <c r="B8124" s="534" t="n">
        <v>10.471</v>
      </c>
      <c r="C8124" s="534" t="n">
        <v>25674.53</v>
      </c>
    </row>
    <row r="8125">
      <c r="A8125" s="535" t="n">
        <v>42909</v>
      </c>
      <c r="B8125" s="534" t="n">
        <v>10.488</v>
      </c>
      <c r="C8125" s="534" t="n">
        <v>25670.05</v>
      </c>
    </row>
    <row r="8126">
      <c r="A8126" s="535" t="n">
        <v>42912</v>
      </c>
      <c r="B8126" s="534" t="n">
        <v>10.558</v>
      </c>
      <c r="C8126" s="534" t="n">
        <v>25871.89</v>
      </c>
    </row>
    <row r="8127">
      <c r="A8127" s="535" t="n">
        <v>42913</v>
      </c>
      <c r="B8127" s="534" t="n">
        <v>10.61</v>
      </c>
      <c r="C8127" s="534" t="n">
        <v>25839.99</v>
      </c>
    </row>
    <row r="8128">
      <c r="A8128" s="535" t="n">
        <v>42914</v>
      </c>
      <c r="B8128" s="534" t="n">
        <v>10.523</v>
      </c>
      <c r="C8128" s="534" t="n">
        <v>25683.5</v>
      </c>
    </row>
    <row r="8129">
      <c r="A8129" s="535" t="n">
        <v>42915</v>
      </c>
      <c r="B8129" s="534" t="n">
        <v>10.506</v>
      </c>
      <c r="C8129" s="534" t="n">
        <v>25965.42</v>
      </c>
    </row>
    <row r="8130">
      <c r="A8130" s="535" t="n">
        <v>42916</v>
      </c>
      <c r="B8130" s="534" t="n">
        <v>10.558</v>
      </c>
      <c r="C8130" s="534" t="n">
        <v>25764.58</v>
      </c>
    </row>
    <row r="8131">
      <c r="A8131" s="535" t="n">
        <v>42919</v>
      </c>
      <c r="B8131" s="534" t="n">
        <v>10.558</v>
      </c>
      <c r="C8131" s="534" t="n">
        <v>25784.17</v>
      </c>
    </row>
    <row r="8132">
      <c r="A8132" s="535" t="n">
        <v>42920</v>
      </c>
      <c r="B8132" s="534" t="n">
        <v>10.453</v>
      </c>
      <c r="C8132" s="534" t="n">
        <v>25389.01</v>
      </c>
    </row>
    <row r="8133">
      <c r="A8133" s="535" t="n">
        <v>42921</v>
      </c>
      <c r="B8133" s="534" t="n">
        <v>10.471</v>
      </c>
      <c r="C8133" s="534" t="n">
        <v>25521.97</v>
      </c>
    </row>
    <row r="8134">
      <c r="A8134" s="535" t="n">
        <v>42922</v>
      </c>
      <c r="B8134" s="534" t="n">
        <v>10.68</v>
      </c>
      <c r="C8134" s="534" t="n">
        <v>25465.22</v>
      </c>
    </row>
    <row r="8135">
      <c r="A8135" s="535" t="n">
        <v>42923</v>
      </c>
      <c r="B8135" s="534" t="n">
        <v>10.732</v>
      </c>
      <c r="C8135" s="534" t="n">
        <v>25340.85</v>
      </c>
    </row>
    <row r="8136">
      <c r="A8136" s="535" t="n">
        <v>42926</v>
      </c>
      <c r="B8136" s="534" t="n">
        <v>11.098</v>
      </c>
      <c r="C8136" s="534" t="n">
        <v>25500.06</v>
      </c>
    </row>
    <row r="8137">
      <c r="A8137" s="535" t="n">
        <v>42927</v>
      </c>
      <c r="B8137" s="534" t="n">
        <v>11.028</v>
      </c>
      <c r="C8137" s="534" t="n">
        <v>25877.64</v>
      </c>
    </row>
    <row r="8138">
      <c r="A8138" s="535" t="n">
        <v>42928</v>
      </c>
      <c r="B8138" s="534" t="n">
        <v>11.063</v>
      </c>
      <c r="C8138" s="534" t="n">
        <v>26043.64</v>
      </c>
    </row>
    <row r="8139">
      <c r="A8139" s="535" t="n">
        <v>42929</v>
      </c>
      <c r="B8139" s="534" t="n">
        <v>11.098</v>
      </c>
      <c r="C8139" s="534" t="n">
        <v>26346.17</v>
      </c>
    </row>
    <row r="8140">
      <c r="A8140" s="535" t="n">
        <v>42930</v>
      </c>
      <c r="B8140" s="534" t="n">
        <v>11.081</v>
      </c>
      <c r="C8140" s="534" t="n">
        <v>26389.23</v>
      </c>
    </row>
    <row r="8141">
      <c r="A8141" s="535" t="n">
        <v>42933</v>
      </c>
      <c r="B8141" s="534" t="n">
        <v>10.959</v>
      </c>
      <c r="C8141" s="534" t="n">
        <v>26470.58</v>
      </c>
    </row>
    <row r="8142">
      <c r="A8142" s="535" t="n">
        <v>42934</v>
      </c>
      <c r="B8142" s="534" t="n">
        <v>10.889</v>
      </c>
      <c r="C8142" s="534" t="n">
        <v>26524.94</v>
      </c>
    </row>
    <row r="8143">
      <c r="A8143" s="535" t="n">
        <v>42935</v>
      </c>
      <c r="B8143" s="534" t="n">
        <v>10.819</v>
      </c>
      <c r="C8143" s="534" t="n">
        <v>26672.16</v>
      </c>
    </row>
    <row r="8144">
      <c r="A8144" s="535" t="n">
        <v>42936</v>
      </c>
      <c r="B8144" s="534" t="n">
        <v>10.889</v>
      </c>
      <c r="C8144" s="534" t="n">
        <v>26740.21</v>
      </c>
    </row>
    <row r="8145">
      <c r="A8145" s="535" t="n">
        <v>42937</v>
      </c>
      <c r="B8145" s="534" t="n">
        <v>10.715</v>
      </c>
      <c r="C8145" s="534" t="n">
        <v>26706.09</v>
      </c>
    </row>
    <row r="8146">
      <c r="A8146" s="535" t="n">
        <v>42940</v>
      </c>
      <c r="B8146" s="534" t="n">
        <v>10.558</v>
      </c>
      <c r="C8146" s="534" t="n">
        <v>26846.83</v>
      </c>
    </row>
    <row r="8147">
      <c r="A8147" s="535" t="n">
        <v>42941</v>
      </c>
      <c r="B8147" s="534" t="n">
        <v>10.558</v>
      </c>
      <c r="C8147" s="534" t="n">
        <v>26852.05</v>
      </c>
    </row>
    <row r="8148">
      <c r="A8148" s="535" t="n">
        <v>42942</v>
      </c>
      <c r="B8148" s="534" t="n">
        <v>10.488</v>
      </c>
      <c r="C8148" s="534" t="n">
        <v>26941.02</v>
      </c>
    </row>
    <row r="8149">
      <c r="A8149" s="535" t="n">
        <v>42943</v>
      </c>
      <c r="B8149" s="534" t="n">
        <v>10.593</v>
      </c>
      <c r="C8149" s="534" t="n">
        <v>27131.17</v>
      </c>
    </row>
    <row r="8150">
      <c r="A8150" s="535" t="n">
        <v>42944</v>
      </c>
      <c r="B8150" s="534" t="n">
        <v>10.68</v>
      </c>
      <c r="C8150" s="534" t="n">
        <v>26979.39</v>
      </c>
    </row>
    <row r="8151">
      <c r="A8151" s="535" t="n">
        <v>42947</v>
      </c>
      <c r="B8151" s="534" t="n">
        <v>10.662</v>
      </c>
      <c r="C8151" s="534" t="n">
        <v>27323.99</v>
      </c>
    </row>
    <row r="8152">
      <c r="A8152" s="535" t="n">
        <v>42948</v>
      </c>
      <c r="B8152" s="534" t="n">
        <v>10.645</v>
      </c>
      <c r="C8152" s="534" t="n">
        <v>27540.23</v>
      </c>
    </row>
    <row r="8153">
      <c r="A8153" s="535" t="n">
        <v>42949</v>
      </c>
      <c r="B8153" s="534" t="n">
        <v>10.628</v>
      </c>
      <c r="C8153" s="534" t="n">
        <v>27607.38</v>
      </c>
    </row>
    <row r="8154">
      <c r="A8154" s="535" t="n">
        <v>42950</v>
      </c>
      <c r="B8154" s="534" t="n">
        <v>10.593</v>
      </c>
      <c r="C8154" s="534" t="n">
        <v>27531.01</v>
      </c>
    </row>
    <row r="8155">
      <c r="A8155" s="535" t="n">
        <v>42951</v>
      </c>
      <c r="B8155" s="534" t="n">
        <v>10.662</v>
      </c>
      <c r="C8155" s="534" t="n">
        <v>27562.68</v>
      </c>
    </row>
    <row r="8156">
      <c r="A8156" s="535" t="n">
        <v>42954</v>
      </c>
      <c r="B8156" s="534" t="n">
        <v>10.68</v>
      </c>
      <c r="C8156" s="534" t="n">
        <v>27690.36</v>
      </c>
    </row>
    <row r="8157">
      <c r="A8157" s="535" t="n">
        <v>42955</v>
      </c>
      <c r="B8157" s="534" t="n">
        <v>10.54</v>
      </c>
      <c r="C8157" s="534" t="n">
        <v>27854.91</v>
      </c>
    </row>
    <row r="8158">
      <c r="A8158" s="535" t="n">
        <v>42956</v>
      </c>
      <c r="B8158" s="534" t="n">
        <v>10.453</v>
      </c>
      <c r="C8158" s="534" t="n">
        <v>27757.09</v>
      </c>
    </row>
    <row r="8159">
      <c r="A8159" s="535" t="n">
        <v>42957</v>
      </c>
      <c r="B8159" s="534" t="n">
        <v>10.401</v>
      </c>
      <c r="C8159" s="534" t="n">
        <v>27444</v>
      </c>
    </row>
    <row r="8160">
      <c r="A8160" s="535" t="n">
        <v>42958</v>
      </c>
      <c r="B8160" s="534" t="n">
        <v>10.279</v>
      </c>
      <c r="C8160" s="534" t="n">
        <v>26883.51</v>
      </c>
    </row>
    <row r="8161">
      <c r="A8161" s="535" t="n">
        <v>42961</v>
      </c>
      <c r="B8161" s="534" t="n">
        <v>10.192</v>
      </c>
      <c r="C8161" s="534" t="n">
        <v>27250.23</v>
      </c>
    </row>
    <row r="8162">
      <c r="A8162" s="535" t="n">
        <v>42962</v>
      </c>
      <c r="B8162" s="534" t="n">
        <v>10.105</v>
      </c>
      <c r="C8162" s="534" t="n">
        <v>27174.96</v>
      </c>
    </row>
    <row r="8163">
      <c r="A8163" s="535" t="n">
        <v>42963</v>
      </c>
      <c r="B8163" s="534" t="n">
        <v>10.192</v>
      </c>
      <c r="C8163" s="534" t="n">
        <v>27409.07</v>
      </c>
    </row>
    <row r="8164">
      <c r="A8164" s="535" t="n">
        <v>42964</v>
      </c>
      <c r="B8164" s="534" t="n">
        <v>10.279</v>
      </c>
      <c r="C8164" s="534" t="n">
        <v>27344.22</v>
      </c>
    </row>
    <row r="8165">
      <c r="A8165" s="535" t="n">
        <v>42965</v>
      </c>
      <c r="B8165" s="534" t="n">
        <v>10.453</v>
      </c>
      <c r="C8165" s="534" t="n">
        <v>27047.57</v>
      </c>
    </row>
    <row r="8166">
      <c r="A8166" s="535" t="n">
        <v>42968</v>
      </c>
      <c r="B8166" s="534" t="n">
        <v>10.349</v>
      </c>
      <c r="C8166" s="534" t="n">
        <v>27154.68</v>
      </c>
    </row>
    <row r="8167">
      <c r="A8167" s="535" t="n">
        <v>42969</v>
      </c>
      <c r="B8167" s="534" t="n">
        <v>10.262</v>
      </c>
      <c r="C8167" s="534" t="n">
        <v>27401.67</v>
      </c>
    </row>
    <row r="8168">
      <c r="A8168" s="535" t="n">
        <v>42970</v>
      </c>
      <c r="B8168" s="534" t="n">
        <v>10.262</v>
      </c>
      <c r="C8168" s="534" t="n">
        <v>27401.67</v>
      </c>
    </row>
    <row r="8169">
      <c r="A8169" s="535" t="n">
        <v>42971</v>
      </c>
      <c r="B8169" s="534" t="n">
        <v>10.175</v>
      </c>
      <c r="C8169" s="534" t="n">
        <v>27518.6</v>
      </c>
    </row>
    <row r="8170">
      <c r="A8170" s="535" t="n">
        <v>42972</v>
      </c>
      <c r="B8170" s="534" t="n">
        <v>10.105</v>
      </c>
      <c r="C8170" s="534" t="n">
        <v>27848.16</v>
      </c>
    </row>
    <row r="8171">
      <c r="A8171" s="535" t="n">
        <v>42975</v>
      </c>
      <c r="B8171" s="534" t="n">
        <v>10.105</v>
      </c>
      <c r="C8171" s="534" t="n">
        <v>27863.29</v>
      </c>
    </row>
    <row r="8172">
      <c r="A8172" s="535" t="n">
        <v>42976</v>
      </c>
      <c r="B8172" s="534" t="n">
        <v>10.035</v>
      </c>
      <c r="C8172" s="534" t="n">
        <v>27765.01</v>
      </c>
    </row>
    <row r="8173">
      <c r="A8173" s="535" t="n">
        <v>42977</v>
      </c>
      <c r="B8173" s="534" t="n">
        <v>10.157</v>
      </c>
      <c r="C8173" s="534" t="n">
        <v>28094.61</v>
      </c>
    </row>
    <row r="8174">
      <c r="A8174" s="535" t="n">
        <v>42978</v>
      </c>
      <c r="B8174" s="534" t="n">
        <v>10.122</v>
      </c>
      <c r="C8174" s="534" t="n">
        <v>27970.3</v>
      </c>
    </row>
    <row r="8175">
      <c r="A8175" s="535" t="n">
        <v>42979</v>
      </c>
      <c r="B8175" s="534" t="n">
        <v>10.227</v>
      </c>
      <c r="C8175" s="534" t="n">
        <v>27953.16</v>
      </c>
    </row>
    <row r="8176">
      <c r="A8176" s="535" t="n">
        <v>42982</v>
      </c>
      <c r="B8176" s="534" t="n">
        <v>10.227</v>
      </c>
      <c r="C8176" s="534" t="n">
        <v>27740.26</v>
      </c>
    </row>
    <row r="8177">
      <c r="A8177" s="535" t="n">
        <v>42983</v>
      </c>
      <c r="B8177" s="534" t="n">
        <v>10.175</v>
      </c>
      <c r="C8177" s="534" t="n">
        <v>27741.35</v>
      </c>
    </row>
    <row r="8178">
      <c r="A8178" s="535" t="n">
        <v>42984</v>
      </c>
      <c r="B8178" s="534" t="n">
        <v>10.227</v>
      </c>
      <c r="C8178" s="534" t="n">
        <v>27613.76</v>
      </c>
    </row>
    <row r="8179">
      <c r="A8179" s="535" t="n">
        <v>42985</v>
      </c>
      <c r="B8179" s="534" t="n">
        <v>10.279</v>
      </c>
      <c r="C8179" s="534" t="n">
        <v>27522.92</v>
      </c>
    </row>
    <row r="8180">
      <c r="A8180" s="535" t="n">
        <v>42986</v>
      </c>
      <c r="B8180" s="534" t="n">
        <v>10.384</v>
      </c>
      <c r="C8180" s="534" t="n">
        <v>27668.47</v>
      </c>
    </row>
    <row r="8181">
      <c r="A8181" s="535" t="n">
        <v>42989</v>
      </c>
      <c r="B8181" s="534" t="n">
        <v>10.523</v>
      </c>
      <c r="C8181" s="534" t="n">
        <v>27955.13</v>
      </c>
    </row>
    <row r="8182">
      <c r="A8182" s="535" t="n">
        <v>42990</v>
      </c>
      <c r="B8182" s="534" t="n">
        <v>10.471</v>
      </c>
      <c r="C8182" s="534" t="n">
        <v>27972.24</v>
      </c>
    </row>
    <row r="8183">
      <c r="A8183" s="535" t="n">
        <v>42991</v>
      </c>
      <c r="B8183" s="534" t="n">
        <v>10.366</v>
      </c>
      <c r="C8183" s="534" t="n">
        <v>27894.08</v>
      </c>
    </row>
    <row r="8184">
      <c r="A8184" s="535" t="n">
        <v>42992</v>
      </c>
      <c r="B8184" s="534" t="n">
        <v>10.366</v>
      </c>
      <c r="C8184" s="534" t="n">
        <v>27777.2</v>
      </c>
    </row>
    <row r="8185">
      <c r="A8185" s="535" t="n">
        <v>42993</v>
      </c>
      <c r="B8185" s="534" t="n">
        <v>10.297</v>
      </c>
      <c r="C8185" s="534" t="n">
        <v>27807.59</v>
      </c>
    </row>
    <row r="8186">
      <c r="A8186" s="535" t="n">
        <v>42996</v>
      </c>
      <c r="B8186" s="534" t="n">
        <v>10.314</v>
      </c>
      <c r="C8186" s="534" t="n">
        <v>28159.77</v>
      </c>
    </row>
    <row r="8187">
      <c r="A8187" s="535" t="n">
        <v>42997</v>
      </c>
      <c r="B8187" s="534" t="n">
        <v>10.262</v>
      </c>
      <c r="C8187" s="534" t="n">
        <v>28051.41</v>
      </c>
    </row>
    <row r="8188">
      <c r="A8188" s="535" t="n">
        <v>42998</v>
      </c>
      <c r="B8188" s="534" t="n">
        <v>10.209</v>
      </c>
      <c r="C8188" s="534" t="n">
        <v>28127.8</v>
      </c>
    </row>
    <row r="8189">
      <c r="A8189" s="535" t="n">
        <v>42999</v>
      </c>
      <c r="B8189" s="534" t="n">
        <v>10.227</v>
      </c>
      <c r="C8189" s="534" t="n">
        <v>28110.33</v>
      </c>
    </row>
    <row r="8190">
      <c r="A8190" s="535" t="n">
        <v>43000</v>
      </c>
      <c r="B8190" s="534" t="n">
        <v>10.14</v>
      </c>
      <c r="C8190" s="534" t="n">
        <v>27880.53</v>
      </c>
    </row>
    <row r="8191">
      <c r="A8191" s="535" t="n">
        <v>43003</v>
      </c>
      <c r="B8191" s="534" t="n">
        <v>10.087</v>
      </c>
      <c r="C8191" s="534" t="n">
        <v>27500.34</v>
      </c>
    </row>
    <row r="8192">
      <c r="A8192" s="535" t="n">
        <v>43004</v>
      </c>
      <c r="B8192" s="534" t="n">
        <v>10.105</v>
      </c>
      <c r="C8192" s="534" t="n">
        <v>27513.01</v>
      </c>
    </row>
    <row r="8193">
      <c r="A8193" s="535" t="n">
        <v>43005</v>
      </c>
      <c r="B8193" s="534" t="n">
        <v>10.053</v>
      </c>
      <c r="C8193" s="534" t="n">
        <v>27642.43</v>
      </c>
    </row>
    <row r="8194">
      <c r="A8194" s="535" t="n">
        <v>43006</v>
      </c>
      <c r="B8194" s="534" t="n">
        <v>10.122</v>
      </c>
      <c r="C8194" s="534" t="n">
        <v>27421.6</v>
      </c>
    </row>
    <row r="8195">
      <c r="A8195" s="535" t="n">
        <v>43007</v>
      </c>
      <c r="B8195" s="534" t="n">
        <v>10.279</v>
      </c>
      <c r="C8195" s="534" t="n">
        <v>27554.3</v>
      </c>
    </row>
    <row r="8196">
      <c r="A8196" s="535" t="n">
        <v>43010</v>
      </c>
      <c r="B8196" s="534" t="n">
        <v>10.279</v>
      </c>
      <c r="C8196" s="534" t="n">
        <v>27554.3</v>
      </c>
    </row>
    <row r="8197">
      <c r="A8197" s="535" t="n">
        <v>43011</v>
      </c>
      <c r="B8197" s="534" t="n">
        <v>10.384</v>
      </c>
      <c r="C8197" s="534" t="n">
        <v>28173.21</v>
      </c>
    </row>
    <row r="8198">
      <c r="A8198" s="535" t="n">
        <v>43012</v>
      </c>
      <c r="B8198" s="534" t="n">
        <v>10.593</v>
      </c>
      <c r="C8198" s="534" t="n">
        <v>28379.18</v>
      </c>
    </row>
    <row r="8199">
      <c r="A8199" s="535" t="n">
        <v>43013</v>
      </c>
      <c r="B8199" s="534" t="n">
        <v>10.593</v>
      </c>
      <c r="C8199" s="534" t="n">
        <v>28379.18</v>
      </c>
    </row>
    <row r="8200">
      <c r="A8200" s="535" t="n">
        <v>43014</v>
      </c>
      <c r="B8200" s="534" t="n">
        <v>10.436</v>
      </c>
      <c r="C8200" s="534" t="n">
        <v>28458.04</v>
      </c>
    </row>
    <row r="8201">
      <c r="A8201" s="535" t="n">
        <v>43017</v>
      </c>
      <c r="B8201" s="534" t="n">
        <v>10.453</v>
      </c>
      <c r="C8201" s="534" t="n">
        <v>28326.59</v>
      </c>
    </row>
    <row r="8202">
      <c r="A8202" s="535" t="n">
        <v>43018</v>
      </c>
      <c r="B8202" s="534" t="n">
        <v>10.506</v>
      </c>
      <c r="C8202" s="534" t="n">
        <v>28490.83</v>
      </c>
    </row>
    <row r="8203">
      <c r="A8203" s="535" t="n">
        <v>43019</v>
      </c>
      <c r="B8203" s="534" t="n">
        <v>10.401</v>
      </c>
      <c r="C8203" s="534" t="n">
        <v>28389.57</v>
      </c>
    </row>
    <row r="8204">
      <c r="A8204" s="535" t="n">
        <v>43020</v>
      </c>
      <c r="B8204" s="534" t="n">
        <v>10.697</v>
      </c>
      <c r="C8204" s="534" t="n">
        <v>28459.03</v>
      </c>
    </row>
    <row r="8205">
      <c r="A8205" s="535" t="n">
        <v>43021</v>
      </c>
      <c r="B8205" s="534" t="n">
        <v>11.115</v>
      </c>
      <c r="C8205" s="534" t="n">
        <v>28476.43</v>
      </c>
    </row>
    <row r="8206">
      <c r="A8206" s="535" t="n">
        <v>43024</v>
      </c>
      <c r="B8206" s="534" t="n">
        <v>11.185</v>
      </c>
      <c r="C8206" s="534" t="n">
        <v>28692.8</v>
      </c>
    </row>
    <row r="8207">
      <c r="A8207" s="535" t="n">
        <v>43025</v>
      </c>
      <c r="B8207" s="534" t="n">
        <v>11.115</v>
      </c>
      <c r="C8207" s="534" t="n">
        <v>28697.49</v>
      </c>
    </row>
    <row r="8208">
      <c r="A8208" s="535" t="n">
        <v>43026</v>
      </c>
      <c r="B8208" s="534" t="n">
        <v>11.29</v>
      </c>
      <c r="C8208" s="534" t="n">
        <v>28711.76</v>
      </c>
    </row>
    <row r="8209">
      <c r="A8209" s="535" t="n">
        <v>43027</v>
      </c>
      <c r="B8209" s="534" t="n">
        <v>11.359</v>
      </c>
      <c r="C8209" s="534" t="n">
        <v>28159.09</v>
      </c>
    </row>
    <row r="8210">
      <c r="A8210" s="535" t="n">
        <v>43028</v>
      </c>
      <c r="B8210" s="534" t="n">
        <v>11.621</v>
      </c>
      <c r="C8210" s="534" t="n">
        <v>28487.24</v>
      </c>
    </row>
    <row r="8211">
      <c r="A8211" s="535" t="n">
        <v>43031</v>
      </c>
      <c r="B8211" s="534" t="n">
        <v>11.568</v>
      </c>
      <c r="C8211" s="534" t="n">
        <v>28305.88</v>
      </c>
    </row>
    <row r="8212">
      <c r="A8212" s="535" t="n">
        <v>43032</v>
      </c>
      <c r="B8212" s="534" t="n">
        <v>11.481</v>
      </c>
      <c r="C8212" s="534" t="n">
        <v>28154.97</v>
      </c>
    </row>
    <row r="8213">
      <c r="A8213" s="535" t="n">
        <v>43033</v>
      </c>
      <c r="B8213" s="534" t="n">
        <v>11.499</v>
      </c>
      <c r="C8213" s="534" t="n">
        <v>28302.89</v>
      </c>
    </row>
    <row r="8214">
      <c r="A8214" s="535" t="n">
        <v>43034</v>
      </c>
      <c r="B8214" s="534" t="n">
        <v>11.464</v>
      </c>
      <c r="C8214" s="534" t="n">
        <v>28202.38</v>
      </c>
    </row>
    <row r="8215">
      <c r="A8215" s="535" t="n">
        <v>43035</v>
      </c>
      <c r="B8215" s="534" t="n">
        <v>11.638</v>
      </c>
      <c r="C8215" s="534" t="n">
        <v>28438.85</v>
      </c>
    </row>
    <row r="8216">
      <c r="A8216" s="535" t="n">
        <v>43038</v>
      </c>
      <c r="B8216" s="534" t="n">
        <v>11.638</v>
      </c>
      <c r="C8216" s="534" t="n">
        <v>28336.19</v>
      </c>
    </row>
    <row r="8217">
      <c r="A8217" s="535" t="n">
        <v>43039</v>
      </c>
      <c r="B8217" s="534" t="n">
        <v>11.621</v>
      </c>
      <c r="C8217" s="534" t="n">
        <v>28245.54</v>
      </c>
    </row>
    <row r="8218">
      <c r="A8218" s="535" t="n">
        <v>43040</v>
      </c>
      <c r="B8218" s="534" t="n">
        <v>11.638</v>
      </c>
      <c r="C8218" s="534" t="n">
        <v>28594.06</v>
      </c>
    </row>
    <row r="8219">
      <c r="A8219" s="535" t="n">
        <v>43041</v>
      </c>
      <c r="B8219" s="534" t="n">
        <v>11.621</v>
      </c>
      <c r="C8219" s="534" t="n">
        <v>28518.64</v>
      </c>
    </row>
    <row r="8220">
      <c r="A8220" s="535" t="n">
        <v>43042</v>
      </c>
      <c r="B8220" s="534" t="n">
        <v>11.499</v>
      </c>
      <c r="C8220" s="534" t="n">
        <v>28603.61</v>
      </c>
    </row>
    <row r="8221">
      <c r="A8221" s="535" t="n">
        <v>43045</v>
      </c>
      <c r="B8221" s="534" t="n">
        <v>11.324</v>
      </c>
      <c r="C8221" s="534" t="n">
        <v>28596.8</v>
      </c>
    </row>
    <row r="8222">
      <c r="A8222" s="535" t="n">
        <v>43046</v>
      </c>
      <c r="B8222" s="534" t="n">
        <v>11.046</v>
      </c>
      <c r="C8222" s="534" t="n">
        <v>28994.34</v>
      </c>
    </row>
    <row r="8223">
      <c r="A8223" s="535" t="n">
        <v>43047</v>
      </c>
      <c r="B8223" s="534" t="n">
        <v>10.976</v>
      </c>
      <c r="C8223" s="534" t="n">
        <v>28907.6</v>
      </c>
    </row>
    <row r="8224">
      <c r="A8224" s="535" t="n">
        <v>43048</v>
      </c>
      <c r="B8224" s="534" t="n">
        <v>10.819</v>
      </c>
      <c r="C8224" s="534" t="n">
        <v>29136.57</v>
      </c>
    </row>
    <row r="8225">
      <c r="A8225" s="535" t="n">
        <v>43049</v>
      </c>
      <c r="B8225" s="534" t="n">
        <v>10.75</v>
      </c>
      <c r="C8225" s="534" t="n">
        <v>29120.92</v>
      </c>
    </row>
    <row r="8226">
      <c r="A8226" s="535" t="n">
        <v>43052</v>
      </c>
      <c r="B8226" s="534" t="n">
        <v>10.645</v>
      </c>
      <c r="C8226" s="534" t="n">
        <v>29182.18</v>
      </c>
    </row>
    <row r="8227">
      <c r="A8227" s="535" t="n">
        <v>43053</v>
      </c>
      <c r="B8227" s="534" t="n">
        <v>10.436</v>
      </c>
      <c r="C8227" s="534" t="n">
        <v>29152.12</v>
      </c>
    </row>
    <row r="8228">
      <c r="A8228" s="535" t="n">
        <v>43054</v>
      </c>
      <c r="B8228" s="534" t="n">
        <v>10.436</v>
      </c>
      <c r="C8228" s="534" t="n">
        <v>28851.69</v>
      </c>
    </row>
    <row r="8229">
      <c r="A8229" s="535" t="n">
        <v>43055</v>
      </c>
      <c r="B8229" s="534" t="n">
        <v>10.279</v>
      </c>
      <c r="C8229" s="534" t="n">
        <v>29018.76</v>
      </c>
    </row>
    <row r="8230">
      <c r="A8230" s="535" t="n">
        <v>43056</v>
      </c>
      <c r="B8230" s="534" t="n">
        <v>10.384</v>
      </c>
      <c r="C8230" s="534" t="n">
        <v>29199.04</v>
      </c>
    </row>
    <row r="8231">
      <c r="A8231" s="535" t="n">
        <v>43059</v>
      </c>
      <c r="B8231" s="534" t="n">
        <v>10.54</v>
      </c>
      <c r="C8231" s="534" t="n">
        <v>29260.31</v>
      </c>
    </row>
    <row r="8232">
      <c r="A8232" s="535" t="n">
        <v>43060</v>
      </c>
      <c r="B8232" s="534" t="n">
        <v>10.628</v>
      </c>
      <c r="C8232" s="534" t="n">
        <v>29818.07</v>
      </c>
    </row>
    <row r="8233">
      <c r="A8233" s="535" t="n">
        <v>43061</v>
      </c>
      <c r="B8233" s="534" t="n">
        <v>10.802</v>
      </c>
      <c r="C8233" s="534" t="n">
        <v>30003.49</v>
      </c>
    </row>
    <row r="8234">
      <c r="A8234" s="535" t="n">
        <v>43062</v>
      </c>
      <c r="B8234" s="534" t="n">
        <v>10.75</v>
      </c>
      <c r="C8234" s="534" t="n">
        <v>29707.94</v>
      </c>
    </row>
    <row r="8235">
      <c r="A8235" s="535" t="n">
        <v>43063</v>
      </c>
      <c r="B8235" s="534" t="n">
        <v>10.645</v>
      </c>
      <c r="C8235" s="534" t="n">
        <v>29866.32</v>
      </c>
    </row>
    <row r="8236">
      <c r="A8236" s="535" t="n">
        <v>43066</v>
      </c>
      <c r="B8236" s="534" t="n">
        <v>10.575</v>
      </c>
      <c r="C8236" s="534" t="n">
        <v>29686.19</v>
      </c>
    </row>
    <row r="8237">
      <c r="A8237" s="535" t="n">
        <v>43067</v>
      </c>
      <c r="B8237" s="534" t="n">
        <v>10.506</v>
      </c>
      <c r="C8237" s="534" t="n">
        <v>29680.85</v>
      </c>
    </row>
    <row r="8238">
      <c r="A8238" s="535" t="n">
        <v>43068</v>
      </c>
      <c r="B8238" s="534" t="n">
        <v>10.436</v>
      </c>
      <c r="C8238" s="534" t="n">
        <v>29623.83</v>
      </c>
    </row>
    <row r="8239">
      <c r="A8239" s="535" t="n">
        <v>43069</v>
      </c>
      <c r="B8239" s="534" t="n">
        <v>10.453</v>
      </c>
      <c r="C8239" s="534" t="n">
        <v>29177.35</v>
      </c>
    </row>
    <row r="8240">
      <c r="A8240" s="535" t="n">
        <v>43070</v>
      </c>
      <c r="B8240" s="534" t="n">
        <v>10.297</v>
      </c>
      <c r="C8240" s="534" t="n">
        <v>29074.24</v>
      </c>
    </row>
    <row r="8241">
      <c r="A8241" s="535" t="n">
        <v>43073</v>
      </c>
      <c r="B8241" s="534" t="n">
        <v>10.14</v>
      </c>
      <c r="C8241" s="534" t="n">
        <v>29138.28</v>
      </c>
    </row>
    <row r="8242">
      <c r="A8242" s="535" t="n">
        <v>43074</v>
      </c>
      <c r="B8242" s="534" t="n">
        <v>10</v>
      </c>
      <c r="C8242" s="534" t="n">
        <v>28842.8</v>
      </c>
    </row>
    <row r="8243">
      <c r="A8243" s="535" t="n">
        <v>43075</v>
      </c>
      <c r="B8243" s="534" t="n">
        <v>9.756</v>
      </c>
      <c r="C8243" s="534" t="n">
        <v>28224.8</v>
      </c>
    </row>
    <row r="8244">
      <c r="A8244" s="535" t="n">
        <v>43076</v>
      </c>
      <c r="B8244" s="534" t="n">
        <v>9.826000000000001</v>
      </c>
      <c r="C8244" s="534" t="n">
        <v>28303.19</v>
      </c>
    </row>
    <row r="8245">
      <c r="A8245" s="535" t="n">
        <v>43077</v>
      </c>
      <c r="B8245" s="534" t="n">
        <v>9.808999999999999</v>
      </c>
      <c r="C8245" s="534" t="n">
        <v>28639.85</v>
      </c>
    </row>
    <row r="8246">
      <c r="A8246" s="535" t="n">
        <v>43080</v>
      </c>
      <c r="B8246" s="534" t="n">
        <v>10.053</v>
      </c>
      <c r="C8246" s="534" t="n">
        <v>28965.29</v>
      </c>
    </row>
    <row r="8247">
      <c r="A8247" s="535" t="n">
        <v>43081</v>
      </c>
      <c r="B8247" s="534" t="n">
        <v>10.087</v>
      </c>
      <c r="C8247" s="534" t="n">
        <v>28793.88</v>
      </c>
    </row>
    <row r="8248">
      <c r="A8248" s="535" t="n">
        <v>43082</v>
      </c>
      <c r="B8248" s="534" t="n">
        <v>10.314</v>
      </c>
      <c r="C8248" s="534" t="n">
        <v>29222.1</v>
      </c>
    </row>
    <row r="8249">
      <c r="A8249" s="535" t="n">
        <v>43083</v>
      </c>
      <c r="B8249" s="534" t="n">
        <v>10.331</v>
      </c>
      <c r="C8249" s="534" t="n">
        <v>29166.38</v>
      </c>
    </row>
    <row r="8250">
      <c r="A8250" s="535" t="n">
        <v>43084</v>
      </c>
      <c r="B8250" s="534" t="n">
        <v>10.401</v>
      </c>
      <c r="C8250" s="534" t="n">
        <v>28848.11</v>
      </c>
    </row>
    <row r="8251">
      <c r="A8251" s="535" t="n">
        <v>43087</v>
      </c>
      <c r="B8251" s="534" t="n">
        <v>10.418</v>
      </c>
      <c r="C8251" s="534" t="n">
        <v>29050.41</v>
      </c>
    </row>
    <row r="8252">
      <c r="A8252" s="535" t="n">
        <v>43088</v>
      </c>
      <c r="B8252" s="534" t="n">
        <v>10.61</v>
      </c>
      <c r="C8252" s="534" t="n">
        <v>29253.66</v>
      </c>
    </row>
    <row r="8253">
      <c r="A8253" s="535" t="n">
        <v>43089</v>
      </c>
      <c r="B8253" s="534" t="n">
        <v>10.488</v>
      </c>
      <c r="C8253" s="534" t="n">
        <v>29234.09</v>
      </c>
    </row>
    <row r="8254">
      <c r="A8254" s="535" t="n">
        <v>43090</v>
      </c>
      <c r="B8254" s="534" t="n">
        <v>10.453</v>
      </c>
      <c r="C8254" s="534" t="n">
        <v>29367.06</v>
      </c>
    </row>
    <row r="8255">
      <c r="A8255" s="535" t="n">
        <v>43091</v>
      </c>
      <c r="B8255" s="534" t="n">
        <v>10.506</v>
      </c>
      <c r="C8255" s="534" t="n">
        <v>29578.01</v>
      </c>
    </row>
    <row r="8256">
      <c r="A8256" s="535" t="n">
        <v>43094</v>
      </c>
      <c r="B8256" s="534" t="n">
        <v>10.506</v>
      </c>
      <c r="C8256" s="534" t="n">
        <v>29578.01</v>
      </c>
    </row>
    <row r="8257">
      <c r="A8257" s="535" t="n">
        <v>43095</v>
      </c>
      <c r="B8257" s="534" t="n">
        <v>10.506</v>
      </c>
      <c r="C8257" s="534" t="n">
        <v>29578.01</v>
      </c>
    </row>
    <row r="8258">
      <c r="A8258" s="535" t="n">
        <v>43096</v>
      </c>
      <c r="B8258" s="534" t="n">
        <v>10.453</v>
      </c>
      <c r="C8258" s="534" t="n">
        <v>29597.66</v>
      </c>
    </row>
    <row r="8259">
      <c r="A8259" s="535" t="n">
        <v>43097</v>
      </c>
      <c r="B8259" s="534" t="n">
        <v>10.471</v>
      </c>
      <c r="C8259" s="534" t="n">
        <v>29863.71</v>
      </c>
    </row>
    <row r="8260">
      <c r="A8260" s="535" t="n">
        <v>43098</v>
      </c>
      <c r="B8260" s="534" t="n">
        <v>10.558</v>
      </c>
      <c r="C8260" s="534" t="n">
        <v>29919.15</v>
      </c>
    </row>
    <row r="8261">
      <c r="A8261" s="535" t="n">
        <v>43101</v>
      </c>
      <c r="B8261" s="534" t="n">
        <v>10.558</v>
      </c>
      <c r="C8261" s="534" t="n">
        <v>29919.15</v>
      </c>
    </row>
    <row r="8262">
      <c r="A8262" s="535" t="n">
        <v>43102</v>
      </c>
      <c r="B8262" s="534" t="n">
        <v>10.645</v>
      </c>
      <c r="C8262" s="534" t="n">
        <v>30515.31</v>
      </c>
    </row>
    <row r="8263">
      <c r="A8263" s="535" t="n">
        <v>43103</v>
      </c>
      <c r="B8263" s="534" t="n">
        <v>10.645</v>
      </c>
      <c r="C8263" s="534" t="n">
        <v>30560.95</v>
      </c>
    </row>
    <row r="8264">
      <c r="A8264" s="535" t="n">
        <v>43104</v>
      </c>
      <c r="B8264" s="534" t="n">
        <v>10.732</v>
      </c>
      <c r="C8264" s="534" t="n">
        <v>30736.48</v>
      </c>
    </row>
    <row r="8265">
      <c r="A8265" s="535" t="n">
        <v>43105</v>
      </c>
      <c r="B8265" s="534" t="n">
        <v>10.959</v>
      </c>
      <c r="C8265" s="534" t="n">
        <v>30814.64</v>
      </c>
    </row>
    <row r="8266">
      <c r="A8266" s="535" t="n">
        <v>43108</v>
      </c>
      <c r="B8266" s="534" t="n">
        <v>10.941</v>
      </c>
      <c r="C8266" s="534" t="n">
        <v>30899.53</v>
      </c>
    </row>
    <row r="8267">
      <c r="A8267" s="535" t="n">
        <v>43109</v>
      </c>
      <c r="B8267" s="534" t="n">
        <v>11.011</v>
      </c>
      <c r="C8267" s="534" t="n">
        <v>31011.41</v>
      </c>
    </row>
    <row r="8268">
      <c r="A8268" s="535" t="n">
        <v>43110</v>
      </c>
      <c r="B8268" s="534" t="n">
        <v>10.959</v>
      </c>
      <c r="C8268" s="534" t="n">
        <v>31073.72</v>
      </c>
    </row>
    <row r="8269">
      <c r="A8269" s="535" t="n">
        <v>43111</v>
      </c>
      <c r="B8269" s="534" t="n">
        <v>11.063</v>
      </c>
      <c r="C8269" s="534" t="n">
        <v>31120.39</v>
      </c>
    </row>
    <row r="8270">
      <c r="A8270" s="535" t="n">
        <v>43112</v>
      </c>
      <c r="B8270" s="534" t="n">
        <v>11.237</v>
      </c>
      <c r="C8270" s="534" t="n">
        <v>31412.54</v>
      </c>
    </row>
    <row r="8271">
      <c r="A8271" s="535" t="n">
        <v>43115</v>
      </c>
      <c r="B8271" s="534" t="n">
        <v>11.22</v>
      </c>
      <c r="C8271" s="534" t="n">
        <v>31338.87</v>
      </c>
    </row>
    <row r="8272">
      <c r="A8272" s="535" t="n">
        <v>43116</v>
      </c>
      <c r="B8272" s="534" t="n">
        <v>11.185</v>
      </c>
      <c r="C8272" s="534" t="n">
        <v>31904.75</v>
      </c>
    </row>
    <row r="8273">
      <c r="A8273" s="535" t="n">
        <v>43117</v>
      </c>
      <c r="B8273" s="534" t="n">
        <v>11.046</v>
      </c>
      <c r="C8273" s="534" t="n">
        <v>31983.41</v>
      </c>
    </row>
    <row r="8274">
      <c r="A8274" s="535" t="n">
        <v>43118</v>
      </c>
      <c r="B8274" s="534" t="n">
        <v>11.324</v>
      </c>
      <c r="C8274" s="534" t="n">
        <v>32121.94</v>
      </c>
    </row>
    <row r="8275">
      <c r="A8275" s="535" t="n">
        <v>43119</v>
      </c>
      <c r="B8275" s="534" t="n">
        <v>11.185</v>
      </c>
      <c r="C8275" s="534" t="n">
        <v>32254.89</v>
      </c>
    </row>
    <row r="8276">
      <c r="A8276" s="535" t="n">
        <v>43122</v>
      </c>
      <c r="B8276" s="534" t="n">
        <v>11.063</v>
      </c>
      <c r="C8276" s="534" t="n">
        <v>32393.41</v>
      </c>
    </row>
    <row r="8277">
      <c r="A8277" s="535" t="n">
        <v>43123</v>
      </c>
      <c r="B8277" s="534" t="n">
        <v>11.011</v>
      </c>
      <c r="C8277" s="534" t="n">
        <v>32930.7</v>
      </c>
    </row>
    <row r="8278">
      <c r="A8278" s="535" t="n">
        <v>43124</v>
      </c>
      <c r="B8278" s="534" t="n">
        <v>11.22</v>
      </c>
      <c r="C8278" s="534" t="n">
        <v>32958.69</v>
      </c>
    </row>
    <row r="8279">
      <c r="A8279" s="535" t="n">
        <v>43125</v>
      </c>
      <c r="B8279" s="534" t="n">
        <v>11.098</v>
      </c>
      <c r="C8279" s="534" t="n">
        <v>32654.45</v>
      </c>
    </row>
    <row r="8280">
      <c r="A8280" s="535" t="n">
        <v>43126</v>
      </c>
      <c r="B8280" s="534" t="n">
        <v>10.976</v>
      </c>
      <c r="C8280" s="534" t="n">
        <v>33154.12</v>
      </c>
    </row>
    <row r="8281">
      <c r="A8281" s="535" t="n">
        <v>43129</v>
      </c>
      <c r="B8281" s="534" t="n">
        <v>10.802</v>
      </c>
      <c r="C8281" s="534" t="n">
        <v>32966.89</v>
      </c>
    </row>
    <row r="8282">
      <c r="A8282" s="535" t="n">
        <v>43130</v>
      </c>
      <c r="B8282" s="534" t="n">
        <v>10.68</v>
      </c>
      <c r="C8282" s="534" t="n">
        <v>32607.29</v>
      </c>
    </row>
    <row r="8283">
      <c r="A8283" s="535" t="n">
        <v>43131</v>
      </c>
      <c r="B8283" s="534" t="n">
        <v>10.819</v>
      </c>
      <c r="C8283" s="534" t="n">
        <v>32887.27</v>
      </c>
    </row>
    <row r="8284">
      <c r="A8284" s="535" t="n">
        <v>43132</v>
      </c>
      <c r="B8284" s="534" t="n">
        <v>10.819</v>
      </c>
      <c r="C8284" s="534" t="n">
        <v>32642.09</v>
      </c>
    </row>
    <row r="8285">
      <c r="A8285" s="535" t="n">
        <v>43133</v>
      </c>
      <c r="B8285" s="534" t="n">
        <v>10.854</v>
      </c>
      <c r="C8285" s="534" t="n">
        <v>32601.78</v>
      </c>
    </row>
    <row r="8286">
      <c r="A8286" s="535" t="n">
        <v>43136</v>
      </c>
      <c r="B8286" s="534" t="n">
        <v>11.046</v>
      </c>
      <c r="C8286" s="534" t="n">
        <v>32245.22</v>
      </c>
    </row>
    <row r="8287">
      <c r="A8287" s="535" t="n">
        <v>43137</v>
      </c>
      <c r="B8287" s="534" t="n">
        <v>10.68</v>
      </c>
      <c r="C8287" s="534" t="n">
        <v>30595.42</v>
      </c>
    </row>
    <row r="8288">
      <c r="A8288" s="535" t="n">
        <v>43138</v>
      </c>
      <c r="B8288" s="534" t="n">
        <v>10.767</v>
      </c>
      <c r="C8288" s="534" t="n">
        <v>30323.2</v>
      </c>
    </row>
    <row r="8289">
      <c r="A8289" s="535" t="n">
        <v>43139</v>
      </c>
      <c r="B8289" s="534" t="n">
        <v>10.784</v>
      </c>
      <c r="C8289" s="534" t="n">
        <v>30451.27</v>
      </c>
    </row>
    <row r="8290">
      <c r="A8290" s="535" t="n">
        <v>43140</v>
      </c>
      <c r="B8290" s="534" t="n">
        <v>10.662</v>
      </c>
      <c r="C8290" s="534" t="n">
        <v>29507.42</v>
      </c>
    </row>
    <row r="8291">
      <c r="A8291" s="535" t="n">
        <v>43143</v>
      </c>
      <c r="B8291" s="534" t="n">
        <v>11.011</v>
      </c>
      <c r="C8291" s="534" t="n">
        <v>29459.63</v>
      </c>
    </row>
    <row r="8292">
      <c r="A8292" s="535" t="n">
        <v>43144</v>
      </c>
      <c r="B8292" s="534" t="n">
        <v>11.028</v>
      </c>
      <c r="C8292" s="534" t="n">
        <v>29839.53</v>
      </c>
    </row>
    <row r="8293">
      <c r="A8293" s="535" t="n">
        <v>43145</v>
      </c>
      <c r="B8293" s="534" t="n">
        <v>11.028</v>
      </c>
      <c r="C8293" s="534" t="n">
        <v>30515.6</v>
      </c>
    </row>
    <row r="8294">
      <c r="A8294" s="535" t="n">
        <v>43146</v>
      </c>
      <c r="B8294" s="534" t="n">
        <v>11.133</v>
      </c>
      <c r="C8294" s="534" t="n">
        <v>31115.43</v>
      </c>
    </row>
    <row r="8295">
      <c r="A8295" s="535" t="n">
        <v>43147</v>
      </c>
      <c r="B8295" s="534" t="n">
        <v>11.133</v>
      </c>
      <c r="C8295" s="534" t="n">
        <v>31115.43</v>
      </c>
    </row>
    <row r="8296">
      <c r="A8296" s="535" t="n">
        <v>43150</v>
      </c>
      <c r="B8296" s="534" t="n">
        <v>11.133</v>
      </c>
      <c r="C8296" s="534" t="n">
        <v>31115.43</v>
      </c>
    </row>
    <row r="8297">
      <c r="A8297" s="535" t="n">
        <v>43151</v>
      </c>
      <c r="B8297" s="534" t="n">
        <v>11.255</v>
      </c>
      <c r="C8297" s="534" t="n">
        <v>30873.63</v>
      </c>
    </row>
    <row r="8298">
      <c r="A8298" s="535" t="n">
        <v>43152</v>
      </c>
      <c r="B8298" s="534" t="n">
        <v>11.202</v>
      </c>
      <c r="C8298" s="534" t="n">
        <v>31431.89</v>
      </c>
    </row>
    <row r="8299">
      <c r="A8299" s="535" t="n">
        <v>43153</v>
      </c>
      <c r="B8299" s="534" t="n">
        <v>11.324</v>
      </c>
      <c r="C8299" s="534" t="n">
        <v>30965.68</v>
      </c>
    </row>
    <row r="8300">
      <c r="A8300" s="535" t="n">
        <v>43154</v>
      </c>
      <c r="B8300" s="534" t="n">
        <v>11.359</v>
      </c>
      <c r="C8300" s="534" t="n">
        <v>31267.17</v>
      </c>
    </row>
    <row r="8301">
      <c r="A8301" s="535" t="n">
        <v>43157</v>
      </c>
      <c r="B8301" s="534" t="n">
        <v>11.673</v>
      </c>
      <c r="C8301" s="534" t="n">
        <v>31498.6</v>
      </c>
    </row>
    <row r="8302">
      <c r="A8302" s="535" t="n">
        <v>43158</v>
      </c>
      <c r="B8302" s="534" t="n">
        <v>11.534</v>
      </c>
      <c r="C8302" s="534" t="n">
        <v>31268.66</v>
      </c>
    </row>
    <row r="8303">
      <c r="A8303" s="535" t="n">
        <v>43159</v>
      </c>
      <c r="B8303" s="534" t="n">
        <v>11.551</v>
      </c>
      <c r="C8303" s="534" t="n">
        <v>30844.72</v>
      </c>
    </row>
    <row r="8304">
      <c r="A8304" s="535" t="n">
        <v>43160</v>
      </c>
      <c r="B8304" s="534" t="n">
        <v>11.76</v>
      </c>
      <c r="C8304" s="534" t="n">
        <v>31044.25</v>
      </c>
    </row>
    <row r="8305">
      <c r="A8305" s="535" t="n">
        <v>43161</v>
      </c>
      <c r="B8305" s="534" t="n">
        <v>11.534</v>
      </c>
      <c r="C8305" s="534" t="n">
        <v>30583.45</v>
      </c>
    </row>
    <row r="8306">
      <c r="A8306" s="535" t="n">
        <v>43164</v>
      </c>
      <c r="B8306" s="534" t="n">
        <v>11.359</v>
      </c>
      <c r="C8306" s="534" t="n">
        <v>29886.39</v>
      </c>
    </row>
    <row r="8307">
      <c r="A8307" s="535" t="n">
        <v>43165</v>
      </c>
      <c r="B8307" s="534" t="n">
        <v>11.586</v>
      </c>
      <c r="C8307" s="534" t="n">
        <v>30510.73</v>
      </c>
    </row>
    <row r="8308">
      <c r="A8308" s="535" t="n">
        <v>43166</v>
      </c>
      <c r="B8308" s="534" t="n">
        <v>11.586</v>
      </c>
      <c r="C8308" s="534" t="n">
        <v>30196.92</v>
      </c>
    </row>
    <row r="8309">
      <c r="A8309" s="535" t="n">
        <v>43167</v>
      </c>
      <c r="B8309" s="534" t="n">
        <v>11.655</v>
      </c>
      <c r="C8309" s="534" t="n">
        <v>30654.52</v>
      </c>
    </row>
    <row r="8310">
      <c r="A8310" s="535" t="n">
        <v>43168</v>
      </c>
      <c r="B8310" s="534" t="n">
        <v>11.795</v>
      </c>
      <c r="C8310" s="534" t="n">
        <v>30996.21</v>
      </c>
    </row>
    <row r="8311">
      <c r="A8311" s="535" t="n">
        <v>43171</v>
      </c>
      <c r="B8311" s="534" t="n">
        <v>12.126</v>
      </c>
      <c r="C8311" s="534" t="n">
        <v>31594.33</v>
      </c>
    </row>
    <row r="8312">
      <c r="A8312" s="535" t="n">
        <v>43172</v>
      </c>
      <c r="B8312" s="534" t="n">
        <v>12.004</v>
      </c>
      <c r="C8312" s="534" t="n">
        <v>31601.45</v>
      </c>
    </row>
    <row r="8313">
      <c r="A8313" s="535" t="n">
        <v>43173</v>
      </c>
      <c r="B8313" s="534" t="n">
        <v>12.004</v>
      </c>
      <c r="C8313" s="534" t="n">
        <v>31435.01</v>
      </c>
    </row>
    <row r="8314">
      <c r="A8314" s="535" t="n">
        <v>43174</v>
      </c>
      <c r="B8314" s="534" t="n">
        <v>12.561</v>
      </c>
      <c r="C8314" s="534" t="n">
        <v>31541.1</v>
      </c>
    </row>
    <row r="8315">
      <c r="A8315" s="535" t="n">
        <v>43175</v>
      </c>
      <c r="B8315" s="534" t="n">
        <v>12.788</v>
      </c>
      <c r="C8315" s="534" t="n">
        <v>31501.97</v>
      </c>
    </row>
    <row r="8316">
      <c r="A8316" s="535" t="n">
        <v>43178</v>
      </c>
      <c r="B8316" s="534" t="n">
        <v>12.614</v>
      </c>
      <c r="C8316" s="534" t="n">
        <v>31513.76</v>
      </c>
    </row>
    <row r="8317">
      <c r="A8317" s="535" t="n">
        <v>43179</v>
      </c>
      <c r="B8317" s="534" t="n">
        <v>12.335</v>
      </c>
      <c r="C8317" s="534" t="n">
        <v>31549.93</v>
      </c>
    </row>
    <row r="8318">
      <c r="A8318" s="535" t="n">
        <v>43180</v>
      </c>
      <c r="B8318" s="534" t="n">
        <v>12.248</v>
      </c>
      <c r="C8318" s="534" t="n">
        <v>31414.52</v>
      </c>
    </row>
    <row r="8319">
      <c r="A8319" s="535" t="n">
        <v>43181</v>
      </c>
      <c r="B8319" s="534" t="n">
        <v>11.847</v>
      </c>
      <c r="C8319" s="534" t="n">
        <v>31071.05</v>
      </c>
    </row>
    <row r="8320">
      <c r="A8320" s="535" t="n">
        <v>43182</v>
      </c>
      <c r="B8320" s="534" t="n">
        <v>11.621</v>
      </c>
      <c r="C8320" s="534" t="n">
        <v>30309.29</v>
      </c>
    </row>
    <row r="8321">
      <c r="A8321" s="535" t="n">
        <v>43185</v>
      </c>
      <c r="B8321" s="534" t="n">
        <v>11.76</v>
      </c>
      <c r="C8321" s="534" t="n">
        <v>30548.77</v>
      </c>
    </row>
    <row r="8322">
      <c r="A8322" s="535" t="n">
        <v>43186</v>
      </c>
      <c r="B8322" s="534" t="n">
        <v>11.882</v>
      </c>
      <c r="C8322" s="534" t="n">
        <v>30790.83</v>
      </c>
    </row>
    <row r="8323">
      <c r="A8323" s="535" t="n">
        <v>43187</v>
      </c>
      <c r="B8323" s="534" t="n">
        <v>11.655</v>
      </c>
      <c r="C8323" s="534" t="n">
        <v>30022.53</v>
      </c>
    </row>
    <row r="8324">
      <c r="A8324" s="535" t="n">
        <v>43188</v>
      </c>
      <c r="B8324" s="534" t="n">
        <v>11.795</v>
      </c>
      <c r="C8324" s="534" t="n">
        <v>30093.38</v>
      </c>
    </row>
    <row r="8325">
      <c r="A8325" s="535" t="n">
        <v>43189</v>
      </c>
      <c r="B8325" s="534" t="n">
        <v>11.795</v>
      </c>
      <c r="C8325" s="534" t="n">
        <v>30093.38</v>
      </c>
    </row>
    <row r="8326">
      <c r="A8326" s="535" t="n">
        <v>43192</v>
      </c>
      <c r="B8326" s="534" t="n">
        <v>11.795</v>
      </c>
      <c r="C8326" s="534" t="n">
        <v>30093.38</v>
      </c>
    </row>
    <row r="8327">
      <c r="A8327" s="535" t="n">
        <v>43193</v>
      </c>
      <c r="B8327" s="534" t="n">
        <v>11.83</v>
      </c>
      <c r="C8327" s="534" t="n">
        <v>30180.1</v>
      </c>
    </row>
    <row r="8328">
      <c r="A8328" s="535" t="n">
        <v>43194</v>
      </c>
      <c r="B8328" s="534" t="n">
        <v>11.708</v>
      </c>
      <c r="C8328" s="534" t="n">
        <v>29518.69</v>
      </c>
    </row>
    <row r="8329">
      <c r="A8329" s="535" t="n">
        <v>43195</v>
      </c>
      <c r="B8329" s="534" t="n">
        <v>11.708</v>
      </c>
      <c r="C8329" s="534" t="n">
        <v>29518.69</v>
      </c>
    </row>
    <row r="8330">
      <c r="A8330" s="535" t="n">
        <v>43196</v>
      </c>
      <c r="B8330" s="534" t="n">
        <v>11.865</v>
      </c>
      <c r="C8330" s="534" t="n">
        <v>29844.94</v>
      </c>
    </row>
    <row r="8331">
      <c r="A8331" s="535" t="n">
        <v>43199</v>
      </c>
      <c r="B8331" s="534" t="n">
        <v>11.725</v>
      </c>
      <c r="C8331" s="534" t="n">
        <v>30229.58</v>
      </c>
    </row>
    <row r="8332">
      <c r="A8332" s="535" t="n">
        <v>43200</v>
      </c>
      <c r="B8332" s="534" t="n">
        <v>11.655</v>
      </c>
      <c r="C8332" s="534" t="n">
        <v>30728.74</v>
      </c>
    </row>
    <row r="8333">
      <c r="A8333" s="535" t="n">
        <v>43201</v>
      </c>
      <c r="B8333" s="534" t="n">
        <v>11.586</v>
      </c>
      <c r="C8333" s="534" t="n">
        <v>30897.71</v>
      </c>
    </row>
    <row r="8334">
      <c r="A8334" s="535" t="n">
        <v>43202</v>
      </c>
      <c r="B8334" s="534" t="n">
        <v>11.342</v>
      </c>
      <c r="C8334" s="534" t="n">
        <v>30831.28</v>
      </c>
    </row>
    <row r="8335">
      <c r="A8335" s="535" t="n">
        <v>43203</v>
      </c>
      <c r="B8335" s="534" t="n">
        <v>11.272</v>
      </c>
      <c r="C8335" s="534" t="n">
        <v>30808.38</v>
      </c>
    </row>
    <row r="8336">
      <c r="A8336" s="535" t="n">
        <v>43206</v>
      </c>
      <c r="B8336" s="534" t="n">
        <v>11.081</v>
      </c>
      <c r="C8336" s="534" t="n">
        <v>30315.59</v>
      </c>
    </row>
    <row r="8337">
      <c r="A8337" s="535" t="n">
        <v>43207</v>
      </c>
      <c r="B8337" s="534" t="n">
        <v>10.976</v>
      </c>
      <c r="C8337" s="534" t="n">
        <v>30062.75</v>
      </c>
    </row>
    <row r="8338">
      <c r="A8338" s="535" t="n">
        <v>43208</v>
      </c>
      <c r="B8338" s="534" t="n">
        <v>10.906</v>
      </c>
      <c r="C8338" s="534" t="n">
        <v>30284.25</v>
      </c>
    </row>
    <row r="8339">
      <c r="A8339" s="535" t="n">
        <v>43209</v>
      </c>
      <c r="B8339" s="534" t="n">
        <v>10.871</v>
      </c>
      <c r="C8339" s="534" t="n">
        <v>30708.44</v>
      </c>
    </row>
    <row r="8340">
      <c r="A8340" s="535" t="n">
        <v>43210</v>
      </c>
      <c r="B8340" s="534" t="n">
        <v>10.854</v>
      </c>
      <c r="C8340" s="534" t="n">
        <v>30418.33</v>
      </c>
    </row>
    <row r="8341">
      <c r="A8341" s="535" t="n">
        <v>43213</v>
      </c>
      <c r="B8341" s="534" t="n">
        <v>10.871</v>
      </c>
      <c r="C8341" s="534" t="n">
        <v>30254.4</v>
      </c>
    </row>
    <row r="8342">
      <c r="A8342" s="535" t="n">
        <v>43214</v>
      </c>
      <c r="B8342" s="534" t="n">
        <v>11.115</v>
      </c>
      <c r="C8342" s="534" t="n">
        <v>30636.24</v>
      </c>
    </row>
    <row r="8343">
      <c r="A8343" s="535" t="n">
        <v>43215</v>
      </c>
      <c r="B8343" s="534" t="n">
        <v>11.133</v>
      </c>
      <c r="C8343" s="534" t="n">
        <v>30328.15</v>
      </c>
    </row>
    <row r="8344">
      <c r="A8344" s="535" t="n">
        <v>43216</v>
      </c>
      <c r="B8344" s="534" t="n">
        <v>10.889</v>
      </c>
      <c r="C8344" s="534" t="n">
        <v>30007.68</v>
      </c>
    </row>
    <row r="8345">
      <c r="A8345" s="535" t="n">
        <v>43217</v>
      </c>
      <c r="B8345" s="534" t="n">
        <v>11.081</v>
      </c>
      <c r="C8345" s="534" t="n">
        <v>30280.67</v>
      </c>
    </row>
    <row r="8346">
      <c r="A8346" s="535" t="n">
        <v>43220</v>
      </c>
      <c r="B8346" s="534" t="n">
        <v>11.011</v>
      </c>
      <c r="C8346" s="534" t="n">
        <v>30808.45</v>
      </c>
    </row>
    <row r="8347">
      <c r="A8347" s="535" t="n">
        <v>43221</v>
      </c>
      <c r="B8347" s="534" t="n">
        <v>11.011</v>
      </c>
      <c r="C8347" s="534" t="n">
        <v>30808.45</v>
      </c>
    </row>
    <row r="8348">
      <c r="A8348" s="535" t="n">
        <v>43222</v>
      </c>
      <c r="B8348" s="534" t="n">
        <v>11.011</v>
      </c>
      <c r="C8348" s="534" t="n">
        <v>30723.88</v>
      </c>
    </row>
    <row r="8349">
      <c r="A8349" s="535" t="n">
        <v>43223</v>
      </c>
      <c r="B8349" s="534" t="n">
        <v>11.098</v>
      </c>
      <c r="C8349" s="534" t="n">
        <v>30313.37</v>
      </c>
    </row>
    <row r="8350">
      <c r="A8350" s="535" t="n">
        <v>43224</v>
      </c>
      <c r="B8350" s="534" t="n">
        <v>10.802</v>
      </c>
      <c r="C8350" s="534" t="n">
        <v>29926.5</v>
      </c>
    </row>
    <row r="8351">
      <c r="A8351" s="535" t="n">
        <v>43227</v>
      </c>
      <c r="B8351" s="534" t="n">
        <v>10.837</v>
      </c>
      <c r="C8351" s="534" t="n">
        <v>29994.26</v>
      </c>
    </row>
    <row r="8352">
      <c r="A8352" s="535" t="n">
        <v>43228</v>
      </c>
      <c r="B8352" s="534" t="n">
        <v>10.889</v>
      </c>
      <c r="C8352" s="534" t="n">
        <v>30402.81</v>
      </c>
    </row>
    <row r="8353">
      <c r="A8353" s="535" t="n">
        <v>43229</v>
      </c>
      <c r="B8353" s="534" t="n">
        <v>11.202</v>
      </c>
      <c r="C8353" s="534" t="n">
        <v>30536.14</v>
      </c>
    </row>
    <row r="8354">
      <c r="A8354" s="535" t="n">
        <v>43230</v>
      </c>
      <c r="B8354" s="534" t="n">
        <v>11.29</v>
      </c>
      <c r="C8354" s="534" t="n">
        <v>30809.22</v>
      </c>
    </row>
    <row r="8355">
      <c r="A8355" s="535" t="n">
        <v>43231</v>
      </c>
      <c r="B8355" s="534" t="n">
        <v>11.446</v>
      </c>
      <c r="C8355" s="534" t="n">
        <v>31122.06</v>
      </c>
    </row>
    <row r="8356">
      <c r="A8356" s="535" t="n">
        <v>43234</v>
      </c>
      <c r="B8356" s="534" t="n">
        <v>11.586</v>
      </c>
      <c r="C8356" s="534" t="n">
        <v>31541.08</v>
      </c>
    </row>
    <row r="8357">
      <c r="A8357" s="535" t="n">
        <v>43235</v>
      </c>
      <c r="B8357" s="534" t="n">
        <v>11.568</v>
      </c>
      <c r="C8357" s="534" t="n">
        <v>31152.03</v>
      </c>
    </row>
    <row r="8358">
      <c r="A8358" s="535" t="n">
        <v>43236</v>
      </c>
      <c r="B8358" s="534" t="n">
        <v>11.499</v>
      </c>
      <c r="C8358" s="534" t="n">
        <v>31110.2</v>
      </c>
    </row>
    <row r="8359">
      <c r="A8359" s="535" t="n">
        <v>43237</v>
      </c>
      <c r="B8359" s="534" t="n">
        <v>11.377</v>
      </c>
      <c r="C8359" s="534" t="n">
        <v>30942.15</v>
      </c>
    </row>
    <row r="8360">
      <c r="A8360" s="535" t="n">
        <v>43238</v>
      </c>
      <c r="B8360" s="534" t="n">
        <v>11.237</v>
      </c>
      <c r="C8360" s="534" t="n">
        <v>31047.91</v>
      </c>
    </row>
    <row r="8361">
      <c r="A8361" s="535" t="n">
        <v>43241</v>
      </c>
      <c r="B8361" s="534" t="n">
        <v>11.237</v>
      </c>
      <c r="C8361" s="534" t="n">
        <v>31234.35</v>
      </c>
    </row>
    <row r="8362">
      <c r="A8362" s="535" t="n">
        <v>43242</v>
      </c>
      <c r="B8362" s="534" t="n">
        <v>11.237</v>
      </c>
      <c r="C8362" s="534" t="n">
        <v>31234.35</v>
      </c>
    </row>
    <row r="8363">
      <c r="A8363" s="535" t="n">
        <v>43243</v>
      </c>
      <c r="B8363" s="534" t="n">
        <v>11.185</v>
      </c>
      <c r="C8363" s="534" t="n">
        <v>30665.64</v>
      </c>
    </row>
    <row r="8364">
      <c r="A8364" s="535" t="n">
        <v>43244</v>
      </c>
      <c r="B8364" s="534" t="n">
        <v>11.255</v>
      </c>
      <c r="C8364" s="534" t="n">
        <v>30760.41</v>
      </c>
    </row>
    <row r="8365">
      <c r="A8365" s="535" t="n">
        <v>43245</v>
      </c>
      <c r="B8365" s="534" t="n">
        <v>11.272</v>
      </c>
      <c r="C8365" s="534" t="n">
        <v>30588.04</v>
      </c>
    </row>
    <row r="8366">
      <c r="A8366" s="535" t="n">
        <v>43248</v>
      </c>
      <c r="B8366" s="534" t="n">
        <v>11.568</v>
      </c>
      <c r="C8366" s="534" t="n">
        <v>30792.26</v>
      </c>
    </row>
    <row r="8367">
      <c r="A8367" s="535" t="n">
        <v>43249</v>
      </c>
      <c r="B8367" s="534" t="n">
        <v>11.499</v>
      </c>
      <c r="C8367" s="534" t="n">
        <v>30484.58</v>
      </c>
    </row>
    <row r="8368">
      <c r="A8368" s="535" t="n">
        <v>43250</v>
      </c>
      <c r="B8368" s="534" t="n">
        <v>11.15</v>
      </c>
      <c r="C8368" s="534" t="n">
        <v>30056.79</v>
      </c>
    </row>
    <row r="8369">
      <c r="A8369" s="535" t="n">
        <v>43251</v>
      </c>
      <c r="B8369" s="534" t="n">
        <v>11.133</v>
      </c>
      <c r="C8369" s="534" t="n">
        <v>30468.56</v>
      </c>
    </row>
    <row r="8370">
      <c r="A8370" s="535" t="n">
        <v>43252</v>
      </c>
      <c r="B8370" s="534" t="n">
        <v>11.098</v>
      </c>
      <c r="C8370" s="534" t="n">
        <v>30492.91</v>
      </c>
    </row>
    <row r="8371">
      <c r="A8371" s="535" t="n">
        <v>43255</v>
      </c>
      <c r="B8371" s="534" t="n">
        <v>11.185</v>
      </c>
      <c r="C8371" s="534" t="n">
        <v>30997.98</v>
      </c>
    </row>
    <row r="8372">
      <c r="A8372" s="535" t="n">
        <v>43256</v>
      </c>
      <c r="B8372" s="534" t="n">
        <v>11.568</v>
      </c>
      <c r="C8372" s="534" t="n">
        <v>31093.45</v>
      </c>
    </row>
    <row r="8373">
      <c r="A8373" s="535" t="n">
        <v>43257</v>
      </c>
      <c r="B8373" s="534" t="n">
        <v>11.812</v>
      </c>
      <c r="C8373" s="534" t="n">
        <v>31259.1</v>
      </c>
    </row>
    <row r="8374">
      <c r="A8374" s="535" t="n">
        <v>43258</v>
      </c>
      <c r="B8374" s="534" t="n">
        <v>11.882</v>
      </c>
      <c r="C8374" s="534" t="n">
        <v>31512.63</v>
      </c>
    </row>
    <row r="8375">
      <c r="A8375" s="535" t="n">
        <v>43259</v>
      </c>
      <c r="B8375" s="534" t="n">
        <v>11.812</v>
      </c>
      <c r="C8375" s="534" t="n">
        <v>30958.21</v>
      </c>
    </row>
    <row r="8376">
      <c r="A8376" s="535" t="n">
        <v>43262</v>
      </c>
      <c r="B8376" s="534" t="n">
        <v>12.004</v>
      </c>
      <c r="C8376" s="534" t="n">
        <v>31063.7</v>
      </c>
    </row>
    <row r="8377">
      <c r="A8377" s="535" t="n">
        <v>43263</v>
      </c>
      <c r="B8377" s="534" t="n">
        <v>11.934</v>
      </c>
      <c r="C8377" s="534" t="n">
        <v>31103.06</v>
      </c>
    </row>
    <row r="8378">
      <c r="A8378" s="535" t="n">
        <v>43264</v>
      </c>
      <c r="B8378" s="534" t="n">
        <v>11.987</v>
      </c>
      <c r="C8378" s="534" t="n">
        <v>30725.15</v>
      </c>
    </row>
    <row r="8379">
      <c r="A8379" s="535" t="n">
        <v>43265</v>
      </c>
      <c r="B8379" s="534" t="n">
        <v>12.074</v>
      </c>
      <c r="C8379" s="534" t="n">
        <v>30440.17</v>
      </c>
    </row>
    <row r="8380">
      <c r="A8380" s="535" t="n">
        <v>43266</v>
      </c>
      <c r="B8380" s="534" t="n">
        <v>11.83</v>
      </c>
      <c r="C8380" s="534" t="n">
        <v>30309.49</v>
      </c>
    </row>
    <row r="8381">
      <c r="A8381" s="535" t="n">
        <v>43269</v>
      </c>
      <c r="B8381" s="534" t="n">
        <v>11.83</v>
      </c>
      <c r="C8381" s="534" t="n">
        <v>30309.49</v>
      </c>
    </row>
    <row r="8382">
      <c r="A8382" s="535" t="n">
        <v>43270</v>
      </c>
      <c r="B8382" s="534" t="n">
        <v>11.586</v>
      </c>
      <c r="C8382" s="534" t="n">
        <v>29468.15</v>
      </c>
    </row>
    <row r="8383">
      <c r="A8383" s="535" t="n">
        <v>43271</v>
      </c>
      <c r="B8383" s="534" t="n">
        <v>11.725</v>
      </c>
      <c r="C8383" s="534" t="n">
        <v>29696.17</v>
      </c>
    </row>
    <row r="8384">
      <c r="A8384" s="535" t="n">
        <v>43272</v>
      </c>
      <c r="B8384" s="534" t="n">
        <v>11.446</v>
      </c>
      <c r="C8384" s="534" t="n">
        <v>29296.05</v>
      </c>
    </row>
    <row r="8385">
      <c r="A8385" s="535" t="n">
        <v>43273</v>
      </c>
      <c r="B8385" s="534" t="n">
        <v>11.377</v>
      </c>
      <c r="C8385" s="534" t="n">
        <v>29338.7</v>
      </c>
    </row>
    <row r="8386">
      <c r="A8386" s="535" t="n">
        <v>43276</v>
      </c>
      <c r="B8386" s="534" t="n">
        <v>11.324</v>
      </c>
      <c r="C8386" s="534" t="n">
        <v>28961.39</v>
      </c>
    </row>
    <row r="8387">
      <c r="A8387" s="535" t="n">
        <v>43277</v>
      </c>
      <c r="B8387" s="534" t="n">
        <v>11.202</v>
      </c>
      <c r="C8387" s="534" t="n">
        <v>28881.4</v>
      </c>
    </row>
    <row r="8388">
      <c r="A8388" s="535" t="n">
        <v>43278</v>
      </c>
      <c r="B8388" s="534" t="n">
        <v>10.976</v>
      </c>
      <c r="C8388" s="534" t="n">
        <v>28356.26</v>
      </c>
    </row>
    <row r="8389">
      <c r="A8389" s="535" t="n">
        <v>43279</v>
      </c>
      <c r="B8389" s="534" t="n">
        <v>10.75</v>
      </c>
      <c r="C8389" s="534" t="n">
        <v>28497.32</v>
      </c>
    </row>
    <row r="8390">
      <c r="A8390" s="535" t="n">
        <v>43280</v>
      </c>
      <c r="B8390" s="534" t="n">
        <v>10.75</v>
      </c>
      <c r="C8390" s="534" t="n">
        <v>28955.11</v>
      </c>
    </row>
    <row r="8391">
      <c r="A8391" s="535" t="n">
        <v>43283</v>
      </c>
      <c r="B8391" s="534" t="n">
        <v>10.75</v>
      </c>
      <c r="C8391" s="534" t="n">
        <v>28955.11</v>
      </c>
    </row>
    <row r="8392">
      <c r="A8392" s="535" t="n">
        <v>43284</v>
      </c>
      <c r="B8392" s="534" t="n">
        <v>10.645</v>
      </c>
      <c r="C8392" s="534" t="n">
        <v>28545.57</v>
      </c>
    </row>
    <row r="8393">
      <c r="A8393" s="535" t="n">
        <v>43285</v>
      </c>
      <c r="B8393" s="534" t="n">
        <v>10.506</v>
      </c>
      <c r="C8393" s="534" t="n">
        <v>28241.67</v>
      </c>
    </row>
    <row r="8394">
      <c r="A8394" s="535" t="n">
        <v>43286</v>
      </c>
      <c r="B8394" s="534" t="n">
        <v>10.54</v>
      </c>
      <c r="C8394" s="534" t="n">
        <v>28182.09</v>
      </c>
    </row>
    <row r="8395">
      <c r="A8395" s="535" t="n">
        <v>43287</v>
      </c>
      <c r="B8395" s="534" t="n">
        <v>10.488</v>
      </c>
      <c r="C8395" s="534" t="n">
        <v>28315.62</v>
      </c>
    </row>
    <row r="8396">
      <c r="A8396" s="535" t="n">
        <v>43290</v>
      </c>
      <c r="B8396" s="534" t="n">
        <v>10.662</v>
      </c>
      <c r="C8396" s="534" t="n">
        <v>28688.5</v>
      </c>
    </row>
    <row r="8397">
      <c r="A8397" s="535" t="n">
        <v>43291</v>
      </c>
      <c r="B8397" s="534" t="n">
        <v>10.715</v>
      </c>
      <c r="C8397" s="534" t="n">
        <v>28682.25</v>
      </c>
    </row>
    <row r="8398">
      <c r="A8398" s="535" t="n">
        <v>43292</v>
      </c>
      <c r="B8398" s="534" t="n">
        <v>10.523</v>
      </c>
      <c r="C8398" s="534" t="n">
        <v>28311.69</v>
      </c>
    </row>
    <row r="8399">
      <c r="A8399" s="535" t="n">
        <v>43293</v>
      </c>
      <c r="B8399" s="534" t="n">
        <v>10.871</v>
      </c>
      <c r="C8399" s="534" t="n">
        <v>28480.83</v>
      </c>
    </row>
    <row r="8400">
      <c r="A8400" s="535" t="n">
        <v>43294</v>
      </c>
      <c r="B8400" s="534" t="n">
        <v>10.819</v>
      </c>
      <c r="C8400" s="534" t="n">
        <v>28525.44</v>
      </c>
    </row>
    <row r="8401">
      <c r="A8401" s="535" t="n">
        <v>43297</v>
      </c>
      <c r="B8401" s="534" t="n">
        <v>10.68</v>
      </c>
      <c r="C8401" s="534" t="n">
        <v>28539.66</v>
      </c>
    </row>
    <row r="8402">
      <c r="A8402" s="535" t="n">
        <v>43298</v>
      </c>
      <c r="B8402" s="534" t="n">
        <v>10.784</v>
      </c>
      <c r="C8402" s="534" t="n">
        <v>28181.68</v>
      </c>
    </row>
    <row r="8403">
      <c r="A8403" s="535" t="n">
        <v>43299</v>
      </c>
      <c r="B8403" s="534" t="n">
        <v>10.645</v>
      </c>
      <c r="C8403" s="534" t="n">
        <v>28117.42</v>
      </c>
    </row>
    <row r="8404">
      <c r="A8404" s="535" t="n">
        <v>43300</v>
      </c>
      <c r="B8404" s="534" t="n">
        <v>10.558</v>
      </c>
      <c r="C8404" s="534" t="n">
        <v>28010.86</v>
      </c>
    </row>
    <row r="8405">
      <c r="A8405" s="535" t="n">
        <v>43301</v>
      </c>
      <c r="B8405" s="534" t="n">
        <v>10.593</v>
      </c>
      <c r="C8405" s="534" t="n">
        <v>28224.48</v>
      </c>
    </row>
    <row r="8406">
      <c r="A8406" s="535" t="n">
        <v>43304</v>
      </c>
      <c r="B8406" s="534" t="n">
        <v>10.523</v>
      </c>
      <c r="C8406" s="534" t="n">
        <v>28256.12</v>
      </c>
    </row>
    <row r="8407">
      <c r="A8407" s="535" t="n">
        <v>43305</v>
      </c>
      <c r="B8407" s="534" t="n">
        <v>10.418</v>
      </c>
      <c r="C8407" s="534" t="n">
        <v>28662.57</v>
      </c>
    </row>
    <row r="8408">
      <c r="A8408" s="535" t="n">
        <v>43306</v>
      </c>
      <c r="B8408" s="534" t="n">
        <v>10.523</v>
      </c>
      <c r="C8408" s="534" t="n">
        <v>28920.9</v>
      </c>
    </row>
    <row r="8409">
      <c r="A8409" s="535" t="n">
        <v>43307</v>
      </c>
      <c r="B8409" s="534" t="n">
        <v>10.349</v>
      </c>
      <c r="C8409" s="534" t="n">
        <v>28781.14</v>
      </c>
    </row>
    <row r="8410">
      <c r="A8410" s="535" t="n">
        <v>43308</v>
      </c>
      <c r="B8410" s="534" t="n">
        <v>10.349</v>
      </c>
      <c r="C8410" s="534" t="n">
        <v>28804.28</v>
      </c>
    </row>
    <row r="8411">
      <c r="A8411" s="535" t="n">
        <v>43311</v>
      </c>
      <c r="B8411" s="534" t="n">
        <v>10.366</v>
      </c>
      <c r="C8411" s="534" t="n">
        <v>28733.13</v>
      </c>
    </row>
    <row r="8412">
      <c r="A8412" s="535" t="n">
        <v>43312</v>
      </c>
      <c r="B8412" s="534" t="n">
        <v>10.558</v>
      </c>
      <c r="C8412" s="534" t="n">
        <v>28583.01</v>
      </c>
    </row>
    <row r="8413">
      <c r="A8413" s="535" t="n">
        <v>43313</v>
      </c>
      <c r="B8413" s="534" t="n">
        <v>10.593</v>
      </c>
      <c r="C8413" s="534" t="n">
        <v>28340.74</v>
      </c>
    </row>
    <row r="8414">
      <c r="A8414" s="535" t="n">
        <v>43314</v>
      </c>
      <c r="B8414" s="534" t="n">
        <v>10.488</v>
      </c>
      <c r="C8414" s="534" t="n">
        <v>27714.56</v>
      </c>
    </row>
    <row r="8415">
      <c r="A8415" s="535" t="n">
        <v>43315</v>
      </c>
      <c r="B8415" s="534" t="n">
        <v>10.349</v>
      </c>
      <c r="C8415" s="534" t="n">
        <v>27676.32</v>
      </c>
    </row>
    <row r="8416">
      <c r="A8416" s="535" t="n">
        <v>43318</v>
      </c>
      <c r="B8416" s="534" t="n">
        <v>10.349</v>
      </c>
      <c r="C8416" s="534" t="n">
        <v>27819.56</v>
      </c>
    </row>
    <row r="8417">
      <c r="A8417" s="535" t="n">
        <v>43319</v>
      </c>
      <c r="B8417" s="534" t="n">
        <v>10.523</v>
      </c>
      <c r="C8417" s="534" t="n">
        <v>28248.88</v>
      </c>
    </row>
    <row r="8418">
      <c r="A8418" s="535" t="n">
        <v>43320</v>
      </c>
      <c r="B8418" s="534" t="n">
        <v>10.331</v>
      </c>
      <c r="C8418" s="534" t="n">
        <v>28359.14</v>
      </c>
    </row>
    <row r="8419">
      <c r="A8419" s="535" t="n">
        <v>43321</v>
      </c>
      <c r="B8419" s="534" t="n">
        <v>10.941</v>
      </c>
      <c r="C8419" s="534" t="n">
        <v>28607.3</v>
      </c>
    </row>
    <row r="8420">
      <c r="A8420" s="535" t="n">
        <v>43322</v>
      </c>
      <c r="B8420" s="534" t="n">
        <v>10.75</v>
      </c>
      <c r="C8420" s="534" t="n">
        <v>28366.62</v>
      </c>
    </row>
    <row r="8421">
      <c r="A8421" s="535" t="n">
        <v>43325</v>
      </c>
      <c r="B8421" s="534" t="n">
        <v>10.628</v>
      </c>
      <c r="C8421" s="534" t="n">
        <v>27936.57</v>
      </c>
    </row>
    <row r="8422">
      <c r="A8422" s="535" t="n">
        <v>43326</v>
      </c>
      <c r="B8422" s="534" t="n">
        <v>10.471</v>
      </c>
      <c r="C8422" s="534" t="n">
        <v>27752.93</v>
      </c>
    </row>
    <row r="8423">
      <c r="A8423" s="535" t="n">
        <v>43327</v>
      </c>
      <c r="B8423" s="534" t="n">
        <v>10.331</v>
      </c>
      <c r="C8423" s="534" t="n">
        <v>27323.59</v>
      </c>
    </row>
    <row r="8424">
      <c r="A8424" s="535" t="n">
        <v>43328</v>
      </c>
      <c r="B8424" s="534" t="n">
        <v>10.401</v>
      </c>
      <c r="C8424" s="534" t="n">
        <v>27100.06</v>
      </c>
    </row>
    <row r="8425">
      <c r="A8425" s="535" t="n">
        <v>43329</v>
      </c>
      <c r="B8425" s="534" t="n">
        <v>10.401</v>
      </c>
      <c r="C8425" s="534" t="n">
        <v>27213.41</v>
      </c>
    </row>
    <row r="8426">
      <c r="A8426" s="535" t="n">
        <v>43332</v>
      </c>
      <c r="B8426" s="534" t="n">
        <v>10.453</v>
      </c>
      <c r="C8426" s="534" t="n">
        <v>27598.02</v>
      </c>
    </row>
    <row r="8427">
      <c r="A8427" s="535" t="n">
        <v>43333</v>
      </c>
      <c r="B8427" s="534" t="n">
        <v>10.68</v>
      </c>
      <c r="C8427" s="534" t="n">
        <v>27752.79</v>
      </c>
    </row>
    <row r="8428">
      <c r="A8428" s="535" t="n">
        <v>43334</v>
      </c>
      <c r="B8428" s="534" t="n">
        <v>10.732</v>
      </c>
      <c r="C8428" s="534" t="n">
        <v>27927.58</v>
      </c>
    </row>
    <row r="8429">
      <c r="A8429" s="535" t="n">
        <v>43335</v>
      </c>
      <c r="B8429" s="534" t="n">
        <v>10.488</v>
      </c>
      <c r="C8429" s="534" t="n">
        <v>27790.46</v>
      </c>
    </row>
    <row r="8430">
      <c r="A8430" s="535" t="n">
        <v>43336</v>
      </c>
      <c r="B8430" s="534" t="n">
        <v>10.366</v>
      </c>
      <c r="C8430" s="534" t="n">
        <v>27671.87</v>
      </c>
    </row>
    <row r="8431">
      <c r="A8431" s="535" t="n">
        <v>43339</v>
      </c>
      <c r="B8431" s="534" t="n">
        <v>10.331</v>
      </c>
      <c r="C8431" s="534" t="n">
        <v>28271.27</v>
      </c>
    </row>
    <row r="8432">
      <c r="A8432" s="535" t="n">
        <v>43340</v>
      </c>
      <c r="B8432" s="534" t="n">
        <v>10.279</v>
      </c>
      <c r="C8432" s="534" t="n">
        <v>28351.62</v>
      </c>
    </row>
    <row r="8433">
      <c r="A8433" s="535" t="n">
        <v>43341</v>
      </c>
      <c r="B8433" s="534" t="n">
        <v>10.331</v>
      </c>
      <c r="C8433" s="534" t="n">
        <v>28416.44</v>
      </c>
    </row>
    <row r="8434">
      <c r="A8434" s="535" t="n">
        <v>43342</v>
      </c>
      <c r="B8434" s="534" t="n">
        <v>10.297</v>
      </c>
      <c r="C8434" s="534" t="n">
        <v>28164.05</v>
      </c>
    </row>
    <row r="8435">
      <c r="A8435" s="535" t="n">
        <v>43343</v>
      </c>
      <c r="B8435" s="534" t="n">
        <v>10.192</v>
      </c>
      <c r="C8435" s="534" t="n">
        <v>27888.55</v>
      </c>
    </row>
    <row r="8436">
      <c r="A8436" s="535" t="n">
        <v>43346</v>
      </c>
      <c r="B8436" s="534" t="n">
        <v>10.192</v>
      </c>
      <c r="C8436" s="534" t="n">
        <v>27712.54</v>
      </c>
    </row>
    <row r="8437">
      <c r="A8437" s="535" t="n">
        <v>43347</v>
      </c>
      <c r="B8437" s="534" t="n">
        <v>10.244</v>
      </c>
      <c r="C8437" s="534" t="n">
        <v>27973.34</v>
      </c>
    </row>
    <row r="8438">
      <c r="A8438" s="535" t="n">
        <v>43348</v>
      </c>
      <c r="B8438" s="534" t="n">
        <v>10.035</v>
      </c>
      <c r="C8438" s="534" t="n">
        <v>27243.85</v>
      </c>
    </row>
    <row r="8439">
      <c r="A8439" s="535" t="n">
        <v>43349</v>
      </c>
      <c r="B8439" s="534" t="n">
        <v>9.948</v>
      </c>
      <c r="C8439" s="534" t="n">
        <v>26974.82</v>
      </c>
    </row>
    <row r="8440">
      <c r="A8440" s="535" t="n">
        <v>43350</v>
      </c>
      <c r="B8440" s="534" t="n">
        <v>9.930999999999999</v>
      </c>
      <c r="C8440" s="534" t="n">
        <v>26973.47</v>
      </c>
    </row>
    <row r="8441">
      <c r="A8441" s="535" t="n">
        <v>43353</v>
      </c>
      <c r="B8441" s="534" t="n">
        <v>9.896000000000001</v>
      </c>
      <c r="C8441" s="534" t="n">
        <v>26613.42</v>
      </c>
    </row>
    <row r="8442">
      <c r="A8442" s="535" t="n">
        <v>43354</v>
      </c>
      <c r="B8442" s="534" t="n">
        <v>9.843999999999999</v>
      </c>
      <c r="C8442" s="534" t="n">
        <v>26422.55</v>
      </c>
    </row>
    <row r="8443">
      <c r="A8443" s="535" t="n">
        <v>43355</v>
      </c>
      <c r="B8443" s="534" t="n">
        <v>9.565</v>
      </c>
      <c r="C8443" s="534" t="n">
        <v>26345.04</v>
      </c>
    </row>
    <row r="8444">
      <c r="A8444" s="535" t="n">
        <v>43356</v>
      </c>
      <c r="B8444" s="534" t="n">
        <v>9.669</v>
      </c>
      <c r="C8444" s="534" t="n">
        <v>27014.49</v>
      </c>
    </row>
    <row r="8445">
      <c r="A8445" s="535" t="n">
        <v>43357</v>
      </c>
      <c r="B8445" s="534" t="n">
        <v>9.808999999999999</v>
      </c>
      <c r="C8445" s="534" t="n">
        <v>27286.41</v>
      </c>
    </row>
    <row r="8446">
      <c r="A8446" s="535" t="n">
        <v>43360</v>
      </c>
      <c r="B8446" s="534" t="n">
        <v>9.634</v>
      </c>
      <c r="C8446" s="534" t="n">
        <v>26932.85</v>
      </c>
    </row>
    <row r="8447">
      <c r="A8447" s="535" t="n">
        <v>43361</v>
      </c>
      <c r="B8447" s="534" t="n">
        <v>9.722</v>
      </c>
      <c r="C8447" s="534" t="n">
        <v>27084.66</v>
      </c>
    </row>
    <row r="8448">
      <c r="A8448" s="535" t="n">
        <v>43362</v>
      </c>
      <c r="B8448" s="534" t="n">
        <v>9.948</v>
      </c>
      <c r="C8448" s="534" t="n">
        <v>27407.37</v>
      </c>
    </row>
    <row r="8449">
      <c r="A8449" s="535" t="n">
        <v>43363</v>
      </c>
      <c r="B8449" s="534" t="n">
        <v>9.791</v>
      </c>
      <c r="C8449" s="534" t="n">
        <v>27477.67</v>
      </c>
    </row>
    <row r="8450">
      <c r="A8450" s="535" t="n">
        <v>43364</v>
      </c>
      <c r="B8450" s="534" t="n">
        <v>9.948</v>
      </c>
      <c r="C8450" s="534" t="n">
        <v>27953.58</v>
      </c>
    </row>
    <row r="8451">
      <c r="A8451" s="535" t="n">
        <v>43367</v>
      </c>
      <c r="B8451" s="534" t="n">
        <v>9.861000000000001</v>
      </c>
      <c r="C8451" s="534" t="n">
        <v>27499.39</v>
      </c>
    </row>
    <row r="8452">
      <c r="A8452" s="535" t="n">
        <v>43368</v>
      </c>
      <c r="B8452" s="534" t="n">
        <v>9.861000000000001</v>
      </c>
      <c r="C8452" s="534" t="n">
        <v>27499.39</v>
      </c>
    </row>
    <row r="8453">
      <c r="A8453" s="535" t="n">
        <v>43369</v>
      </c>
      <c r="B8453" s="534" t="n">
        <v>9.756</v>
      </c>
      <c r="C8453" s="534" t="n">
        <v>27816.87</v>
      </c>
    </row>
    <row r="8454">
      <c r="A8454" s="535" t="n">
        <v>43370</v>
      </c>
      <c r="B8454" s="534" t="n">
        <v>9.756</v>
      </c>
      <c r="C8454" s="534" t="n">
        <v>27715.67</v>
      </c>
    </row>
    <row r="8455">
      <c r="A8455" s="535" t="n">
        <v>43371</v>
      </c>
      <c r="B8455" s="534" t="n">
        <v>10.279</v>
      </c>
      <c r="C8455" s="534" t="n">
        <v>27788.52</v>
      </c>
    </row>
    <row r="8456">
      <c r="A8456" s="535" t="n">
        <v>43374</v>
      </c>
      <c r="B8456" s="534" t="n">
        <v>10.279</v>
      </c>
      <c r="C8456" s="534" t="n">
        <v>27788.52</v>
      </c>
    </row>
    <row r="8457">
      <c r="A8457" s="535" t="n">
        <v>43375</v>
      </c>
      <c r="B8457" s="534" t="n">
        <v>9.948</v>
      </c>
      <c r="C8457" s="534" t="n">
        <v>27126.38</v>
      </c>
    </row>
    <row r="8458">
      <c r="A8458" s="535" t="n">
        <v>43376</v>
      </c>
      <c r="B8458" s="534" t="n">
        <v>10.018</v>
      </c>
      <c r="C8458" s="534" t="n">
        <v>27091.26</v>
      </c>
    </row>
    <row r="8459">
      <c r="A8459" s="535" t="n">
        <v>43377</v>
      </c>
      <c r="B8459" s="534" t="n">
        <v>9.965999999999999</v>
      </c>
      <c r="C8459" s="534" t="n">
        <v>26623.87</v>
      </c>
    </row>
    <row r="8460">
      <c r="A8460" s="535" t="n">
        <v>43378</v>
      </c>
      <c r="B8460" s="534" t="n">
        <v>9.930999999999999</v>
      </c>
      <c r="C8460" s="534" t="n">
        <v>26572.57</v>
      </c>
    </row>
    <row r="8461">
      <c r="A8461" s="535" t="n">
        <v>43381</v>
      </c>
      <c r="B8461" s="534" t="n">
        <v>9.756</v>
      </c>
      <c r="C8461" s="534" t="n">
        <v>26202.57</v>
      </c>
    </row>
    <row r="8462">
      <c r="A8462" s="535" t="n">
        <v>43382</v>
      </c>
      <c r="B8462" s="534" t="n">
        <v>9.861000000000001</v>
      </c>
      <c r="C8462" s="534" t="n">
        <v>26172.91</v>
      </c>
    </row>
    <row r="8463">
      <c r="A8463" s="535" t="n">
        <v>43383</v>
      </c>
      <c r="B8463" s="534" t="n">
        <v>9.861000000000001</v>
      </c>
      <c r="C8463" s="534" t="n">
        <v>26193.07</v>
      </c>
    </row>
    <row r="8464">
      <c r="A8464" s="535" t="n">
        <v>43384</v>
      </c>
      <c r="B8464" s="534" t="n">
        <v>9.6</v>
      </c>
      <c r="C8464" s="534" t="n">
        <v>25266.37</v>
      </c>
    </row>
    <row r="8465">
      <c r="A8465" s="535" t="n">
        <v>43385</v>
      </c>
      <c r="B8465" s="534" t="n">
        <v>9.6</v>
      </c>
      <c r="C8465" s="534" t="n">
        <v>25801.49</v>
      </c>
    </row>
    <row r="8466">
      <c r="A8466" s="535" t="n">
        <v>43388</v>
      </c>
      <c r="B8466" s="534" t="n">
        <v>9.529999999999999</v>
      </c>
      <c r="C8466" s="534" t="n">
        <v>25445.06</v>
      </c>
    </row>
    <row r="8467">
      <c r="A8467" s="535" t="n">
        <v>43389</v>
      </c>
      <c r="B8467" s="534" t="n">
        <v>9.234</v>
      </c>
      <c r="C8467" s="534" t="n">
        <v>25462.26</v>
      </c>
    </row>
    <row r="8468">
      <c r="A8468" s="535" t="n">
        <v>43390</v>
      </c>
      <c r="B8468" s="534" t="n">
        <v>9.234</v>
      </c>
      <c r="C8468" s="534" t="n">
        <v>25462.26</v>
      </c>
    </row>
    <row r="8469">
      <c r="A8469" s="535" t="n">
        <v>43391</v>
      </c>
      <c r="B8469" s="534" t="n">
        <v>9.337999999999999</v>
      </c>
      <c r="C8469" s="534" t="n">
        <v>25454.55</v>
      </c>
    </row>
    <row r="8470">
      <c r="A8470" s="535" t="n">
        <v>43392</v>
      </c>
      <c r="B8470" s="534" t="n">
        <v>9.356</v>
      </c>
      <c r="C8470" s="534" t="n">
        <v>25561.4</v>
      </c>
    </row>
    <row r="8471">
      <c r="A8471" s="535" t="n">
        <v>43395</v>
      </c>
      <c r="B8471" s="534" t="n">
        <v>9.494999999999999</v>
      </c>
      <c r="C8471" s="534" t="n">
        <v>26153.15</v>
      </c>
    </row>
    <row r="8472">
      <c r="A8472" s="535" t="n">
        <v>43396</v>
      </c>
      <c r="B8472" s="534" t="n">
        <v>9.269</v>
      </c>
      <c r="C8472" s="534" t="n">
        <v>25346.55</v>
      </c>
    </row>
    <row r="8473">
      <c r="A8473" s="535" t="n">
        <v>43397</v>
      </c>
      <c r="B8473" s="534" t="n">
        <v>9.250999999999999</v>
      </c>
      <c r="C8473" s="534" t="n">
        <v>25249.78</v>
      </c>
    </row>
    <row r="8474">
      <c r="A8474" s="535" t="n">
        <v>43398</v>
      </c>
      <c r="B8474" s="534" t="n">
        <v>8.903</v>
      </c>
      <c r="C8474" s="534" t="n">
        <v>24994.46</v>
      </c>
    </row>
    <row r="8475">
      <c r="A8475" s="535" t="n">
        <v>43399</v>
      </c>
      <c r="B8475" s="534" t="n">
        <v>8.694000000000001</v>
      </c>
      <c r="C8475" s="534" t="n">
        <v>24717.63</v>
      </c>
    </row>
    <row r="8476">
      <c r="A8476" s="535" t="n">
        <v>43402</v>
      </c>
      <c r="B8476" s="534" t="n">
        <v>8.641</v>
      </c>
      <c r="C8476" s="534" t="n">
        <v>24812.04</v>
      </c>
    </row>
    <row r="8477">
      <c r="A8477" s="535" t="n">
        <v>43403</v>
      </c>
      <c r="B8477" s="534" t="n">
        <v>8.746</v>
      </c>
      <c r="C8477" s="534" t="n">
        <v>24585.53</v>
      </c>
    </row>
    <row r="8478">
      <c r="A8478" s="535" t="n">
        <v>43404</v>
      </c>
      <c r="B8478" s="534" t="n">
        <v>8.676</v>
      </c>
      <c r="C8478" s="534" t="n">
        <v>24979.69</v>
      </c>
    </row>
    <row r="8479">
      <c r="A8479" s="535" t="n">
        <v>43405</v>
      </c>
      <c r="B8479" s="534" t="n">
        <v>8.781000000000001</v>
      </c>
      <c r="C8479" s="534" t="n">
        <v>25416</v>
      </c>
    </row>
    <row r="8480">
      <c r="A8480" s="535" t="n">
        <v>43406</v>
      </c>
      <c r="B8480" s="534" t="n">
        <v>9.129</v>
      </c>
      <c r="C8480" s="534" t="n">
        <v>26486.35</v>
      </c>
    </row>
    <row r="8481">
      <c r="A8481" s="535" t="n">
        <v>43409</v>
      </c>
      <c r="B8481" s="534" t="n">
        <v>9.112</v>
      </c>
      <c r="C8481" s="534" t="n">
        <v>25934.39</v>
      </c>
    </row>
    <row r="8482">
      <c r="A8482" s="535" t="n">
        <v>43410</v>
      </c>
      <c r="B8482" s="534" t="n">
        <v>9.337999999999999</v>
      </c>
      <c r="C8482" s="534" t="n">
        <v>26120.96</v>
      </c>
    </row>
    <row r="8483">
      <c r="A8483" s="535" t="n">
        <v>43411</v>
      </c>
      <c r="B8483" s="534" t="n">
        <v>9.303000000000001</v>
      </c>
      <c r="C8483" s="534" t="n">
        <v>26147.69</v>
      </c>
    </row>
    <row r="8484">
      <c r="A8484" s="535" t="n">
        <v>43412</v>
      </c>
      <c r="B8484" s="534" t="n">
        <v>9.407999999999999</v>
      </c>
      <c r="C8484" s="534" t="n">
        <v>26227.72</v>
      </c>
    </row>
    <row r="8485">
      <c r="A8485" s="535" t="n">
        <v>43413</v>
      </c>
      <c r="B8485" s="534" t="n">
        <v>9.391</v>
      </c>
      <c r="C8485" s="534" t="n">
        <v>25601.92</v>
      </c>
    </row>
    <row r="8486">
      <c r="A8486" s="535" t="n">
        <v>43416</v>
      </c>
      <c r="B8486" s="534" t="n">
        <v>9.182</v>
      </c>
      <c r="C8486" s="534" t="n">
        <v>25633.18</v>
      </c>
    </row>
    <row r="8487">
      <c r="A8487" s="535" t="n">
        <v>43417</v>
      </c>
      <c r="B8487" s="534" t="n">
        <v>9.286</v>
      </c>
      <c r="C8487" s="534" t="n">
        <v>25792.87</v>
      </c>
    </row>
    <row r="8488">
      <c r="A8488" s="535" t="n">
        <v>43418</v>
      </c>
      <c r="B8488" s="534" t="n">
        <v>9.494999999999999</v>
      </c>
      <c r="C8488" s="534" t="n">
        <v>25654.43</v>
      </c>
    </row>
    <row r="8489">
      <c r="A8489" s="535" t="n">
        <v>43419</v>
      </c>
      <c r="B8489" s="534" t="n">
        <v>9.529999999999999</v>
      </c>
      <c r="C8489" s="534" t="n">
        <v>26103.34</v>
      </c>
    </row>
    <row r="8490">
      <c r="A8490" s="535" t="n">
        <v>43420</v>
      </c>
      <c r="B8490" s="534" t="n">
        <v>9.494999999999999</v>
      </c>
      <c r="C8490" s="534" t="n">
        <v>26183.53</v>
      </c>
    </row>
    <row r="8491">
      <c r="A8491" s="535" t="n">
        <v>43423</v>
      </c>
      <c r="B8491" s="534" t="n">
        <v>9.529999999999999</v>
      </c>
      <c r="C8491" s="534" t="n">
        <v>26372</v>
      </c>
    </row>
    <row r="8492">
      <c r="A8492" s="535" t="n">
        <v>43424</v>
      </c>
      <c r="B8492" s="534" t="n">
        <v>9.425000000000001</v>
      </c>
      <c r="C8492" s="534" t="n">
        <v>25840.34</v>
      </c>
    </row>
    <row r="8493">
      <c r="A8493" s="535" t="n">
        <v>43425</v>
      </c>
      <c r="B8493" s="534" t="n">
        <v>9.478</v>
      </c>
      <c r="C8493" s="534" t="n">
        <v>25971.47</v>
      </c>
    </row>
    <row r="8494">
      <c r="A8494" s="535" t="n">
        <v>43426</v>
      </c>
      <c r="B8494" s="534" t="n">
        <v>9.372999999999999</v>
      </c>
      <c r="C8494" s="534" t="n">
        <v>26019.41</v>
      </c>
    </row>
    <row r="8495">
      <c r="A8495" s="535" t="n">
        <v>43427</v>
      </c>
      <c r="B8495" s="534" t="n">
        <v>9.407999999999999</v>
      </c>
      <c r="C8495" s="534" t="n">
        <v>25927.68</v>
      </c>
    </row>
    <row r="8496">
      <c r="A8496" s="535" t="n">
        <v>43430</v>
      </c>
      <c r="B8496" s="534" t="n">
        <v>9.617000000000001</v>
      </c>
      <c r="C8496" s="534" t="n">
        <v>26376.18</v>
      </c>
    </row>
    <row r="8497">
      <c r="A8497" s="535" t="n">
        <v>43431</v>
      </c>
      <c r="B8497" s="534" t="n">
        <v>9.529999999999999</v>
      </c>
      <c r="C8497" s="534" t="n">
        <v>26331.96</v>
      </c>
    </row>
    <row r="8498">
      <c r="A8498" s="535" t="n">
        <v>43432</v>
      </c>
      <c r="B8498" s="534" t="n">
        <v>9.565</v>
      </c>
      <c r="C8498" s="534" t="n">
        <v>26682.56</v>
      </c>
    </row>
    <row r="8499">
      <c r="A8499" s="535" t="n">
        <v>43433</v>
      </c>
      <c r="B8499" s="534" t="n">
        <v>9.773999999999999</v>
      </c>
      <c r="C8499" s="534" t="n">
        <v>26451.03</v>
      </c>
    </row>
    <row r="8500">
      <c r="A8500" s="535" t="n">
        <v>43434</v>
      </c>
      <c r="B8500" s="534" t="n">
        <v>9.826000000000001</v>
      </c>
      <c r="C8500" s="534" t="n">
        <v>26506.75</v>
      </c>
    </row>
    <row r="8501">
      <c r="A8501" s="535" t="n">
        <v>43437</v>
      </c>
      <c r="B8501" s="534" t="n">
        <v>9.669</v>
      </c>
      <c r="C8501" s="534" t="n">
        <v>27182.04</v>
      </c>
    </row>
    <row r="8502">
      <c r="A8502" s="535" t="n">
        <v>43438</v>
      </c>
      <c r="B8502" s="534" t="n">
        <v>9.739000000000001</v>
      </c>
      <c r="C8502" s="534" t="n">
        <v>27260.44</v>
      </c>
    </row>
    <row r="8503">
      <c r="A8503" s="535" t="n">
        <v>43439</v>
      </c>
      <c r="B8503" s="534" t="n">
        <v>9.739000000000001</v>
      </c>
      <c r="C8503" s="534" t="n">
        <v>26819.68</v>
      </c>
    </row>
    <row r="8504">
      <c r="A8504" s="535" t="n">
        <v>43440</v>
      </c>
      <c r="B8504" s="534" t="n">
        <v>9.686999999999999</v>
      </c>
      <c r="C8504" s="534" t="n">
        <v>26156.38</v>
      </c>
    </row>
    <row r="8505">
      <c r="A8505" s="535" t="n">
        <v>43441</v>
      </c>
      <c r="B8505" s="534" t="n">
        <v>9.547000000000001</v>
      </c>
      <c r="C8505" s="534" t="n">
        <v>26063.76</v>
      </c>
    </row>
    <row r="8506">
      <c r="A8506" s="535" t="n">
        <v>43444</v>
      </c>
      <c r="B8506" s="534" t="n">
        <v>9.303000000000001</v>
      </c>
      <c r="C8506" s="534" t="n">
        <v>25752.38</v>
      </c>
    </row>
    <row r="8507">
      <c r="A8507" s="535" t="n">
        <v>43445</v>
      </c>
      <c r="B8507" s="534" t="n">
        <v>9.356</v>
      </c>
      <c r="C8507" s="534" t="n">
        <v>25771.67</v>
      </c>
    </row>
    <row r="8508">
      <c r="A8508" s="535" t="n">
        <v>43446</v>
      </c>
      <c r="B8508" s="534" t="n">
        <v>9.547000000000001</v>
      </c>
      <c r="C8508" s="534" t="n">
        <v>26186.71</v>
      </c>
    </row>
    <row r="8509">
      <c r="A8509" s="535" t="n">
        <v>43447</v>
      </c>
      <c r="B8509" s="534" t="n">
        <v>9.478</v>
      </c>
      <c r="C8509" s="534" t="n">
        <v>26524.35</v>
      </c>
    </row>
    <row r="8510">
      <c r="A8510" s="535" t="n">
        <v>43448</v>
      </c>
      <c r="B8510" s="534" t="n">
        <v>9.529999999999999</v>
      </c>
      <c r="C8510" s="534" t="n">
        <v>26094.79</v>
      </c>
    </row>
    <row r="8511">
      <c r="A8511" s="535" t="n">
        <v>43451</v>
      </c>
      <c r="B8511" s="534" t="n">
        <v>9.443</v>
      </c>
      <c r="C8511" s="534" t="n">
        <v>26087.98</v>
      </c>
    </row>
    <row r="8512">
      <c r="A8512" s="535" t="n">
        <v>43452</v>
      </c>
      <c r="B8512" s="534" t="n">
        <v>9.372999999999999</v>
      </c>
      <c r="C8512" s="534" t="n">
        <v>25814.25</v>
      </c>
    </row>
    <row r="8513">
      <c r="A8513" s="535" t="n">
        <v>43453</v>
      </c>
      <c r="B8513" s="534" t="n">
        <v>9.582000000000001</v>
      </c>
      <c r="C8513" s="534" t="n">
        <v>25865.39</v>
      </c>
    </row>
    <row r="8514">
      <c r="A8514" s="535" t="n">
        <v>43454</v>
      </c>
      <c r="B8514" s="534" t="n">
        <v>9.513</v>
      </c>
      <c r="C8514" s="534" t="n">
        <v>25623.53</v>
      </c>
    </row>
    <row r="8515">
      <c r="A8515" s="535" t="n">
        <v>43455</v>
      </c>
      <c r="B8515" s="534" t="n">
        <v>9.739000000000001</v>
      </c>
      <c r="C8515" s="534" t="n">
        <v>25753.42</v>
      </c>
    </row>
    <row r="8516">
      <c r="A8516" s="535" t="n">
        <v>43458</v>
      </c>
      <c r="B8516" s="534" t="n">
        <v>9.722</v>
      </c>
      <c r="C8516" s="534" t="n">
        <v>25651.38</v>
      </c>
    </row>
    <row r="8517">
      <c r="A8517" s="535" t="n">
        <v>43459</v>
      </c>
      <c r="B8517" s="534" t="n">
        <v>9.722</v>
      </c>
      <c r="C8517" s="534" t="n">
        <v>25651.38</v>
      </c>
    </row>
    <row r="8518">
      <c r="A8518" s="535" t="n">
        <v>43460</v>
      </c>
      <c r="B8518" s="534" t="n">
        <v>9.722</v>
      </c>
      <c r="C8518" s="534" t="n">
        <v>25651.38</v>
      </c>
    </row>
    <row r="8519">
      <c r="A8519" s="535" t="n">
        <v>43461</v>
      </c>
      <c r="B8519" s="534" t="n">
        <v>9.565</v>
      </c>
      <c r="C8519" s="534" t="n">
        <v>25478.88</v>
      </c>
    </row>
    <row r="8520">
      <c r="A8520" s="535" t="n">
        <v>43462</v>
      </c>
      <c r="B8520" s="534" t="n">
        <v>9.669</v>
      </c>
      <c r="C8520" s="534" t="n">
        <v>25504.2</v>
      </c>
    </row>
    <row r="8521">
      <c r="A8521" s="535" t="n">
        <v>43465</v>
      </c>
      <c r="B8521" s="534" t="n">
        <v>9.704000000000001</v>
      </c>
      <c r="C8521" s="534" t="n">
        <v>25845.7</v>
      </c>
    </row>
    <row r="8522">
      <c r="A8522" s="535" t="n">
        <v>43466</v>
      </c>
      <c r="B8522" s="534" t="n">
        <v>9.704000000000001</v>
      </c>
      <c r="C8522" s="534" t="n">
        <v>25845.7</v>
      </c>
    </row>
    <row r="8523">
      <c r="A8523" s="535" t="n">
        <v>43467</v>
      </c>
      <c r="B8523" s="534" t="n">
        <v>9.686999999999999</v>
      </c>
      <c r="C8523" s="534" t="n">
        <v>25130.35</v>
      </c>
    </row>
    <row r="8524">
      <c r="A8524" s="535" t="n">
        <v>43468</v>
      </c>
      <c r="B8524" s="534" t="n">
        <v>9.547000000000001</v>
      </c>
      <c r="C8524" s="534" t="n">
        <v>25064.36</v>
      </c>
    </row>
    <row r="8525">
      <c r="A8525" s="535" t="n">
        <v>43469</v>
      </c>
      <c r="B8525" s="534" t="n">
        <v>9.565</v>
      </c>
      <c r="C8525" s="534" t="n">
        <v>25626.03</v>
      </c>
    </row>
    <row r="8526">
      <c r="A8526" s="535" t="n">
        <v>43472</v>
      </c>
      <c r="B8526" s="534" t="n">
        <v>9.739000000000001</v>
      </c>
      <c r="C8526" s="534" t="n">
        <v>25835.7</v>
      </c>
    </row>
    <row r="8527">
      <c r="A8527" s="535" t="n">
        <v>43473</v>
      </c>
      <c r="B8527" s="534" t="n">
        <v>9.861000000000001</v>
      </c>
      <c r="C8527" s="534" t="n">
        <v>25875.45</v>
      </c>
    </row>
    <row r="8528">
      <c r="A8528" s="535" t="n">
        <v>43474</v>
      </c>
      <c r="B8528" s="534" t="n">
        <v>9.861000000000001</v>
      </c>
      <c r="C8528" s="534" t="n">
        <v>26462.32</v>
      </c>
    </row>
    <row r="8529">
      <c r="A8529" s="535" t="n">
        <v>43475</v>
      </c>
      <c r="B8529" s="534" t="n">
        <v>10.018</v>
      </c>
      <c r="C8529" s="534" t="n">
        <v>26521.43</v>
      </c>
    </row>
    <row r="8530">
      <c r="A8530" s="535" t="n">
        <v>43476</v>
      </c>
      <c r="B8530" s="534" t="n">
        <v>10.14</v>
      </c>
      <c r="C8530" s="534" t="n">
        <v>26667.27</v>
      </c>
    </row>
    <row r="8531">
      <c r="A8531" s="535" t="n">
        <v>43479</v>
      </c>
      <c r="B8531" s="534" t="n">
        <v>9.983000000000001</v>
      </c>
      <c r="C8531" s="534" t="n">
        <v>26298.33</v>
      </c>
    </row>
    <row r="8532">
      <c r="A8532" s="535" t="n">
        <v>43480</v>
      </c>
      <c r="B8532" s="534" t="n">
        <v>10.157</v>
      </c>
      <c r="C8532" s="534" t="n">
        <v>26830.29</v>
      </c>
    </row>
    <row r="8533">
      <c r="A8533" s="535" t="n">
        <v>43481</v>
      </c>
      <c r="B8533" s="534" t="n">
        <v>10.297</v>
      </c>
      <c r="C8533" s="534" t="n">
        <v>26902.1</v>
      </c>
    </row>
    <row r="8534">
      <c r="A8534" s="535" t="n">
        <v>43482</v>
      </c>
      <c r="B8534" s="534" t="n">
        <v>10.436</v>
      </c>
      <c r="C8534" s="534" t="n">
        <v>26755.63</v>
      </c>
    </row>
    <row r="8535">
      <c r="A8535" s="535" t="n">
        <v>43483</v>
      </c>
      <c r="B8535" s="534" t="n">
        <v>10.506</v>
      </c>
      <c r="C8535" s="534" t="n">
        <v>27090.81</v>
      </c>
    </row>
    <row r="8536">
      <c r="A8536" s="535" t="n">
        <v>43486</v>
      </c>
      <c r="B8536" s="534" t="n">
        <v>10.645</v>
      </c>
      <c r="C8536" s="534" t="n">
        <v>27196.54</v>
      </c>
    </row>
    <row r="8537">
      <c r="A8537" s="535" t="n">
        <v>43487</v>
      </c>
      <c r="B8537" s="534" t="n">
        <v>10.593</v>
      </c>
      <c r="C8537" s="534" t="n">
        <v>27005.45</v>
      </c>
    </row>
    <row r="8538">
      <c r="A8538" s="535" t="n">
        <v>43488</v>
      </c>
      <c r="B8538" s="534" t="n">
        <v>10.628</v>
      </c>
      <c r="C8538" s="534" t="n">
        <v>27008.2</v>
      </c>
    </row>
    <row r="8539">
      <c r="A8539" s="535" t="n">
        <v>43489</v>
      </c>
      <c r="B8539" s="534" t="n">
        <v>10.767</v>
      </c>
      <c r="C8539" s="534" t="n">
        <v>27120.98</v>
      </c>
    </row>
    <row r="8540">
      <c r="A8540" s="535" t="n">
        <v>43490</v>
      </c>
      <c r="B8540" s="534" t="n">
        <v>10.645</v>
      </c>
      <c r="C8540" s="534" t="n">
        <v>27569.19</v>
      </c>
    </row>
    <row r="8541">
      <c r="A8541" s="535" t="n">
        <v>43493</v>
      </c>
      <c r="B8541" s="534" t="n">
        <v>10.54</v>
      </c>
      <c r="C8541" s="534" t="n">
        <v>27576.96</v>
      </c>
    </row>
    <row r="8542">
      <c r="A8542" s="535" t="n">
        <v>43494</v>
      </c>
      <c r="B8542" s="534" t="n">
        <v>10.628</v>
      </c>
      <c r="C8542" s="534" t="n">
        <v>27531.68</v>
      </c>
    </row>
    <row r="8543">
      <c r="A8543" s="535" t="n">
        <v>43495</v>
      </c>
      <c r="B8543" s="534" t="n">
        <v>10.593</v>
      </c>
      <c r="C8543" s="534" t="n">
        <v>27642.85</v>
      </c>
    </row>
    <row r="8544">
      <c r="A8544" s="535" t="n">
        <v>43496</v>
      </c>
      <c r="B8544" s="534" t="n">
        <v>10.488</v>
      </c>
      <c r="C8544" s="534" t="n">
        <v>27942.47</v>
      </c>
    </row>
    <row r="8545">
      <c r="A8545" s="535" t="n">
        <v>43497</v>
      </c>
      <c r="B8545" s="534" t="n">
        <v>10.523</v>
      </c>
      <c r="C8545" s="534" t="n">
        <v>27930.74</v>
      </c>
    </row>
    <row r="8546">
      <c r="A8546" s="535" t="n">
        <v>43500</v>
      </c>
      <c r="B8546" s="534" t="n">
        <v>10.558</v>
      </c>
      <c r="C8546" s="534" t="n">
        <v>27990.21</v>
      </c>
    </row>
    <row r="8547">
      <c r="A8547" s="535" t="n">
        <v>43501</v>
      </c>
      <c r="B8547" s="534" t="n">
        <v>10.558</v>
      </c>
      <c r="C8547" s="534" t="n">
        <v>27990.21</v>
      </c>
    </row>
    <row r="8548">
      <c r="A8548" s="535" t="n">
        <v>43502</v>
      </c>
      <c r="B8548" s="534" t="n">
        <v>10.558</v>
      </c>
      <c r="C8548" s="534" t="n">
        <v>27990.21</v>
      </c>
    </row>
    <row r="8549">
      <c r="A8549" s="535" t="n">
        <v>43503</v>
      </c>
      <c r="B8549" s="534" t="n">
        <v>10.558</v>
      </c>
      <c r="C8549" s="534" t="n">
        <v>27990.21</v>
      </c>
    </row>
    <row r="8550">
      <c r="A8550" s="535" t="n">
        <v>43504</v>
      </c>
      <c r="B8550" s="534" t="n">
        <v>10.488</v>
      </c>
      <c r="C8550" s="534" t="n">
        <v>27946.32</v>
      </c>
    </row>
    <row r="8551">
      <c r="A8551" s="535" t="n">
        <v>43507</v>
      </c>
      <c r="B8551" s="534" t="n">
        <v>10.418</v>
      </c>
      <c r="C8551" s="534" t="n">
        <v>28143.84</v>
      </c>
    </row>
    <row r="8552">
      <c r="A8552" s="535" t="n">
        <v>43508</v>
      </c>
      <c r="B8552" s="534" t="n">
        <v>10.436</v>
      </c>
      <c r="C8552" s="534" t="n">
        <v>28171.33</v>
      </c>
    </row>
    <row r="8553">
      <c r="A8553" s="535" t="n">
        <v>43509</v>
      </c>
      <c r="B8553" s="534" t="n">
        <v>10.488</v>
      </c>
      <c r="C8553" s="534" t="n">
        <v>28497.59</v>
      </c>
    </row>
    <row r="8554">
      <c r="A8554" s="535" t="n">
        <v>43510</v>
      </c>
      <c r="B8554" s="534" t="n">
        <v>10.54</v>
      </c>
      <c r="C8554" s="534" t="n">
        <v>28432.05</v>
      </c>
    </row>
    <row r="8555">
      <c r="A8555" s="535" t="n">
        <v>43511</v>
      </c>
      <c r="B8555" s="534" t="n">
        <v>10.506</v>
      </c>
      <c r="C8555" s="534" t="n">
        <v>27900.84</v>
      </c>
    </row>
    <row r="8556">
      <c r="A8556" s="535" t="n">
        <v>43514</v>
      </c>
      <c r="B8556" s="534" t="n">
        <v>10.453</v>
      </c>
      <c r="C8556" s="534" t="n">
        <v>28347.01</v>
      </c>
    </row>
    <row r="8557">
      <c r="A8557" s="535" t="n">
        <v>43515</v>
      </c>
      <c r="B8557" s="534" t="n">
        <v>10.54</v>
      </c>
      <c r="C8557" s="534" t="n">
        <v>28228.13</v>
      </c>
    </row>
    <row r="8558">
      <c r="A8558" s="535" t="n">
        <v>43516</v>
      </c>
      <c r="B8558" s="534" t="n">
        <v>11.359</v>
      </c>
      <c r="C8558" s="534" t="n">
        <v>28514.05</v>
      </c>
    </row>
    <row r="8559">
      <c r="A8559" s="535" t="n">
        <v>43517</v>
      </c>
      <c r="B8559" s="534" t="n">
        <v>11.847</v>
      </c>
      <c r="C8559" s="534" t="n">
        <v>28629.92</v>
      </c>
    </row>
    <row r="8560">
      <c r="A8560" s="535" t="n">
        <v>43518</v>
      </c>
      <c r="B8560" s="534" t="n">
        <v>11.847</v>
      </c>
      <c r="C8560" s="534" t="n">
        <v>28816.3</v>
      </c>
    </row>
    <row r="8561">
      <c r="A8561" s="535" t="n">
        <v>43521</v>
      </c>
      <c r="B8561" s="534" t="n">
        <v>12.039</v>
      </c>
      <c r="C8561" s="534" t="n">
        <v>28959.3</v>
      </c>
    </row>
    <row r="8562">
      <c r="A8562" s="535" t="n">
        <v>43522</v>
      </c>
      <c r="B8562" s="534" t="n">
        <v>11.812</v>
      </c>
      <c r="C8562" s="534" t="n">
        <v>28772.06</v>
      </c>
    </row>
    <row r="8563">
      <c r="A8563" s="535" t="n">
        <v>43523</v>
      </c>
      <c r="B8563" s="534" t="n">
        <v>11.899</v>
      </c>
      <c r="C8563" s="534" t="n">
        <v>28757.44</v>
      </c>
    </row>
    <row r="8564">
      <c r="A8564" s="535" t="n">
        <v>43524</v>
      </c>
      <c r="B8564" s="534" t="n">
        <v>11.499</v>
      </c>
      <c r="C8564" s="534" t="n">
        <v>28633.18</v>
      </c>
    </row>
    <row r="8565">
      <c r="A8565" s="535" t="n">
        <v>43525</v>
      </c>
      <c r="B8565" s="534" t="n">
        <v>11.481</v>
      </c>
      <c r="C8565" s="534" t="n">
        <v>28812.17</v>
      </c>
    </row>
    <row r="8566">
      <c r="A8566" s="535" t="n">
        <v>43528</v>
      </c>
      <c r="B8566" s="534" t="n">
        <v>11.342</v>
      </c>
      <c r="C8566" s="534" t="n">
        <v>28959.59</v>
      </c>
    </row>
    <row r="8567">
      <c r="A8567" s="535" t="n">
        <v>43529</v>
      </c>
      <c r="B8567" s="534" t="n">
        <v>11.586</v>
      </c>
      <c r="C8567" s="534" t="n">
        <v>28961.6</v>
      </c>
    </row>
    <row r="8568">
      <c r="A8568" s="535" t="n">
        <v>43530</v>
      </c>
      <c r="B8568" s="534" t="n">
        <v>11.516</v>
      </c>
      <c r="C8568" s="534" t="n">
        <v>29037.6</v>
      </c>
    </row>
    <row r="8569">
      <c r="A8569" s="535" t="n">
        <v>43531</v>
      </c>
      <c r="B8569" s="534" t="n">
        <v>11.377</v>
      </c>
      <c r="C8569" s="534" t="n">
        <v>28779.45</v>
      </c>
    </row>
    <row r="8570">
      <c r="A8570" s="535" t="n">
        <v>43532</v>
      </c>
      <c r="B8570" s="534" t="n">
        <v>11.185</v>
      </c>
      <c r="C8570" s="534" t="n">
        <v>28228.42</v>
      </c>
    </row>
    <row r="8571">
      <c r="A8571" s="535" t="n">
        <v>43535</v>
      </c>
      <c r="B8571" s="534" t="n">
        <v>11.412</v>
      </c>
      <c r="C8571" s="534" t="n">
        <v>28503.3</v>
      </c>
    </row>
    <row r="8572">
      <c r="A8572" s="535" t="n">
        <v>43536</v>
      </c>
      <c r="B8572" s="534" t="n">
        <v>11.481</v>
      </c>
      <c r="C8572" s="534" t="n">
        <v>28920.87</v>
      </c>
    </row>
    <row r="8573">
      <c r="A8573" s="535" t="n">
        <v>43537</v>
      </c>
      <c r="B8573" s="534" t="n">
        <v>11.743</v>
      </c>
      <c r="C8573" s="534" t="n">
        <v>28807.45</v>
      </c>
    </row>
    <row r="8574">
      <c r="A8574" s="535" t="n">
        <v>43538</v>
      </c>
      <c r="B8574" s="534" t="n">
        <v>11.847</v>
      </c>
      <c r="C8574" s="534" t="n">
        <v>28851.39</v>
      </c>
    </row>
    <row r="8575">
      <c r="A8575" s="535" t="n">
        <v>43539</v>
      </c>
      <c r="B8575" s="534" t="n">
        <v>11.568</v>
      </c>
      <c r="C8575" s="534" t="n">
        <v>29012.26</v>
      </c>
    </row>
    <row r="8576">
      <c r="A8576" s="535" t="n">
        <v>43542</v>
      </c>
      <c r="B8576" s="534" t="n">
        <v>11.551</v>
      </c>
      <c r="C8576" s="534" t="n">
        <v>29409.01</v>
      </c>
    </row>
    <row r="8577">
      <c r="A8577" s="535" t="n">
        <v>43543</v>
      </c>
      <c r="B8577" s="534" t="n">
        <v>11.708</v>
      </c>
      <c r="C8577" s="534" t="n">
        <v>29466.28</v>
      </c>
    </row>
    <row r="8578">
      <c r="A8578" s="535" t="n">
        <v>43544</v>
      </c>
      <c r="B8578" s="534" t="n">
        <v>11.708</v>
      </c>
      <c r="C8578" s="534" t="n">
        <v>29320.97</v>
      </c>
    </row>
    <row r="8579">
      <c r="A8579" s="535" t="n">
        <v>43545</v>
      </c>
      <c r="B8579" s="534" t="n">
        <v>11.934</v>
      </c>
      <c r="C8579" s="534" t="n">
        <v>29071.56</v>
      </c>
    </row>
    <row r="8580">
      <c r="A8580" s="535" t="n">
        <v>43546</v>
      </c>
      <c r="B8580" s="534" t="n">
        <v>11.934</v>
      </c>
      <c r="C8580" s="534" t="n">
        <v>29113.36</v>
      </c>
    </row>
    <row r="8581">
      <c r="A8581" s="535" t="n">
        <v>43549</v>
      </c>
      <c r="B8581" s="534" t="n">
        <v>11.603</v>
      </c>
      <c r="C8581" s="534" t="n">
        <v>28523.35</v>
      </c>
    </row>
    <row r="8582">
      <c r="A8582" s="535" t="n">
        <v>43550</v>
      </c>
      <c r="B8582" s="534" t="n">
        <v>11.917</v>
      </c>
      <c r="C8582" s="534" t="n">
        <v>28566.91</v>
      </c>
    </row>
    <row r="8583">
      <c r="A8583" s="535" t="n">
        <v>43551</v>
      </c>
      <c r="B8583" s="534" t="n">
        <v>11.621</v>
      </c>
      <c r="C8583" s="534" t="n">
        <v>28728.25</v>
      </c>
    </row>
    <row r="8584">
      <c r="A8584" s="535" t="n">
        <v>43552</v>
      </c>
      <c r="B8584" s="534" t="n">
        <v>11.934</v>
      </c>
      <c r="C8584" s="534" t="n">
        <v>28775.21</v>
      </c>
    </row>
    <row r="8585">
      <c r="A8585" s="535" t="n">
        <v>43553</v>
      </c>
      <c r="B8585" s="534" t="n">
        <v>11.969</v>
      </c>
      <c r="C8585" s="534" t="n">
        <v>29051.36</v>
      </c>
    </row>
    <row r="8586">
      <c r="A8586" s="535" t="n">
        <v>43556</v>
      </c>
      <c r="B8586" s="534" t="n">
        <v>12.126</v>
      </c>
      <c r="C8586" s="534" t="n">
        <v>29562.02</v>
      </c>
    </row>
    <row r="8587">
      <c r="A8587" s="535" t="n">
        <v>43557</v>
      </c>
      <c r="B8587" s="534" t="n">
        <v>11.899</v>
      </c>
      <c r="C8587" s="534" t="n">
        <v>29624.67</v>
      </c>
    </row>
    <row r="8588">
      <c r="A8588" s="535" t="n">
        <v>43558</v>
      </c>
      <c r="B8588" s="534" t="n">
        <v>11.917</v>
      </c>
      <c r="C8588" s="534" t="n">
        <v>29986.39</v>
      </c>
    </row>
    <row r="8589">
      <c r="A8589" s="535" t="n">
        <v>43559</v>
      </c>
      <c r="B8589" s="534" t="n">
        <v>11.987</v>
      </c>
      <c r="C8589" s="534" t="n">
        <v>29936.32</v>
      </c>
    </row>
    <row r="8590">
      <c r="A8590" s="535" t="n">
        <v>43560</v>
      </c>
      <c r="B8590" s="534" t="n">
        <v>11.987</v>
      </c>
      <c r="C8590" s="534" t="n">
        <v>29936.32</v>
      </c>
    </row>
    <row r="8591">
      <c r="A8591" s="535" t="n">
        <v>43563</v>
      </c>
      <c r="B8591" s="534" t="n">
        <v>12.056</v>
      </c>
      <c r="C8591" s="534" t="n">
        <v>30077.15</v>
      </c>
    </row>
    <row r="8592">
      <c r="A8592" s="535" t="n">
        <v>43564</v>
      </c>
      <c r="B8592" s="534" t="n">
        <v>12.021</v>
      </c>
      <c r="C8592" s="534" t="n">
        <v>30157.49</v>
      </c>
    </row>
    <row r="8593">
      <c r="A8593" s="535" t="n">
        <v>43565</v>
      </c>
      <c r="B8593" s="534" t="n">
        <v>12.056</v>
      </c>
      <c r="C8593" s="534" t="n">
        <v>30119.56</v>
      </c>
    </row>
    <row r="8594">
      <c r="A8594" s="535" t="n">
        <v>43566</v>
      </c>
      <c r="B8594" s="534" t="n">
        <v>11.83</v>
      </c>
      <c r="C8594" s="534" t="n">
        <v>29839.45</v>
      </c>
    </row>
    <row r="8595">
      <c r="A8595" s="535" t="n">
        <v>43567</v>
      </c>
      <c r="B8595" s="534" t="n">
        <v>12.004</v>
      </c>
      <c r="C8595" s="534" t="n">
        <v>29909.76</v>
      </c>
    </row>
    <row r="8596">
      <c r="A8596" s="535" t="n">
        <v>43570</v>
      </c>
      <c r="B8596" s="534" t="n">
        <v>12.091</v>
      </c>
      <c r="C8596" s="534" t="n">
        <v>29810.72</v>
      </c>
    </row>
    <row r="8597">
      <c r="A8597" s="535" t="n">
        <v>43571</v>
      </c>
      <c r="B8597" s="534" t="n">
        <v>12.126</v>
      </c>
      <c r="C8597" s="534" t="n">
        <v>30129.87</v>
      </c>
    </row>
    <row r="8598">
      <c r="A8598" s="535" t="n">
        <v>43572</v>
      </c>
      <c r="B8598" s="534" t="n">
        <v>12.108</v>
      </c>
      <c r="C8598" s="534" t="n">
        <v>30124.68</v>
      </c>
    </row>
    <row r="8599">
      <c r="A8599" s="535" t="n">
        <v>43573</v>
      </c>
      <c r="B8599" s="534" t="n">
        <v>12.108</v>
      </c>
      <c r="C8599" s="534" t="n">
        <v>29963.26</v>
      </c>
    </row>
    <row r="8600">
      <c r="A8600" s="535" t="n">
        <v>43574</v>
      </c>
      <c r="B8600" s="534" t="n">
        <v>12.108</v>
      </c>
      <c r="C8600" s="534" t="n">
        <v>29963.26</v>
      </c>
    </row>
    <row r="8601">
      <c r="A8601" s="535" t="n">
        <v>43577</v>
      </c>
      <c r="B8601" s="534" t="n">
        <v>12.108</v>
      </c>
      <c r="C8601" s="534" t="n">
        <v>29963.26</v>
      </c>
    </row>
    <row r="8602">
      <c r="A8602" s="535" t="n">
        <v>43578</v>
      </c>
      <c r="B8602" s="534" t="n">
        <v>11.743</v>
      </c>
      <c r="C8602" s="534" t="n">
        <v>29963.24</v>
      </c>
    </row>
    <row r="8603">
      <c r="A8603" s="535" t="n">
        <v>43579</v>
      </c>
      <c r="B8603" s="534" t="n">
        <v>11.603</v>
      </c>
      <c r="C8603" s="534" t="n">
        <v>29805.83</v>
      </c>
    </row>
    <row r="8604">
      <c r="A8604" s="535" t="n">
        <v>43580</v>
      </c>
      <c r="B8604" s="534" t="n">
        <v>11.516</v>
      </c>
      <c r="C8604" s="534" t="n">
        <v>29549.8</v>
      </c>
    </row>
    <row r="8605">
      <c r="A8605" s="535" t="n">
        <v>43581</v>
      </c>
      <c r="B8605" s="534" t="n">
        <v>11.464</v>
      </c>
      <c r="C8605" s="534" t="n">
        <v>29605.01</v>
      </c>
    </row>
    <row r="8606">
      <c r="A8606" s="535" t="n">
        <v>43584</v>
      </c>
      <c r="B8606" s="534" t="n">
        <v>11.568</v>
      </c>
      <c r="C8606" s="534" t="n">
        <v>29892.81</v>
      </c>
    </row>
    <row r="8607">
      <c r="A8607" s="535" t="n">
        <v>43585</v>
      </c>
      <c r="B8607" s="534" t="n">
        <v>11.499</v>
      </c>
      <c r="C8607" s="534" t="n">
        <v>29699.11</v>
      </c>
    </row>
    <row r="8608">
      <c r="A8608" s="535" t="n">
        <v>43586</v>
      </c>
      <c r="B8608" s="534" t="n">
        <v>11.499</v>
      </c>
      <c r="C8608" s="534" t="n">
        <v>29699.11</v>
      </c>
    </row>
    <row r="8609">
      <c r="A8609" s="535" t="n">
        <v>43587</v>
      </c>
      <c r="B8609" s="534" t="n">
        <v>11.586</v>
      </c>
      <c r="C8609" s="534" t="n">
        <v>29944.18</v>
      </c>
    </row>
    <row r="8610">
      <c r="A8610" s="535" t="n">
        <v>43588</v>
      </c>
      <c r="B8610" s="534" t="n">
        <v>11.655</v>
      </c>
      <c r="C8610" s="534" t="n">
        <v>30081.55</v>
      </c>
    </row>
    <row r="8611">
      <c r="A8611" s="535" t="n">
        <v>43591</v>
      </c>
      <c r="B8611" s="534" t="n">
        <v>11.359</v>
      </c>
      <c r="C8611" s="534" t="n">
        <v>29209.82</v>
      </c>
    </row>
    <row r="8612">
      <c r="A8612" s="535" t="n">
        <v>43592</v>
      </c>
      <c r="B8612" s="534" t="n">
        <v>11.255</v>
      </c>
      <c r="C8612" s="534" t="n">
        <v>29363.02</v>
      </c>
    </row>
    <row r="8613">
      <c r="A8613" s="535" t="n">
        <v>43593</v>
      </c>
      <c r="B8613" s="534" t="n">
        <v>11.028</v>
      </c>
      <c r="C8613" s="534" t="n">
        <v>29003.2</v>
      </c>
    </row>
    <row r="8614">
      <c r="A8614" s="535" t="n">
        <v>43594</v>
      </c>
      <c r="B8614" s="534" t="n">
        <v>10.871</v>
      </c>
      <c r="C8614" s="534" t="n">
        <v>28311.07</v>
      </c>
    </row>
    <row r="8615">
      <c r="A8615" s="535" t="n">
        <v>43595</v>
      </c>
      <c r="B8615" s="534" t="n">
        <v>11.046</v>
      </c>
      <c r="C8615" s="534" t="n">
        <v>28550.24</v>
      </c>
    </row>
    <row r="8616">
      <c r="A8616" s="535" t="n">
        <v>43598</v>
      </c>
      <c r="B8616" s="534" t="n">
        <v>11.046</v>
      </c>
      <c r="C8616" s="534" t="n">
        <v>28550.24</v>
      </c>
    </row>
    <row r="8617">
      <c r="A8617" s="535" t="n">
        <v>43599</v>
      </c>
      <c r="B8617" s="534" t="n">
        <v>10.697</v>
      </c>
      <c r="C8617" s="534" t="n">
        <v>28122.02</v>
      </c>
    </row>
    <row r="8618">
      <c r="A8618" s="535" t="n">
        <v>43600</v>
      </c>
      <c r="B8618" s="534" t="n">
        <v>10.68</v>
      </c>
      <c r="C8618" s="534" t="n">
        <v>28268.71</v>
      </c>
    </row>
    <row r="8619">
      <c r="A8619" s="535" t="n">
        <v>43601</v>
      </c>
      <c r="B8619" s="534" t="n">
        <v>10.75</v>
      </c>
      <c r="C8619" s="534" t="n">
        <v>28275.07</v>
      </c>
    </row>
    <row r="8620">
      <c r="A8620" s="535" t="n">
        <v>43602</v>
      </c>
      <c r="B8620" s="534" t="n">
        <v>10.662</v>
      </c>
      <c r="C8620" s="534" t="n">
        <v>27946.46</v>
      </c>
    </row>
    <row r="8621">
      <c r="A8621" s="535" t="n">
        <v>43605</v>
      </c>
      <c r="B8621" s="534" t="n">
        <v>10.488</v>
      </c>
      <c r="C8621" s="534" t="n">
        <v>27787.61</v>
      </c>
    </row>
    <row r="8622">
      <c r="A8622" s="535" t="n">
        <v>43606</v>
      </c>
      <c r="B8622" s="534" t="n">
        <v>10.418</v>
      </c>
      <c r="C8622" s="534" t="n">
        <v>27657.24</v>
      </c>
    </row>
    <row r="8623">
      <c r="A8623" s="535" t="n">
        <v>43607</v>
      </c>
      <c r="B8623" s="534" t="n">
        <v>10.401</v>
      </c>
      <c r="C8623" s="534" t="n">
        <v>27705.94</v>
      </c>
    </row>
    <row r="8624">
      <c r="A8624" s="535" t="n">
        <v>43608</v>
      </c>
      <c r="B8624" s="534" t="n">
        <v>10.07</v>
      </c>
      <c r="C8624" s="534" t="n">
        <v>27267.13</v>
      </c>
    </row>
    <row r="8625">
      <c r="A8625" s="535" t="n">
        <v>43609</v>
      </c>
      <c r="B8625" s="534" t="n">
        <v>10.035</v>
      </c>
      <c r="C8625" s="534" t="n">
        <v>27353.93</v>
      </c>
    </row>
    <row r="8626">
      <c r="A8626" s="535" t="n">
        <v>43612</v>
      </c>
      <c r="B8626" s="534" t="n">
        <v>10.018</v>
      </c>
      <c r="C8626" s="534" t="n">
        <v>27288.09</v>
      </c>
    </row>
    <row r="8627">
      <c r="A8627" s="535" t="n">
        <v>43613</v>
      </c>
      <c r="B8627" s="534" t="n">
        <v>9.965999999999999</v>
      </c>
      <c r="C8627" s="534" t="n">
        <v>27390.81</v>
      </c>
    </row>
    <row r="8628">
      <c r="A8628" s="535" t="n">
        <v>43614</v>
      </c>
      <c r="B8628" s="534" t="n">
        <v>9.861000000000001</v>
      </c>
      <c r="C8628" s="534" t="n">
        <v>27235.71</v>
      </c>
    </row>
    <row r="8629">
      <c r="A8629" s="535" t="n">
        <v>43615</v>
      </c>
      <c r="B8629" s="534" t="n">
        <v>9.843999999999999</v>
      </c>
      <c r="C8629" s="534" t="n">
        <v>27114.88</v>
      </c>
    </row>
    <row r="8630">
      <c r="A8630" s="535" t="n">
        <v>43616</v>
      </c>
      <c r="B8630" s="534" t="n">
        <v>9.722</v>
      </c>
      <c r="C8630" s="534" t="n">
        <v>26901.09</v>
      </c>
    </row>
    <row r="8631">
      <c r="A8631" s="535" t="n">
        <v>43619</v>
      </c>
      <c r="B8631" s="534" t="n">
        <v>9.722</v>
      </c>
      <c r="C8631" s="534" t="n">
        <v>26893.86</v>
      </c>
    </row>
    <row r="8632">
      <c r="A8632" s="535" t="n">
        <v>43620</v>
      </c>
      <c r="B8632" s="534" t="n">
        <v>9.756</v>
      </c>
      <c r="C8632" s="534" t="n">
        <v>26761.52</v>
      </c>
    </row>
    <row r="8633">
      <c r="A8633" s="535" t="n">
        <v>43621</v>
      </c>
      <c r="B8633" s="534" t="n">
        <v>9.843999999999999</v>
      </c>
      <c r="C8633" s="534" t="n">
        <v>26895.44</v>
      </c>
    </row>
    <row r="8634">
      <c r="A8634" s="535" t="n">
        <v>43622</v>
      </c>
      <c r="B8634" s="534" t="n">
        <v>9.634</v>
      </c>
      <c r="C8634" s="534" t="n">
        <v>26965.28</v>
      </c>
    </row>
    <row r="8635">
      <c r="A8635" s="535" t="n">
        <v>43623</v>
      </c>
      <c r="B8635" s="534" t="n">
        <v>9.634</v>
      </c>
      <c r="C8635" s="534" t="n">
        <v>26965.28</v>
      </c>
    </row>
    <row r="8636">
      <c r="A8636" s="535" t="n">
        <v>43626</v>
      </c>
      <c r="B8636" s="534" t="n">
        <v>9.582000000000001</v>
      </c>
      <c r="C8636" s="534" t="n">
        <v>27578.64</v>
      </c>
    </row>
    <row r="8637">
      <c r="A8637" s="535" t="n">
        <v>43627</v>
      </c>
      <c r="B8637" s="534" t="n">
        <v>9.722</v>
      </c>
      <c r="C8637" s="534" t="n">
        <v>27789.34</v>
      </c>
    </row>
    <row r="8638">
      <c r="A8638" s="535" t="n">
        <v>43628</v>
      </c>
      <c r="B8638" s="534" t="n">
        <v>9.529999999999999</v>
      </c>
      <c r="C8638" s="534" t="n">
        <v>27308.46</v>
      </c>
    </row>
    <row r="8639">
      <c r="A8639" s="535" t="n">
        <v>43629</v>
      </c>
      <c r="B8639" s="534" t="n">
        <v>9.513</v>
      </c>
      <c r="C8639" s="534" t="n">
        <v>27294.71</v>
      </c>
    </row>
    <row r="8640">
      <c r="A8640" s="535" t="n">
        <v>43630</v>
      </c>
      <c r="B8640" s="534" t="n">
        <v>9.547000000000001</v>
      </c>
      <c r="C8640" s="534" t="n">
        <v>27118.35</v>
      </c>
    </row>
    <row r="8641">
      <c r="A8641" s="535" t="n">
        <v>43633</v>
      </c>
      <c r="B8641" s="534" t="n">
        <v>9.651999999999999</v>
      </c>
      <c r="C8641" s="534" t="n">
        <v>27227.16</v>
      </c>
    </row>
    <row r="8642">
      <c r="A8642" s="535" t="n">
        <v>43634</v>
      </c>
      <c r="B8642" s="534" t="n">
        <v>9.704000000000001</v>
      </c>
      <c r="C8642" s="534" t="n">
        <v>27498.77</v>
      </c>
    </row>
    <row r="8643">
      <c r="A8643" s="535" t="n">
        <v>43635</v>
      </c>
      <c r="B8643" s="534" t="n">
        <v>9.913</v>
      </c>
      <c r="C8643" s="534" t="n">
        <v>28202.14</v>
      </c>
    </row>
    <row r="8644">
      <c r="A8644" s="535" t="n">
        <v>43636</v>
      </c>
      <c r="B8644" s="534" t="n">
        <v>10.053</v>
      </c>
      <c r="C8644" s="534" t="n">
        <v>28550.43</v>
      </c>
    </row>
    <row r="8645">
      <c r="A8645" s="535" t="n">
        <v>43637</v>
      </c>
      <c r="B8645" s="534" t="n">
        <v>10.401</v>
      </c>
      <c r="C8645" s="534" t="n">
        <v>28473.71</v>
      </c>
    </row>
    <row r="8646">
      <c r="A8646" s="535" t="n">
        <v>43640</v>
      </c>
      <c r="B8646" s="534" t="n">
        <v>10.279</v>
      </c>
      <c r="C8646" s="534" t="n">
        <v>28513</v>
      </c>
    </row>
    <row r="8647">
      <c r="A8647" s="535" t="n">
        <v>43641</v>
      </c>
      <c r="B8647" s="534" t="n">
        <v>10.07</v>
      </c>
      <c r="C8647" s="534" t="n">
        <v>28185.98</v>
      </c>
    </row>
    <row r="8648">
      <c r="A8648" s="535" t="n">
        <v>43642</v>
      </c>
      <c r="B8648" s="534" t="n">
        <v>10.105</v>
      </c>
      <c r="C8648" s="534" t="n">
        <v>28221.98</v>
      </c>
    </row>
    <row r="8649">
      <c r="A8649" s="535" t="n">
        <v>43643</v>
      </c>
      <c r="B8649" s="534" t="n">
        <v>10.018</v>
      </c>
      <c r="C8649" s="534" t="n">
        <v>28621.42</v>
      </c>
    </row>
    <row r="8650">
      <c r="A8650" s="535" t="n">
        <v>43644</v>
      </c>
      <c r="B8650" s="534" t="n">
        <v>10.175</v>
      </c>
      <c r="C8650" s="534" t="n">
        <v>28542.62</v>
      </c>
    </row>
    <row r="8651">
      <c r="A8651" s="535" t="n">
        <v>43647</v>
      </c>
      <c r="B8651" s="534" t="n">
        <v>10.175</v>
      </c>
      <c r="C8651" s="534" t="n">
        <v>28542.62</v>
      </c>
    </row>
    <row r="8652">
      <c r="A8652" s="535" t="n">
        <v>43648</v>
      </c>
      <c r="B8652" s="534" t="n">
        <v>10.244</v>
      </c>
      <c r="C8652" s="534" t="n">
        <v>28875.56</v>
      </c>
    </row>
    <row r="8653">
      <c r="A8653" s="535" t="n">
        <v>43649</v>
      </c>
      <c r="B8653" s="534" t="n">
        <v>10.297</v>
      </c>
      <c r="C8653" s="534" t="n">
        <v>28855.14</v>
      </c>
    </row>
    <row r="8654">
      <c r="A8654" s="535" t="n">
        <v>43650</v>
      </c>
      <c r="B8654" s="534" t="n">
        <v>10.227</v>
      </c>
      <c r="C8654" s="534" t="n">
        <v>28795.77</v>
      </c>
    </row>
    <row r="8655">
      <c r="A8655" s="535" t="n">
        <v>43651</v>
      </c>
      <c r="B8655" s="534" t="n">
        <v>10.209</v>
      </c>
      <c r="C8655" s="534" t="n">
        <v>28774.83</v>
      </c>
    </row>
    <row r="8656">
      <c r="A8656" s="535" t="n">
        <v>43654</v>
      </c>
      <c r="B8656" s="534" t="n">
        <v>10.105</v>
      </c>
      <c r="C8656" s="534" t="n">
        <v>28331.69</v>
      </c>
    </row>
    <row r="8657">
      <c r="A8657" s="535" t="n">
        <v>43655</v>
      </c>
      <c r="B8657" s="534" t="n">
        <v>10.087</v>
      </c>
      <c r="C8657" s="534" t="n">
        <v>28116.28</v>
      </c>
    </row>
    <row r="8658">
      <c r="A8658" s="535" t="n">
        <v>43656</v>
      </c>
      <c r="B8658" s="534" t="n">
        <v>10.018</v>
      </c>
      <c r="C8658" s="534" t="n">
        <v>28204.69</v>
      </c>
    </row>
    <row r="8659">
      <c r="A8659" s="535" t="n">
        <v>43657</v>
      </c>
      <c r="B8659" s="534" t="n">
        <v>10.14</v>
      </c>
      <c r="C8659" s="534" t="n">
        <v>28431.8</v>
      </c>
    </row>
    <row r="8660">
      <c r="A8660" s="535" t="n">
        <v>43658</v>
      </c>
      <c r="B8660" s="534" t="n">
        <v>10.14</v>
      </c>
      <c r="C8660" s="534" t="n">
        <v>28471.62</v>
      </c>
    </row>
    <row r="8661">
      <c r="A8661" s="535" t="n">
        <v>43661</v>
      </c>
      <c r="B8661" s="534" t="n">
        <v>10.297</v>
      </c>
      <c r="C8661" s="534" t="n">
        <v>28554.88</v>
      </c>
    </row>
    <row r="8662">
      <c r="A8662" s="535" t="n">
        <v>43662</v>
      </c>
      <c r="B8662" s="534" t="n">
        <v>10.384</v>
      </c>
      <c r="C8662" s="534" t="n">
        <v>28619.62</v>
      </c>
    </row>
    <row r="8663">
      <c r="A8663" s="535" t="n">
        <v>43663</v>
      </c>
      <c r="B8663" s="534" t="n">
        <v>10.68</v>
      </c>
      <c r="C8663" s="534" t="n">
        <v>28593.17</v>
      </c>
    </row>
    <row r="8664">
      <c r="A8664" s="535" t="n">
        <v>43664</v>
      </c>
      <c r="B8664" s="534" t="n">
        <v>10.61</v>
      </c>
      <c r="C8664" s="534" t="n">
        <v>28461.66</v>
      </c>
    </row>
    <row r="8665">
      <c r="A8665" s="535" t="n">
        <v>43665</v>
      </c>
      <c r="B8665" s="534" t="n">
        <v>10.54</v>
      </c>
      <c r="C8665" s="534" t="n">
        <v>28765.4</v>
      </c>
    </row>
    <row r="8666">
      <c r="A8666" s="535" t="n">
        <v>43668</v>
      </c>
      <c r="B8666" s="534" t="n">
        <v>10.349</v>
      </c>
      <c r="C8666" s="534" t="n">
        <v>28371.26</v>
      </c>
    </row>
    <row r="8667">
      <c r="A8667" s="535" t="n">
        <v>43669</v>
      </c>
      <c r="B8667" s="534" t="n">
        <v>10.331</v>
      </c>
      <c r="C8667" s="534" t="n">
        <v>28466.48</v>
      </c>
    </row>
    <row r="8668">
      <c r="A8668" s="535" t="n">
        <v>43670</v>
      </c>
      <c r="B8668" s="534" t="n">
        <v>10.018</v>
      </c>
      <c r="C8668" s="534" t="n">
        <v>28524.04</v>
      </c>
    </row>
    <row r="8669">
      <c r="A8669" s="535" t="n">
        <v>43671</v>
      </c>
      <c r="B8669" s="534" t="n">
        <v>9.930999999999999</v>
      </c>
      <c r="C8669" s="534" t="n">
        <v>28594.3</v>
      </c>
    </row>
    <row r="8670">
      <c r="A8670" s="535" t="n">
        <v>43672</v>
      </c>
      <c r="B8670" s="534" t="n">
        <v>9.930999999999999</v>
      </c>
      <c r="C8670" s="534" t="n">
        <v>28397.74</v>
      </c>
    </row>
    <row r="8671">
      <c r="A8671" s="535" t="n">
        <v>43675</v>
      </c>
      <c r="B8671" s="534" t="n">
        <v>9.634</v>
      </c>
      <c r="C8671" s="534" t="n">
        <v>28106.41</v>
      </c>
    </row>
    <row r="8672">
      <c r="A8672" s="535" t="n">
        <v>43676</v>
      </c>
      <c r="B8672" s="534" t="n">
        <v>9.686999999999999</v>
      </c>
      <c r="C8672" s="534" t="n">
        <v>28146.5</v>
      </c>
    </row>
    <row r="8673">
      <c r="A8673" s="535" t="n">
        <v>43677</v>
      </c>
      <c r="B8673" s="534" t="n">
        <v>9.651999999999999</v>
      </c>
      <c r="C8673" s="534" t="n">
        <v>27777.75</v>
      </c>
    </row>
    <row r="8674">
      <c r="A8674" s="535" t="n">
        <v>43678</v>
      </c>
      <c r="B8674" s="534" t="n">
        <v>9.565</v>
      </c>
      <c r="C8674" s="534" t="n">
        <v>27565.7</v>
      </c>
    </row>
    <row r="8675">
      <c r="A8675" s="535" t="n">
        <v>43679</v>
      </c>
      <c r="B8675" s="534" t="n">
        <v>9.460000000000001</v>
      </c>
      <c r="C8675" s="534" t="n">
        <v>26918.58</v>
      </c>
    </row>
    <row r="8676">
      <c r="A8676" s="535" t="n">
        <v>43682</v>
      </c>
      <c r="B8676" s="534" t="n">
        <v>9.06</v>
      </c>
      <c r="C8676" s="534" t="n">
        <v>26151.32</v>
      </c>
    </row>
    <row r="8677">
      <c r="A8677" s="535" t="n">
        <v>43683</v>
      </c>
      <c r="B8677" s="534" t="n">
        <v>8.99</v>
      </c>
      <c r="C8677" s="534" t="n">
        <v>25976.24</v>
      </c>
    </row>
    <row r="8678">
      <c r="A8678" s="535" t="n">
        <v>43684</v>
      </c>
      <c r="B8678" s="534" t="n">
        <v>9.06</v>
      </c>
      <c r="C8678" s="534" t="n">
        <v>25997.03</v>
      </c>
    </row>
    <row r="8679">
      <c r="A8679" s="535" t="n">
        <v>43685</v>
      </c>
      <c r="B8679" s="534" t="n">
        <v>8.99</v>
      </c>
      <c r="C8679" s="534" t="n">
        <v>26120.77</v>
      </c>
    </row>
    <row r="8680">
      <c r="A8680" s="535" t="n">
        <v>43686</v>
      </c>
      <c r="B8680" s="534" t="n">
        <v>8.972</v>
      </c>
      <c r="C8680" s="534" t="n">
        <v>25939.3</v>
      </c>
    </row>
    <row r="8681">
      <c r="A8681" s="535" t="n">
        <v>43689</v>
      </c>
      <c r="B8681" s="534" t="n">
        <v>8.537000000000001</v>
      </c>
      <c r="C8681" s="534" t="n">
        <v>25824.72</v>
      </c>
    </row>
    <row r="8682">
      <c r="A8682" s="535" t="n">
        <v>43690</v>
      </c>
      <c r="B8682" s="534" t="n">
        <v>8.319000000000001</v>
      </c>
      <c r="C8682" s="534" t="n">
        <v>25281.3</v>
      </c>
    </row>
    <row r="8683">
      <c r="A8683" s="535" t="n">
        <v>43691</v>
      </c>
      <c r="B8683" s="534" t="n">
        <v>8.554</v>
      </c>
      <c r="C8683" s="534" t="n">
        <v>25302.28</v>
      </c>
    </row>
    <row r="8684">
      <c r="A8684" s="535" t="n">
        <v>43692</v>
      </c>
      <c r="B8684" s="534" t="n">
        <v>9.042</v>
      </c>
      <c r="C8684" s="534" t="n">
        <v>25495.46</v>
      </c>
    </row>
    <row r="8685">
      <c r="A8685" s="535" t="n">
        <v>43693</v>
      </c>
      <c r="B8685" s="534" t="n">
        <v>9.234</v>
      </c>
      <c r="C8685" s="534" t="n">
        <v>25734.22</v>
      </c>
    </row>
    <row r="8686">
      <c r="A8686" s="535" t="n">
        <v>43696</v>
      </c>
      <c r="B8686" s="534" t="n">
        <v>9.321</v>
      </c>
      <c r="C8686" s="534" t="n">
        <v>26291.84</v>
      </c>
    </row>
    <row r="8687">
      <c r="A8687" s="535" t="n">
        <v>43697</v>
      </c>
      <c r="B8687" s="534" t="n">
        <v>9.286</v>
      </c>
      <c r="C8687" s="534" t="n">
        <v>26231.54</v>
      </c>
    </row>
    <row r="8688">
      <c r="A8688" s="535" t="n">
        <v>43698</v>
      </c>
      <c r="B8688" s="534" t="n">
        <v>9.077</v>
      </c>
      <c r="C8688" s="534" t="n">
        <v>26270.04</v>
      </c>
    </row>
    <row r="8689">
      <c r="A8689" s="535" t="n">
        <v>43699</v>
      </c>
      <c r="B8689" s="534" t="n">
        <v>9.06</v>
      </c>
      <c r="C8689" s="534" t="n">
        <v>26048.72</v>
      </c>
    </row>
    <row r="8690">
      <c r="A8690" s="535" t="n">
        <v>43700</v>
      </c>
      <c r="B8690" s="534" t="n">
        <v>8.938000000000001</v>
      </c>
      <c r="C8690" s="534" t="n">
        <v>26179.33</v>
      </c>
    </row>
    <row r="8691">
      <c r="A8691" s="535" t="n">
        <v>43703</v>
      </c>
      <c r="B8691" s="534" t="n">
        <v>8.972</v>
      </c>
      <c r="C8691" s="534" t="n">
        <v>25680.33</v>
      </c>
    </row>
    <row r="8692">
      <c r="A8692" s="535" t="n">
        <v>43704</v>
      </c>
      <c r="B8692" s="534" t="n">
        <v>8.955</v>
      </c>
      <c r="C8692" s="534" t="n">
        <v>25664.07</v>
      </c>
    </row>
    <row r="8693">
      <c r="A8693" s="535" t="n">
        <v>43705</v>
      </c>
      <c r="B8693" s="534" t="n">
        <v>8.798</v>
      </c>
      <c r="C8693" s="534" t="n">
        <v>25615.48</v>
      </c>
    </row>
    <row r="8694">
      <c r="A8694" s="535" t="n">
        <v>43706</v>
      </c>
      <c r="B8694" s="534" t="n">
        <v>8.833</v>
      </c>
      <c r="C8694" s="534" t="n">
        <v>25703.5</v>
      </c>
    </row>
    <row r="8695">
      <c r="A8695" s="535" t="n">
        <v>43707</v>
      </c>
      <c r="B8695" s="534" t="n">
        <v>8.903</v>
      </c>
      <c r="C8695" s="534" t="n">
        <v>25724.73</v>
      </c>
    </row>
    <row r="8696">
      <c r="A8696" s="535" t="n">
        <v>43710</v>
      </c>
      <c r="B8696" s="534" t="n">
        <v>8.868</v>
      </c>
      <c r="C8696" s="534" t="n">
        <v>25626.55</v>
      </c>
    </row>
    <row r="8697">
      <c r="A8697" s="535" t="n">
        <v>43711</v>
      </c>
      <c r="B8697" s="534" t="n">
        <v>8.85</v>
      </c>
      <c r="C8697" s="534" t="n">
        <v>25527.85</v>
      </c>
    </row>
    <row r="8698">
      <c r="A8698" s="535" t="n">
        <v>43712</v>
      </c>
      <c r="B8698" s="534" t="n">
        <v>9.321</v>
      </c>
      <c r="C8698" s="534" t="n">
        <v>26523.23</v>
      </c>
    </row>
    <row r="8699">
      <c r="A8699" s="535" t="n">
        <v>43713</v>
      </c>
      <c r="B8699" s="534" t="n">
        <v>8.99</v>
      </c>
      <c r="C8699" s="534" t="n">
        <v>26515.53</v>
      </c>
    </row>
    <row r="8700">
      <c r="A8700" s="535" t="n">
        <v>43714</v>
      </c>
      <c r="B8700" s="534" t="n">
        <v>9.093999999999999</v>
      </c>
      <c r="C8700" s="534" t="n">
        <v>26690.76</v>
      </c>
    </row>
    <row r="8701">
      <c r="A8701" s="535" t="n">
        <v>43717</v>
      </c>
      <c r="B8701" s="534" t="n">
        <v>9.077</v>
      </c>
      <c r="C8701" s="534" t="n">
        <v>26681.4</v>
      </c>
    </row>
    <row r="8702">
      <c r="A8702" s="535" t="n">
        <v>43718</v>
      </c>
      <c r="B8702" s="534" t="n">
        <v>9.093999999999999</v>
      </c>
      <c r="C8702" s="534" t="n">
        <v>26683.68</v>
      </c>
    </row>
    <row r="8703">
      <c r="A8703" s="535" t="n">
        <v>43719</v>
      </c>
      <c r="B8703" s="534" t="n">
        <v>9.337999999999999</v>
      </c>
      <c r="C8703" s="534" t="n">
        <v>27159.06</v>
      </c>
    </row>
    <row r="8704">
      <c r="A8704" s="535" t="n">
        <v>43720</v>
      </c>
      <c r="B8704" s="534" t="n">
        <v>9.250999999999999</v>
      </c>
      <c r="C8704" s="534" t="n">
        <v>27087.63</v>
      </c>
    </row>
    <row r="8705">
      <c r="A8705" s="535" t="n">
        <v>43721</v>
      </c>
      <c r="B8705" s="534" t="n">
        <v>9.478</v>
      </c>
      <c r="C8705" s="534" t="n">
        <v>27352.69</v>
      </c>
    </row>
    <row r="8706">
      <c r="A8706" s="535" t="n">
        <v>43724</v>
      </c>
      <c r="B8706" s="534" t="n">
        <v>9.093999999999999</v>
      </c>
      <c r="C8706" s="534" t="n">
        <v>27124.55</v>
      </c>
    </row>
    <row r="8707">
      <c r="A8707" s="535" t="n">
        <v>43725</v>
      </c>
      <c r="B8707" s="534" t="n">
        <v>8.903</v>
      </c>
      <c r="C8707" s="534" t="n">
        <v>26790.24</v>
      </c>
    </row>
    <row r="8708">
      <c r="A8708" s="535" t="n">
        <v>43726</v>
      </c>
      <c r="B8708" s="534" t="n">
        <v>8.972</v>
      </c>
      <c r="C8708" s="534" t="n">
        <v>26754.12</v>
      </c>
    </row>
    <row r="8709">
      <c r="A8709" s="535" t="n">
        <v>43727</v>
      </c>
      <c r="B8709" s="534" t="n">
        <v>8.938000000000001</v>
      </c>
      <c r="C8709" s="534" t="n">
        <v>26468.95</v>
      </c>
    </row>
    <row r="8710">
      <c r="A8710" s="535" t="n">
        <v>43728</v>
      </c>
      <c r="B8710" s="534" t="n">
        <v>8.816000000000001</v>
      </c>
      <c r="C8710" s="534" t="n">
        <v>26435.67</v>
      </c>
    </row>
    <row r="8711">
      <c r="A8711" s="535" t="n">
        <v>43731</v>
      </c>
      <c r="B8711" s="534" t="n">
        <v>8.816000000000001</v>
      </c>
      <c r="C8711" s="534" t="n">
        <v>26222.4</v>
      </c>
    </row>
    <row r="8712">
      <c r="A8712" s="535" t="n">
        <v>43732</v>
      </c>
      <c r="B8712" s="534" t="n">
        <v>8.694000000000001</v>
      </c>
      <c r="C8712" s="534" t="n">
        <v>26281</v>
      </c>
    </row>
    <row r="8713">
      <c r="A8713" s="535" t="n">
        <v>43733</v>
      </c>
      <c r="B8713" s="534" t="n">
        <v>8.554</v>
      </c>
      <c r="C8713" s="534" t="n">
        <v>25945.35</v>
      </c>
    </row>
    <row r="8714">
      <c r="A8714" s="535" t="n">
        <v>43734</v>
      </c>
      <c r="B8714" s="534" t="n">
        <v>8.554</v>
      </c>
      <c r="C8714" s="534" t="n">
        <v>26041.93</v>
      </c>
    </row>
    <row r="8715">
      <c r="A8715" s="535" t="n">
        <v>43735</v>
      </c>
      <c r="B8715" s="534" t="n">
        <v>8.484999999999999</v>
      </c>
      <c r="C8715" s="534" t="n">
        <v>25954.81</v>
      </c>
    </row>
    <row r="8716">
      <c r="A8716" s="535" t="n">
        <v>43738</v>
      </c>
      <c r="B8716" s="534" t="n">
        <v>8.537000000000001</v>
      </c>
      <c r="C8716" s="534" t="n">
        <v>26092.27</v>
      </c>
    </row>
    <row r="8717">
      <c r="A8717" s="535" t="n">
        <v>43739</v>
      </c>
      <c r="B8717" s="534" t="n">
        <v>8.537000000000001</v>
      </c>
      <c r="C8717" s="534" t="n">
        <v>26092.27</v>
      </c>
    </row>
    <row r="8718">
      <c r="A8718" s="535" t="n">
        <v>43740</v>
      </c>
      <c r="B8718" s="534" t="n">
        <v>8.711</v>
      </c>
      <c r="C8718" s="534" t="n">
        <v>26042.69</v>
      </c>
    </row>
    <row r="8719">
      <c r="A8719" s="535" t="n">
        <v>43741</v>
      </c>
      <c r="B8719" s="534" t="n">
        <v>8.746</v>
      </c>
      <c r="C8719" s="534" t="n">
        <v>26110.31</v>
      </c>
    </row>
    <row r="8720">
      <c r="A8720" s="535" t="n">
        <v>43742</v>
      </c>
      <c r="B8720" s="534" t="n">
        <v>8.676</v>
      </c>
      <c r="C8720" s="534" t="n">
        <v>25821.03</v>
      </c>
    </row>
    <row r="8721">
      <c r="A8721" s="535" t="n">
        <v>43745</v>
      </c>
      <c r="B8721" s="534" t="n">
        <v>8.676</v>
      </c>
      <c r="C8721" s="534" t="n">
        <v>25821.03</v>
      </c>
    </row>
    <row r="8722">
      <c r="A8722" s="535" t="n">
        <v>43746</v>
      </c>
      <c r="B8722" s="534" t="n">
        <v>8.353999999999999</v>
      </c>
      <c r="C8722" s="534" t="n">
        <v>25893.4</v>
      </c>
    </row>
    <row r="8723">
      <c r="A8723" s="535" t="n">
        <v>43747</v>
      </c>
      <c r="B8723" s="534" t="n">
        <v>8.345000000000001</v>
      </c>
      <c r="C8723" s="534" t="n">
        <v>25682.81</v>
      </c>
    </row>
    <row r="8724">
      <c r="A8724" s="535" t="n">
        <v>43748</v>
      </c>
      <c r="B8724" s="534" t="n">
        <v>8.31</v>
      </c>
      <c r="C8724" s="534" t="n">
        <v>25707.93</v>
      </c>
    </row>
    <row r="8725">
      <c r="A8725" s="535" t="n">
        <v>43749</v>
      </c>
      <c r="B8725" s="534" t="n">
        <v>8.519</v>
      </c>
      <c r="C8725" s="534" t="n">
        <v>26308.44</v>
      </c>
    </row>
    <row r="8726">
      <c r="A8726" s="535" t="n">
        <v>43752</v>
      </c>
      <c r="B8726" s="534" t="n">
        <v>8.615</v>
      </c>
      <c r="C8726" s="534" t="n">
        <v>26521.85</v>
      </c>
    </row>
    <row r="8727">
      <c r="A8727" s="535" t="n">
        <v>43753</v>
      </c>
      <c r="B8727" s="534" t="n">
        <v>8.641</v>
      </c>
      <c r="C8727" s="534" t="n">
        <v>26503.93</v>
      </c>
    </row>
    <row r="8728">
      <c r="A8728" s="535" t="n">
        <v>43754</v>
      </c>
      <c r="B8728" s="534" t="n">
        <v>8.58</v>
      </c>
      <c r="C8728" s="534" t="n">
        <v>26664.28</v>
      </c>
    </row>
    <row r="8729">
      <c r="A8729" s="535" t="n">
        <v>43755</v>
      </c>
      <c r="B8729" s="534" t="n">
        <v>8.868</v>
      </c>
      <c r="C8729" s="534" t="n">
        <v>26848.49</v>
      </c>
    </row>
    <row r="8730">
      <c r="A8730" s="535" t="n">
        <v>43756</v>
      </c>
      <c r="B8730" s="534" t="n">
        <v>8.676</v>
      </c>
      <c r="C8730" s="534" t="n">
        <v>26719.58</v>
      </c>
    </row>
    <row r="8731">
      <c r="A8731" s="535" t="n">
        <v>43759</v>
      </c>
      <c r="B8731" s="534" t="n">
        <v>8.624000000000001</v>
      </c>
      <c r="C8731" s="534" t="n">
        <v>26725.68</v>
      </c>
    </row>
    <row r="8732">
      <c r="A8732" s="535" t="n">
        <v>43760</v>
      </c>
      <c r="B8732" s="534" t="n">
        <v>8.781000000000001</v>
      </c>
      <c r="C8732" s="534" t="n">
        <v>26786.2</v>
      </c>
    </row>
    <row r="8733">
      <c r="A8733" s="535" t="n">
        <v>43761</v>
      </c>
      <c r="B8733" s="534" t="n">
        <v>8.606999999999999</v>
      </c>
      <c r="C8733" s="534" t="n">
        <v>26566.73</v>
      </c>
    </row>
    <row r="8734">
      <c r="A8734" s="535" t="n">
        <v>43762</v>
      </c>
      <c r="B8734" s="534" t="n">
        <v>8.694000000000001</v>
      </c>
      <c r="C8734" s="534" t="n">
        <v>26797.95</v>
      </c>
    </row>
    <row r="8735">
      <c r="A8735" s="535" t="n">
        <v>43763</v>
      </c>
      <c r="B8735" s="534" t="n">
        <v>8.676</v>
      </c>
      <c r="C8735" s="534" t="n">
        <v>26667.39</v>
      </c>
    </row>
    <row r="8736">
      <c r="A8736" s="535" t="n">
        <v>43766</v>
      </c>
      <c r="B8736" s="534" t="n">
        <v>8.763</v>
      </c>
      <c r="C8736" s="534" t="n">
        <v>26891.26</v>
      </c>
    </row>
    <row r="8737">
      <c r="A8737" s="535" t="n">
        <v>43767</v>
      </c>
      <c r="B8737" s="534" t="n">
        <v>8.746</v>
      </c>
      <c r="C8737" s="534" t="n">
        <v>26786.76</v>
      </c>
    </row>
    <row r="8738">
      <c r="A8738" s="535" t="n">
        <v>43768</v>
      </c>
      <c r="B8738" s="534" t="n">
        <v>8.702</v>
      </c>
      <c r="C8738" s="534" t="n">
        <v>26667.71</v>
      </c>
    </row>
    <row r="8739">
      <c r="A8739" s="535" t="n">
        <v>43769</v>
      </c>
      <c r="B8739" s="534" t="n">
        <v>8.728999999999999</v>
      </c>
      <c r="C8739" s="534" t="n">
        <v>26906.72</v>
      </c>
    </row>
    <row r="8740">
      <c r="A8740" s="535" t="n">
        <v>43770</v>
      </c>
      <c r="B8740" s="534" t="n">
        <v>8.781000000000001</v>
      </c>
      <c r="C8740" s="534" t="n">
        <v>27100.76</v>
      </c>
    </row>
    <row r="8741">
      <c r="A8741" s="535" t="n">
        <v>43773</v>
      </c>
      <c r="B8741" s="534" t="n">
        <v>8.938000000000001</v>
      </c>
      <c r="C8741" s="534" t="n">
        <v>27547.3</v>
      </c>
    </row>
    <row r="8742">
      <c r="A8742" s="535" t="n">
        <v>43774</v>
      </c>
      <c r="B8742" s="534" t="n">
        <v>8.938000000000001</v>
      </c>
      <c r="C8742" s="534" t="n">
        <v>27683.4</v>
      </c>
    </row>
    <row r="8743">
      <c r="A8743" s="535" t="n">
        <v>43775</v>
      </c>
      <c r="B8743" s="534" t="n">
        <v>8.903</v>
      </c>
      <c r="C8743" s="534" t="n">
        <v>27688.64</v>
      </c>
    </row>
    <row r="8744">
      <c r="A8744" s="535" t="n">
        <v>43776</v>
      </c>
      <c r="B8744" s="534" t="n">
        <v>8.955</v>
      </c>
      <c r="C8744" s="534" t="n">
        <v>27847.23</v>
      </c>
    </row>
    <row r="8745">
      <c r="A8745" s="535" t="n">
        <v>43777</v>
      </c>
      <c r="B8745" s="534" t="n">
        <v>8.85</v>
      </c>
      <c r="C8745" s="534" t="n">
        <v>27651.14</v>
      </c>
    </row>
    <row r="8746">
      <c r="A8746" s="535" t="n">
        <v>43780</v>
      </c>
      <c r="B8746" s="534" t="n">
        <v>8.685</v>
      </c>
      <c r="C8746" s="534" t="n">
        <v>26926.55</v>
      </c>
    </row>
    <row r="8747">
      <c r="A8747" s="535" t="n">
        <v>43781</v>
      </c>
      <c r="B8747" s="534" t="n">
        <v>8.746</v>
      </c>
      <c r="C8747" s="534" t="n">
        <v>27065.28</v>
      </c>
    </row>
    <row r="8748">
      <c r="A8748" s="535" t="n">
        <v>43782</v>
      </c>
      <c r="B8748" s="534" t="n">
        <v>8.702</v>
      </c>
      <c r="C8748" s="534" t="n">
        <v>26571.46</v>
      </c>
    </row>
    <row r="8749">
      <c r="A8749" s="535" t="n">
        <v>43783</v>
      </c>
      <c r="B8749" s="534" t="n">
        <v>8.632999999999999</v>
      </c>
      <c r="C8749" s="534" t="n">
        <v>26323.69</v>
      </c>
    </row>
    <row r="8750">
      <c r="A8750" s="535" t="n">
        <v>43784</v>
      </c>
      <c r="B8750" s="534" t="n">
        <v>8.554</v>
      </c>
      <c r="C8750" s="534" t="n">
        <v>26326.66</v>
      </c>
    </row>
    <row r="8751">
      <c r="A8751" s="535" t="n">
        <v>43787</v>
      </c>
      <c r="B8751" s="534" t="n">
        <v>8.563000000000001</v>
      </c>
      <c r="C8751" s="534" t="n">
        <v>26681.09</v>
      </c>
    </row>
    <row r="8752">
      <c r="A8752" s="535" t="n">
        <v>43788</v>
      </c>
      <c r="B8752" s="534" t="n">
        <v>8.624000000000001</v>
      </c>
      <c r="C8752" s="534" t="n">
        <v>27093.8</v>
      </c>
    </row>
    <row r="8753">
      <c r="A8753" s="535" t="n">
        <v>43789</v>
      </c>
      <c r="B8753" s="534" t="n">
        <v>8.659000000000001</v>
      </c>
      <c r="C8753" s="534" t="n">
        <v>26889.61</v>
      </c>
    </row>
    <row r="8754">
      <c r="A8754" s="535" t="n">
        <v>43790</v>
      </c>
      <c r="B8754" s="534" t="n">
        <v>8.676</v>
      </c>
      <c r="C8754" s="534" t="n">
        <v>26466.88</v>
      </c>
    </row>
    <row r="8755">
      <c r="A8755" s="535" t="n">
        <v>43791</v>
      </c>
      <c r="B8755" s="534" t="n">
        <v>8.589</v>
      </c>
      <c r="C8755" s="534" t="n">
        <v>26595.08</v>
      </c>
    </row>
    <row r="8756">
      <c r="A8756" s="535" t="n">
        <v>43794</v>
      </c>
      <c r="B8756" s="534" t="n">
        <v>8.816000000000001</v>
      </c>
      <c r="C8756" s="534" t="n">
        <v>26993.04</v>
      </c>
    </row>
    <row r="8757">
      <c r="A8757" s="535" t="n">
        <v>43795</v>
      </c>
      <c r="B8757" s="534" t="n">
        <v>8.816000000000001</v>
      </c>
      <c r="C8757" s="534" t="n">
        <v>26913.92</v>
      </c>
    </row>
    <row r="8758">
      <c r="A8758" s="535" t="n">
        <v>43796</v>
      </c>
      <c r="B8758" s="534" t="n">
        <v>8.903</v>
      </c>
      <c r="C8758" s="534" t="n">
        <v>26954</v>
      </c>
    </row>
    <row r="8759">
      <c r="A8759" s="535" t="n">
        <v>43797</v>
      </c>
      <c r="B8759" s="534" t="n">
        <v>9.093999999999999</v>
      </c>
      <c r="C8759" s="534" t="n">
        <v>26893.73</v>
      </c>
    </row>
    <row r="8760">
      <c r="A8760" s="535" t="n">
        <v>43798</v>
      </c>
      <c r="B8760" s="534" t="n">
        <v>9.112</v>
      </c>
      <c r="C8760" s="534" t="n">
        <v>26346.49</v>
      </c>
    </row>
    <row r="8761">
      <c r="A8761" s="535" t="n">
        <v>43801</v>
      </c>
      <c r="B8761" s="534" t="n">
        <v>9.129</v>
      </c>
      <c r="C8761" s="534" t="n">
        <v>26444.72</v>
      </c>
    </row>
    <row r="8762">
      <c r="A8762" s="535" t="n">
        <v>43802</v>
      </c>
      <c r="B8762" s="534" t="n">
        <v>9.007</v>
      </c>
      <c r="C8762" s="534" t="n">
        <v>26391.3</v>
      </c>
    </row>
    <row r="8763">
      <c r="A8763" s="535" t="n">
        <v>43803</v>
      </c>
      <c r="B8763" s="534" t="n">
        <v>9.042</v>
      </c>
      <c r="C8763" s="534" t="n">
        <v>26062.56</v>
      </c>
    </row>
    <row r="8764">
      <c r="A8764" s="535" t="n">
        <v>43804</v>
      </c>
      <c r="B8764" s="534" t="n">
        <v>8.99</v>
      </c>
      <c r="C8764" s="534" t="n">
        <v>26217.04</v>
      </c>
    </row>
    <row r="8765">
      <c r="A8765" s="535" t="n">
        <v>43805</v>
      </c>
      <c r="B8765" s="534" t="n">
        <v>9.093999999999999</v>
      </c>
      <c r="C8765" s="534" t="n">
        <v>26498.37</v>
      </c>
    </row>
    <row r="8766">
      <c r="A8766" s="535" t="n">
        <v>43808</v>
      </c>
      <c r="B8766" s="534" t="n">
        <v>8.99</v>
      </c>
      <c r="C8766" s="534" t="n">
        <v>26494.73</v>
      </c>
    </row>
    <row r="8767">
      <c r="A8767" s="535" t="n">
        <v>43809</v>
      </c>
      <c r="B8767" s="534" t="n">
        <v>8.955</v>
      </c>
      <c r="C8767" s="534" t="n">
        <v>26436.62</v>
      </c>
    </row>
    <row r="8768">
      <c r="A8768" s="535" t="n">
        <v>43810</v>
      </c>
      <c r="B8768" s="534" t="n">
        <v>8.99</v>
      </c>
      <c r="C8768" s="534" t="n">
        <v>26645.43</v>
      </c>
    </row>
    <row r="8769">
      <c r="A8769" s="535" t="n">
        <v>43811</v>
      </c>
      <c r="B8769" s="534" t="n">
        <v>9.112</v>
      </c>
      <c r="C8769" s="534" t="n">
        <v>26994.14</v>
      </c>
    </row>
    <row r="8770">
      <c r="A8770" s="535" t="n">
        <v>43812</v>
      </c>
      <c r="B8770" s="534" t="n">
        <v>9.478</v>
      </c>
      <c r="C8770" s="534" t="n">
        <v>27687.76</v>
      </c>
    </row>
    <row r="8771">
      <c r="A8771" s="535" t="n">
        <v>43815</v>
      </c>
      <c r="B8771" s="534" t="n">
        <v>9.425000000000001</v>
      </c>
      <c r="C8771" s="534" t="n">
        <v>27508.09</v>
      </c>
    </row>
    <row r="8772">
      <c r="A8772" s="535" t="n">
        <v>43816</v>
      </c>
      <c r="B8772" s="534" t="n">
        <v>9.756</v>
      </c>
      <c r="C8772" s="534" t="n">
        <v>27843.71</v>
      </c>
    </row>
    <row r="8773">
      <c r="A8773" s="535" t="n">
        <v>43817</v>
      </c>
      <c r="B8773" s="534" t="n">
        <v>9.739000000000001</v>
      </c>
      <c r="C8773" s="534" t="n">
        <v>27884.21</v>
      </c>
    </row>
    <row r="8774">
      <c r="A8774" s="535" t="n">
        <v>43818</v>
      </c>
      <c r="B8774" s="534" t="n">
        <v>9.878</v>
      </c>
      <c r="C8774" s="534" t="n">
        <v>27800.49</v>
      </c>
    </row>
    <row r="8775">
      <c r="A8775" s="535" t="n">
        <v>43819</v>
      </c>
      <c r="B8775" s="534" t="n">
        <v>9.808999999999999</v>
      </c>
      <c r="C8775" s="534" t="n">
        <v>27871.35</v>
      </c>
    </row>
    <row r="8776">
      <c r="A8776" s="535" t="n">
        <v>43822</v>
      </c>
      <c r="B8776" s="534" t="n">
        <v>9.791</v>
      </c>
      <c r="C8776" s="534" t="n">
        <v>27906.41</v>
      </c>
    </row>
    <row r="8777">
      <c r="A8777" s="535" t="n">
        <v>43823</v>
      </c>
      <c r="B8777" s="534" t="n">
        <v>9.861000000000001</v>
      </c>
      <c r="C8777" s="534" t="n">
        <v>27864.21</v>
      </c>
    </row>
    <row r="8778">
      <c r="A8778" s="535" t="n">
        <v>43824</v>
      </c>
      <c r="B8778" s="534" t="n">
        <v>9.861000000000001</v>
      </c>
      <c r="C8778" s="534" t="n">
        <v>27864.21</v>
      </c>
    </row>
    <row r="8779">
      <c r="A8779" s="535" t="n">
        <v>43825</v>
      </c>
      <c r="B8779" s="534" t="n">
        <v>9.861000000000001</v>
      </c>
      <c r="C8779" s="534" t="n">
        <v>27864.21</v>
      </c>
    </row>
    <row r="8780">
      <c r="A8780" s="535" t="n">
        <v>43826</v>
      </c>
      <c r="B8780" s="534" t="n">
        <v>9.896000000000001</v>
      </c>
      <c r="C8780" s="534" t="n">
        <v>28225.42</v>
      </c>
    </row>
    <row r="8781">
      <c r="A8781" s="535" t="n">
        <v>43829</v>
      </c>
      <c r="B8781" s="534" t="n">
        <v>9.930999999999999</v>
      </c>
      <c r="C8781" s="534" t="n">
        <v>28319.39</v>
      </c>
    </row>
    <row r="8782">
      <c r="A8782" s="535" t="n">
        <v>43830</v>
      </c>
      <c r="B8782" s="534" t="n">
        <v>10.035</v>
      </c>
      <c r="C8782" s="534" t="n">
        <v>28189.75</v>
      </c>
    </row>
    <row r="8783">
      <c r="A8783" s="535" t="n">
        <v>43831</v>
      </c>
      <c r="B8783" s="534" t="n">
        <v>10.035</v>
      </c>
      <c r="C8783" s="534" t="n">
        <v>28189.75</v>
      </c>
    </row>
    <row r="8784">
      <c r="A8784" s="535" t="n">
        <v>43832</v>
      </c>
      <c r="B8784" s="534" t="n">
        <v>9.965999999999999</v>
      </c>
      <c r="C8784" s="534" t="n">
        <v>28543.52</v>
      </c>
    </row>
    <row r="8785">
      <c r="A8785" s="535" t="n">
        <v>43833</v>
      </c>
      <c r="B8785" s="534" t="n">
        <v>9.930999999999999</v>
      </c>
      <c r="C8785" s="534" t="n">
        <v>28451.5</v>
      </c>
    </row>
    <row r="8786">
      <c r="A8786" s="535" t="n">
        <v>43836</v>
      </c>
      <c r="B8786" s="534" t="n">
        <v>9.513</v>
      </c>
      <c r="C8786" s="534" t="n">
        <v>28226.19</v>
      </c>
    </row>
    <row r="8787">
      <c r="A8787" s="535" t="n">
        <v>43837</v>
      </c>
      <c r="B8787" s="534" t="n">
        <v>9.529999999999999</v>
      </c>
      <c r="C8787" s="534" t="n">
        <v>28322.06</v>
      </c>
    </row>
    <row r="8788">
      <c r="A8788" s="535" t="n">
        <v>43838</v>
      </c>
      <c r="B8788" s="534" t="n">
        <v>9.460000000000001</v>
      </c>
      <c r="C8788" s="534" t="n">
        <v>28087.92</v>
      </c>
    </row>
    <row r="8789">
      <c r="A8789" s="535" t="n">
        <v>43839</v>
      </c>
      <c r="B8789" s="534" t="n">
        <v>9.6</v>
      </c>
      <c r="C8789" s="534" t="n">
        <v>28561</v>
      </c>
    </row>
    <row r="8790">
      <c r="A8790" s="535" t="n">
        <v>43840</v>
      </c>
      <c r="B8790" s="534" t="n">
        <v>9.756</v>
      </c>
      <c r="C8790" s="534" t="n">
        <v>28638.2</v>
      </c>
    </row>
    <row r="8791">
      <c r="A8791" s="535" t="n">
        <v>43843</v>
      </c>
      <c r="B8791" s="534" t="n">
        <v>9.704000000000001</v>
      </c>
      <c r="C8791" s="534" t="n">
        <v>28954.94</v>
      </c>
    </row>
    <row r="8792">
      <c r="A8792" s="535" t="n">
        <v>43844</v>
      </c>
      <c r="B8792" s="534" t="n">
        <v>9.913</v>
      </c>
      <c r="C8792" s="534" t="n">
        <v>28885.14</v>
      </c>
    </row>
    <row r="8793">
      <c r="A8793" s="535" t="n">
        <v>43845</v>
      </c>
      <c r="B8793" s="534" t="n">
        <v>9.878</v>
      </c>
      <c r="C8793" s="534" t="n">
        <v>28773.59</v>
      </c>
    </row>
    <row r="8794">
      <c r="A8794" s="535" t="n">
        <v>43846</v>
      </c>
      <c r="B8794" s="534" t="n">
        <v>9.773999999999999</v>
      </c>
      <c r="C8794" s="534" t="n">
        <v>28883.04</v>
      </c>
    </row>
    <row r="8795">
      <c r="A8795" s="535" t="n">
        <v>43847</v>
      </c>
      <c r="B8795" s="534" t="n">
        <v>9.617000000000001</v>
      </c>
      <c r="C8795" s="534" t="n">
        <v>29056.42</v>
      </c>
    </row>
    <row r="8796">
      <c r="A8796" s="535" t="n">
        <v>43850</v>
      </c>
      <c r="B8796" s="534" t="n">
        <v>9.425000000000001</v>
      </c>
      <c r="C8796" s="534" t="n">
        <v>28795.91</v>
      </c>
    </row>
    <row r="8797">
      <c r="A8797" s="535" t="n">
        <v>43851</v>
      </c>
      <c r="B8797" s="534" t="n">
        <v>9.042</v>
      </c>
      <c r="C8797" s="534" t="n">
        <v>27985.33</v>
      </c>
    </row>
    <row r="8798">
      <c r="A8798" s="535" t="n">
        <v>43852</v>
      </c>
      <c r="B8798" s="534" t="n">
        <v>9.025</v>
      </c>
      <c r="C8798" s="534" t="n">
        <v>28341.04</v>
      </c>
    </row>
    <row r="8799">
      <c r="A8799" s="535" t="n">
        <v>43853</v>
      </c>
      <c r="B8799" s="534" t="n">
        <v>8.833</v>
      </c>
      <c r="C8799" s="534" t="n">
        <v>27909.12</v>
      </c>
    </row>
    <row r="8800">
      <c r="A8800" s="535" t="n">
        <v>43854</v>
      </c>
      <c r="B8800" s="534" t="n">
        <v>8.885</v>
      </c>
      <c r="C8800" s="534" t="n">
        <v>27949.64</v>
      </c>
    </row>
    <row r="8801">
      <c r="A8801" s="535" t="n">
        <v>43857</v>
      </c>
      <c r="B8801" s="534" t="n">
        <v>8.885</v>
      </c>
      <c r="C8801" s="534" t="n">
        <v>27949.64</v>
      </c>
    </row>
    <row r="8802">
      <c r="A8802" s="535" t="n">
        <v>43858</v>
      </c>
      <c r="B8802" s="534" t="n">
        <v>8.885</v>
      </c>
      <c r="C8802" s="534" t="n">
        <v>27949.64</v>
      </c>
    </row>
    <row r="8803">
      <c r="A8803" s="535" t="n">
        <v>43859</v>
      </c>
      <c r="B8803" s="534" t="n">
        <v>8.598000000000001</v>
      </c>
      <c r="C8803" s="534" t="n">
        <v>27160.63</v>
      </c>
    </row>
    <row r="8804">
      <c r="A8804" s="535" t="n">
        <v>43860</v>
      </c>
      <c r="B8804" s="534" t="n">
        <v>8.414999999999999</v>
      </c>
      <c r="C8804" s="534" t="n">
        <v>26449.13</v>
      </c>
    </row>
    <row r="8805">
      <c r="A8805" s="535" t="n">
        <v>43861</v>
      </c>
      <c r="B8805" s="534" t="n">
        <v>8.571999999999999</v>
      </c>
      <c r="C8805" s="534" t="n">
        <v>26312.63</v>
      </c>
    </row>
    <row r="8806">
      <c r="A8806" s="535" t="n">
        <v>43864</v>
      </c>
      <c r="B8806" s="534" t="n">
        <v>8.528</v>
      </c>
      <c r="C8806" s="534" t="n">
        <v>26356.98</v>
      </c>
    </row>
    <row r="8807">
      <c r="A8807" s="535" t="n">
        <v>43865</v>
      </c>
      <c r="B8807" s="534" t="n">
        <v>8.615</v>
      </c>
      <c r="C8807" s="534" t="n">
        <v>26675.98</v>
      </c>
    </row>
    <row r="8808">
      <c r="A8808" s="535" t="n">
        <v>43866</v>
      </c>
      <c r="B8808" s="534" t="n">
        <v>8.85</v>
      </c>
      <c r="C8808" s="534" t="n">
        <v>26786.74</v>
      </c>
    </row>
    <row r="8809">
      <c r="A8809" s="535" t="n">
        <v>43867</v>
      </c>
      <c r="B8809" s="534" t="n">
        <v>9.215999999999999</v>
      </c>
      <c r="C8809" s="534" t="n">
        <v>27493.7</v>
      </c>
    </row>
    <row r="8810">
      <c r="A8810" s="535" t="n">
        <v>43868</v>
      </c>
      <c r="B8810" s="534" t="n">
        <v>9.007</v>
      </c>
      <c r="C8810" s="534" t="n">
        <v>27404.27</v>
      </c>
    </row>
    <row r="8811">
      <c r="A8811" s="535" t="n">
        <v>43871</v>
      </c>
      <c r="B8811" s="534" t="n">
        <v>8.955</v>
      </c>
      <c r="C8811" s="534" t="n">
        <v>27241.34</v>
      </c>
    </row>
    <row r="8812">
      <c r="A8812" s="535" t="n">
        <v>43872</v>
      </c>
      <c r="B8812" s="534" t="n">
        <v>9.042</v>
      </c>
      <c r="C8812" s="534" t="n">
        <v>27583.88</v>
      </c>
    </row>
    <row r="8813">
      <c r="A8813" s="535" t="n">
        <v>43873</v>
      </c>
      <c r="B8813" s="534" t="n">
        <v>9.215999999999999</v>
      </c>
      <c r="C8813" s="534" t="n">
        <v>27823.66</v>
      </c>
    </row>
    <row r="8814">
      <c r="A8814" s="535" t="n">
        <v>43874</v>
      </c>
      <c r="B8814" s="534" t="n">
        <v>9.129</v>
      </c>
      <c r="C8814" s="534" t="n">
        <v>27730</v>
      </c>
    </row>
    <row r="8815">
      <c r="A8815" s="535" t="n">
        <v>43875</v>
      </c>
      <c r="B8815" s="534" t="n">
        <v>9.147</v>
      </c>
      <c r="C8815" s="534" t="n">
        <v>27815.6</v>
      </c>
    </row>
    <row r="8816">
      <c r="A8816" s="535" t="n">
        <v>43878</v>
      </c>
      <c r="B8816" s="534" t="n">
        <v>9.147</v>
      </c>
      <c r="C8816" s="534" t="n">
        <v>27959.6</v>
      </c>
    </row>
    <row r="8817">
      <c r="A8817" s="535" t="n">
        <v>43879</v>
      </c>
      <c r="B8817" s="534" t="n">
        <v>8.955</v>
      </c>
      <c r="C8817" s="534" t="n">
        <v>27530.2</v>
      </c>
    </row>
    <row r="8818">
      <c r="A8818" s="535" t="n">
        <v>43880</v>
      </c>
      <c r="B8818" s="534" t="n">
        <v>9.077</v>
      </c>
      <c r="C8818" s="534" t="n">
        <v>27655.81</v>
      </c>
    </row>
    <row r="8819">
      <c r="A8819" s="535" t="n">
        <v>43881</v>
      </c>
      <c r="B8819" s="534" t="n">
        <v>9.164</v>
      </c>
      <c r="C8819" s="534" t="n">
        <v>27609.16</v>
      </c>
    </row>
    <row r="8820">
      <c r="A8820" s="535" t="n">
        <v>43882</v>
      </c>
      <c r="B8820" s="534" t="n">
        <v>9.147</v>
      </c>
      <c r="C8820" s="534" t="n">
        <v>27308.81</v>
      </c>
    </row>
    <row r="8821">
      <c r="A8821" s="535" t="n">
        <v>43885</v>
      </c>
      <c r="B8821" s="534" t="n">
        <v>9.042</v>
      </c>
      <c r="C8821" s="534" t="n">
        <v>26820.88</v>
      </c>
    </row>
    <row r="8822">
      <c r="A8822" s="535" t="n">
        <v>43886</v>
      </c>
      <c r="B8822" s="534" t="n">
        <v>8.938000000000001</v>
      </c>
      <c r="C8822" s="534" t="n">
        <v>26893.23</v>
      </c>
    </row>
    <row r="8823">
      <c r="A8823" s="535" t="n">
        <v>43887</v>
      </c>
      <c r="B8823" s="534" t="n">
        <v>8.868</v>
      </c>
      <c r="C8823" s="534" t="n">
        <v>26696.49</v>
      </c>
    </row>
    <row r="8824">
      <c r="A8824" s="535" t="n">
        <v>43888</v>
      </c>
      <c r="B8824" s="534" t="n">
        <v>8.903</v>
      </c>
      <c r="C8824" s="534" t="n">
        <v>26778.62</v>
      </c>
    </row>
    <row r="8825">
      <c r="A8825" s="535" t="n">
        <v>43889</v>
      </c>
      <c r="B8825" s="534" t="n">
        <v>8.728999999999999</v>
      </c>
      <c r="C8825" s="534" t="n">
        <v>26129.93</v>
      </c>
    </row>
    <row r="8826">
      <c r="A8826" s="535" t="n">
        <v>43892</v>
      </c>
      <c r="B8826" s="534" t="n">
        <v>8.85</v>
      </c>
      <c r="C8826" s="534" t="n">
        <v>26291.68</v>
      </c>
    </row>
    <row r="8827">
      <c r="A8827" s="535" t="n">
        <v>43893</v>
      </c>
      <c r="B8827" s="534" t="n">
        <v>8.885</v>
      </c>
      <c r="C8827" s="534" t="n">
        <v>26284.82</v>
      </c>
    </row>
    <row r="8828">
      <c r="A8828" s="535" t="n">
        <v>43894</v>
      </c>
      <c r="B8828" s="534" t="n">
        <v>8.798</v>
      </c>
      <c r="C8828" s="534" t="n">
        <v>26222.07</v>
      </c>
    </row>
    <row r="8829">
      <c r="A8829" s="535" t="n">
        <v>43895</v>
      </c>
      <c r="B8829" s="534" t="n">
        <v>8.972</v>
      </c>
      <c r="C8829" s="534" t="n">
        <v>26767.87</v>
      </c>
    </row>
    <row r="8830">
      <c r="A8830" s="535" t="n">
        <v>43896</v>
      </c>
      <c r="B8830" s="534" t="n">
        <v>8.65</v>
      </c>
      <c r="C8830" s="534" t="n">
        <v>26146.67</v>
      </c>
    </row>
    <row r="8831">
      <c r="A8831" s="535" t="n">
        <v>43899</v>
      </c>
      <c r="B8831" s="534" t="n">
        <v>8.519</v>
      </c>
      <c r="C8831" s="534" t="n">
        <v>25040.46</v>
      </c>
    </row>
    <row r="8832">
      <c r="A8832" s="535" t="n">
        <v>43900</v>
      </c>
      <c r="B8832" s="534" t="n">
        <v>8.598000000000001</v>
      </c>
      <c r="C8832" s="534" t="n">
        <v>25392.51</v>
      </c>
    </row>
    <row r="8833">
      <c r="A8833" s="535" t="n">
        <v>43901</v>
      </c>
      <c r="B8833" s="534" t="n">
        <v>8.868</v>
      </c>
      <c r="C8833" s="534" t="n">
        <v>25231.61</v>
      </c>
    </row>
    <row r="8834">
      <c r="A8834" s="535" t="n">
        <v>43902</v>
      </c>
      <c r="B8834" s="534" t="n">
        <v>8.510999999999999</v>
      </c>
      <c r="C8834" s="534" t="n">
        <v>24309.07</v>
      </c>
    </row>
    <row r="8835">
      <c r="A8835" s="535" t="n">
        <v>43903</v>
      </c>
      <c r="B8835" s="534" t="n">
        <v>8.266999999999999</v>
      </c>
      <c r="C8835" s="534" t="n">
        <v>24032.91</v>
      </c>
    </row>
    <row r="8836">
      <c r="A8836" s="535" t="n">
        <v>43906</v>
      </c>
      <c r="B8836" s="534" t="n">
        <v>7.892</v>
      </c>
      <c r="C8836" s="534" t="n">
        <v>23063.57</v>
      </c>
    </row>
    <row r="8837">
      <c r="A8837" s="535" t="n">
        <v>43907</v>
      </c>
      <c r="B8837" s="534" t="n">
        <v>7.735</v>
      </c>
      <c r="C8837" s="534" t="n">
        <v>23263.73</v>
      </c>
    </row>
    <row r="8838">
      <c r="A8838" s="535" t="n">
        <v>43908</v>
      </c>
      <c r="B8838" s="534" t="n">
        <v>7.291</v>
      </c>
      <c r="C8838" s="534" t="n">
        <v>22291.82</v>
      </c>
    </row>
    <row r="8839">
      <c r="A8839" s="535" t="n">
        <v>43909</v>
      </c>
      <c r="B8839" s="534" t="n">
        <v>7.108</v>
      </c>
      <c r="C8839" s="534" t="n">
        <v>21709.13</v>
      </c>
    </row>
    <row r="8840">
      <c r="A8840" s="535" t="n">
        <v>43910</v>
      </c>
      <c r="B8840" s="534" t="n">
        <v>7.03</v>
      </c>
      <c r="C8840" s="534" t="n">
        <v>22805.07</v>
      </c>
    </row>
    <row r="8841">
      <c r="A8841" s="535" t="n">
        <v>43913</v>
      </c>
      <c r="B8841" s="534" t="n">
        <v>6.673</v>
      </c>
      <c r="C8841" s="534" t="n">
        <v>21696.13</v>
      </c>
    </row>
    <row r="8842">
      <c r="A8842" s="535" t="n">
        <v>43914</v>
      </c>
      <c r="B8842" s="534" t="n">
        <v>6.838</v>
      </c>
      <c r="C8842" s="534" t="n">
        <v>22663.49</v>
      </c>
    </row>
    <row r="8843">
      <c r="A8843" s="535" t="n">
        <v>43915</v>
      </c>
      <c r="B8843" s="534" t="n">
        <v>7.343</v>
      </c>
      <c r="C8843" s="534" t="n">
        <v>23527.19</v>
      </c>
    </row>
    <row r="8844">
      <c r="A8844" s="535" t="n">
        <v>43916</v>
      </c>
      <c r="B8844" s="534" t="n">
        <v>7.239</v>
      </c>
      <c r="C8844" s="534" t="n">
        <v>23352.34</v>
      </c>
    </row>
    <row r="8845">
      <c r="A8845" s="535" t="n">
        <v>43917</v>
      </c>
      <c r="B8845" s="534" t="n">
        <v>7.073</v>
      </c>
      <c r="C8845" s="534" t="n">
        <v>23484.28</v>
      </c>
    </row>
    <row r="8846">
      <c r="A8846" s="535" t="n">
        <v>43920</v>
      </c>
      <c r="B8846" s="534" t="n">
        <v>7.073</v>
      </c>
      <c r="C8846" s="534" t="n">
        <v>23175.11</v>
      </c>
    </row>
    <row r="8847">
      <c r="A8847" s="535" t="n">
        <v>43921</v>
      </c>
      <c r="B8847" s="534" t="n">
        <v>7.23</v>
      </c>
      <c r="C8847" s="534" t="n">
        <v>23603.48</v>
      </c>
    </row>
    <row r="8848">
      <c r="A8848" s="535" t="n">
        <v>43922</v>
      </c>
      <c r="B8848" s="534" t="n">
        <v>7.073</v>
      </c>
      <c r="C8848" s="534" t="n">
        <v>23085.79</v>
      </c>
    </row>
    <row r="8849">
      <c r="A8849" s="535" t="n">
        <v>43923</v>
      </c>
      <c r="B8849" s="534" t="n">
        <v>7.143</v>
      </c>
      <c r="C8849" s="534" t="n">
        <v>23280.06</v>
      </c>
    </row>
    <row r="8850">
      <c r="A8850" s="535" t="n">
        <v>43924</v>
      </c>
      <c r="B8850" s="534" t="n">
        <v>7.134</v>
      </c>
      <c r="C8850" s="534" t="n">
        <v>23236.11</v>
      </c>
    </row>
    <row r="8851">
      <c r="A8851" s="535" t="n">
        <v>43927</v>
      </c>
      <c r="B8851" s="534" t="n">
        <v>7.204</v>
      </c>
      <c r="C8851" s="534" t="n">
        <v>23749.12</v>
      </c>
    </row>
    <row r="8852">
      <c r="A8852" s="535" t="n">
        <v>43928</v>
      </c>
      <c r="B8852" s="534" t="n">
        <v>7.404</v>
      </c>
      <c r="C8852" s="534" t="n">
        <v>24253.29</v>
      </c>
    </row>
    <row r="8853">
      <c r="A8853" s="535" t="n">
        <v>43929</v>
      </c>
      <c r="B8853" s="534" t="n">
        <v>7.5</v>
      </c>
      <c r="C8853" s="534" t="n">
        <v>23970.37</v>
      </c>
    </row>
    <row r="8854">
      <c r="A8854" s="535" t="n">
        <v>43930</v>
      </c>
      <c r="B8854" s="534" t="n">
        <v>7.875</v>
      </c>
      <c r="C8854" s="534" t="n">
        <v>24300.33</v>
      </c>
    </row>
    <row r="8855">
      <c r="A8855" s="535" t="n">
        <v>43931</v>
      </c>
      <c r="B8855" s="534" t="n">
        <v>7.875</v>
      </c>
      <c r="C8855" s="534" t="n">
        <v>24300.33</v>
      </c>
    </row>
    <row r="8856">
      <c r="A8856" s="535" t="n">
        <v>43934</v>
      </c>
      <c r="B8856" s="534" t="n">
        <v>7.875</v>
      </c>
      <c r="C8856" s="534" t="n">
        <v>24300.33</v>
      </c>
    </row>
    <row r="8857">
      <c r="A8857" s="535" t="n">
        <v>43935</v>
      </c>
      <c r="B8857" s="534" t="n">
        <v>7.945</v>
      </c>
      <c r="C8857" s="534" t="n">
        <v>24435.4</v>
      </c>
    </row>
    <row r="8858">
      <c r="A8858" s="535" t="n">
        <v>43936</v>
      </c>
      <c r="B8858" s="534" t="n">
        <v>7.779</v>
      </c>
      <c r="C8858" s="534" t="n">
        <v>24145.34</v>
      </c>
    </row>
    <row r="8859">
      <c r="A8859" s="535" t="n">
        <v>43937</v>
      </c>
      <c r="B8859" s="534" t="n">
        <v>7.849</v>
      </c>
      <c r="C8859" s="534" t="n">
        <v>24006.45</v>
      </c>
    </row>
    <row r="8860">
      <c r="A8860" s="535" t="n">
        <v>43938</v>
      </c>
      <c r="B8860" s="534" t="n">
        <v>8.154</v>
      </c>
      <c r="C8860" s="534" t="n">
        <v>24380</v>
      </c>
    </row>
    <row r="8861">
      <c r="A8861" s="535" t="n">
        <v>43941</v>
      </c>
      <c r="B8861" s="534" t="n">
        <v>8.18</v>
      </c>
      <c r="C8861" s="534" t="n">
        <v>24330.02</v>
      </c>
    </row>
    <row r="8862">
      <c r="A8862" s="535" t="n">
        <v>43942</v>
      </c>
      <c r="B8862" s="534" t="n">
        <v>7.753</v>
      </c>
      <c r="C8862" s="534" t="n">
        <v>23793.55</v>
      </c>
    </row>
    <row r="8863">
      <c r="A8863" s="535" t="n">
        <v>43943</v>
      </c>
      <c r="B8863" s="534" t="n">
        <v>7.857</v>
      </c>
      <c r="C8863" s="534" t="n">
        <v>23893.36</v>
      </c>
    </row>
    <row r="8864">
      <c r="A8864" s="535" t="n">
        <v>43944</v>
      </c>
      <c r="B8864" s="534" t="n">
        <v>7.823</v>
      </c>
      <c r="C8864" s="534" t="n">
        <v>23977.32</v>
      </c>
    </row>
    <row r="8865">
      <c r="A8865" s="535" t="n">
        <v>43945</v>
      </c>
      <c r="B8865" s="534" t="n">
        <v>7.753</v>
      </c>
      <c r="C8865" s="534" t="n">
        <v>23831.33</v>
      </c>
    </row>
    <row r="8866">
      <c r="A8866" s="535" t="n">
        <v>43948</v>
      </c>
      <c r="B8866" s="534" t="n">
        <v>7.727</v>
      </c>
      <c r="C8866" s="534" t="n">
        <v>24280.14</v>
      </c>
    </row>
    <row r="8867">
      <c r="A8867" s="535" t="n">
        <v>43949</v>
      </c>
      <c r="B8867" s="534" t="n">
        <v>7.918</v>
      </c>
      <c r="C8867" s="534" t="n">
        <v>24575.96</v>
      </c>
    </row>
    <row r="8868">
      <c r="A8868" s="535" t="n">
        <v>43950</v>
      </c>
      <c r="B8868" s="534" t="n">
        <v>8.006</v>
      </c>
      <c r="C8868" s="534" t="n">
        <v>24643.59</v>
      </c>
    </row>
    <row r="8869">
      <c r="A8869" s="535" t="n">
        <v>43951</v>
      </c>
      <c r="B8869" s="534" t="n">
        <v>8.006</v>
      </c>
      <c r="C8869" s="534" t="n">
        <v>24643.59</v>
      </c>
    </row>
    <row r="8870">
      <c r="A8870" s="535" t="n">
        <v>43952</v>
      </c>
      <c r="B8870" s="534" t="n">
        <v>8.006</v>
      </c>
      <c r="C8870" s="534" t="n">
        <v>24643.59</v>
      </c>
    </row>
    <row r="8871">
      <c r="A8871" s="535" t="n">
        <v>43955</v>
      </c>
      <c r="B8871" s="534" t="n">
        <v>7.892</v>
      </c>
      <c r="C8871" s="534" t="n">
        <v>23613.8</v>
      </c>
    </row>
    <row r="8872">
      <c r="A8872" s="535" t="n">
        <v>43956</v>
      </c>
      <c r="B8872" s="534" t="n">
        <v>7.962</v>
      </c>
      <c r="C8872" s="534" t="n">
        <v>23868.66</v>
      </c>
    </row>
    <row r="8873">
      <c r="A8873" s="535" t="n">
        <v>43957</v>
      </c>
      <c r="B8873" s="534" t="n">
        <v>7.945</v>
      </c>
      <c r="C8873" s="534" t="n">
        <v>24137.48</v>
      </c>
    </row>
    <row r="8874">
      <c r="A8874" s="535" t="n">
        <v>43958</v>
      </c>
      <c r="B8874" s="534" t="n">
        <v>7.849</v>
      </c>
      <c r="C8874" s="534" t="n">
        <v>23980.63</v>
      </c>
    </row>
    <row r="8875">
      <c r="A8875" s="535" t="n">
        <v>43959</v>
      </c>
      <c r="B8875" s="534" t="n">
        <v>7.945</v>
      </c>
      <c r="C8875" s="534" t="n">
        <v>24230.17</v>
      </c>
    </row>
    <row r="8876">
      <c r="A8876" s="535" t="n">
        <v>43962</v>
      </c>
      <c r="B8876" s="534" t="n">
        <v>7.962</v>
      </c>
      <c r="C8876" s="534" t="n">
        <v>24602.06</v>
      </c>
    </row>
    <row r="8877">
      <c r="A8877" s="535" t="n">
        <v>43963</v>
      </c>
      <c r="B8877" s="534" t="n">
        <v>7.927</v>
      </c>
      <c r="C8877" s="534" t="n">
        <v>24245.68</v>
      </c>
    </row>
    <row r="8878">
      <c r="A8878" s="535" t="n">
        <v>43964</v>
      </c>
      <c r="B8878" s="534" t="n">
        <v>7.805</v>
      </c>
      <c r="C8878" s="534" t="n">
        <v>24180.3</v>
      </c>
    </row>
    <row r="8879">
      <c r="A8879" s="535" t="n">
        <v>43965</v>
      </c>
      <c r="B8879" s="534" t="n">
        <v>7.753</v>
      </c>
      <c r="C8879" s="534" t="n">
        <v>23829.74</v>
      </c>
    </row>
    <row r="8880">
      <c r="A8880" s="535" t="n">
        <v>43966</v>
      </c>
      <c r="B8880" s="534" t="n">
        <v>7.709</v>
      </c>
      <c r="C8880" s="534" t="n">
        <v>23797.47</v>
      </c>
    </row>
    <row r="8881">
      <c r="A8881" s="535" t="n">
        <v>43969</v>
      </c>
      <c r="B8881" s="534" t="n">
        <v>7.457</v>
      </c>
      <c r="C8881" s="534" t="n">
        <v>23934.77</v>
      </c>
    </row>
    <row r="8882">
      <c r="A8882" s="535" t="n">
        <v>43970</v>
      </c>
      <c r="B8882" s="534" t="n">
        <v>7.5</v>
      </c>
      <c r="C8882" s="534" t="n">
        <v>24388.13</v>
      </c>
    </row>
    <row r="8883">
      <c r="A8883" s="535" t="n">
        <v>43971</v>
      </c>
      <c r="B8883" s="534" t="n">
        <v>7.622</v>
      </c>
      <c r="C8883" s="534" t="n">
        <v>24399.95</v>
      </c>
    </row>
    <row r="8884">
      <c r="A8884" s="535" t="n">
        <v>43972</v>
      </c>
      <c r="B8884" s="534" t="n">
        <v>7.439</v>
      </c>
      <c r="C8884" s="534" t="n">
        <v>24280.03</v>
      </c>
    </row>
    <row r="8885">
      <c r="A8885" s="535" t="n">
        <v>43973</v>
      </c>
      <c r="B8885" s="534" t="n">
        <v>7.065</v>
      </c>
      <c r="C8885" s="534" t="n">
        <v>22930.14</v>
      </c>
    </row>
    <row r="8886">
      <c r="A8886" s="535" t="n">
        <v>43976</v>
      </c>
      <c r="B8886" s="534" t="n">
        <v>6.943</v>
      </c>
      <c r="C8886" s="534" t="n">
        <v>22952.24</v>
      </c>
    </row>
    <row r="8887">
      <c r="A8887" s="535" t="n">
        <v>43977</v>
      </c>
      <c r="B8887" s="534" t="n">
        <v>7.065</v>
      </c>
      <c r="C8887" s="534" t="n">
        <v>23384.66</v>
      </c>
    </row>
    <row r="8888">
      <c r="A8888" s="535" t="n">
        <v>43978</v>
      </c>
      <c r="B8888" s="534" t="n">
        <v>7.091</v>
      </c>
      <c r="C8888" s="534" t="n">
        <v>23301.36</v>
      </c>
    </row>
    <row r="8889">
      <c r="A8889" s="535" t="n">
        <v>43979</v>
      </c>
      <c r="B8889" s="534" t="n">
        <v>6.864</v>
      </c>
      <c r="C8889" s="534" t="n">
        <v>23132.76</v>
      </c>
    </row>
    <row r="8890">
      <c r="A8890" s="535" t="n">
        <v>43980</v>
      </c>
      <c r="B8890" s="534" t="n">
        <v>6.847</v>
      </c>
      <c r="C8890" s="534" t="n">
        <v>22961.47</v>
      </c>
    </row>
    <row r="8891">
      <c r="A8891" s="535" t="n">
        <v>43983</v>
      </c>
      <c r="B8891" s="534" t="n">
        <v>7.1</v>
      </c>
      <c r="C8891" s="534" t="n">
        <v>23732.52</v>
      </c>
    </row>
    <row r="8892">
      <c r="A8892" s="535" t="n">
        <v>43984</v>
      </c>
      <c r="B8892" s="534" t="n">
        <v>7.1</v>
      </c>
      <c r="C8892" s="534" t="n">
        <v>23995.94</v>
      </c>
    </row>
    <row r="8893">
      <c r="A8893" s="535" t="n">
        <v>43985</v>
      </c>
      <c r="B8893" s="534" t="n">
        <v>7.195</v>
      </c>
      <c r="C8893" s="534" t="n">
        <v>24325.62</v>
      </c>
    </row>
    <row r="8894">
      <c r="A8894" s="535" t="n">
        <v>43986</v>
      </c>
      <c r="B8894" s="534" t="n">
        <v>7.352</v>
      </c>
      <c r="C8894" s="534" t="n">
        <v>24366.3</v>
      </c>
    </row>
    <row r="8895">
      <c r="A8895" s="535" t="n">
        <v>43987</v>
      </c>
      <c r="B8895" s="534" t="n">
        <v>7.753</v>
      </c>
      <c r="C8895" s="534" t="n">
        <v>24770.41</v>
      </c>
    </row>
    <row r="8896">
      <c r="A8896" s="535" t="n">
        <v>43990</v>
      </c>
      <c r="B8896" s="534" t="n">
        <v>7.674</v>
      </c>
      <c r="C8896" s="534" t="n">
        <v>24776.77</v>
      </c>
    </row>
    <row r="8897">
      <c r="A8897" s="535" t="n">
        <v>43991</v>
      </c>
      <c r="B8897" s="534" t="n">
        <v>7.674</v>
      </c>
      <c r="C8897" s="534" t="n">
        <v>25057.22</v>
      </c>
    </row>
    <row r="8898">
      <c r="A8898" s="535" t="n">
        <v>43992</v>
      </c>
      <c r="B8898" s="534" t="n">
        <v>7.596</v>
      </c>
      <c r="C8898" s="534" t="n">
        <v>25049.73</v>
      </c>
    </row>
    <row r="8899">
      <c r="A8899" s="535" t="n">
        <v>43993</v>
      </c>
      <c r="B8899" s="534" t="n">
        <v>7.335</v>
      </c>
      <c r="C8899" s="534" t="n">
        <v>24480.15</v>
      </c>
    </row>
    <row r="8900">
      <c r="A8900" s="535" t="n">
        <v>43994</v>
      </c>
      <c r="B8900" s="534" t="n">
        <v>7.23</v>
      </c>
      <c r="C8900" s="534" t="n">
        <v>24301.38</v>
      </c>
    </row>
    <row r="8901">
      <c r="A8901" s="535" t="n">
        <v>43997</v>
      </c>
      <c r="B8901" s="534" t="n">
        <v>7.047</v>
      </c>
      <c r="C8901" s="534" t="n">
        <v>23776.95</v>
      </c>
    </row>
    <row r="8902">
      <c r="A8902" s="535" t="n">
        <v>43998</v>
      </c>
      <c r="B8902" s="534" t="n">
        <v>7.056</v>
      </c>
      <c r="C8902" s="534" t="n">
        <v>24344.09</v>
      </c>
    </row>
    <row r="8903">
      <c r="A8903" s="535" t="n">
        <v>43999</v>
      </c>
      <c r="B8903" s="534" t="n">
        <v>7.073</v>
      </c>
      <c r="C8903" s="534" t="n">
        <v>24481.41</v>
      </c>
    </row>
    <row r="8904">
      <c r="A8904" s="535" t="n">
        <v>44000</v>
      </c>
      <c r="B8904" s="534" t="n">
        <v>7.012</v>
      </c>
      <c r="C8904" s="534" t="n">
        <v>24464.94</v>
      </c>
    </row>
    <row r="8905">
      <c r="A8905" s="535" t="n">
        <v>44001</v>
      </c>
      <c r="B8905" s="534" t="n">
        <v>6.96</v>
      </c>
      <c r="C8905" s="534" t="n">
        <v>24643.89</v>
      </c>
    </row>
    <row r="8906">
      <c r="A8906" s="535" t="n">
        <v>44004</v>
      </c>
      <c r="B8906" s="534" t="n">
        <v>6.908</v>
      </c>
      <c r="C8906" s="534" t="n">
        <v>24511.34</v>
      </c>
    </row>
    <row r="8907">
      <c r="A8907" s="535" t="n">
        <v>44005</v>
      </c>
      <c r="B8907" s="534" t="n">
        <v>6.838</v>
      </c>
      <c r="C8907" s="534" t="n">
        <v>24907.34</v>
      </c>
    </row>
    <row r="8908">
      <c r="A8908" s="535" t="n">
        <v>44006</v>
      </c>
      <c r="B8908" s="534" t="n">
        <v>6.742</v>
      </c>
      <c r="C8908" s="534" t="n">
        <v>24781.58</v>
      </c>
    </row>
    <row r="8909">
      <c r="A8909" s="535" t="n">
        <v>44007</v>
      </c>
      <c r="B8909" s="534" t="n">
        <v>6.742</v>
      </c>
      <c r="C8909" s="534" t="n">
        <v>24781.58</v>
      </c>
    </row>
    <row r="8910">
      <c r="A8910" s="535" t="n">
        <v>44008</v>
      </c>
      <c r="B8910" s="534" t="n">
        <v>6.716</v>
      </c>
      <c r="C8910" s="534" t="n">
        <v>24549.99</v>
      </c>
    </row>
    <row r="8911">
      <c r="A8911" s="535" t="n">
        <v>44011</v>
      </c>
      <c r="B8911" s="534" t="n">
        <v>6.516</v>
      </c>
      <c r="C8911" s="534" t="n">
        <v>24301.28</v>
      </c>
    </row>
    <row r="8912">
      <c r="A8912" s="535" t="n">
        <v>44012</v>
      </c>
      <c r="B8912" s="534" t="n">
        <v>6.533</v>
      </c>
      <c r="C8912" s="534" t="n">
        <v>24427.19</v>
      </c>
    </row>
    <row r="8913">
      <c r="A8913" s="535" t="n">
        <v>44013</v>
      </c>
      <c r="B8913" s="534" t="n">
        <v>6.533</v>
      </c>
      <c r="C8913" s="534" t="n">
        <v>24427.19</v>
      </c>
    </row>
    <row r="8914">
      <c r="A8914" s="535" t="n">
        <v>44014</v>
      </c>
      <c r="B8914" s="534" t="n">
        <v>6.481</v>
      </c>
      <c r="C8914" s="534" t="n">
        <v>25124.19</v>
      </c>
    </row>
    <row r="8915">
      <c r="A8915" s="535" t="n">
        <v>44015</v>
      </c>
      <c r="B8915" s="534" t="n">
        <v>6.359</v>
      </c>
      <c r="C8915" s="534" t="n">
        <v>25373.12</v>
      </c>
    </row>
    <row r="8916">
      <c r="A8916" s="535" t="n">
        <v>44018</v>
      </c>
      <c r="B8916" s="534" t="n">
        <v>6.577</v>
      </c>
      <c r="C8916" s="534" t="n">
        <v>26339.16</v>
      </c>
    </row>
    <row r="8917">
      <c r="A8917" s="535" t="n">
        <v>44019</v>
      </c>
      <c r="B8917" s="534" t="n">
        <v>6.438</v>
      </c>
      <c r="C8917" s="534" t="n">
        <v>25975.66</v>
      </c>
    </row>
    <row r="8918">
      <c r="A8918" s="535" t="n">
        <v>44020</v>
      </c>
      <c r="B8918" s="534" t="n">
        <v>6.298</v>
      </c>
      <c r="C8918" s="534" t="n">
        <v>26129.18</v>
      </c>
    </row>
    <row r="8919">
      <c r="A8919" s="535" t="n">
        <v>44021</v>
      </c>
      <c r="B8919" s="534" t="n">
        <v>6.237</v>
      </c>
      <c r="C8919" s="534" t="n">
        <v>26210.16</v>
      </c>
    </row>
    <row r="8920">
      <c r="A8920" s="535" t="n">
        <v>44022</v>
      </c>
      <c r="B8920" s="534" t="n">
        <v>5.924</v>
      </c>
      <c r="C8920" s="534" t="n">
        <v>25727.41</v>
      </c>
    </row>
    <row r="8921">
      <c r="A8921" s="535" t="n">
        <v>44025</v>
      </c>
      <c r="B8921" s="534" t="n">
        <v>6.046</v>
      </c>
      <c r="C8921" s="534" t="n">
        <v>25772.12</v>
      </c>
    </row>
    <row r="8922">
      <c r="A8922" s="535" t="n">
        <v>44026</v>
      </c>
      <c r="B8922" s="534" t="n">
        <v>6.098</v>
      </c>
      <c r="C8922" s="534" t="n">
        <v>25477.89</v>
      </c>
    </row>
    <row r="8923">
      <c r="A8923" s="535" t="n">
        <v>44027</v>
      </c>
      <c r="B8923" s="534" t="n">
        <v>5.9</v>
      </c>
      <c r="C8923" s="534" t="n">
        <v>25481.58</v>
      </c>
    </row>
    <row r="8924">
      <c r="A8924" s="535" t="n">
        <v>44028</v>
      </c>
      <c r="B8924" s="534" t="n">
        <v>6.11</v>
      </c>
      <c r="C8924" s="534" t="n">
        <v>24970.69</v>
      </c>
    </row>
    <row r="8925">
      <c r="A8925" s="535" t="n">
        <v>44029</v>
      </c>
      <c r="B8925" s="534" t="n">
        <v>6.02</v>
      </c>
      <c r="C8925" s="534" t="n">
        <v>25089.17</v>
      </c>
    </row>
    <row r="8926">
      <c r="A8926" s="535" t="n">
        <v>44032</v>
      </c>
      <c r="B8926" s="534" t="n">
        <v>5.89</v>
      </c>
      <c r="C8926" s="534" t="n">
        <v>25057.99</v>
      </c>
    </row>
    <row r="8927">
      <c r="A8927" s="535" t="n">
        <v>44033</v>
      </c>
      <c r="B8927" s="534" t="n">
        <v>5.82</v>
      </c>
      <c r="C8927" s="534" t="n">
        <v>25635.66</v>
      </c>
    </row>
    <row r="8928">
      <c r="A8928" s="535" t="n">
        <v>44034</v>
      </c>
      <c r="B8928" s="534" t="n">
        <v>5.76</v>
      </c>
      <c r="C8928" s="534" t="n">
        <v>25057.94</v>
      </c>
    </row>
    <row r="8929">
      <c r="A8929" s="535" t="n">
        <v>44035</v>
      </c>
      <c r="B8929" s="534" t="n">
        <v>5.79</v>
      </c>
      <c r="C8929" s="534" t="n">
        <v>25263</v>
      </c>
    </row>
    <row r="8930">
      <c r="A8930" s="535" t="n">
        <v>44036</v>
      </c>
      <c r="B8930" s="534" t="n">
        <v>5.56</v>
      </c>
      <c r="C8930" s="534" t="n">
        <v>24705.33</v>
      </c>
    </row>
    <row r="8931">
      <c r="A8931" s="535" t="n">
        <v>44039</v>
      </c>
      <c r="B8931" s="534" t="n">
        <v>5.62</v>
      </c>
      <c r="C8931" s="534" t="n">
        <v>24603.26</v>
      </c>
    </row>
    <row r="8932">
      <c r="A8932" s="535" t="n">
        <v>44040</v>
      </c>
      <c r="B8932" s="534" t="n">
        <v>5.45</v>
      </c>
      <c r="C8932" s="534" t="n">
        <v>24772.76</v>
      </c>
    </row>
    <row r="8933">
      <c r="A8933" s="535" t="n">
        <v>44041</v>
      </c>
      <c r="B8933" s="534" t="n">
        <v>5.32</v>
      </c>
      <c r="C8933" s="534" t="n">
        <v>24883.14</v>
      </c>
    </row>
    <row r="8934">
      <c r="A8934" s="535" t="n">
        <v>44042</v>
      </c>
      <c r="B8934" s="534" t="n">
        <v>5.27</v>
      </c>
      <c r="C8934" s="534" t="n">
        <v>24710.59</v>
      </c>
    </row>
    <row r="8935">
      <c r="A8935" s="535" t="n">
        <v>44043</v>
      </c>
      <c r="B8935" s="534" t="n">
        <v>5.23</v>
      </c>
      <c r="C8935" s="534" t="n">
        <v>24595.35</v>
      </c>
    </row>
    <row r="8936">
      <c r="A8936" s="535" t="n">
        <v>44046</v>
      </c>
      <c r="B8936" s="534" t="n">
        <v>5.16</v>
      </c>
      <c r="C8936" s="534" t="n">
        <v>24458.13</v>
      </c>
    </row>
    <row r="8937">
      <c r="A8937" s="535" t="n">
        <v>44047</v>
      </c>
      <c r="B8937" s="534" t="n">
        <v>5.29</v>
      </c>
      <c r="C8937" s="534" t="n">
        <v>24946.63</v>
      </c>
    </row>
    <row r="8938">
      <c r="A8938" s="535" t="n">
        <v>44048</v>
      </c>
      <c r="B8938" s="534" t="n">
        <v>5.53</v>
      </c>
      <c r="C8938" s="534" t="n">
        <v>25102.54</v>
      </c>
    </row>
    <row r="8939">
      <c r="A8939" s="535" t="n">
        <v>44049</v>
      </c>
      <c r="B8939" s="534" t="n">
        <v>5.45</v>
      </c>
      <c r="C8939" s="534" t="n">
        <v>24930.58</v>
      </c>
    </row>
    <row r="8940">
      <c r="A8940" s="535" t="n">
        <v>44050</v>
      </c>
      <c r="B8940" s="534" t="n">
        <v>5.48</v>
      </c>
      <c r="C8940" s="534" t="n">
        <v>24531.62</v>
      </c>
    </row>
    <row r="8941">
      <c r="A8941" s="535" t="n">
        <v>44053</v>
      </c>
      <c r="B8941" s="534" t="n">
        <v>5.09</v>
      </c>
      <c r="C8941" s="534" t="n">
        <v>24377.43</v>
      </c>
    </row>
    <row r="8942">
      <c r="A8942" s="535" t="n">
        <v>44054</v>
      </c>
      <c r="B8942" s="534" t="n">
        <v>5.25</v>
      </c>
      <c r="C8942" s="534" t="n">
        <v>24890.68</v>
      </c>
    </row>
    <row r="8943">
      <c r="A8943" s="535" t="n">
        <v>44055</v>
      </c>
      <c r="B8943" s="534" t="n">
        <v>5.88</v>
      </c>
      <c r="C8943" s="534" t="n">
        <v>25244.02</v>
      </c>
    </row>
    <row r="8944">
      <c r="A8944" s="535" t="n">
        <v>44056</v>
      </c>
      <c r="B8944" s="534" t="n">
        <v>5.71</v>
      </c>
      <c r="C8944" s="534" t="n">
        <v>25230.67</v>
      </c>
    </row>
    <row r="8945">
      <c r="A8945" s="535" t="n">
        <v>44057</v>
      </c>
      <c r="B8945" s="534" t="n">
        <v>5.51</v>
      </c>
      <c r="C8945" s="534" t="n">
        <v>25183.01</v>
      </c>
    </row>
    <row r="8946">
      <c r="A8946" s="535" t="n">
        <v>44060</v>
      </c>
      <c r="B8946" s="534" t="n">
        <v>5.57</v>
      </c>
      <c r="C8946" s="534" t="n">
        <v>25347.34</v>
      </c>
    </row>
    <row r="8947">
      <c r="A8947" s="535" t="n">
        <v>44061</v>
      </c>
      <c r="B8947" s="534" t="n">
        <v>5.44</v>
      </c>
      <c r="C8947" s="534" t="n">
        <v>25367.38</v>
      </c>
    </row>
    <row r="8948">
      <c r="A8948" s="535" t="n">
        <v>44062</v>
      </c>
      <c r="B8948" s="534" t="n">
        <v>5.45</v>
      </c>
      <c r="C8948" s="534" t="n">
        <v>25178.91</v>
      </c>
    </row>
    <row r="8949">
      <c r="A8949" s="535" t="n">
        <v>44063</v>
      </c>
      <c r="B8949" s="534" t="n">
        <v>5.47</v>
      </c>
      <c r="C8949" s="534" t="n">
        <v>24791.39</v>
      </c>
    </row>
    <row r="8950">
      <c r="A8950" s="535" t="n">
        <v>44064</v>
      </c>
      <c r="B8950" s="534" t="n">
        <v>5.55</v>
      </c>
      <c r="C8950" s="534" t="n">
        <v>25113.84</v>
      </c>
    </row>
    <row r="8951">
      <c r="A8951" s="535" t="n">
        <v>44067</v>
      </c>
      <c r="B8951" s="534" t="n">
        <v>5.7</v>
      </c>
      <c r="C8951" s="534" t="n">
        <v>25551.58</v>
      </c>
    </row>
    <row r="8952">
      <c r="A8952" s="535" t="n">
        <v>44068</v>
      </c>
      <c r="B8952" s="534" t="n">
        <v>6.07</v>
      </c>
      <c r="C8952" s="534" t="n">
        <v>25486.22</v>
      </c>
    </row>
    <row r="8953">
      <c r="A8953" s="535" t="n">
        <v>44069</v>
      </c>
      <c r="B8953" s="534" t="n">
        <v>6.2</v>
      </c>
      <c r="C8953" s="534" t="n">
        <v>25491.79</v>
      </c>
    </row>
    <row r="8954">
      <c r="A8954" s="535" t="n">
        <v>44070</v>
      </c>
      <c r="B8954" s="534" t="n">
        <v>6.11</v>
      </c>
      <c r="C8954" s="534" t="n">
        <v>25281.15</v>
      </c>
    </row>
    <row r="8955">
      <c r="A8955" s="535" t="n">
        <v>44071</v>
      </c>
      <c r="B8955" s="534" t="n">
        <v>6.1</v>
      </c>
      <c r="C8955" s="534" t="n">
        <v>25422.06</v>
      </c>
    </row>
    <row r="8956">
      <c r="A8956" s="535" t="n">
        <v>44074</v>
      </c>
      <c r="B8956" s="534" t="n">
        <v>6.3</v>
      </c>
      <c r="C8956" s="534" t="n">
        <v>25177.05</v>
      </c>
    </row>
    <row r="8957">
      <c r="A8957" s="535" t="n">
        <v>44075</v>
      </c>
      <c r="B8957" s="534" t="n">
        <v>6.28</v>
      </c>
      <c r="C8957" s="534" t="n">
        <v>25184.85</v>
      </c>
    </row>
    <row r="8958">
      <c r="A8958" s="535" t="n">
        <v>44076</v>
      </c>
      <c r="B8958" s="534" t="n">
        <v>6.17</v>
      </c>
      <c r="C8958" s="534" t="n">
        <v>25120.09</v>
      </c>
    </row>
    <row r="8959">
      <c r="A8959" s="535" t="n">
        <v>44077</v>
      </c>
      <c r="B8959" s="534" t="n">
        <v>6.26</v>
      </c>
      <c r="C8959" s="534" t="n">
        <v>25007.6</v>
      </c>
    </row>
    <row r="8960">
      <c r="A8960" s="535" t="n">
        <v>44078</v>
      </c>
      <c r="B8960" s="534" t="n">
        <v>6.23</v>
      </c>
      <c r="C8960" s="534" t="n">
        <v>24695.45</v>
      </c>
    </row>
    <row r="8961">
      <c r="A8961" s="535" t="n">
        <v>44081</v>
      </c>
      <c r="B8961" s="534" t="n">
        <v>6.3</v>
      </c>
      <c r="C8961" s="534" t="n">
        <v>24589.65</v>
      </c>
    </row>
    <row r="8962">
      <c r="A8962" s="535" t="n">
        <v>44082</v>
      </c>
      <c r="B8962" s="534" t="n">
        <v>6.37</v>
      </c>
      <c r="C8962" s="534" t="n">
        <v>24624.34</v>
      </c>
    </row>
    <row r="8963">
      <c r="A8963" s="535" t="n">
        <v>44083</v>
      </c>
      <c r="B8963" s="534" t="n">
        <v>6.35</v>
      </c>
      <c r="C8963" s="534" t="n">
        <v>24468.93</v>
      </c>
    </row>
    <row r="8964">
      <c r="A8964" s="535" t="n">
        <v>44084</v>
      </c>
      <c r="B8964" s="534" t="n">
        <v>6.31</v>
      </c>
      <c r="C8964" s="534" t="n">
        <v>24313.54</v>
      </c>
    </row>
    <row r="8965">
      <c r="A8965" s="535" t="n">
        <v>44085</v>
      </c>
      <c r="B8965" s="534" t="n">
        <v>6.25</v>
      </c>
      <c r="C8965" s="534" t="n">
        <v>24503.31</v>
      </c>
    </row>
    <row r="8966">
      <c r="A8966" s="535" t="n">
        <v>44088</v>
      </c>
      <c r="B8966" s="534" t="n">
        <v>6.23</v>
      </c>
      <c r="C8966" s="534" t="n">
        <v>24640.28</v>
      </c>
    </row>
    <row r="8967">
      <c r="A8967" s="535" t="n">
        <v>44089</v>
      </c>
      <c r="B8967" s="534" t="n">
        <v>6.13</v>
      </c>
      <c r="C8967" s="534" t="n">
        <v>24732.76</v>
      </c>
    </row>
    <row r="8968">
      <c r="A8968" s="535" t="n">
        <v>44090</v>
      </c>
      <c r="B8968" s="534" t="n">
        <v>6.1</v>
      </c>
      <c r="C8968" s="534" t="n">
        <v>24725.63</v>
      </c>
    </row>
    <row r="8969">
      <c r="A8969" s="535" t="n">
        <v>44091</v>
      </c>
      <c r="B8969" s="534" t="n">
        <v>5.93</v>
      </c>
      <c r="C8969" s="534" t="n">
        <v>24340.85</v>
      </c>
    </row>
    <row r="8970">
      <c r="A8970" s="535" t="n">
        <v>44092</v>
      </c>
      <c r="B8970" s="534" t="n">
        <v>5.94</v>
      </c>
      <c r="C8970" s="534" t="n">
        <v>24455.41</v>
      </c>
    </row>
    <row r="8971">
      <c r="A8971" s="535" t="n">
        <v>44095</v>
      </c>
      <c r="B8971" s="534" t="n">
        <v>5.69</v>
      </c>
      <c r="C8971" s="534" t="n">
        <v>23950.69</v>
      </c>
    </row>
    <row r="8972">
      <c r="A8972" s="535" t="n">
        <v>44096</v>
      </c>
      <c r="B8972" s="534" t="n">
        <v>5.57</v>
      </c>
      <c r="C8972" s="534" t="n">
        <v>23716.85</v>
      </c>
    </row>
    <row r="8973">
      <c r="A8973" s="535" t="n">
        <v>44097</v>
      </c>
      <c r="B8973" s="534" t="n">
        <v>5.45</v>
      </c>
      <c r="C8973" s="534" t="n">
        <v>23742.51</v>
      </c>
    </row>
    <row r="8974">
      <c r="A8974" s="535" t="n">
        <v>44098</v>
      </c>
      <c r="B8974" s="534" t="n">
        <v>5.34</v>
      </c>
      <c r="C8974" s="534" t="n">
        <v>23311.07</v>
      </c>
    </row>
    <row r="8975">
      <c r="A8975" s="535" t="n">
        <v>44099</v>
      </c>
      <c r="B8975" s="534" t="n">
        <v>5.22</v>
      </c>
      <c r="C8975" s="534" t="n">
        <v>23235.42</v>
      </c>
    </row>
    <row r="8976">
      <c r="A8976" s="535" t="n">
        <v>44102</v>
      </c>
      <c r="B8976" s="534" t="n">
        <v>5.38</v>
      </c>
      <c r="C8976" s="534" t="n">
        <v>23476.05</v>
      </c>
    </row>
    <row r="8977">
      <c r="A8977" s="535" t="n">
        <v>44103</v>
      </c>
      <c r="B8977" s="534" t="n">
        <v>5.33</v>
      </c>
      <c r="C8977" s="534" t="n">
        <v>23275.53</v>
      </c>
    </row>
    <row r="8978">
      <c r="A8978" s="535" t="n">
        <v>44104</v>
      </c>
      <c r="B8978" s="534" t="n">
        <v>5.35</v>
      </c>
      <c r="C8978" s="534" t="n">
        <v>23459.05</v>
      </c>
    </row>
    <row r="8979">
      <c r="A8979" s="535" t="n">
        <v>44105</v>
      </c>
      <c r="B8979" s="534" t="n">
        <v>5.35</v>
      </c>
      <c r="C8979" s="534" t="n">
        <v>23459.05</v>
      </c>
    </row>
    <row r="8980">
      <c r="A8980" s="535" t="n">
        <v>44106</v>
      </c>
      <c r="B8980" s="534" t="n">
        <v>5.35</v>
      </c>
      <c r="C8980" s="534" t="n">
        <v>23459.05</v>
      </c>
    </row>
    <row r="8981">
      <c r="A8981" s="535" t="n">
        <v>44109</v>
      </c>
      <c r="B8981" s="534" t="n">
        <v>5.41</v>
      </c>
      <c r="C8981" s="534" t="n">
        <v>23767.78</v>
      </c>
    </row>
    <row r="8982">
      <c r="A8982" s="535" t="n">
        <v>44110</v>
      </c>
      <c r="B8982" s="534" t="n">
        <v>5.43</v>
      </c>
      <c r="C8982" s="534" t="n">
        <v>23980.65</v>
      </c>
    </row>
    <row r="8983">
      <c r="A8983" s="535" t="n">
        <v>44111</v>
      </c>
      <c r="B8983" s="534" t="n">
        <v>5.46</v>
      </c>
      <c r="C8983" s="534" t="n">
        <v>24242.86</v>
      </c>
    </row>
    <row r="8984">
      <c r="A8984" s="535" t="n">
        <v>44112</v>
      </c>
      <c r="B8984" s="534" t="n">
        <v>5.47</v>
      </c>
      <c r="C8984" s="534" t="n">
        <v>24193.35</v>
      </c>
    </row>
    <row r="8985">
      <c r="A8985" s="535" t="n">
        <v>44113</v>
      </c>
      <c r="B8985" s="534" t="n">
        <v>5.41</v>
      </c>
      <c r="C8985" s="534" t="n">
        <v>24119.13</v>
      </c>
    </row>
    <row r="8986">
      <c r="A8986" s="535" t="n">
        <v>44116</v>
      </c>
      <c r="B8986" s="534" t="n">
        <v>5.45</v>
      </c>
      <c r="C8986" s="534" t="n">
        <v>24649.68</v>
      </c>
    </row>
    <row r="8987">
      <c r="A8987" s="535" t="n">
        <v>44117</v>
      </c>
      <c r="B8987" s="534" t="n">
        <v>5.45</v>
      </c>
      <c r="C8987" s="534" t="n">
        <v>24649.68</v>
      </c>
    </row>
    <row r="8988">
      <c r="A8988" s="535" t="n">
        <v>44118</v>
      </c>
      <c r="B8988" s="534" t="n">
        <v>5.29</v>
      </c>
      <c r="C8988" s="534" t="n">
        <v>24667.09</v>
      </c>
    </row>
    <row r="8989">
      <c r="A8989" s="535" t="n">
        <v>44119</v>
      </c>
      <c r="B8989" s="534" t="n">
        <v>5.61</v>
      </c>
      <c r="C8989" s="534" t="n">
        <v>24158.54</v>
      </c>
    </row>
    <row r="8990">
      <c r="A8990" s="535" t="n">
        <v>44120</v>
      </c>
      <c r="B8990" s="534" t="n">
        <v>5.78</v>
      </c>
      <c r="C8990" s="534" t="n">
        <v>24386.79</v>
      </c>
    </row>
    <row r="8991">
      <c r="A8991" s="535" t="n">
        <v>44123</v>
      </c>
      <c r="B8991" s="534" t="n">
        <v>5.8</v>
      </c>
      <c r="C8991" s="534" t="n">
        <v>24542.26</v>
      </c>
    </row>
    <row r="8992">
      <c r="A8992" s="535" t="n">
        <v>44124</v>
      </c>
      <c r="B8992" s="534" t="n">
        <v>5.72</v>
      </c>
      <c r="C8992" s="534" t="n">
        <v>24569.54</v>
      </c>
    </row>
    <row r="8993">
      <c r="A8993" s="535" t="n">
        <v>44125</v>
      </c>
      <c r="B8993" s="534" t="n">
        <v>5.85</v>
      </c>
      <c r="C8993" s="534" t="n">
        <v>24754.42</v>
      </c>
    </row>
    <row r="8994">
      <c r="A8994" s="535" t="n">
        <v>44126</v>
      </c>
      <c r="B8994" s="534" t="n">
        <v>5.65</v>
      </c>
      <c r="C8994" s="534" t="n">
        <v>24786.13</v>
      </c>
    </row>
    <row r="8995">
      <c r="A8995" s="535" t="n">
        <v>44127</v>
      </c>
      <c r="B8995" s="534" t="n">
        <v>5.85</v>
      </c>
      <c r="C8995" s="534" t="n">
        <v>24918.78</v>
      </c>
    </row>
    <row r="8996">
      <c r="A8996" s="535" t="n">
        <v>44130</v>
      </c>
      <c r="B8996" s="534" t="n">
        <v>5.85</v>
      </c>
      <c r="C8996" s="534" t="n">
        <v>24918.78</v>
      </c>
    </row>
    <row r="8997">
      <c r="A8997" s="535" t="n">
        <v>44131</v>
      </c>
      <c r="B8997" s="534" t="n">
        <v>5.62</v>
      </c>
      <c r="C8997" s="534" t="n">
        <v>24787.19</v>
      </c>
    </row>
    <row r="8998">
      <c r="A8998" s="535" t="n">
        <v>44132</v>
      </c>
      <c r="B8998" s="534" t="n">
        <v>5.48</v>
      </c>
      <c r="C8998" s="534" t="n">
        <v>24708.8</v>
      </c>
    </row>
    <row r="8999">
      <c r="A8999" s="535" t="n">
        <v>44133</v>
      </c>
      <c r="B8999" s="534" t="n">
        <v>5.3</v>
      </c>
      <c r="C8999" s="534" t="n">
        <v>24586.6</v>
      </c>
    </row>
    <row r="9000">
      <c r="A9000" s="535" t="n">
        <v>44134</v>
      </c>
      <c r="B9000" s="534" t="n">
        <v>5.26</v>
      </c>
      <c r="C9000" s="534" t="n">
        <v>24107.42</v>
      </c>
    </row>
    <row r="9001">
      <c r="A9001" s="535" t="n">
        <v>44137</v>
      </c>
      <c r="B9001" s="534" t="n">
        <v>5.26</v>
      </c>
      <c r="C9001" s="534" t="n">
        <v>24460.01</v>
      </c>
    </row>
    <row r="9002">
      <c r="A9002" s="535" t="n">
        <v>44138</v>
      </c>
      <c r="B9002" s="534" t="n">
        <v>5.37</v>
      </c>
      <c r="C9002" s="534" t="n">
        <v>24939.73</v>
      </c>
    </row>
    <row r="9003">
      <c r="A9003" s="535" t="n">
        <v>44139</v>
      </c>
      <c r="B9003" s="534" t="n">
        <v>5.34</v>
      </c>
      <c r="C9003" s="534" t="n">
        <v>24886.14</v>
      </c>
    </row>
    <row r="9004">
      <c r="A9004" s="535" t="n">
        <v>44140</v>
      </c>
      <c r="B9004" s="534" t="n">
        <v>5.49</v>
      </c>
      <c r="C9004" s="534" t="n">
        <v>25695.92</v>
      </c>
    </row>
    <row r="9005">
      <c r="A9005" s="535" t="n">
        <v>44141</v>
      </c>
      <c r="B9005" s="534" t="n">
        <v>5.53</v>
      </c>
      <c r="C9005" s="534" t="n">
        <v>25712.97</v>
      </c>
    </row>
    <row r="9006">
      <c r="A9006" s="535" t="n">
        <v>44144</v>
      </c>
      <c r="B9006" s="534" t="n">
        <v>5.62</v>
      </c>
      <c r="C9006" s="534" t="n">
        <v>26016.17</v>
      </c>
    </row>
    <row r="9007">
      <c r="A9007" s="535" t="n">
        <v>44145</v>
      </c>
      <c r="B9007" s="534" t="n">
        <v>6.41</v>
      </c>
      <c r="C9007" s="534" t="n">
        <v>26301.48</v>
      </c>
    </row>
    <row r="9008">
      <c r="A9008" s="535" t="n">
        <v>44146</v>
      </c>
      <c r="B9008" s="534" t="n">
        <v>6.5</v>
      </c>
      <c r="C9008" s="534" t="n">
        <v>26226.98</v>
      </c>
    </row>
    <row r="9009">
      <c r="A9009" s="535" t="n">
        <v>44147</v>
      </c>
      <c r="B9009" s="534" t="n">
        <v>6.35</v>
      </c>
      <c r="C9009" s="534" t="n">
        <v>26169.38</v>
      </c>
    </row>
    <row r="9010">
      <c r="A9010" s="535" t="n">
        <v>44148</v>
      </c>
      <c r="B9010" s="534" t="n">
        <v>6.17</v>
      </c>
      <c r="C9010" s="534" t="n">
        <v>26156.86</v>
      </c>
    </row>
    <row r="9011">
      <c r="A9011" s="535" t="n">
        <v>44151</v>
      </c>
      <c r="B9011" s="534" t="n">
        <v>6.42</v>
      </c>
      <c r="C9011" s="534" t="n">
        <v>26381.67</v>
      </c>
    </row>
    <row r="9012">
      <c r="A9012" s="535" t="n">
        <v>44152</v>
      </c>
      <c r="B9012" s="534" t="n">
        <v>6.87</v>
      </c>
      <c r="C9012" s="534" t="n">
        <v>26415.09</v>
      </c>
    </row>
    <row r="9013">
      <c r="A9013" s="535" t="n">
        <v>44153</v>
      </c>
      <c r="B9013" s="534" t="n">
        <v>7.02</v>
      </c>
      <c r="C9013" s="534" t="n">
        <v>26544.29</v>
      </c>
    </row>
    <row r="9014">
      <c r="A9014" s="535" t="n">
        <v>44154</v>
      </c>
      <c r="B9014" s="534" t="n">
        <v>7.36</v>
      </c>
      <c r="C9014" s="534" t="n">
        <v>26356.97</v>
      </c>
    </row>
    <row r="9015">
      <c r="A9015" s="535" t="n">
        <v>44155</v>
      </c>
      <c r="B9015" s="534" t="n">
        <v>7.13</v>
      </c>
      <c r="C9015" s="534" t="n">
        <v>26451.54</v>
      </c>
    </row>
    <row r="9016">
      <c r="A9016" s="535" t="n">
        <v>44158</v>
      </c>
      <c r="B9016" s="534" t="n">
        <v>6.83</v>
      </c>
      <c r="C9016" s="534" t="n">
        <v>26486.2</v>
      </c>
    </row>
    <row r="9017">
      <c r="A9017" s="535" t="n">
        <v>44159</v>
      </c>
      <c r="B9017" s="534" t="n">
        <v>7.36</v>
      </c>
      <c r="C9017" s="534" t="n">
        <v>26588.2</v>
      </c>
    </row>
    <row r="9018">
      <c r="A9018" s="535" t="n">
        <v>44160</v>
      </c>
      <c r="B9018" s="534" t="n">
        <v>7.37</v>
      </c>
      <c r="C9018" s="534" t="n">
        <v>26669.75</v>
      </c>
    </row>
    <row r="9019">
      <c r="A9019" s="535" t="n">
        <v>44161</v>
      </c>
      <c r="B9019" s="534" t="n">
        <v>7.4</v>
      </c>
      <c r="C9019" s="534" t="n">
        <v>26819.45</v>
      </c>
    </row>
    <row r="9020">
      <c r="A9020" s="535" t="n">
        <v>44162</v>
      </c>
      <c r="B9020" s="534" t="n">
        <v>7.32</v>
      </c>
      <c r="C9020" s="534" t="n">
        <v>26894.68</v>
      </c>
    </row>
    <row r="9021">
      <c r="A9021" s="535" t="n">
        <v>44165</v>
      </c>
      <c r="B9021" s="534" t="n">
        <v>7.26</v>
      </c>
      <c r="C9021" s="534" t="n">
        <v>26341.49</v>
      </c>
    </row>
    <row r="9022">
      <c r="A9022" s="535" t="n">
        <v>44166</v>
      </c>
      <c r="B9022" s="534" t="n">
        <v>7.43</v>
      </c>
      <c r="C9022" s="534" t="n">
        <v>26567.68</v>
      </c>
    </row>
    <row r="9023">
      <c r="A9023" s="535" t="n">
        <v>44167</v>
      </c>
      <c r="B9023" s="534" t="n">
        <v>7.45</v>
      </c>
      <c r="C9023" s="534" t="n">
        <v>26532.58</v>
      </c>
    </row>
    <row r="9024">
      <c r="A9024" s="535" t="n">
        <v>44168</v>
      </c>
      <c r="B9024" s="534" t="n">
        <v>7.75</v>
      </c>
      <c r="C9024" s="534" t="n">
        <v>26728.5</v>
      </c>
    </row>
    <row r="9025">
      <c r="A9025" s="535" t="n">
        <v>44169</v>
      </c>
      <c r="B9025" s="534" t="n">
        <v>7.77</v>
      </c>
      <c r="C9025" s="534" t="n">
        <v>26835.92</v>
      </c>
    </row>
    <row r="9026">
      <c r="A9026" s="535" t="n">
        <v>44172</v>
      </c>
      <c r="B9026" s="534" t="n">
        <v>7.71</v>
      </c>
      <c r="C9026" s="534" t="n">
        <v>26506.85</v>
      </c>
    </row>
    <row r="9027">
      <c r="A9027" s="535" t="n">
        <v>44173</v>
      </c>
      <c r="B9027" s="534" t="n">
        <v>7.46</v>
      </c>
      <c r="C9027" s="534" t="n">
        <v>26304.56</v>
      </c>
    </row>
    <row r="9028">
      <c r="A9028" s="535" t="n">
        <v>44174</v>
      </c>
      <c r="B9028" s="534" t="n">
        <v>7.48</v>
      </c>
      <c r="C9028" s="534" t="n">
        <v>26502.84</v>
      </c>
    </row>
    <row r="9029">
      <c r="A9029" s="535" t="n">
        <v>44175</v>
      </c>
      <c r="B9029" s="534" t="n">
        <v>7.42</v>
      </c>
      <c r="C9029" s="534" t="n">
        <v>26410.59</v>
      </c>
    </row>
    <row r="9030">
      <c r="A9030" s="535" t="n">
        <v>44176</v>
      </c>
      <c r="B9030" s="534" t="n">
        <v>7.64</v>
      </c>
      <c r="C9030" s="534" t="n">
        <v>26505.87</v>
      </c>
    </row>
    <row r="9031">
      <c r="A9031" s="535" t="n">
        <v>44179</v>
      </c>
      <c r="B9031" s="534" t="n">
        <v>7.76</v>
      </c>
      <c r="C9031" s="534" t="n">
        <v>26389.52</v>
      </c>
    </row>
    <row r="9032">
      <c r="A9032" s="535" t="n">
        <v>44180</v>
      </c>
      <c r="B9032" s="534" t="n">
        <v>7.63</v>
      </c>
      <c r="C9032" s="534" t="n">
        <v>26207.29</v>
      </c>
    </row>
    <row r="9033">
      <c r="A9033" s="535" t="n">
        <v>44181</v>
      </c>
      <c r="B9033" s="534" t="n">
        <v>7.66</v>
      </c>
      <c r="C9033" s="534" t="n">
        <v>26460.29</v>
      </c>
    </row>
    <row r="9034">
      <c r="A9034" s="535" t="n">
        <v>44182</v>
      </c>
      <c r="B9034" s="534" t="n">
        <v>7.5</v>
      </c>
      <c r="C9034" s="534" t="n">
        <v>26678.38</v>
      </c>
    </row>
    <row r="9035">
      <c r="A9035" s="535" t="n">
        <v>44183</v>
      </c>
      <c r="B9035" s="534" t="n">
        <v>7.4</v>
      </c>
      <c r="C9035" s="534" t="n">
        <v>26498.6</v>
      </c>
    </row>
    <row r="9036">
      <c r="A9036" s="535" t="n">
        <v>44186</v>
      </c>
      <c r="B9036" s="534" t="n">
        <v>7.17</v>
      </c>
      <c r="C9036" s="534" t="n">
        <v>26306.68</v>
      </c>
    </row>
    <row r="9037">
      <c r="A9037" s="535" t="n">
        <v>44187</v>
      </c>
      <c r="B9037" s="534" t="n">
        <v>7.05</v>
      </c>
      <c r="C9037" s="534" t="n">
        <v>26119.25</v>
      </c>
    </row>
    <row r="9038">
      <c r="A9038" s="535" t="n">
        <v>44188</v>
      </c>
      <c r="B9038" s="534" t="n">
        <v>7.06</v>
      </c>
      <c r="C9038" s="534" t="n">
        <v>26343.1</v>
      </c>
    </row>
    <row r="9039">
      <c r="A9039" s="535" t="n">
        <v>44189</v>
      </c>
      <c r="B9039" s="534" t="n">
        <v>7.11</v>
      </c>
      <c r="C9039" s="534" t="n">
        <v>26386.56</v>
      </c>
    </row>
    <row r="9040">
      <c r="A9040" s="535" t="n">
        <v>44190</v>
      </c>
      <c r="B9040" s="534" t="n">
        <v>7.11</v>
      </c>
      <c r="C9040" s="534" t="n">
        <v>26386.56</v>
      </c>
    </row>
    <row r="9041">
      <c r="A9041" s="535" t="n">
        <v>44193</v>
      </c>
      <c r="B9041" s="534" t="n">
        <v>7.14</v>
      </c>
      <c r="C9041" s="534" t="n">
        <v>26314.63</v>
      </c>
    </row>
    <row r="9042">
      <c r="A9042" s="535" t="n">
        <v>44194</v>
      </c>
      <c r="B9042" s="534" t="n">
        <v>7.16</v>
      </c>
      <c r="C9042" s="534" t="n">
        <v>26568.49</v>
      </c>
    </row>
    <row r="9043">
      <c r="A9043" s="535" t="n">
        <v>44195</v>
      </c>
      <c r="B9043" s="534" t="n">
        <v>7.24</v>
      </c>
      <c r="C9043" s="534" t="n">
        <v>27147.11</v>
      </c>
    </row>
    <row r="9044">
      <c r="A9044" s="535" t="n">
        <v>44196</v>
      </c>
      <c r="B9044" s="534" t="n">
        <v>7.17</v>
      </c>
      <c r="C9044" s="534" t="n">
        <v>27231.13</v>
      </c>
    </row>
    <row r="9045">
      <c r="A9045" s="535" t="n">
        <v>44197</v>
      </c>
      <c r="B9045" s="534" t="n">
        <v>7.17</v>
      </c>
      <c r="C9045" s="534" t="n">
        <v>27231.13</v>
      </c>
    </row>
    <row r="9046">
      <c r="A9046" s="535" t="n">
        <v>44200</v>
      </c>
      <c r="B9046" s="534" t="n">
        <v>7.27</v>
      </c>
      <c r="C9046" s="534" t="n">
        <v>27472.81</v>
      </c>
    </row>
    <row r="9047">
      <c r="A9047" s="535" t="n">
        <v>44201</v>
      </c>
      <c r="B9047" s="534" t="n">
        <v>7.16</v>
      </c>
      <c r="C9047" s="534" t="n">
        <v>27649.86</v>
      </c>
    </row>
    <row r="9048">
      <c r="A9048" s="535" t="n">
        <v>44202</v>
      </c>
      <c r="B9048" s="534" t="n">
        <v>7.26</v>
      </c>
      <c r="C9048" s="534" t="n">
        <v>27692.3</v>
      </c>
    </row>
    <row r="9049">
      <c r="A9049" s="535" t="n">
        <v>44203</v>
      </c>
      <c r="B9049" s="534" t="n">
        <v>7.21</v>
      </c>
      <c r="C9049" s="534" t="n">
        <v>27548.52</v>
      </c>
    </row>
    <row r="9050">
      <c r="A9050" s="535" t="n">
        <v>44204</v>
      </c>
      <c r="B9050" s="534" t="n">
        <v>7.3</v>
      </c>
      <c r="C9050" s="534" t="n">
        <v>27878.22</v>
      </c>
    </row>
    <row r="9051">
      <c r="A9051" s="535" t="n">
        <v>44207</v>
      </c>
      <c r="B9051" s="534" t="n">
        <v>7.16</v>
      </c>
      <c r="C9051" s="534" t="n">
        <v>27908.22</v>
      </c>
    </row>
    <row r="9052">
      <c r="A9052" s="535" t="n">
        <v>44208</v>
      </c>
      <c r="B9052" s="534" t="n">
        <v>7.24</v>
      </c>
      <c r="C9052" s="534" t="n">
        <v>28276.75</v>
      </c>
    </row>
    <row r="9053">
      <c r="A9053" s="535" t="n">
        <v>44209</v>
      </c>
      <c r="B9053" s="534" t="n">
        <v>7.32</v>
      </c>
      <c r="C9053" s="534" t="n">
        <v>28235.6</v>
      </c>
    </row>
    <row r="9054">
      <c r="A9054" s="535" t="n">
        <v>44210</v>
      </c>
      <c r="B9054" s="534" t="n">
        <v>7.24</v>
      </c>
      <c r="C9054" s="534" t="n">
        <v>28496.86</v>
      </c>
    </row>
    <row r="9055">
      <c r="A9055" s="535" t="n">
        <v>44211</v>
      </c>
      <c r="B9055" s="534" t="n">
        <v>7.14</v>
      </c>
      <c r="C9055" s="534" t="n">
        <v>28573.86</v>
      </c>
    </row>
    <row r="9056">
      <c r="A9056" s="535" t="n">
        <v>44214</v>
      </c>
      <c r="B9056" s="534" t="n">
        <v>7.14</v>
      </c>
      <c r="C9056" s="534" t="n">
        <v>28862.77</v>
      </c>
    </row>
    <row r="9057">
      <c r="A9057" s="535" t="n">
        <v>44215</v>
      </c>
      <c r="B9057" s="534" t="n">
        <v>7.25</v>
      </c>
      <c r="C9057" s="534" t="n">
        <v>29642.28</v>
      </c>
    </row>
    <row r="9058">
      <c r="A9058" s="535" t="n">
        <v>44216</v>
      </c>
      <c r="B9058" s="534" t="n">
        <v>7.14</v>
      </c>
      <c r="C9058" s="534" t="n">
        <v>29962.47</v>
      </c>
    </row>
    <row r="9059">
      <c r="A9059" s="535" t="n">
        <v>44217</v>
      </c>
      <c r="B9059" s="534" t="n">
        <v>7.15</v>
      </c>
      <c r="C9059" s="534" t="n">
        <v>29927.76</v>
      </c>
    </row>
    <row r="9060">
      <c r="A9060" s="535" t="n">
        <v>44218</v>
      </c>
      <c r="B9060" s="534" t="n">
        <v>6.93</v>
      </c>
      <c r="C9060" s="534" t="n">
        <v>29447.85</v>
      </c>
    </row>
    <row r="9061">
      <c r="A9061" s="535" t="n">
        <v>44221</v>
      </c>
      <c r="B9061" s="534" t="n">
        <v>6.78</v>
      </c>
      <c r="C9061" s="534" t="n">
        <v>30159.01</v>
      </c>
    </row>
    <row r="9062">
      <c r="A9062" s="535" t="n">
        <v>44222</v>
      </c>
      <c r="B9062" s="534" t="n">
        <v>6.58</v>
      </c>
      <c r="C9062" s="534" t="n">
        <v>29391.26</v>
      </c>
    </row>
    <row r="9063">
      <c r="A9063" s="535" t="n">
        <v>44223</v>
      </c>
      <c r="B9063" s="534" t="n">
        <v>6.59</v>
      </c>
      <c r="C9063" s="534" t="n">
        <v>29297.53</v>
      </c>
    </row>
    <row r="9064">
      <c r="A9064" s="535" t="n">
        <v>44224</v>
      </c>
      <c r="B9064" s="534" t="n">
        <v>5.95</v>
      </c>
      <c r="C9064" s="534" t="n">
        <v>28550.77</v>
      </c>
    </row>
    <row r="9065">
      <c r="A9065" s="535" t="n">
        <v>44225</v>
      </c>
      <c r="B9065" s="534" t="n">
        <v>5.98</v>
      </c>
      <c r="C9065" s="534" t="n">
        <v>28283.71</v>
      </c>
    </row>
    <row r="9066">
      <c r="A9066" s="535" t="n">
        <v>44228</v>
      </c>
      <c r="B9066" s="534" t="n">
        <v>6.07</v>
      </c>
      <c r="C9066" s="534" t="n">
        <v>28892.86</v>
      </c>
    </row>
    <row r="9067">
      <c r="A9067" s="535" t="n">
        <v>44229</v>
      </c>
      <c r="B9067" s="534" t="n">
        <v>6.1</v>
      </c>
      <c r="C9067" s="534" t="n">
        <v>29248.7</v>
      </c>
    </row>
    <row r="9068">
      <c r="A9068" s="535" t="n">
        <v>44230</v>
      </c>
      <c r="B9068" s="534" t="n">
        <v>6.3</v>
      </c>
      <c r="C9068" s="534" t="n">
        <v>29307.46</v>
      </c>
    </row>
    <row r="9069">
      <c r="A9069" s="535" t="n">
        <v>44231</v>
      </c>
      <c r="B9069" s="534" t="n">
        <v>6.25</v>
      </c>
      <c r="C9069" s="534" t="n">
        <v>29113.5</v>
      </c>
    </row>
    <row r="9070">
      <c r="A9070" s="535" t="n">
        <v>44232</v>
      </c>
      <c r="B9070" s="534" t="n">
        <v>6.35</v>
      </c>
      <c r="C9070" s="534" t="n">
        <v>29288.68</v>
      </c>
    </row>
    <row r="9071">
      <c r="A9071" s="535" t="n">
        <v>44235</v>
      </c>
      <c r="B9071" s="534" t="n">
        <v>6.5</v>
      </c>
      <c r="C9071" s="534" t="n">
        <v>29319.47</v>
      </c>
    </row>
    <row r="9072">
      <c r="A9072" s="535" t="n">
        <v>44236</v>
      </c>
      <c r="B9072" s="534" t="n">
        <v>6.54</v>
      </c>
      <c r="C9072" s="534" t="n">
        <v>29476.19</v>
      </c>
    </row>
    <row r="9073">
      <c r="A9073" s="535" t="n">
        <v>44237</v>
      </c>
      <c r="B9073" s="534" t="n">
        <v>6.45</v>
      </c>
      <c r="C9073" s="534" t="n">
        <v>30038.72</v>
      </c>
    </row>
    <row r="9074">
      <c r="A9074" s="535" t="n">
        <v>44238</v>
      </c>
      <c r="B9074" s="534" t="n">
        <v>6.56</v>
      </c>
      <c r="C9074" s="534" t="n">
        <v>30173.57</v>
      </c>
    </row>
    <row r="9075">
      <c r="A9075" s="535" t="n">
        <v>44239</v>
      </c>
      <c r="B9075" s="534" t="n">
        <v>6.56</v>
      </c>
      <c r="C9075" s="534" t="n">
        <v>30173.57</v>
      </c>
    </row>
    <row r="9076">
      <c r="A9076" s="535" t="n">
        <v>44242</v>
      </c>
      <c r="B9076" s="534" t="n">
        <v>6.56</v>
      </c>
      <c r="C9076" s="534" t="n">
        <v>30173.57</v>
      </c>
    </row>
    <row r="9077">
      <c r="A9077" s="535" t="n">
        <v>44243</v>
      </c>
      <c r="B9077" s="534" t="n">
        <v>6.93</v>
      </c>
      <c r="C9077" s="534" t="n">
        <v>30746.66</v>
      </c>
    </row>
    <row r="9078">
      <c r="A9078" s="535" t="n">
        <v>44244</v>
      </c>
      <c r="B9078" s="534" t="n">
        <v>6.98</v>
      </c>
      <c r="C9078" s="534" t="n">
        <v>31084.94</v>
      </c>
    </row>
    <row r="9079">
      <c r="A9079" s="535" t="n">
        <v>44245</v>
      </c>
      <c r="B9079" s="534" t="n">
        <v>6.99</v>
      </c>
      <c r="C9079" s="534" t="n">
        <v>30595.27</v>
      </c>
    </row>
    <row r="9080">
      <c r="A9080" s="535" t="n">
        <v>44246</v>
      </c>
      <c r="B9080" s="534" t="n">
        <v>6.97</v>
      </c>
      <c r="C9080" s="534" t="n">
        <v>30644.73</v>
      </c>
    </row>
    <row r="9081">
      <c r="A9081" s="535" t="n">
        <v>44249</v>
      </c>
      <c r="B9081" s="534" t="n">
        <v>7.17</v>
      </c>
      <c r="C9081" s="534" t="n">
        <v>30319.83</v>
      </c>
    </row>
    <row r="9082">
      <c r="A9082" s="535" t="n">
        <v>44250</v>
      </c>
      <c r="B9082" s="534" t="n">
        <v>7.52</v>
      </c>
      <c r="C9082" s="534" t="n">
        <v>30632.64</v>
      </c>
    </row>
    <row r="9083">
      <c r="A9083" s="535" t="n">
        <v>44251</v>
      </c>
      <c r="B9083" s="534" t="n">
        <v>7.41</v>
      </c>
      <c r="C9083" s="534" t="n">
        <v>29718.24</v>
      </c>
    </row>
    <row r="9084">
      <c r="A9084" s="535" t="n">
        <v>44252</v>
      </c>
      <c r="B9084" s="534" t="n">
        <v>7.38</v>
      </c>
      <c r="C9084" s="534" t="n">
        <v>30074.17</v>
      </c>
    </row>
    <row r="9085">
      <c r="A9085" s="535" t="n">
        <v>44253</v>
      </c>
      <c r="B9085" s="534" t="n">
        <v>7.2</v>
      </c>
      <c r="C9085" s="534" t="n">
        <v>28980.21</v>
      </c>
    </row>
    <row r="9086">
      <c r="A9086" s="535" t="n">
        <v>44256</v>
      </c>
      <c r="B9086" s="534" t="n">
        <v>7.29</v>
      </c>
      <c r="C9086" s="534" t="n">
        <v>29452.57</v>
      </c>
    </row>
    <row r="9087">
      <c r="A9087" s="535" t="n">
        <v>44257</v>
      </c>
      <c r="B9087" s="534" t="n">
        <v>7.4</v>
      </c>
      <c r="C9087" s="534" t="n">
        <v>29095.86</v>
      </c>
    </row>
    <row r="9088">
      <c r="A9088" s="535" t="n">
        <v>44258</v>
      </c>
      <c r="B9088" s="534" t="n">
        <v>7.41</v>
      </c>
      <c r="C9088" s="534" t="n">
        <v>29880.42</v>
      </c>
    </row>
    <row r="9089">
      <c r="A9089" s="535" t="n">
        <v>44259</v>
      </c>
      <c r="B9089" s="534" t="n">
        <v>7.46</v>
      </c>
      <c r="C9089" s="534" t="n">
        <v>29236.79</v>
      </c>
    </row>
    <row r="9090">
      <c r="A9090" s="535" t="n">
        <v>44260</v>
      </c>
      <c r="B9090" s="534" t="n">
        <v>7.41</v>
      </c>
      <c r="C9090" s="534" t="n">
        <v>29098.29</v>
      </c>
    </row>
    <row r="9091">
      <c r="A9091" s="535" t="n">
        <v>44263</v>
      </c>
      <c r="B9091" s="534" t="n">
        <v>7</v>
      </c>
      <c r="C9091" s="534" t="n">
        <v>28540.83</v>
      </c>
    </row>
    <row r="9092">
      <c r="A9092" s="535" t="n">
        <v>44264</v>
      </c>
      <c r="B9092" s="534" t="n">
        <v>7.1</v>
      </c>
      <c r="C9092" s="534" t="n">
        <v>28773.23</v>
      </c>
    </row>
    <row r="9093">
      <c r="A9093" s="535" t="n">
        <v>44265</v>
      </c>
      <c r="B9093" s="534" t="n">
        <v>7.06</v>
      </c>
      <c r="C9093" s="534" t="n">
        <v>28907.52</v>
      </c>
    </row>
    <row r="9094">
      <c r="A9094" s="535" t="n">
        <v>44266</v>
      </c>
      <c r="B9094" s="534" t="n">
        <v>7.39</v>
      </c>
      <c r="C9094" s="534" t="n">
        <v>29385.61</v>
      </c>
    </row>
    <row r="9095">
      <c r="A9095" s="535" t="n">
        <v>44267</v>
      </c>
      <c r="B9095" s="534" t="n">
        <v>7.36</v>
      </c>
      <c r="C9095" s="534" t="n">
        <v>28739.72</v>
      </c>
    </row>
    <row r="9096">
      <c r="A9096" s="535" t="n">
        <v>44270</v>
      </c>
      <c r="B9096" s="534" t="n">
        <v>7.56</v>
      </c>
      <c r="C9096" s="534" t="n">
        <v>28833.76</v>
      </c>
    </row>
    <row r="9097">
      <c r="A9097" s="535" t="n">
        <v>44271</v>
      </c>
      <c r="B9097" s="534" t="n">
        <v>7.56</v>
      </c>
      <c r="C9097" s="534" t="n">
        <v>29027.69</v>
      </c>
    </row>
    <row r="9098">
      <c r="A9098" s="535" t="n">
        <v>44272</v>
      </c>
      <c r="B9098" s="534" t="n">
        <v>7.71</v>
      </c>
      <c r="C9098" s="534" t="n">
        <v>29034.12</v>
      </c>
    </row>
    <row r="9099">
      <c r="A9099" s="535" t="n">
        <v>44273</v>
      </c>
      <c r="B9099" s="534" t="n">
        <v>7.89</v>
      </c>
      <c r="C9099" s="534" t="n">
        <v>29405.72</v>
      </c>
    </row>
    <row r="9100">
      <c r="A9100" s="535" t="n">
        <v>44274</v>
      </c>
      <c r="B9100" s="534" t="n">
        <v>7.62</v>
      </c>
      <c r="C9100" s="534" t="n">
        <v>28990.94</v>
      </c>
    </row>
    <row r="9101">
      <c r="A9101" s="535" t="n">
        <v>44277</v>
      </c>
      <c r="B9101" s="534" t="n">
        <v>7.63</v>
      </c>
      <c r="C9101" s="534" t="n">
        <v>28885.34</v>
      </c>
    </row>
    <row r="9102">
      <c r="A9102" s="535" t="n">
        <v>44278</v>
      </c>
      <c r="B9102" s="534" t="n">
        <v>7.25</v>
      </c>
      <c r="C9102" s="534" t="n">
        <v>28497.38</v>
      </c>
    </row>
    <row r="9103">
      <c r="A9103" s="535" t="n">
        <v>44279</v>
      </c>
      <c r="B9103" s="534" t="n">
        <v>6.91</v>
      </c>
      <c r="C9103" s="534" t="n">
        <v>27918.14</v>
      </c>
    </row>
    <row r="9104">
      <c r="A9104" s="535" t="n">
        <v>44280</v>
      </c>
      <c r="B9104" s="534" t="n">
        <v>7.09</v>
      </c>
      <c r="C9104" s="534" t="n">
        <v>27899.61</v>
      </c>
    </row>
    <row r="9105">
      <c r="A9105" s="535" t="n">
        <v>44281</v>
      </c>
      <c r="B9105" s="534" t="n">
        <v>7.2</v>
      </c>
      <c r="C9105" s="534" t="n">
        <v>28336.43</v>
      </c>
    </row>
    <row r="9106">
      <c r="A9106" s="535" t="n">
        <v>44284</v>
      </c>
      <c r="B9106" s="534" t="n">
        <v>7.21</v>
      </c>
      <c r="C9106" s="534" t="n">
        <v>28338.3</v>
      </c>
    </row>
    <row r="9107">
      <c r="A9107" s="535" t="n">
        <v>44285</v>
      </c>
      <c r="B9107" s="534" t="n">
        <v>7.32</v>
      </c>
      <c r="C9107" s="534" t="n">
        <v>28577.5</v>
      </c>
    </row>
    <row r="9108">
      <c r="A9108" s="535" t="n">
        <v>44286</v>
      </c>
      <c r="B9108" s="534" t="n">
        <v>7.25</v>
      </c>
      <c r="C9108" s="534" t="n">
        <v>28378.35</v>
      </c>
    </row>
    <row r="9109">
      <c r="A9109" s="535" t="n">
        <v>44287</v>
      </c>
      <c r="B9109" s="534" t="n">
        <v>7.24</v>
      </c>
      <c r="C9109" s="534" t="n">
        <v>28938.74</v>
      </c>
    </row>
    <row r="9110">
      <c r="A9110" s="535" t="n">
        <v>44288</v>
      </c>
      <c r="B9110" s="534" t="n">
        <v>7.24</v>
      </c>
      <c r="C9110" s="534" t="n">
        <v>28938.74</v>
      </c>
    </row>
    <row r="9111">
      <c r="A9111" s="535" t="n">
        <v>44291</v>
      </c>
      <c r="B9111" s="534" t="n">
        <v>7.24</v>
      </c>
      <c r="C9111" s="534" t="n">
        <v>28938.74</v>
      </c>
    </row>
    <row r="9112">
      <c r="A9112" s="535" t="n">
        <v>44292</v>
      </c>
      <c r="B9112" s="534" t="n">
        <v>7.24</v>
      </c>
      <c r="C9112" s="534" t="n">
        <v>28938.74</v>
      </c>
    </row>
    <row r="9113">
      <c r="A9113" s="535" t="n">
        <v>44293</v>
      </c>
      <c r="B9113" s="534" t="n">
        <v>7.23</v>
      </c>
      <c r="C9113" s="534" t="n">
        <v>28674.8</v>
      </c>
    </row>
    <row r="9114">
      <c r="A9114" s="535" t="n">
        <v>44294</v>
      </c>
      <c r="B9114" s="534" t="n">
        <v>7.23</v>
      </c>
      <c r="C9114" s="534" t="n">
        <v>29008.07</v>
      </c>
    </row>
    <row r="9115">
      <c r="A9115" s="535" t="n">
        <v>44295</v>
      </c>
      <c r="B9115" s="534" t="n">
        <v>7.1</v>
      </c>
      <c r="C9115" s="534" t="n">
        <v>28698.8</v>
      </c>
    </row>
    <row r="9116">
      <c r="A9116" s="535" t="n">
        <v>44298</v>
      </c>
      <c r="B9116" s="534" t="n">
        <v>7.06</v>
      </c>
      <c r="C9116" s="534" t="n">
        <v>28453.28</v>
      </c>
    </row>
    <row r="9117">
      <c r="A9117" s="535" t="n">
        <v>44299</v>
      </c>
      <c r="B9117" s="534" t="n">
        <v>7.07</v>
      </c>
      <c r="C9117" s="534" t="n">
        <v>28497.25</v>
      </c>
    </row>
    <row r="9118">
      <c r="A9118" s="535" t="n">
        <v>44300</v>
      </c>
      <c r="B9118" s="534" t="n">
        <v>7.08</v>
      </c>
      <c r="C9118" s="534" t="n">
        <v>28900.83</v>
      </c>
    </row>
    <row r="9119">
      <c r="A9119" s="535" t="n">
        <v>44301</v>
      </c>
      <c r="B9119" s="534" t="n">
        <v>7.02</v>
      </c>
      <c r="C9119" s="534" t="n">
        <v>28793.14</v>
      </c>
    </row>
    <row r="9120">
      <c r="A9120" s="535" t="n">
        <v>44302</v>
      </c>
      <c r="B9120" s="534" t="n">
        <v>7.15</v>
      </c>
      <c r="C9120" s="534" t="n">
        <v>28969.71</v>
      </c>
    </row>
    <row r="9121">
      <c r="A9121" s="535" t="n">
        <v>44305</v>
      </c>
      <c r="B9121" s="534" t="n">
        <v>7.13</v>
      </c>
      <c r="C9121" s="534" t="n">
        <v>29106.15</v>
      </c>
    </row>
    <row r="9122">
      <c r="A9122" s="535" t="n">
        <v>44306</v>
      </c>
      <c r="B9122" s="534" t="n">
        <v>7.09</v>
      </c>
      <c r="C9122" s="534" t="n">
        <v>29135.73</v>
      </c>
    </row>
    <row r="9123">
      <c r="A9123" s="535" t="n">
        <v>44307</v>
      </c>
      <c r="B9123" s="534" t="n">
        <v>6.94</v>
      </c>
      <c r="C9123" s="534" t="n">
        <v>28621.92</v>
      </c>
    </row>
    <row r="9124">
      <c r="A9124" s="535" t="n">
        <v>44308</v>
      </c>
      <c r="B9124" s="534" t="n">
        <v>7</v>
      </c>
      <c r="C9124" s="534" t="n">
        <v>28755.34</v>
      </c>
    </row>
    <row r="9125">
      <c r="A9125" s="535" t="n">
        <v>44309</v>
      </c>
      <c r="B9125" s="534" t="n">
        <v>6.9</v>
      </c>
      <c r="C9125" s="534" t="n">
        <v>29078.75</v>
      </c>
    </row>
    <row r="9126">
      <c r="A9126" s="535" t="n">
        <v>44312</v>
      </c>
      <c r="B9126" s="534" t="n">
        <v>7.07</v>
      </c>
      <c r="C9126" s="534" t="n">
        <v>28952.83</v>
      </c>
    </row>
    <row r="9127">
      <c r="A9127" s="535" t="n">
        <v>44313</v>
      </c>
      <c r="B9127" s="534" t="n">
        <v>7.1</v>
      </c>
      <c r="C9127" s="534" t="n">
        <v>28941.54</v>
      </c>
    </row>
    <row r="9128">
      <c r="A9128" s="535" t="n">
        <v>44314</v>
      </c>
      <c r="B9128" s="534" t="n">
        <v>6.98</v>
      </c>
      <c r="C9128" s="534" t="n">
        <v>29071.34</v>
      </c>
    </row>
    <row r="9129">
      <c r="A9129" s="535" t="n">
        <v>44315</v>
      </c>
      <c r="B9129" s="534" t="n">
        <v>6.93</v>
      </c>
      <c r="C9129" s="534" t="n">
        <v>29303.26</v>
      </c>
    </row>
    <row r="9130">
      <c r="A9130" s="535" t="n">
        <v>44316</v>
      </c>
      <c r="B9130" s="534" t="n">
        <v>6.85</v>
      </c>
      <c r="C9130" s="534" t="n">
        <v>28724.88</v>
      </c>
    </row>
    <row r="9131">
      <c r="A9131" s="535" t="n">
        <v>44319</v>
      </c>
      <c r="B9131" s="534" t="n">
        <v>6.7</v>
      </c>
      <c r="C9131" s="534" t="n">
        <v>28357.54</v>
      </c>
    </row>
    <row r="9132">
      <c r="A9132" s="535" t="n">
        <v>44320</v>
      </c>
      <c r="B9132" s="534" t="n">
        <v>6.79</v>
      </c>
      <c r="C9132" s="534" t="n">
        <v>28557.14</v>
      </c>
    </row>
    <row r="9133">
      <c r="A9133" s="535" t="n">
        <v>44321</v>
      </c>
      <c r="B9133" s="534" t="n">
        <v>6.67</v>
      </c>
      <c r="C9133" s="534" t="n">
        <v>28417.98</v>
      </c>
    </row>
    <row r="9134">
      <c r="A9134" s="535" t="n">
        <v>44322</v>
      </c>
      <c r="B9134" s="534" t="n">
        <v>6.53</v>
      </c>
      <c r="C9134" s="534" t="n">
        <v>28637.46</v>
      </c>
    </row>
    <row r="9135">
      <c r="A9135" s="535" t="n">
        <v>44323</v>
      </c>
      <c r="B9135" s="534" t="n">
        <v>6.51</v>
      </c>
      <c r="C9135" s="534" t="n">
        <v>28610.65</v>
      </c>
    </row>
    <row r="9136">
      <c r="A9136" s="535" t="n">
        <v>44326</v>
      </c>
      <c r="B9136" s="534" t="n">
        <v>6.63</v>
      </c>
      <c r="C9136" s="534" t="n">
        <v>28595.66</v>
      </c>
    </row>
    <row r="9137">
      <c r="A9137" s="535" t="n">
        <v>44327</v>
      </c>
      <c r="B9137" s="534" t="n">
        <v>6.62</v>
      </c>
      <c r="C9137" s="534" t="n">
        <v>28013.81</v>
      </c>
    </row>
    <row r="9138">
      <c r="A9138" s="535" t="n">
        <v>44328</v>
      </c>
      <c r="B9138" s="534" t="n">
        <v>6.42</v>
      </c>
      <c r="C9138" s="534" t="n">
        <v>28231.04</v>
      </c>
    </row>
    <row r="9139">
      <c r="A9139" s="535" t="n">
        <v>44329</v>
      </c>
      <c r="B9139" s="534" t="n">
        <v>6.4</v>
      </c>
      <c r="C9139" s="534" t="n">
        <v>27718.67</v>
      </c>
    </row>
    <row r="9140">
      <c r="A9140" s="535" t="n">
        <v>44330</v>
      </c>
      <c r="B9140" s="534" t="n">
        <v>6.42</v>
      </c>
      <c r="C9140" s="534" t="n">
        <v>28027.57</v>
      </c>
    </row>
    <row r="9141">
      <c r="A9141" s="535" t="n">
        <v>44333</v>
      </c>
      <c r="B9141" s="534" t="n">
        <v>6.39</v>
      </c>
      <c r="C9141" s="534" t="n">
        <v>28194.09</v>
      </c>
    </row>
    <row r="9142">
      <c r="A9142" s="535" t="n">
        <v>44334</v>
      </c>
      <c r="B9142" s="534" t="n">
        <v>6.51</v>
      </c>
      <c r="C9142" s="534" t="n">
        <v>28593.81</v>
      </c>
    </row>
    <row r="9143">
      <c r="A9143" s="535" t="n">
        <v>44335</v>
      </c>
      <c r="B9143" s="534" t="n">
        <v>6.51</v>
      </c>
      <c r="C9143" s="534" t="n">
        <v>28593.81</v>
      </c>
    </row>
    <row r="9144">
      <c r="A9144" s="535" t="n">
        <v>44336</v>
      </c>
      <c r="B9144" s="534" t="n">
        <v>6.52</v>
      </c>
      <c r="C9144" s="534" t="n">
        <v>28450.29</v>
      </c>
    </row>
    <row r="9145">
      <c r="A9145" s="535" t="n">
        <v>44337</v>
      </c>
      <c r="B9145" s="534" t="n">
        <v>6.57</v>
      </c>
      <c r="C9145" s="534" t="n">
        <v>28458.44</v>
      </c>
    </row>
    <row r="9146">
      <c r="A9146" s="535" t="n">
        <v>44340</v>
      </c>
      <c r="B9146" s="534" t="n">
        <v>6.63</v>
      </c>
      <c r="C9146" s="534" t="n">
        <v>28412.26</v>
      </c>
    </row>
    <row r="9147">
      <c r="A9147" s="535" t="n">
        <v>44341</v>
      </c>
      <c r="B9147" s="534" t="n">
        <v>6.68</v>
      </c>
      <c r="C9147" s="534" t="n">
        <v>28910.86</v>
      </c>
    </row>
    <row r="9148">
      <c r="A9148" s="535" t="n">
        <v>44342</v>
      </c>
      <c r="B9148" s="534" t="n">
        <v>6.77</v>
      </c>
      <c r="C9148" s="534" t="n">
        <v>29166.01</v>
      </c>
    </row>
    <row r="9149">
      <c r="A9149" s="535" t="n">
        <v>44343</v>
      </c>
      <c r="B9149" s="534" t="n">
        <v>6.79</v>
      </c>
      <c r="C9149" s="534" t="n">
        <v>29113.2</v>
      </c>
    </row>
    <row r="9150">
      <c r="A9150" s="535" t="n">
        <v>44344</v>
      </c>
      <c r="B9150" s="534" t="n">
        <v>6.77</v>
      </c>
      <c r="C9150" s="534" t="n">
        <v>29124.41</v>
      </c>
    </row>
    <row r="9151">
      <c r="A9151" s="535" t="n">
        <v>44347</v>
      </c>
      <c r="B9151" s="534" t="n">
        <v>6.68</v>
      </c>
      <c r="C9151" s="534" t="n">
        <v>29151.8</v>
      </c>
    </row>
    <row r="9152">
      <c r="A9152" s="535" t="n">
        <v>44348</v>
      </c>
      <c r="B9152" s="534" t="n">
        <v>6.65</v>
      </c>
      <c r="C9152" s="534" t="n">
        <v>29468</v>
      </c>
    </row>
    <row r="9153">
      <c r="A9153" s="535" t="n">
        <v>44349</v>
      </c>
      <c r="B9153" s="534" t="n">
        <v>6.79</v>
      </c>
      <c r="C9153" s="534" t="n">
        <v>29297.62</v>
      </c>
    </row>
    <row r="9154">
      <c r="A9154" s="535" t="n">
        <v>44350</v>
      </c>
      <c r="B9154" s="534" t="n">
        <v>6.8</v>
      </c>
      <c r="C9154" s="534" t="n">
        <v>28966.03</v>
      </c>
    </row>
    <row r="9155">
      <c r="A9155" s="535" t="n">
        <v>44351</v>
      </c>
      <c r="B9155" s="534" t="n">
        <v>6.79</v>
      </c>
      <c r="C9155" s="534" t="n">
        <v>28918.1</v>
      </c>
    </row>
    <row r="9156">
      <c r="A9156" s="535" t="n">
        <v>44354</v>
      </c>
      <c r="B9156" s="534" t="n">
        <v>6.76</v>
      </c>
      <c r="C9156" s="534" t="n">
        <v>28787.28</v>
      </c>
    </row>
    <row r="9157">
      <c r="A9157" s="535" t="n">
        <v>44355</v>
      </c>
      <c r="B9157" s="534" t="n">
        <v>6.87</v>
      </c>
      <c r="C9157" s="534" t="n">
        <v>28781.38</v>
      </c>
    </row>
    <row r="9158">
      <c r="A9158" s="535" t="n">
        <v>44356</v>
      </c>
      <c r="B9158" s="534" t="n">
        <v>6.94</v>
      </c>
      <c r="C9158" s="534" t="n">
        <v>28742.63</v>
      </c>
    </row>
    <row r="9159">
      <c r="A9159" s="535" t="n">
        <v>44357</v>
      </c>
      <c r="B9159" s="534" t="n">
        <v>7.06</v>
      </c>
      <c r="C9159" s="534" t="n">
        <v>28738.88</v>
      </c>
    </row>
    <row r="9160">
      <c r="A9160" s="535" t="n">
        <v>44358</v>
      </c>
      <c r="B9160" s="534" t="n">
        <v>7.07</v>
      </c>
      <c r="C9160" s="534" t="n">
        <v>28842.13</v>
      </c>
    </row>
    <row r="9161">
      <c r="A9161" s="535" t="n">
        <v>44361</v>
      </c>
      <c r="B9161" s="534" t="n">
        <v>7.07</v>
      </c>
      <c r="C9161" s="534" t="n">
        <v>28842.13</v>
      </c>
    </row>
    <row r="9162">
      <c r="A9162" s="535" t="n">
        <v>44362</v>
      </c>
      <c r="B9162" s="534" t="n">
        <v>6.99</v>
      </c>
      <c r="C9162" s="534" t="n">
        <v>28638.53</v>
      </c>
    </row>
    <row r="9163">
      <c r="A9163" s="535" t="n">
        <v>44363</v>
      </c>
      <c r="B9163" s="534" t="n">
        <v>6.87</v>
      </c>
      <c r="C9163" s="534" t="n">
        <v>28436.84</v>
      </c>
    </row>
    <row r="9164">
      <c r="A9164" s="535" t="n">
        <v>44364</v>
      </c>
      <c r="B9164" s="534" t="n">
        <v>6.88</v>
      </c>
      <c r="C9164" s="534" t="n">
        <v>28558.59</v>
      </c>
    </row>
    <row r="9165">
      <c r="A9165" s="535" t="n">
        <v>44365</v>
      </c>
      <c r="B9165" s="534" t="n">
        <v>6.93</v>
      </c>
      <c r="C9165" s="534" t="n">
        <v>28801.27</v>
      </c>
    </row>
    <row r="9166">
      <c r="A9166" s="535" t="n">
        <v>44368</v>
      </c>
      <c r="B9166" s="534" t="n">
        <v>7.09</v>
      </c>
      <c r="C9166" s="534" t="n">
        <v>28489</v>
      </c>
    </row>
    <row r="9167">
      <c r="A9167" s="535" t="n">
        <v>44369</v>
      </c>
      <c r="B9167" s="534" t="n">
        <v>6.93</v>
      </c>
      <c r="C9167" s="534" t="n">
        <v>28309.76</v>
      </c>
    </row>
    <row r="9168">
      <c r="A9168" s="535" t="n">
        <v>44370</v>
      </c>
      <c r="B9168" s="534" t="n">
        <v>6.91</v>
      </c>
      <c r="C9168" s="534" t="n">
        <v>28817.07</v>
      </c>
    </row>
    <row r="9169">
      <c r="A9169" s="535" t="n">
        <v>44371</v>
      </c>
      <c r="B9169" s="534" t="n">
        <v>6.86</v>
      </c>
      <c r="C9169" s="534" t="n">
        <v>28882.46</v>
      </c>
    </row>
    <row r="9170">
      <c r="A9170" s="535" t="n">
        <v>44372</v>
      </c>
      <c r="B9170" s="534" t="n">
        <v>6.81</v>
      </c>
      <c r="C9170" s="534" t="n">
        <v>29288.22</v>
      </c>
    </row>
    <row r="9171">
      <c r="A9171" s="535" t="n">
        <v>44375</v>
      </c>
      <c r="B9171" s="534" t="n">
        <v>6.72</v>
      </c>
      <c r="C9171" s="534" t="n">
        <v>29268.3</v>
      </c>
    </row>
    <row r="9172">
      <c r="A9172" s="535" t="n">
        <v>44376</v>
      </c>
      <c r="B9172" s="534" t="n">
        <v>6.6</v>
      </c>
      <c r="C9172" s="534" t="n">
        <v>28994.1</v>
      </c>
    </row>
    <row r="9173">
      <c r="A9173" s="535" t="n">
        <v>44377</v>
      </c>
      <c r="B9173" s="534" t="n">
        <v>6.56</v>
      </c>
      <c r="C9173" s="534" t="n">
        <v>28827.95</v>
      </c>
    </row>
    <row r="9174">
      <c r="A9174" s="535" t="n">
        <v>44378</v>
      </c>
      <c r="B9174" s="534" t="n">
        <v>6.56</v>
      </c>
      <c r="C9174" s="534" t="n">
        <v>28827.95</v>
      </c>
    </row>
    <row r="9175">
      <c r="A9175" s="535" t="n">
        <v>44379</v>
      </c>
      <c r="B9175" s="534" t="n">
        <v>6.55</v>
      </c>
      <c r="C9175" s="534" t="n">
        <v>28310.42</v>
      </c>
    </row>
    <row r="9176">
      <c r="A9176" s="535" t="n">
        <v>44382</v>
      </c>
      <c r="B9176" s="534" t="n">
        <v>6.6</v>
      </c>
      <c r="C9176" s="534" t="n">
        <v>28143.5</v>
      </c>
    </row>
    <row r="9177">
      <c r="A9177" s="535" t="n">
        <v>44383</v>
      </c>
      <c r="B9177" s="534" t="n">
        <v>6.72</v>
      </c>
      <c r="C9177" s="534" t="n">
        <v>28072.86</v>
      </c>
    </row>
    <row r="9178">
      <c r="A9178" s="535" t="n">
        <v>44384</v>
      </c>
      <c r="B9178" s="534" t="n">
        <v>6.81</v>
      </c>
      <c r="C9178" s="534" t="n">
        <v>27960.62</v>
      </c>
    </row>
    <row r="9179">
      <c r="A9179" s="535" t="n">
        <v>44385</v>
      </c>
      <c r="B9179" s="534" t="n">
        <v>6.75</v>
      </c>
      <c r="C9179" s="534" t="n">
        <v>27153.13</v>
      </c>
    </row>
    <row r="9180">
      <c r="A9180" s="535" t="n">
        <v>44386</v>
      </c>
      <c r="B9180" s="534" t="n">
        <v>6.7</v>
      </c>
      <c r="C9180" s="534" t="n">
        <v>27344.54</v>
      </c>
    </row>
    <row r="9181">
      <c r="A9181" s="535" t="n">
        <v>44389</v>
      </c>
      <c r="B9181" s="534" t="n">
        <v>6.65</v>
      </c>
      <c r="C9181" s="534" t="n">
        <v>27515.24</v>
      </c>
    </row>
    <row r="9182">
      <c r="A9182" s="535" t="n">
        <v>44390</v>
      </c>
      <c r="B9182" s="534" t="n">
        <v>6.7</v>
      </c>
      <c r="C9182" s="534" t="n">
        <v>27963.41</v>
      </c>
    </row>
    <row r="9183">
      <c r="A9183" s="535" t="n">
        <v>44391</v>
      </c>
      <c r="B9183" s="534" t="n">
        <v>6.56</v>
      </c>
      <c r="C9183" s="534" t="n">
        <v>27787.46</v>
      </c>
    </row>
    <row r="9184">
      <c r="A9184" s="535" t="n">
        <v>44392</v>
      </c>
      <c r="B9184" s="534" t="n">
        <v>6.6</v>
      </c>
      <c r="C9184" s="534" t="n">
        <v>27996.27</v>
      </c>
    </row>
    <row r="9185">
      <c r="A9185" s="535" t="n">
        <v>44393</v>
      </c>
      <c r="B9185" s="534" t="n">
        <v>6.64</v>
      </c>
      <c r="C9185" s="534" t="n">
        <v>28004.68</v>
      </c>
    </row>
    <row r="9186">
      <c r="A9186" s="535" t="n">
        <v>44396</v>
      </c>
      <c r="B9186" s="534" t="n">
        <v>6.55</v>
      </c>
      <c r="C9186" s="534" t="n">
        <v>27489.78</v>
      </c>
    </row>
    <row r="9187">
      <c r="A9187" s="535" t="n">
        <v>44397</v>
      </c>
      <c r="B9187" s="534" t="n">
        <v>6.41</v>
      </c>
      <c r="C9187" s="534" t="n">
        <v>27259.25</v>
      </c>
    </row>
    <row r="9188">
      <c r="A9188" s="535" t="n">
        <v>44398</v>
      </c>
      <c r="B9188" s="534" t="n">
        <v>6.37</v>
      </c>
      <c r="C9188" s="534" t="n">
        <v>27224.58</v>
      </c>
    </row>
    <row r="9189">
      <c r="A9189" s="535" t="n">
        <v>44399</v>
      </c>
      <c r="B9189" s="534" t="n">
        <v>6.47</v>
      </c>
      <c r="C9189" s="534" t="n">
        <v>27723.84</v>
      </c>
    </row>
    <row r="9190">
      <c r="A9190" s="535" t="n">
        <v>44400</v>
      </c>
      <c r="B9190" s="534" t="n">
        <v>6.5</v>
      </c>
      <c r="C9190" s="534" t="n">
        <v>27321.98</v>
      </c>
    </row>
    <row r="9191">
      <c r="A9191" s="535" t="n">
        <v>44403</v>
      </c>
      <c r="B9191" s="534" t="n">
        <v>6.34</v>
      </c>
      <c r="C9191" s="534" t="n">
        <v>26192.32</v>
      </c>
    </row>
    <row r="9192">
      <c r="A9192" s="535" t="n">
        <v>44404</v>
      </c>
      <c r="B9192" s="534" t="n">
        <v>6.37</v>
      </c>
      <c r="C9192" s="534" t="n">
        <v>25086.43</v>
      </c>
    </row>
    <row r="9193">
      <c r="A9193" s="535" t="n">
        <v>44405</v>
      </c>
      <c r="B9193" s="534" t="n">
        <v>6.34</v>
      </c>
      <c r="C9193" s="534" t="n">
        <v>25473.88</v>
      </c>
    </row>
    <row r="9194">
      <c r="A9194" s="535" t="n">
        <v>44406</v>
      </c>
      <c r="B9194" s="534" t="n">
        <v>6.36</v>
      </c>
      <c r="C9194" s="534" t="n">
        <v>26315.32</v>
      </c>
    </row>
    <row r="9195">
      <c r="A9195" s="535" t="n">
        <v>44407</v>
      </c>
      <c r="B9195" s="534" t="n">
        <v>6.23</v>
      </c>
      <c r="C9195" s="534" t="n">
        <v>25961.03</v>
      </c>
    </row>
    <row r="9196">
      <c r="A9196" s="535" t="n">
        <v>44410</v>
      </c>
      <c r="B9196" s="534" t="n">
        <v>6.29</v>
      </c>
      <c r="C9196" s="534" t="n">
        <v>26235.8</v>
      </c>
    </row>
    <row r="9197">
      <c r="A9197" s="535" t="n">
        <v>44411</v>
      </c>
      <c r="B9197" s="534" t="n">
        <v>6.33</v>
      </c>
      <c r="C9197" s="534" t="n">
        <v>26194.82</v>
      </c>
    </row>
    <row r="9198">
      <c r="A9198" s="535" t="n">
        <v>44412</v>
      </c>
      <c r="B9198" s="534" t="n">
        <v>6.24</v>
      </c>
      <c r="C9198" s="534" t="n">
        <v>26426.55</v>
      </c>
    </row>
    <row r="9199">
      <c r="A9199" s="535" t="n">
        <v>44413</v>
      </c>
      <c r="B9199" s="534" t="n">
        <v>6.17</v>
      </c>
      <c r="C9199" s="534" t="n">
        <v>26204.69</v>
      </c>
    </row>
    <row r="9200">
      <c r="A9200" s="535" t="n">
        <v>44414</v>
      </c>
      <c r="B9200" s="534" t="n">
        <v>6.2</v>
      </c>
      <c r="C9200" s="534" t="n">
        <v>26179.4</v>
      </c>
    </row>
    <row r="9201">
      <c r="A9201" s="535" t="n">
        <v>44417</v>
      </c>
      <c r="B9201" s="534" t="n">
        <v>6.3</v>
      </c>
      <c r="C9201" s="534" t="n">
        <v>26283.4</v>
      </c>
    </row>
    <row r="9202">
      <c r="A9202" s="535" t="n">
        <v>44418</v>
      </c>
      <c r="B9202" s="534" t="n">
        <v>6.2</v>
      </c>
      <c r="C9202" s="534" t="n">
        <v>26605.62</v>
      </c>
    </row>
    <row r="9203">
      <c r="A9203" s="535" t="n">
        <v>44419</v>
      </c>
      <c r="B9203" s="534" t="n">
        <v>6.42</v>
      </c>
      <c r="C9203" s="534" t="n">
        <v>26660.16</v>
      </c>
    </row>
    <row r="9204">
      <c r="A9204" s="535" t="n">
        <v>44420</v>
      </c>
      <c r="B9204" s="534" t="n">
        <v>6.26</v>
      </c>
      <c r="C9204" s="534" t="n">
        <v>26517.82</v>
      </c>
    </row>
    <row r="9205">
      <c r="A9205" s="535" t="n">
        <v>44421</v>
      </c>
      <c r="B9205" s="534" t="n">
        <v>6.24</v>
      </c>
      <c r="C9205" s="534" t="n">
        <v>26391.62</v>
      </c>
    </row>
    <row r="9206">
      <c r="A9206" s="535" t="n">
        <v>44424</v>
      </c>
      <c r="B9206" s="534" t="n">
        <v>6.33</v>
      </c>
      <c r="C9206" s="534" t="n">
        <v>26181.46</v>
      </c>
    </row>
    <row r="9207">
      <c r="A9207" s="535" t="n">
        <v>44425</v>
      </c>
      <c r="B9207" s="534" t="n">
        <v>6.37</v>
      </c>
      <c r="C9207" s="534" t="n">
        <v>25745.87</v>
      </c>
    </row>
    <row r="9208">
      <c r="A9208" s="535" t="n">
        <v>44426</v>
      </c>
      <c r="B9208" s="534" t="n">
        <v>6.36</v>
      </c>
      <c r="C9208" s="534" t="n">
        <v>25867.01</v>
      </c>
    </row>
    <row r="9209">
      <c r="A9209" s="535" t="n">
        <v>44427</v>
      </c>
      <c r="B9209" s="534" t="n">
        <v>6.23</v>
      </c>
      <c r="C9209" s="534" t="n">
        <v>25316.33</v>
      </c>
    </row>
    <row r="9210">
      <c r="A9210" s="535" t="n">
        <v>44428</v>
      </c>
      <c r="B9210" s="534" t="n">
        <v>6.2</v>
      </c>
      <c r="C9210" s="534" t="n">
        <v>24849.72</v>
      </c>
    </row>
    <row r="9211">
      <c r="A9211" s="535" t="n">
        <v>44431</v>
      </c>
      <c r="B9211" s="534" t="n">
        <v>6.15</v>
      </c>
      <c r="C9211" s="534" t="n">
        <v>25109.59</v>
      </c>
    </row>
    <row r="9212">
      <c r="A9212" s="535" t="n">
        <v>44432</v>
      </c>
      <c r="B9212" s="534" t="n">
        <v>6.32</v>
      </c>
      <c r="C9212" s="534" t="n">
        <v>25727.92</v>
      </c>
    </row>
    <row r="9213">
      <c r="A9213" s="535" t="n">
        <v>44433</v>
      </c>
      <c r="B9213" s="534" t="n">
        <v>6.35</v>
      </c>
      <c r="C9213" s="534" t="n">
        <v>25693.95</v>
      </c>
    </row>
    <row r="9214">
      <c r="A9214" s="535" t="n">
        <v>44434</v>
      </c>
      <c r="B9214" s="534" t="n">
        <v>6.39</v>
      </c>
      <c r="C9214" s="534" t="n">
        <v>25415.69</v>
      </c>
    </row>
    <row r="9215">
      <c r="A9215" s="535" t="n">
        <v>44435</v>
      </c>
      <c r="B9215" s="534" t="n">
        <v>6.35</v>
      </c>
      <c r="C9215" s="534" t="n">
        <v>25407.89</v>
      </c>
    </row>
    <row r="9216">
      <c r="A9216" s="535" t="n">
        <v>44438</v>
      </c>
      <c r="B9216" s="534" t="n">
        <v>6.49</v>
      </c>
      <c r="C9216" s="534" t="n">
        <v>25539.54</v>
      </c>
    </row>
    <row r="9217">
      <c r="A9217" s="535" t="n">
        <v>44439</v>
      </c>
      <c r="B9217" s="534" t="n">
        <v>6.53</v>
      </c>
      <c r="C9217" s="534" t="n">
        <v>25878.99</v>
      </c>
    </row>
    <row r="9218">
      <c r="A9218" s="535" t="n">
        <v>44440</v>
      </c>
      <c r="B9218" s="534" t="n">
        <v>6.62</v>
      </c>
      <c r="C9218" s="534" t="n">
        <v>26028.29</v>
      </c>
    </row>
    <row r="9219">
      <c r="A9219" s="535" t="n">
        <v>44441</v>
      </c>
      <c r="B9219" s="534" t="n">
        <v>6.55</v>
      </c>
      <c r="C9219" s="534" t="n">
        <v>26090.43</v>
      </c>
    </row>
    <row r="9220">
      <c r="A9220" s="535" t="n">
        <v>44442</v>
      </c>
      <c r="B9220" s="534" t="n">
        <v>6.57</v>
      </c>
      <c r="C9220" s="534" t="n">
        <v>25901.99</v>
      </c>
    </row>
    <row r="9221">
      <c r="A9221" s="535" t="n">
        <v>44445</v>
      </c>
      <c r="B9221" s="534" t="n">
        <v>6.54</v>
      </c>
      <c r="C9221" s="534" t="n">
        <v>26163.63</v>
      </c>
    </row>
    <row r="9222">
      <c r="A9222" s="535" t="n">
        <v>44446</v>
      </c>
      <c r="B9222" s="534" t="n">
        <v>6.57</v>
      </c>
      <c r="C9222" s="534" t="n">
        <v>26353.63</v>
      </c>
    </row>
    <row r="9223">
      <c r="A9223" s="535" t="n">
        <v>44447</v>
      </c>
      <c r="B9223" s="534" t="n">
        <v>6.78</v>
      </c>
      <c r="C9223" s="534" t="n">
        <v>26320.93</v>
      </c>
    </row>
    <row r="9224">
      <c r="A9224" s="535" t="n">
        <v>44448</v>
      </c>
      <c r="B9224" s="534" t="n">
        <v>6.74</v>
      </c>
      <c r="C9224" s="534" t="n">
        <v>25716</v>
      </c>
    </row>
    <row r="9225">
      <c r="A9225" s="535" t="n">
        <v>44449</v>
      </c>
      <c r="B9225" s="534" t="n">
        <v>6.77</v>
      </c>
      <c r="C9225" s="534" t="n">
        <v>26205.91</v>
      </c>
    </row>
    <row r="9226">
      <c r="A9226" s="535" t="n">
        <v>44452</v>
      </c>
      <c r="B9226" s="534" t="n">
        <v>6.66</v>
      </c>
      <c r="C9226" s="534" t="n">
        <v>25813.81</v>
      </c>
    </row>
    <row r="9227">
      <c r="A9227" s="535" t="n">
        <v>44453</v>
      </c>
      <c r="B9227" s="534" t="n">
        <v>6.55</v>
      </c>
      <c r="C9227" s="534" t="n">
        <v>25502.23</v>
      </c>
    </row>
    <row r="9228">
      <c r="A9228" s="535" t="n">
        <v>44454</v>
      </c>
      <c r="B9228" s="534" t="n">
        <v>6.53</v>
      </c>
      <c r="C9228" s="534" t="n">
        <v>25033.21</v>
      </c>
    </row>
    <row r="9229">
      <c r="A9229" s="535" t="n">
        <v>44455</v>
      </c>
      <c r="B9229" s="534" t="n">
        <v>6.46</v>
      </c>
      <c r="C9229" s="534" t="n">
        <v>24667.85</v>
      </c>
    </row>
    <row r="9230">
      <c r="A9230" s="535" t="n">
        <v>44456</v>
      </c>
      <c r="B9230" s="534" t="n">
        <v>6.46</v>
      </c>
      <c r="C9230" s="534" t="n">
        <v>24920.76</v>
      </c>
    </row>
    <row r="9231">
      <c r="A9231" s="535" t="n">
        <v>44459</v>
      </c>
      <c r="B9231" s="534" t="n">
        <v>6.33</v>
      </c>
      <c r="C9231" s="534" t="n">
        <v>24099.14</v>
      </c>
    </row>
    <row r="9232">
      <c r="A9232" s="535" t="n">
        <v>44460</v>
      </c>
      <c r="B9232" s="534" t="n">
        <v>6.52</v>
      </c>
      <c r="C9232" s="534" t="n">
        <v>24221.54</v>
      </c>
    </row>
    <row r="9233">
      <c r="A9233" s="535" t="n">
        <v>44461</v>
      </c>
      <c r="B9233" s="534" t="n">
        <v>6.52</v>
      </c>
      <c r="C9233" s="534" t="n">
        <v>24221.54</v>
      </c>
    </row>
    <row r="9234">
      <c r="A9234" s="535" t="n">
        <v>44462</v>
      </c>
      <c r="B9234" s="534" t="n">
        <v>6.55</v>
      </c>
      <c r="C9234" s="534" t="n">
        <v>24510.98</v>
      </c>
    </row>
    <row r="9235">
      <c r="A9235" s="535" t="n">
        <v>44463</v>
      </c>
      <c r="B9235" s="534" t="n">
        <v>6.48</v>
      </c>
      <c r="C9235" s="534" t="n">
        <v>24192.16</v>
      </c>
    </row>
    <row r="9236">
      <c r="A9236" s="535" t="n">
        <v>44466</v>
      </c>
      <c r="B9236" s="534" t="n">
        <v>6.5</v>
      </c>
      <c r="C9236" s="534" t="n">
        <v>24208.78</v>
      </c>
    </row>
    <row r="9237">
      <c r="A9237" s="535" t="n">
        <v>44467</v>
      </c>
      <c r="B9237" s="534" t="n">
        <v>6.5</v>
      </c>
      <c r="C9237" s="534" t="n">
        <v>24500.39</v>
      </c>
    </row>
    <row r="9238">
      <c r="A9238" s="535" t="n">
        <v>44468</v>
      </c>
      <c r="B9238" s="534" t="n">
        <v>6.48</v>
      </c>
      <c r="C9238" s="534" t="n">
        <v>24663.5</v>
      </c>
    </row>
    <row r="9239">
      <c r="A9239" s="535" t="n">
        <v>44469</v>
      </c>
      <c r="B9239" s="534" t="n">
        <v>6.55</v>
      </c>
      <c r="C9239" s="534" t="n">
        <v>24575.64</v>
      </c>
    </row>
    <row r="9240">
      <c r="A9240" s="535" t="n">
        <v>44470</v>
      </c>
      <c r="B9240" s="534" t="n">
        <v>6.55</v>
      </c>
      <c r="C9240" s="534" t="n">
        <v>24575.64</v>
      </c>
    </row>
    <row r="9241">
      <c r="A9241" s="535" t="n">
        <v>44473</v>
      </c>
      <c r="B9241" s="534" t="n">
        <v>6.9</v>
      </c>
      <c r="C9241" s="534" t="n">
        <v>24036.37</v>
      </c>
    </row>
    <row r="9242">
      <c r="A9242" s="535" t="n">
        <v>44474</v>
      </c>
      <c r="B9242" s="534" t="n">
        <v>6.87</v>
      </c>
      <c r="C9242" s="534" t="n">
        <v>24104.15</v>
      </c>
    </row>
    <row r="9243">
      <c r="A9243" s="535" t="n">
        <v>44475</v>
      </c>
      <c r="B9243" s="534" t="n">
        <v>7.06</v>
      </c>
      <c r="C9243" s="534" t="n">
        <v>23966.49</v>
      </c>
    </row>
    <row r="9244">
      <c r="A9244" s="535" t="n">
        <v>44476</v>
      </c>
      <c r="B9244" s="534" t="n">
        <v>7.03</v>
      </c>
      <c r="C9244" s="534" t="n">
        <v>24701.73</v>
      </c>
    </row>
    <row r="9245">
      <c r="A9245" s="535" t="n">
        <v>44477</v>
      </c>
      <c r="B9245" s="534" t="n">
        <v>7.06</v>
      </c>
      <c r="C9245" s="534" t="n">
        <v>24837.85</v>
      </c>
    </row>
    <row r="9246">
      <c r="A9246" s="535" t="n">
        <v>44480</v>
      </c>
      <c r="B9246" s="534" t="n">
        <v>7.18</v>
      </c>
      <c r="C9246" s="534" t="n">
        <v>25325.09</v>
      </c>
    </row>
    <row r="9247">
      <c r="A9247" s="535" t="n">
        <v>44481</v>
      </c>
      <c r="B9247" s="534" t="n">
        <v>7.2</v>
      </c>
      <c r="C9247" s="534" t="n">
        <v>24962.59</v>
      </c>
    </row>
    <row r="9248">
      <c r="A9248" s="535" t="n">
        <v>44482</v>
      </c>
      <c r="B9248" s="534" t="n">
        <v>7.2</v>
      </c>
      <c r="C9248" s="534" t="n">
        <v>24962.59</v>
      </c>
    </row>
    <row r="9249">
      <c r="A9249" s="535" t="n">
        <v>44483</v>
      </c>
      <c r="B9249" s="534" t="n">
        <v>7.2</v>
      </c>
      <c r="C9249" s="534" t="n">
        <v>24962.59</v>
      </c>
    </row>
    <row r="9250">
      <c r="A9250" s="535" t="n">
        <v>44484</v>
      </c>
      <c r="B9250" s="534" t="n">
        <v>7.42</v>
      </c>
      <c r="C9250" s="534" t="n">
        <v>25330.96</v>
      </c>
    </row>
    <row r="9251">
      <c r="A9251" s="535" t="n">
        <v>44487</v>
      </c>
      <c r="B9251" s="534" t="n">
        <v>7.36</v>
      </c>
      <c r="C9251" s="534" t="n">
        <v>25409.75</v>
      </c>
    </row>
    <row r="9252">
      <c r="A9252" s="535" t="n">
        <v>44488</v>
      </c>
      <c r="B9252" s="534" t="n">
        <v>7.28</v>
      </c>
      <c r="C9252" s="534" t="n">
        <v>25787.21</v>
      </c>
    </row>
    <row r="9253">
      <c r="A9253" s="535" t="n">
        <v>44489</v>
      </c>
      <c r="B9253" s="534" t="n">
        <v>7.19</v>
      </c>
      <c r="C9253" s="534" t="n">
        <v>26136.02</v>
      </c>
    </row>
    <row r="9254">
      <c r="A9254" s="535" t="n">
        <v>44490</v>
      </c>
      <c r="B9254" s="534" t="n">
        <v>7.15</v>
      </c>
      <c r="C9254" s="534" t="n">
        <v>26017.53</v>
      </c>
    </row>
    <row r="9255">
      <c r="A9255" s="535" t="n">
        <v>44491</v>
      </c>
      <c r="B9255" s="534" t="n">
        <v>7.32</v>
      </c>
      <c r="C9255" s="534" t="n">
        <v>26126.93</v>
      </c>
    </row>
    <row r="9256">
      <c r="A9256" s="535" t="n">
        <v>44494</v>
      </c>
      <c r="B9256" s="534" t="n">
        <v>7.14</v>
      </c>
      <c r="C9256" s="534" t="n">
        <v>26132.03</v>
      </c>
    </row>
    <row r="9257">
      <c r="A9257" s="535" t="n">
        <v>44495</v>
      </c>
      <c r="B9257" s="534" t="n">
        <v>7.16</v>
      </c>
      <c r="C9257" s="534" t="n">
        <v>26038.27</v>
      </c>
    </row>
    <row r="9258">
      <c r="A9258" s="535" t="n">
        <v>44496</v>
      </c>
      <c r="B9258" s="534" t="n">
        <v>7.08</v>
      </c>
      <c r="C9258" s="534" t="n">
        <v>25628.74</v>
      </c>
    </row>
    <row r="9259">
      <c r="A9259" s="535" t="n">
        <v>44497</v>
      </c>
      <c r="B9259" s="534" t="n">
        <v>7.17</v>
      </c>
      <c r="C9259" s="534" t="n">
        <v>25555.73</v>
      </c>
    </row>
    <row r="9260">
      <c r="A9260" s="535" t="n">
        <v>44498</v>
      </c>
      <c r="B9260" s="534" t="n">
        <v>7.17</v>
      </c>
      <c r="C9260" s="534" t="n">
        <v>25377.24</v>
      </c>
    </row>
    <row r="9261">
      <c r="A9261" s="535" t="n">
        <v>44501</v>
      </c>
      <c r="B9261" s="534" t="n">
        <v>7.08</v>
      </c>
      <c r="C9261" s="534" t="n">
        <v>25154.32</v>
      </c>
    </row>
    <row r="9262">
      <c r="A9262" s="535" t="n">
        <v>44502</v>
      </c>
      <c r="B9262" s="534" t="n">
        <v>7.18</v>
      </c>
      <c r="C9262" s="534" t="n">
        <v>25099.67</v>
      </c>
    </row>
    <row r="9263">
      <c r="A9263" s="535" t="n">
        <v>44503</v>
      </c>
      <c r="B9263" s="534" t="n">
        <v>7.18</v>
      </c>
      <c r="C9263" s="534" t="n">
        <v>25024.75</v>
      </c>
    </row>
    <row r="9264">
      <c r="A9264" s="535" t="n">
        <v>44504</v>
      </c>
      <c r="B9264" s="534" t="n">
        <v>7.12</v>
      </c>
      <c r="C9264" s="534" t="n">
        <v>25225.19</v>
      </c>
    </row>
    <row r="9265">
      <c r="A9265" s="535" t="n">
        <v>44505</v>
      </c>
      <c r="B9265" s="534" t="n">
        <v>7.16</v>
      </c>
      <c r="C9265" s="534" t="n">
        <v>24870.51</v>
      </c>
    </row>
    <row r="9266">
      <c r="A9266" s="535" t="n">
        <v>44508</v>
      </c>
      <c r="B9266" s="534" t="n">
        <v>7.5</v>
      </c>
      <c r="C9266" s="534" t="n">
        <v>24763.77</v>
      </c>
    </row>
    <row r="9267">
      <c r="A9267" s="535" t="n">
        <v>44509</v>
      </c>
      <c r="B9267" s="534" t="n">
        <v>7.44</v>
      </c>
      <c r="C9267" s="534" t="n">
        <v>24813.13</v>
      </c>
    </row>
    <row r="9268">
      <c r="A9268" s="535" t="n">
        <v>44510</v>
      </c>
      <c r="B9268" s="534" t="n">
        <v>7.38</v>
      </c>
      <c r="C9268" s="534" t="n">
        <v>24996.14</v>
      </c>
    </row>
    <row r="9269">
      <c r="A9269" s="535" t="n">
        <v>44511</v>
      </c>
      <c r="B9269" s="534" t="n">
        <v>7.28</v>
      </c>
      <c r="C9269" s="534" t="n">
        <v>25247.99</v>
      </c>
    </row>
    <row r="9270">
      <c r="A9270" s="535" t="n">
        <v>44512</v>
      </c>
      <c r="B9270" s="534" t="n">
        <v>7.33</v>
      </c>
      <c r="C9270" s="534" t="n">
        <v>25327.97</v>
      </c>
    </row>
    <row r="9271">
      <c r="A9271" s="535" t="n">
        <v>44515</v>
      </c>
      <c r="B9271" s="534" t="n">
        <v>7.29</v>
      </c>
      <c r="C9271" s="534" t="n">
        <v>25390.91</v>
      </c>
    </row>
    <row r="9272">
      <c r="A9272" s="535" t="n">
        <v>44516</v>
      </c>
      <c r="B9272" s="534" t="n">
        <v>7.3</v>
      </c>
      <c r="C9272" s="534" t="n">
        <v>25713.78</v>
      </c>
    </row>
    <row r="9273">
      <c r="A9273" s="535" t="n">
        <v>44517</v>
      </c>
      <c r="B9273" s="534" t="n">
        <v>7.23</v>
      </c>
      <c r="C9273" s="534" t="n">
        <v>25650.08</v>
      </c>
    </row>
    <row r="9274">
      <c r="A9274" s="535" t="n">
        <v>44518</v>
      </c>
      <c r="B9274" s="534" t="n">
        <v>7.18</v>
      </c>
      <c r="C9274" s="534" t="n">
        <v>25319.72</v>
      </c>
    </row>
    <row r="9275">
      <c r="A9275" s="535" t="n">
        <v>44519</v>
      </c>
      <c r="B9275" s="534" t="n">
        <v>7.1</v>
      </c>
      <c r="C9275" s="534" t="n">
        <v>25049.97</v>
      </c>
    </row>
    <row r="9276">
      <c r="A9276" s="535" t="n">
        <v>44522</v>
      </c>
      <c r="B9276" s="534" t="n">
        <v>7.07</v>
      </c>
      <c r="C9276" s="534" t="n">
        <v>24951.34</v>
      </c>
    </row>
    <row r="9277">
      <c r="A9277" s="535" t="n">
        <v>44523</v>
      </c>
      <c r="B9277" s="534" t="n">
        <v>7.07</v>
      </c>
      <c r="C9277" s="534" t="n">
        <v>24651.58</v>
      </c>
    </row>
    <row r="9278">
      <c r="A9278" s="535" t="n">
        <v>44524</v>
      </c>
      <c r="B9278" s="534" t="n">
        <v>7.07</v>
      </c>
      <c r="C9278" s="534" t="n">
        <v>24685.5</v>
      </c>
    </row>
    <row r="9279">
      <c r="A9279" s="535" t="n">
        <v>44525</v>
      </c>
      <c r="B9279" s="534" t="n">
        <v>7.05</v>
      </c>
      <c r="C9279" s="534" t="n">
        <v>24740.16</v>
      </c>
    </row>
    <row r="9280">
      <c r="A9280" s="535" t="n">
        <v>44526</v>
      </c>
      <c r="B9280" s="534" t="n">
        <v>6.76</v>
      </c>
      <c r="C9280" s="534" t="n">
        <v>24080.52</v>
      </c>
    </row>
    <row r="9281">
      <c r="A9281" s="535" t="n">
        <v>44529</v>
      </c>
      <c r="B9281" s="534" t="n">
        <v>6.52</v>
      </c>
      <c r="C9281" s="534" t="n">
        <v>23852.24</v>
      </c>
    </row>
    <row r="9282">
      <c r="A9282" s="535" t="n">
        <v>44530</v>
      </c>
      <c r="B9282" s="534" t="n">
        <v>6.3</v>
      </c>
      <c r="C9282" s="534" t="n">
        <v>23475.26</v>
      </c>
    </row>
    <row r="9283">
      <c r="A9283" s="535" t="n">
        <v>44531</v>
      </c>
      <c r="B9283" s="534" t="n">
        <v>6.3</v>
      </c>
      <c r="C9283" s="534" t="n">
        <v>23658.92</v>
      </c>
    </row>
    <row r="9284">
      <c r="A9284" s="535" t="n">
        <v>44532</v>
      </c>
      <c r="B9284" s="534" t="n">
        <v>6.17</v>
      </c>
      <c r="C9284" s="534" t="n">
        <v>23788.93</v>
      </c>
    </row>
    <row r="9285">
      <c r="A9285" s="535" t="n">
        <v>44533</v>
      </c>
      <c r="B9285" s="534" t="n">
        <v>6.26</v>
      </c>
      <c r="C9285" s="534" t="n">
        <v>23766.69</v>
      </c>
    </row>
    <row r="9286">
      <c r="A9286" s="535" t="n">
        <v>44536</v>
      </c>
      <c r="B9286" s="534" t="n">
        <v>6.17</v>
      </c>
      <c r="C9286" s="534" t="n">
        <v>23349.38</v>
      </c>
    </row>
    <row r="9287">
      <c r="A9287" s="535" t="n">
        <v>44537</v>
      </c>
      <c r="B9287" s="534" t="n">
        <v>6.5</v>
      </c>
      <c r="C9287" s="534" t="n">
        <v>23983.66</v>
      </c>
    </row>
    <row r="9288">
      <c r="A9288" s="535" t="n">
        <v>44538</v>
      </c>
      <c r="B9288" s="534" t="n">
        <v>6.49</v>
      </c>
      <c r="C9288" s="534" t="n">
        <v>23996.87</v>
      </c>
    </row>
    <row r="9289">
      <c r="A9289" s="535" t="n">
        <v>44539</v>
      </c>
      <c r="B9289" s="534" t="n">
        <v>6.59</v>
      </c>
      <c r="C9289" s="534" t="n">
        <v>24254.86</v>
      </c>
    </row>
    <row r="9290">
      <c r="A9290" s="535" t="n">
        <v>44540</v>
      </c>
      <c r="B9290" s="534" t="n">
        <v>6.48</v>
      </c>
      <c r="C9290" s="534" t="n">
        <v>23995.72</v>
      </c>
    </row>
    <row r="9291">
      <c r="A9291" s="535" t="n">
        <v>44543</v>
      </c>
      <c r="B9291" s="534" t="n">
        <v>6.47</v>
      </c>
      <c r="C9291" s="534" t="n">
        <v>23954.58</v>
      </c>
    </row>
    <row r="9292">
      <c r="A9292" s="535" t="n">
        <v>44544</v>
      </c>
      <c r="B9292" s="534" t="n">
        <v>6.37</v>
      </c>
      <c r="C9292" s="534" t="n">
        <v>23635.95</v>
      </c>
    </row>
    <row r="9293">
      <c r="A9293" s="535" t="n">
        <v>44545</v>
      </c>
      <c r="B9293" s="534" t="n">
        <v>6.42</v>
      </c>
      <c r="C9293" s="534" t="n">
        <v>23420.76</v>
      </c>
    </row>
    <row r="9294">
      <c r="A9294" s="535" t="n">
        <v>44546</v>
      </c>
      <c r="B9294" s="534" t="n">
        <v>6.38</v>
      </c>
      <c r="C9294" s="534" t="n">
        <v>23475.5</v>
      </c>
    </row>
    <row r="9295">
      <c r="A9295" s="535" t="n">
        <v>44547</v>
      </c>
      <c r="B9295" s="534" t="n">
        <v>6.3</v>
      </c>
      <c r="C9295" s="534" t="n">
        <v>23192.63</v>
      </c>
    </row>
    <row r="9296">
      <c r="A9296" s="535" t="n">
        <v>44550</v>
      </c>
      <c r="B9296" s="534" t="n">
        <v>6.3</v>
      </c>
      <c r="C9296" s="534" t="n">
        <v>22744.86</v>
      </c>
    </row>
    <row r="9297">
      <c r="A9297" s="535" t="n">
        <v>44551</v>
      </c>
      <c r="B9297" s="534" t="n">
        <v>6.33</v>
      </c>
      <c r="C9297" s="534" t="n">
        <v>22971.33</v>
      </c>
    </row>
    <row r="9298">
      <c r="A9298" s="535" t="n">
        <v>44552</v>
      </c>
      <c r="B9298" s="534" t="n">
        <v>6.34</v>
      </c>
      <c r="C9298" s="534" t="n">
        <v>23102.33</v>
      </c>
    </row>
    <row r="9299">
      <c r="A9299" s="535" t="n">
        <v>44553</v>
      </c>
      <c r="B9299" s="534" t="n">
        <v>6.37</v>
      </c>
      <c r="C9299" s="534" t="n">
        <v>23193.64</v>
      </c>
    </row>
    <row r="9300">
      <c r="A9300" s="535" t="n">
        <v>44554</v>
      </c>
      <c r="B9300" s="534" t="n">
        <v>6.38</v>
      </c>
      <c r="C9300" s="534" t="n">
        <v>23223.76</v>
      </c>
    </row>
    <row r="9301">
      <c r="A9301" s="535" t="n">
        <v>44557</v>
      </c>
      <c r="B9301" s="534" t="n">
        <v>6.38</v>
      </c>
      <c r="C9301" s="534" t="n">
        <v>23223.76</v>
      </c>
    </row>
    <row r="9302">
      <c r="A9302" s="535" t="n">
        <v>44558</v>
      </c>
      <c r="B9302" s="534" t="n">
        <v>6.47</v>
      </c>
      <c r="C9302" s="534" t="n">
        <v>23280.56</v>
      </c>
    </row>
    <row r="9303">
      <c r="A9303" s="535" t="n">
        <v>44559</v>
      </c>
      <c r="B9303" s="534" t="n">
        <v>6.52</v>
      </c>
      <c r="C9303" s="534" t="n">
        <v>23086.54</v>
      </c>
    </row>
    <row r="9304">
      <c r="A9304" s="535" t="n">
        <v>44560</v>
      </c>
      <c r="B9304" s="534" t="n">
        <v>6.43</v>
      </c>
      <c r="C9304" s="534" t="n">
        <v>23112.01</v>
      </c>
    </row>
    <row r="9305">
      <c r="A9305" s="535" t="n">
        <v>44561</v>
      </c>
      <c r="B9305" s="534" t="n">
        <v>6.39</v>
      </c>
      <c r="C9305" s="534" t="n">
        <v>23397.67</v>
      </c>
    </row>
    <row r="9306">
      <c r="A9306" s="535" t="n">
        <v>44564</v>
      </c>
      <c r="B9306" s="534" t="n">
        <v>6.38</v>
      </c>
      <c r="C9306" s="534" t="n">
        <v>23274.75</v>
      </c>
    </row>
    <row r="9307">
      <c r="A9307" s="535" t="n">
        <v>44565</v>
      </c>
      <c r="B9307" s="534" t="n">
        <v>6.56</v>
      </c>
      <c r="C9307" s="534" t="n">
        <v>23289.84</v>
      </c>
    </row>
    <row r="9308">
      <c r="A9308" s="535" t="n">
        <v>44566</v>
      </c>
      <c r="B9308" s="534" t="n">
        <v>6.43</v>
      </c>
      <c r="C9308" s="534" t="n">
        <v>22907.25</v>
      </c>
    </row>
    <row r="9309">
      <c r="A9309" s="535" t="n">
        <v>44567</v>
      </c>
      <c r="B9309" s="534" t="n">
        <v>6.31</v>
      </c>
      <c r="C9309" s="534" t="n">
        <v>23072.86</v>
      </c>
    </row>
    <row r="9310">
      <c r="A9310" s="535" t="n">
        <v>44568</v>
      </c>
      <c r="B9310" s="534" t="n">
        <v>6.37</v>
      </c>
      <c r="C9310" s="534" t="n">
        <v>23493.38</v>
      </c>
    </row>
    <row r="9311">
      <c r="A9311" s="535" t="n">
        <v>44571</v>
      </c>
      <c r="B9311" s="534" t="n">
        <v>6.51</v>
      </c>
      <c r="C9311" s="534" t="n">
        <v>23746.54</v>
      </c>
    </row>
    <row r="9312">
      <c r="A9312" s="535" t="n">
        <v>44572</v>
      </c>
      <c r="B9312" s="534" t="n">
        <v>6.46</v>
      </c>
      <c r="C9312" s="534" t="n">
        <v>23739.06</v>
      </c>
    </row>
    <row r="9313">
      <c r="A9313" s="535" t="n">
        <v>44573</v>
      </c>
      <c r="B9313" s="534" t="n">
        <v>6.41</v>
      </c>
      <c r="C9313" s="534" t="n">
        <v>24402.17</v>
      </c>
    </row>
    <row r="9314">
      <c r="A9314" s="535" t="n">
        <v>44574</v>
      </c>
      <c r="B9314" s="534" t="n">
        <v>6.34</v>
      </c>
      <c r="C9314" s="534" t="n">
        <v>24429.77</v>
      </c>
    </row>
    <row r="9315">
      <c r="A9315" s="535" t="n">
        <v>44575</v>
      </c>
      <c r="B9315" s="534" t="n">
        <v>6.38</v>
      </c>
      <c r="C9315" s="534" t="n">
        <v>24383.32</v>
      </c>
    </row>
    <row r="9316">
      <c r="A9316" s="535" t="n">
        <v>44578</v>
      </c>
      <c r="B9316" s="534" t="n">
        <v>6.4</v>
      </c>
      <c r="C9316" s="534" t="n">
        <v>24218.03</v>
      </c>
    </row>
    <row r="9317">
      <c r="A9317" s="535" t="n">
        <v>44579</v>
      </c>
      <c r="B9317" s="534" t="n">
        <v>6.46</v>
      </c>
      <c r="C9317" s="534" t="n">
        <v>24112.78</v>
      </c>
    </row>
    <row r="9318">
      <c r="A9318" s="535" t="n">
        <v>44580</v>
      </c>
      <c r="B9318" s="534" t="n">
        <v>6.42</v>
      </c>
      <c r="C9318" s="534" t="n">
        <v>24127.85</v>
      </c>
    </row>
    <row r="9319">
      <c r="A9319" s="535" t="n">
        <v>44581</v>
      </c>
      <c r="B9319" s="534" t="n">
        <v>6.41</v>
      </c>
      <c r="C9319" s="534" t="n">
        <v>24952.35</v>
      </c>
    </row>
    <row r="9320">
      <c r="A9320" s="535" t="n">
        <v>44582</v>
      </c>
      <c r="B9320" s="534" t="n">
        <v>6.59</v>
      </c>
      <c r="C9320" s="534" t="n">
        <v>24965.55</v>
      </c>
    </row>
    <row r="9321">
      <c r="A9321" s="535" t="n">
        <v>44585</v>
      </c>
      <c r="B9321" s="534" t="n">
        <v>6.59</v>
      </c>
      <c r="C9321" s="534" t="n">
        <v>24656.46</v>
      </c>
    </row>
    <row r="9322">
      <c r="A9322" s="535" t="n">
        <v>44586</v>
      </c>
      <c r="B9322" s="534" t="n">
        <v>6.57</v>
      </c>
      <c r="C9322" s="534" t="n">
        <v>24243.61</v>
      </c>
    </row>
    <row r="9323">
      <c r="A9323" s="535" t="n">
        <v>44587</v>
      </c>
      <c r="B9323" s="534" t="n">
        <v>6.51</v>
      </c>
      <c r="C9323" s="534" t="n">
        <v>24289.9</v>
      </c>
    </row>
    <row r="9324">
      <c r="A9324" s="535" t="n">
        <v>44588</v>
      </c>
      <c r="B9324" s="534" t="n">
        <v>6.38</v>
      </c>
      <c r="C9324" s="534" t="n">
        <v>23807</v>
      </c>
    </row>
    <row r="9325">
      <c r="A9325" s="535" t="n">
        <v>44589</v>
      </c>
      <c r="B9325" s="534" t="n">
        <v>6.44</v>
      </c>
      <c r="C9325" s="534" t="n">
        <v>23550.08</v>
      </c>
    </row>
    <row r="9326">
      <c r="A9326" s="535" t="n">
        <v>44592</v>
      </c>
      <c r="B9326" s="534" t="n">
        <v>6.48</v>
      </c>
      <c r="C9326" s="534" t="n">
        <v>23802.26</v>
      </c>
    </row>
    <row r="9327">
      <c r="A9327" s="535" t="n">
        <v>44593</v>
      </c>
      <c r="B9327" s="534" t="n">
        <v>6.48</v>
      </c>
      <c r="C9327" s="534" t="n">
        <v>23802.26</v>
      </c>
    </row>
    <row r="9328">
      <c r="A9328" s="535" t="n">
        <v>44594</v>
      </c>
      <c r="B9328" s="534" t="n">
        <v>6.48</v>
      </c>
      <c r="C9328" s="534" t="n">
        <v>23802.26</v>
      </c>
    </row>
    <row r="9329">
      <c r="A9329" s="535" t="n">
        <v>44595</v>
      </c>
      <c r="B9329" s="534" t="n">
        <v>6.48</v>
      </c>
      <c r="C9329" s="534" t="n">
        <v>23802.26</v>
      </c>
    </row>
    <row r="9330">
      <c r="A9330" s="535" t="n">
        <v>44596</v>
      </c>
      <c r="B9330" s="534" t="n">
        <v>6.6</v>
      </c>
      <c r="C9330" s="534" t="n">
        <v>24573.29</v>
      </c>
    </row>
    <row r="9331">
      <c r="A9331" s="535" t="n">
        <v>44599</v>
      </c>
      <c r="B9331" s="534" t="n">
        <v>6.7</v>
      </c>
      <c r="C9331" s="534" t="n">
        <v>24579.55</v>
      </c>
    </row>
    <row r="9332">
      <c r="A9332" s="535" t="n">
        <v>44600</v>
      </c>
      <c r="B9332" s="534" t="n">
        <v>6.84</v>
      </c>
      <c r="C9332" s="534" t="n">
        <v>24329.49</v>
      </c>
    </row>
    <row r="9333">
      <c r="A9333" s="535" t="n">
        <v>44601</v>
      </c>
      <c r="B9333" s="534" t="n">
        <v>7.02</v>
      </c>
      <c r="C9333" s="534" t="n">
        <v>24829.99</v>
      </c>
    </row>
    <row r="9334">
      <c r="A9334" s="535" t="n">
        <v>44602</v>
      </c>
      <c r="B9334" s="534" t="n">
        <v>6.95</v>
      </c>
      <c r="C9334" s="534" t="n">
        <v>24924.35</v>
      </c>
    </row>
    <row r="9335">
      <c r="A9335" s="535" t="n">
        <v>44603</v>
      </c>
      <c r="B9335" s="534" t="n">
        <v>6.98</v>
      </c>
      <c r="C9335" s="534" t="n">
        <v>24906.66</v>
      </c>
    </row>
    <row r="9336">
      <c r="A9336" s="535" t="n">
        <v>44606</v>
      </c>
      <c r="B9336" s="534" t="n">
        <v>6.95</v>
      </c>
      <c r="C9336" s="534" t="n">
        <v>24556.57</v>
      </c>
    </row>
    <row r="9337">
      <c r="A9337" s="535" t="n">
        <v>44607</v>
      </c>
      <c r="B9337" s="534" t="n">
        <v>6.91</v>
      </c>
      <c r="C9337" s="534" t="n">
        <v>24355.71</v>
      </c>
    </row>
    <row r="9338">
      <c r="A9338" s="535" t="n">
        <v>44608</v>
      </c>
      <c r="B9338" s="534" t="n">
        <v>7.23</v>
      </c>
      <c r="C9338" s="534" t="n">
        <v>24718.9</v>
      </c>
    </row>
    <row r="9339">
      <c r="A9339" s="535" t="n">
        <v>44609</v>
      </c>
      <c r="B9339" s="534" t="n">
        <v>7.25</v>
      </c>
      <c r="C9339" s="534" t="n">
        <v>24792.77</v>
      </c>
    </row>
    <row r="9340">
      <c r="A9340" s="535" t="n">
        <v>44610</v>
      </c>
      <c r="B9340" s="534" t="n">
        <v>7.12</v>
      </c>
      <c r="C9340" s="534" t="n">
        <v>24327.71</v>
      </c>
    </row>
    <row r="9341">
      <c r="A9341" s="535" t="n">
        <v>44613</v>
      </c>
      <c r="B9341" s="534" t="n">
        <v>7.18</v>
      </c>
      <c r="C9341" s="534" t="n">
        <v>24170.07</v>
      </c>
    </row>
    <row r="9342">
      <c r="A9342" s="535" t="n">
        <v>44614</v>
      </c>
      <c r="B9342" s="534" t="n">
        <v>7.1</v>
      </c>
      <c r="C9342" s="534" t="n">
        <v>23520</v>
      </c>
    </row>
    <row r="9343">
      <c r="A9343" s="535" t="n">
        <v>44615</v>
      </c>
      <c r="B9343" s="534" t="n">
        <v>7.08</v>
      </c>
      <c r="C9343" s="534" t="n">
        <v>23660.28</v>
      </c>
    </row>
    <row r="9344">
      <c r="A9344" s="535" t="n">
        <v>44616</v>
      </c>
      <c r="B9344" s="534" t="n">
        <v>7.04</v>
      </c>
      <c r="C9344" s="534" t="n">
        <v>22901.56</v>
      </c>
    </row>
    <row r="9345">
      <c r="A9345" s="535" t="n">
        <v>44617</v>
      </c>
      <c r="B9345" s="534" t="n">
        <v>7.06</v>
      </c>
      <c r="C9345" s="534" t="n">
        <v>22767.18</v>
      </c>
    </row>
    <row r="9346">
      <c r="A9346" s="535" t="n">
        <v>44620</v>
      </c>
      <c r="B9346" s="534" t="n">
        <v>6.96</v>
      </c>
      <c r="C9346" s="534" t="n">
        <v>22713.02</v>
      </c>
    </row>
    <row r="9347">
      <c r="A9347" s="535" t="n">
        <v>44621</v>
      </c>
      <c r="B9347" s="534" t="n">
        <v>7</v>
      </c>
      <c r="C9347" s="534" t="n">
        <v>22761.71</v>
      </c>
    </row>
    <row r="9348">
      <c r="A9348" s="535" t="n">
        <v>44622</v>
      </c>
      <c r="B9348" s="534" t="n">
        <v>7.01</v>
      </c>
      <c r="C9348" s="534" t="n">
        <v>22343.92</v>
      </c>
    </row>
    <row r="9349">
      <c r="A9349" s="535" t="n">
        <v>44623</v>
      </c>
      <c r="B9349" s="534" t="n">
        <v>7.25</v>
      </c>
      <c r="C9349" s="534" t="n">
        <v>22467.34</v>
      </c>
    </row>
    <row r="9350">
      <c r="A9350" s="535" t="n">
        <v>44624</v>
      </c>
      <c r="B9350" s="534" t="n">
        <v>7.12</v>
      </c>
      <c r="C9350" s="534" t="n">
        <v>21905.29</v>
      </c>
    </row>
    <row r="9351">
      <c r="A9351" s="535" t="n">
        <v>44627</v>
      </c>
      <c r="B9351" s="534" t="n">
        <v>6.52</v>
      </c>
      <c r="C9351" s="534" t="n">
        <v>21057.63</v>
      </c>
    </row>
    <row r="9352">
      <c r="A9352" s="535" t="n">
        <v>44628</v>
      </c>
      <c r="B9352" s="534" t="n">
        <v>6.34</v>
      </c>
      <c r="C9352" s="534" t="n">
        <v>20765.87</v>
      </c>
    </row>
    <row r="9353">
      <c r="A9353" s="535" t="n">
        <v>44629</v>
      </c>
      <c r="B9353" s="534" t="n">
        <v>6.64</v>
      </c>
      <c r="C9353" s="534" t="n">
        <v>20627.71</v>
      </c>
    </row>
    <row r="9354">
      <c r="A9354" s="535" t="n">
        <v>44630</v>
      </c>
      <c r="B9354" s="534" t="n">
        <v>7.06</v>
      </c>
      <c r="C9354" s="534" t="n">
        <v>20890.26</v>
      </c>
    </row>
    <row r="9355">
      <c r="A9355" s="535" t="n">
        <v>44631</v>
      </c>
      <c r="B9355" s="534" t="n">
        <v>7.12</v>
      </c>
      <c r="C9355" s="534" t="n">
        <v>20553.79</v>
      </c>
    </row>
    <row r="9356">
      <c r="A9356" s="535" t="n">
        <v>44634</v>
      </c>
      <c r="B9356" s="534" t="n">
        <v>6.89</v>
      </c>
      <c r="C9356" s="534" t="n">
        <v>19531.66</v>
      </c>
    </row>
    <row r="9357">
      <c r="A9357" s="535" t="n">
        <v>44635</v>
      </c>
      <c r="B9357" s="534" t="n">
        <v>6.75</v>
      </c>
      <c r="C9357" s="534" t="n">
        <v>18415.08</v>
      </c>
    </row>
    <row r="9358">
      <c r="A9358" s="535" t="n">
        <v>44636</v>
      </c>
      <c r="B9358" s="534" t="n">
        <v>7.09</v>
      </c>
      <c r="C9358" s="534" t="n">
        <v>20087.5</v>
      </c>
    </row>
    <row r="9359">
      <c r="A9359" s="535" t="n">
        <v>44637</v>
      </c>
      <c r="B9359" s="534" t="n">
        <v>7.51</v>
      </c>
      <c r="C9359" s="534" t="n">
        <v>21501.23</v>
      </c>
    </row>
    <row r="9360">
      <c r="A9360" s="535" t="n">
        <v>44638</v>
      </c>
      <c r="B9360" s="534" t="n">
        <v>7.73</v>
      </c>
      <c r="C9360" s="534" t="n">
        <v>21412.4</v>
      </c>
    </row>
    <row r="9361">
      <c r="A9361" s="535" t="n">
        <v>44641</v>
      </c>
      <c r="B9361" s="534" t="n">
        <v>7.76</v>
      </c>
      <c r="C9361" s="534" t="n">
        <v>21221.34</v>
      </c>
    </row>
    <row r="9362">
      <c r="A9362" s="535" t="n">
        <v>44642</v>
      </c>
      <c r="B9362" s="534" t="n">
        <v>7.71</v>
      </c>
      <c r="C9362" s="534" t="n">
        <v>21889.28</v>
      </c>
    </row>
    <row r="9363">
      <c r="A9363" s="535" t="n">
        <v>44643</v>
      </c>
      <c r="B9363" s="534" t="n">
        <v>7.78</v>
      </c>
      <c r="C9363" s="534" t="n">
        <v>22154.08</v>
      </c>
    </row>
    <row r="9364">
      <c r="A9364" s="535" t="n">
        <v>44644</v>
      </c>
      <c r="B9364" s="534" t="n">
        <v>7.64</v>
      </c>
      <c r="C9364" s="534" t="n">
        <v>21945.95</v>
      </c>
    </row>
    <row r="9365">
      <c r="A9365" s="535" t="n">
        <v>44645</v>
      </c>
      <c r="B9365" s="534" t="n">
        <v>7.61</v>
      </c>
      <c r="C9365" s="534" t="n">
        <v>21404.88</v>
      </c>
    </row>
    <row r="9366">
      <c r="A9366" s="535" t="n">
        <v>44648</v>
      </c>
      <c r="B9366" s="534" t="n">
        <v>7.68</v>
      </c>
      <c r="C9366" s="534" t="n">
        <v>21684.97</v>
      </c>
    </row>
    <row r="9367">
      <c r="A9367" s="535" t="n">
        <v>44649</v>
      </c>
      <c r="B9367" s="534" t="n">
        <v>7.5</v>
      </c>
      <c r="C9367" s="534" t="n">
        <v>21927.63</v>
      </c>
    </row>
    <row r="9368">
      <c r="A9368" s="535" t="n">
        <v>44650</v>
      </c>
      <c r="B9368" s="534" t="n">
        <v>7.77</v>
      </c>
      <c r="C9368" s="534" t="n">
        <v>22232.03</v>
      </c>
    </row>
    <row r="9369">
      <c r="A9369" s="535" t="n">
        <v>44651</v>
      </c>
      <c r="B9369" s="534" t="n">
        <v>7.71</v>
      </c>
      <c r="C9369" s="534" t="n">
        <v>21996.85</v>
      </c>
    </row>
    <row r="9370">
      <c r="A9370" s="535" t="n">
        <v>44652</v>
      </c>
      <c r="B9370" s="534" t="n">
        <v>7.78</v>
      </c>
      <c r="C9370" s="534" t="n">
        <v>22039.55</v>
      </c>
    </row>
    <row r="9371">
      <c r="A9371" s="535" t="n">
        <v>44655</v>
      </c>
      <c r="B9371" s="534" t="n">
        <v>7.81</v>
      </c>
      <c r="C9371" s="534" t="n">
        <v>22502.31</v>
      </c>
    </row>
    <row r="9372">
      <c r="A9372" s="535" t="n">
        <v>44656</v>
      </c>
      <c r="B9372" s="534" t="n">
        <v>7.81</v>
      </c>
      <c r="C9372" s="534" t="n">
        <v>22502.31</v>
      </c>
    </row>
    <row r="9373">
      <c r="A9373" s="535" t="n">
        <v>44657</v>
      </c>
      <c r="B9373" s="534" t="n">
        <v>7.73</v>
      </c>
      <c r="C9373" s="534" t="n">
        <v>22080.52</v>
      </c>
    </row>
    <row r="9374">
      <c r="A9374" s="535" t="n">
        <v>44658</v>
      </c>
      <c r="B9374" s="534" t="n">
        <v>7.53</v>
      </c>
      <c r="C9374" s="534" t="n">
        <v>21808.98</v>
      </c>
    </row>
    <row r="9375">
      <c r="A9375" s="535" t="n">
        <v>44659</v>
      </c>
      <c r="B9375" s="534" t="n">
        <v>7.59</v>
      </c>
      <c r="C9375" s="534" t="n">
        <v>21872.01</v>
      </c>
    </row>
    <row r="9376">
      <c r="A9376" s="535" t="n">
        <v>44662</v>
      </c>
      <c r="B9376" s="534" t="n">
        <v>7.34</v>
      </c>
      <c r="C9376" s="534" t="n">
        <v>21208.3</v>
      </c>
    </row>
    <row r="9377">
      <c r="A9377" s="535" t="n">
        <v>44663</v>
      </c>
      <c r="B9377" s="534" t="n">
        <v>7.65</v>
      </c>
      <c r="C9377" s="534" t="n">
        <v>21319.13</v>
      </c>
    </row>
    <row r="9378">
      <c r="A9378" s="535" t="n">
        <v>44664</v>
      </c>
      <c r="B9378" s="534" t="n">
        <v>7.68</v>
      </c>
      <c r="C9378" s="534" t="n">
        <v>21374.37</v>
      </c>
    </row>
    <row r="9379">
      <c r="A9379" s="535" t="n">
        <v>44665</v>
      </c>
      <c r="B9379" s="534" t="n">
        <v>7.7</v>
      </c>
      <c r="C9379" s="534" t="n">
        <v>21518.08</v>
      </c>
    </row>
    <row r="9380">
      <c r="A9380" s="535" t="n">
        <v>44666</v>
      </c>
      <c r="B9380" s="534" t="n">
        <v>7.7</v>
      </c>
      <c r="C9380" s="534" t="n">
        <v>21518.08</v>
      </c>
    </row>
    <row r="9381">
      <c r="A9381" s="535" t="n">
        <v>44669</v>
      </c>
      <c r="B9381" s="534" t="n">
        <v>7.7</v>
      </c>
      <c r="C9381" s="534" t="n">
        <v>21518.08</v>
      </c>
    </row>
    <row r="9382">
      <c r="A9382" s="535" t="n">
        <v>44670</v>
      </c>
      <c r="B9382" s="534" t="n">
        <v>7.53</v>
      </c>
      <c r="C9382" s="534" t="n">
        <v>21027.76</v>
      </c>
    </row>
    <row r="9383">
      <c r="A9383" s="535" t="n">
        <v>44671</v>
      </c>
      <c r="B9383" s="534" t="n">
        <v>7.39</v>
      </c>
      <c r="C9383" s="534" t="n">
        <v>20944.67</v>
      </c>
    </row>
    <row r="9384">
      <c r="A9384" s="535" t="n">
        <v>44672</v>
      </c>
      <c r="B9384" s="534" t="n">
        <v>7.37</v>
      </c>
      <c r="C9384" s="534" t="n">
        <v>20682.22</v>
      </c>
    </row>
    <row r="9385">
      <c r="A9385" s="535" t="n">
        <v>44673</v>
      </c>
      <c r="B9385" s="534" t="n">
        <v>7.39</v>
      </c>
      <c r="C9385" s="534" t="n">
        <v>20638.52</v>
      </c>
    </row>
    <row r="9386">
      <c r="A9386" s="535" t="n">
        <v>44676</v>
      </c>
      <c r="B9386" s="534" t="n">
        <v>7.66</v>
      </c>
      <c r="C9386" s="534" t="n">
        <v>19869.34</v>
      </c>
    </row>
    <row r="9387">
      <c r="A9387" s="535" t="n">
        <v>44677</v>
      </c>
      <c r="B9387" s="534" t="n">
        <v>7.81</v>
      </c>
      <c r="C9387" s="534" t="n">
        <v>19934.71</v>
      </c>
    </row>
    <row r="9388">
      <c r="A9388" s="535" t="n">
        <v>44678</v>
      </c>
      <c r="B9388" s="534" t="n">
        <v>7.96</v>
      </c>
      <c r="C9388" s="534" t="n">
        <v>19946.36</v>
      </c>
    </row>
    <row r="9389">
      <c r="A9389" s="535" t="n">
        <v>44679</v>
      </c>
      <c r="B9389" s="534" t="n">
        <v>7.84</v>
      </c>
      <c r="C9389" s="534" t="n">
        <v>20276.17</v>
      </c>
    </row>
    <row r="9390">
      <c r="A9390" s="535" t="n">
        <v>44680</v>
      </c>
      <c r="B9390" s="534" t="n">
        <v>7.88</v>
      </c>
      <c r="C9390" s="534" t="n">
        <v>21089.39</v>
      </c>
    </row>
    <row r="9391">
      <c r="A9391" s="535" t="n">
        <v>44683</v>
      </c>
      <c r="B9391" s="534" t="n">
        <v>7.88</v>
      </c>
      <c r="C9391" s="534" t="n">
        <v>21089.39</v>
      </c>
    </row>
    <row r="9392">
      <c r="A9392" s="535" t="n">
        <v>44684</v>
      </c>
      <c r="B9392" s="534" t="n">
        <v>8.1</v>
      </c>
      <c r="C9392" s="534" t="n">
        <v>21101.89</v>
      </c>
    </row>
    <row r="9393">
      <c r="A9393" s="535" t="n">
        <v>44685</v>
      </c>
      <c r="B9393" s="534" t="n">
        <v>8.1</v>
      </c>
      <c r="C9393" s="534" t="n">
        <v>20869.52</v>
      </c>
    </row>
    <row r="9394">
      <c r="A9394" s="535" t="n">
        <v>44686</v>
      </c>
      <c r="B9394" s="534" t="n">
        <v>8.23</v>
      </c>
      <c r="C9394" s="534" t="n">
        <v>20793.4</v>
      </c>
    </row>
    <row r="9395">
      <c r="A9395" s="535" t="n">
        <v>44687</v>
      </c>
      <c r="B9395" s="534" t="n">
        <v>7.9</v>
      </c>
      <c r="C9395" s="534" t="n">
        <v>20001.96</v>
      </c>
    </row>
    <row r="9396">
      <c r="A9396" s="535" t="n">
        <v>44690</v>
      </c>
      <c r="B9396" s="534" t="n">
        <v>7.9</v>
      </c>
      <c r="C9396" s="534" t="n">
        <v>20001.96</v>
      </c>
    </row>
    <row r="9397">
      <c r="A9397" s="535" t="n">
        <v>44691</v>
      </c>
      <c r="B9397" s="534" t="n">
        <v>7.8</v>
      </c>
      <c r="C9397" s="534" t="n">
        <v>19633.69</v>
      </c>
    </row>
    <row r="9398">
      <c r="A9398" s="535" t="n">
        <v>44692</v>
      </c>
      <c r="B9398" s="534" t="n">
        <v>7.84</v>
      </c>
      <c r="C9398" s="534" t="n">
        <v>19824.57</v>
      </c>
    </row>
    <row r="9399">
      <c r="A9399" s="535" t="n">
        <v>44693</v>
      </c>
      <c r="B9399" s="534" t="n">
        <v>7.68</v>
      </c>
      <c r="C9399" s="534" t="n">
        <v>19380.34</v>
      </c>
    </row>
    <row r="9400">
      <c r="A9400" s="535" t="n">
        <v>44694</v>
      </c>
      <c r="B9400" s="534" t="n">
        <v>7.75</v>
      </c>
      <c r="C9400" s="534" t="n">
        <v>19898.77</v>
      </c>
    </row>
    <row r="9401">
      <c r="A9401" s="535" t="n">
        <v>44697</v>
      </c>
      <c r="B9401" s="534" t="n">
        <v>7.78</v>
      </c>
      <c r="C9401" s="534" t="n">
        <v>19950.21</v>
      </c>
    </row>
    <row r="9402">
      <c r="A9402" s="535" t="n">
        <v>44698</v>
      </c>
      <c r="B9402" s="534" t="n">
        <v>7.97</v>
      </c>
      <c r="C9402" s="534" t="n">
        <v>20602.52</v>
      </c>
    </row>
    <row r="9403">
      <c r="A9403" s="535" t="n">
        <v>44699</v>
      </c>
      <c r="B9403" s="534" t="n">
        <v>8</v>
      </c>
      <c r="C9403" s="534" t="n">
        <v>20644.28</v>
      </c>
    </row>
    <row r="9404">
      <c r="A9404" s="535" t="n">
        <v>44700</v>
      </c>
      <c r="B9404" s="534" t="n">
        <v>7.81</v>
      </c>
      <c r="C9404" s="534" t="n">
        <v>20120.68</v>
      </c>
    </row>
    <row r="9405">
      <c r="A9405" s="535" t="n">
        <v>44701</v>
      </c>
      <c r="B9405" s="534" t="n">
        <v>7.88</v>
      </c>
      <c r="C9405" s="534" t="n">
        <v>20717.24</v>
      </c>
    </row>
    <row r="9406">
      <c r="A9406" s="535" t="n">
        <v>44704</v>
      </c>
      <c r="B9406" s="534" t="n">
        <v>7.85</v>
      </c>
      <c r="C9406" s="534" t="n">
        <v>20470.06</v>
      </c>
    </row>
    <row r="9407">
      <c r="A9407" s="535" t="n">
        <v>44705</v>
      </c>
      <c r="B9407" s="534" t="n">
        <v>7.79</v>
      </c>
      <c r="C9407" s="534" t="n">
        <v>20112.1</v>
      </c>
    </row>
    <row r="9408">
      <c r="A9408" s="535" t="n">
        <v>44706</v>
      </c>
      <c r="B9408" s="534" t="n">
        <v>7.8</v>
      </c>
      <c r="C9408" s="534" t="n">
        <v>20171.27</v>
      </c>
    </row>
    <row r="9409">
      <c r="A9409" s="535" t="n">
        <v>44707</v>
      </c>
      <c r="B9409" s="534" t="n">
        <v>7.97</v>
      </c>
      <c r="C9409" s="534" t="n">
        <v>20116.2</v>
      </c>
    </row>
    <row r="9410">
      <c r="A9410" s="535" t="n">
        <v>44708</v>
      </c>
      <c r="B9410" s="534" t="n">
        <v>8.31</v>
      </c>
      <c r="C9410" s="534" t="n">
        <v>20697.36</v>
      </c>
    </row>
    <row r="9411">
      <c r="A9411" s="535" t="n">
        <v>44711</v>
      </c>
      <c r="B9411" s="534" t="n">
        <v>8.289999999999999</v>
      </c>
      <c r="C9411" s="534" t="n">
        <v>21123.93</v>
      </c>
    </row>
    <row r="9412">
      <c r="A9412" s="535" t="n">
        <v>44712</v>
      </c>
      <c r="B9412" s="534" t="n">
        <v>8.199999999999999</v>
      </c>
      <c r="C9412" s="534" t="n">
        <v>21415.2</v>
      </c>
    </row>
    <row r="9413">
      <c r="A9413" s="535" t="n">
        <v>44713</v>
      </c>
      <c r="B9413" s="534" t="n">
        <v>8.4</v>
      </c>
      <c r="C9413" s="534" t="n">
        <v>21294.94</v>
      </c>
    </row>
    <row r="9414">
      <c r="A9414" s="535" t="n">
        <v>44714</v>
      </c>
      <c r="B9414" s="534" t="n">
        <v>8.24</v>
      </c>
      <c r="C9414" s="534" t="n">
        <v>21082.13</v>
      </c>
    </row>
    <row r="9415">
      <c r="A9415" s="535" t="n">
        <v>44715</v>
      </c>
      <c r="B9415" s="534" t="n">
        <v>8.24</v>
      </c>
      <c r="C9415" s="534" t="n">
        <v>21082.13</v>
      </c>
    </row>
    <row r="9416">
      <c r="A9416" s="535" t="n">
        <v>44718</v>
      </c>
      <c r="B9416" s="534" t="n">
        <v>8.300000000000001</v>
      </c>
      <c r="C9416" s="534" t="n">
        <v>21653.9</v>
      </c>
    </row>
    <row r="9417">
      <c r="A9417" s="535" t="n">
        <v>44719</v>
      </c>
      <c r="B9417" s="534" t="n">
        <v>8.119999999999999</v>
      </c>
      <c r="C9417" s="534" t="n">
        <v>21531.67</v>
      </c>
    </row>
    <row r="9418">
      <c r="A9418" s="535" t="n">
        <v>44720</v>
      </c>
      <c r="B9418" s="534" t="n">
        <v>8.08</v>
      </c>
      <c r="C9418" s="534" t="n">
        <v>22014.59</v>
      </c>
    </row>
    <row r="9419">
      <c r="A9419" s="535" t="n">
        <v>44721</v>
      </c>
      <c r="B9419" s="534" t="n">
        <v>7.92</v>
      </c>
      <c r="C9419" s="534" t="n">
        <v>21869.05</v>
      </c>
    </row>
    <row r="9420">
      <c r="A9420" s="535" t="n">
        <v>44722</v>
      </c>
      <c r="B9420" s="534" t="n">
        <v>7.93</v>
      </c>
      <c r="C9420" s="534" t="n">
        <v>21806.18</v>
      </c>
    </row>
    <row r="9421">
      <c r="A9421" s="535" t="n">
        <v>44725</v>
      </c>
      <c r="B9421" s="534" t="n">
        <v>7.78</v>
      </c>
      <c r="C9421" s="534" t="n">
        <v>21067.58</v>
      </c>
    </row>
    <row r="9422">
      <c r="A9422" s="535" t="n">
        <v>44726</v>
      </c>
      <c r="B9422" s="534" t="n">
        <v>7.77</v>
      </c>
      <c r="C9422" s="534" t="n">
        <v>21067.99</v>
      </c>
    </row>
    <row r="9423">
      <c r="A9423" s="535" t="n">
        <v>44727</v>
      </c>
      <c r="B9423" s="534" t="n">
        <v>7.71</v>
      </c>
      <c r="C9423" s="534" t="n">
        <v>21308.21</v>
      </c>
    </row>
    <row r="9424">
      <c r="A9424" s="535" t="n">
        <v>44728</v>
      </c>
      <c r="B9424" s="534" t="n">
        <v>7.65</v>
      </c>
      <c r="C9424" s="534" t="n">
        <v>20845.43</v>
      </c>
    </row>
    <row r="9425">
      <c r="A9425" s="535" t="n">
        <v>44729</v>
      </c>
      <c r="B9425" s="534" t="n">
        <v>7.54</v>
      </c>
      <c r="C9425" s="534" t="n">
        <v>21075</v>
      </c>
    </row>
    <row r="9426">
      <c r="A9426" s="535" t="n">
        <v>44732</v>
      </c>
      <c r="B9426" s="534" t="n">
        <v>7.65</v>
      </c>
      <c r="C9426" s="534" t="n">
        <v>21163.91</v>
      </c>
    </row>
    <row r="9427">
      <c r="A9427" s="535" t="n">
        <v>44733</v>
      </c>
      <c r="B9427" s="534" t="n">
        <v>7.67</v>
      </c>
      <c r="C9427" s="534" t="n">
        <v>21559.59</v>
      </c>
    </row>
    <row r="9428">
      <c r="A9428" s="535" t="n">
        <v>44734</v>
      </c>
      <c r="B9428" s="534" t="n">
        <v>7.61</v>
      </c>
      <c r="C9428" s="534" t="n">
        <v>21008.34</v>
      </c>
    </row>
    <row r="9429">
      <c r="A9429" s="535" t="n">
        <v>44735</v>
      </c>
      <c r="B9429" s="534" t="n">
        <v>7.74</v>
      </c>
      <c r="C9429" s="534" t="n">
        <v>21273.87</v>
      </c>
    </row>
    <row r="9430">
      <c r="A9430" s="535" t="n">
        <v>44736</v>
      </c>
      <c r="B9430" s="534" t="n">
        <v>7.75</v>
      </c>
      <c r="C9430" s="534" t="n">
        <v>21719.06</v>
      </c>
    </row>
    <row r="9431">
      <c r="A9431" s="535" t="n">
        <v>44739</v>
      </c>
      <c r="B9431" s="534" t="n">
        <v>8.08</v>
      </c>
      <c r="C9431" s="534" t="n">
        <v>22229.52</v>
      </c>
    </row>
    <row r="9432">
      <c r="A9432" s="535" t="n">
        <v>44740</v>
      </c>
      <c r="B9432" s="534" t="n">
        <v>8.6</v>
      </c>
      <c r="C9432" s="534" t="n">
        <v>22418.97</v>
      </c>
    </row>
    <row r="9433">
      <c r="A9433" s="535" t="n">
        <v>44741</v>
      </c>
      <c r="B9433" s="534" t="n">
        <v>8.59</v>
      </c>
      <c r="C9433" s="534" t="n">
        <v>21996.89</v>
      </c>
    </row>
    <row r="9434">
      <c r="A9434" s="535" t="n">
        <v>44742</v>
      </c>
      <c r="B9434" s="534" t="n">
        <v>8.59</v>
      </c>
      <c r="C9434" s="534" t="n">
        <v>21859.79</v>
      </c>
    </row>
    <row r="9435">
      <c r="A9435" s="535" t="n">
        <v>44743</v>
      </c>
      <c r="B9435" s="534" t="n">
        <v>8.59</v>
      </c>
      <c r="C9435" s="534" t="n">
        <v>21859.79</v>
      </c>
    </row>
    <row r="9436">
      <c r="A9436" s="535" t="n">
        <v>44746</v>
      </c>
      <c r="B9436" s="534" t="n">
        <v>8.58</v>
      </c>
      <c r="C9436" s="534" t="n">
        <v>21830.35</v>
      </c>
    </row>
    <row r="9437">
      <c r="A9437" s="535" t="n">
        <v>44747</v>
      </c>
      <c r="B9437" s="534" t="n">
        <v>8.56</v>
      </c>
      <c r="C9437" s="534" t="n">
        <v>21853.07</v>
      </c>
    </row>
    <row r="9438">
      <c r="A9438" s="535" t="n">
        <v>44748</v>
      </c>
      <c r="B9438" s="534" t="n">
        <v>8.289999999999999</v>
      </c>
      <c r="C9438" s="534" t="n">
        <v>21586.66</v>
      </c>
    </row>
    <row r="9439">
      <c r="A9439" s="535" t="n">
        <v>44749</v>
      </c>
      <c r="B9439" s="534" t="n">
        <v>8.550000000000001</v>
      </c>
      <c r="C9439" s="534" t="n">
        <v>21643.58</v>
      </c>
    </row>
    <row r="9440">
      <c r="A9440" s="535" t="n">
        <v>44750</v>
      </c>
      <c r="B9440" s="534" t="n">
        <v>8.529999999999999</v>
      </c>
      <c r="C9440" s="534" t="n">
        <v>21725.78</v>
      </c>
    </row>
    <row r="9441">
      <c r="A9441" s="535" t="n">
        <v>44753</v>
      </c>
      <c r="B9441" s="534" t="n">
        <v>8.4</v>
      </c>
      <c r="C9441" s="534" t="n">
        <v>21124.2</v>
      </c>
    </row>
    <row r="9442">
      <c r="A9442" s="535" t="n">
        <v>44754</v>
      </c>
      <c r="B9442" s="534" t="n">
        <v>8.42</v>
      </c>
      <c r="C9442" s="534" t="n">
        <v>20844.74</v>
      </c>
    </row>
    <row r="9443">
      <c r="A9443" s="535" t="n">
        <v>44755</v>
      </c>
      <c r="B9443" s="534" t="n">
        <v>8.470000000000001</v>
      </c>
      <c r="C9443" s="534" t="n">
        <v>20797.95</v>
      </c>
    </row>
    <row r="9444">
      <c r="A9444" s="535" t="n">
        <v>44756</v>
      </c>
      <c r="B9444" s="534" t="n">
        <v>8.5</v>
      </c>
      <c r="C9444" s="534" t="n">
        <v>20751.21</v>
      </c>
    </row>
    <row r="9445">
      <c r="A9445" s="535" t="n">
        <v>44757</v>
      </c>
      <c r="B9445" s="534" t="n">
        <v>8.279999999999999</v>
      </c>
      <c r="C9445" s="534" t="n">
        <v>20297.72</v>
      </c>
    </row>
    <row r="9446">
      <c r="A9446" s="535" t="n">
        <v>44760</v>
      </c>
      <c r="B9446" s="534" t="n">
        <v>8.48</v>
      </c>
      <c r="C9446" s="534" t="n">
        <v>20846.18</v>
      </c>
    </row>
    <row r="9447">
      <c r="A9447" s="535" t="n">
        <v>44761</v>
      </c>
      <c r="B9447" s="534" t="n">
        <v>8.460000000000001</v>
      </c>
      <c r="C9447" s="534" t="n">
        <v>20661.06</v>
      </c>
    </row>
    <row r="9448">
      <c r="A9448" s="535" t="n">
        <v>44762</v>
      </c>
      <c r="B9448" s="534" t="n">
        <v>8.31</v>
      </c>
      <c r="C9448" s="534" t="n">
        <v>20890.22</v>
      </c>
    </row>
    <row r="9449">
      <c r="A9449" s="535" t="n">
        <v>44763</v>
      </c>
      <c r="B9449" s="534" t="n">
        <v>8.279999999999999</v>
      </c>
      <c r="C9449" s="534" t="n">
        <v>20574.63</v>
      </c>
    </row>
    <row r="9450">
      <c r="A9450" s="535" t="n">
        <v>44764</v>
      </c>
      <c r="B9450" s="534" t="n">
        <v>8.279999999999999</v>
      </c>
      <c r="C9450" s="534" t="n">
        <v>20609.14</v>
      </c>
    </row>
    <row r="9451">
      <c r="A9451" s="535" t="n">
        <v>44767</v>
      </c>
      <c r="B9451" s="534" t="n">
        <v>8.25</v>
      </c>
      <c r="C9451" s="534" t="n">
        <v>20562.94</v>
      </c>
    </row>
    <row r="9452">
      <c r="A9452" s="535" t="n">
        <v>44768</v>
      </c>
      <c r="B9452" s="534" t="n">
        <v>8.220000000000001</v>
      </c>
      <c r="C9452" s="534" t="n">
        <v>20905.88</v>
      </c>
    </row>
    <row r="9453">
      <c r="A9453" s="535" t="n">
        <v>44769</v>
      </c>
      <c r="B9453" s="534" t="n">
        <v>8.18</v>
      </c>
      <c r="C9453" s="534" t="n">
        <v>20670.04</v>
      </c>
    </row>
    <row r="9454">
      <c r="A9454" s="535" t="n">
        <v>44770</v>
      </c>
      <c r="B9454" s="534" t="n">
        <v>8.140000000000001</v>
      </c>
      <c r="C9454" s="534" t="n">
        <v>20622.68</v>
      </c>
    </row>
    <row r="9455">
      <c r="A9455" s="535" t="n">
        <v>44771</v>
      </c>
      <c r="B9455" s="534" t="n">
        <v>8.119999999999999</v>
      </c>
      <c r="C9455" s="534" t="n">
        <v>20156.51</v>
      </c>
    </row>
    <row r="9456">
      <c r="A9456" s="535" t="n">
        <v>44774</v>
      </c>
      <c r="B9456" s="534" t="n">
        <v>8.27</v>
      </c>
      <c r="C9456" s="534" t="n">
        <v>20165.84</v>
      </c>
    </row>
    <row r="9457">
      <c r="A9457" s="535" t="n">
        <v>44775</v>
      </c>
      <c r="B9457" s="534" t="n">
        <v>8.19</v>
      </c>
      <c r="C9457" s="534" t="n">
        <v>19689.21</v>
      </c>
    </row>
    <row r="9458">
      <c r="A9458" s="535" t="n">
        <v>44776</v>
      </c>
      <c r="B9458" s="534" t="n">
        <v>8.31</v>
      </c>
      <c r="C9458" s="534" t="n">
        <v>19767.09</v>
      </c>
    </row>
    <row r="9459">
      <c r="A9459" s="535" t="n">
        <v>44777</v>
      </c>
      <c r="B9459" s="534" t="n">
        <v>8.470000000000001</v>
      </c>
      <c r="C9459" s="534" t="n">
        <v>20174.04</v>
      </c>
    </row>
    <row r="9460">
      <c r="A9460" s="535" t="n">
        <v>44778</v>
      </c>
      <c r="B9460" s="534" t="n">
        <v>8.470000000000001</v>
      </c>
      <c r="C9460" s="534" t="n">
        <v>20201.94</v>
      </c>
    </row>
    <row r="9461">
      <c r="A9461" s="535" t="n">
        <v>44781</v>
      </c>
      <c r="B9461" s="534" t="n">
        <v>8.59</v>
      </c>
      <c r="C9461" s="534" t="n">
        <v>20045.77</v>
      </c>
    </row>
    <row r="9462">
      <c r="A9462" s="535" t="n">
        <v>44782</v>
      </c>
      <c r="B9462" s="534" t="n">
        <v>8.52</v>
      </c>
      <c r="C9462" s="534" t="n">
        <v>20003.44</v>
      </c>
    </row>
    <row r="9463">
      <c r="A9463" s="535" t="n">
        <v>44783</v>
      </c>
      <c r="B9463" s="534" t="n">
        <v>8.6</v>
      </c>
      <c r="C9463" s="534" t="n">
        <v>19610.84</v>
      </c>
    </row>
    <row r="9464">
      <c r="A9464" s="535" t="n">
        <v>44784</v>
      </c>
      <c r="B9464" s="534" t="n">
        <v>8.779999999999999</v>
      </c>
      <c r="C9464" s="534" t="n">
        <v>20082.43</v>
      </c>
    </row>
    <row r="9465">
      <c r="A9465" s="535" t="n">
        <v>44785</v>
      </c>
      <c r="B9465" s="534" t="n">
        <v>8.460000000000001</v>
      </c>
      <c r="C9465" s="534" t="n">
        <v>20175.62</v>
      </c>
    </row>
    <row r="9466">
      <c r="A9466" s="535" t="n">
        <v>44788</v>
      </c>
      <c r="B9466" s="534" t="n">
        <v>8.529999999999999</v>
      </c>
      <c r="C9466" s="534" t="n">
        <v>20040.86</v>
      </c>
    </row>
    <row r="9467">
      <c r="A9467" s="535" t="n">
        <v>44789</v>
      </c>
      <c r="B9467" s="534" t="n">
        <v>8.76</v>
      </c>
      <c r="C9467" s="534" t="n">
        <v>19830.52</v>
      </c>
    </row>
    <row r="9468">
      <c r="A9468" s="535" t="n">
        <v>44790</v>
      </c>
      <c r="B9468" s="534" t="n">
        <v>8.789999999999999</v>
      </c>
      <c r="C9468" s="534" t="n">
        <v>19922.45</v>
      </c>
    </row>
    <row r="9469">
      <c r="A9469" s="535" t="n">
        <v>44791</v>
      </c>
      <c r="B9469" s="534" t="n">
        <v>8.65</v>
      </c>
      <c r="C9469" s="534" t="n">
        <v>19763.91</v>
      </c>
    </row>
    <row r="9470">
      <c r="A9470" s="535" t="n">
        <v>44792</v>
      </c>
      <c r="B9470" s="534" t="n">
        <v>8.66</v>
      </c>
      <c r="C9470" s="534" t="n">
        <v>19773.03</v>
      </c>
    </row>
    <row r="9471">
      <c r="A9471" s="535" t="n">
        <v>44795</v>
      </c>
      <c r="B9471" s="534" t="n">
        <v>8.52</v>
      </c>
      <c r="C9471" s="534" t="n">
        <v>19656.98</v>
      </c>
    </row>
    <row r="9472">
      <c r="A9472" s="535" t="n">
        <v>44796</v>
      </c>
      <c r="B9472" s="534" t="n">
        <v>8.4</v>
      </c>
      <c r="C9472" s="534" t="n">
        <v>19503.25</v>
      </c>
    </row>
    <row r="9473">
      <c r="A9473" s="535" t="n">
        <v>44797</v>
      </c>
      <c r="B9473" s="534" t="n">
        <v>8.470000000000001</v>
      </c>
      <c r="C9473" s="534" t="n">
        <v>19268.74</v>
      </c>
    </row>
    <row r="9474">
      <c r="A9474" s="535" t="n">
        <v>44798</v>
      </c>
      <c r="B9474" s="534" t="n">
        <v>8.470000000000001</v>
      </c>
      <c r="C9474" s="534" t="n">
        <v>19968.38</v>
      </c>
    </row>
    <row r="9475">
      <c r="A9475" s="535" t="n">
        <v>44799</v>
      </c>
      <c r="B9475" s="534" t="n">
        <v>8.32</v>
      </c>
      <c r="C9475" s="534" t="n">
        <v>20170.04</v>
      </c>
    </row>
    <row r="9476">
      <c r="A9476" s="535" t="n">
        <v>44802</v>
      </c>
      <c r="B9476" s="534" t="n">
        <v>8.23</v>
      </c>
      <c r="C9476" s="534" t="n">
        <v>20023.22</v>
      </c>
    </row>
    <row r="9477">
      <c r="A9477" s="535" t="n">
        <v>44803</v>
      </c>
      <c r="B9477" s="534" t="n">
        <v>8.19</v>
      </c>
      <c r="C9477" s="534" t="n">
        <v>19949.03</v>
      </c>
    </row>
    <row r="9478">
      <c r="A9478" s="535" t="n">
        <v>44804</v>
      </c>
      <c r="B9478" s="534" t="n">
        <v>8.16</v>
      </c>
      <c r="C9478" s="534" t="n">
        <v>19954.39</v>
      </c>
    </row>
    <row r="9479">
      <c r="A9479" s="535" t="n">
        <v>44805</v>
      </c>
      <c r="B9479" s="534" t="n">
        <v>8.15</v>
      </c>
      <c r="C9479" s="534" t="n">
        <v>19597.31</v>
      </c>
    </row>
    <row r="9480">
      <c r="A9480" s="535" t="n">
        <v>44806</v>
      </c>
      <c r="B9480" s="534" t="n">
        <v>8.279999999999999</v>
      </c>
      <c r="C9480" s="534" t="n">
        <v>19452.09</v>
      </c>
    </row>
    <row r="9481">
      <c r="A9481" s="535" t="n">
        <v>44809</v>
      </c>
      <c r="B9481" s="534" t="n">
        <v>8.24</v>
      </c>
      <c r="C9481" s="534" t="n">
        <v>19225.7</v>
      </c>
    </row>
    <row r="9482">
      <c r="A9482" s="535" t="n">
        <v>44810</v>
      </c>
      <c r="B9482" s="534" t="n">
        <v>8.26</v>
      </c>
      <c r="C9482" s="534" t="n">
        <v>19202.73</v>
      </c>
    </row>
    <row r="9483">
      <c r="A9483" s="535" t="n">
        <v>44811</v>
      </c>
      <c r="B9483" s="534" t="n">
        <v>8.199999999999999</v>
      </c>
      <c r="C9483" s="534" t="n">
        <v>19044.3</v>
      </c>
    </row>
    <row r="9484">
      <c r="A9484" s="535" t="n">
        <v>44812</v>
      </c>
      <c r="B9484" s="534" t="n">
        <v>8.279999999999999</v>
      </c>
      <c r="C9484" s="534" t="n">
        <v>18854.62</v>
      </c>
    </row>
    <row r="9485">
      <c r="A9485" s="535" t="n">
        <v>44813</v>
      </c>
      <c r="B9485" s="534" t="n">
        <v>8.359999999999999</v>
      </c>
      <c r="C9485" s="534" t="n">
        <v>19362.25</v>
      </c>
    </row>
    <row r="9486">
      <c r="A9486" s="535" t="n">
        <v>44816</v>
      </c>
      <c r="B9486" s="534" t="n">
        <v>8.359999999999999</v>
      </c>
      <c r="C9486" s="534" t="n">
        <v>19362.25</v>
      </c>
    </row>
    <row r="9487">
      <c r="A9487" s="535" t="n">
        <v>44817</v>
      </c>
      <c r="B9487" s="534" t="n">
        <v>8.52</v>
      </c>
      <c r="C9487" s="534" t="n">
        <v>19326.86</v>
      </c>
    </row>
    <row r="9488">
      <c r="A9488" s="535" t="n">
        <v>44818</v>
      </c>
      <c r="B9488" s="534" t="n">
        <v>8.59</v>
      </c>
      <c r="C9488" s="534" t="n">
        <v>18847.1</v>
      </c>
    </row>
    <row r="9489">
      <c r="A9489" s="535" t="n">
        <v>44819</v>
      </c>
      <c r="B9489" s="534" t="n">
        <v>8.51</v>
      </c>
      <c r="C9489" s="534" t="n">
        <v>18930.38</v>
      </c>
    </row>
    <row r="9490">
      <c r="A9490" s="535" t="n">
        <v>44820</v>
      </c>
      <c r="B9490" s="534" t="n">
        <v>8.550000000000001</v>
      </c>
      <c r="C9490" s="534" t="n">
        <v>18761.69</v>
      </c>
    </row>
    <row r="9491">
      <c r="A9491" s="535" t="n">
        <v>44823</v>
      </c>
      <c r="B9491" s="534" t="n">
        <v>8.640000000000001</v>
      </c>
      <c r="C9491" s="534" t="n">
        <v>18565.97</v>
      </c>
    </row>
    <row r="9492">
      <c r="A9492" s="535" t="n">
        <v>44824</v>
      </c>
      <c r="B9492" s="534" t="n">
        <v>8.83</v>
      </c>
      <c r="C9492" s="534" t="n">
        <v>18781.42</v>
      </c>
    </row>
    <row r="9493">
      <c r="A9493" s="535" t="n">
        <v>44825</v>
      </c>
      <c r="B9493" s="534" t="n">
        <v>8.94</v>
      </c>
      <c r="C9493" s="534" t="n">
        <v>18444.62</v>
      </c>
    </row>
    <row r="9494">
      <c r="A9494" s="535" t="n">
        <v>44826</v>
      </c>
      <c r="B9494" s="534" t="n">
        <v>8.83</v>
      </c>
      <c r="C9494" s="534" t="n">
        <v>18147.95</v>
      </c>
    </row>
    <row r="9495">
      <c r="A9495" s="535" t="n">
        <v>44827</v>
      </c>
      <c r="B9495" s="534" t="n">
        <v>8.92</v>
      </c>
      <c r="C9495" s="534" t="n">
        <v>17933.27</v>
      </c>
    </row>
    <row r="9496">
      <c r="A9496" s="535" t="n">
        <v>44830</v>
      </c>
      <c r="B9496" s="534" t="n">
        <v>8.720000000000001</v>
      </c>
      <c r="C9496" s="534" t="n">
        <v>17855.14</v>
      </c>
    </row>
    <row r="9497">
      <c r="A9497" s="535" t="n">
        <v>44831</v>
      </c>
      <c r="B9497" s="534" t="n">
        <v>8.949999999999999</v>
      </c>
      <c r="C9497" s="534" t="n">
        <v>17860.31</v>
      </c>
    </row>
    <row r="9498">
      <c r="A9498" s="535" t="n">
        <v>44832</v>
      </c>
      <c r="B9498" s="534" t="n">
        <v>8.48</v>
      </c>
      <c r="C9498" s="534" t="n">
        <v>17250.88</v>
      </c>
    </row>
    <row r="9499">
      <c r="A9499" s="535" t="n">
        <v>44833</v>
      </c>
      <c r="B9499" s="534" t="n">
        <v>8.34</v>
      </c>
      <c r="C9499" s="534" t="n">
        <v>17165.87</v>
      </c>
    </row>
    <row r="9500">
      <c r="A9500" s="535" t="n">
        <v>44834</v>
      </c>
      <c r="B9500" s="534" t="n">
        <v>8.279999999999999</v>
      </c>
      <c r="C9500" s="534" t="n">
        <v>17222.83</v>
      </c>
    </row>
    <row r="9501">
      <c r="A9501" s="535" t="n">
        <v>44837</v>
      </c>
      <c r="B9501" s="534" t="n">
        <v>8.220000000000001</v>
      </c>
      <c r="C9501" s="534" t="n">
        <v>17079.51</v>
      </c>
    </row>
    <row r="9502">
      <c r="A9502" s="535" t="n">
        <v>44838</v>
      </c>
      <c r="B9502" s="534" t="n">
        <v>8.220000000000001</v>
      </c>
      <c r="C9502" s="534" t="n">
        <v>17079.51</v>
      </c>
    </row>
    <row r="9503">
      <c r="A9503" s="535" t="n">
        <v>44839</v>
      </c>
      <c r="B9503" s="534" t="n">
        <v>8.34</v>
      </c>
      <c r="C9503" s="534" t="n">
        <v>18087.97</v>
      </c>
    </row>
    <row r="9504">
      <c r="A9504" s="535" t="n">
        <v>44840</v>
      </c>
      <c r="B9504" s="534" t="n">
        <v>8.630000000000001</v>
      </c>
      <c r="C9504" s="534" t="n">
        <v>18012.15</v>
      </c>
    </row>
    <row r="9505">
      <c r="A9505" s="535" t="n">
        <v>44841</v>
      </c>
      <c r="B9505" s="534" t="n">
        <v>8.6</v>
      </c>
      <c r="C9505" s="534" t="n">
        <v>17740.05</v>
      </c>
    </row>
    <row r="9506">
      <c r="A9506" s="535" t="n">
        <v>44844</v>
      </c>
      <c r="B9506" s="534" t="n">
        <v>8.35</v>
      </c>
      <c r="C9506" s="534" t="n">
        <v>17216.66</v>
      </c>
    </row>
    <row r="9507">
      <c r="A9507" s="535" t="n">
        <v>44845</v>
      </c>
      <c r="B9507" s="534" t="n">
        <v>8.16</v>
      </c>
      <c r="C9507" s="534" t="n">
        <v>16832.36</v>
      </c>
    </row>
    <row r="9508">
      <c r="A9508" s="535" t="n">
        <v>44846</v>
      </c>
      <c r="B9508" s="534" t="n">
        <v>8.050000000000001</v>
      </c>
      <c r="C9508" s="534" t="n">
        <v>16701.03</v>
      </c>
    </row>
    <row r="9509">
      <c r="A9509" s="535" t="n">
        <v>44847</v>
      </c>
      <c r="B9509" s="534" t="n">
        <v>7.79</v>
      </c>
      <c r="C9509" s="534" t="n">
        <v>16389.11</v>
      </c>
    </row>
    <row r="9510">
      <c r="A9510" s="535" t="n">
        <v>44848</v>
      </c>
      <c r="B9510" s="534" t="n">
        <v>7.66</v>
      </c>
      <c r="C9510" s="534" t="n">
        <v>16587.69</v>
      </c>
    </row>
    <row r="9511">
      <c r="A9511" s="535" t="n">
        <v>44851</v>
      </c>
      <c r="B9511" s="534" t="n">
        <v>7.66</v>
      </c>
      <c r="C9511" s="534" t="n">
        <v>16612.9</v>
      </c>
    </row>
    <row r="9512">
      <c r="A9512" s="535" t="n">
        <v>44852</v>
      </c>
      <c r="B9512" s="534" t="n">
        <v>7.67</v>
      </c>
      <c r="C9512" s="534" t="n">
        <v>16914.58</v>
      </c>
    </row>
    <row r="9513">
      <c r="A9513" s="535" t="n">
        <v>44853</v>
      </c>
      <c r="B9513" s="534" t="n">
        <v>7.58</v>
      </c>
      <c r="C9513" s="534" t="n">
        <v>16511.28</v>
      </c>
    </row>
    <row r="9514">
      <c r="A9514" s="535" t="n">
        <v>44854</v>
      </c>
      <c r="B9514" s="534" t="n">
        <v>7.45</v>
      </c>
      <c r="C9514" s="534" t="n">
        <v>16280.22</v>
      </c>
    </row>
    <row r="9515">
      <c r="A9515" s="535" t="n">
        <v>44855</v>
      </c>
      <c r="B9515" s="534" t="n">
        <v>7.63</v>
      </c>
      <c r="C9515" s="534" t="n">
        <v>16211.12</v>
      </c>
    </row>
    <row r="9516">
      <c r="A9516" s="535" t="n">
        <v>44858</v>
      </c>
      <c r="B9516" s="534" t="n">
        <v>7.24</v>
      </c>
      <c r="C9516" s="534" t="n">
        <v>15180.69</v>
      </c>
    </row>
    <row r="9517">
      <c r="A9517" s="535" t="n">
        <v>44859</v>
      </c>
      <c r="B9517" s="534" t="n">
        <v>7.4</v>
      </c>
      <c r="C9517" s="534" t="n">
        <v>15165.59</v>
      </c>
    </row>
    <row r="9518">
      <c r="A9518" s="535" t="n">
        <v>44860</v>
      </c>
      <c r="B9518" s="534" t="n">
        <v>7.52</v>
      </c>
      <c r="C9518" s="534" t="n">
        <v>15317.67</v>
      </c>
    </row>
    <row r="9519">
      <c r="A9519" s="535" t="n">
        <v>44861</v>
      </c>
      <c r="B9519" s="534" t="n">
        <v>7.45</v>
      </c>
      <c r="C9519" s="534" t="n">
        <v>15427.94</v>
      </c>
    </row>
    <row r="9520">
      <c r="A9520" s="535" t="n">
        <v>44862</v>
      </c>
      <c r="B9520" s="534" t="n">
        <v>7.32</v>
      </c>
      <c r="C9520" s="534" t="n">
        <v>14863.06</v>
      </c>
    </row>
    <row r="9521">
      <c r="A9521" s="535" t="n">
        <v>44865</v>
      </c>
      <c r="B9521" s="534" t="n">
        <v>7.12</v>
      </c>
      <c r="C9521" s="534" t="n">
        <v>14687.02</v>
      </c>
    </row>
    <row r="9522">
      <c r="A9522" s="535" t="n">
        <v>44866</v>
      </c>
      <c r="B9522" s="534" t="n">
        <v>7.37</v>
      </c>
      <c r="C9522" s="534" t="n">
        <v>15455.27</v>
      </c>
    </row>
    <row r="9523">
      <c r="A9523" s="535" t="n">
        <v>44867</v>
      </c>
      <c r="B9523" s="534" t="n">
        <v>7.54</v>
      </c>
      <c r="C9523" s="534" t="n">
        <v>15827.17</v>
      </c>
    </row>
    <row r="9524">
      <c r="A9524" s="535" t="n">
        <v>44868</v>
      </c>
      <c r="B9524" s="534" t="n">
        <v>7.45</v>
      </c>
      <c r="C9524" s="534" t="n">
        <v>15339.49</v>
      </c>
    </row>
    <row r="9525">
      <c r="A9525" s="535" t="n">
        <v>44869</v>
      </c>
      <c r="B9525" s="534" t="n">
        <v>7.75</v>
      </c>
      <c r="C9525" s="534" t="n">
        <v>16161.14</v>
      </c>
    </row>
    <row r="9526">
      <c r="A9526" s="535" t="n">
        <v>44872</v>
      </c>
      <c r="B9526" s="534" t="n">
        <v>7.74</v>
      </c>
      <c r="C9526" s="534" t="n">
        <v>16595.91</v>
      </c>
    </row>
    <row r="9527">
      <c r="A9527" s="535" t="n">
        <v>44873</v>
      </c>
      <c r="B9527" s="534" t="n">
        <v>7.73</v>
      </c>
      <c r="C9527" s="534" t="n">
        <v>16557.31</v>
      </c>
    </row>
    <row r="9528">
      <c r="A9528" s="535" t="n">
        <v>44874</v>
      </c>
      <c r="B9528" s="534" t="n">
        <v>7.69</v>
      </c>
      <c r="C9528" s="534" t="n">
        <v>16358.52</v>
      </c>
    </row>
    <row r="9529">
      <c r="A9529" s="535" t="n">
        <v>44875</v>
      </c>
      <c r="B9529" s="534" t="n">
        <v>7.68</v>
      </c>
      <c r="C9529" s="534" t="n">
        <v>16081.04</v>
      </c>
    </row>
    <row r="9530">
      <c r="A9530" s="535" t="n">
        <v>44876</v>
      </c>
      <c r="B9530" s="534" t="n">
        <v>7.86</v>
      </c>
      <c r="C9530" s="534" t="n">
        <v>17325.66</v>
      </c>
    </row>
    <row r="9531">
      <c r="A9531" s="535" t="n">
        <v>44879</v>
      </c>
      <c r="B9531" s="534" t="n">
        <v>7.53</v>
      </c>
      <c r="C9531" s="534" t="n">
        <v>17619.71</v>
      </c>
    </row>
    <row r="9532">
      <c r="A9532" s="535" t="n">
        <v>44880</v>
      </c>
      <c r="B9532" s="534" t="n">
        <v>7.67</v>
      </c>
      <c r="C9532" s="534" t="n">
        <v>18343.12</v>
      </c>
    </row>
    <row r="9533">
      <c r="A9533" s="535" t="n">
        <v>44881</v>
      </c>
      <c r="B9533" s="534" t="n">
        <v>7.62</v>
      </c>
      <c r="C9533" s="534" t="n">
        <v>18256.48</v>
      </c>
    </row>
    <row r="9534">
      <c r="A9534" s="535" t="n">
        <v>44882</v>
      </c>
      <c r="B9534" s="534" t="n">
        <v>7.57</v>
      </c>
      <c r="C9534" s="534" t="n">
        <v>18045.66</v>
      </c>
    </row>
    <row r="9535">
      <c r="A9535" s="535" t="n">
        <v>44883</v>
      </c>
      <c r="B9535" s="534" t="n">
        <v>7.48</v>
      </c>
      <c r="C9535" s="534" t="n">
        <v>17992.54</v>
      </c>
    </row>
    <row r="9536">
      <c r="A9536" s="535" t="n">
        <v>44886</v>
      </c>
      <c r="B9536" s="534" t="n">
        <v>7.33</v>
      </c>
      <c r="C9536" s="534" t="n">
        <v>17655.91</v>
      </c>
    </row>
    <row r="9537">
      <c r="A9537" s="535" t="n">
        <v>44887</v>
      </c>
      <c r="B9537" s="534" t="n">
        <v>7.31</v>
      </c>
      <c r="C9537" s="534" t="n">
        <v>17424.41</v>
      </c>
    </row>
    <row r="9538">
      <c r="A9538" s="535" t="n">
        <v>44888</v>
      </c>
      <c r="B9538" s="534" t="n">
        <v>7.44</v>
      </c>
      <c r="C9538" s="534" t="n">
        <v>17523.81</v>
      </c>
    </row>
    <row r="9539">
      <c r="A9539" s="535" t="n">
        <v>44889</v>
      </c>
      <c r="B9539" s="534" t="n">
        <v>7.4</v>
      </c>
      <c r="C9539" s="534" t="n">
        <v>17660.9</v>
      </c>
    </row>
    <row r="9540">
      <c r="A9540" s="535" t="n">
        <v>44890</v>
      </c>
      <c r="B9540" s="534" t="n">
        <v>7.35</v>
      </c>
      <c r="C9540" s="534" t="n">
        <v>17573.58</v>
      </c>
    </row>
    <row r="9541">
      <c r="A9541" s="535" t="n">
        <v>44893</v>
      </c>
      <c r="B9541" s="534" t="n">
        <v>7.76</v>
      </c>
      <c r="C9541" s="534" t="n">
        <v>17297.94</v>
      </c>
    </row>
    <row r="9542">
      <c r="A9542" s="535" t="n">
        <v>44894</v>
      </c>
      <c r="B9542" s="534" t="n">
        <v>7.99</v>
      </c>
      <c r="C9542" s="534" t="n">
        <v>18204.68</v>
      </c>
    </row>
    <row r="9543">
      <c r="A9543" s="535" t="n">
        <v>44895</v>
      </c>
      <c r="B9543" s="534" t="n">
        <v>8.06</v>
      </c>
      <c r="C9543" s="534" t="n">
        <v>18597.23</v>
      </c>
    </row>
    <row r="9544">
      <c r="A9544" s="535" t="n">
        <v>44896</v>
      </c>
      <c r="B9544" s="534" t="n">
        <v>7.91</v>
      </c>
      <c r="C9544" s="534" t="n">
        <v>18736.44</v>
      </c>
    </row>
    <row r="9545">
      <c r="A9545" s="535" t="n">
        <v>44897</v>
      </c>
      <c r="B9545" s="534" t="n">
        <v>7.77</v>
      </c>
      <c r="C9545" s="534" t="n">
        <v>18675.35</v>
      </c>
    </row>
    <row r="9546">
      <c r="A9546" s="535" t="n">
        <v>44900</v>
      </c>
      <c r="B9546" s="534" t="n">
        <v>8.07</v>
      </c>
      <c r="C9546" s="534" t="n">
        <v>19518.29</v>
      </c>
    </row>
    <row r="9547">
      <c r="A9547" s="535" t="n">
        <v>44901</v>
      </c>
      <c r="B9547" s="534" t="n">
        <v>8.15</v>
      </c>
      <c r="C9547" s="534" t="n">
        <v>19441.18</v>
      </c>
    </row>
    <row r="9548">
      <c r="A9548" s="535" t="n">
        <v>44902</v>
      </c>
      <c r="B9548" s="534" t="n">
        <v>8.17</v>
      </c>
      <c r="C9548" s="534" t="n">
        <v>18814.82</v>
      </c>
    </row>
    <row r="9549">
      <c r="A9549" s="535" t="n">
        <v>44903</v>
      </c>
      <c r="B9549" s="534" t="n">
        <v>8.5</v>
      </c>
      <c r="C9549" s="534" t="n">
        <v>19450.23</v>
      </c>
    </row>
    <row r="9550">
      <c r="A9550" s="535" t="n">
        <v>44904</v>
      </c>
      <c r="B9550" s="534" t="n">
        <v>8.42</v>
      </c>
      <c r="C9550" s="534" t="n">
        <v>19900.87</v>
      </c>
    </row>
    <row r="9551">
      <c r="A9551" s="535" t="n">
        <v>44907</v>
      </c>
      <c r="B9551" s="534" t="n">
        <v>8.49</v>
      </c>
      <c r="C9551" s="534" t="n">
        <v>19463.63</v>
      </c>
    </row>
    <row r="9552">
      <c r="A9552" s="535" t="n">
        <v>44908</v>
      </c>
      <c r="B9552" s="534" t="n">
        <v>8.76</v>
      </c>
      <c r="C9552" s="534" t="n">
        <v>19596.2</v>
      </c>
    </row>
    <row r="9553">
      <c r="A9553" s="535" t="n">
        <v>44909</v>
      </c>
      <c r="B9553" s="534" t="n">
        <v>8.609999999999999</v>
      </c>
      <c r="C9553" s="534" t="n">
        <v>19673.45</v>
      </c>
    </row>
    <row r="9554">
      <c r="A9554" s="535" t="n">
        <v>44910</v>
      </c>
      <c r="B9554" s="534" t="n">
        <v>8.56</v>
      </c>
      <c r="C9554" s="534" t="n">
        <v>19368.59</v>
      </c>
    </row>
    <row r="9555">
      <c r="A9555" s="535" t="n">
        <v>44911</v>
      </c>
      <c r="B9555" s="534" t="n">
        <v>8.56</v>
      </c>
      <c r="C9555" s="534" t="n">
        <v>19450.67</v>
      </c>
    </row>
    <row r="9556">
      <c r="A9556" s="535" t="n">
        <v>44914</v>
      </c>
      <c r="B9556" s="534" t="n">
        <v>8.42</v>
      </c>
      <c r="C9556" s="534" t="n">
        <v>19352.81</v>
      </c>
    </row>
    <row r="9557">
      <c r="A9557" s="535" t="n">
        <v>44915</v>
      </c>
      <c r="B9557" s="534" t="n">
        <v>8.4</v>
      </c>
      <c r="C9557" s="534" t="n">
        <v>19094.8</v>
      </c>
    </row>
    <row r="9558">
      <c r="A9558" s="535" t="n">
        <v>44916</v>
      </c>
      <c r="B9558" s="534" t="n">
        <v>8.44</v>
      </c>
      <c r="C9558" s="534" t="n">
        <v>19160.49</v>
      </c>
    </row>
    <row r="9559">
      <c r="A9559" s="535" t="n">
        <v>44917</v>
      </c>
      <c r="B9559" s="534" t="n">
        <v>8.550000000000001</v>
      </c>
      <c r="C9559" s="534" t="n">
        <v>19679.22</v>
      </c>
    </row>
    <row r="9560">
      <c r="A9560" s="535" t="n">
        <v>44918</v>
      </c>
      <c r="B9560" s="534" t="n">
        <v>8.720000000000001</v>
      </c>
      <c r="C9560" s="534" t="n">
        <v>19593.06</v>
      </c>
    </row>
    <row r="9561">
      <c r="A9561" s="535" t="n">
        <v>44921</v>
      </c>
      <c r="B9561" s="534" t="n">
        <v>8.720000000000001</v>
      </c>
      <c r="C9561" s="534" t="n">
        <v>19593.06</v>
      </c>
    </row>
    <row r="9562">
      <c r="A9562" s="535" t="n">
        <v>44922</v>
      </c>
      <c r="B9562" s="534" t="n">
        <v>8.720000000000001</v>
      </c>
      <c r="C9562" s="534" t="n">
        <v>19593.06</v>
      </c>
    </row>
    <row r="9563">
      <c r="A9563" s="535" t="n">
        <v>44923</v>
      </c>
      <c r="B9563" s="534" t="n">
        <v>8.699999999999999</v>
      </c>
      <c r="C9563" s="534" t="n">
        <v>19898.91</v>
      </c>
    </row>
    <row r="9564">
      <c r="A9564" s="535" t="n">
        <v>44924</v>
      </c>
      <c r="B9564" s="534" t="n">
        <v>8.58</v>
      </c>
      <c r="C9564" s="534" t="n">
        <v>19741.14</v>
      </c>
    </row>
    <row r="9565">
      <c r="A9565" s="535" t="n">
        <v>44925</v>
      </c>
      <c r="B9565" s="534" t="n">
        <v>8.52</v>
      </c>
      <c r="C9565" s="534" t="n">
        <v>19781.41</v>
      </c>
    </row>
    <row r="9566">
      <c r="A9566" s="535" t="n">
        <v>44928</v>
      </c>
      <c r="B9566" s="534" t="n">
        <v>8.52</v>
      </c>
      <c r="C9566" s="534" t="n">
        <v>19781.41</v>
      </c>
    </row>
    <row r="9567">
      <c r="A9567" s="535" t="n">
        <v>44929</v>
      </c>
      <c r="B9567" s="534" t="n">
        <v>8.42</v>
      </c>
      <c r="C9567" s="534" t="n">
        <v>20145.29</v>
      </c>
    </row>
    <row r="9568">
      <c r="A9568" s="535" t="n">
        <v>44930</v>
      </c>
      <c r="B9568" s="534" t="n">
        <v>8.35</v>
      </c>
      <c r="C9568" s="534" t="n">
        <v>20793.11</v>
      </c>
    </row>
    <row r="9569">
      <c r="A9569" s="535" t="n">
        <v>44931</v>
      </c>
      <c r="B9569" s="534" t="n">
        <v>8.51</v>
      </c>
      <c r="C9569" s="534" t="n">
        <v>21052.17</v>
      </c>
    </row>
    <row r="9570">
      <c r="A9570" s="535" t="n">
        <v>44932</v>
      </c>
      <c r="B9570" s="534" t="n">
        <v>8.279999999999999</v>
      </c>
      <c r="C9570" s="534" t="n">
        <v>20991.64</v>
      </c>
    </row>
    <row r="9571">
      <c r="A9571" s="535" t="n">
        <v>44935</v>
      </c>
      <c r="B9571" s="534" t="n">
        <v>8.42</v>
      </c>
      <c r="C9571" s="534" t="n">
        <v>21388.34</v>
      </c>
    </row>
    <row r="9572">
      <c r="A9572" s="535" t="n">
        <v>44936</v>
      </c>
      <c r="B9572" s="534" t="n">
        <v>8.34</v>
      </c>
      <c r="C9572" s="534" t="n">
        <v>21331.46</v>
      </c>
    </row>
    <row r="9573">
      <c r="A9573" s="535" t="n">
        <v>44937</v>
      </c>
      <c r="B9573" s="534" t="n">
        <v>8.279999999999999</v>
      </c>
      <c r="C9573" s="534" t="n">
        <v>21436.05</v>
      </c>
    </row>
    <row r="9574">
      <c r="A9574" s="535" t="n">
        <v>44938</v>
      </c>
      <c r="B9574" s="534" t="n">
        <v>8.25</v>
      </c>
      <c r="C9574" s="534" t="n">
        <v>21514.1</v>
      </c>
    </row>
    <row r="9575">
      <c r="A9575" s="535" t="n">
        <v>44939</v>
      </c>
      <c r="B9575" s="534" t="n">
        <v>8.369999999999999</v>
      </c>
      <c r="C9575" s="534" t="n">
        <v>21738.66</v>
      </c>
    </row>
    <row r="9576">
      <c r="A9576" s="535" t="n">
        <v>44942</v>
      </c>
      <c r="B9576" s="534" t="n">
        <v>8.550000000000001</v>
      </c>
      <c r="C9576" s="534" t="n">
        <v>21746.72</v>
      </c>
    </row>
    <row r="9577">
      <c r="A9577" s="535" t="n">
        <v>44943</v>
      </c>
      <c r="B9577" s="534" t="n">
        <v>8.42</v>
      </c>
      <c r="C9577" s="534" t="n">
        <v>21577.64</v>
      </c>
    </row>
    <row r="9578">
      <c r="A9578" s="535" t="n">
        <v>44944</v>
      </c>
      <c r="B9578" s="534" t="n">
        <v>8.5</v>
      </c>
      <c r="C9578" s="534" t="n">
        <v>21678</v>
      </c>
    </row>
    <row r="9579">
      <c r="A9579" s="535" t="n">
        <v>44945</v>
      </c>
      <c r="B9579" s="534" t="n">
        <v>8.34</v>
      </c>
      <c r="C9579" s="534" t="n">
        <v>21650.98</v>
      </c>
    </row>
    <row r="9580">
      <c r="A9580" s="535" t="n">
        <v>44946</v>
      </c>
      <c r="B9580" s="534" t="n">
        <v>8.380000000000001</v>
      </c>
      <c r="C9580" s="534" t="n">
        <v>22044.65</v>
      </c>
    </row>
    <row r="9581">
      <c r="A9581" s="535" t="n">
        <v>44949</v>
      </c>
      <c r="B9581" s="534" t="n">
        <v>8.380000000000001</v>
      </c>
      <c r="C9581" s="534" t="n">
        <v>22044.65</v>
      </c>
    </row>
    <row r="9582">
      <c r="A9582" s="535" t="n">
        <v>44950</v>
      </c>
      <c r="B9582" s="534" t="n">
        <v>8.380000000000001</v>
      </c>
      <c r="C9582" s="534" t="n">
        <v>22044.65</v>
      </c>
    </row>
    <row r="9583">
      <c r="A9583" s="535" t="n">
        <v>44951</v>
      </c>
      <c r="B9583" s="534" t="n">
        <v>8.380000000000001</v>
      </c>
      <c r="C9583" s="534" t="n">
        <v>22044.65</v>
      </c>
    </row>
    <row r="9584">
      <c r="A9584" s="535" t="n">
        <v>44952</v>
      </c>
      <c r="B9584" s="534" t="n">
        <v>8.279999999999999</v>
      </c>
      <c r="C9584" s="534" t="n">
        <v>22566.78</v>
      </c>
    </row>
    <row r="9585">
      <c r="A9585" s="535" t="n">
        <v>44953</v>
      </c>
      <c r="B9585" s="534" t="n">
        <v>8.109999999999999</v>
      </c>
      <c r="C9585" s="534" t="n">
        <v>22688.9</v>
      </c>
    </row>
    <row r="9586">
      <c r="A9586" s="535" t="n">
        <v>44956</v>
      </c>
      <c r="B9586" s="534" t="n">
        <v>8</v>
      </c>
      <c r="C9586" s="534" t="n">
        <v>22069.73</v>
      </c>
    </row>
    <row r="9587">
      <c r="A9587" s="535" t="n">
        <v>44957</v>
      </c>
      <c r="B9587" s="534" t="n">
        <v>7.8</v>
      </c>
      <c r="C9587" s="534" t="n">
        <v>21842.33</v>
      </c>
    </row>
    <row r="9588">
      <c r="A9588" s="535" t="n">
        <v>44958</v>
      </c>
      <c r="B9588" s="534" t="n">
        <v>7.92</v>
      </c>
      <c r="C9588" s="534" t="n">
        <v>22072.18</v>
      </c>
    </row>
    <row r="9589">
      <c r="A9589" s="535" t="n">
        <v>44959</v>
      </c>
      <c r="B9589" s="534" t="n">
        <v>7.81</v>
      </c>
      <c r="C9589" s="534" t="n">
        <v>21958.36</v>
      </c>
    </row>
    <row r="9590">
      <c r="A9590" s="535" t="n">
        <v>44960</v>
      </c>
      <c r="B9590" s="534" t="n">
        <v>7.87</v>
      </c>
      <c r="C9590" s="534" t="n">
        <v>21660.47</v>
      </c>
    </row>
    <row r="9591">
      <c r="A9591" s="535" t="n">
        <v>44963</v>
      </c>
      <c r="B9591" s="534" t="n">
        <v>7.82</v>
      </c>
      <c r="C9591" s="534" t="n">
        <v>21222.16</v>
      </c>
    </row>
    <row r="9592">
      <c r="A9592" s="535" t="n">
        <v>44964</v>
      </c>
      <c r="B9592" s="534" t="n">
        <v>7.78</v>
      </c>
      <c r="C9592" s="534" t="n">
        <v>21298.7</v>
      </c>
    </row>
    <row r="9593">
      <c r="A9593" s="535" t="n">
        <v>44965</v>
      </c>
      <c r="B9593" s="534" t="n">
        <v>7.84</v>
      </c>
      <c r="C9593" s="534" t="n">
        <v>21283.52</v>
      </c>
    </row>
    <row r="9594">
      <c r="A9594" s="535" t="n">
        <v>44966</v>
      </c>
      <c r="B9594" s="534" t="n">
        <v>7.8</v>
      </c>
      <c r="C9594" s="534" t="n">
        <v>21624.36</v>
      </c>
    </row>
    <row r="9595">
      <c r="A9595" s="535" t="n">
        <v>44967</v>
      </c>
      <c r="B9595" s="534" t="n">
        <v>7.72</v>
      </c>
      <c r="C9595" s="534" t="n">
        <v>21190.42</v>
      </c>
    </row>
    <row r="9596">
      <c r="A9596" s="535" t="n">
        <v>44970</v>
      </c>
      <c r="B9596" s="534" t="n">
        <v>7.77</v>
      </c>
      <c r="C9596" s="534" t="n">
        <v>21164.42</v>
      </c>
    </row>
    <row r="9597">
      <c r="A9597" s="535" t="n">
        <v>44971</v>
      </c>
      <c r="B9597" s="534" t="n">
        <v>7.74</v>
      </c>
      <c r="C9597" s="534" t="n">
        <v>21113.76</v>
      </c>
    </row>
    <row r="9598">
      <c r="A9598" s="535" t="n">
        <v>44972</v>
      </c>
      <c r="B9598" s="534" t="n">
        <v>7.7</v>
      </c>
      <c r="C9598" s="534" t="n">
        <v>20812.17</v>
      </c>
    </row>
    <row r="9599">
      <c r="A9599" s="535" t="n">
        <v>44973</v>
      </c>
      <c r="B9599" s="534" t="n">
        <v>7.75</v>
      </c>
      <c r="C9599" s="534" t="n">
        <v>20987.67</v>
      </c>
    </row>
    <row r="9600">
      <c r="A9600" s="535" t="n">
        <v>44974</v>
      </c>
      <c r="B9600" s="534" t="n">
        <v>7.69</v>
      </c>
      <c r="C9600" s="534" t="n">
        <v>20719.81</v>
      </c>
    </row>
    <row r="9601">
      <c r="A9601" s="535" t="n">
        <v>44977</v>
      </c>
      <c r="B9601" s="534" t="n">
        <v>7.68</v>
      </c>
      <c r="C9601" s="534" t="n">
        <v>20886.96</v>
      </c>
    </row>
    <row r="9602">
      <c r="A9602" s="535" t="n">
        <v>44978</v>
      </c>
      <c r="B9602" s="534" t="n">
        <v>7.64</v>
      </c>
      <c r="C9602" s="534" t="n">
        <v>20529.49</v>
      </c>
    </row>
    <row r="9603">
      <c r="A9603" s="535" t="n">
        <v>44979</v>
      </c>
      <c r="B9603" s="534" t="n">
        <v>7.62</v>
      </c>
      <c r="C9603" s="534" t="n">
        <v>20423.84</v>
      </c>
    </row>
    <row r="9604">
      <c r="A9604" s="535" t="n">
        <v>44980</v>
      </c>
      <c r="B9604" s="534" t="n">
        <v>7.58</v>
      </c>
      <c r="C9604" s="534" t="n">
        <v>20351.35</v>
      </c>
    </row>
    <row r="9605">
      <c r="A9605" s="535" t="n">
        <v>44981</v>
      </c>
      <c r="B9605" s="534" t="n">
        <v>7.67</v>
      </c>
      <c r="C9605" s="534" t="n">
        <v>20010.04</v>
      </c>
    </row>
    <row r="9606">
      <c r="A9606" s="535" t="n">
        <v>44984</v>
      </c>
      <c r="B9606" s="534" t="n">
        <v>7.58</v>
      </c>
      <c r="C9606" s="534" t="n">
        <v>19943.51</v>
      </c>
    </row>
    <row r="9607">
      <c r="A9607" s="535" t="n">
        <v>44985</v>
      </c>
      <c r="B9607" s="534" t="n">
        <v>7.72</v>
      </c>
      <c r="C9607" s="534" t="n">
        <v>19785.94</v>
      </c>
    </row>
    <row r="9608">
      <c r="A9608" s="535" t="n">
        <v>44986</v>
      </c>
      <c r="B9608" s="534" t="n">
        <v>7.78</v>
      </c>
      <c r="C9608" s="534" t="n">
        <v>20619.71</v>
      </c>
    </row>
    <row r="9609">
      <c r="A9609" s="535" t="n">
        <v>44987</v>
      </c>
      <c r="B9609" s="534" t="n">
        <v>7.88</v>
      </c>
      <c r="C9609" s="534" t="n">
        <v>20429.46</v>
      </c>
    </row>
    <row r="9610">
      <c r="A9610" s="535" t="n">
        <v>44988</v>
      </c>
      <c r="B9610" s="534" t="n">
        <v>7.95</v>
      </c>
      <c r="C9610" s="534" t="n">
        <v>20567.54</v>
      </c>
    </row>
    <row r="9611">
      <c r="A9611" s="535" t="n">
        <v>44991</v>
      </c>
      <c r="B9611" s="534" t="n">
        <v>7.89</v>
      </c>
      <c r="C9611" s="534" t="n">
        <v>20603.19</v>
      </c>
    </row>
    <row r="9612">
      <c r="A9612" s="535" t="n">
        <v>44992</v>
      </c>
      <c r="B9612" s="534" t="n">
        <v>7.84</v>
      </c>
      <c r="C9612" s="534" t="n">
        <v>20534.48</v>
      </c>
    </row>
    <row r="9613">
      <c r="A9613" s="535" t="n">
        <v>44993</v>
      </c>
      <c r="B9613" s="534" t="n">
        <v>7.82</v>
      </c>
      <c r="C9613" s="534" t="n">
        <v>20051.25</v>
      </c>
    </row>
    <row r="9614">
      <c r="A9614" s="535" t="n">
        <v>44994</v>
      </c>
      <c r="B9614" s="534" t="n">
        <v>7.54</v>
      </c>
      <c r="C9614" s="534" t="n">
        <v>19925.74</v>
      </c>
    </row>
    <row r="9615">
      <c r="A9615" s="535" t="n">
        <v>44995</v>
      </c>
      <c r="B9615" s="534" t="n">
        <v>7.32</v>
      </c>
      <c r="C9615" s="534" t="n">
        <v>19319.92</v>
      </c>
    </row>
    <row r="9616">
      <c r="A9616" s="535" t="n">
        <v>44998</v>
      </c>
      <c r="B9616" s="534" t="n">
        <v>7.35</v>
      </c>
      <c r="C9616" s="534" t="n">
        <v>19695.97</v>
      </c>
    </row>
    <row r="9617">
      <c r="A9617" s="535" t="n">
        <v>44999</v>
      </c>
      <c r="B9617" s="534" t="n">
        <v>7.22</v>
      </c>
      <c r="C9617" s="534" t="n">
        <v>19247.96</v>
      </c>
    </row>
    <row r="9618">
      <c r="A9618" s="535" t="n">
        <v>45000</v>
      </c>
      <c r="B9618" s="534" t="n">
        <v>7.32</v>
      </c>
      <c r="C9618" s="534" t="n">
        <v>19539.87</v>
      </c>
    </row>
    <row r="9619">
      <c r="A9619" s="535" t="n">
        <v>45001</v>
      </c>
      <c r="B9619" s="534" t="n">
        <v>7.21</v>
      </c>
      <c r="C9619" s="534" t="n">
        <v>19203.91</v>
      </c>
    </row>
    <row r="9620">
      <c r="A9620" s="535" t="n">
        <v>45002</v>
      </c>
      <c r="B9620" s="534" t="n">
        <v>7.28</v>
      </c>
      <c r="C9620" s="534" t="n">
        <v>19518.59</v>
      </c>
    </row>
    <row r="9621">
      <c r="A9621" s="535" t="n">
        <v>45005</v>
      </c>
      <c r="B9621" s="534" t="n">
        <v>7.17</v>
      </c>
      <c r="C9621" s="534" t="n">
        <v>19000.71</v>
      </c>
    </row>
    <row r="9622">
      <c r="A9622" s="535" t="n">
        <v>45006</v>
      </c>
      <c r="B9622" s="534" t="n">
        <v>7.25</v>
      </c>
      <c r="C9622" s="534" t="n">
        <v>19258.76</v>
      </c>
    </row>
    <row r="9623">
      <c r="A9623" s="535" t="n">
        <v>45007</v>
      </c>
      <c r="B9623" s="534" t="n">
        <v>7.25</v>
      </c>
      <c r="C9623" s="534" t="n">
        <v>19591.43</v>
      </c>
    </row>
    <row r="9624">
      <c r="A9624" s="535" t="n">
        <v>45008</v>
      </c>
      <c r="B9624" s="534" t="n">
        <v>7.33</v>
      </c>
      <c r="C9624" s="534" t="n">
        <v>20049.64</v>
      </c>
    </row>
    <row r="9625">
      <c r="A9625" s="535" t="n">
        <v>45009</v>
      </c>
      <c r="B9625" s="534" t="n">
        <v>7.33</v>
      </c>
      <c r="C9625" s="534" t="n">
        <v>19915.68</v>
      </c>
    </row>
    <row r="9626">
      <c r="A9626" s="535" t="n">
        <v>45012</v>
      </c>
      <c r="B9626" s="534" t="n">
        <v>7.35</v>
      </c>
      <c r="C9626" s="534" t="n">
        <v>19567.69</v>
      </c>
    </row>
    <row r="9627">
      <c r="A9627" s="535" t="n">
        <v>45013</v>
      </c>
      <c r="B9627" s="534" t="n">
        <v>7.39</v>
      </c>
      <c r="C9627" s="534" t="n">
        <v>19784.65</v>
      </c>
    </row>
    <row r="9628">
      <c r="A9628" s="535" t="n">
        <v>45014</v>
      </c>
      <c r="B9628" s="534" t="n">
        <v>7.39</v>
      </c>
      <c r="C9628" s="534" t="n">
        <v>20192.4</v>
      </c>
    </row>
    <row r="9629">
      <c r="A9629" s="535" t="n">
        <v>45015</v>
      </c>
      <c r="B9629" s="534" t="n">
        <v>7.61</v>
      </c>
      <c r="C9629" s="534" t="n">
        <v>20309.13</v>
      </c>
    </row>
    <row r="9630">
      <c r="A9630" s="535" t="n">
        <v>45016</v>
      </c>
      <c r="B9630" s="534" t="n">
        <v>7.55</v>
      </c>
      <c r="C9630" s="534" t="n">
        <v>20400.11</v>
      </c>
    </row>
    <row r="9631">
      <c r="A9631" s="535" t="n">
        <v>45019</v>
      </c>
      <c r="B9631" s="534" t="n">
        <v>7.73</v>
      </c>
      <c r="C9631" s="534" t="n">
        <v>20409.18</v>
      </c>
    </row>
    <row r="9632">
      <c r="A9632" s="535" t="n">
        <v>45020</v>
      </c>
      <c r="B9632" s="534" t="n">
        <v>7.82</v>
      </c>
      <c r="C9632" s="534" t="n">
        <v>20274.59</v>
      </c>
    </row>
    <row r="9633">
      <c r="A9633" s="535" t="n">
        <v>45021</v>
      </c>
      <c r="B9633" s="534" t="n">
        <v>7.82</v>
      </c>
      <c r="C9633" s="534" t="n">
        <v>20274.59</v>
      </c>
    </row>
    <row r="9634">
      <c r="A9634" s="535" t="n">
        <v>45022</v>
      </c>
      <c r="B9634" s="534" t="n">
        <v>7.88</v>
      </c>
      <c r="C9634" s="534" t="n">
        <v>20331.2</v>
      </c>
    </row>
    <row r="9635">
      <c r="A9635" s="535" t="n">
        <v>45023</v>
      </c>
      <c r="B9635" s="534" t="n">
        <v>7.88</v>
      </c>
      <c r="C9635" s="534" t="n">
        <v>20331.2</v>
      </c>
    </row>
    <row r="9636">
      <c r="A9636" s="535" t="n">
        <v>45026</v>
      </c>
      <c r="B9636" s="534" t="n">
        <v>7.88</v>
      </c>
      <c r="C9636" s="534" t="n">
        <v>20331.2</v>
      </c>
    </row>
    <row r="9637">
      <c r="A9637" s="535" t="n">
        <v>45027</v>
      </c>
      <c r="B9637" s="534" t="n">
        <v>7.84</v>
      </c>
      <c r="C9637" s="534" t="n">
        <v>20485.24</v>
      </c>
    </row>
    <row r="9638">
      <c r="A9638" s="535" t="n">
        <v>45028</v>
      </c>
      <c r="B9638" s="534" t="n">
        <v>7.8</v>
      </c>
      <c r="C9638" s="534" t="n">
        <v>20309.86</v>
      </c>
    </row>
    <row r="9639">
      <c r="A9639" s="535" t="n">
        <v>45029</v>
      </c>
      <c r="B9639" s="534" t="n">
        <v>7.79</v>
      </c>
      <c r="C9639" s="534" t="n">
        <v>20344.48</v>
      </c>
    </row>
    <row r="9640">
      <c r="A9640" s="535" t="n">
        <v>45030</v>
      </c>
      <c r="B9640" s="534" t="n">
        <v>7.76</v>
      </c>
      <c r="C9640" s="534" t="n">
        <v>20438.81</v>
      </c>
    </row>
    <row r="9641">
      <c r="A9641" s="535" t="n">
        <v>45033</v>
      </c>
      <c r="B9641" s="534" t="n">
        <v>7.78</v>
      </c>
      <c r="C9641" s="534" t="n">
        <v>20782.45</v>
      </c>
    </row>
    <row r="9642">
      <c r="A9642" s="535" t="n">
        <v>45034</v>
      </c>
      <c r="B9642" s="534" t="n">
        <v>7.82</v>
      </c>
      <c r="C9642" s="534" t="n">
        <v>20650.51</v>
      </c>
    </row>
    <row r="9643">
      <c r="A9643" s="535" t="n">
        <v>45035</v>
      </c>
      <c r="B9643" s="534" t="n">
        <v>7.78</v>
      </c>
      <c r="C9643" s="534" t="n">
        <v>20367.76</v>
      </c>
    </row>
    <row r="9644">
      <c r="A9644" s="535" t="n">
        <v>45036</v>
      </c>
      <c r="B9644" s="534" t="n">
        <v>7.76</v>
      </c>
      <c r="C9644" s="534" t="n">
        <v>20396.97</v>
      </c>
    </row>
    <row r="9645">
      <c r="A9645" s="535" t="n">
        <v>45037</v>
      </c>
      <c r="B9645" s="534" t="n">
        <v>7.78</v>
      </c>
      <c r="C9645" s="534" t="n">
        <v>20075.73</v>
      </c>
    </row>
    <row r="9646">
      <c r="A9646" s="535" t="n">
        <v>45040</v>
      </c>
      <c r="B9646" s="534" t="n">
        <v>7.67</v>
      </c>
      <c r="C9646" s="534" t="n">
        <v>19959.94</v>
      </c>
    </row>
    <row r="9647">
      <c r="A9647" s="535" t="n">
        <v>45041</v>
      </c>
      <c r="B9647" s="534" t="n">
        <v>7.59</v>
      </c>
      <c r="C9647" s="534" t="n">
        <v>19617.88</v>
      </c>
    </row>
    <row r="9648">
      <c r="A9648" s="535" t="n">
        <v>45042</v>
      </c>
      <c r="B9648" s="534" t="n">
        <v>7.63</v>
      </c>
      <c r="C9648" s="534" t="n">
        <v>19757.27</v>
      </c>
    </row>
    <row r="9649">
      <c r="A9649" s="535" t="n">
        <v>45043</v>
      </c>
      <c r="B9649" s="534" t="n">
        <v>7.6</v>
      </c>
      <c r="C9649" s="534" t="n">
        <v>19840.28</v>
      </c>
    </row>
    <row r="9650">
      <c r="A9650" s="535" t="n">
        <v>45044</v>
      </c>
      <c r="B9650" s="534" t="n">
        <v>7.57</v>
      </c>
      <c r="C9650" s="534" t="n">
        <v>19894.57</v>
      </c>
    </row>
    <row r="9651">
      <c r="A9651" s="535" t="n">
        <v>45047</v>
      </c>
      <c r="B9651" s="534" t="n">
        <v>7.57</v>
      </c>
      <c r="C9651" s="534" t="n">
        <v>19894.57</v>
      </c>
    </row>
    <row r="9652">
      <c r="A9652" s="535" t="n">
        <v>45048</v>
      </c>
      <c r="B9652" s="534" t="n">
        <v>7.6</v>
      </c>
      <c r="C9652" s="534" t="n">
        <v>19933.81</v>
      </c>
    </row>
    <row r="9653">
      <c r="A9653" s="535" t="n">
        <v>45049</v>
      </c>
      <c r="B9653" s="534" t="n">
        <v>7.56</v>
      </c>
      <c r="C9653" s="534" t="n">
        <v>19699.16</v>
      </c>
    </row>
    <row r="9654">
      <c r="A9654" s="535" t="n">
        <v>45050</v>
      </c>
      <c r="B9654" s="534" t="n">
        <v>7.53</v>
      </c>
      <c r="C9654" s="534" t="n">
        <v>19948.73</v>
      </c>
    </row>
    <row r="9655">
      <c r="A9655" s="535" t="n">
        <v>45051</v>
      </c>
      <c r="B9655" s="534" t="n">
        <v>7.46</v>
      </c>
      <c r="C9655" s="534" t="n">
        <v>20049.31</v>
      </c>
    </row>
    <row r="9656">
      <c r="A9656" s="535" t="n">
        <v>45054</v>
      </c>
      <c r="B9656" s="534" t="n">
        <v>7.45</v>
      </c>
      <c r="C9656" s="534" t="n">
        <v>20297.03</v>
      </c>
    </row>
    <row r="9657">
      <c r="A9657" s="535" t="n">
        <v>45055</v>
      </c>
      <c r="B9657" s="534" t="n">
        <v>7.38</v>
      </c>
      <c r="C9657" s="534" t="n">
        <v>19867.58</v>
      </c>
    </row>
    <row r="9658">
      <c r="A9658" s="535" t="n">
        <v>45056</v>
      </c>
      <c r="B9658" s="534" t="n">
        <v>7.44</v>
      </c>
      <c r="C9658" s="534" t="n">
        <v>19762.2</v>
      </c>
    </row>
    <row r="9659">
      <c r="A9659" s="535" t="n">
        <v>45057</v>
      </c>
      <c r="B9659" s="534" t="n">
        <v>7.53</v>
      </c>
      <c r="C9659" s="534" t="n">
        <v>19743.79</v>
      </c>
    </row>
    <row r="9660">
      <c r="A9660" s="535" t="n">
        <v>45058</v>
      </c>
      <c r="B9660" s="534" t="n">
        <v>7.43</v>
      </c>
      <c r="C9660" s="534" t="n">
        <v>19627.24</v>
      </c>
    </row>
    <row r="9661">
      <c r="A9661" s="535" t="n">
        <v>45061</v>
      </c>
      <c r="B9661" s="534" t="n">
        <v>7.39</v>
      </c>
      <c r="C9661" s="534" t="n">
        <v>19971.13</v>
      </c>
    </row>
    <row r="9662">
      <c r="A9662" s="535" t="n">
        <v>45062</v>
      </c>
      <c r="B9662" s="534" t="n">
        <v>7.37</v>
      </c>
      <c r="C9662" s="534" t="n">
        <v>19978.25</v>
      </c>
    </row>
    <row r="9663">
      <c r="A9663" s="535" t="n">
        <v>45063</v>
      </c>
      <c r="B9663" s="534" t="n">
        <v>7.32</v>
      </c>
      <c r="C9663" s="534" t="n">
        <v>19560.57</v>
      </c>
    </row>
    <row r="9664">
      <c r="A9664" s="535" t="n">
        <v>45064</v>
      </c>
      <c r="B9664" s="534" t="n">
        <v>7.39</v>
      </c>
      <c r="C9664" s="534" t="n">
        <v>19727.25</v>
      </c>
    </row>
    <row r="9665">
      <c r="A9665" s="535" t="n">
        <v>45065</v>
      </c>
      <c r="B9665" s="534" t="n">
        <v>7.4</v>
      </c>
      <c r="C9665" s="534" t="n">
        <v>19450.57</v>
      </c>
    </row>
    <row r="9666">
      <c r="A9666" s="535" t="n">
        <v>45068</v>
      </c>
      <c r="B9666" s="534" t="n">
        <v>7.57</v>
      </c>
      <c r="C9666" s="534" t="n">
        <v>19678.17</v>
      </c>
    </row>
    <row r="9667">
      <c r="A9667" s="535" t="n">
        <v>45069</v>
      </c>
      <c r="B9667" s="534" t="n">
        <v>7.62</v>
      </c>
      <c r="C9667" s="534" t="n">
        <v>19431.25</v>
      </c>
    </row>
    <row r="9668">
      <c r="A9668" s="535" t="n">
        <v>45070</v>
      </c>
      <c r="B9668" s="534" t="n">
        <v>7.5</v>
      </c>
      <c r="C9668" s="534" t="n">
        <v>19115.93</v>
      </c>
    </row>
    <row r="9669">
      <c r="A9669" s="535" t="n">
        <v>45071</v>
      </c>
      <c r="B9669" s="534" t="n">
        <v>7.31</v>
      </c>
      <c r="C9669" s="534" t="n">
        <v>18746.92</v>
      </c>
    </row>
    <row r="9670">
      <c r="A9670" s="535" t="n">
        <v>45072</v>
      </c>
      <c r="B9670" s="534" t="n">
        <v>7.31</v>
      </c>
      <c r="C9670" s="534" t="n">
        <v>18746.92</v>
      </c>
    </row>
    <row r="9671">
      <c r="A9671" s="535" t="n">
        <v>45075</v>
      </c>
      <c r="B9671" s="534" t="n">
        <v>7.22</v>
      </c>
      <c r="C9671" s="534" t="n">
        <v>18551.11</v>
      </c>
    </row>
    <row r="9672">
      <c r="A9672" s="535" t="n">
        <v>45076</v>
      </c>
      <c r="B9672" s="534" t="n">
        <v>7.29</v>
      </c>
      <c r="C9672" s="534" t="n">
        <v>18595.78</v>
      </c>
    </row>
    <row r="9673">
      <c r="A9673" s="535" t="n">
        <v>45077</v>
      </c>
      <c r="B9673" s="534" t="n">
        <v>7.14</v>
      </c>
      <c r="C9673" s="534" t="n">
        <v>18234.27</v>
      </c>
    </row>
    <row r="9674">
      <c r="A9674" s="535" t="n">
        <v>45078</v>
      </c>
      <c r="B9674" s="534" t="n">
        <v>7.08</v>
      </c>
      <c r="C9674" s="534" t="n">
        <v>18216.91</v>
      </c>
    </row>
    <row r="9675">
      <c r="A9675" s="535" t="n">
        <v>45079</v>
      </c>
      <c r="B9675" s="534" t="n">
        <v>7.27</v>
      </c>
      <c r="C9675" s="534" t="n">
        <v>18949.94</v>
      </c>
    </row>
    <row r="9676">
      <c r="A9676" s="535" t="n">
        <v>45082</v>
      </c>
      <c r="B9676" s="534" t="n">
        <v>7.39</v>
      </c>
      <c r="C9676" s="534" t="n">
        <v>19108.5</v>
      </c>
    </row>
    <row r="9677">
      <c r="A9677" s="535" t="n">
        <v>45083</v>
      </c>
      <c r="B9677" s="534" t="n">
        <v>7.33</v>
      </c>
      <c r="C9677" s="534" t="n">
        <v>19099.28</v>
      </c>
    </row>
    <row r="9678">
      <c r="A9678" s="535" t="n">
        <v>45084</v>
      </c>
      <c r="B9678" s="534" t="n">
        <v>7.44</v>
      </c>
      <c r="C9678" s="534" t="n">
        <v>19252</v>
      </c>
    </row>
    <row r="9679">
      <c r="A9679" s="535" t="n">
        <v>45085</v>
      </c>
      <c r="B9679" s="534" t="n">
        <v>7.48</v>
      </c>
      <c r="C9679" s="534" t="n">
        <v>19299.18</v>
      </c>
    </row>
    <row r="9680">
      <c r="A9680" s="535" t="n">
        <v>45086</v>
      </c>
      <c r="B9680" s="534" t="n">
        <v>7.5</v>
      </c>
      <c r="C9680" s="534" t="n">
        <v>19389.95</v>
      </c>
    </row>
    <row r="9681">
      <c r="A9681" s="535" t="n">
        <v>45089</v>
      </c>
      <c r="B9681" s="534" t="n">
        <v>7.44</v>
      </c>
      <c r="C9681" s="534" t="n">
        <v>19404.31</v>
      </c>
    </row>
    <row r="9682">
      <c r="A9682" s="535" t="n">
        <v>45090</v>
      </c>
      <c r="B9682" s="534" t="n">
        <v>7.49</v>
      </c>
      <c r="C9682" s="534" t="n">
        <v>19521.42</v>
      </c>
    </row>
    <row r="9683">
      <c r="A9683" s="535" t="n">
        <v>45091</v>
      </c>
      <c r="B9683" s="534" t="n">
        <v>7.5</v>
      </c>
      <c r="C9683" s="534" t="n">
        <v>19408.42</v>
      </c>
    </row>
    <row r="9684">
      <c r="A9684" s="535" t="n">
        <v>45092</v>
      </c>
      <c r="B9684" s="534" t="n">
        <v>7.56</v>
      </c>
      <c r="C9684" s="534" t="n">
        <v>19828.92</v>
      </c>
    </row>
    <row r="9685">
      <c r="A9685" s="535" t="n">
        <v>45093</v>
      </c>
      <c r="B9685" s="534" t="n">
        <v>7.63</v>
      </c>
      <c r="C9685" s="534" t="n">
        <v>20040.37</v>
      </c>
    </row>
    <row r="9686">
      <c r="A9686" s="535" t="n">
        <v>45096</v>
      </c>
      <c r="B9686" s="534" t="n">
        <v>7.73</v>
      </c>
      <c r="C9686" s="534" t="n">
        <v>19912.89</v>
      </c>
    </row>
    <row r="9687">
      <c r="A9687" s="535" t="n">
        <v>45097</v>
      </c>
      <c r="B9687" s="534" t="n">
        <v>8.16</v>
      </c>
      <c r="C9687" s="534" t="n">
        <v>19607.08</v>
      </c>
    </row>
    <row r="9688">
      <c r="A9688" s="535" t="n">
        <v>45098</v>
      </c>
      <c r="B9688" s="534" t="n">
        <v>8.19</v>
      </c>
      <c r="C9688" s="534" t="n">
        <v>19218.35</v>
      </c>
    </row>
    <row r="9689">
      <c r="A9689" s="535" t="n">
        <v>45099</v>
      </c>
      <c r="B9689" s="534" t="n">
        <v>8.19</v>
      </c>
      <c r="C9689" s="534" t="n">
        <v>19218.35</v>
      </c>
    </row>
    <row r="9690">
      <c r="A9690" s="535" t="n">
        <v>45100</v>
      </c>
      <c r="B9690" s="534" t="n">
        <v>8.31</v>
      </c>
      <c r="C9690" s="534" t="n">
        <v>18889.97</v>
      </c>
    </row>
    <row r="9691">
      <c r="A9691" s="535" t="n">
        <v>45103</v>
      </c>
      <c r="B9691" s="534" t="n">
        <v>8.300000000000001</v>
      </c>
      <c r="C9691" s="534" t="n">
        <v>18794.13</v>
      </c>
    </row>
    <row r="9692">
      <c r="A9692" s="535" t="n">
        <v>45104</v>
      </c>
      <c r="B9692" s="534" t="n">
        <v>8.199999999999999</v>
      </c>
      <c r="C9692" s="534" t="n">
        <v>19148.13</v>
      </c>
    </row>
    <row r="9693">
      <c r="A9693" s="535" t="n">
        <v>45105</v>
      </c>
      <c r="B9693" s="534" t="n">
        <v>8.119999999999999</v>
      </c>
      <c r="C9693" s="534" t="n">
        <v>19172.05</v>
      </c>
    </row>
    <row r="9694">
      <c r="A9694" s="535" t="n">
        <v>45106</v>
      </c>
      <c r="B9694" s="534" t="n">
        <v>7.97</v>
      </c>
      <c r="C9694" s="534" t="n">
        <v>18934.36</v>
      </c>
    </row>
    <row r="9695">
      <c r="A9695" s="535" t="n">
        <v>45107</v>
      </c>
      <c r="B9695" s="534" t="n">
        <v>8.01</v>
      </c>
      <c r="C9695" s="534" t="n">
        <v>18916.43</v>
      </c>
    </row>
    <row r="9696">
      <c r="A9696" s="535" t="n">
        <v>45110</v>
      </c>
      <c r="B9696" s="534" t="n">
        <v>8.220000000000001</v>
      </c>
      <c r="C9696" s="534" t="n">
        <v>19306.59</v>
      </c>
    </row>
    <row r="9697">
      <c r="A9697" s="535" t="n">
        <v>45111</v>
      </c>
      <c r="B9697" s="534" t="n">
        <v>8.23</v>
      </c>
      <c r="C9697" s="534" t="n">
        <v>19415.68</v>
      </c>
    </row>
    <row r="9698">
      <c r="A9698" s="535" t="n">
        <v>45112</v>
      </c>
      <c r="B9698" s="534" t="n">
        <v>8.18</v>
      </c>
      <c r="C9698" s="534" t="n">
        <v>19110.38</v>
      </c>
    </row>
    <row r="9699">
      <c r="A9699" s="535" t="n">
        <v>45113</v>
      </c>
      <c r="B9699" s="534" t="n">
        <v>8.109999999999999</v>
      </c>
      <c r="C9699" s="534" t="n">
        <v>18533.05</v>
      </c>
    </row>
    <row r="9700">
      <c r="A9700" s="535" t="n">
        <v>45114</v>
      </c>
      <c r="B9700" s="534" t="n">
        <v>8.06</v>
      </c>
      <c r="C9700" s="534" t="n">
        <v>18365.7</v>
      </c>
    </row>
    <row r="9701">
      <c r="A9701" s="535" t="n">
        <v>45117</v>
      </c>
      <c r="B9701" s="534" t="n">
        <v>8.039999999999999</v>
      </c>
      <c r="C9701" s="534" t="n">
        <v>18479.72</v>
      </c>
    </row>
    <row r="9702">
      <c r="A9702" s="535" t="n">
        <v>45118</v>
      </c>
      <c r="B9702" s="534" t="n">
        <v>8.1</v>
      </c>
      <c r="C9702" s="534" t="n">
        <v>18659.83</v>
      </c>
    </row>
    <row r="9703">
      <c r="A9703" s="535" t="n">
        <v>45119</v>
      </c>
      <c r="B9703" s="534" t="n">
        <v>8.130000000000001</v>
      </c>
      <c r="C9703" s="534" t="n">
        <v>18860.95</v>
      </c>
    </row>
    <row r="9704">
      <c r="A9704" s="535" t="n">
        <v>45120</v>
      </c>
      <c r="B9704" s="534" t="n">
        <v>8.119999999999999</v>
      </c>
      <c r="C9704" s="534" t="n">
        <v>19350.62</v>
      </c>
    </row>
    <row r="9705">
      <c r="A9705" s="535" t="n">
        <v>45121</v>
      </c>
      <c r="B9705" s="534" t="n">
        <v>8.5</v>
      </c>
      <c r="C9705" s="534" t="n">
        <v>19413.78</v>
      </c>
    </row>
    <row r="9706">
      <c r="A9706" s="535" t="n">
        <v>45124</v>
      </c>
      <c r="B9706" s="534" t="n">
        <v>8.5</v>
      </c>
      <c r="C9706" s="534" t="n">
        <v>19413.78</v>
      </c>
    </row>
    <row r="9707">
      <c r="A9707" s="535" t="n">
        <v>45125</v>
      </c>
      <c r="B9707" s="534" t="n">
        <v>8.52</v>
      </c>
      <c r="C9707" s="534" t="n">
        <v>19015.72</v>
      </c>
    </row>
    <row r="9708">
      <c r="A9708" s="535" t="n">
        <v>45126</v>
      </c>
      <c r="B9708" s="534" t="n">
        <v>8.65</v>
      </c>
      <c r="C9708" s="534" t="n">
        <v>18952.31</v>
      </c>
    </row>
    <row r="9709">
      <c r="A9709" s="535" t="n">
        <v>45127</v>
      </c>
      <c r="B9709" s="534" t="n">
        <v>8.619999999999999</v>
      </c>
      <c r="C9709" s="534" t="n">
        <v>18928.02</v>
      </c>
    </row>
    <row r="9710">
      <c r="A9710" s="535" t="n">
        <v>45128</v>
      </c>
      <c r="B9710" s="534" t="n">
        <v>8.66</v>
      </c>
      <c r="C9710" s="534" t="n">
        <v>19075.26</v>
      </c>
    </row>
    <row r="9711">
      <c r="A9711" s="535" t="n">
        <v>45131</v>
      </c>
      <c r="B9711" s="534" t="n">
        <v>8.609999999999999</v>
      </c>
      <c r="C9711" s="534" t="n">
        <v>18668.15</v>
      </c>
    </row>
    <row r="9712">
      <c r="A9712" s="535" t="n">
        <v>45132</v>
      </c>
      <c r="B9712" s="534" t="n">
        <v>8.6</v>
      </c>
      <c r="C9712" s="534" t="n">
        <v>19434.4</v>
      </c>
    </row>
    <row r="9713">
      <c r="A9713" s="535" t="n">
        <v>45133</v>
      </c>
      <c r="B9713" s="534" t="n">
        <v>8.630000000000001</v>
      </c>
      <c r="C9713" s="534" t="n">
        <v>19365.14</v>
      </c>
    </row>
    <row r="9714">
      <c r="A9714" s="535" t="n">
        <v>45134</v>
      </c>
      <c r="B9714" s="534" t="n">
        <v>8.800000000000001</v>
      </c>
      <c r="C9714" s="534" t="n">
        <v>19639.11</v>
      </c>
    </row>
    <row r="9715">
      <c r="A9715" s="535" t="n">
        <v>45135</v>
      </c>
      <c r="B9715" s="534" t="n">
        <v>8.789999999999999</v>
      </c>
      <c r="C9715" s="534" t="n">
        <v>19916.56</v>
      </c>
    </row>
    <row r="9716">
      <c r="A9716" s="535" t="n">
        <v>45138</v>
      </c>
      <c r="B9716" s="534" t="n">
        <v>8.83</v>
      </c>
      <c r="C9716" s="534" t="n">
        <v>20078.94</v>
      </c>
    </row>
    <row r="9717">
      <c r="A9717" s="535" t="n">
        <v>45139</v>
      </c>
      <c r="B9717" s="534" t="n">
        <v>8.83</v>
      </c>
      <c r="C9717" s="534" t="n">
        <v>20011.12</v>
      </c>
    </row>
    <row r="9718">
      <c r="A9718" s="535" t="n">
        <v>45140</v>
      </c>
      <c r="B9718" s="534" t="n">
        <v>8.75</v>
      </c>
      <c r="C9718" s="534" t="n">
        <v>19517.38</v>
      </c>
    </row>
    <row r="9719">
      <c r="A9719" s="535" t="n">
        <v>45141</v>
      </c>
      <c r="B9719" s="534" t="n">
        <v>8.66</v>
      </c>
      <c r="C9719" s="534" t="n">
        <v>19420.87</v>
      </c>
    </row>
    <row r="9720">
      <c r="A9720" s="535" t="n">
        <v>45142</v>
      </c>
      <c r="B9720" s="534" t="n">
        <v>8.630000000000001</v>
      </c>
      <c r="C9720" s="534" t="n">
        <v>19539.46</v>
      </c>
    </row>
    <row r="9721">
      <c r="A9721" s="535" t="n">
        <v>45145</v>
      </c>
      <c r="B9721" s="534" t="n">
        <v>8.68</v>
      </c>
      <c r="C9721" s="534" t="n">
        <v>19537.92</v>
      </c>
    </row>
    <row r="9722">
      <c r="A9722" s="535" t="n">
        <v>45146</v>
      </c>
      <c r="B9722" s="534" t="n">
        <v>8.67</v>
      </c>
      <c r="C9722" s="534" t="n">
        <v>19184.17</v>
      </c>
    </row>
    <row r="9723">
      <c r="A9723" s="535" t="n">
        <v>45147</v>
      </c>
      <c r="B9723" s="534" t="n">
        <v>8.66</v>
      </c>
      <c r="C9723" s="534" t="n">
        <v>19246.03</v>
      </c>
    </row>
    <row r="9724">
      <c r="A9724" s="535" t="n">
        <v>45148</v>
      </c>
      <c r="B9724" s="534" t="n">
        <v>8.9</v>
      </c>
      <c r="C9724" s="534" t="n">
        <v>19248.26</v>
      </c>
    </row>
    <row r="9725">
      <c r="A9725" s="535" t="n">
        <v>45149</v>
      </c>
      <c r="B9725" s="534" t="n">
        <v>8.800000000000001</v>
      </c>
      <c r="C9725" s="534" t="n">
        <v>19075.19</v>
      </c>
    </row>
    <row r="9726">
      <c r="A9726" s="535" t="n">
        <v>45152</v>
      </c>
      <c r="B9726" s="534" t="n">
        <v>8.800000000000001</v>
      </c>
      <c r="C9726" s="534" t="n">
        <v>18773.55</v>
      </c>
    </row>
    <row r="9727">
      <c r="A9727" s="535" t="n">
        <v>45153</v>
      </c>
      <c r="B9727" s="534" t="n">
        <v>8.76</v>
      </c>
      <c r="C9727" s="534" t="n">
        <v>18581.11</v>
      </c>
    </row>
    <row r="9728">
      <c r="A9728" s="535" t="n">
        <v>45154</v>
      </c>
      <c r="B9728" s="534" t="n">
        <v>8.56</v>
      </c>
      <c r="C9728" s="534" t="n">
        <v>18329.3</v>
      </c>
    </row>
    <row r="9729">
      <c r="A9729" s="535" t="n">
        <v>45155</v>
      </c>
      <c r="B9729" s="534" t="n">
        <v>8.56</v>
      </c>
      <c r="C9729" s="534" t="n">
        <v>18326.63</v>
      </c>
    </row>
    <row r="9730">
      <c r="A9730" s="535" t="n">
        <v>45156</v>
      </c>
      <c r="B9730" s="534" t="n">
        <v>8.550000000000001</v>
      </c>
      <c r="C9730" s="534" t="n">
        <v>17950.85</v>
      </c>
    </row>
    <row r="9731">
      <c r="A9731" s="535" t="n">
        <v>45159</v>
      </c>
      <c r="B9731" s="534" t="n">
        <v>8.34</v>
      </c>
      <c r="C9731" s="534" t="n">
        <v>17623.29</v>
      </c>
    </row>
    <row r="9732">
      <c r="A9732" s="535" t="n">
        <v>45160</v>
      </c>
      <c r="B9732" s="534" t="n">
        <v>8.34</v>
      </c>
      <c r="C9732" s="534" t="n">
        <v>17791.01</v>
      </c>
    </row>
    <row r="9733">
      <c r="A9733" s="535" t="n">
        <v>45161</v>
      </c>
      <c r="B9733" s="534" t="n">
        <v>8.32</v>
      </c>
      <c r="C9733" s="534" t="n">
        <v>17845.92</v>
      </c>
    </row>
    <row r="9734">
      <c r="A9734" s="535" t="n">
        <v>45162</v>
      </c>
      <c r="B9734" s="534" t="n">
        <v>8.31</v>
      </c>
      <c r="C9734" s="534" t="n">
        <v>18212.17</v>
      </c>
    </row>
    <row r="9735">
      <c r="A9735" s="535" t="n">
        <v>45163</v>
      </c>
      <c r="B9735" s="534" t="n">
        <v>8.25</v>
      </c>
      <c r="C9735" s="534" t="n">
        <v>17956.38</v>
      </c>
    </row>
    <row r="9736">
      <c r="A9736" s="535" t="n">
        <v>45166</v>
      </c>
      <c r="B9736" s="534" t="n">
        <v>8.27</v>
      </c>
      <c r="C9736" s="534" t="n">
        <v>18130.74</v>
      </c>
    </row>
    <row r="9737">
      <c r="A9737" s="535" t="n">
        <v>45167</v>
      </c>
      <c r="B9737" s="534" t="n">
        <v>8.41</v>
      </c>
      <c r="C9737" s="534" t="n">
        <v>18484.03</v>
      </c>
    </row>
    <row r="9738">
      <c r="A9738" s="535" t="n">
        <v>45168</v>
      </c>
      <c r="B9738" s="534" t="n">
        <v>8.300000000000001</v>
      </c>
      <c r="C9738" s="534" t="n">
        <v>18482.86</v>
      </c>
    </row>
    <row r="9739">
      <c r="A9739" s="535" t="n">
        <v>45169</v>
      </c>
      <c r="B9739" s="534" t="n">
        <v>8.359999999999999</v>
      </c>
      <c r="C9739" s="534" t="n">
        <v>18382.06</v>
      </c>
    </row>
    <row r="9740">
      <c r="A9740" s="535" t="n">
        <v>45170</v>
      </c>
      <c r="B9740" s="534" t="n">
        <v>8.359999999999999</v>
      </c>
      <c r="C9740" s="534" t="n">
        <v>18382.06</v>
      </c>
    </row>
    <row r="9741">
      <c r="A9741" s="535" t="n">
        <v>45173</v>
      </c>
      <c r="B9741" s="534" t="n">
        <v>8.52</v>
      </c>
      <c r="C9741" s="534" t="n">
        <v>18844.16</v>
      </c>
    </row>
    <row r="9742">
      <c r="A9742" s="535" t="n">
        <v>45174</v>
      </c>
      <c r="B9742" s="534" t="n">
        <v>8.49</v>
      </c>
      <c r="C9742" s="534" t="n">
        <v>18456.91</v>
      </c>
    </row>
    <row r="9743">
      <c r="A9743" s="535" t="n">
        <v>45175</v>
      </c>
      <c r="B9743" s="534" t="n">
        <v>8.380000000000001</v>
      </c>
      <c r="C9743" s="534" t="n">
        <v>18449.98</v>
      </c>
    </row>
    <row r="9744">
      <c r="A9744" s="535" t="n">
        <v>45176</v>
      </c>
      <c r="B9744" s="534" t="n">
        <v>8.32</v>
      </c>
      <c r="C9744" s="534" t="n">
        <v>18202.07</v>
      </c>
    </row>
    <row r="9745">
      <c r="A9745" s="535" t="n">
        <v>45177</v>
      </c>
      <c r="B9745" s="534" t="n">
        <v>8.32</v>
      </c>
      <c r="C9745" s="534" t="n">
        <v>18202.07</v>
      </c>
    </row>
    <row r="9746">
      <c r="A9746" s="535" t="n">
        <v>45180</v>
      </c>
      <c r="B9746" s="534" t="n">
        <v>8.289999999999999</v>
      </c>
      <c r="C9746" s="534" t="n">
        <v>18096.45</v>
      </c>
    </row>
    <row r="9747">
      <c r="A9747" s="535" t="n">
        <v>45181</v>
      </c>
      <c r="B9747" s="534" t="n">
        <v>8.42</v>
      </c>
      <c r="C9747" s="534" t="n">
        <v>18025.89</v>
      </c>
    </row>
    <row r="9748">
      <c r="A9748" s="535" t="n">
        <v>45182</v>
      </c>
      <c r="B9748" s="534" t="n">
        <v>8.359999999999999</v>
      </c>
      <c r="C9748" s="534" t="n">
        <v>18009.22</v>
      </c>
    </row>
    <row r="9749">
      <c r="A9749" s="535" t="n">
        <v>45183</v>
      </c>
      <c r="B9749" s="534" t="n">
        <v>8.32</v>
      </c>
      <c r="C9749" s="534" t="n">
        <v>18047.92</v>
      </c>
    </row>
    <row r="9750">
      <c r="A9750" s="535" t="n">
        <v>45184</v>
      </c>
      <c r="B9750" s="534" t="n">
        <v>8.24</v>
      </c>
      <c r="C9750" s="534" t="n">
        <v>18182.89</v>
      </c>
    </row>
    <row r="9751">
      <c r="A9751" s="535" t="n">
        <v>45187</v>
      </c>
      <c r="B9751" s="534" t="n">
        <v>8.16</v>
      </c>
      <c r="C9751" s="534" t="n">
        <v>17930.55</v>
      </c>
    </row>
    <row r="9752">
      <c r="A9752" s="535" t="n">
        <v>45188</v>
      </c>
      <c r="B9752" s="534" t="n">
        <v>8.199999999999999</v>
      </c>
      <c r="C9752" s="534" t="n">
        <v>17997.17</v>
      </c>
    </row>
    <row r="9753">
      <c r="A9753" s="535" t="n">
        <v>45189</v>
      </c>
      <c r="B9753" s="534" t="n">
        <v>8.16</v>
      </c>
      <c r="C9753" s="534" t="n">
        <v>17885.6</v>
      </c>
    </row>
    <row r="9754">
      <c r="A9754" s="535" t="n">
        <v>45190</v>
      </c>
      <c r="B9754" s="534" t="n">
        <v>8.140000000000001</v>
      </c>
      <c r="C9754" s="534" t="n">
        <v>17655.41</v>
      </c>
    </row>
    <row r="9755">
      <c r="A9755" s="535" t="n">
        <v>45191</v>
      </c>
      <c r="B9755" s="534" t="n">
        <v>8.16</v>
      </c>
      <c r="C9755" s="534" t="n">
        <v>18057.45</v>
      </c>
    </row>
    <row r="9756">
      <c r="A9756" s="535" t="n">
        <v>45194</v>
      </c>
      <c r="B9756" s="534" t="n">
        <v>8.06</v>
      </c>
      <c r="C9756" s="534" t="n">
        <v>17729.29</v>
      </c>
    </row>
    <row r="9757">
      <c r="A9757" s="535" t="n">
        <v>45195</v>
      </c>
      <c r="B9757" s="534" t="n">
        <v>8.01</v>
      </c>
      <c r="C9757" s="534" t="n">
        <v>17466.9</v>
      </c>
    </row>
    <row r="9758">
      <c r="A9758" s="535" t="n">
        <v>45196</v>
      </c>
      <c r="B9758" s="534" t="n">
        <v>8.06</v>
      </c>
      <c r="C9758" s="534" t="n">
        <v>17611.87</v>
      </c>
    </row>
    <row r="9759">
      <c r="A9759" s="535" t="n">
        <v>45197</v>
      </c>
      <c r="B9759" s="534" t="n">
        <v>7.91</v>
      </c>
      <c r="C9759" s="534" t="n">
        <v>17373.03</v>
      </c>
    </row>
    <row r="9760">
      <c r="A9760" s="535" t="n">
        <v>45198</v>
      </c>
      <c r="B9760" s="534" t="n">
        <v>8.039999999999999</v>
      </c>
      <c r="C9760" s="534" t="n">
        <v>17809.66</v>
      </c>
    </row>
    <row r="9761">
      <c r="A9761" s="535" t="n">
        <v>45201</v>
      </c>
      <c r="B9761" s="534" t="n">
        <v>8.039999999999999</v>
      </c>
      <c r="C9761" s="534" t="n">
        <v>17809.66</v>
      </c>
    </row>
    <row r="9762">
      <c r="A9762" s="535" t="n">
        <v>45202</v>
      </c>
      <c r="B9762" s="534" t="n">
        <v>8.039999999999999</v>
      </c>
      <c r="C9762" s="534" t="n">
        <v>17331.22</v>
      </c>
    </row>
    <row r="9763">
      <c r="A9763" s="535" t="n">
        <v>45203</v>
      </c>
      <c r="B9763" s="534" t="n">
        <v>7.99</v>
      </c>
      <c r="C9763" s="534" t="n">
        <v>17195.84</v>
      </c>
    </row>
    <row r="9764">
      <c r="A9764" s="535" t="n">
        <v>45204</v>
      </c>
      <c r="B9764" s="534" t="n">
        <v>8.01</v>
      </c>
      <c r="C9764" s="534" t="n">
        <v>17213.87</v>
      </c>
    </row>
    <row r="9765">
      <c r="A9765" s="535" t="n">
        <v>45205</v>
      </c>
      <c r="B9765" s="534" t="n">
        <v>8.25</v>
      </c>
      <c r="C9765" s="534" t="n">
        <v>17485.98</v>
      </c>
    </row>
    <row r="9766">
      <c r="A9766" s="535" t="n">
        <v>45208</v>
      </c>
      <c r="B9766" s="534" t="n">
        <v>8.18</v>
      </c>
      <c r="C9766" s="534" t="n">
        <v>17517.4</v>
      </c>
    </row>
    <row r="9767">
      <c r="A9767" s="535" t="n">
        <v>45209</v>
      </c>
      <c r="B9767" s="534" t="n">
        <v>8.050000000000001</v>
      </c>
      <c r="C9767" s="534" t="n">
        <v>17664.73</v>
      </c>
    </row>
    <row r="9768">
      <c r="A9768" s="535" t="n">
        <v>45210</v>
      </c>
      <c r="B9768" s="534" t="n">
        <v>8.09</v>
      </c>
      <c r="C9768" s="534" t="n">
        <v>17893.1</v>
      </c>
    </row>
    <row r="9769">
      <c r="A9769" s="535" t="n">
        <v>45211</v>
      </c>
      <c r="B9769" s="534" t="n">
        <v>8.15</v>
      </c>
      <c r="C9769" s="534" t="n">
        <v>18238.21</v>
      </c>
    </row>
    <row r="9770">
      <c r="A9770" s="535" t="n">
        <v>45212</v>
      </c>
      <c r="B9770" s="534" t="n">
        <v>7.97</v>
      </c>
      <c r="C9770" s="534" t="n">
        <v>17813.45</v>
      </c>
    </row>
    <row r="9771">
      <c r="A9771" s="535" t="n">
        <v>45215</v>
      </c>
      <c r="B9771" s="534" t="n">
        <v>7.94</v>
      </c>
      <c r="C9771" s="534" t="n">
        <v>17640.36</v>
      </c>
    </row>
    <row r="9772">
      <c r="A9772" s="535" t="n">
        <v>45216</v>
      </c>
      <c r="B9772" s="534" t="n">
        <v>7.92</v>
      </c>
      <c r="C9772" s="534" t="n">
        <v>17773.34</v>
      </c>
    </row>
    <row r="9773">
      <c r="A9773" s="535" t="n">
        <v>45217</v>
      </c>
      <c r="B9773" s="534" t="n">
        <v>7.84</v>
      </c>
      <c r="C9773" s="534" t="n">
        <v>17732.52</v>
      </c>
    </row>
    <row r="9774">
      <c r="A9774" s="535" t="n">
        <v>45218</v>
      </c>
      <c r="B9774" s="534" t="n">
        <v>7.74</v>
      </c>
      <c r="C9774" s="534" t="n">
        <v>17295.89</v>
      </c>
    </row>
    <row r="9775">
      <c r="A9775" s="535" t="n">
        <v>45219</v>
      </c>
      <c r="B9775" s="534" t="n">
        <v>7.71</v>
      </c>
      <c r="C9775" s="534" t="n">
        <v>17172.13</v>
      </c>
    </row>
    <row r="9776">
      <c r="A9776" s="535" t="n">
        <v>45222</v>
      </c>
      <c r="B9776" s="534" t="n">
        <v>7.71</v>
      </c>
      <c r="C9776" s="534" t="n">
        <v>17172.13</v>
      </c>
    </row>
    <row r="9777">
      <c r="A9777" s="535" t="n">
        <v>45223</v>
      </c>
      <c r="B9777" s="534" t="n">
        <v>7.72</v>
      </c>
      <c r="C9777" s="534" t="n">
        <v>16991.53</v>
      </c>
    </row>
    <row r="9778">
      <c r="A9778" s="535" t="n">
        <v>45224</v>
      </c>
      <c r="B9778" s="534" t="n">
        <v>7.85</v>
      </c>
      <c r="C9778" s="534" t="n">
        <v>17085.33</v>
      </c>
    </row>
    <row r="9779">
      <c r="A9779" s="535" t="n">
        <v>45225</v>
      </c>
      <c r="B9779" s="534" t="n">
        <v>7.84</v>
      </c>
      <c r="C9779" s="534" t="n">
        <v>17044.61</v>
      </c>
    </row>
    <row r="9780">
      <c r="A9780" s="535" t="n">
        <v>45226</v>
      </c>
      <c r="B9780" s="534" t="n">
        <v>7.9</v>
      </c>
      <c r="C9780" s="534" t="n">
        <v>17398.73</v>
      </c>
    </row>
    <row r="9781">
      <c r="A9781" s="535" t="n">
        <v>45229</v>
      </c>
      <c r="B9781" s="534" t="n">
        <v>7.84</v>
      </c>
      <c r="C9781" s="534" t="n">
        <v>17406.36</v>
      </c>
    </row>
    <row r="9782">
      <c r="A9782" s="535" t="n">
        <v>45230</v>
      </c>
      <c r="B9782" s="534" t="n">
        <v>7.86</v>
      </c>
      <c r="C9782" s="534" t="n">
        <v>17112.48</v>
      </c>
    </row>
    <row r="9783">
      <c r="A9783" s="535" t="n">
        <v>45231</v>
      </c>
      <c r="B9783" s="534" t="n">
        <v>7.81</v>
      </c>
      <c r="C9783" s="534" t="n">
        <v>17101.78</v>
      </c>
    </row>
    <row r="9784">
      <c r="A9784" s="535" t="n">
        <v>45232</v>
      </c>
      <c r="B9784" s="534" t="n">
        <v>7.75</v>
      </c>
      <c r="C9784" s="534" t="n">
        <v>17230.59</v>
      </c>
    </row>
    <row r="9785">
      <c r="A9785" s="535" t="n">
        <v>45233</v>
      </c>
      <c r="B9785" s="534" t="n">
        <v>7.77</v>
      </c>
      <c r="C9785" s="534" t="n">
        <v>17664.12</v>
      </c>
    </row>
    <row r="9786">
      <c r="A9786" s="535" t="n">
        <v>45236</v>
      </c>
      <c r="B9786" s="534" t="n">
        <v>7.88</v>
      </c>
      <c r="C9786" s="534" t="n">
        <v>17966.59</v>
      </c>
    </row>
    <row r="9787">
      <c r="A9787" s="535" t="n">
        <v>45237</v>
      </c>
      <c r="B9787" s="534" t="n">
        <v>7.78</v>
      </c>
      <c r="C9787" s="534" t="n">
        <v>17670.16</v>
      </c>
    </row>
    <row r="9788">
      <c r="A9788" s="535" t="n">
        <v>45238</v>
      </c>
      <c r="B9788" s="534" t="n">
        <v>7.78</v>
      </c>
      <c r="C9788" s="534" t="n">
        <v>17568.46</v>
      </c>
    </row>
    <row r="9789">
      <c r="A9789" s="535" t="n">
        <v>45239</v>
      </c>
      <c r="B9789" s="534" t="n">
        <v>7.8</v>
      </c>
      <c r="C9789" s="534" t="n">
        <v>17511.29</v>
      </c>
    </row>
    <row r="9790">
      <c r="A9790" s="535" t="n">
        <v>45240</v>
      </c>
      <c r="B9790" s="534" t="n">
        <v>7.73</v>
      </c>
      <c r="C9790" s="534" t="n">
        <v>17203.26</v>
      </c>
    </row>
    <row r="9791">
      <c r="A9791" s="535" t="n">
        <v>45243</v>
      </c>
      <c r="B9791" s="534" t="n">
        <v>7.71</v>
      </c>
      <c r="C9791" s="534" t="n">
        <v>17426.21</v>
      </c>
    </row>
    <row r="9792">
      <c r="A9792" s="535" t="n">
        <v>45244</v>
      </c>
      <c r="B9792" s="534" t="n">
        <v>7.7</v>
      </c>
      <c r="C9792" s="534" t="n">
        <v>17396.86</v>
      </c>
    </row>
    <row r="9793">
      <c r="A9793" s="535" t="n">
        <v>45245</v>
      </c>
      <c r="B9793" s="534" t="n">
        <v>7.86</v>
      </c>
      <c r="C9793" s="534" t="n">
        <v>18079</v>
      </c>
    </row>
    <row r="9794">
      <c r="A9794" s="535" t="n">
        <v>45246</v>
      </c>
      <c r="B9794" s="534" t="n">
        <v>7.82</v>
      </c>
      <c r="C9794" s="534" t="n">
        <v>17832.82</v>
      </c>
    </row>
    <row r="9795">
      <c r="A9795" s="535" t="n">
        <v>45247</v>
      </c>
      <c r="B9795" s="534" t="n">
        <v>7.79</v>
      </c>
      <c r="C9795" s="534" t="n">
        <v>17454.19</v>
      </c>
    </row>
    <row r="9796">
      <c r="A9796" s="535" t="n">
        <v>45250</v>
      </c>
      <c r="B9796" s="534" t="n">
        <v>7.97</v>
      </c>
      <c r="C9796" s="534" t="n">
        <v>17778.07</v>
      </c>
    </row>
    <row r="9797">
      <c r="A9797" s="535" t="n">
        <v>45251</v>
      </c>
      <c r="B9797" s="534" t="n">
        <v>8.09</v>
      </c>
      <c r="C9797" s="534" t="n">
        <v>17733.89</v>
      </c>
    </row>
    <row r="9798">
      <c r="A9798" s="535" t="n">
        <v>45252</v>
      </c>
      <c r="B9798" s="534" t="n">
        <v>8.039999999999999</v>
      </c>
      <c r="C9798" s="534" t="n">
        <v>17734.6</v>
      </c>
    </row>
    <row r="9799">
      <c r="A9799" s="535" t="n">
        <v>45253</v>
      </c>
      <c r="B9799" s="534" t="n">
        <v>8.140000000000001</v>
      </c>
      <c r="C9799" s="534" t="n">
        <v>17910.84</v>
      </c>
    </row>
    <row r="9800">
      <c r="A9800" s="535" t="n">
        <v>45254</v>
      </c>
      <c r="B9800" s="534" t="n">
        <v>8.15</v>
      </c>
      <c r="C9800" s="534" t="n">
        <v>17559.42</v>
      </c>
    </row>
    <row r="9801">
      <c r="A9801" s="535" t="n">
        <v>45257</v>
      </c>
      <c r="B9801" s="534" t="n">
        <v>8.02</v>
      </c>
      <c r="C9801" s="534" t="n">
        <v>17525.06</v>
      </c>
    </row>
    <row r="9802">
      <c r="A9802" s="535" t="n">
        <v>45258</v>
      </c>
      <c r="B9802" s="534" t="n">
        <v>7.85</v>
      </c>
      <c r="C9802" s="534" t="n">
        <v>17354.14</v>
      </c>
    </row>
    <row r="9803">
      <c r="A9803" s="535" t="n">
        <v>45259</v>
      </c>
      <c r="B9803" s="534" t="n">
        <v>7.87</v>
      </c>
      <c r="C9803" s="534" t="n">
        <v>16993.44</v>
      </c>
    </row>
    <row r="9804">
      <c r="A9804" s="535" t="n">
        <v>45260</v>
      </c>
      <c r="B9804" s="534" t="n">
        <v>7.88</v>
      </c>
      <c r="C9804" s="534" t="n">
        <v>17042.88</v>
      </c>
    </row>
    <row r="9805">
      <c r="A9805" s="535" t="n">
        <v>45261</v>
      </c>
      <c r="B9805" s="534" t="n">
        <v>7.86</v>
      </c>
      <c r="C9805" s="534" t="n">
        <v>16830.3</v>
      </c>
    </row>
    <row r="9806">
      <c r="A9806" s="535" t="n">
        <v>45264</v>
      </c>
      <c r="B9806" s="534" t="n">
        <v>7.83</v>
      </c>
      <c r="C9806" s="534" t="n">
        <v>16646.05</v>
      </c>
    </row>
    <row r="9807">
      <c r="A9807" s="535" t="n">
        <v>45265</v>
      </c>
      <c r="B9807" s="534" t="n">
        <v>7.8</v>
      </c>
      <c r="C9807" s="534" t="n">
        <v>16327.86</v>
      </c>
    </row>
    <row r="9808">
      <c r="A9808" s="535" t="n">
        <v>45266</v>
      </c>
      <c r="B9808" s="534" t="n">
        <v>7.82</v>
      </c>
      <c r="C9808" s="534" t="n">
        <v>16463.26</v>
      </c>
    </row>
    <row r="9809">
      <c r="A9809" s="535" t="n">
        <v>45267</v>
      </c>
      <c r="B9809" s="534" t="n">
        <v>7.82</v>
      </c>
      <c r="C9809" s="534" t="n">
        <v>16345.89</v>
      </c>
    </row>
    <row r="9810">
      <c r="A9810" s="535" t="n">
        <v>45268</v>
      </c>
      <c r="B9810" s="534" t="n">
        <v>7.8</v>
      </c>
      <c r="C9810" s="534" t="n">
        <v>16334.37</v>
      </c>
    </row>
    <row r="9811">
      <c r="A9811" s="535" t="n">
        <v>45271</v>
      </c>
      <c r="B9811" s="534" t="n">
        <v>7.83</v>
      </c>
      <c r="C9811" s="534" t="n">
        <v>16201.49</v>
      </c>
    </row>
    <row r="9812">
      <c r="A9812" s="535" t="n">
        <v>45272</v>
      </c>
      <c r="B9812" s="534" t="n">
        <v>7.88</v>
      </c>
      <c r="C9812" s="534" t="n">
        <v>16374.5</v>
      </c>
    </row>
    <row r="9813">
      <c r="A9813" s="535" t="n">
        <v>45273</v>
      </c>
      <c r="B9813" s="534" t="n">
        <v>8.08</v>
      </c>
      <c r="C9813" s="534" t="n">
        <v>16228.75</v>
      </c>
    </row>
    <row r="9814">
      <c r="A9814" s="535" t="n">
        <v>45274</v>
      </c>
      <c r="B9814" s="534" t="n">
        <v>8.300000000000001</v>
      </c>
      <c r="C9814" s="534" t="n">
        <v>16402.19</v>
      </c>
    </row>
    <row r="9815">
      <c r="A9815" s="535" t="n">
        <v>45275</v>
      </c>
      <c r="B9815" s="534" t="n">
        <v>8.390000000000001</v>
      </c>
      <c r="C9815" s="534" t="n">
        <v>16792.19</v>
      </c>
    </row>
    <row r="9816">
      <c r="A9816" s="535" t="n">
        <v>45278</v>
      </c>
      <c r="B9816" s="534" t="n">
        <v>8.359999999999999</v>
      </c>
      <c r="C9816" s="534" t="n">
        <v>16629.23</v>
      </c>
    </row>
    <row r="9817">
      <c r="A9817" s="535" t="n">
        <v>45279</v>
      </c>
      <c r="B9817" s="534" t="n">
        <v>8.300000000000001</v>
      </c>
      <c r="C9817" s="534" t="n">
        <v>16505</v>
      </c>
    </row>
    <row r="9818">
      <c r="A9818" s="535" t="n">
        <v>45280</v>
      </c>
      <c r="B9818" s="534" t="n">
        <v>8.27</v>
      </c>
      <c r="C9818" s="534" t="n">
        <v>16613.81</v>
      </c>
    </row>
    <row r="9819">
      <c r="A9819" s="535" t="n">
        <v>45281</v>
      </c>
      <c r="B9819" s="534" t="n">
        <v>8.31</v>
      </c>
      <c r="C9819" s="534" t="n">
        <v>16621.13</v>
      </c>
    </row>
    <row r="9820">
      <c r="A9820" s="535" t="n">
        <v>45282</v>
      </c>
      <c r="B9820" s="534" t="n">
        <v>8.27</v>
      </c>
      <c r="C9820" s="534" t="n">
        <v>16340.41</v>
      </c>
    </row>
    <row r="9821">
      <c r="A9821" s="535" t="n">
        <v>45285</v>
      </c>
      <c r="B9821" s="534" t="n">
        <v>8.27</v>
      </c>
      <c r="C9821" s="534" t="n">
        <v>16340.41</v>
      </c>
    </row>
    <row r="9822">
      <c r="A9822" s="535" t="n">
        <v>45286</v>
      </c>
      <c r="B9822" s="534" t="n">
        <v>8.27</v>
      </c>
      <c r="C9822" s="534" t="n">
        <v>16340.41</v>
      </c>
    </row>
    <row r="9823">
      <c r="A9823" s="535" t="n">
        <v>45287</v>
      </c>
      <c r="B9823" s="534" t="n">
        <v>8.16</v>
      </c>
      <c r="C9823" s="534" t="n">
        <v>16624.84</v>
      </c>
    </row>
    <row r="9824">
      <c r="A9824" s="535" t="n">
        <v>45288</v>
      </c>
      <c r="B9824" s="534" t="n">
        <v>8.220000000000001</v>
      </c>
      <c r="C9824" s="534" t="n">
        <v>17043.53</v>
      </c>
    </row>
    <row r="9825">
      <c r="A9825" s="535" t="n">
        <v>45289</v>
      </c>
      <c r="B9825" s="534" t="n">
        <v>8.16</v>
      </c>
      <c r="C9825" s="534" t="n">
        <v>17047.39</v>
      </c>
    </row>
    <row r="9826">
      <c r="A9826" s="535" t="n">
        <v>45292</v>
      </c>
      <c r="B9826" s="534" t="n">
        <v>8.16</v>
      </c>
      <c r="C9826" s="534" t="n">
        <v>17047.39</v>
      </c>
    </row>
    <row r="9827">
      <c r="A9827" s="535" t="n">
        <v>45293</v>
      </c>
      <c r="B9827" s="534" t="n">
        <v>8.09</v>
      </c>
      <c r="C9827" s="534" t="n">
        <v>16788.55</v>
      </c>
    </row>
    <row r="9828">
      <c r="A9828" s="535" t="n">
        <v>45294</v>
      </c>
      <c r="B9828" s="534" t="n">
        <v>8.1</v>
      </c>
      <c r="C9828" s="534" t="n">
        <v>16646.41</v>
      </c>
    </row>
    <row r="9829">
      <c r="A9829" s="535" t="n">
        <v>45295</v>
      </c>
      <c r="B9829" s="534" t="n">
        <v>8.26</v>
      </c>
      <c r="C9829" s="534" t="n">
        <v>16645.98</v>
      </c>
    </row>
    <row r="9830">
      <c r="A9830" s="535" t="n">
        <v>45296</v>
      </c>
      <c r="B9830" s="534" t="n">
        <v>8.210000000000001</v>
      </c>
      <c r="C9830" s="534" t="n">
        <v>16535.33</v>
      </c>
    </row>
    <row r="9831">
      <c r="A9831" s="535" t="n">
        <v>45299</v>
      </c>
      <c r="B9831" s="534" t="n">
        <v>8.119999999999999</v>
      </c>
      <c r="C9831" s="534" t="n">
        <v>16224.45</v>
      </c>
    </row>
    <row r="9832">
      <c r="A9832" s="535" t="n">
        <v>45300</v>
      </c>
      <c r="B9832" s="534" t="n">
        <v>8.199999999999999</v>
      </c>
      <c r="C9832" s="534" t="n">
        <v>16190.02</v>
      </c>
    </row>
    <row r="9833">
      <c r="A9833" s="535" t="n">
        <v>45301</v>
      </c>
      <c r="B9833" s="534" t="n">
        <v>8.06</v>
      </c>
      <c r="C9833" s="534" t="n">
        <v>16097.28</v>
      </c>
    </row>
    <row r="9834">
      <c r="A9834" s="535" t="n">
        <v>45302</v>
      </c>
      <c r="B9834" s="534" t="n">
        <v>8</v>
      </c>
      <c r="C9834" s="534" t="n">
        <v>16302.04</v>
      </c>
    </row>
    <row r="9835">
      <c r="A9835" s="535" t="n">
        <v>45303</v>
      </c>
      <c r="B9835" s="534" t="n">
        <v>7.92</v>
      </c>
      <c r="C9835" s="534" t="n">
        <v>16244.58</v>
      </c>
    </row>
    <row r="9836">
      <c r="A9836" s="535" t="n">
        <v>45306</v>
      </c>
      <c r="B9836" s="534" t="n">
        <v>7.91</v>
      </c>
      <c r="C9836" s="534" t="n">
        <v>16216.33</v>
      </c>
    </row>
    <row r="9837">
      <c r="A9837" s="535" t="n">
        <v>45307</v>
      </c>
      <c r="B9837" s="534" t="n">
        <v>7.9</v>
      </c>
      <c r="C9837" s="534" t="n">
        <v>15865.92</v>
      </c>
    </row>
    <row r="9838">
      <c r="A9838" s="535" t="n">
        <v>45308</v>
      </c>
      <c r="B9838" s="534" t="n">
        <v>7.8</v>
      </c>
      <c r="C9838" s="534" t="n">
        <v>15276.9</v>
      </c>
    </row>
    <row r="9839">
      <c r="A9839" s="535" t="n">
        <v>45309</v>
      </c>
      <c r="B9839" s="534" t="n">
        <v>7.76</v>
      </c>
      <c r="C9839" s="534" t="n">
        <v>15391.79</v>
      </c>
    </row>
    <row r="9840">
      <c r="A9840" s="535" t="n">
        <v>45310</v>
      </c>
      <c r="B9840" s="534" t="n">
        <v>7.84</v>
      </c>
      <c r="C9840" s="534" t="n">
        <v>15308.69</v>
      </c>
    </row>
    <row r="9841">
      <c r="A9841" s="535" t="n">
        <v>45313</v>
      </c>
      <c r="B9841" s="534" t="n">
        <v>7.7</v>
      </c>
      <c r="C9841" s="534" t="n">
        <v>14961.18</v>
      </c>
    </row>
    <row r="9842">
      <c r="A9842" s="535" t="n">
        <v>45314</v>
      </c>
      <c r="B9842" s="534" t="n">
        <v>7.81</v>
      </c>
      <c r="C9842" s="534" t="n">
        <v>15353.98</v>
      </c>
    </row>
    <row r="9843">
      <c r="A9843" s="535" t="n">
        <v>45315</v>
      </c>
      <c r="B9843" s="534" t="n">
        <v>7.9</v>
      </c>
      <c r="C9843" s="534" t="n">
        <v>15899.87</v>
      </c>
    </row>
    <row r="9844">
      <c r="A9844" s="535" t="n">
        <v>45316</v>
      </c>
      <c r="B9844" s="534" t="n">
        <v>7.89</v>
      </c>
      <c r="C9844" s="534" t="n">
        <v>16211.96</v>
      </c>
    </row>
    <row r="9845">
      <c r="A9845" s="535" t="n">
        <v>45317</v>
      </c>
      <c r="B9845" s="534" t="n">
        <v>7.86</v>
      </c>
      <c r="C9845" s="534" t="n">
        <v>15952.23</v>
      </c>
    </row>
    <row r="9846">
      <c r="A9846" s="535" t="n">
        <v>45320</v>
      </c>
      <c r="B9846" s="534" t="n">
        <v>7.96</v>
      </c>
      <c r="C9846" s="534" t="n">
        <v>16077.24</v>
      </c>
    </row>
    <row r="9847">
      <c r="A9847" s="535" t="n">
        <v>45321</v>
      </c>
      <c r="B9847" s="534" t="n">
        <v>7.82</v>
      </c>
      <c r="C9847" s="534" t="n">
        <v>15703.45</v>
      </c>
    </row>
    <row r="9848">
      <c r="A9848" s="535" t="n">
        <v>45322</v>
      </c>
      <c r="B9848" s="534" t="n">
        <v>7.97</v>
      </c>
      <c r="C9848" s="534" t="n">
        <v>15485.07</v>
      </c>
    </row>
    <row r="9849">
      <c r="A9849" s="535" t="n">
        <v>45323</v>
      </c>
      <c r="B9849" s="534" t="n">
        <v>7.99</v>
      </c>
      <c r="C9849" s="534" t="n">
        <v>15566.21</v>
      </c>
    </row>
    <row r="9850">
      <c r="A9850" s="535" t="n">
        <v>45324</v>
      </c>
      <c r="B9850" s="534" t="n">
        <v>8.039999999999999</v>
      </c>
      <c r="C9850" s="534" t="n">
        <v>15533.56</v>
      </c>
    </row>
    <row r="9851">
      <c r="A9851" s="535" t="n">
        <v>45327</v>
      </c>
      <c r="B9851" s="534" t="n">
        <v>7.92</v>
      </c>
      <c r="C9851" s="534" t="n">
        <v>15510.01</v>
      </c>
    </row>
    <row r="9852">
      <c r="A9852" s="535" t="n">
        <v>45328</v>
      </c>
      <c r="B9852" s="534" t="n">
        <v>8</v>
      </c>
      <c r="C9852" s="534" t="n">
        <v>16136.87</v>
      </c>
    </row>
    <row r="9853">
      <c r="A9853" s="535" t="n">
        <v>45329</v>
      </c>
      <c r="B9853" s="534" t="n">
        <v>8</v>
      </c>
      <c r="C9853" s="534" t="n">
        <v>16081.89</v>
      </c>
    </row>
    <row r="9854">
      <c r="A9854" s="535" t="n">
        <v>45330</v>
      </c>
      <c r="B9854" s="534" t="n">
        <v>8.029999999999999</v>
      </c>
      <c r="C9854" s="534" t="n">
        <v>15878.07</v>
      </c>
    </row>
    <row r="9855">
      <c r="A9855" s="535" t="n">
        <v>45331</v>
      </c>
      <c r="B9855" s="534" t="n">
        <v>8.140000000000001</v>
      </c>
      <c r="C9855" s="534" t="n">
        <v>15746.58</v>
      </c>
    </row>
    <row r="9856">
      <c r="A9856" s="535" t="n">
        <v>45334</v>
      </c>
      <c r="B9856" s="534" t="n">
        <v>8.140000000000001</v>
      </c>
      <c r="C9856" s="534" t="n">
        <v>15746.58</v>
      </c>
    </row>
    <row r="9857">
      <c r="A9857" s="535" t="n">
        <v>45335</v>
      </c>
      <c r="B9857" s="534" t="n">
        <v>8.140000000000001</v>
      </c>
      <c r="C9857" s="534" t="n">
        <v>15746.58</v>
      </c>
    </row>
    <row r="9858">
      <c r="A9858" s="535" t="n">
        <v>45336</v>
      </c>
      <c r="B9858" s="534" t="n">
        <v>8.16</v>
      </c>
      <c r="C9858" s="534" t="n">
        <v>15879.38</v>
      </c>
    </row>
    <row r="9859">
      <c r="A9859" s="535" t="n">
        <v>45337</v>
      </c>
      <c r="B9859" s="534" t="n">
        <v>8.140000000000001</v>
      </c>
      <c r="C9859" s="534" t="n">
        <v>15944.63</v>
      </c>
    </row>
    <row r="9860">
      <c r="A9860" s="535" t="n">
        <v>45338</v>
      </c>
      <c r="B9860" s="534" t="n">
        <v>8.19</v>
      </c>
      <c r="C9860" s="534" t="n">
        <v>16339.96</v>
      </c>
    </row>
    <row r="9861">
      <c r="A9861" s="535" t="n">
        <v>45341</v>
      </c>
      <c r="B9861" s="534" t="n">
        <v>8.109999999999999</v>
      </c>
      <c r="C9861" s="534" t="n">
        <v>16155.61</v>
      </c>
    </row>
    <row r="9862">
      <c r="A9862" s="535" t="n">
        <v>45342</v>
      </c>
      <c r="B9862" s="534" t="n">
        <v>8.109999999999999</v>
      </c>
      <c r="C9862" s="534" t="n">
        <v>16247.51</v>
      </c>
    </row>
    <row r="9863">
      <c r="A9863" s="535" t="n">
        <v>45343</v>
      </c>
      <c r="B9863" s="534" t="n">
        <v>8.140000000000001</v>
      </c>
      <c r="C9863" s="534" t="n">
        <v>16503.1</v>
      </c>
    </row>
    <row r="9864">
      <c r="A9864" s="535" t="n">
        <v>45344</v>
      </c>
      <c r="B9864" s="534" t="n">
        <v>8.140000000000001</v>
      </c>
      <c r="C9864" s="534" t="n">
        <v>16742.95</v>
      </c>
    </row>
    <row r="9865">
      <c r="A9865" s="535" t="n">
        <v>45345</v>
      </c>
      <c r="B9865" s="534" t="n">
        <v>8.15</v>
      </c>
      <c r="C9865" s="534" t="n">
        <v>16725.86</v>
      </c>
    </row>
    <row r="9866">
      <c r="A9866" s="535" t="n">
        <v>45348</v>
      </c>
      <c r="B9866" s="534" t="n">
        <v>8.4</v>
      </c>
      <c r="C9866" s="534" t="n">
        <v>16634.74</v>
      </c>
    </row>
    <row r="9867">
      <c r="A9867" s="535" t="n">
        <v>45349</v>
      </c>
      <c r="B9867" s="534" t="n">
        <v>8.49</v>
      </c>
      <c r="C9867" s="534" t="n">
        <v>16790.8</v>
      </c>
    </row>
    <row r="9868">
      <c r="A9868" s="535" t="n">
        <v>45350</v>
      </c>
      <c r="B9868" s="534" t="n">
        <v>8.41</v>
      </c>
      <c r="C9868" s="534" t="n">
        <v>16536.85</v>
      </c>
    </row>
    <row r="9869">
      <c r="A9869" s="535" t="n">
        <v>45351</v>
      </c>
      <c r="B9869" s="534" t="n">
        <v>8.48</v>
      </c>
      <c r="C9869" s="534" t="n">
        <v>16511.44</v>
      </c>
    </row>
    <row r="9870">
      <c r="A9870" s="535" t="n">
        <v>45352</v>
      </c>
      <c r="B9870" s="534" t="n">
        <v>8.44</v>
      </c>
      <c r="C9870" s="534" t="n">
        <v>16589.44</v>
      </c>
    </row>
    <row r="9871">
      <c r="A9871" s="535" t="n">
        <v>45355</v>
      </c>
      <c r="B9871" s="534" t="n">
        <v>8.48</v>
      </c>
      <c r="C9871" s="534" t="n">
        <v>16595.97</v>
      </c>
    </row>
    <row r="9872">
      <c r="A9872" s="535" t="n">
        <v>45356</v>
      </c>
      <c r="B9872" s="534" t="n">
        <v>8.41</v>
      </c>
      <c r="C9872" s="534" t="n">
        <v>16162.64</v>
      </c>
    </row>
    <row r="9873">
      <c r="A9873" s="535" t="n">
        <v>45357</v>
      </c>
      <c r="B9873" s="534" t="n">
        <v>8.42</v>
      </c>
      <c r="C9873" s="534" t="n">
        <v>16438.09</v>
      </c>
    </row>
    <row r="9874">
      <c r="A9874" s="535" t="n">
        <v>45358</v>
      </c>
      <c r="B9874" s="534" t="n">
        <v>8.49</v>
      </c>
      <c r="C9874" s="534" t="n">
        <v>16229.78</v>
      </c>
    </row>
    <row r="9875">
      <c r="A9875" s="535" t="n">
        <v>45359</v>
      </c>
      <c r="B9875" s="534" t="n">
        <v>8.44</v>
      </c>
      <c r="C9875" s="534" t="n">
        <v>16353.39</v>
      </c>
    </row>
    <row r="9876">
      <c r="A9876" s="535" t="n">
        <v>45362</v>
      </c>
      <c r="B9876" s="534" t="n">
        <v>8.380000000000001</v>
      </c>
      <c r="C9876" s="534" t="n">
        <v>16587.57</v>
      </c>
    </row>
    <row r="9877">
      <c r="A9877" s="535" t="n">
        <v>45363</v>
      </c>
      <c r="B9877" s="534" t="n">
        <v>8.68</v>
      </c>
      <c r="C9877" s="534" t="n">
        <v>17093.5</v>
      </c>
    </row>
    <row r="9878">
      <c r="A9878" s="535" t="n">
        <v>45364</v>
      </c>
      <c r="B9878" s="534" t="n">
        <v>9.18</v>
      </c>
      <c r="C9878" s="534" t="n">
        <v>17082.11</v>
      </c>
    </row>
    <row r="9879">
      <c r="A9879" s="535" t="n">
        <v>45365</v>
      </c>
      <c r="B9879" s="534" t="n">
        <v>8.869999999999999</v>
      </c>
      <c r="C9879" s="534" t="n">
        <v>16961.66</v>
      </c>
    </row>
    <row r="9880">
      <c r="A9880" s="535" t="n">
        <v>45366</v>
      </c>
      <c r="B9880" s="534" t="n">
        <v>8.75</v>
      </c>
      <c r="C9880" s="534" t="n">
        <v>16720.89</v>
      </c>
    </row>
    <row r="9881">
      <c r="A9881" s="535" t="n">
        <v>45369</v>
      </c>
      <c r="B9881" s="534" t="n">
        <v>8.83</v>
      </c>
      <c r="C9881" s="534" t="n">
        <v>16737.12</v>
      </c>
    </row>
    <row r="9882">
      <c r="A9882" s="535" t="n">
        <v>45370</v>
      </c>
      <c r="B9882" s="534" t="n">
        <v>8.720000000000001</v>
      </c>
      <c r="C9882" s="534" t="n">
        <v>16529.48</v>
      </c>
    </row>
    <row r="9883">
      <c r="A9883" s="535" t="n">
        <v>45371</v>
      </c>
      <c r="B9883" s="534" t="n">
        <v>8.720000000000001</v>
      </c>
      <c r="C9883" s="534" t="n">
        <v>16543.07</v>
      </c>
    </row>
    <row r="9884">
      <c r="A9884" s="535" t="n">
        <v>45372</v>
      </c>
      <c r="B9884" s="534" t="n">
        <v>8.800000000000001</v>
      </c>
      <c r="C9884" s="534" t="n">
        <v>16863.1</v>
      </c>
    </row>
    <row r="9885">
      <c r="A9885" s="535" t="n">
        <v>45373</v>
      </c>
      <c r="B9885" s="534" t="n">
        <v>8.65</v>
      </c>
      <c r="C9885" s="534" t="n">
        <v>16499.47</v>
      </c>
    </row>
    <row r="9886">
      <c r="A9886" s="535" t="n">
        <v>45376</v>
      </c>
      <c r="B9886" s="534" t="n">
        <v>8.74</v>
      </c>
      <c r="C9886" s="534" t="n">
        <v>16473.64</v>
      </c>
    </row>
    <row r="9887">
      <c r="A9887" s="535" t="n">
        <v>45377</v>
      </c>
      <c r="B9887" s="534" t="n">
        <v>8.800000000000001</v>
      </c>
      <c r="C9887" s="534" t="n">
        <v>16618.32</v>
      </c>
    </row>
    <row r="9888">
      <c r="A9888" s="535" t="n">
        <v>45378</v>
      </c>
      <c r="B9888" s="534" t="n">
        <v>8.82</v>
      </c>
      <c r="C9888" s="534" t="n">
        <v>16392.84</v>
      </c>
    </row>
    <row r="9889">
      <c r="A9889" s="535" t="n">
        <v>45379</v>
      </c>
      <c r="B9889" s="534" t="n">
        <v>8.890000000000001</v>
      </c>
      <c r="C9889" s="534" t="n">
        <v>16541.42</v>
      </c>
    </row>
    <row r="9890">
      <c r="A9890" s="535" t="n">
        <v>45380</v>
      </c>
      <c r="B9890" s="534" t="n">
        <v>8.890000000000001</v>
      </c>
      <c r="C9890" s="534" t="n">
        <v>16541.42</v>
      </c>
    </row>
    <row r="9891">
      <c r="A9891" s="535" t="n">
        <v>45383</v>
      </c>
      <c r="B9891" s="534" t="n">
        <v>8.890000000000001</v>
      </c>
      <c r="C9891" s="534" t="n">
        <v>16541.42</v>
      </c>
    </row>
    <row r="9892">
      <c r="A9892" s="535" t="n">
        <v>45384</v>
      </c>
      <c r="B9892" s="534" t="n">
        <v>8.539999999999999</v>
      </c>
      <c r="C9892" s="534" t="n">
        <v>16931.52</v>
      </c>
    </row>
    <row r="9893">
      <c r="A9893" s="535" t="n">
        <v>45385</v>
      </c>
      <c r="B9893" s="534" t="n">
        <v>8.41</v>
      </c>
      <c r="C9893" s="534" t="n">
        <v>16725.1</v>
      </c>
    </row>
    <row r="9894">
      <c r="A9894" s="535" t="n">
        <v>45386</v>
      </c>
      <c r="B9894" s="534" t="n">
        <v>8.41</v>
      </c>
      <c r="C9894" s="534" t="n">
        <v>16725.1</v>
      </c>
    </row>
    <row r="9895">
      <c r="A9895" s="535" t="n">
        <v>45387</v>
      </c>
      <c r="B9895" s="534" t="n">
        <v>8.35</v>
      </c>
      <c r="C9895" s="534" t="n">
        <v>16723.92</v>
      </c>
    </row>
    <row r="9896">
      <c r="A9896" s="535" t="n">
        <v>45390</v>
      </c>
      <c r="B9896" s="534" t="n">
        <v>8.31</v>
      </c>
      <c r="C9896" s="534" t="n">
        <v>16732.85</v>
      </c>
    </row>
    <row r="9897">
      <c r="A9897" s="535" t="n">
        <v>45391</v>
      </c>
      <c r="B9897" s="534" t="n">
        <v>8.26</v>
      </c>
      <c r="C9897" s="534" t="n">
        <v>16828.07</v>
      </c>
    </row>
    <row r="9898">
      <c r="A9898" s="535" t="n">
        <v>45392</v>
      </c>
      <c r="B9898" s="534" t="n">
        <v>8.390000000000001</v>
      </c>
      <c r="C9898" s="534" t="n">
        <v>17139.17</v>
      </c>
    </row>
    <row r="9899">
      <c r="A9899" s="535" t="n">
        <v>45393</v>
      </c>
      <c r="B9899" s="534" t="n">
        <v>8.26</v>
      </c>
      <c r="C9899" s="534" t="n">
        <v>17095.03</v>
      </c>
    </row>
    <row r="9900">
      <c r="A9900" s="535" t="n">
        <v>45394</v>
      </c>
      <c r="B9900" s="534" t="n">
        <v>8.279999999999999</v>
      </c>
      <c r="C9900" s="534" t="n">
        <v>16721.69</v>
      </c>
    </row>
    <row r="9901">
      <c r="A9901" s="535" t="n">
        <v>45397</v>
      </c>
      <c r="B9901" s="534" t="n">
        <v>8.17</v>
      </c>
      <c r="C9901" s="534" t="n">
        <v>16600.46</v>
      </c>
    </row>
    <row r="9902">
      <c r="A9902" s="535" t="n">
        <v>45398</v>
      </c>
      <c r="B9902" s="534" t="n">
        <v>7.96</v>
      </c>
      <c r="C9902" s="534" t="n">
        <v>16248.97</v>
      </c>
    </row>
    <row r="9903">
      <c r="A9903" s="535" t="n">
        <v>45399</v>
      </c>
      <c r="B9903" s="534" t="n">
        <v>8.029999999999999</v>
      </c>
      <c r="C9903" s="534" t="n">
        <v>16251.84</v>
      </c>
    </row>
    <row r="9904">
      <c r="A9904" s="535" t="n">
        <v>45400</v>
      </c>
      <c r="B9904" s="534" t="n">
        <v>8.17</v>
      </c>
      <c r="C9904" s="534" t="n">
        <v>16385.87</v>
      </c>
    </row>
    <row r="9905">
      <c r="A9905" s="535" t="n">
        <v>45401</v>
      </c>
      <c r="B9905" s="534" t="n">
        <v>8.06</v>
      </c>
      <c r="C9905" s="534" t="n">
        <v>16224.14</v>
      </c>
    </row>
    <row r="9906">
      <c r="A9906" s="535" t="n">
        <v>45404</v>
      </c>
      <c r="B9906" s="534" t="n">
        <v>8.07</v>
      </c>
      <c r="C9906" s="534" t="n">
        <v>16511.69</v>
      </c>
    </row>
    <row r="9907">
      <c r="A9907" s="535" t="n">
        <v>45405</v>
      </c>
      <c r="B9907" s="534" t="n">
        <v>8.06</v>
      </c>
      <c r="C9907" s="534" t="n">
        <v>16828.93</v>
      </c>
    </row>
    <row r="9908">
      <c r="A9908" s="535" t="n">
        <v>45406</v>
      </c>
      <c r="B9908" s="534" t="n">
        <v>8.210000000000001</v>
      </c>
      <c r="C9908" s="534" t="n">
        <v>17201.27</v>
      </c>
    </row>
    <row r="9909">
      <c r="A9909" s="535" t="n">
        <v>45407</v>
      </c>
      <c r="B9909" s="534" t="n">
        <v>8.27</v>
      </c>
      <c r="C9909" s="534" t="n">
        <v>17284.54</v>
      </c>
    </row>
    <row r="9910">
      <c r="A9910" s="535" t="n">
        <v>45408</v>
      </c>
      <c r="B9910" s="534" t="n">
        <v>8.369999999999999</v>
      </c>
      <c r="C9910" s="534" t="n">
        <v>17651.15</v>
      </c>
    </row>
    <row r="9911">
      <c r="A9911" s="535" t="n">
        <v>45411</v>
      </c>
      <c r="B9911" s="534" t="n">
        <v>8.390000000000001</v>
      </c>
      <c r="C9911" s="534" t="n">
        <v>17746.91</v>
      </c>
    </row>
    <row r="9912">
      <c r="A9912" s="535" t="n">
        <v>45412</v>
      </c>
      <c r="B9912" s="534" t="n">
        <v>8.449999999999999</v>
      </c>
      <c r="C9912" s="534" t="n">
        <v>17763.03</v>
      </c>
    </row>
    <row r="9913">
      <c r="A9913" s="535" t="n">
        <v>45413</v>
      </c>
      <c r="B9913" s="534" t="n">
        <v>8.449999999999999</v>
      </c>
      <c r="C9913" s="534" t="n">
        <v>17763.03</v>
      </c>
    </row>
    <row r="9914">
      <c r="A9914" s="535" t="n">
        <v>45414</v>
      </c>
      <c r="B9914" s="534" t="n">
        <v>8.43</v>
      </c>
      <c r="C9914" s="534" t="n">
        <v>18207.13</v>
      </c>
    </row>
    <row r="9915">
      <c r="A9915" s="535" t="n">
        <v>45415</v>
      </c>
      <c r="B9915" s="534" t="n">
        <v>8.44</v>
      </c>
      <c r="C9915" s="534" t="n">
        <v>18475.92</v>
      </c>
    </row>
    <row r="9916">
      <c r="A9916" s="535" t="n">
        <v>45418</v>
      </c>
      <c r="B9916" s="534" t="n">
        <v>8.449999999999999</v>
      </c>
      <c r="C9916" s="534" t="n">
        <v>18578.3</v>
      </c>
    </row>
    <row r="9917">
      <c r="A9917" s="535" t="n">
        <v>45419</v>
      </c>
      <c r="B9917" s="534" t="n">
        <v>8.470000000000001</v>
      </c>
      <c r="C9917" s="534" t="n">
        <v>18479.37</v>
      </c>
    </row>
    <row r="9918">
      <c r="A9918" s="535" t="n">
        <v>45420</v>
      </c>
      <c r="B9918" s="534" t="n">
        <v>8.42</v>
      </c>
      <c r="C9918" s="534" t="n">
        <v>18313.86</v>
      </c>
    </row>
    <row r="9919">
      <c r="A9919" s="535" t="n">
        <v>45421</v>
      </c>
      <c r="B9919" s="534" t="n">
        <v>8.470000000000001</v>
      </c>
      <c r="C9919" s="534" t="n">
        <v>18537.81</v>
      </c>
    </row>
    <row r="9920">
      <c r="A9920" s="535" t="n">
        <v>45422</v>
      </c>
      <c r="B9920" s="534" t="n">
        <v>8.640000000000001</v>
      </c>
      <c r="C9920" s="534" t="n">
        <v>18963.68</v>
      </c>
    </row>
    <row r="9921">
      <c r="A9921" s="535" t="n">
        <v>45425</v>
      </c>
      <c r="B9921" s="534" t="n">
        <v>8.800000000000001</v>
      </c>
      <c r="C9921" s="534" t="n">
        <v>19115.06</v>
      </c>
    </row>
    <row r="9922">
      <c r="A9922" s="535" t="n">
        <v>45426</v>
      </c>
      <c r="B9922" s="534" t="n">
        <v>8.77</v>
      </c>
      <c r="C9922" s="534" t="n">
        <v>19073.71</v>
      </c>
    </row>
    <row r="9923">
      <c r="A9923" s="535" t="n">
        <v>45427</v>
      </c>
      <c r="B9923" s="534" t="n">
        <v>8.77</v>
      </c>
      <c r="C9923" s="534" t="n">
        <v>19073.71</v>
      </c>
    </row>
    <row r="9924">
      <c r="A9924" s="535" t="n">
        <v>45428</v>
      </c>
      <c r="B9924" s="534" t="n">
        <v>8.66</v>
      </c>
      <c r="C9924" s="534" t="n">
        <v>19376.53</v>
      </c>
    </row>
    <row r="9925">
      <c r="A9925" s="535" t="n">
        <v>45429</v>
      </c>
      <c r="B9925" s="534" t="n">
        <v>8.68</v>
      </c>
      <c r="C9925" s="534" t="n">
        <v>19553.61</v>
      </c>
    </row>
    <row r="9926">
      <c r="A9926" s="535" t="n">
        <v>45432</v>
      </c>
      <c r="B9926" s="534" t="n">
        <v>8.69</v>
      </c>
      <c r="C9926" s="534" t="n">
        <v>19636.22</v>
      </c>
    </row>
    <row r="9927">
      <c r="A9927" s="535" t="n">
        <v>45433</v>
      </c>
      <c r="B9927" s="534" t="n">
        <v>8.59</v>
      </c>
      <c r="C9927" s="534" t="n">
        <v>19220.62</v>
      </c>
    </row>
    <row r="9928">
      <c r="A9928" s="535" t="n">
        <v>45434</v>
      </c>
      <c r="B9928" s="534" t="n">
        <v>8.65</v>
      </c>
      <c r="C9928" s="534" t="n">
        <v>19195.6</v>
      </c>
    </row>
    <row r="9929">
      <c r="A9929" s="535" t="n">
        <v>45435</v>
      </c>
      <c r="B9929" s="534" t="n">
        <v>8.35</v>
      </c>
      <c r="C9929" s="534" t="n">
        <v>18868.71</v>
      </c>
    </row>
    <row r="9930">
      <c r="A9930" s="535" t="n">
        <v>45436</v>
      </c>
      <c r="B9930" s="534" t="n">
        <v>8.279999999999999</v>
      </c>
      <c r="C9930" s="534" t="n">
        <v>18608.94</v>
      </c>
    </row>
    <row r="9931">
      <c r="A9931" s="535" t="n">
        <v>45439</v>
      </c>
      <c r="B9931" s="534" t="n">
        <v>8.35</v>
      </c>
      <c r="C9931" s="534" t="n">
        <v>18827.35</v>
      </c>
    </row>
    <row r="9932">
      <c r="A9932" s="535" t="n">
        <v>45440</v>
      </c>
      <c r="B9932" s="534" t="n">
        <v>8.380000000000001</v>
      </c>
      <c r="C9932" s="534" t="n">
        <v>18821.16</v>
      </c>
    </row>
    <row r="9933">
      <c r="A9933" s="535" t="n">
        <v>45441</v>
      </c>
      <c r="B9933" s="534" t="n">
        <v>8.279999999999999</v>
      </c>
      <c r="C9933" s="534" t="n">
        <v>18477.01</v>
      </c>
    </row>
    <row r="9934">
      <c r="A9934" s="535" t="n">
        <v>45442</v>
      </c>
      <c r="B9934" s="534" t="n">
        <v>8.140000000000001</v>
      </c>
      <c r="C9934" s="534" t="n">
        <v>18230.19</v>
      </c>
    </row>
    <row r="9935">
      <c r="A9935" s="535" t="n">
        <v>45443</v>
      </c>
      <c r="B9935" s="534" t="n">
        <v>8.19</v>
      </c>
      <c r="C9935" s="534" t="n">
        <v>18079.61</v>
      </c>
    </row>
    <row r="9936">
      <c r="A9936" s="535" t="n">
        <v>45446</v>
      </c>
      <c r="B9936" s="534" t="n">
        <v>8.279999999999999</v>
      </c>
      <c r="C9936" s="534" t="n">
        <v>18403.04</v>
      </c>
    </row>
    <row r="9937">
      <c r="A9937" s="535" t="n">
        <v>45447</v>
      </c>
      <c r="B9937" s="534" t="n">
        <v>8.359999999999999</v>
      </c>
      <c r="C9937" s="534" t="n">
        <v>18444.11</v>
      </c>
    </row>
    <row r="9938">
      <c r="A9938" s="535" t="n">
        <v>45448</v>
      </c>
      <c r="B9938" s="534" t="n">
        <v>8.300000000000001</v>
      </c>
      <c r="C9938" s="534" t="n">
        <v>18424.96</v>
      </c>
    </row>
    <row r="9939">
      <c r="A9939" s="535" t="n">
        <v>45449</v>
      </c>
      <c r="B9939" s="534" t="n">
        <v>8.279999999999999</v>
      </c>
      <c r="C9939" s="534" t="n">
        <v>18476.8</v>
      </c>
    </row>
    <row r="9940">
      <c r="A9940" s="535" t="n">
        <v>45450</v>
      </c>
      <c r="B9940" s="534" t="n">
        <v>8.26</v>
      </c>
      <c r="C9940" s="534" t="n">
        <v>18366.95</v>
      </c>
    </row>
    <row r="9941">
      <c r="A9941" s="535" t="n">
        <v>45453</v>
      </c>
      <c r="B9941" s="534" t="n">
        <v>8.26</v>
      </c>
      <c r="C9941" s="534" t="n">
        <v>18366.95</v>
      </c>
    </row>
    <row r="9942">
      <c r="A9942" s="535" t="n">
        <v>45454</v>
      </c>
      <c r="B9942" s="534" t="n">
        <v>8.17</v>
      </c>
      <c r="C9942" s="534" t="n">
        <v>18176.34</v>
      </c>
    </row>
    <row r="9943">
      <c r="A9943" s="535" t="n">
        <v>45455</v>
      </c>
      <c r="B9943" s="534" t="n">
        <v>8.1</v>
      </c>
      <c r="C9943" s="534" t="n">
        <v>17937.84</v>
      </c>
    </row>
    <row r="9944">
      <c r="A9944" s="535" t="n">
        <v>45456</v>
      </c>
      <c r="B9944" s="534" t="n">
        <v>8.35</v>
      </c>
      <c r="C9944" s="534" t="n">
        <v>18112.63</v>
      </c>
    </row>
    <row r="9945">
      <c r="A9945" s="535" t="n">
        <v>45457</v>
      </c>
      <c r="B9945" s="534" t="n">
        <v>8.130000000000001</v>
      </c>
      <c r="C9945" s="534" t="n">
        <v>17941.78</v>
      </c>
    </row>
    <row r="9946">
      <c r="A9946" s="535" t="n">
        <v>45460</v>
      </c>
      <c r="B9946" s="534" t="n">
        <v>8.1</v>
      </c>
      <c r="C9946" s="534" t="n">
        <v>17936.12</v>
      </c>
    </row>
    <row r="9947">
      <c r="A9947" s="535" t="n">
        <v>45461</v>
      </c>
      <c r="B9947" s="534" t="n">
        <v>8.16</v>
      </c>
      <c r="C9947" s="534" t="n">
        <v>17915.55</v>
      </c>
    </row>
    <row r="9948">
      <c r="A9948" s="535" t="n">
        <v>45462</v>
      </c>
      <c r="B9948" s="534" t="n">
        <v>8.18</v>
      </c>
      <c r="C9948" s="534" t="n">
        <v>18430.39</v>
      </c>
    </row>
    <row r="9949">
      <c r="A9949" s="535" t="n">
        <v>45463</v>
      </c>
      <c r="B9949" s="534" t="n">
        <v>8.32</v>
      </c>
      <c r="C9949" s="534" t="n">
        <v>18335.32</v>
      </c>
    </row>
    <row r="9950">
      <c r="A9950" s="535" t="n">
        <v>45464</v>
      </c>
      <c r="B9950" s="534" t="n">
        <v>8.23</v>
      </c>
      <c r="C9950" s="534" t="n">
        <v>18028.52</v>
      </c>
    </row>
    <row r="9951">
      <c r="A9951" s="535" t="n">
        <v>45467</v>
      </c>
      <c r="B9951" s="534" t="n">
        <v>8.140000000000001</v>
      </c>
      <c r="C9951" s="534" t="n">
        <v>18027.71</v>
      </c>
    </row>
    <row r="9952">
      <c r="A9952" s="535" t="n">
        <v>45468</v>
      </c>
      <c r="B9952" s="534" t="n">
        <v>8.050000000000001</v>
      </c>
      <c r="C9952" s="534" t="n">
        <v>18072.9</v>
      </c>
    </row>
    <row r="9953">
      <c r="A9953" s="535" t="n">
        <v>45469</v>
      </c>
      <c r="B9953" s="534" t="n">
        <v>8.06</v>
      </c>
      <c r="C9953" s="534" t="n">
        <v>18089.93</v>
      </c>
    </row>
    <row r="9954">
      <c r="A9954" s="535" t="n">
        <v>45470</v>
      </c>
      <c r="B9954" s="534" t="n">
        <v>8</v>
      </c>
      <c r="C9954" s="534" t="n">
        <v>17716.47</v>
      </c>
    </row>
    <row r="9955">
      <c r="A9955" s="535" t="n">
        <v>45471</v>
      </c>
      <c r="B9955" s="534" t="n">
        <v>7.99</v>
      </c>
      <c r="C9955" s="534" t="n">
        <v>17718.61</v>
      </c>
    </row>
    <row r="9956">
      <c r="A9956" s="535" t="n">
        <v>45474</v>
      </c>
      <c r="B9956" s="534" t="n">
        <v>7.99</v>
      </c>
      <c r="C9956" s="534" t="n">
        <v>17718.61</v>
      </c>
    </row>
    <row r="9957">
      <c r="A9957" s="535" t="n">
        <v>45475</v>
      </c>
      <c r="B9957" s="534" t="n">
        <v>8</v>
      </c>
      <c r="C9957" s="534" t="n">
        <v>17769.14</v>
      </c>
    </row>
    <row r="9958">
      <c r="A9958" s="535" t="n">
        <v>45476</v>
      </c>
      <c r="B9958" s="534" t="n">
        <v>8.01</v>
      </c>
      <c r="C9958" s="534" t="n">
        <v>17978.57</v>
      </c>
    </row>
    <row r="9959">
      <c r="A9959" s="535" t="n">
        <v>45477</v>
      </c>
      <c r="B9959" s="534" t="n">
        <v>8.039999999999999</v>
      </c>
      <c r="C9959" s="534" t="n">
        <v>18028.28</v>
      </c>
    </row>
    <row r="9960">
      <c r="A9960" s="535" t="n">
        <v>45478</v>
      </c>
      <c r="B9960" s="534" t="n">
        <v>8</v>
      </c>
      <c r="C9960" s="534" t="n">
        <v>17799.61</v>
      </c>
    </row>
    <row r="9961">
      <c r="A9961" s="535" t="n">
        <v>45481</v>
      </c>
      <c r="B9961" s="534" t="n">
        <v>8.17</v>
      </c>
      <c r="C9961" s="534" t="n">
        <v>17524.06</v>
      </c>
    </row>
    <row r="9962">
      <c r="A9962" s="535" t="n">
        <v>45482</v>
      </c>
      <c r="B9962" s="534" t="n">
        <v>8.140000000000001</v>
      </c>
      <c r="C9962" s="534" t="n">
        <v>17523.23</v>
      </c>
    </row>
    <row r="9963">
      <c r="A9963" s="535" t="n">
        <v>45483</v>
      </c>
      <c r="B9963" s="534" t="n">
        <v>8.130000000000001</v>
      </c>
      <c r="C9963" s="534" t="n">
        <v>17471.67</v>
      </c>
    </row>
    <row r="9964">
      <c r="A9964" s="535" t="n">
        <v>45484</v>
      </c>
      <c r="B9964" s="534" t="n">
        <v>8.23</v>
      </c>
      <c r="C9964" s="534" t="n">
        <v>17832.33</v>
      </c>
    </row>
    <row r="9965">
      <c r="A9965" s="535" t="n">
        <v>45485</v>
      </c>
      <c r="B9965" s="534" t="n">
        <v>8.34</v>
      </c>
      <c r="C9965" s="534" t="n">
        <v>18293.38</v>
      </c>
    </row>
    <row r="9966">
      <c r="A9966" s="535" t="n">
        <v>45488</v>
      </c>
      <c r="B9966" s="534" t="n">
        <v>8.27</v>
      </c>
      <c r="C9966" s="534" t="n">
        <v>18015.94</v>
      </c>
    </row>
    <row r="9967">
      <c r="A9967" s="535" t="n">
        <v>45489</v>
      </c>
      <c r="B9967" s="534" t="n">
        <v>8.220000000000001</v>
      </c>
      <c r="C9967" s="534" t="n">
        <v>17727.98</v>
      </c>
    </row>
    <row r="9968">
      <c r="A9968" s="535" t="n">
        <v>45490</v>
      </c>
      <c r="B9968" s="534" t="n">
        <v>8.17</v>
      </c>
      <c r="C9968" s="534" t="n">
        <v>17739.41</v>
      </c>
    </row>
    <row r="9969">
      <c r="A9969" s="535" t="n">
        <v>45491</v>
      </c>
      <c r="B9969" s="534" t="n">
        <v>8.06</v>
      </c>
      <c r="C9969" s="534" t="n">
        <v>17778.41</v>
      </c>
    </row>
    <row r="9970">
      <c r="A9970" s="535" t="n">
        <v>45492</v>
      </c>
      <c r="B9970" s="534" t="n">
        <v>8</v>
      </c>
      <c r="C9970" s="534" t="n">
        <v>17417.68</v>
      </c>
    </row>
    <row r="9971">
      <c r="A9971" s="535" t="n">
        <v>45495</v>
      </c>
      <c r="B9971" s="534" t="n">
        <v>8.02</v>
      </c>
      <c r="C9971" s="534" t="n">
        <v>17635.88</v>
      </c>
    </row>
    <row r="9972">
      <c r="A9972" s="535" t="n">
        <v>45496</v>
      </c>
      <c r="B9972" s="534" t="n">
        <v>8.039999999999999</v>
      </c>
      <c r="C9972" s="534" t="n">
        <v>17469.36</v>
      </c>
    </row>
    <row r="9973">
      <c r="A9973" s="535" t="n">
        <v>45497</v>
      </c>
      <c r="B9973" s="534" t="n">
        <v>8.06</v>
      </c>
      <c r="C9973" s="534" t="n">
        <v>17311.05</v>
      </c>
    </row>
    <row r="9974">
      <c r="A9974" s="535" t="n">
        <v>45498</v>
      </c>
      <c r="B9974" s="534" t="n">
        <v>8.029999999999999</v>
      </c>
      <c r="C9974" s="534" t="n">
        <v>17004.97</v>
      </c>
    </row>
    <row r="9975">
      <c r="A9975" s="535" t="n">
        <v>45499</v>
      </c>
      <c r="B9975" s="534" t="n">
        <v>8.050000000000001</v>
      </c>
      <c r="C9975" s="534" t="n">
        <v>17021.31</v>
      </c>
    </row>
    <row r="9976">
      <c r="A9976" s="535" t="n">
        <v>45502</v>
      </c>
      <c r="B9976" s="534" t="n">
        <v>8.119999999999999</v>
      </c>
      <c r="C9976" s="534" t="n">
        <v>17238.34</v>
      </c>
    </row>
    <row r="9977">
      <c r="A9977" s="535" t="n">
        <v>45503</v>
      </c>
      <c r="B9977" s="534" t="n">
        <v>8.09</v>
      </c>
      <c r="C9977" s="534" t="n">
        <v>17002.91</v>
      </c>
    </row>
    <row r="9978">
      <c r="A9978" s="535" t="n">
        <v>45504</v>
      </c>
      <c r="B9978" s="534" t="n">
        <v>8.16</v>
      </c>
      <c r="C9978" s="534" t="n">
        <v>17344.6</v>
      </c>
    </row>
    <row r="9979">
      <c r="A9979" s="535" t="n">
        <v>45505</v>
      </c>
      <c r="B9979" s="534" t="n">
        <v>8.24</v>
      </c>
      <c r="C9979" s="534" t="n">
        <v>17304.96</v>
      </c>
    </row>
    <row r="9980">
      <c r="A9980" s="535" t="n">
        <v>45506</v>
      </c>
      <c r="B9980" s="534" t="n">
        <v>8.08</v>
      </c>
      <c r="C9980" s="534" t="n">
        <v>16945.51</v>
      </c>
    </row>
    <row r="9981">
      <c r="A9981" s="535" t="n">
        <v>45509</v>
      </c>
      <c r="B9981" s="534" t="n">
        <v>7.86</v>
      </c>
      <c r="C9981" s="534" t="n">
        <v>16698.36</v>
      </c>
    </row>
    <row r="9982">
      <c r="A9982" s="535" t="n">
        <v>45510</v>
      </c>
      <c r="B9982" s="534" t="n">
        <v>8.02</v>
      </c>
      <c r="C9982" s="534" t="n">
        <v>16647.34</v>
      </c>
    </row>
    <row r="9983">
      <c r="A9983" s="535" t="n">
        <v>45511</v>
      </c>
      <c r="B9983" s="534" t="n">
        <v>7.83</v>
      </c>
      <c r="C9983" s="534" t="n">
        <v>16877.86</v>
      </c>
    </row>
    <row r="9984">
      <c r="A9984" s="535" t="n">
        <v>45512</v>
      </c>
      <c r="B9984" s="534" t="n">
        <v>7.88</v>
      </c>
      <c r="C9984" s="534" t="n">
        <v>16891.83</v>
      </c>
    </row>
    <row r="9985">
      <c r="A9985" s="535" t="n">
        <v>45513</v>
      </c>
      <c r="B9985" s="534" t="n">
        <v>7.8</v>
      </c>
      <c r="C9985" s="534" t="n">
        <v>17090.23</v>
      </c>
    </row>
    <row r="9986">
      <c r="A9986" s="535" t="n">
        <v>45516</v>
      </c>
      <c r="B9986" s="534" t="n">
        <v>7.73</v>
      </c>
      <c r="C9986" s="534" t="n">
        <v>17111.65</v>
      </c>
    </row>
    <row r="9987">
      <c r="A9987" s="535" t="n">
        <v>45517</v>
      </c>
      <c r="B9987" s="534" t="n">
        <v>7.78</v>
      </c>
      <c r="C9987" s="534" t="n">
        <v>17174.06</v>
      </c>
    </row>
    <row r="9988">
      <c r="A9988" s="535" t="n">
        <v>45518</v>
      </c>
      <c r="B9988" s="534" t="n">
        <v>7.75</v>
      </c>
      <c r="C9988" s="534" t="n">
        <v>17113.36</v>
      </c>
    </row>
    <row r="9989">
      <c r="A9989" s="535" t="n">
        <v>45519</v>
      </c>
      <c r="B9989" s="534" t="n">
        <v>7.77</v>
      </c>
      <c r="C9989" s="534" t="n">
        <v>17109.14</v>
      </c>
    </row>
    <row r="9990">
      <c r="A9990" s="535" t="n">
        <v>45520</v>
      </c>
      <c r="B9990" s="534" t="n">
        <v>7.79</v>
      </c>
      <c r="C9990" s="534" t="n">
        <v>17430.16</v>
      </c>
    </row>
    <row r="9991">
      <c r="A9991" s="535" t="n">
        <v>45523</v>
      </c>
      <c r="B9991" s="534" t="n">
        <v>7.85</v>
      </c>
      <c r="C9991" s="534" t="n">
        <v>17569.57</v>
      </c>
    </row>
    <row r="9992">
      <c r="A9992" s="535" t="n">
        <v>45524</v>
      </c>
      <c r="B9992" s="534" t="n">
        <v>7.94</v>
      </c>
      <c r="C9992" s="534" t="n">
        <v>17511.08</v>
      </c>
    </row>
    <row r="9993">
      <c r="A9993" s="535" t="n">
        <v>45525</v>
      </c>
      <c r="B9993" s="534" t="n">
        <v>7.84</v>
      </c>
      <c r="C9993" s="534" t="n">
        <v>17391.01</v>
      </c>
    </row>
    <row r="9994">
      <c r="A9994" s="535" t="n">
        <v>45526</v>
      </c>
      <c r="B9994" s="534" t="n">
        <v>7.86</v>
      </c>
      <c r="C9994" s="534" t="n">
        <v>17641</v>
      </c>
    </row>
    <row r="9995">
      <c r="A9995" s="535" t="n">
        <v>45527</v>
      </c>
      <c r="B9995" s="534" t="n">
        <v>7.89</v>
      </c>
      <c r="C9995" s="534" t="n">
        <v>17612.1</v>
      </c>
    </row>
    <row r="9996">
      <c r="A9996" s="535" t="n">
        <v>45530</v>
      </c>
      <c r="B9996" s="534" t="n">
        <v>7.93</v>
      </c>
      <c r="C9996" s="534" t="n">
        <v>17798.73</v>
      </c>
    </row>
    <row r="9997">
      <c r="A9997" s="535" t="n">
        <v>45531</v>
      </c>
      <c r="B9997" s="534" t="n">
        <v>7.91</v>
      </c>
      <c r="C9997" s="534" t="n">
        <v>17874.67</v>
      </c>
    </row>
    <row r="9998">
      <c r="A9998" s="535" t="n">
        <v>45532</v>
      </c>
      <c r="B9998" s="534" t="n">
        <v>7.88</v>
      </c>
      <c r="C9998" s="534" t="n">
        <v>17692.45</v>
      </c>
    </row>
    <row r="9999">
      <c r="A9999" s="535" t="n">
        <v>45533</v>
      </c>
      <c r="B9999" s="534" t="n">
        <v>7.88</v>
      </c>
      <c r="C9999" s="534" t="n">
        <v>17786.32</v>
      </c>
    </row>
    <row r="10000">
      <c r="A10000" s="535" t="n">
        <v>45534</v>
      </c>
      <c r="B10000" s="534" t="n">
        <v>7.95</v>
      </c>
      <c r="C10000" s="534" t="n">
        <v>17989.07</v>
      </c>
    </row>
    <row r="10001">
      <c r="A10001" s="535" t="n">
        <v>45537</v>
      </c>
      <c r="B10001" s="534" t="n">
        <v>8.01</v>
      </c>
      <c r="C10001" s="534" t="n">
        <v>17691.97</v>
      </c>
    </row>
    <row r="10002">
      <c r="A10002" s="535" t="n">
        <v>45538</v>
      </c>
      <c r="B10002" s="534" t="n">
        <v>7.96</v>
      </c>
      <c r="C10002" s="534" t="n">
        <v>17651.49</v>
      </c>
    </row>
    <row r="10003">
      <c r="A10003" s="535" t="n">
        <v>45539</v>
      </c>
      <c r="B10003" s="534" t="n">
        <v>7.7</v>
      </c>
      <c r="C10003" s="534" t="n">
        <v>17457.34</v>
      </c>
    </row>
    <row r="10004">
      <c r="A10004" s="535" t="n">
        <v>45540</v>
      </c>
      <c r="B10004" s="534" t="n">
        <v>7.79</v>
      </c>
      <c r="C10004" s="534" t="n">
        <v>17444.3</v>
      </c>
    </row>
    <row r="10005">
      <c r="A10005" s="535" t="n">
        <v>45541</v>
      </c>
      <c r="B10005" s="534" t="n">
        <v>7.79</v>
      </c>
      <c r="C10005" s="534" t="n">
        <v>17444.3</v>
      </c>
    </row>
    <row r="10006">
      <c r="A10006" s="535" t="n">
        <v>45544</v>
      </c>
      <c r="B10006" s="534" t="n">
        <v>7.88</v>
      </c>
      <c r="C10006" s="534" t="n">
        <v>17196.96</v>
      </c>
    </row>
    <row r="10007">
      <c r="A10007" s="535" t="n">
        <v>45545</v>
      </c>
      <c r="B10007" s="534" t="n">
        <v>7.87</v>
      </c>
      <c r="C10007" s="534" t="n">
        <v>17234.09</v>
      </c>
    </row>
    <row r="10008">
      <c r="A10008" s="535" t="n">
        <v>45546</v>
      </c>
      <c r="B10008" s="534" t="n">
        <v>7.89</v>
      </c>
      <c r="C10008" s="534" t="n">
        <v>17108.71</v>
      </c>
    </row>
    <row r="10009">
      <c r="A10009" s="535" t="n">
        <v>45547</v>
      </c>
      <c r="B10009" s="534" t="n">
        <v>7.85</v>
      </c>
      <c r="C10009" s="534" t="n">
        <v>17240.39</v>
      </c>
    </row>
    <row r="10010">
      <c r="A10010" s="535" t="n">
        <v>45548</v>
      </c>
      <c r="B10010" s="534" t="n">
        <v>7.91</v>
      </c>
      <c r="C10010" s="534" t="n">
        <v>17369.09</v>
      </c>
    </row>
    <row r="10011">
      <c r="A10011" s="535" t="n">
        <v>45551</v>
      </c>
      <c r="B10011" s="534" t="n">
        <v>7.93</v>
      </c>
      <c r="C10011" s="534" t="n">
        <v>17422.12</v>
      </c>
    </row>
    <row r="10012">
      <c r="A10012" s="535" t="n">
        <v>45552</v>
      </c>
      <c r="B10012" s="534" t="n">
        <v>7.93</v>
      </c>
      <c r="C10012" s="534" t="n">
        <v>17660.02</v>
      </c>
    </row>
    <row r="10013">
      <c r="A10013" s="535" t="n">
        <v>45553</v>
      </c>
      <c r="B10013" s="534" t="n">
        <v>7.93</v>
      </c>
      <c r="C10013" s="534" t="n">
        <v>17660.02</v>
      </c>
    </row>
    <row r="10014">
      <c r="A10014" s="535" t="n">
        <v>45554</v>
      </c>
      <c r="B10014" s="534" t="n">
        <v>7.97</v>
      </c>
      <c r="C10014" s="534" t="n">
        <v>18013.16</v>
      </c>
    </row>
    <row r="10015">
      <c r="A10015" s="535" t="n">
        <v>45555</v>
      </c>
      <c r="B10015" s="534" t="n">
        <v>8.050000000000001</v>
      </c>
      <c r="C10015" s="534" t="n">
        <v>18258.57</v>
      </c>
    </row>
    <row r="10016">
      <c r="A10016" s="535" t="n">
        <v>45558</v>
      </c>
      <c r="B10016" s="534" t="n">
        <v>7.98</v>
      </c>
      <c r="C10016" s="534" t="n">
        <v>18247.11</v>
      </c>
    </row>
    <row r="10017">
      <c r="A10017" s="535" t="n">
        <v>45559</v>
      </c>
      <c r="B10017" s="534" t="n">
        <v>8.050000000000001</v>
      </c>
      <c r="C10017" s="534" t="n">
        <v>19000.56</v>
      </c>
    </row>
    <row r="10018">
      <c r="A10018" s="535" t="n">
        <v>45560</v>
      </c>
      <c r="B10018" s="534" t="n">
        <v>8.039999999999999</v>
      </c>
      <c r="C10018" s="534" t="n">
        <v>19129.1</v>
      </c>
    </row>
    <row r="10019">
      <c r="A10019" s="535" t="n">
        <v>45561</v>
      </c>
      <c r="B10019" s="534" t="n">
        <v>8.23</v>
      </c>
      <c r="C10019" s="534" t="n">
        <v>19924.58</v>
      </c>
    </row>
    <row r="10020">
      <c r="A10020" s="535" t="n">
        <v>45562</v>
      </c>
      <c r="B10020" s="534" t="n">
        <v>8.289999999999999</v>
      </c>
      <c r="C10020" s="534" t="n">
        <v>20632.3</v>
      </c>
    </row>
    <row r="10021">
      <c r="A10021" s="535" t="n">
        <v>45565</v>
      </c>
      <c r="B10021" s="534" t="n">
        <v>8.35</v>
      </c>
      <c r="C10021" s="534" t="n">
        <v>21133.68</v>
      </c>
    </row>
    <row r="10022">
      <c r="A10022" s="535" t="n">
        <v>45566</v>
      </c>
      <c r="B10022" s="534" t="n">
        <v>8.35</v>
      </c>
      <c r="C10022" s="534" t="n">
        <v>21133.68</v>
      </c>
    </row>
    <row r="10023">
      <c r="A10023" s="535" t="n">
        <v>45567</v>
      </c>
      <c r="B10023" s="534" t="n">
        <v>8.25</v>
      </c>
      <c r="C10023" s="534" t="n">
        <v>22443.73</v>
      </c>
    </row>
    <row r="10024">
      <c r="A10024" s="535" t="n">
        <v>45568</v>
      </c>
      <c r="B10024" s="534" t="n">
        <v>8.16</v>
      </c>
      <c r="C10024" s="534" t="n">
        <v>22113.51</v>
      </c>
    </row>
    <row r="10025">
      <c r="A10025" s="535" t="n">
        <v>45569</v>
      </c>
      <c r="B10025" s="534" t="n">
        <v>8.16</v>
      </c>
      <c r="C10025" s="534" t="n">
        <v>22736.87</v>
      </c>
    </row>
    <row r="10026">
      <c r="A10026" s="535" t="n">
        <v>45572</v>
      </c>
      <c r="B10026" s="534" t="n">
        <v>8.33</v>
      </c>
      <c r="C10026" s="534" t="n">
        <v>23099.78</v>
      </c>
    </row>
    <row r="10027">
      <c r="A10027" s="535" t="n">
        <v>45573</v>
      </c>
      <c r="B10027" s="534" t="n">
        <v>7.91</v>
      </c>
      <c r="C10027" s="534" t="n">
        <v>20926.79</v>
      </c>
    </row>
    <row r="10028">
      <c r="A10028" s="535" t="n">
        <v>45574</v>
      </c>
      <c r="B10028" s="534" t="n">
        <v>7.87</v>
      </c>
      <c r="C10028" s="534" t="n">
        <v>20637.24</v>
      </c>
    </row>
    <row r="10029">
      <c r="A10029" s="535" t="n">
        <v>45575</v>
      </c>
      <c r="B10029" s="534" t="n">
        <v>7.99</v>
      </c>
      <c r="C10029" s="534" t="n">
        <v>21251.98</v>
      </c>
    </row>
    <row r="10030">
      <c r="A10030" s="535" t="n">
        <v>45576</v>
      </c>
      <c r="B10030" s="534" t="n">
        <v>7.99</v>
      </c>
      <c r="C10030" s="534" t="n">
        <v>21251.98</v>
      </c>
    </row>
    <row r="10031">
      <c r="A10031" s="535" t="n">
        <v>45579</v>
      </c>
      <c r="B10031" s="534" t="n">
        <v>7.95</v>
      </c>
      <c r="C10031" s="534" t="n">
        <v>21092.87</v>
      </c>
    </row>
    <row r="10032">
      <c r="A10032" s="535" t="n">
        <v>45580</v>
      </c>
      <c r="B10032" s="534" t="n">
        <v>7.93</v>
      </c>
      <c r="C10032" s="534" t="n">
        <v>20318.79</v>
      </c>
    </row>
    <row r="10033">
      <c r="A10033" s="535" t="n">
        <v>45581</v>
      </c>
      <c r="B10033" s="534" t="n">
        <v>7.88</v>
      </c>
      <c r="C10033" s="534" t="n">
        <v>20286.85</v>
      </c>
    </row>
    <row r="10034">
      <c r="A10034" s="535" t="n">
        <v>45582</v>
      </c>
      <c r="B10034" s="534" t="n">
        <v>7.91</v>
      </c>
      <c r="C10034" s="534" t="n">
        <v>20079.1</v>
      </c>
    </row>
    <row r="10035">
      <c r="A10035" s="535" t="n">
        <v>45583</v>
      </c>
      <c r="B10035" s="534" t="n">
        <v>8</v>
      </c>
      <c r="C10035" s="534" t="n">
        <v>20804.11</v>
      </c>
    </row>
    <row r="10036">
      <c r="A10036" s="535" t="n">
        <v>45586</v>
      </c>
      <c r="B10036" s="534" t="n">
        <v>7.92</v>
      </c>
      <c r="C10036" s="534" t="n">
        <v>20478.46</v>
      </c>
    </row>
    <row r="10037">
      <c r="A10037" s="535" t="n">
        <v>45587</v>
      </c>
      <c r="B10037" s="534" t="n">
        <v>7.97</v>
      </c>
      <c r="C10037" s="534" t="n">
        <v>20498.95</v>
      </c>
    </row>
    <row r="10038">
      <c r="A10038" s="535" t="n">
        <v>45588</v>
      </c>
      <c r="B10038" s="534" t="n">
        <v>8.039999999999999</v>
      </c>
      <c r="C10038" s="534" t="n">
        <v>20760.15</v>
      </c>
    </row>
    <row r="10039">
      <c r="A10039" s="535" t="n">
        <v>45589</v>
      </c>
      <c r="B10039" s="534" t="n">
        <v>8.01</v>
      </c>
      <c r="C10039" s="534" t="n">
        <v>20489.62</v>
      </c>
    </row>
    <row r="10040">
      <c r="A10040" s="535" t="n">
        <v>45590</v>
      </c>
      <c r="B10040" s="534" t="n">
        <v>8.08</v>
      </c>
      <c r="C10040" s="534" t="n">
        <v>20590.15</v>
      </c>
    </row>
    <row r="10041">
      <c r="A10041" s="535" t="n">
        <v>45593</v>
      </c>
      <c r="B10041" s="534" t="n">
        <v>8.210000000000001</v>
      </c>
      <c r="C10041" s="534" t="n">
        <v>20599.36</v>
      </c>
    </row>
    <row r="10042">
      <c r="A10042" s="535" t="n">
        <v>45594</v>
      </c>
      <c r="B10042" s="534" t="n">
        <v>8.16</v>
      </c>
      <c r="C10042" s="534" t="n">
        <v>20701.14</v>
      </c>
    </row>
    <row r="10043">
      <c r="A10043" s="535" t="n">
        <v>45595</v>
      </c>
      <c r="B10043" s="534" t="n">
        <v>8.1</v>
      </c>
      <c r="C10043" s="534" t="n">
        <v>20380.64</v>
      </c>
    </row>
    <row r="10044">
      <c r="A10044" s="535" t="n">
        <v>45596</v>
      </c>
      <c r="B10044" s="534" t="n">
        <v>8.1</v>
      </c>
      <c r="C10044" s="534" t="n">
        <v>20317.33</v>
      </c>
    </row>
    <row r="10045">
      <c r="A10045" s="535" t="n">
        <v>45597</v>
      </c>
      <c r="B10045" s="534" t="n">
        <v>8.130000000000001</v>
      </c>
      <c r="C10045" s="534" t="n">
        <v>20506.43</v>
      </c>
    </row>
    <row r="10046">
      <c r="A10046" s="535" t="n">
        <v>45600</v>
      </c>
      <c r="B10046" s="534" t="n">
        <v>8.1</v>
      </c>
      <c r="C10046" s="534" t="n">
        <v>20567.52</v>
      </c>
    </row>
    <row r="10047">
      <c r="A10047" s="535" t="n">
        <v>45601</v>
      </c>
      <c r="B10047" s="534" t="n">
        <v>8.17</v>
      </c>
      <c r="C10047" s="534" t="n">
        <v>21006.97</v>
      </c>
    </row>
    <row r="10048">
      <c r="A10048" s="535" t="n">
        <v>45602</v>
      </c>
      <c r="B10048" s="534" t="n">
        <v>8.119999999999999</v>
      </c>
      <c r="C10048" s="534" t="n">
        <v>20538.38</v>
      </c>
    </row>
    <row r="10049">
      <c r="A10049" s="535" t="n">
        <v>45603</v>
      </c>
      <c r="B10049" s="534" t="n">
        <v>8.17</v>
      </c>
      <c r="C10049" s="534" t="n">
        <v>20953.34</v>
      </c>
    </row>
    <row r="10050">
      <c r="A10050" s="535" t="n">
        <v>45604</v>
      </c>
      <c r="B10050" s="534" t="n">
        <v>8.140000000000001</v>
      </c>
      <c r="C10050" s="534" t="n">
        <v>20728.19</v>
      </c>
    </row>
    <row r="10051">
      <c r="A10051" s="535" t="n">
        <v>45607</v>
      </c>
      <c r="B10051" s="534" t="n">
        <v>8.109999999999999</v>
      </c>
      <c r="C10051" s="534" t="n">
        <v>20426.93</v>
      </c>
    </row>
    <row r="10052">
      <c r="A10052" s="535" t="n">
        <v>45608</v>
      </c>
      <c r="B10052" s="534" t="n">
        <v>8.050000000000001</v>
      </c>
      <c r="C10052" s="534" t="n">
        <v>19846.88</v>
      </c>
    </row>
    <row r="10053">
      <c r="A10053" s="535" t="n">
        <v>45609</v>
      </c>
      <c r="B10053" s="534" t="n">
        <v>8.06</v>
      </c>
      <c r="C10053" s="534" t="n">
        <v>19823.45</v>
      </c>
    </row>
    <row r="10054">
      <c r="A10054" s="535" t="n">
        <v>45610</v>
      </c>
      <c r="B10054" s="534" t="n">
        <v>8.039999999999999</v>
      </c>
      <c r="C10054" s="534" t="n">
        <v>19435.81</v>
      </c>
    </row>
    <row r="10055">
      <c r="A10055" s="535" t="n">
        <v>45611</v>
      </c>
      <c r="B10055" s="534" t="n">
        <v>8.699999999999999</v>
      </c>
      <c r="C10055" s="534" t="n">
        <v>19426.34</v>
      </c>
    </row>
    <row r="10056">
      <c r="A10056" s="535" t="n">
        <v>45614</v>
      </c>
      <c r="B10056" s="534" t="n">
        <v>8.91</v>
      </c>
      <c r="C10056" s="534" t="n">
        <v>19576.61</v>
      </c>
    </row>
    <row r="10057">
      <c r="A10057" s="535" t="n">
        <v>45615</v>
      </c>
      <c r="B10057" s="534" t="n">
        <v>8.949999999999999</v>
      </c>
      <c r="C10057" s="534" t="n">
        <v>19663.67</v>
      </c>
    </row>
    <row r="10058">
      <c r="A10058" s="535" t="n">
        <v>45616</v>
      </c>
      <c r="B10058" s="534" t="n">
        <v>8.98</v>
      </c>
      <c r="C10058" s="534" t="n">
        <v>19705.01</v>
      </c>
    </row>
    <row r="10059">
      <c r="A10059" s="535" t="n">
        <v>45617</v>
      </c>
      <c r="B10059" s="534" t="n">
        <v>9.18</v>
      </c>
      <c r="C10059" s="534" t="n">
        <v>19601.11</v>
      </c>
    </row>
    <row r="10060">
      <c r="A10060" s="535" t="n">
        <v>45618</v>
      </c>
      <c r="B10060" s="534" t="n">
        <v>9.24</v>
      </c>
      <c r="C10060" s="534" t="n">
        <v>19229.97</v>
      </c>
    </row>
    <row r="10061">
      <c r="A10061" s="535" t="n">
        <v>45621</v>
      </c>
      <c r="B10061" s="534" t="n">
        <v>9.34</v>
      </c>
      <c r="C10061" s="534" t="n">
        <v>19150.99</v>
      </c>
    </row>
    <row r="10062">
      <c r="A10062" s="535" t="n">
        <v>45622</v>
      </c>
      <c r="B10062" s="534" t="n">
        <v>9.550000000000001</v>
      </c>
      <c r="C10062" s="534" t="n">
        <v>19159.2</v>
      </c>
    </row>
    <row r="10063">
      <c r="A10063" s="535" t="n">
        <v>45623</v>
      </c>
      <c r="B10063" s="534" t="n">
        <v>9.58</v>
      </c>
      <c r="C10063" s="534" t="n">
        <v>19603.13</v>
      </c>
    </row>
    <row r="10064">
      <c r="A10064" s="535" t="n">
        <v>45624</v>
      </c>
      <c r="B10064" s="534" t="n">
        <v>9.65</v>
      </c>
      <c r="C10064" s="534" t="n">
        <v>19366.96</v>
      </c>
    </row>
    <row r="10065">
      <c r="A10065" s="535" t="n">
        <v>45625</v>
      </c>
      <c r="B10065" s="534" t="n">
        <v>9.710000000000001</v>
      </c>
      <c r="C10065" s="534" t="n">
        <v>19423.61</v>
      </c>
    </row>
    <row r="10066">
      <c r="A10066" s="535" t="n">
        <v>45628</v>
      </c>
      <c r="B10066" s="534" t="n">
        <v>9.66</v>
      </c>
      <c r="C10066" s="534" t="n">
        <v>19550.29</v>
      </c>
    </row>
    <row r="10067">
      <c r="A10067" s="535" t="n">
        <v>45629</v>
      </c>
      <c r="B10067" s="534" t="n">
        <v>9.66</v>
      </c>
      <c r="C10067" s="534" t="n">
        <v>19746.32</v>
      </c>
    </row>
    <row r="10068">
      <c r="A10068" s="535" t="n">
        <v>45630</v>
      </c>
      <c r="B10068" s="534" t="n">
        <v>9.6</v>
      </c>
      <c r="C10068" s="534" t="n">
        <v>19742.46</v>
      </c>
    </row>
    <row r="10069">
      <c r="A10069" s="535" t="n">
        <v>45631</v>
      </c>
      <c r="B10069" s="534" t="n">
        <v>9.66</v>
      </c>
      <c r="C10069" s="534" t="n">
        <v>19560.44</v>
      </c>
    </row>
    <row r="10070">
      <c r="A10070" s="535" t="n">
        <v>45632</v>
      </c>
      <c r="B10070" s="534" t="n">
        <v>9.710000000000001</v>
      </c>
      <c r="C10070" s="534" t="n">
        <v>19865.85</v>
      </c>
    </row>
    <row r="10071">
      <c r="A10071" s="535" t="n">
        <v>45635</v>
      </c>
      <c r="B10071" s="534" t="n">
        <v>9.74</v>
      </c>
      <c r="C10071" s="534" t="n">
        <v>20414.09</v>
      </c>
    </row>
    <row r="10072">
      <c r="A10072" s="535" t="n">
        <v>45636</v>
      </c>
      <c r="B10072" s="534" t="n">
        <v>9.789999999999999</v>
      </c>
      <c r="C10072" s="534" t="n">
        <v>20311.28</v>
      </c>
    </row>
    <row r="10073">
      <c r="A10073" s="535" t="n">
        <v>45637</v>
      </c>
      <c r="B10073" s="534" t="n">
        <v>9.710000000000001</v>
      </c>
      <c r="C10073" s="534" t="n">
        <v>20155.05</v>
      </c>
    </row>
    <row r="10074">
      <c r="A10074" s="535" t="n">
        <v>45638</v>
      </c>
      <c r="B10074" s="534" t="n">
        <v>9.640000000000001</v>
      </c>
      <c r="C10074" s="534" t="n">
        <v>20397.05</v>
      </c>
    </row>
    <row r="10075">
      <c r="A10075" s="535" t="n">
        <v>45639</v>
      </c>
      <c r="B10075" s="534" t="n">
        <v>9.67</v>
      </c>
      <c r="C10075" s="534" t="n">
        <v>19971.24</v>
      </c>
    </row>
    <row r="10076">
      <c r="A10076" s="535" t="n">
        <v>45642</v>
      </c>
      <c r="B10076" s="534" t="n">
        <v>9.640000000000001</v>
      </c>
      <c r="C10076" s="534" t="n">
        <v>19795.49</v>
      </c>
    </row>
    <row r="10077">
      <c r="A10077" s="535" t="n">
        <v>45643</v>
      </c>
      <c r="B10077" s="534" t="n">
        <v>9.609999999999999</v>
      </c>
      <c r="C10077" s="534" t="n">
        <v>19700.48</v>
      </c>
    </row>
    <row r="10078">
      <c r="A10078" s="535" t="n">
        <v>45644</v>
      </c>
      <c r="B10078" s="534" t="n">
        <v>9.4</v>
      </c>
      <c r="C10078" s="534" t="n">
        <v>19864.55</v>
      </c>
    </row>
    <row r="10079">
      <c r="A10079" s="535" t="n">
        <v>45645</v>
      </c>
      <c r="B10079" s="534" t="n">
        <v>9.5</v>
      </c>
      <c r="C10079" s="534" t="n">
        <v>19752.51</v>
      </c>
    </row>
    <row r="10080">
      <c r="A10080" s="535" t="n">
        <v>45646</v>
      </c>
      <c r="B10080" s="534" t="n">
        <v>9.34</v>
      </c>
      <c r="C10080" s="534" t="n">
        <v>19720.7</v>
      </c>
    </row>
    <row r="10081">
      <c r="A10081" s="535" t="n">
        <v>45649</v>
      </c>
      <c r="B10081" s="534" t="n">
        <v>9.49</v>
      </c>
      <c r="C10081" s="534" t="n">
        <v>19883.13</v>
      </c>
    </row>
    <row r="10082">
      <c r="A10082" s="535" t="n">
        <v>45650</v>
      </c>
      <c r="B10082" s="534" t="n">
        <v>9.58</v>
      </c>
      <c r="C10082" s="534" t="n">
        <v>20098.29</v>
      </c>
    </row>
    <row r="10083">
      <c r="A10083" s="535" t="n">
        <v>45651</v>
      </c>
      <c r="B10083" s="534" t="n">
        <v>9.58</v>
      </c>
      <c r="C10083" s="534" t="n">
        <v>20098.29</v>
      </c>
    </row>
    <row r="10084">
      <c r="A10084" s="535" t="n">
        <v>45652</v>
      </c>
      <c r="B10084" s="534" t="n">
        <v>9.58</v>
      </c>
      <c r="C10084" s="534" t="n">
        <v>20098.29</v>
      </c>
    </row>
    <row r="10085">
      <c r="A10085" s="535" t="n">
        <v>45653</v>
      </c>
      <c r="B10085" s="534" t="n">
        <v>9.550000000000001</v>
      </c>
      <c r="C10085" s="534" t="n">
        <v>20090.46</v>
      </c>
    </row>
    <row r="10086">
      <c r="A10086" s="535" t="n">
        <v>45656</v>
      </c>
      <c r="B10086" s="534" t="n">
        <v>9.529999999999999</v>
      </c>
      <c r="C10086" s="534" t="n">
        <v>20041.42</v>
      </c>
    </row>
    <row r="10087">
      <c r="A10087" s="535" t="n">
        <v>45657</v>
      </c>
      <c r="B10087" s="534" t="n">
        <v>9.539999999999999</v>
      </c>
      <c r="C10087" s="534" t="n">
        <v>20059.95</v>
      </c>
    </row>
    <row r="10088">
      <c r="A10088" s="535" t="n">
        <v>45658</v>
      </c>
      <c r="B10088" s="534" t="n">
        <v>9.539999999999999</v>
      </c>
      <c r="C10088" s="534" t="n">
        <v>20059.95</v>
      </c>
    </row>
    <row r="10089">
      <c r="A10089" s="535" t="n">
        <v>45659</v>
      </c>
      <c r="B10089" s="534" t="n">
        <v>9.42</v>
      </c>
      <c r="C10089" s="534" t="n">
        <v>19623.32</v>
      </c>
    </row>
    <row r="10090">
      <c r="A10090" s="535" t="n">
        <v>45660</v>
      </c>
      <c r="B10090" s="534" t="n">
        <v>9.52</v>
      </c>
      <c r="C10090" s="534" t="n">
        <v>19760.27</v>
      </c>
    </row>
    <row r="10091">
      <c r="A10091" s="535" t="n">
        <v>45663</v>
      </c>
      <c r="B10091" s="534" t="n">
        <v>9.6</v>
      </c>
      <c r="C10091" s="534" t="n">
        <v>19688.29</v>
      </c>
    </row>
    <row r="10092">
      <c r="A10092" s="535" t="n">
        <v>45664</v>
      </c>
      <c r="B10092" s="534" t="n">
        <v>9.710000000000001</v>
      </c>
      <c r="C10092" s="534" t="n">
        <v>19447.58</v>
      </c>
    </row>
    <row r="10093">
      <c r="A10093" s="535" t="n">
        <v>45665</v>
      </c>
      <c r="B10093" s="534" t="n">
        <v>9.83</v>
      </c>
      <c r="C10093" s="534" t="n">
        <v>19279.84</v>
      </c>
    </row>
    <row r="10094">
      <c r="A10094" s="535" t="n">
        <v>45666</v>
      </c>
      <c r="B10094" s="534" t="n">
        <v>10.6</v>
      </c>
      <c r="C10094" s="534" t="n">
        <v>19240.89</v>
      </c>
    </row>
    <row r="10095">
      <c r="A10095" s="535" t="n">
        <v>45667</v>
      </c>
      <c r="B10095" s="534" t="n">
        <v>10.46</v>
      </c>
      <c r="C10095" s="534" t="n">
        <v>19064.29</v>
      </c>
    </row>
    <row r="10096">
      <c r="A10096" s="535" t="n">
        <v>45670</v>
      </c>
      <c r="B10096" s="534" t="n">
        <v>10.3</v>
      </c>
      <c r="C10096" s="534" t="n">
        <v>18874.14</v>
      </c>
    </row>
    <row r="10097">
      <c r="A10097" s="535" t="n">
        <v>45671</v>
      </c>
      <c r="B10097" s="534" t="n">
        <v>10.42</v>
      </c>
      <c r="C10097" s="534" t="n">
        <v>19219.78</v>
      </c>
    </row>
    <row r="10098">
      <c r="A10098" s="535" t="n">
        <v>45672</v>
      </c>
      <c r="B10098" s="534" t="n">
        <v>10.3</v>
      </c>
      <c r="C10098" s="534" t="n">
        <v>19286.07</v>
      </c>
    </row>
    <row r="10099">
      <c r="A10099" s="535" t="n">
        <v>45673</v>
      </c>
      <c r="B10099" s="534" t="n">
        <v>10.48</v>
      </c>
      <c r="C10099" s="534" t="n">
        <v>19522.89</v>
      </c>
    </row>
    <row r="10100">
      <c r="A10100" s="535" t="n">
        <v>45674</v>
      </c>
      <c r="B10100" s="534" t="n">
        <v>10.4</v>
      </c>
      <c r="C10100" s="534" t="n">
        <v>19584.06</v>
      </c>
    </row>
    <row r="10101">
      <c r="A10101" s="535" t="n">
        <v>45677</v>
      </c>
      <c r="B10101" s="534" t="n">
        <v>10.38</v>
      </c>
      <c r="C10101" s="534" t="n">
        <v>19925.81</v>
      </c>
    </row>
    <row r="10102">
      <c r="A10102" s="535" t="n">
        <v>45678</v>
      </c>
      <c r="B10102" s="534" t="n">
        <v>10.56</v>
      </c>
      <c r="C10102" s="534" t="n">
        <v>20106.55</v>
      </c>
    </row>
    <row r="10103">
      <c r="A10103" s="535" t="n">
        <v>45679</v>
      </c>
      <c r="B10103" s="534" t="n">
        <v>10.5</v>
      </c>
      <c r="C10103" s="534" t="n">
        <v>19778.77</v>
      </c>
    </row>
    <row r="10104">
      <c r="A10104" s="535" t="n">
        <v>45680</v>
      </c>
      <c r="B10104" s="534" t="n">
        <v>10.52</v>
      </c>
      <c r="C10104" s="534" t="n">
        <v>19700.56</v>
      </c>
    </row>
    <row r="10105">
      <c r="A10105" s="535" t="n">
        <v>45681</v>
      </c>
      <c r="B10105" s="534" t="n">
        <v>10.5</v>
      </c>
      <c r="C10105" s="534" t="n">
        <v>20066.19</v>
      </c>
    </row>
    <row r="10106">
      <c r="A10106" s="535" t="n">
        <v>45684</v>
      </c>
      <c r="B10106" s="534" t="n">
        <v>10.54</v>
      </c>
      <c r="C10106" s="534" t="n">
        <v>20197.77</v>
      </c>
    </row>
    <row r="10107">
      <c r="A10107" s="535" t="n">
        <v>45685</v>
      </c>
      <c r="B10107" s="534" t="n">
        <v>10.5</v>
      </c>
      <c r="C10107" s="534" t="n">
        <v>20225.11</v>
      </c>
    </row>
    <row r="10108">
      <c r="A10108" s="535" t="n">
        <v>45686</v>
      </c>
      <c r="B10108" s="534" t="n">
        <v>10.5</v>
      </c>
      <c r="C10108" s="534" t="n">
        <v>20225.11</v>
      </c>
    </row>
    <row r="10109">
      <c r="A10109" s="535" t="n">
        <v>45687</v>
      </c>
      <c r="B10109" s="534" t="n">
        <v>10.5</v>
      </c>
      <c r="C10109" s="534" t="n">
        <v>20225.11</v>
      </c>
    </row>
    <row r="10110">
      <c r="A10110" s="535" t="n">
        <v>45688</v>
      </c>
      <c r="B10110" s="534" t="n">
        <v>10.5</v>
      </c>
      <c r="C10110" s="534" t="n">
        <v>20225.11</v>
      </c>
    </row>
    <row r="10111">
      <c r="A10111" s="535" t="n">
        <v>45691</v>
      </c>
      <c r="B10111" s="534" t="n">
        <v>10.4</v>
      </c>
      <c r="C10111" s="534" t="n">
        <v>20217.26</v>
      </c>
    </row>
    <row r="10112">
      <c r="A10112" s="535" t="n">
        <v>45692</v>
      </c>
      <c r="B10112" s="534" t="n">
        <v>10.44</v>
      </c>
      <c r="C10112" s="534" t="n">
        <v>20789.96</v>
      </c>
    </row>
    <row r="10113">
      <c r="A10113" s="535" t="n">
        <v>45693</v>
      </c>
      <c r="B10113" s="534" t="n">
        <v>10.1</v>
      </c>
      <c r="C10113" s="534" t="n">
        <v>20597.09</v>
      </c>
    </row>
    <row r="10114">
      <c r="A10114" s="535" t="n">
        <v>45694</v>
      </c>
      <c r="B10114" s="534" t="n">
        <v>10.24</v>
      </c>
      <c r="C10114" s="534" t="n">
        <v>20891.62</v>
      </c>
    </row>
    <row r="10115">
      <c r="A10115" s="535" t="n">
        <v>45695</v>
      </c>
      <c r="B10115" s="534" t="n">
        <v>9.91</v>
      </c>
      <c r="C10115" s="534" t="n">
        <v>21133.54</v>
      </c>
    </row>
    <row r="10116">
      <c r="A10116" s="535" t="n">
        <v>45698</v>
      </c>
      <c r="B10116" s="534" t="n">
        <v>10.08</v>
      </c>
      <c r="C10116" s="534" t="n">
        <v>21521.98</v>
      </c>
    </row>
    <row r="10117">
      <c r="A10117" s="535" t="n">
        <v>45699</v>
      </c>
      <c r="B10117" s="534" t="n">
        <v>10.02</v>
      </c>
      <c r="C10117" s="534" t="n">
        <v>21294.86</v>
      </c>
    </row>
    <row r="10118">
      <c r="A10118" s="535" t="n">
        <v>45700</v>
      </c>
      <c r="B10118" s="534" t="n">
        <v>10.06</v>
      </c>
      <c r="C10118" s="534" t="n">
        <v>21857.92</v>
      </c>
    </row>
    <row r="10119">
      <c r="A10119" s="535" t="n">
        <v>45701</v>
      </c>
      <c r="B10119" s="534" t="n">
        <v>10.02</v>
      </c>
      <c r="C10119" s="534" t="n">
        <v>21814.37</v>
      </c>
    </row>
    <row r="10120">
      <c r="A10120" s="535" t="n">
        <v>45702</v>
      </c>
      <c r="B10120" s="534" t="n">
        <v>10</v>
      </c>
      <c r="C10120" s="534" t="n">
        <v>22620.33</v>
      </c>
    </row>
    <row r="10121">
      <c r="A10121" s="535" t="n">
        <v>45705</v>
      </c>
      <c r="B10121" s="534" t="n">
        <v>10.06</v>
      </c>
      <c r="C10121" s="534" t="n">
        <v>22616.23</v>
      </c>
    </row>
    <row r="10122">
      <c r="A10122" s="535" t="n">
        <v>45706</v>
      </c>
      <c r="B10122" s="534" t="n">
        <v>10.18</v>
      </c>
      <c r="C10122" s="534" t="n">
        <v>22976.81</v>
      </c>
    </row>
    <row r="10123">
      <c r="A10123" s="535" t="n">
        <v>45707</v>
      </c>
      <c r="B10123" s="534" t="n">
        <v>10.04</v>
      </c>
      <c r="C10123" s="534" t="n">
        <v>22944.24</v>
      </c>
    </row>
    <row r="10124">
      <c r="A10124" s="535" t="n">
        <v>45708</v>
      </c>
      <c r="B10124" s="534" t="n">
        <v>10</v>
      </c>
      <c r="C10124" s="534" t="n">
        <v>22576.98</v>
      </c>
    </row>
    <row r="10125">
      <c r="A10125" s="535" t="n">
        <v>45709</v>
      </c>
      <c r="B10125" s="534" t="n">
        <v>10.08</v>
      </c>
      <c r="C10125" s="534" t="n">
        <v>23477.92</v>
      </c>
    </row>
    <row r="10126">
      <c r="A10126" s="535" t="n">
        <v>45712</v>
      </c>
      <c r="B10126" s="534" t="n">
        <v>10.16</v>
      </c>
      <c r="C10126" s="534" t="n">
        <v>23341.61</v>
      </c>
    </row>
    <row r="10127">
      <c r="A10127" s="535" t="n">
        <v>45713</v>
      </c>
      <c r="B10127" s="534" t="n">
        <v>10.1</v>
      </c>
      <c r="C10127" s="534" t="n">
        <v>23034.02</v>
      </c>
    </row>
    <row r="10128">
      <c r="A10128" s="535" t="n">
        <v>45714</v>
      </c>
      <c r="B10128" s="534" t="n">
        <v>10.18</v>
      </c>
      <c r="C10128" s="534" t="n">
        <v>23787.93</v>
      </c>
    </row>
    <row r="10129">
      <c r="A10129" s="535" t="n">
        <v>45715</v>
      </c>
      <c r="B10129" s="534" t="n">
        <v>10.22</v>
      </c>
      <c r="C10129" s="534" t="n">
        <v>23718.29</v>
      </c>
    </row>
    <row r="10130">
      <c r="A10130" s="535" t="n">
        <v>45716</v>
      </c>
      <c r="B10130" s="534" t="n">
        <v>10.26</v>
      </c>
      <c r="C10130" s="534" t="n">
        <v>22941.32</v>
      </c>
    </row>
    <row r="10131">
      <c r="A10131" s="535" t="n">
        <v>45719</v>
      </c>
      <c r="B10131" s="534" t="n">
        <v>10.38</v>
      </c>
      <c r="C10131" s="534" t="n">
        <v>23006.27</v>
      </c>
    </row>
    <row r="10132">
      <c r="A10132" s="535" t="n">
        <v>45720</v>
      </c>
      <c r="B10132" s="534" t="n">
        <v>10.58</v>
      </c>
      <c r="C10132" s="534" t="n">
        <v>22941.77</v>
      </c>
    </row>
    <row r="10133">
      <c r="A10133" s="535" t="n">
        <v>45721</v>
      </c>
      <c r="B10133" s="534" t="n">
        <v>10.76</v>
      </c>
      <c r="C10133" s="534" t="n">
        <v>23594.21</v>
      </c>
    </row>
    <row r="10134">
      <c r="A10134" s="535" t="n">
        <v>45722</v>
      </c>
      <c r="B10134" s="534" t="n">
        <v>10.86</v>
      </c>
      <c r="C10134" s="534" t="n">
        <v>24369.71</v>
      </c>
    </row>
    <row r="10135">
      <c r="A10135" s="535" t="n">
        <v>45723</v>
      </c>
      <c r="B10135" s="534" t="n">
        <v>11.1</v>
      </c>
      <c r="C10135" s="534" t="n">
        <v>24231.3</v>
      </c>
    </row>
    <row r="10136">
      <c r="A10136" s="535" t="n">
        <v>45726</v>
      </c>
      <c r="B10136" s="534" t="n">
        <v>11.16</v>
      </c>
      <c r="C10136" s="534" t="n">
        <v>23783.49</v>
      </c>
    </row>
    <row r="10137">
      <c r="A10137" s="535" t="n">
        <v>45727</v>
      </c>
      <c r="B10137" s="534" t="n">
        <v>11.1</v>
      </c>
      <c r="C10137" s="534" t="n">
        <v>23782.14</v>
      </c>
    </row>
    <row r="10138">
      <c r="A10138" s="535" t="n">
        <v>45728</v>
      </c>
      <c r="B10138" s="534" t="n">
        <v>10.9</v>
      </c>
      <c r="C10138" s="534" t="n">
        <v>23600.31</v>
      </c>
    </row>
    <row r="10139">
      <c r="A10139" s="535" t="n">
        <v>45729</v>
      </c>
      <c r="B10139" s="534" t="n">
        <v>10.3</v>
      </c>
      <c r="C10139" s="534" t="n">
        <v>23462.65</v>
      </c>
    </row>
    <row r="10140">
      <c r="A10140" s="535" t="n">
        <v>45730</v>
      </c>
      <c r="B10140" s="534" t="n">
        <v>10.52</v>
      </c>
      <c r="C10140" s="534" t="n">
        <v>23959.98</v>
      </c>
    </row>
    <row r="10141">
      <c r="A10141" s="535" t="n">
        <v>45733</v>
      </c>
      <c r="B10141" s="534" t="n">
        <v>10.4</v>
      </c>
      <c r="C10141" s="534" t="n">
        <v>24145.57</v>
      </c>
    </row>
    <row r="10142">
      <c r="A10142" s="535" t="n">
        <v>45734</v>
      </c>
      <c r="B10142" s="534" t="n">
        <v>10.54</v>
      </c>
      <c r="C10142" s="534" t="n">
        <v>24740.57</v>
      </c>
    </row>
    <row r="10143">
      <c r="A10143" s="535" t="n">
        <v>45735</v>
      </c>
      <c r="B10143" s="534" t="n">
        <v>10.6</v>
      </c>
      <c r="C10143" s="534" t="n">
        <v>24771.14</v>
      </c>
    </row>
    <row r="10144">
      <c r="A10144" s="535" t="n">
        <v>45736</v>
      </c>
      <c r="B10144" s="534" t="n">
        <v>10.56</v>
      </c>
      <c r="C10144" s="534" t="n">
        <v>24219.95</v>
      </c>
    </row>
    <row r="10145">
      <c r="A10145" s="535" t="n">
        <v>45737</v>
      </c>
      <c r="B10145" s="534" t="n">
        <v>10.54</v>
      </c>
      <c r="C10145" s="534" t="n">
        <v>23689.72</v>
      </c>
    </row>
    <row r="10146">
      <c r="A10146" s="535" t="n">
        <v>45740</v>
      </c>
      <c r="B10146" s="534" t="n">
        <v>10.66</v>
      </c>
      <c r="C10146" s="534" t="n">
        <v>23905.56</v>
      </c>
    </row>
    <row r="10147">
      <c r="A10147" s="535" t="n">
        <v>45741</v>
      </c>
      <c r="B10147" s="534" t="n">
        <v>10.72</v>
      </c>
      <c r="C10147" s="534" t="n">
        <v>23344.25</v>
      </c>
    </row>
    <row r="10148">
      <c r="A10148" s="535" t="n">
        <v>45742</v>
      </c>
      <c r="B10148" s="534" t="n">
        <v>10.64</v>
      </c>
      <c r="C10148" s="534" t="n">
        <v>23483.32</v>
      </c>
    </row>
    <row r="10149">
      <c r="A10149" s="535" t="n">
        <v>45743</v>
      </c>
      <c r="B10149" s="534" t="n">
        <v>10.52</v>
      </c>
      <c r="C10149" s="534" t="n">
        <v>23578.8</v>
      </c>
    </row>
    <row r="10150">
      <c r="A10150" s="535" t="n">
        <v>45744</v>
      </c>
      <c r="B10150" s="534" t="n">
        <v>10.52</v>
      </c>
      <c r="C10150" s="534" t="n">
        <v>23426.6</v>
      </c>
    </row>
    <row r="10151">
      <c r="A10151" s="535" t="n">
        <v>45747</v>
      </c>
      <c r="B10151" s="534" t="n">
        <v>10.36</v>
      </c>
      <c r="C10151" s="534" t="n">
        <v>23119.58</v>
      </c>
    </row>
    <row r="10152">
      <c r="A10152" s="535" t="n">
        <v>45748</v>
      </c>
      <c r="B10152" s="534" t="n">
        <v>9.93</v>
      </c>
      <c r="C10152" s="534" t="n">
        <v>23206.84</v>
      </c>
    </row>
    <row r="10153">
      <c r="A10153" s="535" t="n">
        <v>45749</v>
      </c>
      <c r="B10153" s="534" t="n">
        <v>9.800000000000001</v>
      </c>
      <c r="C10153" s="534" t="n">
        <v>23202.53</v>
      </c>
    </row>
    <row r="10154">
      <c r="A10154" s="535" t="n">
        <v>45750</v>
      </c>
      <c r="B10154" s="534" t="n">
        <v>9.359999999999999</v>
      </c>
      <c r="C10154" s="534" t="n">
        <v>22849.81</v>
      </c>
    </row>
    <row r="10155">
      <c r="A10155" s="535" t="n">
        <v>45751</v>
      </c>
      <c r="B10155" s="534" t="n">
        <v>9.359999999999999</v>
      </c>
      <c r="C10155" s="534" t="n">
        <v>22849.81</v>
      </c>
    </row>
    <row r="10156">
      <c r="A10156" s="535" t="n">
        <v>45754</v>
      </c>
      <c r="B10156" s="534" t="n">
        <v>8.76</v>
      </c>
      <c r="C10156" s="534" t="n">
        <v>19828.3</v>
      </c>
    </row>
    <row r="10157">
      <c r="A10157" s="535" t="n">
        <v>45755</v>
      </c>
      <c r="B10157" s="534" t="n">
        <v>8.77</v>
      </c>
      <c r="C10157" s="534" t="n">
        <v>20127.68</v>
      </c>
    </row>
    <row r="10158">
      <c r="A10158" s="535" t="n">
        <v>45756</v>
      </c>
      <c r="B10158" s="534" t="n">
        <v>8.720000000000001</v>
      </c>
      <c r="C10158" s="534" t="n">
        <v>20264.49</v>
      </c>
    </row>
    <row r="10159">
      <c r="A10159" s="535" t="n">
        <v>45757</v>
      </c>
      <c r="B10159" s="534" t="n">
        <v>8.92</v>
      </c>
      <c r="C10159" s="534" t="n">
        <v>20681.78</v>
      </c>
    </row>
    <row r="10160">
      <c r="A10160" s="535" t="n">
        <v>45758</v>
      </c>
      <c r="B10160" s="534" t="n">
        <v>8.880000000000001</v>
      </c>
      <c r="C10160" s="534" t="n">
        <v>20914.69</v>
      </c>
    </row>
    <row r="10161">
      <c r="A10161" s="535" t="n">
        <v>45761</v>
      </c>
      <c r="B10161" s="534" t="n">
        <v>8.98</v>
      </c>
      <c r="C10161" s="534" t="n">
        <v>21417.4</v>
      </c>
    </row>
    <row r="10162">
      <c r="A10162" s="535" t="n">
        <v>45762</v>
      </c>
      <c r="B10162" s="534" t="n">
        <v>8.789999999999999</v>
      </c>
      <c r="C10162" s="534" t="n">
        <v>21466.27</v>
      </c>
    </row>
    <row r="10163">
      <c r="A10163" s="535" t="n">
        <v>45763</v>
      </c>
      <c r="B10163" s="534" t="n">
        <v>8.73</v>
      </c>
      <c r="C10163" s="534" t="n">
        <v>21056.98</v>
      </c>
    </row>
    <row r="10164">
      <c r="A10164" s="535" t="n">
        <v>45764</v>
      </c>
      <c r="B10164" s="534" t="n">
        <v>8.890000000000001</v>
      </c>
      <c r="C10164" s="534" t="n">
        <v>21395.14</v>
      </c>
    </row>
    <row r="10165">
      <c r="A10165" s="535" t="n">
        <v>45765</v>
      </c>
      <c r="B10165" s="534" t="n">
        <v>8.890000000000001</v>
      </c>
      <c r="C10165" s="534" t="n">
        <v>21395.14</v>
      </c>
    </row>
    <row r="10166">
      <c r="A10166" s="535" t="n">
        <v>45768</v>
      </c>
      <c r="B10166" s="534" t="n">
        <v>8.890000000000001</v>
      </c>
      <c r="C10166" s="534" t="n">
        <v>21395.14</v>
      </c>
    </row>
    <row r="10167">
      <c r="A10167" s="535" t="n">
        <v>45769</v>
      </c>
      <c r="B10167" s="534" t="n">
        <v>8.85</v>
      </c>
      <c r="C10167" s="534" t="n">
        <v>21562.32</v>
      </c>
    </row>
    <row r="10168">
      <c r="A10168" s="535" t="n">
        <v>45770</v>
      </c>
      <c r="B10168" s="534" t="n">
        <v>8.98</v>
      </c>
      <c r="C10168" s="534" t="n">
        <v>22072.62</v>
      </c>
    </row>
    <row r="10169">
      <c r="A10169" s="535" t="n">
        <v>45771</v>
      </c>
      <c r="B10169" s="534" t="n">
        <v>8.949999999999999</v>
      </c>
      <c r="C10169" s="534" t="n">
        <v>21909.76</v>
      </c>
    </row>
    <row r="10170">
      <c r="A10170" s="535" t="n">
        <v>45772</v>
      </c>
      <c r="B10170" s="534" t="n">
        <v>8.9</v>
      </c>
      <c r="C10170" s="534" t="n">
        <v>21980.74</v>
      </c>
    </row>
    <row r="10171">
      <c r="A10171" s="535" t="n">
        <v>45775</v>
      </c>
      <c r="B10171" s="534" t="n">
        <v>8.93</v>
      </c>
      <c r="C10171" s="534" t="n">
        <v>21971.96</v>
      </c>
    </row>
    <row r="10172">
      <c r="A10172" s="535" t="n">
        <v>45776</v>
      </c>
      <c r="B10172" s="534" t="n">
        <v>8.93</v>
      </c>
      <c r="C10172" s="534" t="n">
        <v>22008.11</v>
      </c>
    </row>
    <row r="10173">
      <c r="A10173" s="535" t="n">
        <v>45777</v>
      </c>
      <c r="B10173" s="534" t="n">
        <v>8.93</v>
      </c>
      <c r="C10173" s="534" t="n">
        <v>22119.41</v>
      </c>
    </row>
    <row r="10174">
      <c r="A10174" s="535" t="n">
        <v>45778</v>
      </c>
      <c r="B10174" s="534" t="n">
        <v>8.93</v>
      </c>
      <c r="C10174" s="534" t="n">
        <v>22119.41</v>
      </c>
    </row>
    <row r="10175">
      <c r="A10175" s="535" t="n">
        <v>45779</v>
      </c>
      <c r="B10175" s="534" t="n">
        <v>9.16</v>
      </c>
      <c r="C10175" s="534" t="n">
        <v>22504.68</v>
      </c>
    </row>
    <row r="10176">
      <c r="A10176" s="535" t="n">
        <v>45782</v>
      </c>
      <c r="B10176" s="534" t="n">
        <v>9.16</v>
      </c>
      <c r="C10176" s="534" t="n">
        <v>22504.68</v>
      </c>
    </row>
    <row r="10177">
      <c r="A10177" s="535" t="n">
        <v>45783</v>
      </c>
      <c r="B10177" s="534" t="n">
        <v>9.279999999999999</v>
      </c>
      <c r="C10177" s="534" t="n">
        <v>22662.71</v>
      </c>
    </row>
    <row r="10178">
      <c r="A10178" s="535" t="n">
        <v>45784</v>
      </c>
      <c r="B10178" s="534" t="n">
        <v>9.300000000000001</v>
      </c>
      <c r="C10178" s="534" t="n">
        <v>22691.88</v>
      </c>
    </row>
    <row r="10179">
      <c r="A10179" s="535" t="n">
        <v>45785</v>
      </c>
      <c r="B10179" s="534" t="n">
        <v>9.380000000000001</v>
      </c>
      <c r="C10179" s="534" t="n">
        <v>22775.92</v>
      </c>
    </row>
    <row r="10180">
      <c r="A10180" s="535" t="n">
        <v>45786</v>
      </c>
      <c r="B10180" s="534" t="n">
        <v>9.460000000000001</v>
      </c>
      <c r="C10180" s="534" t="n">
        <v>22867.74</v>
      </c>
    </row>
    <row r="10181">
      <c r="A10181" s="535" t="n">
        <v>45789</v>
      </c>
      <c r="B10181" s="534" t="n">
        <v>9.710000000000001</v>
      </c>
      <c r="C10181" s="534" t="n">
        <v>23549.46</v>
      </c>
    </row>
    <row r="10182">
      <c r="A10182" s="535" t="n">
        <v>45790</v>
      </c>
      <c r="B10182" s="534" t="n">
        <v>9.74</v>
      </c>
      <c r="C10182" s="534" t="n">
        <v>23108.27</v>
      </c>
    </row>
    <row r="10183">
      <c r="A10183" s="535" t="n">
        <v>45791</v>
      </c>
      <c r="B10183" s="534" t="n">
        <v>9.84</v>
      </c>
      <c r="C10183" s="534" t="n">
        <v>23640.65</v>
      </c>
    </row>
    <row r="10184">
      <c r="A10184" s="535" t="n">
        <v>45792</v>
      </c>
      <c r="B10184" s="534" t="n">
        <v>10.04</v>
      </c>
      <c r="C10184" s="534" t="n">
        <v>23453.16</v>
      </c>
    </row>
    <row r="10185">
      <c r="A10185" s="535" t="n">
        <v>45793</v>
      </c>
      <c r="B10185" s="534" t="n">
        <v>10.34</v>
      </c>
      <c r="C10185" s="534" t="n">
        <v>23345.05</v>
      </c>
    </row>
    <row r="10186">
      <c r="A10186" s="535" t="n">
        <v>45796</v>
      </c>
      <c r="B10186" s="534" t="n">
        <v>10.32</v>
      </c>
      <c r="C10186" s="534" t="n">
        <v>23332.72</v>
      </c>
    </row>
    <row r="10187">
      <c r="A10187" s="535" t="n">
        <v>45797</v>
      </c>
      <c r="B10187" s="534" t="n">
        <v>10.36</v>
      </c>
      <c r="C10187" s="534" t="n">
        <v>23681.48</v>
      </c>
    </row>
    <row r="10188">
      <c r="A10188" s="535" t="n">
        <v>45798</v>
      </c>
      <c r="B10188" s="534" t="n">
        <v>10.48</v>
      </c>
      <c r="C10188" s="534" t="n">
        <v>23827.78</v>
      </c>
    </row>
    <row r="10189">
      <c r="A10189" s="535" t="n">
        <v>45799</v>
      </c>
      <c r="B10189" s="534" t="n">
        <v>10.48</v>
      </c>
      <c r="C10189" s="534" t="n">
        <v>23544.31</v>
      </c>
    </row>
    <row r="10190">
      <c r="A10190" s="535" t="n">
        <v>45800</v>
      </c>
      <c r="B10190" s="534" t="n">
        <v>10.52</v>
      </c>
      <c r="C10190" s="534" t="n">
        <v>23601.26</v>
      </c>
    </row>
    <row r="10191">
      <c r="A10191" s="535" t="n">
        <v>45803</v>
      </c>
      <c r="B10191" s="534" t="n">
        <v>10.5</v>
      </c>
      <c r="C10191" s="534" t="n">
        <v>23282.33</v>
      </c>
    </row>
    <row r="10192">
      <c r="A10192" s="535" t="n">
        <v>45804</v>
      </c>
      <c r="B10192" s="534" t="n">
        <v>10.52</v>
      </c>
      <c r="C10192" s="534" t="n">
        <v>23381.99</v>
      </c>
    </row>
    <row r="10193">
      <c r="A10193" s="535" t="n">
        <v>45805</v>
      </c>
      <c r="B10193" s="534" t="n">
        <v>10.48</v>
      </c>
      <c r="C10193" s="534" t="n">
        <v>23258.31</v>
      </c>
    </row>
    <row r="10194">
      <c r="A10194" s="535" t="n">
        <v>45806</v>
      </c>
      <c r="B10194" s="534" t="n">
        <v>10.58</v>
      </c>
      <c r="C10194" s="534" t="n">
        <v>23573.38</v>
      </c>
    </row>
    <row r="10195">
      <c r="A10195" s="535" t="n">
        <v>45807</v>
      </c>
      <c r="B10195" s="534" t="n">
        <v>10.56</v>
      </c>
      <c r="C10195" s="534" t="n">
        <v>23289.77</v>
      </c>
    </row>
    <row r="10196">
      <c r="A10196" s="535" t="n">
        <v>45810</v>
      </c>
      <c r="B10196" s="534" t="n">
        <v>10.52</v>
      </c>
      <c r="C10196" s="534" t="n">
        <v>23157.97</v>
      </c>
    </row>
    <row r="10197">
      <c r="A10197" s="535" t="n">
        <v>45811</v>
      </c>
      <c r="B10197" s="534" t="n">
        <v>10.48</v>
      </c>
      <c r="C10197" s="534" t="n">
        <v>23512.49</v>
      </c>
    </row>
    <row r="10198">
      <c r="A10198" s="535" t="n">
        <v>45812</v>
      </c>
      <c r="B10198" s="534" t="n">
        <v>10.34</v>
      </c>
      <c r="C10198" s="534" t="n">
        <v>23654.03</v>
      </c>
    </row>
    <row r="10199">
      <c r="A10199" s="535" t="n">
        <v>45813</v>
      </c>
      <c r="B10199" s="534" t="n">
        <v>10.36</v>
      </c>
      <c r="C10199" s="534" t="n">
        <v>23906.97</v>
      </c>
    </row>
    <row r="10200">
      <c r="A10200" s="535" t="n">
        <v>45814</v>
      </c>
      <c r="B10200" s="534" t="n">
        <v>10.42</v>
      </c>
      <c r="C10200" s="534" t="n">
        <v>23792.54</v>
      </c>
    </row>
    <row r="10201">
      <c r="A10201" s="535" t="n">
        <v>45817</v>
      </c>
      <c r="B10201" s="534" t="n">
        <v>10.42</v>
      </c>
      <c r="C10201" s="534" t="n">
        <v>24181.43</v>
      </c>
    </row>
    <row r="10202">
      <c r="A10202" s="535" t="n">
        <v>45818</v>
      </c>
      <c r="B10202" s="534" t="n">
        <v>10.5</v>
      </c>
      <c r="C10202" s="534" t="n">
        <v>24162.87</v>
      </c>
    </row>
    <row r="10203">
      <c r="A10203" s="535" t="n">
        <v>45819</v>
      </c>
      <c r="B10203" s="534" t="n">
        <v>10.58</v>
      </c>
      <c r="C10203" s="534" t="n">
        <v>24366.94</v>
      </c>
    </row>
    <row r="10204">
      <c r="A10204" s="535" t="n">
        <v>45820</v>
      </c>
      <c r="B10204" s="534" t="n">
        <v>10.48</v>
      </c>
      <c r="C10204" s="534" t="n">
        <v>24035.38</v>
      </c>
    </row>
    <row r="10205">
      <c r="A10205" s="535" t="n">
        <v>45821</v>
      </c>
      <c r="B10205" s="534" t="n">
        <v>10.3</v>
      </c>
      <c r="C10205" s="534" t="n">
        <v>23892.56</v>
      </c>
    </row>
    <row r="10206">
      <c r="A10206" s="535" t="n">
        <v>45824</v>
      </c>
      <c r="B10206" s="534" t="n">
        <v>10.22</v>
      </c>
      <c r="C10206" s="534" t="n">
        <v>24060.99</v>
      </c>
    </row>
    <row r="10207">
      <c r="A10207" s="535" t="n">
        <v>45825</v>
      </c>
      <c r="B10207" s="534" t="n">
        <v>10.3</v>
      </c>
      <c r="C10207" s="534" t="n">
        <v>23980.3</v>
      </c>
    </row>
    <row r="10208">
      <c r="A10208" s="535" t="n">
        <v>45826</v>
      </c>
      <c r="B10208" s="534" t="n">
        <v>10.22</v>
      </c>
      <c r="C10208" s="534" t="n">
        <v>23710.69</v>
      </c>
    </row>
    <row r="10209">
      <c r="A10209" s="535" t="n">
        <v>45827</v>
      </c>
      <c r="B10209" s="534" t="n">
        <v>10.06</v>
      </c>
      <c r="C10209" s="534" t="n">
        <v>23237.74</v>
      </c>
    </row>
    <row r="10210">
      <c r="A10210" s="535" t="n">
        <v>45828</v>
      </c>
      <c r="B10210" s="534" t="n">
        <v>10.06</v>
      </c>
      <c r="C10210" s="534" t="n">
        <v>23530.48</v>
      </c>
    </row>
    <row r="10211">
      <c r="A10211" s="535" t="n">
        <v>45831</v>
      </c>
      <c r="B10211" s="534" t="n">
        <v>10.18</v>
      </c>
      <c r="C10211" s="534" t="n">
        <v>23689.13</v>
      </c>
    </row>
    <row r="10212">
      <c r="A10212" s="535" t="n">
        <v>45832</v>
      </c>
      <c r="B10212" s="534" t="n">
        <v>10.56</v>
      </c>
      <c r="C10212" s="534" t="n">
        <v>24177.07</v>
      </c>
    </row>
    <row r="10213">
      <c r="A10213" s="535" t="n">
        <v>45833</v>
      </c>
      <c r="B10213" s="534" t="n">
        <v>10.76</v>
      </c>
      <c r="C10213" s="534" t="n">
        <v>24474.67</v>
      </c>
    </row>
    <row r="10214">
      <c r="A10214" s="535" t="n">
        <v>45834</v>
      </c>
      <c r="B10214" s="534" t="n">
        <v>10.86</v>
      </c>
      <c r="C10214" s="534" t="n">
        <v>24325.4</v>
      </c>
    </row>
    <row r="10215">
      <c r="A10215" s="535" t="n">
        <v>45835</v>
      </c>
      <c r="B10215" s="534" t="n">
        <v>10.76</v>
      </c>
      <c r="C10215" s="534" t="n">
        <v>24284.15</v>
      </c>
    </row>
    <row r="10216">
      <c r="A10216" s="535" t="n">
        <v>45838</v>
      </c>
      <c r="B10216" s="534" t="n">
        <v>10.7</v>
      </c>
      <c r="C10216" s="534" t="n">
        <v>24072.28</v>
      </c>
    </row>
    <row r="10217">
      <c r="A10217" s="535" t="n">
        <v>45839</v>
      </c>
      <c r="B10217" s="534" t="n">
        <v>10.7</v>
      </c>
      <c r="C10217" s="534" t="n">
        <v>24072.28</v>
      </c>
    </row>
    <row r="10218">
      <c r="A10218" s="535" t="n">
        <v>45840</v>
      </c>
      <c r="B10218" s="534" t="n">
        <v>10.9</v>
      </c>
      <c r="C10218" s="534" t="n">
        <v>24221.41</v>
      </c>
    </row>
    <row r="10219">
      <c r="A10219" s="535" t="n">
        <v>45841</v>
      </c>
      <c r="B10219" s="534" t="n">
        <v>10.88</v>
      </c>
      <c r="C10219" s="534" t="n">
        <v>24069.94</v>
      </c>
    </row>
    <row r="10220">
      <c r="A10220" s="535" t="n">
        <v>45842</v>
      </c>
      <c r="B10220" s="534" t="n">
        <v>10.78</v>
      </c>
      <c r="C10220" s="534" t="n">
        <v>23916.06</v>
      </c>
    </row>
    <row r="10221">
      <c r="A10221" s="535" t="n">
        <v>45845</v>
      </c>
      <c r="B10221" s="534" t="n">
        <v>11</v>
      </c>
      <c r="C10221" s="534" t="n">
        <v>23887.83</v>
      </c>
    </row>
    <row r="10222">
      <c r="A10222" s="535" t="n">
        <v>45846</v>
      </c>
      <c r="B10222" s="534" t="n">
        <v>11.6</v>
      </c>
      <c r="C10222" s="534" t="n">
        <v>24148.07</v>
      </c>
    </row>
    <row r="10223">
      <c r="A10223" s="535" t="n">
        <v>45847</v>
      </c>
      <c r="B10223" s="534" t="n">
        <v>11.68</v>
      </c>
      <c r="C10223" s="534" t="n">
        <v>23892.32</v>
      </c>
    </row>
    <row r="10224">
      <c r="A10224" s="535" t="n">
        <v>45848</v>
      </c>
      <c r="B10224" s="534" t="n">
        <v>11.8</v>
      </c>
      <c r="C10224" s="534" t="n">
        <v>24028.37</v>
      </c>
    </row>
    <row r="10225">
      <c r="A10225" s="535" t="n">
        <v>45849</v>
      </c>
      <c r="B10225" s="534" t="n">
        <v>11.8</v>
      </c>
      <c r="C10225" s="534" t="n">
        <v>24139.57</v>
      </c>
    </row>
    <row r="10226">
      <c r="A10226" s="535" t="n">
        <v>45852</v>
      </c>
      <c r="B10226" s="534" t="n">
        <v>11.78</v>
      </c>
      <c r="C10226" s="534" t="n">
        <v>24203.32</v>
      </c>
    </row>
    <row r="10227">
      <c r="A10227" s="535" t="n">
        <v>45853</v>
      </c>
      <c r="B10227" s="534" t="n">
        <v>11.88</v>
      </c>
      <c r="C10227" s="534" t="n">
        <v>24590.12</v>
      </c>
    </row>
    <row r="10228">
      <c r="A10228" s="535" t="n">
        <v>45854</v>
      </c>
      <c r="B10228" s="534" t="n">
        <v>11.8</v>
      </c>
      <c r="C10228" s="534" t="n">
        <v>24517.76</v>
      </c>
    </row>
    <row r="10229">
      <c r="A10229" s="535" t="n">
        <v>45855</v>
      </c>
      <c r="B10229" s="534" t="n">
        <v>11.96</v>
      </c>
      <c r="C10229" s="534" t="n">
        <v>24498.95</v>
      </c>
    </row>
    <row r="10230">
      <c r="A10230" s="535" t="n">
        <v>45856</v>
      </c>
      <c r="B10230" s="534" t="n">
        <v>11.9</v>
      </c>
      <c r="C10230" s="534" t="n">
        <v>24825.66</v>
      </c>
    </row>
    <row r="10231">
      <c r="A10231" s="535" t="n">
        <v>45859</v>
      </c>
      <c r="B10231" s="534" t="n">
        <v>11.8</v>
      </c>
      <c r="C10231" s="534" t="n">
        <v>24994.14</v>
      </c>
    </row>
    <row r="10232">
      <c r="A10232" s="535" t="n">
        <v>45860</v>
      </c>
      <c r="B10232" s="534" t="n">
        <v>11.8</v>
      </c>
      <c r="C10232" s="534" t="n">
        <v>25130.03</v>
      </c>
    </row>
    <row r="10233">
      <c r="A10233" s="535" t="n">
        <v>45861</v>
      </c>
      <c r="B10233" s="534" t="n">
        <v>11.8</v>
      </c>
      <c r="C10233" s="534" t="n">
        <v>25538.07</v>
      </c>
    </row>
    <row r="10234">
      <c r="A10234" s="535" t="n">
        <v>45862</v>
      </c>
      <c r="B10234" s="534" t="n">
        <v>11.92</v>
      </c>
      <c r="C10234" s="534" t="n">
        <v>25667.18</v>
      </c>
    </row>
    <row r="10235">
      <c r="A10235" s="535" t="n">
        <v>45863</v>
      </c>
      <c r="B10235" s="534" t="n">
        <v>11.9</v>
      </c>
      <c r="C10235" s="534" t="n">
        <v>25388.35</v>
      </c>
    </row>
    <row r="10236">
      <c r="A10236" s="535" t="n">
        <v>45866</v>
      </c>
      <c r="B10236" s="534" t="n">
        <v>12</v>
      </c>
      <c r="C10236" s="534" t="n">
        <v>25562.13</v>
      </c>
    </row>
    <row r="10237">
      <c r="A10237" s="535" t="n">
        <v>45867</v>
      </c>
      <c r="B10237" s="534" t="n">
        <v>12</v>
      </c>
      <c r="C10237" s="534" t="n">
        <v>25524.45</v>
      </c>
    </row>
    <row r="10238">
      <c r="A10238" s="535" t="n">
        <v>45868</v>
      </c>
      <c r="B10238" s="534" t="n">
        <v>11.72</v>
      </c>
      <c r="C10238" s="534" t="n">
        <v>25176.93</v>
      </c>
    </row>
    <row r="10239">
      <c r="A10239" s="535" t="n">
        <v>45869</v>
      </c>
      <c r="B10239" s="534" t="n">
        <v>11.7</v>
      </c>
      <c r="C10239" s="534" t="n">
        <v>24773.33</v>
      </c>
    </row>
    <row r="10240">
      <c r="A10240" s="535" t="n">
        <v>45870</v>
      </c>
      <c r="B10240" s="534" t="n">
        <v>11.8</v>
      </c>
      <c r="C10240" s="534" t="n">
        <v>24507.81</v>
      </c>
    </row>
    <row r="10241">
      <c r="A10241" s="535" t="n">
        <v>45873</v>
      </c>
      <c r="B10241" s="534" t="n">
        <v>11.76</v>
      </c>
      <c r="C10241" s="534" t="n">
        <v>24733.45</v>
      </c>
    </row>
    <row r="10242">
      <c r="A10242" s="535" t="n">
        <v>45874</v>
      </c>
      <c r="B10242" s="534" t="n">
        <v>12.01</v>
      </c>
      <c r="C10242" s="534" t="n">
        <v>24902.53</v>
      </c>
    </row>
    <row r="10243">
      <c r="A10243" s="535" t="n">
        <v>45875</v>
      </c>
      <c r="B10243" s="534" t="n">
        <v>10.85</v>
      </c>
      <c r="C10243" s="534" t="n">
        <v>24910.63</v>
      </c>
    </row>
    <row r="10244">
      <c r="A10244" s="535" t="n">
        <v>45876</v>
      </c>
      <c r="B10244" s="534" t="n">
        <v>10.52</v>
      </c>
      <c r="C10244" s="534" t="n">
        <v>25081.63</v>
      </c>
    </row>
    <row r="10245">
      <c r="A10245" s="535" t="n">
        <v>45877</v>
      </c>
      <c r="B10245" s="534" t="n">
        <v>10.42</v>
      </c>
      <c r="C10245" s="534" t="n">
        <v>24858.82</v>
      </c>
    </row>
    <row r="10246">
      <c r="A10246" s="535" t="n">
        <v>45880</v>
      </c>
      <c r="B10246" s="534" t="n">
        <v>10.5</v>
      </c>
      <c r="C10246" s="534" t="n">
        <v>24906.81</v>
      </c>
    </row>
    <row r="10247">
      <c r="A10247" s="535" t="n">
        <v>45881</v>
      </c>
      <c r="B10247" s="534" t="n">
        <v>10.52</v>
      </c>
      <c r="C10247" s="534" t="n">
        <v>24969.68</v>
      </c>
    </row>
    <row r="10248">
      <c r="A10248" s="535" t="n">
        <v>45882</v>
      </c>
      <c r="B10248" s="534" t="n">
        <v>10.65</v>
      </c>
      <c r="C10248" s="534" t="n">
        <v>25613.67</v>
      </c>
    </row>
    <row r="10249">
      <c r="A10249" s="535" t="n">
        <v>45883</v>
      </c>
      <c r="B10249" s="534" t="n">
        <v>10.72</v>
      </c>
      <c r="C10249" s="534" t="n">
        <v>25519.32</v>
      </c>
    </row>
    <row r="10250">
      <c r="A10250" s="535" t="n">
        <v>45884</v>
      </c>
      <c r="B10250" s="534" t="n">
        <v>10.82</v>
      </c>
      <c r="C10250" s="534" t="n">
        <v>25270.07</v>
      </c>
    </row>
    <row r="10251">
      <c r="A10251" s="535" t="n">
        <v>45887</v>
      </c>
      <c r="B10251" s="534" t="n">
        <v>10.75</v>
      </c>
      <c r="C10251" s="534" t="n">
        <v>25176.85</v>
      </c>
    </row>
    <row r="10252">
      <c r="A10252" s="535" t="n">
        <v>45888</v>
      </c>
      <c r="B10252" s="534" t="n">
        <v>10.64</v>
      </c>
      <c r="C10252" s="534" t="n">
        <v>25122.9</v>
      </c>
    </row>
    <row r="10253">
      <c r="A10253" s="535" t="n">
        <v>45889</v>
      </c>
      <c r="B10253" s="534" t="n">
        <v>10.67</v>
      </c>
      <c r="C10253" s="534" t="n">
        <v>25165.94</v>
      </c>
    </row>
    <row r="10254">
      <c r="A10254" s="535" t="n">
        <v>45890</v>
      </c>
      <c r="B10254" s="534" t="n">
        <v>10.69</v>
      </c>
      <c r="C10254" s="534" t="n">
        <v>25104.61</v>
      </c>
    </row>
    <row r="10255">
      <c r="A10255" s="535" t="n">
        <v>45891</v>
      </c>
      <c r="B10255" s="534" t="n">
        <v>10.71</v>
      </c>
      <c r="C10255" s="534" t="n">
        <v>25339.14</v>
      </c>
    </row>
    <row r="10256">
      <c r="A10256" s="535" t="n">
        <v>45894</v>
      </c>
      <c r="B10256" s="534" t="n">
        <v>10.72</v>
      </c>
      <c r="C10256" s="534" t="n">
        <v>25829.91</v>
      </c>
    </row>
    <row r="10257">
      <c r="A10257" s="535" t="n">
        <v>45895</v>
      </c>
      <c r="B10257" s="534" t="n">
        <v>10.77</v>
      </c>
      <c r="C10257" s="534" t="n">
        <v>25524.92</v>
      </c>
    </row>
    <row r="10258">
      <c r="A10258" s="535" t="n">
        <v>45896</v>
      </c>
      <c r="B10258" s="534" t="n">
        <v>10.76</v>
      </c>
      <c r="C10258" s="534" t="n">
        <v>25201.76</v>
      </c>
    </row>
    <row r="10259">
      <c r="A10259" s="535" t="n">
        <v>45897</v>
      </c>
      <c r="B10259" s="534" t="n">
        <v>10.78</v>
      </c>
      <c r="C10259" s="534" t="n">
        <v>24998.82</v>
      </c>
    </row>
    <row r="10260">
      <c r="A10260" s="535" t="n">
        <v>45898</v>
      </c>
      <c r="B10260" s="534" t="n">
        <v>10.71</v>
      </c>
      <c r="C10260" s="534" t="n">
        <v>25077.62</v>
      </c>
    </row>
    <row r="10261">
      <c r="A10261" s="535" t="n">
        <v>45901</v>
      </c>
      <c r="B10261" s="534" t="n">
        <v>10.72</v>
      </c>
      <c r="C10261" s="534" t="n">
        <v>25617.42</v>
      </c>
    </row>
    <row r="10262">
      <c r="A10262" s="535" t="n">
        <v>45902</v>
      </c>
      <c r="B10262" s="534" t="n">
        <v>10.79</v>
      </c>
      <c r="C10262" s="534" t="n">
        <v>25496.55</v>
      </c>
    </row>
    <row r="10263">
      <c r="A10263" s="535" t="n">
        <v>45903</v>
      </c>
      <c r="B10263" s="534" t="n">
        <v>10.52</v>
      </c>
      <c r="C10263" s="534" t="n">
        <v>25343.43</v>
      </c>
    </row>
    <row r="10264">
      <c r="A10264" s="535" t="n">
        <v>45904</v>
      </c>
      <c r="B10264" s="534" t="n">
        <v>10.44</v>
      </c>
      <c r="C10264" s="534" t="n">
        <v>25058.51</v>
      </c>
    </row>
    <row r="10265">
      <c r="A10265" s="535" t="n">
        <v>45905</v>
      </c>
      <c r="B10265" s="534" t="n">
        <v>10.48</v>
      </c>
      <c r="C10265" s="534" t="n">
        <v>25417.98</v>
      </c>
    </row>
    <row r="10266">
      <c r="A10266" s="535" t="n">
        <v>45908</v>
      </c>
      <c r="B10266" s="534" t="n">
        <v>10.62</v>
      </c>
      <c r="C10266" s="534" t="n">
        <v>25633.91</v>
      </c>
    </row>
    <row r="10267">
      <c r="A10267" s="535" t="n">
        <v>45909</v>
      </c>
      <c r="B10267" s="534" t="n">
        <v>10.56</v>
      </c>
      <c r="C10267" s="534" t="n">
        <v>25938.13</v>
      </c>
    </row>
    <row r="10268">
      <c r="A10268" s="535" t="n">
        <v>45910</v>
      </c>
      <c r="B10268" s="534" t="n">
        <v>10.66</v>
      </c>
      <c r="C10268" s="534" t="n">
        <v>26200.26</v>
      </c>
    </row>
    <row r="10269">
      <c r="A10269" s="535" t="n">
        <v>45911</v>
      </c>
      <c r="B10269" s="534" t="n">
        <v>10.6</v>
      </c>
      <c r="C10269" s="534" t="n">
        <v>26086.32</v>
      </c>
    </row>
    <row r="10270">
      <c r="A10270" s="535" t="n">
        <v>45912</v>
      </c>
      <c r="B10270" s="534" t="n">
        <v>10.59</v>
      </c>
      <c r="C10270" s="534" t="n">
        <v>26388.16</v>
      </c>
    </row>
    <row r="10271">
      <c r="A10271" s="535" t="n">
        <v>45915</v>
      </c>
      <c r="B10271" s="534" t="n">
        <v>10.6</v>
      </c>
      <c r="C10271" s="534" t="n">
        <v>26446.56</v>
      </c>
    </row>
    <row r="10272">
      <c r="A10272" s="535" t="n">
        <v>45916</v>
      </c>
      <c r="B10272" s="534" t="n">
        <v>10.59</v>
      </c>
      <c r="C10272" s="534" t="n">
        <v>26438.51</v>
      </c>
    </row>
    <row r="10273">
      <c r="A10273" s="535" t="n">
        <v>45917</v>
      </c>
      <c r="B10273" s="534" t="n">
        <v>10.66</v>
      </c>
      <c r="C10273" s="534" t="n">
        <v>26908.39</v>
      </c>
    </row>
    <row r="10274">
      <c r="A10274" s="535" t="n">
        <v>45918</v>
      </c>
      <c r="B10274" s="534" t="n">
        <v>10.62</v>
      </c>
      <c r="C10274" s="534" t="n">
        <v>26544.85</v>
      </c>
    </row>
    <row r="10275">
      <c r="A10275" s="535" t="n">
        <v>45919</v>
      </c>
      <c r="B10275" s="534" t="n">
        <v>10.57</v>
      </c>
      <c r="C10275" s="534" t="n">
        <v>26545.1</v>
      </c>
    </row>
    <row r="10276">
      <c r="A10276" s="535" t="n">
        <v>45922</v>
      </c>
      <c r="B10276" s="534" t="n">
        <v>10.46</v>
      </c>
      <c r="C10276" s="534" t="n">
        <v>26344.14</v>
      </c>
    </row>
    <row r="10277">
      <c r="A10277" s="535" t="n">
        <v>45923</v>
      </c>
      <c r="B10277" s="534" t="n">
        <v>10.51</v>
      </c>
      <c r="C10277" s="534" t="n">
        <v>26159.12</v>
      </c>
    </row>
    <row r="10278">
      <c r="A10278" s="535" t="n">
        <v>45924</v>
      </c>
      <c r="B10278" s="534" t="n">
        <v>10.55</v>
      </c>
      <c r="C10278" s="534" t="n">
        <v>26518.65</v>
      </c>
    </row>
    <row r="10279">
      <c r="A10279" s="535" t="n">
        <v>45925</v>
      </c>
      <c r="B10279" s="534" t="n">
        <v>10.51</v>
      </c>
      <c r="C10279" s="534" t="n">
        <v>26484.68</v>
      </c>
    </row>
    <row r="10280">
      <c r="A10280" s="535" t="n">
        <v>45926</v>
      </c>
      <c r="B10280" s="534" t="n">
        <v>10.57</v>
      </c>
      <c r="C10280" s="534" t="n">
        <v>26128.2</v>
      </c>
    </row>
    <row r="10281">
      <c r="A10281" s="535" t="n">
        <v>45929</v>
      </c>
      <c r="B10281" s="534" t="n">
        <v>10.5</v>
      </c>
      <c r="C10281" s="534" t="n">
        <v>26622.88</v>
      </c>
    </row>
    <row r="10282">
      <c r="A10282" s="535" t="n">
        <v>45930</v>
      </c>
      <c r="B10282" s="534" t="n">
        <v>10.47</v>
      </c>
      <c r="C10282" s="534" t="n">
        <v>26855.56</v>
      </c>
    </row>
    <row r="10283">
      <c r="A10283" s="535" t="n">
        <v>45931</v>
      </c>
      <c r="B10283" s="534" t="n">
        <v>10.47</v>
      </c>
      <c r="C10283" s="534" t="n">
        <v>26855.56</v>
      </c>
    </row>
    <row r="10284">
      <c r="A10284" s="535" t="n">
        <v>45932</v>
      </c>
      <c r="B10284" s="534" t="n">
        <v>10.51</v>
      </c>
      <c r="C10284" s="534" t="n">
        <v>27287.12</v>
      </c>
    </row>
    <row r="10285">
      <c r="A10285" s="535" t="n">
        <v>45933</v>
      </c>
      <c r="B10285" s="534" t="n">
        <v>10.59</v>
      </c>
      <c r="C10285" s="534" t="n">
        <v>27140.92</v>
      </c>
    </row>
    <row r="10286">
      <c r="A10286" s="535" t="n">
        <v>45936</v>
      </c>
      <c r="B10286" s="534" t="n">
        <v>10.54</v>
      </c>
      <c r="C10286" s="534" t="n">
        <v>26957.77</v>
      </c>
    </row>
    <row r="10287">
      <c r="A10287" s="535" t="n">
        <v>45937</v>
      </c>
      <c r="B10287" s="534" t="n">
        <v>10.54</v>
      </c>
      <c r="C10287" s="534" t="n">
        <v>26957.77</v>
      </c>
    </row>
    <row r="10288">
      <c r="A10288" s="535" t="n">
        <v>45938</v>
      </c>
      <c r="B10288" s="534" t="n">
        <v>10.56</v>
      </c>
      <c r="C10288" s="534" t="n">
        <v>26829.46</v>
      </c>
    </row>
    <row r="10289">
      <c r="A10289" s="535" t="n">
        <v>45939</v>
      </c>
      <c r="B10289" s="534" t="n">
        <v>10.67</v>
      </c>
      <c r="C10289" s="534" t="n">
        <v>26752.59</v>
      </c>
    </row>
    <row r="10290">
      <c r="A10290" s="535" t="n">
        <v>45940</v>
      </c>
      <c r="B10290" s="534" t="n">
        <v>10.67</v>
      </c>
      <c r="C10290" s="534" t="n">
        <v>26290.32</v>
      </c>
    </row>
    <row r="10291">
      <c r="A10291" s="535" t="n">
        <v>45943</v>
      </c>
      <c r="B10291" s="534" t="n">
        <v>10.56</v>
      </c>
      <c r="C10291" s="534" t="n">
        <v>25889.48</v>
      </c>
    </row>
    <row r="10292">
      <c r="A10292" s="535" t="n">
        <v>45944</v>
      </c>
      <c r="B10292" s="534" t="n">
        <v>10.53</v>
      </c>
      <c r="C10292" s="534" t="n">
        <v>25441.35</v>
      </c>
    </row>
    <row r="10293">
      <c r="A10293" s="535" t="n">
        <v>45945</v>
      </c>
      <c r="B10293" s="534" t="n">
        <v>10.76</v>
      </c>
      <c r="C10293" s="534" t="n">
        <v>25910.6</v>
      </c>
    </row>
    <row r="10294">
      <c r="A10294" s="535" t="n">
        <v>45946</v>
      </c>
      <c r="B10294" s="534" t="n">
        <v>10.77</v>
      </c>
      <c r="C10294" s="534" t="n">
        <v>25888.51</v>
      </c>
    </row>
    <row r="10295">
      <c r="A10295" s="535" t="n">
        <v>45947</v>
      </c>
      <c r="B10295" s="534" t="n">
        <v>10.64</v>
      </c>
      <c r="C10295" s="534" t="n">
        <v>25247.1</v>
      </c>
    </row>
    <row r="10296">
      <c r="A10296" s="535" t="n">
        <v>45950</v>
      </c>
      <c r="B10296" s="534" t="n">
        <v>10.84</v>
      </c>
      <c r="C10296" s="534" t="n">
        <v>25858.83</v>
      </c>
    </row>
    <row r="10297">
      <c r="A10297" s="535" t="n">
        <v>45951</v>
      </c>
      <c r="B10297" s="534" t="n">
        <v>10.84</v>
      </c>
      <c r="C10297" s="534" t="n">
        <v>26027.55</v>
      </c>
    </row>
    <row r="10298">
      <c r="A10298" s="535" t="n">
        <v>45952</v>
      </c>
      <c r="B10298" s="534" t="n">
        <v>10.94</v>
      </c>
      <c r="C10298" s="534" t="n">
        <v>25781.77</v>
      </c>
    </row>
    <row r="10299">
      <c r="A10299" s="535" t="n">
        <v>45953</v>
      </c>
      <c r="B10299" s="534" t="n">
        <v>11.17</v>
      </c>
      <c r="C10299" s="534" t="n">
        <v>25967.98</v>
      </c>
    </row>
    <row r="10300">
      <c r="A10300" s="535" t="n">
        <v>45954</v>
      </c>
      <c r="B10300" s="534" t="n">
        <v>11.01</v>
      </c>
      <c r="C10300" s="534" t="n">
        <v>26160.15</v>
      </c>
    </row>
    <row r="10301">
      <c r="A10301" s="535" t="n">
        <v>45957</v>
      </c>
      <c r="B10301" s="534" t="n">
        <v>11.05</v>
      </c>
      <c r="C10301" s="534" t="n">
        <v>26433.7</v>
      </c>
    </row>
    <row r="10302">
      <c r="A10302" s="535" t="n">
        <v>45958</v>
      </c>
      <c r="B10302" s="534" t="n">
        <v>11.26</v>
      </c>
      <c r="C10302" s="534" t="n">
        <v>26346.14</v>
      </c>
    </row>
    <row r="10303">
      <c r="A10303" s="535" t="n">
        <v>45959</v>
      </c>
      <c r="B10303" s="534" t="n">
        <v>11.26</v>
      </c>
      <c r="C10303" s="534" t="n">
        <v>26346.14</v>
      </c>
    </row>
    <row r="10304">
      <c r="A10304" s="535" t="n">
        <v>45960</v>
      </c>
      <c r="B10304" s="534" t="n">
        <v>11.16</v>
      </c>
      <c r="C10304" s="534" t="n">
        <v>26282.69</v>
      </c>
    </row>
    <row r="10305">
      <c r="A10305" s="535" t="n">
        <v>45961</v>
      </c>
      <c r="B10305" s="534" t="n">
        <v>11.07</v>
      </c>
      <c r="C10305" s="534" t="n">
        <v>25906.65</v>
      </c>
    </row>
    <row r="10306">
      <c r="A10306" s="535" t="n">
        <v>45964</v>
      </c>
      <c r="B10306" s="534" t="n">
        <v>11.23</v>
      </c>
      <c r="C10306" s="534" t="n">
        <v>26158.36</v>
      </c>
    </row>
    <row r="10307">
      <c r="A10307" s="535" t="n">
        <v>45965</v>
      </c>
      <c r="B10307" s="534" t="n">
        <v>11.23</v>
      </c>
      <c r="C10307" s="534" t="n">
        <v>25952.4</v>
      </c>
    </row>
    <row r="10308">
      <c r="A10308" s="535" t="n">
        <v>45966</v>
      </c>
      <c r="B10308" s="534" t="n">
        <v>11.28</v>
      </c>
      <c r="C10308" s="534" t="n">
        <v>25935.41</v>
      </c>
    </row>
    <row r="10309">
      <c r="A10309" s="535" t="n">
        <v>45967</v>
      </c>
      <c r="B10309" s="534" t="n">
        <v>11.73</v>
      </c>
      <c r="C10309" s="534" t="n">
        <v>26485.9</v>
      </c>
    </row>
    <row r="10310">
      <c r="A10310" s="535" t="n">
        <v>45968</v>
      </c>
      <c r="B10310" s="534" t="n">
        <v>11.77</v>
      </c>
      <c r="C10310" s="534" t="n">
        <v>26241.83</v>
      </c>
    </row>
    <row r="10311">
      <c r="A10311" s="535" t="n">
        <v>45971</v>
      </c>
      <c r="B10311" s="534" t="n">
        <v>11.84</v>
      </c>
      <c r="C10311" s="534" t="n">
        <v>26649.06</v>
      </c>
    </row>
    <row r="10312">
      <c r="A10312" s="535" t="n">
        <v>45972</v>
      </c>
      <c r="B10312" s="534" t="n">
        <v>12.1</v>
      </c>
      <c r="C10312" s="534" t="n">
        <v>26696.41</v>
      </c>
    </row>
    <row r="10313">
      <c r="A10313" s="535" t="n">
        <v>45973</v>
      </c>
      <c r="B10313" s="534" t="n">
        <v>12.3</v>
      </c>
      <c r="C10313" s="534" t="n">
        <v>26922.73</v>
      </c>
    </row>
    <row r="10314">
      <c r="A10314" s="535" t="n">
        <v>45974</v>
      </c>
      <c r="B10314" s="534" t="n">
        <v>12.29</v>
      </c>
      <c r="C10314" s="534" t="n">
        <v>27073.03</v>
      </c>
    </row>
    <row r="10315">
      <c r="A10315" s="535" t="n">
        <v>45975</v>
      </c>
      <c r="B10315" s="534" t="n">
        <v>12.16</v>
      </c>
      <c r="C10315" s="534" t="n">
        <v>26572.46</v>
      </c>
    </row>
    <row r="10316">
      <c r="A10316" s="535" t="n">
        <v>45978</v>
      </c>
      <c r="B10316" s="534" t="n">
        <v>12.26</v>
      </c>
      <c r="C10316" s="534" t="n">
        <v>26384.28</v>
      </c>
    </row>
    <row r="10317">
      <c r="A10317" s="535" t="n">
        <v>45979</v>
      </c>
      <c r="B10317" s="534" t="n">
        <v>11.9</v>
      </c>
      <c r="C10317" s="534" t="n">
        <v>25930.03</v>
      </c>
    </row>
    <row r="10318">
      <c r="A10318" s="535" t="n">
        <v>45980</v>
      </c>
      <c r="B10318" s="534" t="n">
        <v>11.85</v>
      </c>
      <c r="C10318" s="534" t="n">
        <v>25830.65</v>
      </c>
    </row>
    <row r="10319">
      <c r="A10319" s="535" t="n">
        <v>45981</v>
      </c>
      <c r="B10319" s="534" t="n">
        <v>11.78</v>
      </c>
      <c r="C10319" s="534" t="n">
        <v>25835.57</v>
      </c>
    </row>
    <row r="10320">
      <c r="A10320" s="535" t="n">
        <v>45982</v>
      </c>
      <c r="B10320" s="534" t="n">
        <v>11.71</v>
      </c>
      <c r="C10320" s="534" t="n">
        <v>25220.02</v>
      </c>
    </row>
    <row r="10321">
      <c r="A10321" s="535" t="n">
        <v>45985</v>
      </c>
      <c r="B10321" s="534" t="n">
        <v>11.6</v>
      </c>
      <c r="C10321" s="534" t="n">
        <v>25716.5</v>
      </c>
    </row>
    <row r="10322">
      <c r="A10322" s="535" t="n">
        <v>45986</v>
      </c>
      <c r="B10322" s="534" t="n">
        <v>11.68</v>
      </c>
      <c r="C10322" s="534" t="n">
        <v>25894.55</v>
      </c>
    </row>
    <row r="10323">
      <c r="A10323" s="535" t="n">
        <v>45987</v>
      </c>
      <c r="B10323" s="534" t="n">
        <v>11.75</v>
      </c>
      <c r="C10323" s="534" t="n">
        <v>25928.08</v>
      </c>
    </row>
    <row r="10324">
      <c r="A10324" s="535" t="n">
        <v>45988</v>
      </c>
      <c r="B10324" s="534" t="n">
        <v>11.95</v>
      </c>
      <c r="C10324" s="534" t="n">
        <v>25945.93</v>
      </c>
    </row>
    <row r="10325">
      <c r="A10325" s="535" t="n">
        <v>45989</v>
      </c>
      <c r="B10325" s="534" t="n">
        <v>12.06</v>
      </c>
      <c r="C10325" s="534" t="n">
        <v>25858.89</v>
      </c>
    </row>
    <row r="10326">
      <c r="A10326" s="535" t="n">
        <v>45992</v>
      </c>
      <c r="B10326" s="534" t="n">
        <v>12.17</v>
      </c>
      <c r="C10326" s="534" t="n">
        <v>26033.26</v>
      </c>
    </row>
    <row r="10327">
      <c r="A10327" s="535" t="n">
        <v>45993</v>
      </c>
      <c r="B10327" s="534" t="n">
        <v>12.28</v>
      </c>
      <c r="C10327" s="534" t="n">
        <v>26095.05</v>
      </c>
    </row>
    <row r="10328">
      <c r="A10328" s="535" t="n">
        <v>45994</v>
      </c>
      <c r="B10328" s="534" t="n">
        <v>12.12</v>
      </c>
      <c r="C10328" s="534" t="n">
        <v>25760.73</v>
      </c>
    </row>
    <row r="10329">
      <c r="A10329" s="535" t="n">
        <v>45995</v>
      </c>
      <c r="B10329" s="534" t="n">
        <v>12.25</v>
      </c>
      <c r="C10329" s="534" t="n">
        <v>25935.9</v>
      </c>
    </row>
    <row r="10330">
      <c r="A10330" s="535" t="n">
        <v>45996</v>
      </c>
      <c r="B10330" s="534" t="n">
        <v>12.18</v>
      </c>
      <c r="C10330" s="534" t="n">
        <v>26085.08</v>
      </c>
    </row>
    <row r="10331">
      <c r="A10331" s="535" t="n">
        <v>45999</v>
      </c>
      <c r="B10331" s="534" t="n">
        <v>12.04</v>
      </c>
      <c r="C10331" s="534" t="n">
        <v>25765.36</v>
      </c>
    </row>
    <row r="10332">
      <c r="A10332" s="535" t="n">
        <v>46000</v>
      </c>
      <c r="B10332" s="534" t="n">
        <v>11.85</v>
      </c>
      <c r="C10332" s="534" t="n">
        <v>25434.23</v>
      </c>
    </row>
    <row r="10333">
      <c r="A10333" s="535" t="n">
        <v>46001</v>
      </c>
      <c r="B10333" s="534" t="n">
        <v>11.77</v>
      </c>
      <c r="C10333" s="534" t="n">
        <v>25540.78</v>
      </c>
    </row>
    <row r="10334">
      <c r="A10334" s="535" t="n">
        <v>46002</v>
      </c>
      <c r="B10334" s="534" t="n">
        <v>11.79</v>
      </c>
      <c r="C10334" s="534" t="n">
        <v>25530.51</v>
      </c>
    </row>
    <row r="10335">
      <c r="A10335" s="535" t="n">
        <v>46003</v>
      </c>
      <c r="B10335" s="534" t="n">
        <v>11.88</v>
      </c>
      <c r="C10335" s="534" t="n">
        <v>25976.79</v>
      </c>
    </row>
    <row r="10336">
      <c r="A10336" s="535" t="n">
        <v>46006</v>
      </c>
      <c r="B10336" s="534" t="n">
        <v>11.79</v>
      </c>
      <c r="C10336" s="534" t="n">
        <v>25628.88</v>
      </c>
    </row>
    <row r="10337">
      <c r="A10337" s="535" t="n">
        <v>46007</v>
      </c>
      <c r="B10337" s="534" t="n">
        <v>11.74</v>
      </c>
      <c r="C10337" s="534" t="n">
        <v>25235.41</v>
      </c>
    </row>
    <row r="10338">
      <c r="A10338" s="535" t="n">
        <v>46008</v>
      </c>
      <c r="B10338" s="534" t="n">
        <v>11.83</v>
      </c>
      <c r="C10338" s="534" t="n">
        <v>25468.78</v>
      </c>
    </row>
    <row r="10339">
      <c r="A10339" s="535" t="n">
        <v>46009</v>
      </c>
      <c r="B10339" s="534" t="n">
        <v>11.93</v>
      </c>
      <c r="C10339" s="534" t="n">
        <v>25498.13</v>
      </c>
    </row>
    <row r="10340">
      <c r="A10340" s="535" t="n">
        <v>46010</v>
      </c>
      <c r="B10340" s="534" t="n">
        <v>12</v>
      </c>
      <c r="C10340" s="534" t="n">
        <v>25690.53</v>
      </c>
    </row>
    <row r="10341">
      <c r="A10341" s="535" t="n">
        <v>46013</v>
      </c>
      <c r="B10341" s="534" t="n">
        <v>12.02</v>
      </c>
      <c r="C10341" s="534" t="n">
        <v>25801.77</v>
      </c>
    </row>
    <row r="10342">
      <c r="A10342" s="535" t="n">
        <v>46014</v>
      </c>
      <c r="B10342" s="534" t="n">
        <v>12.88</v>
      </c>
      <c r="C10342" s="534" t="n">
        <v>25774.14</v>
      </c>
    </row>
    <row r="10343">
      <c r="A10343" s="535" t="n">
        <v>46015</v>
      </c>
      <c r="B10343" s="534" t="n">
        <v>12.82</v>
      </c>
      <c r="C10343" s="534" t="n">
        <v>25818.93</v>
      </c>
    </row>
    <row r="10344">
      <c r="A10344" s="535" t="n">
        <v>46016</v>
      </c>
      <c r="B10344" s="534" t="n">
        <v>12.82</v>
      </c>
      <c r="C10344" s="534" t="n">
        <v>25818.93</v>
      </c>
    </row>
    <row r="10345">
      <c r="A10345" s="535" t="n">
        <v>46017</v>
      </c>
      <c r="B10345" s="534" t="n">
        <v>12.82</v>
      </c>
      <c r="C10345" s="534" t="n">
        <v>25818.93</v>
      </c>
    </row>
    <row r="10346">
      <c r="A10346" s="535" t="n">
        <v>46020</v>
      </c>
      <c r="B10346" s="534" t="n">
        <v>12.5</v>
      </c>
      <c r="C10346" s="534" t="n">
        <v>25635.23</v>
      </c>
    </row>
    <row r="10347">
      <c r="A10347" s="535" t="n">
        <v>46021</v>
      </c>
      <c r="B10347" s="534" t="n">
        <v>12.51</v>
      </c>
      <c r="C10347" s="534" t="n">
        <v>25854.6</v>
      </c>
    </row>
    <row r="10348">
      <c r="A10348" s="535" t="n">
        <v>46022</v>
      </c>
      <c r="B10348" s="534" t="n">
        <v>12.43</v>
      </c>
      <c r="C10348" s="534" t="n">
        <v>25630.54</v>
      </c>
    </row>
    <row r="10349">
      <c r="A10349" s="535" t="n">
        <v>46023</v>
      </c>
      <c r="B10349" s="534" t="n">
        <v>12.43</v>
      </c>
      <c r="C10349" s="534" t="n">
        <v>25630.54</v>
      </c>
    </row>
    <row r="10350">
      <c r="A10350" s="535" t="n">
        <v>46024</v>
      </c>
      <c r="B10350" s="534" t="n">
        <v>12.63</v>
      </c>
      <c r="C10350" s="534" t="n">
        <v>26338.47</v>
      </c>
    </row>
    <row r="10351">
      <c r="A10351" s="535" t="n">
        <v>46027</v>
      </c>
      <c r="B10351" s="534" t="n">
        <v>13.09</v>
      </c>
      <c r="C10351" s="534" t="n">
        <v>26347.24</v>
      </c>
    </row>
    <row r="10352">
      <c r="A10352" s="535" t="n">
        <v>46028</v>
      </c>
      <c r="B10352" s="534" t="n">
        <v>12.75</v>
      </c>
      <c r="C10352" s="534" t="n">
        <v>26710.45</v>
      </c>
    </row>
    <row r="10353">
      <c r="A10353" s="535" t="n">
        <v>46029</v>
      </c>
      <c r="B10353" s="534" t="n">
        <v>12.97</v>
      </c>
      <c r="C10353" s="534" t="n">
        <v>26458.95</v>
      </c>
    </row>
    <row r="10354">
      <c r="A10354" s="535" t="n">
        <v>46030</v>
      </c>
      <c r="B10354" s="534" t="n">
        <v>12.73</v>
      </c>
      <c r="C10354" s="534" t="n">
        <v>26149.31</v>
      </c>
    </row>
    <row r="10355">
      <c r="A10355" s="535" t="n">
        <v>46031</v>
      </c>
      <c r="B10355" s="534" t="n">
        <v>12.56</v>
      </c>
      <c r="C10355" s="534" t="n">
        <v>26231.79</v>
      </c>
    </row>
    <row r="10356">
      <c r="A10356" s="535" t="n">
        <v>46034</v>
      </c>
      <c r="B10356" s="534" t="n">
        <v>12.44</v>
      </c>
      <c r="C10356" s="534" t="n">
        <v>26608.48</v>
      </c>
    </row>
    <row r="10357">
      <c r="A10357" s="535" t="n">
        <v>46035</v>
      </c>
      <c r="B10357" s="534" t="n">
        <v>12.3</v>
      </c>
      <c r="C10357" s="534" t="n">
        <v>26848.47</v>
      </c>
    </row>
    <row r="10358">
      <c r="A10358" s="535" t="n">
        <v>46036</v>
      </c>
      <c r="B10358" s="534" t="n">
        <v>12.35</v>
      </c>
      <c r="C10358" s="534" t="n">
        <v>26999.81</v>
      </c>
    </row>
    <row r="10359">
      <c r="A10359" s="535" t="n">
        <v>46037</v>
      </c>
      <c r="B10359" s="534" t="n">
        <v>12.29</v>
      </c>
      <c r="C10359" s="534" t="n">
        <v>26923.62</v>
      </c>
    </row>
    <row r="10360">
      <c r="A10360" s="535" t="n">
        <v>46038</v>
      </c>
      <c r="B10360" s="534" t="n">
        <v>12.21</v>
      </c>
      <c r="C10360" s="534" t="n">
        <v>26844.96</v>
      </c>
    </row>
    <row r="10361">
      <c r="A10361" s="535" t="n">
        <v>46041</v>
      </c>
      <c r="B10361" s="534" t="n">
        <v>12.29</v>
      </c>
      <c r="C10361" s="534" t="n">
        <v>26563.9</v>
      </c>
    </row>
    <row r="10362">
      <c r="A10362" s="535" t="n">
        <v>46042</v>
      </c>
      <c r="B10362" s="534" t="n">
        <v>12.49</v>
      </c>
      <c r="C10362" s="534" t="n">
        <v>26487.51</v>
      </c>
    </row>
    <row r="10363">
      <c r="A10363" s="535" t="n">
        <v>46043</v>
      </c>
      <c r="B10363" s="534" t="n">
        <v>12.43</v>
      </c>
      <c r="C10363" s="534" t="n">
        <v>26585.06</v>
      </c>
    </row>
    <row r="10364">
      <c r="A10364" s="535" t="n">
        <v>46044</v>
      </c>
      <c r="B10364" s="534" t="n">
        <v>12.61</v>
      </c>
      <c r="C10364" s="534" t="n">
        <v>26629.96</v>
      </c>
    </row>
    <row r="10365">
      <c r="A10365" s="535" t="n">
        <v>46045</v>
      </c>
      <c r="B10365" s="534" t="n">
        <v>12.4</v>
      </c>
      <c r="C10365" s="534" t="n">
        <v>26749.51</v>
      </c>
    </row>
    <row r="10366">
      <c r="A10366" s="535" t="n">
        <v>46048</v>
      </c>
      <c r="B10366" s="534" t="n">
        <v>12.58</v>
      </c>
      <c r="C10366" s="534" t="n">
        <v>26765.52</v>
      </c>
    </row>
    <row r="10367">
      <c r="A10367" s="535" t="n">
        <v>46049</v>
      </c>
      <c r="B10367" s="534" t="n">
        <v>12.29</v>
      </c>
      <c r="C10367" s="534" t="n">
        <v>27126.95</v>
      </c>
    </row>
    <row r="10368">
      <c r="A10368" s="535" t="n">
        <v>46050</v>
      </c>
      <c r="B10368" s="534" t="n">
        <v>12.34</v>
      </c>
      <c r="C10368" s="534" t="n">
        <v>27826.91</v>
      </c>
    </row>
    <row r="10369">
      <c r="A10369" s="535" t="n">
        <v>46051</v>
      </c>
      <c r="B10369" s="534" t="n">
        <v>12.31</v>
      </c>
      <c r="C10369" s="534" t="n">
        <v>27968.09</v>
      </c>
    </row>
    <row r="10370">
      <c r="A10370" s="535" t="n">
        <v>46052</v>
      </c>
      <c r="B10370" s="534" t="n">
        <v>12.26</v>
      </c>
      <c r="C10370" s="534" t="n">
        <v>27387.11</v>
      </c>
    </row>
    <row r="10371">
      <c r="A10371" s="535" t="n">
        <v>46055</v>
      </c>
      <c r="B10371" s="534" t="n">
        <v>12.19</v>
      </c>
      <c r="C10371" s="534" t="n">
        <v>26775.57</v>
      </c>
    </row>
    <row r="10372">
      <c r="A10372" s="535" t="n">
        <v>46056</v>
      </c>
      <c r="B10372" s="534" t="n">
        <v>12.4</v>
      </c>
      <c r="C10372" s="534" t="n">
        <v>26834.77</v>
      </c>
    </row>
    <row r="10373">
      <c r="A10373" s="535" t="n">
        <v>46057</v>
      </c>
      <c r="B10373" s="534" t="n">
        <v>12.59</v>
      </c>
      <c r="C10373" s="534" t="n">
        <v>26847.32</v>
      </c>
    </row>
    <row r="10374">
      <c r="A10374" s="535" t="n">
        <v>46058</v>
      </c>
      <c r="B10374" s="534" t="n">
        <v>12.74</v>
      </c>
      <c r="C10374" s="534" t="n">
        <v>26885.24</v>
      </c>
    </row>
    <row r="10375">
      <c r="A10375" s="535" t="n">
        <v>46059</v>
      </c>
      <c r="B10375" s="534" t="n">
        <v>12.57</v>
      </c>
      <c r="C10375" s="534" t="n">
        <v>26559.95</v>
      </c>
    </row>
    <row r="10376">
      <c r="A10376" s="535" t="n">
        <v>46062</v>
      </c>
      <c r="B10376" s="534" t="n">
        <v>12.79</v>
      </c>
      <c r="C10376" s="534" t="n">
        <v>27027.16</v>
      </c>
    </row>
    <row r="10377">
      <c r="A10377" s="535" t="n">
        <v>46063</v>
      </c>
      <c r="B10377" s="534" t="n">
        <v>12.96</v>
      </c>
      <c r="C10377" s="534" t="n">
        <v>27183.15</v>
      </c>
    </row>
    <row r="10378">
      <c r="A10378" s="535" t="n">
        <v>46064</v>
      </c>
      <c r="B10378" s="534" t="n">
        <v>12.9</v>
      </c>
      <c r="C10378" s="534" t="n">
        <v>27266.38</v>
      </c>
    </row>
    <row r="10379">
      <c r="A10379" s="535" t="n">
        <v>46065</v>
      </c>
      <c r="B10379" s="534" t="n">
        <v>12.97</v>
      </c>
      <c r="C10379" s="534" t="n">
        <v>27032.54</v>
      </c>
    </row>
    <row r="10380">
      <c r="A10380" s="535" t="n">
        <v>46066</v>
      </c>
      <c r="B10380" s="534" t="n">
        <v>12.85</v>
      </c>
      <c r="C10380" s="534" t="n">
        <v>26567.12</v>
      </c>
    </row>
    <row r="10381">
      <c r="A10381" s="535" t="n">
        <v>46069</v>
      </c>
      <c r="B10381" s="534" t="n">
        <v>12.91</v>
      </c>
      <c r="C10381" s="534" t="n">
        <v>26705.94</v>
      </c>
    </row>
    <row r="10382">
      <c r="A10382" s="535" t="n">
        <v>46070</v>
      </c>
      <c r="B10382" s="534" t="n">
        <v>12.91</v>
      </c>
      <c r="C10382" s="534" t="n">
        <v>26705.94</v>
      </c>
    </row>
    <row r="10383">
      <c r="A10383" s="535" t="n">
        <v>46071</v>
      </c>
      <c r="B10383" s="534" t="n">
        <v>12.91</v>
      </c>
      <c r="C10383" s="534" t="n">
        <v>26705.94</v>
      </c>
    </row>
    <row r="10384">
      <c r="A10384" s="535" t="n">
        <v>46072</v>
      </c>
      <c r="B10384" s="534" t="n">
        <v>12.91</v>
      </c>
      <c r="C10384" s="534" t="n">
        <v>26705.94</v>
      </c>
    </row>
    <row r="10385">
      <c r="A10385" s="535" t="n">
        <v>46073</v>
      </c>
      <c r="B10385" s="534" t="n">
        <v>12.72</v>
      </c>
      <c r="C10385" s="534" t="n">
        <v>26413.35</v>
      </c>
    </row>
    <row r="10386">
      <c r="A10386" s="535" t="n">
        <v>46076</v>
      </c>
      <c r="B10386" s="534" t="n">
        <v>12.84</v>
      </c>
      <c r="C10386" s="534" t="n">
        <v>27081.91</v>
      </c>
    </row>
    <row r="10387">
      <c r="A10387" s="535" t="n">
        <v>46077</v>
      </c>
      <c r="B10387" s="534" t="n">
        <v>13.36</v>
      </c>
      <c r="C10387" s="534" t="n">
        <v>26590.32</v>
      </c>
    </row>
    <row r="10388">
      <c r="A10388" s="535" t="n">
        <v>46078</v>
      </c>
      <c r="B10388" s="534" t="n">
        <v>13.55</v>
      </c>
      <c r="C10388" s="534" t="n">
        <v>26765.72</v>
      </c>
    </row>
    <row r="10389">
      <c r="A10389" s="535" t="n">
        <v>46079</v>
      </c>
      <c r="B10389" s="534" t="n">
        <v>13.7</v>
      </c>
      <c r="C10389" s="534" t="n">
        <v>26381.02</v>
      </c>
    </row>
    <row r="10390">
      <c r="A10390" s="535" t="n">
        <v>46080</v>
      </c>
      <c r="B10390" s="534" t="n">
        <v>14.06</v>
      </c>
      <c r="C10390" s="534" t="n">
        <v>26630.54</v>
      </c>
    </row>
    <row r="10391">
      <c r="A10391" s="535" t="n">
        <v>46083</v>
      </c>
      <c r="B10391" s="534" t="n">
        <v>13.48</v>
      </c>
      <c r="C10391" s="534" t="n">
        <v>26059.85</v>
      </c>
    </row>
    <row r="10392">
      <c r="A10392" s="535" t="n">
        <v>46084</v>
      </c>
      <c r="B10392" s="534" t="n">
        <v>13.1</v>
      </c>
      <c r="C10392" s="534" t="n">
        <v>25768.08</v>
      </c>
    </row>
    <row r="10393">
      <c r="A10393" s="535" t="n">
        <v>46085</v>
      </c>
      <c r="B10393" s="534" t="n">
        <v>12.7</v>
      </c>
      <c r="C10393" s="534" t="n">
        <v>25249.48</v>
      </c>
    </row>
    <row r="10394">
      <c r="A10394" s="535" t="n">
        <v>46086</v>
      </c>
      <c r="B10394" s="534" t="n">
        <v>12.98</v>
      </c>
      <c r="C10394" s="534" t="n">
        <v>25321.34</v>
      </c>
    </row>
    <row r="10395">
      <c r="A10395" s="535" t="n">
        <v>46087</v>
      </c>
      <c r="B10395" s="534" t="n">
        <v>12.83</v>
      </c>
      <c r="C10395" s="534" t="n">
        <v>25757.29</v>
      </c>
    </row>
    <row r="10396">
      <c r="A10396" s="535" t="n">
        <v>46090</v>
      </c>
      <c r="B10396" s="534" t="n">
        <v>12.18</v>
      </c>
      <c r="C10396" s="534" t="n">
        <v>25408.46</v>
      </c>
    </row>
    <row r="10397">
      <c r="A10397" s="535" t="n">
        <v>46091</v>
      </c>
      <c r="B10397" s="534" t="n">
        <v>12.62</v>
      </c>
      <c r="C10397" s="534" t="n">
        <v>25959.9</v>
      </c>
    </row>
    <row r="10398">
      <c r="A10398" s="535" t="n">
        <v>46092</v>
      </c>
      <c r="B10398" s="534" t="n">
        <v>13.17</v>
      </c>
      <c r="C10398" s="534" t="n">
        <v>25898.76</v>
      </c>
    </row>
    <row r="10399">
      <c r="A10399" s="535" t="n">
        <v>46093</v>
      </c>
      <c r="B10399" s="534" t="n">
        <v>12.99</v>
      </c>
      <c r="C10399" s="534" t="n">
        <v>25716.76</v>
      </c>
    </row>
    <row r="10400">
      <c r="A10400" s="535" t="n">
        <v>46094</v>
      </c>
      <c r="B10400" s="534" t="n">
        <v>12.33</v>
      </c>
      <c r="C10400" s="534" t="n">
        <v>25465.6</v>
      </c>
    </row>
    <row r="10401">
      <c r="A10401" s="535" t="n">
        <v>46097</v>
      </c>
      <c r="B10401" s="534" t="n">
        <v>12.51</v>
      </c>
      <c r="C10401" s="534" t="n">
        <v>25834.02</v>
      </c>
    </row>
    <row r="10402">
      <c r="A10402" s="535" t="n">
        <v>46098</v>
      </c>
      <c r="B10402" s="534" t="n">
        <v>12.62</v>
      </c>
      <c r="C10402" s="534" t="n">
        <v>25868.54</v>
      </c>
    </row>
    <row r="10403">
      <c r="A10403" s="535" t="n">
        <v>46099</v>
      </c>
      <c r="B10403" s="534" t="n">
        <v>12.66</v>
      </c>
      <c r="C10403" s="534" t="n">
        <v>26025.42</v>
      </c>
    </row>
    <row r="10404">
      <c r="A10404" s="535" t="n">
        <v>46100</v>
      </c>
      <c r="B10404" s="534" t="n">
        <v>12.43</v>
      </c>
      <c r="C10404" s="534" t="n">
        <v>25500.58</v>
      </c>
    </row>
    <row r="10405">
      <c r="A10405" s="535" t="n">
        <v>46101</v>
      </c>
      <c r="B10405" s="534" t="n">
        <v>12.4</v>
      </c>
      <c r="C10405" s="534" t="n">
        <v>25277.32</v>
      </c>
    </row>
    <row r="10406">
      <c r="A10406" s="535" t="n">
        <v>46104</v>
      </c>
      <c r="B10406" s="534" t="n">
        <v>12.02</v>
      </c>
      <c r="C10406" s="534" t="n">
        <v>24382.47</v>
      </c>
    </row>
    <row r="10407">
      <c r="A10407" s="535" t="n">
        <v>46105</v>
      </c>
      <c r="B10407" s="534" t="n">
        <v>12.3</v>
      </c>
      <c r="C10407" s="534" t="n">
        <v>25063.71</v>
      </c>
    </row>
    <row r="10408">
      <c r="A10408" s="535" t="n">
        <v>46106</v>
      </c>
      <c r="B10408" s="534" t="n">
        <v>12.43</v>
      </c>
      <c r="C10408" s="534" t="n">
        <v>25335.95</v>
      </c>
    </row>
    <row r="10409">
      <c r="A10409" s="535" t="n">
        <v>46107</v>
      </c>
      <c r="B10409" s="534" t="n">
        <v>12.31</v>
      </c>
      <c r="C10409" s="534" t="n">
        <v>24856.43</v>
      </c>
    </row>
    <row r="10410">
      <c r="A10410" s="535" t="n">
        <v>46108</v>
      </c>
      <c r="B10410" s="534" t="n">
        <v>12.17</v>
      </c>
      <c r="C10410" s="534" t="n">
        <v>24951.88</v>
      </c>
    </row>
    <row r="10411">
      <c r="A10411" s="535" t="n">
        <v>46111</v>
      </c>
      <c r="B10411" s="534" t="n">
        <v>11.97</v>
      </c>
      <c r="C10411" s="534" t="n">
        <v>24750.79</v>
      </c>
    </row>
    <row r="10412">
      <c r="A10412" s="535" t="n">
        <v>46112</v>
      </c>
      <c r="B10412" s="534" t="n">
        <v>11.22</v>
      </c>
      <c r="C10412" s="534" t="n">
        <v>24788.14</v>
      </c>
    </row>
    <row r="10413">
      <c r="A10413" s="535" t="n">
        <v>46113</v>
      </c>
      <c r="B10413" s="534" t="n">
        <v>11.74</v>
      </c>
      <c r="C10413" s="534" t="n">
        <v>25294.03</v>
      </c>
    </row>
    <row r="10414">
      <c r="A10414" s="535" t="n">
        <v>46114</v>
      </c>
      <c r="B10414" s="534" t="n">
        <v>11.41</v>
      </c>
      <c r="C10414" s="534" t="n">
        <v>25116.53</v>
      </c>
    </row>
    <row r="10415">
      <c r="A10415" s="535" t="n">
        <v>46115</v>
      </c>
      <c r="B10415" s="534" t="n">
        <v>11.41</v>
      </c>
      <c r="C10415" s="534" t="n">
        <v>25116.53</v>
      </c>
    </row>
    <row r="10416">
      <c r="A10416" s="535" t="n">
        <v>46118</v>
      </c>
      <c r="B10416" s="534" t="n">
        <v>11.41</v>
      </c>
      <c r="C10416" s="534" t="n">
        <v>25116.53</v>
      </c>
    </row>
    <row r="10417">
      <c r="A10417" s="535" t="n">
        <v>46119</v>
      </c>
      <c r="B10417" s="534" t="n">
        <v>11.41</v>
      </c>
      <c r="C10417" s="534" t="n">
        <v>25116.53</v>
      </c>
    </row>
    <row r="10418">
      <c r="A10418" s="535" t="n">
        <v>46120</v>
      </c>
      <c r="B10418" s="534" t="n">
        <v>11.97</v>
      </c>
      <c r="C10418" s="534" t="n">
        <v>25893.02</v>
      </c>
    </row>
    <row r="10419">
      <c r="A10419" s="535" t="n">
        <v>46121</v>
      </c>
      <c r="B10419" s="534" t="n">
        <v>11.65</v>
      </c>
      <c r="C10419" s="534" t="n">
        <v>25752.4</v>
      </c>
    </row>
    <row r="10420">
      <c r="A10420" s="535" t="n">
        <v>46122</v>
      </c>
      <c r="B10420" s="534" t="n">
        <v>11.79</v>
      </c>
      <c r="C10420" s="534" t="n">
        <v>25893.54</v>
      </c>
    </row>
    <row r="10421">
      <c r="A10421" s="535" t="n">
        <v>46125</v>
      </c>
      <c r="B10421" s="534" t="n">
        <v>11.46</v>
      </c>
      <c r="C10421" s="534" t="n">
        <v>25660.85</v>
      </c>
    </row>
    <row r="10422">
      <c r="A10422" s="535" t="n">
        <v>46126</v>
      </c>
      <c r="B10422" s="534" t="n">
        <v>11.59</v>
      </c>
      <c r="C10422" s="534" t="n">
        <v>25872.32</v>
      </c>
    </row>
    <row r="10423">
      <c r="A10423" s="535" t="n">
        <v>46127</v>
      </c>
      <c r="B10423" s="534" t="n">
        <v>11.82</v>
      </c>
      <c r="C10423" s="534" t="n">
        <v>25947.32</v>
      </c>
    </row>
    <row r="10424">
      <c r="A10424" s="535" t="n">
        <v>46128</v>
      </c>
      <c r="B10424" s="534" t="n">
        <v>11.89</v>
      </c>
      <c r="C10424" s="534" t="n">
        <v>26394.26</v>
      </c>
    </row>
    <row r="10425">
      <c r="A10425" s="535" t="n">
        <v>46129</v>
      </c>
      <c r="B10425" s="534" t="n">
        <v>11.61</v>
      </c>
      <c r="C10425" s="534" t="n">
        <v>26160.33</v>
      </c>
    </row>
    <row r="10426">
      <c r="A10426" s="535" t="n">
        <v>46132</v>
      </c>
      <c r="B10426" s="534" t="n">
        <v>11.88</v>
      </c>
      <c r="C10426" s="534" t="n">
        <v>26361.07</v>
      </c>
    </row>
    <row r="10427">
      <c r="A10427" s="535" t="n">
        <v>46133</v>
      </c>
      <c r="B10427" s="534" t="n">
        <v>12.01</v>
      </c>
      <c r="C10427" s="534" t="n">
        <v>26487.48</v>
      </c>
    </row>
    <row r="10428">
      <c r="A10428" s="535" t="n">
        <v>46134</v>
      </c>
      <c r="B10428" s="534" t="n">
        <v>11.96</v>
      </c>
      <c r="C10428" s="534" t="n">
        <v>26163.24</v>
      </c>
    </row>
    <row r="10429">
      <c r="A10429" s="535" t="n">
        <v>46135</v>
      </c>
      <c r="B10429" s="534" t="n">
        <v>11.75</v>
      </c>
      <c r="C10429" s="534" t="n">
        <v>25915.2</v>
      </c>
    </row>
    <row r="10430">
      <c r="A10430" s="535" t="n">
        <v>46136</v>
      </c>
      <c r="B10430" s="534" t="n">
        <v>11.78</v>
      </c>
      <c r="C10430" s="534" t="n">
        <v>25978.07</v>
      </c>
    </row>
    <row r="10431">
      <c r="A10431" s="535" t="n">
        <v>46139</v>
      </c>
      <c r="B10431" s="534" t="n">
        <v>11.73</v>
      </c>
      <c r="C10431" s="534" t="n">
        <v>25925.65</v>
      </c>
    </row>
    <row r="10432">
      <c r="A10432" s="535" t="n">
        <v>46140</v>
      </c>
      <c r="B10432" s="534" t="n">
        <v>11.52</v>
      </c>
      <c r="C10432" s="534" t="n">
        <v>25679.78</v>
      </c>
    </row>
    <row r="10433">
      <c r="A10433" s="535" t="n">
        <v>46141</v>
      </c>
      <c r="B10433" s="534" t="n">
        <v>11.79</v>
      </c>
      <c r="C10433" s="534" t="n">
        <v>26111.84</v>
      </c>
    </row>
    <row r="10434">
      <c r="A10434" s="535" t="n">
        <v>46142</v>
      </c>
      <c r="B10434" s="534" t="n">
        <v>11.58</v>
      </c>
      <c r="C10434" s="534" t="n">
        <v>25776.53</v>
      </c>
    </row>
    <row r="10435">
      <c r="A10435" s="535" t="n">
        <v>46143</v>
      </c>
      <c r="B10435" s="534" t="n">
        <v>11.58</v>
      </c>
      <c r="C10435" s="534" t="n">
        <v>25776.53</v>
      </c>
    </row>
    <row r="10436">
      <c r="A10436" s="535" t="n">
        <v>46146</v>
      </c>
      <c r="B10436" s="534" t="n">
        <v>11.75</v>
      </c>
      <c r="C10436" s="534" t="n">
        <v>26095.88</v>
      </c>
    </row>
    <row r="10437">
      <c r="A10437" s="535" t="n">
        <v>46147</v>
      </c>
      <c r="B10437" s="534" t="n">
        <v>11.73</v>
      </c>
      <c r="C10437" s="534" t="n">
        <v>25898.61</v>
      </c>
    </row>
    <row r="10438">
      <c r="A10438" s="535" t="n">
        <v>46148</v>
      </c>
      <c r="B10438" s="534" t="n">
        <v>12.09</v>
      </c>
      <c r="C10438" s="534" t="n">
        <v>26213.78</v>
      </c>
    </row>
    <row r="10439">
      <c r="A10439" s="535" t="n">
        <v>46149</v>
      </c>
      <c r="B10439" s="534" t="n">
        <v>12.66</v>
      </c>
      <c r="C10439" s="534" t="n">
        <v>26626.28</v>
      </c>
    </row>
    <row r="10440">
      <c r="A10440" s="535" t="n">
        <v>46150</v>
      </c>
      <c r="B10440" s="534" t="n">
        <v>12.6</v>
      </c>
      <c r="C10440" s="534" t="n">
        <v>26393.71</v>
      </c>
    </row>
    <row r="10441">
      <c r="A10441" s="535" t="n">
        <v>46153</v>
      </c>
      <c r="B10441" s="534" t="n">
        <v>12.65</v>
      </c>
      <c r="C10441" s="534" t="n">
        <v>26406.84</v>
      </c>
    </row>
    <row r="10442">
      <c r="A10442" s="535" t="n">
        <v>46154</v>
      </c>
      <c r="B10442" s="534" t="n">
        <v>12.59</v>
      </c>
      <c r="C10442" s="534" t="n">
        <v>26347.91</v>
      </c>
    </row>
    <row r="10443">
      <c r="A10443" s="535" t="n">
        <v>46155</v>
      </c>
      <c r="B10443" s="534" t="n">
        <v>12.42</v>
      </c>
      <c r="C10443" s="534" t="n">
        <v>26388.44</v>
      </c>
    </row>
    <row r="10444">
      <c r="A10444" s="535" t="n">
        <v>46156</v>
      </c>
      <c r="B10444" s="534" t="n">
        <v>12.38</v>
      </c>
      <c r="C10444" s="534" t="n">
        <v>26389.04</v>
      </c>
    </row>
    <row r="10445">
      <c r="A10445" s="535" t="n">
        <v>46157</v>
      </c>
      <c r="B10445" s="534" t="n">
        <v>12.16</v>
      </c>
      <c r="C10445" s="534" t="n">
        <v>25962.73</v>
      </c>
    </row>
    <row r="10446">
      <c r="A10446" s="535" t="n">
        <v>46160</v>
      </c>
      <c r="B10446" s="534" t="n">
        <v>12.02</v>
      </c>
      <c r="C10446" s="534" t="n">
        <v>25675.18</v>
      </c>
    </row>
    <row r="10447">
      <c r="A10447" s="535" t="n">
        <v>46161</v>
      </c>
      <c r="B10447" s="534" t="n">
        <v>12.07</v>
      </c>
      <c r="C10447" s="534" t="n">
        <v>25797.85</v>
      </c>
    </row>
    <row r="10448">
      <c r="A10448" s="535" t="n">
        <v>46162</v>
      </c>
      <c r="B10448" s="534" t="n">
        <v>11.99</v>
      </c>
      <c r="C10448" s="534" t="n">
        <v>25651.12</v>
      </c>
    </row>
    <row r="10449">
      <c r="A10449" s="535" t="n">
        <v>46163</v>
      </c>
      <c r="B10449" s="534" t="n">
        <v>12.39</v>
      </c>
      <c r="C10449" s="534" t="n">
        <v>25386.52</v>
      </c>
    </row>
    <row r="10450">
      <c r="A10450" s="535" t="n">
        <v>46164</v>
      </c>
      <c r="B10450" s="534" t="n">
        <v>12.6</v>
      </c>
      <c r="C10450" s="534" t="n">
        <v>25606.03</v>
      </c>
    </row>
    <row r="10451">
      <c r="A10451" s="535" t="n">
        <v>46167</v>
      </c>
      <c r="B10451" s="534" t="n">
        <v>12.6</v>
      </c>
      <c r="C10451" s="534" t="n">
        <v>25606.03</v>
      </c>
    </row>
    <row r="10452">
      <c r="A10452" s="535" t="n">
        <v>46168</v>
      </c>
      <c r="B10452" s="534" t="n">
        <v>12.63</v>
      </c>
      <c r="C10452" s="534" t="n">
        <v>25599.45</v>
      </c>
    </row>
    <row r="10453">
      <c r="A10453" s="535" t="n">
        <v>46169</v>
      </c>
      <c r="B10453" s="534" t="n">
        <v>12.83</v>
      </c>
      <c r="C10453" s="534" t="n">
        <v>25328.23</v>
      </c>
    </row>
    <row r="10454">
      <c r="A10454" s="535" t="n">
        <v>46170</v>
      </c>
      <c r="B10454" s="534" t="n">
        <v>12.77</v>
      </c>
      <c r="C10454" s="534" t="n">
        <v>25006.16</v>
      </c>
    </row>
    <row r="10455">
      <c r="A10455" s="535" t="n">
        <v>46171</v>
      </c>
      <c r="B10455" s="534" t="n">
        <v>13.3</v>
      </c>
      <c r="C10455" s="534" t="n">
        <v>25182.39</v>
      </c>
    </row>
    <row r="10456">
      <c r="A10456" s="535" t="n">
        <v>46174</v>
      </c>
      <c r="B10456" s="534" t="n">
        <v>13.25</v>
      </c>
      <c r="C10456" s="534" t="n">
        <v>25398.18</v>
      </c>
    </row>
    <row r="10457">
      <c r="A10457" s="535" t="n">
        <v>46175</v>
      </c>
      <c r="B10457" s="534" t="n">
        <v>13.23</v>
      </c>
      <c r="C10457" s="534" t="n">
        <v>26038.32</v>
      </c>
    </row>
    <row r="10458">
      <c r="A10458" s="535" t="n">
        <v>46176</v>
      </c>
      <c r="B10458" s="534" t="n">
        <v>13.11</v>
      </c>
      <c r="C10458" s="534" t="n">
        <v>25633.21</v>
      </c>
    </row>
    <row r="10459">
      <c r="A10459" s="535" t="n">
        <v>46177</v>
      </c>
      <c r="B10459" s="534" t="n">
        <v>13.05</v>
      </c>
      <c r="C10459" s="534" t="n">
        <v>25253.4</v>
      </c>
    </row>
    <row r="10460">
      <c r="A10460" s="535" t="n">
        <v>46178</v>
      </c>
      <c r="B10460" s="534" t="n">
        <v>12.96</v>
      </c>
      <c r="C10460" s="534" t="n">
        <v>24961.95</v>
      </c>
    </row>
    <row r="10461">
      <c r="A10461" s="535" t="n">
        <v>46181</v>
      </c>
      <c r="B10461" s="534" t="n">
        <v>12.55</v>
      </c>
      <c r="C10461" s="534" t="n">
        <v>24657.06</v>
      </c>
    </row>
    <row r="10462">
      <c r="A10462" s="535" t="n">
        <v>46182</v>
      </c>
      <c r="B10462" s="534" t="n">
        <v>12.81</v>
      </c>
      <c r="C10462" s="534" t="n">
        <v>24565.9</v>
      </c>
    </row>
    <row r="10463">
      <c r="A10463" s="535" t="n">
        <v>46183</v>
      </c>
      <c r="B10463" s="534" t="n">
        <v>11.93</v>
      </c>
      <c r="C10463" s="534" t="n">
        <v>24407.96</v>
      </c>
    </row>
    <row r="10464">
      <c r="A10464" s="535" t="n">
        <v>46184</v>
      </c>
      <c r="B10464" s="534" t="n">
        <v>11.64</v>
      </c>
      <c r="C10464" s="534" t="n">
        <v>24249.29</v>
      </c>
    </row>
    <row r="10465">
      <c r="A10465" s="535" t="n">
        <v>46185</v>
      </c>
      <c r="B10465" s="534" t="n">
        <v>11.86</v>
      </c>
      <c r="C10465" s="534" t="n">
        <v>24718.1</v>
      </c>
    </row>
    <row r="10466">
      <c r="A10466" s="535" t="n">
        <v>46188</v>
      </c>
      <c r="B10466" s="534" t="n">
        <v>12.17</v>
      </c>
      <c r="C10466" s="534" t="n">
        <v>24842.67</v>
      </c>
    </row>
    <row r="10467">
      <c r="A10467" s="535" t="n">
        <v>46189</v>
      </c>
      <c r="B10467" s="534" t="n">
        <v>12.07</v>
      </c>
      <c r="C10467" s="534" t="n">
        <v>24493.95</v>
      </c>
    </row>
    <row r="10468">
      <c r="A10468" s="535" t="n">
        <v>46190</v>
      </c>
      <c r="B10468" s="534" t="n">
        <v>12.1</v>
      </c>
      <c r="C10468" s="534" t="n">
        <v>24312.16</v>
      </c>
    </row>
    <row r="10469">
      <c r="A10469" s="535" t="n">
        <v>46191</v>
      </c>
      <c r="B10469" s="534" t="n">
        <v>12.02</v>
      </c>
      <c r="C10469" s="534" t="n">
        <v>23924.81</v>
      </c>
    </row>
    <row r="10470">
      <c r="A10470" s="535" t="n">
        <v>46192</v>
      </c>
      <c r="B10470" s="534" t="n">
        <v>12.02</v>
      </c>
      <c r="C10470" s="534" t="n">
        <v>23924.81</v>
      </c>
    </row>
    <row r="10471">
      <c r="A10471" s="535" t="n">
        <v>46195</v>
      </c>
      <c r="B10471" s="534" t="n">
        <v>11.94</v>
      </c>
      <c r="C10471" s="534" t="n">
        <v>23768.52</v>
      </c>
    </row>
    <row r="10472">
      <c r="A10472" s="535" t="n">
        <v>46196</v>
      </c>
      <c r="B10472" s="534" t="n">
        <v>11.91</v>
      </c>
      <c r="C10472" s="534" t="n">
        <v>23336.28</v>
      </c>
    </row>
    <row r="10473">
      <c r="A10473" s="535" t="n">
        <v>46197</v>
      </c>
      <c r="B10473" s="534" t="n">
        <v>12.19</v>
      </c>
      <c r="C10473" s="534" t="n">
        <v>23412.18</v>
      </c>
    </row>
    <row r="10474">
      <c r="A10474" s="535" t="n">
        <v>46198</v>
      </c>
      <c r="B10474" s="534" t="n">
        <v>12.66</v>
      </c>
      <c r="C10474" s="534" t="n">
        <v>23076.91</v>
      </c>
    </row>
    <row r="10475">
      <c r="A10475" s="535" t="n">
        <v>46199</v>
      </c>
      <c r="B10475" s="534" t="n">
        <v>12.58</v>
      </c>
      <c r="C10475" s="534" t="n">
        <v>22671.86</v>
      </c>
    </row>
    <row r="10476">
      <c r="A10476" s="535" t="n">
        <v>46202</v>
      </c>
      <c r="B10476" s="534" t="n">
        <v>12.81</v>
      </c>
      <c r="C10476" s="534" t="n">
        <v>23026.68</v>
      </c>
    </row>
    <row r="10477">
      <c r="A10477" s="535" t="n">
        <v>46203</v>
      </c>
      <c r="B10477" s="534" t="n">
        <v>12.98</v>
      </c>
      <c r="C10477" s="534" t="n">
        <v>22881.02</v>
      </c>
    </row>
    <row r="10478">
      <c r="A10478" s="535" t="n">
        <v>46204</v>
      </c>
      <c r="B10478" s="534" t="n">
        <v>12.98</v>
      </c>
      <c r="C10478" s="534" t="n">
        <v>22881.02</v>
      </c>
    </row>
    <row r="10479">
      <c r="A10479" s="535" t="n">
        <v>46205</v>
      </c>
      <c r="B10479" s="534" t="n">
        <v>13</v>
      </c>
      <c r="C10479" s="534" t="n">
        <v>23055.03</v>
      </c>
    </row>
    <row r="10480">
      <c r="A10480" s="535" t="n">
        <v>46206</v>
      </c>
      <c r="B10480" s="534" t="n">
        <v>13.05</v>
      </c>
      <c r="C10480" s="534" t="n">
        <v>23350.03</v>
      </c>
    </row>
    <row r="10481">
      <c r="A10481" s="535" t="n">
        <v>46209</v>
      </c>
      <c r="B10481" s="534" t="n">
        <v>13.04</v>
      </c>
      <c r="C10481" s="534" t="n">
        <v>23616.32</v>
      </c>
    </row>
    <row r="10482">
      <c r="A10482" s="535" t="n">
        <v>46210</v>
      </c>
      <c r="B10482" s="534" t="n">
        <v>13.36</v>
      </c>
      <c r="C10482" s="534" t="n">
        <v>23496.89</v>
      </c>
    </row>
    <row r="10483">
      <c r="A10483" s="535" t="n">
        <v>46211</v>
      </c>
      <c r="B10483" s="534" t="n">
        <v>13.65</v>
      </c>
      <c r="C10483" s="534" t="n">
        <v>24199.46</v>
      </c>
    </row>
    <row r="10484">
      <c r="A10484" s="535" t="n">
        <v>46212</v>
      </c>
      <c r="B10484" s="534" t="n">
        <v>13.16</v>
      </c>
      <c r="C10484" s="534" t="n">
        <v>24030.18</v>
      </c>
    </row>
    <row r="10485">
      <c r="A10485" s="535" t="n">
        <v>46213</v>
      </c>
      <c r="B10485" s="534" t="n">
        <v>13.27</v>
      </c>
      <c r="C10485" s="534" t="n">
        <v>24175.12</v>
      </c>
    </row>
    <row r="10486">
      <c r="A10486" s="535" t="n">
        <v>46216</v>
      </c>
      <c r="B10486" s="534" t="n">
        <v>13.16</v>
      </c>
      <c r="C10486" s="534" t="n">
        <v>24213.72</v>
      </c>
    </row>
    <row r="10487">
      <c r="A10487" s="535" t="n">
        <v>46217</v>
      </c>
      <c r="B10487" s="534" t="n">
        <v>13.21</v>
      </c>
      <c r="C10487" s="534" t="n">
        <v>24340.73</v>
      </c>
    </row>
    <row r="10488">
      <c r="A10488" s="535" t="n">
        <v>46218</v>
      </c>
      <c r="B10488" s="534" t="n">
        <v>13.18</v>
      </c>
      <c r="C10488" s="534" t="n">
        <v>24681.1</v>
      </c>
    </row>
    <row r="10489">
      <c r="A10489" s="535" t="n">
        <v>46219</v>
      </c>
      <c r="B10489" s="534" t="n">
        <v>13.12</v>
      </c>
      <c r="C10489" s="534" t="n">
        <v>25008.6</v>
      </c>
    </row>
    <row r="10490">
      <c r="A10490" s="535" t="n">
        <v>46220</v>
      </c>
      <c r="B10490" s="534" t="n">
        <v>13.14</v>
      </c>
      <c r="C10490" s="534" t="n">
        <v>24562.24</v>
      </c>
    </row>
    <row r="10491">
      <c r="A10491" s="535" t="n">
        <v>46223</v>
      </c>
      <c r="B10491" s="534" t="n">
        <v>12.98</v>
      </c>
      <c r="C10491" s="534" t="n">
        <v>25143.05</v>
      </c>
    </row>
    <row r="10492">
      <c r="A10492" s="535" t="n">
        <v>46224</v>
      </c>
      <c r="B10492" s="534" t="n">
        <v>13.25</v>
      </c>
      <c r="C10492" s="534" t="n">
        <v>25132.29</v>
      </c>
    </row>
    <row r="10493">
      <c r="A10493" s="535" t="n">
        <v>46225</v>
      </c>
      <c r="B10493" s="534" t="n">
        <v>13.59</v>
      </c>
      <c r="C10493" s="534" t="n">
        <v>24892.66</v>
      </c>
    </row>
    <row r="10494">
      <c r="A10494" s="535" t="n">
        <v>46226</v>
      </c>
      <c r="B10494" s="534" t="n">
        <v>14.11</v>
      </c>
      <c r="C10494" s="534" t="n">
        <v>25210.81</v>
      </c>
    </row>
    <row r="10495">
      <c r="A10495" s="535" t="n">
        <v>46227</v>
      </c>
      <c r="B10495" s="534" t="n">
        <v>14.05</v>
      </c>
      <c r="C10495" s="534" t="n">
        <v>24963.23</v>
      </c>
    </row>
    <row r="10496">
      <c r="A10496" s="535" t="n">
        <v>46230</v>
      </c>
      <c r="B10496" s="534" t="n">
        <v>14.39</v>
      </c>
      <c r="C10496" s="534" t="n">
        <v>25207.18</v>
      </c>
    </row>
    <row r="10497">
      <c r="A10497" s="535" t="n">
        <v>46231</v>
      </c>
      <c r="B10497" s="534" t="n">
        <v>14.75</v>
      </c>
      <c r="C10497" s="534" t="n">
        <v>25310.85</v>
      </c>
    </row>
    <row r="10498">
      <c r="A10498" s="535" t="n">
        <v>46232</v>
      </c>
      <c r="B10498" s="534" t="n">
        <v>14.79</v>
      </c>
      <c r="C10498" s="534" t="n">
        <v>25807.92</v>
      </c>
    </row>
    <row r="10499">
      <c r="A10499" s="535" t="n">
        <v>46233</v>
      </c>
      <c r="B10499" s="534" t="n">
        <v>14.49</v>
      </c>
      <c r="C10499" s="534" t="n">
        <v>25858.88</v>
      </c>
    </row>
    <row r="10500">
      <c r="A10500" s="535" t="n">
        <v>46234</v>
      </c>
      <c r="B10500" s="534" t="n">
        <v>14.6</v>
      </c>
      <c r="C10500" s="534" t="n">
        <v>25884.43</v>
      </c>
    </row>
    <row r="10501">
      <c r="A10501" s="535" t="n">
        <v>46237</v>
      </c>
      <c r="B10501" s="534" t="n">
        <v>14.55</v>
      </c>
      <c r="C10501" s="534" t="n">
        <v>26009.4</v>
      </c>
    </row>
    <row r="10502">
      <c r="A10502" s="535" t="n">
        <v>46238</v>
      </c>
      <c r="B10502" s="534" t="n">
        <v>14.4</v>
      </c>
      <c r="C10502" s="534" t="n">
        <v>25852.92</v>
      </c>
    </row>
  </sheetData>
  <dataValidations count="2">
    <dataValidation sqref="E8" showDropDown="0" showInputMessage="0" showErrorMessage="1" allowBlank="1" promptTitle="TRAFO" prompt="$E$8:$F$7443"/>
    <dataValidation sqref="A8" showDropDown="0" showInputMessage="0" showErrorMessage="1" allowBlank="1" promptTitle="TRAFO" prompt="$A$8:$C$10171"/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Yeung, Perry</dc:creator>
  <dcterms:created xsi:type="dcterms:W3CDTF">2014-11-11T04:26:03Z</dcterms:created>
  <dcterms:modified xsi:type="dcterms:W3CDTF">2026-09-16T03:54:21Z</dcterms:modified>
  <cp:lastModifiedBy>Yip, Samuel</cp:lastModifiedBy>
  <cp:lastPrinted>2026-08-05T07:18:30Z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Language" fmtid="{D5CDD505-2E9C-101B-9397-08002B2CF9AE}" pid="2">
    <vt:lpwstr>1033</vt:lpwstr>
  </property>
  <property name="Create_Backup" fmtid="{D5CDD505-2E9C-101B-9397-08002B2CF9AE}" pid="3">
    <vt:lpwstr>3</vt:lpwstr>
  </property>
  <property name="Workbook_Font" fmtid="{D5CDD505-2E9C-101B-9397-08002B2CF9AE}" pid="4">
    <vt:lpwstr>Frutiger 45 Light</vt:lpwstr>
  </property>
  <property name="Workbook_FontSize" fmtid="{D5CDD505-2E9C-101B-9397-08002B2CF9AE}" pid="5">
    <vt:lpwstr>10</vt:lpwstr>
  </property>
  <property name="Average_Translated" fmtid="{D5CDD505-2E9C-101B-9397-08002B2CF9AE}" pid="6">
    <vt:lpwstr>Average</vt:lpwstr>
  </property>
  <property name="Thick_Lines" fmtid="{D5CDD505-2E9C-101B-9397-08002B2CF9AE}" pid="7">
    <vt:lpwstr>0</vt:lpwstr>
  </property>
  <property name="Num_Categories_On_XAxis" fmtid="{D5CDD505-2E9C-101B-9397-08002B2CF9AE}" pid="8">
    <vt:lpwstr>6</vt:lpwstr>
  </property>
  <property name="Share_PX_Label" fmtid="{D5CDD505-2E9C-101B-9397-08002B2CF9AE}" pid="9">
    <vt:lpwstr>Stock price</vt:lpwstr>
  </property>
  <property name="Volume_Label" fmtid="{D5CDD505-2E9C-101B-9397-08002B2CF9AE}" pid="10">
    <vt:lpwstr>Volume (000s)</vt:lpwstr>
  </property>
  <property name="Stock_Volume_XAxis_Label" fmtid="{D5CDD505-2E9C-101B-9397-08002B2CF9AE}" pid="11">
    <vt:lpwstr>Closing date</vt:lpwstr>
  </property>
  <property name="Pie_Chart_Labels" fmtid="{D5CDD505-2E9C-101B-9397-08002B2CF9AE}" pid="12">
    <vt:lpwstr>-1</vt:lpwstr>
  </property>
  <property name="Pie_Chart_Legend" fmtid="{D5CDD505-2E9C-101B-9397-08002B2CF9AE}" pid="13">
    <vt:lpwstr>0</vt:lpwstr>
  </property>
  <property name="Annotation_Add_Date" fmtid="{D5CDD505-2E9C-101B-9397-08002B2CF9AE}" pid="14">
    <vt:lpwstr>-1</vt:lpwstr>
  </property>
  <property name="Annotation_Date_Bold" fmtid="{D5CDD505-2E9C-101B-9397-08002B2CF9AE}" pid="15">
    <vt:lpwstr>-1</vt:lpwstr>
  </property>
  <property name="Annotation_Date_Format" fmtid="{D5CDD505-2E9C-101B-9397-08002B2CF9AE}" pid="16">
    <vt:lpwstr>F1</vt:lpwstr>
  </property>
  <property name="ShowGridlines" fmtid="{D5CDD505-2E9C-101B-9397-08002B2CF9AE}" pid="17">
    <vt:lpwstr>-1</vt:lpwstr>
  </property>
  <property name="ShowYAxis" fmtid="{D5CDD505-2E9C-101B-9397-08002B2CF9AE}" pid="18">
    <vt:lpwstr>0</vt:lpwstr>
  </property>
  <property name="UseStackWhiteBorder" fmtid="{D5CDD505-2E9C-101B-9397-08002B2CF9AE}" pid="19">
    <vt:lpwstr>-1</vt:lpwstr>
  </property>
  <property name="UseDashStyle" fmtid="{D5CDD505-2E9C-101B-9397-08002B2CF9AE}" pid="20">
    <vt:lpwstr>0</vt:lpwstr>
  </property>
  <property name="_IQPDocumentId" fmtid="{D5CDD505-2E9C-101B-9397-08002B2CF9AE}" pid="21">
    <vt:lpwstr>b5fc45fc-0dac-4bc5-9e4a-487db15e4a73</vt:lpwstr>
  </property>
  <property name="Signature" fmtid="{D5CDD505-2E9C-101B-9397-08002B2CF9AE}" pid="22">
    <vt:lpwstr>R+c3S+VcRe0fcxAao5RS5EUU/r0Mg+jvPTB2RiIgqisgBXke5bmF2z/wPlFkrJy8EywKpz+HMY8jFiUjF8h5Mg==</vt:lpwstr>
  </property>
  <property name="MSIP_Label_fe213162-8742-4817-ab6f-53da7c79e427_Enabled" fmtid="{D5CDD505-2E9C-101B-9397-08002B2CF9AE}" pid="23">
    <vt:lpwstr>true</vt:lpwstr>
  </property>
  <property name="MSIP_Label_fe213162-8742-4817-ab6f-53da7c79e427_SetDate" fmtid="{D5CDD505-2E9C-101B-9397-08002B2CF9AE}" pid="24">
    <vt:lpwstr>2023-11-23T14:33:52Z</vt:lpwstr>
  </property>
  <property name="MSIP_Label_fe213162-8742-4817-ab6f-53da7c79e427_Method" fmtid="{D5CDD505-2E9C-101B-9397-08002B2CF9AE}" pid="25">
    <vt:lpwstr>Privileged</vt:lpwstr>
  </property>
  <property name="MSIP_Label_fe213162-8742-4817-ab6f-53da7c79e427_Name" fmtid="{D5CDD505-2E9C-101B-9397-08002B2CF9AE}" pid="26">
    <vt:lpwstr>Conf-MayLeave</vt:lpwstr>
  </property>
  <property name="MSIP_Label_fe213162-8742-4817-ab6f-53da7c79e427_SiteId" fmtid="{D5CDD505-2E9C-101B-9397-08002B2CF9AE}" pid="27">
    <vt:lpwstr>fb6ea403-7cf1-4905-810a-fe5547e98204</vt:lpwstr>
  </property>
  <property name="MSIP_Label_fe213162-8742-4817-ab6f-53da7c79e427_ActionId" fmtid="{D5CDD505-2E9C-101B-9397-08002B2CF9AE}" pid="28">
    <vt:lpwstr>847c1b2e-85dc-4fa4-9175-d7a4553671d7</vt:lpwstr>
  </property>
  <property name="MSIP_Label_fe213162-8742-4817-ab6f-53da7c79e427_ContentBits" fmtid="{D5CDD505-2E9C-101B-9397-08002B2CF9AE}" pid="29">
    <vt:lpwstr>0</vt:lpwstr>
  </property>
  <property name="CDMCEIC_description" fmtid="{D5CDD505-2E9C-101B-9397-08002B2CF9AE}" pid="30">
    <vt:lpwstr/>
  </property>
  <property name="CDMCEIC_readOnly" fmtid="{D5CDD505-2E9C-101B-9397-08002B2CF9AE}" pid="31">
    <vt:lpwstr>False</vt:lpwstr>
  </property>
  <property name="CDMCEIC_owner" fmtid="{D5CDD505-2E9C-101B-9397-08002B2CF9AE}" pid="32">
    <vt:lpwstr>samuel.yip@ubs.com</vt:lpwstr>
  </property>
  <property name="CDMCEIC_ownerFullName" fmtid="{D5CDD505-2E9C-101B-9397-08002B2CF9AE}" pid="33">
    <vt:lpwstr>Samuel Yip</vt:lpwstr>
  </property>
  <property name="CDMCEIC_Metadata" fmtid="{D5CDD505-2E9C-101B-9397-08002B2CF9AE}" pid="34">
    <vt:lpwstr>{28118FBF-7DAD-489B-B44B-47E937CAE472}</vt:lpwstr>
  </property>
  <property name="PowerlinkCOMAddIn.COMAddIn.WebAddinBridge.Options" fmtid="{D5CDD505-2E9C-101B-9397-08002B2CF9AE}" pid="35">
    <vt:lpwstr>{"port":50152,"version":"1.26.170"}</vt:lpwstr>
  </property>
</Properties>
</file>